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pivotTables/pivotTable4.xml" ContentType="application/vnd.openxmlformats-officedocument.spreadsheetml.pivotTable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10.xml" ContentType="application/vnd.openxmlformats-officedocument.drawing+xml"/>
  <Override PartName="/xl/ctrlProps/ctrlProp3.xml" ContentType="application/vnd.ms-excel.controlproperties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I:\FinanceiraConsignado\CELULA INSS\SIMULADORES\"/>
    </mc:Choice>
  </mc:AlternateContent>
  <xr:revisionPtr revIDLastSave="0" documentId="8_{5564A26A-26D9-4274-BDE0-02EC9A2A99D3}" xr6:coauthVersionLast="47" xr6:coauthVersionMax="47" xr10:uidLastSave="{00000000-0000-0000-0000-000000000000}"/>
  <workbookProtection workbookAlgorithmName="SHA-512" workbookHashValue="SPWqcqakyl4DoTZVnpa0QoRalWbbT19jmdJewtCTtCSPujTTVx2ZS8unQEpdp2T5xuC6JAOU6EXaLdUojX8uhQ==" workbookSaltValue="elfWFbR//VOR42FdanOM+w==" workbookSpinCount="100000" lockStructure="1"/>
  <bookViews>
    <workbookView xWindow="-120" yWindow="-120" windowWidth="29040" windowHeight="15720" tabRatio="898" firstSheet="5" activeTab="8" xr2:uid="{00000000-000D-0000-FFFF-FFFF00000000}"/>
  </bookViews>
  <sheets>
    <sheet name="Matriz Ponderação" sheetId="4" state="hidden" r:id="rId1"/>
    <sheet name="especies" sheetId="13" state="hidden" r:id="rId2"/>
    <sheet name="indices" sheetId="12" state="hidden" r:id="rId3"/>
    <sheet name="Batalha Naval (3)" sheetId="15" state="hidden" r:id="rId4"/>
    <sheet name="Batalha Naval (2)" sheetId="10" state="hidden" r:id="rId5"/>
    <sheet name="CORTE MAILING INSS" sheetId="17" r:id="rId6"/>
    <sheet name="Batalha Naval" sheetId="6" r:id="rId7"/>
    <sheet name="Calculadora Inversa IRPF" sheetId="18" state="hidden" r:id="rId8"/>
    <sheet name="CALCULAR SALDO APROXIMADO " sheetId="5" r:id="rId9"/>
    <sheet name="Planilha1" sheetId="11" state="hidden" r:id="rId10"/>
    <sheet name="SIMULADOR COM SALDO" sheetId="2" r:id="rId11"/>
    <sheet name="NOVAS CONDIÇÕES" sheetId="22" r:id="rId12"/>
    <sheet name="Margem IR Publico" sheetId="19" state="hidden" r:id="rId13"/>
    <sheet name="Aumento Salarial INSS 2026" sheetId="14" state="hidden" r:id="rId14"/>
    <sheet name="Margem IR INSS" sheetId="21" state="hidden" r:id="rId15"/>
    <sheet name="Base tabelas" sheetId="8" state="hidden" r:id="rId16"/>
    <sheet name="CALENDARIO" sheetId="16" state="hidden" r:id="rId17"/>
    <sheet name="empregadores aumento ir" sheetId="20" state="hidden" r:id="rId18"/>
  </sheets>
  <definedNames>
    <definedName name="_xlnm._FilterDatabase" localSheetId="6" hidden="1">'Batalha Naval'!$EY$10:$FC$24</definedName>
    <definedName name="_xlnm._FilterDatabase" localSheetId="4" hidden="1">'Batalha Naval (2)'!$EY$10:$FC$24</definedName>
    <definedName name="_xlnm._FilterDatabase" localSheetId="3" hidden="1">'Batalha Naval (3)'!$EY$10:$FC$24</definedName>
    <definedName name="_xlnm._FilterDatabase" localSheetId="8" hidden="1">'CALCULAR SALDO APROXIMADO '!$BR$23:$CG$181</definedName>
    <definedName name="_xlnm._FilterDatabase" localSheetId="1" hidden="1">especies!$A$2:$E$58</definedName>
    <definedName name="_xlnm._FilterDatabase" localSheetId="10" hidden="1">'SIMULADOR COM SALDO'!$BV$22:$CK$100</definedName>
    <definedName name="_xlcn.WorksheetConnection_DAYCOVALSIMULADORESV07112025.xlsxConsulta31" hidden="1">Consulta3[]</definedName>
    <definedName name="DadosExternos_1" localSheetId="15" hidden="1">'Base tabelas'!$A$1:$R$1627</definedName>
    <definedName name="DadosExternos_1" localSheetId="16" hidden="1">CALENDARIO!$A$1:$F$2558</definedName>
    <definedName name="DadosExternos_1" localSheetId="17" hidden="1">'empregadores aumento ir'!$A$1:$B$2</definedName>
    <definedName name="DadosExternos_1" localSheetId="11" hidden="1">'NOVAS CONDIÇÕES'!$A$1:$C$12</definedName>
  </definedNames>
  <calcPr calcId="191029"/>
  <pivotCaches>
    <pivotCache cacheId="1408" r:id="rId19"/>
    <pivotCache cacheId="1412" r:id="rId20"/>
    <pivotCache cacheId="1416" r:id="rId21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onsulta3" name="Consulta3" connection="WorksheetConnection_DAYCOVAL-SIMULADORES-V-07112025.xlsx!Consulta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8" l="1"/>
  <c r="B2" i="8" s="1"/>
  <c r="C15" i="8"/>
  <c r="B15" i="8" s="1"/>
  <c r="C21" i="8"/>
  <c r="B21" i="8" s="1"/>
  <c r="C30" i="8"/>
  <c r="B30" i="8" s="1"/>
  <c r="C35" i="8"/>
  <c r="C38" i="8"/>
  <c r="B38" i="8" s="1"/>
  <c r="C44" i="8"/>
  <c r="B44" i="8" s="1"/>
  <c r="C47" i="8"/>
  <c r="C52" i="8"/>
  <c r="B52" i="8" s="1"/>
  <c r="C61" i="8"/>
  <c r="B61" i="8" s="1"/>
  <c r="C66" i="8"/>
  <c r="B66" i="8" s="1"/>
  <c r="C70" i="8"/>
  <c r="B70" i="8" s="1"/>
  <c r="C71" i="8"/>
  <c r="C77" i="8"/>
  <c r="C80" i="8"/>
  <c r="B80" i="8" s="1"/>
  <c r="C88" i="8"/>
  <c r="B88" i="8" s="1"/>
  <c r="C89" i="8"/>
  <c r="C97" i="8"/>
  <c r="B97" i="8" s="1"/>
  <c r="C98" i="8"/>
  <c r="C107" i="8"/>
  <c r="C120" i="8"/>
  <c r="B120" i="8" s="1"/>
  <c r="C130" i="8"/>
  <c r="B130" i="8" s="1"/>
  <c r="C141" i="8"/>
  <c r="B141" i="8" s="1"/>
  <c r="C142" i="8"/>
  <c r="B142" i="8" s="1"/>
  <c r="C143" i="8"/>
  <c r="C155" i="8"/>
  <c r="C167" i="8"/>
  <c r="C175" i="8"/>
  <c r="B175" i="8" s="1"/>
  <c r="C176" i="8"/>
  <c r="C187" i="8"/>
  <c r="B187" i="8" s="1"/>
  <c r="C196" i="8"/>
  <c r="B196" i="8" s="1"/>
  <c r="C205" i="8"/>
  <c r="B205" i="8" s="1"/>
  <c r="C217" i="8"/>
  <c r="B217" i="8" s="1"/>
  <c r="C229" i="8"/>
  <c r="B229" i="8" s="1"/>
  <c r="C241" i="8"/>
  <c r="B241" i="8" s="1"/>
  <c r="C253" i="8"/>
  <c r="B253" i="8" s="1"/>
  <c r="C260" i="8"/>
  <c r="C265" i="8"/>
  <c r="B265" i="8" s="1"/>
  <c r="C277" i="8"/>
  <c r="B277" i="8" s="1"/>
  <c r="C278" i="8"/>
  <c r="C285" i="8"/>
  <c r="B285" i="8" s="1"/>
  <c r="C305" i="8"/>
  <c r="C312" i="8"/>
  <c r="B312" i="8" s="1"/>
  <c r="C319" i="8"/>
  <c r="B319" i="8" s="1"/>
  <c r="C325" i="8"/>
  <c r="B325" i="8" s="1"/>
  <c r="C336" i="8"/>
  <c r="C346" i="8"/>
  <c r="B346" i="8" s="1"/>
  <c r="C356" i="8"/>
  <c r="C365" i="8"/>
  <c r="B365" i="8" s="1"/>
  <c r="C366" i="8"/>
  <c r="C371" i="8"/>
  <c r="B371" i="8" s="1"/>
  <c r="C382" i="8"/>
  <c r="B382" i="8" s="1"/>
  <c r="C383" i="8"/>
  <c r="C392" i="8"/>
  <c r="C401" i="8"/>
  <c r="B401" i="8" s="1"/>
  <c r="C405" i="8"/>
  <c r="B405" i="8" s="1"/>
  <c r="C409" i="8"/>
  <c r="B409" i="8" s="1"/>
  <c r="C423" i="8"/>
  <c r="B423" i="8" s="1"/>
  <c r="C424" i="8"/>
  <c r="B424" i="8" s="1"/>
  <c r="C425" i="8"/>
  <c r="B425" i="8" s="1"/>
  <c r="C429" i="8"/>
  <c r="B429" i="8" s="1"/>
  <c r="C434" i="8"/>
  <c r="C443" i="8"/>
  <c r="B443" i="8" s="1"/>
  <c r="C444" i="8"/>
  <c r="C446" i="8"/>
  <c r="B446" i="8" s="1"/>
  <c r="C447" i="8"/>
  <c r="B447" i="8" s="1"/>
  <c r="C448" i="8"/>
  <c r="B448" i="8" s="1"/>
  <c r="C452" i="8"/>
  <c r="C462" i="8"/>
  <c r="C467" i="8"/>
  <c r="B467" i="8" s="1"/>
  <c r="C472" i="8"/>
  <c r="B472" i="8" s="1"/>
  <c r="C474" i="8"/>
  <c r="C482" i="8"/>
  <c r="C498" i="8"/>
  <c r="C510" i="8"/>
  <c r="C522" i="8"/>
  <c r="C536" i="8"/>
  <c r="C545" i="8"/>
  <c r="B545" i="8" s="1"/>
  <c r="C546" i="8"/>
  <c r="C549" i="8"/>
  <c r="B549" i="8" s="1"/>
  <c r="C554" i="8"/>
  <c r="C557" i="8"/>
  <c r="C560" i="8"/>
  <c r="C565" i="8"/>
  <c r="B565" i="8" s="1"/>
  <c r="C566" i="8"/>
  <c r="C570" i="8"/>
  <c r="C582" i="8"/>
  <c r="C589" i="8"/>
  <c r="B589" i="8" s="1"/>
  <c r="C592" i="8"/>
  <c r="B592" i="8" s="1"/>
  <c r="C601" i="8"/>
  <c r="B601" i="8" s="1"/>
  <c r="C609" i="8"/>
  <c r="C614" i="8"/>
  <c r="B614" i="8" s="1"/>
  <c r="C623" i="8"/>
  <c r="B623" i="8" s="1"/>
  <c r="C624" i="8"/>
  <c r="C631" i="8"/>
  <c r="B631" i="8" s="1"/>
  <c r="C635" i="8"/>
  <c r="B635" i="8" s="1"/>
  <c r="C644" i="8"/>
  <c r="B644" i="8" s="1"/>
  <c r="C651" i="8"/>
  <c r="C656" i="8"/>
  <c r="B656" i="8" s="1"/>
  <c r="C657" i="8"/>
  <c r="C661" i="8"/>
  <c r="B661" i="8" s="1"/>
  <c r="C662" i="8"/>
  <c r="B662" i="8" s="1"/>
  <c r="C668" i="8"/>
  <c r="B668" i="8" s="1"/>
  <c r="C675" i="8"/>
  <c r="C680" i="8"/>
  <c r="B680" i="8" s="1"/>
  <c r="C684" i="8"/>
  <c r="C692" i="8"/>
  <c r="B692" i="8" s="1"/>
  <c r="C693" i="8"/>
  <c r="C698" i="8"/>
  <c r="B698" i="8" s="1"/>
  <c r="C703" i="8"/>
  <c r="B703" i="8" s="1"/>
  <c r="C708" i="8"/>
  <c r="B708" i="8" s="1"/>
  <c r="C709" i="8"/>
  <c r="C713" i="8"/>
  <c r="B713" i="8" s="1"/>
  <c r="C718" i="8"/>
  <c r="B718" i="8" s="1"/>
  <c r="C726" i="8"/>
  <c r="C732" i="8"/>
  <c r="B732" i="8" s="1"/>
  <c r="C733" i="8"/>
  <c r="B733" i="8" s="1"/>
  <c r="C734" i="8"/>
  <c r="B734" i="8" s="1"/>
  <c r="C746" i="8"/>
  <c r="B746" i="8" s="1"/>
  <c r="C747" i="8"/>
  <c r="C750" i="8"/>
  <c r="B750" i="8" s="1"/>
  <c r="C751" i="8"/>
  <c r="C755" i="8"/>
  <c r="C761" i="8"/>
  <c r="B761" i="8" s="1"/>
  <c r="C764" i="8"/>
  <c r="B764" i="8" s="1"/>
  <c r="C769" i="8"/>
  <c r="C774" i="8"/>
  <c r="B774" i="8" s="1"/>
  <c r="C780" i="8"/>
  <c r="C785" i="8"/>
  <c r="B785" i="8" s="1"/>
  <c r="C786" i="8"/>
  <c r="C789" i="8"/>
  <c r="C792" i="8"/>
  <c r="C797" i="8"/>
  <c r="B797" i="8" s="1"/>
  <c r="C801" i="8"/>
  <c r="C805" i="8"/>
  <c r="B805" i="8" s="1"/>
  <c r="C810" i="8"/>
  <c r="B810" i="8" s="1"/>
  <c r="C811" i="8"/>
  <c r="C814" i="8"/>
  <c r="B814" i="8" s="1"/>
  <c r="C817" i="8"/>
  <c r="C823" i="8"/>
  <c r="C828" i="8"/>
  <c r="B828" i="8" s="1"/>
  <c r="C832" i="8"/>
  <c r="B832" i="8" s="1"/>
  <c r="C837" i="8"/>
  <c r="C840" i="8"/>
  <c r="B840" i="8" s="1"/>
  <c r="C841" i="8"/>
  <c r="C844" i="8"/>
  <c r="B844" i="8" s="1"/>
  <c r="C846" i="8"/>
  <c r="B846" i="8" s="1"/>
  <c r="C847" i="8"/>
  <c r="C849" i="8"/>
  <c r="C853" i="8"/>
  <c r="C859" i="8"/>
  <c r="C863" i="8"/>
  <c r="B863" i="8" s="1"/>
  <c r="C866" i="8"/>
  <c r="B866" i="8" s="1"/>
  <c r="C869" i="8"/>
  <c r="B869" i="8" s="1"/>
  <c r="C870" i="8"/>
  <c r="B870" i="8" s="1"/>
  <c r="C874" i="8"/>
  <c r="B874" i="8" s="1"/>
  <c r="C875" i="8"/>
  <c r="B875" i="8" s="1"/>
  <c r="C880" i="8"/>
  <c r="B880" i="8" s="1"/>
  <c r="C881" i="8"/>
  <c r="B881" i="8" s="1"/>
  <c r="C888" i="8"/>
  <c r="B888" i="8" s="1"/>
  <c r="C890" i="8"/>
  <c r="B890" i="8" s="1"/>
  <c r="C900" i="8"/>
  <c r="B900" i="8" s="1"/>
  <c r="C908" i="8"/>
  <c r="B908" i="8" s="1"/>
  <c r="C910" i="8"/>
  <c r="B910" i="8" s="1"/>
  <c r="C911" i="8"/>
  <c r="B911" i="8" s="1"/>
  <c r="C915" i="8"/>
  <c r="C920" i="8"/>
  <c r="B920" i="8" s="1"/>
  <c r="C926" i="8"/>
  <c r="B926" i="8" s="1"/>
  <c r="C927" i="8"/>
  <c r="C932" i="8"/>
  <c r="B932" i="8" s="1"/>
  <c r="C933" i="8"/>
  <c r="C938" i="8"/>
  <c r="B938" i="8" s="1"/>
  <c r="C942" i="8"/>
  <c r="B942" i="8" s="1"/>
  <c r="C945" i="8"/>
  <c r="C947" i="8"/>
  <c r="B947" i="8" s="1"/>
  <c r="C948" i="8"/>
  <c r="B948" i="8" s="1"/>
  <c r="C956" i="8"/>
  <c r="B956" i="8" s="1"/>
  <c r="C960" i="8"/>
  <c r="B960" i="8" s="1"/>
  <c r="C964" i="8"/>
  <c r="B964" i="8" s="1"/>
  <c r="C965" i="8"/>
  <c r="B965" i="8" s="1"/>
  <c r="C966" i="8"/>
  <c r="B966" i="8" s="1"/>
  <c r="C969" i="8"/>
  <c r="C973" i="8"/>
  <c r="C979" i="8"/>
  <c r="C983" i="8"/>
  <c r="B983" i="8" s="1"/>
  <c r="C984" i="8"/>
  <c r="B984" i="8" s="1"/>
  <c r="C986" i="8"/>
  <c r="B986" i="8" s="1"/>
  <c r="C993" i="8"/>
  <c r="C997" i="8"/>
  <c r="B997" i="8" s="1"/>
  <c r="C998" i="8"/>
  <c r="B998" i="8" s="1"/>
  <c r="C999" i="8"/>
  <c r="C1006" i="8"/>
  <c r="B1006" i="8" s="1"/>
  <c r="C1011" i="8"/>
  <c r="C1016" i="8"/>
  <c r="B1016" i="8" s="1"/>
  <c r="C1017" i="8"/>
  <c r="C1030" i="8"/>
  <c r="B1030" i="8" s="1"/>
  <c r="C1033" i="8"/>
  <c r="C1041" i="8"/>
  <c r="C1044" i="8"/>
  <c r="B1044" i="8" s="1"/>
  <c r="C1050" i="8"/>
  <c r="B1050" i="8" s="1"/>
  <c r="C1064" i="8"/>
  <c r="B1064" i="8" s="1"/>
  <c r="C1065" i="8"/>
  <c r="C1067" i="8"/>
  <c r="B1067" i="8" s="1"/>
  <c r="C1069" i="8"/>
  <c r="C1075" i="8"/>
  <c r="C1079" i="8"/>
  <c r="B1079" i="8" s="1"/>
  <c r="C1080" i="8"/>
  <c r="B1080" i="8" s="1"/>
  <c r="C1081" i="8"/>
  <c r="C1085" i="8"/>
  <c r="B1085" i="8" s="1"/>
  <c r="C1091" i="8"/>
  <c r="B1091" i="8" s="1"/>
  <c r="C1097" i="8"/>
  <c r="B1097" i="8" s="1"/>
  <c r="C1098" i="8"/>
  <c r="B1098" i="8" s="1"/>
  <c r="C1111" i="8"/>
  <c r="C1118" i="8"/>
  <c r="B1118" i="8" s="1"/>
  <c r="C1123" i="8"/>
  <c r="C1129" i="8"/>
  <c r="C1135" i="8"/>
  <c r="C1138" i="8"/>
  <c r="B1138" i="8" s="1"/>
  <c r="C1139" i="8"/>
  <c r="B1139" i="8" s="1"/>
  <c r="C1145" i="8"/>
  <c r="B1145" i="8" s="1"/>
  <c r="C1149" i="8"/>
  <c r="C1151" i="8"/>
  <c r="B1151" i="8" s="1"/>
  <c r="C1161" i="8"/>
  <c r="B1161" i="8" s="1"/>
  <c r="C1162" i="8"/>
  <c r="B1162" i="8" s="1"/>
  <c r="C1165" i="8"/>
  <c r="C1169" i="8"/>
  <c r="B1169" i="8" s="1"/>
  <c r="C1170" i="8"/>
  <c r="B1170" i="8" s="1"/>
  <c r="C1173" i="8"/>
  <c r="C1176" i="8"/>
  <c r="B1176" i="8" s="1"/>
  <c r="C1179" i="8"/>
  <c r="C1184" i="8"/>
  <c r="B1184" i="8" s="1"/>
  <c r="C1187" i="8"/>
  <c r="B1187" i="8" s="1"/>
  <c r="C1188" i="8"/>
  <c r="B1188" i="8" s="1"/>
  <c r="C1193" i="8"/>
  <c r="B1193" i="8" s="1"/>
  <c r="C1199" i="8"/>
  <c r="B1199" i="8" s="1"/>
  <c r="C1204" i="8"/>
  <c r="B1204" i="8" s="1"/>
  <c r="C1209" i="8"/>
  <c r="C1213" i="8"/>
  <c r="C1218" i="8"/>
  <c r="B1218" i="8" s="1"/>
  <c r="C1224" i="8"/>
  <c r="B1224" i="8" s="1"/>
  <c r="C1237" i="8"/>
  <c r="C1250" i="8"/>
  <c r="B1250" i="8" s="1"/>
  <c r="C1251" i="8"/>
  <c r="C1263" i="8"/>
  <c r="C1269" i="8"/>
  <c r="C1278" i="8"/>
  <c r="B1278" i="8" s="1"/>
  <c r="C1283" i="8"/>
  <c r="B1283" i="8" s="1"/>
  <c r="C1284" i="8"/>
  <c r="B1284" i="8" s="1"/>
  <c r="C1290" i="8"/>
  <c r="B1290" i="8" s="1"/>
  <c r="C1297" i="8"/>
  <c r="C1299" i="8"/>
  <c r="C1301" i="8"/>
  <c r="B1301" i="8" s="1"/>
  <c r="C1316" i="8"/>
  <c r="B1316" i="8" s="1"/>
  <c r="C1317" i="8"/>
  <c r="C1325" i="8"/>
  <c r="B1325" i="8" s="1"/>
  <c r="C1326" i="8"/>
  <c r="B1326" i="8" s="1"/>
  <c r="C1330" i="8"/>
  <c r="B1330" i="8" s="1"/>
  <c r="C1331" i="8"/>
  <c r="B1331" i="8" s="1"/>
  <c r="C1332" i="8"/>
  <c r="B1332" i="8" s="1"/>
  <c r="C1335" i="8"/>
  <c r="C1341" i="8"/>
  <c r="C1344" i="8"/>
  <c r="B1344" i="8" s="1"/>
  <c r="C1348" i="8"/>
  <c r="B1348" i="8" s="1"/>
  <c r="C1352" i="8"/>
  <c r="B1352" i="8" s="1"/>
  <c r="C1357" i="8"/>
  <c r="C1361" i="8"/>
  <c r="B1361" i="8" s="1"/>
  <c r="C1362" i="8"/>
  <c r="B1362" i="8" s="1"/>
  <c r="C1365" i="8"/>
  <c r="C1368" i="8"/>
  <c r="B1368" i="8" s="1"/>
  <c r="C1371" i="8"/>
  <c r="C1377" i="8"/>
  <c r="C1384" i="8"/>
  <c r="B1384" i="8" s="1"/>
  <c r="C1385" i="8"/>
  <c r="B1385" i="8" s="1"/>
  <c r="C1386" i="8"/>
  <c r="B1386" i="8" s="1"/>
  <c r="C1387" i="8"/>
  <c r="C1390" i="8"/>
  <c r="B1390" i="8" s="1"/>
  <c r="C1391" i="8"/>
  <c r="B1391" i="8" s="1"/>
  <c r="C1395" i="8"/>
  <c r="C1398" i="8"/>
  <c r="B1398" i="8" s="1"/>
  <c r="C1401" i="8"/>
  <c r="C1407" i="8"/>
  <c r="C1420" i="8"/>
  <c r="B1420" i="8" s="1"/>
  <c r="C1421" i="8"/>
  <c r="B1421" i="8" s="1"/>
  <c r="C1424" i="8"/>
  <c r="B1424" i="8" s="1"/>
  <c r="C1425" i="8"/>
  <c r="C1430" i="8"/>
  <c r="B1430" i="8" s="1"/>
  <c r="C1436" i="8"/>
  <c r="B1436" i="8" s="1"/>
  <c r="C1437" i="8"/>
  <c r="C1441" i="8"/>
  <c r="C1444" i="8"/>
  <c r="B1444" i="8" s="1"/>
  <c r="C1445" i="8"/>
  <c r="B1445" i="8" s="1"/>
  <c r="C1447" i="8"/>
  <c r="C1452" i="8"/>
  <c r="B1452" i="8" s="1"/>
  <c r="C1453" i="8"/>
  <c r="C1457" i="8"/>
  <c r="B1457" i="8" s="1"/>
  <c r="C1458" i="8"/>
  <c r="B1458" i="8" s="1"/>
  <c r="C1462" i="8"/>
  <c r="B1462" i="8" s="1"/>
  <c r="C1464" i="8"/>
  <c r="B1464" i="8" s="1"/>
  <c r="C1465" i="8"/>
  <c r="B1465" i="8" s="1"/>
  <c r="C1466" i="8"/>
  <c r="B1466" i="8" s="1"/>
  <c r="C1467" i="8"/>
  <c r="C1472" i="8"/>
  <c r="B1472" i="8" s="1"/>
  <c r="C1474" i="8"/>
  <c r="B1474" i="8" s="1"/>
  <c r="C1475" i="8"/>
  <c r="B1475" i="8" s="1"/>
  <c r="C1476" i="8"/>
  <c r="B1476" i="8" s="1"/>
  <c r="C1480" i="8"/>
  <c r="B1480" i="8" s="1"/>
  <c r="C1481" i="8"/>
  <c r="B1481" i="8" s="1"/>
  <c r="C1500" i="8"/>
  <c r="B1500" i="8" s="1"/>
  <c r="C1505" i="8"/>
  <c r="B1505" i="8" s="1"/>
  <c r="C1508" i="8"/>
  <c r="B1508" i="8" s="1"/>
  <c r="C1509" i="8"/>
  <c r="C1512" i="8"/>
  <c r="B1512" i="8" s="1"/>
  <c r="C1520" i="8"/>
  <c r="B1520" i="8" s="1"/>
  <c r="C1525" i="8"/>
  <c r="B1525" i="8" s="1"/>
  <c r="C1526" i="8"/>
  <c r="B1526" i="8" s="1"/>
  <c r="C1527" i="8"/>
  <c r="C1533" i="8"/>
  <c r="B1533" i="8" s="1"/>
  <c r="C1539" i="8"/>
  <c r="B1539" i="8" s="1"/>
  <c r="C1540" i="8"/>
  <c r="B1540" i="8" s="1"/>
  <c r="C1548" i="8"/>
  <c r="B1548" i="8" s="1"/>
  <c r="C1549" i="8"/>
  <c r="B1549" i="8" s="1"/>
  <c r="C1557" i="8"/>
  <c r="B1557" i="8" s="1"/>
  <c r="C1563" i="8"/>
  <c r="B1563" i="8" s="1"/>
  <c r="C1564" i="8"/>
  <c r="B1564" i="8" s="1"/>
  <c r="C1585" i="8"/>
  <c r="B1585" i="8" s="1"/>
  <c r="C1589" i="8"/>
  <c r="B1589" i="8" s="1"/>
  <c r="C1592" i="8"/>
  <c r="B1592" i="8" s="1"/>
  <c r="C1601" i="8"/>
  <c r="B1601" i="8" s="1"/>
  <c r="C1606" i="8"/>
  <c r="B1606" i="8" s="1"/>
  <c r="C1612" i="8"/>
  <c r="B1612" i="8" s="1"/>
  <c r="C1618" i="8"/>
  <c r="B1618" i="8" s="1"/>
  <c r="C1623" i="8"/>
  <c r="B1623" i="8" s="1"/>
  <c r="C1624" i="8"/>
  <c r="B1624" i="8" s="1"/>
  <c r="S2" i="8"/>
  <c r="S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156" i="8"/>
  <c r="S157" i="8"/>
  <c r="S158" i="8"/>
  <c r="S159" i="8"/>
  <c r="S160" i="8"/>
  <c r="S161" i="8"/>
  <c r="S162" i="8"/>
  <c r="S163" i="8"/>
  <c r="S164" i="8"/>
  <c r="S165" i="8"/>
  <c r="S166" i="8"/>
  <c r="S167" i="8"/>
  <c r="S168" i="8"/>
  <c r="S169" i="8"/>
  <c r="S170" i="8"/>
  <c r="S171" i="8"/>
  <c r="S172" i="8"/>
  <c r="S173" i="8"/>
  <c r="S174" i="8"/>
  <c r="S175" i="8"/>
  <c r="S176" i="8"/>
  <c r="S177" i="8"/>
  <c r="S178" i="8"/>
  <c r="S179" i="8"/>
  <c r="S180" i="8"/>
  <c r="S181" i="8"/>
  <c r="S182" i="8"/>
  <c r="S183" i="8"/>
  <c r="S184" i="8"/>
  <c r="S185" i="8"/>
  <c r="S186" i="8"/>
  <c r="S187" i="8"/>
  <c r="S188" i="8"/>
  <c r="S189" i="8"/>
  <c r="S190" i="8"/>
  <c r="S191" i="8"/>
  <c r="S192" i="8"/>
  <c r="S193" i="8"/>
  <c r="S194" i="8"/>
  <c r="S195" i="8"/>
  <c r="S196" i="8"/>
  <c r="S197" i="8"/>
  <c r="S198" i="8"/>
  <c r="S199" i="8"/>
  <c r="S200" i="8"/>
  <c r="S201" i="8"/>
  <c r="S202" i="8"/>
  <c r="S203" i="8"/>
  <c r="S204" i="8"/>
  <c r="S205" i="8"/>
  <c r="S206" i="8"/>
  <c r="S207" i="8"/>
  <c r="S208" i="8"/>
  <c r="S209" i="8"/>
  <c r="S210" i="8"/>
  <c r="S211" i="8"/>
  <c r="S212" i="8"/>
  <c r="S213" i="8"/>
  <c r="S214" i="8"/>
  <c r="S215" i="8"/>
  <c r="S216" i="8"/>
  <c r="S217" i="8"/>
  <c r="S218" i="8"/>
  <c r="S219" i="8"/>
  <c r="S220" i="8"/>
  <c r="S221" i="8"/>
  <c r="S222" i="8"/>
  <c r="S223" i="8"/>
  <c r="S224" i="8"/>
  <c r="S225" i="8"/>
  <c r="S226" i="8"/>
  <c r="S227" i="8"/>
  <c r="S228" i="8"/>
  <c r="S229" i="8"/>
  <c r="S230" i="8"/>
  <c r="S231" i="8"/>
  <c r="S232" i="8"/>
  <c r="S233" i="8"/>
  <c r="S234" i="8"/>
  <c r="S235" i="8"/>
  <c r="S236" i="8"/>
  <c r="S237" i="8"/>
  <c r="S238" i="8"/>
  <c r="S239" i="8"/>
  <c r="S240" i="8"/>
  <c r="S241" i="8"/>
  <c r="S242" i="8"/>
  <c r="S243" i="8"/>
  <c r="S244" i="8"/>
  <c r="S245" i="8"/>
  <c r="S246" i="8"/>
  <c r="S247" i="8"/>
  <c r="S248" i="8"/>
  <c r="S249" i="8"/>
  <c r="S250" i="8"/>
  <c r="S251" i="8"/>
  <c r="S252" i="8"/>
  <c r="S253" i="8"/>
  <c r="S254" i="8"/>
  <c r="S255" i="8"/>
  <c r="S256" i="8"/>
  <c r="S257" i="8"/>
  <c r="S258" i="8"/>
  <c r="S259" i="8"/>
  <c r="S260" i="8"/>
  <c r="S261" i="8"/>
  <c r="S262" i="8"/>
  <c r="S263" i="8"/>
  <c r="S264" i="8"/>
  <c r="S265" i="8"/>
  <c r="S266" i="8"/>
  <c r="S267" i="8"/>
  <c r="S268" i="8"/>
  <c r="S269" i="8"/>
  <c r="S270" i="8"/>
  <c r="S271" i="8"/>
  <c r="S272" i="8"/>
  <c r="S273" i="8"/>
  <c r="S274" i="8"/>
  <c r="S275" i="8"/>
  <c r="S276" i="8"/>
  <c r="S277" i="8"/>
  <c r="S278" i="8"/>
  <c r="S279" i="8"/>
  <c r="S280" i="8"/>
  <c r="S281" i="8"/>
  <c r="S282" i="8"/>
  <c r="S283" i="8"/>
  <c r="S284" i="8"/>
  <c r="S285" i="8"/>
  <c r="S286" i="8"/>
  <c r="S287" i="8"/>
  <c r="S288" i="8"/>
  <c r="S289" i="8"/>
  <c r="S290" i="8"/>
  <c r="S291" i="8"/>
  <c r="S292" i="8"/>
  <c r="S293" i="8"/>
  <c r="S294" i="8"/>
  <c r="S295" i="8"/>
  <c r="S296" i="8"/>
  <c r="S297" i="8"/>
  <c r="S298" i="8"/>
  <c r="S299" i="8"/>
  <c r="S300" i="8"/>
  <c r="S301" i="8"/>
  <c r="S302" i="8"/>
  <c r="S303" i="8"/>
  <c r="S304" i="8"/>
  <c r="S305" i="8"/>
  <c r="S306" i="8"/>
  <c r="S307" i="8"/>
  <c r="S308" i="8"/>
  <c r="S309" i="8"/>
  <c r="S310" i="8"/>
  <c r="S311" i="8"/>
  <c r="S312" i="8"/>
  <c r="S313" i="8"/>
  <c r="S314" i="8"/>
  <c r="S315" i="8"/>
  <c r="S316" i="8"/>
  <c r="S317" i="8"/>
  <c r="S318" i="8"/>
  <c r="S319" i="8"/>
  <c r="S320" i="8"/>
  <c r="S321" i="8"/>
  <c r="S322" i="8"/>
  <c r="S323" i="8"/>
  <c r="S324" i="8"/>
  <c r="S325" i="8"/>
  <c r="S326" i="8"/>
  <c r="S327" i="8"/>
  <c r="S328" i="8"/>
  <c r="S329" i="8"/>
  <c r="S330" i="8"/>
  <c r="S331" i="8"/>
  <c r="S332" i="8"/>
  <c r="S333" i="8"/>
  <c r="S334" i="8"/>
  <c r="S335" i="8"/>
  <c r="S336" i="8"/>
  <c r="S337" i="8"/>
  <c r="S338" i="8"/>
  <c r="S339" i="8"/>
  <c r="S340" i="8"/>
  <c r="S341" i="8"/>
  <c r="S342" i="8"/>
  <c r="S343" i="8"/>
  <c r="S344" i="8"/>
  <c r="S345" i="8"/>
  <c r="S346" i="8"/>
  <c r="S347" i="8"/>
  <c r="S348" i="8"/>
  <c r="S349" i="8"/>
  <c r="S350" i="8"/>
  <c r="S351" i="8"/>
  <c r="S352" i="8"/>
  <c r="S353" i="8"/>
  <c r="S354" i="8"/>
  <c r="S355" i="8"/>
  <c r="S356" i="8"/>
  <c r="S357" i="8"/>
  <c r="S358" i="8"/>
  <c r="S359" i="8"/>
  <c r="S360" i="8"/>
  <c r="S361" i="8"/>
  <c r="S362" i="8"/>
  <c r="S363" i="8"/>
  <c r="S364" i="8"/>
  <c r="S365" i="8"/>
  <c r="S366" i="8"/>
  <c r="S367" i="8"/>
  <c r="S368" i="8"/>
  <c r="S369" i="8"/>
  <c r="S370" i="8"/>
  <c r="S371" i="8"/>
  <c r="S372" i="8"/>
  <c r="S373" i="8"/>
  <c r="S374" i="8"/>
  <c r="S375" i="8"/>
  <c r="S376" i="8"/>
  <c r="S377" i="8"/>
  <c r="S378" i="8"/>
  <c r="S379" i="8"/>
  <c r="S380" i="8"/>
  <c r="S381" i="8"/>
  <c r="S382" i="8"/>
  <c r="S383" i="8"/>
  <c r="S384" i="8"/>
  <c r="S385" i="8"/>
  <c r="S386" i="8"/>
  <c r="S387" i="8"/>
  <c r="S388" i="8"/>
  <c r="S389" i="8"/>
  <c r="S390" i="8"/>
  <c r="S391" i="8"/>
  <c r="S392" i="8"/>
  <c r="S393" i="8"/>
  <c r="S394" i="8"/>
  <c r="S395" i="8"/>
  <c r="S396" i="8"/>
  <c r="S397" i="8"/>
  <c r="S398" i="8"/>
  <c r="S399" i="8"/>
  <c r="S400" i="8"/>
  <c r="S401" i="8"/>
  <c r="S402" i="8"/>
  <c r="S403" i="8"/>
  <c r="S404" i="8"/>
  <c r="S405" i="8"/>
  <c r="S406" i="8"/>
  <c r="S407" i="8"/>
  <c r="S408" i="8"/>
  <c r="S409" i="8"/>
  <c r="S410" i="8"/>
  <c r="S411" i="8"/>
  <c r="S412" i="8"/>
  <c r="S413" i="8"/>
  <c r="S414" i="8"/>
  <c r="S415" i="8"/>
  <c r="S416" i="8"/>
  <c r="S417" i="8"/>
  <c r="S418" i="8"/>
  <c r="S419" i="8"/>
  <c r="S420" i="8"/>
  <c r="S421" i="8"/>
  <c r="S422" i="8"/>
  <c r="S423" i="8"/>
  <c r="S424" i="8"/>
  <c r="S425" i="8"/>
  <c r="S426" i="8"/>
  <c r="S427" i="8"/>
  <c r="S428" i="8"/>
  <c r="S429" i="8"/>
  <c r="S430" i="8"/>
  <c r="S431" i="8"/>
  <c r="S432" i="8"/>
  <c r="S433" i="8"/>
  <c r="S434" i="8"/>
  <c r="S435" i="8"/>
  <c r="S436" i="8"/>
  <c r="S437" i="8"/>
  <c r="S438" i="8"/>
  <c r="S439" i="8"/>
  <c r="S440" i="8"/>
  <c r="S441" i="8"/>
  <c r="S442" i="8"/>
  <c r="S443" i="8"/>
  <c r="S444" i="8"/>
  <c r="S445" i="8"/>
  <c r="S446" i="8"/>
  <c r="S447" i="8"/>
  <c r="S448" i="8"/>
  <c r="S449" i="8"/>
  <c r="S450" i="8"/>
  <c r="S451" i="8"/>
  <c r="S452" i="8"/>
  <c r="S453" i="8"/>
  <c r="S454" i="8"/>
  <c r="S455" i="8"/>
  <c r="S456" i="8"/>
  <c r="S457" i="8"/>
  <c r="S458" i="8"/>
  <c r="S459" i="8"/>
  <c r="S460" i="8"/>
  <c r="S461" i="8"/>
  <c r="S462" i="8"/>
  <c r="S463" i="8"/>
  <c r="S464" i="8"/>
  <c r="S465" i="8"/>
  <c r="S466" i="8"/>
  <c r="S467" i="8"/>
  <c r="S468" i="8"/>
  <c r="S469" i="8"/>
  <c r="S470" i="8"/>
  <c r="S471" i="8"/>
  <c r="S472" i="8"/>
  <c r="S473" i="8"/>
  <c r="S474" i="8"/>
  <c r="S475" i="8"/>
  <c r="S476" i="8"/>
  <c r="S477" i="8"/>
  <c r="S478" i="8"/>
  <c r="S479" i="8"/>
  <c r="S480" i="8"/>
  <c r="S481" i="8"/>
  <c r="S482" i="8"/>
  <c r="S483" i="8"/>
  <c r="S484" i="8"/>
  <c r="S485" i="8"/>
  <c r="S486" i="8"/>
  <c r="S487" i="8"/>
  <c r="S488" i="8"/>
  <c r="S489" i="8"/>
  <c r="S490" i="8"/>
  <c r="S491" i="8"/>
  <c r="S492" i="8"/>
  <c r="S493" i="8"/>
  <c r="S494" i="8"/>
  <c r="S495" i="8"/>
  <c r="S496" i="8"/>
  <c r="S497" i="8"/>
  <c r="S498" i="8"/>
  <c r="S499" i="8"/>
  <c r="S500" i="8"/>
  <c r="S501" i="8"/>
  <c r="S502" i="8"/>
  <c r="S503" i="8"/>
  <c r="S504" i="8"/>
  <c r="S505" i="8"/>
  <c r="S506" i="8"/>
  <c r="S507" i="8"/>
  <c r="S508" i="8"/>
  <c r="S509" i="8"/>
  <c r="S510" i="8"/>
  <c r="S511" i="8"/>
  <c r="S512" i="8"/>
  <c r="S513" i="8"/>
  <c r="S514" i="8"/>
  <c r="S515" i="8"/>
  <c r="S516" i="8"/>
  <c r="S517" i="8"/>
  <c r="S518" i="8"/>
  <c r="S519" i="8"/>
  <c r="S520" i="8"/>
  <c r="S521" i="8"/>
  <c r="S522" i="8"/>
  <c r="S523" i="8"/>
  <c r="S524" i="8"/>
  <c r="S525" i="8"/>
  <c r="S526" i="8"/>
  <c r="S527" i="8"/>
  <c r="S528" i="8"/>
  <c r="S529" i="8"/>
  <c r="S530" i="8"/>
  <c r="S531" i="8"/>
  <c r="S532" i="8"/>
  <c r="S533" i="8"/>
  <c r="S534" i="8"/>
  <c r="S535" i="8"/>
  <c r="S536" i="8"/>
  <c r="S537" i="8"/>
  <c r="S538" i="8"/>
  <c r="S539" i="8"/>
  <c r="S540" i="8"/>
  <c r="S541" i="8"/>
  <c r="S542" i="8"/>
  <c r="S543" i="8"/>
  <c r="S544" i="8"/>
  <c r="S545" i="8"/>
  <c r="S546" i="8"/>
  <c r="S547" i="8"/>
  <c r="S548" i="8"/>
  <c r="S549" i="8"/>
  <c r="S550" i="8"/>
  <c r="S551" i="8"/>
  <c r="S552" i="8"/>
  <c r="S553" i="8"/>
  <c r="S554" i="8"/>
  <c r="S555" i="8"/>
  <c r="S556" i="8"/>
  <c r="S557" i="8"/>
  <c r="S558" i="8"/>
  <c r="S559" i="8"/>
  <c r="S560" i="8"/>
  <c r="S561" i="8"/>
  <c r="S562" i="8"/>
  <c r="S563" i="8"/>
  <c r="S564" i="8"/>
  <c r="S565" i="8"/>
  <c r="S566" i="8"/>
  <c r="S567" i="8"/>
  <c r="S568" i="8"/>
  <c r="S569" i="8"/>
  <c r="S570" i="8"/>
  <c r="S571" i="8"/>
  <c r="S572" i="8"/>
  <c r="S573" i="8"/>
  <c r="S574" i="8"/>
  <c r="S575" i="8"/>
  <c r="S576" i="8"/>
  <c r="S577" i="8"/>
  <c r="S578" i="8"/>
  <c r="S579" i="8"/>
  <c r="S580" i="8"/>
  <c r="S581" i="8"/>
  <c r="S582" i="8"/>
  <c r="S583" i="8"/>
  <c r="S584" i="8"/>
  <c r="S585" i="8"/>
  <c r="S586" i="8"/>
  <c r="S587" i="8"/>
  <c r="S588" i="8"/>
  <c r="S589" i="8"/>
  <c r="S590" i="8"/>
  <c r="S591" i="8"/>
  <c r="S592" i="8"/>
  <c r="S593" i="8"/>
  <c r="S594" i="8"/>
  <c r="S595" i="8"/>
  <c r="S596" i="8"/>
  <c r="S597" i="8"/>
  <c r="S598" i="8"/>
  <c r="S599" i="8"/>
  <c r="S600" i="8"/>
  <c r="S601" i="8"/>
  <c r="S602" i="8"/>
  <c r="S603" i="8"/>
  <c r="S604" i="8"/>
  <c r="S605" i="8"/>
  <c r="S606" i="8"/>
  <c r="S607" i="8"/>
  <c r="S608" i="8"/>
  <c r="S609" i="8"/>
  <c r="S610" i="8"/>
  <c r="S611" i="8"/>
  <c r="S612" i="8"/>
  <c r="S613" i="8"/>
  <c r="S614" i="8"/>
  <c r="S615" i="8"/>
  <c r="S616" i="8"/>
  <c r="S617" i="8"/>
  <c r="S618" i="8"/>
  <c r="S619" i="8"/>
  <c r="S620" i="8"/>
  <c r="S621" i="8"/>
  <c r="S622" i="8"/>
  <c r="S623" i="8"/>
  <c r="S624" i="8"/>
  <c r="S625" i="8"/>
  <c r="S626" i="8"/>
  <c r="S627" i="8"/>
  <c r="S628" i="8"/>
  <c r="S629" i="8"/>
  <c r="S630" i="8"/>
  <c r="S631" i="8"/>
  <c r="S632" i="8"/>
  <c r="S633" i="8"/>
  <c r="S634" i="8"/>
  <c r="S635" i="8"/>
  <c r="S636" i="8"/>
  <c r="S637" i="8"/>
  <c r="S638" i="8"/>
  <c r="S639" i="8"/>
  <c r="S640" i="8"/>
  <c r="S641" i="8"/>
  <c r="S642" i="8"/>
  <c r="S643" i="8"/>
  <c r="S644" i="8"/>
  <c r="S645" i="8"/>
  <c r="S646" i="8"/>
  <c r="S647" i="8"/>
  <c r="S648" i="8"/>
  <c r="S649" i="8"/>
  <c r="S650" i="8"/>
  <c r="S651" i="8"/>
  <c r="S652" i="8"/>
  <c r="S653" i="8"/>
  <c r="S654" i="8"/>
  <c r="S655" i="8"/>
  <c r="S656" i="8"/>
  <c r="S657" i="8"/>
  <c r="S658" i="8"/>
  <c r="S659" i="8"/>
  <c r="S660" i="8"/>
  <c r="S661" i="8"/>
  <c r="S662" i="8"/>
  <c r="S663" i="8"/>
  <c r="S664" i="8"/>
  <c r="S665" i="8"/>
  <c r="S666" i="8"/>
  <c r="S667" i="8"/>
  <c r="S668" i="8"/>
  <c r="S669" i="8"/>
  <c r="S670" i="8"/>
  <c r="S671" i="8"/>
  <c r="S672" i="8"/>
  <c r="S673" i="8"/>
  <c r="S674" i="8"/>
  <c r="S675" i="8"/>
  <c r="S676" i="8"/>
  <c r="S677" i="8"/>
  <c r="S678" i="8"/>
  <c r="S679" i="8"/>
  <c r="S680" i="8"/>
  <c r="S681" i="8"/>
  <c r="S682" i="8"/>
  <c r="S683" i="8"/>
  <c r="S684" i="8"/>
  <c r="S685" i="8"/>
  <c r="S686" i="8"/>
  <c r="S687" i="8"/>
  <c r="S688" i="8"/>
  <c r="S689" i="8"/>
  <c r="S690" i="8"/>
  <c r="S691" i="8"/>
  <c r="S692" i="8"/>
  <c r="S693" i="8"/>
  <c r="S694" i="8"/>
  <c r="S695" i="8"/>
  <c r="S696" i="8"/>
  <c r="S697" i="8"/>
  <c r="S698" i="8"/>
  <c r="S699" i="8"/>
  <c r="S700" i="8"/>
  <c r="S701" i="8"/>
  <c r="S702" i="8"/>
  <c r="S703" i="8"/>
  <c r="S704" i="8"/>
  <c r="S705" i="8"/>
  <c r="S706" i="8"/>
  <c r="S707" i="8"/>
  <c r="S708" i="8"/>
  <c r="S709" i="8"/>
  <c r="S710" i="8"/>
  <c r="S711" i="8"/>
  <c r="S712" i="8"/>
  <c r="S713" i="8"/>
  <c r="S714" i="8"/>
  <c r="S715" i="8"/>
  <c r="S716" i="8"/>
  <c r="S717" i="8"/>
  <c r="S718" i="8"/>
  <c r="S719" i="8"/>
  <c r="S720" i="8"/>
  <c r="S721" i="8"/>
  <c r="S722" i="8"/>
  <c r="S723" i="8"/>
  <c r="S724" i="8"/>
  <c r="S725" i="8"/>
  <c r="S726" i="8"/>
  <c r="S727" i="8"/>
  <c r="S728" i="8"/>
  <c r="S729" i="8"/>
  <c r="S730" i="8"/>
  <c r="S731" i="8"/>
  <c r="S732" i="8"/>
  <c r="S733" i="8"/>
  <c r="S734" i="8"/>
  <c r="S735" i="8"/>
  <c r="S736" i="8"/>
  <c r="S737" i="8"/>
  <c r="S738" i="8"/>
  <c r="S739" i="8"/>
  <c r="S740" i="8"/>
  <c r="S741" i="8"/>
  <c r="S742" i="8"/>
  <c r="S743" i="8"/>
  <c r="S744" i="8"/>
  <c r="S745" i="8"/>
  <c r="S746" i="8"/>
  <c r="S747" i="8"/>
  <c r="S748" i="8"/>
  <c r="S749" i="8"/>
  <c r="S750" i="8"/>
  <c r="S751" i="8"/>
  <c r="S752" i="8"/>
  <c r="S753" i="8"/>
  <c r="S754" i="8"/>
  <c r="S755" i="8"/>
  <c r="S756" i="8"/>
  <c r="S757" i="8"/>
  <c r="S758" i="8"/>
  <c r="S759" i="8"/>
  <c r="S760" i="8"/>
  <c r="S761" i="8"/>
  <c r="S762" i="8"/>
  <c r="S763" i="8"/>
  <c r="S764" i="8"/>
  <c r="S765" i="8"/>
  <c r="S766" i="8"/>
  <c r="S767" i="8"/>
  <c r="S768" i="8"/>
  <c r="S769" i="8"/>
  <c r="S770" i="8"/>
  <c r="S771" i="8"/>
  <c r="S772" i="8"/>
  <c r="S773" i="8"/>
  <c r="S774" i="8"/>
  <c r="S775" i="8"/>
  <c r="S776" i="8"/>
  <c r="S777" i="8"/>
  <c r="S778" i="8"/>
  <c r="S779" i="8"/>
  <c r="S780" i="8"/>
  <c r="S781" i="8"/>
  <c r="S782" i="8"/>
  <c r="S783" i="8"/>
  <c r="S784" i="8"/>
  <c r="S785" i="8"/>
  <c r="S786" i="8"/>
  <c r="S787" i="8"/>
  <c r="S788" i="8"/>
  <c r="S789" i="8"/>
  <c r="S790" i="8"/>
  <c r="S791" i="8"/>
  <c r="S792" i="8"/>
  <c r="S793" i="8"/>
  <c r="S794" i="8"/>
  <c r="S795" i="8"/>
  <c r="S796" i="8"/>
  <c r="S797" i="8"/>
  <c r="S798" i="8"/>
  <c r="S799" i="8"/>
  <c r="S800" i="8"/>
  <c r="S801" i="8"/>
  <c r="S802" i="8"/>
  <c r="S803" i="8"/>
  <c r="S804" i="8"/>
  <c r="S805" i="8"/>
  <c r="S806" i="8"/>
  <c r="S807" i="8"/>
  <c r="S808" i="8"/>
  <c r="S809" i="8"/>
  <c r="S810" i="8"/>
  <c r="S811" i="8"/>
  <c r="S812" i="8"/>
  <c r="S813" i="8"/>
  <c r="S814" i="8"/>
  <c r="S815" i="8"/>
  <c r="S816" i="8"/>
  <c r="S817" i="8"/>
  <c r="S818" i="8"/>
  <c r="S819" i="8"/>
  <c r="S820" i="8"/>
  <c r="S821" i="8"/>
  <c r="S822" i="8"/>
  <c r="S823" i="8"/>
  <c r="S824" i="8"/>
  <c r="S825" i="8"/>
  <c r="S826" i="8"/>
  <c r="S827" i="8"/>
  <c r="S828" i="8"/>
  <c r="S829" i="8"/>
  <c r="S830" i="8"/>
  <c r="S831" i="8"/>
  <c r="S832" i="8"/>
  <c r="S833" i="8"/>
  <c r="S834" i="8"/>
  <c r="S835" i="8"/>
  <c r="S836" i="8"/>
  <c r="S837" i="8"/>
  <c r="S838" i="8"/>
  <c r="S839" i="8"/>
  <c r="S840" i="8"/>
  <c r="S841" i="8"/>
  <c r="S842" i="8"/>
  <c r="S843" i="8"/>
  <c r="S844" i="8"/>
  <c r="S845" i="8"/>
  <c r="S846" i="8"/>
  <c r="S847" i="8"/>
  <c r="S848" i="8"/>
  <c r="S849" i="8"/>
  <c r="S850" i="8"/>
  <c r="S851" i="8"/>
  <c r="S852" i="8"/>
  <c r="S853" i="8"/>
  <c r="S854" i="8"/>
  <c r="S855" i="8"/>
  <c r="S856" i="8"/>
  <c r="S857" i="8"/>
  <c r="S858" i="8"/>
  <c r="S859" i="8"/>
  <c r="S860" i="8"/>
  <c r="S861" i="8"/>
  <c r="S862" i="8"/>
  <c r="S863" i="8"/>
  <c r="S864" i="8"/>
  <c r="S865" i="8"/>
  <c r="S866" i="8"/>
  <c r="S867" i="8"/>
  <c r="S868" i="8"/>
  <c r="S869" i="8"/>
  <c r="S870" i="8"/>
  <c r="S871" i="8"/>
  <c r="S872" i="8"/>
  <c r="S873" i="8"/>
  <c r="S874" i="8"/>
  <c r="S875" i="8"/>
  <c r="S876" i="8"/>
  <c r="S877" i="8"/>
  <c r="S878" i="8"/>
  <c r="S879" i="8"/>
  <c r="S880" i="8"/>
  <c r="S881" i="8"/>
  <c r="S882" i="8"/>
  <c r="S883" i="8"/>
  <c r="S884" i="8"/>
  <c r="S885" i="8"/>
  <c r="S886" i="8"/>
  <c r="S887" i="8"/>
  <c r="S888" i="8"/>
  <c r="S889" i="8"/>
  <c r="S890" i="8"/>
  <c r="S891" i="8"/>
  <c r="S892" i="8"/>
  <c r="S893" i="8"/>
  <c r="S894" i="8"/>
  <c r="S895" i="8"/>
  <c r="S896" i="8"/>
  <c r="S897" i="8"/>
  <c r="S898" i="8"/>
  <c r="S899" i="8"/>
  <c r="S900" i="8"/>
  <c r="S901" i="8"/>
  <c r="S902" i="8"/>
  <c r="S903" i="8"/>
  <c r="S904" i="8"/>
  <c r="S905" i="8"/>
  <c r="S906" i="8"/>
  <c r="S907" i="8"/>
  <c r="S908" i="8"/>
  <c r="S909" i="8"/>
  <c r="S910" i="8"/>
  <c r="S911" i="8"/>
  <c r="S912" i="8"/>
  <c r="S913" i="8"/>
  <c r="S914" i="8"/>
  <c r="S915" i="8"/>
  <c r="S916" i="8"/>
  <c r="S917" i="8"/>
  <c r="S918" i="8"/>
  <c r="S919" i="8"/>
  <c r="S920" i="8"/>
  <c r="S921" i="8"/>
  <c r="S922" i="8"/>
  <c r="S923" i="8"/>
  <c r="S924" i="8"/>
  <c r="S925" i="8"/>
  <c r="S926" i="8"/>
  <c r="S927" i="8"/>
  <c r="S928" i="8"/>
  <c r="S929" i="8"/>
  <c r="S930" i="8"/>
  <c r="S931" i="8"/>
  <c r="S932" i="8"/>
  <c r="S933" i="8"/>
  <c r="S934" i="8"/>
  <c r="S935" i="8"/>
  <c r="S936" i="8"/>
  <c r="S937" i="8"/>
  <c r="S938" i="8"/>
  <c r="S939" i="8"/>
  <c r="S940" i="8"/>
  <c r="S941" i="8"/>
  <c r="S942" i="8"/>
  <c r="S943" i="8"/>
  <c r="S944" i="8"/>
  <c r="S945" i="8"/>
  <c r="S946" i="8"/>
  <c r="S947" i="8"/>
  <c r="S948" i="8"/>
  <c r="S949" i="8"/>
  <c r="S950" i="8"/>
  <c r="S951" i="8"/>
  <c r="S952" i="8"/>
  <c r="S953" i="8"/>
  <c r="S954" i="8"/>
  <c r="S955" i="8"/>
  <c r="S956" i="8"/>
  <c r="S957" i="8"/>
  <c r="S958" i="8"/>
  <c r="S959" i="8"/>
  <c r="S960" i="8"/>
  <c r="S961" i="8"/>
  <c r="S962" i="8"/>
  <c r="S963" i="8"/>
  <c r="S964" i="8"/>
  <c r="S965" i="8"/>
  <c r="S966" i="8"/>
  <c r="S967" i="8"/>
  <c r="S968" i="8"/>
  <c r="S969" i="8"/>
  <c r="S970" i="8"/>
  <c r="S971" i="8"/>
  <c r="S972" i="8"/>
  <c r="S973" i="8"/>
  <c r="S974" i="8"/>
  <c r="S975" i="8"/>
  <c r="S976" i="8"/>
  <c r="S977" i="8"/>
  <c r="S978" i="8"/>
  <c r="S979" i="8"/>
  <c r="S980" i="8"/>
  <c r="S981" i="8"/>
  <c r="S982" i="8"/>
  <c r="S983" i="8"/>
  <c r="S984" i="8"/>
  <c r="S985" i="8"/>
  <c r="S986" i="8"/>
  <c r="S987" i="8"/>
  <c r="S988" i="8"/>
  <c r="S989" i="8"/>
  <c r="S990" i="8"/>
  <c r="S991" i="8"/>
  <c r="S992" i="8"/>
  <c r="S993" i="8"/>
  <c r="S994" i="8"/>
  <c r="S995" i="8"/>
  <c r="S996" i="8"/>
  <c r="S997" i="8"/>
  <c r="S998" i="8"/>
  <c r="S999" i="8"/>
  <c r="S1000" i="8"/>
  <c r="S1001" i="8"/>
  <c r="S1002" i="8"/>
  <c r="S1003" i="8"/>
  <c r="S1004" i="8"/>
  <c r="S1005" i="8"/>
  <c r="S1006" i="8"/>
  <c r="S1007" i="8"/>
  <c r="S1008" i="8"/>
  <c r="S1009" i="8"/>
  <c r="S1010" i="8"/>
  <c r="S1011" i="8"/>
  <c r="S1012" i="8"/>
  <c r="S1013" i="8"/>
  <c r="S1014" i="8"/>
  <c r="S1015" i="8"/>
  <c r="S1016" i="8"/>
  <c r="S1017" i="8"/>
  <c r="S1018" i="8"/>
  <c r="S1019" i="8"/>
  <c r="S1020" i="8"/>
  <c r="S1021" i="8"/>
  <c r="S1022" i="8"/>
  <c r="S1023" i="8"/>
  <c r="S1024" i="8"/>
  <c r="S1025" i="8"/>
  <c r="S1026" i="8"/>
  <c r="S1027" i="8"/>
  <c r="S1028" i="8"/>
  <c r="S1029" i="8"/>
  <c r="S1030" i="8"/>
  <c r="S1031" i="8"/>
  <c r="S1032" i="8"/>
  <c r="S1033" i="8"/>
  <c r="S1034" i="8"/>
  <c r="S1035" i="8"/>
  <c r="S1036" i="8"/>
  <c r="S1037" i="8"/>
  <c r="S1038" i="8"/>
  <c r="S1039" i="8"/>
  <c r="S1040" i="8"/>
  <c r="S1041" i="8"/>
  <c r="S1042" i="8"/>
  <c r="S1043" i="8"/>
  <c r="S1044" i="8"/>
  <c r="S1045" i="8"/>
  <c r="S1046" i="8"/>
  <c r="S1047" i="8"/>
  <c r="S1048" i="8"/>
  <c r="S1049" i="8"/>
  <c r="S1050" i="8"/>
  <c r="S1051" i="8"/>
  <c r="S1052" i="8"/>
  <c r="S1053" i="8"/>
  <c r="S1054" i="8"/>
  <c r="S1055" i="8"/>
  <c r="S1056" i="8"/>
  <c r="S1057" i="8"/>
  <c r="S1058" i="8"/>
  <c r="S1059" i="8"/>
  <c r="S1060" i="8"/>
  <c r="S1061" i="8"/>
  <c r="S1062" i="8"/>
  <c r="S1063" i="8"/>
  <c r="S1064" i="8"/>
  <c r="S1065" i="8"/>
  <c r="S1066" i="8"/>
  <c r="S1067" i="8"/>
  <c r="S1068" i="8"/>
  <c r="S1069" i="8"/>
  <c r="S1070" i="8"/>
  <c r="S1071" i="8"/>
  <c r="S1072" i="8"/>
  <c r="S1073" i="8"/>
  <c r="S1074" i="8"/>
  <c r="S1075" i="8"/>
  <c r="S1076" i="8"/>
  <c r="S1077" i="8"/>
  <c r="S1078" i="8"/>
  <c r="S1079" i="8"/>
  <c r="S1080" i="8"/>
  <c r="S1081" i="8"/>
  <c r="S1082" i="8"/>
  <c r="S1083" i="8"/>
  <c r="S1084" i="8"/>
  <c r="S1085" i="8"/>
  <c r="S1086" i="8"/>
  <c r="S1087" i="8"/>
  <c r="S1088" i="8"/>
  <c r="S1089" i="8"/>
  <c r="S1090" i="8"/>
  <c r="S1091" i="8"/>
  <c r="S1092" i="8"/>
  <c r="S1093" i="8"/>
  <c r="S1094" i="8"/>
  <c r="S1095" i="8"/>
  <c r="S1096" i="8"/>
  <c r="S1097" i="8"/>
  <c r="S1098" i="8"/>
  <c r="S1099" i="8"/>
  <c r="S1100" i="8"/>
  <c r="S1101" i="8"/>
  <c r="S1102" i="8"/>
  <c r="S1103" i="8"/>
  <c r="S1104" i="8"/>
  <c r="S1105" i="8"/>
  <c r="S1106" i="8"/>
  <c r="S1107" i="8"/>
  <c r="S1108" i="8"/>
  <c r="S1109" i="8"/>
  <c r="S1110" i="8"/>
  <c r="S1111" i="8"/>
  <c r="S1112" i="8"/>
  <c r="S1113" i="8"/>
  <c r="S1114" i="8"/>
  <c r="S1115" i="8"/>
  <c r="S1116" i="8"/>
  <c r="S1117" i="8"/>
  <c r="S1118" i="8"/>
  <c r="S1119" i="8"/>
  <c r="S1120" i="8"/>
  <c r="S1121" i="8"/>
  <c r="S1122" i="8"/>
  <c r="S1123" i="8"/>
  <c r="S1124" i="8"/>
  <c r="S1125" i="8"/>
  <c r="S1126" i="8"/>
  <c r="S1127" i="8"/>
  <c r="S1128" i="8"/>
  <c r="S1129" i="8"/>
  <c r="S1130" i="8"/>
  <c r="S1131" i="8"/>
  <c r="S1132" i="8"/>
  <c r="S1133" i="8"/>
  <c r="S1134" i="8"/>
  <c r="S1135" i="8"/>
  <c r="S1136" i="8"/>
  <c r="S1137" i="8"/>
  <c r="S1138" i="8"/>
  <c r="S1139" i="8"/>
  <c r="S1140" i="8"/>
  <c r="S1141" i="8"/>
  <c r="S1142" i="8"/>
  <c r="S1143" i="8"/>
  <c r="S1144" i="8"/>
  <c r="S1145" i="8"/>
  <c r="S1146" i="8"/>
  <c r="S1147" i="8"/>
  <c r="S1148" i="8"/>
  <c r="S1149" i="8"/>
  <c r="S1150" i="8"/>
  <c r="S1151" i="8"/>
  <c r="S1152" i="8"/>
  <c r="S1153" i="8"/>
  <c r="S1154" i="8"/>
  <c r="S1155" i="8"/>
  <c r="S1156" i="8"/>
  <c r="S1157" i="8"/>
  <c r="S1158" i="8"/>
  <c r="S1159" i="8"/>
  <c r="S1160" i="8"/>
  <c r="S1161" i="8"/>
  <c r="S1162" i="8"/>
  <c r="S1163" i="8"/>
  <c r="S1164" i="8"/>
  <c r="S1165" i="8"/>
  <c r="S1166" i="8"/>
  <c r="S1167" i="8"/>
  <c r="S1168" i="8"/>
  <c r="S1169" i="8"/>
  <c r="S1170" i="8"/>
  <c r="S1171" i="8"/>
  <c r="S1172" i="8"/>
  <c r="S1173" i="8"/>
  <c r="S1174" i="8"/>
  <c r="S1175" i="8"/>
  <c r="S1176" i="8"/>
  <c r="S1177" i="8"/>
  <c r="S1178" i="8"/>
  <c r="S1179" i="8"/>
  <c r="S1180" i="8"/>
  <c r="S1181" i="8"/>
  <c r="S1182" i="8"/>
  <c r="S1183" i="8"/>
  <c r="S1184" i="8"/>
  <c r="S1185" i="8"/>
  <c r="S1186" i="8"/>
  <c r="S1187" i="8"/>
  <c r="S1188" i="8"/>
  <c r="S1189" i="8"/>
  <c r="S1190" i="8"/>
  <c r="S1191" i="8"/>
  <c r="S1192" i="8"/>
  <c r="S1193" i="8"/>
  <c r="S1194" i="8"/>
  <c r="S1195" i="8"/>
  <c r="S1196" i="8"/>
  <c r="S1197" i="8"/>
  <c r="S1198" i="8"/>
  <c r="S1199" i="8"/>
  <c r="S1200" i="8"/>
  <c r="S1201" i="8"/>
  <c r="S1202" i="8"/>
  <c r="S1203" i="8"/>
  <c r="S1204" i="8"/>
  <c r="S1205" i="8"/>
  <c r="S1206" i="8"/>
  <c r="S1207" i="8"/>
  <c r="S1208" i="8"/>
  <c r="S1209" i="8"/>
  <c r="S1210" i="8"/>
  <c r="S1211" i="8"/>
  <c r="S1212" i="8"/>
  <c r="S1213" i="8"/>
  <c r="S1214" i="8"/>
  <c r="S1215" i="8"/>
  <c r="S1216" i="8"/>
  <c r="S1217" i="8"/>
  <c r="S1218" i="8"/>
  <c r="S1219" i="8"/>
  <c r="S1220" i="8"/>
  <c r="S1221" i="8"/>
  <c r="S1222" i="8"/>
  <c r="S1223" i="8"/>
  <c r="S1224" i="8"/>
  <c r="S1225" i="8"/>
  <c r="S1226" i="8"/>
  <c r="S1227" i="8"/>
  <c r="S1228" i="8"/>
  <c r="S1229" i="8"/>
  <c r="S1230" i="8"/>
  <c r="S1231" i="8"/>
  <c r="S1232" i="8"/>
  <c r="S1233" i="8"/>
  <c r="S1234" i="8"/>
  <c r="S1235" i="8"/>
  <c r="S1236" i="8"/>
  <c r="S1237" i="8"/>
  <c r="S1238" i="8"/>
  <c r="S1239" i="8"/>
  <c r="S1240" i="8"/>
  <c r="S1241" i="8"/>
  <c r="S1242" i="8"/>
  <c r="S1243" i="8"/>
  <c r="S1244" i="8"/>
  <c r="S1245" i="8"/>
  <c r="S1246" i="8"/>
  <c r="S1247" i="8"/>
  <c r="S1248" i="8"/>
  <c r="S1249" i="8"/>
  <c r="S1250" i="8"/>
  <c r="S1251" i="8"/>
  <c r="S1252" i="8"/>
  <c r="S1253" i="8"/>
  <c r="S1254" i="8"/>
  <c r="S1255" i="8"/>
  <c r="S1256" i="8"/>
  <c r="S1257" i="8"/>
  <c r="S1258" i="8"/>
  <c r="S1259" i="8"/>
  <c r="S1260" i="8"/>
  <c r="S1261" i="8"/>
  <c r="S1262" i="8"/>
  <c r="S1263" i="8"/>
  <c r="S1264" i="8"/>
  <c r="S1265" i="8"/>
  <c r="S1266" i="8"/>
  <c r="S1267" i="8"/>
  <c r="S1268" i="8"/>
  <c r="S1269" i="8"/>
  <c r="S1270" i="8"/>
  <c r="S1271" i="8"/>
  <c r="S1272" i="8"/>
  <c r="S1273" i="8"/>
  <c r="S1274" i="8"/>
  <c r="S1275" i="8"/>
  <c r="S1276" i="8"/>
  <c r="S1277" i="8"/>
  <c r="S1278" i="8"/>
  <c r="S1279" i="8"/>
  <c r="S1280" i="8"/>
  <c r="S1281" i="8"/>
  <c r="S1282" i="8"/>
  <c r="S1283" i="8"/>
  <c r="S1284" i="8"/>
  <c r="S1285" i="8"/>
  <c r="S1286" i="8"/>
  <c r="S1287" i="8"/>
  <c r="S1288" i="8"/>
  <c r="S1289" i="8"/>
  <c r="S1290" i="8"/>
  <c r="S1291" i="8"/>
  <c r="S1292" i="8"/>
  <c r="S1293" i="8"/>
  <c r="S1294" i="8"/>
  <c r="S1295" i="8"/>
  <c r="S1296" i="8"/>
  <c r="S1297" i="8"/>
  <c r="S1298" i="8"/>
  <c r="S1299" i="8"/>
  <c r="S1300" i="8"/>
  <c r="S1301" i="8"/>
  <c r="S1302" i="8"/>
  <c r="S1303" i="8"/>
  <c r="S1304" i="8"/>
  <c r="S1305" i="8"/>
  <c r="S1306" i="8"/>
  <c r="S1307" i="8"/>
  <c r="S1308" i="8"/>
  <c r="S1309" i="8"/>
  <c r="S1310" i="8"/>
  <c r="S1311" i="8"/>
  <c r="S1312" i="8"/>
  <c r="S1313" i="8"/>
  <c r="S1314" i="8"/>
  <c r="S1315" i="8"/>
  <c r="S1316" i="8"/>
  <c r="S1317" i="8"/>
  <c r="S1318" i="8"/>
  <c r="S1319" i="8"/>
  <c r="S1320" i="8"/>
  <c r="S1321" i="8"/>
  <c r="S1322" i="8"/>
  <c r="S1323" i="8"/>
  <c r="S1324" i="8"/>
  <c r="S1325" i="8"/>
  <c r="S1326" i="8"/>
  <c r="S1327" i="8"/>
  <c r="S1328" i="8"/>
  <c r="S1329" i="8"/>
  <c r="S1330" i="8"/>
  <c r="S1331" i="8"/>
  <c r="S1332" i="8"/>
  <c r="S1333" i="8"/>
  <c r="S1334" i="8"/>
  <c r="S1335" i="8"/>
  <c r="S1336" i="8"/>
  <c r="S1337" i="8"/>
  <c r="S1338" i="8"/>
  <c r="S1339" i="8"/>
  <c r="S1340" i="8"/>
  <c r="S1341" i="8"/>
  <c r="S1342" i="8"/>
  <c r="S1343" i="8"/>
  <c r="S1344" i="8"/>
  <c r="S1345" i="8"/>
  <c r="S1346" i="8"/>
  <c r="S1347" i="8"/>
  <c r="S1348" i="8"/>
  <c r="S1349" i="8"/>
  <c r="S1350" i="8"/>
  <c r="S1351" i="8"/>
  <c r="S1352" i="8"/>
  <c r="S1353" i="8"/>
  <c r="S1354" i="8"/>
  <c r="S1355" i="8"/>
  <c r="S1356" i="8"/>
  <c r="S1357" i="8"/>
  <c r="S1358" i="8"/>
  <c r="S1359" i="8"/>
  <c r="S1360" i="8"/>
  <c r="S1361" i="8"/>
  <c r="S1362" i="8"/>
  <c r="S1363" i="8"/>
  <c r="S1364" i="8"/>
  <c r="S1365" i="8"/>
  <c r="S1366" i="8"/>
  <c r="S1367" i="8"/>
  <c r="S1368" i="8"/>
  <c r="S1369" i="8"/>
  <c r="S1370" i="8"/>
  <c r="S1371" i="8"/>
  <c r="S1372" i="8"/>
  <c r="S1373" i="8"/>
  <c r="S1374" i="8"/>
  <c r="S1375" i="8"/>
  <c r="S1376" i="8"/>
  <c r="S1377" i="8"/>
  <c r="S1378" i="8"/>
  <c r="S1379" i="8"/>
  <c r="S1380" i="8"/>
  <c r="S1381" i="8"/>
  <c r="S1382" i="8"/>
  <c r="S1383" i="8"/>
  <c r="S1384" i="8"/>
  <c r="S1385" i="8"/>
  <c r="S1386" i="8"/>
  <c r="S1387" i="8"/>
  <c r="S1388" i="8"/>
  <c r="S1389" i="8"/>
  <c r="S1390" i="8"/>
  <c r="S1391" i="8"/>
  <c r="S1392" i="8"/>
  <c r="S1393" i="8"/>
  <c r="S1394" i="8"/>
  <c r="S1395" i="8"/>
  <c r="S1396" i="8"/>
  <c r="S1397" i="8"/>
  <c r="S1398" i="8"/>
  <c r="S1399" i="8"/>
  <c r="S1400" i="8"/>
  <c r="S1401" i="8"/>
  <c r="S1402" i="8"/>
  <c r="S1403" i="8"/>
  <c r="S1404" i="8"/>
  <c r="S1405" i="8"/>
  <c r="S1406" i="8"/>
  <c r="S1407" i="8"/>
  <c r="S1408" i="8"/>
  <c r="S1409" i="8"/>
  <c r="S1410" i="8"/>
  <c r="S1411" i="8"/>
  <c r="S1412" i="8"/>
  <c r="S1413" i="8"/>
  <c r="S1414" i="8"/>
  <c r="S1415" i="8"/>
  <c r="S1416" i="8"/>
  <c r="S1417" i="8"/>
  <c r="S1418" i="8"/>
  <c r="S1419" i="8"/>
  <c r="S1420" i="8"/>
  <c r="S1421" i="8"/>
  <c r="S1422" i="8"/>
  <c r="S1423" i="8"/>
  <c r="S1424" i="8"/>
  <c r="S1425" i="8"/>
  <c r="S1426" i="8"/>
  <c r="S1427" i="8"/>
  <c r="S1428" i="8"/>
  <c r="S1429" i="8"/>
  <c r="S1430" i="8"/>
  <c r="S1431" i="8"/>
  <c r="S1432" i="8"/>
  <c r="S1433" i="8"/>
  <c r="S1434" i="8"/>
  <c r="S1435" i="8"/>
  <c r="S1436" i="8"/>
  <c r="S1437" i="8"/>
  <c r="S1438" i="8"/>
  <c r="S1439" i="8"/>
  <c r="S1440" i="8"/>
  <c r="S1441" i="8"/>
  <c r="S1442" i="8"/>
  <c r="S1443" i="8"/>
  <c r="S1444" i="8"/>
  <c r="S1445" i="8"/>
  <c r="S1446" i="8"/>
  <c r="S1447" i="8"/>
  <c r="S1448" i="8"/>
  <c r="S1449" i="8"/>
  <c r="S1450" i="8"/>
  <c r="S1451" i="8"/>
  <c r="S1452" i="8"/>
  <c r="S1453" i="8"/>
  <c r="S1454" i="8"/>
  <c r="S1455" i="8"/>
  <c r="S1456" i="8"/>
  <c r="S1457" i="8"/>
  <c r="S1458" i="8"/>
  <c r="S1459" i="8"/>
  <c r="S1460" i="8"/>
  <c r="S1461" i="8"/>
  <c r="S1462" i="8"/>
  <c r="S1463" i="8"/>
  <c r="S1464" i="8"/>
  <c r="S1465" i="8"/>
  <c r="S1466" i="8"/>
  <c r="S1467" i="8"/>
  <c r="S1468" i="8"/>
  <c r="S1469" i="8"/>
  <c r="S1470" i="8"/>
  <c r="S1471" i="8"/>
  <c r="S1472" i="8"/>
  <c r="S1473" i="8"/>
  <c r="S1474" i="8"/>
  <c r="S1475" i="8"/>
  <c r="S1476" i="8"/>
  <c r="S1477" i="8"/>
  <c r="S1478" i="8"/>
  <c r="S1479" i="8"/>
  <c r="S1480" i="8"/>
  <c r="S1481" i="8"/>
  <c r="S1482" i="8"/>
  <c r="S1483" i="8"/>
  <c r="S1484" i="8"/>
  <c r="S1485" i="8"/>
  <c r="S1486" i="8"/>
  <c r="S1487" i="8"/>
  <c r="S1488" i="8"/>
  <c r="S1489" i="8"/>
  <c r="S1490" i="8"/>
  <c r="S1491" i="8"/>
  <c r="S1492" i="8"/>
  <c r="S1493" i="8"/>
  <c r="S1494" i="8"/>
  <c r="S1495" i="8"/>
  <c r="S1496" i="8"/>
  <c r="S1497" i="8"/>
  <c r="S1498" i="8"/>
  <c r="S1499" i="8"/>
  <c r="S1500" i="8"/>
  <c r="S1501" i="8"/>
  <c r="S1502" i="8"/>
  <c r="S1503" i="8"/>
  <c r="S1504" i="8"/>
  <c r="S1505" i="8"/>
  <c r="S1506" i="8"/>
  <c r="S1507" i="8"/>
  <c r="S1508" i="8"/>
  <c r="S1509" i="8"/>
  <c r="S1510" i="8"/>
  <c r="S1511" i="8"/>
  <c r="S1512" i="8"/>
  <c r="S1513" i="8"/>
  <c r="S1514" i="8"/>
  <c r="S1515" i="8"/>
  <c r="S1516" i="8"/>
  <c r="S1517" i="8"/>
  <c r="S1518" i="8"/>
  <c r="S1519" i="8"/>
  <c r="S1520" i="8"/>
  <c r="S1521" i="8"/>
  <c r="S1522" i="8"/>
  <c r="S1523" i="8"/>
  <c r="S1524" i="8"/>
  <c r="S1525" i="8"/>
  <c r="S1526" i="8"/>
  <c r="S1527" i="8"/>
  <c r="S1528" i="8"/>
  <c r="S1529" i="8"/>
  <c r="S1530" i="8"/>
  <c r="S1531" i="8"/>
  <c r="S1532" i="8"/>
  <c r="S1533" i="8"/>
  <c r="S1534" i="8"/>
  <c r="S1535" i="8"/>
  <c r="S1536" i="8"/>
  <c r="S1537" i="8"/>
  <c r="S1538" i="8"/>
  <c r="S1539" i="8"/>
  <c r="S1540" i="8"/>
  <c r="S1541" i="8"/>
  <c r="S1542" i="8"/>
  <c r="S1543" i="8"/>
  <c r="S1544" i="8"/>
  <c r="S1545" i="8"/>
  <c r="S1546" i="8"/>
  <c r="S1547" i="8"/>
  <c r="S1548" i="8"/>
  <c r="S1549" i="8"/>
  <c r="S1550" i="8"/>
  <c r="S1551" i="8"/>
  <c r="S1552" i="8"/>
  <c r="S1553" i="8"/>
  <c r="S1554" i="8"/>
  <c r="S1555" i="8"/>
  <c r="S1556" i="8"/>
  <c r="S1557" i="8"/>
  <c r="S1558" i="8"/>
  <c r="S1559" i="8"/>
  <c r="S1560" i="8"/>
  <c r="S1561" i="8"/>
  <c r="S1562" i="8"/>
  <c r="S1563" i="8"/>
  <c r="S1564" i="8"/>
  <c r="S1565" i="8"/>
  <c r="S1566" i="8"/>
  <c r="S1567" i="8"/>
  <c r="S1568" i="8"/>
  <c r="S1569" i="8"/>
  <c r="S1570" i="8"/>
  <c r="S1571" i="8"/>
  <c r="S1572" i="8"/>
  <c r="S1573" i="8"/>
  <c r="S1574" i="8"/>
  <c r="S1575" i="8"/>
  <c r="S1576" i="8"/>
  <c r="S1577" i="8"/>
  <c r="S1578" i="8"/>
  <c r="S1579" i="8"/>
  <c r="S1580" i="8"/>
  <c r="S1581" i="8"/>
  <c r="S1582" i="8"/>
  <c r="S1583" i="8"/>
  <c r="S1584" i="8"/>
  <c r="S1585" i="8"/>
  <c r="S1586" i="8"/>
  <c r="S1587" i="8"/>
  <c r="S1588" i="8"/>
  <c r="S1589" i="8"/>
  <c r="S1590" i="8"/>
  <c r="S1591" i="8"/>
  <c r="S1592" i="8"/>
  <c r="S1593" i="8"/>
  <c r="S1594" i="8"/>
  <c r="S1595" i="8"/>
  <c r="S1596" i="8"/>
  <c r="S1597" i="8"/>
  <c r="S1598" i="8"/>
  <c r="S1599" i="8"/>
  <c r="S1600" i="8"/>
  <c r="S1601" i="8"/>
  <c r="S1602" i="8"/>
  <c r="S1603" i="8"/>
  <c r="S1604" i="8"/>
  <c r="S1605" i="8"/>
  <c r="S1606" i="8"/>
  <c r="S1607" i="8"/>
  <c r="S1608" i="8"/>
  <c r="S1609" i="8"/>
  <c r="S1610" i="8"/>
  <c r="S1611" i="8"/>
  <c r="S1612" i="8"/>
  <c r="S1613" i="8"/>
  <c r="S1614" i="8"/>
  <c r="S1615" i="8"/>
  <c r="S1616" i="8"/>
  <c r="S1617" i="8"/>
  <c r="S1618" i="8"/>
  <c r="S1619" i="8"/>
  <c r="S1620" i="8"/>
  <c r="S1621" i="8"/>
  <c r="S1622" i="8"/>
  <c r="S1623" i="8"/>
  <c r="S1624" i="8"/>
  <c r="S1625" i="8"/>
  <c r="S1626" i="8"/>
  <c r="S1627" i="8"/>
  <c r="T2" i="8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156" i="8"/>
  <c r="T157" i="8"/>
  <c r="T158" i="8"/>
  <c r="T159" i="8"/>
  <c r="T160" i="8"/>
  <c r="T161" i="8"/>
  <c r="T162" i="8"/>
  <c r="T163" i="8"/>
  <c r="T164" i="8"/>
  <c r="T165" i="8"/>
  <c r="T166" i="8"/>
  <c r="T167" i="8"/>
  <c r="T168" i="8"/>
  <c r="T169" i="8"/>
  <c r="T170" i="8"/>
  <c r="T171" i="8"/>
  <c r="T172" i="8"/>
  <c r="T173" i="8"/>
  <c r="T174" i="8"/>
  <c r="T175" i="8"/>
  <c r="T176" i="8"/>
  <c r="T177" i="8"/>
  <c r="T178" i="8"/>
  <c r="T179" i="8"/>
  <c r="T180" i="8"/>
  <c r="T181" i="8"/>
  <c r="T182" i="8"/>
  <c r="T183" i="8"/>
  <c r="T184" i="8"/>
  <c r="T185" i="8"/>
  <c r="T186" i="8"/>
  <c r="T187" i="8"/>
  <c r="T188" i="8"/>
  <c r="T189" i="8"/>
  <c r="T190" i="8"/>
  <c r="T191" i="8"/>
  <c r="T192" i="8"/>
  <c r="T193" i="8"/>
  <c r="T194" i="8"/>
  <c r="T195" i="8"/>
  <c r="T196" i="8"/>
  <c r="T197" i="8"/>
  <c r="T198" i="8"/>
  <c r="T199" i="8"/>
  <c r="T200" i="8"/>
  <c r="T201" i="8"/>
  <c r="T202" i="8"/>
  <c r="T203" i="8"/>
  <c r="T204" i="8"/>
  <c r="T205" i="8"/>
  <c r="T206" i="8"/>
  <c r="T207" i="8"/>
  <c r="T208" i="8"/>
  <c r="T209" i="8"/>
  <c r="T210" i="8"/>
  <c r="T211" i="8"/>
  <c r="T212" i="8"/>
  <c r="T213" i="8"/>
  <c r="T214" i="8"/>
  <c r="T215" i="8"/>
  <c r="T216" i="8"/>
  <c r="T217" i="8"/>
  <c r="T218" i="8"/>
  <c r="T219" i="8"/>
  <c r="T220" i="8"/>
  <c r="T221" i="8"/>
  <c r="T222" i="8"/>
  <c r="T223" i="8"/>
  <c r="T224" i="8"/>
  <c r="T225" i="8"/>
  <c r="T226" i="8"/>
  <c r="T227" i="8"/>
  <c r="T228" i="8"/>
  <c r="T229" i="8"/>
  <c r="T230" i="8"/>
  <c r="T231" i="8"/>
  <c r="T232" i="8"/>
  <c r="T233" i="8"/>
  <c r="T234" i="8"/>
  <c r="T235" i="8"/>
  <c r="T236" i="8"/>
  <c r="T237" i="8"/>
  <c r="T238" i="8"/>
  <c r="T239" i="8"/>
  <c r="T240" i="8"/>
  <c r="T241" i="8"/>
  <c r="T242" i="8"/>
  <c r="T243" i="8"/>
  <c r="T244" i="8"/>
  <c r="T245" i="8"/>
  <c r="T246" i="8"/>
  <c r="T247" i="8"/>
  <c r="T248" i="8"/>
  <c r="T249" i="8"/>
  <c r="T250" i="8"/>
  <c r="T251" i="8"/>
  <c r="T252" i="8"/>
  <c r="T253" i="8"/>
  <c r="T254" i="8"/>
  <c r="T255" i="8"/>
  <c r="T256" i="8"/>
  <c r="T257" i="8"/>
  <c r="T258" i="8"/>
  <c r="T259" i="8"/>
  <c r="T260" i="8"/>
  <c r="T261" i="8"/>
  <c r="T262" i="8"/>
  <c r="T263" i="8"/>
  <c r="T264" i="8"/>
  <c r="T265" i="8"/>
  <c r="T266" i="8"/>
  <c r="T267" i="8"/>
  <c r="T268" i="8"/>
  <c r="T269" i="8"/>
  <c r="T270" i="8"/>
  <c r="T271" i="8"/>
  <c r="T272" i="8"/>
  <c r="T273" i="8"/>
  <c r="T274" i="8"/>
  <c r="T275" i="8"/>
  <c r="T276" i="8"/>
  <c r="T277" i="8"/>
  <c r="T278" i="8"/>
  <c r="T279" i="8"/>
  <c r="T280" i="8"/>
  <c r="T281" i="8"/>
  <c r="T282" i="8"/>
  <c r="T283" i="8"/>
  <c r="T284" i="8"/>
  <c r="T285" i="8"/>
  <c r="T286" i="8"/>
  <c r="T287" i="8"/>
  <c r="T288" i="8"/>
  <c r="T289" i="8"/>
  <c r="T290" i="8"/>
  <c r="T291" i="8"/>
  <c r="T292" i="8"/>
  <c r="T293" i="8"/>
  <c r="T294" i="8"/>
  <c r="T295" i="8"/>
  <c r="T296" i="8"/>
  <c r="T297" i="8"/>
  <c r="T298" i="8"/>
  <c r="T299" i="8"/>
  <c r="T300" i="8"/>
  <c r="T301" i="8"/>
  <c r="T302" i="8"/>
  <c r="T303" i="8"/>
  <c r="T304" i="8"/>
  <c r="T305" i="8"/>
  <c r="T306" i="8"/>
  <c r="T307" i="8"/>
  <c r="T308" i="8"/>
  <c r="T309" i="8"/>
  <c r="T310" i="8"/>
  <c r="T311" i="8"/>
  <c r="T312" i="8"/>
  <c r="T313" i="8"/>
  <c r="T314" i="8"/>
  <c r="T315" i="8"/>
  <c r="T316" i="8"/>
  <c r="T317" i="8"/>
  <c r="T318" i="8"/>
  <c r="T319" i="8"/>
  <c r="T320" i="8"/>
  <c r="T321" i="8"/>
  <c r="T322" i="8"/>
  <c r="T323" i="8"/>
  <c r="T324" i="8"/>
  <c r="T325" i="8"/>
  <c r="T326" i="8"/>
  <c r="T327" i="8"/>
  <c r="T328" i="8"/>
  <c r="T329" i="8"/>
  <c r="T330" i="8"/>
  <c r="T331" i="8"/>
  <c r="T332" i="8"/>
  <c r="T333" i="8"/>
  <c r="T334" i="8"/>
  <c r="T335" i="8"/>
  <c r="T336" i="8"/>
  <c r="T337" i="8"/>
  <c r="T338" i="8"/>
  <c r="T339" i="8"/>
  <c r="T340" i="8"/>
  <c r="T341" i="8"/>
  <c r="T342" i="8"/>
  <c r="T343" i="8"/>
  <c r="T344" i="8"/>
  <c r="T345" i="8"/>
  <c r="T346" i="8"/>
  <c r="T347" i="8"/>
  <c r="T348" i="8"/>
  <c r="T349" i="8"/>
  <c r="T350" i="8"/>
  <c r="T351" i="8"/>
  <c r="T352" i="8"/>
  <c r="T353" i="8"/>
  <c r="T354" i="8"/>
  <c r="T355" i="8"/>
  <c r="T356" i="8"/>
  <c r="T357" i="8"/>
  <c r="T358" i="8"/>
  <c r="T359" i="8"/>
  <c r="T360" i="8"/>
  <c r="T361" i="8"/>
  <c r="T362" i="8"/>
  <c r="T363" i="8"/>
  <c r="T364" i="8"/>
  <c r="T365" i="8"/>
  <c r="T366" i="8"/>
  <c r="T367" i="8"/>
  <c r="T368" i="8"/>
  <c r="T369" i="8"/>
  <c r="T370" i="8"/>
  <c r="T371" i="8"/>
  <c r="T372" i="8"/>
  <c r="T373" i="8"/>
  <c r="T374" i="8"/>
  <c r="T375" i="8"/>
  <c r="T376" i="8"/>
  <c r="T377" i="8"/>
  <c r="T378" i="8"/>
  <c r="T379" i="8"/>
  <c r="T380" i="8"/>
  <c r="T381" i="8"/>
  <c r="T382" i="8"/>
  <c r="T383" i="8"/>
  <c r="T384" i="8"/>
  <c r="T385" i="8"/>
  <c r="T386" i="8"/>
  <c r="T387" i="8"/>
  <c r="T388" i="8"/>
  <c r="T389" i="8"/>
  <c r="T390" i="8"/>
  <c r="T391" i="8"/>
  <c r="T392" i="8"/>
  <c r="T393" i="8"/>
  <c r="T394" i="8"/>
  <c r="T395" i="8"/>
  <c r="T396" i="8"/>
  <c r="T397" i="8"/>
  <c r="T398" i="8"/>
  <c r="T399" i="8"/>
  <c r="T400" i="8"/>
  <c r="T401" i="8"/>
  <c r="T402" i="8"/>
  <c r="T403" i="8"/>
  <c r="T404" i="8"/>
  <c r="T405" i="8"/>
  <c r="T406" i="8"/>
  <c r="T407" i="8"/>
  <c r="T408" i="8"/>
  <c r="T409" i="8"/>
  <c r="T410" i="8"/>
  <c r="T411" i="8"/>
  <c r="T412" i="8"/>
  <c r="T413" i="8"/>
  <c r="T414" i="8"/>
  <c r="T415" i="8"/>
  <c r="T416" i="8"/>
  <c r="T417" i="8"/>
  <c r="T418" i="8"/>
  <c r="T419" i="8"/>
  <c r="T420" i="8"/>
  <c r="T421" i="8"/>
  <c r="T422" i="8"/>
  <c r="T423" i="8"/>
  <c r="T424" i="8"/>
  <c r="T425" i="8"/>
  <c r="T426" i="8"/>
  <c r="T427" i="8"/>
  <c r="T428" i="8"/>
  <c r="T429" i="8"/>
  <c r="T430" i="8"/>
  <c r="T431" i="8"/>
  <c r="T432" i="8"/>
  <c r="T433" i="8"/>
  <c r="T434" i="8"/>
  <c r="T435" i="8"/>
  <c r="T436" i="8"/>
  <c r="T437" i="8"/>
  <c r="T438" i="8"/>
  <c r="T439" i="8"/>
  <c r="T440" i="8"/>
  <c r="T441" i="8"/>
  <c r="T442" i="8"/>
  <c r="T443" i="8"/>
  <c r="T444" i="8"/>
  <c r="T445" i="8"/>
  <c r="T446" i="8"/>
  <c r="T447" i="8"/>
  <c r="T448" i="8"/>
  <c r="T449" i="8"/>
  <c r="T450" i="8"/>
  <c r="T451" i="8"/>
  <c r="T452" i="8"/>
  <c r="T453" i="8"/>
  <c r="T454" i="8"/>
  <c r="T455" i="8"/>
  <c r="T456" i="8"/>
  <c r="T457" i="8"/>
  <c r="T458" i="8"/>
  <c r="T459" i="8"/>
  <c r="T460" i="8"/>
  <c r="T461" i="8"/>
  <c r="T462" i="8"/>
  <c r="T463" i="8"/>
  <c r="T464" i="8"/>
  <c r="T465" i="8"/>
  <c r="T466" i="8"/>
  <c r="T467" i="8"/>
  <c r="T468" i="8"/>
  <c r="T469" i="8"/>
  <c r="T470" i="8"/>
  <c r="T471" i="8"/>
  <c r="T472" i="8"/>
  <c r="T473" i="8"/>
  <c r="T474" i="8"/>
  <c r="T475" i="8"/>
  <c r="T476" i="8"/>
  <c r="T477" i="8"/>
  <c r="T478" i="8"/>
  <c r="T479" i="8"/>
  <c r="T480" i="8"/>
  <c r="T481" i="8"/>
  <c r="T482" i="8"/>
  <c r="T483" i="8"/>
  <c r="T484" i="8"/>
  <c r="T485" i="8"/>
  <c r="T486" i="8"/>
  <c r="T487" i="8"/>
  <c r="T488" i="8"/>
  <c r="T489" i="8"/>
  <c r="T490" i="8"/>
  <c r="T491" i="8"/>
  <c r="T492" i="8"/>
  <c r="T493" i="8"/>
  <c r="T494" i="8"/>
  <c r="T495" i="8"/>
  <c r="T496" i="8"/>
  <c r="T497" i="8"/>
  <c r="T498" i="8"/>
  <c r="T499" i="8"/>
  <c r="T500" i="8"/>
  <c r="T501" i="8"/>
  <c r="T502" i="8"/>
  <c r="T503" i="8"/>
  <c r="T504" i="8"/>
  <c r="T505" i="8"/>
  <c r="T506" i="8"/>
  <c r="T507" i="8"/>
  <c r="T508" i="8"/>
  <c r="T509" i="8"/>
  <c r="T510" i="8"/>
  <c r="T511" i="8"/>
  <c r="T512" i="8"/>
  <c r="T513" i="8"/>
  <c r="T514" i="8"/>
  <c r="T515" i="8"/>
  <c r="T516" i="8"/>
  <c r="T517" i="8"/>
  <c r="T518" i="8"/>
  <c r="T519" i="8"/>
  <c r="T520" i="8"/>
  <c r="T521" i="8"/>
  <c r="T522" i="8"/>
  <c r="T523" i="8"/>
  <c r="T524" i="8"/>
  <c r="T525" i="8"/>
  <c r="T526" i="8"/>
  <c r="T527" i="8"/>
  <c r="T528" i="8"/>
  <c r="T529" i="8"/>
  <c r="T530" i="8"/>
  <c r="T531" i="8"/>
  <c r="T532" i="8"/>
  <c r="T533" i="8"/>
  <c r="T534" i="8"/>
  <c r="T535" i="8"/>
  <c r="T536" i="8"/>
  <c r="T537" i="8"/>
  <c r="T538" i="8"/>
  <c r="T539" i="8"/>
  <c r="T540" i="8"/>
  <c r="T541" i="8"/>
  <c r="T542" i="8"/>
  <c r="T543" i="8"/>
  <c r="T544" i="8"/>
  <c r="T545" i="8"/>
  <c r="T546" i="8"/>
  <c r="T547" i="8"/>
  <c r="T548" i="8"/>
  <c r="T549" i="8"/>
  <c r="T550" i="8"/>
  <c r="T551" i="8"/>
  <c r="T552" i="8"/>
  <c r="T553" i="8"/>
  <c r="T554" i="8"/>
  <c r="T555" i="8"/>
  <c r="T556" i="8"/>
  <c r="T557" i="8"/>
  <c r="T558" i="8"/>
  <c r="T559" i="8"/>
  <c r="T560" i="8"/>
  <c r="T561" i="8"/>
  <c r="T562" i="8"/>
  <c r="T563" i="8"/>
  <c r="T564" i="8"/>
  <c r="T565" i="8"/>
  <c r="T566" i="8"/>
  <c r="T567" i="8"/>
  <c r="T568" i="8"/>
  <c r="T569" i="8"/>
  <c r="T570" i="8"/>
  <c r="T571" i="8"/>
  <c r="T572" i="8"/>
  <c r="T573" i="8"/>
  <c r="T574" i="8"/>
  <c r="T575" i="8"/>
  <c r="T576" i="8"/>
  <c r="T577" i="8"/>
  <c r="T578" i="8"/>
  <c r="T579" i="8"/>
  <c r="T580" i="8"/>
  <c r="T581" i="8"/>
  <c r="T582" i="8"/>
  <c r="T583" i="8"/>
  <c r="T584" i="8"/>
  <c r="T585" i="8"/>
  <c r="T586" i="8"/>
  <c r="T587" i="8"/>
  <c r="T588" i="8"/>
  <c r="T589" i="8"/>
  <c r="T590" i="8"/>
  <c r="T591" i="8"/>
  <c r="T592" i="8"/>
  <c r="T593" i="8"/>
  <c r="T594" i="8"/>
  <c r="T595" i="8"/>
  <c r="T596" i="8"/>
  <c r="T597" i="8"/>
  <c r="T598" i="8"/>
  <c r="T599" i="8"/>
  <c r="T600" i="8"/>
  <c r="T601" i="8"/>
  <c r="T602" i="8"/>
  <c r="T603" i="8"/>
  <c r="T604" i="8"/>
  <c r="T605" i="8"/>
  <c r="T606" i="8"/>
  <c r="T607" i="8"/>
  <c r="T608" i="8"/>
  <c r="T609" i="8"/>
  <c r="T610" i="8"/>
  <c r="T611" i="8"/>
  <c r="T612" i="8"/>
  <c r="T613" i="8"/>
  <c r="T614" i="8"/>
  <c r="T615" i="8"/>
  <c r="T616" i="8"/>
  <c r="T617" i="8"/>
  <c r="T618" i="8"/>
  <c r="T619" i="8"/>
  <c r="T620" i="8"/>
  <c r="T621" i="8"/>
  <c r="T622" i="8"/>
  <c r="T623" i="8"/>
  <c r="T624" i="8"/>
  <c r="T625" i="8"/>
  <c r="T626" i="8"/>
  <c r="T627" i="8"/>
  <c r="T628" i="8"/>
  <c r="T629" i="8"/>
  <c r="T630" i="8"/>
  <c r="T631" i="8"/>
  <c r="T632" i="8"/>
  <c r="T633" i="8"/>
  <c r="T634" i="8"/>
  <c r="T635" i="8"/>
  <c r="T636" i="8"/>
  <c r="T637" i="8"/>
  <c r="T638" i="8"/>
  <c r="T639" i="8"/>
  <c r="T640" i="8"/>
  <c r="T641" i="8"/>
  <c r="T642" i="8"/>
  <c r="T643" i="8"/>
  <c r="T644" i="8"/>
  <c r="T645" i="8"/>
  <c r="T646" i="8"/>
  <c r="T647" i="8"/>
  <c r="T648" i="8"/>
  <c r="T649" i="8"/>
  <c r="T650" i="8"/>
  <c r="T651" i="8"/>
  <c r="T652" i="8"/>
  <c r="T653" i="8"/>
  <c r="T654" i="8"/>
  <c r="T655" i="8"/>
  <c r="T656" i="8"/>
  <c r="T657" i="8"/>
  <c r="T658" i="8"/>
  <c r="T659" i="8"/>
  <c r="T660" i="8"/>
  <c r="T661" i="8"/>
  <c r="T662" i="8"/>
  <c r="T663" i="8"/>
  <c r="T664" i="8"/>
  <c r="T665" i="8"/>
  <c r="T666" i="8"/>
  <c r="T667" i="8"/>
  <c r="T668" i="8"/>
  <c r="T669" i="8"/>
  <c r="T670" i="8"/>
  <c r="T671" i="8"/>
  <c r="T672" i="8"/>
  <c r="T673" i="8"/>
  <c r="T674" i="8"/>
  <c r="T675" i="8"/>
  <c r="T676" i="8"/>
  <c r="T677" i="8"/>
  <c r="T678" i="8"/>
  <c r="T679" i="8"/>
  <c r="T680" i="8"/>
  <c r="T681" i="8"/>
  <c r="T682" i="8"/>
  <c r="T683" i="8"/>
  <c r="T684" i="8"/>
  <c r="T685" i="8"/>
  <c r="T686" i="8"/>
  <c r="T687" i="8"/>
  <c r="T688" i="8"/>
  <c r="T689" i="8"/>
  <c r="T690" i="8"/>
  <c r="T691" i="8"/>
  <c r="T692" i="8"/>
  <c r="T693" i="8"/>
  <c r="T694" i="8"/>
  <c r="T695" i="8"/>
  <c r="T696" i="8"/>
  <c r="T697" i="8"/>
  <c r="T698" i="8"/>
  <c r="T699" i="8"/>
  <c r="T700" i="8"/>
  <c r="T701" i="8"/>
  <c r="T702" i="8"/>
  <c r="T703" i="8"/>
  <c r="T704" i="8"/>
  <c r="T705" i="8"/>
  <c r="T706" i="8"/>
  <c r="T707" i="8"/>
  <c r="T708" i="8"/>
  <c r="T709" i="8"/>
  <c r="T710" i="8"/>
  <c r="T711" i="8"/>
  <c r="T712" i="8"/>
  <c r="T713" i="8"/>
  <c r="T714" i="8"/>
  <c r="T715" i="8"/>
  <c r="T716" i="8"/>
  <c r="T717" i="8"/>
  <c r="T718" i="8"/>
  <c r="T719" i="8"/>
  <c r="T720" i="8"/>
  <c r="T721" i="8"/>
  <c r="T722" i="8"/>
  <c r="T723" i="8"/>
  <c r="T724" i="8"/>
  <c r="T725" i="8"/>
  <c r="T726" i="8"/>
  <c r="T727" i="8"/>
  <c r="T728" i="8"/>
  <c r="T729" i="8"/>
  <c r="T730" i="8"/>
  <c r="T731" i="8"/>
  <c r="T732" i="8"/>
  <c r="T733" i="8"/>
  <c r="T734" i="8"/>
  <c r="T735" i="8"/>
  <c r="T736" i="8"/>
  <c r="T737" i="8"/>
  <c r="T738" i="8"/>
  <c r="T739" i="8"/>
  <c r="T740" i="8"/>
  <c r="T741" i="8"/>
  <c r="T742" i="8"/>
  <c r="T743" i="8"/>
  <c r="T744" i="8"/>
  <c r="T745" i="8"/>
  <c r="T746" i="8"/>
  <c r="T747" i="8"/>
  <c r="T748" i="8"/>
  <c r="T749" i="8"/>
  <c r="T750" i="8"/>
  <c r="T751" i="8"/>
  <c r="T752" i="8"/>
  <c r="T753" i="8"/>
  <c r="T754" i="8"/>
  <c r="T755" i="8"/>
  <c r="T756" i="8"/>
  <c r="T757" i="8"/>
  <c r="T758" i="8"/>
  <c r="T759" i="8"/>
  <c r="T760" i="8"/>
  <c r="T761" i="8"/>
  <c r="T762" i="8"/>
  <c r="T763" i="8"/>
  <c r="T764" i="8"/>
  <c r="T765" i="8"/>
  <c r="T766" i="8"/>
  <c r="T767" i="8"/>
  <c r="T768" i="8"/>
  <c r="T769" i="8"/>
  <c r="T770" i="8"/>
  <c r="T771" i="8"/>
  <c r="T772" i="8"/>
  <c r="T773" i="8"/>
  <c r="T774" i="8"/>
  <c r="T775" i="8"/>
  <c r="T776" i="8"/>
  <c r="T777" i="8"/>
  <c r="T778" i="8"/>
  <c r="T779" i="8"/>
  <c r="T780" i="8"/>
  <c r="T781" i="8"/>
  <c r="T782" i="8"/>
  <c r="T783" i="8"/>
  <c r="T784" i="8"/>
  <c r="T785" i="8"/>
  <c r="T786" i="8"/>
  <c r="T787" i="8"/>
  <c r="T788" i="8"/>
  <c r="T789" i="8"/>
  <c r="T790" i="8"/>
  <c r="T791" i="8"/>
  <c r="T792" i="8"/>
  <c r="T793" i="8"/>
  <c r="T794" i="8"/>
  <c r="T795" i="8"/>
  <c r="T796" i="8"/>
  <c r="T797" i="8"/>
  <c r="T798" i="8"/>
  <c r="T799" i="8"/>
  <c r="T800" i="8"/>
  <c r="T801" i="8"/>
  <c r="T802" i="8"/>
  <c r="T803" i="8"/>
  <c r="T804" i="8"/>
  <c r="T805" i="8"/>
  <c r="T806" i="8"/>
  <c r="T807" i="8"/>
  <c r="T808" i="8"/>
  <c r="T809" i="8"/>
  <c r="T810" i="8"/>
  <c r="T811" i="8"/>
  <c r="T812" i="8"/>
  <c r="T813" i="8"/>
  <c r="T814" i="8"/>
  <c r="T815" i="8"/>
  <c r="T816" i="8"/>
  <c r="T817" i="8"/>
  <c r="T818" i="8"/>
  <c r="T819" i="8"/>
  <c r="T820" i="8"/>
  <c r="T821" i="8"/>
  <c r="T822" i="8"/>
  <c r="T823" i="8"/>
  <c r="T824" i="8"/>
  <c r="T825" i="8"/>
  <c r="T826" i="8"/>
  <c r="T827" i="8"/>
  <c r="T828" i="8"/>
  <c r="T829" i="8"/>
  <c r="T830" i="8"/>
  <c r="T831" i="8"/>
  <c r="T832" i="8"/>
  <c r="T833" i="8"/>
  <c r="T834" i="8"/>
  <c r="T835" i="8"/>
  <c r="T836" i="8"/>
  <c r="T837" i="8"/>
  <c r="T838" i="8"/>
  <c r="T839" i="8"/>
  <c r="T840" i="8"/>
  <c r="T841" i="8"/>
  <c r="T842" i="8"/>
  <c r="T843" i="8"/>
  <c r="T844" i="8"/>
  <c r="T845" i="8"/>
  <c r="T846" i="8"/>
  <c r="T847" i="8"/>
  <c r="T848" i="8"/>
  <c r="T849" i="8"/>
  <c r="T850" i="8"/>
  <c r="T851" i="8"/>
  <c r="T852" i="8"/>
  <c r="T853" i="8"/>
  <c r="T854" i="8"/>
  <c r="T855" i="8"/>
  <c r="T856" i="8"/>
  <c r="T857" i="8"/>
  <c r="T858" i="8"/>
  <c r="T859" i="8"/>
  <c r="T860" i="8"/>
  <c r="T861" i="8"/>
  <c r="T862" i="8"/>
  <c r="T863" i="8"/>
  <c r="T864" i="8"/>
  <c r="T865" i="8"/>
  <c r="T866" i="8"/>
  <c r="T867" i="8"/>
  <c r="T868" i="8"/>
  <c r="T869" i="8"/>
  <c r="T870" i="8"/>
  <c r="T871" i="8"/>
  <c r="T872" i="8"/>
  <c r="T873" i="8"/>
  <c r="T874" i="8"/>
  <c r="T875" i="8"/>
  <c r="T876" i="8"/>
  <c r="T877" i="8"/>
  <c r="T878" i="8"/>
  <c r="T879" i="8"/>
  <c r="T880" i="8"/>
  <c r="T881" i="8"/>
  <c r="T882" i="8"/>
  <c r="T883" i="8"/>
  <c r="T884" i="8"/>
  <c r="T885" i="8"/>
  <c r="T886" i="8"/>
  <c r="T887" i="8"/>
  <c r="T888" i="8"/>
  <c r="T889" i="8"/>
  <c r="T890" i="8"/>
  <c r="T891" i="8"/>
  <c r="T892" i="8"/>
  <c r="T893" i="8"/>
  <c r="T894" i="8"/>
  <c r="T895" i="8"/>
  <c r="T896" i="8"/>
  <c r="T897" i="8"/>
  <c r="T898" i="8"/>
  <c r="T899" i="8"/>
  <c r="T900" i="8"/>
  <c r="T901" i="8"/>
  <c r="T902" i="8"/>
  <c r="T903" i="8"/>
  <c r="T904" i="8"/>
  <c r="T905" i="8"/>
  <c r="T906" i="8"/>
  <c r="T907" i="8"/>
  <c r="T908" i="8"/>
  <c r="T909" i="8"/>
  <c r="T910" i="8"/>
  <c r="T911" i="8"/>
  <c r="T912" i="8"/>
  <c r="T913" i="8"/>
  <c r="T914" i="8"/>
  <c r="T915" i="8"/>
  <c r="T916" i="8"/>
  <c r="T917" i="8"/>
  <c r="T918" i="8"/>
  <c r="T919" i="8"/>
  <c r="T920" i="8"/>
  <c r="T921" i="8"/>
  <c r="T922" i="8"/>
  <c r="T923" i="8"/>
  <c r="T924" i="8"/>
  <c r="T925" i="8"/>
  <c r="T926" i="8"/>
  <c r="T927" i="8"/>
  <c r="T928" i="8"/>
  <c r="T929" i="8"/>
  <c r="T930" i="8"/>
  <c r="T931" i="8"/>
  <c r="T932" i="8"/>
  <c r="T933" i="8"/>
  <c r="T934" i="8"/>
  <c r="T935" i="8"/>
  <c r="T936" i="8"/>
  <c r="T937" i="8"/>
  <c r="T938" i="8"/>
  <c r="T939" i="8"/>
  <c r="T940" i="8"/>
  <c r="T941" i="8"/>
  <c r="T942" i="8"/>
  <c r="T943" i="8"/>
  <c r="T944" i="8"/>
  <c r="T945" i="8"/>
  <c r="T946" i="8"/>
  <c r="T947" i="8"/>
  <c r="T948" i="8"/>
  <c r="T949" i="8"/>
  <c r="T950" i="8"/>
  <c r="T951" i="8"/>
  <c r="T952" i="8"/>
  <c r="T953" i="8"/>
  <c r="T954" i="8"/>
  <c r="T955" i="8"/>
  <c r="T956" i="8"/>
  <c r="T957" i="8"/>
  <c r="T958" i="8"/>
  <c r="T959" i="8"/>
  <c r="T960" i="8"/>
  <c r="T961" i="8"/>
  <c r="T962" i="8"/>
  <c r="T963" i="8"/>
  <c r="T964" i="8"/>
  <c r="T965" i="8"/>
  <c r="T966" i="8"/>
  <c r="T967" i="8"/>
  <c r="T968" i="8"/>
  <c r="T969" i="8"/>
  <c r="T970" i="8"/>
  <c r="T971" i="8"/>
  <c r="T972" i="8"/>
  <c r="T973" i="8"/>
  <c r="T974" i="8"/>
  <c r="T975" i="8"/>
  <c r="T976" i="8"/>
  <c r="T977" i="8"/>
  <c r="T978" i="8"/>
  <c r="T979" i="8"/>
  <c r="T980" i="8"/>
  <c r="T981" i="8"/>
  <c r="T982" i="8"/>
  <c r="T983" i="8"/>
  <c r="T984" i="8"/>
  <c r="T985" i="8"/>
  <c r="T986" i="8"/>
  <c r="T987" i="8"/>
  <c r="T988" i="8"/>
  <c r="T989" i="8"/>
  <c r="T990" i="8"/>
  <c r="T991" i="8"/>
  <c r="T992" i="8"/>
  <c r="T993" i="8"/>
  <c r="T994" i="8"/>
  <c r="T995" i="8"/>
  <c r="T996" i="8"/>
  <c r="T997" i="8"/>
  <c r="T998" i="8"/>
  <c r="T999" i="8"/>
  <c r="T1000" i="8"/>
  <c r="T1001" i="8"/>
  <c r="T1002" i="8"/>
  <c r="T1003" i="8"/>
  <c r="T1004" i="8"/>
  <c r="T1005" i="8"/>
  <c r="T1006" i="8"/>
  <c r="T1007" i="8"/>
  <c r="T1008" i="8"/>
  <c r="T1009" i="8"/>
  <c r="T1010" i="8"/>
  <c r="T1011" i="8"/>
  <c r="T1012" i="8"/>
  <c r="T1013" i="8"/>
  <c r="T1014" i="8"/>
  <c r="T1015" i="8"/>
  <c r="T1016" i="8"/>
  <c r="T1017" i="8"/>
  <c r="T1018" i="8"/>
  <c r="T1019" i="8"/>
  <c r="T1020" i="8"/>
  <c r="T1021" i="8"/>
  <c r="T1022" i="8"/>
  <c r="T1023" i="8"/>
  <c r="T1024" i="8"/>
  <c r="T1025" i="8"/>
  <c r="T1026" i="8"/>
  <c r="T1027" i="8"/>
  <c r="T1028" i="8"/>
  <c r="T1029" i="8"/>
  <c r="T1030" i="8"/>
  <c r="T1031" i="8"/>
  <c r="T1032" i="8"/>
  <c r="T1033" i="8"/>
  <c r="T1034" i="8"/>
  <c r="T1035" i="8"/>
  <c r="T1036" i="8"/>
  <c r="T1037" i="8"/>
  <c r="T1038" i="8"/>
  <c r="T1039" i="8"/>
  <c r="T1040" i="8"/>
  <c r="T1041" i="8"/>
  <c r="T1042" i="8"/>
  <c r="T1043" i="8"/>
  <c r="T1044" i="8"/>
  <c r="T1045" i="8"/>
  <c r="T1046" i="8"/>
  <c r="T1047" i="8"/>
  <c r="T1048" i="8"/>
  <c r="T1049" i="8"/>
  <c r="T1050" i="8"/>
  <c r="T1051" i="8"/>
  <c r="T1052" i="8"/>
  <c r="T1053" i="8"/>
  <c r="T1054" i="8"/>
  <c r="T1055" i="8"/>
  <c r="T1056" i="8"/>
  <c r="T1057" i="8"/>
  <c r="T1058" i="8"/>
  <c r="T1059" i="8"/>
  <c r="T1060" i="8"/>
  <c r="T1061" i="8"/>
  <c r="T1062" i="8"/>
  <c r="T1063" i="8"/>
  <c r="T1064" i="8"/>
  <c r="T1065" i="8"/>
  <c r="T1066" i="8"/>
  <c r="T1067" i="8"/>
  <c r="T1068" i="8"/>
  <c r="T1069" i="8"/>
  <c r="T1070" i="8"/>
  <c r="T1071" i="8"/>
  <c r="T1072" i="8"/>
  <c r="T1073" i="8"/>
  <c r="T1074" i="8"/>
  <c r="T1075" i="8"/>
  <c r="T1076" i="8"/>
  <c r="T1077" i="8"/>
  <c r="T1078" i="8"/>
  <c r="T1079" i="8"/>
  <c r="T1080" i="8"/>
  <c r="T1081" i="8"/>
  <c r="T1082" i="8"/>
  <c r="T1083" i="8"/>
  <c r="T1084" i="8"/>
  <c r="T1085" i="8"/>
  <c r="T1086" i="8"/>
  <c r="T1087" i="8"/>
  <c r="T1088" i="8"/>
  <c r="T1089" i="8"/>
  <c r="T1090" i="8"/>
  <c r="T1091" i="8"/>
  <c r="T1092" i="8"/>
  <c r="T1093" i="8"/>
  <c r="T1094" i="8"/>
  <c r="T1095" i="8"/>
  <c r="T1096" i="8"/>
  <c r="T1097" i="8"/>
  <c r="T1098" i="8"/>
  <c r="T1099" i="8"/>
  <c r="T1100" i="8"/>
  <c r="T1101" i="8"/>
  <c r="T1102" i="8"/>
  <c r="T1103" i="8"/>
  <c r="T1104" i="8"/>
  <c r="T1105" i="8"/>
  <c r="T1106" i="8"/>
  <c r="T1107" i="8"/>
  <c r="T1108" i="8"/>
  <c r="T1109" i="8"/>
  <c r="T1110" i="8"/>
  <c r="T1111" i="8"/>
  <c r="T1112" i="8"/>
  <c r="T1113" i="8"/>
  <c r="T1114" i="8"/>
  <c r="T1115" i="8"/>
  <c r="T1116" i="8"/>
  <c r="T1117" i="8"/>
  <c r="T1118" i="8"/>
  <c r="T1119" i="8"/>
  <c r="T1120" i="8"/>
  <c r="T1121" i="8"/>
  <c r="T1122" i="8"/>
  <c r="T1123" i="8"/>
  <c r="T1124" i="8"/>
  <c r="T1125" i="8"/>
  <c r="T1126" i="8"/>
  <c r="T1127" i="8"/>
  <c r="T1128" i="8"/>
  <c r="T1129" i="8"/>
  <c r="T1130" i="8"/>
  <c r="T1131" i="8"/>
  <c r="T1132" i="8"/>
  <c r="T1133" i="8"/>
  <c r="T1134" i="8"/>
  <c r="T1135" i="8"/>
  <c r="T1136" i="8"/>
  <c r="T1137" i="8"/>
  <c r="T1138" i="8"/>
  <c r="T1139" i="8"/>
  <c r="T1140" i="8"/>
  <c r="T1141" i="8"/>
  <c r="T1142" i="8"/>
  <c r="T1143" i="8"/>
  <c r="T1144" i="8"/>
  <c r="T1145" i="8"/>
  <c r="T1146" i="8"/>
  <c r="T1147" i="8"/>
  <c r="T1148" i="8"/>
  <c r="T1149" i="8"/>
  <c r="T1150" i="8"/>
  <c r="T1151" i="8"/>
  <c r="T1152" i="8"/>
  <c r="T1153" i="8"/>
  <c r="T1154" i="8"/>
  <c r="T1155" i="8"/>
  <c r="T1156" i="8"/>
  <c r="T1157" i="8"/>
  <c r="T1158" i="8"/>
  <c r="T1159" i="8"/>
  <c r="T1160" i="8"/>
  <c r="T1161" i="8"/>
  <c r="T1162" i="8"/>
  <c r="T1163" i="8"/>
  <c r="T1164" i="8"/>
  <c r="T1165" i="8"/>
  <c r="T1166" i="8"/>
  <c r="T1167" i="8"/>
  <c r="T1168" i="8"/>
  <c r="T1169" i="8"/>
  <c r="T1170" i="8"/>
  <c r="T1171" i="8"/>
  <c r="T1172" i="8"/>
  <c r="T1173" i="8"/>
  <c r="T1174" i="8"/>
  <c r="T1175" i="8"/>
  <c r="T1176" i="8"/>
  <c r="T1177" i="8"/>
  <c r="T1178" i="8"/>
  <c r="T1179" i="8"/>
  <c r="T1180" i="8"/>
  <c r="T1181" i="8"/>
  <c r="T1182" i="8"/>
  <c r="T1183" i="8"/>
  <c r="T1184" i="8"/>
  <c r="T1185" i="8"/>
  <c r="T1186" i="8"/>
  <c r="T1187" i="8"/>
  <c r="T1188" i="8"/>
  <c r="T1189" i="8"/>
  <c r="T1190" i="8"/>
  <c r="T1191" i="8"/>
  <c r="T1192" i="8"/>
  <c r="T1193" i="8"/>
  <c r="T1194" i="8"/>
  <c r="T1195" i="8"/>
  <c r="T1196" i="8"/>
  <c r="T1197" i="8"/>
  <c r="T1198" i="8"/>
  <c r="T1199" i="8"/>
  <c r="T1200" i="8"/>
  <c r="T1201" i="8"/>
  <c r="T1202" i="8"/>
  <c r="T1203" i="8"/>
  <c r="T1204" i="8"/>
  <c r="T1205" i="8"/>
  <c r="T1206" i="8"/>
  <c r="T1207" i="8"/>
  <c r="T1208" i="8"/>
  <c r="T1209" i="8"/>
  <c r="T1210" i="8"/>
  <c r="T1211" i="8"/>
  <c r="T1212" i="8"/>
  <c r="T1213" i="8"/>
  <c r="T1214" i="8"/>
  <c r="T1215" i="8"/>
  <c r="T1216" i="8"/>
  <c r="T1217" i="8"/>
  <c r="T1218" i="8"/>
  <c r="T1219" i="8"/>
  <c r="T1220" i="8"/>
  <c r="T1221" i="8"/>
  <c r="T1222" i="8"/>
  <c r="T1223" i="8"/>
  <c r="T1224" i="8"/>
  <c r="T1225" i="8"/>
  <c r="T1226" i="8"/>
  <c r="T1227" i="8"/>
  <c r="T1228" i="8"/>
  <c r="T1229" i="8"/>
  <c r="T1230" i="8"/>
  <c r="T1231" i="8"/>
  <c r="T1232" i="8"/>
  <c r="T1233" i="8"/>
  <c r="T1234" i="8"/>
  <c r="T1235" i="8"/>
  <c r="T1236" i="8"/>
  <c r="T1237" i="8"/>
  <c r="T1238" i="8"/>
  <c r="T1239" i="8"/>
  <c r="T1240" i="8"/>
  <c r="T1241" i="8"/>
  <c r="T1242" i="8"/>
  <c r="T1243" i="8"/>
  <c r="T1244" i="8"/>
  <c r="T1245" i="8"/>
  <c r="T1246" i="8"/>
  <c r="T1247" i="8"/>
  <c r="T1248" i="8"/>
  <c r="T1249" i="8"/>
  <c r="T1250" i="8"/>
  <c r="T1251" i="8"/>
  <c r="T1252" i="8"/>
  <c r="T1253" i="8"/>
  <c r="T1254" i="8"/>
  <c r="T1255" i="8"/>
  <c r="T1256" i="8"/>
  <c r="T1257" i="8"/>
  <c r="T1258" i="8"/>
  <c r="T1259" i="8"/>
  <c r="T1260" i="8"/>
  <c r="T1261" i="8"/>
  <c r="T1262" i="8"/>
  <c r="T1263" i="8"/>
  <c r="T1264" i="8"/>
  <c r="T1265" i="8"/>
  <c r="T1266" i="8"/>
  <c r="T1267" i="8"/>
  <c r="T1268" i="8"/>
  <c r="T1269" i="8"/>
  <c r="T1270" i="8"/>
  <c r="T1271" i="8"/>
  <c r="T1272" i="8"/>
  <c r="T1273" i="8"/>
  <c r="T1274" i="8"/>
  <c r="T1275" i="8"/>
  <c r="T1276" i="8"/>
  <c r="T1277" i="8"/>
  <c r="T1278" i="8"/>
  <c r="T1279" i="8"/>
  <c r="T1280" i="8"/>
  <c r="T1281" i="8"/>
  <c r="T1282" i="8"/>
  <c r="T1283" i="8"/>
  <c r="T1284" i="8"/>
  <c r="T1285" i="8"/>
  <c r="T1286" i="8"/>
  <c r="T1287" i="8"/>
  <c r="T1288" i="8"/>
  <c r="T1289" i="8"/>
  <c r="T1290" i="8"/>
  <c r="T1291" i="8"/>
  <c r="T1292" i="8"/>
  <c r="T1293" i="8"/>
  <c r="T1294" i="8"/>
  <c r="T1295" i="8"/>
  <c r="T1296" i="8"/>
  <c r="T1297" i="8"/>
  <c r="T1298" i="8"/>
  <c r="T1299" i="8"/>
  <c r="T1300" i="8"/>
  <c r="T1301" i="8"/>
  <c r="T1302" i="8"/>
  <c r="T1303" i="8"/>
  <c r="T1304" i="8"/>
  <c r="T1305" i="8"/>
  <c r="T1306" i="8"/>
  <c r="T1307" i="8"/>
  <c r="T1308" i="8"/>
  <c r="T1309" i="8"/>
  <c r="T1310" i="8"/>
  <c r="T1311" i="8"/>
  <c r="T1312" i="8"/>
  <c r="T1313" i="8"/>
  <c r="T1314" i="8"/>
  <c r="T1315" i="8"/>
  <c r="T1316" i="8"/>
  <c r="T1317" i="8"/>
  <c r="T1318" i="8"/>
  <c r="T1319" i="8"/>
  <c r="T1320" i="8"/>
  <c r="T1321" i="8"/>
  <c r="T1322" i="8"/>
  <c r="T1323" i="8"/>
  <c r="T1324" i="8"/>
  <c r="T1325" i="8"/>
  <c r="T1326" i="8"/>
  <c r="T1327" i="8"/>
  <c r="T1328" i="8"/>
  <c r="T1329" i="8"/>
  <c r="T1330" i="8"/>
  <c r="T1331" i="8"/>
  <c r="T1332" i="8"/>
  <c r="T1333" i="8"/>
  <c r="T1334" i="8"/>
  <c r="T1335" i="8"/>
  <c r="T1336" i="8"/>
  <c r="T1337" i="8"/>
  <c r="T1338" i="8"/>
  <c r="T1339" i="8"/>
  <c r="T1340" i="8"/>
  <c r="T1341" i="8"/>
  <c r="T1342" i="8"/>
  <c r="T1343" i="8"/>
  <c r="T1344" i="8"/>
  <c r="T1345" i="8"/>
  <c r="T1346" i="8"/>
  <c r="T1347" i="8"/>
  <c r="T1348" i="8"/>
  <c r="T1349" i="8"/>
  <c r="T1350" i="8"/>
  <c r="T1351" i="8"/>
  <c r="T1352" i="8"/>
  <c r="T1353" i="8"/>
  <c r="T1354" i="8"/>
  <c r="T1355" i="8"/>
  <c r="T1356" i="8"/>
  <c r="T1357" i="8"/>
  <c r="T1358" i="8"/>
  <c r="T1359" i="8"/>
  <c r="T1360" i="8"/>
  <c r="T1361" i="8"/>
  <c r="T1362" i="8"/>
  <c r="T1363" i="8"/>
  <c r="T1364" i="8"/>
  <c r="T1365" i="8"/>
  <c r="T1366" i="8"/>
  <c r="T1367" i="8"/>
  <c r="T1368" i="8"/>
  <c r="T1369" i="8"/>
  <c r="T1370" i="8"/>
  <c r="T1371" i="8"/>
  <c r="T1372" i="8"/>
  <c r="T1373" i="8"/>
  <c r="T1374" i="8"/>
  <c r="T1375" i="8"/>
  <c r="T1376" i="8"/>
  <c r="T1377" i="8"/>
  <c r="T1378" i="8"/>
  <c r="T1379" i="8"/>
  <c r="T1380" i="8"/>
  <c r="T1381" i="8"/>
  <c r="T1382" i="8"/>
  <c r="T1383" i="8"/>
  <c r="T1384" i="8"/>
  <c r="T1385" i="8"/>
  <c r="T1386" i="8"/>
  <c r="T1387" i="8"/>
  <c r="T1388" i="8"/>
  <c r="T1389" i="8"/>
  <c r="T1390" i="8"/>
  <c r="T1391" i="8"/>
  <c r="T1392" i="8"/>
  <c r="T1393" i="8"/>
  <c r="T1394" i="8"/>
  <c r="T1395" i="8"/>
  <c r="T1396" i="8"/>
  <c r="T1397" i="8"/>
  <c r="T1398" i="8"/>
  <c r="T1399" i="8"/>
  <c r="T1400" i="8"/>
  <c r="T1401" i="8"/>
  <c r="T1402" i="8"/>
  <c r="T1403" i="8"/>
  <c r="T1404" i="8"/>
  <c r="T1405" i="8"/>
  <c r="T1406" i="8"/>
  <c r="T1407" i="8"/>
  <c r="T1408" i="8"/>
  <c r="T1409" i="8"/>
  <c r="T1410" i="8"/>
  <c r="T1411" i="8"/>
  <c r="T1412" i="8"/>
  <c r="T1413" i="8"/>
  <c r="T1414" i="8"/>
  <c r="T1415" i="8"/>
  <c r="T1416" i="8"/>
  <c r="T1417" i="8"/>
  <c r="T1418" i="8"/>
  <c r="T1419" i="8"/>
  <c r="T1420" i="8"/>
  <c r="T1421" i="8"/>
  <c r="T1422" i="8"/>
  <c r="T1423" i="8"/>
  <c r="T1424" i="8"/>
  <c r="T1425" i="8"/>
  <c r="T1426" i="8"/>
  <c r="T1427" i="8"/>
  <c r="T1428" i="8"/>
  <c r="T1429" i="8"/>
  <c r="T1430" i="8"/>
  <c r="T1431" i="8"/>
  <c r="T1432" i="8"/>
  <c r="T1433" i="8"/>
  <c r="T1434" i="8"/>
  <c r="T1435" i="8"/>
  <c r="T1436" i="8"/>
  <c r="T1437" i="8"/>
  <c r="T1438" i="8"/>
  <c r="T1439" i="8"/>
  <c r="T1440" i="8"/>
  <c r="T1441" i="8"/>
  <c r="T1442" i="8"/>
  <c r="T1443" i="8"/>
  <c r="T1444" i="8"/>
  <c r="T1445" i="8"/>
  <c r="T1446" i="8"/>
  <c r="T1447" i="8"/>
  <c r="T1448" i="8"/>
  <c r="T1449" i="8"/>
  <c r="T1450" i="8"/>
  <c r="T1451" i="8"/>
  <c r="T1452" i="8"/>
  <c r="T1453" i="8"/>
  <c r="T1454" i="8"/>
  <c r="T1455" i="8"/>
  <c r="T1456" i="8"/>
  <c r="T1457" i="8"/>
  <c r="T1458" i="8"/>
  <c r="T1459" i="8"/>
  <c r="T1460" i="8"/>
  <c r="T1461" i="8"/>
  <c r="T1462" i="8"/>
  <c r="T1463" i="8"/>
  <c r="T1464" i="8"/>
  <c r="T1465" i="8"/>
  <c r="T1466" i="8"/>
  <c r="T1467" i="8"/>
  <c r="T1468" i="8"/>
  <c r="T1469" i="8"/>
  <c r="T1470" i="8"/>
  <c r="T1471" i="8"/>
  <c r="T1472" i="8"/>
  <c r="T1473" i="8"/>
  <c r="T1474" i="8"/>
  <c r="T1475" i="8"/>
  <c r="T1476" i="8"/>
  <c r="T1477" i="8"/>
  <c r="T1478" i="8"/>
  <c r="T1479" i="8"/>
  <c r="T1480" i="8"/>
  <c r="T1481" i="8"/>
  <c r="T1482" i="8"/>
  <c r="T1483" i="8"/>
  <c r="T1484" i="8"/>
  <c r="T1485" i="8"/>
  <c r="T1486" i="8"/>
  <c r="T1487" i="8"/>
  <c r="T1488" i="8"/>
  <c r="T1489" i="8"/>
  <c r="T1490" i="8"/>
  <c r="T1491" i="8"/>
  <c r="T1492" i="8"/>
  <c r="T1493" i="8"/>
  <c r="T1494" i="8"/>
  <c r="T1495" i="8"/>
  <c r="T1496" i="8"/>
  <c r="T1497" i="8"/>
  <c r="T1498" i="8"/>
  <c r="T1499" i="8"/>
  <c r="T1500" i="8"/>
  <c r="T1501" i="8"/>
  <c r="T1502" i="8"/>
  <c r="T1503" i="8"/>
  <c r="T1504" i="8"/>
  <c r="T1505" i="8"/>
  <c r="T1506" i="8"/>
  <c r="T1507" i="8"/>
  <c r="T1508" i="8"/>
  <c r="T1509" i="8"/>
  <c r="T1510" i="8"/>
  <c r="T1511" i="8"/>
  <c r="T1512" i="8"/>
  <c r="T1513" i="8"/>
  <c r="T1514" i="8"/>
  <c r="T1515" i="8"/>
  <c r="T1516" i="8"/>
  <c r="T1517" i="8"/>
  <c r="T1518" i="8"/>
  <c r="T1519" i="8"/>
  <c r="T1520" i="8"/>
  <c r="T1521" i="8"/>
  <c r="T1522" i="8"/>
  <c r="T1523" i="8"/>
  <c r="T1524" i="8"/>
  <c r="T1525" i="8"/>
  <c r="T1526" i="8"/>
  <c r="T1527" i="8"/>
  <c r="T1528" i="8"/>
  <c r="T1529" i="8"/>
  <c r="T1530" i="8"/>
  <c r="T1531" i="8"/>
  <c r="T1532" i="8"/>
  <c r="T1533" i="8"/>
  <c r="T1534" i="8"/>
  <c r="T1535" i="8"/>
  <c r="T1536" i="8"/>
  <c r="T1537" i="8"/>
  <c r="T1538" i="8"/>
  <c r="T1539" i="8"/>
  <c r="T1540" i="8"/>
  <c r="T1541" i="8"/>
  <c r="T1542" i="8"/>
  <c r="T1543" i="8"/>
  <c r="T1544" i="8"/>
  <c r="T1545" i="8"/>
  <c r="T1546" i="8"/>
  <c r="T1547" i="8"/>
  <c r="T1548" i="8"/>
  <c r="T1549" i="8"/>
  <c r="T1550" i="8"/>
  <c r="T1551" i="8"/>
  <c r="T1552" i="8"/>
  <c r="T1553" i="8"/>
  <c r="T1554" i="8"/>
  <c r="T1555" i="8"/>
  <c r="T1556" i="8"/>
  <c r="T1557" i="8"/>
  <c r="T1558" i="8"/>
  <c r="T1559" i="8"/>
  <c r="T1560" i="8"/>
  <c r="T1561" i="8"/>
  <c r="T1562" i="8"/>
  <c r="T1563" i="8"/>
  <c r="T1564" i="8"/>
  <c r="T1565" i="8"/>
  <c r="T1566" i="8"/>
  <c r="T1567" i="8"/>
  <c r="T1568" i="8"/>
  <c r="T1569" i="8"/>
  <c r="T1570" i="8"/>
  <c r="T1571" i="8"/>
  <c r="T1572" i="8"/>
  <c r="T1573" i="8"/>
  <c r="T1574" i="8"/>
  <c r="T1575" i="8"/>
  <c r="T1576" i="8"/>
  <c r="T1577" i="8"/>
  <c r="T1578" i="8"/>
  <c r="T1579" i="8"/>
  <c r="T1580" i="8"/>
  <c r="T1581" i="8"/>
  <c r="T1582" i="8"/>
  <c r="T1583" i="8"/>
  <c r="T1584" i="8"/>
  <c r="T1585" i="8"/>
  <c r="T1586" i="8"/>
  <c r="T1587" i="8"/>
  <c r="T1588" i="8"/>
  <c r="T1589" i="8"/>
  <c r="T1590" i="8"/>
  <c r="T1591" i="8"/>
  <c r="T1592" i="8"/>
  <c r="T1593" i="8"/>
  <c r="T1594" i="8"/>
  <c r="T1595" i="8"/>
  <c r="T1596" i="8"/>
  <c r="T1597" i="8"/>
  <c r="T1598" i="8"/>
  <c r="T1599" i="8"/>
  <c r="T1600" i="8"/>
  <c r="T1601" i="8"/>
  <c r="T1602" i="8"/>
  <c r="T1603" i="8"/>
  <c r="T1604" i="8"/>
  <c r="T1605" i="8"/>
  <c r="T1606" i="8"/>
  <c r="T1607" i="8"/>
  <c r="T1608" i="8"/>
  <c r="T1609" i="8"/>
  <c r="T1610" i="8"/>
  <c r="T1611" i="8"/>
  <c r="T1612" i="8"/>
  <c r="T1613" i="8"/>
  <c r="T1614" i="8"/>
  <c r="T1615" i="8"/>
  <c r="T1616" i="8"/>
  <c r="T1617" i="8"/>
  <c r="T1618" i="8"/>
  <c r="T1619" i="8"/>
  <c r="T1620" i="8"/>
  <c r="T1621" i="8"/>
  <c r="T1622" i="8"/>
  <c r="T1623" i="8"/>
  <c r="T1624" i="8"/>
  <c r="T1625" i="8"/>
  <c r="T1626" i="8"/>
  <c r="T1627" i="8"/>
  <c r="U2" i="8"/>
  <c r="U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295" i="8"/>
  <c r="U296" i="8"/>
  <c r="U297" i="8"/>
  <c r="U298" i="8"/>
  <c r="U299" i="8"/>
  <c r="U300" i="8"/>
  <c r="U301" i="8"/>
  <c r="U302" i="8"/>
  <c r="U303" i="8"/>
  <c r="U304" i="8"/>
  <c r="U305" i="8"/>
  <c r="U306" i="8"/>
  <c r="U307" i="8"/>
  <c r="U308" i="8"/>
  <c r="U309" i="8"/>
  <c r="U310" i="8"/>
  <c r="U311" i="8"/>
  <c r="U312" i="8"/>
  <c r="U313" i="8"/>
  <c r="U314" i="8"/>
  <c r="U315" i="8"/>
  <c r="U316" i="8"/>
  <c r="U317" i="8"/>
  <c r="U318" i="8"/>
  <c r="U319" i="8"/>
  <c r="U320" i="8"/>
  <c r="U321" i="8"/>
  <c r="U322" i="8"/>
  <c r="U323" i="8"/>
  <c r="U324" i="8"/>
  <c r="U325" i="8"/>
  <c r="U326" i="8"/>
  <c r="U327" i="8"/>
  <c r="U328" i="8"/>
  <c r="U329" i="8"/>
  <c r="U330" i="8"/>
  <c r="U331" i="8"/>
  <c r="U332" i="8"/>
  <c r="U333" i="8"/>
  <c r="U334" i="8"/>
  <c r="U335" i="8"/>
  <c r="U336" i="8"/>
  <c r="U337" i="8"/>
  <c r="U338" i="8"/>
  <c r="U339" i="8"/>
  <c r="U340" i="8"/>
  <c r="U341" i="8"/>
  <c r="U342" i="8"/>
  <c r="U343" i="8"/>
  <c r="U344" i="8"/>
  <c r="U345" i="8"/>
  <c r="U346" i="8"/>
  <c r="U347" i="8"/>
  <c r="U348" i="8"/>
  <c r="U349" i="8"/>
  <c r="U350" i="8"/>
  <c r="U351" i="8"/>
  <c r="U352" i="8"/>
  <c r="U353" i="8"/>
  <c r="U354" i="8"/>
  <c r="U355" i="8"/>
  <c r="U356" i="8"/>
  <c r="U357" i="8"/>
  <c r="U358" i="8"/>
  <c r="U359" i="8"/>
  <c r="U360" i="8"/>
  <c r="U361" i="8"/>
  <c r="U362" i="8"/>
  <c r="U363" i="8"/>
  <c r="U364" i="8"/>
  <c r="U365" i="8"/>
  <c r="U366" i="8"/>
  <c r="U367" i="8"/>
  <c r="U368" i="8"/>
  <c r="U369" i="8"/>
  <c r="U370" i="8"/>
  <c r="U371" i="8"/>
  <c r="U372" i="8"/>
  <c r="U373" i="8"/>
  <c r="U374" i="8"/>
  <c r="U375" i="8"/>
  <c r="U376" i="8"/>
  <c r="U377" i="8"/>
  <c r="U378" i="8"/>
  <c r="U379" i="8"/>
  <c r="U380" i="8"/>
  <c r="U381" i="8"/>
  <c r="U382" i="8"/>
  <c r="U383" i="8"/>
  <c r="U384" i="8"/>
  <c r="U385" i="8"/>
  <c r="U386" i="8"/>
  <c r="U387" i="8"/>
  <c r="U388" i="8"/>
  <c r="U389" i="8"/>
  <c r="U390" i="8"/>
  <c r="U391" i="8"/>
  <c r="U392" i="8"/>
  <c r="U393" i="8"/>
  <c r="U394" i="8"/>
  <c r="U395" i="8"/>
  <c r="U396" i="8"/>
  <c r="U397" i="8"/>
  <c r="U398" i="8"/>
  <c r="U399" i="8"/>
  <c r="U400" i="8"/>
  <c r="U401" i="8"/>
  <c r="U402" i="8"/>
  <c r="U403" i="8"/>
  <c r="U404" i="8"/>
  <c r="U405" i="8"/>
  <c r="U406" i="8"/>
  <c r="U407" i="8"/>
  <c r="U408" i="8"/>
  <c r="U409" i="8"/>
  <c r="U410" i="8"/>
  <c r="U411" i="8"/>
  <c r="U412" i="8"/>
  <c r="U413" i="8"/>
  <c r="U414" i="8"/>
  <c r="U415" i="8"/>
  <c r="U416" i="8"/>
  <c r="U417" i="8"/>
  <c r="U418" i="8"/>
  <c r="U419" i="8"/>
  <c r="U420" i="8"/>
  <c r="U421" i="8"/>
  <c r="U422" i="8"/>
  <c r="U423" i="8"/>
  <c r="U424" i="8"/>
  <c r="U425" i="8"/>
  <c r="U426" i="8"/>
  <c r="U427" i="8"/>
  <c r="U428" i="8"/>
  <c r="U429" i="8"/>
  <c r="U430" i="8"/>
  <c r="U431" i="8"/>
  <c r="U432" i="8"/>
  <c r="U433" i="8"/>
  <c r="U434" i="8"/>
  <c r="U435" i="8"/>
  <c r="U436" i="8"/>
  <c r="U437" i="8"/>
  <c r="U438" i="8"/>
  <c r="U439" i="8"/>
  <c r="U440" i="8"/>
  <c r="U441" i="8"/>
  <c r="U442" i="8"/>
  <c r="U443" i="8"/>
  <c r="U444" i="8"/>
  <c r="U445" i="8"/>
  <c r="U446" i="8"/>
  <c r="U447" i="8"/>
  <c r="U448" i="8"/>
  <c r="U449" i="8"/>
  <c r="U450" i="8"/>
  <c r="U451" i="8"/>
  <c r="U452" i="8"/>
  <c r="U453" i="8"/>
  <c r="U454" i="8"/>
  <c r="U455" i="8"/>
  <c r="U456" i="8"/>
  <c r="U457" i="8"/>
  <c r="U458" i="8"/>
  <c r="U459" i="8"/>
  <c r="U460" i="8"/>
  <c r="U461" i="8"/>
  <c r="U462" i="8"/>
  <c r="U463" i="8"/>
  <c r="U464" i="8"/>
  <c r="U465" i="8"/>
  <c r="U466" i="8"/>
  <c r="U467" i="8"/>
  <c r="U468" i="8"/>
  <c r="U469" i="8"/>
  <c r="U470" i="8"/>
  <c r="U471" i="8"/>
  <c r="U472" i="8"/>
  <c r="U473" i="8"/>
  <c r="U474" i="8"/>
  <c r="U475" i="8"/>
  <c r="U476" i="8"/>
  <c r="U477" i="8"/>
  <c r="U478" i="8"/>
  <c r="U479" i="8"/>
  <c r="U480" i="8"/>
  <c r="U481" i="8"/>
  <c r="U482" i="8"/>
  <c r="U483" i="8"/>
  <c r="U484" i="8"/>
  <c r="U485" i="8"/>
  <c r="U486" i="8"/>
  <c r="U487" i="8"/>
  <c r="U488" i="8"/>
  <c r="U489" i="8"/>
  <c r="U490" i="8"/>
  <c r="U491" i="8"/>
  <c r="U492" i="8"/>
  <c r="U493" i="8"/>
  <c r="U494" i="8"/>
  <c r="U495" i="8"/>
  <c r="U496" i="8"/>
  <c r="U497" i="8"/>
  <c r="U498" i="8"/>
  <c r="U499" i="8"/>
  <c r="U500" i="8"/>
  <c r="U501" i="8"/>
  <c r="U502" i="8"/>
  <c r="U503" i="8"/>
  <c r="U504" i="8"/>
  <c r="U505" i="8"/>
  <c r="U506" i="8"/>
  <c r="U507" i="8"/>
  <c r="U508" i="8"/>
  <c r="U509" i="8"/>
  <c r="U510" i="8"/>
  <c r="U511" i="8"/>
  <c r="U512" i="8"/>
  <c r="U513" i="8"/>
  <c r="U514" i="8"/>
  <c r="U515" i="8"/>
  <c r="U516" i="8"/>
  <c r="U517" i="8"/>
  <c r="U518" i="8"/>
  <c r="U519" i="8"/>
  <c r="U520" i="8"/>
  <c r="U521" i="8"/>
  <c r="U522" i="8"/>
  <c r="U523" i="8"/>
  <c r="U524" i="8"/>
  <c r="U525" i="8"/>
  <c r="U526" i="8"/>
  <c r="U527" i="8"/>
  <c r="U528" i="8"/>
  <c r="U529" i="8"/>
  <c r="U530" i="8"/>
  <c r="U531" i="8"/>
  <c r="U532" i="8"/>
  <c r="U533" i="8"/>
  <c r="U534" i="8"/>
  <c r="U535" i="8"/>
  <c r="U536" i="8"/>
  <c r="U537" i="8"/>
  <c r="U538" i="8"/>
  <c r="U539" i="8"/>
  <c r="U540" i="8"/>
  <c r="U541" i="8"/>
  <c r="U542" i="8"/>
  <c r="U543" i="8"/>
  <c r="U544" i="8"/>
  <c r="U545" i="8"/>
  <c r="U546" i="8"/>
  <c r="U547" i="8"/>
  <c r="U548" i="8"/>
  <c r="U549" i="8"/>
  <c r="U550" i="8"/>
  <c r="U551" i="8"/>
  <c r="U552" i="8"/>
  <c r="U553" i="8"/>
  <c r="U554" i="8"/>
  <c r="U555" i="8"/>
  <c r="U556" i="8"/>
  <c r="U557" i="8"/>
  <c r="U558" i="8"/>
  <c r="U559" i="8"/>
  <c r="U560" i="8"/>
  <c r="U561" i="8"/>
  <c r="U562" i="8"/>
  <c r="U563" i="8"/>
  <c r="U564" i="8"/>
  <c r="U565" i="8"/>
  <c r="U566" i="8"/>
  <c r="U567" i="8"/>
  <c r="U568" i="8"/>
  <c r="U569" i="8"/>
  <c r="U570" i="8"/>
  <c r="U571" i="8"/>
  <c r="U572" i="8"/>
  <c r="U573" i="8"/>
  <c r="U574" i="8"/>
  <c r="U575" i="8"/>
  <c r="U576" i="8"/>
  <c r="U577" i="8"/>
  <c r="U578" i="8"/>
  <c r="U579" i="8"/>
  <c r="U580" i="8"/>
  <c r="U581" i="8"/>
  <c r="U582" i="8"/>
  <c r="U583" i="8"/>
  <c r="U584" i="8"/>
  <c r="U585" i="8"/>
  <c r="U586" i="8"/>
  <c r="U587" i="8"/>
  <c r="U588" i="8"/>
  <c r="U589" i="8"/>
  <c r="U590" i="8"/>
  <c r="U591" i="8"/>
  <c r="U592" i="8"/>
  <c r="U593" i="8"/>
  <c r="U594" i="8"/>
  <c r="U595" i="8"/>
  <c r="U596" i="8"/>
  <c r="U597" i="8"/>
  <c r="U598" i="8"/>
  <c r="U599" i="8"/>
  <c r="U600" i="8"/>
  <c r="U601" i="8"/>
  <c r="U602" i="8"/>
  <c r="U603" i="8"/>
  <c r="U604" i="8"/>
  <c r="U605" i="8"/>
  <c r="U606" i="8"/>
  <c r="U607" i="8"/>
  <c r="U608" i="8"/>
  <c r="U609" i="8"/>
  <c r="U610" i="8"/>
  <c r="U611" i="8"/>
  <c r="U612" i="8"/>
  <c r="U613" i="8"/>
  <c r="U614" i="8"/>
  <c r="U615" i="8"/>
  <c r="U616" i="8"/>
  <c r="U617" i="8"/>
  <c r="U618" i="8"/>
  <c r="U619" i="8"/>
  <c r="U620" i="8"/>
  <c r="U621" i="8"/>
  <c r="U622" i="8"/>
  <c r="U623" i="8"/>
  <c r="U624" i="8"/>
  <c r="U625" i="8"/>
  <c r="U626" i="8"/>
  <c r="U627" i="8"/>
  <c r="U628" i="8"/>
  <c r="U629" i="8"/>
  <c r="U630" i="8"/>
  <c r="U631" i="8"/>
  <c r="U632" i="8"/>
  <c r="U633" i="8"/>
  <c r="U634" i="8"/>
  <c r="U635" i="8"/>
  <c r="U636" i="8"/>
  <c r="U637" i="8"/>
  <c r="U638" i="8"/>
  <c r="U639" i="8"/>
  <c r="U640" i="8"/>
  <c r="U641" i="8"/>
  <c r="U642" i="8"/>
  <c r="U643" i="8"/>
  <c r="U644" i="8"/>
  <c r="U645" i="8"/>
  <c r="U646" i="8"/>
  <c r="U647" i="8"/>
  <c r="U648" i="8"/>
  <c r="U649" i="8"/>
  <c r="U650" i="8"/>
  <c r="U651" i="8"/>
  <c r="U652" i="8"/>
  <c r="U653" i="8"/>
  <c r="U654" i="8"/>
  <c r="U655" i="8"/>
  <c r="U656" i="8"/>
  <c r="U657" i="8"/>
  <c r="U658" i="8"/>
  <c r="U659" i="8"/>
  <c r="U660" i="8"/>
  <c r="U661" i="8"/>
  <c r="U662" i="8"/>
  <c r="U663" i="8"/>
  <c r="U664" i="8"/>
  <c r="U665" i="8"/>
  <c r="U666" i="8"/>
  <c r="U667" i="8"/>
  <c r="U668" i="8"/>
  <c r="U669" i="8"/>
  <c r="U670" i="8"/>
  <c r="U671" i="8"/>
  <c r="U672" i="8"/>
  <c r="U673" i="8"/>
  <c r="U674" i="8"/>
  <c r="U675" i="8"/>
  <c r="U676" i="8"/>
  <c r="U677" i="8"/>
  <c r="U678" i="8"/>
  <c r="U679" i="8"/>
  <c r="U680" i="8"/>
  <c r="U681" i="8"/>
  <c r="U682" i="8"/>
  <c r="U683" i="8"/>
  <c r="U684" i="8"/>
  <c r="U685" i="8"/>
  <c r="U686" i="8"/>
  <c r="U687" i="8"/>
  <c r="U688" i="8"/>
  <c r="U689" i="8"/>
  <c r="U690" i="8"/>
  <c r="U691" i="8"/>
  <c r="U692" i="8"/>
  <c r="U693" i="8"/>
  <c r="U694" i="8"/>
  <c r="U695" i="8"/>
  <c r="U696" i="8"/>
  <c r="U697" i="8"/>
  <c r="U698" i="8"/>
  <c r="U699" i="8"/>
  <c r="U700" i="8"/>
  <c r="U701" i="8"/>
  <c r="U702" i="8"/>
  <c r="U703" i="8"/>
  <c r="U704" i="8"/>
  <c r="U705" i="8"/>
  <c r="U706" i="8"/>
  <c r="U707" i="8"/>
  <c r="U708" i="8"/>
  <c r="U709" i="8"/>
  <c r="U710" i="8"/>
  <c r="U711" i="8"/>
  <c r="U712" i="8"/>
  <c r="U713" i="8"/>
  <c r="U714" i="8"/>
  <c r="U715" i="8"/>
  <c r="U716" i="8"/>
  <c r="U717" i="8"/>
  <c r="U718" i="8"/>
  <c r="U719" i="8"/>
  <c r="U720" i="8"/>
  <c r="U721" i="8"/>
  <c r="U722" i="8"/>
  <c r="U723" i="8"/>
  <c r="U724" i="8"/>
  <c r="U725" i="8"/>
  <c r="U726" i="8"/>
  <c r="U727" i="8"/>
  <c r="U728" i="8"/>
  <c r="U729" i="8"/>
  <c r="U730" i="8"/>
  <c r="U731" i="8"/>
  <c r="U732" i="8"/>
  <c r="U733" i="8"/>
  <c r="U734" i="8"/>
  <c r="U735" i="8"/>
  <c r="U736" i="8"/>
  <c r="U737" i="8"/>
  <c r="U738" i="8"/>
  <c r="U739" i="8"/>
  <c r="U740" i="8"/>
  <c r="U741" i="8"/>
  <c r="U742" i="8"/>
  <c r="U743" i="8"/>
  <c r="U744" i="8"/>
  <c r="U745" i="8"/>
  <c r="U746" i="8"/>
  <c r="U747" i="8"/>
  <c r="U748" i="8"/>
  <c r="U749" i="8"/>
  <c r="U750" i="8"/>
  <c r="U751" i="8"/>
  <c r="U752" i="8"/>
  <c r="U753" i="8"/>
  <c r="U754" i="8"/>
  <c r="U755" i="8"/>
  <c r="U756" i="8"/>
  <c r="U757" i="8"/>
  <c r="U758" i="8"/>
  <c r="U759" i="8"/>
  <c r="U760" i="8"/>
  <c r="U761" i="8"/>
  <c r="U762" i="8"/>
  <c r="U763" i="8"/>
  <c r="U764" i="8"/>
  <c r="U765" i="8"/>
  <c r="U766" i="8"/>
  <c r="U767" i="8"/>
  <c r="U768" i="8"/>
  <c r="U769" i="8"/>
  <c r="U770" i="8"/>
  <c r="U771" i="8"/>
  <c r="U772" i="8"/>
  <c r="U773" i="8"/>
  <c r="U774" i="8"/>
  <c r="U775" i="8"/>
  <c r="U776" i="8"/>
  <c r="U777" i="8"/>
  <c r="U778" i="8"/>
  <c r="U779" i="8"/>
  <c r="U780" i="8"/>
  <c r="U781" i="8"/>
  <c r="U782" i="8"/>
  <c r="U783" i="8"/>
  <c r="U784" i="8"/>
  <c r="U785" i="8"/>
  <c r="U786" i="8"/>
  <c r="U787" i="8"/>
  <c r="U788" i="8"/>
  <c r="U789" i="8"/>
  <c r="U790" i="8"/>
  <c r="U791" i="8"/>
  <c r="U792" i="8"/>
  <c r="U793" i="8"/>
  <c r="U794" i="8"/>
  <c r="U795" i="8"/>
  <c r="U796" i="8"/>
  <c r="U797" i="8"/>
  <c r="U798" i="8"/>
  <c r="U799" i="8"/>
  <c r="U800" i="8"/>
  <c r="U801" i="8"/>
  <c r="U802" i="8"/>
  <c r="U803" i="8"/>
  <c r="U804" i="8"/>
  <c r="U805" i="8"/>
  <c r="U806" i="8"/>
  <c r="U807" i="8"/>
  <c r="U808" i="8"/>
  <c r="U809" i="8"/>
  <c r="U810" i="8"/>
  <c r="U811" i="8"/>
  <c r="U812" i="8"/>
  <c r="U813" i="8"/>
  <c r="U814" i="8"/>
  <c r="U815" i="8"/>
  <c r="U816" i="8"/>
  <c r="U817" i="8"/>
  <c r="U818" i="8"/>
  <c r="U819" i="8"/>
  <c r="U820" i="8"/>
  <c r="U821" i="8"/>
  <c r="U822" i="8"/>
  <c r="U823" i="8"/>
  <c r="U824" i="8"/>
  <c r="U825" i="8"/>
  <c r="U826" i="8"/>
  <c r="U827" i="8"/>
  <c r="U828" i="8"/>
  <c r="U829" i="8"/>
  <c r="U830" i="8"/>
  <c r="U831" i="8"/>
  <c r="U832" i="8"/>
  <c r="U833" i="8"/>
  <c r="U834" i="8"/>
  <c r="U835" i="8"/>
  <c r="U836" i="8"/>
  <c r="U837" i="8"/>
  <c r="U838" i="8"/>
  <c r="U839" i="8"/>
  <c r="U840" i="8"/>
  <c r="U841" i="8"/>
  <c r="U842" i="8"/>
  <c r="U843" i="8"/>
  <c r="U844" i="8"/>
  <c r="U845" i="8"/>
  <c r="U846" i="8"/>
  <c r="U847" i="8"/>
  <c r="U848" i="8"/>
  <c r="U849" i="8"/>
  <c r="U850" i="8"/>
  <c r="U851" i="8"/>
  <c r="U852" i="8"/>
  <c r="U853" i="8"/>
  <c r="U854" i="8"/>
  <c r="U855" i="8"/>
  <c r="U856" i="8"/>
  <c r="U857" i="8"/>
  <c r="U858" i="8"/>
  <c r="U859" i="8"/>
  <c r="U860" i="8"/>
  <c r="U861" i="8"/>
  <c r="U862" i="8"/>
  <c r="U863" i="8"/>
  <c r="U864" i="8"/>
  <c r="U865" i="8"/>
  <c r="U866" i="8"/>
  <c r="U867" i="8"/>
  <c r="U868" i="8"/>
  <c r="U869" i="8"/>
  <c r="U870" i="8"/>
  <c r="U871" i="8"/>
  <c r="U872" i="8"/>
  <c r="U873" i="8"/>
  <c r="U874" i="8"/>
  <c r="U875" i="8"/>
  <c r="U876" i="8"/>
  <c r="U877" i="8"/>
  <c r="U878" i="8"/>
  <c r="U879" i="8"/>
  <c r="U880" i="8"/>
  <c r="U881" i="8"/>
  <c r="U882" i="8"/>
  <c r="U883" i="8"/>
  <c r="U884" i="8"/>
  <c r="U885" i="8"/>
  <c r="U886" i="8"/>
  <c r="U887" i="8"/>
  <c r="U888" i="8"/>
  <c r="U889" i="8"/>
  <c r="U890" i="8"/>
  <c r="U891" i="8"/>
  <c r="U892" i="8"/>
  <c r="U893" i="8"/>
  <c r="U894" i="8"/>
  <c r="U895" i="8"/>
  <c r="U896" i="8"/>
  <c r="U897" i="8"/>
  <c r="U898" i="8"/>
  <c r="U899" i="8"/>
  <c r="U900" i="8"/>
  <c r="U901" i="8"/>
  <c r="U902" i="8"/>
  <c r="U903" i="8"/>
  <c r="U904" i="8"/>
  <c r="U905" i="8"/>
  <c r="U906" i="8"/>
  <c r="U907" i="8"/>
  <c r="U908" i="8"/>
  <c r="U909" i="8"/>
  <c r="U910" i="8"/>
  <c r="U911" i="8"/>
  <c r="U912" i="8"/>
  <c r="U913" i="8"/>
  <c r="U914" i="8"/>
  <c r="U915" i="8"/>
  <c r="U916" i="8"/>
  <c r="U917" i="8"/>
  <c r="U918" i="8"/>
  <c r="U919" i="8"/>
  <c r="U920" i="8"/>
  <c r="U921" i="8"/>
  <c r="U922" i="8"/>
  <c r="U923" i="8"/>
  <c r="U924" i="8"/>
  <c r="U925" i="8"/>
  <c r="U926" i="8"/>
  <c r="U927" i="8"/>
  <c r="U928" i="8"/>
  <c r="U929" i="8"/>
  <c r="U930" i="8"/>
  <c r="U931" i="8"/>
  <c r="U932" i="8"/>
  <c r="U933" i="8"/>
  <c r="U934" i="8"/>
  <c r="U935" i="8"/>
  <c r="U936" i="8"/>
  <c r="U937" i="8"/>
  <c r="U938" i="8"/>
  <c r="U939" i="8"/>
  <c r="U940" i="8"/>
  <c r="U941" i="8"/>
  <c r="U942" i="8"/>
  <c r="U943" i="8"/>
  <c r="U944" i="8"/>
  <c r="U945" i="8"/>
  <c r="U946" i="8"/>
  <c r="U947" i="8"/>
  <c r="U948" i="8"/>
  <c r="U949" i="8"/>
  <c r="U950" i="8"/>
  <c r="U951" i="8"/>
  <c r="U952" i="8"/>
  <c r="U953" i="8"/>
  <c r="U954" i="8"/>
  <c r="U955" i="8"/>
  <c r="U956" i="8"/>
  <c r="U957" i="8"/>
  <c r="U958" i="8"/>
  <c r="U959" i="8"/>
  <c r="U960" i="8"/>
  <c r="U961" i="8"/>
  <c r="U962" i="8"/>
  <c r="U963" i="8"/>
  <c r="U964" i="8"/>
  <c r="U965" i="8"/>
  <c r="U966" i="8"/>
  <c r="U967" i="8"/>
  <c r="U968" i="8"/>
  <c r="U969" i="8"/>
  <c r="U970" i="8"/>
  <c r="U971" i="8"/>
  <c r="U972" i="8"/>
  <c r="U973" i="8"/>
  <c r="U974" i="8"/>
  <c r="U975" i="8"/>
  <c r="U976" i="8"/>
  <c r="U977" i="8"/>
  <c r="U978" i="8"/>
  <c r="U979" i="8"/>
  <c r="U980" i="8"/>
  <c r="U981" i="8"/>
  <c r="U982" i="8"/>
  <c r="U983" i="8"/>
  <c r="U984" i="8"/>
  <c r="U985" i="8"/>
  <c r="U986" i="8"/>
  <c r="U987" i="8"/>
  <c r="U988" i="8"/>
  <c r="U989" i="8"/>
  <c r="U990" i="8"/>
  <c r="U991" i="8"/>
  <c r="U992" i="8"/>
  <c r="U993" i="8"/>
  <c r="U994" i="8"/>
  <c r="U995" i="8"/>
  <c r="U996" i="8"/>
  <c r="U997" i="8"/>
  <c r="U998" i="8"/>
  <c r="U999" i="8"/>
  <c r="U1000" i="8"/>
  <c r="U1001" i="8"/>
  <c r="U1002" i="8"/>
  <c r="U1003" i="8"/>
  <c r="U1004" i="8"/>
  <c r="U1005" i="8"/>
  <c r="U1006" i="8"/>
  <c r="U1007" i="8"/>
  <c r="U1008" i="8"/>
  <c r="U1009" i="8"/>
  <c r="U1010" i="8"/>
  <c r="U1011" i="8"/>
  <c r="U1012" i="8"/>
  <c r="U1013" i="8"/>
  <c r="U1014" i="8"/>
  <c r="U1015" i="8"/>
  <c r="U1016" i="8"/>
  <c r="U1017" i="8"/>
  <c r="U1018" i="8"/>
  <c r="U1019" i="8"/>
  <c r="U1020" i="8"/>
  <c r="U1021" i="8"/>
  <c r="U1022" i="8"/>
  <c r="U1023" i="8"/>
  <c r="U1024" i="8"/>
  <c r="U1025" i="8"/>
  <c r="U1026" i="8"/>
  <c r="U1027" i="8"/>
  <c r="U1028" i="8"/>
  <c r="U1029" i="8"/>
  <c r="U1030" i="8"/>
  <c r="U1031" i="8"/>
  <c r="U1032" i="8"/>
  <c r="U1033" i="8"/>
  <c r="U1034" i="8"/>
  <c r="U1035" i="8"/>
  <c r="U1036" i="8"/>
  <c r="U1037" i="8"/>
  <c r="U1038" i="8"/>
  <c r="U1039" i="8"/>
  <c r="U1040" i="8"/>
  <c r="U1041" i="8"/>
  <c r="U1042" i="8"/>
  <c r="U1043" i="8"/>
  <c r="U1044" i="8"/>
  <c r="U1045" i="8"/>
  <c r="U1046" i="8"/>
  <c r="U1047" i="8"/>
  <c r="U1048" i="8"/>
  <c r="U1049" i="8"/>
  <c r="U1050" i="8"/>
  <c r="U1051" i="8"/>
  <c r="U1052" i="8"/>
  <c r="U1053" i="8"/>
  <c r="U1054" i="8"/>
  <c r="U1055" i="8"/>
  <c r="U1056" i="8"/>
  <c r="U1057" i="8"/>
  <c r="U1058" i="8"/>
  <c r="U1059" i="8"/>
  <c r="U1060" i="8"/>
  <c r="U1061" i="8"/>
  <c r="U1062" i="8"/>
  <c r="U1063" i="8"/>
  <c r="U1064" i="8"/>
  <c r="U1065" i="8"/>
  <c r="U1066" i="8"/>
  <c r="U1067" i="8"/>
  <c r="U1068" i="8"/>
  <c r="U1069" i="8"/>
  <c r="U1070" i="8"/>
  <c r="U1071" i="8"/>
  <c r="U1072" i="8"/>
  <c r="U1073" i="8"/>
  <c r="U1074" i="8"/>
  <c r="U1075" i="8"/>
  <c r="U1076" i="8"/>
  <c r="U1077" i="8"/>
  <c r="U1078" i="8"/>
  <c r="U1079" i="8"/>
  <c r="U1080" i="8"/>
  <c r="U1081" i="8"/>
  <c r="U1082" i="8"/>
  <c r="U1083" i="8"/>
  <c r="U1084" i="8"/>
  <c r="U1085" i="8"/>
  <c r="U1086" i="8"/>
  <c r="U1087" i="8"/>
  <c r="U1088" i="8"/>
  <c r="U1089" i="8"/>
  <c r="U1090" i="8"/>
  <c r="U1091" i="8"/>
  <c r="U1092" i="8"/>
  <c r="U1093" i="8"/>
  <c r="U1094" i="8"/>
  <c r="U1095" i="8"/>
  <c r="U1096" i="8"/>
  <c r="U1097" i="8"/>
  <c r="U1098" i="8"/>
  <c r="U1099" i="8"/>
  <c r="U1100" i="8"/>
  <c r="U1101" i="8"/>
  <c r="U1102" i="8"/>
  <c r="U1103" i="8"/>
  <c r="U1104" i="8"/>
  <c r="U1105" i="8"/>
  <c r="U1106" i="8"/>
  <c r="U1107" i="8"/>
  <c r="U1108" i="8"/>
  <c r="U1109" i="8"/>
  <c r="U1110" i="8"/>
  <c r="U1111" i="8"/>
  <c r="U1112" i="8"/>
  <c r="U1113" i="8"/>
  <c r="U1114" i="8"/>
  <c r="U1115" i="8"/>
  <c r="U1116" i="8"/>
  <c r="U1117" i="8"/>
  <c r="U1118" i="8"/>
  <c r="U1119" i="8"/>
  <c r="U1120" i="8"/>
  <c r="U1121" i="8"/>
  <c r="U1122" i="8"/>
  <c r="U1123" i="8"/>
  <c r="U1124" i="8"/>
  <c r="U1125" i="8"/>
  <c r="U1126" i="8"/>
  <c r="U1127" i="8"/>
  <c r="U1128" i="8"/>
  <c r="U1129" i="8"/>
  <c r="U1130" i="8"/>
  <c r="U1131" i="8"/>
  <c r="U1132" i="8"/>
  <c r="U1133" i="8"/>
  <c r="U1134" i="8"/>
  <c r="U1135" i="8"/>
  <c r="U1136" i="8"/>
  <c r="U1137" i="8"/>
  <c r="U1138" i="8"/>
  <c r="U1139" i="8"/>
  <c r="U1140" i="8"/>
  <c r="U1141" i="8"/>
  <c r="U1142" i="8"/>
  <c r="U1143" i="8"/>
  <c r="U1144" i="8"/>
  <c r="U1145" i="8"/>
  <c r="U1146" i="8"/>
  <c r="U1147" i="8"/>
  <c r="U1148" i="8"/>
  <c r="U1149" i="8"/>
  <c r="U1150" i="8"/>
  <c r="U1151" i="8"/>
  <c r="U1152" i="8"/>
  <c r="U1153" i="8"/>
  <c r="U1154" i="8"/>
  <c r="U1155" i="8"/>
  <c r="U1156" i="8"/>
  <c r="U1157" i="8"/>
  <c r="U1158" i="8"/>
  <c r="U1159" i="8"/>
  <c r="U1160" i="8"/>
  <c r="U1161" i="8"/>
  <c r="U1162" i="8"/>
  <c r="U1163" i="8"/>
  <c r="U1164" i="8"/>
  <c r="U1165" i="8"/>
  <c r="U1166" i="8"/>
  <c r="U1167" i="8"/>
  <c r="U1168" i="8"/>
  <c r="U1169" i="8"/>
  <c r="U1170" i="8"/>
  <c r="U1171" i="8"/>
  <c r="U1172" i="8"/>
  <c r="U1173" i="8"/>
  <c r="U1174" i="8"/>
  <c r="U1175" i="8"/>
  <c r="U1176" i="8"/>
  <c r="U1177" i="8"/>
  <c r="U1178" i="8"/>
  <c r="U1179" i="8"/>
  <c r="U1180" i="8"/>
  <c r="U1181" i="8"/>
  <c r="U1182" i="8"/>
  <c r="U1183" i="8"/>
  <c r="U1184" i="8"/>
  <c r="U1185" i="8"/>
  <c r="U1186" i="8"/>
  <c r="U1187" i="8"/>
  <c r="U1188" i="8"/>
  <c r="U1189" i="8"/>
  <c r="U1190" i="8"/>
  <c r="U1191" i="8"/>
  <c r="U1192" i="8"/>
  <c r="U1193" i="8"/>
  <c r="U1194" i="8"/>
  <c r="U1195" i="8"/>
  <c r="U1196" i="8"/>
  <c r="U1197" i="8"/>
  <c r="U1198" i="8"/>
  <c r="U1199" i="8"/>
  <c r="U1200" i="8"/>
  <c r="U1201" i="8"/>
  <c r="U1202" i="8"/>
  <c r="U1203" i="8"/>
  <c r="U1204" i="8"/>
  <c r="U1205" i="8"/>
  <c r="U1206" i="8"/>
  <c r="U1207" i="8"/>
  <c r="U1208" i="8"/>
  <c r="U1209" i="8"/>
  <c r="U1210" i="8"/>
  <c r="U1211" i="8"/>
  <c r="U1212" i="8"/>
  <c r="U1213" i="8"/>
  <c r="U1214" i="8"/>
  <c r="U1215" i="8"/>
  <c r="U1216" i="8"/>
  <c r="U1217" i="8"/>
  <c r="U1218" i="8"/>
  <c r="U1219" i="8"/>
  <c r="U1220" i="8"/>
  <c r="U1221" i="8"/>
  <c r="U1222" i="8"/>
  <c r="U1223" i="8"/>
  <c r="U1224" i="8"/>
  <c r="U1225" i="8"/>
  <c r="U1226" i="8"/>
  <c r="U1227" i="8"/>
  <c r="U1228" i="8"/>
  <c r="U1229" i="8"/>
  <c r="U1230" i="8"/>
  <c r="U1231" i="8"/>
  <c r="U1232" i="8"/>
  <c r="U1233" i="8"/>
  <c r="U1234" i="8"/>
  <c r="U1235" i="8"/>
  <c r="U1236" i="8"/>
  <c r="U1237" i="8"/>
  <c r="U1238" i="8"/>
  <c r="U1239" i="8"/>
  <c r="U1240" i="8"/>
  <c r="U1241" i="8"/>
  <c r="U1242" i="8"/>
  <c r="U1243" i="8"/>
  <c r="U1244" i="8"/>
  <c r="U1245" i="8"/>
  <c r="U1246" i="8"/>
  <c r="U1247" i="8"/>
  <c r="U1248" i="8"/>
  <c r="U1249" i="8"/>
  <c r="U1250" i="8"/>
  <c r="U1251" i="8"/>
  <c r="U1252" i="8"/>
  <c r="U1253" i="8"/>
  <c r="U1254" i="8"/>
  <c r="U1255" i="8"/>
  <c r="U1256" i="8"/>
  <c r="U1257" i="8"/>
  <c r="U1258" i="8"/>
  <c r="U1259" i="8"/>
  <c r="U1260" i="8"/>
  <c r="U1261" i="8"/>
  <c r="U1262" i="8"/>
  <c r="U1263" i="8"/>
  <c r="U1264" i="8"/>
  <c r="U1265" i="8"/>
  <c r="U1266" i="8"/>
  <c r="U1267" i="8"/>
  <c r="U1268" i="8"/>
  <c r="U1269" i="8"/>
  <c r="U1270" i="8"/>
  <c r="U1271" i="8"/>
  <c r="U1272" i="8"/>
  <c r="U1273" i="8"/>
  <c r="U1274" i="8"/>
  <c r="U1275" i="8"/>
  <c r="U1276" i="8"/>
  <c r="U1277" i="8"/>
  <c r="U1278" i="8"/>
  <c r="U1279" i="8"/>
  <c r="U1280" i="8"/>
  <c r="U1281" i="8"/>
  <c r="U1282" i="8"/>
  <c r="U1283" i="8"/>
  <c r="U1284" i="8"/>
  <c r="U1285" i="8"/>
  <c r="U1286" i="8"/>
  <c r="U1287" i="8"/>
  <c r="U1288" i="8"/>
  <c r="U1289" i="8"/>
  <c r="U1290" i="8"/>
  <c r="U1291" i="8"/>
  <c r="U1292" i="8"/>
  <c r="U1293" i="8"/>
  <c r="U1294" i="8"/>
  <c r="U1295" i="8"/>
  <c r="U1296" i="8"/>
  <c r="U1297" i="8"/>
  <c r="U1298" i="8"/>
  <c r="U1299" i="8"/>
  <c r="U1300" i="8"/>
  <c r="U1301" i="8"/>
  <c r="U1302" i="8"/>
  <c r="U1303" i="8"/>
  <c r="U1304" i="8"/>
  <c r="U1305" i="8"/>
  <c r="U1306" i="8"/>
  <c r="U1307" i="8"/>
  <c r="U1308" i="8"/>
  <c r="U1309" i="8"/>
  <c r="U1310" i="8"/>
  <c r="U1311" i="8"/>
  <c r="U1312" i="8"/>
  <c r="U1313" i="8"/>
  <c r="U1314" i="8"/>
  <c r="U1315" i="8"/>
  <c r="U1316" i="8"/>
  <c r="U1317" i="8"/>
  <c r="U1318" i="8"/>
  <c r="U1319" i="8"/>
  <c r="U1320" i="8"/>
  <c r="U1321" i="8"/>
  <c r="U1322" i="8"/>
  <c r="U1323" i="8"/>
  <c r="U1324" i="8"/>
  <c r="U1325" i="8"/>
  <c r="U1326" i="8"/>
  <c r="U1327" i="8"/>
  <c r="U1328" i="8"/>
  <c r="U1329" i="8"/>
  <c r="U1330" i="8"/>
  <c r="U1331" i="8"/>
  <c r="U1332" i="8"/>
  <c r="U1333" i="8"/>
  <c r="U1334" i="8"/>
  <c r="U1335" i="8"/>
  <c r="U1336" i="8"/>
  <c r="U1337" i="8"/>
  <c r="U1338" i="8"/>
  <c r="U1339" i="8"/>
  <c r="U1340" i="8"/>
  <c r="U1341" i="8"/>
  <c r="U1342" i="8"/>
  <c r="U1343" i="8"/>
  <c r="U1344" i="8"/>
  <c r="U1345" i="8"/>
  <c r="U1346" i="8"/>
  <c r="U1347" i="8"/>
  <c r="U1348" i="8"/>
  <c r="U1349" i="8"/>
  <c r="U1350" i="8"/>
  <c r="U1351" i="8"/>
  <c r="U1352" i="8"/>
  <c r="U1353" i="8"/>
  <c r="U1354" i="8"/>
  <c r="U1355" i="8"/>
  <c r="U1356" i="8"/>
  <c r="U1357" i="8"/>
  <c r="U1358" i="8"/>
  <c r="U1359" i="8"/>
  <c r="U1360" i="8"/>
  <c r="U1361" i="8"/>
  <c r="U1362" i="8"/>
  <c r="U1363" i="8"/>
  <c r="U1364" i="8"/>
  <c r="U1365" i="8"/>
  <c r="U1366" i="8"/>
  <c r="U1367" i="8"/>
  <c r="U1368" i="8"/>
  <c r="U1369" i="8"/>
  <c r="U1370" i="8"/>
  <c r="U1371" i="8"/>
  <c r="U1372" i="8"/>
  <c r="U1373" i="8"/>
  <c r="U1374" i="8"/>
  <c r="U1375" i="8"/>
  <c r="U1376" i="8"/>
  <c r="U1377" i="8"/>
  <c r="U1378" i="8"/>
  <c r="U1379" i="8"/>
  <c r="U1380" i="8"/>
  <c r="U1381" i="8"/>
  <c r="U1382" i="8"/>
  <c r="U1383" i="8"/>
  <c r="U1384" i="8"/>
  <c r="U1385" i="8"/>
  <c r="U1386" i="8"/>
  <c r="U1387" i="8"/>
  <c r="U1388" i="8"/>
  <c r="U1389" i="8"/>
  <c r="U1390" i="8"/>
  <c r="U1391" i="8"/>
  <c r="U1392" i="8"/>
  <c r="U1393" i="8"/>
  <c r="U1394" i="8"/>
  <c r="U1395" i="8"/>
  <c r="U1396" i="8"/>
  <c r="U1397" i="8"/>
  <c r="U1398" i="8"/>
  <c r="U1399" i="8"/>
  <c r="U1400" i="8"/>
  <c r="U1401" i="8"/>
  <c r="U1402" i="8"/>
  <c r="U1403" i="8"/>
  <c r="U1404" i="8"/>
  <c r="U1405" i="8"/>
  <c r="U1406" i="8"/>
  <c r="U1407" i="8"/>
  <c r="U1408" i="8"/>
  <c r="U1409" i="8"/>
  <c r="U1410" i="8"/>
  <c r="U1411" i="8"/>
  <c r="U1412" i="8"/>
  <c r="U1413" i="8"/>
  <c r="U1414" i="8"/>
  <c r="U1415" i="8"/>
  <c r="U1416" i="8"/>
  <c r="U1417" i="8"/>
  <c r="U1418" i="8"/>
  <c r="U1419" i="8"/>
  <c r="U1420" i="8"/>
  <c r="U1421" i="8"/>
  <c r="U1422" i="8"/>
  <c r="U1423" i="8"/>
  <c r="U1424" i="8"/>
  <c r="U1425" i="8"/>
  <c r="U1426" i="8"/>
  <c r="U1427" i="8"/>
  <c r="U1428" i="8"/>
  <c r="U1429" i="8"/>
  <c r="U1430" i="8"/>
  <c r="U1431" i="8"/>
  <c r="U1432" i="8"/>
  <c r="U1433" i="8"/>
  <c r="U1434" i="8"/>
  <c r="U1435" i="8"/>
  <c r="U1436" i="8"/>
  <c r="U1437" i="8"/>
  <c r="U1438" i="8"/>
  <c r="U1439" i="8"/>
  <c r="U1440" i="8"/>
  <c r="U1441" i="8"/>
  <c r="U1442" i="8"/>
  <c r="U1443" i="8"/>
  <c r="U1444" i="8"/>
  <c r="U1445" i="8"/>
  <c r="U1446" i="8"/>
  <c r="U1447" i="8"/>
  <c r="U1448" i="8"/>
  <c r="U1449" i="8"/>
  <c r="U1450" i="8"/>
  <c r="U1451" i="8"/>
  <c r="U1452" i="8"/>
  <c r="U1453" i="8"/>
  <c r="U1454" i="8"/>
  <c r="U1455" i="8"/>
  <c r="U1456" i="8"/>
  <c r="U1457" i="8"/>
  <c r="U1458" i="8"/>
  <c r="U1459" i="8"/>
  <c r="U1460" i="8"/>
  <c r="U1461" i="8"/>
  <c r="U1462" i="8"/>
  <c r="U1463" i="8"/>
  <c r="U1464" i="8"/>
  <c r="U1465" i="8"/>
  <c r="U1466" i="8"/>
  <c r="U1467" i="8"/>
  <c r="U1468" i="8"/>
  <c r="U1469" i="8"/>
  <c r="U1470" i="8"/>
  <c r="U1471" i="8"/>
  <c r="U1472" i="8"/>
  <c r="U1473" i="8"/>
  <c r="U1474" i="8"/>
  <c r="U1475" i="8"/>
  <c r="U1476" i="8"/>
  <c r="U1477" i="8"/>
  <c r="U1478" i="8"/>
  <c r="U1479" i="8"/>
  <c r="U1480" i="8"/>
  <c r="U1481" i="8"/>
  <c r="U1482" i="8"/>
  <c r="U1483" i="8"/>
  <c r="U1484" i="8"/>
  <c r="U1485" i="8"/>
  <c r="U1486" i="8"/>
  <c r="U1487" i="8"/>
  <c r="U1488" i="8"/>
  <c r="U1489" i="8"/>
  <c r="U1490" i="8"/>
  <c r="U1491" i="8"/>
  <c r="U1492" i="8"/>
  <c r="U1493" i="8"/>
  <c r="U1494" i="8"/>
  <c r="U1495" i="8"/>
  <c r="U1496" i="8"/>
  <c r="U1497" i="8"/>
  <c r="U1498" i="8"/>
  <c r="U1499" i="8"/>
  <c r="U1500" i="8"/>
  <c r="U1501" i="8"/>
  <c r="U1502" i="8"/>
  <c r="U1503" i="8"/>
  <c r="U1504" i="8"/>
  <c r="U1505" i="8"/>
  <c r="U1506" i="8"/>
  <c r="U1507" i="8"/>
  <c r="U1508" i="8"/>
  <c r="U1509" i="8"/>
  <c r="U1510" i="8"/>
  <c r="U1511" i="8"/>
  <c r="U1512" i="8"/>
  <c r="U1513" i="8"/>
  <c r="U1514" i="8"/>
  <c r="U1515" i="8"/>
  <c r="U1516" i="8"/>
  <c r="U1517" i="8"/>
  <c r="U1518" i="8"/>
  <c r="U1519" i="8"/>
  <c r="U1520" i="8"/>
  <c r="U1521" i="8"/>
  <c r="U1522" i="8"/>
  <c r="U1523" i="8"/>
  <c r="U1524" i="8"/>
  <c r="U1525" i="8"/>
  <c r="U1526" i="8"/>
  <c r="U1527" i="8"/>
  <c r="U1528" i="8"/>
  <c r="U1529" i="8"/>
  <c r="U1530" i="8"/>
  <c r="U1531" i="8"/>
  <c r="U1532" i="8"/>
  <c r="U1533" i="8"/>
  <c r="U1534" i="8"/>
  <c r="U1535" i="8"/>
  <c r="U1536" i="8"/>
  <c r="U1537" i="8"/>
  <c r="U1538" i="8"/>
  <c r="U1539" i="8"/>
  <c r="U1540" i="8"/>
  <c r="U1541" i="8"/>
  <c r="U1542" i="8"/>
  <c r="U1543" i="8"/>
  <c r="U1544" i="8"/>
  <c r="U1545" i="8"/>
  <c r="U1546" i="8"/>
  <c r="U1547" i="8"/>
  <c r="U1548" i="8"/>
  <c r="U1549" i="8"/>
  <c r="U1550" i="8"/>
  <c r="U1551" i="8"/>
  <c r="U1552" i="8"/>
  <c r="U1553" i="8"/>
  <c r="U1554" i="8"/>
  <c r="U1555" i="8"/>
  <c r="U1556" i="8"/>
  <c r="U1557" i="8"/>
  <c r="U1558" i="8"/>
  <c r="U1559" i="8"/>
  <c r="U1560" i="8"/>
  <c r="U1561" i="8"/>
  <c r="U1562" i="8"/>
  <c r="U1563" i="8"/>
  <c r="U1564" i="8"/>
  <c r="U1565" i="8"/>
  <c r="U1566" i="8"/>
  <c r="U1567" i="8"/>
  <c r="U1568" i="8"/>
  <c r="U1569" i="8"/>
  <c r="U1570" i="8"/>
  <c r="U1571" i="8"/>
  <c r="U1572" i="8"/>
  <c r="U1573" i="8"/>
  <c r="U1574" i="8"/>
  <c r="U1575" i="8"/>
  <c r="U1576" i="8"/>
  <c r="U1577" i="8"/>
  <c r="U1578" i="8"/>
  <c r="U1579" i="8"/>
  <c r="U1580" i="8"/>
  <c r="U1581" i="8"/>
  <c r="U1582" i="8"/>
  <c r="U1583" i="8"/>
  <c r="U1584" i="8"/>
  <c r="U1585" i="8"/>
  <c r="U1586" i="8"/>
  <c r="U1587" i="8"/>
  <c r="U1588" i="8"/>
  <c r="U1589" i="8"/>
  <c r="U1590" i="8"/>
  <c r="U1591" i="8"/>
  <c r="U1592" i="8"/>
  <c r="U1593" i="8"/>
  <c r="U1594" i="8"/>
  <c r="U1595" i="8"/>
  <c r="U1596" i="8"/>
  <c r="U1597" i="8"/>
  <c r="U1598" i="8"/>
  <c r="U1599" i="8"/>
  <c r="U1600" i="8"/>
  <c r="U1601" i="8"/>
  <c r="U1602" i="8"/>
  <c r="U1603" i="8"/>
  <c r="U1604" i="8"/>
  <c r="U1605" i="8"/>
  <c r="U1606" i="8"/>
  <c r="U1607" i="8"/>
  <c r="U1608" i="8"/>
  <c r="U1609" i="8"/>
  <c r="U1610" i="8"/>
  <c r="U1611" i="8"/>
  <c r="U1612" i="8"/>
  <c r="U1613" i="8"/>
  <c r="U1614" i="8"/>
  <c r="U1615" i="8"/>
  <c r="U1616" i="8"/>
  <c r="U1617" i="8"/>
  <c r="U1618" i="8"/>
  <c r="U1619" i="8"/>
  <c r="U1620" i="8"/>
  <c r="U1621" i="8"/>
  <c r="U1622" i="8"/>
  <c r="U1623" i="8"/>
  <c r="U1624" i="8"/>
  <c r="U1625" i="8"/>
  <c r="U1626" i="8"/>
  <c r="U1627" i="8"/>
  <c r="V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156" i="8"/>
  <c r="V157" i="8"/>
  <c r="V158" i="8"/>
  <c r="V159" i="8"/>
  <c r="V160" i="8"/>
  <c r="V161" i="8"/>
  <c r="V162" i="8"/>
  <c r="V163" i="8"/>
  <c r="V164" i="8"/>
  <c r="V165" i="8"/>
  <c r="V166" i="8"/>
  <c r="V167" i="8"/>
  <c r="V168" i="8"/>
  <c r="V169" i="8"/>
  <c r="V170" i="8"/>
  <c r="V171" i="8"/>
  <c r="V172" i="8"/>
  <c r="V173" i="8"/>
  <c r="V174" i="8"/>
  <c r="V175" i="8"/>
  <c r="V176" i="8"/>
  <c r="V177" i="8"/>
  <c r="V178" i="8"/>
  <c r="V179" i="8"/>
  <c r="V180" i="8"/>
  <c r="V181" i="8"/>
  <c r="V182" i="8"/>
  <c r="V183" i="8"/>
  <c r="V184" i="8"/>
  <c r="V185" i="8"/>
  <c r="V186" i="8"/>
  <c r="V187" i="8"/>
  <c r="V188" i="8"/>
  <c r="V189" i="8"/>
  <c r="V190" i="8"/>
  <c r="V191" i="8"/>
  <c r="V192" i="8"/>
  <c r="V193" i="8"/>
  <c r="V194" i="8"/>
  <c r="V195" i="8"/>
  <c r="V196" i="8"/>
  <c r="V197" i="8"/>
  <c r="V198" i="8"/>
  <c r="V199" i="8"/>
  <c r="V200" i="8"/>
  <c r="V201" i="8"/>
  <c r="V202" i="8"/>
  <c r="V203" i="8"/>
  <c r="V204" i="8"/>
  <c r="V205" i="8"/>
  <c r="V206" i="8"/>
  <c r="V207" i="8"/>
  <c r="V208" i="8"/>
  <c r="V209" i="8"/>
  <c r="V210" i="8"/>
  <c r="V211" i="8"/>
  <c r="V212" i="8"/>
  <c r="V213" i="8"/>
  <c r="V214" i="8"/>
  <c r="V215" i="8"/>
  <c r="V216" i="8"/>
  <c r="V217" i="8"/>
  <c r="V218" i="8"/>
  <c r="V219" i="8"/>
  <c r="V220" i="8"/>
  <c r="V221" i="8"/>
  <c r="V222" i="8"/>
  <c r="V223" i="8"/>
  <c r="V224" i="8"/>
  <c r="V225" i="8"/>
  <c r="V226" i="8"/>
  <c r="V227" i="8"/>
  <c r="V228" i="8"/>
  <c r="V229" i="8"/>
  <c r="V230" i="8"/>
  <c r="V231" i="8"/>
  <c r="V232" i="8"/>
  <c r="V233" i="8"/>
  <c r="V234" i="8"/>
  <c r="V235" i="8"/>
  <c r="V236" i="8"/>
  <c r="V237" i="8"/>
  <c r="V238" i="8"/>
  <c r="V239" i="8"/>
  <c r="V240" i="8"/>
  <c r="V241" i="8"/>
  <c r="V242" i="8"/>
  <c r="V243" i="8"/>
  <c r="V244" i="8"/>
  <c r="V245" i="8"/>
  <c r="V246" i="8"/>
  <c r="V247" i="8"/>
  <c r="V248" i="8"/>
  <c r="V249" i="8"/>
  <c r="V250" i="8"/>
  <c r="V251" i="8"/>
  <c r="V252" i="8"/>
  <c r="V253" i="8"/>
  <c r="V254" i="8"/>
  <c r="V255" i="8"/>
  <c r="V256" i="8"/>
  <c r="V257" i="8"/>
  <c r="V258" i="8"/>
  <c r="V259" i="8"/>
  <c r="V260" i="8"/>
  <c r="V261" i="8"/>
  <c r="V262" i="8"/>
  <c r="V263" i="8"/>
  <c r="V264" i="8"/>
  <c r="V265" i="8"/>
  <c r="V266" i="8"/>
  <c r="V267" i="8"/>
  <c r="V268" i="8"/>
  <c r="V269" i="8"/>
  <c r="V270" i="8"/>
  <c r="V271" i="8"/>
  <c r="V272" i="8"/>
  <c r="V273" i="8"/>
  <c r="V274" i="8"/>
  <c r="V275" i="8"/>
  <c r="V276" i="8"/>
  <c r="V277" i="8"/>
  <c r="V278" i="8"/>
  <c r="V279" i="8"/>
  <c r="V280" i="8"/>
  <c r="V281" i="8"/>
  <c r="V282" i="8"/>
  <c r="V283" i="8"/>
  <c r="V284" i="8"/>
  <c r="V285" i="8"/>
  <c r="V286" i="8"/>
  <c r="V287" i="8"/>
  <c r="V288" i="8"/>
  <c r="V289" i="8"/>
  <c r="V290" i="8"/>
  <c r="V291" i="8"/>
  <c r="V292" i="8"/>
  <c r="V293" i="8"/>
  <c r="V294" i="8"/>
  <c r="V295" i="8"/>
  <c r="V296" i="8"/>
  <c r="V297" i="8"/>
  <c r="V298" i="8"/>
  <c r="V299" i="8"/>
  <c r="V300" i="8"/>
  <c r="V301" i="8"/>
  <c r="V302" i="8"/>
  <c r="V303" i="8"/>
  <c r="V304" i="8"/>
  <c r="V305" i="8"/>
  <c r="V306" i="8"/>
  <c r="V307" i="8"/>
  <c r="V308" i="8"/>
  <c r="V309" i="8"/>
  <c r="V310" i="8"/>
  <c r="V311" i="8"/>
  <c r="V312" i="8"/>
  <c r="V313" i="8"/>
  <c r="V314" i="8"/>
  <c r="V315" i="8"/>
  <c r="V316" i="8"/>
  <c r="V317" i="8"/>
  <c r="V318" i="8"/>
  <c r="V319" i="8"/>
  <c r="V320" i="8"/>
  <c r="V321" i="8"/>
  <c r="V322" i="8"/>
  <c r="V323" i="8"/>
  <c r="V324" i="8"/>
  <c r="V325" i="8"/>
  <c r="V326" i="8"/>
  <c r="V327" i="8"/>
  <c r="V328" i="8"/>
  <c r="V329" i="8"/>
  <c r="V330" i="8"/>
  <c r="V331" i="8"/>
  <c r="V332" i="8"/>
  <c r="V333" i="8"/>
  <c r="V334" i="8"/>
  <c r="V335" i="8"/>
  <c r="V336" i="8"/>
  <c r="V337" i="8"/>
  <c r="V338" i="8"/>
  <c r="V339" i="8"/>
  <c r="V340" i="8"/>
  <c r="V341" i="8"/>
  <c r="V342" i="8"/>
  <c r="V343" i="8"/>
  <c r="V344" i="8"/>
  <c r="V345" i="8"/>
  <c r="V346" i="8"/>
  <c r="V347" i="8"/>
  <c r="V348" i="8"/>
  <c r="V349" i="8"/>
  <c r="V350" i="8"/>
  <c r="V351" i="8"/>
  <c r="V352" i="8"/>
  <c r="V353" i="8"/>
  <c r="V354" i="8"/>
  <c r="V355" i="8"/>
  <c r="V356" i="8"/>
  <c r="V357" i="8"/>
  <c r="V358" i="8"/>
  <c r="V359" i="8"/>
  <c r="V360" i="8"/>
  <c r="V361" i="8"/>
  <c r="V362" i="8"/>
  <c r="V363" i="8"/>
  <c r="V364" i="8"/>
  <c r="V365" i="8"/>
  <c r="V366" i="8"/>
  <c r="V367" i="8"/>
  <c r="V368" i="8"/>
  <c r="V369" i="8"/>
  <c r="V370" i="8"/>
  <c r="V371" i="8"/>
  <c r="V372" i="8"/>
  <c r="V373" i="8"/>
  <c r="V374" i="8"/>
  <c r="V375" i="8"/>
  <c r="V376" i="8"/>
  <c r="V377" i="8"/>
  <c r="V378" i="8"/>
  <c r="V379" i="8"/>
  <c r="V380" i="8"/>
  <c r="V381" i="8"/>
  <c r="V382" i="8"/>
  <c r="V383" i="8"/>
  <c r="V384" i="8"/>
  <c r="V385" i="8"/>
  <c r="V386" i="8"/>
  <c r="V387" i="8"/>
  <c r="V388" i="8"/>
  <c r="V389" i="8"/>
  <c r="V390" i="8"/>
  <c r="V391" i="8"/>
  <c r="V392" i="8"/>
  <c r="V393" i="8"/>
  <c r="V394" i="8"/>
  <c r="V395" i="8"/>
  <c r="V396" i="8"/>
  <c r="V397" i="8"/>
  <c r="V398" i="8"/>
  <c r="V399" i="8"/>
  <c r="V400" i="8"/>
  <c r="V401" i="8"/>
  <c r="V402" i="8"/>
  <c r="V403" i="8"/>
  <c r="V404" i="8"/>
  <c r="V405" i="8"/>
  <c r="V406" i="8"/>
  <c r="V407" i="8"/>
  <c r="V408" i="8"/>
  <c r="V409" i="8"/>
  <c r="V410" i="8"/>
  <c r="V411" i="8"/>
  <c r="V412" i="8"/>
  <c r="V413" i="8"/>
  <c r="V414" i="8"/>
  <c r="V415" i="8"/>
  <c r="V416" i="8"/>
  <c r="V417" i="8"/>
  <c r="V418" i="8"/>
  <c r="V419" i="8"/>
  <c r="V420" i="8"/>
  <c r="V421" i="8"/>
  <c r="V422" i="8"/>
  <c r="V423" i="8"/>
  <c r="V424" i="8"/>
  <c r="V425" i="8"/>
  <c r="V426" i="8"/>
  <c r="V427" i="8"/>
  <c r="V428" i="8"/>
  <c r="V429" i="8"/>
  <c r="V430" i="8"/>
  <c r="V431" i="8"/>
  <c r="V432" i="8"/>
  <c r="V433" i="8"/>
  <c r="V434" i="8"/>
  <c r="V435" i="8"/>
  <c r="V436" i="8"/>
  <c r="V437" i="8"/>
  <c r="V438" i="8"/>
  <c r="V439" i="8"/>
  <c r="V440" i="8"/>
  <c r="V441" i="8"/>
  <c r="V442" i="8"/>
  <c r="V443" i="8"/>
  <c r="V444" i="8"/>
  <c r="V445" i="8"/>
  <c r="V446" i="8"/>
  <c r="V447" i="8"/>
  <c r="V448" i="8"/>
  <c r="V449" i="8"/>
  <c r="V450" i="8"/>
  <c r="V451" i="8"/>
  <c r="V452" i="8"/>
  <c r="V453" i="8"/>
  <c r="V454" i="8"/>
  <c r="V455" i="8"/>
  <c r="V456" i="8"/>
  <c r="V457" i="8"/>
  <c r="V458" i="8"/>
  <c r="V459" i="8"/>
  <c r="V460" i="8"/>
  <c r="V461" i="8"/>
  <c r="V462" i="8"/>
  <c r="V463" i="8"/>
  <c r="V464" i="8"/>
  <c r="V465" i="8"/>
  <c r="V466" i="8"/>
  <c r="V467" i="8"/>
  <c r="V468" i="8"/>
  <c r="V469" i="8"/>
  <c r="V470" i="8"/>
  <c r="V471" i="8"/>
  <c r="V472" i="8"/>
  <c r="V473" i="8"/>
  <c r="V474" i="8"/>
  <c r="V475" i="8"/>
  <c r="V476" i="8"/>
  <c r="V477" i="8"/>
  <c r="V478" i="8"/>
  <c r="V479" i="8"/>
  <c r="V480" i="8"/>
  <c r="V481" i="8"/>
  <c r="V482" i="8"/>
  <c r="V483" i="8"/>
  <c r="V484" i="8"/>
  <c r="V485" i="8"/>
  <c r="V486" i="8"/>
  <c r="V487" i="8"/>
  <c r="V488" i="8"/>
  <c r="V489" i="8"/>
  <c r="V490" i="8"/>
  <c r="V491" i="8"/>
  <c r="V492" i="8"/>
  <c r="V493" i="8"/>
  <c r="V494" i="8"/>
  <c r="V495" i="8"/>
  <c r="V496" i="8"/>
  <c r="V497" i="8"/>
  <c r="V498" i="8"/>
  <c r="V499" i="8"/>
  <c r="V500" i="8"/>
  <c r="V501" i="8"/>
  <c r="V502" i="8"/>
  <c r="V503" i="8"/>
  <c r="V504" i="8"/>
  <c r="V505" i="8"/>
  <c r="V506" i="8"/>
  <c r="V507" i="8"/>
  <c r="V508" i="8"/>
  <c r="V509" i="8"/>
  <c r="V510" i="8"/>
  <c r="V511" i="8"/>
  <c r="V512" i="8"/>
  <c r="V513" i="8"/>
  <c r="V514" i="8"/>
  <c r="V515" i="8"/>
  <c r="V516" i="8"/>
  <c r="V517" i="8"/>
  <c r="V518" i="8"/>
  <c r="V519" i="8"/>
  <c r="V520" i="8"/>
  <c r="V521" i="8"/>
  <c r="V522" i="8"/>
  <c r="V523" i="8"/>
  <c r="V524" i="8"/>
  <c r="V525" i="8"/>
  <c r="V526" i="8"/>
  <c r="V527" i="8"/>
  <c r="V528" i="8"/>
  <c r="V529" i="8"/>
  <c r="V530" i="8"/>
  <c r="V531" i="8"/>
  <c r="V532" i="8"/>
  <c r="V533" i="8"/>
  <c r="V534" i="8"/>
  <c r="V535" i="8"/>
  <c r="V536" i="8"/>
  <c r="V537" i="8"/>
  <c r="V538" i="8"/>
  <c r="V539" i="8"/>
  <c r="V540" i="8"/>
  <c r="V541" i="8"/>
  <c r="V542" i="8"/>
  <c r="V543" i="8"/>
  <c r="V544" i="8"/>
  <c r="V545" i="8"/>
  <c r="V546" i="8"/>
  <c r="V547" i="8"/>
  <c r="V548" i="8"/>
  <c r="V549" i="8"/>
  <c r="V550" i="8"/>
  <c r="V551" i="8"/>
  <c r="V552" i="8"/>
  <c r="V553" i="8"/>
  <c r="V554" i="8"/>
  <c r="V555" i="8"/>
  <c r="V556" i="8"/>
  <c r="V557" i="8"/>
  <c r="V558" i="8"/>
  <c r="V559" i="8"/>
  <c r="V560" i="8"/>
  <c r="V561" i="8"/>
  <c r="V562" i="8"/>
  <c r="V563" i="8"/>
  <c r="V564" i="8"/>
  <c r="V565" i="8"/>
  <c r="V566" i="8"/>
  <c r="V567" i="8"/>
  <c r="V568" i="8"/>
  <c r="V569" i="8"/>
  <c r="V570" i="8"/>
  <c r="V571" i="8"/>
  <c r="V572" i="8"/>
  <c r="V573" i="8"/>
  <c r="V574" i="8"/>
  <c r="V575" i="8"/>
  <c r="V576" i="8"/>
  <c r="V577" i="8"/>
  <c r="V578" i="8"/>
  <c r="V579" i="8"/>
  <c r="V580" i="8"/>
  <c r="V581" i="8"/>
  <c r="V582" i="8"/>
  <c r="V583" i="8"/>
  <c r="V584" i="8"/>
  <c r="V585" i="8"/>
  <c r="V586" i="8"/>
  <c r="V587" i="8"/>
  <c r="V588" i="8"/>
  <c r="V589" i="8"/>
  <c r="V590" i="8"/>
  <c r="V591" i="8"/>
  <c r="V592" i="8"/>
  <c r="V593" i="8"/>
  <c r="V594" i="8"/>
  <c r="V595" i="8"/>
  <c r="V596" i="8"/>
  <c r="V597" i="8"/>
  <c r="V598" i="8"/>
  <c r="V599" i="8"/>
  <c r="V600" i="8"/>
  <c r="V601" i="8"/>
  <c r="V602" i="8"/>
  <c r="V603" i="8"/>
  <c r="V604" i="8"/>
  <c r="V605" i="8"/>
  <c r="V606" i="8"/>
  <c r="V607" i="8"/>
  <c r="V608" i="8"/>
  <c r="V609" i="8"/>
  <c r="V610" i="8"/>
  <c r="V611" i="8"/>
  <c r="V612" i="8"/>
  <c r="V613" i="8"/>
  <c r="V614" i="8"/>
  <c r="V615" i="8"/>
  <c r="V616" i="8"/>
  <c r="V617" i="8"/>
  <c r="V618" i="8"/>
  <c r="V619" i="8"/>
  <c r="V620" i="8"/>
  <c r="V621" i="8"/>
  <c r="V622" i="8"/>
  <c r="V623" i="8"/>
  <c r="V624" i="8"/>
  <c r="V625" i="8"/>
  <c r="V626" i="8"/>
  <c r="V627" i="8"/>
  <c r="V628" i="8"/>
  <c r="V629" i="8"/>
  <c r="V630" i="8"/>
  <c r="V631" i="8"/>
  <c r="V632" i="8"/>
  <c r="V633" i="8"/>
  <c r="V634" i="8"/>
  <c r="V635" i="8"/>
  <c r="V636" i="8"/>
  <c r="V637" i="8"/>
  <c r="V638" i="8"/>
  <c r="V639" i="8"/>
  <c r="V640" i="8"/>
  <c r="V641" i="8"/>
  <c r="V642" i="8"/>
  <c r="V643" i="8"/>
  <c r="V644" i="8"/>
  <c r="V645" i="8"/>
  <c r="V646" i="8"/>
  <c r="V647" i="8"/>
  <c r="V648" i="8"/>
  <c r="V649" i="8"/>
  <c r="V650" i="8"/>
  <c r="V651" i="8"/>
  <c r="V652" i="8"/>
  <c r="V653" i="8"/>
  <c r="V654" i="8"/>
  <c r="V655" i="8"/>
  <c r="V656" i="8"/>
  <c r="V657" i="8"/>
  <c r="V658" i="8"/>
  <c r="V659" i="8"/>
  <c r="V660" i="8"/>
  <c r="V661" i="8"/>
  <c r="V662" i="8"/>
  <c r="V663" i="8"/>
  <c r="V664" i="8"/>
  <c r="V665" i="8"/>
  <c r="V666" i="8"/>
  <c r="V667" i="8"/>
  <c r="V668" i="8"/>
  <c r="V669" i="8"/>
  <c r="V670" i="8"/>
  <c r="V671" i="8"/>
  <c r="V672" i="8"/>
  <c r="V673" i="8"/>
  <c r="V674" i="8"/>
  <c r="V675" i="8"/>
  <c r="V676" i="8"/>
  <c r="V677" i="8"/>
  <c r="V678" i="8"/>
  <c r="V679" i="8"/>
  <c r="V680" i="8"/>
  <c r="V681" i="8"/>
  <c r="V682" i="8"/>
  <c r="V683" i="8"/>
  <c r="V684" i="8"/>
  <c r="V685" i="8"/>
  <c r="V686" i="8"/>
  <c r="V687" i="8"/>
  <c r="V688" i="8"/>
  <c r="V689" i="8"/>
  <c r="V690" i="8"/>
  <c r="V691" i="8"/>
  <c r="V692" i="8"/>
  <c r="V693" i="8"/>
  <c r="V694" i="8"/>
  <c r="V695" i="8"/>
  <c r="V696" i="8"/>
  <c r="V697" i="8"/>
  <c r="V698" i="8"/>
  <c r="V699" i="8"/>
  <c r="V700" i="8"/>
  <c r="V701" i="8"/>
  <c r="V702" i="8"/>
  <c r="V703" i="8"/>
  <c r="V704" i="8"/>
  <c r="V705" i="8"/>
  <c r="V706" i="8"/>
  <c r="V707" i="8"/>
  <c r="V708" i="8"/>
  <c r="V709" i="8"/>
  <c r="V710" i="8"/>
  <c r="V711" i="8"/>
  <c r="V712" i="8"/>
  <c r="V713" i="8"/>
  <c r="V714" i="8"/>
  <c r="V715" i="8"/>
  <c r="V716" i="8"/>
  <c r="V717" i="8"/>
  <c r="V718" i="8"/>
  <c r="V719" i="8"/>
  <c r="V720" i="8"/>
  <c r="V721" i="8"/>
  <c r="V722" i="8"/>
  <c r="V723" i="8"/>
  <c r="V724" i="8"/>
  <c r="V725" i="8"/>
  <c r="V726" i="8"/>
  <c r="V727" i="8"/>
  <c r="V728" i="8"/>
  <c r="V729" i="8"/>
  <c r="V730" i="8"/>
  <c r="V731" i="8"/>
  <c r="V732" i="8"/>
  <c r="V733" i="8"/>
  <c r="V734" i="8"/>
  <c r="V735" i="8"/>
  <c r="V736" i="8"/>
  <c r="V737" i="8"/>
  <c r="V738" i="8"/>
  <c r="V739" i="8"/>
  <c r="V740" i="8"/>
  <c r="V741" i="8"/>
  <c r="V742" i="8"/>
  <c r="V743" i="8"/>
  <c r="V744" i="8"/>
  <c r="V745" i="8"/>
  <c r="V746" i="8"/>
  <c r="V747" i="8"/>
  <c r="V748" i="8"/>
  <c r="V749" i="8"/>
  <c r="V750" i="8"/>
  <c r="V751" i="8"/>
  <c r="V752" i="8"/>
  <c r="V753" i="8"/>
  <c r="V754" i="8"/>
  <c r="V755" i="8"/>
  <c r="V756" i="8"/>
  <c r="V757" i="8"/>
  <c r="V758" i="8"/>
  <c r="V759" i="8"/>
  <c r="V760" i="8"/>
  <c r="V761" i="8"/>
  <c r="V762" i="8"/>
  <c r="V763" i="8"/>
  <c r="V764" i="8"/>
  <c r="V765" i="8"/>
  <c r="V766" i="8"/>
  <c r="V767" i="8"/>
  <c r="V768" i="8"/>
  <c r="V769" i="8"/>
  <c r="V770" i="8"/>
  <c r="V771" i="8"/>
  <c r="V772" i="8"/>
  <c r="V773" i="8"/>
  <c r="V774" i="8"/>
  <c r="V775" i="8"/>
  <c r="V776" i="8"/>
  <c r="V777" i="8"/>
  <c r="V778" i="8"/>
  <c r="V779" i="8"/>
  <c r="V780" i="8"/>
  <c r="V781" i="8"/>
  <c r="V782" i="8"/>
  <c r="V783" i="8"/>
  <c r="V784" i="8"/>
  <c r="V785" i="8"/>
  <c r="V786" i="8"/>
  <c r="V787" i="8"/>
  <c r="V788" i="8"/>
  <c r="V789" i="8"/>
  <c r="V790" i="8"/>
  <c r="V791" i="8"/>
  <c r="V792" i="8"/>
  <c r="V793" i="8"/>
  <c r="V794" i="8"/>
  <c r="V795" i="8"/>
  <c r="V796" i="8"/>
  <c r="V797" i="8"/>
  <c r="V798" i="8"/>
  <c r="V799" i="8"/>
  <c r="V800" i="8"/>
  <c r="V801" i="8"/>
  <c r="V802" i="8"/>
  <c r="V803" i="8"/>
  <c r="V804" i="8"/>
  <c r="V805" i="8"/>
  <c r="V806" i="8"/>
  <c r="V807" i="8"/>
  <c r="V808" i="8"/>
  <c r="V809" i="8"/>
  <c r="V810" i="8"/>
  <c r="V811" i="8"/>
  <c r="V812" i="8"/>
  <c r="V813" i="8"/>
  <c r="V814" i="8"/>
  <c r="V815" i="8"/>
  <c r="V816" i="8"/>
  <c r="V817" i="8"/>
  <c r="V818" i="8"/>
  <c r="V819" i="8"/>
  <c r="V820" i="8"/>
  <c r="V821" i="8"/>
  <c r="V822" i="8"/>
  <c r="V823" i="8"/>
  <c r="V824" i="8"/>
  <c r="V825" i="8"/>
  <c r="V826" i="8"/>
  <c r="V827" i="8"/>
  <c r="V828" i="8"/>
  <c r="V829" i="8"/>
  <c r="V830" i="8"/>
  <c r="V831" i="8"/>
  <c r="V832" i="8"/>
  <c r="V833" i="8"/>
  <c r="V834" i="8"/>
  <c r="V835" i="8"/>
  <c r="V836" i="8"/>
  <c r="V837" i="8"/>
  <c r="V838" i="8"/>
  <c r="V839" i="8"/>
  <c r="V840" i="8"/>
  <c r="V841" i="8"/>
  <c r="V842" i="8"/>
  <c r="V843" i="8"/>
  <c r="V844" i="8"/>
  <c r="V845" i="8"/>
  <c r="V846" i="8"/>
  <c r="V847" i="8"/>
  <c r="V848" i="8"/>
  <c r="V849" i="8"/>
  <c r="V850" i="8"/>
  <c r="V851" i="8"/>
  <c r="V852" i="8"/>
  <c r="V853" i="8"/>
  <c r="V854" i="8"/>
  <c r="V855" i="8"/>
  <c r="V856" i="8"/>
  <c r="V857" i="8"/>
  <c r="V858" i="8"/>
  <c r="V859" i="8"/>
  <c r="V860" i="8"/>
  <c r="V861" i="8"/>
  <c r="V862" i="8"/>
  <c r="V863" i="8"/>
  <c r="V864" i="8"/>
  <c r="V865" i="8"/>
  <c r="V866" i="8"/>
  <c r="V867" i="8"/>
  <c r="V868" i="8"/>
  <c r="V869" i="8"/>
  <c r="V870" i="8"/>
  <c r="V871" i="8"/>
  <c r="V872" i="8"/>
  <c r="V873" i="8"/>
  <c r="V874" i="8"/>
  <c r="V875" i="8"/>
  <c r="V876" i="8"/>
  <c r="V877" i="8"/>
  <c r="V878" i="8"/>
  <c r="V879" i="8"/>
  <c r="V880" i="8"/>
  <c r="V881" i="8"/>
  <c r="V882" i="8"/>
  <c r="V883" i="8"/>
  <c r="V884" i="8"/>
  <c r="V885" i="8"/>
  <c r="V886" i="8"/>
  <c r="V887" i="8"/>
  <c r="V888" i="8"/>
  <c r="V889" i="8"/>
  <c r="V890" i="8"/>
  <c r="V891" i="8"/>
  <c r="V892" i="8"/>
  <c r="V893" i="8"/>
  <c r="V894" i="8"/>
  <c r="V895" i="8"/>
  <c r="V896" i="8"/>
  <c r="V897" i="8"/>
  <c r="V898" i="8"/>
  <c r="V899" i="8"/>
  <c r="V900" i="8"/>
  <c r="V901" i="8"/>
  <c r="V902" i="8"/>
  <c r="V903" i="8"/>
  <c r="V904" i="8"/>
  <c r="V905" i="8"/>
  <c r="V906" i="8"/>
  <c r="V907" i="8"/>
  <c r="V908" i="8"/>
  <c r="V909" i="8"/>
  <c r="V910" i="8"/>
  <c r="V911" i="8"/>
  <c r="V912" i="8"/>
  <c r="V913" i="8"/>
  <c r="V914" i="8"/>
  <c r="V915" i="8"/>
  <c r="V916" i="8"/>
  <c r="V917" i="8"/>
  <c r="V918" i="8"/>
  <c r="V919" i="8"/>
  <c r="V920" i="8"/>
  <c r="V921" i="8"/>
  <c r="V922" i="8"/>
  <c r="V923" i="8"/>
  <c r="V924" i="8"/>
  <c r="V925" i="8"/>
  <c r="V926" i="8"/>
  <c r="V927" i="8"/>
  <c r="V928" i="8"/>
  <c r="V929" i="8"/>
  <c r="V930" i="8"/>
  <c r="V931" i="8"/>
  <c r="V932" i="8"/>
  <c r="V933" i="8"/>
  <c r="V934" i="8"/>
  <c r="V935" i="8"/>
  <c r="V936" i="8"/>
  <c r="V937" i="8"/>
  <c r="V938" i="8"/>
  <c r="V939" i="8"/>
  <c r="V940" i="8"/>
  <c r="V941" i="8"/>
  <c r="V942" i="8"/>
  <c r="V943" i="8"/>
  <c r="V944" i="8"/>
  <c r="V945" i="8"/>
  <c r="V946" i="8"/>
  <c r="V947" i="8"/>
  <c r="V948" i="8"/>
  <c r="V949" i="8"/>
  <c r="V950" i="8"/>
  <c r="V951" i="8"/>
  <c r="V952" i="8"/>
  <c r="V953" i="8"/>
  <c r="V954" i="8"/>
  <c r="V955" i="8"/>
  <c r="V956" i="8"/>
  <c r="V957" i="8"/>
  <c r="V958" i="8"/>
  <c r="V959" i="8"/>
  <c r="V960" i="8"/>
  <c r="V961" i="8"/>
  <c r="V962" i="8"/>
  <c r="V963" i="8"/>
  <c r="V964" i="8"/>
  <c r="V965" i="8"/>
  <c r="V966" i="8"/>
  <c r="V967" i="8"/>
  <c r="V968" i="8"/>
  <c r="V969" i="8"/>
  <c r="V970" i="8"/>
  <c r="V971" i="8"/>
  <c r="V972" i="8"/>
  <c r="V973" i="8"/>
  <c r="V974" i="8"/>
  <c r="V975" i="8"/>
  <c r="V976" i="8"/>
  <c r="V977" i="8"/>
  <c r="V978" i="8"/>
  <c r="V979" i="8"/>
  <c r="V980" i="8"/>
  <c r="V981" i="8"/>
  <c r="V982" i="8"/>
  <c r="V983" i="8"/>
  <c r="V984" i="8"/>
  <c r="V985" i="8"/>
  <c r="V986" i="8"/>
  <c r="V987" i="8"/>
  <c r="V988" i="8"/>
  <c r="V989" i="8"/>
  <c r="V990" i="8"/>
  <c r="V991" i="8"/>
  <c r="V992" i="8"/>
  <c r="V993" i="8"/>
  <c r="V994" i="8"/>
  <c r="V995" i="8"/>
  <c r="V996" i="8"/>
  <c r="V997" i="8"/>
  <c r="V998" i="8"/>
  <c r="V999" i="8"/>
  <c r="V1000" i="8"/>
  <c r="V1001" i="8"/>
  <c r="V1002" i="8"/>
  <c r="V1003" i="8"/>
  <c r="V1004" i="8"/>
  <c r="V1005" i="8"/>
  <c r="V1006" i="8"/>
  <c r="V1007" i="8"/>
  <c r="V1008" i="8"/>
  <c r="V1009" i="8"/>
  <c r="V1010" i="8"/>
  <c r="V1011" i="8"/>
  <c r="V1012" i="8"/>
  <c r="V1013" i="8"/>
  <c r="V1014" i="8"/>
  <c r="V1015" i="8"/>
  <c r="V1016" i="8"/>
  <c r="V1017" i="8"/>
  <c r="V1018" i="8"/>
  <c r="V1019" i="8"/>
  <c r="V1020" i="8"/>
  <c r="V1021" i="8"/>
  <c r="V1022" i="8"/>
  <c r="V1023" i="8"/>
  <c r="V1024" i="8"/>
  <c r="V1025" i="8"/>
  <c r="V1026" i="8"/>
  <c r="V1027" i="8"/>
  <c r="V1028" i="8"/>
  <c r="V1029" i="8"/>
  <c r="V1030" i="8"/>
  <c r="V1031" i="8"/>
  <c r="V1032" i="8"/>
  <c r="V1033" i="8"/>
  <c r="V1034" i="8"/>
  <c r="V1035" i="8"/>
  <c r="V1036" i="8"/>
  <c r="V1037" i="8"/>
  <c r="V1038" i="8"/>
  <c r="V1039" i="8"/>
  <c r="V1040" i="8"/>
  <c r="V1041" i="8"/>
  <c r="V1042" i="8"/>
  <c r="V1043" i="8"/>
  <c r="V1044" i="8"/>
  <c r="V1045" i="8"/>
  <c r="V1046" i="8"/>
  <c r="V1047" i="8"/>
  <c r="V1048" i="8"/>
  <c r="V1049" i="8"/>
  <c r="V1050" i="8"/>
  <c r="V1051" i="8"/>
  <c r="V1052" i="8"/>
  <c r="V1053" i="8"/>
  <c r="V1054" i="8"/>
  <c r="V1055" i="8"/>
  <c r="V1056" i="8"/>
  <c r="V1057" i="8"/>
  <c r="V1058" i="8"/>
  <c r="V1059" i="8"/>
  <c r="V1060" i="8"/>
  <c r="V1061" i="8"/>
  <c r="V1062" i="8"/>
  <c r="V1063" i="8"/>
  <c r="V1064" i="8"/>
  <c r="V1065" i="8"/>
  <c r="V1066" i="8"/>
  <c r="V1067" i="8"/>
  <c r="V1068" i="8"/>
  <c r="V1069" i="8"/>
  <c r="V1070" i="8"/>
  <c r="V1071" i="8"/>
  <c r="V1072" i="8"/>
  <c r="V1073" i="8"/>
  <c r="V1074" i="8"/>
  <c r="V1075" i="8"/>
  <c r="V1076" i="8"/>
  <c r="V1077" i="8"/>
  <c r="V1078" i="8"/>
  <c r="V1079" i="8"/>
  <c r="V1080" i="8"/>
  <c r="V1081" i="8"/>
  <c r="V1082" i="8"/>
  <c r="V1083" i="8"/>
  <c r="V1084" i="8"/>
  <c r="V1085" i="8"/>
  <c r="V1086" i="8"/>
  <c r="V1087" i="8"/>
  <c r="V1088" i="8"/>
  <c r="V1089" i="8"/>
  <c r="V1090" i="8"/>
  <c r="V1091" i="8"/>
  <c r="V1092" i="8"/>
  <c r="V1093" i="8"/>
  <c r="V1094" i="8"/>
  <c r="V1095" i="8"/>
  <c r="V1096" i="8"/>
  <c r="V1097" i="8"/>
  <c r="V1098" i="8"/>
  <c r="V1099" i="8"/>
  <c r="V1100" i="8"/>
  <c r="V1101" i="8"/>
  <c r="V1102" i="8"/>
  <c r="V1103" i="8"/>
  <c r="V1104" i="8"/>
  <c r="V1105" i="8"/>
  <c r="V1106" i="8"/>
  <c r="V1107" i="8"/>
  <c r="V1108" i="8"/>
  <c r="V1109" i="8"/>
  <c r="V1110" i="8"/>
  <c r="V1111" i="8"/>
  <c r="V1112" i="8"/>
  <c r="V1113" i="8"/>
  <c r="V1114" i="8"/>
  <c r="V1115" i="8"/>
  <c r="V1116" i="8"/>
  <c r="V1117" i="8"/>
  <c r="V1118" i="8"/>
  <c r="V1119" i="8"/>
  <c r="V1120" i="8"/>
  <c r="V1121" i="8"/>
  <c r="V1122" i="8"/>
  <c r="V1123" i="8"/>
  <c r="V1124" i="8"/>
  <c r="V1125" i="8"/>
  <c r="V1126" i="8"/>
  <c r="V1127" i="8"/>
  <c r="V1128" i="8"/>
  <c r="V1129" i="8"/>
  <c r="V1130" i="8"/>
  <c r="V1131" i="8"/>
  <c r="V1132" i="8"/>
  <c r="V1133" i="8"/>
  <c r="V1134" i="8"/>
  <c r="V1135" i="8"/>
  <c r="V1136" i="8"/>
  <c r="V1137" i="8"/>
  <c r="V1138" i="8"/>
  <c r="V1139" i="8"/>
  <c r="V1140" i="8"/>
  <c r="V1141" i="8"/>
  <c r="V1142" i="8"/>
  <c r="V1143" i="8"/>
  <c r="V1144" i="8"/>
  <c r="V1145" i="8"/>
  <c r="V1146" i="8"/>
  <c r="V1147" i="8"/>
  <c r="V1148" i="8"/>
  <c r="V1149" i="8"/>
  <c r="V1150" i="8"/>
  <c r="V1151" i="8"/>
  <c r="V1152" i="8"/>
  <c r="V1153" i="8"/>
  <c r="V1154" i="8"/>
  <c r="V1155" i="8"/>
  <c r="V1156" i="8"/>
  <c r="V1157" i="8"/>
  <c r="V1158" i="8"/>
  <c r="V1159" i="8"/>
  <c r="V1160" i="8"/>
  <c r="V1161" i="8"/>
  <c r="V1162" i="8"/>
  <c r="V1163" i="8"/>
  <c r="V1164" i="8"/>
  <c r="V1165" i="8"/>
  <c r="V1166" i="8"/>
  <c r="V1167" i="8"/>
  <c r="V1168" i="8"/>
  <c r="V1169" i="8"/>
  <c r="V1170" i="8"/>
  <c r="V1171" i="8"/>
  <c r="V1172" i="8"/>
  <c r="V1173" i="8"/>
  <c r="V1174" i="8"/>
  <c r="V1175" i="8"/>
  <c r="V1176" i="8"/>
  <c r="V1177" i="8"/>
  <c r="V1178" i="8"/>
  <c r="V1179" i="8"/>
  <c r="V1180" i="8"/>
  <c r="V1181" i="8"/>
  <c r="V1182" i="8"/>
  <c r="V1183" i="8"/>
  <c r="V1184" i="8"/>
  <c r="V1185" i="8"/>
  <c r="V1186" i="8"/>
  <c r="V1187" i="8"/>
  <c r="V1188" i="8"/>
  <c r="V1189" i="8"/>
  <c r="V1190" i="8"/>
  <c r="V1191" i="8"/>
  <c r="V1192" i="8"/>
  <c r="V1193" i="8"/>
  <c r="V1194" i="8"/>
  <c r="V1195" i="8"/>
  <c r="V1196" i="8"/>
  <c r="V1197" i="8"/>
  <c r="V1198" i="8"/>
  <c r="V1199" i="8"/>
  <c r="V1200" i="8"/>
  <c r="V1201" i="8"/>
  <c r="V1202" i="8"/>
  <c r="V1203" i="8"/>
  <c r="V1204" i="8"/>
  <c r="V1205" i="8"/>
  <c r="V1206" i="8"/>
  <c r="V1207" i="8"/>
  <c r="V1208" i="8"/>
  <c r="V1209" i="8"/>
  <c r="V1210" i="8"/>
  <c r="V1211" i="8"/>
  <c r="V1212" i="8"/>
  <c r="V1213" i="8"/>
  <c r="V1214" i="8"/>
  <c r="V1215" i="8"/>
  <c r="V1216" i="8"/>
  <c r="V1217" i="8"/>
  <c r="V1218" i="8"/>
  <c r="V1219" i="8"/>
  <c r="V1220" i="8"/>
  <c r="V1221" i="8"/>
  <c r="V1222" i="8"/>
  <c r="V1223" i="8"/>
  <c r="V1224" i="8"/>
  <c r="V1225" i="8"/>
  <c r="V1226" i="8"/>
  <c r="V1227" i="8"/>
  <c r="V1228" i="8"/>
  <c r="V1229" i="8"/>
  <c r="V1230" i="8"/>
  <c r="V1231" i="8"/>
  <c r="V1232" i="8"/>
  <c r="V1233" i="8"/>
  <c r="V1234" i="8"/>
  <c r="V1235" i="8"/>
  <c r="V1236" i="8"/>
  <c r="V1237" i="8"/>
  <c r="V1238" i="8"/>
  <c r="V1239" i="8"/>
  <c r="V1240" i="8"/>
  <c r="V1241" i="8"/>
  <c r="V1242" i="8"/>
  <c r="V1243" i="8"/>
  <c r="V1244" i="8"/>
  <c r="V1245" i="8"/>
  <c r="V1246" i="8"/>
  <c r="V1247" i="8"/>
  <c r="V1248" i="8"/>
  <c r="V1249" i="8"/>
  <c r="V1250" i="8"/>
  <c r="V1251" i="8"/>
  <c r="V1252" i="8"/>
  <c r="V1253" i="8"/>
  <c r="V1254" i="8"/>
  <c r="V1255" i="8"/>
  <c r="V1256" i="8"/>
  <c r="V1257" i="8"/>
  <c r="V1258" i="8"/>
  <c r="V1259" i="8"/>
  <c r="V1260" i="8"/>
  <c r="V1261" i="8"/>
  <c r="V1262" i="8"/>
  <c r="V1263" i="8"/>
  <c r="V1264" i="8"/>
  <c r="V1265" i="8"/>
  <c r="V1266" i="8"/>
  <c r="V1267" i="8"/>
  <c r="V1268" i="8"/>
  <c r="V1269" i="8"/>
  <c r="V1270" i="8"/>
  <c r="V1271" i="8"/>
  <c r="V1272" i="8"/>
  <c r="V1273" i="8"/>
  <c r="V1274" i="8"/>
  <c r="V1275" i="8"/>
  <c r="V1276" i="8"/>
  <c r="V1277" i="8"/>
  <c r="V1278" i="8"/>
  <c r="V1279" i="8"/>
  <c r="V1280" i="8"/>
  <c r="V1281" i="8"/>
  <c r="V1282" i="8"/>
  <c r="V1283" i="8"/>
  <c r="V1284" i="8"/>
  <c r="V1285" i="8"/>
  <c r="V1286" i="8"/>
  <c r="V1287" i="8"/>
  <c r="V1288" i="8"/>
  <c r="V1289" i="8"/>
  <c r="V1290" i="8"/>
  <c r="V1291" i="8"/>
  <c r="V1292" i="8"/>
  <c r="V1293" i="8"/>
  <c r="V1294" i="8"/>
  <c r="V1295" i="8"/>
  <c r="V1296" i="8"/>
  <c r="V1297" i="8"/>
  <c r="V1298" i="8"/>
  <c r="V1299" i="8"/>
  <c r="V1300" i="8"/>
  <c r="V1301" i="8"/>
  <c r="V1302" i="8"/>
  <c r="V1303" i="8"/>
  <c r="V1304" i="8"/>
  <c r="V1305" i="8"/>
  <c r="V1306" i="8"/>
  <c r="V1307" i="8"/>
  <c r="V1308" i="8"/>
  <c r="V1309" i="8"/>
  <c r="V1310" i="8"/>
  <c r="V1311" i="8"/>
  <c r="V1312" i="8"/>
  <c r="V1313" i="8"/>
  <c r="V1314" i="8"/>
  <c r="V1315" i="8"/>
  <c r="V1316" i="8"/>
  <c r="V1317" i="8"/>
  <c r="V1318" i="8"/>
  <c r="V1319" i="8"/>
  <c r="V1320" i="8"/>
  <c r="V1321" i="8"/>
  <c r="V1322" i="8"/>
  <c r="V1323" i="8"/>
  <c r="V1324" i="8"/>
  <c r="V1325" i="8"/>
  <c r="V1326" i="8"/>
  <c r="V1327" i="8"/>
  <c r="V1328" i="8"/>
  <c r="V1329" i="8"/>
  <c r="V1330" i="8"/>
  <c r="V1331" i="8"/>
  <c r="V1332" i="8"/>
  <c r="V1333" i="8"/>
  <c r="V1334" i="8"/>
  <c r="V1335" i="8"/>
  <c r="V1336" i="8"/>
  <c r="V1337" i="8"/>
  <c r="V1338" i="8"/>
  <c r="V1339" i="8"/>
  <c r="V1340" i="8"/>
  <c r="V1341" i="8"/>
  <c r="V1342" i="8"/>
  <c r="V1343" i="8"/>
  <c r="V1344" i="8"/>
  <c r="V1345" i="8"/>
  <c r="V1346" i="8"/>
  <c r="V1347" i="8"/>
  <c r="V1348" i="8"/>
  <c r="V1349" i="8"/>
  <c r="V1350" i="8"/>
  <c r="V1351" i="8"/>
  <c r="V1352" i="8"/>
  <c r="V1353" i="8"/>
  <c r="V1354" i="8"/>
  <c r="V1355" i="8"/>
  <c r="V1356" i="8"/>
  <c r="V1357" i="8"/>
  <c r="V1358" i="8"/>
  <c r="V1359" i="8"/>
  <c r="V1360" i="8"/>
  <c r="V1361" i="8"/>
  <c r="V1362" i="8"/>
  <c r="V1363" i="8"/>
  <c r="V1364" i="8"/>
  <c r="V1365" i="8"/>
  <c r="V1366" i="8"/>
  <c r="V1367" i="8"/>
  <c r="V1368" i="8"/>
  <c r="V1369" i="8"/>
  <c r="V1370" i="8"/>
  <c r="V1371" i="8"/>
  <c r="V1372" i="8"/>
  <c r="V1373" i="8"/>
  <c r="V1374" i="8"/>
  <c r="V1375" i="8"/>
  <c r="V1376" i="8"/>
  <c r="V1377" i="8"/>
  <c r="V1378" i="8"/>
  <c r="V1379" i="8"/>
  <c r="V1380" i="8"/>
  <c r="V1381" i="8"/>
  <c r="V1382" i="8"/>
  <c r="V1383" i="8"/>
  <c r="V1384" i="8"/>
  <c r="V1385" i="8"/>
  <c r="V1386" i="8"/>
  <c r="V1387" i="8"/>
  <c r="V1388" i="8"/>
  <c r="V1389" i="8"/>
  <c r="V1390" i="8"/>
  <c r="V1391" i="8"/>
  <c r="V1392" i="8"/>
  <c r="V1393" i="8"/>
  <c r="V1394" i="8"/>
  <c r="V1395" i="8"/>
  <c r="V1396" i="8"/>
  <c r="V1397" i="8"/>
  <c r="V1398" i="8"/>
  <c r="V1399" i="8"/>
  <c r="V1400" i="8"/>
  <c r="V1401" i="8"/>
  <c r="V1402" i="8"/>
  <c r="V1403" i="8"/>
  <c r="V1404" i="8"/>
  <c r="V1405" i="8"/>
  <c r="V1406" i="8"/>
  <c r="V1407" i="8"/>
  <c r="V1408" i="8"/>
  <c r="V1409" i="8"/>
  <c r="V1410" i="8"/>
  <c r="V1411" i="8"/>
  <c r="V1412" i="8"/>
  <c r="V1413" i="8"/>
  <c r="V1414" i="8"/>
  <c r="V1415" i="8"/>
  <c r="V1416" i="8"/>
  <c r="V1417" i="8"/>
  <c r="V1418" i="8"/>
  <c r="V1419" i="8"/>
  <c r="V1420" i="8"/>
  <c r="V1421" i="8"/>
  <c r="V1422" i="8"/>
  <c r="V1423" i="8"/>
  <c r="V1424" i="8"/>
  <c r="V1425" i="8"/>
  <c r="V1426" i="8"/>
  <c r="V1427" i="8"/>
  <c r="V1428" i="8"/>
  <c r="V1429" i="8"/>
  <c r="V1430" i="8"/>
  <c r="V1431" i="8"/>
  <c r="V1432" i="8"/>
  <c r="V1433" i="8"/>
  <c r="V1434" i="8"/>
  <c r="V1435" i="8"/>
  <c r="V1436" i="8"/>
  <c r="V1437" i="8"/>
  <c r="V1438" i="8"/>
  <c r="V1439" i="8"/>
  <c r="V1440" i="8"/>
  <c r="V1441" i="8"/>
  <c r="V1442" i="8"/>
  <c r="V1443" i="8"/>
  <c r="V1444" i="8"/>
  <c r="V1445" i="8"/>
  <c r="V1446" i="8"/>
  <c r="V1447" i="8"/>
  <c r="V1448" i="8"/>
  <c r="V1449" i="8"/>
  <c r="V1450" i="8"/>
  <c r="V1451" i="8"/>
  <c r="V1452" i="8"/>
  <c r="V1453" i="8"/>
  <c r="V1454" i="8"/>
  <c r="V1455" i="8"/>
  <c r="V1456" i="8"/>
  <c r="V1457" i="8"/>
  <c r="V1458" i="8"/>
  <c r="V1459" i="8"/>
  <c r="V1460" i="8"/>
  <c r="V1461" i="8"/>
  <c r="V1462" i="8"/>
  <c r="V1463" i="8"/>
  <c r="V1464" i="8"/>
  <c r="V1465" i="8"/>
  <c r="V1466" i="8"/>
  <c r="V1467" i="8"/>
  <c r="V1468" i="8"/>
  <c r="V1469" i="8"/>
  <c r="V1470" i="8"/>
  <c r="V1471" i="8"/>
  <c r="V1472" i="8"/>
  <c r="V1473" i="8"/>
  <c r="V1474" i="8"/>
  <c r="V1475" i="8"/>
  <c r="V1476" i="8"/>
  <c r="V1477" i="8"/>
  <c r="V1478" i="8"/>
  <c r="V1479" i="8"/>
  <c r="V1480" i="8"/>
  <c r="V1481" i="8"/>
  <c r="V1482" i="8"/>
  <c r="V1483" i="8"/>
  <c r="V1484" i="8"/>
  <c r="V1485" i="8"/>
  <c r="V1486" i="8"/>
  <c r="V1487" i="8"/>
  <c r="V1488" i="8"/>
  <c r="V1489" i="8"/>
  <c r="V1490" i="8"/>
  <c r="V1491" i="8"/>
  <c r="V1492" i="8"/>
  <c r="V1493" i="8"/>
  <c r="V1494" i="8"/>
  <c r="V1495" i="8"/>
  <c r="V1496" i="8"/>
  <c r="V1497" i="8"/>
  <c r="V1498" i="8"/>
  <c r="V1499" i="8"/>
  <c r="V1500" i="8"/>
  <c r="V1501" i="8"/>
  <c r="V1502" i="8"/>
  <c r="V1503" i="8"/>
  <c r="V1504" i="8"/>
  <c r="V1505" i="8"/>
  <c r="V1506" i="8"/>
  <c r="V1507" i="8"/>
  <c r="V1508" i="8"/>
  <c r="V1509" i="8"/>
  <c r="V1510" i="8"/>
  <c r="V1511" i="8"/>
  <c r="V1512" i="8"/>
  <c r="V1513" i="8"/>
  <c r="V1514" i="8"/>
  <c r="V1515" i="8"/>
  <c r="V1516" i="8"/>
  <c r="V1517" i="8"/>
  <c r="V1518" i="8"/>
  <c r="V1519" i="8"/>
  <c r="V1520" i="8"/>
  <c r="V1521" i="8"/>
  <c r="V1522" i="8"/>
  <c r="V1523" i="8"/>
  <c r="V1524" i="8"/>
  <c r="V1525" i="8"/>
  <c r="V1526" i="8"/>
  <c r="V1527" i="8"/>
  <c r="V1528" i="8"/>
  <c r="V1529" i="8"/>
  <c r="V1530" i="8"/>
  <c r="V1531" i="8"/>
  <c r="V1532" i="8"/>
  <c r="V1533" i="8"/>
  <c r="V1534" i="8"/>
  <c r="V1535" i="8"/>
  <c r="V1536" i="8"/>
  <c r="V1537" i="8"/>
  <c r="V1538" i="8"/>
  <c r="V1539" i="8"/>
  <c r="V1540" i="8"/>
  <c r="V1541" i="8"/>
  <c r="V1542" i="8"/>
  <c r="V1543" i="8"/>
  <c r="V1544" i="8"/>
  <c r="V1545" i="8"/>
  <c r="V1546" i="8"/>
  <c r="V1547" i="8"/>
  <c r="V1548" i="8"/>
  <c r="V1549" i="8"/>
  <c r="V1550" i="8"/>
  <c r="V1551" i="8"/>
  <c r="V1552" i="8"/>
  <c r="V1553" i="8"/>
  <c r="V1554" i="8"/>
  <c r="V1555" i="8"/>
  <c r="V1556" i="8"/>
  <c r="V1557" i="8"/>
  <c r="V1558" i="8"/>
  <c r="V1559" i="8"/>
  <c r="V1560" i="8"/>
  <c r="V1561" i="8"/>
  <c r="V1562" i="8"/>
  <c r="V1563" i="8"/>
  <c r="V1564" i="8"/>
  <c r="V1565" i="8"/>
  <c r="V1566" i="8"/>
  <c r="V1567" i="8"/>
  <c r="V1568" i="8"/>
  <c r="V1569" i="8"/>
  <c r="V1570" i="8"/>
  <c r="V1571" i="8"/>
  <c r="V1572" i="8"/>
  <c r="V1573" i="8"/>
  <c r="V1574" i="8"/>
  <c r="V1575" i="8"/>
  <c r="V1576" i="8"/>
  <c r="V1577" i="8"/>
  <c r="V1578" i="8"/>
  <c r="V1579" i="8"/>
  <c r="V1580" i="8"/>
  <c r="V1581" i="8"/>
  <c r="V1582" i="8"/>
  <c r="V1583" i="8"/>
  <c r="V1584" i="8"/>
  <c r="V1585" i="8"/>
  <c r="V1586" i="8"/>
  <c r="V1587" i="8"/>
  <c r="V1588" i="8"/>
  <c r="V1589" i="8"/>
  <c r="V1590" i="8"/>
  <c r="V1591" i="8"/>
  <c r="V1592" i="8"/>
  <c r="V1593" i="8"/>
  <c r="V1594" i="8"/>
  <c r="V1595" i="8"/>
  <c r="V1596" i="8"/>
  <c r="V1597" i="8"/>
  <c r="V1598" i="8"/>
  <c r="V1599" i="8"/>
  <c r="V1600" i="8"/>
  <c r="V1601" i="8"/>
  <c r="V1602" i="8"/>
  <c r="V1603" i="8"/>
  <c r="V1604" i="8"/>
  <c r="V1605" i="8"/>
  <c r="V1606" i="8"/>
  <c r="V1607" i="8"/>
  <c r="V1608" i="8"/>
  <c r="V1609" i="8"/>
  <c r="V1610" i="8"/>
  <c r="V1611" i="8"/>
  <c r="V1612" i="8"/>
  <c r="V1613" i="8"/>
  <c r="V1614" i="8"/>
  <c r="V1615" i="8"/>
  <c r="V1616" i="8"/>
  <c r="V1617" i="8"/>
  <c r="V1618" i="8"/>
  <c r="V1619" i="8"/>
  <c r="V1620" i="8"/>
  <c r="V1621" i="8"/>
  <c r="V1622" i="8"/>
  <c r="V1623" i="8"/>
  <c r="V1624" i="8"/>
  <c r="V1625" i="8"/>
  <c r="V1626" i="8"/>
  <c r="V1627" i="8"/>
  <c r="W2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156" i="8"/>
  <c r="W157" i="8"/>
  <c r="W158" i="8"/>
  <c r="W159" i="8"/>
  <c r="W160" i="8"/>
  <c r="W161" i="8"/>
  <c r="W162" i="8"/>
  <c r="W163" i="8"/>
  <c r="W164" i="8"/>
  <c r="W165" i="8"/>
  <c r="W166" i="8"/>
  <c r="W167" i="8"/>
  <c r="W168" i="8"/>
  <c r="W169" i="8"/>
  <c r="W170" i="8"/>
  <c r="W171" i="8"/>
  <c r="W172" i="8"/>
  <c r="W173" i="8"/>
  <c r="W174" i="8"/>
  <c r="W175" i="8"/>
  <c r="W176" i="8"/>
  <c r="W177" i="8"/>
  <c r="W178" i="8"/>
  <c r="W179" i="8"/>
  <c r="W180" i="8"/>
  <c r="W181" i="8"/>
  <c r="W182" i="8"/>
  <c r="W183" i="8"/>
  <c r="W184" i="8"/>
  <c r="W185" i="8"/>
  <c r="W186" i="8"/>
  <c r="W187" i="8"/>
  <c r="W188" i="8"/>
  <c r="W189" i="8"/>
  <c r="W190" i="8"/>
  <c r="W191" i="8"/>
  <c r="W192" i="8"/>
  <c r="W193" i="8"/>
  <c r="W194" i="8"/>
  <c r="W195" i="8"/>
  <c r="W196" i="8"/>
  <c r="W197" i="8"/>
  <c r="W198" i="8"/>
  <c r="W199" i="8"/>
  <c r="W200" i="8"/>
  <c r="W201" i="8"/>
  <c r="W202" i="8"/>
  <c r="W203" i="8"/>
  <c r="W204" i="8"/>
  <c r="W205" i="8"/>
  <c r="W206" i="8"/>
  <c r="W207" i="8"/>
  <c r="W208" i="8"/>
  <c r="W209" i="8"/>
  <c r="W210" i="8"/>
  <c r="W211" i="8"/>
  <c r="W212" i="8"/>
  <c r="W213" i="8"/>
  <c r="W214" i="8"/>
  <c r="W215" i="8"/>
  <c r="W216" i="8"/>
  <c r="W217" i="8"/>
  <c r="W218" i="8"/>
  <c r="W219" i="8"/>
  <c r="W220" i="8"/>
  <c r="W221" i="8"/>
  <c r="W222" i="8"/>
  <c r="W223" i="8"/>
  <c r="W224" i="8"/>
  <c r="W225" i="8"/>
  <c r="W226" i="8"/>
  <c r="W227" i="8"/>
  <c r="W228" i="8"/>
  <c r="W229" i="8"/>
  <c r="W230" i="8"/>
  <c r="W231" i="8"/>
  <c r="W232" i="8"/>
  <c r="W233" i="8"/>
  <c r="W234" i="8"/>
  <c r="W235" i="8"/>
  <c r="W236" i="8"/>
  <c r="W237" i="8"/>
  <c r="W238" i="8"/>
  <c r="W239" i="8"/>
  <c r="W240" i="8"/>
  <c r="W241" i="8"/>
  <c r="W242" i="8"/>
  <c r="W243" i="8"/>
  <c r="W244" i="8"/>
  <c r="W245" i="8"/>
  <c r="W246" i="8"/>
  <c r="W247" i="8"/>
  <c r="W248" i="8"/>
  <c r="W249" i="8"/>
  <c r="W250" i="8"/>
  <c r="W251" i="8"/>
  <c r="W252" i="8"/>
  <c r="W253" i="8"/>
  <c r="W254" i="8"/>
  <c r="W255" i="8"/>
  <c r="W256" i="8"/>
  <c r="W257" i="8"/>
  <c r="W258" i="8"/>
  <c r="W259" i="8"/>
  <c r="W260" i="8"/>
  <c r="W261" i="8"/>
  <c r="W262" i="8"/>
  <c r="W263" i="8"/>
  <c r="W264" i="8"/>
  <c r="W265" i="8"/>
  <c r="W266" i="8"/>
  <c r="W267" i="8"/>
  <c r="W268" i="8"/>
  <c r="W269" i="8"/>
  <c r="W270" i="8"/>
  <c r="W271" i="8"/>
  <c r="W272" i="8"/>
  <c r="W273" i="8"/>
  <c r="W274" i="8"/>
  <c r="W275" i="8"/>
  <c r="W276" i="8"/>
  <c r="W277" i="8"/>
  <c r="W278" i="8"/>
  <c r="W279" i="8"/>
  <c r="W280" i="8"/>
  <c r="W281" i="8"/>
  <c r="W282" i="8"/>
  <c r="W283" i="8"/>
  <c r="W284" i="8"/>
  <c r="W285" i="8"/>
  <c r="W286" i="8"/>
  <c r="W287" i="8"/>
  <c r="W288" i="8"/>
  <c r="W289" i="8"/>
  <c r="W290" i="8"/>
  <c r="W291" i="8"/>
  <c r="W292" i="8"/>
  <c r="W293" i="8"/>
  <c r="W294" i="8"/>
  <c r="W295" i="8"/>
  <c r="W296" i="8"/>
  <c r="W297" i="8"/>
  <c r="W298" i="8"/>
  <c r="W299" i="8"/>
  <c r="W300" i="8"/>
  <c r="W301" i="8"/>
  <c r="W302" i="8"/>
  <c r="W303" i="8"/>
  <c r="W304" i="8"/>
  <c r="W305" i="8"/>
  <c r="W306" i="8"/>
  <c r="W307" i="8"/>
  <c r="W308" i="8"/>
  <c r="W309" i="8"/>
  <c r="W310" i="8"/>
  <c r="W311" i="8"/>
  <c r="W312" i="8"/>
  <c r="W313" i="8"/>
  <c r="W314" i="8"/>
  <c r="W315" i="8"/>
  <c r="W316" i="8"/>
  <c r="W317" i="8"/>
  <c r="W318" i="8"/>
  <c r="W319" i="8"/>
  <c r="W320" i="8"/>
  <c r="W321" i="8"/>
  <c r="W322" i="8"/>
  <c r="W323" i="8"/>
  <c r="W324" i="8"/>
  <c r="W325" i="8"/>
  <c r="W326" i="8"/>
  <c r="W327" i="8"/>
  <c r="W328" i="8"/>
  <c r="W329" i="8"/>
  <c r="W330" i="8"/>
  <c r="W331" i="8"/>
  <c r="W332" i="8"/>
  <c r="W333" i="8"/>
  <c r="W334" i="8"/>
  <c r="W335" i="8"/>
  <c r="W336" i="8"/>
  <c r="W337" i="8"/>
  <c r="W338" i="8"/>
  <c r="W339" i="8"/>
  <c r="W340" i="8"/>
  <c r="W341" i="8"/>
  <c r="W342" i="8"/>
  <c r="W343" i="8"/>
  <c r="W344" i="8"/>
  <c r="W345" i="8"/>
  <c r="W346" i="8"/>
  <c r="W347" i="8"/>
  <c r="W348" i="8"/>
  <c r="W349" i="8"/>
  <c r="W350" i="8"/>
  <c r="W351" i="8"/>
  <c r="W352" i="8"/>
  <c r="W353" i="8"/>
  <c r="W354" i="8"/>
  <c r="W355" i="8"/>
  <c r="W356" i="8"/>
  <c r="W357" i="8"/>
  <c r="W358" i="8"/>
  <c r="W359" i="8"/>
  <c r="W360" i="8"/>
  <c r="W361" i="8"/>
  <c r="W362" i="8"/>
  <c r="W363" i="8"/>
  <c r="W364" i="8"/>
  <c r="W365" i="8"/>
  <c r="W366" i="8"/>
  <c r="W367" i="8"/>
  <c r="W368" i="8"/>
  <c r="W369" i="8"/>
  <c r="W370" i="8"/>
  <c r="W371" i="8"/>
  <c r="W372" i="8"/>
  <c r="W373" i="8"/>
  <c r="W374" i="8"/>
  <c r="W375" i="8"/>
  <c r="W376" i="8"/>
  <c r="W377" i="8"/>
  <c r="W378" i="8"/>
  <c r="W379" i="8"/>
  <c r="W380" i="8"/>
  <c r="W381" i="8"/>
  <c r="W382" i="8"/>
  <c r="W383" i="8"/>
  <c r="W384" i="8"/>
  <c r="W385" i="8"/>
  <c r="W386" i="8"/>
  <c r="W387" i="8"/>
  <c r="W388" i="8"/>
  <c r="W389" i="8"/>
  <c r="W390" i="8"/>
  <c r="W391" i="8"/>
  <c r="W392" i="8"/>
  <c r="W393" i="8"/>
  <c r="W394" i="8"/>
  <c r="W395" i="8"/>
  <c r="W396" i="8"/>
  <c r="W397" i="8"/>
  <c r="W398" i="8"/>
  <c r="W399" i="8"/>
  <c r="W400" i="8"/>
  <c r="W401" i="8"/>
  <c r="W402" i="8"/>
  <c r="W403" i="8"/>
  <c r="W404" i="8"/>
  <c r="W405" i="8"/>
  <c r="W406" i="8"/>
  <c r="W407" i="8"/>
  <c r="W408" i="8"/>
  <c r="W409" i="8"/>
  <c r="W410" i="8"/>
  <c r="W411" i="8"/>
  <c r="W412" i="8"/>
  <c r="W413" i="8"/>
  <c r="W414" i="8"/>
  <c r="W415" i="8"/>
  <c r="W416" i="8"/>
  <c r="W417" i="8"/>
  <c r="W418" i="8"/>
  <c r="W419" i="8"/>
  <c r="W420" i="8"/>
  <c r="W421" i="8"/>
  <c r="W422" i="8"/>
  <c r="W423" i="8"/>
  <c r="W424" i="8"/>
  <c r="W425" i="8"/>
  <c r="W426" i="8"/>
  <c r="W427" i="8"/>
  <c r="W428" i="8"/>
  <c r="W429" i="8"/>
  <c r="W430" i="8"/>
  <c r="W431" i="8"/>
  <c r="W432" i="8"/>
  <c r="W433" i="8"/>
  <c r="W434" i="8"/>
  <c r="W435" i="8"/>
  <c r="W436" i="8"/>
  <c r="W437" i="8"/>
  <c r="W438" i="8"/>
  <c r="W439" i="8"/>
  <c r="W440" i="8"/>
  <c r="W441" i="8"/>
  <c r="W442" i="8"/>
  <c r="W443" i="8"/>
  <c r="W444" i="8"/>
  <c r="W445" i="8"/>
  <c r="W446" i="8"/>
  <c r="W447" i="8"/>
  <c r="W448" i="8"/>
  <c r="W449" i="8"/>
  <c r="W450" i="8"/>
  <c r="W451" i="8"/>
  <c r="W452" i="8"/>
  <c r="W453" i="8"/>
  <c r="W454" i="8"/>
  <c r="W455" i="8"/>
  <c r="W456" i="8"/>
  <c r="W457" i="8"/>
  <c r="W458" i="8"/>
  <c r="W459" i="8"/>
  <c r="W460" i="8"/>
  <c r="W461" i="8"/>
  <c r="W462" i="8"/>
  <c r="W463" i="8"/>
  <c r="W464" i="8"/>
  <c r="W465" i="8"/>
  <c r="W466" i="8"/>
  <c r="W467" i="8"/>
  <c r="W468" i="8"/>
  <c r="W469" i="8"/>
  <c r="W470" i="8"/>
  <c r="W471" i="8"/>
  <c r="W472" i="8"/>
  <c r="W473" i="8"/>
  <c r="W474" i="8"/>
  <c r="W475" i="8"/>
  <c r="W476" i="8"/>
  <c r="W477" i="8"/>
  <c r="W478" i="8"/>
  <c r="W479" i="8"/>
  <c r="W480" i="8"/>
  <c r="W481" i="8"/>
  <c r="W482" i="8"/>
  <c r="W483" i="8"/>
  <c r="W484" i="8"/>
  <c r="W485" i="8"/>
  <c r="W486" i="8"/>
  <c r="W487" i="8"/>
  <c r="W488" i="8"/>
  <c r="W489" i="8"/>
  <c r="W490" i="8"/>
  <c r="W491" i="8"/>
  <c r="W492" i="8"/>
  <c r="W493" i="8"/>
  <c r="W494" i="8"/>
  <c r="W495" i="8"/>
  <c r="W496" i="8"/>
  <c r="W497" i="8"/>
  <c r="W498" i="8"/>
  <c r="W499" i="8"/>
  <c r="W500" i="8"/>
  <c r="W501" i="8"/>
  <c r="W502" i="8"/>
  <c r="W503" i="8"/>
  <c r="W504" i="8"/>
  <c r="W505" i="8"/>
  <c r="W506" i="8"/>
  <c r="W507" i="8"/>
  <c r="W508" i="8"/>
  <c r="W509" i="8"/>
  <c r="W510" i="8"/>
  <c r="W511" i="8"/>
  <c r="W512" i="8"/>
  <c r="W513" i="8"/>
  <c r="W514" i="8"/>
  <c r="W515" i="8"/>
  <c r="W516" i="8"/>
  <c r="W517" i="8"/>
  <c r="W518" i="8"/>
  <c r="W519" i="8"/>
  <c r="W520" i="8"/>
  <c r="W521" i="8"/>
  <c r="W522" i="8"/>
  <c r="W523" i="8"/>
  <c r="W524" i="8"/>
  <c r="W525" i="8"/>
  <c r="W526" i="8"/>
  <c r="W527" i="8"/>
  <c r="W528" i="8"/>
  <c r="W529" i="8"/>
  <c r="W530" i="8"/>
  <c r="W531" i="8"/>
  <c r="W532" i="8"/>
  <c r="W533" i="8"/>
  <c r="W534" i="8"/>
  <c r="W535" i="8"/>
  <c r="W536" i="8"/>
  <c r="W537" i="8"/>
  <c r="W538" i="8"/>
  <c r="W539" i="8"/>
  <c r="W540" i="8"/>
  <c r="W541" i="8"/>
  <c r="W542" i="8"/>
  <c r="W543" i="8"/>
  <c r="W544" i="8"/>
  <c r="W545" i="8"/>
  <c r="W546" i="8"/>
  <c r="W547" i="8"/>
  <c r="W548" i="8"/>
  <c r="W549" i="8"/>
  <c r="W550" i="8"/>
  <c r="W551" i="8"/>
  <c r="W552" i="8"/>
  <c r="W553" i="8"/>
  <c r="W554" i="8"/>
  <c r="W555" i="8"/>
  <c r="W556" i="8"/>
  <c r="W557" i="8"/>
  <c r="W558" i="8"/>
  <c r="W559" i="8"/>
  <c r="W560" i="8"/>
  <c r="W561" i="8"/>
  <c r="W562" i="8"/>
  <c r="W563" i="8"/>
  <c r="W564" i="8"/>
  <c r="W565" i="8"/>
  <c r="W566" i="8"/>
  <c r="W567" i="8"/>
  <c r="W568" i="8"/>
  <c r="W569" i="8"/>
  <c r="W570" i="8"/>
  <c r="W571" i="8"/>
  <c r="W572" i="8"/>
  <c r="W573" i="8"/>
  <c r="W574" i="8"/>
  <c r="W575" i="8"/>
  <c r="W576" i="8"/>
  <c r="W577" i="8"/>
  <c r="W578" i="8"/>
  <c r="W579" i="8"/>
  <c r="W580" i="8"/>
  <c r="W581" i="8"/>
  <c r="W582" i="8"/>
  <c r="W583" i="8"/>
  <c r="W584" i="8"/>
  <c r="W585" i="8"/>
  <c r="W586" i="8"/>
  <c r="W587" i="8"/>
  <c r="W588" i="8"/>
  <c r="W589" i="8"/>
  <c r="W590" i="8"/>
  <c r="W591" i="8"/>
  <c r="W592" i="8"/>
  <c r="W593" i="8"/>
  <c r="W594" i="8"/>
  <c r="W595" i="8"/>
  <c r="W596" i="8"/>
  <c r="W597" i="8"/>
  <c r="W598" i="8"/>
  <c r="W599" i="8"/>
  <c r="W600" i="8"/>
  <c r="W601" i="8"/>
  <c r="W602" i="8"/>
  <c r="W603" i="8"/>
  <c r="W604" i="8"/>
  <c r="W605" i="8"/>
  <c r="W606" i="8"/>
  <c r="W607" i="8"/>
  <c r="W608" i="8"/>
  <c r="W609" i="8"/>
  <c r="W610" i="8"/>
  <c r="W611" i="8"/>
  <c r="W612" i="8"/>
  <c r="W613" i="8"/>
  <c r="W614" i="8"/>
  <c r="W615" i="8"/>
  <c r="W616" i="8"/>
  <c r="W617" i="8"/>
  <c r="W618" i="8"/>
  <c r="W619" i="8"/>
  <c r="W620" i="8"/>
  <c r="W621" i="8"/>
  <c r="W622" i="8"/>
  <c r="W623" i="8"/>
  <c r="W624" i="8"/>
  <c r="W625" i="8"/>
  <c r="W626" i="8"/>
  <c r="W627" i="8"/>
  <c r="W628" i="8"/>
  <c r="W629" i="8"/>
  <c r="W630" i="8"/>
  <c r="W631" i="8"/>
  <c r="W632" i="8"/>
  <c r="W633" i="8"/>
  <c r="W634" i="8"/>
  <c r="W635" i="8"/>
  <c r="W636" i="8"/>
  <c r="W637" i="8"/>
  <c r="W638" i="8"/>
  <c r="W639" i="8"/>
  <c r="W640" i="8"/>
  <c r="W641" i="8"/>
  <c r="W642" i="8"/>
  <c r="W643" i="8"/>
  <c r="W644" i="8"/>
  <c r="W645" i="8"/>
  <c r="W646" i="8"/>
  <c r="W647" i="8"/>
  <c r="W648" i="8"/>
  <c r="W649" i="8"/>
  <c r="W650" i="8"/>
  <c r="W651" i="8"/>
  <c r="W652" i="8"/>
  <c r="W653" i="8"/>
  <c r="W654" i="8"/>
  <c r="W655" i="8"/>
  <c r="W656" i="8"/>
  <c r="W657" i="8"/>
  <c r="W658" i="8"/>
  <c r="W659" i="8"/>
  <c r="W660" i="8"/>
  <c r="W661" i="8"/>
  <c r="W662" i="8"/>
  <c r="W663" i="8"/>
  <c r="W664" i="8"/>
  <c r="W665" i="8"/>
  <c r="W666" i="8"/>
  <c r="W667" i="8"/>
  <c r="W668" i="8"/>
  <c r="W669" i="8"/>
  <c r="W670" i="8"/>
  <c r="W671" i="8"/>
  <c r="W672" i="8"/>
  <c r="W673" i="8"/>
  <c r="W674" i="8"/>
  <c r="W675" i="8"/>
  <c r="W676" i="8"/>
  <c r="W677" i="8"/>
  <c r="W678" i="8"/>
  <c r="W679" i="8"/>
  <c r="W680" i="8"/>
  <c r="W681" i="8"/>
  <c r="W682" i="8"/>
  <c r="W683" i="8"/>
  <c r="W684" i="8"/>
  <c r="W685" i="8"/>
  <c r="W686" i="8"/>
  <c r="W687" i="8"/>
  <c r="W688" i="8"/>
  <c r="W689" i="8"/>
  <c r="W690" i="8"/>
  <c r="W691" i="8"/>
  <c r="W692" i="8"/>
  <c r="W693" i="8"/>
  <c r="W694" i="8"/>
  <c r="W695" i="8"/>
  <c r="W696" i="8"/>
  <c r="W697" i="8"/>
  <c r="W698" i="8"/>
  <c r="W699" i="8"/>
  <c r="W700" i="8"/>
  <c r="W701" i="8"/>
  <c r="W702" i="8"/>
  <c r="W703" i="8"/>
  <c r="W704" i="8"/>
  <c r="W705" i="8"/>
  <c r="W706" i="8"/>
  <c r="W707" i="8"/>
  <c r="W708" i="8"/>
  <c r="W709" i="8"/>
  <c r="W710" i="8"/>
  <c r="W711" i="8"/>
  <c r="W712" i="8"/>
  <c r="W713" i="8"/>
  <c r="W714" i="8"/>
  <c r="W715" i="8"/>
  <c r="W716" i="8"/>
  <c r="W717" i="8"/>
  <c r="W718" i="8"/>
  <c r="W719" i="8"/>
  <c r="W720" i="8"/>
  <c r="W721" i="8"/>
  <c r="W722" i="8"/>
  <c r="W723" i="8"/>
  <c r="W724" i="8"/>
  <c r="W725" i="8"/>
  <c r="W726" i="8"/>
  <c r="W727" i="8"/>
  <c r="W728" i="8"/>
  <c r="W729" i="8"/>
  <c r="W730" i="8"/>
  <c r="W731" i="8"/>
  <c r="W732" i="8"/>
  <c r="W733" i="8"/>
  <c r="W734" i="8"/>
  <c r="W735" i="8"/>
  <c r="W736" i="8"/>
  <c r="W737" i="8"/>
  <c r="W738" i="8"/>
  <c r="W739" i="8"/>
  <c r="W740" i="8"/>
  <c r="W741" i="8"/>
  <c r="W742" i="8"/>
  <c r="W743" i="8"/>
  <c r="W744" i="8"/>
  <c r="W745" i="8"/>
  <c r="W746" i="8"/>
  <c r="W747" i="8"/>
  <c r="W748" i="8"/>
  <c r="W749" i="8"/>
  <c r="W750" i="8"/>
  <c r="W751" i="8"/>
  <c r="W752" i="8"/>
  <c r="W753" i="8"/>
  <c r="W754" i="8"/>
  <c r="W755" i="8"/>
  <c r="W756" i="8"/>
  <c r="W757" i="8"/>
  <c r="W758" i="8"/>
  <c r="W759" i="8"/>
  <c r="W760" i="8"/>
  <c r="W761" i="8"/>
  <c r="W762" i="8"/>
  <c r="W763" i="8"/>
  <c r="W764" i="8"/>
  <c r="W765" i="8"/>
  <c r="W766" i="8"/>
  <c r="W767" i="8"/>
  <c r="W768" i="8"/>
  <c r="W769" i="8"/>
  <c r="W770" i="8"/>
  <c r="W771" i="8"/>
  <c r="W772" i="8"/>
  <c r="W773" i="8"/>
  <c r="W774" i="8"/>
  <c r="W775" i="8"/>
  <c r="W776" i="8"/>
  <c r="W777" i="8"/>
  <c r="W778" i="8"/>
  <c r="W779" i="8"/>
  <c r="W780" i="8"/>
  <c r="W781" i="8"/>
  <c r="W782" i="8"/>
  <c r="W783" i="8"/>
  <c r="W784" i="8"/>
  <c r="W785" i="8"/>
  <c r="W786" i="8"/>
  <c r="W787" i="8"/>
  <c r="W788" i="8"/>
  <c r="W789" i="8"/>
  <c r="W790" i="8"/>
  <c r="W791" i="8"/>
  <c r="W792" i="8"/>
  <c r="W793" i="8"/>
  <c r="W794" i="8"/>
  <c r="W795" i="8"/>
  <c r="W796" i="8"/>
  <c r="W797" i="8"/>
  <c r="W798" i="8"/>
  <c r="W799" i="8"/>
  <c r="W800" i="8"/>
  <c r="W801" i="8"/>
  <c r="W802" i="8"/>
  <c r="W803" i="8"/>
  <c r="W804" i="8"/>
  <c r="W805" i="8"/>
  <c r="W806" i="8"/>
  <c r="W807" i="8"/>
  <c r="W808" i="8"/>
  <c r="W809" i="8"/>
  <c r="W810" i="8"/>
  <c r="W811" i="8"/>
  <c r="W812" i="8"/>
  <c r="W813" i="8"/>
  <c r="W814" i="8"/>
  <c r="W815" i="8"/>
  <c r="W816" i="8"/>
  <c r="W817" i="8"/>
  <c r="W818" i="8"/>
  <c r="W819" i="8"/>
  <c r="W820" i="8"/>
  <c r="W821" i="8"/>
  <c r="W822" i="8"/>
  <c r="W823" i="8"/>
  <c r="W824" i="8"/>
  <c r="W825" i="8"/>
  <c r="W826" i="8"/>
  <c r="W827" i="8"/>
  <c r="W828" i="8"/>
  <c r="W829" i="8"/>
  <c r="W830" i="8"/>
  <c r="W831" i="8"/>
  <c r="W832" i="8"/>
  <c r="W833" i="8"/>
  <c r="W834" i="8"/>
  <c r="W835" i="8"/>
  <c r="W836" i="8"/>
  <c r="W837" i="8"/>
  <c r="W838" i="8"/>
  <c r="W839" i="8"/>
  <c r="W840" i="8"/>
  <c r="W841" i="8"/>
  <c r="W842" i="8"/>
  <c r="W843" i="8"/>
  <c r="W844" i="8"/>
  <c r="W845" i="8"/>
  <c r="W846" i="8"/>
  <c r="W847" i="8"/>
  <c r="W848" i="8"/>
  <c r="W849" i="8"/>
  <c r="W850" i="8"/>
  <c r="W851" i="8"/>
  <c r="W852" i="8"/>
  <c r="W853" i="8"/>
  <c r="W854" i="8"/>
  <c r="W855" i="8"/>
  <c r="W856" i="8"/>
  <c r="W857" i="8"/>
  <c r="W858" i="8"/>
  <c r="W859" i="8"/>
  <c r="W860" i="8"/>
  <c r="W861" i="8"/>
  <c r="W862" i="8"/>
  <c r="W863" i="8"/>
  <c r="W864" i="8"/>
  <c r="W865" i="8"/>
  <c r="W866" i="8"/>
  <c r="W867" i="8"/>
  <c r="W868" i="8"/>
  <c r="W869" i="8"/>
  <c r="W870" i="8"/>
  <c r="W871" i="8"/>
  <c r="W872" i="8"/>
  <c r="W873" i="8"/>
  <c r="W874" i="8"/>
  <c r="W875" i="8"/>
  <c r="W876" i="8"/>
  <c r="W877" i="8"/>
  <c r="W878" i="8"/>
  <c r="W879" i="8"/>
  <c r="W880" i="8"/>
  <c r="W881" i="8"/>
  <c r="W882" i="8"/>
  <c r="W883" i="8"/>
  <c r="W884" i="8"/>
  <c r="W885" i="8"/>
  <c r="W886" i="8"/>
  <c r="W887" i="8"/>
  <c r="W888" i="8"/>
  <c r="W889" i="8"/>
  <c r="W890" i="8"/>
  <c r="W891" i="8"/>
  <c r="W892" i="8"/>
  <c r="W893" i="8"/>
  <c r="W894" i="8"/>
  <c r="W895" i="8"/>
  <c r="W896" i="8"/>
  <c r="W897" i="8"/>
  <c r="W898" i="8"/>
  <c r="W899" i="8"/>
  <c r="W900" i="8"/>
  <c r="W901" i="8"/>
  <c r="W902" i="8"/>
  <c r="W903" i="8"/>
  <c r="W904" i="8"/>
  <c r="W905" i="8"/>
  <c r="W906" i="8"/>
  <c r="W907" i="8"/>
  <c r="W908" i="8"/>
  <c r="W909" i="8"/>
  <c r="W910" i="8"/>
  <c r="W911" i="8"/>
  <c r="W912" i="8"/>
  <c r="W913" i="8"/>
  <c r="W914" i="8"/>
  <c r="W915" i="8"/>
  <c r="W916" i="8"/>
  <c r="W917" i="8"/>
  <c r="W918" i="8"/>
  <c r="W919" i="8"/>
  <c r="W920" i="8"/>
  <c r="W921" i="8"/>
  <c r="W922" i="8"/>
  <c r="W923" i="8"/>
  <c r="W924" i="8"/>
  <c r="W925" i="8"/>
  <c r="W926" i="8"/>
  <c r="W927" i="8"/>
  <c r="W928" i="8"/>
  <c r="W929" i="8"/>
  <c r="W930" i="8"/>
  <c r="W931" i="8"/>
  <c r="W932" i="8"/>
  <c r="W933" i="8"/>
  <c r="W934" i="8"/>
  <c r="W935" i="8"/>
  <c r="W936" i="8"/>
  <c r="W937" i="8"/>
  <c r="W938" i="8"/>
  <c r="W939" i="8"/>
  <c r="W940" i="8"/>
  <c r="W941" i="8"/>
  <c r="W942" i="8"/>
  <c r="W943" i="8"/>
  <c r="W944" i="8"/>
  <c r="W945" i="8"/>
  <c r="W946" i="8"/>
  <c r="W947" i="8"/>
  <c r="W948" i="8"/>
  <c r="W949" i="8"/>
  <c r="W950" i="8"/>
  <c r="W951" i="8"/>
  <c r="W952" i="8"/>
  <c r="W953" i="8"/>
  <c r="W954" i="8"/>
  <c r="W955" i="8"/>
  <c r="W956" i="8"/>
  <c r="W957" i="8"/>
  <c r="W958" i="8"/>
  <c r="W959" i="8"/>
  <c r="W960" i="8"/>
  <c r="W961" i="8"/>
  <c r="W962" i="8"/>
  <c r="W963" i="8"/>
  <c r="W964" i="8"/>
  <c r="W965" i="8"/>
  <c r="W966" i="8"/>
  <c r="W967" i="8"/>
  <c r="W968" i="8"/>
  <c r="W969" i="8"/>
  <c r="W970" i="8"/>
  <c r="W971" i="8"/>
  <c r="W972" i="8"/>
  <c r="W973" i="8"/>
  <c r="W974" i="8"/>
  <c r="W975" i="8"/>
  <c r="W976" i="8"/>
  <c r="W977" i="8"/>
  <c r="W978" i="8"/>
  <c r="W979" i="8"/>
  <c r="W980" i="8"/>
  <c r="W981" i="8"/>
  <c r="W982" i="8"/>
  <c r="W983" i="8"/>
  <c r="W984" i="8"/>
  <c r="W985" i="8"/>
  <c r="W986" i="8"/>
  <c r="W987" i="8"/>
  <c r="W988" i="8"/>
  <c r="W989" i="8"/>
  <c r="W990" i="8"/>
  <c r="W991" i="8"/>
  <c r="W992" i="8"/>
  <c r="W993" i="8"/>
  <c r="W994" i="8"/>
  <c r="W995" i="8"/>
  <c r="W996" i="8"/>
  <c r="W997" i="8"/>
  <c r="W998" i="8"/>
  <c r="W999" i="8"/>
  <c r="W1000" i="8"/>
  <c r="W1001" i="8"/>
  <c r="W1002" i="8"/>
  <c r="W1003" i="8"/>
  <c r="W1004" i="8"/>
  <c r="W1005" i="8"/>
  <c r="W1006" i="8"/>
  <c r="W1007" i="8"/>
  <c r="W1008" i="8"/>
  <c r="W1009" i="8"/>
  <c r="W1010" i="8"/>
  <c r="W1011" i="8"/>
  <c r="W1012" i="8"/>
  <c r="W1013" i="8"/>
  <c r="W1014" i="8"/>
  <c r="W1015" i="8"/>
  <c r="W1016" i="8"/>
  <c r="W1017" i="8"/>
  <c r="W1018" i="8"/>
  <c r="W1019" i="8"/>
  <c r="W1020" i="8"/>
  <c r="W1021" i="8"/>
  <c r="W1022" i="8"/>
  <c r="W1023" i="8"/>
  <c r="W1024" i="8"/>
  <c r="W1025" i="8"/>
  <c r="W1026" i="8"/>
  <c r="W1027" i="8"/>
  <c r="W1028" i="8"/>
  <c r="W1029" i="8"/>
  <c r="W1030" i="8"/>
  <c r="W1031" i="8"/>
  <c r="W1032" i="8"/>
  <c r="W1033" i="8"/>
  <c r="W1034" i="8"/>
  <c r="W1035" i="8"/>
  <c r="W1036" i="8"/>
  <c r="W1037" i="8"/>
  <c r="W1038" i="8"/>
  <c r="W1039" i="8"/>
  <c r="W1040" i="8"/>
  <c r="W1041" i="8"/>
  <c r="W1042" i="8"/>
  <c r="W1043" i="8"/>
  <c r="W1044" i="8"/>
  <c r="W1045" i="8"/>
  <c r="W1046" i="8"/>
  <c r="W1047" i="8"/>
  <c r="W1048" i="8"/>
  <c r="W1049" i="8"/>
  <c r="W1050" i="8"/>
  <c r="W1051" i="8"/>
  <c r="W1052" i="8"/>
  <c r="W1053" i="8"/>
  <c r="W1054" i="8"/>
  <c r="W1055" i="8"/>
  <c r="W1056" i="8"/>
  <c r="W1057" i="8"/>
  <c r="W1058" i="8"/>
  <c r="W1059" i="8"/>
  <c r="W1060" i="8"/>
  <c r="W1061" i="8"/>
  <c r="W1062" i="8"/>
  <c r="W1063" i="8"/>
  <c r="W1064" i="8"/>
  <c r="W1065" i="8"/>
  <c r="W1066" i="8"/>
  <c r="W1067" i="8"/>
  <c r="W1068" i="8"/>
  <c r="W1069" i="8"/>
  <c r="W1070" i="8"/>
  <c r="W1071" i="8"/>
  <c r="W1072" i="8"/>
  <c r="W1073" i="8"/>
  <c r="W1074" i="8"/>
  <c r="W1075" i="8"/>
  <c r="W1076" i="8"/>
  <c r="W1077" i="8"/>
  <c r="W1078" i="8"/>
  <c r="W1079" i="8"/>
  <c r="W1080" i="8"/>
  <c r="W1081" i="8"/>
  <c r="W1082" i="8"/>
  <c r="W1083" i="8"/>
  <c r="W1084" i="8"/>
  <c r="W1085" i="8"/>
  <c r="W1086" i="8"/>
  <c r="W1087" i="8"/>
  <c r="W1088" i="8"/>
  <c r="W1089" i="8"/>
  <c r="W1090" i="8"/>
  <c r="W1091" i="8"/>
  <c r="W1092" i="8"/>
  <c r="W1093" i="8"/>
  <c r="W1094" i="8"/>
  <c r="W1095" i="8"/>
  <c r="W1096" i="8"/>
  <c r="W1097" i="8"/>
  <c r="W1098" i="8"/>
  <c r="W1099" i="8"/>
  <c r="W1100" i="8"/>
  <c r="W1101" i="8"/>
  <c r="W1102" i="8"/>
  <c r="W1103" i="8"/>
  <c r="W1104" i="8"/>
  <c r="W1105" i="8"/>
  <c r="W1106" i="8"/>
  <c r="W1107" i="8"/>
  <c r="W1108" i="8"/>
  <c r="W1109" i="8"/>
  <c r="W1110" i="8"/>
  <c r="W1111" i="8"/>
  <c r="W1112" i="8"/>
  <c r="W1113" i="8"/>
  <c r="W1114" i="8"/>
  <c r="W1115" i="8"/>
  <c r="W1116" i="8"/>
  <c r="W1117" i="8"/>
  <c r="W1118" i="8"/>
  <c r="W1119" i="8"/>
  <c r="W1120" i="8"/>
  <c r="W1121" i="8"/>
  <c r="W1122" i="8"/>
  <c r="W1123" i="8"/>
  <c r="W1124" i="8"/>
  <c r="W1125" i="8"/>
  <c r="W1126" i="8"/>
  <c r="W1127" i="8"/>
  <c r="W1128" i="8"/>
  <c r="W1129" i="8"/>
  <c r="W1130" i="8"/>
  <c r="W1131" i="8"/>
  <c r="W1132" i="8"/>
  <c r="W1133" i="8"/>
  <c r="W1134" i="8"/>
  <c r="W1135" i="8"/>
  <c r="W1136" i="8"/>
  <c r="W1137" i="8"/>
  <c r="W1138" i="8"/>
  <c r="W1139" i="8"/>
  <c r="W1140" i="8"/>
  <c r="W1141" i="8"/>
  <c r="W1142" i="8"/>
  <c r="W1143" i="8"/>
  <c r="W1144" i="8"/>
  <c r="W1145" i="8"/>
  <c r="W1146" i="8"/>
  <c r="W1147" i="8"/>
  <c r="W1148" i="8"/>
  <c r="W1149" i="8"/>
  <c r="W1150" i="8"/>
  <c r="W1151" i="8"/>
  <c r="W1152" i="8"/>
  <c r="W1153" i="8"/>
  <c r="W1154" i="8"/>
  <c r="W1155" i="8"/>
  <c r="W1156" i="8"/>
  <c r="W1157" i="8"/>
  <c r="W1158" i="8"/>
  <c r="W1159" i="8"/>
  <c r="W1160" i="8"/>
  <c r="W1161" i="8"/>
  <c r="W1162" i="8"/>
  <c r="W1163" i="8"/>
  <c r="W1164" i="8"/>
  <c r="W1165" i="8"/>
  <c r="W1166" i="8"/>
  <c r="W1167" i="8"/>
  <c r="W1168" i="8"/>
  <c r="W1169" i="8"/>
  <c r="W1170" i="8"/>
  <c r="W1171" i="8"/>
  <c r="W1172" i="8"/>
  <c r="W1173" i="8"/>
  <c r="W1174" i="8"/>
  <c r="W1175" i="8"/>
  <c r="W1176" i="8"/>
  <c r="W1177" i="8"/>
  <c r="W1178" i="8"/>
  <c r="W1179" i="8"/>
  <c r="W1180" i="8"/>
  <c r="W1181" i="8"/>
  <c r="W1182" i="8"/>
  <c r="W1183" i="8"/>
  <c r="W1184" i="8"/>
  <c r="W1185" i="8"/>
  <c r="W1186" i="8"/>
  <c r="W1187" i="8"/>
  <c r="W1188" i="8"/>
  <c r="W1189" i="8"/>
  <c r="W1190" i="8"/>
  <c r="W1191" i="8"/>
  <c r="W1192" i="8"/>
  <c r="W1193" i="8"/>
  <c r="W1194" i="8"/>
  <c r="W1195" i="8"/>
  <c r="W1196" i="8"/>
  <c r="W1197" i="8"/>
  <c r="W1198" i="8"/>
  <c r="W1199" i="8"/>
  <c r="W1200" i="8"/>
  <c r="W1201" i="8"/>
  <c r="W1202" i="8"/>
  <c r="W1203" i="8"/>
  <c r="W1204" i="8"/>
  <c r="W1205" i="8"/>
  <c r="W1206" i="8"/>
  <c r="W1207" i="8"/>
  <c r="W1208" i="8"/>
  <c r="W1209" i="8"/>
  <c r="W1210" i="8"/>
  <c r="W1211" i="8"/>
  <c r="W1212" i="8"/>
  <c r="W1213" i="8"/>
  <c r="W1214" i="8"/>
  <c r="W1215" i="8"/>
  <c r="W1216" i="8"/>
  <c r="W1217" i="8"/>
  <c r="W1218" i="8"/>
  <c r="W1219" i="8"/>
  <c r="W1220" i="8"/>
  <c r="W1221" i="8"/>
  <c r="W1222" i="8"/>
  <c r="W1223" i="8"/>
  <c r="W1224" i="8"/>
  <c r="W1225" i="8"/>
  <c r="W1226" i="8"/>
  <c r="W1227" i="8"/>
  <c r="W1228" i="8"/>
  <c r="W1229" i="8"/>
  <c r="W1230" i="8"/>
  <c r="W1231" i="8"/>
  <c r="W1232" i="8"/>
  <c r="W1233" i="8"/>
  <c r="W1234" i="8"/>
  <c r="W1235" i="8"/>
  <c r="W1236" i="8"/>
  <c r="W1237" i="8"/>
  <c r="W1238" i="8"/>
  <c r="W1239" i="8"/>
  <c r="W1240" i="8"/>
  <c r="W1241" i="8"/>
  <c r="W1242" i="8"/>
  <c r="W1243" i="8"/>
  <c r="W1244" i="8"/>
  <c r="W1245" i="8"/>
  <c r="W1246" i="8"/>
  <c r="W1247" i="8"/>
  <c r="W1248" i="8"/>
  <c r="W1249" i="8"/>
  <c r="W1250" i="8"/>
  <c r="W1251" i="8"/>
  <c r="W1252" i="8"/>
  <c r="W1253" i="8"/>
  <c r="W1254" i="8"/>
  <c r="W1255" i="8"/>
  <c r="W1256" i="8"/>
  <c r="W1257" i="8"/>
  <c r="W1258" i="8"/>
  <c r="W1259" i="8"/>
  <c r="W1260" i="8"/>
  <c r="W1261" i="8"/>
  <c r="W1262" i="8"/>
  <c r="W1263" i="8"/>
  <c r="W1264" i="8"/>
  <c r="W1265" i="8"/>
  <c r="W1266" i="8"/>
  <c r="W1267" i="8"/>
  <c r="W1268" i="8"/>
  <c r="W1269" i="8"/>
  <c r="W1270" i="8"/>
  <c r="W1271" i="8"/>
  <c r="W1272" i="8"/>
  <c r="W1273" i="8"/>
  <c r="W1274" i="8"/>
  <c r="W1275" i="8"/>
  <c r="W1276" i="8"/>
  <c r="W1277" i="8"/>
  <c r="W1278" i="8"/>
  <c r="W1279" i="8"/>
  <c r="W1280" i="8"/>
  <c r="W1281" i="8"/>
  <c r="W1282" i="8"/>
  <c r="W1283" i="8"/>
  <c r="W1284" i="8"/>
  <c r="W1285" i="8"/>
  <c r="W1286" i="8"/>
  <c r="W1287" i="8"/>
  <c r="W1288" i="8"/>
  <c r="W1289" i="8"/>
  <c r="W1290" i="8"/>
  <c r="W1291" i="8"/>
  <c r="W1292" i="8"/>
  <c r="W1293" i="8"/>
  <c r="W1294" i="8"/>
  <c r="W1295" i="8"/>
  <c r="W1296" i="8"/>
  <c r="W1297" i="8"/>
  <c r="W1298" i="8"/>
  <c r="W1299" i="8"/>
  <c r="W1300" i="8"/>
  <c r="W1301" i="8"/>
  <c r="W1302" i="8"/>
  <c r="W1303" i="8"/>
  <c r="W1304" i="8"/>
  <c r="W1305" i="8"/>
  <c r="W1306" i="8"/>
  <c r="W1307" i="8"/>
  <c r="W1308" i="8"/>
  <c r="W1309" i="8"/>
  <c r="W1310" i="8"/>
  <c r="W1311" i="8"/>
  <c r="W1312" i="8"/>
  <c r="W1313" i="8"/>
  <c r="W1314" i="8"/>
  <c r="W1315" i="8"/>
  <c r="W1316" i="8"/>
  <c r="W1317" i="8"/>
  <c r="W1318" i="8"/>
  <c r="W1319" i="8"/>
  <c r="W1320" i="8"/>
  <c r="W1321" i="8"/>
  <c r="W1322" i="8"/>
  <c r="W1323" i="8"/>
  <c r="W1324" i="8"/>
  <c r="W1325" i="8"/>
  <c r="W1326" i="8"/>
  <c r="W1327" i="8"/>
  <c r="W1328" i="8"/>
  <c r="W1329" i="8"/>
  <c r="W1330" i="8"/>
  <c r="W1331" i="8"/>
  <c r="W1332" i="8"/>
  <c r="W1333" i="8"/>
  <c r="W1334" i="8"/>
  <c r="W1335" i="8"/>
  <c r="W1336" i="8"/>
  <c r="W1337" i="8"/>
  <c r="W1338" i="8"/>
  <c r="W1339" i="8"/>
  <c r="W1340" i="8"/>
  <c r="W1341" i="8"/>
  <c r="W1342" i="8"/>
  <c r="W1343" i="8"/>
  <c r="W1344" i="8"/>
  <c r="W1345" i="8"/>
  <c r="W1346" i="8"/>
  <c r="W1347" i="8"/>
  <c r="W1348" i="8"/>
  <c r="W1349" i="8"/>
  <c r="W1350" i="8"/>
  <c r="W1351" i="8"/>
  <c r="W1352" i="8"/>
  <c r="W1353" i="8"/>
  <c r="W1354" i="8"/>
  <c r="W1355" i="8"/>
  <c r="W1356" i="8"/>
  <c r="W1357" i="8"/>
  <c r="W1358" i="8"/>
  <c r="W1359" i="8"/>
  <c r="W1360" i="8"/>
  <c r="W1361" i="8"/>
  <c r="W1362" i="8"/>
  <c r="W1363" i="8"/>
  <c r="W1364" i="8"/>
  <c r="W1365" i="8"/>
  <c r="W1366" i="8"/>
  <c r="W1367" i="8"/>
  <c r="W1368" i="8"/>
  <c r="W1369" i="8"/>
  <c r="W1370" i="8"/>
  <c r="W1371" i="8"/>
  <c r="W1372" i="8"/>
  <c r="W1373" i="8"/>
  <c r="W1374" i="8"/>
  <c r="W1375" i="8"/>
  <c r="W1376" i="8"/>
  <c r="W1377" i="8"/>
  <c r="W1378" i="8"/>
  <c r="W1379" i="8"/>
  <c r="W1380" i="8"/>
  <c r="W1381" i="8"/>
  <c r="W1382" i="8"/>
  <c r="W1383" i="8"/>
  <c r="W1384" i="8"/>
  <c r="W1385" i="8"/>
  <c r="W1386" i="8"/>
  <c r="W1387" i="8"/>
  <c r="W1388" i="8"/>
  <c r="W1389" i="8"/>
  <c r="W1390" i="8"/>
  <c r="W1391" i="8"/>
  <c r="W1392" i="8"/>
  <c r="W1393" i="8"/>
  <c r="W1394" i="8"/>
  <c r="W1395" i="8"/>
  <c r="W1396" i="8"/>
  <c r="W1397" i="8"/>
  <c r="W1398" i="8"/>
  <c r="W1399" i="8"/>
  <c r="W1400" i="8"/>
  <c r="W1401" i="8"/>
  <c r="W1402" i="8"/>
  <c r="W1403" i="8"/>
  <c r="W1404" i="8"/>
  <c r="W1405" i="8"/>
  <c r="W1406" i="8"/>
  <c r="W1407" i="8"/>
  <c r="W1408" i="8"/>
  <c r="W1409" i="8"/>
  <c r="W1410" i="8"/>
  <c r="W1411" i="8"/>
  <c r="W1412" i="8"/>
  <c r="W1413" i="8"/>
  <c r="W1414" i="8"/>
  <c r="W1415" i="8"/>
  <c r="W1416" i="8"/>
  <c r="W1417" i="8"/>
  <c r="W1418" i="8"/>
  <c r="W1419" i="8"/>
  <c r="W1420" i="8"/>
  <c r="W1421" i="8"/>
  <c r="W1422" i="8"/>
  <c r="W1423" i="8"/>
  <c r="W1424" i="8"/>
  <c r="W1425" i="8"/>
  <c r="W1426" i="8"/>
  <c r="W1427" i="8"/>
  <c r="W1428" i="8"/>
  <c r="W1429" i="8"/>
  <c r="W1430" i="8"/>
  <c r="W1431" i="8"/>
  <c r="W1432" i="8"/>
  <c r="W1433" i="8"/>
  <c r="W1434" i="8"/>
  <c r="W1435" i="8"/>
  <c r="W1436" i="8"/>
  <c r="W1437" i="8"/>
  <c r="W1438" i="8"/>
  <c r="W1439" i="8"/>
  <c r="W1440" i="8"/>
  <c r="W1441" i="8"/>
  <c r="W1442" i="8"/>
  <c r="W1443" i="8"/>
  <c r="W1444" i="8"/>
  <c r="W1445" i="8"/>
  <c r="W1446" i="8"/>
  <c r="W1447" i="8"/>
  <c r="W1448" i="8"/>
  <c r="W1449" i="8"/>
  <c r="W1450" i="8"/>
  <c r="W1451" i="8"/>
  <c r="W1452" i="8"/>
  <c r="W1453" i="8"/>
  <c r="W1454" i="8"/>
  <c r="W1455" i="8"/>
  <c r="W1456" i="8"/>
  <c r="W1457" i="8"/>
  <c r="W1458" i="8"/>
  <c r="W1459" i="8"/>
  <c r="W1460" i="8"/>
  <c r="W1461" i="8"/>
  <c r="W1462" i="8"/>
  <c r="W1463" i="8"/>
  <c r="W1464" i="8"/>
  <c r="W1465" i="8"/>
  <c r="W1466" i="8"/>
  <c r="W1467" i="8"/>
  <c r="W1468" i="8"/>
  <c r="W1469" i="8"/>
  <c r="W1470" i="8"/>
  <c r="W1471" i="8"/>
  <c r="W1472" i="8"/>
  <c r="W1473" i="8"/>
  <c r="W1474" i="8"/>
  <c r="W1475" i="8"/>
  <c r="W1476" i="8"/>
  <c r="W1477" i="8"/>
  <c r="W1478" i="8"/>
  <c r="W1479" i="8"/>
  <c r="W1480" i="8"/>
  <c r="W1481" i="8"/>
  <c r="W1482" i="8"/>
  <c r="W1483" i="8"/>
  <c r="W1484" i="8"/>
  <c r="W1485" i="8"/>
  <c r="W1486" i="8"/>
  <c r="W1487" i="8"/>
  <c r="W1488" i="8"/>
  <c r="W1489" i="8"/>
  <c r="W1490" i="8"/>
  <c r="W1491" i="8"/>
  <c r="W1492" i="8"/>
  <c r="W1493" i="8"/>
  <c r="W1494" i="8"/>
  <c r="W1495" i="8"/>
  <c r="W1496" i="8"/>
  <c r="W1497" i="8"/>
  <c r="W1498" i="8"/>
  <c r="W1499" i="8"/>
  <c r="W1500" i="8"/>
  <c r="W1501" i="8"/>
  <c r="W1502" i="8"/>
  <c r="W1503" i="8"/>
  <c r="W1504" i="8"/>
  <c r="W1505" i="8"/>
  <c r="W1506" i="8"/>
  <c r="W1507" i="8"/>
  <c r="W1508" i="8"/>
  <c r="W1509" i="8"/>
  <c r="W1510" i="8"/>
  <c r="W1511" i="8"/>
  <c r="W1512" i="8"/>
  <c r="W1513" i="8"/>
  <c r="W1514" i="8"/>
  <c r="W1515" i="8"/>
  <c r="W1516" i="8"/>
  <c r="W1517" i="8"/>
  <c r="W1518" i="8"/>
  <c r="W1519" i="8"/>
  <c r="W1520" i="8"/>
  <c r="W1521" i="8"/>
  <c r="W1522" i="8"/>
  <c r="W1523" i="8"/>
  <c r="W1524" i="8"/>
  <c r="W1525" i="8"/>
  <c r="W1526" i="8"/>
  <c r="W1527" i="8"/>
  <c r="W1528" i="8"/>
  <c r="W1529" i="8"/>
  <c r="W1530" i="8"/>
  <c r="W1531" i="8"/>
  <c r="W1532" i="8"/>
  <c r="W1533" i="8"/>
  <c r="W1534" i="8"/>
  <c r="W1535" i="8"/>
  <c r="W1536" i="8"/>
  <c r="W1537" i="8"/>
  <c r="W1538" i="8"/>
  <c r="W1539" i="8"/>
  <c r="W1540" i="8"/>
  <c r="W1541" i="8"/>
  <c r="W1542" i="8"/>
  <c r="W1543" i="8"/>
  <c r="W1544" i="8"/>
  <c r="W1545" i="8"/>
  <c r="W1546" i="8"/>
  <c r="W1547" i="8"/>
  <c r="W1548" i="8"/>
  <c r="W1549" i="8"/>
  <c r="W1550" i="8"/>
  <c r="W1551" i="8"/>
  <c r="W1552" i="8"/>
  <c r="W1553" i="8"/>
  <c r="W1554" i="8"/>
  <c r="W1555" i="8"/>
  <c r="W1556" i="8"/>
  <c r="W1557" i="8"/>
  <c r="W1558" i="8"/>
  <c r="W1559" i="8"/>
  <c r="W1560" i="8"/>
  <c r="W1561" i="8"/>
  <c r="W1562" i="8"/>
  <c r="W1563" i="8"/>
  <c r="W1564" i="8"/>
  <c r="W1565" i="8"/>
  <c r="W1566" i="8"/>
  <c r="W1567" i="8"/>
  <c r="W1568" i="8"/>
  <c r="W1569" i="8"/>
  <c r="W1570" i="8"/>
  <c r="W1571" i="8"/>
  <c r="W1572" i="8"/>
  <c r="W1573" i="8"/>
  <c r="W1574" i="8"/>
  <c r="W1575" i="8"/>
  <c r="W1576" i="8"/>
  <c r="W1577" i="8"/>
  <c r="W1578" i="8"/>
  <c r="W1579" i="8"/>
  <c r="W1580" i="8"/>
  <c r="W1581" i="8"/>
  <c r="W1582" i="8"/>
  <c r="W1583" i="8"/>
  <c r="W1584" i="8"/>
  <c r="W1585" i="8"/>
  <c r="W1586" i="8"/>
  <c r="W1587" i="8"/>
  <c r="W1588" i="8"/>
  <c r="W1589" i="8"/>
  <c r="W1590" i="8"/>
  <c r="W1591" i="8"/>
  <c r="W1592" i="8"/>
  <c r="W1593" i="8"/>
  <c r="W1594" i="8"/>
  <c r="W1595" i="8"/>
  <c r="W1596" i="8"/>
  <c r="W1597" i="8"/>
  <c r="W1598" i="8"/>
  <c r="W1599" i="8"/>
  <c r="W1600" i="8"/>
  <c r="W1601" i="8"/>
  <c r="W1602" i="8"/>
  <c r="W1603" i="8"/>
  <c r="W1604" i="8"/>
  <c r="W1605" i="8"/>
  <c r="W1606" i="8"/>
  <c r="W1607" i="8"/>
  <c r="W1608" i="8"/>
  <c r="W1609" i="8"/>
  <c r="W1610" i="8"/>
  <c r="W1611" i="8"/>
  <c r="W1612" i="8"/>
  <c r="W1613" i="8"/>
  <c r="W1614" i="8"/>
  <c r="W1615" i="8"/>
  <c r="W1616" i="8"/>
  <c r="W1617" i="8"/>
  <c r="W1618" i="8"/>
  <c r="W1619" i="8"/>
  <c r="W1620" i="8"/>
  <c r="W1621" i="8"/>
  <c r="W1622" i="8"/>
  <c r="W1623" i="8"/>
  <c r="W1624" i="8"/>
  <c r="W1625" i="8"/>
  <c r="W1626" i="8"/>
  <c r="W1627" i="8"/>
  <c r="G2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2" i="16"/>
  <c r="G2023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H2" i="16"/>
  <c r="H3" i="16"/>
  <c r="H4" i="16"/>
  <c r="H5" i="16"/>
  <c r="J5" i="16" s="1"/>
  <c r="H6" i="16"/>
  <c r="J6" i="16" s="1"/>
  <c r="H7" i="16"/>
  <c r="H8" i="16"/>
  <c r="H9" i="16"/>
  <c r="H10" i="16"/>
  <c r="H11" i="16"/>
  <c r="H12" i="16"/>
  <c r="J12" i="16" s="1"/>
  <c r="H13" i="16"/>
  <c r="H14" i="16"/>
  <c r="H15" i="16"/>
  <c r="H16" i="16"/>
  <c r="H17" i="16"/>
  <c r="J17" i="16" s="1"/>
  <c r="H18" i="16"/>
  <c r="J18" i="16" s="1"/>
  <c r="H19" i="16"/>
  <c r="H20" i="16"/>
  <c r="H21" i="16"/>
  <c r="H22" i="16"/>
  <c r="H23" i="16"/>
  <c r="J23" i="16" s="1"/>
  <c r="H24" i="16"/>
  <c r="J24" i="16" s="1"/>
  <c r="H25" i="16"/>
  <c r="H26" i="16"/>
  <c r="H27" i="16"/>
  <c r="H28" i="16"/>
  <c r="H29" i="16"/>
  <c r="J29" i="16" s="1"/>
  <c r="H30" i="16"/>
  <c r="J30" i="16" s="1"/>
  <c r="H31" i="16"/>
  <c r="H32" i="16"/>
  <c r="H33" i="16"/>
  <c r="H34" i="16"/>
  <c r="H35" i="16"/>
  <c r="J35" i="16" s="1"/>
  <c r="H36" i="16"/>
  <c r="J36" i="16" s="1"/>
  <c r="H37" i="16"/>
  <c r="H38" i="16"/>
  <c r="H39" i="16"/>
  <c r="H40" i="16"/>
  <c r="H41" i="16"/>
  <c r="J41" i="16" s="1"/>
  <c r="H42" i="16"/>
  <c r="J42" i="16" s="1"/>
  <c r="H43" i="16"/>
  <c r="H44" i="16"/>
  <c r="H45" i="16"/>
  <c r="H46" i="16"/>
  <c r="H47" i="16"/>
  <c r="J47" i="16" s="1"/>
  <c r="H48" i="16"/>
  <c r="J48" i="16" s="1"/>
  <c r="H49" i="16"/>
  <c r="H50" i="16"/>
  <c r="H51" i="16"/>
  <c r="H52" i="16"/>
  <c r="H53" i="16"/>
  <c r="H54" i="16"/>
  <c r="J54" i="16" s="1"/>
  <c r="H55" i="16"/>
  <c r="H56" i="16"/>
  <c r="H57" i="16"/>
  <c r="H58" i="16"/>
  <c r="H59" i="16"/>
  <c r="J59" i="16" s="1"/>
  <c r="H60" i="16"/>
  <c r="J60" i="16" s="1"/>
  <c r="H61" i="16"/>
  <c r="H62" i="16"/>
  <c r="H63" i="16"/>
  <c r="H64" i="16"/>
  <c r="H65" i="16"/>
  <c r="J65" i="16" s="1"/>
  <c r="H66" i="16"/>
  <c r="J66" i="16" s="1"/>
  <c r="H67" i="16"/>
  <c r="H68" i="16"/>
  <c r="H69" i="16"/>
  <c r="H70" i="16"/>
  <c r="H71" i="16"/>
  <c r="J71" i="16" s="1"/>
  <c r="H72" i="16"/>
  <c r="J72" i="16" s="1"/>
  <c r="H73" i="16"/>
  <c r="H74" i="16"/>
  <c r="H75" i="16"/>
  <c r="H76" i="16"/>
  <c r="H77" i="16"/>
  <c r="J77" i="16" s="1"/>
  <c r="H78" i="16"/>
  <c r="J78" i="16" s="1"/>
  <c r="H79" i="16"/>
  <c r="H80" i="16"/>
  <c r="H81" i="16"/>
  <c r="H82" i="16"/>
  <c r="H83" i="16"/>
  <c r="J83" i="16" s="1"/>
  <c r="H84" i="16"/>
  <c r="J84" i="16" s="1"/>
  <c r="H85" i="16"/>
  <c r="H86" i="16"/>
  <c r="H87" i="16"/>
  <c r="H88" i="16"/>
  <c r="H89" i="16"/>
  <c r="J89" i="16" s="1"/>
  <c r="H90" i="16"/>
  <c r="J90" i="16" s="1"/>
  <c r="H91" i="16"/>
  <c r="H92" i="16"/>
  <c r="H93" i="16"/>
  <c r="H94" i="16"/>
  <c r="H95" i="16"/>
  <c r="J95" i="16" s="1"/>
  <c r="H96" i="16"/>
  <c r="J96" i="16" s="1"/>
  <c r="H97" i="16"/>
  <c r="H98" i="16"/>
  <c r="H99" i="16"/>
  <c r="H100" i="16"/>
  <c r="H101" i="16"/>
  <c r="J101" i="16" s="1"/>
  <c r="H102" i="16"/>
  <c r="J102" i="16" s="1"/>
  <c r="H103" i="16"/>
  <c r="H104" i="16"/>
  <c r="H105" i="16"/>
  <c r="H106" i="16"/>
  <c r="H107" i="16"/>
  <c r="J107" i="16" s="1"/>
  <c r="H108" i="16"/>
  <c r="J108" i="16" s="1"/>
  <c r="H109" i="16"/>
  <c r="H110" i="16"/>
  <c r="H111" i="16"/>
  <c r="H112" i="16"/>
  <c r="H113" i="16"/>
  <c r="J113" i="16" s="1"/>
  <c r="H114" i="16"/>
  <c r="J114" i="16" s="1"/>
  <c r="H115" i="16"/>
  <c r="H116" i="16"/>
  <c r="H117" i="16"/>
  <c r="H118" i="16"/>
  <c r="H119" i="16"/>
  <c r="H120" i="16"/>
  <c r="J120" i="16" s="1"/>
  <c r="H121" i="16"/>
  <c r="H122" i="16"/>
  <c r="H123" i="16"/>
  <c r="H124" i="16"/>
  <c r="H125" i="16"/>
  <c r="J125" i="16" s="1"/>
  <c r="H126" i="16"/>
  <c r="J126" i="16" s="1"/>
  <c r="H127" i="16"/>
  <c r="H128" i="16"/>
  <c r="H129" i="16"/>
  <c r="H130" i="16"/>
  <c r="H131" i="16"/>
  <c r="J131" i="16" s="1"/>
  <c r="H132" i="16"/>
  <c r="J132" i="16" s="1"/>
  <c r="H133" i="16"/>
  <c r="H134" i="16"/>
  <c r="H135" i="16"/>
  <c r="H136" i="16"/>
  <c r="H137" i="16"/>
  <c r="J137" i="16" s="1"/>
  <c r="H138" i="16"/>
  <c r="J138" i="16" s="1"/>
  <c r="H139" i="16"/>
  <c r="H140" i="16"/>
  <c r="H141" i="16"/>
  <c r="H142" i="16"/>
  <c r="H143" i="16"/>
  <c r="J143" i="16" s="1"/>
  <c r="H144" i="16"/>
  <c r="J144" i="16" s="1"/>
  <c r="H145" i="16"/>
  <c r="H146" i="16"/>
  <c r="H147" i="16"/>
  <c r="H148" i="16"/>
  <c r="H149" i="16"/>
  <c r="J149" i="16" s="1"/>
  <c r="H150" i="16"/>
  <c r="J150" i="16" s="1"/>
  <c r="H151" i="16"/>
  <c r="H152" i="16"/>
  <c r="H153" i="16"/>
  <c r="H154" i="16"/>
  <c r="H155" i="16"/>
  <c r="J155" i="16" s="1"/>
  <c r="H156" i="16"/>
  <c r="J156" i="16" s="1"/>
  <c r="H157" i="16"/>
  <c r="H158" i="16"/>
  <c r="H159" i="16"/>
  <c r="H160" i="16"/>
  <c r="H161" i="16"/>
  <c r="H162" i="16"/>
  <c r="J162" i="16" s="1"/>
  <c r="H163" i="16"/>
  <c r="H164" i="16"/>
  <c r="H165" i="16"/>
  <c r="H166" i="16"/>
  <c r="H167" i="16"/>
  <c r="J167" i="16" s="1"/>
  <c r="H168" i="16"/>
  <c r="J168" i="16" s="1"/>
  <c r="H169" i="16"/>
  <c r="H170" i="16"/>
  <c r="H171" i="16"/>
  <c r="H172" i="16"/>
  <c r="H173" i="16"/>
  <c r="J173" i="16" s="1"/>
  <c r="H174" i="16"/>
  <c r="J174" i="16" s="1"/>
  <c r="H175" i="16"/>
  <c r="H176" i="16"/>
  <c r="H177" i="16"/>
  <c r="H178" i="16"/>
  <c r="H179" i="16"/>
  <c r="J179" i="16" s="1"/>
  <c r="H180" i="16"/>
  <c r="J180" i="16" s="1"/>
  <c r="H181" i="16"/>
  <c r="H182" i="16"/>
  <c r="H183" i="16"/>
  <c r="H184" i="16"/>
  <c r="H185" i="16"/>
  <c r="J185" i="16" s="1"/>
  <c r="H186" i="16"/>
  <c r="J186" i="16" s="1"/>
  <c r="H187" i="16"/>
  <c r="H188" i="16"/>
  <c r="H189" i="16"/>
  <c r="H190" i="16"/>
  <c r="H191" i="16"/>
  <c r="J191" i="16" s="1"/>
  <c r="H192" i="16"/>
  <c r="J192" i="16" s="1"/>
  <c r="H193" i="16"/>
  <c r="H194" i="16"/>
  <c r="H195" i="16"/>
  <c r="H196" i="16"/>
  <c r="H197" i="16"/>
  <c r="J197" i="16" s="1"/>
  <c r="H198" i="16"/>
  <c r="J198" i="16" s="1"/>
  <c r="H199" i="16"/>
  <c r="H200" i="16"/>
  <c r="H201" i="16"/>
  <c r="H202" i="16"/>
  <c r="H203" i="16"/>
  <c r="J203" i="16" s="1"/>
  <c r="H204" i="16"/>
  <c r="J204" i="16" s="1"/>
  <c r="H205" i="16"/>
  <c r="H206" i="16"/>
  <c r="H207" i="16"/>
  <c r="H208" i="16"/>
  <c r="H209" i="16"/>
  <c r="J209" i="16" s="1"/>
  <c r="H210" i="16"/>
  <c r="J210" i="16" s="1"/>
  <c r="H211" i="16"/>
  <c r="H212" i="16"/>
  <c r="H213" i="16"/>
  <c r="H214" i="16"/>
  <c r="H215" i="16"/>
  <c r="J215" i="16" s="1"/>
  <c r="H216" i="16"/>
  <c r="J216" i="16" s="1"/>
  <c r="H217" i="16"/>
  <c r="H218" i="16"/>
  <c r="H219" i="16"/>
  <c r="H220" i="16"/>
  <c r="H221" i="16"/>
  <c r="J221" i="16" s="1"/>
  <c r="H222" i="16"/>
  <c r="J222" i="16" s="1"/>
  <c r="H223" i="16"/>
  <c r="H224" i="16"/>
  <c r="H225" i="16"/>
  <c r="H226" i="16"/>
  <c r="H227" i="16"/>
  <c r="H228" i="16"/>
  <c r="J228" i="16" s="1"/>
  <c r="H229" i="16"/>
  <c r="H230" i="16"/>
  <c r="H231" i="16"/>
  <c r="H232" i="16"/>
  <c r="H233" i="16"/>
  <c r="J233" i="16" s="1"/>
  <c r="H234" i="16"/>
  <c r="J234" i="16" s="1"/>
  <c r="H235" i="16"/>
  <c r="H236" i="16"/>
  <c r="H237" i="16"/>
  <c r="H238" i="16"/>
  <c r="H239" i="16"/>
  <c r="J239" i="16" s="1"/>
  <c r="H240" i="16"/>
  <c r="J240" i="16" s="1"/>
  <c r="H241" i="16"/>
  <c r="H242" i="16"/>
  <c r="H243" i="16"/>
  <c r="H244" i="16"/>
  <c r="H245" i="16"/>
  <c r="J245" i="16" s="1"/>
  <c r="H246" i="16"/>
  <c r="J246" i="16" s="1"/>
  <c r="H247" i="16"/>
  <c r="H248" i="16"/>
  <c r="H249" i="16"/>
  <c r="H250" i="16"/>
  <c r="H251" i="16"/>
  <c r="J251" i="16" s="1"/>
  <c r="H252" i="16"/>
  <c r="J252" i="16" s="1"/>
  <c r="H253" i="16"/>
  <c r="H254" i="16"/>
  <c r="H255" i="16"/>
  <c r="H256" i="16"/>
  <c r="H257" i="16"/>
  <c r="J257" i="16" s="1"/>
  <c r="H258" i="16"/>
  <c r="J258" i="16" s="1"/>
  <c r="H259" i="16"/>
  <c r="H260" i="16"/>
  <c r="H261" i="16"/>
  <c r="H262" i="16"/>
  <c r="H263" i="16"/>
  <c r="J263" i="16" s="1"/>
  <c r="H264" i="16"/>
  <c r="J264" i="16" s="1"/>
  <c r="H265" i="16"/>
  <c r="H266" i="16"/>
  <c r="H267" i="16"/>
  <c r="H268" i="16"/>
  <c r="H269" i="16"/>
  <c r="H270" i="16"/>
  <c r="J270" i="16" s="1"/>
  <c r="H271" i="16"/>
  <c r="H272" i="16"/>
  <c r="H273" i="16"/>
  <c r="H274" i="16"/>
  <c r="H275" i="16"/>
  <c r="J275" i="16" s="1"/>
  <c r="H276" i="16"/>
  <c r="J276" i="16" s="1"/>
  <c r="H277" i="16"/>
  <c r="H278" i="16"/>
  <c r="H279" i="16"/>
  <c r="H280" i="16"/>
  <c r="H281" i="16"/>
  <c r="J281" i="16" s="1"/>
  <c r="H282" i="16"/>
  <c r="J282" i="16" s="1"/>
  <c r="H283" i="16"/>
  <c r="H284" i="16"/>
  <c r="H285" i="16"/>
  <c r="H286" i="16"/>
  <c r="H287" i="16"/>
  <c r="J287" i="16" s="1"/>
  <c r="H288" i="16"/>
  <c r="J288" i="16" s="1"/>
  <c r="H289" i="16"/>
  <c r="H290" i="16"/>
  <c r="H291" i="16"/>
  <c r="H292" i="16"/>
  <c r="H293" i="16"/>
  <c r="J293" i="16" s="1"/>
  <c r="H294" i="16"/>
  <c r="J294" i="16" s="1"/>
  <c r="H295" i="16"/>
  <c r="H296" i="16"/>
  <c r="H297" i="16"/>
  <c r="H298" i="16"/>
  <c r="H299" i="16"/>
  <c r="J299" i="16" s="1"/>
  <c r="H300" i="16"/>
  <c r="J300" i="16" s="1"/>
  <c r="H301" i="16"/>
  <c r="H302" i="16"/>
  <c r="H303" i="16"/>
  <c r="H304" i="16"/>
  <c r="H305" i="16"/>
  <c r="J305" i="16" s="1"/>
  <c r="H306" i="16"/>
  <c r="J306" i="16" s="1"/>
  <c r="H307" i="16"/>
  <c r="H308" i="16"/>
  <c r="H309" i="16"/>
  <c r="H310" i="16"/>
  <c r="H311" i="16"/>
  <c r="J311" i="16" s="1"/>
  <c r="H312" i="16"/>
  <c r="J312" i="16" s="1"/>
  <c r="H313" i="16"/>
  <c r="H314" i="16"/>
  <c r="H315" i="16"/>
  <c r="H316" i="16"/>
  <c r="H317" i="16"/>
  <c r="J317" i="16" s="1"/>
  <c r="H318" i="16"/>
  <c r="J318" i="16" s="1"/>
  <c r="H319" i="16"/>
  <c r="H320" i="16"/>
  <c r="H321" i="16"/>
  <c r="H322" i="16"/>
  <c r="H323" i="16"/>
  <c r="J323" i="16" s="1"/>
  <c r="H324" i="16"/>
  <c r="J324" i="16" s="1"/>
  <c r="H325" i="16"/>
  <c r="H326" i="16"/>
  <c r="H327" i="16"/>
  <c r="H328" i="16"/>
  <c r="H329" i="16"/>
  <c r="J329" i="16" s="1"/>
  <c r="H330" i="16"/>
  <c r="J330" i="16" s="1"/>
  <c r="H331" i="16"/>
  <c r="H332" i="16"/>
  <c r="H333" i="16"/>
  <c r="H334" i="16"/>
  <c r="H335" i="16"/>
  <c r="H336" i="16"/>
  <c r="J336" i="16" s="1"/>
  <c r="H337" i="16"/>
  <c r="H338" i="16"/>
  <c r="H339" i="16"/>
  <c r="H340" i="16"/>
  <c r="H341" i="16"/>
  <c r="J341" i="16" s="1"/>
  <c r="H342" i="16"/>
  <c r="J342" i="16" s="1"/>
  <c r="H343" i="16"/>
  <c r="H344" i="16"/>
  <c r="H345" i="16"/>
  <c r="H346" i="16"/>
  <c r="H347" i="16"/>
  <c r="J347" i="16" s="1"/>
  <c r="H348" i="16"/>
  <c r="J348" i="16" s="1"/>
  <c r="H349" i="16"/>
  <c r="H350" i="16"/>
  <c r="H351" i="16"/>
  <c r="H352" i="16"/>
  <c r="H353" i="16"/>
  <c r="J353" i="16" s="1"/>
  <c r="H354" i="16"/>
  <c r="J354" i="16" s="1"/>
  <c r="H355" i="16"/>
  <c r="H356" i="16"/>
  <c r="H357" i="16"/>
  <c r="H358" i="16"/>
  <c r="H359" i="16"/>
  <c r="J359" i="16" s="1"/>
  <c r="H360" i="16"/>
  <c r="J360" i="16" s="1"/>
  <c r="H361" i="16"/>
  <c r="H362" i="16"/>
  <c r="H363" i="16"/>
  <c r="H364" i="16"/>
  <c r="H365" i="16"/>
  <c r="J365" i="16" s="1"/>
  <c r="H366" i="16"/>
  <c r="J366" i="16" s="1"/>
  <c r="H367" i="16"/>
  <c r="H368" i="16"/>
  <c r="H369" i="16"/>
  <c r="H370" i="16"/>
  <c r="H371" i="16"/>
  <c r="J371" i="16" s="1"/>
  <c r="H372" i="16"/>
  <c r="J372" i="16" s="1"/>
  <c r="H373" i="16"/>
  <c r="H374" i="16"/>
  <c r="H375" i="16"/>
  <c r="H376" i="16"/>
  <c r="H377" i="16"/>
  <c r="H378" i="16"/>
  <c r="J378" i="16" s="1"/>
  <c r="H379" i="16"/>
  <c r="H380" i="16"/>
  <c r="H381" i="16"/>
  <c r="H382" i="16"/>
  <c r="H383" i="16"/>
  <c r="J383" i="16" s="1"/>
  <c r="H384" i="16"/>
  <c r="J384" i="16" s="1"/>
  <c r="H385" i="16"/>
  <c r="H386" i="16"/>
  <c r="H387" i="16"/>
  <c r="H388" i="16"/>
  <c r="H389" i="16"/>
  <c r="J389" i="16" s="1"/>
  <c r="H390" i="16"/>
  <c r="J390" i="16" s="1"/>
  <c r="H391" i="16"/>
  <c r="H392" i="16"/>
  <c r="H393" i="16"/>
  <c r="H394" i="16"/>
  <c r="H395" i="16"/>
  <c r="J395" i="16" s="1"/>
  <c r="H396" i="16"/>
  <c r="J396" i="16" s="1"/>
  <c r="H397" i="16"/>
  <c r="H398" i="16"/>
  <c r="H399" i="16"/>
  <c r="H400" i="16"/>
  <c r="H401" i="16"/>
  <c r="J401" i="16" s="1"/>
  <c r="H402" i="16"/>
  <c r="J402" i="16" s="1"/>
  <c r="H403" i="16"/>
  <c r="H404" i="16"/>
  <c r="H405" i="16"/>
  <c r="H406" i="16"/>
  <c r="H407" i="16"/>
  <c r="J407" i="16" s="1"/>
  <c r="H408" i="16"/>
  <c r="J408" i="16" s="1"/>
  <c r="H409" i="16"/>
  <c r="H410" i="16"/>
  <c r="H411" i="16"/>
  <c r="H412" i="16"/>
  <c r="H413" i="16"/>
  <c r="J413" i="16" s="1"/>
  <c r="H414" i="16"/>
  <c r="J414" i="16" s="1"/>
  <c r="H415" i="16"/>
  <c r="H416" i="16"/>
  <c r="H417" i="16"/>
  <c r="H418" i="16"/>
  <c r="H419" i="16"/>
  <c r="J419" i="16" s="1"/>
  <c r="H420" i="16"/>
  <c r="J420" i="16" s="1"/>
  <c r="H421" i="16"/>
  <c r="H422" i="16"/>
  <c r="H423" i="16"/>
  <c r="H424" i="16"/>
  <c r="H425" i="16"/>
  <c r="J425" i="16" s="1"/>
  <c r="H426" i="16"/>
  <c r="J426" i="16" s="1"/>
  <c r="H427" i="16"/>
  <c r="H428" i="16"/>
  <c r="H429" i="16"/>
  <c r="H430" i="16"/>
  <c r="H431" i="16"/>
  <c r="J431" i="16" s="1"/>
  <c r="H432" i="16"/>
  <c r="J432" i="16" s="1"/>
  <c r="H433" i="16"/>
  <c r="H434" i="16"/>
  <c r="H435" i="16"/>
  <c r="H436" i="16"/>
  <c r="H437" i="16"/>
  <c r="J437" i="16" s="1"/>
  <c r="H438" i="16"/>
  <c r="J438" i="16" s="1"/>
  <c r="H439" i="16"/>
  <c r="H440" i="16"/>
  <c r="H441" i="16"/>
  <c r="H442" i="16"/>
  <c r="H443" i="16"/>
  <c r="H444" i="16"/>
  <c r="J444" i="16" s="1"/>
  <c r="H445" i="16"/>
  <c r="H446" i="16"/>
  <c r="H447" i="16"/>
  <c r="H448" i="16"/>
  <c r="H449" i="16"/>
  <c r="J449" i="16" s="1"/>
  <c r="H450" i="16"/>
  <c r="J450" i="16" s="1"/>
  <c r="H451" i="16"/>
  <c r="H452" i="16"/>
  <c r="H453" i="16"/>
  <c r="H454" i="16"/>
  <c r="H455" i="16"/>
  <c r="J455" i="16" s="1"/>
  <c r="H456" i="16"/>
  <c r="J456" i="16" s="1"/>
  <c r="H457" i="16"/>
  <c r="H458" i="16"/>
  <c r="H459" i="16"/>
  <c r="H460" i="16"/>
  <c r="H461" i="16"/>
  <c r="J461" i="16" s="1"/>
  <c r="H462" i="16"/>
  <c r="J462" i="16" s="1"/>
  <c r="H463" i="16"/>
  <c r="H464" i="16"/>
  <c r="H465" i="16"/>
  <c r="H466" i="16"/>
  <c r="H467" i="16"/>
  <c r="J467" i="16" s="1"/>
  <c r="H468" i="16"/>
  <c r="J468" i="16" s="1"/>
  <c r="H469" i="16"/>
  <c r="H470" i="16"/>
  <c r="H471" i="16"/>
  <c r="H472" i="16"/>
  <c r="H473" i="16"/>
  <c r="J473" i="16" s="1"/>
  <c r="H474" i="16"/>
  <c r="J474" i="16" s="1"/>
  <c r="H475" i="16"/>
  <c r="H476" i="16"/>
  <c r="H477" i="16"/>
  <c r="H478" i="16"/>
  <c r="H479" i="16"/>
  <c r="J479" i="16" s="1"/>
  <c r="H480" i="16"/>
  <c r="J480" i="16" s="1"/>
  <c r="H481" i="16"/>
  <c r="H482" i="16"/>
  <c r="H483" i="16"/>
  <c r="H484" i="16"/>
  <c r="H485" i="16"/>
  <c r="H486" i="16"/>
  <c r="J486" i="16" s="1"/>
  <c r="H487" i="16"/>
  <c r="H488" i="16"/>
  <c r="H489" i="16"/>
  <c r="H490" i="16"/>
  <c r="H491" i="16"/>
  <c r="J491" i="16" s="1"/>
  <c r="H492" i="16"/>
  <c r="J492" i="16" s="1"/>
  <c r="H493" i="16"/>
  <c r="H494" i="16"/>
  <c r="H495" i="16"/>
  <c r="H496" i="16"/>
  <c r="H497" i="16"/>
  <c r="J497" i="16" s="1"/>
  <c r="H498" i="16"/>
  <c r="J498" i="16" s="1"/>
  <c r="H499" i="16"/>
  <c r="H500" i="16"/>
  <c r="H501" i="16"/>
  <c r="H502" i="16"/>
  <c r="H503" i="16"/>
  <c r="J503" i="16" s="1"/>
  <c r="H504" i="16"/>
  <c r="J504" i="16" s="1"/>
  <c r="H505" i="16"/>
  <c r="H506" i="16"/>
  <c r="H507" i="16"/>
  <c r="H508" i="16"/>
  <c r="H509" i="16"/>
  <c r="J509" i="16" s="1"/>
  <c r="H510" i="16"/>
  <c r="J510" i="16" s="1"/>
  <c r="H511" i="16"/>
  <c r="H512" i="16"/>
  <c r="H513" i="16"/>
  <c r="H514" i="16"/>
  <c r="H515" i="16"/>
  <c r="J515" i="16" s="1"/>
  <c r="H516" i="16"/>
  <c r="J516" i="16" s="1"/>
  <c r="H517" i="16"/>
  <c r="H518" i="16"/>
  <c r="H519" i="16"/>
  <c r="H520" i="16"/>
  <c r="H521" i="16"/>
  <c r="J521" i="16" s="1"/>
  <c r="H522" i="16"/>
  <c r="J522" i="16" s="1"/>
  <c r="H523" i="16"/>
  <c r="H524" i="16"/>
  <c r="H525" i="16"/>
  <c r="H526" i="16"/>
  <c r="H527" i="16"/>
  <c r="J527" i="16" s="1"/>
  <c r="H528" i="16"/>
  <c r="J528" i="16" s="1"/>
  <c r="H529" i="16"/>
  <c r="H530" i="16"/>
  <c r="H531" i="16"/>
  <c r="H532" i="16"/>
  <c r="H533" i="16"/>
  <c r="H534" i="16"/>
  <c r="J534" i="16" s="1"/>
  <c r="H535" i="16"/>
  <c r="H536" i="16"/>
  <c r="H537" i="16"/>
  <c r="H538" i="16"/>
  <c r="H539" i="16"/>
  <c r="H540" i="16"/>
  <c r="J540" i="16" s="1"/>
  <c r="H541" i="16"/>
  <c r="H542" i="16"/>
  <c r="H543" i="16"/>
  <c r="H544" i="16"/>
  <c r="H545" i="16"/>
  <c r="J545" i="16" s="1"/>
  <c r="H546" i="16"/>
  <c r="J546" i="16" s="1"/>
  <c r="H547" i="16"/>
  <c r="H548" i="16"/>
  <c r="H549" i="16"/>
  <c r="H550" i="16"/>
  <c r="H551" i="16"/>
  <c r="J551" i="16" s="1"/>
  <c r="H552" i="16"/>
  <c r="J552" i="16" s="1"/>
  <c r="H553" i="16"/>
  <c r="H554" i="16"/>
  <c r="H555" i="16"/>
  <c r="H556" i="16"/>
  <c r="H557" i="16"/>
  <c r="J557" i="16" s="1"/>
  <c r="H558" i="16"/>
  <c r="J558" i="16" s="1"/>
  <c r="H559" i="16"/>
  <c r="H560" i="16"/>
  <c r="H561" i="16"/>
  <c r="H562" i="16"/>
  <c r="H563" i="16"/>
  <c r="J563" i="16" s="1"/>
  <c r="H564" i="16"/>
  <c r="J564" i="16" s="1"/>
  <c r="H565" i="16"/>
  <c r="H566" i="16"/>
  <c r="H567" i="16"/>
  <c r="H568" i="16"/>
  <c r="H569" i="16"/>
  <c r="H570" i="16"/>
  <c r="J570" i="16" s="1"/>
  <c r="H571" i="16"/>
  <c r="H572" i="16"/>
  <c r="H573" i="16"/>
  <c r="H574" i="16"/>
  <c r="H575" i="16"/>
  <c r="H576" i="16"/>
  <c r="J576" i="16" s="1"/>
  <c r="H577" i="16"/>
  <c r="H578" i="16"/>
  <c r="H579" i="16"/>
  <c r="H580" i="16"/>
  <c r="H581" i="16"/>
  <c r="J581" i="16" s="1"/>
  <c r="H582" i="16"/>
  <c r="J582" i="16" s="1"/>
  <c r="H583" i="16"/>
  <c r="H584" i="16"/>
  <c r="H585" i="16"/>
  <c r="H586" i="16"/>
  <c r="H587" i="16"/>
  <c r="J587" i="16" s="1"/>
  <c r="H588" i="16"/>
  <c r="J588" i="16" s="1"/>
  <c r="H589" i="16"/>
  <c r="H590" i="16"/>
  <c r="H591" i="16"/>
  <c r="H592" i="16"/>
  <c r="H593" i="16"/>
  <c r="J593" i="16" s="1"/>
  <c r="H594" i="16"/>
  <c r="J594" i="16" s="1"/>
  <c r="H595" i="16"/>
  <c r="H596" i="16"/>
  <c r="H597" i="16"/>
  <c r="H598" i="16"/>
  <c r="H599" i="16"/>
  <c r="J599" i="16" s="1"/>
  <c r="H600" i="16"/>
  <c r="J600" i="16" s="1"/>
  <c r="H601" i="16"/>
  <c r="H602" i="16"/>
  <c r="H603" i="16"/>
  <c r="H604" i="16"/>
  <c r="H605" i="16"/>
  <c r="H606" i="16"/>
  <c r="J606" i="16" s="1"/>
  <c r="H607" i="16"/>
  <c r="H608" i="16"/>
  <c r="H609" i="16"/>
  <c r="H610" i="16"/>
  <c r="H611" i="16"/>
  <c r="H612" i="16"/>
  <c r="J612" i="16" s="1"/>
  <c r="H613" i="16"/>
  <c r="H614" i="16"/>
  <c r="H615" i="16"/>
  <c r="H616" i="16"/>
  <c r="H617" i="16"/>
  <c r="J617" i="16" s="1"/>
  <c r="H618" i="16"/>
  <c r="J618" i="16" s="1"/>
  <c r="H619" i="16"/>
  <c r="H620" i="16"/>
  <c r="H621" i="16"/>
  <c r="H622" i="16"/>
  <c r="H623" i="16"/>
  <c r="J623" i="16" s="1"/>
  <c r="H624" i="16"/>
  <c r="J624" i="16" s="1"/>
  <c r="H625" i="16"/>
  <c r="H626" i="16"/>
  <c r="H627" i="16"/>
  <c r="H628" i="16"/>
  <c r="H629" i="16"/>
  <c r="J629" i="16" s="1"/>
  <c r="H630" i="16"/>
  <c r="J630" i="16" s="1"/>
  <c r="H631" i="16"/>
  <c r="H632" i="16"/>
  <c r="H633" i="16"/>
  <c r="H634" i="16"/>
  <c r="H635" i="16"/>
  <c r="J635" i="16" s="1"/>
  <c r="H636" i="16"/>
  <c r="J636" i="16" s="1"/>
  <c r="H637" i="16"/>
  <c r="H638" i="16"/>
  <c r="H639" i="16"/>
  <c r="H640" i="16"/>
  <c r="H641" i="16"/>
  <c r="H642" i="16"/>
  <c r="J642" i="16" s="1"/>
  <c r="H643" i="16"/>
  <c r="H644" i="16"/>
  <c r="H645" i="16"/>
  <c r="H646" i="16"/>
  <c r="H647" i="16"/>
  <c r="H648" i="16"/>
  <c r="J648" i="16" s="1"/>
  <c r="H649" i="16"/>
  <c r="H650" i="16"/>
  <c r="H651" i="16"/>
  <c r="H652" i="16"/>
  <c r="H653" i="16"/>
  <c r="J653" i="16" s="1"/>
  <c r="H654" i="16"/>
  <c r="J654" i="16" s="1"/>
  <c r="H655" i="16"/>
  <c r="H656" i="16"/>
  <c r="H657" i="16"/>
  <c r="H658" i="16"/>
  <c r="H659" i="16"/>
  <c r="J659" i="16" s="1"/>
  <c r="H660" i="16"/>
  <c r="J660" i="16" s="1"/>
  <c r="H661" i="16"/>
  <c r="H662" i="16"/>
  <c r="H663" i="16"/>
  <c r="H664" i="16"/>
  <c r="H665" i="16"/>
  <c r="J665" i="16" s="1"/>
  <c r="H666" i="16"/>
  <c r="J666" i="16" s="1"/>
  <c r="H667" i="16"/>
  <c r="H668" i="16"/>
  <c r="H669" i="16"/>
  <c r="H670" i="16"/>
  <c r="H671" i="16"/>
  <c r="J671" i="16" s="1"/>
  <c r="H672" i="16"/>
  <c r="J672" i="16" s="1"/>
  <c r="H673" i="16"/>
  <c r="H674" i="16"/>
  <c r="H675" i="16"/>
  <c r="H676" i="16"/>
  <c r="H677" i="16"/>
  <c r="H678" i="16"/>
  <c r="J678" i="16" s="1"/>
  <c r="H679" i="16"/>
  <c r="H680" i="16"/>
  <c r="H681" i="16"/>
  <c r="H682" i="16"/>
  <c r="H683" i="16"/>
  <c r="J683" i="16" s="1"/>
  <c r="H684" i="16"/>
  <c r="J684" i="16" s="1"/>
  <c r="H685" i="16"/>
  <c r="H686" i="16"/>
  <c r="H687" i="16"/>
  <c r="H688" i="16"/>
  <c r="H689" i="16"/>
  <c r="J689" i="16" s="1"/>
  <c r="H690" i="16"/>
  <c r="J690" i="16" s="1"/>
  <c r="H691" i="16"/>
  <c r="H692" i="16"/>
  <c r="H693" i="16"/>
  <c r="H694" i="16"/>
  <c r="H695" i="16"/>
  <c r="J695" i="16" s="1"/>
  <c r="H696" i="16"/>
  <c r="J696" i="16" s="1"/>
  <c r="H697" i="16"/>
  <c r="H698" i="16"/>
  <c r="H699" i="16"/>
  <c r="H700" i="16"/>
  <c r="H701" i="16"/>
  <c r="J701" i="16" s="1"/>
  <c r="H702" i="16"/>
  <c r="J702" i="16" s="1"/>
  <c r="H703" i="16"/>
  <c r="H704" i="16"/>
  <c r="H705" i="16"/>
  <c r="H706" i="16"/>
  <c r="H707" i="16"/>
  <c r="J707" i="16" s="1"/>
  <c r="H708" i="16"/>
  <c r="J708" i="16" s="1"/>
  <c r="H709" i="16"/>
  <c r="H710" i="16"/>
  <c r="H711" i="16"/>
  <c r="H712" i="16"/>
  <c r="H713" i="16"/>
  <c r="J713" i="16" s="1"/>
  <c r="H714" i="16"/>
  <c r="J714" i="16" s="1"/>
  <c r="H715" i="16"/>
  <c r="H716" i="16"/>
  <c r="H717" i="16"/>
  <c r="H718" i="16"/>
  <c r="H719" i="16"/>
  <c r="H720" i="16"/>
  <c r="J720" i="16" s="1"/>
  <c r="H721" i="16"/>
  <c r="H722" i="16"/>
  <c r="H723" i="16"/>
  <c r="H724" i="16"/>
  <c r="H725" i="16"/>
  <c r="J725" i="16" s="1"/>
  <c r="H726" i="16"/>
  <c r="J726" i="16" s="1"/>
  <c r="H727" i="16"/>
  <c r="H728" i="16"/>
  <c r="H729" i="16"/>
  <c r="H730" i="16"/>
  <c r="H731" i="16"/>
  <c r="J731" i="16" s="1"/>
  <c r="H732" i="16"/>
  <c r="J732" i="16" s="1"/>
  <c r="H733" i="16"/>
  <c r="H734" i="16"/>
  <c r="H735" i="16"/>
  <c r="H736" i="16"/>
  <c r="H737" i="16"/>
  <c r="J737" i="16" s="1"/>
  <c r="H738" i="16"/>
  <c r="J738" i="16" s="1"/>
  <c r="H739" i="16"/>
  <c r="H740" i="16"/>
  <c r="H741" i="16"/>
  <c r="H742" i="16"/>
  <c r="H743" i="16"/>
  <c r="J743" i="16" s="1"/>
  <c r="H744" i="16"/>
  <c r="J744" i="16" s="1"/>
  <c r="H745" i="16"/>
  <c r="H746" i="16"/>
  <c r="H747" i="16"/>
  <c r="H748" i="16"/>
  <c r="H749" i="16"/>
  <c r="J749" i="16" s="1"/>
  <c r="H750" i="16"/>
  <c r="J750" i="16" s="1"/>
  <c r="H751" i="16"/>
  <c r="H752" i="16"/>
  <c r="H753" i="16"/>
  <c r="H754" i="16"/>
  <c r="H755" i="16"/>
  <c r="J755" i="16" s="1"/>
  <c r="H756" i="16"/>
  <c r="J756" i="16" s="1"/>
  <c r="H757" i="16"/>
  <c r="H758" i="16"/>
  <c r="H759" i="16"/>
  <c r="H760" i="16"/>
  <c r="H761" i="16"/>
  <c r="J761" i="16" s="1"/>
  <c r="H762" i="16"/>
  <c r="J762" i="16" s="1"/>
  <c r="H763" i="16"/>
  <c r="H764" i="16"/>
  <c r="H765" i="16"/>
  <c r="H766" i="16"/>
  <c r="H767" i="16"/>
  <c r="J767" i="16" s="1"/>
  <c r="H768" i="16"/>
  <c r="J768" i="16" s="1"/>
  <c r="H769" i="16"/>
  <c r="H770" i="16"/>
  <c r="H771" i="16"/>
  <c r="H772" i="16"/>
  <c r="H773" i="16"/>
  <c r="J773" i="16" s="1"/>
  <c r="H774" i="16"/>
  <c r="J774" i="16" s="1"/>
  <c r="H775" i="16"/>
  <c r="H776" i="16"/>
  <c r="H777" i="16"/>
  <c r="H778" i="16"/>
  <c r="H779" i="16"/>
  <c r="J779" i="16" s="1"/>
  <c r="H780" i="16"/>
  <c r="J780" i="16" s="1"/>
  <c r="H781" i="16"/>
  <c r="H782" i="16"/>
  <c r="H783" i="16"/>
  <c r="H784" i="16"/>
  <c r="H785" i="16"/>
  <c r="H786" i="16"/>
  <c r="J786" i="16" s="1"/>
  <c r="H787" i="16"/>
  <c r="H788" i="16"/>
  <c r="H789" i="16"/>
  <c r="H790" i="16"/>
  <c r="H791" i="16"/>
  <c r="J791" i="16" s="1"/>
  <c r="H792" i="16"/>
  <c r="J792" i="16" s="1"/>
  <c r="H793" i="16"/>
  <c r="H794" i="16"/>
  <c r="H795" i="16"/>
  <c r="H796" i="16"/>
  <c r="H797" i="16"/>
  <c r="J797" i="16" s="1"/>
  <c r="H798" i="16"/>
  <c r="J798" i="16" s="1"/>
  <c r="H799" i="16"/>
  <c r="H800" i="16"/>
  <c r="H801" i="16"/>
  <c r="H802" i="16"/>
  <c r="H803" i="16"/>
  <c r="J803" i="16" s="1"/>
  <c r="H804" i="16"/>
  <c r="J804" i="16" s="1"/>
  <c r="H805" i="16"/>
  <c r="H806" i="16"/>
  <c r="H807" i="16"/>
  <c r="H808" i="16"/>
  <c r="H809" i="16"/>
  <c r="J809" i="16" s="1"/>
  <c r="H810" i="16"/>
  <c r="J810" i="16" s="1"/>
  <c r="H811" i="16"/>
  <c r="H812" i="16"/>
  <c r="H813" i="16"/>
  <c r="H814" i="16"/>
  <c r="H815" i="16"/>
  <c r="J815" i="16" s="1"/>
  <c r="H816" i="16"/>
  <c r="J816" i="16" s="1"/>
  <c r="H817" i="16"/>
  <c r="H818" i="16"/>
  <c r="H819" i="16"/>
  <c r="H820" i="16"/>
  <c r="H821" i="16"/>
  <c r="J821" i="16" s="1"/>
  <c r="H822" i="16"/>
  <c r="J822" i="16" s="1"/>
  <c r="H823" i="16"/>
  <c r="H824" i="16"/>
  <c r="H825" i="16"/>
  <c r="H826" i="16"/>
  <c r="H827" i="16"/>
  <c r="H828" i="16"/>
  <c r="J828" i="16" s="1"/>
  <c r="H829" i="16"/>
  <c r="H830" i="16"/>
  <c r="H831" i="16"/>
  <c r="H832" i="16"/>
  <c r="H833" i="16"/>
  <c r="J833" i="16" s="1"/>
  <c r="H834" i="16"/>
  <c r="J834" i="16" s="1"/>
  <c r="H835" i="16"/>
  <c r="H836" i="16"/>
  <c r="H837" i="16"/>
  <c r="H838" i="16"/>
  <c r="H839" i="16"/>
  <c r="J839" i="16" s="1"/>
  <c r="H840" i="16"/>
  <c r="J840" i="16" s="1"/>
  <c r="H841" i="16"/>
  <c r="H842" i="16"/>
  <c r="H843" i="16"/>
  <c r="H844" i="16"/>
  <c r="H845" i="16"/>
  <c r="J845" i="16" s="1"/>
  <c r="H846" i="16"/>
  <c r="J846" i="16" s="1"/>
  <c r="H847" i="16"/>
  <c r="H848" i="16"/>
  <c r="H849" i="16"/>
  <c r="H850" i="16"/>
  <c r="H851" i="16"/>
  <c r="J851" i="16" s="1"/>
  <c r="H852" i="16"/>
  <c r="J852" i="16" s="1"/>
  <c r="H853" i="16"/>
  <c r="H854" i="16"/>
  <c r="H855" i="16"/>
  <c r="H856" i="16"/>
  <c r="H857" i="16"/>
  <c r="J857" i="16" s="1"/>
  <c r="H858" i="16"/>
  <c r="J858" i="16" s="1"/>
  <c r="H859" i="16"/>
  <c r="H860" i="16"/>
  <c r="H861" i="16"/>
  <c r="H862" i="16"/>
  <c r="H863" i="16"/>
  <c r="J863" i="16" s="1"/>
  <c r="H864" i="16"/>
  <c r="J864" i="16" s="1"/>
  <c r="H865" i="16"/>
  <c r="H866" i="16"/>
  <c r="H867" i="16"/>
  <c r="H868" i="16"/>
  <c r="H869" i="16"/>
  <c r="J869" i="16" s="1"/>
  <c r="H870" i="16"/>
  <c r="J870" i="16" s="1"/>
  <c r="H871" i="16"/>
  <c r="H872" i="16"/>
  <c r="H873" i="16"/>
  <c r="H874" i="16"/>
  <c r="H875" i="16"/>
  <c r="J875" i="16" s="1"/>
  <c r="H876" i="16"/>
  <c r="J876" i="16" s="1"/>
  <c r="H877" i="16"/>
  <c r="H878" i="16"/>
  <c r="H879" i="16"/>
  <c r="H880" i="16"/>
  <c r="H881" i="16"/>
  <c r="J881" i="16" s="1"/>
  <c r="H882" i="16"/>
  <c r="J882" i="16" s="1"/>
  <c r="H883" i="16"/>
  <c r="H884" i="16"/>
  <c r="H885" i="16"/>
  <c r="H886" i="16"/>
  <c r="H887" i="16"/>
  <c r="J887" i="16" s="1"/>
  <c r="H888" i="16"/>
  <c r="J888" i="16" s="1"/>
  <c r="H889" i="16"/>
  <c r="H890" i="16"/>
  <c r="H891" i="16"/>
  <c r="H892" i="16"/>
  <c r="H893" i="16"/>
  <c r="H894" i="16"/>
  <c r="J894" i="16" s="1"/>
  <c r="H895" i="16"/>
  <c r="H896" i="16"/>
  <c r="H897" i="16"/>
  <c r="H898" i="16"/>
  <c r="H899" i="16"/>
  <c r="J899" i="16" s="1"/>
  <c r="H900" i="16"/>
  <c r="J900" i="16" s="1"/>
  <c r="H901" i="16"/>
  <c r="H902" i="16"/>
  <c r="H903" i="16"/>
  <c r="H904" i="16"/>
  <c r="H905" i="16"/>
  <c r="J905" i="16" s="1"/>
  <c r="H906" i="16"/>
  <c r="J906" i="16" s="1"/>
  <c r="H907" i="16"/>
  <c r="H908" i="16"/>
  <c r="H909" i="16"/>
  <c r="H910" i="16"/>
  <c r="H911" i="16"/>
  <c r="J911" i="16" s="1"/>
  <c r="H912" i="16"/>
  <c r="J912" i="16" s="1"/>
  <c r="H913" i="16"/>
  <c r="H914" i="16"/>
  <c r="H915" i="16"/>
  <c r="H916" i="16"/>
  <c r="H917" i="16"/>
  <c r="J917" i="16" s="1"/>
  <c r="H918" i="16"/>
  <c r="J918" i="16" s="1"/>
  <c r="H919" i="16"/>
  <c r="H920" i="16"/>
  <c r="H921" i="16"/>
  <c r="H922" i="16"/>
  <c r="H923" i="16"/>
  <c r="J923" i="16" s="1"/>
  <c r="H924" i="16"/>
  <c r="J924" i="16" s="1"/>
  <c r="H925" i="16"/>
  <c r="H926" i="16"/>
  <c r="H927" i="16"/>
  <c r="H928" i="16"/>
  <c r="H929" i="16"/>
  <c r="J929" i="16" s="1"/>
  <c r="H930" i="16"/>
  <c r="J930" i="16" s="1"/>
  <c r="H931" i="16"/>
  <c r="H932" i="16"/>
  <c r="H933" i="16"/>
  <c r="H934" i="16"/>
  <c r="H935" i="16"/>
  <c r="H936" i="16"/>
  <c r="J936" i="16" s="1"/>
  <c r="H937" i="16"/>
  <c r="H938" i="16"/>
  <c r="H939" i="16"/>
  <c r="H940" i="16"/>
  <c r="H941" i="16"/>
  <c r="H942" i="16"/>
  <c r="J942" i="16" s="1"/>
  <c r="H943" i="16"/>
  <c r="H944" i="16"/>
  <c r="H945" i="16"/>
  <c r="H946" i="16"/>
  <c r="H947" i="16"/>
  <c r="J947" i="16" s="1"/>
  <c r="H948" i="16"/>
  <c r="J948" i="16" s="1"/>
  <c r="H949" i="16"/>
  <c r="H950" i="16"/>
  <c r="H951" i="16"/>
  <c r="H952" i="16"/>
  <c r="H953" i="16"/>
  <c r="J953" i="16" s="1"/>
  <c r="H954" i="16"/>
  <c r="J954" i="16" s="1"/>
  <c r="H955" i="16"/>
  <c r="H956" i="16"/>
  <c r="H957" i="16"/>
  <c r="H958" i="16"/>
  <c r="H959" i="16"/>
  <c r="J959" i="16" s="1"/>
  <c r="H960" i="16"/>
  <c r="J960" i="16" s="1"/>
  <c r="H961" i="16"/>
  <c r="H962" i="16"/>
  <c r="H963" i="16"/>
  <c r="H964" i="16"/>
  <c r="H965" i="16"/>
  <c r="J965" i="16" s="1"/>
  <c r="H966" i="16"/>
  <c r="J966" i="16" s="1"/>
  <c r="H967" i="16"/>
  <c r="H968" i="16"/>
  <c r="H969" i="16"/>
  <c r="H970" i="16"/>
  <c r="H971" i="16"/>
  <c r="H972" i="16"/>
  <c r="J972" i="16" s="1"/>
  <c r="H973" i="16"/>
  <c r="H974" i="16"/>
  <c r="H975" i="16"/>
  <c r="H976" i="16"/>
  <c r="H977" i="16"/>
  <c r="H978" i="16"/>
  <c r="J978" i="16" s="1"/>
  <c r="H979" i="16"/>
  <c r="H980" i="16"/>
  <c r="H981" i="16"/>
  <c r="H982" i="16"/>
  <c r="H983" i="16"/>
  <c r="J983" i="16" s="1"/>
  <c r="H984" i="16"/>
  <c r="J984" i="16" s="1"/>
  <c r="H985" i="16"/>
  <c r="H986" i="16"/>
  <c r="H987" i="16"/>
  <c r="H988" i="16"/>
  <c r="H989" i="16"/>
  <c r="J989" i="16" s="1"/>
  <c r="H990" i="16"/>
  <c r="J990" i="16" s="1"/>
  <c r="H991" i="16"/>
  <c r="H992" i="16"/>
  <c r="H993" i="16"/>
  <c r="H994" i="16"/>
  <c r="H995" i="16"/>
  <c r="J995" i="16" s="1"/>
  <c r="H996" i="16"/>
  <c r="J996" i="16" s="1"/>
  <c r="H997" i="16"/>
  <c r="H998" i="16"/>
  <c r="H999" i="16"/>
  <c r="H1000" i="16"/>
  <c r="H1001" i="16"/>
  <c r="J1001" i="16" s="1"/>
  <c r="H1002" i="16"/>
  <c r="J1002" i="16" s="1"/>
  <c r="H1003" i="16"/>
  <c r="H1004" i="16"/>
  <c r="H1005" i="16"/>
  <c r="H1006" i="16"/>
  <c r="H1007" i="16"/>
  <c r="H1008" i="16"/>
  <c r="J1008" i="16" s="1"/>
  <c r="H1009" i="16"/>
  <c r="H1010" i="16"/>
  <c r="H1011" i="16"/>
  <c r="H1012" i="16"/>
  <c r="H1013" i="16"/>
  <c r="H1014" i="16"/>
  <c r="J1014" i="16" s="1"/>
  <c r="H1015" i="16"/>
  <c r="H1016" i="16"/>
  <c r="H1017" i="16"/>
  <c r="H1018" i="16"/>
  <c r="H1019" i="16"/>
  <c r="J1019" i="16" s="1"/>
  <c r="H1020" i="16"/>
  <c r="J1020" i="16" s="1"/>
  <c r="H1021" i="16"/>
  <c r="H1022" i="16"/>
  <c r="H1023" i="16"/>
  <c r="H1024" i="16"/>
  <c r="H1025" i="16"/>
  <c r="J1025" i="16" s="1"/>
  <c r="H1026" i="16"/>
  <c r="J1026" i="16" s="1"/>
  <c r="H1027" i="16"/>
  <c r="H1028" i="16"/>
  <c r="H1029" i="16"/>
  <c r="H1030" i="16"/>
  <c r="H1031" i="16"/>
  <c r="J1031" i="16" s="1"/>
  <c r="H1032" i="16"/>
  <c r="J1032" i="16" s="1"/>
  <c r="H1033" i="16"/>
  <c r="H1034" i="16"/>
  <c r="H1035" i="16"/>
  <c r="H1036" i="16"/>
  <c r="H1037" i="16"/>
  <c r="J1037" i="16" s="1"/>
  <c r="H1038" i="16"/>
  <c r="J1038" i="16" s="1"/>
  <c r="H1039" i="16"/>
  <c r="H1040" i="16"/>
  <c r="H1041" i="16"/>
  <c r="H1042" i="16"/>
  <c r="H1043" i="16"/>
  <c r="H1044" i="16"/>
  <c r="J1044" i="16" s="1"/>
  <c r="H1045" i="16"/>
  <c r="H1046" i="16"/>
  <c r="H1047" i="16"/>
  <c r="H1048" i="16"/>
  <c r="H1049" i="16"/>
  <c r="H1050" i="16"/>
  <c r="J1050" i="16" s="1"/>
  <c r="H1051" i="16"/>
  <c r="H1052" i="16"/>
  <c r="H1053" i="16"/>
  <c r="H1054" i="16"/>
  <c r="H1055" i="16"/>
  <c r="J1055" i="16" s="1"/>
  <c r="H1056" i="16"/>
  <c r="J1056" i="16" s="1"/>
  <c r="H1057" i="16"/>
  <c r="H1058" i="16"/>
  <c r="H1059" i="16"/>
  <c r="H1060" i="16"/>
  <c r="H1061" i="16"/>
  <c r="J1061" i="16" s="1"/>
  <c r="H1062" i="16"/>
  <c r="J1062" i="16" s="1"/>
  <c r="H1063" i="16"/>
  <c r="H1064" i="16"/>
  <c r="H1065" i="16"/>
  <c r="H1066" i="16"/>
  <c r="H1067" i="16"/>
  <c r="J1067" i="16" s="1"/>
  <c r="H1068" i="16"/>
  <c r="J1068" i="16" s="1"/>
  <c r="H1069" i="16"/>
  <c r="H1070" i="16"/>
  <c r="H1071" i="16"/>
  <c r="H1072" i="16"/>
  <c r="H1073" i="16"/>
  <c r="J1073" i="16" s="1"/>
  <c r="H1074" i="16"/>
  <c r="J1074" i="16" s="1"/>
  <c r="H1075" i="16"/>
  <c r="H1076" i="16"/>
  <c r="H1077" i="16"/>
  <c r="H1078" i="16"/>
  <c r="H1079" i="16"/>
  <c r="H1080" i="16"/>
  <c r="J1080" i="16" s="1"/>
  <c r="H1081" i="16"/>
  <c r="H1082" i="16"/>
  <c r="H1083" i="16"/>
  <c r="H1084" i="16"/>
  <c r="H1085" i="16"/>
  <c r="H1086" i="16"/>
  <c r="J1086" i="16" s="1"/>
  <c r="H1087" i="16"/>
  <c r="H1088" i="16"/>
  <c r="H1089" i="16"/>
  <c r="H1090" i="16"/>
  <c r="H1091" i="16"/>
  <c r="J1091" i="16" s="1"/>
  <c r="H1092" i="16"/>
  <c r="J1092" i="16" s="1"/>
  <c r="H1093" i="16"/>
  <c r="H1094" i="16"/>
  <c r="H1095" i="16"/>
  <c r="H1096" i="16"/>
  <c r="H1097" i="16"/>
  <c r="J1097" i="16" s="1"/>
  <c r="H1098" i="16"/>
  <c r="J1098" i="16" s="1"/>
  <c r="H1099" i="16"/>
  <c r="H1100" i="16"/>
  <c r="H1101" i="16"/>
  <c r="H1102" i="16"/>
  <c r="H1103" i="16"/>
  <c r="J1103" i="16" s="1"/>
  <c r="H1104" i="16"/>
  <c r="J1104" i="16" s="1"/>
  <c r="H1105" i="16"/>
  <c r="H1106" i="16"/>
  <c r="H1107" i="16"/>
  <c r="H1108" i="16"/>
  <c r="H1109" i="16"/>
  <c r="J1109" i="16" s="1"/>
  <c r="H1110" i="16"/>
  <c r="J1110" i="16" s="1"/>
  <c r="H1111" i="16"/>
  <c r="H1112" i="16"/>
  <c r="H1113" i="16"/>
  <c r="H1114" i="16"/>
  <c r="H1115" i="16"/>
  <c r="H1116" i="16"/>
  <c r="J1116" i="16" s="1"/>
  <c r="H1117" i="16"/>
  <c r="H1118" i="16"/>
  <c r="H1119" i="16"/>
  <c r="H1120" i="16"/>
  <c r="H1121" i="16"/>
  <c r="H1122" i="16"/>
  <c r="J1122" i="16" s="1"/>
  <c r="H1123" i="16"/>
  <c r="H1124" i="16"/>
  <c r="H1125" i="16"/>
  <c r="H1126" i="16"/>
  <c r="H1127" i="16"/>
  <c r="J1127" i="16" s="1"/>
  <c r="H1128" i="16"/>
  <c r="J1128" i="16" s="1"/>
  <c r="H1129" i="16"/>
  <c r="H1130" i="16"/>
  <c r="H1131" i="16"/>
  <c r="H1132" i="16"/>
  <c r="H1133" i="16"/>
  <c r="J1133" i="16" s="1"/>
  <c r="H1134" i="16"/>
  <c r="J1134" i="16" s="1"/>
  <c r="H1135" i="16"/>
  <c r="H1136" i="16"/>
  <c r="H1137" i="16"/>
  <c r="H1138" i="16"/>
  <c r="H1139" i="16"/>
  <c r="J1139" i="16" s="1"/>
  <c r="H1140" i="16"/>
  <c r="J1140" i="16" s="1"/>
  <c r="H1141" i="16"/>
  <c r="H1142" i="16"/>
  <c r="H1143" i="16"/>
  <c r="H1144" i="16"/>
  <c r="H1145" i="16"/>
  <c r="J1145" i="16" s="1"/>
  <c r="H1146" i="16"/>
  <c r="J1146" i="16" s="1"/>
  <c r="H1147" i="16"/>
  <c r="H1148" i="16"/>
  <c r="H1149" i="16"/>
  <c r="H1150" i="16"/>
  <c r="H1151" i="16"/>
  <c r="H1152" i="16"/>
  <c r="J1152" i="16" s="1"/>
  <c r="H1153" i="16"/>
  <c r="H1154" i="16"/>
  <c r="H1155" i="16"/>
  <c r="H1156" i="16"/>
  <c r="H1157" i="16"/>
  <c r="H1158" i="16"/>
  <c r="J1158" i="16" s="1"/>
  <c r="H1159" i="16"/>
  <c r="H1160" i="16"/>
  <c r="H1161" i="16"/>
  <c r="H1162" i="16"/>
  <c r="H1163" i="16"/>
  <c r="J1163" i="16" s="1"/>
  <c r="H1164" i="16"/>
  <c r="J1164" i="16" s="1"/>
  <c r="H1165" i="16"/>
  <c r="H1166" i="16"/>
  <c r="H1167" i="16"/>
  <c r="H1168" i="16"/>
  <c r="H1169" i="16"/>
  <c r="J1169" i="16" s="1"/>
  <c r="H1170" i="16"/>
  <c r="J1170" i="16" s="1"/>
  <c r="H1171" i="16"/>
  <c r="H1172" i="16"/>
  <c r="H1173" i="16"/>
  <c r="H1174" i="16"/>
  <c r="H1175" i="16"/>
  <c r="J1175" i="16" s="1"/>
  <c r="H1176" i="16"/>
  <c r="J1176" i="16" s="1"/>
  <c r="H1177" i="16"/>
  <c r="H1178" i="16"/>
  <c r="H1179" i="16"/>
  <c r="H1180" i="16"/>
  <c r="H1181" i="16"/>
  <c r="J1181" i="16" s="1"/>
  <c r="H1182" i="16"/>
  <c r="J1182" i="16" s="1"/>
  <c r="H1183" i="16"/>
  <c r="H1184" i="16"/>
  <c r="H1185" i="16"/>
  <c r="H1186" i="16"/>
  <c r="H1187" i="16"/>
  <c r="H1188" i="16"/>
  <c r="J1188" i="16" s="1"/>
  <c r="H1189" i="16"/>
  <c r="H1190" i="16"/>
  <c r="H1191" i="16"/>
  <c r="H1192" i="16"/>
  <c r="H1193" i="16"/>
  <c r="H1194" i="16"/>
  <c r="J1194" i="16" s="1"/>
  <c r="H1195" i="16"/>
  <c r="H1196" i="16"/>
  <c r="H1197" i="16"/>
  <c r="H1198" i="16"/>
  <c r="H1199" i="16"/>
  <c r="J1199" i="16" s="1"/>
  <c r="H1200" i="16"/>
  <c r="J1200" i="16" s="1"/>
  <c r="H1201" i="16"/>
  <c r="H1202" i="16"/>
  <c r="H1203" i="16"/>
  <c r="H1204" i="16"/>
  <c r="H1205" i="16"/>
  <c r="J1205" i="16" s="1"/>
  <c r="H1206" i="16"/>
  <c r="J1206" i="16" s="1"/>
  <c r="H1207" i="16"/>
  <c r="H1208" i="16"/>
  <c r="H1209" i="16"/>
  <c r="H1210" i="16"/>
  <c r="H1211" i="16"/>
  <c r="J1211" i="16" s="1"/>
  <c r="H1212" i="16"/>
  <c r="J1212" i="16" s="1"/>
  <c r="H1213" i="16"/>
  <c r="H1214" i="16"/>
  <c r="H1215" i="16"/>
  <c r="H1216" i="16"/>
  <c r="H1217" i="16"/>
  <c r="J1217" i="16" s="1"/>
  <c r="H1218" i="16"/>
  <c r="J1218" i="16" s="1"/>
  <c r="H1219" i="16"/>
  <c r="H1220" i="16"/>
  <c r="H1221" i="16"/>
  <c r="H1222" i="16"/>
  <c r="H1223" i="16"/>
  <c r="H1224" i="16"/>
  <c r="J1224" i="16" s="1"/>
  <c r="H1225" i="16"/>
  <c r="H1226" i="16"/>
  <c r="H1227" i="16"/>
  <c r="H1228" i="16"/>
  <c r="H1229" i="16"/>
  <c r="H1230" i="16"/>
  <c r="J1230" i="16" s="1"/>
  <c r="H1231" i="16"/>
  <c r="H1232" i="16"/>
  <c r="H1233" i="16"/>
  <c r="H1234" i="16"/>
  <c r="H1235" i="16"/>
  <c r="J1235" i="16" s="1"/>
  <c r="H1236" i="16"/>
  <c r="J1236" i="16" s="1"/>
  <c r="H1237" i="16"/>
  <c r="H1238" i="16"/>
  <c r="H1239" i="16"/>
  <c r="H1240" i="16"/>
  <c r="H1241" i="16"/>
  <c r="J1241" i="16" s="1"/>
  <c r="H1242" i="16"/>
  <c r="J1242" i="16" s="1"/>
  <c r="H1243" i="16"/>
  <c r="H1244" i="16"/>
  <c r="H1245" i="16"/>
  <c r="H1246" i="16"/>
  <c r="H1247" i="16"/>
  <c r="J1247" i="16" s="1"/>
  <c r="H1248" i="16"/>
  <c r="J1248" i="16" s="1"/>
  <c r="H1249" i="16"/>
  <c r="H1250" i="16"/>
  <c r="H1251" i="16"/>
  <c r="H1252" i="16"/>
  <c r="H1253" i="16"/>
  <c r="J1253" i="16" s="1"/>
  <c r="H1254" i="16"/>
  <c r="J1254" i="16" s="1"/>
  <c r="H1255" i="16"/>
  <c r="H1256" i="16"/>
  <c r="H1257" i="16"/>
  <c r="H1258" i="16"/>
  <c r="H1259" i="16"/>
  <c r="H1260" i="16"/>
  <c r="J1260" i="16" s="1"/>
  <c r="H1261" i="16"/>
  <c r="H1262" i="16"/>
  <c r="H1263" i="16"/>
  <c r="H1264" i="16"/>
  <c r="H1265" i="16"/>
  <c r="H1266" i="16"/>
  <c r="J1266" i="16" s="1"/>
  <c r="H1267" i="16"/>
  <c r="H1268" i="16"/>
  <c r="H1269" i="16"/>
  <c r="H1270" i="16"/>
  <c r="H1271" i="16"/>
  <c r="J1271" i="16" s="1"/>
  <c r="H1272" i="16"/>
  <c r="J1272" i="16" s="1"/>
  <c r="H1273" i="16"/>
  <c r="H1274" i="16"/>
  <c r="H1275" i="16"/>
  <c r="H1276" i="16"/>
  <c r="H1277" i="16"/>
  <c r="J1277" i="16" s="1"/>
  <c r="H1278" i="16"/>
  <c r="J1278" i="16" s="1"/>
  <c r="H1279" i="16"/>
  <c r="H1280" i="16"/>
  <c r="H1281" i="16"/>
  <c r="H1282" i="16"/>
  <c r="H1283" i="16"/>
  <c r="J1283" i="16" s="1"/>
  <c r="H1284" i="16"/>
  <c r="J1284" i="16" s="1"/>
  <c r="H1285" i="16"/>
  <c r="H1286" i="16"/>
  <c r="H1287" i="16"/>
  <c r="H1288" i="16"/>
  <c r="H1289" i="16"/>
  <c r="J1289" i="16" s="1"/>
  <c r="H1290" i="16"/>
  <c r="J1290" i="16" s="1"/>
  <c r="H1291" i="16"/>
  <c r="H1292" i="16"/>
  <c r="H1293" i="16"/>
  <c r="H1294" i="16"/>
  <c r="H1295" i="16"/>
  <c r="H1296" i="16"/>
  <c r="J1296" i="16" s="1"/>
  <c r="H1297" i="16"/>
  <c r="H1298" i="16"/>
  <c r="H1299" i="16"/>
  <c r="H1300" i="16"/>
  <c r="H1301" i="16"/>
  <c r="H1302" i="16"/>
  <c r="J1302" i="16" s="1"/>
  <c r="H1303" i="16"/>
  <c r="H1304" i="16"/>
  <c r="H1305" i="16"/>
  <c r="H1306" i="16"/>
  <c r="H1307" i="16"/>
  <c r="J1307" i="16" s="1"/>
  <c r="H1308" i="16"/>
  <c r="J1308" i="16" s="1"/>
  <c r="H1309" i="16"/>
  <c r="H1310" i="16"/>
  <c r="H1311" i="16"/>
  <c r="H1312" i="16"/>
  <c r="H1313" i="16"/>
  <c r="J1313" i="16" s="1"/>
  <c r="H1314" i="16"/>
  <c r="J1314" i="16" s="1"/>
  <c r="H1315" i="16"/>
  <c r="H1316" i="16"/>
  <c r="H1317" i="16"/>
  <c r="H1318" i="16"/>
  <c r="H1319" i="16"/>
  <c r="J1319" i="16" s="1"/>
  <c r="H1320" i="16"/>
  <c r="J1320" i="16" s="1"/>
  <c r="H1321" i="16"/>
  <c r="H1322" i="16"/>
  <c r="H1323" i="16"/>
  <c r="H1324" i="16"/>
  <c r="H1325" i="16"/>
  <c r="J1325" i="16" s="1"/>
  <c r="H1326" i="16"/>
  <c r="J1326" i="16" s="1"/>
  <c r="H1327" i="16"/>
  <c r="H1328" i="16"/>
  <c r="H1329" i="16"/>
  <c r="H1330" i="16"/>
  <c r="H1331" i="16"/>
  <c r="H1332" i="16"/>
  <c r="J1332" i="16" s="1"/>
  <c r="H1333" i="16"/>
  <c r="H1334" i="16"/>
  <c r="H1335" i="16"/>
  <c r="H1336" i="16"/>
  <c r="H1337" i="16"/>
  <c r="H1338" i="16"/>
  <c r="J1338" i="16" s="1"/>
  <c r="H1339" i="16"/>
  <c r="H1340" i="16"/>
  <c r="H1341" i="16"/>
  <c r="H1342" i="16"/>
  <c r="H1343" i="16"/>
  <c r="H1344" i="16"/>
  <c r="J1344" i="16" s="1"/>
  <c r="H1345" i="16"/>
  <c r="H1346" i="16"/>
  <c r="H1347" i="16"/>
  <c r="H1348" i="16"/>
  <c r="H1349" i="16"/>
  <c r="J1349" i="16" s="1"/>
  <c r="H1350" i="16"/>
  <c r="J1350" i="16" s="1"/>
  <c r="H1351" i="16"/>
  <c r="H1352" i="16"/>
  <c r="H1353" i="16"/>
  <c r="H1354" i="16"/>
  <c r="H1355" i="16"/>
  <c r="H1356" i="16"/>
  <c r="J1356" i="16" s="1"/>
  <c r="H1357" i="16"/>
  <c r="H1358" i="16"/>
  <c r="H1359" i="16"/>
  <c r="H1360" i="16"/>
  <c r="H1361" i="16"/>
  <c r="J1361" i="16" s="1"/>
  <c r="H1362" i="16"/>
  <c r="J1362" i="16" s="1"/>
  <c r="H1363" i="16"/>
  <c r="H1364" i="16"/>
  <c r="H1365" i="16"/>
  <c r="H1366" i="16"/>
  <c r="H1367" i="16"/>
  <c r="H1368" i="16"/>
  <c r="J1368" i="16" s="1"/>
  <c r="H1369" i="16"/>
  <c r="H1370" i="16"/>
  <c r="H1371" i="16"/>
  <c r="H1372" i="16"/>
  <c r="H1373" i="16"/>
  <c r="H1374" i="16"/>
  <c r="J1374" i="16" s="1"/>
  <c r="H1375" i="16"/>
  <c r="H1376" i="16"/>
  <c r="H1377" i="16"/>
  <c r="H1378" i="16"/>
  <c r="H1379" i="16"/>
  <c r="H1380" i="16"/>
  <c r="J1380" i="16" s="1"/>
  <c r="H1381" i="16"/>
  <c r="H1382" i="16"/>
  <c r="H1383" i="16"/>
  <c r="H1384" i="16"/>
  <c r="H1385" i="16"/>
  <c r="J1385" i="16" s="1"/>
  <c r="H1386" i="16"/>
  <c r="J1386" i="16" s="1"/>
  <c r="H1387" i="16"/>
  <c r="H1388" i="16"/>
  <c r="H1389" i="16"/>
  <c r="H1390" i="16"/>
  <c r="H1391" i="16"/>
  <c r="H1392" i="16"/>
  <c r="J1392" i="16" s="1"/>
  <c r="H1393" i="16"/>
  <c r="H1394" i="16"/>
  <c r="H1395" i="16"/>
  <c r="H1396" i="16"/>
  <c r="H1397" i="16"/>
  <c r="J1397" i="16" s="1"/>
  <c r="H1398" i="16"/>
  <c r="J1398" i="16" s="1"/>
  <c r="H1399" i="16"/>
  <c r="H1400" i="16"/>
  <c r="H1401" i="16"/>
  <c r="H1402" i="16"/>
  <c r="H1403" i="16"/>
  <c r="H1404" i="16"/>
  <c r="J1404" i="16" s="1"/>
  <c r="H1405" i="16"/>
  <c r="H1406" i="16"/>
  <c r="H1407" i="16"/>
  <c r="H1408" i="16"/>
  <c r="H1409" i="16"/>
  <c r="H1410" i="16"/>
  <c r="J1410" i="16" s="1"/>
  <c r="H1411" i="16"/>
  <c r="H1412" i="16"/>
  <c r="H1413" i="16"/>
  <c r="H1414" i="16"/>
  <c r="H1415" i="16"/>
  <c r="H1416" i="16"/>
  <c r="J1416" i="16" s="1"/>
  <c r="H1417" i="16"/>
  <c r="H1418" i="16"/>
  <c r="H1419" i="16"/>
  <c r="H1420" i="16"/>
  <c r="H1421" i="16"/>
  <c r="J1421" i="16" s="1"/>
  <c r="H1422" i="16"/>
  <c r="J1422" i="16" s="1"/>
  <c r="H1423" i="16"/>
  <c r="H1424" i="16"/>
  <c r="H1425" i="16"/>
  <c r="H1426" i="16"/>
  <c r="H1427" i="16"/>
  <c r="H1428" i="16"/>
  <c r="J1428" i="16" s="1"/>
  <c r="H1429" i="16"/>
  <c r="H1430" i="16"/>
  <c r="H1431" i="16"/>
  <c r="H1432" i="16"/>
  <c r="H1433" i="16"/>
  <c r="H1434" i="16"/>
  <c r="J1434" i="16" s="1"/>
  <c r="H1435" i="16"/>
  <c r="H1436" i="16"/>
  <c r="H1437" i="16"/>
  <c r="H1438" i="16"/>
  <c r="H1439" i="16"/>
  <c r="H1440" i="16"/>
  <c r="J1440" i="16" s="1"/>
  <c r="H1441" i="16"/>
  <c r="H1442" i="16"/>
  <c r="H1443" i="16"/>
  <c r="H1444" i="16"/>
  <c r="H1445" i="16"/>
  <c r="H1446" i="16"/>
  <c r="J1446" i="16" s="1"/>
  <c r="H1447" i="16"/>
  <c r="H1448" i="16"/>
  <c r="H1449" i="16"/>
  <c r="H1450" i="16"/>
  <c r="H1451" i="16"/>
  <c r="H1452" i="16"/>
  <c r="J1452" i="16" s="1"/>
  <c r="H1453" i="16"/>
  <c r="H1454" i="16"/>
  <c r="H1455" i="16"/>
  <c r="H1456" i="16"/>
  <c r="H1457" i="16"/>
  <c r="H1458" i="16"/>
  <c r="J1458" i="16" s="1"/>
  <c r="H1459" i="16"/>
  <c r="H1460" i="16"/>
  <c r="H1461" i="16"/>
  <c r="H1462" i="16"/>
  <c r="H1463" i="16"/>
  <c r="H1464" i="16"/>
  <c r="J1464" i="16" s="1"/>
  <c r="H1465" i="16"/>
  <c r="H1466" i="16"/>
  <c r="H1467" i="16"/>
  <c r="H1468" i="16"/>
  <c r="H1469" i="16"/>
  <c r="H1470" i="16"/>
  <c r="J1470" i="16" s="1"/>
  <c r="H1471" i="16"/>
  <c r="H1472" i="16"/>
  <c r="H1473" i="16"/>
  <c r="H1474" i="16"/>
  <c r="H1475" i="16"/>
  <c r="H1476" i="16"/>
  <c r="J1476" i="16" s="1"/>
  <c r="H1477" i="16"/>
  <c r="H1478" i="16"/>
  <c r="H1479" i="16"/>
  <c r="H1480" i="16"/>
  <c r="H1481" i="16"/>
  <c r="H1482" i="16"/>
  <c r="J1482" i="16" s="1"/>
  <c r="H1483" i="16"/>
  <c r="H1484" i="16"/>
  <c r="H1485" i="16"/>
  <c r="H1486" i="16"/>
  <c r="H1487" i="16"/>
  <c r="H1488" i="16"/>
  <c r="J1488" i="16" s="1"/>
  <c r="H1489" i="16"/>
  <c r="H1490" i="16"/>
  <c r="H1491" i="16"/>
  <c r="H1492" i="16"/>
  <c r="H1493" i="16"/>
  <c r="H1494" i="16"/>
  <c r="J1494" i="16" s="1"/>
  <c r="H1495" i="16"/>
  <c r="H1496" i="16"/>
  <c r="H1497" i="16"/>
  <c r="H1498" i="16"/>
  <c r="H1499" i="16"/>
  <c r="H1500" i="16"/>
  <c r="J1500" i="16" s="1"/>
  <c r="H1501" i="16"/>
  <c r="H1502" i="16"/>
  <c r="H1503" i="16"/>
  <c r="H1504" i="16"/>
  <c r="H1505" i="16"/>
  <c r="H1506" i="16"/>
  <c r="J1506" i="16" s="1"/>
  <c r="H1507" i="16"/>
  <c r="H1508" i="16"/>
  <c r="H1509" i="16"/>
  <c r="H1510" i="16"/>
  <c r="H1511" i="16"/>
  <c r="H1512" i="16"/>
  <c r="J1512" i="16" s="1"/>
  <c r="H1513" i="16"/>
  <c r="H1514" i="16"/>
  <c r="H1515" i="16"/>
  <c r="H1516" i="16"/>
  <c r="H1517" i="16"/>
  <c r="H1518" i="16"/>
  <c r="J1518" i="16" s="1"/>
  <c r="H1519" i="16"/>
  <c r="H1520" i="16"/>
  <c r="H1521" i="16"/>
  <c r="H1522" i="16"/>
  <c r="H1523" i="16"/>
  <c r="H1524" i="16"/>
  <c r="J1524" i="16" s="1"/>
  <c r="H1525" i="16"/>
  <c r="H1526" i="16"/>
  <c r="H1527" i="16"/>
  <c r="H1528" i="16"/>
  <c r="H1529" i="16"/>
  <c r="H1530" i="16"/>
  <c r="J1530" i="16" s="1"/>
  <c r="H1531" i="16"/>
  <c r="H1532" i="16"/>
  <c r="H1533" i="16"/>
  <c r="H1534" i="16"/>
  <c r="H1535" i="16"/>
  <c r="H1536" i="16"/>
  <c r="J1536" i="16" s="1"/>
  <c r="H1537" i="16"/>
  <c r="H1538" i="16"/>
  <c r="H1539" i="16"/>
  <c r="H1540" i="16"/>
  <c r="H1541" i="16"/>
  <c r="H1542" i="16"/>
  <c r="J1542" i="16" s="1"/>
  <c r="H1543" i="16"/>
  <c r="H1544" i="16"/>
  <c r="H1545" i="16"/>
  <c r="H1546" i="16"/>
  <c r="H1547" i="16"/>
  <c r="H1548" i="16"/>
  <c r="J1548" i="16" s="1"/>
  <c r="H1549" i="16"/>
  <c r="H1550" i="16"/>
  <c r="H1551" i="16"/>
  <c r="H1552" i="16"/>
  <c r="H1553" i="16"/>
  <c r="H1554" i="16"/>
  <c r="J1554" i="16" s="1"/>
  <c r="H1555" i="16"/>
  <c r="H1556" i="16"/>
  <c r="H1557" i="16"/>
  <c r="H1558" i="16"/>
  <c r="H1559" i="16"/>
  <c r="H1560" i="16"/>
  <c r="J1560" i="16" s="1"/>
  <c r="H1561" i="16"/>
  <c r="H1562" i="16"/>
  <c r="H1563" i="16"/>
  <c r="H1564" i="16"/>
  <c r="H1565" i="16"/>
  <c r="H1566" i="16"/>
  <c r="J1566" i="16" s="1"/>
  <c r="H1567" i="16"/>
  <c r="H1568" i="16"/>
  <c r="H1569" i="16"/>
  <c r="H1570" i="16"/>
  <c r="H1571" i="16"/>
  <c r="H1572" i="16"/>
  <c r="J1572" i="16" s="1"/>
  <c r="H1573" i="16"/>
  <c r="H1574" i="16"/>
  <c r="H1575" i="16"/>
  <c r="H1576" i="16"/>
  <c r="H1577" i="16"/>
  <c r="H1578" i="16"/>
  <c r="J1578" i="16" s="1"/>
  <c r="H1579" i="16"/>
  <c r="H1580" i="16"/>
  <c r="H1581" i="16"/>
  <c r="H1582" i="16"/>
  <c r="H1583" i="16"/>
  <c r="H1584" i="16"/>
  <c r="J1584" i="16" s="1"/>
  <c r="H1585" i="16"/>
  <c r="H1586" i="16"/>
  <c r="H1587" i="16"/>
  <c r="H1588" i="16"/>
  <c r="H1589" i="16"/>
  <c r="H1590" i="16"/>
  <c r="J1590" i="16" s="1"/>
  <c r="H1591" i="16"/>
  <c r="H1592" i="16"/>
  <c r="H1593" i="16"/>
  <c r="H1594" i="16"/>
  <c r="H1595" i="16"/>
  <c r="H1596" i="16"/>
  <c r="J1596" i="16" s="1"/>
  <c r="H1597" i="16"/>
  <c r="H1598" i="16"/>
  <c r="H1599" i="16"/>
  <c r="H1600" i="16"/>
  <c r="H1601" i="16"/>
  <c r="H1602" i="16"/>
  <c r="J1602" i="16" s="1"/>
  <c r="H1603" i="16"/>
  <c r="H1604" i="16"/>
  <c r="H1605" i="16"/>
  <c r="H1606" i="16"/>
  <c r="H1607" i="16"/>
  <c r="H1608" i="16"/>
  <c r="J1608" i="16" s="1"/>
  <c r="H1609" i="16"/>
  <c r="H1610" i="16"/>
  <c r="H1611" i="16"/>
  <c r="H1612" i="16"/>
  <c r="H1613" i="16"/>
  <c r="H1614" i="16"/>
  <c r="J1614" i="16" s="1"/>
  <c r="H1615" i="16"/>
  <c r="H1616" i="16"/>
  <c r="H1617" i="16"/>
  <c r="H1618" i="16"/>
  <c r="H1619" i="16"/>
  <c r="H1620" i="16"/>
  <c r="J1620" i="16" s="1"/>
  <c r="H1621" i="16"/>
  <c r="H1622" i="16"/>
  <c r="H1623" i="16"/>
  <c r="H1624" i="16"/>
  <c r="H1625" i="16"/>
  <c r="H1626" i="16"/>
  <c r="J1626" i="16" s="1"/>
  <c r="H1627" i="16"/>
  <c r="H1628" i="16"/>
  <c r="H1629" i="16"/>
  <c r="H1630" i="16"/>
  <c r="H1631" i="16"/>
  <c r="H1632" i="16"/>
  <c r="J1632" i="16" s="1"/>
  <c r="H1633" i="16"/>
  <c r="H1634" i="16"/>
  <c r="H1635" i="16"/>
  <c r="H1636" i="16"/>
  <c r="H1637" i="16"/>
  <c r="H1638" i="16"/>
  <c r="J1638" i="16" s="1"/>
  <c r="H1639" i="16"/>
  <c r="H1640" i="16"/>
  <c r="H1641" i="16"/>
  <c r="H1642" i="16"/>
  <c r="H1643" i="16"/>
  <c r="H1644" i="16"/>
  <c r="J1644" i="16" s="1"/>
  <c r="H1645" i="16"/>
  <c r="H1646" i="16"/>
  <c r="H1647" i="16"/>
  <c r="H1648" i="16"/>
  <c r="H1649" i="16"/>
  <c r="H1650" i="16"/>
  <c r="J1650" i="16" s="1"/>
  <c r="H1651" i="16"/>
  <c r="H1652" i="16"/>
  <c r="H1653" i="16"/>
  <c r="H1654" i="16"/>
  <c r="H1655" i="16"/>
  <c r="H1656" i="16"/>
  <c r="J1656" i="16" s="1"/>
  <c r="H1657" i="16"/>
  <c r="H1658" i="16"/>
  <c r="H1659" i="16"/>
  <c r="H1660" i="16"/>
  <c r="H1661" i="16"/>
  <c r="H1662" i="16"/>
  <c r="J1662" i="16" s="1"/>
  <c r="H1663" i="16"/>
  <c r="H1664" i="16"/>
  <c r="H1665" i="16"/>
  <c r="H1666" i="16"/>
  <c r="H1667" i="16"/>
  <c r="H1668" i="16"/>
  <c r="J1668" i="16" s="1"/>
  <c r="H1669" i="16"/>
  <c r="H1670" i="16"/>
  <c r="H1671" i="16"/>
  <c r="H1672" i="16"/>
  <c r="H1673" i="16"/>
  <c r="H1674" i="16"/>
  <c r="J1674" i="16" s="1"/>
  <c r="H1675" i="16"/>
  <c r="H1676" i="16"/>
  <c r="H1677" i="16"/>
  <c r="H1678" i="16"/>
  <c r="H1679" i="16"/>
  <c r="H1680" i="16"/>
  <c r="J1680" i="16" s="1"/>
  <c r="H1681" i="16"/>
  <c r="H1682" i="16"/>
  <c r="H1683" i="16"/>
  <c r="H1684" i="16"/>
  <c r="H1685" i="16"/>
  <c r="H1686" i="16"/>
  <c r="J1686" i="16" s="1"/>
  <c r="H1687" i="16"/>
  <c r="H1688" i="16"/>
  <c r="H1689" i="16"/>
  <c r="H1690" i="16"/>
  <c r="H1691" i="16"/>
  <c r="H1692" i="16"/>
  <c r="J1692" i="16" s="1"/>
  <c r="H1693" i="16"/>
  <c r="H1694" i="16"/>
  <c r="H1695" i="16"/>
  <c r="H1696" i="16"/>
  <c r="H1697" i="16"/>
  <c r="H1698" i="16"/>
  <c r="J1698" i="16" s="1"/>
  <c r="H1699" i="16"/>
  <c r="H1700" i="16"/>
  <c r="H1701" i="16"/>
  <c r="H1702" i="16"/>
  <c r="H1703" i="16"/>
  <c r="H1704" i="16"/>
  <c r="J1704" i="16" s="1"/>
  <c r="H1705" i="16"/>
  <c r="H1706" i="16"/>
  <c r="H1707" i="16"/>
  <c r="H1708" i="16"/>
  <c r="H1709" i="16"/>
  <c r="H1710" i="16"/>
  <c r="J1710" i="16" s="1"/>
  <c r="H1711" i="16"/>
  <c r="H1712" i="16"/>
  <c r="H1713" i="16"/>
  <c r="H1714" i="16"/>
  <c r="H1715" i="16"/>
  <c r="H1716" i="16"/>
  <c r="J1716" i="16" s="1"/>
  <c r="H1717" i="16"/>
  <c r="H1718" i="16"/>
  <c r="H1719" i="16"/>
  <c r="H1720" i="16"/>
  <c r="H1721" i="16"/>
  <c r="H1722" i="16"/>
  <c r="J1722" i="16" s="1"/>
  <c r="H1723" i="16"/>
  <c r="H1724" i="16"/>
  <c r="H1725" i="16"/>
  <c r="H1726" i="16"/>
  <c r="H1727" i="16"/>
  <c r="H1728" i="16"/>
  <c r="J1728" i="16" s="1"/>
  <c r="H1729" i="16"/>
  <c r="H1730" i="16"/>
  <c r="H1731" i="16"/>
  <c r="H1732" i="16"/>
  <c r="H1733" i="16"/>
  <c r="H1734" i="16"/>
  <c r="J1734" i="16" s="1"/>
  <c r="H1735" i="16"/>
  <c r="H1736" i="16"/>
  <c r="H1737" i="16"/>
  <c r="H1738" i="16"/>
  <c r="H1739" i="16"/>
  <c r="H1740" i="16"/>
  <c r="J1740" i="16" s="1"/>
  <c r="H1741" i="16"/>
  <c r="H1742" i="16"/>
  <c r="H1743" i="16"/>
  <c r="H1744" i="16"/>
  <c r="H1745" i="16"/>
  <c r="H1746" i="16"/>
  <c r="J1746" i="16" s="1"/>
  <c r="H1747" i="16"/>
  <c r="H1748" i="16"/>
  <c r="H1749" i="16"/>
  <c r="H1750" i="16"/>
  <c r="H1751" i="16"/>
  <c r="H1752" i="16"/>
  <c r="J1752" i="16" s="1"/>
  <c r="H1753" i="16"/>
  <c r="H1754" i="16"/>
  <c r="H1755" i="16"/>
  <c r="H1756" i="16"/>
  <c r="H1757" i="16"/>
  <c r="H1758" i="16"/>
  <c r="J1758" i="16" s="1"/>
  <c r="H1759" i="16"/>
  <c r="H1760" i="16"/>
  <c r="H1761" i="16"/>
  <c r="H1762" i="16"/>
  <c r="H1763" i="16"/>
  <c r="H1764" i="16"/>
  <c r="J1764" i="16" s="1"/>
  <c r="H1765" i="16"/>
  <c r="H1766" i="16"/>
  <c r="H1767" i="16"/>
  <c r="H1768" i="16"/>
  <c r="H1769" i="16"/>
  <c r="H1770" i="16"/>
  <c r="J1770" i="16" s="1"/>
  <c r="H1771" i="16"/>
  <c r="H1772" i="16"/>
  <c r="H1773" i="16"/>
  <c r="H1774" i="16"/>
  <c r="H1775" i="16"/>
  <c r="H1776" i="16"/>
  <c r="J1776" i="16" s="1"/>
  <c r="H1777" i="16"/>
  <c r="H1778" i="16"/>
  <c r="H1779" i="16"/>
  <c r="H1780" i="16"/>
  <c r="H1781" i="16"/>
  <c r="H1782" i="16"/>
  <c r="J1782" i="16" s="1"/>
  <c r="H1783" i="16"/>
  <c r="H1784" i="16"/>
  <c r="H1785" i="16"/>
  <c r="H1786" i="16"/>
  <c r="H1787" i="16"/>
  <c r="H1788" i="16"/>
  <c r="J1788" i="16" s="1"/>
  <c r="H1789" i="16"/>
  <c r="H1790" i="16"/>
  <c r="H1791" i="16"/>
  <c r="H1792" i="16"/>
  <c r="H1793" i="16"/>
  <c r="H1794" i="16"/>
  <c r="J1794" i="16" s="1"/>
  <c r="H1795" i="16"/>
  <c r="H1796" i="16"/>
  <c r="H1797" i="16"/>
  <c r="H1798" i="16"/>
  <c r="H1799" i="16"/>
  <c r="H1800" i="16"/>
  <c r="J1800" i="16" s="1"/>
  <c r="H1801" i="16"/>
  <c r="H1802" i="16"/>
  <c r="H1803" i="16"/>
  <c r="H1804" i="16"/>
  <c r="H1805" i="16"/>
  <c r="H1806" i="16"/>
  <c r="J1806" i="16" s="1"/>
  <c r="H1807" i="16"/>
  <c r="H1808" i="16"/>
  <c r="H1809" i="16"/>
  <c r="H1810" i="16"/>
  <c r="H1811" i="16"/>
  <c r="H1812" i="16"/>
  <c r="J1812" i="16" s="1"/>
  <c r="H1813" i="16"/>
  <c r="H1814" i="16"/>
  <c r="H1815" i="16"/>
  <c r="H1816" i="16"/>
  <c r="H1817" i="16"/>
  <c r="H1818" i="16"/>
  <c r="J1818" i="16" s="1"/>
  <c r="H1819" i="16"/>
  <c r="H1820" i="16"/>
  <c r="H1821" i="16"/>
  <c r="H1822" i="16"/>
  <c r="H1823" i="16"/>
  <c r="H1824" i="16"/>
  <c r="J1824" i="16" s="1"/>
  <c r="H1825" i="16"/>
  <c r="H1826" i="16"/>
  <c r="H1827" i="16"/>
  <c r="H1828" i="16"/>
  <c r="H1829" i="16"/>
  <c r="H1830" i="16"/>
  <c r="J1830" i="16" s="1"/>
  <c r="H1831" i="16"/>
  <c r="H1832" i="16"/>
  <c r="H1833" i="16"/>
  <c r="H1834" i="16"/>
  <c r="H1835" i="16"/>
  <c r="H1836" i="16"/>
  <c r="J1836" i="16" s="1"/>
  <c r="H1837" i="16"/>
  <c r="H1838" i="16"/>
  <c r="H1839" i="16"/>
  <c r="H1840" i="16"/>
  <c r="H1841" i="16"/>
  <c r="H1842" i="16"/>
  <c r="J1842" i="16" s="1"/>
  <c r="H1843" i="16"/>
  <c r="H1844" i="16"/>
  <c r="H1845" i="16"/>
  <c r="H1846" i="16"/>
  <c r="H1847" i="16"/>
  <c r="H1848" i="16"/>
  <c r="J1848" i="16" s="1"/>
  <c r="H1849" i="16"/>
  <c r="H1850" i="16"/>
  <c r="H1851" i="16"/>
  <c r="H1852" i="16"/>
  <c r="H1853" i="16"/>
  <c r="H1854" i="16"/>
  <c r="J1854" i="16" s="1"/>
  <c r="H1855" i="16"/>
  <c r="H1856" i="16"/>
  <c r="H1857" i="16"/>
  <c r="H1858" i="16"/>
  <c r="H1859" i="16"/>
  <c r="H1860" i="16"/>
  <c r="J1860" i="16" s="1"/>
  <c r="H1861" i="16"/>
  <c r="H1862" i="16"/>
  <c r="H1863" i="16"/>
  <c r="H1864" i="16"/>
  <c r="H1865" i="16"/>
  <c r="H1866" i="16"/>
  <c r="J1866" i="16" s="1"/>
  <c r="H1867" i="16"/>
  <c r="H1868" i="16"/>
  <c r="H1869" i="16"/>
  <c r="H1870" i="16"/>
  <c r="H1871" i="16"/>
  <c r="H1872" i="16"/>
  <c r="J1872" i="16" s="1"/>
  <c r="H1873" i="16"/>
  <c r="H1874" i="16"/>
  <c r="H1875" i="16"/>
  <c r="H1876" i="16"/>
  <c r="H1877" i="16"/>
  <c r="H1878" i="16"/>
  <c r="J1878" i="16" s="1"/>
  <c r="H1879" i="16"/>
  <c r="H1880" i="16"/>
  <c r="H1881" i="16"/>
  <c r="H1882" i="16"/>
  <c r="H1883" i="16"/>
  <c r="H1884" i="16"/>
  <c r="J1884" i="16" s="1"/>
  <c r="H1885" i="16"/>
  <c r="H1886" i="16"/>
  <c r="H1887" i="16"/>
  <c r="H1888" i="16"/>
  <c r="H1889" i="16"/>
  <c r="H1890" i="16"/>
  <c r="J1890" i="16" s="1"/>
  <c r="H1891" i="16"/>
  <c r="H1892" i="16"/>
  <c r="H1893" i="16"/>
  <c r="H1894" i="16"/>
  <c r="H1895" i="16"/>
  <c r="H1896" i="16"/>
  <c r="J1896" i="16" s="1"/>
  <c r="H1897" i="16"/>
  <c r="H1898" i="16"/>
  <c r="H1899" i="16"/>
  <c r="H1900" i="16"/>
  <c r="H1901" i="16"/>
  <c r="H1902" i="16"/>
  <c r="J1902" i="16" s="1"/>
  <c r="H1903" i="16"/>
  <c r="H1904" i="16"/>
  <c r="H1905" i="16"/>
  <c r="H1906" i="16"/>
  <c r="H1907" i="16"/>
  <c r="H1908" i="16"/>
  <c r="J1908" i="16" s="1"/>
  <c r="H1909" i="16"/>
  <c r="H1910" i="16"/>
  <c r="H1911" i="16"/>
  <c r="H1912" i="16"/>
  <c r="H1913" i="16"/>
  <c r="H1914" i="16"/>
  <c r="J1914" i="16" s="1"/>
  <c r="H1915" i="16"/>
  <c r="H1916" i="16"/>
  <c r="H1917" i="16"/>
  <c r="H1918" i="16"/>
  <c r="H1919" i="16"/>
  <c r="H1920" i="16"/>
  <c r="J1920" i="16" s="1"/>
  <c r="H1921" i="16"/>
  <c r="H1922" i="16"/>
  <c r="H1923" i="16"/>
  <c r="H1924" i="16"/>
  <c r="H1925" i="16"/>
  <c r="H1926" i="16"/>
  <c r="J1926" i="16" s="1"/>
  <c r="H1927" i="16"/>
  <c r="H1928" i="16"/>
  <c r="H1929" i="16"/>
  <c r="H1930" i="16"/>
  <c r="H1931" i="16"/>
  <c r="H1932" i="16"/>
  <c r="J1932" i="16" s="1"/>
  <c r="H1933" i="16"/>
  <c r="H1934" i="16"/>
  <c r="H1935" i="16"/>
  <c r="H1936" i="16"/>
  <c r="H1937" i="16"/>
  <c r="H1938" i="16"/>
  <c r="J1938" i="16" s="1"/>
  <c r="H1939" i="16"/>
  <c r="H1940" i="16"/>
  <c r="H1941" i="16"/>
  <c r="H1942" i="16"/>
  <c r="H1943" i="16"/>
  <c r="H1944" i="16"/>
  <c r="J1944" i="16" s="1"/>
  <c r="H1945" i="16"/>
  <c r="H1946" i="16"/>
  <c r="H1947" i="16"/>
  <c r="H1948" i="16"/>
  <c r="H1949" i="16"/>
  <c r="H1950" i="16"/>
  <c r="H1951" i="16"/>
  <c r="H1952" i="16"/>
  <c r="H1953" i="16"/>
  <c r="H1954" i="16"/>
  <c r="H1955" i="16"/>
  <c r="H1956" i="16"/>
  <c r="H1957" i="16"/>
  <c r="H1958" i="16"/>
  <c r="H1959" i="16"/>
  <c r="H1960" i="16"/>
  <c r="H1961" i="16"/>
  <c r="H1962" i="16"/>
  <c r="H1963" i="16"/>
  <c r="H1964" i="16"/>
  <c r="H1965" i="16"/>
  <c r="H1966" i="16"/>
  <c r="H1967" i="16"/>
  <c r="H1968" i="16"/>
  <c r="H1969" i="16"/>
  <c r="H1970" i="16"/>
  <c r="H1971" i="16"/>
  <c r="H1972" i="16"/>
  <c r="H1973" i="16"/>
  <c r="H1974" i="16"/>
  <c r="H1975" i="16"/>
  <c r="H1976" i="16"/>
  <c r="H1977" i="16"/>
  <c r="H1978" i="16"/>
  <c r="H1979" i="16"/>
  <c r="H1980" i="16"/>
  <c r="H1981" i="16"/>
  <c r="H1982" i="16"/>
  <c r="H1983" i="16"/>
  <c r="H1984" i="16"/>
  <c r="H1985" i="16"/>
  <c r="H1986" i="16"/>
  <c r="H1987" i="16"/>
  <c r="H1988" i="16"/>
  <c r="H1989" i="16"/>
  <c r="H1990" i="16"/>
  <c r="H1991" i="16"/>
  <c r="H1992" i="16"/>
  <c r="H1993" i="16"/>
  <c r="H1994" i="16"/>
  <c r="H1995" i="16"/>
  <c r="H1996" i="16"/>
  <c r="H1997" i="16"/>
  <c r="H1998" i="16"/>
  <c r="H1999" i="16"/>
  <c r="H2000" i="16"/>
  <c r="H2001" i="16"/>
  <c r="H2002" i="16"/>
  <c r="H2003" i="16"/>
  <c r="H2004" i="16"/>
  <c r="H2005" i="16"/>
  <c r="H2006" i="16"/>
  <c r="H2007" i="16"/>
  <c r="H2008" i="16"/>
  <c r="H2009" i="16"/>
  <c r="H2010" i="16"/>
  <c r="H2011" i="16"/>
  <c r="H2012" i="16"/>
  <c r="H2013" i="16"/>
  <c r="H2014" i="16"/>
  <c r="H2015" i="16"/>
  <c r="H2016" i="16"/>
  <c r="H2017" i="16"/>
  <c r="H2018" i="16"/>
  <c r="H2019" i="16"/>
  <c r="H2020" i="16"/>
  <c r="H2021" i="16"/>
  <c r="H2022" i="16"/>
  <c r="H2023" i="16"/>
  <c r="H2024" i="16"/>
  <c r="H2025" i="16"/>
  <c r="H2026" i="16"/>
  <c r="H2027" i="16"/>
  <c r="H2028" i="16"/>
  <c r="H2029" i="16"/>
  <c r="H2030" i="16"/>
  <c r="H2031" i="16"/>
  <c r="H2032" i="16"/>
  <c r="H2033" i="16"/>
  <c r="H2034" i="16"/>
  <c r="H2035" i="16"/>
  <c r="H2036" i="16"/>
  <c r="H2037" i="16"/>
  <c r="H2038" i="16"/>
  <c r="H2039" i="16"/>
  <c r="H2040" i="16"/>
  <c r="H2041" i="16"/>
  <c r="H2042" i="16"/>
  <c r="H2043" i="16"/>
  <c r="H2044" i="16"/>
  <c r="H2045" i="16"/>
  <c r="H2046" i="16"/>
  <c r="H2047" i="16"/>
  <c r="H2048" i="16"/>
  <c r="H2049" i="16"/>
  <c r="H2050" i="16"/>
  <c r="H2051" i="16"/>
  <c r="H2052" i="16"/>
  <c r="H2053" i="16"/>
  <c r="H2054" i="16"/>
  <c r="H2055" i="16"/>
  <c r="H2056" i="16"/>
  <c r="H2057" i="16"/>
  <c r="H2058" i="16"/>
  <c r="H2059" i="16"/>
  <c r="H2060" i="16"/>
  <c r="H2061" i="16"/>
  <c r="H2062" i="16"/>
  <c r="H2063" i="16"/>
  <c r="H2064" i="16"/>
  <c r="H2065" i="16"/>
  <c r="H2066" i="16"/>
  <c r="H2067" i="16"/>
  <c r="H2068" i="16"/>
  <c r="H2069" i="16"/>
  <c r="H2070" i="16"/>
  <c r="H2071" i="16"/>
  <c r="H2072" i="16"/>
  <c r="H2073" i="16"/>
  <c r="H2074" i="16"/>
  <c r="H2075" i="16"/>
  <c r="H2076" i="16"/>
  <c r="H2077" i="16"/>
  <c r="H2078" i="16"/>
  <c r="H2079" i="16"/>
  <c r="H2080" i="16"/>
  <c r="H2081" i="16"/>
  <c r="H2082" i="16"/>
  <c r="H2083" i="16"/>
  <c r="H2084" i="16"/>
  <c r="H2085" i="16"/>
  <c r="H2086" i="16"/>
  <c r="H2087" i="16"/>
  <c r="H2088" i="16"/>
  <c r="H2089" i="16"/>
  <c r="H2090" i="16"/>
  <c r="H2091" i="16"/>
  <c r="H2092" i="16"/>
  <c r="H2093" i="16"/>
  <c r="H2094" i="16"/>
  <c r="H2095" i="16"/>
  <c r="H2096" i="16"/>
  <c r="H2097" i="16"/>
  <c r="H2098" i="16"/>
  <c r="H2099" i="16"/>
  <c r="H2100" i="16"/>
  <c r="H2101" i="16"/>
  <c r="H2102" i="16"/>
  <c r="H2103" i="16"/>
  <c r="H2104" i="16"/>
  <c r="H2105" i="16"/>
  <c r="H2106" i="16"/>
  <c r="H2107" i="16"/>
  <c r="H2108" i="16"/>
  <c r="H2109" i="16"/>
  <c r="H2110" i="16"/>
  <c r="H2111" i="16"/>
  <c r="H2112" i="16"/>
  <c r="H2113" i="16"/>
  <c r="H2114" i="16"/>
  <c r="H2115" i="16"/>
  <c r="H2116" i="16"/>
  <c r="H2117" i="16"/>
  <c r="H2118" i="16"/>
  <c r="H2119" i="16"/>
  <c r="H2120" i="16"/>
  <c r="H2121" i="16"/>
  <c r="H2122" i="16"/>
  <c r="H2123" i="16"/>
  <c r="H2124" i="16"/>
  <c r="H2125" i="16"/>
  <c r="H2126" i="16"/>
  <c r="H2127" i="16"/>
  <c r="H2128" i="16"/>
  <c r="H2129" i="16"/>
  <c r="H2130" i="16"/>
  <c r="H2131" i="16"/>
  <c r="H2132" i="16"/>
  <c r="H2133" i="16"/>
  <c r="H2134" i="16"/>
  <c r="H2135" i="16"/>
  <c r="H2136" i="16"/>
  <c r="H2137" i="16"/>
  <c r="H2138" i="16"/>
  <c r="H2139" i="16"/>
  <c r="H2140" i="16"/>
  <c r="H2141" i="16"/>
  <c r="H2142" i="16"/>
  <c r="H2143" i="16"/>
  <c r="H2144" i="16"/>
  <c r="H2145" i="16"/>
  <c r="H2146" i="16"/>
  <c r="H2147" i="16"/>
  <c r="H2148" i="16"/>
  <c r="H2149" i="16"/>
  <c r="H2150" i="16"/>
  <c r="H2151" i="16"/>
  <c r="H2152" i="16"/>
  <c r="H2153" i="16"/>
  <c r="H2154" i="16"/>
  <c r="H2155" i="16"/>
  <c r="H2156" i="16"/>
  <c r="H2157" i="16"/>
  <c r="H2158" i="16"/>
  <c r="H2159" i="16"/>
  <c r="H2160" i="16"/>
  <c r="H2161" i="16"/>
  <c r="H2162" i="16"/>
  <c r="H2163" i="16"/>
  <c r="H2164" i="16"/>
  <c r="H2165" i="16"/>
  <c r="H2166" i="16"/>
  <c r="H2167" i="16"/>
  <c r="H2168" i="16"/>
  <c r="H2169" i="16"/>
  <c r="H2170" i="16"/>
  <c r="H2171" i="16"/>
  <c r="H2172" i="16"/>
  <c r="H2173" i="16"/>
  <c r="H2174" i="16"/>
  <c r="H2175" i="16"/>
  <c r="H2176" i="16"/>
  <c r="H2177" i="16"/>
  <c r="H2178" i="16"/>
  <c r="H2179" i="16"/>
  <c r="H2180" i="16"/>
  <c r="H2181" i="16"/>
  <c r="H2182" i="16"/>
  <c r="H2183" i="16"/>
  <c r="H2184" i="16"/>
  <c r="H2185" i="16"/>
  <c r="H2186" i="16"/>
  <c r="H2187" i="16"/>
  <c r="H2188" i="16"/>
  <c r="H2189" i="16"/>
  <c r="H2190" i="16"/>
  <c r="H2191" i="16"/>
  <c r="H2192" i="16"/>
  <c r="H2193" i="16"/>
  <c r="H2194" i="16"/>
  <c r="H2195" i="16"/>
  <c r="H2196" i="16"/>
  <c r="H2197" i="16"/>
  <c r="H2198" i="16"/>
  <c r="H2199" i="16"/>
  <c r="H2200" i="16"/>
  <c r="H2201" i="16"/>
  <c r="H2202" i="16"/>
  <c r="H2203" i="16"/>
  <c r="H2204" i="16"/>
  <c r="H2205" i="16"/>
  <c r="H2206" i="16"/>
  <c r="H2207" i="16"/>
  <c r="H2208" i="16"/>
  <c r="H2209" i="16"/>
  <c r="H2210" i="16"/>
  <c r="H2211" i="16"/>
  <c r="H2212" i="16"/>
  <c r="H2213" i="16"/>
  <c r="H2214" i="16"/>
  <c r="H2215" i="16"/>
  <c r="H2216" i="16"/>
  <c r="H2217" i="16"/>
  <c r="H2218" i="16"/>
  <c r="H2219" i="16"/>
  <c r="H2220" i="16"/>
  <c r="H2221" i="16"/>
  <c r="H2222" i="16"/>
  <c r="H2223" i="16"/>
  <c r="H2224" i="16"/>
  <c r="H2225" i="16"/>
  <c r="H2226" i="16"/>
  <c r="H2227" i="16"/>
  <c r="H2228" i="16"/>
  <c r="H2229" i="16"/>
  <c r="H2230" i="16"/>
  <c r="H2231" i="16"/>
  <c r="H2232" i="16"/>
  <c r="H2233" i="16"/>
  <c r="H2234" i="16"/>
  <c r="H2235" i="16"/>
  <c r="H2236" i="16"/>
  <c r="H2237" i="16"/>
  <c r="H2238" i="16"/>
  <c r="H2239" i="16"/>
  <c r="H2240" i="16"/>
  <c r="H2241" i="16"/>
  <c r="H2242" i="16"/>
  <c r="H2243" i="16"/>
  <c r="H2244" i="16"/>
  <c r="H2245" i="16"/>
  <c r="H2246" i="16"/>
  <c r="H2247" i="16"/>
  <c r="H2248" i="16"/>
  <c r="H2249" i="16"/>
  <c r="H2250" i="16"/>
  <c r="H2251" i="16"/>
  <c r="H2252" i="16"/>
  <c r="H2253" i="16"/>
  <c r="H2254" i="16"/>
  <c r="H2255" i="16"/>
  <c r="H2256" i="16"/>
  <c r="H2257" i="16"/>
  <c r="H2258" i="16"/>
  <c r="H2259" i="16"/>
  <c r="H2260" i="16"/>
  <c r="H2261" i="16"/>
  <c r="H2262" i="16"/>
  <c r="H2263" i="16"/>
  <c r="H2264" i="16"/>
  <c r="H2265" i="16"/>
  <c r="H2266" i="16"/>
  <c r="H2267" i="16"/>
  <c r="H2268" i="16"/>
  <c r="H2269" i="16"/>
  <c r="H2270" i="16"/>
  <c r="H2271" i="16"/>
  <c r="H2272" i="16"/>
  <c r="H2273" i="16"/>
  <c r="H2274" i="16"/>
  <c r="H2275" i="16"/>
  <c r="H2276" i="16"/>
  <c r="H2277" i="16"/>
  <c r="H2278" i="16"/>
  <c r="H2279" i="16"/>
  <c r="H2280" i="16"/>
  <c r="H2281" i="16"/>
  <c r="H2282" i="16"/>
  <c r="H2283" i="16"/>
  <c r="H2284" i="16"/>
  <c r="H2285" i="16"/>
  <c r="H2286" i="16"/>
  <c r="H2287" i="16"/>
  <c r="H2288" i="16"/>
  <c r="H2289" i="16"/>
  <c r="H2290" i="16"/>
  <c r="H2291" i="16"/>
  <c r="H2292" i="16"/>
  <c r="H2293" i="16"/>
  <c r="H2294" i="16"/>
  <c r="H2295" i="16"/>
  <c r="H2296" i="16"/>
  <c r="H2297" i="16"/>
  <c r="H2298" i="16"/>
  <c r="H2299" i="16"/>
  <c r="H2300" i="16"/>
  <c r="H2301" i="16"/>
  <c r="H2302" i="16"/>
  <c r="H2303" i="16"/>
  <c r="H2304" i="16"/>
  <c r="H2305" i="16"/>
  <c r="H2306" i="16"/>
  <c r="H2307" i="16"/>
  <c r="H2308" i="16"/>
  <c r="H2309" i="16"/>
  <c r="H2310" i="16"/>
  <c r="H2311" i="16"/>
  <c r="H2312" i="16"/>
  <c r="H2313" i="16"/>
  <c r="H2314" i="16"/>
  <c r="H2315" i="16"/>
  <c r="H2316" i="16"/>
  <c r="H2317" i="16"/>
  <c r="H2318" i="16"/>
  <c r="H2319" i="16"/>
  <c r="H2320" i="16"/>
  <c r="H2321" i="16"/>
  <c r="H2322" i="16"/>
  <c r="H2323" i="16"/>
  <c r="H2324" i="16"/>
  <c r="H2325" i="16"/>
  <c r="H2326" i="16"/>
  <c r="H2327" i="16"/>
  <c r="H2328" i="16"/>
  <c r="H2329" i="16"/>
  <c r="H2330" i="16"/>
  <c r="H2331" i="16"/>
  <c r="H2332" i="16"/>
  <c r="H2333" i="16"/>
  <c r="H2334" i="16"/>
  <c r="H2335" i="16"/>
  <c r="H2336" i="16"/>
  <c r="H2337" i="16"/>
  <c r="H2338" i="16"/>
  <c r="H2339" i="16"/>
  <c r="H2340" i="16"/>
  <c r="H2341" i="16"/>
  <c r="H2342" i="16"/>
  <c r="H2343" i="16"/>
  <c r="H2344" i="16"/>
  <c r="H2345" i="16"/>
  <c r="H2346" i="16"/>
  <c r="H2347" i="16"/>
  <c r="H2348" i="16"/>
  <c r="H2349" i="16"/>
  <c r="H2350" i="16"/>
  <c r="H2351" i="16"/>
  <c r="H2352" i="16"/>
  <c r="H2353" i="16"/>
  <c r="H2354" i="16"/>
  <c r="H2355" i="16"/>
  <c r="H2356" i="16"/>
  <c r="H2357" i="16"/>
  <c r="H2358" i="16"/>
  <c r="H2359" i="16"/>
  <c r="H2360" i="16"/>
  <c r="H2361" i="16"/>
  <c r="H2362" i="16"/>
  <c r="H2363" i="16"/>
  <c r="H2364" i="16"/>
  <c r="H2365" i="16"/>
  <c r="H2366" i="16"/>
  <c r="H2367" i="16"/>
  <c r="H2368" i="16"/>
  <c r="H2369" i="16"/>
  <c r="H2370" i="16"/>
  <c r="H2371" i="16"/>
  <c r="H2372" i="16"/>
  <c r="H2373" i="16"/>
  <c r="H2374" i="16"/>
  <c r="H2375" i="16"/>
  <c r="H2376" i="16"/>
  <c r="H2377" i="16"/>
  <c r="H2378" i="16"/>
  <c r="H2379" i="16"/>
  <c r="H2380" i="16"/>
  <c r="H2381" i="16"/>
  <c r="H2382" i="16"/>
  <c r="H2383" i="16"/>
  <c r="H2384" i="16"/>
  <c r="H2385" i="16"/>
  <c r="H2386" i="16"/>
  <c r="H2387" i="16"/>
  <c r="H2388" i="16"/>
  <c r="H2389" i="16"/>
  <c r="H2390" i="16"/>
  <c r="H2391" i="16"/>
  <c r="H2392" i="16"/>
  <c r="H2393" i="16"/>
  <c r="H2394" i="16"/>
  <c r="H2395" i="16"/>
  <c r="H2396" i="16"/>
  <c r="H2397" i="16"/>
  <c r="H2398" i="16"/>
  <c r="H2399" i="16"/>
  <c r="H2400" i="16"/>
  <c r="H2401" i="16"/>
  <c r="H2402" i="16"/>
  <c r="H2403" i="16"/>
  <c r="H2404" i="16"/>
  <c r="H2405" i="16"/>
  <c r="H2406" i="16"/>
  <c r="H2407" i="16"/>
  <c r="H2408" i="16"/>
  <c r="H2409" i="16"/>
  <c r="H2410" i="16"/>
  <c r="H2411" i="16"/>
  <c r="H2412" i="16"/>
  <c r="H2413" i="16"/>
  <c r="H2414" i="16"/>
  <c r="H2415" i="16"/>
  <c r="H2416" i="16"/>
  <c r="H2417" i="16"/>
  <c r="H2418" i="16"/>
  <c r="H2419" i="16"/>
  <c r="H2420" i="16"/>
  <c r="H2421" i="16"/>
  <c r="H2422" i="16"/>
  <c r="H2423" i="16"/>
  <c r="H2424" i="16"/>
  <c r="H2425" i="16"/>
  <c r="H2426" i="16"/>
  <c r="H2427" i="16"/>
  <c r="H2428" i="16"/>
  <c r="H2429" i="16"/>
  <c r="H2430" i="16"/>
  <c r="H2431" i="16"/>
  <c r="H2432" i="16"/>
  <c r="H2433" i="16"/>
  <c r="H2434" i="16"/>
  <c r="H2435" i="16"/>
  <c r="H2436" i="16"/>
  <c r="H2437" i="16"/>
  <c r="H2438" i="16"/>
  <c r="H2439" i="16"/>
  <c r="H2440" i="16"/>
  <c r="H2441" i="16"/>
  <c r="H2442" i="16"/>
  <c r="H2443" i="16"/>
  <c r="H2444" i="16"/>
  <c r="H2445" i="16"/>
  <c r="H2446" i="16"/>
  <c r="H2447" i="16"/>
  <c r="H2448" i="16"/>
  <c r="H2449" i="16"/>
  <c r="H2450" i="16"/>
  <c r="H2451" i="16"/>
  <c r="H2452" i="16"/>
  <c r="H2453" i="16"/>
  <c r="H2454" i="16"/>
  <c r="H2455" i="16"/>
  <c r="H2456" i="16"/>
  <c r="H2457" i="16"/>
  <c r="H2458" i="16"/>
  <c r="H2459" i="16"/>
  <c r="H2460" i="16"/>
  <c r="H2461" i="16"/>
  <c r="H2462" i="16"/>
  <c r="H2463" i="16"/>
  <c r="H2464" i="16"/>
  <c r="H2465" i="16"/>
  <c r="H2466" i="16"/>
  <c r="H2467" i="16"/>
  <c r="H2468" i="16"/>
  <c r="H2469" i="16"/>
  <c r="H2470" i="16"/>
  <c r="H2471" i="16"/>
  <c r="H2472" i="16"/>
  <c r="H2473" i="16"/>
  <c r="H2474" i="16"/>
  <c r="H2475" i="16"/>
  <c r="H2476" i="16"/>
  <c r="H2477" i="16"/>
  <c r="H2478" i="16"/>
  <c r="H2479" i="16"/>
  <c r="H2480" i="16"/>
  <c r="H2481" i="16"/>
  <c r="H2482" i="16"/>
  <c r="H2483" i="16"/>
  <c r="H2484" i="16"/>
  <c r="H2485" i="16"/>
  <c r="H2486" i="16"/>
  <c r="H2487" i="16"/>
  <c r="H2488" i="16"/>
  <c r="H2489" i="16"/>
  <c r="H2490" i="16"/>
  <c r="H2491" i="16"/>
  <c r="H2492" i="16"/>
  <c r="H2493" i="16"/>
  <c r="H2494" i="16"/>
  <c r="H2495" i="16"/>
  <c r="H2496" i="16"/>
  <c r="H2497" i="16"/>
  <c r="H2498" i="16"/>
  <c r="H2499" i="16"/>
  <c r="H2500" i="16"/>
  <c r="H2501" i="16"/>
  <c r="H2502" i="16"/>
  <c r="H2503" i="16"/>
  <c r="H2504" i="16"/>
  <c r="H2505" i="16"/>
  <c r="H2506" i="16"/>
  <c r="H2507" i="16"/>
  <c r="H2508" i="16"/>
  <c r="H2509" i="16"/>
  <c r="H2510" i="16"/>
  <c r="H2511" i="16"/>
  <c r="H2512" i="16"/>
  <c r="H2513" i="16"/>
  <c r="H2514" i="16"/>
  <c r="H2515" i="16"/>
  <c r="H2516" i="16"/>
  <c r="H2517" i="16"/>
  <c r="H2518" i="16"/>
  <c r="H2519" i="16"/>
  <c r="H2520" i="16"/>
  <c r="H2521" i="16"/>
  <c r="H2522" i="16"/>
  <c r="H2523" i="16"/>
  <c r="H2524" i="16"/>
  <c r="H2525" i="16"/>
  <c r="H2526" i="16"/>
  <c r="H2527" i="16"/>
  <c r="H2528" i="16"/>
  <c r="H2529" i="16"/>
  <c r="H2530" i="16"/>
  <c r="H2531" i="16"/>
  <c r="H2532" i="16"/>
  <c r="H2533" i="16"/>
  <c r="H2534" i="16"/>
  <c r="H2535" i="16"/>
  <c r="H2536" i="16"/>
  <c r="H2537" i="16"/>
  <c r="H2538" i="16"/>
  <c r="H2539" i="16"/>
  <c r="H2540" i="16"/>
  <c r="H2541" i="16"/>
  <c r="H2542" i="16"/>
  <c r="H2543" i="16"/>
  <c r="H2544" i="16"/>
  <c r="H2545" i="16"/>
  <c r="H2546" i="16"/>
  <c r="H2547" i="16"/>
  <c r="H2548" i="16"/>
  <c r="H2549" i="16"/>
  <c r="H2550" i="16"/>
  <c r="H2551" i="16"/>
  <c r="H2552" i="16"/>
  <c r="H2553" i="16"/>
  <c r="H2554" i="16"/>
  <c r="H2555" i="16"/>
  <c r="H2556" i="16"/>
  <c r="H2557" i="16"/>
  <c r="H2558" i="16"/>
  <c r="I2" i="16"/>
  <c r="I3" i="16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2" i="16"/>
  <c r="I2023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J2" i="16"/>
  <c r="J3" i="16"/>
  <c r="J4" i="16"/>
  <c r="J7" i="16"/>
  <c r="J8" i="16"/>
  <c r="J9" i="16"/>
  <c r="J10" i="16"/>
  <c r="J11" i="16"/>
  <c r="J13" i="16"/>
  <c r="J14" i="16"/>
  <c r="J15" i="16"/>
  <c r="J16" i="16"/>
  <c r="J19" i="16"/>
  <c r="J20" i="16"/>
  <c r="J21" i="16"/>
  <c r="J22" i="16"/>
  <c r="J25" i="16"/>
  <c r="J26" i="16"/>
  <c r="J27" i="16"/>
  <c r="J28" i="16"/>
  <c r="J31" i="16"/>
  <c r="J32" i="16"/>
  <c r="J33" i="16"/>
  <c r="J34" i="16"/>
  <c r="J37" i="16"/>
  <c r="J38" i="16"/>
  <c r="J39" i="16"/>
  <c r="J40" i="16"/>
  <c r="J43" i="16"/>
  <c r="J44" i="16"/>
  <c r="J45" i="16"/>
  <c r="J46" i="16"/>
  <c r="J49" i="16"/>
  <c r="J50" i="16"/>
  <c r="J51" i="16"/>
  <c r="J52" i="16"/>
  <c r="J53" i="16"/>
  <c r="J55" i="16"/>
  <c r="J56" i="16"/>
  <c r="J57" i="16"/>
  <c r="J58" i="16"/>
  <c r="J61" i="16"/>
  <c r="J62" i="16"/>
  <c r="J63" i="16"/>
  <c r="J64" i="16"/>
  <c r="J67" i="16"/>
  <c r="J68" i="16"/>
  <c r="J69" i="16"/>
  <c r="J70" i="16"/>
  <c r="J73" i="16"/>
  <c r="J74" i="16"/>
  <c r="J75" i="16"/>
  <c r="J76" i="16"/>
  <c r="J79" i="16"/>
  <c r="J80" i="16"/>
  <c r="J81" i="16"/>
  <c r="J82" i="16"/>
  <c r="J85" i="16"/>
  <c r="J86" i="16"/>
  <c r="J87" i="16"/>
  <c r="J88" i="16"/>
  <c r="J91" i="16"/>
  <c r="J92" i="16"/>
  <c r="J93" i="16"/>
  <c r="J94" i="16"/>
  <c r="J97" i="16"/>
  <c r="J98" i="16"/>
  <c r="J99" i="16"/>
  <c r="J100" i="16"/>
  <c r="J103" i="16"/>
  <c r="J104" i="16"/>
  <c r="J105" i="16"/>
  <c r="J106" i="16"/>
  <c r="J109" i="16"/>
  <c r="J110" i="16"/>
  <c r="J111" i="16"/>
  <c r="J112" i="16"/>
  <c r="J115" i="16"/>
  <c r="J116" i="16"/>
  <c r="J117" i="16"/>
  <c r="J118" i="16"/>
  <c r="J119" i="16"/>
  <c r="J121" i="16"/>
  <c r="J122" i="16"/>
  <c r="J123" i="16"/>
  <c r="J124" i="16"/>
  <c r="J127" i="16"/>
  <c r="J128" i="16"/>
  <c r="J129" i="16"/>
  <c r="J130" i="16"/>
  <c r="J133" i="16"/>
  <c r="J134" i="16"/>
  <c r="J135" i="16"/>
  <c r="J136" i="16"/>
  <c r="J139" i="16"/>
  <c r="J140" i="16"/>
  <c r="J141" i="16"/>
  <c r="J142" i="16"/>
  <c r="J145" i="16"/>
  <c r="J146" i="16"/>
  <c r="J147" i="16"/>
  <c r="J148" i="16"/>
  <c r="J151" i="16"/>
  <c r="J152" i="16"/>
  <c r="J153" i="16"/>
  <c r="J154" i="16"/>
  <c r="J157" i="16"/>
  <c r="J158" i="16"/>
  <c r="J159" i="16"/>
  <c r="J160" i="16"/>
  <c r="J161" i="16"/>
  <c r="J163" i="16"/>
  <c r="J164" i="16"/>
  <c r="J165" i="16"/>
  <c r="J166" i="16"/>
  <c r="J169" i="16"/>
  <c r="J170" i="16"/>
  <c r="J171" i="16"/>
  <c r="J172" i="16"/>
  <c r="J175" i="16"/>
  <c r="J176" i="16"/>
  <c r="J177" i="16"/>
  <c r="J178" i="16"/>
  <c r="J181" i="16"/>
  <c r="J182" i="16"/>
  <c r="J183" i="16"/>
  <c r="J184" i="16"/>
  <c r="J187" i="16"/>
  <c r="J188" i="16"/>
  <c r="J189" i="16"/>
  <c r="J190" i="16"/>
  <c r="J193" i="16"/>
  <c r="J194" i="16"/>
  <c r="J195" i="16"/>
  <c r="J196" i="16"/>
  <c r="J199" i="16"/>
  <c r="J200" i="16"/>
  <c r="J201" i="16"/>
  <c r="J202" i="16"/>
  <c r="J205" i="16"/>
  <c r="J206" i="16"/>
  <c r="J207" i="16"/>
  <c r="J208" i="16"/>
  <c r="J211" i="16"/>
  <c r="J212" i="16"/>
  <c r="J213" i="16"/>
  <c r="J214" i="16"/>
  <c r="J217" i="16"/>
  <c r="J218" i="16"/>
  <c r="J219" i="16"/>
  <c r="J220" i="16"/>
  <c r="J223" i="16"/>
  <c r="J224" i="16"/>
  <c r="J225" i="16"/>
  <c r="J226" i="16"/>
  <c r="J227" i="16"/>
  <c r="J229" i="16"/>
  <c r="J230" i="16"/>
  <c r="J231" i="16"/>
  <c r="J232" i="16"/>
  <c r="J235" i="16"/>
  <c r="J236" i="16"/>
  <c r="J237" i="16"/>
  <c r="J238" i="16"/>
  <c r="J241" i="16"/>
  <c r="J242" i="16"/>
  <c r="J243" i="16"/>
  <c r="J244" i="16"/>
  <c r="J247" i="16"/>
  <c r="J248" i="16"/>
  <c r="J249" i="16"/>
  <c r="J250" i="16"/>
  <c r="J253" i="16"/>
  <c r="J254" i="16"/>
  <c r="J255" i="16"/>
  <c r="J256" i="16"/>
  <c r="J259" i="16"/>
  <c r="J260" i="16"/>
  <c r="J261" i="16"/>
  <c r="J262" i="16"/>
  <c r="J265" i="16"/>
  <c r="J266" i="16"/>
  <c r="J267" i="16"/>
  <c r="J268" i="16"/>
  <c r="J269" i="16"/>
  <c r="J271" i="16"/>
  <c r="J272" i="16"/>
  <c r="J273" i="16"/>
  <c r="J274" i="16"/>
  <c r="J277" i="16"/>
  <c r="J278" i="16"/>
  <c r="J279" i="16"/>
  <c r="J280" i="16"/>
  <c r="J283" i="16"/>
  <c r="J284" i="16"/>
  <c r="J285" i="16"/>
  <c r="J286" i="16"/>
  <c r="J289" i="16"/>
  <c r="J290" i="16"/>
  <c r="J291" i="16"/>
  <c r="J292" i="16"/>
  <c r="J295" i="16"/>
  <c r="J296" i="16"/>
  <c r="J297" i="16"/>
  <c r="J298" i="16"/>
  <c r="J301" i="16"/>
  <c r="J302" i="16"/>
  <c r="J303" i="16"/>
  <c r="J304" i="16"/>
  <c r="J307" i="16"/>
  <c r="J308" i="16"/>
  <c r="J309" i="16"/>
  <c r="J310" i="16"/>
  <c r="J313" i="16"/>
  <c r="J314" i="16"/>
  <c r="J315" i="16"/>
  <c r="J316" i="16"/>
  <c r="J319" i="16"/>
  <c r="J320" i="16"/>
  <c r="J321" i="16"/>
  <c r="J322" i="16"/>
  <c r="J325" i="16"/>
  <c r="J326" i="16"/>
  <c r="J327" i="16"/>
  <c r="J328" i="16"/>
  <c r="J331" i="16"/>
  <c r="J332" i="16"/>
  <c r="J333" i="16"/>
  <c r="J334" i="16"/>
  <c r="J335" i="16"/>
  <c r="J337" i="16"/>
  <c r="J338" i="16"/>
  <c r="J339" i="16"/>
  <c r="J340" i="16"/>
  <c r="J343" i="16"/>
  <c r="J344" i="16"/>
  <c r="J345" i="16"/>
  <c r="J346" i="16"/>
  <c r="J349" i="16"/>
  <c r="J350" i="16"/>
  <c r="J351" i="16"/>
  <c r="J352" i="16"/>
  <c r="J355" i="16"/>
  <c r="J356" i="16"/>
  <c r="J357" i="16"/>
  <c r="J358" i="16"/>
  <c r="J361" i="16"/>
  <c r="J362" i="16"/>
  <c r="J363" i="16"/>
  <c r="J364" i="16"/>
  <c r="J367" i="16"/>
  <c r="J368" i="16"/>
  <c r="J369" i="16"/>
  <c r="J370" i="16"/>
  <c r="J373" i="16"/>
  <c r="J374" i="16"/>
  <c r="J375" i="16"/>
  <c r="J376" i="16"/>
  <c r="J377" i="16"/>
  <c r="J379" i="16"/>
  <c r="J380" i="16"/>
  <c r="J381" i="16"/>
  <c r="J382" i="16"/>
  <c r="J385" i="16"/>
  <c r="J386" i="16"/>
  <c r="J387" i="16"/>
  <c r="J388" i="16"/>
  <c r="J391" i="16"/>
  <c r="J392" i="16"/>
  <c r="J393" i="16"/>
  <c r="J394" i="16"/>
  <c r="J397" i="16"/>
  <c r="J398" i="16"/>
  <c r="J399" i="16"/>
  <c r="J400" i="16"/>
  <c r="J403" i="16"/>
  <c r="J404" i="16"/>
  <c r="J405" i="16"/>
  <c r="J406" i="16"/>
  <c r="J409" i="16"/>
  <c r="J410" i="16"/>
  <c r="J411" i="16"/>
  <c r="J412" i="16"/>
  <c r="J415" i="16"/>
  <c r="J416" i="16"/>
  <c r="J417" i="16"/>
  <c r="J418" i="16"/>
  <c r="J421" i="16"/>
  <c r="J422" i="16"/>
  <c r="J423" i="16"/>
  <c r="J424" i="16"/>
  <c r="J427" i="16"/>
  <c r="J428" i="16"/>
  <c r="J429" i="16"/>
  <c r="J430" i="16"/>
  <c r="J433" i="16"/>
  <c r="J434" i="16"/>
  <c r="J435" i="16"/>
  <c r="J436" i="16"/>
  <c r="J439" i="16"/>
  <c r="J440" i="16"/>
  <c r="J441" i="16"/>
  <c r="J442" i="16"/>
  <c r="J443" i="16"/>
  <c r="J445" i="16"/>
  <c r="J446" i="16"/>
  <c r="J447" i="16"/>
  <c r="J448" i="16"/>
  <c r="J451" i="16"/>
  <c r="J452" i="16"/>
  <c r="J453" i="16"/>
  <c r="J454" i="16"/>
  <c r="J457" i="16"/>
  <c r="J458" i="16"/>
  <c r="J459" i="16"/>
  <c r="J460" i="16"/>
  <c r="J463" i="16"/>
  <c r="J464" i="16"/>
  <c r="J465" i="16"/>
  <c r="J466" i="16"/>
  <c r="J469" i="16"/>
  <c r="J470" i="16"/>
  <c r="J471" i="16"/>
  <c r="J472" i="16"/>
  <c r="J475" i="16"/>
  <c r="J476" i="16"/>
  <c r="J477" i="16"/>
  <c r="J478" i="16"/>
  <c r="J481" i="16"/>
  <c r="J482" i="16"/>
  <c r="J483" i="16"/>
  <c r="J484" i="16"/>
  <c r="J485" i="16"/>
  <c r="J487" i="16"/>
  <c r="J488" i="16"/>
  <c r="J489" i="16"/>
  <c r="J490" i="16"/>
  <c r="J493" i="16"/>
  <c r="J494" i="16"/>
  <c r="J495" i="16"/>
  <c r="J496" i="16"/>
  <c r="J499" i="16"/>
  <c r="J500" i="16"/>
  <c r="J501" i="16"/>
  <c r="J502" i="16"/>
  <c r="J505" i="16"/>
  <c r="J506" i="16"/>
  <c r="J507" i="16"/>
  <c r="J508" i="16"/>
  <c r="J511" i="16"/>
  <c r="J512" i="16"/>
  <c r="J513" i="16"/>
  <c r="J514" i="16"/>
  <c r="J517" i="16"/>
  <c r="J518" i="16"/>
  <c r="J519" i="16"/>
  <c r="J520" i="16"/>
  <c r="J523" i="16"/>
  <c r="J524" i="16"/>
  <c r="J525" i="16"/>
  <c r="J526" i="16"/>
  <c r="J529" i="16"/>
  <c r="J530" i="16"/>
  <c r="J531" i="16"/>
  <c r="J532" i="16"/>
  <c r="J533" i="16"/>
  <c r="J535" i="16"/>
  <c r="J536" i="16"/>
  <c r="J537" i="16"/>
  <c r="J538" i="16"/>
  <c r="J539" i="16"/>
  <c r="J541" i="16"/>
  <c r="J542" i="16"/>
  <c r="J543" i="16"/>
  <c r="J544" i="16"/>
  <c r="J547" i="16"/>
  <c r="J548" i="16"/>
  <c r="J549" i="16"/>
  <c r="J550" i="16"/>
  <c r="J553" i="16"/>
  <c r="J554" i="16"/>
  <c r="J555" i="16"/>
  <c r="J556" i="16"/>
  <c r="J559" i="16"/>
  <c r="J560" i="16"/>
  <c r="J561" i="16"/>
  <c r="J562" i="16"/>
  <c r="J565" i="16"/>
  <c r="J566" i="16"/>
  <c r="J567" i="16"/>
  <c r="J568" i="16"/>
  <c r="J569" i="16"/>
  <c r="J571" i="16"/>
  <c r="J572" i="16"/>
  <c r="J573" i="16"/>
  <c r="J574" i="16"/>
  <c r="J575" i="16"/>
  <c r="J577" i="16"/>
  <c r="J578" i="16"/>
  <c r="J579" i="16"/>
  <c r="J580" i="16"/>
  <c r="J583" i="16"/>
  <c r="J584" i="16"/>
  <c r="J585" i="16"/>
  <c r="J586" i="16"/>
  <c r="J589" i="16"/>
  <c r="J590" i="16"/>
  <c r="J591" i="16"/>
  <c r="J592" i="16"/>
  <c r="J595" i="16"/>
  <c r="J596" i="16"/>
  <c r="J597" i="16"/>
  <c r="J598" i="16"/>
  <c r="J601" i="16"/>
  <c r="J602" i="16"/>
  <c r="J603" i="16"/>
  <c r="J604" i="16"/>
  <c r="J605" i="16"/>
  <c r="J607" i="16"/>
  <c r="J608" i="16"/>
  <c r="J609" i="16"/>
  <c r="J610" i="16"/>
  <c r="J611" i="16"/>
  <c r="J613" i="16"/>
  <c r="J614" i="16"/>
  <c r="J615" i="16"/>
  <c r="J616" i="16"/>
  <c r="J619" i="16"/>
  <c r="J620" i="16"/>
  <c r="J621" i="16"/>
  <c r="J622" i="16"/>
  <c r="J625" i="16"/>
  <c r="J626" i="16"/>
  <c r="J627" i="16"/>
  <c r="J628" i="16"/>
  <c r="J631" i="16"/>
  <c r="J632" i="16"/>
  <c r="J633" i="16"/>
  <c r="J634" i="16"/>
  <c r="J637" i="16"/>
  <c r="J638" i="16"/>
  <c r="J639" i="16"/>
  <c r="J640" i="16"/>
  <c r="J641" i="16"/>
  <c r="J643" i="16"/>
  <c r="J644" i="16"/>
  <c r="J645" i="16"/>
  <c r="J646" i="16"/>
  <c r="J647" i="16"/>
  <c r="J649" i="16"/>
  <c r="J650" i="16"/>
  <c r="J651" i="16"/>
  <c r="J652" i="16"/>
  <c r="J655" i="16"/>
  <c r="J656" i="16"/>
  <c r="J657" i="16"/>
  <c r="J658" i="16"/>
  <c r="J661" i="16"/>
  <c r="J662" i="16"/>
  <c r="J663" i="16"/>
  <c r="J664" i="16"/>
  <c r="J667" i="16"/>
  <c r="J668" i="16"/>
  <c r="J669" i="16"/>
  <c r="J670" i="16"/>
  <c r="J673" i="16"/>
  <c r="J674" i="16"/>
  <c r="J675" i="16"/>
  <c r="J676" i="16"/>
  <c r="J677" i="16"/>
  <c r="J679" i="16"/>
  <c r="J680" i="16"/>
  <c r="J681" i="16"/>
  <c r="J682" i="16"/>
  <c r="J685" i="16"/>
  <c r="J686" i="16"/>
  <c r="J687" i="16"/>
  <c r="J688" i="16"/>
  <c r="J691" i="16"/>
  <c r="J692" i="16"/>
  <c r="J693" i="16"/>
  <c r="J694" i="16"/>
  <c r="J697" i="16"/>
  <c r="J698" i="16"/>
  <c r="J699" i="16"/>
  <c r="J700" i="16"/>
  <c r="J703" i="16"/>
  <c r="J704" i="16"/>
  <c r="J705" i="16"/>
  <c r="J706" i="16"/>
  <c r="J709" i="16"/>
  <c r="J710" i="16"/>
  <c r="J711" i="16"/>
  <c r="J712" i="16"/>
  <c r="J715" i="16"/>
  <c r="J716" i="16"/>
  <c r="J717" i="16"/>
  <c r="J718" i="16"/>
  <c r="J719" i="16"/>
  <c r="J721" i="16"/>
  <c r="J722" i="16"/>
  <c r="J723" i="16"/>
  <c r="J724" i="16"/>
  <c r="J727" i="16"/>
  <c r="J728" i="16"/>
  <c r="J729" i="16"/>
  <c r="J730" i="16"/>
  <c r="J733" i="16"/>
  <c r="J734" i="16"/>
  <c r="J735" i="16"/>
  <c r="J736" i="16"/>
  <c r="J739" i="16"/>
  <c r="J740" i="16"/>
  <c r="J741" i="16"/>
  <c r="J742" i="16"/>
  <c r="J745" i="16"/>
  <c r="J746" i="16"/>
  <c r="J747" i="16"/>
  <c r="J748" i="16"/>
  <c r="J751" i="16"/>
  <c r="J752" i="16"/>
  <c r="J753" i="16"/>
  <c r="J754" i="16"/>
  <c r="J757" i="16"/>
  <c r="J758" i="16"/>
  <c r="J759" i="16"/>
  <c r="J760" i="16"/>
  <c r="J763" i="16"/>
  <c r="J764" i="16"/>
  <c r="J765" i="16"/>
  <c r="J766" i="16"/>
  <c r="J769" i="16"/>
  <c r="J770" i="16"/>
  <c r="J771" i="16"/>
  <c r="J772" i="16"/>
  <c r="J775" i="16"/>
  <c r="J776" i="16"/>
  <c r="J777" i="16"/>
  <c r="J778" i="16"/>
  <c r="J781" i="16"/>
  <c r="J782" i="16"/>
  <c r="J783" i="16"/>
  <c r="J784" i="16"/>
  <c r="J785" i="16"/>
  <c r="J787" i="16"/>
  <c r="J788" i="16"/>
  <c r="J789" i="16"/>
  <c r="J790" i="16"/>
  <c r="J793" i="16"/>
  <c r="J794" i="16"/>
  <c r="J795" i="16"/>
  <c r="J796" i="16"/>
  <c r="J799" i="16"/>
  <c r="J800" i="16"/>
  <c r="J801" i="16"/>
  <c r="J802" i="16"/>
  <c r="J805" i="16"/>
  <c r="J806" i="16"/>
  <c r="J807" i="16"/>
  <c r="J808" i="16"/>
  <c r="J811" i="16"/>
  <c r="J812" i="16"/>
  <c r="J813" i="16"/>
  <c r="J814" i="16"/>
  <c r="J817" i="16"/>
  <c r="J818" i="16"/>
  <c r="J819" i="16"/>
  <c r="J820" i="16"/>
  <c r="J823" i="16"/>
  <c r="J824" i="16"/>
  <c r="J825" i="16"/>
  <c r="J826" i="16"/>
  <c r="J827" i="16"/>
  <c r="J829" i="16"/>
  <c r="J830" i="16"/>
  <c r="J831" i="16"/>
  <c r="J832" i="16"/>
  <c r="J835" i="16"/>
  <c r="J836" i="16"/>
  <c r="J837" i="16"/>
  <c r="J838" i="16"/>
  <c r="J841" i="16"/>
  <c r="J842" i="16"/>
  <c r="J843" i="16"/>
  <c r="J844" i="16"/>
  <c r="J847" i="16"/>
  <c r="J848" i="16"/>
  <c r="J849" i="16"/>
  <c r="J850" i="16"/>
  <c r="J853" i="16"/>
  <c r="J854" i="16"/>
  <c r="J855" i="16"/>
  <c r="J856" i="16"/>
  <c r="J859" i="16"/>
  <c r="J860" i="16"/>
  <c r="J861" i="16"/>
  <c r="J862" i="16"/>
  <c r="J865" i="16"/>
  <c r="J866" i="16"/>
  <c r="J867" i="16"/>
  <c r="J868" i="16"/>
  <c r="J871" i="16"/>
  <c r="J872" i="16"/>
  <c r="J873" i="16"/>
  <c r="J874" i="16"/>
  <c r="J877" i="16"/>
  <c r="J878" i="16"/>
  <c r="J879" i="16"/>
  <c r="J880" i="16"/>
  <c r="J883" i="16"/>
  <c r="J884" i="16"/>
  <c r="J885" i="16"/>
  <c r="J886" i="16"/>
  <c r="J889" i="16"/>
  <c r="J890" i="16"/>
  <c r="J891" i="16"/>
  <c r="J892" i="16"/>
  <c r="J893" i="16"/>
  <c r="J895" i="16"/>
  <c r="J896" i="16"/>
  <c r="J897" i="16"/>
  <c r="J898" i="16"/>
  <c r="J901" i="16"/>
  <c r="J902" i="16"/>
  <c r="J903" i="16"/>
  <c r="J904" i="16"/>
  <c r="J907" i="16"/>
  <c r="J908" i="16"/>
  <c r="J909" i="16"/>
  <c r="J910" i="16"/>
  <c r="J913" i="16"/>
  <c r="J914" i="16"/>
  <c r="J915" i="16"/>
  <c r="J916" i="16"/>
  <c r="J919" i="16"/>
  <c r="J920" i="16"/>
  <c r="J921" i="16"/>
  <c r="J922" i="16"/>
  <c r="J925" i="16"/>
  <c r="J926" i="16"/>
  <c r="J927" i="16"/>
  <c r="J928" i="16"/>
  <c r="J931" i="16"/>
  <c r="J932" i="16"/>
  <c r="J933" i="16"/>
  <c r="J934" i="16"/>
  <c r="J935" i="16"/>
  <c r="J937" i="16"/>
  <c r="J938" i="16"/>
  <c r="J939" i="16"/>
  <c r="J940" i="16"/>
  <c r="J941" i="16"/>
  <c r="J943" i="16"/>
  <c r="J944" i="16"/>
  <c r="J945" i="16"/>
  <c r="J946" i="16"/>
  <c r="J949" i="16"/>
  <c r="J950" i="16"/>
  <c r="J951" i="16"/>
  <c r="J952" i="16"/>
  <c r="J955" i="16"/>
  <c r="J956" i="16"/>
  <c r="J957" i="16"/>
  <c r="J958" i="16"/>
  <c r="J961" i="16"/>
  <c r="J962" i="16"/>
  <c r="J963" i="16"/>
  <c r="J964" i="16"/>
  <c r="J967" i="16"/>
  <c r="J968" i="16"/>
  <c r="J969" i="16"/>
  <c r="J970" i="16"/>
  <c r="J971" i="16"/>
  <c r="J973" i="16"/>
  <c r="J974" i="16"/>
  <c r="J975" i="16"/>
  <c r="J976" i="16"/>
  <c r="J977" i="16"/>
  <c r="J979" i="16"/>
  <c r="J980" i="16"/>
  <c r="J981" i="16"/>
  <c r="J982" i="16"/>
  <c r="J985" i="16"/>
  <c r="J986" i="16"/>
  <c r="J987" i="16"/>
  <c r="J988" i="16"/>
  <c r="J991" i="16"/>
  <c r="J992" i="16"/>
  <c r="J993" i="16"/>
  <c r="J994" i="16"/>
  <c r="J997" i="16"/>
  <c r="J998" i="16"/>
  <c r="J999" i="16"/>
  <c r="J1000" i="16"/>
  <c r="J1003" i="16"/>
  <c r="J1004" i="16"/>
  <c r="J1005" i="16"/>
  <c r="J1006" i="16"/>
  <c r="J1007" i="16"/>
  <c r="J1009" i="16"/>
  <c r="J1010" i="16"/>
  <c r="J1011" i="16"/>
  <c r="J1012" i="16"/>
  <c r="J1013" i="16"/>
  <c r="J1015" i="16"/>
  <c r="J1016" i="16"/>
  <c r="J1017" i="16"/>
  <c r="J1018" i="16"/>
  <c r="J1021" i="16"/>
  <c r="J1022" i="16"/>
  <c r="J1023" i="16"/>
  <c r="J1024" i="16"/>
  <c r="J1027" i="16"/>
  <c r="J1028" i="16"/>
  <c r="J1029" i="16"/>
  <c r="J1030" i="16"/>
  <c r="J1033" i="16"/>
  <c r="J1034" i="16"/>
  <c r="J1035" i="16"/>
  <c r="J1036" i="16"/>
  <c r="J1039" i="16"/>
  <c r="J1040" i="16"/>
  <c r="J1041" i="16"/>
  <c r="J1042" i="16"/>
  <c r="J1043" i="16"/>
  <c r="J1045" i="16"/>
  <c r="J1046" i="16"/>
  <c r="J1047" i="16"/>
  <c r="J1048" i="16"/>
  <c r="J1049" i="16"/>
  <c r="J1051" i="16"/>
  <c r="J1052" i="16"/>
  <c r="J1053" i="16"/>
  <c r="J1054" i="16"/>
  <c r="J1057" i="16"/>
  <c r="J1058" i="16"/>
  <c r="J1059" i="16"/>
  <c r="J1060" i="16"/>
  <c r="J1063" i="16"/>
  <c r="J1064" i="16"/>
  <c r="J1065" i="16"/>
  <c r="J1066" i="16"/>
  <c r="J1069" i="16"/>
  <c r="J1070" i="16"/>
  <c r="J1071" i="16"/>
  <c r="J1072" i="16"/>
  <c r="J1075" i="16"/>
  <c r="J1076" i="16"/>
  <c r="J1077" i="16"/>
  <c r="J1078" i="16"/>
  <c r="J1079" i="16"/>
  <c r="J1081" i="16"/>
  <c r="J1082" i="16"/>
  <c r="J1083" i="16"/>
  <c r="J1084" i="16"/>
  <c r="J1085" i="16"/>
  <c r="J1087" i="16"/>
  <c r="J1088" i="16"/>
  <c r="J1089" i="16"/>
  <c r="J1090" i="16"/>
  <c r="J1093" i="16"/>
  <c r="J1094" i="16"/>
  <c r="J1095" i="16"/>
  <c r="J1096" i="16"/>
  <c r="J1099" i="16"/>
  <c r="J1100" i="16"/>
  <c r="J1101" i="16"/>
  <c r="J1102" i="16"/>
  <c r="J1105" i="16"/>
  <c r="J1106" i="16"/>
  <c r="J1107" i="16"/>
  <c r="J1108" i="16"/>
  <c r="J1111" i="16"/>
  <c r="J1112" i="16"/>
  <c r="J1113" i="16"/>
  <c r="J1114" i="16"/>
  <c r="J1115" i="16"/>
  <c r="J1117" i="16"/>
  <c r="J1118" i="16"/>
  <c r="J1119" i="16"/>
  <c r="J1120" i="16"/>
  <c r="J1121" i="16"/>
  <c r="J1123" i="16"/>
  <c r="J1124" i="16"/>
  <c r="J1125" i="16"/>
  <c r="J1126" i="16"/>
  <c r="J1129" i="16"/>
  <c r="J1130" i="16"/>
  <c r="J1131" i="16"/>
  <c r="J1132" i="16"/>
  <c r="J1135" i="16"/>
  <c r="J1136" i="16"/>
  <c r="J1137" i="16"/>
  <c r="J1138" i="16"/>
  <c r="J1141" i="16"/>
  <c r="J1142" i="16"/>
  <c r="J1143" i="16"/>
  <c r="J1144" i="16"/>
  <c r="J1147" i="16"/>
  <c r="J1148" i="16"/>
  <c r="J1149" i="16"/>
  <c r="J1150" i="16"/>
  <c r="J1151" i="16"/>
  <c r="J1153" i="16"/>
  <c r="J1154" i="16"/>
  <c r="J1155" i="16"/>
  <c r="J1156" i="16"/>
  <c r="J1157" i="16"/>
  <c r="J1159" i="16"/>
  <c r="J1160" i="16"/>
  <c r="J1161" i="16"/>
  <c r="J1162" i="16"/>
  <c r="J1165" i="16"/>
  <c r="J1166" i="16"/>
  <c r="J1167" i="16"/>
  <c r="J1168" i="16"/>
  <c r="J1171" i="16"/>
  <c r="J1172" i="16"/>
  <c r="J1173" i="16"/>
  <c r="J1174" i="16"/>
  <c r="J1177" i="16"/>
  <c r="J1178" i="16"/>
  <c r="J1179" i="16"/>
  <c r="J1180" i="16"/>
  <c r="J1183" i="16"/>
  <c r="J1184" i="16"/>
  <c r="J1185" i="16"/>
  <c r="J1186" i="16"/>
  <c r="J1187" i="16"/>
  <c r="J1189" i="16"/>
  <c r="J1190" i="16"/>
  <c r="J1191" i="16"/>
  <c r="J1192" i="16"/>
  <c r="J1193" i="16"/>
  <c r="J1195" i="16"/>
  <c r="J1196" i="16"/>
  <c r="J1197" i="16"/>
  <c r="J1198" i="16"/>
  <c r="J1201" i="16"/>
  <c r="J1202" i="16"/>
  <c r="J1203" i="16"/>
  <c r="J1204" i="16"/>
  <c r="J1207" i="16"/>
  <c r="J1208" i="16"/>
  <c r="J1209" i="16"/>
  <c r="J1210" i="16"/>
  <c r="J1213" i="16"/>
  <c r="J1214" i="16"/>
  <c r="J1215" i="16"/>
  <c r="J1216" i="16"/>
  <c r="J1219" i="16"/>
  <c r="J1220" i="16"/>
  <c r="J1221" i="16"/>
  <c r="J1222" i="16"/>
  <c r="J1223" i="16"/>
  <c r="J1225" i="16"/>
  <c r="J1226" i="16"/>
  <c r="J1227" i="16"/>
  <c r="J1228" i="16"/>
  <c r="J1229" i="16"/>
  <c r="J1231" i="16"/>
  <c r="J1232" i="16"/>
  <c r="J1233" i="16"/>
  <c r="J1234" i="16"/>
  <c r="J1237" i="16"/>
  <c r="J1238" i="16"/>
  <c r="J1239" i="16"/>
  <c r="J1240" i="16"/>
  <c r="J1243" i="16"/>
  <c r="J1244" i="16"/>
  <c r="J1245" i="16"/>
  <c r="J1246" i="16"/>
  <c r="J1249" i="16"/>
  <c r="J1250" i="16"/>
  <c r="J1251" i="16"/>
  <c r="J1252" i="16"/>
  <c r="J1255" i="16"/>
  <c r="J1256" i="16"/>
  <c r="J1257" i="16"/>
  <c r="J1258" i="16"/>
  <c r="J1259" i="16"/>
  <c r="J1261" i="16"/>
  <c r="J1262" i="16"/>
  <c r="J1263" i="16"/>
  <c r="J1264" i="16"/>
  <c r="J1265" i="16"/>
  <c r="J1267" i="16"/>
  <c r="J1268" i="16"/>
  <c r="J1269" i="16"/>
  <c r="J1270" i="16"/>
  <c r="J1273" i="16"/>
  <c r="J1274" i="16"/>
  <c r="J1275" i="16"/>
  <c r="J1276" i="16"/>
  <c r="J1279" i="16"/>
  <c r="J1280" i="16"/>
  <c r="J1281" i="16"/>
  <c r="J1282" i="16"/>
  <c r="J1285" i="16"/>
  <c r="J1286" i="16"/>
  <c r="J1287" i="16"/>
  <c r="J1288" i="16"/>
  <c r="J1291" i="16"/>
  <c r="J1292" i="16"/>
  <c r="J1293" i="16"/>
  <c r="J1294" i="16"/>
  <c r="J1295" i="16"/>
  <c r="J1297" i="16"/>
  <c r="J1298" i="16"/>
  <c r="J1299" i="16"/>
  <c r="J1300" i="16"/>
  <c r="J1301" i="16"/>
  <c r="J1303" i="16"/>
  <c r="J1304" i="16"/>
  <c r="J1305" i="16"/>
  <c r="J1306" i="16"/>
  <c r="J1309" i="16"/>
  <c r="J1310" i="16"/>
  <c r="J1311" i="16"/>
  <c r="J1312" i="16"/>
  <c r="J1315" i="16"/>
  <c r="J1316" i="16"/>
  <c r="J1317" i="16"/>
  <c r="J1318" i="16"/>
  <c r="J1321" i="16"/>
  <c r="J1322" i="16"/>
  <c r="J1323" i="16"/>
  <c r="J1324" i="16"/>
  <c r="J1327" i="16"/>
  <c r="J1328" i="16"/>
  <c r="J1329" i="16"/>
  <c r="J1330" i="16"/>
  <c r="J1331" i="16"/>
  <c r="J1333" i="16"/>
  <c r="J1334" i="16"/>
  <c r="J1335" i="16"/>
  <c r="J1336" i="16"/>
  <c r="J1337" i="16"/>
  <c r="J1339" i="16"/>
  <c r="J1340" i="16"/>
  <c r="J1341" i="16"/>
  <c r="J1342" i="16"/>
  <c r="J1343" i="16"/>
  <c r="J1345" i="16"/>
  <c r="J1346" i="16"/>
  <c r="J1347" i="16"/>
  <c r="J1348" i="16"/>
  <c r="J1351" i="16"/>
  <c r="J1352" i="16"/>
  <c r="J1353" i="16"/>
  <c r="J1354" i="16"/>
  <c r="J1355" i="16"/>
  <c r="J1357" i="16"/>
  <c r="J1358" i="16"/>
  <c r="J1359" i="16"/>
  <c r="J1360" i="16"/>
  <c r="J1363" i="16"/>
  <c r="J1364" i="16"/>
  <c r="J1365" i="16"/>
  <c r="J1366" i="16"/>
  <c r="J1367" i="16"/>
  <c r="J1369" i="16"/>
  <c r="J1370" i="16"/>
  <c r="J1371" i="16"/>
  <c r="J1372" i="16"/>
  <c r="J1373" i="16"/>
  <c r="J1375" i="16"/>
  <c r="J1376" i="16"/>
  <c r="J1377" i="16"/>
  <c r="J1378" i="16"/>
  <c r="J1379" i="16"/>
  <c r="J1381" i="16"/>
  <c r="J1382" i="16"/>
  <c r="J1383" i="16"/>
  <c r="J1384" i="16"/>
  <c r="J1387" i="16"/>
  <c r="J1388" i="16"/>
  <c r="J1389" i="16"/>
  <c r="J1390" i="16"/>
  <c r="J1391" i="16"/>
  <c r="J1393" i="16"/>
  <c r="J1394" i="16"/>
  <c r="J1395" i="16"/>
  <c r="J1396" i="16"/>
  <c r="J1399" i="16"/>
  <c r="J1400" i="16"/>
  <c r="J1401" i="16"/>
  <c r="J1402" i="16"/>
  <c r="J1403" i="16"/>
  <c r="J1405" i="16"/>
  <c r="J1406" i="16"/>
  <c r="J1407" i="16"/>
  <c r="J1408" i="16"/>
  <c r="J1409" i="16"/>
  <c r="J1411" i="16"/>
  <c r="J1412" i="16"/>
  <c r="J1413" i="16"/>
  <c r="J1414" i="16"/>
  <c r="J1415" i="16"/>
  <c r="J1417" i="16"/>
  <c r="J1418" i="16"/>
  <c r="J1419" i="16"/>
  <c r="J1420" i="16"/>
  <c r="J1423" i="16"/>
  <c r="J1424" i="16"/>
  <c r="J1425" i="16"/>
  <c r="J1426" i="16"/>
  <c r="J1427" i="16"/>
  <c r="J1429" i="16"/>
  <c r="J1430" i="16"/>
  <c r="J1431" i="16"/>
  <c r="J1432" i="16"/>
  <c r="J1433" i="16"/>
  <c r="J1435" i="16"/>
  <c r="J1436" i="16"/>
  <c r="J1437" i="16"/>
  <c r="J1438" i="16"/>
  <c r="J1439" i="16"/>
  <c r="J1441" i="16"/>
  <c r="J1442" i="16"/>
  <c r="J1443" i="16"/>
  <c r="J1444" i="16"/>
  <c r="J1445" i="16"/>
  <c r="J1447" i="16"/>
  <c r="J1448" i="16"/>
  <c r="J1449" i="16"/>
  <c r="J1450" i="16"/>
  <c r="J1451" i="16"/>
  <c r="J1453" i="16"/>
  <c r="J1454" i="16"/>
  <c r="J1455" i="16"/>
  <c r="J1456" i="16"/>
  <c r="J1457" i="16"/>
  <c r="J1459" i="16"/>
  <c r="J1460" i="16"/>
  <c r="J1461" i="16"/>
  <c r="J1462" i="16"/>
  <c r="J1463" i="16"/>
  <c r="J1465" i="16"/>
  <c r="J1466" i="16"/>
  <c r="J1467" i="16"/>
  <c r="J1468" i="16"/>
  <c r="J1469" i="16"/>
  <c r="J1471" i="16"/>
  <c r="J1472" i="16"/>
  <c r="J1473" i="16"/>
  <c r="J1474" i="16"/>
  <c r="J1475" i="16"/>
  <c r="J1477" i="16"/>
  <c r="J1478" i="16"/>
  <c r="J1479" i="16"/>
  <c r="J1480" i="16"/>
  <c r="J1481" i="16"/>
  <c r="J1483" i="16"/>
  <c r="J1484" i="16"/>
  <c r="J1485" i="16"/>
  <c r="J1486" i="16"/>
  <c r="J1487" i="16"/>
  <c r="J1489" i="16"/>
  <c r="J1490" i="16"/>
  <c r="J1491" i="16"/>
  <c r="J1492" i="16"/>
  <c r="J1493" i="16"/>
  <c r="J1495" i="16"/>
  <c r="J1496" i="16"/>
  <c r="J1497" i="16"/>
  <c r="J1498" i="16"/>
  <c r="J1499" i="16"/>
  <c r="J1501" i="16"/>
  <c r="J1502" i="16"/>
  <c r="J1503" i="16"/>
  <c r="J1504" i="16"/>
  <c r="J1505" i="16"/>
  <c r="J1507" i="16"/>
  <c r="J1508" i="16"/>
  <c r="J1509" i="16"/>
  <c r="J1510" i="16"/>
  <c r="J1511" i="16"/>
  <c r="J1513" i="16"/>
  <c r="J1514" i="16"/>
  <c r="J1515" i="16"/>
  <c r="J1516" i="16"/>
  <c r="J1517" i="16"/>
  <c r="J1519" i="16"/>
  <c r="J1520" i="16"/>
  <c r="J1521" i="16"/>
  <c r="J1522" i="16"/>
  <c r="J1523" i="16"/>
  <c r="J1525" i="16"/>
  <c r="J1526" i="16"/>
  <c r="J1527" i="16"/>
  <c r="J1528" i="16"/>
  <c r="J1529" i="16"/>
  <c r="J1531" i="16"/>
  <c r="J1532" i="16"/>
  <c r="J1533" i="16"/>
  <c r="J1534" i="16"/>
  <c r="J1535" i="16"/>
  <c r="J1537" i="16"/>
  <c r="J1538" i="16"/>
  <c r="J1539" i="16"/>
  <c r="J1540" i="16"/>
  <c r="J1541" i="16"/>
  <c r="J1543" i="16"/>
  <c r="J1544" i="16"/>
  <c r="J1545" i="16"/>
  <c r="J1546" i="16"/>
  <c r="J1547" i="16"/>
  <c r="J1549" i="16"/>
  <c r="J1550" i="16"/>
  <c r="J1551" i="16"/>
  <c r="J1552" i="16"/>
  <c r="J1553" i="16"/>
  <c r="J1555" i="16"/>
  <c r="J1556" i="16"/>
  <c r="J1557" i="16"/>
  <c r="J1558" i="16"/>
  <c r="J1559" i="16"/>
  <c r="J1561" i="16"/>
  <c r="J1562" i="16"/>
  <c r="J1563" i="16"/>
  <c r="J1564" i="16"/>
  <c r="J1565" i="16"/>
  <c r="J1567" i="16"/>
  <c r="J1568" i="16"/>
  <c r="J1569" i="16"/>
  <c r="J1570" i="16"/>
  <c r="J1571" i="16"/>
  <c r="J1573" i="16"/>
  <c r="J1574" i="16"/>
  <c r="J1575" i="16"/>
  <c r="J1576" i="16"/>
  <c r="J1577" i="16"/>
  <c r="J1579" i="16"/>
  <c r="J1580" i="16"/>
  <c r="J1581" i="16"/>
  <c r="J1582" i="16"/>
  <c r="J1583" i="16"/>
  <c r="J1585" i="16"/>
  <c r="J1586" i="16"/>
  <c r="J1587" i="16"/>
  <c r="J1588" i="16"/>
  <c r="J1589" i="16"/>
  <c r="J1591" i="16"/>
  <c r="J1592" i="16"/>
  <c r="J1593" i="16"/>
  <c r="J1594" i="16"/>
  <c r="J1595" i="16"/>
  <c r="J1597" i="16"/>
  <c r="J1598" i="16"/>
  <c r="J1599" i="16"/>
  <c r="J1600" i="16"/>
  <c r="J1601" i="16"/>
  <c r="J1603" i="16"/>
  <c r="J1604" i="16"/>
  <c r="J1605" i="16"/>
  <c r="J1606" i="16"/>
  <c r="J1607" i="16"/>
  <c r="J1609" i="16"/>
  <c r="J1610" i="16"/>
  <c r="J1611" i="16"/>
  <c r="J1612" i="16"/>
  <c r="J1613" i="16"/>
  <c r="J1615" i="16"/>
  <c r="J1616" i="16"/>
  <c r="J1617" i="16"/>
  <c r="J1618" i="16"/>
  <c r="J1619" i="16"/>
  <c r="J1621" i="16"/>
  <c r="J1622" i="16"/>
  <c r="J1623" i="16"/>
  <c r="J1624" i="16"/>
  <c r="J1625" i="16"/>
  <c r="J1627" i="16"/>
  <c r="J1628" i="16"/>
  <c r="J1629" i="16"/>
  <c r="J1630" i="16"/>
  <c r="J1631" i="16"/>
  <c r="J1633" i="16"/>
  <c r="J1634" i="16"/>
  <c r="J1635" i="16"/>
  <c r="J1636" i="16"/>
  <c r="J1637" i="16"/>
  <c r="J1639" i="16"/>
  <c r="J1640" i="16"/>
  <c r="J1641" i="16"/>
  <c r="J1642" i="16"/>
  <c r="J1643" i="16"/>
  <c r="J1645" i="16"/>
  <c r="J1646" i="16"/>
  <c r="J1647" i="16"/>
  <c r="J1648" i="16"/>
  <c r="J1649" i="16"/>
  <c r="J1651" i="16"/>
  <c r="J1652" i="16"/>
  <c r="J1653" i="16"/>
  <c r="J1654" i="16"/>
  <c r="J1655" i="16"/>
  <c r="J1657" i="16"/>
  <c r="J1658" i="16"/>
  <c r="J1659" i="16"/>
  <c r="J1660" i="16"/>
  <c r="J1661" i="16"/>
  <c r="J1663" i="16"/>
  <c r="J1664" i="16"/>
  <c r="J1665" i="16"/>
  <c r="J1666" i="16"/>
  <c r="J1667" i="16"/>
  <c r="J1669" i="16"/>
  <c r="J1670" i="16"/>
  <c r="J1671" i="16"/>
  <c r="J1672" i="16"/>
  <c r="J1673" i="16"/>
  <c r="J1675" i="16"/>
  <c r="J1676" i="16"/>
  <c r="J1677" i="16"/>
  <c r="J1678" i="16"/>
  <c r="J1679" i="16"/>
  <c r="J1681" i="16"/>
  <c r="J1682" i="16"/>
  <c r="J1683" i="16"/>
  <c r="J1684" i="16"/>
  <c r="J1685" i="16"/>
  <c r="J1687" i="16"/>
  <c r="J1688" i="16"/>
  <c r="J1689" i="16"/>
  <c r="J1690" i="16"/>
  <c r="J1691" i="16"/>
  <c r="J1693" i="16"/>
  <c r="J1694" i="16"/>
  <c r="J1695" i="16"/>
  <c r="J1696" i="16"/>
  <c r="J1697" i="16"/>
  <c r="J1699" i="16"/>
  <c r="J1700" i="16"/>
  <c r="J1701" i="16"/>
  <c r="J1702" i="16"/>
  <c r="J1703" i="16"/>
  <c r="J1705" i="16"/>
  <c r="J1706" i="16"/>
  <c r="J1707" i="16"/>
  <c r="J1708" i="16"/>
  <c r="J1709" i="16"/>
  <c r="J1711" i="16"/>
  <c r="J1712" i="16"/>
  <c r="J1713" i="16"/>
  <c r="J1714" i="16"/>
  <c r="J1715" i="16"/>
  <c r="J1717" i="16"/>
  <c r="J1718" i="16"/>
  <c r="J1719" i="16"/>
  <c r="J1720" i="16"/>
  <c r="J1721" i="16"/>
  <c r="J1723" i="16"/>
  <c r="J1724" i="16"/>
  <c r="J1725" i="16"/>
  <c r="J1726" i="16"/>
  <c r="J1727" i="16"/>
  <c r="J1729" i="16"/>
  <c r="J1730" i="16"/>
  <c r="J1731" i="16"/>
  <c r="J1732" i="16"/>
  <c r="J1733" i="16"/>
  <c r="J1735" i="16"/>
  <c r="J1736" i="16"/>
  <c r="J1737" i="16"/>
  <c r="J1738" i="16"/>
  <c r="J1739" i="16"/>
  <c r="J1741" i="16"/>
  <c r="J1742" i="16"/>
  <c r="J1743" i="16"/>
  <c r="J1744" i="16"/>
  <c r="J1745" i="16"/>
  <c r="J1747" i="16"/>
  <c r="J1748" i="16"/>
  <c r="J1749" i="16"/>
  <c r="J1750" i="16"/>
  <c r="J1751" i="16"/>
  <c r="J1753" i="16"/>
  <c r="J1754" i="16"/>
  <c r="J1755" i="16"/>
  <c r="J1756" i="16"/>
  <c r="J1757" i="16"/>
  <c r="J1759" i="16"/>
  <c r="J1760" i="16"/>
  <c r="J1761" i="16"/>
  <c r="J1762" i="16"/>
  <c r="J1763" i="16"/>
  <c r="J1765" i="16"/>
  <c r="J1766" i="16"/>
  <c r="J1767" i="16"/>
  <c r="J1768" i="16"/>
  <c r="J1769" i="16"/>
  <c r="J1771" i="16"/>
  <c r="J1772" i="16"/>
  <c r="J1773" i="16"/>
  <c r="J1774" i="16"/>
  <c r="J1775" i="16"/>
  <c r="J1777" i="16"/>
  <c r="J1778" i="16"/>
  <c r="J1779" i="16"/>
  <c r="J1780" i="16"/>
  <c r="J1781" i="16"/>
  <c r="J1783" i="16"/>
  <c r="J1784" i="16"/>
  <c r="J1785" i="16"/>
  <c r="J1786" i="16"/>
  <c r="J1787" i="16"/>
  <c r="J1789" i="16"/>
  <c r="J1790" i="16"/>
  <c r="J1791" i="16"/>
  <c r="J1792" i="16"/>
  <c r="J1793" i="16"/>
  <c r="J1795" i="16"/>
  <c r="J1796" i="16"/>
  <c r="J1797" i="16"/>
  <c r="J1798" i="16"/>
  <c r="J1799" i="16"/>
  <c r="J1801" i="16"/>
  <c r="J1802" i="16"/>
  <c r="J1803" i="16"/>
  <c r="J1804" i="16"/>
  <c r="J1805" i="16"/>
  <c r="J1807" i="16"/>
  <c r="J1808" i="16"/>
  <c r="J1809" i="16"/>
  <c r="J1810" i="16"/>
  <c r="J1811" i="16"/>
  <c r="J1813" i="16"/>
  <c r="J1814" i="16"/>
  <c r="J1815" i="16"/>
  <c r="J1816" i="16"/>
  <c r="J1817" i="16"/>
  <c r="J1819" i="16"/>
  <c r="J1820" i="16"/>
  <c r="J1821" i="16"/>
  <c r="J1822" i="16"/>
  <c r="J1823" i="16"/>
  <c r="J1825" i="16"/>
  <c r="J1826" i="16"/>
  <c r="J1827" i="16"/>
  <c r="J1828" i="16"/>
  <c r="J1829" i="16"/>
  <c r="J1831" i="16"/>
  <c r="J1832" i="16"/>
  <c r="J1833" i="16"/>
  <c r="J1834" i="16"/>
  <c r="J1835" i="16"/>
  <c r="J1837" i="16"/>
  <c r="J1838" i="16"/>
  <c r="J1839" i="16"/>
  <c r="J1840" i="16"/>
  <c r="J1841" i="16"/>
  <c r="J1843" i="16"/>
  <c r="J1844" i="16"/>
  <c r="J1845" i="16"/>
  <c r="J1846" i="16"/>
  <c r="J1847" i="16"/>
  <c r="J1849" i="16"/>
  <c r="J1850" i="16"/>
  <c r="J1851" i="16"/>
  <c r="J1852" i="16"/>
  <c r="J1853" i="16"/>
  <c r="J1855" i="16"/>
  <c r="J1856" i="16"/>
  <c r="J1857" i="16"/>
  <c r="J1858" i="16"/>
  <c r="J1859" i="16"/>
  <c r="J1861" i="16"/>
  <c r="J1862" i="16"/>
  <c r="J1863" i="16"/>
  <c r="J1864" i="16"/>
  <c r="J1865" i="16"/>
  <c r="J1867" i="16"/>
  <c r="J1868" i="16"/>
  <c r="J1869" i="16"/>
  <c r="J1870" i="16"/>
  <c r="J1871" i="16"/>
  <c r="J1873" i="16"/>
  <c r="J1874" i="16"/>
  <c r="J1875" i="16"/>
  <c r="J1876" i="16"/>
  <c r="J1877" i="16"/>
  <c r="J1879" i="16"/>
  <c r="J1880" i="16"/>
  <c r="J1881" i="16"/>
  <c r="J1882" i="16"/>
  <c r="J1883" i="16"/>
  <c r="J1885" i="16"/>
  <c r="J1886" i="16"/>
  <c r="J1887" i="16"/>
  <c r="J1888" i="16"/>
  <c r="J1889" i="16"/>
  <c r="J1891" i="16"/>
  <c r="J1892" i="16"/>
  <c r="J1893" i="16"/>
  <c r="J1894" i="16"/>
  <c r="J1895" i="16"/>
  <c r="J1897" i="16"/>
  <c r="J1898" i="16"/>
  <c r="J1899" i="16"/>
  <c r="J1900" i="16"/>
  <c r="J1901" i="16"/>
  <c r="J1903" i="16"/>
  <c r="J1904" i="16"/>
  <c r="J1905" i="16"/>
  <c r="J1906" i="16"/>
  <c r="J1907" i="16"/>
  <c r="J1909" i="16"/>
  <c r="J1910" i="16"/>
  <c r="J1911" i="16"/>
  <c r="J1912" i="16"/>
  <c r="J1913" i="16"/>
  <c r="J1915" i="16"/>
  <c r="J1916" i="16"/>
  <c r="J1917" i="16"/>
  <c r="J1918" i="16"/>
  <c r="J1919" i="16"/>
  <c r="J1921" i="16"/>
  <c r="J1922" i="16"/>
  <c r="J1923" i="16"/>
  <c r="J1924" i="16"/>
  <c r="J1925" i="16"/>
  <c r="J1927" i="16"/>
  <c r="J1928" i="16"/>
  <c r="J1929" i="16"/>
  <c r="J1930" i="16"/>
  <c r="J1931" i="16"/>
  <c r="J1933" i="16"/>
  <c r="J1934" i="16"/>
  <c r="J1935" i="16"/>
  <c r="J1936" i="16"/>
  <c r="J1937" i="16"/>
  <c r="J1939" i="16"/>
  <c r="J1940" i="16"/>
  <c r="J1941" i="16"/>
  <c r="J1942" i="16"/>
  <c r="J1943" i="16"/>
  <c r="J1945" i="16"/>
  <c r="J1946" i="16"/>
  <c r="J1947" i="16"/>
  <c r="J1948" i="16"/>
  <c r="J1949" i="16"/>
  <c r="J1950" i="16"/>
  <c r="J1951" i="16"/>
  <c r="J1952" i="16"/>
  <c r="J1953" i="16"/>
  <c r="J1954" i="16"/>
  <c r="J1955" i="16"/>
  <c r="J1956" i="16"/>
  <c r="J1957" i="16"/>
  <c r="J1958" i="16"/>
  <c r="J1959" i="16"/>
  <c r="J1960" i="16"/>
  <c r="J1961" i="16"/>
  <c r="J1962" i="16"/>
  <c r="J1963" i="16"/>
  <c r="J1964" i="16"/>
  <c r="J1965" i="16"/>
  <c r="J1966" i="16"/>
  <c r="J1967" i="16"/>
  <c r="J1968" i="16"/>
  <c r="J1969" i="16"/>
  <c r="J1970" i="16"/>
  <c r="J1971" i="16"/>
  <c r="J1972" i="16"/>
  <c r="J1973" i="16"/>
  <c r="J1974" i="16"/>
  <c r="J1975" i="16"/>
  <c r="J1976" i="16"/>
  <c r="J1977" i="16"/>
  <c r="J1978" i="16"/>
  <c r="J1979" i="16"/>
  <c r="J1980" i="16"/>
  <c r="J1981" i="16"/>
  <c r="J1982" i="16"/>
  <c r="J1983" i="16"/>
  <c r="J1984" i="16"/>
  <c r="J1985" i="16"/>
  <c r="J1986" i="16"/>
  <c r="J1987" i="16"/>
  <c r="J1988" i="16"/>
  <c r="J1989" i="16"/>
  <c r="J1990" i="16"/>
  <c r="J1991" i="16"/>
  <c r="J1992" i="16"/>
  <c r="J1993" i="16"/>
  <c r="J1994" i="16"/>
  <c r="J1995" i="16"/>
  <c r="J1996" i="16"/>
  <c r="J1997" i="16"/>
  <c r="J1998" i="16"/>
  <c r="J1999" i="16"/>
  <c r="J2000" i="16"/>
  <c r="J2001" i="16"/>
  <c r="J2002" i="16"/>
  <c r="J2003" i="16"/>
  <c r="J2004" i="16"/>
  <c r="J2005" i="16"/>
  <c r="J2006" i="16"/>
  <c r="J2007" i="16"/>
  <c r="J2008" i="16"/>
  <c r="J2009" i="16"/>
  <c r="J2010" i="16"/>
  <c r="J2011" i="16"/>
  <c r="J2012" i="16"/>
  <c r="J2013" i="16"/>
  <c r="J2014" i="16"/>
  <c r="J2015" i="16"/>
  <c r="J2016" i="16"/>
  <c r="J2017" i="16"/>
  <c r="J2018" i="16"/>
  <c r="J2019" i="16"/>
  <c r="J2020" i="16"/>
  <c r="J2021" i="16"/>
  <c r="J2022" i="16"/>
  <c r="J2023" i="16"/>
  <c r="J2024" i="16"/>
  <c r="J2025" i="16"/>
  <c r="J2026" i="16"/>
  <c r="J2027" i="16"/>
  <c r="J2028" i="16"/>
  <c r="J2029" i="16"/>
  <c r="J2030" i="16"/>
  <c r="J2031" i="16"/>
  <c r="J2032" i="16"/>
  <c r="J2033" i="16"/>
  <c r="J2034" i="16"/>
  <c r="J2035" i="16"/>
  <c r="J2036" i="16"/>
  <c r="J2037" i="16"/>
  <c r="J2038" i="16"/>
  <c r="J2039" i="16"/>
  <c r="J2040" i="16"/>
  <c r="J2041" i="16"/>
  <c r="J2042" i="16"/>
  <c r="J2043" i="16"/>
  <c r="J2044" i="16"/>
  <c r="J2045" i="16"/>
  <c r="J2046" i="16"/>
  <c r="J2047" i="16"/>
  <c r="J2048" i="16"/>
  <c r="J2049" i="16"/>
  <c r="J2050" i="16"/>
  <c r="J2051" i="16"/>
  <c r="J2052" i="16"/>
  <c r="J2053" i="16"/>
  <c r="J2054" i="16"/>
  <c r="J2055" i="16"/>
  <c r="J2056" i="16"/>
  <c r="J2057" i="16"/>
  <c r="J2058" i="16"/>
  <c r="J2059" i="16"/>
  <c r="J2060" i="16"/>
  <c r="J2061" i="16"/>
  <c r="J2062" i="16"/>
  <c r="J2063" i="16"/>
  <c r="J2064" i="16"/>
  <c r="J2065" i="16"/>
  <c r="J2066" i="16"/>
  <c r="J2067" i="16"/>
  <c r="J2068" i="16"/>
  <c r="J2069" i="16"/>
  <c r="J2070" i="16"/>
  <c r="J2071" i="16"/>
  <c r="J2072" i="16"/>
  <c r="J2073" i="16"/>
  <c r="J2074" i="16"/>
  <c r="J2075" i="16"/>
  <c r="J2076" i="16"/>
  <c r="J2077" i="16"/>
  <c r="J2078" i="16"/>
  <c r="J2079" i="16"/>
  <c r="J2080" i="16"/>
  <c r="J2081" i="16"/>
  <c r="J2082" i="16"/>
  <c r="J2083" i="16"/>
  <c r="J2084" i="16"/>
  <c r="J2085" i="16"/>
  <c r="J2086" i="16"/>
  <c r="J2087" i="16"/>
  <c r="J2088" i="16"/>
  <c r="J2089" i="16"/>
  <c r="J2090" i="16"/>
  <c r="J2091" i="16"/>
  <c r="J2092" i="16"/>
  <c r="J2093" i="16"/>
  <c r="J2094" i="16"/>
  <c r="J2095" i="16"/>
  <c r="J2096" i="16"/>
  <c r="J2097" i="16"/>
  <c r="J2098" i="16"/>
  <c r="J2099" i="16"/>
  <c r="J2100" i="16"/>
  <c r="J2101" i="16"/>
  <c r="J2102" i="16"/>
  <c r="J2103" i="16"/>
  <c r="J2104" i="16"/>
  <c r="J2105" i="16"/>
  <c r="J2106" i="16"/>
  <c r="J2107" i="16"/>
  <c r="J2108" i="16"/>
  <c r="J2109" i="16"/>
  <c r="J2110" i="16"/>
  <c r="J2111" i="16"/>
  <c r="J2112" i="16"/>
  <c r="J2113" i="16"/>
  <c r="J2114" i="16"/>
  <c r="J2115" i="16"/>
  <c r="J2116" i="16"/>
  <c r="J2117" i="16"/>
  <c r="J2118" i="16"/>
  <c r="J2119" i="16"/>
  <c r="J2120" i="16"/>
  <c r="J2121" i="16"/>
  <c r="J2122" i="16"/>
  <c r="J2123" i="16"/>
  <c r="J2124" i="16"/>
  <c r="J2125" i="16"/>
  <c r="J2126" i="16"/>
  <c r="J2127" i="16"/>
  <c r="J2128" i="16"/>
  <c r="J2129" i="16"/>
  <c r="J2130" i="16"/>
  <c r="J2131" i="16"/>
  <c r="J2132" i="16"/>
  <c r="J2133" i="16"/>
  <c r="J2134" i="16"/>
  <c r="J2135" i="16"/>
  <c r="J2136" i="16"/>
  <c r="J2137" i="16"/>
  <c r="J2138" i="16"/>
  <c r="J2139" i="16"/>
  <c r="J2140" i="16"/>
  <c r="J2141" i="16"/>
  <c r="J2142" i="16"/>
  <c r="J2143" i="16"/>
  <c r="J2144" i="16"/>
  <c r="J2145" i="16"/>
  <c r="J2146" i="16"/>
  <c r="J2147" i="16"/>
  <c r="J2148" i="16"/>
  <c r="J2149" i="16"/>
  <c r="J2150" i="16"/>
  <c r="J2151" i="16"/>
  <c r="J2152" i="16"/>
  <c r="J2153" i="16"/>
  <c r="J2154" i="16"/>
  <c r="J2155" i="16"/>
  <c r="J2156" i="16"/>
  <c r="J2157" i="16"/>
  <c r="J2158" i="16"/>
  <c r="J2159" i="16"/>
  <c r="J2160" i="16"/>
  <c r="J2161" i="16"/>
  <c r="J2162" i="16"/>
  <c r="J2163" i="16"/>
  <c r="J2164" i="16"/>
  <c r="J2165" i="16"/>
  <c r="J2166" i="16"/>
  <c r="J2167" i="16"/>
  <c r="J2168" i="16"/>
  <c r="J2169" i="16"/>
  <c r="J2170" i="16"/>
  <c r="J2171" i="16"/>
  <c r="J2172" i="16"/>
  <c r="J2173" i="16"/>
  <c r="J2174" i="16"/>
  <c r="J2175" i="16"/>
  <c r="J2176" i="16"/>
  <c r="J2177" i="16"/>
  <c r="J2178" i="16"/>
  <c r="J2179" i="16"/>
  <c r="J2180" i="16"/>
  <c r="J2181" i="16"/>
  <c r="J2182" i="16"/>
  <c r="J2183" i="16"/>
  <c r="J2184" i="16"/>
  <c r="J2185" i="16"/>
  <c r="J2186" i="16"/>
  <c r="J2187" i="16"/>
  <c r="J2188" i="16"/>
  <c r="J2189" i="16"/>
  <c r="J2190" i="16"/>
  <c r="J2191" i="16"/>
  <c r="J2192" i="16"/>
  <c r="J2193" i="16"/>
  <c r="J2194" i="16"/>
  <c r="J2195" i="16"/>
  <c r="J2196" i="16"/>
  <c r="J2197" i="16"/>
  <c r="J2198" i="16"/>
  <c r="J2199" i="16"/>
  <c r="J2200" i="16"/>
  <c r="J2201" i="16"/>
  <c r="J2202" i="16"/>
  <c r="J2203" i="16"/>
  <c r="J2204" i="16"/>
  <c r="J2205" i="16"/>
  <c r="J2206" i="16"/>
  <c r="J2207" i="16"/>
  <c r="J2208" i="16"/>
  <c r="J2209" i="16"/>
  <c r="J2210" i="16"/>
  <c r="J2211" i="16"/>
  <c r="J2212" i="16"/>
  <c r="J2213" i="16"/>
  <c r="J2214" i="16"/>
  <c r="J2215" i="16"/>
  <c r="J2216" i="16"/>
  <c r="J2217" i="16"/>
  <c r="J2218" i="16"/>
  <c r="J2219" i="16"/>
  <c r="J2220" i="16"/>
  <c r="J2221" i="16"/>
  <c r="J2222" i="16"/>
  <c r="J2223" i="16"/>
  <c r="J2224" i="16"/>
  <c r="J2225" i="16"/>
  <c r="J2226" i="16"/>
  <c r="J2227" i="16"/>
  <c r="J2228" i="16"/>
  <c r="J2229" i="16"/>
  <c r="J2230" i="16"/>
  <c r="J2231" i="16"/>
  <c r="J2232" i="16"/>
  <c r="J2233" i="16"/>
  <c r="J2234" i="16"/>
  <c r="J2235" i="16"/>
  <c r="J2236" i="16"/>
  <c r="J2237" i="16"/>
  <c r="J2238" i="16"/>
  <c r="J2239" i="16"/>
  <c r="J2240" i="16"/>
  <c r="J2241" i="16"/>
  <c r="J2242" i="16"/>
  <c r="J2243" i="16"/>
  <c r="J2244" i="16"/>
  <c r="J2245" i="16"/>
  <c r="J2246" i="16"/>
  <c r="J2247" i="16"/>
  <c r="J2248" i="16"/>
  <c r="J2249" i="16"/>
  <c r="J2250" i="16"/>
  <c r="J2251" i="16"/>
  <c r="J2252" i="16"/>
  <c r="J2253" i="16"/>
  <c r="J2254" i="16"/>
  <c r="J2255" i="16"/>
  <c r="J2256" i="16"/>
  <c r="J2257" i="16"/>
  <c r="J2258" i="16"/>
  <c r="J2259" i="16"/>
  <c r="J2260" i="16"/>
  <c r="J2261" i="16"/>
  <c r="J2262" i="16"/>
  <c r="J2263" i="16"/>
  <c r="J2264" i="16"/>
  <c r="J2265" i="16"/>
  <c r="J2266" i="16"/>
  <c r="J2267" i="16"/>
  <c r="J2268" i="16"/>
  <c r="J2269" i="16"/>
  <c r="J2270" i="16"/>
  <c r="J2271" i="16"/>
  <c r="J2272" i="16"/>
  <c r="J2273" i="16"/>
  <c r="J2274" i="16"/>
  <c r="J2275" i="16"/>
  <c r="J2276" i="16"/>
  <c r="J2277" i="16"/>
  <c r="J2278" i="16"/>
  <c r="J2279" i="16"/>
  <c r="J2280" i="16"/>
  <c r="J2281" i="16"/>
  <c r="J2282" i="16"/>
  <c r="J2283" i="16"/>
  <c r="J2284" i="16"/>
  <c r="J2285" i="16"/>
  <c r="J2286" i="16"/>
  <c r="J2287" i="16"/>
  <c r="J2288" i="16"/>
  <c r="J2289" i="16"/>
  <c r="J2290" i="16"/>
  <c r="J2291" i="16"/>
  <c r="J2292" i="16"/>
  <c r="J2293" i="16"/>
  <c r="J2294" i="16"/>
  <c r="J2295" i="16"/>
  <c r="J2296" i="16"/>
  <c r="J2297" i="16"/>
  <c r="J2298" i="16"/>
  <c r="J2299" i="16"/>
  <c r="J2300" i="16"/>
  <c r="J2301" i="16"/>
  <c r="J2302" i="16"/>
  <c r="J2303" i="16"/>
  <c r="J2304" i="16"/>
  <c r="J2305" i="16"/>
  <c r="J2306" i="16"/>
  <c r="J2307" i="16"/>
  <c r="J2308" i="16"/>
  <c r="J2309" i="16"/>
  <c r="J2310" i="16"/>
  <c r="J2311" i="16"/>
  <c r="J2312" i="16"/>
  <c r="J2313" i="16"/>
  <c r="J2314" i="16"/>
  <c r="J2315" i="16"/>
  <c r="J2316" i="16"/>
  <c r="J2317" i="16"/>
  <c r="J2318" i="16"/>
  <c r="J2319" i="16"/>
  <c r="J2320" i="16"/>
  <c r="J2321" i="16"/>
  <c r="J2322" i="16"/>
  <c r="J2323" i="16"/>
  <c r="J2324" i="16"/>
  <c r="J2325" i="16"/>
  <c r="J2326" i="16"/>
  <c r="J2327" i="16"/>
  <c r="J2328" i="16"/>
  <c r="J2329" i="16"/>
  <c r="J2330" i="16"/>
  <c r="J2331" i="16"/>
  <c r="J2332" i="16"/>
  <c r="J2333" i="16"/>
  <c r="J2334" i="16"/>
  <c r="J2335" i="16"/>
  <c r="J2336" i="16"/>
  <c r="J2337" i="16"/>
  <c r="J2338" i="16"/>
  <c r="J2339" i="16"/>
  <c r="J2340" i="16"/>
  <c r="J2341" i="16"/>
  <c r="J2342" i="16"/>
  <c r="J2343" i="16"/>
  <c r="J2344" i="16"/>
  <c r="J2345" i="16"/>
  <c r="J2346" i="16"/>
  <c r="J2347" i="16"/>
  <c r="J2348" i="16"/>
  <c r="J2349" i="16"/>
  <c r="J2350" i="16"/>
  <c r="J2351" i="16"/>
  <c r="J2352" i="16"/>
  <c r="J2353" i="16"/>
  <c r="J2354" i="16"/>
  <c r="J2355" i="16"/>
  <c r="J2356" i="16"/>
  <c r="J2357" i="16"/>
  <c r="J2358" i="16"/>
  <c r="J2359" i="16"/>
  <c r="J2360" i="16"/>
  <c r="J2361" i="16"/>
  <c r="J2362" i="16"/>
  <c r="J2363" i="16"/>
  <c r="J2364" i="16"/>
  <c r="J2365" i="16"/>
  <c r="J2366" i="16"/>
  <c r="J2367" i="16"/>
  <c r="J2368" i="16"/>
  <c r="J2369" i="16"/>
  <c r="J2370" i="16"/>
  <c r="J2371" i="16"/>
  <c r="J2372" i="16"/>
  <c r="J2373" i="16"/>
  <c r="J2374" i="16"/>
  <c r="J2375" i="16"/>
  <c r="J2376" i="16"/>
  <c r="J2377" i="16"/>
  <c r="J2378" i="16"/>
  <c r="J2379" i="16"/>
  <c r="J2380" i="16"/>
  <c r="J2381" i="16"/>
  <c r="J2382" i="16"/>
  <c r="J2383" i="16"/>
  <c r="J2384" i="16"/>
  <c r="J2385" i="16"/>
  <c r="J2386" i="16"/>
  <c r="J2387" i="16"/>
  <c r="J2388" i="16"/>
  <c r="J2389" i="16"/>
  <c r="J2390" i="16"/>
  <c r="J2391" i="16"/>
  <c r="J2392" i="16"/>
  <c r="J2393" i="16"/>
  <c r="J2394" i="16"/>
  <c r="J2395" i="16"/>
  <c r="J2396" i="16"/>
  <c r="J2397" i="16"/>
  <c r="J2398" i="16"/>
  <c r="J2399" i="16"/>
  <c r="J2400" i="16"/>
  <c r="J2401" i="16"/>
  <c r="J2402" i="16"/>
  <c r="J2403" i="16"/>
  <c r="J2404" i="16"/>
  <c r="J2405" i="16"/>
  <c r="J2406" i="16"/>
  <c r="J2407" i="16"/>
  <c r="J2408" i="16"/>
  <c r="J2409" i="16"/>
  <c r="J2410" i="16"/>
  <c r="J2411" i="16"/>
  <c r="J2412" i="16"/>
  <c r="J2413" i="16"/>
  <c r="J2414" i="16"/>
  <c r="J2415" i="16"/>
  <c r="J2416" i="16"/>
  <c r="J2417" i="16"/>
  <c r="J2418" i="16"/>
  <c r="J2419" i="16"/>
  <c r="J2420" i="16"/>
  <c r="J2421" i="16"/>
  <c r="J2422" i="16"/>
  <c r="J2423" i="16"/>
  <c r="J2424" i="16"/>
  <c r="J2425" i="16"/>
  <c r="J2426" i="16"/>
  <c r="J2427" i="16"/>
  <c r="J2428" i="16"/>
  <c r="J2429" i="16"/>
  <c r="J2430" i="16"/>
  <c r="J2431" i="16"/>
  <c r="J2432" i="16"/>
  <c r="J2433" i="16"/>
  <c r="J2434" i="16"/>
  <c r="J2435" i="16"/>
  <c r="J2436" i="16"/>
  <c r="J2437" i="16"/>
  <c r="J2438" i="16"/>
  <c r="J2439" i="16"/>
  <c r="J2440" i="16"/>
  <c r="J2441" i="16"/>
  <c r="J2442" i="16"/>
  <c r="J2443" i="16"/>
  <c r="J2444" i="16"/>
  <c r="J2445" i="16"/>
  <c r="J2446" i="16"/>
  <c r="J2447" i="16"/>
  <c r="J2448" i="16"/>
  <c r="J2449" i="16"/>
  <c r="J2450" i="16"/>
  <c r="J2451" i="16"/>
  <c r="J2452" i="16"/>
  <c r="J2453" i="16"/>
  <c r="J2454" i="16"/>
  <c r="J2455" i="16"/>
  <c r="J2456" i="16"/>
  <c r="J2457" i="16"/>
  <c r="J2458" i="16"/>
  <c r="J2459" i="16"/>
  <c r="J2460" i="16"/>
  <c r="J2461" i="16"/>
  <c r="J2462" i="16"/>
  <c r="J2463" i="16"/>
  <c r="J2464" i="16"/>
  <c r="J2465" i="16"/>
  <c r="J2466" i="16"/>
  <c r="J2467" i="16"/>
  <c r="J2468" i="16"/>
  <c r="J2469" i="16"/>
  <c r="J2470" i="16"/>
  <c r="J2471" i="16"/>
  <c r="J2472" i="16"/>
  <c r="J2473" i="16"/>
  <c r="J2474" i="16"/>
  <c r="J2475" i="16"/>
  <c r="J2476" i="16"/>
  <c r="J2477" i="16"/>
  <c r="J2478" i="16"/>
  <c r="J2479" i="16"/>
  <c r="J2480" i="16"/>
  <c r="J2481" i="16"/>
  <c r="J2482" i="16"/>
  <c r="J2483" i="16"/>
  <c r="J2484" i="16"/>
  <c r="J2485" i="16"/>
  <c r="J2486" i="16"/>
  <c r="J2487" i="16"/>
  <c r="J2488" i="16"/>
  <c r="J2489" i="16"/>
  <c r="J2490" i="16"/>
  <c r="J2491" i="16"/>
  <c r="J2492" i="16"/>
  <c r="J2493" i="16"/>
  <c r="J2494" i="16"/>
  <c r="J2495" i="16"/>
  <c r="J2496" i="16"/>
  <c r="J2497" i="16"/>
  <c r="J2498" i="16"/>
  <c r="J2499" i="16"/>
  <c r="J2500" i="16"/>
  <c r="J2501" i="16"/>
  <c r="J2502" i="16"/>
  <c r="J2503" i="16"/>
  <c r="J2504" i="16"/>
  <c r="J2505" i="16"/>
  <c r="J2506" i="16"/>
  <c r="J2507" i="16"/>
  <c r="J2508" i="16"/>
  <c r="J2509" i="16"/>
  <c r="J2510" i="16"/>
  <c r="J2511" i="16"/>
  <c r="J2512" i="16"/>
  <c r="J2513" i="16"/>
  <c r="J2514" i="16"/>
  <c r="J2515" i="16"/>
  <c r="J2516" i="16"/>
  <c r="J2517" i="16"/>
  <c r="J2518" i="16"/>
  <c r="J2519" i="16"/>
  <c r="J2520" i="16"/>
  <c r="J2521" i="16"/>
  <c r="J2522" i="16"/>
  <c r="J2523" i="16"/>
  <c r="J2524" i="16"/>
  <c r="J2525" i="16"/>
  <c r="J2526" i="16"/>
  <c r="J2527" i="16"/>
  <c r="J2528" i="16"/>
  <c r="J2529" i="16"/>
  <c r="J2530" i="16"/>
  <c r="J2531" i="16"/>
  <c r="J2532" i="16"/>
  <c r="J2533" i="16"/>
  <c r="J2534" i="16"/>
  <c r="J2535" i="16"/>
  <c r="J2536" i="16"/>
  <c r="J2537" i="16"/>
  <c r="J2538" i="16"/>
  <c r="J2539" i="16"/>
  <c r="J2540" i="16"/>
  <c r="J2541" i="16"/>
  <c r="J2542" i="16"/>
  <c r="J2543" i="16"/>
  <c r="J2544" i="16"/>
  <c r="J2545" i="16"/>
  <c r="J2546" i="16"/>
  <c r="J2547" i="16"/>
  <c r="J2548" i="16"/>
  <c r="J2549" i="16"/>
  <c r="J2550" i="16"/>
  <c r="J2551" i="16"/>
  <c r="J2552" i="16"/>
  <c r="J2553" i="16"/>
  <c r="J2554" i="16"/>
  <c r="J2555" i="16"/>
  <c r="J2556" i="16"/>
  <c r="J2557" i="16"/>
  <c r="J2558" i="16"/>
  <c r="K2" i="16"/>
  <c r="K3" i="16"/>
  <c r="K4" i="16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2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D18" i="5"/>
  <c r="C645" i="8" l="1"/>
  <c r="C230" i="8"/>
  <c r="C197" i="8"/>
  <c r="C62" i="8"/>
  <c r="B62" i="8" s="1"/>
  <c r="C1349" i="8"/>
  <c r="C1333" i="8"/>
  <c r="C1200" i="8"/>
  <c r="C1185" i="8"/>
  <c r="C1186" i="8" s="1"/>
  <c r="B1186" i="8" s="1"/>
  <c r="C1152" i="8"/>
  <c r="B1152" i="8" s="1"/>
  <c r="C1140" i="8"/>
  <c r="C1119" i="8"/>
  <c r="C1092" i="8"/>
  <c r="B1092" i="8" s="1"/>
  <c r="C912" i="8"/>
  <c r="B912" i="8" s="1"/>
  <c r="C891" i="8"/>
  <c r="C876" i="8"/>
  <c r="B876" i="8" s="1"/>
  <c r="C867" i="8"/>
  <c r="B867" i="8" s="1"/>
  <c r="C765" i="8"/>
  <c r="C636" i="8"/>
  <c r="C615" i="8"/>
  <c r="C593" i="8"/>
  <c r="C326" i="8"/>
  <c r="C254" i="8"/>
  <c r="C218" i="8"/>
  <c r="C188" i="8"/>
  <c r="C53" i="8"/>
  <c r="C1051" i="8"/>
  <c r="C943" i="8"/>
  <c r="C1521" i="8"/>
  <c r="C1345" i="8"/>
  <c r="C1302" i="8"/>
  <c r="B1302" i="8" s="1"/>
  <c r="C1194" i="8"/>
  <c r="B1194" i="8" s="1"/>
  <c r="C1086" i="8"/>
  <c r="B1086" i="8" s="1"/>
  <c r="C1031" i="8"/>
  <c r="C957" i="8"/>
  <c r="C864" i="8"/>
  <c r="B864" i="8" s="1"/>
  <c r="C762" i="8"/>
  <c r="C719" i="8"/>
  <c r="C720" i="8" s="1"/>
  <c r="C704" i="8"/>
  <c r="C632" i="8"/>
  <c r="C410" i="8"/>
  <c r="C320" i="8"/>
  <c r="C242" i="8"/>
  <c r="C206" i="8"/>
  <c r="C1558" i="8"/>
  <c r="B1558" i="8" s="1"/>
  <c r="C1534" i="8"/>
  <c r="B1534" i="8" s="1"/>
  <c r="C1482" i="8"/>
  <c r="B1482" i="8" s="1"/>
  <c r="C1473" i="8"/>
  <c r="B1473" i="8" s="1"/>
  <c r="C1463" i="8"/>
  <c r="B1463" i="8" s="1"/>
  <c r="C1431" i="8"/>
  <c r="C1369" i="8"/>
  <c r="C1370" i="8" s="1"/>
  <c r="B1370" i="8" s="1"/>
  <c r="C1353" i="8"/>
  <c r="C1279" i="8"/>
  <c r="C1205" i="8"/>
  <c r="C1163" i="8"/>
  <c r="C1146" i="8"/>
  <c r="B1146" i="8" s="1"/>
  <c r="C1099" i="8"/>
  <c r="C1100" i="8" s="1"/>
  <c r="C1068" i="8"/>
  <c r="B1068" i="8" s="1"/>
  <c r="C1045" i="8"/>
  <c r="C1007" i="8"/>
  <c r="C987" i="8"/>
  <c r="C939" i="8"/>
  <c r="C921" i="8"/>
  <c r="C909" i="8"/>
  <c r="B909" i="8" s="1"/>
  <c r="C882" i="8"/>
  <c r="B882" i="8" s="1"/>
  <c r="C871" i="8"/>
  <c r="C845" i="8"/>
  <c r="B845" i="8" s="1"/>
  <c r="C833" i="8"/>
  <c r="C815" i="8"/>
  <c r="C798" i="8"/>
  <c r="C735" i="8"/>
  <c r="C602" i="8"/>
  <c r="B602" i="8" s="1"/>
  <c r="C590" i="8"/>
  <c r="C473" i="8"/>
  <c r="B473" i="8" s="1"/>
  <c r="C449" i="8"/>
  <c r="C372" i="8"/>
  <c r="C347" i="8"/>
  <c r="C266" i="8"/>
  <c r="C131" i="8"/>
  <c r="B1527" i="8"/>
  <c r="C1528" i="8"/>
  <c r="B1441" i="8"/>
  <c r="C1442" i="8"/>
  <c r="B1369" i="8"/>
  <c r="B1345" i="8"/>
  <c r="C1346" i="8"/>
  <c r="B1333" i="8"/>
  <c r="C1334" i="8"/>
  <c r="B1334" i="8" s="1"/>
  <c r="B1179" i="8"/>
  <c r="C1180" i="8"/>
  <c r="B1111" i="8"/>
  <c r="C1112" i="8"/>
  <c r="B1099" i="8"/>
  <c r="B1081" i="8"/>
  <c r="C1082" i="8"/>
  <c r="C1052" i="8"/>
  <c r="B1051" i="8"/>
  <c r="B943" i="8"/>
  <c r="C944" i="8"/>
  <c r="B944" i="8" s="1"/>
  <c r="B933" i="8"/>
  <c r="C934" i="8"/>
  <c r="B915" i="8"/>
  <c r="C916" i="8"/>
  <c r="B871" i="8"/>
  <c r="C872" i="8"/>
  <c r="B853" i="8"/>
  <c r="C854" i="8"/>
  <c r="B792" i="8"/>
  <c r="C793" i="8"/>
  <c r="B762" i="8"/>
  <c r="C763" i="8"/>
  <c r="B763" i="8" s="1"/>
  <c r="B747" i="8"/>
  <c r="C748" i="8"/>
  <c r="B719" i="8"/>
  <c r="B632" i="8"/>
  <c r="C633" i="8"/>
  <c r="B557" i="8"/>
  <c r="C558" i="8"/>
  <c r="B474" i="8"/>
  <c r="C475" i="8"/>
  <c r="B452" i="8"/>
  <c r="C453" i="8"/>
  <c r="B444" i="8"/>
  <c r="C445" i="8"/>
  <c r="B445" i="8" s="1"/>
  <c r="B260" i="8"/>
  <c r="C261" i="8"/>
  <c r="B230" i="8"/>
  <c r="C231" i="8"/>
  <c r="B98" i="8"/>
  <c r="C99" i="8"/>
  <c r="C1593" i="8"/>
  <c r="C1477" i="8"/>
  <c r="B1447" i="8"/>
  <c r="C1448" i="8"/>
  <c r="B1425" i="8"/>
  <c r="C1426" i="8"/>
  <c r="B1401" i="8"/>
  <c r="C1402" i="8"/>
  <c r="C1392" i="8"/>
  <c r="B1377" i="8"/>
  <c r="C1378" i="8"/>
  <c r="C1303" i="8"/>
  <c r="B1237" i="8"/>
  <c r="C1238" i="8"/>
  <c r="C1225" i="8"/>
  <c r="C1214" i="8"/>
  <c r="B1213" i="8"/>
  <c r="C1195" i="8"/>
  <c r="C1177" i="8"/>
  <c r="B1149" i="8"/>
  <c r="C1150" i="8"/>
  <c r="B1150" i="8" s="1"/>
  <c r="B1119" i="8"/>
  <c r="C1120" i="8"/>
  <c r="B1069" i="8"/>
  <c r="C1070" i="8"/>
  <c r="B1017" i="8"/>
  <c r="C1018" i="8"/>
  <c r="B999" i="8"/>
  <c r="C1000" i="8"/>
  <c r="B969" i="8"/>
  <c r="C970" i="8"/>
  <c r="C961" i="8"/>
  <c r="C913" i="8"/>
  <c r="C877" i="8"/>
  <c r="B823" i="8"/>
  <c r="C824" i="8"/>
  <c r="B789" i="8"/>
  <c r="C790" i="8"/>
  <c r="B684" i="8"/>
  <c r="C685" i="8"/>
  <c r="B522" i="8"/>
  <c r="C523" i="8"/>
  <c r="C1586" i="8"/>
  <c r="C1550" i="8"/>
  <c r="B1509" i="8"/>
  <c r="C1510" i="8"/>
  <c r="C1501" i="8"/>
  <c r="C1483" i="8"/>
  <c r="C1446" i="8"/>
  <c r="B1446" i="8" s="1"/>
  <c r="B1431" i="8"/>
  <c r="C1432" i="8"/>
  <c r="C1399" i="8"/>
  <c r="B1357" i="8"/>
  <c r="C1358" i="8"/>
  <c r="B1341" i="8"/>
  <c r="C1342" i="8"/>
  <c r="C1291" i="8"/>
  <c r="B1269" i="8"/>
  <c r="C1270" i="8"/>
  <c r="B1185" i="8"/>
  <c r="B1165" i="8"/>
  <c r="C1166" i="8"/>
  <c r="C1147" i="8"/>
  <c r="B1129" i="8"/>
  <c r="C1130" i="8"/>
  <c r="B987" i="8"/>
  <c r="C988" i="8"/>
  <c r="B979" i="8"/>
  <c r="C980" i="8"/>
  <c r="C967" i="8"/>
  <c r="C949" i="8"/>
  <c r="B939" i="8"/>
  <c r="C940" i="8"/>
  <c r="B921" i="8"/>
  <c r="C922" i="8"/>
  <c r="C883" i="8"/>
  <c r="B849" i="8"/>
  <c r="C850" i="8"/>
  <c r="B841" i="8"/>
  <c r="C842" i="8"/>
  <c r="B801" i="8"/>
  <c r="C802" i="8"/>
  <c r="B786" i="8"/>
  <c r="C787" i="8"/>
  <c r="B624" i="8"/>
  <c r="C625" i="8"/>
  <c r="B510" i="8"/>
  <c r="C511" i="8"/>
  <c r="B1453" i="8"/>
  <c r="C1454" i="8"/>
  <c r="B1437" i="8"/>
  <c r="C1438" i="8"/>
  <c r="B1407" i="8"/>
  <c r="C1408" i="8"/>
  <c r="B1365" i="8"/>
  <c r="C1366" i="8"/>
  <c r="B1279" i="8"/>
  <c r="C1280" i="8"/>
  <c r="B1209" i="8"/>
  <c r="C1210" i="8"/>
  <c r="B1173" i="8"/>
  <c r="C1174" i="8"/>
  <c r="B1045" i="8"/>
  <c r="C1046" i="8"/>
  <c r="B1033" i="8"/>
  <c r="C1034" i="8"/>
  <c r="B957" i="8"/>
  <c r="C958" i="8"/>
  <c r="B891" i="8"/>
  <c r="C892" i="8"/>
  <c r="C868" i="8"/>
  <c r="B868" i="8" s="1"/>
  <c r="B859" i="8"/>
  <c r="C860" i="8"/>
  <c r="B847" i="8"/>
  <c r="C848" i="8"/>
  <c r="B848" i="8" s="1"/>
  <c r="B811" i="8"/>
  <c r="C812" i="8"/>
  <c r="B798" i="8"/>
  <c r="C799" i="8"/>
  <c r="B769" i="8"/>
  <c r="C770" i="8"/>
  <c r="B755" i="8"/>
  <c r="C756" i="8"/>
  <c r="B675" i="8"/>
  <c r="C676" i="8"/>
  <c r="B566" i="8"/>
  <c r="C567" i="8"/>
  <c r="B546" i="8"/>
  <c r="C547" i="8"/>
  <c r="B498" i="8"/>
  <c r="C499" i="8"/>
  <c r="B383" i="8"/>
  <c r="C384" i="8"/>
  <c r="B188" i="8"/>
  <c r="C189" i="8"/>
  <c r="C1602" i="8"/>
  <c r="C1590" i="8"/>
  <c r="B1467" i="8"/>
  <c r="C1468" i="8"/>
  <c r="C1422" i="8"/>
  <c r="C1363" i="8"/>
  <c r="B1299" i="8"/>
  <c r="C1300" i="8"/>
  <c r="B1300" i="8" s="1"/>
  <c r="C1219" i="8"/>
  <c r="C1171" i="8"/>
  <c r="C1153" i="8"/>
  <c r="C1093" i="8"/>
  <c r="B1075" i="8"/>
  <c r="C1076" i="8"/>
  <c r="B1065" i="8"/>
  <c r="C1066" i="8"/>
  <c r="B1066" i="8" s="1"/>
  <c r="C985" i="8"/>
  <c r="B985" i="8" s="1"/>
  <c r="B927" i="8"/>
  <c r="C928" i="8"/>
  <c r="C901" i="8"/>
  <c r="B837" i="8"/>
  <c r="C838" i="8"/>
  <c r="C829" i="8"/>
  <c r="B817" i="8"/>
  <c r="C818" i="8"/>
  <c r="B765" i="8"/>
  <c r="C766" i="8"/>
  <c r="B751" i="8"/>
  <c r="C752" i="8"/>
  <c r="B726" i="8"/>
  <c r="C727" i="8"/>
  <c r="B709" i="8"/>
  <c r="C710" i="8"/>
  <c r="B615" i="8"/>
  <c r="C616" i="8"/>
  <c r="B326" i="8"/>
  <c r="C327" i="8"/>
  <c r="B305" i="8"/>
  <c r="C306" i="8"/>
  <c r="C1625" i="8"/>
  <c r="C1619" i="8"/>
  <c r="C1613" i="8"/>
  <c r="C1607" i="8"/>
  <c r="C1565" i="8"/>
  <c r="C1559" i="8"/>
  <c r="C1541" i="8"/>
  <c r="C1535" i="8"/>
  <c r="B1521" i="8"/>
  <c r="C1522" i="8"/>
  <c r="C1513" i="8"/>
  <c r="C1506" i="8"/>
  <c r="C1459" i="8"/>
  <c r="B1395" i="8"/>
  <c r="C1396" i="8"/>
  <c r="B1387" i="8"/>
  <c r="C1388" i="8"/>
  <c r="B1371" i="8"/>
  <c r="C1372" i="8"/>
  <c r="B1353" i="8"/>
  <c r="C1354" i="8"/>
  <c r="B1335" i="8"/>
  <c r="C1336" i="8"/>
  <c r="C1327" i="8"/>
  <c r="B1317" i="8"/>
  <c r="C1318" i="8"/>
  <c r="B1297" i="8"/>
  <c r="C1298" i="8"/>
  <c r="B1298" i="8" s="1"/>
  <c r="C1285" i="8"/>
  <c r="B1263" i="8"/>
  <c r="C1264" i="8"/>
  <c r="B1251" i="8"/>
  <c r="C1252" i="8"/>
  <c r="C1189" i="8"/>
  <c r="B1135" i="8"/>
  <c r="C1136" i="8"/>
  <c r="B1123" i="8"/>
  <c r="C1124" i="8"/>
  <c r="B1041" i="8"/>
  <c r="C1042" i="8"/>
  <c r="B1011" i="8"/>
  <c r="C1012" i="8"/>
  <c r="B993" i="8"/>
  <c r="C994" i="8"/>
  <c r="B973" i="8"/>
  <c r="C974" i="8"/>
  <c r="B945" i="8"/>
  <c r="C946" i="8"/>
  <c r="B946" i="8" s="1"/>
  <c r="C889" i="8"/>
  <c r="B889" i="8" s="1"/>
  <c r="C865" i="8"/>
  <c r="B865" i="8" s="1"/>
  <c r="B780" i="8"/>
  <c r="C781" i="8"/>
  <c r="B693" i="8"/>
  <c r="C694" i="8"/>
  <c r="B372" i="8"/>
  <c r="C373" i="8"/>
  <c r="B735" i="8"/>
  <c r="C736" i="8"/>
  <c r="B657" i="8"/>
  <c r="C658" i="8"/>
  <c r="B582" i="8"/>
  <c r="C583" i="8"/>
  <c r="B554" i="8"/>
  <c r="C555" i="8"/>
  <c r="B462" i="8"/>
  <c r="C463" i="8"/>
  <c r="B392" i="8"/>
  <c r="C393" i="8"/>
  <c r="B336" i="8"/>
  <c r="C337" i="8"/>
  <c r="B242" i="8"/>
  <c r="C243" i="8"/>
  <c r="B155" i="8"/>
  <c r="C156" i="8"/>
  <c r="B77" i="8"/>
  <c r="C78" i="8"/>
  <c r="C714" i="8"/>
  <c r="C699" i="8"/>
  <c r="C681" i="8"/>
  <c r="C663" i="8"/>
  <c r="C603" i="8"/>
  <c r="B482" i="8"/>
  <c r="C483" i="8"/>
  <c r="B410" i="8"/>
  <c r="C411" i="8"/>
  <c r="C402" i="8"/>
  <c r="B356" i="8"/>
  <c r="C357" i="8"/>
  <c r="B254" i="8"/>
  <c r="C255" i="8"/>
  <c r="B197" i="8"/>
  <c r="C198" i="8"/>
  <c r="B71" i="8"/>
  <c r="C72" i="8"/>
  <c r="B645" i="8"/>
  <c r="C646" i="8"/>
  <c r="B636" i="8"/>
  <c r="C637" i="8"/>
  <c r="B570" i="8"/>
  <c r="C571" i="8"/>
  <c r="B366" i="8"/>
  <c r="C367" i="8"/>
  <c r="B266" i="8"/>
  <c r="C267" i="8"/>
  <c r="B167" i="8"/>
  <c r="C168" i="8"/>
  <c r="B107" i="8"/>
  <c r="C108" i="8"/>
  <c r="B89" i="8"/>
  <c r="C90" i="8"/>
  <c r="B53" i="8"/>
  <c r="C54" i="8"/>
  <c r="B35" i="8"/>
  <c r="C36" i="8"/>
  <c r="C806" i="8"/>
  <c r="C775" i="8"/>
  <c r="C669" i="8"/>
  <c r="B609" i="8"/>
  <c r="C610" i="8"/>
  <c r="B560" i="8"/>
  <c r="C561" i="8"/>
  <c r="C468" i="8"/>
  <c r="C426" i="8"/>
  <c r="B320" i="8"/>
  <c r="C321" i="8"/>
  <c r="B278" i="8"/>
  <c r="C279" i="8"/>
  <c r="B206" i="8"/>
  <c r="C207" i="8"/>
  <c r="B651" i="8"/>
  <c r="C652" i="8"/>
  <c r="B536" i="8"/>
  <c r="C537" i="8"/>
  <c r="B434" i="8"/>
  <c r="C435" i="8"/>
  <c r="B218" i="8"/>
  <c r="C219" i="8"/>
  <c r="B176" i="8"/>
  <c r="C177" i="8"/>
  <c r="B143" i="8"/>
  <c r="C144" i="8"/>
  <c r="B131" i="8"/>
  <c r="C132" i="8"/>
  <c r="B47" i="8"/>
  <c r="C48" i="8"/>
  <c r="C550" i="8"/>
  <c r="C430" i="8"/>
  <c r="C406" i="8"/>
  <c r="C286" i="8"/>
  <c r="C22" i="8"/>
  <c r="C16" i="8"/>
  <c r="C81" i="8"/>
  <c r="C63" i="8"/>
  <c r="C45" i="8"/>
  <c r="C39" i="8"/>
  <c r="C3" i="8"/>
  <c r="C313" i="8"/>
  <c r="C121" i="8"/>
  <c r="C67" i="8"/>
  <c r="C31" i="8"/>
  <c r="FP18" i="5"/>
  <c r="D50" i="5"/>
  <c r="D43" i="5"/>
  <c r="D44" i="5"/>
  <c r="D45" i="5"/>
  <c r="D46" i="5"/>
  <c r="D47" i="5"/>
  <c r="D48" i="5"/>
  <c r="D49" i="5"/>
  <c r="K51" i="2"/>
  <c r="K52" i="2"/>
  <c r="E43" i="2"/>
  <c r="E44" i="2"/>
  <c r="E45" i="2"/>
  <c r="E46" i="2"/>
  <c r="E47" i="2"/>
  <c r="E48" i="2"/>
  <c r="E49" i="2"/>
  <c r="E50" i="2"/>
  <c r="E51" i="2"/>
  <c r="E52" i="2"/>
  <c r="E17" i="21"/>
  <c r="C37" i="21"/>
  <c r="C38" i="21" s="1"/>
  <c r="C39" i="21" s="1"/>
  <c r="C40" i="21" s="1"/>
  <c r="C41" i="21" s="1"/>
  <c r="C42" i="21" s="1"/>
  <c r="C43" i="21" s="1"/>
  <c r="C44" i="21" s="1"/>
  <c r="C45" i="21" s="1"/>
  <c r="C46" i="21" s="1"/>
  <c r="C47" i="21" s="1"/>
  <c r="C48" i="21" s="1"/>
  <c r="C49" i="21" s="1"/>
  <c r="C50" i="21" s="1"/>
  <c r="C51" i="21" s="1"/>
  <c r="C52" i="21" s="1"/>
  <c r="C53" i="21" s="1"/>
  <c r="C54" i="21" s="1"/>
  <c r="C55" i="21" s="1"/>
  <c r="C56" i="21" s="1"/>
  <c r="C57" i="21" s="1"/>
  <c r="C58" i="21" s="1"/>
  <c r="C59" i="21" s="1"/>
  <c r="C60" i="21" s="1"/>
  <c r="C61" i="21" s="1"/>
  <c r="C62" i="21" s="1"/>
  <c r="C63" i="21" s="1"/>
  <c r="C64" i="21" s="1"/>
  <c r="C65" i="21" s="1"/>
  <c r="C66" i="21" s="1"/>
  <c r="C67" i="21" s="1"/>
  <c r="C68" i="21" s="1"/>
  <c r="C69" i="21" s="1"/>
  <c r="C70" i="21" s="1"/>
  <c r="C71" i="21" s="1"/>
  <c r="C72" i="21" s="1"/>
  <c r="C73" i="21" s="1"/>
  <c r="C74" i="21" s="1"/>
  <c r="C75" i="21" s="1"/>
  <c r="C76" i="21" s="1"/>
  <c r="C77" i="21" s="1"/>
  <c r="C78" i="21" s="1"/>
  <c r="C79" i="21" s="1"/>
  <c r="C80" i="21" s="1"/>
  <c r="C81" i="21" s="1"/>
  <c r="C82" i="21" s="1"/>
  <c r="C83" i="21" s="1"/>
  <c r="C84" i="21" s="1"/>
  <c r="C85" i="21" s="1"/>
  <c r="C86" i="21" s="1"/>
  <c r="C87" i="21" s="1"/>
  <c r="C88" i="21" s="1"/>
  <c r="C89" i="21" s="1"/>
  <c r="C90" i="21" s="1"/>
  <c r="C91" i="21" s="1"/>
  <c r="C92" i="21" s="1"/>
  <c r="C93" i="21" s="1"/>
  <c r="C94" i="21" s="1"/>
  <c r="C95" i="21" s="1"/>
  <c r="C96" i="21" s="1"/>
  <c r="C97" i="21" s="1"/>
  <c r="C98" i="21" s="1"/>
  <c r="C99" i="21" s="1"/>
  <c r="C100" i="21" s="1"/>
  <c r="C101" i="21" s="1"/>
  <c r="C102" i="21" s="1"/>
  <c r="C103" i="21" s="1"/>
  <c r="C104" i="21" s="1"/>
  <c r="C105" i="21" s="1"/>
  <c r="C106" i="21" s="1"/>
  <c r="C107" i="21" s="1"/>
  <c r="C108" i="21" s="1"/>
  <c r="C109" i="21" s="1"/>
  <c r="C110" i="21" s="1"/>
  <c r="C111" i="21" s="1"/>
  <c r="C112" i="21" s="1"/>
  <c r="C113" i="21" s="1"/>
  <c r="C114" i="21" s="1"/>
  <c r="C115" i="21" s="1"/>
  <c r="C116" i="21" s="1"/>
  <c r="C117" i="21" s="1"/>
  <c r="C118" i="21" s="1"/>
  <c r="C119" i="21" s="1"/>
  <c r="C120" i="21" s="1"/>
  <c r="C121" i="21" s="1"/>
  <c r="C122" i="21" s="1"/>
  <c r="C123" i="21" s="1"/>
  <c r="C124" i="21" s="1"/>
  <c r="C125" i="21" s="1"/>
  <c r="C126" i="21" s="1"/>
  <c r="C127" i="21" s="1"/>
  <c r="C128" i="21" s="1"/>
  <c r="C129" i="21" s="1"/>
  <c r="C130" i="21" s="1"/>
  <c r="C131" i="21" s="1"/>
  <c r="O26" i="21"/>
  <c r="O21" i="21"/>
  <c r="O19" i="21"/>
  <c r="O18" i="21" s="1"/>
  <c r="Q16" i="21"/>
  <c r="Q15" i="21"/>
  <c r="O15" i="21"/>
  <c r="Q14" i="21"/>
  <c r="O12" i="21"/>
  <c r="C1087" i="8" l="1"/>
  <c r="B590" i="8"/>
  <c r="C591" i="8"/>
  <c r="B591" i="8" s="1"/>
  <c r="B1163" i="8"/>
  <c r="C1164" i="8"/>
  <c r="B1164" i="8" s="1"/>
  <c r="B1007" i="8"/>
  <c r="C1008" i="8"/>
  <c r="B1205" i="8"/>
  <c r="C1206" i="8"/>
  <c r="B1349" i="8"/>
  <c r="C1350" i="8"/>
  <c r="B347" i="8"/>
  <c r="C348" i="8"/>
  <c r="B1140" i="8"/>
  <c r="C1141" i="8"/>
  <c r="B1031" i="8"/>
  <c r="C1032" i="8"/>
  <c r="B1032" i="8" s="1"/>
  <c r="B449" i="8"/>
  <c r="C450" i="8"/>
  <c r="B815" i="8"/>
  <c r="C816" i="8"/>
  <c r="B816" i="8" s="1"/>
  <c r="B704" i="8"/>
  <c r="C705" i="8"/>
  <c r="B593" i="8"/>
  <c r="C594" i="8"/>
  <c r="B833" i="8"/>
  <c r="C834" i="8"/>
  <c r="B1200" i="8"/>
  <c r="C1201" i="8"/>
  <c r="B286" i="8"/>
  <c r="C287" i="8"/>
  <c r="B219" i="8"/>
  <c r="C220" i="8"/>
  <c r="B610" i="8"/>
  <c r="C611" i="8"/>
  <c r="B603" i="8"/>
  <c r="C604" i="8"/>
  <c r="B994" i="8"/>
  <c r="C995" i="8"/>
  <c r="B1318" i="8"/>
  <c r="C1319" i="8"/>
  <c r="B1535" i="8"/>
  <c r="C1536" i="8"/>
  <c r="B1619" i="8"/>
  <c r="C1620" i="8"/>
  <c r="B616" i="8"/>
  <c r="C617" i="8"/>
  <c r="B752" i="8"/>
  <c r="C753" i="8"/>
  <c r="B829" i="8"/>
  <c r="C830" i="8"/>
  <c r="B1153" i="8"/>
  <c r="C1154" i="8"/>
  <c r="B1363" i="8"/>
  <c r="C1364" i="8"/>
  <c r="B1364" i="8" s="1"/>
  <c r="B189" i="8"/>
  <c r="C190" i="8"/>
  <c r="B756" i="8"/>
  <c r="C757" i="8"/>
  <c r="B812" i="8"/>
  <c r="C813" i="8"/>
  <c r="B813" i="8" s="1"/>
  <c r="B1034" i="8"/>
  <c r="C1035" i="8"/>
  <c r="B1366" i="8"/>
  <c r="C1367" i="8"/>
  <c r="B1367" i="8" s="1"/>
  <c r="B1454" i="8"/>
  <c r="C1455" i="8"/>
  <c r="B787" i="8"/>
  <c r="C788" i="8"/>
  <c r="B788" i="8" s="1"/>
  <c r="B850" i="8"/>
  <c r="C851" i="8"/>
  <c r="B1342" i="8"/>
  <c r="C1343" i="8"/>
  <c r="B1343" i="8" s="1"/>
  <c r="B1550" i="8"/>
  <c r="C1551" i="8"/>
  <c r="B790" i="8"/>
  <c r="C791" i="8"/>
  <c r="B791" i="8" s="1"/>
  <c r="B961" i="8"/>
  <c r="C962" i="8"/>
  <c r="B1238" i="8"/>
  <c r="C1239" i="8"/>
  <c r="B1392" i="8"/>
  <c r="C1393" i="8"/>
  <c r="B31" i="8"/>
  <c r="C32" i="8"/>
  <c r="B45" i="8"/>
  <c r="C46" i="8"/>
  <c r="B46" i="8" s="1"/>
  <c r="B406" i="8"/>
  <c r="C407" i="8"/>
  <c r="B54" i="8"/>
  <c r="C55" i="8"/>
  <c r="B168" i="8"/>
  <c r="C169" i="8"/>
  <c r="B571" i="8"/>
  <c r="C572" i="8"/>
  <c r="B646" i="8"/>
  <c r="C647" i="8"/>
  <c r="B198" i="8"/>
  <c r="C199" i="8"/>
  <c r="B402" i="8"/>
  <c r="C403" i="8"/>
  <c r="B663" i="8"/>
  <c r="C664" i="8"/>
  <c r="B156" i="8"/>
  <c r="C157" i="8"/>
  <c r="B393" i="8"/>
  <c r="C394" i="8"/>
  <c r="B555" i="8"/>
  <c r="C556" i="8"/>
  <c r="B556" i="8" s="1"/>
  <c r="B736" i="8"/>
  <c r="C737" i="8"/>
  <c r="B694" i="8"/>
  <c r="C695" i="8"/>
  <c r="B1264" i="8"/>
  <c r="C1265" i="8"/>
  <c r="B1372" i="8"/>
  <c r="C1373" i="8"/>
  <c r="B1459" i="8"/>
  <c r="C1460" i="8"/>
  <c r="B1541" i="8"/>
  <c r="C1542" i="8"/>
  <c r="B1625" i="8"/>
  <c r="C1626" i="8"/>
  <c r="B838" i="8"/>
  <c r="C839" i="8"/>
  <c r="B839" i="8" s="1"/>
  <c r="B1171" i="8"/>
  <c r="C1172" i="8"/>
  <c r="B1172" i="8" s="1"/>
  <c r="B1422" i="8"/>
  <c r="C1423" i="8"/>
  <c r="B1423" i="8" s="1"/>
  <c r="B949" i="8"/>
  <c r="C950" i="8"/>
  <c r="B1087" i="8"/>
  <c r="C1088" i="8"/>
  <c r="B1586" i="8"/>
  <c r="C1587" i="8"/>
  <c r="B970" i="8"/>
  <c r="C971" i="8"/>
  <c r="B1070" i="8"/>
  <c r="C1071" i="8"/>
  <c r="B1177" i="8"/>
  <c r="C1178" i="8"/>
  <c r="B1178" i="8" s="1"/>
  <c r="B1402" i="8"/>
  <c r="C1403" i="8"/>
  <c r="B1477" i="8"/>
  <c r="C1478" i="8"/>
  <c r="B261" i="8"/>
  <c r="C262" i="8"/>
  <c r="B475" i="8"/>
  <c r="C476" i="8"/>
  <c r="B720" i="8"/>
  <c r="C721" i="8"/>
  <c r="B793" i="8"/>
  <c r="C794" i="8"/>
  <c r="B916" i="8"/>
  <c r="C917" i="8"/>
  <c r="B1100" i="8"/>
  <c r="C1101" i="8"/>
  <c r="B1180" i="8"/>
  <c r="C1181" i="8"/>
  <c r="B39" i="8"/>
  <c r="C40" i="8"/>
  <c r="B430" i="8"/>
  <c r="C431" i="8"/>
  <c r="B1012" i="8"/>
  <c r="C1013" i="8"/>
  <c r="B770" i="8"/>
  <c r="C771" i="8"/>
  <c r="B511" i="8"/>
  <c r="C512" i="8"/>
  <c r="B1130" i="8"/>
  <c r="C1131" i="8"/>
  <c r="B824" i="8"/>
  <c r="C825" i="8"/>
  <c r="B1303" i="8"/>
  <c r="C1304" i="8"/>
  <c r="B1593" i="8"/>
  <c r="C1594" i="8"/>
  <c r="B132" i="8"/>
  <c r="C133" i="8"/>
  <c r="B652" i="8"/>
  <c r="C653" i="8"/>
  <c r="B321" i="8"/>
  <c r="C322" i="8"/>
  <c r="B63" i="8"/>
  <c r="C64" i="8"/>
  <c r="B207" i="8"/>
  <c r="C208" i="8"/>
  <c r="B1468" i="8"/>
  <c r="C1469" i="8"/>
  <c r="B567" i="8"/>
  <c r="C568" i="8"/>
  <c r="B1046" i="8"/>
  <c r="C1047" i="8"/>
  <c r="B883" i="8"/>
  <c r="C884" i="8"/>
  <c r="B1358" i="8"/>
  <c r="C1359" i="8"/>
  <c r="B1388" i="8"/>
  <c r="C1389" i="8"/>
  <c r="B1389" i="8" s="1"/>
  <c r="B1219" i="8"/>
  <c r="C1220" i="8"/>
  <c r="B1120" i="8"/>
  <c r="C1121" i="8"/>
  <c r="B1426" i="8"/>
  <c r="C1427" i="8"/>
  <c r="B558" i="8"/>
  <c r="C559" i="8"/>
  <c r="B559" i="8" s="1"/>
  <c r="B748" i="8"/>
  <c r="C749" i="8"/>
  <c r="B749" i="8" s="1"/>
  <c r="B854" i="8"/>
  <c r="C855" i="8"/>
  <c r="B934" i="8"/>
  <c r="C935" i="8"/>
  <c r="B1442" i="8"/>
  <c r="C1443" i="8"/>
  <c r="B1443" i="8" s="1"/>
  <c r="B435" i="8"/>
  <c r="C436" i="8"/>
  <c r="B411" i="8"/>
  <c r="C412" i="8"/>
  <c r="B681" i="8"/>
  <c r="C682" i="8"/>
  <c r="B1506" i="8"/>
  <c r="C1507" i="8"/>
  <c r="B1507" i="8" s="1"/>
  <c r="B710" i="8"/>
  <c r="C711" i="8"/>
  <c r="B1408" i="8"/>
  <c r="C1409" i="8"/>
  <c r="B523" i="8"/>
  <c r="C524" i="8"/>
  <c r="B550" i="8"/>
  <c r="C551" i="8"/>
  <c r="B775" i="8"/>
  <c r="C776" i="8"/>
  <c r="B243" i="8"/>
  <c r="C244" i="8"/>
  <c r="B1285" i="8"/>
  <c r="C1286" i="8"/>
  <c r="B1513" i="8"/>
  <c r="C1514" i="8"/>
  <c r="B980" i="8"/>
  <c r="C981" i="8"/>
  <c r="B1270" i="8"/>
  <c r="C1271" i="8"/>
  <c r="B16" i="8"/>
  <c r="C17" i="8"/>
  <c r="B48" i="8"/>
  <c r="C49" i="8"/>
  <c r="B177" i="8"/>
  <c r="C178" i="8"/>
  <c r="B537" i="8"/>
  <c r="C538" i="8"/>
  <c r="B279" i="8"/>
  <c r="C280" i="8"/>
  <c r="B561" i="8"/>
  <c r="C562" i="8"/>
  <c r="B806" i="8"/>
  <c r="C807" i="8"/>
  <c r="B483" i="8"/>
  <c r="C484" i="8"/>
  <c r="B714" i="8"/>
  <c r="C715" i="8"/>
  <c r="B974" i="8"/>
  <c r="C975" i="8"/>
  <c r="B1042" i="8"/>
  <c r="C1043" i="8"/>
  <c r="B1043" i="8" s="1"/>
  <c r="B1189" i="8"/>
  <c r="C1190" i="8"/>
  <c r="B1522" i="8"/>
  <c r="C1523" i="8"/>
  <c r="B1607" i="8"/>
  <c r="C1608" i="8"/>
  <c r="B327" i="8"/>
  <c r="C328" i="8"/>
  <c r="B727" i="8"/>
  <c r="C728" i="8"/>
  <c r="B818" i="8"/>
  <c r="C819" i="8"/>
  <c r="B928" i="8"/>
  <c r="C929" i="8"/>
  <c r="B1590" i="8"/>
  <c r="C1591" i="8"/>
  <c r="B1591" i="8" s="1"/>
  <c r="B499" i="8"/>
  <c r="C500" i="8"/>
  <c r="B676" i="8"/>
  <c r="C677" i="8"/>
  <c r="B799" i="8"/>
  <c r="C800" i="8"/>
  <c r="B800" i="8" s="1"/>
  <c r="B860" i="8"/>
  <c r="C861" i="8"/>
  <c r="B958" i="8"/>
  <c r="C959" i="8"/>
  <c r="B959" i="8" s="1"/>
  <c r="B1174" i="8"/>
  <c r="C1175" i="8"/>
  <c r="B1175" i="8" s="1"/>
  <c r="B1280" i="8"/>
  <c r="C1281" i="8"/>
  <c r="B1438" i="8"/>
  <c r="C1439" i="8"/>
  <c r="B625" i="8"/>
  <c r="C626" i="8"/>
  <c r="B842" i="8"/>
  <c r="C843" i="8"/>
  <c r="B843" i="8" s="1"/>
  <c r="B1147" i="8"/>
  <c r="C1148" i="8"/>
  <c r="B1148" i="8" s="1"/>
  <c r="B1399" i="8"/>
  <c r="C1400" i="8"/>
  <c r="B1400" i="8" s="1"/>
  <c r="B1510" i="8"/>
  <c r="C1511" i="8"/>
  <c r="B1511" i="8" s="1"/>
  <c r="B685" i="8"/>
  <c r="C686" i="8"/>
  <c r="B877" i="8"/>
  <c r="C878" i="8"/>
  <c r="B1214" i="8"/>
  <c r="C1215" i="8"/>
  <c r="B1378" i="8"/>
  <c r="C1379" i="8"/>
  <c r="B1052" i="8"/>
  <c r="C1053" i="8"/>
  <c r="B67" i="8"/>
  <c r="C68" i="8"/>
  <c r="B144" i="8"/>
  <c r="C145" i="8"/>
  <c r="B426" i="8"/>
  <c r="C427" i="8"/>
  <c r="B669" i="8"/>
  <c r="C670" i="8"/>
  <c r="B1136" i="8"/>
  <c r="C1137" i="8"/>
  <c r="B1137" i="8" s="1"/>
  <c r="B1327" i="8"/>
  <c r="C1328" i="8"/>
  <c r="B1559" i="8"/>
  <c r="C1560" i="8"/>
  <c r="B306" i="8"/>
  <c r="C307" i="8"/>
  <c r="B766" i="8"/>
  <c r="C767" i="8"/>
  <c r="B384" i="8"/>
  <c r="C385" i="8"/>
  <c r="B892" i="8"/>
  <c r="C893" i="8"/>
  <c r="B1210" i="8"/>
  <c r="C1211" i="8"/>
  <c r="B802" i="8"/>
  <c r="C803" i="8"/>
  <c r="B967" i="8"/>
  <c r="C968" i="8"/>
  <c r="B968" i="8" s="1"/>
  <c r="B1483" i="8"/>
  <c r="C1484" i="8"/>
  <c r="B1195" i="8"/>
  <c r="C1196" i="8"/>
  <c r="B121" i="8"/>
  <c r="C122" i="8"/>
  <c r="B81" i="8"/>
  <c r="C82" i="8"/>
  <c r="B468" i="8"/>
  <c r="C469" i="8"/>
  <c r="B90" i="8"/>
  <c r="C91" i="8"/>
  <c r="B267" i="8"/>
  <c r="C268" i="8"/>
  <c r="B255" i="8"/>
  <c r="C256" i="8"/>
  <c r="B699" i="8"/>
  <c r="C700" i="8"/>
  <c r="B583" i="8"/>
  <c r="C584" i="8"/>
  <c r="B781" i="8"/>
  <c r="C782" i="8"/>
  <c r="B1336" i="8"/>
  <c r="C1337" i="8"/>
  <c r="B1565" i="8"/>
  <c r="C1566" i="8"/>
  <c r="B901" i="8"/>
  <c r="C902" i="8"/>
  <c r="B1076" i="8"/>
  <c r="C1077" i="8"/>
  <c r="B922" i="8"/>
  <c r="C923" i="8"/>
  <c r="B1501" i="8"/>
  <c r="C1502" i="8"/>
  <c r="B1000" i="8"/>
  <c r="C1001" i="8"/>
  <c r="B99" i="8"/>
  <c r="C100" i="8"/>
  <c r="B1112" i="8"/>
  <c r="C1113" i="8"/>
  <c r="B313" i="8"/>
  <c r="C314" i="8"/>
  <c r="B3" i="8"/>
  <c r="C4" i="8"/>
  <c r="B22" i="8"/>
  <c r="C23" i="8"/>
  <c r="B36" i="8"/>
  <c r="C37" i="8"/>
  <c r="B37" i="8" s="1"/>
  <c r="B108" i="8"/>
  <c r="C109" i="8"/>
  <c r="B367" i="8"/>
  <c r="C368" i="8"/>
  <c r="B637" i="8"/>
  <c r="C638" i="8"/>
  <c r="B72" i="8"/>
  <c r="C73" i="8"/>
  <c r="B357" i="8"/>
  <c r="C358" i="8"/>
  <c r="B78" i="8"/>
  <c r="C79" i="8"/>
  <c r="B79" i="8" s="1"/>
  <c r="B337" i="8"/>
  <c r="C338" i="8"/>
  <c r="B463" i="8"/>
  <c r="C464" i="8"/>
  <c r="B658" i="8"/>
  <c r="C659" i="8"/>
  <c r="B373" i="8"/>
  <c r="C374" i="8"/>
  <c r="B1252" i="8"/>
  <c r="C1253" i="8"/>
  <c r="B1354" i="8"/>
  <c r="C1355" i="8"/>
  <c r="B1396" i="8"/>
  <c r="C1397" i="8"/>
  <c r="B1397" i="8" s="1"/>
  <c r="B1613" i="8"/>
  <c r="C1614" i="8"/>
  <c r="B1093" i="8"/>
  <c r="C1094" i="8"/>
  <c r="B1602" i="8"/>
  <c r="C1603" i="8"/>
  <c r="B940" i="8"/>
  <c r="C941" i="8"/>
  <c r="B941" i="8" s="1"/>
  <c r="B988" i="8"/>
  <c r="C989" i="8"/>
  <c r="B1166" i="8"/>
  <c r="C1167" i="8"/>
  <c r="B1291" i="8"/>
  <c r="C1292" i="8"/>
  <c r="B1432" i="8"/>
  <c r="C1433" i="8"/>
  <c r="B913" i="8"/>
  <c r="C914" i="8"/>
  <c r="B914" i="8" s="1"/>
  <c r="B1018" i="8"/>
  <c r="C1019" i="8"/>
  <c r="B1225" i="8"/>
  <c r="C1226" i="8"/>
  <c r="B1448" i="8"/>
  <c r="C1449" i="8"/>
  <c r="B231" i="8"/>
  <c r="C232" i="8"/>
  <c r="B453" i="8"/>
  <c r="C454" i="8"/>
  <c r="B633" i="8"/>
  <c r="C634" i="8"/>
  <c r="B634" i="8" s="1"/>
  <c r="B872" i="8"/>
  <c r="C873" i="8"/>
  <c r="B873" i="8" s="1"/>
  <c r="B1082" i="8"/>
  <c r="C1083" i="8"/>
  <c r="B1346" i="8"/>
  <c r="C1347" i="8"/>
  <c r="B1347" i="8" s="1"/>
  <c r="B1528" i="8"/>
  <c r="C1529" i="8"/>
  <c r="B1124" i="8"/>
  <c r="C1125" i="8"/>
  <c r="B547" i="8"/>
  <c r="C548" i="8"/>
  <c r="B548" i="8" s="1"/>
  <c r="E16" i="21"/>
  <c r="C1202" i="8" l="1"/>
  <c r="B1201" i="8"/>
  <c r="B705" i="8"/>
  <c r="C706" i="8"/>
  <c r="B1350" i="8"/>
  <c r="C1351" i="8"/>
  <c r="B1351" i="8" s="1"/>
  <c r="B834" i="8"/>
  <c r="C835" i="8"/>
  <c r="B1141" i="8"/>
  <c r="C1142" i="8"/>
  <c r="B1206" i="8"/>
  <c r="C1207" i="8"/>
  <c r="B594" i="8"/>
  <c r="C595" i="8"/>
  <c r="B450" i="8"/>
  <c r="C451" i="8"/>
  <c r="B451" i="8" s="1"/>
  <c r="B348" i="8"/>
  <c r="C349" i="8"/>
  <c r="B1008" i="8"/>
  <c r="C1009" i="8"/>
  <c r="B1125" i="8"/>
  <c r="C1126" i="8"/>
  <c r="B1449" i="8"/>
  <c r="C1450" i="8"/>
  <c r="B1167" i="8"/>
  <c r="C1168" i="8"/>
  <c r="B1168" i="8" s="1"/>
  <c r="B1603" i="8"/>
  <c r="C1604" i="8"/>
  <c r="B464" i="8"/>
  <c r="C465" i="8"/>
  <c r="B358" i="8"/>
  <c r="C359" i="8"/>
  <c r="B368" i="8"/>
  <c r="C369" i="8"/>
  <c r="B23" i="8"/>
  <c r="C24" i="8"/>
  <c r="B1113" i="8"/>
  <c r="C1114" i="8"/>
  <c r="B1502" i="8"/>
  <c r="C1503" i="8"/>
  <c r="B902" i="8"/>
  <c r="C903" i="8"/>
  <c r="B782" i="8"/>
  <c r="C783" i="8"/>
  <c r="B256" i="8"/>
  <c r="C257" i="8"/>
  <c r="B91" i="8"/>
  <c r="C92" i="8"/>
  <c r="B122" i="8"/>
  <c r="C123" i="8"/>
  <c r="B893" i="8"/>
  <c r="C894" i="8"/>
  <c r="B767" i="8"/>
  <c r="C768" i="8"/>
  <c r="B768" i="8" s="1"/>
  <c r="B1328" i="8"/>
  <c r="C1329" i="8"/>
  <c r="B1329" i="8" s="1"/>
  <c r="B427" i="8"/>
  <c r="C428" i="8"/>
  <c r="B428" i="8" s="1"/>
  <c r="B1053" i="8"/>
  <c r="C1054" i="8"/>
  <c r="B878" i="8"/>
  <c r="C879" i="8"/>
  <c r="B879" i="8" s="1"/>
  <c r="B626" i="8"/>
  <c r="C627" i="8"/>
  <c r="B728" i="8"/>
  <c r="C729" i="8"/>
  <c r="C1524" i="8"/>
  <c r="B1524" i="8" s="1"/>
  <c r="B1523" i="8"/>
  <c r="B975" i="8"/>
  <c r="C976" i="8"/>
  <c r="B807" i="8"/>
  <c r="C808" i="8"/>
  <c r="B538" i="8"/>
  <c r="C539" i="8"/>
  <c r="B17" i="8"/>
  <c r="C18" i="8"/>
  <c r="B1514" i="8"/>
  <c r="C1515" i="8"/>
  <c r="B244" i="8"/>
  <c r="C245" i="8"/>
  <c r="B551" i="8"/>
  <c r="C552" i="8"/>
  <c r="B711" i="8"/>
  <c r="C712" i="8"/>
  <c r="B712" i="8" s="1"/>
  <c r="B412" i="8"/>
  <c r="C413" i="8"/>
  <c r="B935" i="8"/>
  <c r="C936" i="8"/>
  <c r="B1220" i="8"/>
  <c r="C1221" i="8"/>
  <c r="B884" i="8"/>
  <c r="C885" i="8"/>
  <c r="B1469" i="8"/>
  <c r="C1470" i="8"/>
  <c r="B322" i="8"/>
  <c r="C323" i="8"/>
  <c r="B1594" i="8"/>
  <c r="C1595" i="8"/>
  <c r="B1131" i="8"/>
  <c r="C1132" i="8"/>
  <c r="B1013" i="8"/>
  <c r="C1014" i="8"/>
  <c r="B1181" i="8"/>
  <c r="C1182" i="8"/>
  <c r="B794" i="8"/>
  <c r="C795" i="8"/>
  <c r="B262" i="8"/>
  <c r="C263" i="8"/>
  <c r="B1587" i="8"/>
  <c r="C1588" i="8"/>
  <c r="B1588" i="8" s="1"/>
  <c r="B1626" i="8"/>
  <c r="C1627" i="8"/>
  <c r="B1627" i="8" s="1"/>
  <c r="B1373" i="8"/>
  <c r="C1374" i="8"/>
  <c r="B737" i="8"/>
  <c r="C738" i="8"/>
  <c r="B157" i="8"/>
  <c r="C158" i="8"/>
  <c r="B199" i="8"/>
  <c r="C200" i="8"/>
  <c r="B169" i="8"/>
  <c r="C170" i="8"/>
  <c r="B1239" i="8"/>
  <c r="C1240" i="8"/>
  <c r="B1551" i="8"/>
  <c r="C1552" i="8"/>
  <c r="B757" i="8"/>
  <c r="C758" i="8"/>
  <c r="B1154" i="8"/>
  <c r="C1155" i="8"/>
  <c r="B617" i="8"/>
  <c r="C618" i="8"/>
  <c r="B1319" i="8"/>
  <c r="C1320" i="8"/>
  <c r="B611" i="8"/>
  <c r="C612" i="8"/>
  <c r="B1529" i="8"/>
  <c r="C1530" i="8"/>
  <c r="B1083" i="8"/>
  <c r="C1084" i="8"/>
  <c r="B1084" i="8" s="1"/>
  <c r="B454" i="8"/>
  <c r="C455" i="8"/>
  <c r="B1226" i="8"/>
  <c r="C1227" i="8"/>
  <c r="B1433" i="8"/>
  <c r="C1434" i="8"/>
  <c r="B989" i="8"/>
  <c r="C990" i="8"/>
  <c r="B1094" i="8"/>
  <c r="C1095" i="8"/>
  <c r="B1355" i="8"/>
  <c r="C1356" i="8"/>
  <c r="B1356" i="8" s="1"/>
  <c r="B374" i="8"/>
  <c r="C375" i="8"/>
  <c r="B338" i="8"/>
  <c r="C339" i="8"/>
  <c r="B73" i="8"/>
  <c r="C74" i="8"/>
  <c r="B109" i="8"/>
  <c r="C110" i="8"/>
  <c r="B4" i="8"/>
  <c r="C5" i="8"/>
  <c r="B100" i="8"/>
  <c r="C101" i="8"/>
  <c r="B923" i="8"/>
  <c r="C924" i="8"/>
  <c r="B1566" i="8"/>
  <c r="C1567" i="8"/>
  <c r="B584" i="8"/>
  <c r="C585" i="8"/>
  <c r="B469" i="8"/>
  <c r="C470" i="8"/>
  <c r="B1196" i="8"/>
  <c r="C1197" i="8"/>
  <c r="B803" i="8"/>
  <c r="C804" i="8"/>
  <c r="B804" i="8" s="1"/>
  <c r="B385" i="8"/>
  <c r="C386" i="8"/>
  <c r="B307" i="8"/>
  <c r="C308" i="8"/>
  <c r="B145" i="8"/>
  <c r="C146" i="8"/>
  <c r="B1379" i="8"/>
  <c r="C1380" i="8"/>
  <c r="B686" i="8"/>
  <c r="C687" i="8"/>
  <c r="B1439" i="8"/>
  <c r="C1440" i="8"/>
  <c r="B1440" i="8" s="1"/>
  <c r="B677" i="8"/>
  <c r="C678" i="8"/>
  <c r="B929" i="8"/>
  <c r="C930" i="8"/>
  <c r="B328" i="8"/>
  <c r="C329" i="8"/>
  <c r="B1190" i="8"/>
  <c r="C1191" i="8"/>
  <c r="B715" i="8"/>
  <c r="C716" i="8"/>
  <c r="B562" i="8"/>
  <c r="C563" i="8"/>
  <c r="B178" i="8"/>
  <c r="C179" i="8"/>
  <c r="B1271" i="8"/>
  <c r="C1272" i="8"/>
  <c r="B1286" i="8"/>
  <c r="C1287" i="8"/>
  <c r="B524" i="8"/>
  <c r="C525" i="8"/>
  <c r="B436" i="8"/>
  <c r="C437" i="8"/>
  <c r="B855" i="8"/>
  <c r="C856" i="8"/>
  <c r="B1427" i="8"/>
  <c r="C1428" i="8"/>
  <c r="B1047" i="8"/>
  <c r="C1048" i="8"/>
  <c r="B208" i="8"/>
  <c r="C209" i="8"/>
  <c r="B653" i="8"/>
  <c r="C654" i="8"/>
  <c r="B1304" i="8"/>
  <c r="C1305" i="8"/>
  <c r="B512" i="8"/>
  <c r="C513" i="8"/>
  <c r="B431" i="8"/>
  <c r="C432" i="8"/>
  <c r="B1101" i="8"/>
  <c r="C1102" i="8"/>
  <c r="B721" i="8"/>
  <c r="C722" i="8"/>
  <c r="B1478" i="8"/>
  <c r="C1479" i="8"/>
  <c r="B1479" i="8" s="1"/>
  <c r="B1071" i="8"/>
  <c r="C1072" i="8"/>
  <c r="B1088" i="8"/>
  <c r="C1089" i="8"/>
  <c r="B1542" i="8"/>
  <c r="C1543" i="8"/>
  <c r="B1265" i="8"/>
  <c r="C1266" i="8"/>
  <c r="B664" i="8"/>
  <c r="C665" i="8"/>
  <c r="B647" i="8"/>
  <c r="C648" i="8"/>
  <c r="B55" i="8"/>
  <c r="C56" i="8"/>
  <c r="B32" i="8"/>
  <c r="C33" i="8"/>
  <c r="B962" i="8"/>
  <c r="C963" i="8"/>
  <c r="B963" i="8" s="1"/>
  <c r="B1455" i="8"/>
  <c r="C1456" i="8"/>
  <c r="B1456" i="8" s="1"/>
  <c r="B1035" i="8"/>
  <c r="C1036" i="8"/>
  <c r="B190" i="8"/>
  <c r="C191" i="8"/>
  <c r="B830" i="8"/>
  <c r="C831" i="8"/>
  <c r="B831" i="8" s="1"/>
  <c r="B1620" i="8"/>
  <c r="C1621" i="8"/>
  <c r="B995" i="8"/>
  <c r="C996" i="8"/>
  <c r="B996" i="8" s="1"/>
  <c r="B220" i="8"/>
  <c r="C221" i="8"/>
  <c r="B232" i="8"/>
  <c r="C233" i="8"/>
  <c r="B1019" i="8"/>
  <c r="C1020" i="8"/>
  <c r="B1292" i="8"/>
  <c r="C1293" i="8"/>
  <c r="B1614" i="8"/>
  <c r="C1615" i="8"/>
  <c r="B1253" i="8"/>
  <c r="C1254" i="8"/>
  <c r="B659" i="8"/>
  <c r="C660" i="8"/>
  <c r="B660" i="8" s="1"/>
  <c r="B638" i="8"/>
  <c r="C639" i="8"/>
  <c r="B314" i="8"/>
  <c r="C315" i="8"/>
  <c r="B1001" i="8"/>
  <c r="C1002" i="8"/>
  <c r="B1077" i="8"/>
  <c r="C1078" i="8"/>
  <c r="B1078" i="8" s="1"/>
  <c r="B1337" i="8"/>
  <c r="C1338" i="8"/>
  <c r="B700" i="8"/>
  <c r="C701" i="8"/>
  <c r="B268" i="8"/>
  <c r="C269" i="8"/>
  <c r="B82" i="8"/>
  <c r="C83" i="8"/>
  <c r="B1484" i="8"/>
  <c r="C1485" i="8"/>
  <c r="B1211" i="8"/>
  <c r="C1212" i="8"/>
  <c r="B1212" i="8" s="1"/>
  <c r="B1560" i="8"/>
  <c r="C1561" i="8"/>
  <c r="B670" i="8"/>
  <c r="C671" i="8"/>
  <c r="B68" i="8"/>
  <c r="C69" i="8"/>
  <c r="B69" i="8" s="1"/>
  <c r="B1215" i="8"/>
  <c r="C1216" i="8"/>
  <c r="B1281" i="8"/>
  <c r="C1282" i="8"/>
  <c r="B1282" i="8" s="1"/>
  <c r="B861" i="8"/>
  <c r="C862" i="8"/>
  <c r="B862" i="8" s="1"/>
  <c r="B500" i="8"/>
  <c r="C501" i="8"/>
  <c r="B819" i="8"/>
  <c r="C820" i="8"/>
  <c r="B1608" i="8"/>
  <c r="C1609" i="8"/>
  <c r="B484" i="8"/>
  <c r="C485" i="8"/>
  <c r="B280" i="8"/>
  <c r="C281" i="8"/>
  <c r="B49" i="8"/>
  <c r="C50" i="8"/>
  <c r="B981" i="8"/>
  <c r="C982" i="8"/>
  <c r="B982" i="8" s="1"/>
  <c r="B776" i="8"/>
  <c r="C777" i="8"/>
  <c r="B1409" i="8"/>
  <c r="C1410" i="8"/>
  <c r="B682" i="8"/>
  <c r="C683" i="8"/>
  <c r="B683" i="8" s="1"/>
  <c r="B1121" i="8"/>
  <c r="C1122" i="8"/>
  <c r="B1122" i="8" s="1"/>
  <c r="B1359" i="8"/>
  <c r="C1360" i="8"/>
  <c r="B1360" i="8" s="1"/>
  <c r="B568" i="8"/>
  <c r="C569" i="8"/>
  <c r="B569" i="8" s="1"/>
  <c r="B64" i="8"/>
  <c r="C65" i="8"/>
  <c r="B65" i="8" s="1"/>
  <c r="B133" i="8"/>
  <c r="C134" i="8"/>
  <c r="B825" i="8"/>
  <c r="C826" i="8"/>
  <c r="B771" i="8"/>
  <c r="C772" i="8"/>
  <c r="B40" i="8"/>
  <c r="C41" i="8"/>
  <c r="B917" i="8"/>
  <c r="C918" i="8"/>
  <c r="B476" i="8"/>
  <c r="C477" i="8"/>
  <c r="B1403" i="8"/>
  <c r="C1404" i="8"/>
  <c r="B971" i="8"/>
  <c r="C972" i="8"/>
  <c r="B972" i="8" s="1"/>
  <c r="B950" i="8"/>
  <c r="C951" i="8"/>
  <c r="B1460" i="8"/>
  <c r="C1461" i="8"/>
  <c r="B1461" i="8" s="1"/>
  <c r="B695" i="8"/>
  <c r="C696" i="8"/>
  <c r="B394" i="8"/>
  <c r="C395" i="8"/>
  <c r="B403" i="8"/>
  <c r="C404" i="8"/>
  <c r="B404" i="8" s="1"/>
  <c r="B572" i="8"/>
  <c r="C573" i="8"/>
  <c r="B407" i="8"/>
  <c r="C408" i="8"/>
  <c r="B408" i="8" s="1"/>
  <c r="B1393" i="8"/>
  <c r="C1394" i="8"/>
  <c r="B1394" i="8" s="1"/>
  <c r="B851" i="8"/>
  <c r="C852" i="8"/>
  <c r="B852" i="8" s="1"/>
  <c r="B753" i="8"/>
  <c r="C754" i="8"/>
  <c r="B754" i="8" s="1"/>
  <c r="B1536" i="8"/>
  <c r="C1537" i="8"/>
  <c r="B604" i="8"/>
  <c r="C605" i="8"/>
  <c r="B287" i="8"/>
  <c r="C288" i="8"/>
  <c r="E18" i="21"/>
  <c r="E19" i="21"/>
  <c r="E20" i="21"/>
  <c r="E21" i="21" s="1"/>
  <c r="O32" i="21"/>
  <c r="O33" i="21" s="1"/>
  <c r="C350" i="8" l="1"/>
  <c r="B349" i="8"/>
  <c r="C1208" i="8"/>
  <c r="B1208" i="8" s="1"/>
  <c r="B1207" i="8"/>
  <c r="B1142" i="8"/>
  <c r="C1143" i="8"/>
  <c r="C707" i="8"/>
  <c r="B707" i="8" s="1"/>
  <c r="B706" i="8"/>
  <c r="B1009" i="8"/>
  <c r="C1010" i="8"/>
  <c r="B1010" i="8" s="1"/>
  <c r="B595" i="8"/>
  <c r="C596" i="8"/>
  <c r="B835" i="8"/>
  <c r="C836" i="8"/>
  <c r="B836" i="8" s="1"/>
  <c r="B1202" i="8"/>
  <c r="C1203" i="8"/>
  <c r="B1203" i="8" s="1"/>
  <c r="B1537" i="8"/>
  <c r="C1538" i="8"/>
  <c r="B1538" i="8" s="1"/>
  <c r="B1404" i="8"/>
  <c r="C1405" i="8"/>
  <c r="B41" i="8"/>
  <c r="C42" i="8"/>
  <c r="B134" i="8"/>
  <c r="C135" i="8"/>
  <c r="B1410" i="8"/>
  <c r="C1411" i="8"/>
  <c r="B485" i="8"/>
  <c r="C486" i="8"/>
  <c r="B501" i="8"/>
  <c r="C502" i="8"/>
  <c r="B1216" i="8"/>
  <c r="C1217" i="8"/>
  <c r="B1217" i="8" s="1"/>
  <c r="B1561" i="8"/>
  <c r="C1562" i="8"/>
  <c r="B1562" i="8" s="1"/>
  <c r="B83" i="8"/>
  <c r="C84" i="8"/>
  <c r="B1338" i="8"/>
  <c r="C1339" i="8"/>
  <c r="B315" i="8"/>
  <c r="C316" i="8"/>
  <c r="B1254" i="8"/>
  <c r="C1255" i="8"/>
  <c r="B1020" i="8"/>
  <c r="C1021" i="8"/>
  <c r="B191" i="8"/>
  <c r="C192" i="8"/>
  <c r="B648" i="8"/>
  <c r="C649" i="8"/>
  <c r="B1543" i="8"/>
  <c r="C1544" i="8"/>
  <c r="B432" i="8"/>
  <c r="C433" i="8"/>
  <c r="B433" i="8" s="1"/>
  <c r="B654" i="8"/>
  <c r="C655" i="8"/>
  <c r="B655" i="8" s="1"/>
  <c r="B1428" i="8"/>
  <c r="C1429" i="8"/>
  <c r="B1429" i="8" s="1"/>
  <c r="B525" i="8"/>
  <c r="C526" i="8"/>
  <c r="B1272" i="8"/>
  <c r="C1273" i="8"/>
  <c r="B716" i="8"/>
  <c r="C717" i="8"/>
  <c r="B717" i="8" s="1"/>
  <c r="B930" i="8"/>
  <c r="C931" i="8"/>
  <c r="B931" i="8" s="1"/>
  <c r="B687" i="8"/>
  <c r="C688" i="8"/>
  <c r="B308" i="8"/>
  <c r="C309" i="8"/>
  <c r="B1197" i="8"/>
  <c r="C1198" i="8"/>
  <c r="B1198" i="8" s="1"/>
  <c r="B1567" i="8"/>
  <c r="C1568" i="8"/>
  <c r="B5" i="8"/>
  <c r="C6" i="8"/>
  <c r="B339" i="8"/>
  <c r="C340" i="8"/>
  <c r="B1095" i="8"/>
  <c r="C1096" i="8"/>
  <c r="B1096" i="8" s="1"/>
  <c r="B1227" i="8"/>
  <c r="C1228" i="8"/>
  <c r="B1530" i="8"/>
  <c r="C1531" i="8"/>
  <c r="B618" i="8"/>
  <c r="C619" i="8"/>
  <c r="B1552" i="8"/>
  <c r="C1553" i="8"/>
  <c r="B200" i="8"/>
  <c r="C201" i="8"/>
  <c r="B1374" i="8"/>
  <c r="C1375" i="8"/>
  <c r="B263" i="8"/>
  <c r="C264" i="8"/>
  <c r="B264" i="8" s="1"/>
  <c r="B1014" i="8"/>
  <c r="C1015" i="8"/>
  <c r="B1015" i="8" s="1"/>
  <c r="B323" i="8"/>
  <c r="C324" i="8"/>
  <c r="B324" i="8" s="1"/>
  <c r="B1221" i="8"/>
  <c r="C1222" i="8"/>
  <c r="B1515" i="8"/>
  <c r="C1516" i="8"/>
  <c r="B808" i="8"/>
  <c r="C809" i="8"/>
  <c r="B809" i="8" s="1"/>
  <c r="B729" i="8"/>
  <c r="C730" i="8"/>
  <c r="B1054" i="8"/>
  <c r="C1055" i="8"/>
  <c r="B92" i="8"/>
  <c r="C93" i="8"/>
  <c r="B903" i="8"/>
  <c r="C904" i="8"/>
  <c r="B24" i="8"/>
  <c r="C25" i="8"/>
  <c r="B465" i="8"/>
  <c r="C466" i="8"/>
  <c r="B466" i="8" s="1"/>
  <c r="B1450" i="8"/>
  <c r="C1451" i="8"/>
  <c r="B1451" i="8" s="1"/>
  <c r="B395" i="8"/>
  <c r="C396" i="8"/>
  <c r="B772" i="8"/>
  <c r="C773" i="8"/>
  <c r="B773" i="8" s="1"/>
  <c r="B777" i="8"/>
  <c r="C778" i="8"/>
  <c r="B50" i="8"/>
  <c r="C51" i="8"/>
  <c r="B51" i="8" s="1"/>
  <c r="B1609" i="8"/>
  <c r="C1610" i="8"/>
  <c r="B269" i="8"/>
  <c r="C270" i="8"/>
  <c r="B639" i="8"/>
  <c r="C640" i="8"/>
  <c r="B1615" i="8"/>
  <c r="C1616" i="8"/>
  <c r="B233" i="8"/>
  <c r="C234" i="8"/>
  <c r="B1621" i="8"/>
  <c r="C1622" i="8"/>
  <c r="B1622" i="8" s="1"/>
  <c r="B1036" i="8"/>
  <c r="C1037" i="8"/>
  <c r="B33" i="8"/>
  <c r="C34" i="8"/>
  <c r="B34" i="8" s="1"/>
  <c r="B665" i="8"/>
  <c r="C666" i="8"/>
  <c r="B1089" i="8"/>
  <c r="C1090" i="8"/>
  <c r="B1090" i="8" s="1"/>
  <c r="B722" i="8"/>
  <c r="C723" i="8"/>
  <c r="B513" i="8"/>
  <c r="C514" i="8"/>
  <c r="B209" i="8"/>
  <c r="C210" i="8"/>
  <c r="B856" i="8"/>
  <c r="C857" i="8"/>
  <c r="B179" i="8"/>
  <c r="C180" i="8"/>
  <c r="B1191" i="8"/>
  <c r="C1192" i="8"/>
  <c r="B1192" i="8" s="1"/>
  <c r="B678" i="8"/>
  <c r="C679" i="8"/>
  <c r="B679" i="8" s="1"/>
  <c r="B1380" i="8"/>
  <c r="C1381" i="8"/>
  <c r="B386" i="8"/>
  <c r="C387" i="8"/>
  <c r="B470" i="8"/>
  <c r="C471" i="8"/>
  <c r="B471" i="8" s="1"/>
  <c r="B924" i="8"/>
  <c r="C925" i="8"/>
  <c r="B925" i="8" s="1"/>
  <c r="B110" i="8"/>
  <c r="C111" i="8"/>
  <c r="B375" i="8"/>
  <c r="C376" i="8"/>
  <c r="B990" i="8"/>
  <c r="C991" i="8"/>
  <c r="B455" i="8"/>
  <c r="C456" i="8"/>
  <c r="B612" i="8"/>
  <c r="C613" i="8"/>
  <c r="B613" i="8" s="1"/>
  <c r="B1155" i="8"/>
  <c r="C1156" i="8"/>
  <c r="B1240" i="8"/>
  <c r="C1241" i="8"/>
  <c r="B158" i="8"/>
  <c r="C159" i="8"/>
  <c r="B795" i="8"/>
  <c r="C796" i="8"/>
  <c r="B796" i="8" s="1"/>
  <c r="B1132" i="8"/>
  <c r="C1133" i="8"/>
  <c r="B1470" i="8"/>
  <c r="C1471" i="8"/>
  <c r="B1471" i="8" s="1"/>
  <c r="B936" i="8"/>
  <c r="C937" i="8"/>
  <c r="B937" i="8" s="1"/>
  <c r="B552" i="8"/>
  <c r="C553" i="8"/>
  <c r="B553" i="8" s="1"/>
  <c r="B18" i="8"/>
  <c r="C19" i="8"/>
  <c r="B976" i="8"/>
  <c r="C977" i="8"/>
  <c r="B627" i="8"/>
  <c r="C628" i="8"/>
  <c r="B894" i="8"/>
  <c r="C895" i="8"/>
  <c r="B257" i="8"/>
  <c r="C258" i="8"/>
  <c r="B1503" i="8"/>
  <c r="C1504" i="8"/>
  <c r="B1504" i="8" s="1"/>
  <c r="B369" i="8"/>
  <c r="C370" i="8"/>
  <c r="B370" i="8" s="1"/>
  <c r="B1604" i="8"/>
  <c r="C1605" i="8"/>
  <c r="B1605" i="8" s="1"/>
  <c r="B288" i="8"/>
  <c r="C289" i="8"/>
  <c r="B477" i="8"/>
  <c r="C478" i="8"/>
  <c r="B951" i="8"/>
  <c r="C952" i="8"/>
  <c r="B605" i="8"/>
  <c r="C606" i="8"/>
  <c r="B573" i="8"/>
  <c r="C574" i="8"/>
  <c r="B696" i="8"/>
  <c r="C697" i="8"/>
  <c r="B697" i="8" s="1"/>
  <c r="B918" i="8"/>
  <c r="C919" i="8"/>
  <c r="B919" i="8" s="1"/>
  <c r="B826" i="8"/>
  <c r="C827" i="8"/>
  <c r="B827" i="8" s="1"/>
  <c r="B281" i="8"/>
  <c r="C282" i="8"/>
  <c r="B820" i="8"/>
  <c r="C821" i="8"/>
  <c r="B671" i="8"/>
  <c r="C672" i="8"/>
  <c r="B1485" i="8"/>
  <c r="C1486" i="8"/>
  <c r="B701" i="8"/>
  <c r="C702" i="8"/>
  <c r="B702" i="8" s="1"/>
  <c r="B1002" i="8"/>
  <c r="C1003" i="8"/>
  <c r="B1293" i="8"/>
  <c r="C1294" i="8"/>
  <c r="B221" i="8"/>
  <c r="C222" i="8"/>
  <c r="B56" i="8"/>
  <c r="C57" i="8"/>
  <c r="B1266" i="8"/>
  <c r="C1267" i="8"/>
  <c r="B1072" i="8"/>
  <c r="C1073" i="8"/>
  <c r="B1102" i="8"/>
  <c r="C1103" i="8"/>
  <c r="B1305" i="8"/>
  <c r="C1306" i="8"/>
  <c r="B1048" i="8"/>
  <c r="C1049" i="8"/>
  <c r="B1049" i="8" s="1"/>
  <c r="B437" i="8"/>
  <c r="C438" i="8"/>
  <c r="B1287" i="8"/>
  <c r="C1288" i="8"/>
  <c r="B563" i="8"/>
  <c r="C564" i="8"/>
  <c r="B564" i="8" s="1"/>
  <c r="B329" i="8"/>
  <c r="C330" i="8"/>
  <c r="B146" i="8"/>
  <c r="C147" i="8"/>
  <c r="B585" i="8"/>
  <c r="C586" i="8"/>
  <c r="B101" i="8"/>
  <c r="C102" i="8"/>
  <c r="B74" i="8"/>
  <c r="C75" i="8"/>
  <c r="B1434" i="8"/>
  <c r="C1435" i="8"/>
  <c r="B1435" i="8" s="1"/>
  <c r="B1320" i="8"/>
  <c r="C1321" i="8"/>
  <c r="B758" i="8"/>
  <c r="C759" i="8"/>
  <c r="B170" i="8"/>
  <c r="C171" i="8"/>
  <c r="B738" i="8"/>
  <c r="C739" i="8"/>
  <c r="B1182" i="8"/>
  <c r="C1183" i="8"/>
  <c r="B1183" i="8" s="1"/>
  <c r="B1595" i="8"/>
  <c r="C1596" i="8"/>
  <c r="B885" i="8"/>
  <c r="C886" i="8"/>
  <c r="B413" i="8"/>
  <c r="C414" i="8"/>
  <c r="B245" i="8"/>
  <c r="C246" i="8"/>
  <c r="B539" i="8"/>
  <c r="C540" i="8"/>
  <c r="B123" i="8"/>
  <c r="C124" i="8"/>
  <c r="B783" i="8"/>
  <c r="C784" i="8"/>
  <c r="B784" i="8" s="1"/>
  <c r="B1114" i="8"/>
  <c r="C1115" i="8"/>
  <c r="B359" i="8"/>
  <c r="C360" i="8"/>
  <c r="B1126" i="8"/>
  <c r="C1127" i="8"/>
  <c r="AX9" i="5"/>
  <c r="D4" i="19"/>
  <c r="B596" i="8" l="1"/>
  <c r="C597" i="8"/>
  <c r="B1143" i="8"/>
  <c r="C1144" i="8"/>
  <c r="B1144" i="8" s="1"/>
  <c r="B350" i="8"/>
  <c r="C351" i="8"/>
  <c r="B1127" i="8"/>
  <c r="C1128" i="8"/>
  <c r="B1128" i="8" s="1"/>
  <c r="B246" i="8"/>
  <c r="C247" i="8"/>
  <c r="B1596" i="8"/>
  <c r="C1597" i="8"/>
  <c r="B171" i="8"/>
  <c r="C172" i="8"/>
  <c r="B586" i="8"/>
  <c r="C587" i="8"/>
  <c r="B1073" i="8"/>
  <c r="C1074" i="8"/>
  <c r="B1074" i="8" s="1"/>
  <c r="B222" i="8"/>
  <c r="C223" i="8"/>
  <c r="B821" i="8"/>
  <c r="C822" i="8"/>
  <c r="B822" i="8" s="1"/>
  <c r="B574" i="8"/>
  <c r="C575" i="8"/>
  <c r="B478" i="8"/>
  <c r="C479" i="8"/>
  <c r="B895" i="8"/>
  <c r="C896" i="8"/>
  <c r="B19" i="8"/>
  <c r="C20" i="8"/>
  <c r="B20" i="8" s="1"/>
  <c r="B159" i="8"/>
  <c r="C160" i="8"/>
  <c r="B376" i="8"/>
  <c r="C377" i="8"/>
  <c r="B514" i="8"/>
  <c r="C515" i="8"/>
  <c r="B666" i="8"/>
  <c r="C667" i="8"/>
  <c r="B667" i="8" s="1"/>
  <c r="B640" i="8"/>
  <c r="C641" i="8"/>
  <c r="B396" i="8"/>
  <c r="C397" i="8"/>
  <c r="B25" i="8"/>
  <c r="C26" i="8"/>
  <c r="B1055" i="8"/>
  <c r="C1056" i="8"/>
  <c r="B1516" i="8"/>
  <c r="C1517" i="8"/>
  <c r="B201" i="8"/>
  <c r="C202" i="8"/>
  <c r="B1531" i="8"/>
  <c r="C1532" i="8"/>
  <c r="B1532" i="8" s="1"/>
  <c r="B340" i="8"/>
  <c r="C341" i="8"/>
  <c r="B526" i="8"/>
  <c r="C527" i="8"/>
  <c r="B192" i="8"/>
  <c r="C193" i="8"/>
  <c r="B316" i="8"/>
  <c r="C317" i="8"/>
  <c r="B486" i="8"/>
  <c r="C487" i="8"/>
  <c r="B42" i="8"/>
  <c r="C43" i="8"/>
  <c r="B43" i="8" s="1"/>
  <c r="B360" i="8"/>
  <c r="C361" i="8"/>
  <c r="B414" i="8"/>
  <c r="C415" i="8"/>
  <c r="B75" i="8"/>
  <c r="C76" i="8"/>
  <c r="B76" i="8" s="1"/>
  <c r="B1306" i="8"/>
  <c r="C1307" i="8"/>
  <c r="B1294" i="8"/>
  <c r="C1295" i="8"/>
  <c r="B282" i="8"/>
  <c r="C283" i="8"/>
  <c r="B606" i="8"/>
  <c r="C607" i="8"/>
  <c r="B628" i="8"/>
  <c r="C629" i="8"/>
  <c r="B1133" i="8"/>
  <c r="C1134" i="8"/>
  <c r="B1134" i="8" s="1"/>
  <c r="B1241" i="8"/>
  <c r="C1242" i="8"/>
  <c r="B456" i="8"/>
  <c r="C457" i="8"/>
  <c r="B111" i="8"/>
  <c r="C112" i="8"/>
  <c r="B387" i="8"/>
  <c r="C388" i="8"/>
  <c r="B857" i="8"/>
  <c r="C858" i="8"/>
  <c r="B858" i="8" s="1"/>
  <c r="B723" i="8"/>
  <c r="C724" i="8"/>
  <c r="B234" i="8"/>
  <c r="C235" i="8"/>
  <c r="B270" i="8"/>
  <c r="C271" i="8"/>
  <c r="B778" i="8"/>
  <c r="C779" i="8"/>
  <c r="B779" i="8" s="1"/>
  <c r="B904" i="8"/>
  <c r="C905" i="8"/>
  <c r="B730" i="8"/>
  <c r="C731" i="8"/>
  <c r="B731" i="8" s="1"/>
  <c r="B1222" i="8"/>
  <c r="C1223" i="8"/>
  <c r="B1223" i="8" s="1"/>
  <c r="B1553" i="8"/>
  <c r="C1554" i="8"/>
  <c r="B1228" i="8"/>
  <c r="C1229" i="8"/>
  <c r="B6" i="8"/>
  <c r="C7" i="8"/>
  <c r="B309" i="8"/>
  <c r="C310" i="8"/>
  <c r="B1544" i="8"/>
  <c r="C1545" i="8"/>
  <c r="B1021" i="8"/>
  <c r="C1022" i="8"/>
  <c r="B1339" i="8"/>
  <c r="C1340" i="8"/>
  <c r="B1340" i="8" s="1"/>
  <c r="B1411" i="8"/>
  <c r="C1412" i="8"/>
  <c r="B1405" i="8"/>
  <c r="C1406" i="8"/>
  <c r="B1406" i="8" s="1"/>
  <c r="B124" i="8"/>
  <c r="C125" i="8"/>
  <c r="B759" i="8"/>
  <c r="C760" i="8"/>
  <c r="B760" i="8" s="1"/>
  <c r="B147" i="8"/>
  <c r="C148" i="8"/>
  <c r="B1288" i="8"/>
  <c r="C1289" i="8"/>
  <c r="B1289" i="8" s="1"/>
  <c r="B1267" i="8"/>
  <c r="C1268" i="8"/>
  <c r="B1268" i="8" s="1"/>
  <c r="B1486" i="8"/>
  <c r="C1487" i="8"/>
  <c r="B289" i="8"/>
  <c r="C290" i="8"/>
  <c r="B1115" i="8"/>
  <c r="C1116" i="8"/>
  <c r="B540" i="8"/>
  <c r="C541" i="8"/>
  <c r="B886" i="8"/>
  <c r="C887" i="8"/>
  <c r="B887" i="8" s="1"/>
  <c r="B739" i="8"/>
  <c r="C740" i="8"/>
  <c r="B1321" i="8"/>
  <c r="C1322" i="8"/>
  <c r="B102" i="8"/>
  <c r="C103" i="8"/>
  <c r="B330" i="8"/>
  <c r="C331" i="8"/>
  <c r="B438" i="8"/>
  <c r="C439" i="8"/>
  <c r="B1103" i="8"/>
  <c r="C1104" i="8"/>
  <c r="B57" i="8"/>
  <c r="C58" i="8"/>
  <c r="B1003" i="8"/>
  <c r="C1004" i="8"/>
  <c r="B672" i="8"/>
  <c r="C673" i="8"/>
  <c r="B952" i="8"/>
  <c r="C953" i="8"/>
  <c r="B258" i="8"/>
  <c r="C259" i="8"/>
  <c r="B259" i="8" s="1"/>
  <c r="B977" i="8"/>
  <c r="C978" i="8"/>
  <c r="B978" i="8" s="1"/>
  <c r="B1156" i="8"/>
  <c r="C1157" i="8"/>
  <c r="B991" i="8"/>
  <c r="C992" i="8"/>
  <c r="B992" i="8" s="1"/>
  <c r="B1381" i="8"/>
  <c r="C1382" i="8"/>
  <c r="B180" i="8"/>
  <c r="C181" i="8"/>
  <c r="B210" i="8"/>
  <c r="C211" i="8"/>
  <c r="B1037" i="8"/>
  <c r="C1038" i="8"/>
  <c r="B1616" i="8"/>
  <c r="C1617" i="8"/>
  <c r="B1617" i="8" s="1"/>
  <c r="B1610" i="8"/>
  <c r="C1611" i="8"/>
  <c r="B1611" i="8" s="1"/>
  <c r="B93" i="8"/>
  <c r="C94" i="8"/>
  <c r="B1375" i="8"/>
  <c r="C1376" i="8"/>
  <c r="B1376" i="8" s="1"/>
  <c r="B619" i="8"/>
  <c r="C620" i="8"/>
  <c r="B1568" i="8"/>
  <c r="C1569" i="8"/>
  <c r="B688" i="8"/>
  <c r="C689" i="8"/>
  <c r="B1273" i="8"/>
  <c r="C1274" i="8"/>
  <c r="B649" i="8"/>
  <c r="C650" i="8"/>
  <c r="B650" i="8" s="1"/>
  <c r="B1255" i="8"/>
  <c r="C1256" i="8"/>
  <c r="B84" i="8"/>
  <c r="C85" i="8"/>
  <c r="B502" i="8"/>
  <c r="C503" i="8"/>
  <c r="B135" i="8"/>
  <c r="C136" i="8"/>
  <c r="C37" i="14"/>
  <c r="Z7" i="19"/>
  <c r="AA7" i="19"/>
  <c r="AM15" i="19"/>
  <c r="AM16" i="19" s="1"/>
  <c r="X20" i="19"/>
  <c r="X23" i="19" s="1"/>
  <c r="Y20" i="19"/>
  <c r="X21" i="19"/>
  <c r="Q23" i="19"/>
  <c r="F10" i="18"/>
  <c r="G10" i="18" s="1"/>
  <c r="H10" i="18" s="1"/>
  <c r="I10" i="18"/>
  <c r="F11" i="18"/>
  <c r="G11" i="18" s="1"/>
  <c r="H11" i="18" s="1"/>
  <c r="I11" i="18"/>
  <c r="F12" i="18"/>
  <c r="G12" i="18" s="1"/>
  <c r="H12" i="18" s="1"/>
  <c r="I12" i="18"/>
  <c r="F13" i="18"/>
  <c r="G13" i="18" s="1"/>
  <c r="H13" i="18" s="1"/>
  <c r="I13" i="18"/>
  <c r="B25" i="18"/>
  <c r="F27" i="18"/>
  <c r="B51" i="18"/>
  <c r="B52" i="18"/>
  <c r="B351" i="8" l="1"/>
  <c r="C352" i="8"/>
  <c r="B597" i="8"/>
  <c r="C598" i="8"/>
  <c r="B136" i="8"/>
  <c r="C137" i="8"/>
  <c r="B1256" i="8"/>
  <c r="C1257" i="8"/>
  <c r="B689" i="8"/>
  <c r="C690" i="8"/>
  <c r="B181" i="8"/>
  <c r="C182" i="8"/>
  <c r="B1157" i="8"/>
  <c r="C1158" i="8"/>
  <c r="B953" i="8"/>
  <c r="C954" i="8"/>
  <c r="B1004" i="8"/>
  <c r="C1005" i="8"/>
  <c r="B1005" i="8" s="1"/>
  <c r="B439" i="8"/>
  <c r="C440" i="8"/>
  <c r="B1322" i="8"/>
  <c r="C1323" i="8"/>
  <c r="B541" i="8"/>
  <c r="C542" i="8"/>
  <c r="B1487" i="8"/>
  <c r="C1488" i="8"/>
  <c r="B148" i="8"/>
  <c r="C149" i="8"/>
  <c r="B1022" i="8"/>
  <c r="C1023" i="8"/>
  <c r="B7" i="8"/>
  <c r="C8" i="8"/>
  <c r="B724" i="8"/>
  <c r="C725" i="8"/>
  <c r="B725" i="8" s="1"/>
  <c r="B112" i="8"/>
  <c r="C113" i="8"/>
  <c r="B283" i="8"/>
  <c r="C284" i="8"/>
  <c r="B284" i="8" s="1"/>
  <c r="B193" i="8"/>
  <c r="C194" i="8"/>
  <c r="B1056" i="8"/>
  <c r="C1057" i="8"/>
  <c r="B641" i="8"/>
  <c r="C642" i="8"/>
  <c r="B575" i="8"/>
  <c r="C576" i="8"/>
  <c r="B1597" i="8"/>
  <c r="C1598" i="8"/>
  <c r="B1229" i="8"/>
  <c r="C1230" i="8"/>
  <c r="B1295" i="8"/>
  <c r="C1296" i="8"/>
  <c r="B1296" i="8" s="1"/>
  <c r="B26" i="8"/>
  <c r="C27" i="8"/>
  <c r="B896" i="8"/>
  <c r="C897" i="8"/>
  <c r="B247" i="8"/>
  <c r="C248" i="8"/>
  <c r="B94" i="8"/>
  <c r="C95" i="8"/>
  <c r="B1038" i="8"/>
  <c r="C1039" i="8"/>
  <c r="B1382" i="8"/>
  <c r="C1383" i="8"/>
  <c r="B1383" i="8" s="1"/>
  <c r="B58" i="8"/>
  <c r="C59" i="8"/>
  <c r="B740" i="8"/>
  <c r="C741" i="8"/>
  <c r="B1116" i="8"/>
  <c r="C1117" i="8"/>
  <c r="B1117" i="8" s="1"/>
  <c r="B1412" i="8"/>
  <c r="C1413" i="8"/>
  <c r="B271" i="8"/>
  <c r="C272" i="8"/>
  <c r="B457" i="8"/>
  <c r="C458" i="8"/>
  <c r="B629" i="8"/>
  <c r="C630" i="8"/>
  <c r="B630" i="8" s="1"/>
  <c r="B487" i="8"/>
  <c r="C488" i="8"/>
  <c r="B527" i="8"/>
  <c r="C528" i="8"/>
  <c r="B202" i="8"/>
  <c r="C203" i="8"/>
  <c r="B377" i="8"/>
  <c r="C378" i="8"/>
  <c r="B587" i="8"/>
  <c r="C588" i="8"/>
  <c r="B588" i="8" s="1"/>
  <c r="B503" i="8"/>
  <c r="C504" i="8"/>
  <c r="B1569" i="8"/>
  <c r="C1570" i="8"/>
  <c r="B331" i="8"/>
  <c r="C332" i="8"/>
  <c r="B1545" i="8"/>
  <c r="C1546" i="8"/>
  <c r="B415" i="8"/>
  <c r="C416" i="8"/>
  <c r="B85" i="8"/>
  <c r="C86" i="8"/>
  <c r="B1274" i="8"/>
  <c r="C1275" i="8"/>
  <c r="B620" i="8"/>
  <c r="C621" i="8"/>
  <c r="B211" i="8"/>
  <c r="C212" i="8"/>
  <c r="B673" i="8"/>
  <c r="C674" i="8"/>
  <c r="B674" i="8" s="1"/>
  <c r="B1104" i="8"/>
  <c r="C1105" i="8"/>
  <c r="B103" i="8"/>
  <c r="C104" i="8"/>
  <c r="B290" i="8"/>
  <c r="C291" i="8"/>
  <c r="B125" i="8"/>
  <c r="C126" i="8"/>
  <c r="B310" i="8"/>
  <c r="C311" i="8"/>
  <c r="B311" i="8" s="1"/>
  <c r="B1554" i="8"/>
  <c r="C1555" i="8"/>
  <c r="B905" i="8"/>
  <c r="C906" i="8"/>
  <c r="B235" i="8"/>
  <c r="C236" i="8"/>
  <c r="B388" i="8"/>
  <c r="C389" i="8"/>
  <c r="B1242" i="8"/>
  <c r="C1243" i="8"/>
  <c r="B607" i="8"/>
  <c r="C608" i="8"/>
  <c r="B608" i="8" s="1"/>
  <c r="B1307" i="8"/>
  <c r="C1308" i="8"/>
  <c r="B361" i="8"/>
  <c r="C362" i="8"/>
  <c r="B317" i="8"/>
  <c r="C318" i="8"/>
  <c r="B318" i="8" s="1"/>
  <c r="B341" i="8"/>
  <c r="C342" i="8"/>
  <c r="B1517" i="8"/>
  <c r="C1518" i="8"/>
  <c r="B397" i="8"/>
  <c r="C398" i="8"/>
  <c r="B515" i="8"/>
  <c r="C516" i="8"/>
  <c r="B160" i="8"/>
  <c r="C161" i="8"/>
  <c r="B479" i="8"/>
  <c r="C480" i="8"/>
  <c r="B223" i="8"/>
  <c r="C224" i="8"/>
  <c r="B172" i="8"/>
  <c r="C173" i="8"/>
  <c r="C38" i="14"/>
  <c r="Y23" i="19"/>
  <c r="N13" i="19" s="1"/>
  <c r="X7" i="19"/>
  <c r="N10" i="19" s="1"/>
  <c r="C8" i="19"/>
  <c r="X8" i="19"/>
  <c r="B598" i="8" l="1"/>
  <c r="C599" i="8"/>
  <c r="B352" i="8"/>
  <c r="C353" i="8"/>
  <c r="B224" i="8"/>
  <c r="C225" i="8"/>
  <c r="B516" i="8"/>
  <c r="C517" i="8"/>
  <c r="B342" i="8"/>
  <c r="C343" i="8"/>
  <c r="B1308" i="8"/>
  <c r="C1309" i="8"/>
  <c r="B389" i="8"/>
  <c r="C390" i="8"/>
  <c r="B1555" i="8"/>
  <c r="C1556" i="8"/>
  <c r="B1556" i="8" s="1"/>
  <c r="B291" i="8"/>
  <c r="C292" i="8"/>
  <c r="B1275" i="8"/>
  <c r="C1276" i="8"/>
  <c r="B1546" i="8"/>
  <c r="C1547" i="8"/>
  <c r="B1547" i="8" s="1"/>
  <c r="B504" i="8"/>
  <c r="C505" i="8"/>
  <c r="B203" i="8"/>
  <c r="C204" i="8"/>
  <c r="B204" i="8" s="1"/>
  <c r="B1413" i="8"/>
  <c r="C1414" i="8"/>
  <c r="B59" i="8"/>
  <c r="C60" i="8"/>
  <c r="B60" i="8" s="1"/>
  <c r="B1039" i="8"/>
  <c r="C1040" i="8"/>
  <c r="B1040" i="8" s="1"/>
  <c r="B897" i="8"/>
  <c r="C898" i="8"/>
  <c r="B1230" i="8"/>
  <c r="C1231" i="8"/>
  <c r="B194" i="8"/>
  <c r="C195" i="8"/>
  <c r="B195" i="8" s="1"/>
  <c r="B149" i="8"/>
  <c r="C150" i="8"/>
  <c r="B1323" i="8"/>
  <c r="C1324" i="8"/>
  <c r="B1324" i="8" s="1"/>
  <c r="B954" i="8"/>
  <c r="C955" i="8"/>
  <c r="B955" i="8" s="1"/>
  <c r="B690" i="8"/>
  <c r="C691" i="8"/>
  <c r="B691" i="8" s="1"/>
  <c r="B480" i="8"/>
  <c r="C481" i="8"/>
  <c r="B481" i="8" s="1"/>
  <c r="B236" i="8"/>
  <c r="C237" i="8"/>
  <c r="B104" i="8"/>
  <c r="C105" i="8"/>
  <c r="B332" i="8"/>
  <c r="C333" i="8"/>
  <c r="B458" i="8"/>
  <c r="C459" i="8"/>
  <c r="B8" i="8"/>
  <c r="C9" i="8"/>
  <c r="B1488" i="8"/>
  <c r="C1489" i="8"/>
  <c r="B440" i="8"/>
  <c r="C441" i="8"/>
  <c r="B1158" i="8"/>
  <c r="C1159" i="8"/>
  <c r="B1257" i="8"/>
  <c r="C1258" i="8"/>
  <c r="B398" i="8"/>
  <c r="C399" i="8"/>
  <c r="B212" i="8"/>
  <c r="C213" i="8"/>
  <c r="B86" i="8"/>
  <c r="C87" i="8"/>
  <c r="B87" i="8" s="1"/>
  <c r="B528" i="8"/>
  <c r="C529" i="8"/>
  <c r="B95" i="8"/>
  <c r="C96" i="8"/>
  <c r="B96" i="8" s="1"/>
  <c r="B27" i="8"/>
  <c r="C28" i="8"/>
  <c r="B1598" i="8"/>
  <c r="C1599" i="8"/>
  <c r="B642" i="8"/>
  <c r="C643" i="8"/>
  <c r="B643" i="8" s="1"/>
  <c r="B173" i="8"/>
  <c r="C174" i="8"/>
  <c r="B174" i="8" s="1"/>
  <c r="B161" i="8"/>
  <c r="C162" i="8"/>
  <c r="B1518" i="8"/>
  <c r="C1519" i="8"/>
  <c r="B1519" i="8" s="1"/>
  <c r="B362" i="8"/>
  <c r="C363" i="8"/>
  <c r="B1243" i="8"/>
  <c r="C1244" i="8"/>
  <c r="B906" i="8"/>
  <c r="C907" i="8"/>
  <c r="B907" i="8" s="1"/>
  <c r="B126" i="8"/>
  <c r="C127" i="8"/>
  <c r="C1106" i="8"/>
  <c r="B1105" i="8"/>
  <c r="B621" i="8"/>
  <c r="C622" i="8"/>
  <c r="B622" i="8" s="1"/>
  <c r="B416" i="8"/>
  <c r="C417" i="8"/>
  <c r="B1570" i="8"/>
  <c r="C1571" i="8"/>
  <c r="B378" i="8"/>
  <c r="C379" i="8"/>
  <c r="B488" i="8"/>
  <c r="C489" i="8"/>
  <c r="B272" i="8"/>
  <c r="C273" i="8"/>
  <c r="B741" i="8"/>
  <c r="C742" i="8"/>
  <c r="B248" i="8"/>
  <c r="C249" i="8"/>
  <c r="B576" i="8"/>
  <c r="C577" i="8"/>
  <c r="B1057" i="8"/>
  <c r="C1058" i="8"/>
  <c r="B113" i="8"/>
  <c r="C114" i="8"/>
  <c r="B1023" i="8"/>
  <c r="C1024" i="8"/>
  <c r="B542" i="8"/>
  <c r="C543" i="8"/>
  <c r="B182" i="8"/>
  <c r="C183" i="8"/>
  <c r="B137" i="8"/>
  <c r="C138" i="8"/>
  <c r="F49" i="18"/>
  <c r="G49" i="18" s="1"/>
  <c r="H49" i="18" s="1"/>
  <c r="E8" i="19"/>
  <c r="E9" i="19" s="1"/>
  <c r="E10" i="19" s="1"/>
  <c r="C39" i="14"/>
  <c r="N11" i="19"/>
  <c r="C25" i="18"/>
  <c r="F28" i="18" s="1"/>
  <c r="G28" i="18" s="1"/>
  <c r="N8" i="19"/>
  <c r="F52" i="18"/>
  <c r="G52" i="18" s="1"/>
  <c r="H52" i="18" s="1"/>
  <c r="F51" i="18"/>
  <c r="G51" i="18" s="1"/>
  <c r="H51" i="18" s="1"/>
  <c r="F50" i="18"/>
  <c r="G50" i="18" s="1"/>
  <c r="H50" i="18" s="1"/>
  <c r="N14" i="19"/>
  <c r="N15" i="19"/>
  <c r="E6" i="19"/>
  <c r="C10" i="19"/>
  <c r="C354" i="8" l="1"/>
  <c r="B353" i="8"/>
  <c r="B599" i="8"/>
  <c r="C600" i="8"/>
  <c r="B600" i="8" s="1"/>
  <c r="B138" i="8"/>
  <c r="C139" i="8"/>
  <c r="B1024" i="8"/>
  <c r="C1025" i="8"/>
  <c r="B577" i="8"/>
  <c r="C578" i="8"/>
  <c r="B273" i="8"/>
  <c r="C274" i="8"/>
  <c r="B1571" i="8"/>
  <c r="C1572" i="8"/>
  <c r="B1244" i="8"/>
  <c r="C1245" i="8"/>
  <c r="B162" i="8"/>
  <c r="C163" i="8"/>
  <c r="B1599" i="8"/>
  <c r="C1600" i="8"/>
  <c r="B1600" i="8" s="1"/>
  <c r="B213" i="8"/>
  <c r="C214" i="8"/>
  <c r="B1159" i="8"/>
  <c r="C1160" i="8"/>
  <c r="B1160" i="8" s="1"/>
  <c r="B9" i="8"/>
  <c r="C10" i="8"/>
  <c r="B105" i="8"/>
  <c r="C106" i="8"/>
  <c r="B106" i="8" s="1"/>
  <c r="B150" i="8"/>
  <c r="C151" i="8"/>
  <c r="B898" i="8"/>
  <c r="C899" i="8"/>
  <c r="B899" i="8" s="1"/>
  <c r="B1414" i="8"/>
  <c r="C1415" i="8"/>
  <c r="B343" i="8"/>
  <c r="C344" i="8"/>
  <c r="B390" i="8"/>
  <c r="C391" i="8"/>
  <c r="B391" i="8" s="1"/>
  <c r="B1106" i="8"/>
  <c r="C1107" i="8"/>
  <c r="B489" i="8"/>
  <c r="C490" i="8"/>
  <c r="B529" i="8"/>
  <c r="C530" i="8"/>
  <c r="B441" i="8"/>
  <c r="C442" i="8"/>
  <c r="B442" i="8" s="1"/>
  <c r="B237" i="8"/>
  <c r="C238" i="8"/>
  <c r="B1276" i="8"/>
  <c r="C1277" i="8"/>
  <c r="B1277" i="8" s="1"/>
  <c r="B183" i="8"/>
  <c r="C184" i="8"/>
  <c r="B114" i="8"/>
  <c r="C115" i="8"/>
  <c r="B249" i="8"/>
  <c r="C250" i="8"/>
  <c r="B417" i="8"/>
  <c r="C418" i="8"/>
  <c r="B127" i="8"/>
  <c r="C128" i="8"/>
  <c r="B363" i="8"/>
  <c r="C364" i="8"/>
  <c r="B364" i="8" s="1"/>
  <c r="B28" i="8"/>
  <c r="C29" i="8"/>
  <c r="B29" i="8" s="1"/>
  <c r="B399" i="8"/>
  <c r="C400" i="8"/>
  <c r="B400" i="8" s="1"/>
  <c r="B459" i="8"/>
  <c r="C460" i="8"/>
  <c r="B517" i="8"/>
  <c r="C518" i="8"/>
  <c r="B543" i="8"/>
  <c r="C544" i="8"/>
  <c r="B544" i="8" s="1"/>
  <c r="B1058" i="8"/>
  <c r="C1059" i="8"/>
  <c r="B742" i="8"/>
  <c r="C743" i="8"/>
  <c r="B379" i="8"/>
  <c r="C380" i="8"/>
  <c r="B1258" i="8"/>
  <c r="C1259" i="8"/>
  <c r="B1489" i="8"/>
  <c r="C1490" i="8"/>
  <c r="B333" i="8"/>
  <c r="C334" i="8"/>
  <c r="B1231" i="8"/>
  <c r="C1232" i="8"/>
  <c r="B505" i="8"/>
  <c r="C506" i="8"/>
  <c r="B292" i="8"/>
  <c r="C293" i="8"/>
  <c r="B1309" i="8"/>
  <c r="C1310" i="8"/>
  <c r="B225" i="8"/>
  <c r="C226" i="8"/>
  <c r="C40" i="14"/>
  <c r="C9" i="19"/>
  <c r="C11" i="19" s="1"/>
  <c r="F11" i="19" s="1"/>
  <c r="F29" i="18"/>
  <c r="G29" i="18" s="1"/>
  <c r="N12" i="19"/>
  <c r="AM12" i="19" s="1"/>
  <c r="F22" i="18"/>
  <c r="G22" i="18" s="1"/>
  <c r="G27" i="18"/>
  <c r="F20" i="18"/>
  <c r="G20" i="18" s="1"/>
  <c r="F31" i="18"/>
  <c r="G31" i="18" s="1"/>
  <c r="F23" i="18"/>
  <c r="G23" i="18" s="1"/>
  <c r="F30" i="18"/>
  <c r="G30" i="18" s="1"/>
  <c r="F19" i="18"/>
  <c r="G19" i="18" s="1"/>
  <c r="F21" i="18"/>
  <c r="G21" i="18" s="1"/>
  <c r="N18" i="19"/>
  <c r="AH9" i="19" s="1"/>
  <c r="AA5" i="17"/>
  <c r="Y5" i="17"/>
  <c r="AM5" i="17" s="1"/>
  <c r="Y19" i="17"/>
  <c r="AM19" i="17" s="1"/>
  <c r="X19" i="17"/>
  <c r="AL19" i="17" s="1"/>
  <c r="W19" i="17"/>
  <c r="AK19" i="17" s="1"/>
  <c r="V19" i="17"/>
  <c r="AJ19" i="17" s="1"/>
  <c r="U19" i="17"/>
  <c r="AI19" i="17" s="1"/>
  <c r="T19" i="17"/>
  <c r="AH19" i="17" s="1"/>
  <c r="S19" i="17"/>
  <c r="AG19" i="17" s="1"/>
  <c r="R19" i="17"/>
  <c r="AF19" i="17" s="1"/>
  <c r="Q19" i="17"/>
  <c r="AE19" i="17" s="1"/>
  <c r="P19" i="17"/>
  <c r="AD19" i="17" s="1"/>
  <c r="O19" i="17"/>
  <c r="AC19" i="17" s="1"/>
  <c r="Y18" i="17"/>
  <c r="AM18" i="17" s="1"/>
  <c r="X18" i="17"/>
  <c r="AL18" i="17" s="1"/>
  <c r="W18" i="17"/>
  <c r="AK18" i="17" s="1"/>
  <c r="V18" i="17"/>
  <c r="AJ18" i="17" s="1"/>
  <c r="U18" i="17"/>
  <c r="AI18" i="17" s="1"/>
  <c r="T18" i="17"/>
  <c r="AH18" i="17" s="1"/>
  <c r="S18" i="17"/>
  <c r="AG18" i="17" s="1"/>
  <c r="R18" i="17"/>
  <c r="AF18" i="17" s="1"/>
  <c r="Q18" i="17"/>
  <c r="AE18" i="17" s="1"/>
  <c r="P18" i="17"/>
  <c r="AD18" i="17" s="1"/>
  <c r="O18" i="17"/>
  <c r="AC18" i="17" s="1"/>
  <c r="Y17" i="17"/>
  <c r="AM17" i="17" s="1"/>
  <c r="X17" i="17"/>
  <c r="AL17" i="17" s="1"/>
  <c r="W17" i="17"/>
  <c r="AK17" i="17" s="1"/>
  <c r="V17" i="17"/>
  <c r="AJ17" i="17" s="1"/>
  <c r="U17" i="17"/>
  <c r="AI17" i="17" s="1"/>
  <c r="T17" i="17"/>
  <c r="AH17" i="17" s="1"/>
  <c r="S17" i="17"/>
  <c r="AG17" i="17" s="1"/>
  <c r="R17" i="17"/>
  <c r="AF17" i="17" s="1"/>
  <c r="Q17" i="17"/>
  <c r="AE17" i="17" s="1"/>
  <c r="P17" i="17"/>
  <c r="AD17" i="17" s="1"/>
  <c r="O17" i="17"/>
  <c r="AC17" i="17" s="1"/>
  <c r="Y16" i="17"/>
  <c r="AM16" i="17" s="1"/>
  <c r="X16" i="17"/>
  <c r="AL16" i="17" s="1"/>
  <c r="W16" i="17"/>
  <c r="AK16" i="17" s="1"/>
  <c r="V16" i="17"/>
  <c r="AJ16" i="17" s="1"/>
  <c r="U16" i="17"/>
  <c r="AI16" i="17" s="1"/>
  <c r="T16" i="17"/>
  <c r="AH16" i="17" s="1"/>
  <c r="S16" i="17"/>
  <c r="AG16" i="17" s="1"/>
  <c r="R16" i="17"/>
  <c r="AF16" i="17" s="1"/>
  <c r="Q16" i="17"/>
  <c r="AE16" i="17" s="1"/>
  <c r="P16" i="17"/>
  <c r="AD16" i="17" s="1"/>
  <c r="O16" i="17"/>
  <c r="AC16" i="17" s="1"/>
  <c r="Y15" i="17"/>
  <c r="AM15" i="17" s="1"/>
  <c r="X15" i="17"/>
  <c r="AL15" i="17" s="1"/>
  <c r="W15" i="17"/>
  <c r="AK15" i="17" s="1"/>
  <c r="V15" i="17"/>
  <c r="AJ15" i="17" s="1"/>
  <c r="U15" i="17"/>
  <c r="AI15" i="17" s="1"/>
  <c r="T15" i="17"/>
  <c r="AH15" i="17" s="1"/>
  <c r="S15" i="17"/>
  <c r="AG15" i="17" s="1"/>
  <c r="R15" i="17"/>
  <c r="AF15" i="17" s="1"/>
  <c r="Q15" i="17"/>
  <c r="AE15" i="17" s="1"/>
  <c r="P15" i="17"/>
  <c r="AD15" i="17" s="1"/>
  <c r="O15" i="17"/>
  <c r="AC15" i="17" s="1"/>
  <c r="Y14" i="17"/>
  <c r="AM14" i="17" s="1"/>
  <c r="X14" i="17"/>
  <c r="AL14" i="17" s="1"/>
  <c r="W14" i="17"/>
  <c r="AK14" i="17" s="1"/>
  <c r="V14" i="17"/>
  <c r="AJ14" i="17" s="1"/>
  <c r="U14" i="17"/>
  <c r="AI14" i="17" s="1"/>
  <c r="T14" i="17"/>
  <c r="AH14" i="17" s="1"/>
  <c r="S14" i="17"/>
  <c r="AG14" i="17" s="1"/>
  <c r="R14" i="17"/>
  <c r="AF14" i="17" s="1"/>
  <c r="Q14" i="17"/>
  <c r="AE14" i="17" s="1"/>
  <c r="P14" i="17"/>
  <c r="AD14" i="17" s="1"/>
  <c r="O14" i="17"/>
  <c r="AC14" i="17" s="1"/>
  <c r="Y13" i="17"/>
  <c r="AM13" i="17" s="1"/>
  <c r="X13" i="17"/>
  <c r="AL13" i="17" s="1"/>
  <c r="W13" i="17"/>
  <c r="AK13" i="17" s="1"/>
  <c r="V13" i="17"/>
  <c r="AJ13" i="17" s="1"/>
  <c r="U13" i="17"/>
  <c r="AI13" i="17" s="1"/>
  <c r="T13" i="17"/>
  <c r="AH13" i="17" s="1"/>
  <c r="S13" i="17"/>
  <c r="AG13" i="17" s="1"/>
  <c r="R13" i="17"/>
  <c r="AF13" i="17" s="1"/>
  <c r="Q13" i="17"/>
  <c r="AE13" i="17" s="1"/>
  <c r="P13" i="17"/>
  <c r="AD13" i="17" s="1"/>
  <c r="O13" i="17"/>
  <c r="AC13" i="17" s="1"/>
  <c r="Y12" i="17"/>
  <c r="AM12" i="17" s="1"/>
  <c r="X12" i="17"/>
  <c r="AL12" i="17" s="1"/>
  <c r="W12" i="17"/>
  <c r="AK12" i="17" s="1"/>
  <c r="V12" i="17"/>
  <c r="AJ12" i="17" s="1"/>
  <c r="U12" i="17"/>
  <c r="AI12" i="17" s="1"/>
  <c r="T12" i="17"/>
  <c r="AH12" i="17" s="1"/>
  <c r="S12" i="17"/>
  <c r="AG12" i="17" s="1"/>
  <c r="R12" i="17"/>
  <c r="AF12" i="17" s="1"/>
  <c r="Q12" i="17"/>
  <c r="AE12" i="17" s="1"/>
  <c r="P12" i="17"/>
  <c r="AD12" i="17" s="1"/>
  <c r="O12" i="17"/>
  <c r="AC12" i="17" s="1"/>
  <c r="Y11" i="17"/>
  <c r="AM11" i="17" s="1"/>
  <c r="X11" i="17"/>
  <c r="AL11" i="17" s="1"/>
  <c r="W11" i="17"/>
  <c r="AK11" i="17" s="1"/>
  <c r="V11" i="17"/>
  <c r="AJ11" i="17" s="1"/>
  <c r="U11" i="17"/>
  <c r="AI11" i="17" s="1"/>
  <c r="T11" i="17"/>
  <c r="AH11" i="17" s="1"/>
  <c r="S11" i="17"/>
  <c r="AG11" i="17" s="1"/>
  <c r="R11" i="17"/>
  <c r="AF11" i="17" s="1"/>
  <c r="Q11" i="17"/>
  <c r="AE11" i="17" s="1"/>
  <c r="P11" i="17"/>
  <c r="AD11" i="17" s="1"/>
  <c r="O11" i="17"/>
  <c r="AC11" i="17" s="1"/>
  <c r="Y10" i="17"/>
  <c r="AM10" i="17" s="1"/>
  <c r="X10" i="17"/>
  <c r="AL10" i="17" s="1"/>
  <c r="W10" i="17"/>
  <c r="AK10" i="17" s="1"/>
  <c r="V10" i="17"/>
  <c r="AJ10" i="17" s="1"/>
  <c r="U10" i="17"/>
  <c r="AI10" i="17" s="1"/>
  <c r="T10" i="17"/>
  <c r="AH10" i="17" s="1"/>
  <c r="S10" i="17"/>
  <c r="AG10" i="17" s="1"/>
  <c r="R10" i="17"/>
  <c r="AF10" i="17" s="1"/>
  <c r="Q10" i="17"/>
  <c r="AE10" i="17" s="1"/>
  <c r="P10" i="17"/>
  <c r="AD10" i="17" s="1"/>
  <c r="O10" i="17"/>
  <c r="AC10" i="17" s="1"/>
  <c r="Y9" i="17"/>
  <c r="AM9" i="17" s="1"/>
  <c r="X9" i="17"/>
  <c r="AL9" i="17" s="1"/>
  <c r="W9" i="17"/>
  <c r="AK9" i="17" s="1"/>
  <c r="V9" i="17"/>
  <c r="AJ9" i="17" s="1"/>
  <c r="U9" i="17"/>
  <c r="AI9" i="17" s="1"/>
  <c r="T9" i="17"/>
  <c r="AH9" i="17" s="1"/>
  <c r="S9" i="17"/>
  <c r="AG9" i="17" s="1"/>
  <c r="R9" i="17"/>
  <c r="AF9" i="17" s="1"/>
  <c r="Q9" i="17"/>
  <c r="AE9" i="17" s="1"/>
  <c r="P9" i="17"/>
  <c r="AD9" i="17" s="1"/>
  <c r="O9" i="17"/>
  <c r="AC9" i="17" s="1"/>
  <c r="Y8" i="17"/>
  <c r="AM8" i="17" s="1"/>
  <c r="X8" i="17"/>
  <c r="AL8" i="17" s="1"/>
  <c r="W8" i="17"/>
  <c r="AK8" i="17" s="1"/>
  <c r="V8" i="17"/>
  <c r="AJ8" i="17" s="1"/>
  <c r="U8" i="17"/>
  <c r="AI8" i="17" s="1"/>
  <c r="T8" i="17"/>
  <c r="AH8" i="17" s="1"/>
  <c r="S8" i="17"/>
  <c r="AG8" i="17" s="1"/>
  <c r="R8" i="17"/>
  <c r="AF8" i="17" s="1"/>
  <c r="Q8" i="17"/>
  <c r="AE8" i="17" s="1"/>
  <c r="P8" i="17"/>
  <c r="AD8" i="17" s="1"/>
  <c r="O8" i="17"/>
  <c r="AC8" i="17" s="1"/>
  <c r="V6" i="17"/>
  <c r="AJ6" i="17" s="1"/>
  <c r="W6" i="17"/>
  <c r="AK6" i="17" s="1"/>
  <c r="X6" i="17"/>
  <c r="AL6" i="17" s="1"/>
  <c r="Y6" i="17"/>
  <c r="AM6" i="17" s="1"/>
  <c r="V7" i="17"/>
  <c r="AJ7" i="17" s="1"/>
  <c r="W7" i="17"/>
  <c r="AK7" i="17" s="1"/>
  <c r="X7" i="17"/>
  <c r="AL7" i="17" s="1"/>
  <c r="Y7" i="17"/>
  <c r="AM7" i="17" s="1"/>
  <c r="V5" i="17"/>
  <c r="AJ5" i="17" s="1"/>
  <c r="W5" i="17"/>
  <c r="AK5" i="17" s="1"/>
  <c r="X5" i="17"/>
  <c r="AL5" i="17" s="1"/>
  <c r="F24" i="2"/>
  <c r="E38" i="2"/>
  <c r="E39" i="2"/>
  <c r="E40" i="2"/>
  <c r="E41" i="2"/>
  <c r="E42" i="2"/>
  <c r="D42" i="5"/>
  <c r="D35" i="5"/>
  <c r="D36" i="5"/>
  <c r="D37" i="5"/>
  <c r="D38" i="5"/>
  <c r="D39" i="5"/>
  <c r="D40" i="5"/>
  <c r="D41" i="5"/>
  <c r="T202" i="5"/>
  <c r="S202" i="5"/>
  <c r="R202" i="5"/>
  <c r="Q202" i="5"/>
  <c r="P202" i="5"/>
  <c r="O202" i="5"/>
  <c r="N202" i="5"/>
  <c r="M202" i="5"/>
  <c r="L202" i="5"/>
  <c r="K202" i="5"/>
  <c r="J202" i="5"/>
  <c r="I202" i="5"/>
  <c r="H202" i="5"/>
  <c r="G202" i="5"/>
  <c r="F202" i="5"/>
  <c r="E202" i="5"/>
  <c r="D202" i="5"/>
  <c r="T201" i="5"/>
  <c r="S201" i="5"/>
  <c r="R201" i="5"/>
  <c r="Q201" i="5"/>
  <c r="P201" i="5"/>
  <c r="O201" i="5"/>
  <c r="N201" i="5"/>
  <c r="M201" i="5"/>
  <c r="L201" i="5"/>
  <c r="K201" i="5"/>
  <c r="J201" i="5"/>
  <c r="I201" i="5"/>
  <c r="H201" i="5"/>
  <c r="G201" i="5"/>
  <c r="F201" i="5"/>
  <c r="E201" i="5"/>
  <c r="D201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D200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D199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8" i="5"/>
  <c r="T197" i="5"/>
  <c r="S197" i="5"/>
  <c r="R197" i="5"/>
  <c r="Q197" i="5"/>
  <c r="P197" i="5"/>
  <c r="O197" i="5"/>
  <c r="N197" i="5"/>
  <c r="M197" i="5"/>
  <c r="L197" i="5"/>
  <c r="K197" i="5"/>
  <c r="J197" i="5"/>
  <c r="I197" i="5"/>
  <c r="H197" i="5"/>
  <c r="G197" i="5"/>
  <c r="F197" i="5"/>
  <c r="E197" i="5"/>
  <c r="D197" i="5"/>
  <c r="T196" i="5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T195" i="5"/>
  <c r="S195" i="5"/>
  <c r="R195" i="5"/>
  <c r="Q195" i="5"/>
  <c r="P195" i="5"/>
  <c r="O195" i="5"/>
  <c r="N195" i="5"/>
  <c r="M195" i="5"/>
  <c r="L195" i="5"/>
  <c r="K195" i="5"/>
  <c r="J195" i="5"/>
  <c r="I195" i="5"/>
  <c r="H195" i="5"/>
  <c r="G195" i="5"/>
  <c r="F195" i="5"/>
  <c r="E195" i="5"/>
  <c r="D195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4" i="5"/>
  <c r="T193" i="5"/>
  <c r="S193" i="5"/>
  <c r="R193" i="5"/>
  <c r="Q193" i="5"/>
  <c r="P193" i="5"/>
  <c r="O193" i="5"/>
  <c r="N193" i="5"/>
  <c r="M193" i="5"/>
  <c r="L193" i="5"/>
  <c r="K193" i="5"/>
  <c r="J193" i="5"/>
  <c r="I193" i="5"/>
  <c r="H193" i="5"/>
  <c r="G193" i="5"/>
  <c r="F193" i="5"/>
  <c r="E193" i="5"/>
  <c r="D193" i="5"/>
  <c r="T192" i="5"/>
  <c r="S192" i="5"/>
  <c r="R192" i="5"/>
  <c r="Q192" i="5"/>
  <c r="P192" i="5"/>
  <c r="O192" i="5"/>
  <c r="N192" i="5"/>
  <c r="M192" i="5"/>
  <c r="L192" i="5"/>
  <c r="K192" i="5"/>
  <c r="J192" i="5"/>
  <c r="I192" i="5"/>
  <c r="H192" i="5"/>
  <c r="G192" i="5"/>
  <c r="F192" i="5"/>
  <c r="E192" i="5"/>
  <c r="D192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T190" i="5"/>
  <c r="S190" i="5"/>
  <c r="R190" i="5"/>
  <c r="Q190" i="5"/>
  <c r="P190" i="5"/>
  <c r="O190" i="5"/>
  <c r="N190" i="5"/>
  <c r="M190" i="5"/>
  <c r="L190" i="5"/>
  <c r="K190" i="5"/>
  <c r="J190" i="5"/>
  <c r="I190" i="5"/>
  <c r="H190" i="5"/>
  <c r="G190" i="5"/>
  <c r="F190" i="5"/>
  <c r="E190" i="5"/>
  <c r="D190" i="5"/>
  <c r="T189" i="5"/>
  <c r="S189" i="5"/>
  <c r="R189" i="5"/>
  <c r="Q189" i="5"/>
  <c r="P189" i="5"/>
  <c r="O189" i="5"/>
  <c r="N189" i="5"/>
  <c r="M189" i="5"/>
  <c r="L189" i="5"/>
  <c r="K189" i="5"/>
  <c r="J189" i="5"/>
  <c r="I189" i="5"/>
  <c r="H189" i="5"/>
  <c r="G189" i="5"/>
  <c r="F189" i="5"/>
  <c r="E189" i="5"/>
  <c r="D189" i="5"/>
  <c r="T188" i="5"/>
  <c r="S188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8" i="5"/>
  <c r="T187" i="5"/>
  <c r="S187" i="5"/>
  <c r="R187" i="5"/>
  <c r="Q187" i="5"/>
  <c r="P187" i="5"/>
  <c r="O187" i="5"/>
  <c r="N187" i="5"/>
  <c r="M187" i="5"/>
  <c r="L187" i="5"/>
  <c r="K187" i="5"/>
  <c r="J187" i="5"/>
  <c r="I187" i="5"/>
  <c r="H187" i="5"/>
  <c r="G187" i="5"/>
  <c r="F187" i="5"/>
  <c r="E187" i="5"/>
  <c r="D187" i="5"/>
  <c r="T186" i="5"/>
  <c r="S186" i="5"/>
  <c r="R186" i="5"/>
  <c r="Q186" i="5"/>
  <c r="P186" i="5"/>
  <c r="O186" i="5"/>
  <c r="N186" i="5"/>
  <c r="M186" i="5"/>
  <c r="L186" i="5"/>
  <c r="K186" i="5"/>
  <c r="J186" i="5"/>
  <c r="I186" i="5"/>
  <c r="H186" i="5"/>
  <c r="G186" i="5"/>
  <c r="F186" i="5"/>
  <c r="E186" i="5"/>
  <c r="D186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5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E184" i="5"/>
  <c r="D184" i="5"/>
  <c r="T183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2" i="5"/>
  <c r="T181" i="5"/>
  <c r="S181" i="5"/>
  <c r="R181" i="5"/>
  <c r="Q181" i="5"/>
  <c r="P181" i="5"/>
  <c r="O181" i="5"/>
  <c r="N181" i="5"/>
  <c r="M181" i="5"/>
  <c r="L181" i="5"/>
  <c r="K181" i="5"/>
  <c r="J181" i="5"/>
  <c r="I181" i="5"/>
  <c r="H181" i="5"/>
  <c r="G181" i="5"/>
  <c r="F181" i="5"/>
  <c r="E181" i="5"/>
  <c r="D181" i="5"/>
  <c r="T180" i="5"/>
  <c r="S180" i="5"/>
  <c r="R180" i="5"/>
  <c r="Q180" i="5"/>
  <c r="P180" i="5"/>
  <c r="O180" i="5"/>
  <c r="N180" i="5"/>
  <c r="M180" i="5"/>
  <c r="L180" i="5"/>
  <c r="K180" i="5"/>
  <c r="J180" i="5"/>
  <c r="I180" i="5"/>
  <c r="H180" i="5"/>
  <c r="G180" i="5"/>
  <c r="F180" i="5"/>
  <c r="E180" i="5"/>
  <c r="D180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T178" i="5"/>
  <c r="S178" i="5"/>
  <c r="R178" i="5"/>
  <c r="Q178" i="5"/>
  <c r="P178" i="5"/>
  <c r="O178" i="5"/>
  <c r="N178" i="5"/>
  <c r="M178" i="5"/>
  <c r="L178" i="5"/>
  <c r="K178" i="5"/>
  <c r="J178" i="5"/>
  <c r="I178" i="5"/>
  <c r="H178" i="5"/>
  <c r="G178" i="5"/>
  <c r="F178" i="5"/>
  <c r="E178" i="5"/>
  <c r="D178" i="5"/>
  <c r="T177" i="5"/>
  <c r="S177" i="5"/>
  <c r="R177" i="5"/>
  <c r="Q177" i="5"/>
  <c r="P177" i="5"/>
  <c r="O177" i="5"/>
  <c r="N177" i="5"/>
  <c r="M177" i="5"/>
  <c r="L177" i="5"/>
  <c r="K177" i="5"/>
  <c r="J177" i="5"/>
  <c r="I177" i="5"/>
  <c r="H177" i="5"/>
  <c r="G177" i="5"/>
  <c r="F177" i="5"/>
  <c r="E177" i="5"/>
  <c r="D177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6" i="5"/>
  <c r="T175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T174" i="5"/>
  <c r="S174" i="5"/>
  <c r="R174" i="5"/>
  <c r="Q174" i="5"/>
  <c r="P174" i="5"/>
  <c r="O174" i="5"/>
  <c r="N174" i="5"/>
  <c r="M174" i="5"/>
  <c r="L174" i="5"/>
  <c r="K174" i="5"/>
  <c r="J174" i="5"/>
  <c r="I174" i="5"/>
  <c r="H174" i="5"/>
  <c r="G174" i="5"/>
  <c r="F174" i="5"/>
  <c r="E174" i="5"/>
  <c r="D174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3" i="5"/>
  <c r="T172" i="5"/>
  <c r="S172" i="5"/>
  <c r="R172" i="5"/>
  <c r="Q172" i="5"/>
  <c r="P172" i="5"/>
  <c r="O172" i="5"/>
  <c r="N172" i="5"/>
  <c r="M172" i="5"/>
  <c r="L172" i="5"/>
  <c r="K172" i="5"/>
  <c r="J172" i="5"/>
  <c r="I172" i="5"/>
  <c r="H172" i="5"/>
  <c r="G172" i="5"/>
  <c r="F172" i="5"/>
  <c r="E172" i="5"/>
  <c r="D172" i="5"/>
  <c r="T171" i="5"/>
  <c r="S171" i="5"/>
  <c r="R171" i="5"/>
  <c r="Q171" i="5"/>
  <c r="P171" i="5"/>
  <c r="O171" i="5"/>
  <c r="N171" i="5"/>
  <c r="M171" i="5"/>
  <c r="L171" i="5"/>
  <c r="K171" i="5"/>
  <c r="J171" i="5"/>
  <c r="I171" i="5"/>
  <c r="H171" i="5"/>
  <c r="G171" i="5"/>
  <c r="F171" i="5"/>
  <c r="E171" i="5"/>
  <c r="D171" i="5"/>
  <c r="T170" i="5"/>
  <c r="S170" i="5"/>
  <c r="R170" i="5"/>
  <c r="Q170" i="5"/>
  <c r="P170" i="5"/>
  <c r="O170" i="5"/>
  <c r="N170" i="5"/>
  <c r="M170" i="5"/>
  <c r="L170" i="5"/>
  <c r="K170" i="5"/>
  <c r="J170" i="5"/>
  <c r="I170" i="5"/>
  <c r="H170" i="5"/>
  <c r="G170" i="5"/>
  <c r="F170" i="5"/>
  <c r="E170" i="5"/>
  <c r="D170" i="5"/>
  <c r="T169" i="5"/>
  <c r="S169" i="5"/>
  <c r="R169" i="5"/>
  <c r="Q169" i="5"/>
  <c r="P169" i="5"/>
  <c r="O169" i="5"/>
  <c r="N169" i="5"/>
  <c r="M169" i="5"/>
  <c r="L169" i="5"/>
  <c r="K169" i="5"/>
  <c r="J169" i="5"/>
  <c r="I169" i="5"/>
  <c r="H169" i="5"/>
  <c r="G169" i="5"/>
  <c r="F169" i="5"/>
  <c r="E169" i="5"/>
  <c r="D169" i="5"/>
  <c r="T168" i="5"/>
  <c r="S168" i="5"/>
  <c r="R168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D168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7" i="5"/>
  <c r="T166" i="5"/>
  <c r="S166" i="5"/>
  <c r="R166" i="5"/>
  <c r="Q166" i="5"/>
  <c r="P166" i="5"/>
  <c r="O166" i="5"/>
  <c r="N166" i="5"/>
  <c r="M166" i="5"/>
  <c r="L166" i="5"/>
  <c r="K166" i="5"/>
  <c r="J166" i="5"/>
  <c r="I166" i="5"/>
  <c r="H166" i="5"/>
  <c r="G166" i="5"/>
  <c r="F166" i="5"/>
  <c r="E166" i="5"/>
  <c r="D166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4" i="5"/>
  <c r="T163" i="5"/>
  <c r="S163" i="5"/>
  <c r="R163" i="5"/>
  <c r="Q163" i="5"/>
  <c r="P163" i="5"/>
  <c r="O163" i="5"/>
  <c r="N163" i="5"/>
  <c r="M163" i="5"/>
  <c r="L163" i="5"/>
  <c r="K163" i="5"/>
  <c r="J163" i="5"/>
  <c r="I163" i="5"/>
  <c r="H163" i="5"/>
  <c r="G163" i="5"/>
  <c r="F163" i="5"/>
  <c r="E163" i="5"/>
  <c r="D163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61" i="5"/>
  <c r="T160" i="5"/>
  <c r="S160" i="5"/>
  <c r="R160" i="5"/>
  <c r="Q160" i="5"/>
  <c r="P160" i="5"/>
  <c r="O160" i="5"/>
  <c r="N160" i="5"/>
  <c r="M160" i="5"/>
  <c r="L160" i="5"/>
  <c r="K160" i="5"/>
  <c r="J160" i="5"/>
  <c r="I160" i="5"/>
  <c r="H160" i="5"/>
  <c r="G160" i="5"/>
  <c r="F160" i="5"/>
  <c r="E160" i="5"/>
  <c r="D160" i="5"/>
  <c r="T159" i="5"/>
  <c r="S159" i="5"/>
  <c r="R159" i="5"/>
  <c r="Q159" i="5"/>
  <c r="P159" i="5"/>
  <c r="O159" i="5"/>
  <c r="N159" i="5"/>
  <c r="M159" i="5"/>
  <c r="L159" i="5"/>
  <c r="K159" i="5"/>
  <c r="J159" i="5"/>
  <c r="I159" i="5"/>
  <c r="H159" i="5"/>
  <c r="G159" i="5"/>
  <c r="F159" i="5"/>
  <c r="E159" i="5"/>
  <c r="D159" i="5"/>
  <c r="T158" i="5"/>
  <c r="S158" i="5"/>
  <c r="R158" i="5"/>
  <c r="Q158" i="5"/>
  <c r="P158" i="5"/>
  <c r="O158" i="5"/>
  <c r="N158" i="5"/>
  <c r="M158" i="5"/>
  <c r="L158" i="5"/>
  <c r="K158" i="5"/>
  <c r="J158" i="5"/>
  <c r="I158" i="5"/>
  <c r="H158" i="5"/>
  <c r="G158" i="5"/>
  <c r="F158" i="5"/>
  <c r="E158" i="5"/>
  <c r="D158" i="5"/>
  <c r="T157" i="5"/>
  <c r="S157" i="5"/>
  <c r="R157" i="5"/>
  <c r="Q157" i="5"/>
  <c r="P157" i="5"/>
  <c r="O157" i="5"/>
  <c r="N157" i="5"/>
  <c r="M157" i="5"/>
  <c r="L157" i="5"/>
  <c r="K157" i="5"/>
  <c r="J157" i="5"/>
  <c r="I157" i="5"/>
  <c r="H157" i="5"/>
  <c r="G157" i="5"/>
  <c r="F157" i="5"/>
  <c r="E157" i="5"/>
  <c r="D157" i="5"/>
  <c r="T156" i="5"/>
  <c r="S156" i="5"/>
  <c r="R156" i="5"/>
  <c r="Q156" i="5"/>
  <c r="P156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T155" i="5"/>
  <c r="S155" i="5"/>
  <c r="R155" i="5"/>
  <c r="Q155" i="5"/>
  <c r="P155" i="5"/>
  <c r="O155" i="5"/>
  <c r="N155" i="5"/>
  <c r="M155" i="5"/>
  <c r="L155" i="5"/>
  <c r="K155" i="5"/>
  <c r="J155" i="5"/>
  <c r="I155" i="5"/>
  <c r="H155" i="5"/>
  <c r="G155" i="5"/>
  <c r="F155" i="5"/>
  <c r="E155" i="5"/>
  <c r="D155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D154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T151" i="5"/>
  <c r="S151" i="5"/>
  <c r="R151" i="5"/>
  <c r="Q151" i="5"/>
  <c r="P151" i="5"/>
  <c r="O151" i="5"/>
  <c r="N151" i="5"/>
  <c r="M151" i="5"/>
  <c r="L151" i="5"/>
  <c r="K151" i="5"/>
  <c r="J151" i="5"/>
  <c r="I151" i="5"/>
  <c r="H151" i="5"/>
  <c r="G151" i="5"/>
  <c r="F151" i="5"/>
  <c r="E151" i="5"/>
  <c r="D151" i="5"/>
  <c r="T150" i="5"/>
  <c r="S150" i="5"/>
  <c r="R150" i="5"/>
  <c r="Q150" i="5"/>
  <c r="P150" i="5"/>
  <c r="O150" i="5"/>
  <c r="N150" i="5"/>
  <c r="M150" i="5"/>
  <c r="L150" i="5"/>
  <c r="K150" i="5"/>
  <c r="J150" i="5"/>
  <c r="I150" i="5"/>
  <c r="H150" i="5"/>
  <c r="G150" i="5"/>
  <c r="F150" i="5"/>
  <c r="E150" i="5"/>
  <c r="D150" i="5"/>
  <c r="T149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8" i="5"/>
  <c r="T147" i="5"/>
  <c r="S147" i="5"/>
  <c r="R147" i="5"/>
  <c r="Q147" i="5"/>
  <c r="P147" i="5"/>
  <c r="O147" i="5"/>
  <c r="N147" i="5"/>
  <c r="M147" i="5"/>
  <c r="L147" i="5"/>
  <c r="K147" i="5"/>
  <c r="J147" i="5"/>
  <c r="I147" i="5"/>
  <c r="H147" i="5"/>
  <c r="G147" i="5"/>
  <c r="F147" i="5"/>
  <c r="E147" i="5"/>
  <c r="D147" i="5"/>
  <c r="T146" i="5"/>
  <c r="S146" i="5"/>
  <c r="R146" i="5"/>
  <c r="Q146" i="5"/>
  <c r="P146" i="5"/>
  <c r="O146" i="5"/>
  <c r="N146" i="5"/>
  <c r="M146" i="5"/>
  <c r="L146" i="5"/>
  <c r="K146" i="5"/>
  <c r="J146" i="5"/>
  <c r="I146" i="5"/>
  <c r="H146" i="5"/>
  <c r="G146" i="5"/>
  <c r="F146" i="5"/>
  <c r="E146" i="5"/>
  <c r="D146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5" i="5"/>
  <c r="T144" i="5"/>
  <c r="S144" i="5"/>
  <c r="R144" i="5"/>
  <c r="Q144" i="5"/>
  <c r="P144" i="5"/>
  <c r="O144" i="5"/>
  <c r="N144" i="5"/>
  <c r="M144" i="5"/>
  <c r="L144" i="5"/>
  <c r="K144" i="5"/>
  <c r="J144" i="5"/>
  <c r="I144" i="5"/>
  <c r="H144" i="5"/>
  <c r="G144" i="5"/>
  <c r="F144" i="5"/>
  <c r="E144" i="5"/>
  <c r="D144" i="5"/>
  <c r="T143" i="5"/>
  <c r="S143" i="5"/>
  <c r="R143" i="5"/>
  <c r="Q143" i="5"/>
  <c r="P143" i="5"/>
  <c r="O143" i="5"/>
  <c r="N143" i="5"/>
  <c r="M143" i="5"/>
  <c r="L143" i="5"/>
  <c r="K143" i="5"/>
  <c r="J143" i="5"/>
  <c r="I143" i="5"/>
  <c r="H143" i="5"/>
  <c r="G143" i="5"/>
  <c r="F143" i="5"/>
  <c r="E143" i="5"/>
  <c r="D143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2" i="5"/>
  <c r="T141" i="5"/>
  <c r="S141" i="5"/>
  <c r="R141" i="5"/>
  <c r="Q141" i="5"/>
  <c r="P141" i="5"/>
  <c r="O141" i="5"/>
  <c r="N141" i="5"/>
  <c r="M141" i="5"/>
  <c r="L141" i="5"/>
  <c r="K141" i="5"/>
  <c r="J141" i="5"/>
  <c r="I141" i="5"/>
  <c r="H141" i="5"/>
  <c r="G141" i="5"/>
  <c r="F141" i="5"/>
  <c r="E141" i="5"/>
  <c r="D141" i="5"/>
  <c r="T140" i="5"/>
  <c r="S140" i="5"/>
  <c r="R140" i="5"/>
  <c r="Q140" i="5"/>
  <c r="P140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9" i="5"/>
  <c r="T138" i="5"/>
  <c r="S138" i="5"/>
  <c r="R138" i="5"/>
  <c r="Q138" i="5"/>
  <c r="P138" i="5"/>
  <c r="O138" i="5"/>
  <c r="N138" i="5"/>
  <c r="M138" i="5"/>
  <c r="L138" i="5"/>
  <c r="K138" i="5"/>
  <c r="J138" i="5"/>
  <c r="I138" i="5"/>
  <c r="H138" i="5"/>
  <c r="G138" i="5"/>
  <c r="F138" i="5"/>
  <c r="E138" i="5"/>
  <c r="D138" i="5"/>
  <c r="T137" i="5"/>
  <c r="S137" i="5"/>
  <c r="R137" i="5"/>
  <c r="Q137" i="5"/>
  <c r="P137" i="5"/>
  <c r="O137" i="5"/>
  <c r="N137" i="5"/>
  <c r="M137" i="5"/>
  <c r="L137" i="5"/>
  <c r="K137" i="5"/>
  <c r="J137" i="5"/>
  <c r="I137" i="5"/>
  <c r="H137" i="5"/>
  <c r="G137" i="5"/>
  <c r="F137" i="5"/>
  <c r="E137" i="5"/>
  <c r="D137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T135" i="5"/>
  <c r="S135" i="5"/>
  <c r="R135" i="5"/>
  <c r="Q135" i="5"/>
  <c r="P135" i="5"/>
  <c r="O135" i="5"/>
  <c r="N135" i="5"/>
  <c r="M135" i="5"/>
  <c r="L135" i="5"/>
  <c r="K135" i="5"/>
  <c r="J135" i="5"/>
  <c r="I135" i="5"/>
  <c r="H135" i="5"/>
  <c r="G135" i="5"/>
  <c r="F135" i="5"/>
  <c r="E135" i="5"/>
  <c r="D135" i="5"/>
  <c r="T134" i="5"/>
  <c r="S134" i="5"/>
  <c r="R134" i="5"/>
  <c r="Q134" i="5"/>
  <c r="P134" i="5"/>
  <c r="O134" i="5"/>
  <c r="N134" i="5"/>
  <c r="M134" i="5"/>
  <c r="L134" i="5"/>
  <c r="K134" i="5"/>
  <c r="J134" i="5"/>
  <c r="I134" i="5"/>
  <c r="H134" i="5"/>
  <c r="G134" i="5"/>
  <c r="F134" i="5"/>
  <c r="E134" i="5"/>
  <c r="D134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G133" i="5"/>
  <c r="F133" i="5"/>
  <c r="E133" i="5"/>
  <c r="D133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E132" i="5"/>
  <c r="D132" i="5"/>
  <c r="T131" i="5"/>
  <c r="S131" i="5"/>
  <c r="R131" i="5"/>
  <c r="Q131" i="5"/>
  <c r="P131" i="5"/>
  <c r="O131" i="5"/>
  <c r="N131" i="5"/>
  <c r="M131" i="5"/>
  <c r="L131" i="5"/>
  <c r="K131" i="5"/>
  <c r="J131" i="5"/>
  <c r="I131" i="5"/>
  <c r="H131" i="5"/>
  <c r="G131" i="5"/>
  <c r="F131" i="5"/>
  <c r="E131" i="5"/>
  <c r="D131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G130" i="5"/>
  <c r="F130" i="5"/>
  <c r="E130" i="5"/>
  <c r="D130" i="5"/>
  <c r="T129" i="5"/>
  <c r="S129" i="5"/>
  <c r="R129" i="5"/>
  <c r="Q129" i="5"/>
  <c r="P129" i="5"/>
  <c r="O129" i="5"/>
  <c r="N129" i="5"/>
  <c r="M129" i="5"/>
  <c r="L129" i="5"/>
  <c r="K129" i="5"/>
  <c r="J129" i="5"/>
  <c r="I129" i="5"/>
  <c r="H129" i="5"/>
  <c r="G129" i="5"/>
  <c r="F129" i="5"/>
  <c r="E129" i="5"/>
  <c r="D129" i="5"/>
  <c r="T128" i="5"/>
  <c r="S128" i="5"/>
  <c r="R128" i="5"/>
  <c r="Q128" i="5"/>
  <c r="P128" i="5"/>
  <c r="O128" i="5"/>
  <c r="N128" i="5"/>
  <c r="M128" i="5"/>
  <c r="L128" i="5"/>
  <c r="K128" i="5"/>
  <c r="J128" i="5"/>
  <c r="I128" i="5"/>
  <c r="H128" i="5"/>
  <c r="G128" i="5"/>
  <c r="F128" i="5"/>
  <c r="E128" i="5"/>
  <c r="D128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G127" i="5"/>
  <c r="F127" i="5"/>
  <c r="E127" i="5"/>
  <c r="T126" i="5"/>
  <c r="S126" i="5"/>
  <c r="R126" i="5"/>
  <c r="Q126" i="5"/>
  <c r="P126" i="5"/>
  <c r="O126" i="5"/>
  <c r="N126" i="5"/>
  <c r="M126" i="5"/>
  <c r="L126" i="5"/>
  <c r="K126" i="5"/>
  <c r="J126" i="5"/>
  <c r="I126" i="5"/>
  <c r="H126" i="5"/>
  <c r="G126" i="5"/>
  <c r="F126" i="5"/>
  <c r="E126" i="5"/>
  <c r="T125" i="5"/>
  <c r="S125" i="5"/>
  <c r="R125" i="5"/>
  <c r="Q125" i="5"/>
  <c r="P125" i="5"/>
  <c r="O125" i="5"/>
  <c r="N125" i="5"/>
  <c r="M125" i="5"/>
  <c r="L125" i="5"/>
  <c r="K125" i="5"/>
  <c r="J125" i="5"/>
  <c r="I125" i="5"/>
  <c r="H125" i="5"/>
  <c r="G125" i="5"/>
  <c r="F125" i="5"/>
  <c r="E125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G124" i="5"/>
  <c r="F124" i="5"/>
  <c r="E124" i="5"/>
  <c r="T123" i="5"/>
  <c r="S123" i="5"/>
  <c r="R123" i="5"/>
  <c r="Q123" i="5"/>
  <c r="P123" i="5"/>
  <c r="O123" i="5"/>
  <c r="N123" i="5"/>
  <c r="M123" i="5"/>
  <c r="L123" i="5"/>
  <c r="K123" i="5"/>
  <c r="J123" i="5"/>
  <c r="I123" i="5"/>
  <c r="H123" i="5"/>
  <c r="G123" i="5"/>
  <c r="F123" i="5"/>
  <c r="E123" i="5"/>
  <c r="T122" i="5"/>
  <c r="S122" i="5"/>
  <c r="R122" i="5"/>
  <c r="Q122" i="5"/>
  <c r="P122" i="5"/>
  <c r="O122" i="5"/>
  <c r="N122" i="5"/>
  <c r="M122" i="5"/>
  <c r="L122" i="5"/>
  <c r="K122" i="5"/>
  <c r="J122" i="5"/>
  <c r="I122" i="5"/>
  <c r="H122" i="5"/>
  <c r="G122" i="5"/>
  <c r="F122" i="5"/>
  <c r="E122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G121" i="5"/>
  <c r="F121" i="5"/>
  <c r="E121" i="5"/>
  <c r="T120" i="5"/>
  <c r="S120" i="5"/>
  <c r="R120" i="5"/>
  <c r="Q120" i="5"/>
  <c r="P120" i="5"/>
  <c r="O120" i="5"/>
  <c r="N120" i="5"/>
  <c r="M120" i="5"/>
  <c r="L120" i="5"/>
  <c r="K120" i="5"/>
  <c r="J120" i="5"/>
  <c r="I120" i="5"/>
  <c r="H120" i="5"/>
  <c r="G120" i="5"/>
  <c r="F120" i="5"/>
  <c r="E120" i="5"/>
  <c r="T119" i="5"/>
  <c r="S119" i="5"/>
  <c r="R119" i="5"/>
  <c r="Q119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H9" i="12"/>
  <c r="K9" i="12"/>
  <c r="B354" i="8" l="1"/>
  <c r="C355" i="8"/>
  <c r="B355" i="8" s="1"/>
  <c r="B226" i="8"/>
  <c r="C227" i="8"/>
  <c r="B506" i="8"/>
  <c r="C507" i="8"/>
  <c r="B1490" i="8"/>
  <c r="C1491" i="8"/>
  <c r="B743" i="8"/>
  <c r="C744" i="8"/>
  <c r="B518" i="8"/>
  <c r="C519" i="8"/>
  <c r="B418" i="8"/>
  <c r="C419" i="8"/>
  <c r="B184" i="8"/>
  <c r="C185" i="8"/>
  <c r="B1107" i="8"/>
  <c r="C1108" i="8"/>
  <c r="B1415" i="8"/>
  <c r="C1416" i="8"/>
  <c r="B214" i="8"/>
  <c r="C215" i="8"/>
  <c r="B1245" i="8"/>
  <c r="C1246" i="8"/>
  <c r="B578" i="8"/>
  <c r="C579" i="8"/>
  <c r="B1310" i="8"/>
  <c r="C1311" i="8"/>
  <c r="B1232" i="8"/>
  <c r="C1233" i="8"/>
  <c r="B1259" i="8"/>
  <c r="C1260" i="8"/>
  <c r="B1059" i="8"/>
  <c r="C1060" i="8"/>
  <c r="B460" i="8"/>
  <c r="C461" i="8"/>
  <c r="B461" i="8" s="1"/>
  <c r="B250" i="8"/>
  <c r="C251" i="8"/>
  <c r="B530" i="8"/>
  <c r="C531" i="8"/>
  <c r="B10" i="8"/>
  <c r="C11" i="8"/>
  <c r="B1572" i="8"/>
  <c r="C1573" i="8"/>
  <c r="B1025" i="8"/>
  <c r="C1026" i="8"/>
  <c r="B293" i="8"/>
  <c r="C294" i="8"/>
  <c r="B334" i="8"/>
  <c r="C335" i="8"/>
  <c r="B335" i="8" s="1"/>
  <c r="B380" i="8"/>
  <c r="C381" i="8"/>
  <c r="B381" i="8" s="1"/>
  <c r="B128" i="8"/>
  <c r="C129" i="8"/>
  <c r="B129" i="8" s="1"/>
  <c r="B115" i="8"/>
  <c r="C116" i="8"/>
  <c r="B238" i="8"/>
  <c r="C239" i="8"/>
  <c r="B490" i="8"/>
  <c r="C491" i="8"/>
  <c r="B344" i="8"/>
  <c r="C345" i="8"/>
  <c r="B345" i="8" s="1"/>
  <c r="B151" i="8"/>
  <c r="C152" i="8"/>
  <c r="B163" i="8"/>
  <c r="C164" i="8"/>
  <c r="B274" i="8"/>
  <c r="C275" i="8"/>
  <c r="B139" i="8"/>
  <c r="C140" i="8"/>
  <c r="B140" i="8" s="1"/>
  <c r="C12" i="19"/>
  <c r="C41" i="14"/>
  <c r="N19" i="19"/>
  <c r="C31" i="2"/>
  <c r="U7" i="17"/>
  <c r="AI7" i="17" s="1"/>
  <c r="U6" i="17"/>
  <c r="AI6" i="17" s="1"/>
  <c r="U5" i="17"/>
  <c r="AI5" i="17" s="1"/>
  <c r="T5" i="17"/>
  <c r="AH5" i="17" s="1"/>
  <c r="AI3" i="17"/>
  <c r="AD3" i="17"/>
  <c r="AE3" i="17"/>
  <c r="AF3" i="17"/>
  <c r="AG3" i="17"/>
  <c r="AH3" i="17"/>
  <c r="AC3" i="17"/>
  <c r="AA6" i="17"/>
  <c r="AB6" i="17" s="1"/>
  <c r="AA7" i="17"/>
  <c r="AB7" i="17" s="1"/>
  <c r="AA8" i="17"/>
  <c r="AB8" i="17" s="1"/>
  <c r="AA9" i="17"/>
  <c r="AB9" i="17" s="1"/>
  <c r="AA10" i="17"/>
  <c r="AB10" i="17" s="1"/>
  <c r="AA11" i="17"/>
  <c r="AB11" i="17" s="1"/>
  <c r="AA12" i="17"/>
  <c r="AB12" i="17" s="1"/>
  <c r="AA13" i="17"/>
  <c r="AB13" i="17" s="1"/>
  <c r="AA14" i="17"/>
  <c r="AB14" i="17" s="1"/>
  <c r="AA15" i="17"/>
  <c r="AB15" i="17" s="1"/>
  <c r="AA16" i="17"/>
  <c r="AB16" i="17" s="1"/>
  <c r="AB5" i="17"/>
  <c r="B275" i="8" l="1"/>
  <c r="C276" i="8"/>
  <c r="B276" i="8" s="1"/>
  <c r="B116" i="8"/>
  <c r="C117" i="8"/>
  <c r="B1573" i="8"/>
  <c r="C1574" i="8"/>
  <c r="B251" i="8"/>
  <c r="C252" i="8"/>
  <c r="B252" i="8" s="1"/>
  <c r="B1260" i="8"/>
  <c r="C1261" i="8"/>
  <c r="B579" i="8"/>
  <c r="C580" i="8"/>
  <c r="B1416" i="8"/>
  <c r="C1417" i="8"/>
  <c r="B419" i="8"/>
  <c r="C420" i="8"/>
  <c r="B1491" i="8"/>
  <c r="C1492" i="8"/>
  <c r="B294" i="8"/>
  <c r="C295" i="8"/>
  <c r="B11" i="8"/>
  <c r="C12" i="8"/>
  <c r="B519" i="8"/>
  <c r="C520" i="8"/>
  <c r="B164" i="8"/>
  <c r="C165" i="8"/>
  <c r="B491" i="8"/>
  <c r="C492" i="8"/>
  <c r="B1233" i="8"/>
  <c r="C1234" i="8"/>
  <c r="B1246" i="8"/>
  <c r="C1247" i="8"/>
  <c r="B1108" i="8"/>
  <c r="C1109" i="8"/>
  <c r="B507" i="8"/>
  <c r="C508" i="8"/>
  <c r="B152" i="8"/>
  <c r="C153" i="8"/>
  <c r="B239" i="8"/>
  <c r="C240" i="8"/>
  <c r="B240" i="8" s="1"/>
  <c r="B1026" i="8"/>
  <c r="C1027" i="8"/>
  <c r="B531" i="8"/>
  <c r="C532" i="8"/>
  <c r="B1060" i="8"/>
  <c r="C1061" i="8"/>
  <c r="B1311" i="8"/>
  <c r="C1312" i="8"/>
  <c r="B215" i="8"/>
  <c r="C216" i="8"/>
  <c r="B216" i="8" s="1"/>
  <c r="B185" i="8"/>
  <c r="C186" i="8"/>
  <c r="B186" i="8" s="1"/>
  <c r="B744" i="8"/>
  <c r="C745" i="8"/>
  <c r="B745" i="8" s="1"/>
  <c r="B227" i="8"/>
  <c r="C228" i="8"/>
  <c r="B228" i="8" s="1"/>
  <c r="C42" i="14"/>
  <c r="AE12" i="2"/>
  <c r="B1312" i="8" l="1"/>
  <c r="C1313" i="8"/>
  <c r="B1027" i="8"/>
  <c r="C1028" i="8"/>
  <c r="B508" i="8"/>
  <c r="C509" i="8"/>
  <c r="B509" i="8" s="1"/>
  <c r="B1234" i="8"/>
  <c r="C1235" i="8"/>
  <c r="B520" i="8"/>
  <c r="C521" i="8"/>
  <c r="B521" i="8" s="1"/>
  <c r="B1492" i="8"/>
  <c r="C1493" i="8"/>
  <c r="B580" i="8"/>
  <c r="C581" i="8"/>
  <c r="B581" i="8" s="1"/>
  <c r="B1574" i="8"/>
  <c r="C1575" i="8"/>
  <c r="B492" i="8"/>
  <c r="C493" i="8"/>
  <c r="B117" i="8"/>
  <c r="C118" i="8"/>
  <c r="B1061" i="8"/>
  <c r="C1062" i="8"/>
  <c r="B1109" i="8"/>
  <c r="C1110" i="8"/>
  <c r="B1110" i="8" s="1"/>
  <c r="B12" i="8"/>
  <c r="C13" i="8"/>
  <c r="B420" i="8"/>
  <c r="C421" i="8"/>
  <c r="B1261" i="8"/>
  <c r="C1262" i="8"/>
  <c r="B1262" i="8" s="1"/>
  <c r="B532" i="8"/>
  <c r="C533" i="8"/>
  <c r="B153" i="8"/>
  <c r="C154" i="8"/>
  <c r="B154" i="8" s="1"/>
  <c r="B1247" i="8"/>
  <c r="C1248" i="8"/>
  <c r="B165" i="8"/>
  <c r="C166" i="8"/>
  <c r="B166" i="8" s="1"/>
  <c r="B295" i="8"/>
  <c r="C296" i="8"/>
  <c r="B1417" i="8"/>
  <c r="C1418" i="8"/>
  <c r="C43" i="14"/>
  <c r="D22" i="12"/>
  <c r="D23" i="12" s="1"/>
  <c r="D24" i="12" s="1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D36" i="12" s="1"/>
  <c r="D37" i="12" s="1"/>
  <c r="D38" i="12" s="1"/>
  <c r="D39" i="12" s="1"/>
  <c r="D40" i="12" s="1"/>
  <c r="D41" i="12" s="1"/>
  <c r="D42" i="12" s="1"/>
  <c r="D43" i="12" s="1"/>
  <c r="D44" i="12" s="1"/>
  <c r="D45" i="12" s="1"/>
  <c r="D46" i="12" s="1"/>
  <c r="D47" i="12" s="1"/>
  <c r="D48" i="12" s="1"/>
  <c r="D49" i="12" s="1"/>
  <c r="D50" i="12" s="1"/>
  <c r="D51" i="12" s="1"/>
  <c r="D52" i="12" s="1"/>
  <c r="D53" i="12" s="1"/>
  <c r="D54" i="12" s="1"/>
  <c r="D55" i="12" s="1"/>
  <c r="D56" i="12" s="1"/>
  <c r="D57" i="12" s="1"/>
  <c r="D58" i="12" s="1"/>
  <c r="D59" i="12" s="1"/>
  <c r="D60" i="12" s="1"/>
  <c r="D61" i="12" s="1"/>
  <c r="D62" i="12" s="1"/>
  <c r="D63" i="12" s="1"/>
  <c r="D64" i="12" s="1"/>
  <c r="D65" i="12" s="1"/>
  <c r="D66" i="12" s="1"/>
  <c r="D67" i="12" s="1"/>
  <c r="D68" i="12" s="1"/>
  <c r="D69" i="12" s="1"/>
  <c r="D70" i="12" s="1"/>
  <c r="D71" i="12" s="1"/>
  <c r="D72" i="12" s="1"/>
  <c r="D73" i="12" s="1"/>
  <c r="D74" i="12" s="1"/>
  <c r="D75" i="12" s="1"/>
  <c r="D76" i="12" s="1"/>
  <c r="D77" i="12" s="1"/>
  <c r="D78" i="12" s="1"/>
  <c r="D79" i="12" s="1"/>
  <c r="D80" i="12" s="1"/>
  <c r="D81" i="12" s="1"/>
  <c r="D82" i="12" s="1"/>
  <c r="D83" i="12" s="1"/>
  <c r="D84" i="12" s="1"/>
  <c r="D85" i="12" s="1"/>
  <c r="D86" i="12" s="1"/>
  <c r="D87" i="12" s="1"/>
  <c r="D88" i="12" s="1"/>
  <c r="D89" i="12" s="1"/>
  <c r="D90" i="12" s="1"/>
  <c r="D91" i="12" s="1"/>
  <c r="D92" i="12" s="1"/>
  <c r="D93" i="12" s="1"/>
  <c r="D94" i="12" s="1"/>
  <c r="D95" i="12" s="1"/>
  <c r="D96" i="12" s="1"/>
  <c r="D97" i="12" s="1"/>
  <c r="D98" i="12" s="1"/>
  <c r="D99" i="12" s="1"/>
  <c r="D100" i="12" s="1"/>
  <c r="D101" i="12" s="1"/>
  <c r="D102" i="12" s="1"/>
  <c r="D103" i="12" s="1"/>
  <c r="D104" i="12" s="1"/>
  <c r="D105" i="12" s="1"/>
  <c r="D106" i="12" s="1"/>
  <c r="D107" i="12" s="1"/>
  <c r="D108" i="12" s="1"/>
  <c r="D109" i="12" s="1"/>
  <c r="D110" i="12" s="1"/>
  <c r="D111" i="12" s="1"/>
  <c r="D112" i="12" s="1"/>
  <c r="D113" i="12" s="1"/>
  <c r="D114" i="12" s="1"/>
  <c r="D115" i="12" s="1"/>
  <c r="D116" i="12" s="1"/>
  <c r="D117" i="12" s="1"/>
  <c r="D118" i="12" s="1"/>
  <c r="D119" i="12" s="1"/>
  <c r="D120" i="12" s="1"/>
  <c r="D121" i="12" s="1"/>
  <c r="D122" i="12" s="1"/>
  <c r="D123" i="12" s="1"/>
  <c r="D124" i="12" s="1"/>
  <c r="D125" i="12" s="1"/>
  <c r="D126" i="12" s="1"/>
  <c r="D127" i="12" s="1"/>
  <c r="D128" i="12" s="1"/>
  <c r="D129" i="12" s="1"/>
  <c r="D130" i="12" s="1"/>
  <c r="D131" i="12" s="1"/>
  <c r="D132" i="12" s="1"/>
  <c r="D133" i="12" s="1"/>
  <c r="D134" i="12" s="1"/>
  <c r="D135" i="12" s="1"/>
  <c r="D136" i="12" s="1"/>
  <c r="D137" i="12" s="1"/>
  <c r="D138" i="12" s="1"/>
  <c r="D139" i="12" s="1"/>
  <c r="D140" i="12" s="1"/>
  <c r="D141" i="12" s="1"/>
  <c r="D142" i="12" s="1"/>
  <c r="D143" i="12" s="1"/>
  <c r="D144" i="12" s="1"/>
  <c r="D145" i="12" s="1"/>
  <c r="D146" i="12" s="1"/>
  <c r="D147" i="12" s="1"/>
  <c r="D148" i="12" s="1"/>
  <c r="D149" i="12" s="1"/>
  <c r="D150" i="12" s="1"/>
  <c r="D151" i="12" s="1"/>
  <c r="D152" i="12" s="1"/>
  <c r="D153" i="12" s="1"/>
  <c r="D154" i="12" s="1"/>
  <c r="D155" i="12" s="1"/>
  <c r="D156" i="12" s="1"/>
  <c r="D157" i="12" s="1"/>
  <c r="D158" i="12" s="1"/>
  <c r="D159" i="12" s="1"/>
  <c r="D160" i="12" s="1"/>
  <c r="D161" i="12" s="1"/>
  <c r="D162" i="12" s="1"/>
  <c r="D163" i="12" s="1"/>
  <c r="D164" i="12" s="1"/>
  <c r="D165" i="12" s="1"/>
  <c r="D166" i="12" s="1"/>
  <c r="D167" i="12" s="1"/>
  <c r="D168" i="12" s="1"/>
  <c r="D169" i="12" s="1"/>
  <c r="D170" i="12" s="1"/>
  <c r="D171" i="12" s="1"/>
  <c r="D172" i="12" s="1"/>
  <c r="D173" i="12" s="1"/>
  <c r="D174" i="12" s="1"/>
  <c r="D175" i="12" s="1"/>
  <c r="D176" i="12" s="1"/>
  <c r="D177" i="12" s="1"/>
  <c r="D178" i="12" s="1"/>
  <c r="D179" i="12" s="1"/>
  <c r="D180" i="12" s="1"/>
  <c r="D181" i="12" s="1"/>
  <c r="D182" i="12" s="1"/>
  <c r="D183" i="12" s="1"/>
  <c r="D184" i="12" s="1"/>
  <c r="D185" i="12" s="1"/>
  <c r="D186" i="12" s="1"/>
  <c r="D187" i="12" s="1"/>
  <c r="D188" i="12" s="1"/>
  <c r="D189" i="12" s="1"/>
  <c r="D190" i="12" s="1"/>
  <c r="D191" i="12" s="1"/>
  <c r="D192" i="12" s="1"/>
  <c r="D193" i="12" s="1"/>
  <c r="D194" i="12" s="1"/>
  <c r="D195" i="12" s="1"/>
  <c r="D196" i="12" s="1"/>
  <c r="D197" i="12" s="1"/>
  <c r="D198" i="12" s="1"/>
  <c r="D199" i="12" s="1"/>
  <c r="D200" i="12" s="1"/>
  <c r="D201" i="12" s="1"/>
  <c r="D202" i="12" s="1"/>
  <c r="D203" i="12" s="1"/>
  <c r="D204" i="12" s="1"/>
  <c r="D205" i="12" s="1"/>
  <c r="D206" i="12" s="1"/>
  <c r="D207" i="12" s="1"/>
  <c r="D208" i="12" s="1"/>
  <c r="D209" i="12" s="1"/>
  <c r="D210" i="12" s="1"/>
  <c r="D211" i="12" s="1"/>
  <c r="D212" i="12" s="1"/>
  <c r="D213" i="12" s="1"/>
  <c r="D214" i="12" s="1"/>
  <c r="D215" i="12" s="1"/>
  <c r="D216" i="12" s="1"/>
  <c r="D217" i="12" s="1"/>
  <c r="D218" i="12" s="1"/>
  <c r="D219" i="12" s="1"/>
  <c r="D220" i="12" s="1"/>
  <c r="D221" i="12" s="1"/>
  <c r="D222" i="12" s="1"/>
  <c r="D223" i="12" s="1"/>
  <c r="D224" i="12" s="1"/>
  <c r="D225" i="12" s="1"/>
  <c r="D226" i="12" s="1"/>
  <c r="D227" i="12" s="1"/>
  <c r="D228" i="12" s="1"/>
  <c r="D229" i="12" s="1"/>
  <c r="D230" i="12" s="1"/>
  <c r="D231" i="12" s="1"/>
  <c r="D232" i="12" s="1"/>
  <c r="D233" i="12" s="1"/>
  <c r="D234" i="12" s="1"/>
  <c r="D235" i="12" s="1"/>
  <c r="D236" i="12" s="1"/>
  <c r="D237" i="12" s="1"/>
  <c r="D238" i="12" s="1"/>
  <c r="D239" i="12" s="1"/>
  <c r="D240" i="12" s="1"/>
  <c r="D241" i="12" s="1"/>
  <c r="D242" i="12" s="1"/>
  <c r="D243" i="12" s="1"/>
  <c r="D244" i="12" s="1"/>
  <c r="D245" i="12" s="1"/>
  <c r="D246" i="12" s="1"/>
  <c r="D247" i="12" s="1"/>
  <c r="D248" i="12" s="1"/>
  <c r="D249" i="12" s="1"/>
  <c r="D250" i="12" s="1"/>
  <c r="D251" i="12" s="1"/>
  <c r="D252" i="12" s="1"/>
  <c r="D253" i="12" s="1"/>
  <c r="D254" i="12" s="1"/>
  <c r="D255" i="12" s="1"/>
  <c r="D256" i="12" s="1"/>
  <c r="D257" i="12" s="1"/>
  <c r="D258" i="12" s="1"/>
  <c r="D259" i="12" s="1"/>
  <c r="D260" i="12" s="1"/>
  <c r="D261" i="12" s="1"/>
  <c r="D262" i="12" s="1"/>
  <c r="D263" i="12" s="1"/>
  <c r="D264" i="12" s="1"/>
  <c r="D265" i="12" s="1"/>
  <c r="D266" i="12" s="1"/>
  <c r="D267" i="12" s="1"/>
  <c r="D268" i="12" s="1"/>
  <c r="D269" i="12" s="1"/>
  <c r="D270" i="12" s="1"/>
  <c r="D271" i="12" s="1"/>
  <c r="D272" i="12" s="1"/>
  <c r="D273" i="12" s="1"/>
  <c r="D274" i="12" s="1"/>
  <c r="D275" i="12" s="1"/>
  <c r="D276" i="12" s="1"/>
  <c r="D277" i="12" s="1"/>
  <c r="D278" i="12" s="1"/>
  <c r="D279" i="12" s="1"/>
  <c r="D280" i="12" s="1"/>
  <c r="D281" i="12" s="1"/>
  <c r="D282" i="12" s="1"/>
  <c r="D283" i="12" s="1"/>
  <c r="D284" i="12" s="1"/>
  <c r="D285" i="12" s="1"/>
  <c r="D286" i="12" s="1"/>
  <c r="D287" i="12" s="1"/>
  <c r="D288" i="12" s="1"/>
  <c r="D289" i="12" s="1"/>
  <c r="D290" i="12" s="1"/>
  <c r="D291" i="12" s="1"/>
  <c r="D292" i="12" s="1"/>
  <c r="D293" i="12" s="1"/>
  <c r="D294" i="12" s="1"/>
  <c r="D295" i="12" s="1"/>
  <c r="D296" i="12" s="1"/>
  <c r="D297" i="12" s="1"/>
  <c r="D298" i="12" s="1"/>
  <c r="D299" i="12" s="1"/>
  <c r="D300" i="12" s="1"/>
  <c r="D301" i="12" s="1"/>
  <c r="D302" i="12" s="1"/>
  <c r="D303" i="12" s="1"/>
  <c r="D304" i="12" s="1"/>
  <c r="D305" i="12" s="1"/>
  <c r="D306" i="12" s="1"/>
  <c r="D307" i="12" s="1"/>
  <c r="D308" i="12" s="1"/>
  <c r="D309" i="12" s="1"/>
  <c r="D310" i="12" s="1"/>
  <c r="D311" i="12" s="1"/>
  <c r="D312" i="12" s="1"/>
  <c r="D313" i="12" s="1"/>
  <c r="D314" i="12" s="1"/>
  <c r="D315" i="12" s="1"/>
  <c r="D316" i="12" s="1"/>
  <c r="D317" i="12" s="1"/>
  <c r="D318" i="12" s="1"/>
  <c r="D319" i="12" s="1"/>
  <c r="D320" i="12" s="1"/>
  <c r="D321" i="12" s="1"/>
  <c r="D322" i="12" s="1"/>
  <c r="D323" i="12" s="1"/>
  <c r="D324" i="12" s="1"/>
  <c r="D325" i="12" s="1"/>
  <c r="D326" i="12" s="1"/>
  <c r="D327" i="12" s="1"/>
  <c r="D328" i="12" s="1"/>
  <c r="D329" i="12" s="1"/>
  <c r="D330" i="12" s="1"/>
  <c r="D331" i="12" s="1"/>
  <c r="D332" i="12" s="1"/>
  <c r="D333" i="12" s="1"/>
  <c r="D334" i="12" s="1"/>
  <c r="D335" i="12" s="1"/>
  <c r="D336" i="12" s="1"/>
  <c r="D337" i="12" s="1"/>
  <c r="D338" i="12" s="1"/>
  <c r="D339" i="12" s="1"/>
  <c r="D340" i="12" s="1"/>
  <c r="D341" i="12" s="1"/>
  <c r="D342" i="12" s="1"/>
  <c r="D343" i="12" s="1"/>
  <c r="D344" i="12" s="1"/>
  <c r="D345" i="12" s="1"/>
  <c r="D346" i="12" s="1"/>
  <c r="D347" i="12" s="1"/>
  <c r="D348" i="12" s="1"/>
  <c r="D349" i="12" s="1"/>
  <c r="D350" i="12" s="1"/>
  <c r="D351" i="12" s="1"/>
  <c r="D352" i="12" s="1"/>
  <c r="D353" i="12" s="1"/>
  <c r="D354" i="12" s="1"/>
  <c r="D355" i="12" s="1"/>
  <c r="D356" i="12" s="1"/>
  <c r="D357" i="12" s="1"/>
  <c r="D358" i="12" s="1"/>
  <c r="D359" i="12" s="1"/>
  <c r="D360" i="12" s="1"/>
  <c r="D361" i="12" s="1"/>
  <c r="D362" i="12" s="1"/>
  <c r="D363" i="12" s="1"/>
  <c r="D364" i="12" s="1"/>
  <c r="D365" i="12" s="1"/>
  <c r="D366" i="12" s="1"/>
  <c r="D367" i="12" s="1"/>
  <c r="D368" i="12" s="1"/>
  <c r="D369" i="12" s="1"/>
  <c r="D370" i="12" s="1"/>
  <c r="D371" i="12" s="1"/>
  <c r="D372" i="12" s="1"/>
  <c r="D373" i="12" s="1"/>
  <c r="D374" i="12" s="1"/>
  <c r="D375" i="12" s="1"/>
  <c r="D376" i="12" s="1"/>
  <c r="D377" i="12" s="1"/>
  <c r="D378" i="12" s="1"/>
  <c r="D379" i="12" s="1"/>
  <c r="D380" i="12" s="1"/>
  <c r="D381" i="12" s="1"/>
  <c r="D382" i="12" s="1"/>
  <c r="D383" i="12" s="1"/>
  <c r="D384" i="12" s="1"/>
  <c r="D385" i="12" s="1"/>
  <c r="D386" i="12" s="1"/>
  <c r="D387" i="12" s="1"/>
  <c r="D388" i="12" s="1"/>
  <c r="D389" i="12" s="1"/>
  <c r="D390" i="12" s="1"/>
  <c r="D391" i="12" s="1"/>
  <c r="D392" i="12" s="1"/>
  <c r="D393" i="12" s="1"/>
  <c r="D394" i="12" s="1"/>
  <c r="D395" i="12" s="1"/>
  <c r="D396" i="12" s="1"/>
  <c r="D397" i="12" s="1"/>
  <c r="D398" i="12" s="1"/>
  <c r="D399" i="12" s="1"/>
  <c r="D400" i="12" s="1"/>
  <c r="D401" i="12" s="1"/>
  <c r="D402" i="12" s="1"/>
  <c r="D403" i="12" s="1"/>
  <c r="D404" i="12" s="1"/>
  <c r="D405" i="12" s="1"/>
  <c r="D406" i="12" s="1"/>
  <c r="D407" i="12" s="1"/>
  <c r="D408" i="12" s="1"/>
  <c r="D409" i="12" s="1"/>
  <c r="D410" i="12" s="1"/>
  <c r="D411" i="12" s="1"/>
  <c r="D412" i="12" s="1"/>
  <c r="D413" i="12" s="1"/>
  <c r="D414" i="12" s="1"/>
  <c r="D415" i="12" s="1"/>
  <c r="D416" i="12" s="1"/>
  <c r="D417" i="12" s="1"/>
  <c r="D418" i="12" s="1"/>
  <c r="D419" i="12" s="1"/>
  <c r="D420" i="12" s="1"/>
  <c r="D421" i="12" s="1"/>
  <c r="D422" i="12" s="1"/>
  <c r="D423" i="12" s="1"/>
  <c r="D424" i="12" s="1"/>
  <c r="D425" i="12" s="1"/>
  <c r="D426" i="12" s="1"/>
  <c r="D427" i="12" s="1"/>
  <c r="D428" i="12" s="1"/>
  <c r="D429" i="12" s="1"/>
  <c r="D430" i="12" s="1"/>
  <c r="D431" i="12" s="1"/>
  <c r="D432" i="12" s="1"/>
  <c r="D433" i="12" s="1"/>
  <c r="D434" i="12" s="1"/>
  <c r="D435" i="12" s="1"/>
  <c r="D436" i="12" s="1"/>
  <c r="D437" i="12" s="1"/>
  <c r="D438" i="12" s="1"/>
  <c r="D439" i="12" s="1"/>
  <c r="D440" i="12" s="1"/>
  <c r="D441" i="12" s="1"/>
  <c r="D442" i="12" s="1"/>
  <c r="D443" i="12" s="1"/>
  <c r="D444" i="12" s="1"/>
  <c r="D445" i="12" s="1"/>
  <c r="D446" i="12" s="1"/>
  <c r="D447" i="12" s="1"/>
  <c r="D448" i="12" s="1"/>
  <c r="D449" i="12" s="1"/>
  <c r="D450" i="12" s="1"/>
  <c r="D451" i="12" s="1"/>
  <c r="D452" i="12" s="1"/>
  <c r="D453" i="12" s="1"/>
  <c r="D454" i="12" s="1"/>
  <c r="D455" i="12" s="1"/>
  <c r="D456" i="12" s="1"/>
  <c r="D457" i="12" s="1"/>
  <c r="D458" i="12" s="1"/>
  <c r="D459" i="12" s="1"/>
  <c r="D460" i="12" s="1"/>
  <c r="D461" i="12" s="1"/>
  <c r="D462" i="12" s="1"/>
  <c r="D463" i="12" s="1"/>
  <c r="D464" i="12" s="1"/>
  <c r="D465" i="12" s="1"/>
  <c r="D466" i="12" s="1"/>
  <c r="D467" i="12" s="1"/>
  <c r="D468" i="12" s="1"/>
  <c r="D469" i="12" s="1"/>
  <c r="D470" i="12" s="1"/>
  <c r="D471" i="12" s="1"/>
  <c r="D472" i="12" s="1"/>
  <c r="D473" i="12" s="1"/>
  <c r="D474" i="12" s="1"/>
  <c r="D475" i="12" s="1"/>
  <c r="D476" i="12" s="1"/>
  <c r="D477" i="12" s="1"/>
  <c r="D478" i="12" s="1"/>
  <c r="D479" i="12" s="1"/>
  <c r="D480" i="12" s="1"/>
  <c r="D481" i="12" s="1"/>
  <c r="D482" i="12" s="1"/>
  <c r="D483" i="12" s="1"/>
  <c r="D484" i="12" s="1"/>
  <c r="D485" i="12" s="1"/>
  <c r="D486" i="12" s="1"/>
  <c r="D487" i="12" s="1"/>
  <c r="D488" i="12" s="1"/>
  <c r="D489" i="12" s="1"/>
  <c r="D490" i="12" s="1"/>
  <c r="D491" i="12" s="1"/>
  <c r="D492" i="12" s="1"/>
  <c r="D493" i="12" s="1"/>
  <c r="D494" i="12" s="1"/>
  <c r="D495" i="12" s="1"/>
  <c r="D496" i="12" s="1"/>
  <c r="D497" i="12" s="1"/>
  <c r="D498" i="12" s="1"/>
  <c r="D499" i="12" s="1"/>
  <c r="D500" i="12" s="1"/>
  <c r="D501" i="12" s="1"/>
  <c r="D502" i="12" s="1"/>
  <c r="D503" i="12" s="1"/>
  <c r="D504" i="12" s="1"/>
  <c r="D505" i="12" s="1"/>
  <c r="D506" i="12" s="1"/>
  <c r="D507" i="12" s="1"/>
  <c r="D508" i="12" s="1"/>
  <c r="D509" i="12" s="1"/>
  <c r="D510" i="12" s="1"/>
  <c r="D511" i="12" s="1"/>
  <c r="D512" i="12" s="1"/>
  <c r="D513" i="12" s="1"/>
  <c r="D514" i="12" s="1"/>
  <c r="D515" i="12" s="1"/>
  <c r="D516" i="12" s="1"/>
  <c r="D517" i="12" s="1"/>
  <c r="D518" i="12" s="1"/>
  <c r="D519" i="12" s="1"/>
  <c r="D520" i="12" s="1"/>
  <c r="D521" i="12" s="1"/>
  <c r="D522" i="12" s="1"/>
  <c r="D523" i="12" s="1"/>
  <c r="D524" i="12" s="1"/>
  <c r="D525" i="12" s="1"/>
  <c r="D526" i="12" s="1"/>
  <c r="D527" i="12" s="1"/>
  <c r="D528" i="12" s="1"/>
  <c r="D529" i="12" s="1"/>
  <c r="D530" i="12" s="1"/>
  <c r="D531" i="12" s="1"/>
  <c r="D532" i="12" s="1"/>
  <c r="D533" i="12" s="1"/>
  <c r="D534" i="12" s="1"/>
  <c r="D535" i="12" s="1"/>
  <c r="D536" i="12" s="1"/>
  <c r="D537" i="12" s="1"/>
  <c r="D538" i="12" s="1"/>
  <c r="D539" i="12" s="1"/>
  <c r="D540" i="12" s="1"/>
  <c r="D541" i="12" s="1"/>
  <c r="D542" i="12" s="1"/>
  <c r="D543" i="12" s="1"/>
  <c r="D544" i="12" s="1"/>
  <c r="D545" i="12" s="1"/>
  <c r="D546" i="12" s="1"/>
  <c r="D547" i="12" s="1"/>
  <c r="D548" i="12" s="1"/>
  <c r="D549" i="12" s="1"/>
  <c r="D550" i="12" s="1"/>
  <c r="D551" i="12" s="1"/>
  <c r="D552" i="12" s="1"/>
  <c r="D553" i="12" s="1"/>
  <c r="D554" i="12" s="1"/>
  <c r="D555" i="12" s="1"/>
  <c r="D556" i="12" s="1"/>
  <c r="D557" i="12" s="1"/>
  <c r="D558" i="12" s="1"/>
  <c r="D559" i="12" s="1"/>
  <c r="D560" i="12" s="1"/>
  <c r="D561" i="12" s="1"/>
  <c r="D562" i="12" s="1"/>
  <c r="D563" i="12" s="1"/>
  <c r="D564" i="12" s="1"/>
  <c r="D565" i="12" s="1"/>
  <c r="D566" i="12" s="1"/>
  <c r="D567" i="12" s="1"/>
  <c r="D568" i="12" s="1"/>
  <c r="D569" i="12" s="1"/>
  <c r="D570" i="12" s="1"/>
  <c r="D571" i="12" s="1"/>
  <c r="D572" i="12" s="1"/>
  <c r="D573" i="12" s="1"/>
  <c r="D574" i="12" s="1"/>
  <c r="D575" i="12" s="1"/>
  <c r="D576" i="12" s="1"/>
  <c r="D577" i="12" s="1"/>
  <c r="D578" i="12" s="1"/>
  <c r="D579" i="12" s="1"/>
  <c r="D580" i="12" s="1"/>
  <c r="D581" i="12" s="1"/>
  <c r="D582" i="12" s="1"/>
  <c r="D583" i="12" s="1"/>
  <c r="D584" i="12" s="1"/>
  <c r="D585" i="12" s="1"/>
  <c r="D586" i="12" s="1"/>
  <c r="D587" i="12" s="1"/>
  <c r="D588" i="12" s="1"/>
  <c r="D589" i="12" s="1"/>
  <c r="D590" i="12" s="1"/>
  <c r="D591" i="12" s="1"/>
  <c r="D592" i="12" s="1"/>
  <c r="D593" i="12" s="1"/>
  <c r="D594" i="12" s="1"/>
  <c r="D595" i="12" s="1"/>
  <c r="D596" i="12" s="1"/>
  <c r="D597" i="12" s="1"/>
  <c r="D598" i="12" s="1"/>
  <c r="D599" i="12" s="1"/>
  <c r="D600" i="12" s="1"/>
  <c r="D601" i="12" s="1"/>
  <c r="D602" i="12" s="1"/>
  <c r="D603" i="12" s="1"/>
  <c r="D604" i="12" s="1"/>
  <c r="D605" i="12" s="1"/>
  <c r="D606" i="12" s="1"/>
  <c r="D607" i="12" s="1"/>
  <c r="D608" i="12" s="1"/>
  <c r="D609" i="12" s="1"/>
  <c r="D610" i="12" s="1"/>
  <c r="D611" i="12" s="1"/>
  <c r="D612" i="12" s="1"/>
  <c r="D613" i="12" s="1"/>
  <c r="D614" i="12" s="1"/>
  <c r="D615" i="12" s="1"/>
  <c r="D616" i="12" s="1"/>
  <c r="D617" i="12" s="1"/>
  <c r="D618" i="12" s="1"/>
  <c r="D619" i="12" s="1"/>
  <c r="D620" i="12" s="1"/>
  <c r="D621" i="12" s="1"/>
  <c r="D622" i="12" s="1"/>
  <c r="D623" i="12" s="1"/>
  <c r="D624" i="12" s="1"/>
  <c r="D625" i="12" s="1"/>
  <c r="D626" i="12" s="1"/>
  <c r="D627" i="12" s="1"/>
  <c r="D628" i="12" s="1"/>
  <c r="D629" i="12" s="1"/>
  <c r="D630" i="12" s="1"/>
  <c r="D631" i="12" s="1"/>
  <c r="D632" i="12" s="1"/>
  <c r="D633" i="12" s="1"/>
  <c r="D634" i="12" s="1"/>
  <c r="D635" i="12" s="1"/>
  <c r="D636" i="12" s="1"/>
  <c r="D637" i="12" s="1"/>
  <c r="D638" i="12" s="1"/>
  <c r="D639" i="12" s="1"/>
  <c r="D640" i="12" s="1"/>
  <c r="D641" i="12" s="1"/>
  <c r="D642" i="12" s="1"/>
  <c r="D643" i="12" s="1"/>
  <c r="D644" i="12" s="1"/>
  <c r="D645" i="12" s="1"/>
  <c r="D646" i="12" s="1"/>
  <c r="D647" i="12" s="1"/>
  <c r="D648" i="12" s="1"/>
  <c r="D649" i="12" s="1"/>
  <c r="D650" i="12" s="1"/>
  <c r="D651" i="12" s="1"/>
  <c r="D652" i="12" s="1"/>
  <c r="D653" i="12" s="1"/>
  <c r="D654" i="12" s="1"/>
  <c r="D655" i="12" s="1"/>
  <c r="D656" i="12" s="1"/>
  <c r="D657" i="12" s="1"/>
  <c r="D658" i="12" s="1"/>
  <c r="D659" i="12" s="1"/>
  <c r="D660" i="12" s="1"/>
  <c r="D661" i="12" s="1"/>
  <c r="D662" i="12" s="1"/>
  <c r="D663" i="12" s="1"/>
  <c r="D664" i="12" s="1"/>
  <c r="D665" i="12" s="1"/>
  <c r="D666" i="12" s="1"/>
  <c r="D667" i="12" s="1"/>
  <c r="D668" i="12" s="1"/>
  <c r="D669" i="12" s="1"/>
  <c r="D670" i="12" s="1"/>
  <c r="D671" i="12" s="1"/>
  <c r="D672" i="12" s="1"/>
  <c r="D673" i="12" s="1"/>
  <c r="D674" i="12" s="1"/>
  <c r="D675" i="12" s="1"/>
  <c r="D676" i="12" s="1"/>
  <c r="D677" i="12" s="1"/>
  <c r="D678" i="12" s="1"/>
  <c r="D679" i="12" s="1"/>
  <c r="D680" i="12" s="1"/>
  <c r="D681" i="12" s="1"/>
  <c r="D682" i="12" s="1"/>
  <c r="D683" i="12" s="1"/>
  <c r="D684" i="12" s="1"/>
  <c r="D685" i="12" s="1"/>
  <c r="D686" i="12" s="1"/>
  <c r="D687" i="12" s="1"/>
  <c r="D688" i="12" s="1"/>
  <c r="D689" i="12" s="1"/>
  <c r="D690" i="12" s="1"/>
  <c r="D691" i="12" s="1"/>
  <c r="D692" i="12" s="1"/>
  <c r="D693" i="12" s="1"/>
  <c r="D694" i="12" s="1"/>
  <c r="D695" i="12" s="1"/>
  <c r="D696" i="12" s="1"/>
  <c r="D697" i="12" s="1"/>
  <c r="D698" i="12" s="1"/>
  <c r="D699" i="12" s="1"/>
  <c r="D700" i="12" s="1"/>
  <c r="D701" i="12" s="1"/>
  <c r="D702" i="12" s="1"/>
  <c r="D703" i="12" s="1"/>
  <c r="D704" i="12" s="1"/>
  <c r="D705" i="12" s="1"/>
  <c r="D706" i="12" s="1"/>
  <c r="D707" i="12" s="1"/>
  <c r="D708" i="12" s="1"/>
  <c r="D709" i="12" s="1"/>
  <c r="D710" i="12" s="1"/>
  <c r="D711" i="12" s="1"/>
  <c r="D712" i="12" s="1"/>
  <c r="D713" i="12" s="1"/>
  <c r="D714" i="12" s="1"/>
  <c r="D715" i="12" s="1"/>
  <c r="D716" i="12" s="1"/>
  <c r="D717" i="12" s="1"/>
  <c r="D718" i="12" s="1"/>
  <c r="D719" i="12" s="1"/>
  <c r="D720" i="12" s="1"/>
  <c r="D721" i="12" s="1"/>
  <c r="D722" i="12" s="1"/>
  <c r="D723" i="12" s="1"/>
  <c r="D724" i="12" s="1"/>
  <c r="D725" i="12" s="1"/>
  <c r="D726" i="12" s="1"/>
  <c r="D727" i="12" s="1"/>
  <c r="D728" i="12" s="1"/>
  <c r="D729" i="12" s="1"/>
  <c r="D730" i="12" s="1"/>
  <c r="D731" i="12" s="1"/>
  <c r="D732" i="12" s="1"/>
  <c r="D733" i="12" s="1"/>
  <c r="D734" i="12" s="1"/>
  <c r="D735" i="12" s="1"/>
  <c r="D736" i="12" s="1"/>
  <c r="D737" i="12" s="1"/>
  <c r="D738" i="12" s="1"/>
  <c r="D739" i="12" s="1"/>
  <c r="D740" i="12" s="1"/>
  <c r="D741" i="12" s="1"/>
  <c r="D742" i="12" s="1"/>
  <c r="D743" i="12" s="1"/>
  <c r="D744" i="12" s="1"/>
  <c r="D745" i="12" s="1"/>
  <c r="D746" i="12" s="1"/>
  <c r="D747" i="12" s="1"/>
  <c r="D748" i="12" s="1"/>
  <c r="D749" i="12" s="1"/>
  <c r="D750" i="12" s="1"/>
  <c r="D751" i="12" s="1"/>
  <c r="D752" i="12" s="1"/>
  <c r="D753" i="12" s="1"/>
  <c r="D754" i="12" s="1"/>
  <c r="D755" i="12" s="1"/>
  <c r="D756" i="12" s="1"/>
  <c r="D757" i="12" s="1"/>
  <c r="D758" i="12" s="1"/>
  <c r="D759" i="12" s="1"/>
  <c r="D760" i="12" s="1"/>
  <c r="D761" i="12" s="1"/>
  <c r="D762" i="12" s="1"/>
  <c r="D763" i="12" s="1"/>
  <c r="D764" i="12" s="1"/>
  <c r="D765" i="12" s="1"/>
  <c r="D766" i="12" s="1"/>
  <c r="D767" i="12" s="1"/>
  <c r="D768" i="12" s="1"/>
  <c r="D769" i="12" s="1"/>
  <c r="D770" i="12" s="1"/>
  <c r="D771" i="12" s="1"/>
  <c r="D772" i="12" s="1"/>
  <c r="D773" i="12" s="1"/>
  <c r="D774" i="12" s="1"/>
  <c r="D775" i="12" s="1"/>
  <c r="D776" i="12" s="1"/>
  <c r="D777" i="12" s="1"/>
  <c r="D778" i="12" s="1"/>
  <c r="D779" i="12" s="1"/>
  <c r="D780" i="12" s="1"/>
  <c r="D781" i="12" s="1"/>
  <c r="D782" i="12" s="1"/>
  <c r="D783" i="12" s="1"/>
  <c r="D784" i="12" s="1"/>
  <c r="D785" i="12" s="1"/>
  <c r="D786" i="12" s="1"/>
  <c r="D787" i="12" s="1"/>
  <c r="D788" i="12" s="1"/>
  <c r="D789" i="12" s="1"/>
  <c r="D790" i="12" s="1"/>
  <c r="D791" i="12" s="1"/>
  <c r="D792" i="12" s="1"/>
  <c r="D793" i="12" s="1"/>
  <c r="D794" i="12" s="1"/>
  <c r="D795" i="12" s="1"/>
  <c r="D796" i="12" s="1"/>
  <c r="D797" i="12" s="1"/>
  <c r="D798" i="12" s="1"/>
  <c r="D799" i="12" s="1"/>
  <c r="D800" i="12" s="1"/>
  <c r="D801" i="12" s="1"/>
  <c r="D802" i="12" s="1"/>
  <c r="D803" i="12" s="1"/>
  <c r="D804" i="12" s="1"/>
  <c r="D805" i="12" s="1"/>
  <c r="D806" i="12" s="1"/>
  <c r="D807" i="12" s="1"/>
  <c r="D808" i="12" s="1"/>
  <c r="D809" i="12" s="1"/>
  <c r="D810" i="12" s="1"/>
  <c r="D811" i="12" s="1"/>
  <c r="D812" i="12" s="1"/>
  <c r="D813" i="12" s="1"/>
  <c r="D814" i="12" s="1"/>
  <c r="D815" i="12" s="1"/>
  <c r="D816" i="12" s="1"/>
  <c r="D817" i="12" s="1"/>
  <c r="D818" i="12" s="1"/>
  <c r="D819" i="12" s="1"/>
  <c r="D820" i="12" s="1"/>
  <c r="D821" i="12" s="1"/>
  <c r="D822" i="12" s="1"/>
  <c r="D823" i="12" s="1"/>
  <c r="D824" i="12" s="1"/>
  <c r="D825" i="12" s="1"/>
  <c r="D826" i="12" s="1"/>
  <c r="D827" i="12" s="1"/>
  <c r="D828" i="12" s="1"/>
  <c r="D829" i="12" s="1"/>
  <c r="D830" i="12" s="1"/>
  <c r="D831" i="12" s="1"/>
  <c r="D832" i="12" s="1"/>
  <c r="D833" i="12" s="1"/>
  <c r="D834" i="12" s="1"/>
  <c r="D835" i="12" s="1"/>
  <c r="D836" i="12" s="1"/>
  <c r="D837" i="12" s="1"/>
  <c r="D838" i="12" s="1"/>
  <c r="D839" i="12" s="1"/>
  <c r="D840" i="12" s="1"/>
  <c r="D841" i="12" s="1"/>
  <c r="D842" i="12" s="1"/>
  <c r="D843" i="12" s="1"/>
  <c r="D844" i="12" s="1"/>
  <c r="D845" i="12" s="1"/>
  <c r="D846" i="12" s="1"/>
  <c r="D847" i="12" s="1"/>
  <c r="D848" i="12" s="1"/>
  <c r="D849" i="12" s="1"/>
  <c r="D850" i="12" s="1"/>
  <c r="D851" i="12" s="1"/>
  <c r="D852" i="12" s="1"/>
  <c r="D853" i="12" s="1"/>
  <c r="D854" i="12" s="1"/>
  <c r="D855" i="12" s="1"/>
  <c r="D856" i="12" s="1"/>
  <c r="D857" i="12" s="1"/>
  <c r="D858" i="12" s="1"/>
  <c r="D859" i="12" s="1"/>
  <c r="D860" i="12" s="1"/>
  <c r="D861" i="12" s="1"/>
  <c r="D862" i="12" s="1"/>
  <c r="D863" i="12" s="1"/>
  <c r="D864" i="12" s="1"/>
  <c r="D865" i="12" s="1"/>
  <c r="D866" i="12" s="1"/>
  <c r="D867" i="12" s="1"/>
  <c r="D868" i="12" s="1"/>
  <c r="D869" i="12" s="1"/>
  <c r="D870" i="12" s="1"/>
  <c r="D871" i="12" s="1"/>
  <c r="D872" i="12" s="1"/>
  <c r="D873" i="12" s="1"/>
  <c r="D874" i="12" s="1"/>
  <c r="D875" i="12" s="1"/>
  <c r="D876" i="12" s="1"/>
  <c r="D877" i="12" s="1"/>
  <c r="D878" i="12" s="1"/>
  <c r="D879" i="12" s="1"/>
  <c r="D880" i="12" s="1"/>
  <c r="D881" i="12" s="1"/>
  <c r="D882" i="12" s="1"/>
  <c r="D883" i="12" s="1"/>
  <c r="D884" i="12" s="1"/>
  <c r="D885" i="12" s="1"/>
  <c r="D886" i="12" s="1"/>
  <c r="D887" i="12" s="1"/>
  <c r="D888" i="12" s="1"/>
  <c r="D889" i="12" s="1"/>
  <c r="D890" i="12" s="1"/>
  <c r="D891" i="12" s="1"/>
  <c r="D892" i="12" s="1"/>
  <c r="D893" i="12" s="1"/>
  <c r="D894" i="12" s="1"/>
  <c r="D895" i="12" s="1"/>
  <c r="D896" i="12" s="1"/>
  <c r="D897" i="12" s="1"/>
  <c r="D898" i="12" s="1"/>
  <c r="D899" i="12" s="1"/>
  <c r="D900" i="12" s="1"/>
  <c r="D901" i="12" s="1"/>
  <c r="D902" i="12" s="1"/>
  <c r="D903" i="12" s="1"/>
  <c r="D904" i="12" s="1"/>
  <c r="D905" i="12" s="1"/>
  <c r="D906" i="12" s="1"/>
  <c r="D907" i="12" s="1"/>
  <c r="D908" i="12" s="1"/>
  <c r="D909" i="12" s="1"/>
  <c r="D910" i="12" s="1"/>
  <c r="D911" i="12" s="1"/>
  <c r="D912" i="12" s="1"/>
  <c r="D913" i="12" s="1"/>
  <c r="D914" i="12" s="1"/>
  <c r="D915" i="12" s="1"/>
  <c r="D916" i="12" s="1"/>
  <c r="D917" i="12" s="1"/>
  <c r="D918" i="12" s="1"/>
  <c r="D919" i="12" s="1"/>
  <c r="D920" i="12" s="1"/>
  <c r="D921" i="12" s="1"/>
  <c r="D922" i="12" s="1"/>
  <c r="D923" i="12" s="1"/>
  <c r="D924" i="12" s="1"/>
  <c r="D925" i="12" s="1"/>
  <c r="D926" i="12" s="1"/>
  <c r="D927" i="12" s="1"/>
  <c r="D928" i="12" s="1"/>
  <c r="D929" i="12" s="1"/>
  <c r="D930" i="12" s="1"/>
  <c r="D931" i="12" s="1"/>
  <c r="D932" i="12" s="1"/>
  <c r="D933" i="12" s="1"/>
  <c r="D934" i="12" s="1"/>
  <c r="D935" i="12" s="1"/>
  <c r="D936" i="12" s="1"/>
  <c r="D937" i="12" s="1"/>
  <c r="D938" i="12" s="1"/>
  <c r="D939" i="12" s="1"/>
  <c r="D940" i="12" s="1"/>
  <c r="D941" i="12" s="1"/>
  <c r="D942" i="12" s="1"/>
  <c r="D943" i="12" s="1"/>
  <c r="D944" i="12" s="1"/>
  <c r="D945" i="12" s="1"/>
  <c r="D946" i="12" s="1"/>
  <c r="D947" i="12" s="1"/>
  <c r="D948" i="12" s="1"/>
  <c r="D949" i="12" s="1"/>
  <c r="D950" i="12" s="1"/>
  <c r="D951" i="12" s="1"/>
  <c r="D952" i="12" s="1"/>
  <c r="D953" i="12" s="1"/>
  <c r="D954" i="12" s="1"/>
  <c r="D955" i="12" s="1"/>
  <c r="D956" i="12" s="1"/>
  <c r="D957" i="12" s="1"/>
  <c r="D958" i="12" s="1"/>
  <c r="D959" i="12" s="1"/>
  <c r="D960" i="12" s="1"/>
  <c r="D961" i="12" s="1"/>
  <c r="D962" i="12" s="1"/>
  <c r="D963" i="12" s="1"/>
  <c r="D964" i="12" s="1"/>
  <c r="D965" i="12" s="1"/>
  <c r="D966" i="12" s="1"/>
  <c r="D967" i="12" s="1"/>
  <c r="D968" i="12" s="1"/>
  <c r="D969" i="12" s="1"/>
  <c r="D970" i="12" s="1"/>
  <c r="D971" i="12" s="1"/>
  <c r="D972" i="12" s="1"/>
  <c r="D973" i="12" s="1"/>
  <c r="D974" i="12" s="1"/>
  <c r="D975" i="12" s="1"/>
  <c r="D976" i="12" s="1"/>
  <c r="D977" i="12" s="1"/>
  <c r="D978" i="12" s="1"/>
  <c r="D979" i="12" s="1"/>
  <c r="D980" i="12" s="1"/>
  <c r="D981" i="12" s="1"/>
  <c r="D982" i="12" s="1"/>
  <c r="D983" i="12" s="1"/>
  <c r="D984" i="12" s="1"/>
  <c r="D985" i="12" s="1"/>
  <c r="D986" i="12" s="1"/>
  <c r="D987" i="12" s="1"/>
  <c r="D988" i="12" s="1"/>
  <c r="D989" i="12" s="1"/>
  <c r="D990" i="12" s="1"/>
  <c r="D991" i="12" s="1"/>
  <c r="D992" i="12" s="1"/>
  <c r="D993" i="12" s="1"/>
  <c r="D994" i="12" s="1"/>
  <c r="D995" i="12" s="1"/>
  <c r="D996" i="12" s="1"/>
  <c r="D997" i="12" s="1"/>
  <c r="D998" i="12" s="1"/>
  <c r="D999" i="12" s="1"/>
  <c r="D1000" i="12" s="1"/>
  <c r="D1001" i="12" s="1"/>
  <c r="D1002" i="12" s="1"/>
  <c r="D1003" i="12" s="1"/>
  <c r="D1004" i="12" s="1"/>
  <c r="D1005" i="12" s="1"/>
  <c r="D1006" i="12" s="1"/>
  <c r="D1007" i="12" s="1"/>
  <c r="D1008" i="12" s="1"/>
  <c r="D1009" i="12" s="1"/>
  <c r="D1010" i="12" s="1"/>
  <c r="D1011" i="12" s="1"/>
  <c r="D1012" i="12" s="1"/>
  <c r="D1013" i="12" s="1"/>
  <c r="D1014" i="12" s="1"/>
  <c r="D1015" i="12" s="1"/>
  <c r="D1016" i="12" s="1"/>
  <c r="D1017" i="12" s="1"/>
  <c r="D1018" i="12" s="1"/>
  <c r="D1019" i="12" s="1"/>
  <c r="D1020" i="12" s="1"/>
  <c r="D1021" i="12" s="1"/>
  <c r="D1022" i="12" s="1"/>
  <c r="D1023" i="12" s="1"/>
  <c r="D1024" i="12" s="1"/>
  <c r="D1025" i="12" s="1"/>
  <c r="D1026" i="12" s="1"/>
  <c r="D1027" i="12" s="1"/>
  <c r="D1028" i="12" s="1"/>
  <c r="D1029" i="12" s="1"/>
  <c r="D1030" i="12" s="1"/>
  <c r="D1031" i="12" s="1"/>
  <c r="D1032" i="12" s="1"/>
  <c r="D1033" i="12" s="1"/>
  <c r="D1034" i="12" s="1"/>
  <c r="D1035" i="12" s="1"/>
  <c r="D1036" i="12" s="1"/>
  <c r="D1037" i="12" s="1"/>
  <c r="D1038" i="12" s="1"/>
  <c r="D1039" i="12" s="1"/>
  <c r="D1040" i="12" s="1"/>
  <c r="D1041" i="12" s="1"/>
  <c r="D1042" i="12" s="1"/>
  <c r="D1043" i="12" s="1"/>
  <c r="D1044" i="12" s="1"/>
  <c r="D1045" i="12" s="1"/>
  <c r="D1046" i="12" s="1"/>
  <c r="D1047" i="12" s="1"/>
  <c r="D1048" i="12" s="1"/>
  <c r="D1049" i="12" s="1"/>
  <c r="D1050" i="12" s="1"/>
  <c r="D1051" i="12" s="1"/>
  <c r="D1052" i="12" s="1"/>
  <c r="D1053" i="12" s="1"/>
  <c r="D1054" i="12" s="1"/>
  <c r="D1055" i="12" s="1"/>
  <c r="D1056" i="12" s="1"/>
  <c r="D1057" i="12" s="1"/>
  <c r="D1058" i="12" s="1"/>
  <c r="D1059" i="12" s="1"/>
  <c r="D1060" i="12" s="1"/>
  <c r="D1061" i="12" s="1"/>
  <c r="D1062" i="12" s="1"/>
  <c r="D1063" i="12" s="1"/>
  <c r="D1064" i="12" s="1"/>
  <c r="D1065" i="12" s="1"/>
  <c r="D1066" i="12" s="1"/>
  <c r="D1067" i="12" s="1"/>
  <c r="D1068" i="12" s="1"/>
  <c r="D1069" i="12" s="1"/>
  <c r="D1070" i="12" s="1"/>
  <c r="D1071" i="12" s="1"/>
  <c r="D1072" i="12" s="1"/>
  <c r="D1073" i="12" s="1"/>
  <c r="D1074" i="12" s="1"/>
  <c r="D1075" i="12" s="1"/>
  <c r="D1076" i="12" s="1"/>
  <c r="D1077" i="12" s="1"/>
  <c r="D1078" i="12" s="1"/>
  <c r="D1079" i="12" s="1"/>
  <c r="D1080" i="12" s="1"/>
  <c r="D1081" i="12" s="1"/>
  <c r="D1082" i="12" s="1"/>
  <c r="D1083" i="12" s="1"/>
  <c r="D1084" i="12" s="1"/>
  <c r="D1085" i="12" s="1"/>
  <c r="D1086" i="12" s="1"/>
  <c r="D1087" i="12" s="1"/>
  <c r="D1088" i="12" s="1"/>
  <c r="D1089" i="12" s="1"/>
  <c r="D1090" i="12" s="1"/>
  <c r="D1091" i="12" s="1"/>
  <c r="D1092" i="12" s="1"/>
  <c r="D1093" i="12" s="1"/>
  <c r="D1094" i="12" s="1"/>
  <c r="D1095" i="12" s="1"/>
  <c r="D1096" i="12" s="1"/>
  <c r="D1097" i="12" s="1"/>
  <c r="D1098" i="12" s="1"/>
  <c r="D1099" i="12" s="1"/>
  <c r="D1100" i="12" s="1"/>
  <c r="D1101" i="12" s="1"/>
  <c r="D1102" i="12" s="1"/>
  <c r="D1103" i="12" s="1"/>
  <c r="D1104" i="12" s="1"/>
  <c r="D1105" i="12" s="1"/>
  <c r="D1106" i="12" s="1"/>
  <c r="D1107" i="12" s="1"/>
  <c r="D1108" i="12" s="1"/>
  <c r="D1109" i="12" s="1"/>
  <c r="D1110" i="12" s="1"/>
  <c r="D1111" i="12" s="1"/>
  <c r="D1112" i="12" s="1"/>
  <c r="D1113" i="12" s="1"/>
  <c r="D1114" i="12" s="1"/>
  <c r="D1115" i="12" s="1"/>
  <c r="D1116" i="12" s="1"/>
  <c r="D1117" i="12" s="1"/>
  <c r="D1118" i="12" s="1"/>
  <c r="D1119" i="12" s="1"/>
  <c r="D1120" i="12" s="1"/>
  <c r="D1121" i="12" s="1"/>
  <c r="D1122" i="12" s="1"/>
  <c r="D1123" i="12" s="1"/>
  <c r="D1124" i="12" s="1"/>
  <c r="D1125" i="12" s="1"/>
  <c r="D1126" i="12" s="1"/>
  <c r="D1127" i="12" s="1"/>
  <c r="D1128" i="12" s="1"/>
  <c r="D1129" i="12" s="1"/>
  <c r="D1130" i="12" s="1"/>
  <c r="D1131" i="12" s="1"/>
  <c r="D1132" i="12" s="1"/>
  <c r="D1133" i="12" s="1"/>
  <c r="D1134" i="12" s="1"/>
  <c r="D1135" i="12" s="1"/>
  <c r="D1136" i="12" s="1"/>
  <c r="D1137" i="12" s="1"/>
  <c r="D1138" i="12" s="1"/>
  <c r="D1139" i="12" s="1"/>
  <c r="D1140" i="12" s="1"/>
  <c r="D1141" i="12" s="1"/>
  <c r="D1142" i="12" s="1"/>
  <c r="D1143" i="12" s="1"/>
  <c r="D1144" i="12" s="1"/>
  <c r="D1145" i="12" s="1"/>
  <c r="D1146" i="12" s="1"/>
  <c r="D1147" i="12" s="1"/>
  <c r="D1148" i="12" s="1"/>
  <c r="D1149" i="12" s="1"/>
  <c r="D1150" i="12" s="1"/>
  <c r="D1151" i="12" s="1"/>
  <c r="D1152" i="12" s="1"/>
  <c r="D1153" i="12" s="1"/>
  <c r="D1154" i="12" s="1"/>
  <c r="D1155" i="12" s="1"/>
  <c r="D1156" i="12" s="1"/>
  <c r="D1157" i="12" s="1"/>
  <c r="D1158" i="12" s="1"/>
  <c r="D1159" i="12" s="1"/>
  <c r="D1160" i="12" s="1"/>
  <c r="D1161" i="12" s="1"/>
  <c r="D1162" i="12" s="1"/>
  <c r="D1163" i="12" s="1"/>
  <c r="D1164" i="12" s="1"/>
  <c r="D1165" i="12" s="1"/>
  <c r="D1166" i="12" s="1"/>
  <c r="D1167" i="12" s="1"/>
  <c r="D1168" i="12" s="1"/>
  <c r="D1169" i="12" s="1"/>
  <c r="D1170" i="12" s="1"/>
  <c r="D1171" i="12" s="1"/>
  <c r="D1172" i="12" s="1"/>
  <c r="D1173" i="12" s="1"/>
  <c r="D1174" i="12" s="1"/>
  <c r="D1175" i="12" s="1"/>
  <c r="D1176" i="12" s="1"/>
  <c r="D1177" i="12" s="1"/>
  <c r="D1178" i="12" s="1"/>
  <c r="D1179" i="12" s="1"/>
  <c r="D1180" i="12" s="1"/>
  <c r="D1181" i="12" s="1"/>
  <c r="D1182" i="12" s="1"/>
  <c r="D1183" i="12" s="1"/>
  <c r="D1184" i="12" s="1"/>
  <c r="D1185" i="12" s="1"/>
  <c r="D1186" i="12" s="1"/>
  <c r="D1187" i="12" s="1"/>
  <c r="D1188" i="12" s="1"/>
  <c r="D1189" i="12" s="1"/>
  <c r="D1190" i="12" s="1"/>
  <c r="D1191" i="12" s="1"/>
  <c r="D1192" i="12" s="1"/>
  <c r="D1193" i="12" s="1"/>
  <c r="D1194" i="12" s="1"/>
  <c r="D1195" i="12" s="1"/>
  <c r="D1196" i="12" s="1"/>
  <c r="D1197" i="12" s="1"/>
  <c r="D1198" i="12" s="1"/>
  <c r="D1199" i="12" s="1"/>
  <c r="D1200" i="12" s="1"/>
  <c r="D1201" i="12" s="1"/>
  <c r="D1202" i="12" s="1"/>
  <c r="D1203" i="12" s="1"/>
  <c r="D1204" i="12" s="1"/>
  <c r="D1205" i="12" s="1"/>
  <c r="D1206" i="12" s="1"/>
  <c r="D1207" i="12" s="1"/>
  <c r="D1208" i="12" s="1"/>
  <c r="D1209" i="12" s="1"/>
  <c r="D1210" i="12" s="1"/>
  <c r="D1211" i="12" s="1"/>
  <c r="D1212" i="12" s="1"/>
  <c r="D1213" i="12" s="1"/>
  <c r="D1214" i="12" s="1"/>
  <c r="D1215" i="12" s="1"/>
  <c r="D1216" i="12" s="1"/>
  <c r="D1217" i="12" s="1"/>
  <c r="D1218" i="12" s="1"/>
  <c r="D1219" i="12" s="1"/>
  <c r="D1220" i="12" s="1"/>
  <c r="D1221" i="12" s="1"/>
  <c r="D1222" i="12" s="1"/>
  <c r="D1223" i="12" s="1"/>
  <c r="D1224" i="12" s="1"/>
  <c r="D1225" i="12" s="1"/>
  <c r="D1226" i="12" s="1"/>
  <c r="D1227" i="12" s="1"/>
  <c r="D1228" i="12" s="1"/>
  <c r="D1229" i="12" s="1"/>
  <c r="D1230" i="12" s="1"/>
  <c r="D1231" i="12" s="1"/>
  <c r="D1232" i="12" s="1"/>
  <c r="D1233" i="12" s="1"/>
  <c r="D1234" i="12" s="1"/>
  <c r="D1235" i="12" s="1"/>
  <c r="D1236" i="12" s="1"/>
  <c r="D1237" i="12" s="1"/>
  <c r="D1238" i="12" s="1"/>
  <c r="D1239" i="12" s="1"/>
  <c r="D1240" i="12" s="1"/>
  <c r="D1241" i="12" s="1"/>
  <c r="D1242" i="12" s="1"/>
  <c r="D1243" i="12" s="1"/>
  <c r="D1244" i="12" s="1"/>
  <c r="D1245" i="12" s="1"/>
  <c r="D1246" i="12" s="1"/>
  <c r="D1247" i="12" s="1"/>
  <c r="D1248" i="12" s="1"/>
  <c r="D1249" i="12" s="1"/>
  <c r="D1250" i="12" s="1"/>
  <c r="D1251" i="12" s="1"/>
  <c r="D1252" i="12" s="1"/>
  <c r="D1253" i="12" s="1"/>
  <c r="D1254" i="12" s="1"/>
  <c r="D1255" i="12" s="1"/>
  <c r="D1256" i="12" s="1"/>
  <c r="D1257" i="12" s="1"/>
  <c r="D1258" i="12" s="1"/>
  <c r="D1259" i="12" s="1"/>
  <c r="D1260" i="12" s="1"/>
  <c r="D1261" i="12" s="1"/>
  <c r="D1262" i="12" s="1"/>
  <c r="D1263" i="12" s="1"/>
  <c r="D1264" i="12" s="1"/>
  <c r="D1265" i="12" s="1"/>
  <c r="D1266" i="12" s="1"/>
  <c r="D1267" i="12" s="1"/>
  <c r="D1268" i="12" s="1"/>
  <c r="D1269" i="12" s="1"/>
  <c r="D1270" i="12" s="1"/>
  <c r="D1271" i="12" s="1"/>
  <c r="D1272" i="12" s="1"/>
  <c r="D1273" i="12" s="1"/>
  <c r="D1274" i="12" s="1"/>
  <c r="D1275" i="12" s="1"/>
  <c r="D1276" i="12" s="1"/>
  <c r="D1277" i="12" s="1"/>
  <c r="D1278" i="12" s="1"/>
  <c r="D1279" i="12" s="1"/>
  <c r="D1280" i="12" s="1"/>
  <c r="D1281" i="12" s="1"/>
  <c r="D1282" i="12" s="1"/>
  <c r="D1283" i="12" s="1"/>
  <c r="D1284" i="12" s="1"/>
  <c r="D1285" i="12" s="1"/>
  <c r="D1286" i="12" s="1"/>
  <c r="D1287" i="12" s="1"/>
  <c r="D1288" i="12" s="1"/>
  <c r="D1289" i="12" s="1"/>
  <c r="D1290" i="12" s="1"/>
  <c r="D1291" i="12" s="1"/>
  <c r="D1292" i="12" s="1"/>
  <c r="D1293" i="12" s="1"/>
  <c r="D1294" i="12" s="1"/>
  <c r="D1295" i="12" s="1"/>
  <c r="D1296" i="12" s="1"/>
  <c r="D1297" i="12" s="1"/>
  <c r="D1298" i="12" s="1"/>
  <c r="D1299" i="12" s="1"/>
  <c r="D1300" i="12" s="1"/>
  <c r="D1301" i="12" s="1"/>
  <c r="D1302" i="12" s="1"/>
  <c r="D1303" i="12" s="1"/>
  <c r="D1304" i="12" s="1"/>
  <c r="D1305" i="12" s="1"/>
  <c r="D1306" i="12" s="1"/>
  <c r="D1307" i="12" s="1"/>
  <c r="D1308" i="12" s="1"/>
  <c r="D1309" i="12" s="1"/>
  <c r="D1310" i="12" s="1"/>
  <c r="D1311" i="12" s="1"/>
  <c r="D1312" i="12" s="1"/>
  <c r="D1313" i="12" s="1"/>
  <c r="D1314" i="12" s="1"/>
  <c r="D1315" i="12" s="1"/>
  <c r="D1316" i="12" s="1"/>
  <c r="D1317" i="12" s="1"/>
  <c r="D1318" i="12" s="1"/>
  <c r="D1319" i="12" s="1"/>
  <c r="D1320" i="12" s="1"/>
  <c r="D1321" i="12" s="1"/>
  <c r="D1322" i="12" s="1"/>
  <c r="D1323" i="12" s="1"/>
  <c r="D1324" i="12" s="1"/>
  <c r="D1325" i="12" s="1"/>
  <c r="D1326" i="12" s="1"/>
  <c r="D1327" i="12" s="1"/>
  <c r="D1328" i="12" s="1"/>
  <c r="D1329" i="12" s="1"/>
  <c r="D1330" i="12" s="1"/>
  <c r="D1331" i="12" s="1"/>
  <c r="D1332" i="12" s="1"/>
  <c r="D1333" i="12" s="1"/>
  <c r="D1334" i="12" s="1"/>
  <c r="D1335" i="12" s="1"/>
  <c r="D1336" i="12" s="1"/>
  <c r="D1337" i="12" s="1"/>
  <c r="D1338" i="12" s="1"/>
  <c r="D1339" i="12" s="1"/>
  <c r="D1340" i="12" s="1"/>
  <c r="D1341" i="12" s="1"/>
  <c r="D1342" i="12" s="1"/>
  <c r="D1343" i="12" s="1"/>
  <c r="D1344" i="12" s="1"/>
  <c r="D1345" i="12" s="1"/>
  <c r="D1346" i="12" s="1"/>
  <c r="D1347" i="12" s="1"/>
  <c r="D1348" i="12" s="1"/>
  <c r="D1349" i="12" s="1"/>
  <c r="D1350" i="12" s="1"/>
  <c r="D1351" i="12" s="1"/>
  <c r="D1352" i="12" s="1"/>
  <c r="D1353" i="12" s="1"/>
  <c r="D1354" i="12" s="1"/>
  <c r="D1355" i="12" s="1"/>
  <c r="D1356" i="12" s="1"/>
  <c r="D1357" i="12" s="1"/>
  <c r="D1358" i="12" s="1"/>
  <c r="D1359" i="12" s="1"/>
  <c r="D1360" i="12" s="1"/>
  <c r="D1361" i="12" s="1"/>
  <c r="D1362" i="12" s="1"/>
  <c r="D1363" i="12" s="1"/>
  <c r="D1364" i="12" s="1"/>
  <c r="D1365" i="12" s="1"/>
  <c r="D1366" i="12" s="1"/>
  <c r="D1367" i="12" s="1"/>
  <c r="D1368" i="12" s="1"/>
  <c r="D1369" i="12" s="1"/>
  <c r="D1370" i="12" s="1"/>
  <c r="D1371" i="12" s="1"/>
  <c r="D1372" i="12" s="1"/>
  <c r="D1373" i="12" s="1"/>
  <c r="D1374" i="12" s="1"/>
  <c r="D1375" i="12" s="1"/>
  <c r="D1376" i="12" s="1"/>
  <c r="D1377" i="12" s="1"/>
  <c r="D1378" i="12" s="1"/>
  <c r="D1379" i="12" s="1"/>
  <c r="D1380" i="12" s="1"/>
  <c r="D1381" i="12" s="1"/>
  <c r="D1382" i="12" s="1"/>
  <c r="D1383" i="12" s="1"/>
  <c r="D1384" i="12" s="1"/>
  <c r="D1385" i="12" s="1"/>
  <c r="D1386" i="12" s="1"/>
  <c r="D1387" i="12" s="1"/>
  <c r="D1388" i="12" s="1"/>
  <c r="D1389" i="12" s="1"/>
  <c r="D1390" i="12" s="1"/>
  <c r="D1391" i="12" s="1"/>
  <c r="D1392" i="12" s="1"/>
  <c r="D1393" i="12" s="1"/>
  <c r="D1394" i="12" s="1"/>
  <c r="D1395" i="12" s="1"/>
  <c r="D1396" i="12" s="1"/>
  <c r="D1397" i="12" s="1"/>
  <c r="D1398" i="12" s="1"/>
  <c r="D1399" i="12" s="1"/>
  <c r="D1400" i="12" s="1"/>
  <c r="D1401" i="12" s="1"/>
  <c r="D1402" i="12" s="1"/>
  <c r="D1403" i="12" s="1"/>
  <c r="D1404" i="12" s="1"/>
  <c r="D1405" i="12" s="1"/>
  <c r="D1406" i="12" s="1"/>
  <c r="D1407" i="12" s="1"/>
  <c r="D1408" i="12" s="1"/>
  <c r="D1409" i="12" s="1"/>
  <c r="D1410" i="12" s="1"/>
  <c r="D1411" i="12" s="1"/>
  <c r="D1412" i="12" s="1"/>
  <c r="D1413" i="12" s="1"/>
  <c r="D1414" i="12" s="1"/>
  <c r="D1415" i="12" s="1"/>
  <c r="D1416" i="12" s="1"/>
  <c r="D1417" i="12" s="1"/>
  <c r="D1418" i="12" s="1"/>
  <c r="D1419" i="12" s="1"/>
  <c r="D1420" i="12" s="1"/>
  <c r="D1421" i="12" s="1"/>
  <c r="D1422" i="12" s="1"/>
  <c r="D1423" i="12" s="1"/>
  <c r="D1424" i="12" s="1"/>
  <c r="D1425" i="12" s="1"/>
  <c r="D1426" i="12" s="1"/>
  <c r="D1427" i="12" s="1"/>
  <c r="D1428" i="12" s="1"/>
  <c r="D1429" i="12" s="1"/>
  <c r="D1430" i="12" s="1"/>
  <c r="D1431" i="12" s="1"/>
  <c r="D1432" i="12" s="1"/>
  <c r="D1433" i="12" s="1"/>
  <c r="D1434" i="12" s="1"/>
  <c r="D1435" i="12" s="1"/>
  <c r="D1436" i="12" s="1"/>
  <c r="D1437" i="12" s="1"/>
  <c r="D1438" i="12" s="1"/>
  <c r="D1439" i="12" s="1"/>
  <c r="D1440" i="12" s="1"/>
  <c r="D1441" i="12" s="1"/>
  <c r="D1442" i="12" s="1"/>
  <c r="D1443" i="12" s="1"/>
  <c r="D1444" i="12" s="1"/>
  <c r="D1445" i="12" s="1"/>
  <c r="D1446" i="12" s="1"/>
  <c r="D1447" i="12" s="1"/>
  <c r="D1448" i="12" s="1"/>
  <c r="D1449" i="12" s="1"/>
  <c r="D1450" i="12" s="1"/>
  <c r="D1451" i="12" s="1"/>
  <c r="D1452" i="12" s="1"/>
  <c r="D1453" i="12" s="1"/>
  <c r="D1454" i="12" s="1"/>
  <c r="D1455" i="12" s="1"/>
  <c r="D1456" i="12" s="1"/>
  <c r="D1457" i="12" s="1"/>
  <c r="D1458" i="12" s="1"/>
  <c r="D1459" i="12" s="1"/>
  <c r="D1460" i="12" s="1"/>
  <c r="D1461" i="12" s="1"/>
  <c r="D1462" i="12" s="1"/>
  <c r="D1463" i="12" s="1"/>
  <c r="D1464" i="12" s="1"/>
  <c r="D1465" i="12" s="1"/>
  <c r="D1466" i="12" s="1"/>
  <c r="D1467" i="12" s="1"/>
  <c r="D1468" i="12" s="1"/>
  <c r="D1469" i="12" s="1"/>
  <c r="D1470" i="12" s="1"/>
  <c r="D1471" i="12" s="1"/>
  <c r="D1472" i="12" s="1"/>
  <c r="D1473" i="12" s="1"/>
  <c r="D1474" i="12" s="1"/>
  <c r="D1475" i="12" s="1"/>
  <c r="D1476" i="12" s="1"/>
  <c r="D1477" i="12" s="1"/>
  <c r="D1478" i="12" s="1"/>
  <c r="D1479" i="12" s="1"/>
  <c r="D1480" i="12" s="1"/>
  <c r="D1481" i="12" s="1"/>
  <c r="D1482" i="12" s="1"/>
  <c r="D1483" i="12" s="1"/>
  <c r="D1484" i="12" s="1"/>
  <c r="D1485" i="12" s="1"/>
  <c r="D1486" i="12" s="1"/>
  <c r="D1487" i="12" s="1"/>
  <c r="D1488" i="12" s="1"/>
  <c r="D1489" i="12" s="1"/>
  <c r="D1490" i="12" s="1"/>
  <c r="D1491" i="12" s="1"/>
  <c r="D1492" i="12" s="1"/>
  <c r="D1493" i="12" s="1"/>
  <c r="D1494" i="12" s="1"/>
  <c r="D1495" i="12" s="1"/>
  <c r="D1496" i="12" s="1"/>
  <c r="D1497" i="12" s="1"/>
  <c r="D1498" i="12" s="1"/>
  <c r="D1499" i="12" s="1"/>
  <c r="D1500" i="12" s="1"/>
  <c r="D1501" i="12" s="1"/>
  <c r="D1502" i="12" s="1"/>
  <c r="D1503" i="12" s="1"/>
  <c r="D1504" i="12" s="1"/>
  <c r="D1505" i="12" s="1"/>
  <c r="D1506" i="12" s="1"/>
  <c r="D1507" i="12" s="1"/>
  <c r="D1508" i="12" s="1"/>
  <c r="D1509" i="12" s="1"/>
  <c r="D1510" i="12" s="1"/>
  <c r="D1511" i="12" s="1"/>
  <c r="D1512" i="12" s="1"/>
  <c r="D1513" i="12" s="1"/>
  <c r="B1418" i="8" l="1"/>
  <c r="C1419" i="8"/>
  <c r="B1419" i="8" s="1"/>
  <c r="B1248" i="8"/>
  <c r="C1249" i="8"/>
  <c r="B1249" i="8" s="1"/>
  <c r="B493" i="8"/>
  <c r="C494" i="8"/>
  <c r="B1493" i="8"/>
  <c r="C1494" i="8"/>
  <c r="B296" i="8"/>
  <c r="C297" i="8"/>
  <c r="B421" i="8"/>
  <c r="C422" i="8"/>
  <c r="B422" i="8" s="1"/>
  <c r="B1062" i="8"/>
  <c r="C1063" i="8"/>
  <c r="B1063" i="8" s="1"/>
  <c r="B1575" i="8"/>
  <c r="C1576" i="8"/>
  <c r="B1028" i="8"/>
  <c r="C1029" i="8"/>
  <c r="B1029" i="8" s="1"/>
  <c r="B533" i="8"/>
  <c r="C534" i="8"/>
  <c r="B13" i="8"/>
  <c r="C14" i="8"/>
  <c r="B14" i="8" s="1"/>
  <c r="B118" i="8"/>
  <c r="C119" i="8"/>
  <c r="B119" i="8" s="1"/>
  <c r="B1235" i="8"/>
  <c r="C1236" i="8"/>
  <c r="B1236" i="8" s="1"/>
  <c r="B1313" i="8"/>
  <c r="C1314" i="8"/>
  <c r="C44" i="14"/>
  <c r="D1514" i="12"/>
  <c r="F1513" i="12"/>
  <c r="E24" i="5"/>
  <c r="AW20" i="5"/>
  <c r="AB13" i="5"/>
  <c r="AE8" i="2"/>
  <c r="BO10" i="5"/>
  <c r="BN10" i="5" s="1"/>
  <c r="BO10" i="2"/>
  <c r="BN10" i="2" s="1"/>
  <c r="B494" i="8" l="1"/>
  <c r="C495" i="8"/>
  <c r="B1576" i="8"/>
  <c r="C1577" i="8"/>
  <c r="B1314" i="8"/>
  <c r="C1315" i="8"/>
  <c r="B1315" i="8" s="1"/>
  <c r="B297" i="8"/>
  <c r="C298" i="8"/>
  <c r="B534" i="8"/>
  <c r="C535" i="8"/>
  <c r="B535" i="8" s="1"/>
  <c r="B1494" i="8"/>
  <c r="C1495" i="8"/>
  <c r="C45" i="14"/>
  <c r="D1515" i="12"/>
  <c r="F1514" i="12"/>
  <c r="V194" i="2"/>
  <c r="W194" i="2"/>
  <c r="X194" i="2"/>
  <c r="AP194" i="2"/>
  <c r="AQ194" i="2"/>
  <c r="AT194" i="2"/>
  <c r="AU194" i="2"/>
  <c r="AY194" i="2"/>
  <c r="BU194" i="2"/>
  <c r="BV194" i="2"/>
  <c r="BW194" i="2"/>
  <c r="BX194" i="2"/>
  <c r="BY194" i="2"/>
  <c r="BZ194" i="2"/>
  <c r="AX7" i="2" s="1"/>
  <c r="CA194" i="2"/>
  <c r="CB194" i="2"/>
  <c r="CC194" i="2"/>
  <c r="CD194" i="2"/>
  <c r="CE194" i="2"/>
  <c r="CF194" i="2"/>
  <c r="CG194" i="2"/>
  <c r="CH194" i="2"/>
  <c r="CI194" i="2"/>
  <c r="CJ194" i="2"/>
  <c r="CK194" i="2"/>
  <c r="CL194" i="2"/>
  <c r="CO194" i="2"/>
  <c r="CP194" i="2"/>
  <c r="CQ194" i="2"/>
  <c r="CR194" i="2"/>
  <c r="CS194" i="2"/>
  <c r="DR194" i="2"/>
  <c r="B1577" i="8" l="1"/>
  <c r="C1578" i="8"/>
  <c r="B1495" i="8"/>
  <c r="C1496" i="8"/>
  <c r="B298" i="8"/>
  <c r="C299" i="8"/>
  <c r="B495" i="8"/>
  <c r="C496" i="8"/>
  <c r="C46" i="14"/>
  <c r="D1516" i="12"/>
  <c r="F1515" i="12"/>
  <c r="AB18" i="17"/>
  <c r="AB19" i="17"/>
  <c r="B299" i="8" l="1"/>
  <c r="C300" i="8"/>
  <c r="B1496" i="8"/>
  <c r="C1497" i="8"/>
  <c r="B496" i="8"/>
  <c r="C497" i="8"/>
  <c r="B497" i="8" s="1"/>
  <c r="B1578" i="8"/>
  <c r="C1579" i="8"/>
  <c r="C47" i="14"/>
  <c r="D1517" i="12"/>
  <c r="F1516" i="12"/>
  <c r="O5" i="17"/>
  <c r="AC5" i="17" s="1"/>
  <c r="P5" i="17"/>
  <c r="AD5" i="17" s="1"/>
  <c r="Q5" i="17"/>
  <c r="AE5" i="17" s="1"/>
  <c r="R5" i="17"/>
  <c r="AF5" i="17" s="1"/>
  <c r="S5" i="17"/>
  <c r="AG5" i="17" s="1"/>
  <c r="O6" i="17"/>
  <c r="AC6" i="17" s="1"/>
  <c r="P6" i="17"/>
  <c r="AD6" i="17" s="1"/>
  <c r="Q6" i="17"/>
  <c r="AE6" i="17" s="1"/>
  <c r="R6" i="17"/>
  <c r="AF6" i="17" s="1"/>
  <c r="S6" i="17"/>
  <c r="AG6" i="17" s="1"/>
  <c r="T6" i="17"/>
  <c r="AH6" i="17" s="1"/>
  <c r="O7" i="17"/>
  <c r="AC7" i="17" s="1"/>
  <c r="P7" i="17"/>
  <c r="AD7" i="17" s="1"/>
  <c r="Q7" i="17"/>
  <c r="AE7" i="17" s="1"/>
  <c r="R7" i="17"/>
  <c r="AF7" i="17" s="1"/>
  <c r="S7" i="17"/>
  <c r="AG7" i="17" s="1"/>
  <c r="T7" i="17"/>
  <c r="AH7" i="17" s="1"/>
  <c r="AF7" i="2"/>
  <c r="FL211" i="15"/>
  <c r="FL212" i="15"/>
  <c r="FL213" i="15"/>
  <c r="FL214" i="15"/>
  <c r="FL215" i="15"/>
  <c r="FL216" i="15"/>
  <c r="FL217" i="15"/>
  <c r="FL218" i="15"/>
  <c r="FL219" i="15"/>
  <c r="FL220" i="15"/>
  <c r="FL221" i="15"/>
  <c r="FL222" i="15"/>
  <c r="FL223" i="15"/>
  <c r="FL224" i="15"/>
  <c r="FL225" i="15"/>
  <c r="FL226" i="15"/>
  <c r="FL227" i="15"/>
  <c r="FL228" i="15"/>
  <c r="FL229" i="15"/>
  <c r="FL230" i="15"/>
  <c r="FL231" i="15"/>
  <c r="FL232" i="15"/>
  <c r="FL233" i="15"/>
  <c r="FL234" i="15"/>
  <c r="FL235" i="15"/>
  <c r="FL236" i="15"/>
  <c r="FL237" i="15"/>
  <c r="FL238" i="15"/>
  <c r="FL239" i="15"/>
  <c r="FL240" i="15"/>
  <c r="FL241" i="15"/>
  <c r="FL242" i="15"/>
  <c r="FL243" i="15"/>
  <c r="FL244" i="15"/>
  <c r="FL245" i="15"/>
  <c r="FK211" i="15"/>
  <c r="FK212" i="15"/>
  <c r="FK213" i="15"/>
  <c r="FK214" i="15"/>
  <c r="FK215" i="15"/>
  <c r="FK216" i="15"/>
  <c r="FK217" i="15"/>
  <c r="FK218" i="15"/>
  <c r="FK219" i="15"/>
  <c r="FK220" i="15"/>
  <c r="FK221" i="15"/>
  <c r="FK222" i="15"/>
  <c r="FK223" i="15"/>
  <c r="FK224" i="15"/>
  <c r="FK225" i="15"/>
  <c r="FK226" i="15"/>
  <c r="FK227" i="15"/>
  <c r="FK228" i="15"/>
  <c r="FK229" i="15"/>
  <c r="FK230" i="15"/>
  <c r="FK231" i="15"/>
  <c r="FK232" i="15"/>
  <c r="FK233" i="15"/>
  <c r="FK234" i="15"/>
  <c r="FK235" i="15"/>
  <c r="FK236" i="15"/>
  <c r="FK237" i="15"/>
  <c r="FK238" i="15"/>
  <c r="FK239" i="15"/>
  <c r="FK240" i="15"/>
  <c r="FK241" i="15"/>
  <c r="FK242" i="15"/>
  <c r="FK243" i="15"/>
  <c r="FK244" i="15"/>
  <c r="FK245" i="15"/>
  <c r="Q7" i="6"/>
  <c r="F33" i="6"/>
  <c r="F32" i="6"/>
  <c r="F59" i="6"/>
  <c r="F58" i="6"/>
  <c r="F31" i="6"/>
  <c r="F30" i="6"/>
  <c r="Z9" i="5"/>
  <c r="H9" i="5"/>
  <c r="L40" i="12"/>
  <c r="K10" i="12"/>
  <c r="K11" i="12"/>
  <c r="K12" i="12"/>
  <c r="K13" i="12"/>
  <c r="K14" i="12"/>
  <c r="K15" i="12"/>
  <c r="K16" i="12"/>
  <c r="K17" i="12"/>
  <c r="K18" i="12"/>
  <c r="K19" i="12"/>
  <c r="K20" i="12"/>
  <c r="K8" i="12"/>
  <c r="N8" i="12" s="1"/>
  <c r="N9" i="12"/>
  <c r="H2" i="12"/>
  <c r="O21" i="14"/>
  <c r="Q16" i="14"/>
  <c r="B1497" i="8" l="1"/>
  <c r="C1498" i="8"/>
  <c r="B1579" i="8"/>
  <c r="C1580" i="8"/>
  <c r="B300" i="8"/>
  <c r="C301" i="8"/>
  <c r="C48" i="14"/>
  <c r="C2" i="12"/>
  <c r="I9" i="12" s="1"/>
  <c r="G14" i="12"/>
  <c r="D1518" i="12"/>
  <c r="F1517" i="12"/>
  <c r="E9" i="5"/>
  <c r="F9" i="5"/>
  <c r="G9" i="5"/>
  <c r="I9" i="5"/>
  <c r="J9" i="5"/>
  <c r="K9" i="5"/>
  <c r="L9" i="5"/>
  <c r="M9" i="5"/>
  <c r="N9" i="5"/>
  <c r="O9" i="5"/>
  <c r="P9" i="5"/>
  <c r="Q9" i="5"/>
  <c r="R9" i="5"/>
  <c r="S9" i="5"/>
  <c r="T9" i="5"/>
  <c r="D9" i="5"/>
  <c r="BW23" i="5"/>
  <c r="BS23" i="5"/>
  <c r="BT23" i="5"/>
  <c r="BU23" i="5"/>
  <c r="BV23" i="5"/>
  <c r="BH23" i="5"/>
  <c r="BI23" i="5"/>
  <c r="BJ23" i="5"/>
  <c r="BK23" i="5"/>
  <c r="BL23" i="5"/>
  <c r="BM23" i="5"/>
  <c r="BN23" i="5"/>
  <c r="BO23" i="5"/>
  <c r="BP23" i="5"/>
  <c r="BQ23" i="5"/>
  <c r="BR23" i="5"/>
  <c r="B301" i="8" l="1"/>
  <c r="C302" i="8"/>
  <c r="B1580" i="8"/>
  <c r="C1581" i="8"/>
  <c r="B1498" i="8"/>
  <c r="C1499" i="8"/>
  <c r="B1499" i="8" s="1"/>
  <c r="E1513" i="12"/>
  <c r="E1516" i="12"/>
  <c r="C49" i="14"/>
  <c r="E1517" i="12"/>
  <c r="E1515" i="12"/>
  <c r="E1514" i="12"/>
  <c r="U9" i="5"/>
  <c r="D1519" i="12"/>
  <c r="F1518" i="12"/>
  <c r="E1518" i="12"/>
  <c r="BG23" i="5"/>
  <c r="BE24" i="5"/>
  <c r="BE25" i="5"/>
  <c r="BE26" i="5"/>
  <c r="BE27" i="5"/>
  <c r="BE28" i="5"/>
  <c r="BE29" i="5"/>
  <c r="BE30" i="5"/>
  <c r="BE31" i="5"/>
  <c r="BE32" i="5"/>
  <c r="BE33" i="5"/>
  <c r="BE34" i="5"/>
  <c r="BE35" i="5"/>
  <c r="BE36" i="5"/>
  <c r="BE37" i="5"/>
  <c r="BE38" i="5"/>
  <c r="BE39" i="5"/>
  <c r="BE40" i="5"/>
  <c r="BE41" i="5"/>
  <c r="BE42" i="5"/>
  <c r="BE43" i="5"/>
  <c r="BE44" i="5"/>
  <c r="BE45" i="5"/>
  <c r="BE46" i="5"/>
  <c r="BE47" i="5"/>
  <c r="BE48" i="5"/>
  <c r="BE49" i="5"/>
  <c r="BE50" i="5"/>
  <c r="BE51" i="5"/>
  <c r="BE52" i="5"/>
  <c r="BE53" i="5"/>
  <c r="BE54" i="5"/>
  <c r="BE55" i="5"/>
  <c r="BE56" i="5"/>
  <c r="BE57" i="5"/>
  <c r="BE58" i="5"/>
  <c r="BE59" i="5"/>
  <c r="BE60" i="5"/>
  <c r="BE61" i="5"/>
  <c r="BE62" i="5"/>
  <c r="BE63" i="5"/>
  <c r="BE64" i="5"/>
  <c r="BE65" i="5"/>
  <c r="BE66" i="5"/>
  <c r="BE67" i="5"/>
  <c r="BE68" i="5"/>
  <c r="BE69" i="5"/>
  <c r="BE70" i="5"/>
  <c r="BE71" i="5"/>
  <c r="BE72" i="5"/>
  <c r="BE73" i="5"/>
  <c r="BE74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  <c r="BE100" i="5"/>
  <c r="BE101" i="5"/>
  <c r="BE102" i="5"/>
  <c r="BE103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24" i="5"/>
  <c r="BE125" i="5"/>
  <c r="BE126" i="5"/>
  <c r="BE127" i="5"/>
  <c r="BE128" i="5"/>
  <c r="BE129" i="5"/>
  <c r="BE130" i="5"/>
  <c r="BE131" i="5"/>
  <c r="BE132" i="5"/>
  <c r="BE133" i="5"/>
  <c r="BE134" i="5"/>
  <c r="BE135" i="5"/>
  <c r="BE136" i="5"/>
  <c r="BE137" i="5"/>
  <c r="BE138" i="5"/>
  <c r="BE139" i="5"/>
  <c r="BE140" i="5"/>
  <c r="BE141" i="5"/>
  <c r="BE142" i="5"/>
  <c r="BE143" i="5"/>
  <c r="BE144" i="5"/>
  <c r="BE145" i="5"/>
  <c r="BE146" i="5"/>
  <c r="BE147" i="5"/>
  <c r="BE148" i="5"/>
  <c r="BE149" i="5"/>
  <c r="BE150" i="5"/>
  <c r="BE151" i="5"/>
  <c r="BE152" i="5"/>
  <c r="BE153" i="5"/>
  <c r="BE154" i="5"/>
  <c r="BE155" i="5"/>
  <c r="BE156" i="5"/>
  <c r="BE157" i="5"/>
  <c r="BE158" i="5"/>
  <c r="BE159" i="5"/>
  <c r="BE160" i="5"/>
  <c r="BE161" i="5"/>
  <c r="BE162" i="5"/>
  <c r="BE163" i="5"/>
  <c r="BE164" i="5"/>
  <c r="BE165" i="5"/>
  <c r="BE166" i="5"/>
  <c r="BE167" i="5"/>
  <c r="BE168" i="5"/>
  <c r="BE169" i="5"/>
  <c r="BE170" i="5"/>
  <c r="BE171" i="5"/>
  <c r="BE23" i="5"/>
  <c r="AC84" i="2"/>
  <c r="AE84" i="2"/>
  <c r="AF84" i="2"/>
  <c r="AG84" i="2"/>
  <c r="AH84" i="2"/>
  <c r="AI84" i="2"/>
  <c r="AJ84" i="2"/>
  <c r="AK84" i="2"/>
  <c r="AL84" i="2"/>
  <c r="AM84" i="2"/>
  <c r="AN84" i="2"/>
  <c r="AO84" i="2"/>
  <c r="AC85" i="2"/>
  <c r="AE85" i="2"/>
  <c r="AF85" i="2"/>
  <c r="AG85" i="2"/>
  <c r="AH85" i="2"/>
  <c r="AI85" i="2"/>
  <c r="AJ85" i="2"/>
  <c r="AK85" i="2"/>
  <c r="AL85" i="2"/>
  <c r="AM85" i="2"/>
  <c r="AN85" i="2"/>
  <c r="AO85" i="2"/>
  <c r="AC86" i="2"/>
  <c r="AE86" i="2"/>
  <c r="AF86" i="2"/>
  <c r="AG86" i="2"/>
  <c r="AH86" i="2"/>
  <c r="AI86" i="2"/>
  <c r="AJ86" i="2"/>
  <c r="AK86" i="2"/>
  <c r="AL86" i="2"/>
  <c r="AM86" i="2"/>
  <c r="AN86" i="2"/>
  <c r="AO86" i="2"/>
  <c r="AC87" i="2"/>
  <c r="AD87" i="2"/>
  <c r="AE87" i="2"/>
  <c r="AF87" i="2"/>
  <c r="AG87" i="2"/>
  <c r="AH87" i="2"/>
  <c r="AI87" i="2"/>
  <c r="AJ87" i="2"/>
  <c r="AK87" i="2"/>
  <c r="AL87" i="2"/>
  <c r="AM87" i="2"/>
  <c r="AN87" i="2"/>
  <c r="AO87" i="2"/>
  <c r="AC88" i="2"/>
  <c r="AD88" i="2"/>
  <c r="AE88" i="2"/>
  <c r="AF88" i="2"/>
  <c r="AG88" i="2"/>
  <c r="AH88" i="2"/>
  <c r="AI88" i="2"/>
  <c r="AJ88" i="2"/>
  <c r="AK88" i="2"/>
  <c r="AL88" i="2"/>
  <c r="AM88" i="2"/>
  <c r="AN88" i="2"/>
  <c r="AO88" i="2"/>
  <c r="AC89" i="2"/>
  <c r="AD89" i="2"/>
  <c r="AE89" i="2"/>
  <c r="AF89" i="2"/>
  <c r="AG89" i="2"/>
  <c r="AH89" i="2"/>
  <c r="AI89" i="2"/>
  <c r="AJ89" i="2"/>
  <c r="AK89" i="2"/>
  <c r="AL89" i="2"/>
  <c r="AM89" i="2"/>
  <c r="AN89" i="2"/>
  <c r="AO89" i="2"/>
  <c r="AC90" i="2"/>
  <c r="AD90" i="2"/>
  <c r="AE90" i="2"/>
  <c r="AF90" i="2"/>
  <c r="AG90" i="2"/>
  <c r="AH90" i="2"/>
  <c r="AI90" i="2"/>
  <c r="AJ90" i="2"/>
  <c r="AK90" i="2"/>
  <c r="AL90" i="2"/>
  <c r="AM90" i="2"/>
  <c r="AN90" i="2"/>
  <c r="AO90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C92" i="2"/>
  <c r="AD92" i="2"/>
  <c r="AE92" i="2"/>
  <c r="AF92" i="2"/>
  <c r="AG92" i="2"/>
  <c r="AH92" i="2"/>
  <c r="AI92" i="2"/>
  <c r="AJ92" i="2"/>
  <c r="AK92" i="2"/>
  <c r="AL92" i="2"/>
  <c r="AM92" i="2"/>
  <c r="AN92" i="2"/>
  <c r="AO92" i="2"/>
  <c r="AC93" i="2"/>
  <c r="AD93" i="2"/>
  <c r="AE93" i="2"/>
  <c r="AF93" i="2"/>
  <c r="AG93" i="2"/>
  <c r="AH93" i="2"/>
  <c r="AI93" i="2"/>
  <c r="AJ93" i="2"/>
  <c r="AK93" i="2"/>
  <c r="AL93" i="2"/>
  <c r="AM93" i="2"/>
  <c r="AN93" i="2"/>
  <c r="AO93" i="2"/>
  <c r="AC94" i="2"/>
  <c r="AD94" i="2"/>
  <c r="AE94" i="2"/>
  <c r="AF94" i="2"/>
  <c r="AG94" i="2"/>
  <c r="AH94" i="2"/>
  <c r="AI94" i="2"/>
  <c r="AJ94" i="2"/>
  <c r="AK94" i="2"/>
  <c r="AL94" i="2"/>
  <c r="AM94" i="2"/>
  <c r="AN94" i="2"/>
  <c r="AO94" i="2"/>
  <c r="AC95" i="2"/>
  <c r="AD95" i="2"/>
  <c r="AE95" i="2"/>
  <c r="AF95" i="2"/>
  <c r="AG95" i="2"/>
  <c r="AH95" i="2"/>
  <c r="AI95" i="2"/>
  <c r="AJ95" i="2"/>
  <c r="AK95" i="2"/>
  <c r="AL95" i="2"/>
  <c r="AM95" i="2"/>
  <c r="AN95" i="2"/>
  <c r="AO95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C97" i="2"/>
  <c r="AD97" i="2"/>
  <c r="AE97" i="2"/>
  <c r="AF97" i="2"/>
  <c r="AG97" i="2"/>
  <c r="AH97" i="2"/>
  <c r="AI97" i="2"/>
  <c r="AJ97" i="2"/>
  <c r="AK97" i="2"/>
  <c r="AL97" i="2"/>
  <c r="AM97" i="2"/>
  <c r="AN97" i="2"/>
  <c r="AO97" i="2"/>
  <c r="AC98" i="2"/>
  <c r="AD98" i="2"/>
  <c r="AE98" i="2"/>
  <c r="AF98" i="2"/>
  <c r="AG98" i="2"/>
  <c r="AH98" i="2"/>
  <c r="AI98" i="2"/>
  <c r="AJ98" i="2"/>
  <c r="AK98" i="2"/>
  <c r="AL98" i="2"/>
  <c r="AM98" i="2"/>
  <c r="AN98" i="2"/>
  <c r="AO98" i="2"/>
  <c r="AC99" i="2"/>
  <c r="AD99" i="2"/>
  <c r="AE99" i="2"/>
  <c r="AF99" i="2"/>
  <c r="AG99" i="2"/>
  <c r="AH99" i="2"/>
  <c r="AI99" i="2"/>
  <c r="AJ99" i="2"/>
  <c r="AK99" i="2"/>
  <c r="AL99" i="2"/>
  <c r="AM99" i="2"/>
  <c r="AN99" i="2"/>
  <c r="AO99" i="2"/>
  <c r="AC100" i="2"/>
  <c r="AD100" i="2"/>
  <c r="AE100" i="2"/>
  <c r="AF100" i="2"/>
  <c r="AG100" i="2"/>
  <c r="AH100" i="2"/>
  <c r="AI100" i="2"/>
  <c r="AJ100" i="2"/>
  <c r="AK100" i="2"/>
  <c r="AL100" i="2"/>
  <c r="AM100" i="2"/>
  <c r="AN100" i="2"/>
  <c r="AO100" i="2"/>
  <c r="AC101" i="2"/>
  <c r="AD101" i="2"/>
  <c r="AE101" i="2"/>
  <c r="AF101" i="2"/>
  <c r="AG101" i="2"/>
  <c r="AH101" i="2"/>
  <c r="AI101" i="2"/>
  <c r="AJ101" i="2"/>
  <c r="AK101" i="2"/>
  <c r="AL101" i="2"/>
  <c r="AM101" i="2"/>
  <c r="AN101" i="2"/>
  <c r="AO101" i="2"/>
  <c r="AC102" i="2"/>
  <c r="AD102" i="2"/>
  <c r="AE102" i="2"/>
  <c r="AF102" i="2"/>
  <c r="AG102" i="2"/>
  <c r="AH102" i="2"/>
  <c r="AI102" i="2"/>
  <c r="AJ102" i="2"/>
  <c r="AK102" i="2"/>
  <c r="AL102" i="2"/>
  <c r="AM102" i="2"/>
  <c r="AN102" i="2"/>
  <c r="AO102" i="2"/>
  <c r="AC103" i="2"/>
  <c r="AD103" i="2"/>
  <c r="AE103" i="2"/>
  <c r="AF103" i="2"/>
  <c r="AG103" i="2"/>
  <c r="AH103" i="2"/>
  <c r="AI103" i="2"/>
  <c r="AJ103" i="2"/>
  <c r="AK103" i="2"/>
  <c r="AL103" i="2"/>
  <c r="AM103" i="2"/>
  <c r="AN103" i="2"/>
  <c r="AO103" i="2"/>
  <c r="AC104" i="2"/>
  <c r="AD104" i="2"/>
  <c r="AE104" i="2"/>
  <c r="AF104" i="2"/>
  <c r="AG104" i="2"/>
  <c r="AH104" i="2"/>
  <c r="AI104" i="2"/>
  <c r="AJ104" i="2"/>
  <c r="AK104" i="2"/>
  <c r="AL104" i="2"/>
  <c r="AM104" i="2"/>
  <c r="AN104" i="2"/>
  <c r="AO104" i="2"/>
  <c r="AC105" i="2"/>
  <c r="AD105" i="2"/>
  <c r="AE105" i="2"/>
  <c r="AF105" i="2"/>
  <c r="AG105" i="2"/>
  <c r="AH105" i="2"/>
  <c r="AI105" i="2"/>
  <c r="AJ105" i="2"/>
  <c r="AK105" i="2"/>
  <c r="AL105" i="2"/>
  <c r="AM105" i="2"/>
  <c r="AN105" i="2"/>
  <c r="AO105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C107" i="2"/>
  <c r="AD107" i="2"/>
  <c r="AE107" i="2"/>
  <c r="AF107" i="2"/>
  <c r="AG107" i="2"/>
  <c r="AH107" i="2"/>
  <c r="AI107" i="2"/>
  <c r="AJ107" i="2"/>
  <c r="AK107" i="2"/>
  <c r="AL107" i="2"/>
  <c r="AM107" i="2"/>
  <c r="AN107" i="2"/>
  <c r="AO107" i="2"/>
  <c r="AC108" i="2"/>
  <c r="AD108" i="2"/>
  <c r="AE108" i="2"/>
  <c r="AF108" i="2"/>
  <c r="AG108" i="2"/>
  <c r="AH108" i="2"/>
  <c r="AI108" i="2"/>
  <c r="AJ108" i="2"/>
  <c r="AK108" i="2"/>
  <c r="AL108" i="2"/>
  <c r="AM108" i="2"/>
  <c r="AN108" i="2"/>
  <c r="AO108" i="2"/>
  <c r="AA109" i="2"/>
  <c r="AB109" i="2"/>
  <c r="AC109" i="2"/>
  <c r="AD109" i="2"/>
  <c r="AE109" i="2"/>
  <c r="AF109" i="2"/>
  <c r="AG109" i="2"/>
  <c r="AH109" i="2"/>
  <c r="AI109" i="2"/>
  <c r="AJ109" i="2"/>
  <c r="AK109" i="2"/>
  <c r="AL109" i="2"/>
  <c r="AM109" i="2"/>
  <c r="AN109" i="2"/>
  <c r="AO109" i="2"/>
  <c r="AA110" i="2"/>
  <c r="AB110" i="2"/>
  <c r="AC110" i="2"/>
  <c r="AD110" i="2"/>
  <c r="AE110" i="2"/>
  <c r="AF110" i="2"/>
  <c r="AG110" i="2"/>
  <c r="AH110" i="2"/>
  <c r="AI110" i="2"/>
  <c r="AJ110" i="2"/>
  <c r="AK110" i="2"/>
  <c r="AL110" i="2"/>
  <c r="AM110" i="2"/>
  <c r="AN110" i="2"/>
  <c r="AO110" i="2"/>
  <c r="AA111" i="2"/>
  <c r="AB111" i="2"/>
  <c r="AC111" i="2"/>
  <c r="AD111" i="2"/>
  <c r="AE111" i="2"/>
  <c r="AF111" i="2"/>
  <c r="AG111" i="2"/>
  <c r="AH111" i="2"/>
  <c r="AI111" i="2"/>
  <c r="AJ111" i="2"/>
  <c r="AK111" i="2"/>
  <c r="AL111" i="2"/>
  <c r="AM111" i="2"/>
  <c r="AN111" i="2"/>
  <c r="AO111" i="2"/>
  <c r="AA112" i="2"/>
  <c r="AB112" i="2"/>
  <c r="AC112" i="2"/>
  <c r="AD112" i="2"/>
  <c r="AE112" i="2"/>
  <c r="AF112" i="2"/>
  <c r="AG112" i="2"/>
  <c r="AH112" i="2"/>
  <c r="AI112" i="2"/>
  <c r="AJ112" i="2"/>
  <c r="AK112" i="2"/>
  <c r="AL112" i="2"/>
  <c r="AM112" i="2"/>
  <c r="AN112" i="2"/>
  <c r="AO112" i="2"/>
  <c r="AA113" i="2"/>
  <c r="AB113" i="2"/>
  <c r="AC113" i="2"/>
  <c r="AD113" i="2"/>
  <c r="AE113" i="2"/>
  <c r="AF113" i="2"/>
  <c r="AG113" i="2"/>
  <c r="AH113" i="2"/>
  <c r="AI113" i="2"/>
  <c r="AJ113" i="2"/>
  <c r="AK113" i="2"/>
  <c r="AL113" i="2"/>
  <c r="AM113" i="2"/>
  <c r="AN113" i="2"/>
  <c r="AO113" i="2"/>
  <c r="AA114" i="2"/>
  <c r="AB114" i="2"/>
  <c r="AC114" i="2"/>
  <c r="AD114" i="2"/>
  <c r="AE114" i="2"/>
  <c r="AF114" i="2"/>
  <c r="AG114" i="2"/>
  <c r="AH114" i="2"/>
  <c r="AI114" i="2"/>
  <c r="AJ114" i="2"/>
  <c r="AK114" i="2"/>
  <c r="AL114" i="2"/>
  <c r="AM114" i="2"/>
  <c r="AN114" i="2"/>
  <c r="AO114" i="2"/>
  <c r="AA115" i="2"/>
  <c r="AB115" i="2"/>
  <c r="AC115" i="2"/>
  <c r="AD115" i="2"/>
  <c r="AE115" i="2"/>
  <c r="AF115" i="2"/>
  <c r="AG115" i="2"/>
  <c r="AH115" i="2"/>
  <c r="AI115" i="2"/>
  <c r="AJ115" i="2"/>
  <c r="AK115" i="2"/>
  <c r="AL115" i="2"/>
  <c r="AM115" i="2"/>
  <c r="AN115" i="2"/>
  <c r="AO115" i="2"/>
  <c r="AA116" i="2"/>
  <c r="AB116" i="2"/>
  <c r="AC116" i="2"/>
  <c r="AD116" i="2"/>
  <c r="AE116" i="2"/>
  <c r="AF116" i="2"/>
  <c r="AG116" i="2"/>
  <c r="AH116" i="2"/>
  <c r="AI116" i="2"/>
  <c r="AJ116" i="2"/>
  <c r="AK116" i="2"/>
  <c r="AL116" i="2"/>
  <c r="AM116" i="2"/>
  <c r="AN116" i="2"/>
  <c r="AO116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Z129" i="2"/>
  <c r="AA129" i="2"/>
  <c r="AB129" i="2"/>
  <c r="AC129" i="2"/>
  <c r="AD129" i="2"/>
  <c r="AE129" i="2"/>
  <c r="AF129" i="2"/>
  <c r="AG129" i="2"/>
  <c r="AH129" i="2"/>
  <c r="AI129" i="2"/>
  <c r="AJ129" i="2"/>
  <c r="AK129" i="2"/>
  <c r="AL129" i="2"/>
  <c r="AM129" i="2"/>
  <c r="AN129" i="2"/>
  <c r="AO129" i="2"/>
  <c r="Z130" i="2"/>
  <c r="AA130" i="2"/>
  <c r="AB130" i="2"/>
  <c r="AC130" i="2"/>
  <c r="AD130" i="2"/>
  <c r="AE130" i="2"/>
  <c r="AF130" i="2"/>
  <c r="AG130" i="2"/>
  <c r="AH130" i="2"/>
  <c r="AI130" i="2"/>
  <c r="AJ130" i="2"/>
  <c r="AK130" i="2"/>
  <c r="AL130" i="2"/>
  <c r="AM130" i="2"/>
  <c r="AN130" i="2"/>
  <c r="AO130" i="2"/>
  <c r="Z131" i="2"/>
  <c r="AA131" i="2"/>
  <c r="AB131" i="2"/>
  <c r="AC131" i="2"/>
  <c r="AD131" i="2"/>
  <c r="AE131" i="2"/>
  <c r="AF131" i="2"/>
  <c r="AG131" i="2"/>
  <c r="AH131" i="2"/>
  <c r="AI131" i="2"/>
  <c r="AJ131" i="2"/>
  <c r="AK131" i="2"/>
  <c r="AL131" i="2"/>
  <c r="AM131" i="2"/>
  <c r="AN131" i="2"/>
  <c r="AO131" i="2"/>
  <c r="Z132" i="2"/>
  <c r="AA132" i="2"/>
  <c r="AB132" i="2"/>
  <c r="AC132" i="2"/>
  <c r="AD132" i="2"/>
  <c r="AE132" i="2"/>
  <c r="AF132" i="2"/>
  <c r="AG132" i="2"/>
  <c r="AH132" i="2"/>
  <c r="AI132" i="2"/>
  <c r="AJ132" i="2"/>
  <c r="AK132" i="2"/>
  <c r="AL132" i="2"/>
  <c r="AM132" i="2"/>
  <c r="AN132" i="2"/>
  <c r="AO132" i="2"/>
  <c r="Z133" i="2"/>
  <c r="AA133" i="2"/>
  <c r="AB133" i="2"/>
  <c r="AC133" i="2"/>
  <c r="AD133" i="2"/>
  <c r="AE133" i="2"/>
  <c r="AF133" i="2"/>
  <c r="AG133" i="2"/>
  <c r="AH133" i="2"/>
  <c r="AI133" i="2"/>
  <c r="AJ133" i="2"/>
  <c r="AK133" i="2"/>
  <c r="AL133" i="2"/>
  <c r="AM133" i="2"/>
  <c r="AN133" i="2"/>
  <c r="AO133" i="2"/>
  <c r="Z134" i="2"/>
  <c r="AA134" i="2"/>
  <c r="AB134" i="2"/>
  <c r="AC134" i="2"/>
  <c r="AD134" i="2"/>
  <c r="AE134" i="2"/>
  <c r="AF134" i="2"/>
  <c r="AG134" i="2"/>
  <c r="AH134" i="2"/>
  <c r="AI134" i="2"/>
  <c r="AJ134" i="2"/>
  <c r="AK134" i="2"/>
  <c r="AL134" i="2"/>
  <c r="AM134" i="2"/>
  <c r="AN134" i="2"/>
  <c r="AO134" i="2"/>
  <c r="Z135" i="2"/>
  <c r="AA135" i="2"/>
  <c r="AB135" i="2"/>
  <c r="AC135" i="2"/>
  <c r="AD135" i="2"/>
  <c r="AE135" i="2"/>
  <c r="AF135" i="2"/>
  <c r="AG135" i="2"/>
  <c r="AH135" i="2"/>
  <c r="AI135" i="2"/>
  <c r="AJ135" i="2"/>
  <c r="AK135" i="2"/>
  <c r="AL135" i="2"/>
  <c r="AM135" i="2"/>
  <c r="AN135" i="2"/>
  <c r="AO135" i="2"/>
  <c r="Z136" i="2"/>
  <c r="AA136" i="2"/>
  <c r="AB136" i="2"/>
  <c r="AC136" i="2"/>
  <c r="AD136" i="2"/>
  <c r="AE136" i="2"/>
  <c r="AF136" i="2"/>
  <c r="AG136" i="2"/>
  <c r="AH136" i="2"/>
  <c r="AI136" i="2"/>
  <c r="AJ136" i="2"/>
  <c r="AK136" i="2"/>
  <c r="AL136" i="2"/>
  <c r="AM136" i="2"/>
  <c r="AN136" i="2"/>
  <c r="AO136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Z138" i="2"/>
  <c r="AA138" i="2"/>
  <c r="AB138" i="2"/>
  <c r="AC138" i="2"/>
  <c r="AD138" i="2"/>
  <c r="AE138" i="2"/>
  <c r="AF138" i="2"/>
  <c r="AG138" i="2"/>
  <c r="AH138" i="2"/>
  <c r="AI138" i="2"/>
  <c r="AJ138" i="2"/>
  <c r="AK138" i="2"/>
  <c r="AL138" i="2"/>
  <c r="AM138" i="2"/>
  <c r="AN138" i="2"/>
  <c r="AO138" i="2"/>
  <c r="Y139" i="2"/>
  <c r="Z139" i="2"/>
  <c r="AA139" i="2"/>
  <c r="AB139" i="2"/>
  <c r="AC139" i="2"/>
  <c r="AD139" i="2"/>
  <c r="AE139" i="2"/>
  <c r="AF139" i="2"/>
  <c r="AG139" i="2"/>
  <c r="AH139" i="2"/>
  <c r="AI139" i="2"/>
  <c r="AJ139" i="2"/>
  <c r="AK139" i="2"/>
  <c r="AL139" i="2"/>
  <c r="AM139" i="2"/>
  <c r="AN139" i="2"/>
  <c r="AO139" i="2"/>
  <c r="Y140" i="2"/>
  <c r="Z140" i="2"/>
  <c r="AA140" i="2"/>
  <c r="AB140" i="2"/>
  <c r="AC140" i="2"/>
  <c r="AD140" i="2"/>
  <c r="AE140" i="2"/>
  <c r="AF140" i="2"/>
  <c r="AG140" i="2"/>
  <c r="AH140" i="2"/>
  <c r="AI140" i="2"/>
  <c r="AJ140" i="2"/>
  <c r="AK140" i="2"/>
  <c r="AL140" i="2"/>
  <c r="AM140" i="2"/>
  <c r="AN140" i="2"/>
  <c r="AO140" i="2"/>
  <c r="Y141" i="2"/>
  <c r="Z141" i="2"/>
  <c r="AA141" i="2"/>
  <c r="AB141" i="2"/>
  <c r="AC141" i="2"/>
  <c r="AD141" i="2"/>
  <c r="AE141" i="2"/>
  <c r="AF141" i="2"/>
  <c r="AG141" i="2"/>
  <c r="AH141" i="2"/>
  <c r="AI141" i="2"/>
  <c r="AJ141" i="2"/>
  <c r="AK141" i="2"/>
  <c r="AL141" i="2"/>
  <c r="AM141" i="2"/>
  <c r="AN141" i="2"/>
  <c r="AO141" i="2"/>
  <c r="Y142" i="2"/>
  <c r="Z142" i="2"/>
  <c r="AA142" i="2"/>
  <c r="AB142" i="2"/>
  <c r="AC142" i="2"/>
  <c r="AD142" i="2"/>
  <c r="AE142" i="2"/>
  <c r="AF142" i="2"/>
  <c r="AG142" i="2"/>
  <c r="AH142" i="2"/>
  <c r="AI142" i="2"/>
  <c r="AJ142" i="2"/>
  <c r="AK142" i="2"/>
  <c r="AL142" i="2"/>
  <c r="AM142" i="2"/>
  <c r="AN142" i="2"/>
  <c r="AO142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Y144" i="2"/>
  <c r="Z144" i="2"/>
  <c r="AA144" i="2"/>
  <c r="AB144" i="2"/>
  <c r="AC144" i="2"/>
  <c r="AD144" i="2"/>
  <c r="AE144" i="2"/>
  <c r="AF144" i="2"/>
  <c r="AG144" i="2"/>
  <c r="AH144" i="2"/>
  <c r="AI144" i="2"/>
  <c r="AJ144" i="2"/>
  <c r="AK144" i="2"/>
  <c r="AL144" i="2"/>
  <c r="AM144" i="2"/>
  <c r="AN144" i="2"/>
  <c r="AO144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Y146" i="2"/>
  <c r="Z146" i="2"/>
  <c r="AA146" i="2"/>
  <c r="AB146" i="2"/>
  <c r="AC146" i="2"/>
  <c r="AD146" i="2"/>
  <c r="AE146" i="2"/>
  <c r="AF146" i="2"/>
  <c r="AG146" i="2"/>
  <c r="AH146" i="2"/>
  <c r="AI146" i="2"/>
  <c r="AJ146" i="2"/>
  <c r="AK146" i="2"/>
  <c r="AL146" i="2"/>
  <c r="AM146" i="2"/>
  <c r="AN146" i="2"/>
  <c r="AO146" i="2"/>
  <c r="Y147" i="2"/>
  <c r="Z147" i="2"/>
  <c r="AA147" i="2"/>
  <c r="AB147" i="2"/>
  <c r="AC147" i="2"/>
  <c r="AD147" i="2"/>
  <c r="AE147" i="2"/>
  <c r="AF147" i="2"/>
  <c r="AG147" i="2"/>
  <c r="AH147" i="2"/>
  <c r="AI147" i="2"/>
  <c r="AJ147" i="2"/>
  <c r="AK147" i="2"/>
  <c r="AL147" i="2"/>
  <c r="AM147" i="2"/>
  <c r="AN147" i="2"/>
  <c r="AO147" i="2"/>
  <c r="Y148" i="2"/>
  <c r="Z148" i="2"/>
  <c r="AA148" i="2"/>
  <c r="AB148" i="2"/>
  <c r="AC148" i="2"/>
  <c r="AD148" i="2"/>
  <c r="AE148" i="2"/>
  <c r="AF148" i="2"/>
  <c r="AG148" i="2"/>
  <c r="AH148" i="2"/>
  <c r="AI148" i="2"/>
  <c r="AJ148" i="2"/>
  <c r="AK148" i="2"/>
  <c r="AL148" i="2"/>
  <c r="AM148" i="2"/>
  <c r="AN148" i="2"/>
  <c r="AO148" i="2"/>
  <c r="Y149" i="2"/>
  <c r="Z149" i="2"/>
  <c r="AA149" i="2"/>
  <c r="AB149" i="2"/>
  <c r="AC149" i="2"/>
  <c r="AD149" i="2"/>
  <c r="AE149" i="2"/>
  <c r="AF149" i="2"/>
  <c r="AG149" i="2"/>
  <c r="AH149" i="2"/>
  <c r="AI149" i="2"/>
  <c r="AJ149" i="2"/>
  <c r="AK149" i="2"/>
  <c r="AL149" i="2"/>
  <c r="AM149" i="2"/>
  <c r="AN149" i="2"/>
  <c r="AO149" i="2"/>
  <c r="Y150" i="2"/>
  <c r="Z150" i="2"/>
  <c r="AA150" i="2"/>
  <c r="AB150" i="2"/>
  <c r="AC150" i="2"/>
  <c r="AD150" i="2"/>
  <c r="AE150" i="2"/>
  <c r="AF150" i="2"/>
  <c r="AG150" i="2"/>
  <c r="AH150" i="2"/>
  <c r="AI150" i="2"/>
  <c r="AJ150" i="2"/>
  <c r="AK150" i="2"/>
  <c r="AL150" i="2"/>
  <c r="AM150" i="2"/>
  <c r="AN150" i="2"/>
  <c r="AO150" i="2"/>
  <c r="Y151" i="2"/>
  <c r="Z151" i="2"/>
  <c r="AA151" i="2"/>
  <c r="AB151" i="2"/>
  <c r="AC151" i="2"/>
  <c r="AD151" i="2"/>
  <c r="AE151" i="2"/>
  <c r="AF151" i="2"/>
  <c r="AG151" i="2"/>
  <c r="AH151" i="2"/>
  <c r="AI151" i="2"/>
  <c r="AJ151" i="2"/>
  <c r="AK151" i="2"/>
  <c r="AL151" i="2"/>
  <c r="AM151" i="2"/>
  <c r="AN151" i="2"/>
  <c r="AO151" i="2"/>
  <c r="Y152" i="2"/>
  <c r="Z152" i="2"/>
  <c r="AA152" i="2"/>
  <c r="AB152" i="2"/>
  <c r="AC152" i="2"/>
  <c r="AD152" i="2"/>
  <c r="AE152" i="2"/>
  <c r="AF152" i="2"/>
  <c r="AG152" i="2"/>
  <c r="AH152" i="2"/>
  <c r="AI152" i="2"/>
  <c r="AJ152" i="2"/>
  <c r="AK152" i="2"/>
  <c r="AL152" i="2"/>
  <c r="AM152" i="2"/>
  <c r="AN152" i="2"/>
  <c r="AO152" i="2"/>
  <c r="Y153" i="2"/>
  <c r="Z153" i="2"/>
  <c r="AA153" i="2"/>
  <c r="AB153" i="2"/>
  <c r="AC153" i="2"/>
  <c r="AD153" i="2"/>
  <c r="AE153" i="2"/>
  <c r="AF153" i="2"/>
  <c r="AG153" i="2"/>
  <c r="AH153" i="2"/>
  <c r="AI153" i="2"/>
  <c r="AJ153" i="2"/>
  <c r="AK153" i="2"/>
  <c r="AL153" i="2"/>
  <c r="AM153" i="2"/>
  <c r="AN153" i="2"/>
  <c r="AO153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Y155" i="2"/>
  <c r="Z155" i="2"/>
  <c r="AA155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O155" i="2"/>
  <c r="Y156" i="2"/>
  <c r="Z156" i="2"/>
  <c r="AA156" i="2"/>
  <c r="AB156" i="2"/>
  <c r="AC156" i="2"/>
  <c r="AD156" i="2"/>
  <c r="AE156" i="2"/>
  <c r="AF156" i="2"/>
  <c r="AG156" i="2"/>
  <c r="AH156" i="2"/>
  <c r="AI156" i="2"/>
  <c r="AJ156" i="2"/>
  <c r="AK156" i="2"/>
  <c r="AL156" i="2"/>
  <c r="AM156" i="2"/>
  <c r="AN156" i="2"/>
  <c r="AO156" i="2"/>
  <c r="Y157" i="2"/>
  <c r="Z157" i="2"/>
  <c r="AA157" i="2"/>
  <c r="AB157" i="2"/>
  <c r="AC157" i="2"/>
  <c r="AD157" i="2"/>
  <c r="AE157" i="2"/>
  <c r="AF157" i="2"/>
  <c r="AG157" i="2"/>
  <c r="AH157" i="2"/>
  <c r="AI157" i="2"/>
  <c r="AJ157" i="2"/>
  <c r="AK157" i="2"/>
  <c r="AL157" i="2"/>
  <c r="AM157" i="2"/>
  <c r="AN157" i="2"/>
  <c r="AO157" i="2"/>
  <c r="Y158" i="2"/>
  <c r="Z158" i="2"/>
  <c r="AA158" i="2"/>
  <c r="AB158" i="2"/>
  <c r="AC158" i="2"/>
  <c r="AD158" i="2"/>
  <c r="AE158" i="2"/>
  <c r="AF158" i="2"/>
  <c r="AG158" i="2"/>
  <c r="AH158" i="2"/>
  <c r="AI158" i="2"/>
  <c r="AJ158" i="2"/>
  <c r="AK158" i="2"/>
  <c r="AL158" i="2"/>
  <c r="AM158" i="2"/>
  <c r="AN158" i="2"/>
  <c r="AO158" i="2"/>
  <c r="Y159" i="2"/>
  <c r="Z159" i="2"/>
  <c r="AA159" i="2"/>
  <c r="AB159" i="2"/>
  <c r="AC159" i="2"/>
  <c r="AD159" i="2"/>
  <c r="AE159" i="2"/>
  <c r="AF159" i="2"/>
  <c r="AG159" i="2"/>
  <c r="AH159" i="2"/>
  <c r="AI159" i="2"/>
  <c r="AJ159" i="2"/>
  <c r="AK159" i="2"/>
  <c r="AL159" i="2"/>
  <c r="AM159" i="2"/>
  <c r="AN159" i="2"/>
  <c r="AO159" i="2"/>
  <c r="Y160" i="2"/>
  <c r="Z160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O160" i="2"/>
  <c r="Y161" i="2"/>
  <c r="Z161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O161" i="2"/>
  <c r="Y162" i="2"/>
  <c r="Z162" i="2"/>
  <c r="AA162" i="2"/>
  <c r="AB162" i="2"/>
  <c r="AC162" i="2"/>
  <c r="AD162" i="2"/>
  <c r="AE162" i="2"/>
  <c r="AF162" i="2"/>
  <c r="AG162" i="2"/>
  <c r="AH162" i="2"/>
  <c r="AI162" i="2"/>
  <c r="AJ162" i="2"/>
  <c r="AK162" i="2"/>
  <c r="AL162" i="2"/>
  <c r="AM162" i="2"/>
  <c r="AN162" i="2"/>
  <c r="AO162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Y18" i="2"/>
  <c r="B1581" i="8" l="1"/>
  <c r="C1582" i="8"/>
  <c r="B302" i="8"/>
  <c r="C303" i="8"/>
  <c r="C50" i="14"/>
  <c r="D1520" i="12"/>
  <c r="F1519" i="12"/>
  <c r="E1519" i="12"/>
  <c r="BI37" i="5"/>
  <c r="BH37" i="5"/>
  <c r="BM37" i="5"/>
  <c r="BQ37" i="5"/>
  <c r="BU37" i="5"/>
  <c r="BJ37" i="5"/>
  <c r="BN37" i="5"/>
  <c r="BR37" i="5"/>
  <c r="BV37" i="5"/>
  <c r="BO37" i="5"/>
  <c r="BW37" i="5"/>
  <c r="BG37" i="5"/>
  <c r="BP37" i="5"/>
  <c r="BS37" i="5"/>
  <c r="BL37" i="5"/>
  <c r="BK37" i="5"/>
  <c r="BT37" i="5"/>
  <c r="BI33" i="5"/>
  <c r="BH33" i="5"/>
  <c r="BM33" i="5"/>
  <c r="BQ33" i="5"/>
  <c r="BU33" i="5"/>
  <c r="BJ33" i="5"/>
  <c r="BN33" i="5"/>
  <c r="BR33" i="5"/>
  <c r="BV33" i="5"/>
  <c r="BO33" i="5"/>
  <c r="BW33" i="5"/>
  <c r="BG33" i="5"/>
  <c r="BP33" i="5"/>
  <c r="BK33" i="5"/>
  <c r="BS33" i="5"/>
  <c r="BT33" i="5"/>
  <c r="BL33" i="5"/>
  <c r="BI29" i="5"/>
  <c r="BH29" i="5"/>
  <c r="BM29" i="5"/>
  <c r="BQ29" i="5"/>
  <c r="BU29" i="5"/>
  <c r="BK29" i="5"/>
  <c r="BJ29" i="5"/>
  <c r="BN29" i="5"/>
  <c r="BR29" i="5"/>
  <c r="BV29" i="5"/>
  <c r="BO29" i="5"/>
  <c r="BL29" i="5"/>
  <c r="BW29" i="5"/>
  <c r="BP29" i="5"/>
  <c r="BG29" i="5"/>
  <c r="BS29" i="5"/>
  <c r="BT29" i="5"/>
  <c r="BI25" i="5"/>
  <c r="BH25" i="5"/>
  <c r="BM25" i="5"/>
  <c r="BQ25" i="5"/>
  <c r="BU25" i="5"/>
  <c r="BK25" i="5"/>
  <c r="BS25" i="5"/>
  <c r="BW25" i="5"/>
  <c r="BJ25" i="5"/>
  <c r="BN25" i="5"/>
  <c r="BR25" i="5"/>
  <c r="BV25" i="5"/>
  <c r="BO25" i="5"/>
  <c r="BL25" i="5"/>
  <c r="BP25" i="5"/>
  <c r="BG25" i="5"/>
  <c r="BT25" i="5"/>
  <c r="BH36" i="5"/>
  <c r="BM36" i="5"/>
  <c r="BQ36" i="5"/>
  <c r="BU36" i="5"/>
  <c r="BJ36" i="5"/>
  <c r="BN36" i="5"/>
  <c r="BR36" i="5"/>
  <c r="BV36" i="5"/>
  <c r="BO36" i="5"/>
  <c r="BW36" i="5"/>
  <c r="BT36" i="5"/>
  <c r="BG36" i="5"/>
  <c r="BP36" i="5"/>
  <c r="BS36" i="5"/>
  <c r="BL36" i="5"/>
  <c r="BI36" i="5"/>
  <c r="BK36" i="5"/>
  <c r="BH32" i="5"/>
  <c r="BM32" i="5"/>
  <c r="BQ32" i="5"/>
  <c r="BU32" i="5"/>
  <c r="BJ32" i="5"/>
  <c r="BN32" i="5"/>
  <c r="BR32" i="5"/>
  <c r="BV32" i="5"/>
  <c r="BO32" i="5"/>
  <c r="BW32" i="5"/>
  <c r="BT32" i="5"/>
  <c r="BI32" i="5"/>
  <c r="BG32" i="5"/>
  <c r="BP32" i="5"/>
  <c r="BL32" i="5"/>
  <c r="BK32" i="5"/>
  <c r="BS32" i="5"/>
  <c r="BH28" i="5"/>
  <c r="BM28" i="5"/>
  <c r="BQ28" i="5"/>
  <c r="BU28" i="5"/>
  <c r="BK28" i="5"/>
  <c r="BS28" i="5"/>
  <c r="BW28" i="5"/>
  <c r="BJ28" i="5"/>
  <c r="BN28" i="5"/>
  <c r="BR28" i="5"/>
  <c r="BV28" i="5"/>
  <c r="BO28" i="5"/>
  <c r="BI28" i="5"/>
  <c r="BL28" i="5"/>
  <c r="BP28" i="5"/>
  <c r="BG28" i="5"/>
  <c r="BT28" i="5"/>
  <c r="BJ24" i="5"/>
  <c r="BN24" i="5"/>
  <c r="BR24" i="5"/>
  <c r="BV24" i="5"/>
  <c r="BK24" i="5"/>
  <c r="BO24" i="5"/>
  <c r="BS24" i="5"/>
  <c r="BW24" i="5"/>
  <c r="BP24" i="5"/>
  <c r="BU24" i="5"/>
  <c r="BH24" i="5"/>
  <c r="BQ24" i="5"/>
  <c r="BL24" i="5"/>
  <c r="BT24" i="5"/>
  <c r="BI24" i="5"/>
  <c r="BM24" i="5"/>
  <c r="BH39" i="5"/>
  <c r="BM39" i="5"/>
  <c r="BQ39" i="5"/>
  <c r="BU39" i="5"/>
  <c r="BI39" i="5"/>
  <c r="BJ39" i="5"/>
  <c r="BN39" i="5"/>
  <c r="BR39" i="5"/>
  <c r="BV39" i="5"/>
  <c r="BO39" i="5"/>
  <c r="BW39" i="5"/>
  <c r="BG39" i="5"/>
  <c r="BP39" i="5"/>
  <c r="BK39" i="5"/>
  <c r="BT39" i="5"/>
  <c r="BS39" i="5"/>
  <c r="BL39" i="5"/>
  <c r="BH35" i="5"/>
  <c r="BM35" i="5"/>
  <c r="BQ35" i="5"/>
  <c r="BU35" i="5"/>
  <c r="BJ35" i="5"/>
  <c r="BN35" i="5"/>
  <c r="BR35" i="5"/>
  <c r="BV35" i="5"/>
  <c r="BI35" i="5"/>
  <c r="BO35" i="5"/>
  <c r="BW35" i="5"/>
  <c r="BG35" i="5"/>
  <c r="BP35" i="5"/>
  <c r="BL35" i="5"/>
  <c r="BK35" i="5"/>
  <c r="BS35" i="5"/>
  <c r="BT35" i="5"/>
  <c r="BH31" i="5"/>
  <c r="BM31" i="5"/>
  <c r="BQ31" i="5"/>
  <c r="BU31" i="5"/>
  <c r="BI31" i="5"/>
  <c r="BJ31" i="5"/>
  <c r="BN31" i="5"/>
  <c r="BR31" i="5"/>
  <c r="BV31" i="5"/>
  <c r="BO31" i="5"/>
  <c r="BW31" i="5"/>
  <c r="BG31" i="5"/>
  <c r="BP31" i="5"/>
  <c r="BL31" i="5"/>
  <c r="BT31" i="5"/>
  <c r="BK31" i="5"/>
  <c r="BS31" i="5"/>
  <c r="BH27" i="5"/>
  <c r="BM27" i="5"/>
  <c r="BQ27" i="5"/>
  <c r="BU27" i="5"/>
  <c r="BI27" i="5"/>
  <c r="BK27" i="5"/>
  <c r="BO27" i="5"/>
  <c r="BS27" i="5"/>
  <c r="BJ27" i="5"/>
  <c r="BN27" i="5"/>
  <c r="BR27" i="5"/>
  <c r="BV27" i="5"/>
  <c r="BW27" i="5"/>
  <c r="BL27" i="5"/>
  <c r="BG27" i="5"/>
  <c r="BP27" i="5"/>
  <c r="BT27" i="5"/>
  <c r="BG24" i="5"/>
  <c r="BH38" i="5"/>
  <c r="BM38" i="5"/>
  <c r="BQ38" i="5"/>
  <c r="BU38" i="5"/>
  <c r="BI38" i="5"/>
  <c r="BJ38" i="5"/>
  <c r="BN38" i="5"/>
  <c r="BR38" i="5"/>
  <c r="BV38" i="5"/>
  <c r="BO38" i="5"/>
  <c r="BW38" i="5"/>
  <c r="BT38" i="5"/>
  <c r="BG38" i="5"/>
  <c r="BP38" i="5"/>
  <c r="BS38" i="5"/>
  <c r="BL38" i="5"/>
  <c r="BK38" i="5"/>
  <c r="BH34" i="5"/>
  <c r="BM34" i="5"/>
  <c r="BQ34" i="5"/>
  <c r="BU34" i="5"/>
  <c r="BI34" i="5"/>
  <c r="BJ34" i="5"/>
  <c r="BN34" i="5"/>
  <c r="BR34" i="5"/>
  <c r="BV34" i="5"/>
  <c r="BO34" i="5"/>
  <c r="BW34" i="5"/>
  <c r="BT34" i="5"/>
  <c r="BG34" i="5"/>
  <c r="BP34" i="5"/>
  <c r="BS34" i="5"/>
  <c r="BL34" i="5"/>
  <c r="BK34" i="5"/>
  <c r="BH30" i="5"/>
  <c r="BM30" i="5"/>
  <c r="BQ30" i="5"/>
  <c r="BU30" i="5"/>
  <c r="BI30" i="5"/>
  <c r="BJ30" i="5"/>
  <c r="BN30" i="5"/>
  <c r="BR30" i="5"/>
  <c r="BV30" i="5"/>
  <c r="BO30" i="5"/>
  <c r="BW30" i="5"/>
  <c r="BT30" i="5"/>
  <c r="BG30" i="5"/>
  <c r="BP30" i="5"/>
  <c r="BS30" i="5"/>
  <c r="BL30" i="5"/>
  <c r="BK30" i="5"/>
  <c r="BH26" i="5"/>
  <c r="BM26" i="5"/>
  <c r="BQ26" i="5"/>
  <c r="BU26" i="5"/>
  <c r="BK26" i="5"/>
  <c r="BO26" i="5"/>
  <c r="BS26" i="5"/>
  <c r="BW26" i="5"/>
  <c r="BI26" i="5"/>
  <c r="BJ26" i="5"/>
  <c r="BN26" i="5"/>
  <c r="BR26" i="5"/>
  <c r="BV26" i="5"/>
  <c r="BL26" i="5"/>
  <c r="BP26" i="5"/>
  <c r="BG26" i="5"/>
  <c r="BT26" i="5"/>
  <c r="BJ170" i="5"/>
  <c r="BN170" i="5"/>
  <c r="BR170" i="5"/>
  <c r="BV170" i="5"/>
  <c r="BI170" i="5"/>
  <c r="BO170" i="5"/>
  <c r="BT170" i="5"/>
  <c r="BL170" i="5"/>
  <c r="BW170" i="5"/>
  <c r="BM170" i="5"/>
  <c r="BK170" i="5"/>
  <c r="BP170" i="5"/>
  <c r="BU170" i="5"/>
  <c r="BG170" i="5"/>
  <c r="BQ170" i="5"/>
  <c r="BH170" i="5"/>
  <c r="BS170" i="5"/>
  <c r="BJ166" i="5"/>
  <c r="BN166" i="5"/>
  <c r="BR166" i="5"/>
  <c r="BV166" i="5"/>
  <c r="BH166" i="5"/>
  <c r="BM166" i="5"/>
  <c r="BS166" i="5"/>
  <c r="BP166" i="5"/>
  <c r="BG166" i="5"/>
  <c r="BL166" i="5"/>
  <c r="BW166" i="5"/>
  <c r="BI166" i="5"/>
  <c r="BO166" i="5"/>
  <c r="BT166" i="5"/>
  <c r="BK166" i="5"/>
  <c r="BU166" i="5"/>
  <c r="BQ166" i="5"/>
  <c r="BJ162" i="5"/>
  <c r="BN162" i="5"/>
  <c r="BR162" i="5"/>
  <c r="BV162" i="5"/>
  <c r="BG162" i="5"/>
  <c r="BL162" i="5"/>
  <c r="BQ162" i="5"/>
  <c r="BW162" i="5"/>
  <c r="BI162" i="5"/>
  <c r="BT162" i="5"/>
  <c r="BP162" i="5"/>
  <c r="BH162" i="5"/>
  <c r="BM162" i="5"/>
  <c r="BS162" i="5"/>
  <c r="BO162" i="5"/>
  <c r="BK162" i="5"/>
  <c r="BU162" i="5"/>
  <c r="BH158" i="5"/>
  <c r="BL158" i="5"/>
  <c r="BP158" i="5"/>
  <c r="BT158" i="5"/>
  <c r="BI158" i="5"/>
  <c r="BN158" i="5"/>
  <c r="BS158" i="5"/>
  <c r="BG158" i="5"/>
  <c r="BO158" i="5"/>
  <c r="BV158" i="5"/>
  <c r="BK158" i="5"/>
  <c r="BR158" i="5"/>
  <c r="BM158" i="5"/>
  <c r="BJ158" i="5"/>
  <c r="BQ158" i="5"/>
  <c r="BW158" i="5"/>
  <c r="BU158" i="5"/>
  <c r="BH154" i="5"/>
  <c r="BL154" i="5"/>
  <c r="BP154" i="5"/>
  <c r="BT154" i="5"/>
  <c r="BG154" i="5"/>
  <c r="BM154" i="5"/>
  <c r="BR154" i="5"/>
  <c r="BW154" i="5"/>
  <c r="BK154" i="5"/>
  <c r="BS154" i="5"/>
  <c r="BI154" i="5"/>
  <c r="BV154" i="5"/>
  <c r="BJ154" i="5"/>
  <c r="BN154" i="5"/>
  <c r="BU154" i="5"/>
  <c r="BO154" i="5"/>
  <c r="BQ154" i="5"/>
  <c r="BH150" i="5"/>
  <c r="BL150" i="5"/>
  <c r="BP150" i="5"/>
  <c r="BT150" i="5"/>
  <c r="BJ150" i="5"/>
  <c r="BO150" i="5"/>
  <c r="BU150" i="5"/>
  <c r="BK150" i="5"/>
  <c r="BQ150" i="5"/>
  <c r="BV150" i="5"/>
  <c r="BI150" i="5"/>
  <c r="BS150" i="5"/>
  <c r="BG150" i="5"/>
  <c r="BM150" i="5"/>
  <c r="BW150" i="5"/>
  <c r="BN150" i="5"/>
  <c r="BR150" i="5"/>
  <c r="BH146" i="5"/>
  <c r="BL146" i="5"/>
  <c r="BP146" i="5"/>
  <c r="BT146" i="5"/>
  <c r="BI146" i="5"/>
  <c r="BN146" i="5"/>
  <c r="BS146" i="5"/>
  <c r="BJ146" i="5"/>
  <c r="BO146" i="5"/>
  <c r="BU146" i="5"/>
  <c r="BM146" i="5"/>
  <c r="BW146" i="5"/>
  <c r="BG146" i="5"/>
  <c r="BK146" i="5"/>
  <c r="BQ146" i="5"/>
  <c r="BR146" i="5"/>
  <c r="BV146" i="5"/>
  <c r="BH142" i="5"/>
  <c r="BL142" i="5"/>
  <c r="BP142" i="5"/>
  <c r="BT142" i="5"/>
  <c r="BG142" i="5"/>
  <c r="BM142" i="5"/>
  <c r="BR142" i="5"/>
  <c r="BW142" i="5"/>
  <c r="BI142" i="5"/>
  <c r="BN142" i="5"/>
  <c r="BS142" i="5"/>
  <c r="BQ142" i="5"/>
  <c r="BO142" i="5"/>
  <c r="BJ142" i="5"/>
  <c r="BU142" i="5"/>
  <c r="BK142" i="5"/>
  <c r="BV142" i="5"/>
  <c r="BH138" i="5"/>
  <c r="BL138" i="5"/>
  <c r="BP138" i="5"/>
  <c r="BT138" i="5"/>
  <c r="BI138" i="5"/>
  <c r="BM138" i="5"/>
  <c r="BJ138" i="5"/>
  <c r="BQ138" i="5"/>
  <c r="BV138" i="5"/>
  <c r="BK138" i="5"/>
  <c r="BR138" i="5"/>
  <c r="BW138" i="5"/>
  <c r="BG138" i="5"/>
  <c r="BU138" i="5"/>
  <c r="BN138" i="5"/>
  <c r="BO138" i="5"/>
  <c r="BS138" i="5"/>
  <c r="BH134" i="5"/>
  <c r="BL134" i="5"/>
  <c r="BP134" i="5"/>
  <c r="BT134" i="5"/>
  <c r="BI134" i="5"/>
  <c r="BM134" i="5"/>
  <c r="BQ134" i="5"/>
  <c r="BU134" i="5"/>
  <c r="BN134" i="5"/>
  <c r="BV134" i="5"/>
  <c r="BG134" i="5"/>
  <c r="BO134" i="5"/>
  <c r="BW134" i="5"/>
  <c r="BK134" i="5"/>
  <c r="BJ134" i="5"/>
  <c r="BR134" i="5"/>
  <c r="BS134" i="5"/>
  <c r="BH130" i="5"/>
  <c r="BL130" i="5"/>
  <c r="BP130" i="5"/>
  <c r="BT130" i="5"/>
  <c r="BI130" i="5"/>
  <c r="BM130" i="5"/>
  <c r="BQ130" i="5"/>
  <c r="BU130" i="5"/>
  <c r="BJ130" i="5"/>
  <c r="BR130" i="5"/>
  <c r="BK130" i="5"/>
  <c r="BS130" i="5"/>
  <c r="BO130" i="5"/>
  <c r="BW130" i="5"/>
  <c r="BN130" i="5"/>
  <c r="BV130" i="5"/>
  <c r="BG130" i="5"/>
  <c r="BH126" i="5"/>
  <c r="BL126" i="5"/>
  <c r="BP126" i="5"/>
  <c r="BT126" i="5"/>
  <c r="BI126" i="5"/>
  <c r="BM126" i="5"/>
  <c r="BQ126" i="5"/>
  <c r="BU126" i="5"/>
  <c r="BN126" i="5"/>
  <c r="BV126" i="5"/>
  <c r="BG126" i="5"/>
  <c r="BO126" i="5"/>
  <c r="BW126" i="5"/>
  <c r="BJ126" i="5"/>
  <c r="BR126" i="5"/>
  <c r="BS126" i="5"/>
  <c r="BK126" i="5"/>
  <c r="BH122" i="5"/>
  <c r="BL122" i="5"/>
  <c r="BP122" i="5"/>
  <c r="BT122" i="5"/>
  <c r="BI122" i="5"/>
  <c r="BM122" i="5"/>
  <c r="BQ122" i="5"/>
  <c r="BU122" i="5"/>
  <c r="BJ122" i="5"/>
  <c r="BR122" i="5"/>
  <c r="BK122" i="5"/>
  <c r="BS122" i="5"/>
  <c r="BN122" i="5"/>
  <c r="BV122" i="5"/>
  <c r="BW122" i="5"/>
  <c r="BG122" i="5"/>
  <c r="BO122" i="5"/>
  <c r="BH118" i="5"/>
  <c r="BL118" i="5"/>
  <c r="BP118" i="5"/>
  <c r="BT118" i="5"/>
  <c r="BI118" i="5"/>
  <c r="BM118" i="5"/>
  <c r="BQ118" i="5"/>
  <c r="BU118" i="5"/>
  <c r="BN118" i="5"/>
  <c r="BV118" i="5"/>
  <c r="BG118" i="5"/>
  <c r="BO118" i="5"/>
  <c r="BW118" i="5"/>
  <c r="BJ118" i="5"/>
  <c r="BR118" i="5"/>
  <c r="BS118" i="5"/>
  <c r="BK118" i="5"/>
  <c r="BH114" i="5"/>
  <c r="BL114" i="5"/>
  <c r="BP114" i="5"/>
  <c r="BT114" i="5"/>
  <c r="BI114" i="5"/>
  <c r="BM114" i="5"/>
  <c r="BQ114" i="5"/>
  <c r="BU114" i="5"/>
  <c r="BJ114" i="5"/>
  <c r="BR114" i="5"/>
  <c r="BK114" i="5"/>
  <c r="BS114" i="5"/>
  <c r="BN114" i="5"/>
  <c r="BV114" i="5"/>
  <c r="BO114" i="5"/>
  <c r="BW114" i="5"/>
  <c r="BG114" i="5"/>
  <c r="BJ110" i="5"/>
  <c r="BN110" i="5"/>
  <c r="BR110" i="5"/>
  <c r="BV110" i="5"/>
  <c r="BH110" i="5"/>
  <c r="BM110" i="5"/>
  <c r="BS110" i="5"/>
  <c r="BI110" i="5"/>
  <c r="BO110" i="5"/>
  <c r="BT110" i="5"/>
  <c r="BK110" i="5"/>
  <c r="BU110" i="5"/>
  <c r="BL110" i="5"/>
  <c r="BW110" i="5"/>
  <c r="BP110" i="5"/>
  <c r="BG110" i="5"/>
  <c r="BQ110" i="5"/>
  <c r="BI106" i="5"/>
  <c r="BH106" i="5"/>
  <c r="BM106" i="5"/>
  <c r="BQ106" i="5"/>
  <c r="BU106" i="5"/>
  <c r="BK106" i="5"/>
  <c r="BP106" i="5"/>
  <c r="BV106" i="5"/>
  <c r="BL106" i="5"/>
  <c r="BR106" i="5"/>
  <c r="BW106" i="5"/>
  <c r="BN106" i="5"/>
  <c r="BO106" i="5"/>
  <c r="BG106" i="5"/>
  <c r="BS106" i="5"/>
  <c r="BT106" i="5"/>
  <c r="BJ106" i="5"/>
  <c r="BI102" i="5"/>
  <c r="BH102" i="5"/>
  <c r="BM102" i="5"/>
  <c r="BQ102" i="5"/>
  <c r="BU102" i="5"/>
  <c r="BK102" i="5"/>
  <c r="BP102" i="5"/>
  <c r="BV102" i="5"/>
  <c r="BL102" i="5"/>
  <c r="BR102" i="5"/>
  <c r="BW102" i="5"/>
  <c r="BN102" i="5"/>
  <c r="BO102" i="5"/>
  <c r="BG102" i="5"/>
  <c r="BS102" i="5"/>
  <c r="BJ102" i="5"/>
  <c r="BT102" i="5"/>
  <c r="BI98" i="5"/>
  <c r="BH98" i="5"/>
  <c r="BM98" i="5"/>
  <c r="BQ98" i="5"/>
  <c r="BU98" i="5"/>
  <c r="BK98" i="5"/>
  <c r="BP98" i="5"/>
  <c r="BV98" i="5"/>
  <c r="BL98" i="5"/>
  <c r="BR98" i="5"/>
  <c r="BW98" i="5"/>
  <c r="BN98" i="5"/>
  <c r="BO98" i="5"/>
  <c r="BG98" i="5"/>
  <c r="BS98" i="5"/>
  <c r="BT98" i="5"/>
  <c r="BJ98" i="5"/>
  <c r="BI94" i="5"/>
  <c r="BH94" i="5"/>
  <c r="BM94" i="5"/>
  <c r="BQ94" i="5"/>
  <c r="BU94" i="5"/>
  <c r="BK94" i="5"/>
  <c r="BP94" i="5"/>
  <c r="BV94" i="5"/>
  <c r="BL94" i="5"/>
  <c r="BR94" i="5"/>
  <c r="BW94" i="5"/>
  <c r="BN94" i="5"/>
  <c r="BO94" i="5"/>
  <c r="BG94" i="5"/>
  <c r="BS94" i="5"/>
  <c r="BJ94" i="5"/>
  <c r="BT94" i="5"/>
  <c r="BI90" i="5"/>
  <c r="BJ90" i="5"/>
  <c r="BN90" i="5"/>
  <c r="BR90" i="5"/>
  <c r="BV90" i="5"/>
  <c r="BG90" i="5"/>
  <c r="BM90" i="5"/>
  <c r="BS90" i="5"/>
  <c r="BL90" i="5"/>
  <c r="BT90" i="5"/>
  <c r="BO90" i="5"/>
  <c r="BU90" i="5"/>
  <c r="BH90" i="5"/>
  <c r="BW90" i="5"/>
  <c r="BK90" i="5"/>
  <c r="BP90" i="5"/>
  <c r="BQ90" i="5"/>
  <c r="BI86" i="5"/>
  <c r="BH86" i="5"/>
  <c r="BJ86" i="5"/>
  <c r="BN86" i="5"/>
  <c r="BR86" i="5"/>
  <c r="BV86" i="5"/>
  <c r="BM86" i="5"/>
  <c r="BS86" i="5"/>
  <c r="BL86" i="5"/>
  <c r="BT86" i="5"/>
  <c r="BO86" i="5"/>
  <c r="BU86" i="5"/>
  <c r="BP86" i="5"/>
  <c r="BQ86" i="5"/>
  <c r="BG86" i="5"/>
  <c r="BW86" i="5"/>
  <c r="BK86" i="5"/>
  <c r="BI82" i="5"/>
  <c r="BH82" i="5"/>
  <c r="BM82" i="5"/>
  <c r="BQ82" i="5"/>
  <c r="BU82" i="5"/>
  <c r="BJ82" i="5"/>
  <c r="BN82" i="5"/>
  <c r="BR82" i="5"/>
  <c r="BV82" i="5"/>
  <c r="BO82" i="5"/>
  <c r="BW82" i="5"/>
  <c r="BL82" i="5"/>
  <c r="BP82" i="5"/>
  <c r="BS82" i="5"/>
  <c r="BT82" i="5"/>
  <c r="BG82" i="5"/>
  <c r="BK82" i="5"/>
  <c r="BI78" i="5"/>
  <c r="BH78" i="5"/>
  <c r="BM78" i="5"/>
  <c r="BQ78" i="5"/>
  <c r="BU78" i="5"/>
  <c r="BJ78" i="5"/>
  <c r="BN78" i="5"/>
  <c r="BR78" i="5"/>
  <c r="BV78" i="5"/>
  <c r="BO78" i="5"/>
  <c r="BW78" i="5"/>
  <c r="BL78" i="5"/>
  <c r="BP78" i="5"/>
  <c r="BS78" i="5"/>
  <c r="BT78" i="5"/>
  <c r="BG78" i="5"/>
  <c r="BK78" i="5"/>
  <c r="BI74" i="5"/>
  <c r="BH74" i="5"/>
  <c r="BM74" i="5"/>
  <c r="BQ74" i="5"/>
  <c r="BU74" i="5"/>
  <c r="BJ74" i="5"/>
  <c r="BN74" i="5"/>
  <c r="BR74" i="5"/>
  <c r="BV74" i="5"/>
  <c r="BO74" i="5"/>
  <c r="BW74" i="5"/>
  <c r="BL74" i="5"/>
  <c r="BP74" i="5"/>
  <c r="BS74" i="5"/>
  <c r="BT74" i="5"/>
  <c r="BG74" i="5"/>
  <c r="BK74" i="5"/>
  <c r="BI70" i="5"/>
  <c r="BH70" i="5"/>
  <c r="BM70" i="5"/>
  <c r="BQ70" i="5"/>
  <c r="BU70" i="5"/>
  <c r="BJ70" i="5"/>
  <c r="BN70" i="5"/>
  <c r="BR70" i="5"/>
  <c r="BV70" i="5"/>
  <c r="BO70" i="5"/>
  <c r="BW70" i="5"/>
  <c r="BL70" i="5"/>
  <c r="BP70" i="5"/>
  <c r="BS70" i="5"/>
  <c r="BT70" i="5"/>
  <c r="BG70" i="5"/>
  <c r="BK70" i="5"/>
  <c r="BI66" i="5"/>
  <c r="BH66" i="5"/>
  <c r="BM66" i="5"/>
  <c r="BQ66" i="5"/>
  <c r="BU66" i="5"/>
  <c r="BJ66" i="5"/>
  <c r="BN66" i="5"/>
  <c r="BR66" i="5"/>
  <c r="BV66" i="5"/>
  <c r="BO66" i="5"/>
  <c r="BW66" i="5"/>
  <c r="BL66" i="5"/>
  <c r="BP66" i="5"/>
  <c r="BS66" i="5"/>
  <c r="BT66" i="5"/>
  <c r="BG66" i="5"/>
  <c r="BK66" i="5"/>
  <c r="BI62" i="5"/>
  <c r="BG62" i="5"/>
  <c r="BL62" i="5"/>
  <c r="BP62" i="5"/>
  <c r="BT62" i="5"/>
  <c r="BM62" i="5"/>
  <c r="BR62" i="5"/>
  <c r="BW62" i="5"/>
  <c r="BH62" i="5"/>
  <c r="BN62" i="5"/>
  <c r="BS62" i="5"/>
  <c r="BO62" i="5"/>
  <c r="BQ62" i="5"/>
  <c r="BU62" i="5"/>
  <c r="BJ62" i="5"/>
  <c r="BK62" i="5"/>
  <c r="BV62" i="5"/>
  <c r="BI58" i="5"/>
  <c r="BG58" i="5"/>
  <c r="BL58" i="5"/>
  <c r="BP58" i="5"/>
  <c r="BT58" i="5"/>
  <c r="BM58" i="5"/>
  <c r="BR58" i="5"/>
  <c r="BW58" i="5"/>
  <c r="BH58" i="5"/>
  <c r="BN58" i="5"/>
  <c r="BS58" i="5"/>
  <c r="BO58" i="5"/>
  <c r="BJ58" i="5"/>
  <c r="BV58" i="5"/>
  <c r="BK58" i="5"/>
  <c r="BQ58" i="5"/>
  <c r="BU58" i="5"/>
  <c r="BG54" i="5"/>
  <c r="BL54" i="5"/>
  <c r="BP54" i="5"/>
  <c r="BT54" i="5"/>
  <c r="BI54" i="5"/>
  <c r="BH54" i="5"/>
  <c r="BN54" i="5"/>
  <c r="BS54" i="5"/>
  <c r="BM54" i="5"/>
  <c r="BU54" i="5"/>
  <c r="BO54" i="5"/>
  <c r="BV54" i="5"/>
  <c r="BQ54" i="5"/>
  <c r="BW54" i="5"/>
  <c r="BJ54" i="5"/>
  <c r="BK54" i="5"/>
  <c r="BR54" i="5"/>
  <c r="BG50" i="5"/>
  <c r="BL50" i="5"/>
  <c r="BP50" i="5"/>
  <c r="BT50" i="5"/>
  <c r="BI50" i="5"/>
  <c r="BH50" i="5"/>
  <c r="BN50" i="5"/>
  <c r="BS50" i="5"/>
  <c r="BM50" i="5"/>
  <c r="BU50" i="5"/>
  <c r="BO50" i="5"/>
  <c r="BV50" i="5"/>
  <c r="BJ50" i="5"/>
  <c r="BW50" i="5"/>
  <c r="BK50" i="5"/>
  <c r="BQ50" i="5"/>
  <c r="BR50" i="5"/>
  <c r="BG46" i="5"/>
  <c r="BL46" i="5"/>
  <c r="BP46" i="5"/>
  <c r="BT46" i="5"/>
  <c r="BI46" i="5"/>
  <c r="BH46" i="5"/>
  <c r="BN46" i="5"/>
  <c r="BS46" i="5"/>
  <c r="BM46" i="5"/>
  <c r="BU46" i="5"/>
  <c r="BO46" i="5"/>
  <c r="BV46" i="5"/>
  <c r="BQ46" i="5"/>
  <c r="BR46" i="5"/>
  <c r="BW46" i="5"/>
  <c r="BJ46" i="5"/>
  <c r="BK46" i="5"/>
  <c r="BG42" i="5"/>
  <c r="BL42" i="5"/>
  <c r="BP42" i="5"/>
  <c r="BT42" i="5"/>
  <c r="BI42" i="5"/>
  <c r="BH42" i="5"/>
  <c r="BN42" i="5"/>
  <c r="BS42" i="5"/>
  <c r="BM42" i="5"/>
  <c r="BU42" i="5"/>
  <c r="BO42" i="5"/>
  <c r="BV42" i="5"/>
  <c r="BJ42" i="5"/>
  <c r="BW42" i="5"/>
  <c r="BK42" i="5"/>
  <c r="BQ42" i="5"/>
  <c r="BR42" i="5"/>
  <c r="BG169" i="5"/>
  <c r="BK169" i="5"/>
  <c r="BO169" i="5"/>
  <c r="BS169" i="5"/>
  <c r="BW169" i="5"/>
  <c r="BJ169" i="5"/>
  <c r="BP169" i="5"/>
  <c r="BU169" i="5"/>
  <c r="BH169" i="5"/>
  <c r="BR169" i="5"/>
  <c r="BI169" i="5"/>
  <c r="BT169" i="5"/>
  <c r="BL169" i="5"/>
  <c r="BQ169" i="5"/>
  <c r="BV169" i="5"/>
  <c r="BM169" i="5"/>
  <c r="BN169" i="5"/>
  <c r="BG165" i="5"/>
  <c r="BK165" i="5"/>
  <c r="BO165" i="5"/>
  <c r="BS165" i="5"/>
  <c r="BW165" i="5"/>
  <c r="BI165" i="5"/>
  <c r="BN165" i="5"/>
  <c r="BT165" i="5"/>
  <c r="BL165" i="5"/>
  <c r="BV165" i="5"/>
  <c r="BM165" i="5"/>
  <c r="BJ165" i="5"/>
  <c r="BP165" i="5"/>
  <c r="BU165" i="5"/>
  <c r="BQ165" i="5"/>
  <c r="BH165" i="5"/>
  <c r="BR165" i="5"/>
  <c r="BI161" i="5"/>
  <c r="BK161" i="5"/>
  <c r="BO161" i="5"/>
  <c r="BS161" i="5"/>
  <c r="BW161" i="5"/>
  <c r="BG161" i="5"/>
  <c r="BM161" i="5"/>
  <c r="BR161" i="5"/>
  <c r="BP161" i="5"/>
  <c r="BL161" i="5"/>
  <c r="BV161" i="5"/>
  <c r="BH161" i="5"/>
  <c r="BN161" i="5"/>
  <c r="BT161" i="5"/>
  <c r="BJ161" i="5"/>
  <c r="BU161" i="5"/>
  <c r="BQ161" i="5"/>
  <c r="BI157" i="5"/>
  <c r="BM157" i="5"/>
  <c r="BQ157" i="5"/>
  <c r="BU157" i="5"/>
  <c r="BJ157" i="5"/>
  <c r="BO157" i="5"/>
  <c r="BT157" i="5"/>
  <c r="BK157" i="5"/>
  <c r="BR157" i="5"/>
  <c r="BG157" i="5"/>
  <c r="BN157" i="5"/>
  <c r="BP157" i="5"/>
  <c r="BL157" i="5"/>
  <c r="BS157" i="5"/>
  <c r="BV157" i="5"/>
  <c r="BH157" i="5"/>
  <c r="BW157" i="5"/>
  <c r="BI153" i="5"/>
  <c r="BM153" i="5"/>
  <c r="BQ153" i="5"/>
  <c r="BU153" i="5"/>
  <c r="BH153" i="5"/>
  <c r="BN153" i="5"/>
  <c r="BS153" i="5"/>
  <c r="BG153" i="5"/>
  <c r="BO153" i="5"/>
  <c r="BV153" i="5"/>
  <c r="BK153" i="5"/>
  <c r="BL153" i="5"/>
  <c r="BJ153" i="5"/>
  <c r="BP153" i="5"/>
  <c r="BW153" i="5"/>
  <c r="BR153" i="5"/>
  <c r="BT153" i="5"/>
  <c r="BI149" i="5"/>
  <c r="BM149" i="5"/>
  <c r="BQ149" i="5"/>
  <c r="BU149" i="5"/>
  <c r="BK149" i="5"/>
  <c r="BP149" i="5"/>
  <c r="BV149" i="5"/>
  <c r="BG149" i="5"/>
  <c r="BL149" i="5"/>
  <c r="BR149" i="5"/>
  <c r="BW149" i="5"/>
  <c r="BO149" i="5"/>
  <c r="BT149" i="5"/>
  <c r="BH149" i="5"/>
  <c r="BS149" i="5"/>
  <c r="BJ149" i="5"/>
  <c r="BN149" i="5"/>
  <c r="BI145" i="5"/>
  <c r="BM145" i="5"/>
  <c r="BQ145" i="5"/>
  <c r="BU145" i="5"/>
  <c r="BJ145" i="5"/>
  <c r="BO145" i="5"/>
  <c r="BT145" i="5"/>
  <c r="BK145" i="5"/>
  <c r="BP145" i="5"/>
  <c r="BV145" i="5"/>
  <c r="BH145" i="5"/>
  <c r="BS145" i="5"/>
  <c r="BG145" i="5"/>
  <c r="BL145" i="5"/>
  <c r="BW145" i="5"/>
  <c r="BN145" i="5"/>
  <c r="BR145" i="5"/>
  <c r="BI141" i="5"/>
  <c r="BM141" i="5"/>
  <c r="BQ141" i="5"/>
  <c r="BU141" i="5"/>
  <c r="BH141" i="5"/>
  <c r="BN141" i="5"/>
  <c r="BS141" i="5"/>
  <c r="BJ141" i="5"/>
  <c r="BO141" i="5"/>
  <c r="BT141" i="5"/>
  <c r="BL141" i="5"/>
  <c r="BW141" i="5"/>
  <c r="BR141" i="5"/>
  <c r="BK141" i="5"/>
  <c r="BP141" i="5"/>
  <c r="BG141" i="5"/>
  <c r="BV141" i="5"/>
  <c r="BI137" i="5"/>
  <c r="BM137" i="5"/>
  <c r="BQ137" i="5"/>
  <c r="BU137" i="5"/>
  <c r="BJ137" i="5"/>
  <c r="BN137" i="5"/>
  <c r="BR137" i="5"/>
  <c r="BV137" i="5"/>
  <c r="BK137" i="5"/>
  <c r="BS137" i="5"/>
  <c r="BL137" i="5"/>
  <c r="BT137" i="5"/>
  <c r="BH137" i="5"/>
  <c r="BW137" i="5"/>
  <c r="BO137" i="5"/>
  <c r="BP137" i="5"/>
  <c r="BG137" i="5"/>
  <c r="BI133" i="5"/>
  <c r="BM133" i="5"/>
  <c r="BQ133" i="5"/>
  <c r="BU133" i="5"/>
  <c r="BJ133" i="5"/>
  <c r="BN133" i="5"/>
  <c r="BR133" i="5"/>
  <c r="BV133" i="5"/>
  <c r="BG133" i="5"/>
  <c r="BO133" i="5"/>
  <c r="BW133" i="5"/>
  <c r="BH133" i="5"/>
  <c r="BP133" i="5"/>
  <c r="BL133" i="5"/>
  <c r="BS133" i="5"/>
  <c r="BT133" i="5"/>
  <c r="BK133" i="5"/>
  <c r="BI129" i="5"/>
  <c r="BM129" i="5"/>
  <c r="BQ129" i="5"/>
  <c r="BU129" i="5"/>
  <c r="BJ129" i="5"/>
  <c r="BN129" i="5"/>
  <c r="BR129" i="5"/>
  <c r="BV129" i="5"/>
  <c r="BK129" i="5"/>
  <c r="BS129" i="5"/>
  <c r="BL129" i="5"/>
  <c r="BT129" i="5"/>
  <c r="BP129" i="5"/>
  <c r="BG129" i="5"/>
  <c r="BW129" i="5"/>
  <c r="BH129" i="5"/>
  <c r="BO129" i="5"/>
  <c r="BI125" i="5"/>
  <c r="BM125" i="5"/>
  <c r="BQ125" i="5"/>
  <c r="BU125" i="5"/>
  <c r="BJ125" i="5"/>
  <c r="BN125" i="5"/>
  <c r="BR125" i="5"/>
  <c r="BV125" i="5"/>
  <c r="BG125" i="5"/>
  <c r="BO125" i="5"/>
  <c r="BW125" i="5"/>
  <c r="BH125" i="5"/>
  <c r="BP125" i="5"/>
  <c r="BK125" i="5"/>
  <c r="BS125" i="5"/>
  <c r="BL125" i="5"/>
  <c r="BT125" i="5"/>
  <c r="BI121" i="5"/>
  <c r="BM121" i="5"/>
  <c r="BQ121" i="5"/>
  <c r="BU121" i="5"/>
  <c r="BJ121" i="5"/>
  <c r="BN121" i="5"/>
  <c r="BR121" i="5"/>
  <c r="BV121" i="5"/>
  <c r="BK121" i="5"/>
  <c r="BS121" i="5"/>
  <c r="BL121" i="5"/>
  <c r="BT121" i="5"/>
  <c r="BG121" i="5"/>
  <c r="BO121" i="5"/>
  <c r="BW121" i="5"/>
  <c r="BH121" i="5"/>
  <c r="BP121" i="5"/>
  <c r="BI117" i="5"/>
  <c r="BM117" i="5"/>
  <c r="BQ117" i="5"/>
  <c r="BU117" i="5"/>
  <c r="BJ117" i="5"/>
  <c r="BN117" i="5"/>
  <c r="BR117" i="5"/>
  <c r="BV117" i="5"/>
  <c r="BG117" i="5"/>
  <c r="BO117" i="5"/>
  <c r="BW117" i="5"/>
  <c r="BH117" i="5"/>
  <c r="BP117" i="5"/>
  <c r="BK117" i="5"/>
  <c r="BS117" i="5"/>
  <c r="BL117" i="5"/>
  <c r="BT117" i="5"/>
  <c r="BI113" i="5"/>
  <c r="BM113" i="5"/>
  <c r="BQ113" i="5"/>
  <c r="BU113" i="5"/>
  <c r="BJ113" i="5"/>
  <c r="BN113" i="5"/>
  <c r="BR113" i="5"/>
  <c r="BV113" i="5"/>
  <c r="BK113" i="5"/>
  <c r="BS113" i="5"/>
  <c r="BL113" i="5"/>
  <c r="BT113" i="5"/>
  <c r="BG113" i="5"/>
  <c r="BO113" i="5"/>
  <c r="BW113" i="5"/>
  <c r="BP113" i="5"/>
  <c r="BH113" i="5"/>
  <c r="BG109" i="5"/>
  <c r="BK109" i="5"/>
  <c r="BO109" i="5"/>
  <c r="BS109" i="5"/>
  <c r="BW109" i="5"/>
  <c r="BI109" i="5"/>
  <c r="BN109" i="5"/>
  <c r="BT109" i="5"/>
  <c r="BJ109" i="5"/>
  <c r="BP109" i="5"/>
  <c r="BU109" i="5"/>
  <c r="BQ109" i="5"/>
  <c r="BH109" i="5"/>
  <c r="BR109" i="5"/>
  <c r="BL109" i="5"/>
  <c r="BV109" i="5"/>
  <c r="BM109" i="5"/>
  <c r="BI105" i="5"/>
  <c r="BH105" i="5"/>
  <c r="BM105" i="5"/>
  <c r="BQ105" i="5"/>
  <c r="BU105" i="5"/>
  <c r="BK105" i="5"/>
  <c r="BP105" i="5"/>
  <c r="BV105" i="5"/>
  <c r="BL105" i="5"/>
  <c r="BR105" i="5"/>
  <c r="BW105" i="5"/>
  <c r="BG105" i="5"/>
  <c r="BS105" i="5"/>
  <c r="BJ105" i="5"/>
  <c r="BT105" i="5"/>
  <c r="BN105" i="5"/>
  <c r="BO105" i="5"/>
  <c r="BI101" i="5"/>
  <c r="BH101" i="5"/>
  <c r="BM101" i="5"/>
  <c r="BQ101" i="5"/>
  <c r="BU101" i="5"/>
  <c r="BK101" i="5"/>
  <c r="BP101" i="5"/>
  <c r="BV101" i="5"/>
  <c r="BL101" i="5"/>
  <c r="BR101" i="5"/>
  <c r="BW101" i="5"/>
  <c r="BG101" i="5"/>
  <c r="BS101" i="5"/>
  <c r="BJ101" i="5"/>
  <c r="BT101" i="5"/>
  <c r="BN101" i="5"/>
  <c r="BO101" i="5"/>
  <c r="BI97" i="5"/>
  <c r="BH97" i="5"/>
  <c r="BM97" i="5"/>
  <c r="BQ97" i="5"/>
  <c r="BU97" i="5"/>
  <c r="BK97" i="5"/>
  <c r="BP97" i="5"/>
  <c r="BV97" i="5"/>
  <c r="BL97" i="5"/>
  <c r="BR97" i="5"/>
  <c r="BW97" i="5"/>
  <c r="BG97" i="5"/>
  <c r="BS97" i="5"/>
  <c r="BJ97" i="5"/>
  <c r="BT97" i="5"/>
  <c r="BN97" i="5"/>
  <c r="BO97" i="5"/>
  <c r="BI93" i="5"/>
  <c r="BH93" i="5"/>
  <c r="BM93" i="5"/>
  <c r="BQ93" i="5"/>
  <c r="BU93" i="5"/>
  <c r="BK93" i="5"/>
  <c r="BP93" i="5"/>
  <c r="BV93" i="5"/>
  <c r="BL93" i="5"/>
  <c r="BR93" i="5"/>
  <c r="BW93" i="5"/>
  <c r="BG93" i="5"/>
  <c r="BS93" i="5"/>
  <c r="BJ93" i="5"/>
  <c r="BT93" i="5"/>
  <c r="BN93" i="5"/>
  <c r="BO93" i="5"/>
  <c r="BI89" i="5"/>
  <c r="BJ89" i="5"/>
  <c r="BN89" i="5"/>
  <c r="BR89" i="5"/>
  <c r="BV89" i="5"/>
  <c r="BG89" i="5"/>
  <c r="BM89" i="5"/>
  <c r="BS89" i="5"/>
  <c r="BO89" i="5"/>
  <c r="BU89" i="5"/>
  <c r="BH89" i="5"/>
  <c r="BP89" i="5"/>
  <c r="BW89" i="5"/>
  <c r="BK89" i="5"/>
  <c r="BL89" i="5"/>
  <c r="BQ89" i="5"/>
  <c r="BT89" i="5"/>
  <c r="BI85" i="5"/>
  <c r="BH85" i="5"/>
  <c r="BM85" i="5"/>
  <c r="BQ85" i="5"/>
  <c r="BU85" i="5"/>
  <c r="BJ85" i="5"/>
  <c r="BN85" i="5"/>
  <c r="BR85" i="5"/>
  <c r="BV85" i="5"/>
  <c r="BO85" i="5"/>
  <c r="BW85" i="5"/>
  <c r="BG85" i="5"/>
  <c r="BS85" i="5"/>
  <c r="BK85" i="5"/>
  <c r="BT85" i="5"/>
  <c r="BL85" i="5"/>
  <c r="BP85" i="5"/>
  <c r="BI81" i="5"/>
  <c r="BH81" i="5"/>
  <c r="BM81" i="5"/>
  <c r="BQ81" i="5"/>
  <c r="BU81" i="5"/>
  <c r="BJ81" i="5"/>
  <c r="BN81" i="5"/>
  <c r="BR81" i="5"/>
  <c r="BV81" i="5"/>
  <c r="BO81" i="5"/>
  <c r="BW81" i="5"/>
  <c r="BG81" i="5"/>
  <c r="BS81" i="5"/>
  <c r="BK81" i="5"/>
  <c r="BT81" i="5"/>
  <c r="BL81" i="5"/>
  <c r="BP81" i="5"/>
  <c r="BI77" i="5"/>
  <c r="BH77" i="5"/>
  <c r="BM77" i="5"/>
  <c r="BQ77" i="5"/>
  <c r="BU77" i="5"/>
  <c r="BJ77" i="5"/>
  <c r="BN77" i="5"/>
  <c r="BR77" i="5"/>
  <c r="BV77" i="5"/>
  <c r="BO77" i="5"/>
  <c r="BW77" i="5"/>
  <c r="BG77" i="5"/>
  <c r="BS77" i="5"/>
  <c r="BK77" i="5"/>
  <c r="BT77" i="5"/>
  <c r="BL77" i="5"/>
  <c r="BP77" i="5"/>
  <c r="BI73" i="5"/>
  <c r="BH73" i="5"/>
  <c r="BM73" i="5"/>
  <c r="BQ73" i="5"/>
  <c r="BU73" i="5"/>
  <c r="BJ73" i="5"/>
  <c r="BN73" i="5"/>
  <c r="BR73" i="5"/>
  <c r="BV73" i="5"/>
  <c r="BO73" i="5"/>
  <c r="BW73" i="5"/>
  <c r="BG73" i="5"/>
  <c r="BS73" i="5"/>
  <c r="BK73" i="5"/>
  <c r="BT73" i="5"/>
  <c r="BL73" i="5"/>
  <c r="BP73" i="5"/>
  <c r="BI69" i="5"/>
  <c r="BH69" i="5"/>
  <c r="BM69" i="5"/>
  <c r="BQ69" i="5"/>
  <c r="BU69" i="5"/>
  <c r="BJ69" i="5"/>
  <c r="BN69" i="5"/>
  <c r="BR69" i="5"/>
  <c r="BV69" i="5"/>
  <c r="BO69" i="5"/>
  <c r="BW69" i="5"/>
  <c r="BG69" i="5"/>
  <c r="BS69" i="5"/>
  <c r="BK69" i="5"/>
  <c r="BT69" i="5"/>
  <c r="BL69" i="5"/>
  <c r="BP69" i="5"/>
  <c r="BI65" i="5"/>
  <c r="BH65" i="5"/>
  <c r="BM65" i="5"/>
  <c r="BQ65" i="5"/>
  <c r="BU65" i="5"/>
  <c r="BJ65" i="5"/>
  <c r="BN65" i="5"/>
  <c r="BR65" i="5"/>
  <c r="BV65" i="5"/>
  <c r="BO65" i="5"/>
  <c r="BW65" i="5"/>
  <c r="BG65" i="5"/>
  <c r="BS65" i="5"/>
  <c r="BK65" i="5"/>
  <c r="BT65" i="5"/>
  <c r="BL65" i="5"/>
  <c r="BP65" i="5"/>
  <c r="BI61" i="5"/>
  <c r="BG61" i="5"/>
  <c r="BL61" i="5"/>
  <c r="BP61" i="5"/>
  <c r="BT61" i="5"/>
  <c r="BM61" i="5"/>
  <c r="BR61" i="5"/>
  <c r="BW61" i="5"/>
  <c r="BH61" i="5"/>
  <c r="BN61" i="5"/>
  <c r="BS61" i="5"/>
  <c r="BJ61" i="5"/>
  <c r="BU61" i="5"/>
  <c r="BQ61" i="5"/>
  <c r="BV61" i="5"/>
  <c r="BK61" i="5"/>
  <c r="BO61" i="5"/>
  <c r="BI57" i="5"/>
  <c r="BG57" i="5"/>
  <c r="BL57" i="5"/>
  <c r="BP57" i="5"/>
  <c r="BT57" i="5"/>
  <c r="BM57" i="5"/>
  <c r="BR57" i="5"/>
  <c r="BW57" i="5"/>
  <c r="BH57" i="5"/>
  <c r="BN57" i="5"/>
  <c r="BS57" i="5"/>
  <c r="BJ57" i="5"/>
  <c r="BU57" i="5"/>
  <c r="BK57" i="5"/>
  <c r="BO57" i="5"/>
  <c r="BQ57" i="5"/>
  <c r="BV57" i="5"/>
  <c r="BG53" i="5"/>
  <c r="BL53" i="5"/>
  <c r="BP53" i="5"/>
  <c r="BT53" i="5"/>
  <c r="BI53" i="5"/>
  <c r="BH53" i="5"/>
  <c r="BN53" i="5"/>
  <c r="BS53" i="5"/>
  <c r="BO53" i="5"/>
  <c r="BV53" i="5"/>
  <c r="BJ53" i="5"/>
  <c r="BQ53" i="5"/>
  <c r="BW53" i="5"/>
  <c r="BR53" i="5"/>
  <c r="BU53" i="5"/>
  <c r="BK53" i="5"/>
  <c r="BM53" i="5"/>
  <c r="BG49" i="5"/>
  <c r="BL49" i="5"/>
  <c r="BP49" i="5"/>
  <c r="BT49" i="5"/>
  <c r="BI49" i="5"/>
  <c r="BH49" i="5"/>
  <c r="BN49" i="5"/>
  <c r="BS49" i="5"/>
  <c r="BO49" i="5"/>
  <c r="BV49" i="5"/>
  <c r="BJ49" i="5"/>
  <c r="BQ49" i="5"/>
  <c r="BW49" i="5"/>
  <c r="BK49" i="5"/>
  <c r="BM49" i="5"/>
  <c r="BR49" i="5"/>
  <c r="BU49" i="5"/>
  <c r="BG45" i="5"/>
  <c r="BL45" i="5"/>
  <c r="BP45" i="5"/>
  <c r="BT45" i="5"/>
  <c r="BI45" i="5"/>
  <c r="BH45" i="5"/>
  <c r="BN45" i="5"/>
  <c r="BS45" i="5"/>
  <c r="BO45" i="5"/>
  <c r="BV45" i="5"/>
  <c r="BJ45" i="5"/>
  <c r="BQ45" i="5"/>
  <c r="BW45" i="5"/>
  <c r="BR45" i="5"/>
  <c r="BM45" i="5"/>
  <c r="BU45" i="5"/>
  <c r="BK45" i="5"/>
  <c r="BG41" i="5"/>
  <c r="BL41" i="5"/>
  <c r="BP41" i="5"/>
  <c r="BT41" i="5"/>
  <c r="BI41" i="5"/>
  <c r="BH41" i="5"/>
  <c r="BN41" i="5"/>
  <c r="BS41" i="5"/>
  <c r="BO41" i="5"/>
  <c r="BV41" i="5"/>
  <c r="BJ41" i="5"/>
  <c r="BQ41" i="5"/>
  <c r="BW41" i="5"/>
  <c r="BK41" i="5"/>
  <c r="BU41" i="5"/>
  <c r="BM41" i="5"/>
  <c r="BR41" i="5"/>
  <c r="BH168" i="5"/>
  <c r="BL168" i="5"/>
  <c r="BP168" i="5"/>
  <c r="BT168" i="5"/>
  <c r="BK168" i="5"/>
  <c r="BQ168" i="5"/>
  <c r="BV168" i="5"/>
  <c r="BN168" i="5"/>
  <c r="BJ168" i="5"/>
  <c r="BU168" i="5"/>
  <c r="BG168" i="5"/>
  <c r="BM168" i="5"/>
  <c r="BR168" i="5"/>
  <c r="BW168" i="5"/>
  <c r="BI168" i="5"/>
  <c r="BS168" i="5"/>
  <c r="BO168" i="5"/>
  <c r="BH164" i="5"/>
  <c r="BL164" i="5"/>
  <c r="BP164" i="5"/>
  <c r="BT164" i="5"/>
  <c r="BJ164" i="5"/>
  <c r="BO164" i="5"/>
  <c r="BU164" i="5"/>
  <c r="BM164" i="5"/>
  <c r="BW164" i="5"/>
  <c r="BI164" i="5"/>
  <c r="BS164" i="5"/>
  <c r="BK164" i="5"/>
  <c r="BQ164" i="5"/>
  <c r="BV164" i="5"/>
  <c r="BG164" i="5"/>
  <c r="BR164" i="5"/>
  <c r="BN164" i="5"/>
  <c r="BJ160" i="5"/>
  <c r="BN160" i="5"/>
  <c r="BR160" i="5"/>
  <c r="BV160" i="5"/>
  <c r="BG160" i="5"/>
  <c r="BL160" i="5"/>
  <c r="BQ160" i="5"/>
  <c r="BW160" i="5"/>
  <c r="BI160" i="5"/>
  <c r="BP160" i="5"/>
  <c r="BM160" i="5"/>
  <c r="BT160" i="5"/>
  <c r="BO160" i="5"/>
  <c r="BK160" i="5"/>
  <c r="BS160" i="5"/>
  <c r="BH160" i="5"/>
  <c r="BU160" i="5"/>
  <c r="BJ156" i="5"/>
  <c r="BN156" i="5"/>
  <c r="BR156" i="5"/>
  <c r="BV156" i="5"/>
  <c r="BK156" i="5"/>
  <c r="BP156" i="5"/>
  <c r="BU156" i="5"/>
  <c r="BG156" i="5"/>
  <c r="BM156" i="5"/>
  <c r="BT156" i="5"/>
  <c r="BQ156" i="5"/>
  <c r="BS156" i="5"/>
  <c r="BH156" i="5"/>
  <c r="BO156" i="5"/>
  <c r="BW156" i="5"/>
  <c r="BI156" i="5"/>
  <c r="BL156" i="5"/>
  <c r="BJ152" i="5"/>
  <c r="BN152" i="5"/>
  <c r="BR152" i="5"/>
  <c r="BV152" i="5"/>
  <c r="BI152" i="5"/>
  <c r="BO152" i="5"/>
  <c r="BT152" i="5"/>
  <c r="BK152" i="5"/>
  <c r="BQ152" i="5"/>
  <c r="BG152" i="5"/>
  <c r="BU152" i="5"/>
  <c r="BP152" i="5"/>
  <c r="BL152" i="5"/>
  <c r="BS152" i="5"/>
  <c r="BM152" i="5"/>
  <c r="BH152" i="5"/>
  <c r="BW152" i="5"/>
  <c r="BJ148" i="5"/>
  <c r="BN148" i="5"/>
  <c r="BR148" i="5"/>
  <c r="BV148" i="5"/>
  <c r="BG148" i="5"/>
  <c r="BL148" i="5"/>
  <c r="BQ148" i="5"/>
  <c r="BW148" i="5"/>
  <c r="BH148" i="5"/>
  <c r="BM148" i="5"/>
  <c r="BS148" i="5"/>
  <c r="BK148" i="5"/>
  <c r="BU148" i="5"/>
  <c r="BP148" i="5"/>
  <c r="BT148" i="5"/>
  <c r="BO148" i="5"/>
  <c r="BI148" i="5"/>
  <c r="BJ144" i="5"/>
  <c r="BN144" i="5"/>
  <c r="BR144" i="5"/>
  <c r="BV144" i="5"/>
  <c r="BK144" i="5"/>
  <c r="BP144" i="5"/>
  <c r="BU144" i="5"/>
  <c r="BG144" i="5"/>
  <c r="BL144" i="5"/>
  <c r="BQ144" i="5"/>
  <c r="BW144" i="5"/>
  <c r="BO144" i="5"/>
  <c r="BT144" i="5"/>
  <c r="BH144" i="5"/>
  <c r="BS144" i="5"/>
  <c r="BI144" i="5"/>
  <c r="BM144" i="5"/>
  <c r="BJ140" i="5"/>
  <c r="BN140" i="5"/>
  <c r="BR140" i="5"/>
  <c r="BV140" i="5"/>
  <c r="BI140" i="5"/>
  <c r="BO140" i="5"/>
  <c r="BT140" i="5"/>
  <c r="BK140" i="5"/>
  <c r="BP140" i="5"/>
  <c r="BU140" i="5"/>
  <c r="BH140" i="5"/>
  <c r="BS140" i="5"/>
  <c r="BG140" i="5"/>
  <c r="BL140" i="5"/>
  <c r="BW140" i="5"/>
  <c r="BM140" i="5"/>
  <c r="BQ140" i="5"/>
  <c r="BJ136" i="5"/>
  <c r="BN136" i="5"/>
  <c r="BR136" i="5"/>
  <c r="BV136" i="5"/>
  <c r="BG136" i="5"/>
  <c r="BK136" i="5"/>
  <c r="BO136" i="5"/>
  <c r="BS136" i="5"/>
  <c r="BW136" i="5"/>
  <c r="BL136" i="5"/>
  <c r="BT136" i="5"/>
  <c r="BM136" i="5"/>
  <c r="BU136" i="5"/>
  <c r="BI136" i="5"/>
  <c r="BQ136" i="5"/>
  <c r="BH136" i="5"/>
  <c r="BP136" i="5"/>
  <c r="BJ132" i="5"/>
  <c r="BN132" i="5"/>
  <c r="BR132" i="5"/>
  <c r="BV132" i="5"/>
  <c r="BG132" i="5"/>
  <c r="BK132" i="5"/>
  <c r="BO132" i="5"/>
  <c r="BS132" i="5"/>
  <c r="BW132" i="5"/>
  <c r="BH132" i="5"/>
  <c r="BP132" i="5"/>
  <c r="BI132" i="5"/>
  <c r="BQ132" i="5"/>
  <c r="BM132" i="5"/>
  <c r="BL132" i="5"/>
  <c r="BT132" i="5"/>
  <c r="BU132" i="5"/>
  <c r="BJ128" i="5"/>
  <c r="BN128" i="5"/>
  <c r="BR128" i="5"/>
  <c r="BV128" i="5"/>
  <c r="BG128" i="5"/>
  <c r="BK128" i="5"/>
  <c r="BO128" i="5"/>
  <c r="BS128" i="5"/>
  <c r="BW128" i="5"/>
  <c r="BL128" i="5"/>
  <c r="BT128" i="5"/>
  <c r="BM128" i="5"/>
  <c r="BU128" i="5"/>
  <c r="BH128" i="5"/>
  <c r="BP128" i="5"/>
  <c r="BQ128" i="5"/>
  <c r="BI128" i="5"/>
  <c r="BJ124" i="5"/>
  <c r="BN124" i="5"/>
  <c r="BR124" i="5"/>
  <c r="BV124" i="5"/>
  <c r="BG124" i="5"/>
  <c r="BK124" i="5"/>
  <c r="BO124" i="5"/>
  <c r="BS124" i="5"/>
  <c r="BW124" i="5"/>
  <c r="BH124" i="5"/>
  <c r="BP124" i="5"/>
  <c r="BI124" i="5"/>
  <c r="BQ124" i="5"/>
  <c r="BL124" i="5"/>
  <c r="BT124" i="5"/>
  <c r="BU124" i="5"/>
  <c r="BM124" i="5"/>
  <c r="BJ120" i="5"/>
  <c r="BN120" i="5"/>
  <c r="BR120" i="5"/>
  <c r="BV120" i="5"/>
  <c r="BG120" i="5"/>
  <c r="BK120" i="5"/>
  <c r="BO120" i="5"/>
  <c r="BS120" i="5"/>
  <c r="BW120" i="5"/>
  <c r="BL120" i="5"/>
  <c r="BT120" i="5"/>
  <c r="BM120" i="5"/>
  <c r="BU120" i="5"/>
  <c r="BH120" i="5"/>
  <c r="BP120" i="5"/>
  <c r="BI120" i="5"/>
  <c r="BQ120" i="5"/>
  <c r="BJ116" i="5"/>
  <c r="BN116" i="5"/>
  <c r="BR116" i="5"/>
  <c r="BV116" i="5"/>
  <c r="BG116" i="5"/>
  <c r="BK116" i="5"/>
  <c r="BO116" i="5"/>
  <c r="BS116" i="5"/>
  <c r="BW116" i="5"/>
  <c r="BH116" i="5"/>
  <c r="BP116" i="5"/>
  <c r="BI116" i="5"/>
  <c r="BQ116" i="5"/>
  <c r="BL116" i="5"/>
  <c r="BT116" i="5"/>
  <c r="BM116" i="5"/>
  <c r="BU116" i="5"/>
  <c r="BJ112" i="5"/>
  <c r="BN112" i="5"/>
  <c r="BR112" i="5"/>
  <c r="BV112" i="5"/>
  <c r="BG112" i="5"/>
  <c r="BK112" i="5"/>
  <c r="BO112" i="5"/>
  <c r="BS112" i="5"/>
  <c r="BW112" i="5"/>
  <c r="BL112" i="5"/>
  <c r="BT112" i="5"/>
  <c r="BM112" i="5"/>
  <c r="BU112" i="5"/>
  <c r="BH112" i="5"/>
  <c r="BP112" i="5"/>
  <c r="BI112" i="5"/>
  <c r="BQ112" i="5"/>
  <c r="BH108" i="5"/>
  <c r="BL108" i="5"/>
  <c r="BP108" i="5"/>
  <c r="BT108" i="5"/>
  <c r="BJ108" i="5"/>
  <c r="BO108" i="5"/>
  <c r="BU108" i="5"/>
  <c r="BK108" i="5"/>
  <c r="BQ108" i="5"/>
  <c r="BV108" i="5"/>
  <c r="BM108" i="5"/>
  <c r="BW108" i="5"/>
  <c r="BN108" i="5"/>
  <c r="BG108" i="5"/>
  <c r="BR108" i="5"/>
  <c r="BI108" i="5"/>
  <c r="BS108" i="5"/>
  <c r="BI104" i="5"/>
  <c r="BH104" i="5"/>
  <c r="BM104" i="5"/>
  <c r="BQ104" i="5"/>
  <c r="BU104" i="5"/>
  <c r="BK104" i="5"/>
  <c r="BP104" i="5"/>
  <c r="BV104" i="5"/>
  <c r="BL104" i="5"/>
  <c r="BR104" i="5"/>
  <c r="BW104" i="5"/>
  <c r="BN104" i="5"/>
  <c r="BO104" i="5"/>
  <c r="BG104" i="5"/>
  <c r="BS104" i="5"/>
  <c r="BJ104" i="5"/>
  <c r="BT104" i="5"/>
  <c r="BI100" i="5"/>
  <c r="BH100" i="5"/>
  <c r="BM100" i="5"/>
  <c r="BQ100" i="5"/>
  <c r="BU100" i="5"/>
  <c r="BK100" i="5"/>
  <c r="BP100" i="5"/>
  <c r="BV100" i="5"/>
  <c r="BL100" i="5"/>
  <c r="BR100" i="5"/>
  <c r="BW100" i="5"/>
  <c r="BN100" i="5"/>
  <c r="BO100" i="5"/>
  <c r="BG100" i="5"/>
  <c r="BS100" i="5"/>
  <c r="BJ100" i="5"/>
  <c r="BT100" i="5"/>
  <c r="BI96" i="5"/>
  <c r="BH96" i="5"/>
  <c r="BM96" i="5"/>
  <c r="BQ96" i="5"/>
  <c r="BU96" i="5"/>
  <c r="BK96" i="5"/>
  <c r="BP96" i="5"/>
  <c r="BV96" i="5"/>
  <c r="BL96" i="5"/>
  <c r="BR96" i="5"/>
  <c r="BW96" i="5"/>
  <c r="BN96" i="5"/>
  <c r="BO96" i="5"/>
  <c r="BG96" i="5"/>
  <c r="BS96" i="5"/>
  <c r="BJ96" i="5"/>
  <c r="BT96" i="5"/>
  <c r="BI92" i="5"/>
  <c r="BH92" i="5"/>
  <c r="BM92" i="5"/>
  <c r="BQ92" i="5"/>
  <c r="BU92" i="5"/>
  <c r="BK92" i="5"/>
  <c r="BP92" i="5"/>
  <c r="BV92" i="5"/>
  <c r="BL92" i="5"/>
  <c r="BR92" i="5"/>
  <c r="BW92" i="5"/>
  <c r="BN92" i="5"/>
  <c r="BO92" i="5"/>
  <c r="BG92" i="5"/>
  <c r="BS92" i="5"/>
  <c r="BT92" i="5"/>
  <c r="BJ92" i="5"/>
  <c r="BI88" i="5"/>
  <c r="BJ88" i="5"/>
  <c r="BN88" i="5"/>
  <c r="BR88" i="5"/>
  <c r="BV88" i="5"/>
  <c r="BG88" i="5"/>
  <c r="BM88" i="5"/>
  <c r="BS88" i="5"/>
  <c r="BH88" i="5"/>
  <c r="BP88" i="5"/>
  <c r="BW88" i="5"/>
  <c r="BK88" i="5"/>
  <c r="BQ88" i="5"/>
  <c r="BL88" i="5"/>
  <c r="BO88" i="5"/>
  <c r="BT88" i="5"/>
  <c r="BU88" i="5"/>
  <c r="BI84" i="5"/>
  <c r="BH84" i="5"/>
  <c r="BM84" i="5"/>
  <c r="BQ84" i="5"/>
  <c r="BU84" i="5"/>
  <c r="BJ84" i="5"/>
  <c r="BN84" i="5"/>
  <c r="BR84" i="5"/>
  <c r="BV84" i="5"/>
  <c r="BO84" i="5"/>
  <c r="BW84" i="5"/>
  <c r="BL84" i="5"/>
  <c r="BP84" i="5"/>
  <c r="BG84" i="5"/>
  <c r="BK84" i="5"/>
  <c r="BS84" i="5"/>
  <c r="BT84" i="5"/>
  <c r="BI80" i="5"/>
  <c r="BH80" i="5"/>
  <c r="BM80" i="5"/>
  <c r="BQ80" i="5"/>
  <c r="BU80" i="5"/>
  <c r="BJ80" i="5"/>
  <c r="BN80" i="5"/>
  <c r="BR80" i="5"/>
  <c r="BV80" i="5"/>
  <c r="BO80" i="5"/>
  <c r="BW80" i="5"/>
  <c r="BL80" i="5"/>
  <c r="BP80" i="5"/>
  <c r="BG80" i="5"/>
  <c r="BK80" i="5"/>
  <c r="BS80" i="5"/>
  <c r="BT80" i="5"/>
  <c r="BI76" i="5"/>
  <c r="BH76" i="5"/>
  <c r="BM76" i="5"/>
  <c r="BQ76" i="5"/>
  <c r="BU76" i="5"/>
  <c r="BJ76" i="5"/>
  <c r="BN76" i="5"/>
  <c r="BR76" i="5"/>
  <c r="BV76" i="5"/>
  <c r="BO76" i="5"/>
  <c r="BW76" i="5"/>
  <c r="BL76" i="5"/>
  <c r="BP76" i="5"/>
  <c r="BG76" i="5"/>
  <c r="BK76" i="5"/>
  <c r="BS76" i="5"/>
  <c r="BT76" i="5"/>
  <c r="BI72" i="5"/>
  <c r="BH72" i="5"/>
  <c r="BM72" i="5"/>
  <c r="BQ72" i="5"/>
  <c r="BU72" i="5"/>
  <c r="BJ72" i="5"/>
  <c r="BN72" i="5"/>
  <c r="BR72" i="5"/>
  <c r="BV72" i="5"/>
  <c r="BO72" i="5"/>
  <c r="BW72" i="5"/>
  <c r="BL72" i="5"/>
  <c r="BP72" i="5"/>
  <c r="BG72" i="5"/>
  <c r="BK72" i="5"/>
  <c r="BS72" i="5"/>
  <c r="BT72" i="5"/>
  <c r="BI68" i="5"/>
  <c r="BH68" i="5"/>
  <c r="BM68" i="5"/>
  <c r="BQ68" i="5"/>
  <c r="BU68" i="5"/>
  <c r="BJ68" i="5"/>
  <c r="BN68" i="5"/>
  <c r="BR68" i="5"/>
  <c r="BV68" i="5"/>
  <c r="BO68" i="5"/>
  <c r="BW68" i="5"/>
  <c r="BL68" i="5"/>
  <c r="BP68" i="5"/>
  <c r="BG68" i="5"/>
  <c r="BK68" i="5"/>
  <c r="BS68" i="5"/>
  <c r="BT68" i="5"/>
  <c r="BI64" i="5"/>
  <c r="BG64" i="5"/>
  <c r="BL64" i="5"/>
  <c r="BM64" i="5"/>
  <c r="BQ64" i="5"/>
  <c r="BU64" i="5"/>
  <c r="BH64" i="5"/>
  <c r="BN64" i="5"/>
  <c r="BR64" i="5"/>
  <c r="BV64" i="5"/>
  <c r="BO64" i="5"/>
  <c r="BW64" i="5"/>
  <c r="BK64" i="5"/>
  <c r="BP64" i="5"/>
  <c r="BJ64" i="5"/>
  <c r="BS64" i="5"/>
  <c r="BT64" i="5"/>
  <c r="BI60" i="5"/>
  <c r="BG60" i="5"/>
  <c r="BL60" i="5"/>
  <c r="BP60" i="5"/>
  <c r="BT60" i="5"/>
  <c r="BM60" i="5"/>
  <c r="BR60" i="5"/>
  <c r="BW60" i="5"/>
  <c r="BH60" i="5"/>
  <c r="BN60" i="5"/>
  <c r="BS60" i="5"/>
  <c r="BO60" i="5"/>
  <c r="BU60" i="5"/>
  <c r="BJ60" i="5"/>
  <c r="BV60" i="5"/>
  <c r="BK60" i="5"/>
  <c r="BQ60" i="5"/>
  <c r="BI56" i="5"/>
  <c r="BG56" i="5"/>
  <c r="BL56" i="5"/>
  <c r="BP56" i="5"/>
  <c r="BT56" i="5"/>
  <c r="BH56" i="5"/>
  <c r="BN56" i="5"/>
  <c r="BS56" i="5"/>
  <c r="BJ56" i="5"/>
  <c r="BQ56" i="5"/>
  <c r="BW56" i="5"/>
  <c r="BK56" i="5"/>
  <c r="BR56" i="5"/>
  <c r="BM56" i="5"/>
  <c r="BO56" i="5"/>
  <c r="BU56" i="5"/>
  <c r="BV56" i="5"/>
  <c r="BI52" i="5"/>
  <c r="BG52" i="5"/>
  <c r="BL52" i="5"/>
  <c r="BP52" i="5"/>
  <c r="BT52" i="5"/>
  <c r="BH52" i="5"/>
  <c r="BN52" i="5"/>
  <c r="BS52" i="5"/>
  <c r="BJ52" i="5"/>
  <c r="BQ52" i="5"/>
  <c r="BW52" i="5"/>
  <c r="BK52" i="5"/>
  <c r="BR52" i="5"/>
  <c r="BU52" i="5"/>
  <c r="BO52" i="5"/>
  <c r="BV52" i="5"/>
  <c r="BM52" i="5"/>
  <c r="BI48" i="5"/>
  <c r="BG48" i="5"/>
  <c r="BL48" i="5"/>
  <c r="BP48" i="5"/>
  <c r="BT48" i="5"/>
  <c r="BH48" i="5"/>
  <c r="BN48" i="5"/>
  <c r="BS48" i="5"/>
  <c r="BJ48" i="5"/>
  <c r="BQ48" i="5"/>
  <c r="BW48" i="5"/>
  <c r="BK48" i="5"/>
  <c r="BR48" i="5"/>
  <c r="BM48" i="5"/>
  <c r="BV48" i="5"/>
  <c r="BO48" i="5"/>
  <c r="BU48" i="5"/>
  <c r="BI44" i="5"/>
  <c r="BG44" i="5"/>
  <c r="BL44" i="5"/>
  <c r="BP44" i="5"/>
  <c r="BT44" i="5"/>
  <c r="BH44" i="5"/>
  <c r="BN44" i="5"/>
  <c r="BS44" i="5"/>
  <c r="BJ44" i="5"/>
  <c r="BQ44" i="5"/>
  <c r="BW44" i="5"/>
  <c r="BK44" i="5"/>
  <c r="BR44" i="5"/>
  <c r="BU44" i="5"/>
  <c r="BM44" i="5"/>
  <c r="BO44" i="5"/>
  <c r="BV44" i="5"/>
  <c r="BI40" i="5"/>
  <c r="BG40" i="5"/>
  <c r="BL40" i="5"/>
  <c r="BP40" i="5"/>
  <c r="BT40" i="5"/>
  <c r="BH40" i="5"/>
  <c r="BN40" i="5"/>
  <c r="BS40" i="5"/>
  <c r="BJ40" i="5"/>
  <c r="BQ40" i="5"/>
  <c r="BW40" i="5"/>
  <c r="BK40" i="5"/>
  <c r="BR40" i="5"/>
  <c r="BM40" i="5"/>
  <c r="BU40" i="5"/>
  <c r="BV40" i="5"/>
  <c r="BO40" i="5"/>
  <c r="BI171" i="5"/>
  <c r="BM171" i="5"/>
  <c r="BQ171" i="5"/>
  <c r="BU171" i="5"/>
  <c r="BH171" i="5"/>
  <c r="BN171" i="5"/>
  <c r="BS171" i="5"/>
  <c r="BP171" i="5"/>
  <c r="BG171" i="5"/>
  <c r="BR171" i="5"/>
  <c r="BW171" i="5"/>
  <c r="BJ171" i="5"/>
  <c r="BO171" i="5"/>
  <c r="BT171" i="5"/>
  <c r="BK171" i="5"/>
  <c r="BV171" i="5"/>
  <c r="BL171" i="5"/>
  <c r="BI167" i="5"/>
  <c r="BM167" i="5"/>
  <c r="BQ167" i="5"/>
  <c r="BU167" i="5"/>
  <c r="BG167" i="5"/>
  <c r="BL167" i="5"/>
  <c r="BR167" i="5"/>
  <c r="BW167" i="5"/>
  <c r="BJ167" i="5"/>
  <c r="BT167" i="5"/>
  <c r="BP167" i="5"/>
  <c r="BH167" i="5"/>
  <c r="BN167" i="5"/>
  <c r="BS167" i="5"/>
  <c r="BO167" i="5"/>
  <c r="BK167" i="5"/>
  <c r="BV167" i="5"/>
  <c r="BI163" i="5"/>
  <c r="BM163" i="5"/>
  <c r="BQ163" i="5"/>
  <c r="BU163" i="5"/>
  <c r="BK163" i="5"/>
  <c r="BP163" i="5"/>
  <c r="BV163" i="5"/>
  <c r="BN163" i="5"/>
  <c r="BS163" i="5"/>
  <c r="BJ163" i="5"/>
  <c r="BT163" i="5"/>
  <c r="BG163" i="5"/>
  <c r="BL163" i="5"/>
  <c r="BR163" i="5"/>
  <c r="BW163" i="5"/>
  <c r="BH163" i="5"/>
  <c r="BO163" i="5"/>
  <c r="BG159" i="5"/>
  <c r="BK159" i="5"/>
  <c r="BO159" i="5"/>
  <c r="BS159" i="5"/>
  <c r="BW159" i="5"/>
  <c r="BH159" i="5"/>
  <c r="BM159" i="5"/>
  <c r="BR159" i="5"/>
  <c r="BL159" i="5"/>
  <c r="BT159" i="5"/>
  <c r="BP159" i="5"/>
  <c r="BJ159" i="5"/>
  <c r="BN159" i="5"/>
  <c r="BU159" i="5"/>
  <c r="BI159" i="5"/>
  <c r="BV159" i="5"/>
  <c r="BQ159" i="5"/>
  <c r="BG155" i="5"/>
  <c r="BK155" i="5"/>
  <c r="BO155" i="5"/>
  <c r="BS155" i="5"/>
  <c r="BW155" i="5"/>
  <c r="BL155" i="5"/>
  <c r="BQ155" i="5"/>
  <c r="BV155" i="5"/>
  <c r="BI155" i="5"/>
  <c r="BP155" i="5"/>
  <c r="BT155" i="5"/>
  <c r="BH155" i="5"/>
  <c r="BU155" i="5"/>
  <c r="BJ155" i="5"/>
  <c r="BR155" i="5"/>
  <c r="BM155" i="5"/>
  <c r="BN155" i="5"/>
  <c r="BG151" i="5"/>
  <c r="BK151" i="5"/>
  <c r="BO151" i="5"/>
  <c r="BS151" i="5"/>
  <c r="BW151" i="5"/>
  <c r="BI151" i="5"/>
  <c r="BJ151" i="5"/>
  <c r="BP151" i="5"/>
  <c r="BU151" i="5"/>
  <c r="BM151" i="5"/>
  <c r="BT151" i="5"/>
  <c r="BH151" i="5"/>
  <c r="BL151" i="5"/>
  <c r="BN151" i="5"/>
  <c r="BV151" i="5"/>
  <c r="BQ151" i="5"/>
  <c r="BR151" i="5"/>
  <c r="BG147" i="5"/>
  <c r="BK147" i="5"/>
  <c r="BO147" i="5"/>
  <c r="BS147" i="5"/>
  <c r="BW147" i="5"/>
  <c r="BH147" i="5"/>
  <c r="BM147" i="5"/>
  <c r="BR147" i="5"/>
  <c r="BI147" i="5"/>
  <c r="BN147" i="5"/>
  <c r="BT147" i="5"/>
  <c r="BQ147" i="5"/>
  <c r="BL147" i="5"/>
  <c r="BP147" i="5"/>
  <c r="BJ147" i="5"/>
  <c r="BU147" i="5"/>
  <c r="BV147" i="5"/>
  <c r="BG143" i="5"/>
  <c r="BK143" i="5"/>
  <c r="BO143" i="5"/>
  <c r="BS143" i="5"/>
  <c r="BW143" i="5"/>
  <c r="BL143" i="5"/>
  <c r="BQ143" i="5"/>
  <c r="BV143" i="5"/>
  <c r="BH143" i="5"/>
  <c r="BM143" i="5"/>
  <c r="BR143" i="5"/>
  <c r="BJ143" i="5"/>
  <c r="BU143" i="5"/>
  <c r="BP143" i="5"/>
  <c r="BT143" i="5"/>
  <c r="BN143" i="5"/>
  <c r="BI143" i="5"/>
  <c r="BG139" i="5"/>
  <c r="BK139" i="5"/>
  <c r="BO139" i="5"/>
  <c r="BS139" i="5"/>
  <c r="BW139" i="5"/>
  <c r="BJ139" i="5"/>
  <c r="BP139" i="5"/>
  <c r="BU139" i="5"/>
  <c r="BL139" i="5"/>
  <c r="BQ139" i="5"/>
  <c r="BV139" i="5"/>
  <c r="BN139" i="5"/>
  <c r="BT139" i="5"/>
  <c r="BM139" i="5"/>
  <c r="BH139" i="5"/>
  <c r="BR139" i="5"/>
  <c r="BI139" i="5"/>
  <c r="BG135" i="5"/>
  <c r="BK135" i="5"/>
  <c r="BO135" i="5"/>
  <c r="BS135" i="5"/>
  <c r="BW135" i="5"/>
  <c r="BH135" i="5"/>
  <c r="BL135" i="5"/>
  <c r="BP135" i="5"/>
  <c r="BT135" i="5"/>
  <c r="BM135" i="5"/>
  <c r="BU135" i="5"/>
  <c r="BN135" i="5"/>
  <c r="BV135" i="5"/>
  <c r="BJ135" i="5"/>
  <c r="BQ135" i="5"/>
  <c r="BR135" i="5"/>
  <c r="BI135" i="5"/>
  <c r="BG131" i="5"/>
  <c r="BK131" i="5"/>
  <c r="BO131" i="5"/>
  <c r="BS131" i="5"/>
  <c r="BW131" i="5"/>
  <c r="BH131" i="5"/>
  <c r="BL131" i="5"/>
  <c r="BP131" i="5"/>
  <c r="BT131" i="5"/>
  <c r="BI131" i="5"/>
  <c r="BQ131" i="5"/>
  <c r="BJ131" i="5"/>
  <c r="BR131" i="5"/>
  <c r="BN131" i="5"/>
  <c r="BU131" i="5"/>
  <c r="BV131" i="5"/>
  <c r="BM131" i="5"/>
  <c r="BG127" i="5"/>
  <c r="BK127" i="5"/>
  <c r="BO127" i="5"/>
  <c r="BS127" i="5"/>
  <c r="BW127" i="5"/>
  <c r="BH127" i="5"/>
  <c r="BL127" i="5"/>
  <c r="BP127" i="5"/>
  <c r="BT127" i="5"/>
  <c r="BM127" i="5"/>
  <c r="BU127" i="5"/>
  <c r="BN127" i="5"/>
  <c r="BV127" i="5"/>
  <c r="BI127" i="5"/>
  <c r="BQ127" i="5"/>
  <c r="BJ127" i="5"/>
  <c r="BR127" i="5"/>
  <c r="BG123" i="5"/>
  <c r="BK123" i="5"/>
  <c r="BO123" i="5"/>
  <c r="BS123" i="5"/>
  <c r="BW123" i="5"/>
  <c r="BH123" i="5"/>
  <c r="BL123" i="5"/>
  <c r="BP123" i="5"/>
  <c r="BT123" i="5"/>
  <c r="BI123" i="5"/>
  <c r="BQ123" i="5"/>
  <c r="BJ123" i="5"/>
  <c r="BR123" i="5"/>
  <c r="BM123" i="5"/>
  <c r="BU123" i="5"/>
  <c r="BN123" i="5"/>
  <c r="BV123" i="5"/>
  <c r="BG119" i="5"/>
  <c r="BK119" i="5"/>
  <c r="BO119" i="5"/>
  <c r="BS119" i="5"/>
  <c r="BW119" i="5"/>
  <c r="BH119" i="5"/>
  <c r="BL119" i="5"/>
  <c r="BP119" i="5"/>
  <c r="BT119" i="5"/>
  <c r="BM119" i="5"/>
  <c r="BU119" i="5"/>
  <c r="BN119" i="5"/>
  <c r="BV119" i="5"/>
  <c r="BI119" i="5"/>
  <c r="BQ119" i="5"/>
  <c r="BJ119" i="5"/>
  <c r="BR119" i="5"/>
  <c r="BG115" i="5"/>
  <c r="BK115" i="5"/>
  <c r="BO115" i="5"/>
  <c r="BS115" i="5"/>
  <c r="BW115" i="5"/>
  <c r="BH115" i="5"/>
  <c r="BL115" i="5"/>
  <c r="BP115" i="5"/>
  <c r="BT115" i="5"/>
  <c r="BI115" i="5"/>
  <c r="BQ115" i="5"/>
  <c r="BJ115" i="5"/>
  <c r="BR115" i="5"/>
  <c r="BM115" i="5"/>
  <c r="BU115" i="5"/>
  <c r="BN115" i="5"/>
  <c r="BV115" i="5"/>
  <c r="BG111" i="5"/>
  <c r="BK111" i="5"/>
  <c r="BO111" i="5"/>
  <c r="BS111" i="5"/>
  <c r="BW111" i="5"/>
  <c r="BH111" i="5"/>
  <c r="BL111" i="5"/>
  <c r="BP111" i="5"/>
  <c r="BT111" i="5"/>
  <c r="BM111" i="5"/>
  <c r="BU111" i="5"/>
  <c r="BN111" i="5"/>
  <c r="BV111" i="5"/>
  <c r="BI111" i="5"/>
  <c r="BQ111" i="5"/>
  <c r="BR111" i="5"/>
  <c r="BJ111" i="5"/>
  <c r="BI107" i="5"/>
  <c r="BH107" i="5"/>
  <c r="BM107" i="5"/>
  <c r="BQ107" i="5"/>
  <c r="BU107" i="5"/>
  <c r="BK107" i="5"/>
  <c r="BP107" i="5"/>
  <c r="BV107" i="5"/>
  <c r="BL107" i="5"/>
  <c r="BR107" i="5"/>
  <c r="BW107" i="5"/>
  <c r="BG107" i="5"/>
  <c r="BS107" i="5"/>
  <c r="BJ107" i="5"/>
  <c r="BT107" i="5"/>
  <c r="BN107" i="5"/>
  <c r="BO107" i="5"/>
  <c r="BH103" i="5"/>
  <c r="BM103" i="5"/>
  <c r="BQ103" i="5"/>
  <c r="BU103" i="5"/>
  <c r="BK103" i="5"/>
  <c r="BP103" i="5"/>
  <c r="BV103" i="5"/>
  <c r="BL103" i="5"/>
  <c r="BR103" i="5"/>
  <c r="BW103" i="5"/>
  <c r="BI103" i="5"/>
  <c r="BG103" i="5"/>
  <c r="BS103" i="5"/>
  <c r="BJ103" i="5"/>
  <c r="BT103" i="5"/>
  <c r="BN103" i="5"/>
  <c r="BO103" i="5"/>
  <c r="BH99" i="5"/>
  <c r="BM99" i="5"/>
  <c r="BQ99" i="5"/>
  <c r="BU99" i="5"/>
  <c r="BK99" i="5"/>
  <c r="BP99" i="5"/>
  <c r="BV99" i="5"/>
  <c r="BI99" i="5"/>
  <c r="BL99" i="5"/>
  <c r="BR99" i="5"/>
  <c r="BW99" i="5"/>
  <c r="BG99" i="5"/>
  <c r="BS99" i="5"/>
  <c r="BJ99" i="5"/>
  <c r="BT99" i="5"/>
  <c r="BN99" i="5"/>
  <c r="BO99" i="5"/>
  <c r="BI95" i="5"/>
  <c r="BH95" i="5"/>
  <c r="BM95" i="5"/>
  <c r="BQ95" i="5"/>
  <c r="BU95" i="5"/>
  <c r="BK95" i="5"/>
  <c r="BP95" i="5"/>
  <c r="BV95" i="5"/>
  <c r="BL95" i="5"/>
  <c r="BR95" i="5"/>
  <c r="BW95" i="5"/>
  <c r="BG95" i="5"/>
  <c r="BS95" i="5"/>
  <c r="BJ95" i="5"/>
  <c r="BT95" i="5"/>
  <c r="BN95" i="5"/>
  <c r="BO95" i="5"/>
  <c r="BI91" i="5"/>
  <c r="BJ91" i="5"/>
  <c r="BG91" i="5"/>
  <c r="BM91" i="5"/>
  <c r="BQ91" i="5"/>
  <c r="BU91" i="5"/>
  <c r="BK91" i="5"/>
  <c r="BP91" i="5"/>
  <c r="BV91" i="5"/>
  <c r="BL91" i="5"/>
  <c r="BR91" i="5"/>
  <c r="BW91" i="5"/>
  <c r="BS91" i="5"/>
  <c r="BH91" i="5"/>
  <c r="BT91" i="5"/>
  <c r="BN91" i="5"/>
  <c r="BO91" i="5"/>
  <c r="BI87" i="5"/>
  <c r="BJ87" i="5"/>
  <c r="BN87" i="5"/>
  <c r="BR87" i="5"/>
  <c r="BV87" i="5"/>
  <c r="BG87" i="5"/>
  <c r="BM87" i="5"/>
  <c r="BS87" i="5"/>
  <c r="BK87" i="5"/>
  <c r="BQ87" i="5"/>
  <c r="BL87" i="5"/>
  <c r="BT87" i="5"/>
  <c r="BO87" i="5"/>
  <c r="BP87" i="5"/>
  <c r="BU87" i="5"/>
  <c r="BH87" i="5"/>
  <c r="BW87" i="5"/>
  <c r="BI83" i="5"/>
  <c r="BH83" i="5"/>
  <c r="BM83" i="5"/>
  <c r="BQ83" i="5"/>
  <c r="BU83" i="5"/>
  <c r="BJ83" i="5"/>
  <c r="BN83" i="5"/>
  <c r="BR83" i="5"/>
  <c r="BV83" i="5"/>
  <c r="BO83" i="5"/>
  <c r="BW83" i="5"/>
  <c r="BG83" i="5"/>
  <c r="BS83" i="5"/>
  <c r="BK83" i="5"/>
  <c r="BT83" i="5"/>
  <c r="BL83" i="5"/>
  <c r="BP83" i="5"/>
  <c r="BI79" i="5"/>
  <c r="BH79" i="5"/>
  <c r="BM79" i="5"/>
  <c r="BQ79" i="5"/>
  <c r="BU79" i="5"/>
  <c r="BJ79" i="5"/>
  <c r="BN79" i="5"/>
  <c r="BR79" i="5"/>
  <c r="BV79" i="5"/>
  <c r="BO79" i="5"/>
  <c r="BW79" i="5"/>
  <c r="BG79" i="5"/>
  <c r="BS79" i="5"/>
  <c r="BK79" i="5"/>
  <c r="BT79" i="5"/>
  <c r="BL79" i="5"/>
  <c r="BP79" i="5"/>
  <c r="BI75" i="5"/>
  <c r="BH75" i="5"/>
  <c r="BM75" i="5"/>
  <c r="BQ75" i="5"/>
  <c r="BU75" i="5"/>
  <c r="BJ75" i="5"/>
  <c r="BN75" i="5"/>
  <c r="BR75" i="5"/>
  <c r="BV75" i="5"/>
  <c r="BO75" i="5"/>
  <c r="BW75" i="5"/>
  <c r="BG75" i="5"/>
  <c r="BS75" i="5"/>
  <c r="BK75" i="5"/>
  <c r="BT75" i="5"/>
  <c r="BL75" i="5"/>
  <c r="BP75" i="5"/>
  <c r="BH71" i="5"/>
  <c r="BM71" i="5"/>
  <c r="BQ71" i="5"/>
  <c r="BU71" i="5"/>
  <c r="BJ71" i="5"/>
  <c r="BN71" i="5"/>
  <c r="BR71" i="5"/>
  <c r="BV71" i="5"/>
  <c r="BO71" i="5"/>
  <c r="BW71" i="5"/>
  <c r="BI71" i="5"/>
  <c r="BG71" i="5"/>
  <c r="BS71" i="5"/>
  <c r="BK71" i="5"/>
  <c r="BT71" i="5"/>
  <c r="BL71" i="5"/>
  <c r="BP71" i="5"/>
  <c r="BH67" i="5"/>
  <c r="BM67" i="5"/>
  <c r="BQ67" i="5"/>
  <c r="BU67" i="5"/>
  <c r="BJ67" i="5"/>
  <c r="BN67" i="5"/>
  <c r="BR67" i="5"/>
  <c r="BV67" i="5"/>
  <c r="BI67" i="5"/>
  <c r="BO67" i="5"/>
  <c r="BW67" i="5"/>
  <c r="BG67" i="5"/>
  <c r="BS67" i="5"/>
  <c r="BK67" i="5"/>
  <c r="BT67" i="5"/>
  <c r="BL67" i="5"/>
  <c r="BP67" i="5"/>
  <c r="BI63" i="5"/>
  <c r="BG63" i="5"/>
  <c r="BL63" i="5"/>
  <c r="BP63" i="5"/>
  <c r="BT63" i="5"/>
  <c r="BM63" i="5"/>
  <c r="BR63" i="5"/>
  <c r="BW63" i="5"/>
  <c r="BH63" i="5"/>
  <c r="BN63" i="5"/>
  <c r="BS63" i="5"/>
  <c r="BJ63" i="5"/>
  <c r="BU63" i="5"/>
  <c r="BO63" i="5"/>
  <c r="BQ63" i="5"/>
  <c r="BV63" i="5"/>
  <c r="BK63" i="5"/>
  <c r="BI59" i="5"/>
  <c r="BG59" i="5"/>
  <c r="BL59" i="5"/>
  <c r="BP59" i="5"/>
  <c r="BT59" i="5"/>
  <c r="BM59" i="5"/>
  <c r="BR59" i="5"/>
  <c r="BW59" i="5"/>
  <c r="BH59" i="5"/>
  <c r="BN59" i="5"/>
  <c r="BS59" i="5"/>
  <c r="BJ59" i="5"/>
  <c r="BU59" i="5"/>
  <c r="BV59" i="5"/>
  <c r="BK59" i="5"/>
  <c r="BO59" i="5"/>
  <c r="BQ59" i="5"/>
  <c r="BG55" i="5"/>
  <c r="BL55" i="5"/>
  <c r="BP55" i="5"/>
  <c r="BT55" i="5"/>
  <c r="BH55" i="5"/>
  <c r="BN55" i="5"/>
  <c r="BS55" i="5"/>
  <c r="BK55" i="5"/>
  <c r="BR55" i="5"/>
  <c r="BI55" i="5"/>
  <c r="BM55" i="5"/>
  <c r="BU55" i="5"/>
  <c r="BO55" i="5"/>
  <c r="BW55" i="5"/>
  <c r="BJ55" i="5"/>
  <c r="BQ55" i="5"/>
  <c r="BV55" i="5"/>
  <c r="BG51" i="5"/>
  <c r="BL51" i="5"/>
  <c r="BP51" i="5"/>
  <c r="BT51" i="5"/>
  <c r="BH51" i="5"/>
  <c r="BN51" i="5"/>
  <c r="BS51" i="5"/>
  <c r="BI51" i="5"/>
  <c r="BK51" i="5"/>
  <c r="BR51" i="5"/>
  <c r="BM51" i="5"/>
  <c r="BU51" i="5"/>
  <c r="BV51" i="5"/>
  <c r="BO51" i="5"/>
  <c r="BQ51" i="5"/>
  <c r="BW51" i="5"/>
  <c r="BJ51" i="5"/>
  <c r="BG47" i="5"/>
  <c r="BL47" i="5"/>
  <c r="BP47" i="5"/>
  <c r="BT47" i="5"/>
  <c r="BI47" i="5"/>
  <c r="BH47" i="5"/>
  <c r="BN47" i="5"/>
  <c r="BS47" i="5"/>
  <c r="BK47" i="5"/>
  <c r="BR47" i="5"/>
  <c r="BM47" i="5"/>
  <c r="BU47" i="5"/>
  <c r="BO47" i="5"/>
  <c r="BV47" i="5"/>
  <c r="BW47" i="5"/>
  <c r="BJ47" i="5"/>
  <c r="BQ47" i="5"/>
  <c r="BG43" i="5"/>
  <c r="BL43" i="5"/>
  <c r="BP43" i="5"/>
  <c r="BT43" i="5"/>
  <c r="BI43" i="5"/>
  <c r="BH43" i="5"/>
  <c r="BN43" i="5"/>
  <c r="BS43" i="5"/>
  <c r="BK43" i="5"/>
  <c r="BR43" i="5"/>
  <c r="BM43" i="5"/>
  <c r="BU43" i="5"/>
  <c r="BV43" i="5"/>
  <c r="BJ43" i="5"/>
  <c r="BO43" i="5"/>
  <c r="BQ43" i="5"/>
  <c r="BW43" i="5"/>
  <c r="B303" i="8" l="1"/>
  <c r="C304" i="8"/>
  <c r="B304" i="8" s="1"/>
  <c r="B1582" i="8"/>
  <c r="C1583" i="8"/>
  <c r="C51" i="14"/>
  <c r="D1521" i="12"/>
  <c r="F1520" i="12"/>
  <c r="E1520" i="12"/>
  <c r="I127" i="2"/>
  <c r="K127" i="2"/>
  <c r="L127" i="2"/>
  <c r="M127" i="2"/>
  <c r="N127" i="2"/>
  <c r="O127" i="2"/>
  <c r="P127" i="2"/>
  <c r="Q127" i="2"/>
  <c r="R127" i="2"/>
  <c r="S127" i="2"/>
  <c r="T127" i="2"/>
  <c r="U127" i="2"/>
  <c r="I128" i="2"/>
  <c r="K128" i="2"/>
  <c r="L128" i="2"/>
  <c r="M128" i="2"/>
  <c r="N128" i="2"/>
  <c r="O128" i="2"/>
  <c r="P128" i="2"/>
  <c r="Q128" i="2"/>
  <c r="R128" i="2"/>
  <c r="S128" i="2"/>
  <c r="T128" i="2"/>
  <c r="U128" i="2"/>
  <c r="I129" i="2"/>
  <c r="K129" i="2"/>
  <c r="L129" i="2"/>
  <c r="M129" i="2"/>
  <c r="N129" i="2"/>
  <c r="O129" i="2"/>
  <c r="P129" i="2"/>
  <c r="Q129" i="2"/>
  <c r="R129" i="2"/>
  <c r="S129" i="2"/>
  <c r="T129" i="2"/>
  <c r="U129" i="2"/>
  <c r="I130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I131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I132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I133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I134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I135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I136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I138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I139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I140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I145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I148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I150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I151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T168" i="2"/>
  <c r="U168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T170" i="2"/>
  <c r="U170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T171" i="2"/>
  <c r="U171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T172" i="2"/>
  <c r="U172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T173" i="2"/>
  <c r="U173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T174" i="2"/>
  <c r="U174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T175" i="2"/>
  <c r="U175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T176" i="2"/>
  <c r="U176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T178" i="2"/>
  <c r="U178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T179" i="2"/>
  <c r="U179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T180" i="2"/>
  <c r="U180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T181" i="2"/>
  <c r="U181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T182" i="2"/>
  <c r="U182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T185" i="2"/>
  <c r="U185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T186" i="2"/>
  <c r="U186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T187" i="2"/>
  <c r="U187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T188" i="2"/>
  <c r="U188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T189" i="2"/>
  <c r="U189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T190" i="2"/>
  <c r="U190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T191" i="2"/>
  <c r="U191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T192" i="2"/>
  <c r="U192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T193" i="2"/>
  <c r="U193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T195" i="2"/>
  <c r="U195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T197" i="2"/>
  <c r="U197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T199" i="2"/>
  <c r="U199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T200" i="2"/>
  <c r="U200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T201" i="2"/>
  <c r="U201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T202" i="2"/>
  <c r="U202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T203" i="2"/>
  <c r="U203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T205" i="2"/>
  <c r="U205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B1583" i="8" l="1"/>
  <c r="C1584" i="8"/>
  <c r="B1584" i="8" s="1"/>
  <c r="C52" i="14"/>
  <c r="D1522" i="12"/>
  <c r="F1521" i="12"/>
  <c r="E1521" i="12"/>
  <c r="C53" i="14" l="1"/>
  <c r="D1523" i="12"/>
  <c r="E1522" i="12"/>
  <c r="F15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1002" i="12"/>
  <c r="F1003" i="12"/>
  <c r="F1004" i="12"/>
  <c r="F1005" i="12"/>
  <c r="F1006" i="12"/>
  <c r="F1007" i="12"/>
  <c r="F1008" i="12"/>
  <c r="F1009" i="12"/>
  <c r="F1010" i="12"/>
  <c r="F1011" i="12"/>
  <c r="F1012" i="12"/>
  <c r="F1013" i="12"/>
  <c r="F1014" i="12"/>
  <c r="F1015" i="12"/>
  <c r="F1016" i="12"/>
  <c r="F1017" i="12"/>
  <c r="F1018" i="12"/>
  <c r="F1019" i="12"/>
  <c r="F1020" i="12"/>
  <c r="F1021" i="12"/>
  <c r="F1022" i="12"/>
  <c r="F1023" i="12"/>
  <c r="F1024" i="12"/>
  <c r="F1025" i="12"/>
  <c r="F1026" i="12"/>
  <c r="F1027" i="12"/>
  <c r="F1028" i="12"/>
  <c r="F1029" i="12"/>
  <c r="F1030" i="12"/>
  <c r="F1031" i="12"/>
  <c r="F1032" i="12"/>
  <c r="F1033" i="12"/>
  <c r="F1034" i="12"/>
  <c r="F1035" i="12"/>
  <c r="F1036" i="12"/>
  <c r="F1037" i="12"/>
  <c r="F1038" i="12"/>
  <c r="F1039" i="12"/>
  <c r="F1040" i="12"/>
  <c r="F1041" i="12"/>
  <c r="F1042" i="12"/>
  <c r="F1043" i="12"/>
  <c r="F1044" i="12"/>
  <c r="F1045" i="12"/>
  <c r="F1046" i="12"/>
  <c r="F1047" i="12"/>
  <c r="F1048" i="12"/>
  <c r="F1049" i="12"/>
  <c r="F1050" i="12"/>
  <c r="F1051" i="12"/>
  <c r="F1052" i="12"/>
  <c r="F1053" i="12"/>
  <c r="F1054" i="12"/>
  <c r="F1055" i="12"/>
  <c r="F1056" i="12"/>
  <c r="F1057" i="12"/>
  <c r="F1058" i="12"/>
  <c r="F1059" i="12"/>
  <c r="F1060" i="12"/>
  <c r="F1061" i="12"/>
  <c r="F1062" i="12"/>
  <c r="F1063" i="12"/>
  <c r="F1064" i="12"/>
  <c r="F1065" i="12"/>
  <c r="F1066" i="12"/>
  <c r="F1067" i="12"/>
  <c r="F1068" i="12"/>
  <c r="F1069" i="12"/>
  <c r="F1070" i="12"/>
  <c r="F1071" i="12"/>
  <c r="F1072" i="12"/>
  <c r="F1073" i="12"/>
  <c r="F1074" i="12"/>
  <c r="F1075" i="12"/>
  <c r="F1076" i="12"/>
  <c r="F1077" i="12"/>
  <c r="F1078" i="12"/>
  <c r="F1079" i="12"/>
  <c r="F1080" i="12"/>
  <c r="F1081" i="12"/>
  <c r="F1082" i="12"/>
  <c r="F1083" i="12"/>
  <c r="F1084" i="12"/>
  <c r="F1085" i="12"/>
  <c r="F1086" i="12"/>
  <c r="F1087" i="12"/>
  <c r="F1088" i="12"/>
  <c r="F1089" i="12"/>
  <c r="F1090" i="12"/>
  <c r="F1091" i="12"/>
  <c r="F1092" i="12"/>
  <c r="F1093" i="12"/>
  <c r="F1094" i="12"/>
  <c r="F1095" i="12"/>
  <c r="F1096" i="12"/>
  <c r="F1097" i="12"/>
  <c r="F1098" i="12"/>
  <c r="F1099" i="12"/>
  <c r="F1100" i="12"/>
  <c r="F1101" i="12"/>
  <c r="F1102" i="12"/>
  <c r="F1103" i="12"/>
  <c r="F1104" i="12"/>
  <c r="F1105" i="12"/>
  <c r="F1106" i="12"/>
  <c r="F1107" i="12"/>
  <c r="F1108" i="12"/>
  <c r="F1109" i="12"/>
  <c r="F1110" i="12"/>
  <c r="F1111" i="12"/>
  <c r="F1112" i="12"/>
  <c r="F1113" i="12"/>
  <c r="F1114" i="12"/>
  <c r="F1115" i="12"/>
  <c r="F1116" i="12"/>
  <c r="F1117" i="12"/>
  <c r="F1118" i="12"/>
  <c r="F1119" i="12"/>
  <c r="F1120" i="12"/>
  <c r="F1121" i="12"/>
  <c r="F1122" i="12"/>
  <c r="F1123" i="12"/>
  <c r="F1124" i="12"/>
  <c r="F1125" i="12"/>
  <c r="F1126" i="12"/>
  <c r="F1127" i="12"/>
  <c r="F1128" i="12"/>
  <c r="F1129" i="12"/>
  <c r="F1130" i="12"/>
  <c r="F1131" i="12"/>
  <c r="F1132" i="12"/>
  <c r="F1133" i="12"/>
  <c r="F1134" i="12"/>
  <c r="F1135" i="12"/>
  <c r="F1136" i="12"/>
  <c r="F1137" i="12"/>
  <c r="F1138" i="12"/>
  <c r="F1139" i="12"/>
  <c r="F1140" i="12"/>
  <c r="F1141" i="12"/>
  <c r="F1142" i="12"/>
  <c r="F1143" i="12"/>
  <c r="F1144" i="12"/>
  <c r="F1145" i="12"/>
  <c r="F1146" i="12"/>
  <c r="F1147" i="12"/>
  <c r="F1148" i="12"/>
  <c r="F1149" i="12"/>
  <c r="F1150" i="12"/>
  <c r="F1151" i="12"/>
  <c r="F1152" i="12"/>
  <c r="F1153" i="12"/>
  <c r="F1154" i="12"/>
  <c r="F1155" i="12"/>
  <c r="F1156" i="12"/>
  <c r="F1157" i="12"/>
  <c r="F1158" i="12"/>
  <c r="F1159" i="12"/>
  <c r="F1160" i="12"/>
  <c r="F1161" i="12"/>
  <c r="F1162" i="12"/>
  <c r="F1163" i="12"/>
  <c r="F1164" i="12"/>
  <c r="F1165" i="12"/>
  <c r="F1166" i="12"/>
  <c r="F1167" i="12"/>
  <c r="F1168" i="12"/>
  <c r="F1169" i="12"/>
  <c r="F1170" i="12"/>
  <c r="F1171" i="12"/>
  <c r="F1172" i="12"/>
  <c r="F1173" i="12"/>
  <c r="F1174" i="12"/>
  <c r="F1175" i="12"/>
  <c r="F1176" i="12"/>
  <c r="F1177" i="12"/>
  <c r="F1178" i="12"/>
  <c r="F1179" i="12"/>
  <c r="F1180" i="12"/>
  <c r="F1181" i="12"/>
  <c r="F1182" i="12"/>
  <c r="F1183" i="12"/>
  <c r="F1184" i="12"/>
  <c r="F1185" i="12"/>
  <c r="F1186" i="12"/>
  <c r="F1187" i="12"/>
  <c r="F1188" i="12"/>
  <c r="F1189" i="12"/>
  <c r="F1190" i="12"/>
  <c r="F1191" i="12"/>
  <c r="F1192" i="12"/>
  <c r="F1193" i="12"/>
  <c r="F1194" i="12"/>
  <c r="F1195" i="12"/>
  <c r="F1196" i="12"/>
  <c r="F1197" i="12"/>
  <c r="F1198" i="12"/>
  <c r="F1199" i="12"/>
  <c r="F1200" i="12"/>
  <c r="F1201" i="12"/>
  <c r="F1202" i="12"/>
  <c r="F1203" i="12"/>
  <c r="F1204" i="12"/>
  <c r="F1205" i="12"/>
  <c r="F1206" i="12"/>
  <c r="F1207" i="12"/>
  <c r="F1208" i="12"/>
  <c r="F1209" i="12"/>
  <c r="F1210" i="12"/>
  <c r="F1211" i="12"/>
  <c r="F1212" i="12"/>
  <c r="F1213" i="12"/>
  <c r="F1214" i="12"/>
  <c r="F1215" i="12"/>
  <c r="F1216" i="12"/>
  <c r="F1217" i="12"/>
  <c r="F1218" i="12"/>
  <c r="F1219" i="12"/>
  <c r="F1220" i="12"/>
  <c r="F1221" i="12"/>
  <c r="F1222" i="12"/>
  <c r="F1223" i="12"/>
  <c r="F1224" i="12"/>
  <c r="F1225" i="12"/>
  <c r="F1226" i="12"/>
  <c r="F1227" i="12"/>
  <c r="F1228" i="12"/>
  <c r="F1229" i="12"/>
  <c r="F1230" i="12"/>
  <c r="F1231" i="12"/>
  <c r="F1232" i="12"/>
  <c r="F1233" i="12"/>
  <c r="F1234" i="12"/>
  <c r="F1235" i="12"/>
  <c r="F1236" i="12"/>
  <c r="F1237" i="12"/>
  <c r="F1238" i="12"/>
  <c r="F1239" i="12"/>
  <c r="F1240" i="12"/>
  <c r="F1241" i="12"/>
  <c r="F1242" i="12"/>
  <c r="F1243" i="12"/>
  <c r="F1244" i="12"/>
  <c r="F1245" i="12"/>
  <c r="F1246" i="12"/>
  <c r="F1247" i="12"/>
  <c r="F1248" i="12"/>
  <c r="F1249" i="12"/>
  <c r="F1250" i="12"/>
  <c r="F1251" i="12"/>
  <c r="F1252" i="12"/>
  <c r="F1253" i="12"/>
  <c r="F1254" i="12"/>
  <c r="F1255" i="12"/>
  <c r="F1256" i="12"/>
  <c r="F1257" i="12"/>
  <c r="F1258" i="12"/>
  <c r="F1259" i="12"/>
  <c r="F1260" i="12"/>
  <c r="F1261" i="12"/>
  <c r="F1262" i="12"/>
  <c r="F1263" i="12"/>
  <c r="F1264" i="12"/>
  <c r="F1265" i="12"/>
  <c r="F1266" i="12"/>
  <c r="F1267" i="12"/>
  <c r="F1268" i="12"/>
  <c r="F1269" i="12"/>
  <c r="F1270" i="12"/>
  <c r="F1271" i="12"/>
  <c r="F1272" i="12"/>
  <c r="F1273" i="12"/>
  <c r="F1274" i="12"/>
  <c r="F1275" i="12"/>
  <c r="F1276" i="12"/>
  <c r="F1277" i="12"/>
  <c r="F1278" i="12"/>
  <c r="F1279" i="12"/>
  <c r="F1280" i="12"/>
  <c r="F1281" i="12"/>
  <c r="F1282" i="12"/>
  <c r="F1283" i="12"/>
  <c r="F1284" i="12"/>
  <c r="F1285" i="12"/>
  <c r="F1286" i="12"/>
  <c r="F1287" i="12"/>
  <c r="F1288" i="12"/>
  <c r="F1289" i="12"/>
  <c r="F1290" i="12"/>
  <c r="F1291" i="12"/>
  <c r="F1292" i="12"/>
  <c r="F1293" i="12"/>
  <c r="F1294" i="12"/>
  <c r="F1295" i="12"/>
  <c r="F1296" i="12"/>
  <c r="F1297" i="12"/>
  <c r="F1298" i="12"/>
  <c r="F1299" i="12"/>
  <c r="F1300" i="12"/>
  <c r="F1301" i="12"/>
  <c r="F1302" i="12"/>
  <c r="F1303" i="12"/>
  <c r="F1304" i="12"/>
  <c r="F1305" i="12"/>
  <c r="F1306" i="12"/>
  <c r="F1307" i="12"/>
  <c r="F1308" i="12"/>
  <c r="F1309" i="12"/>
  <c r="F1310" i="12"/>
  <c r="F1311" i="12"/>
  <c r="F1312" i="12"/>
  <c r="F1313" i="12"/>
  <c r="F1314" i="12"/>
  <c r="F1315" i="12"/>
  <c r="F1316" i="12"/>
  <c r="F1317" i="12"/>
  <c r="F1318" i="12"/>
  <c r="F1319" i="12"/>
  <c r="F1320" i="12"/>
  <c r="F1321" i="12"/>
  <c r="F1322" i="12"/>
  <c r="F1323" i="12"/>
  <c r="F1324" i="12"/>
  <c r="F1325" i="12"/>
  <c r="F1326" i="12"/>
  <c r="F1327" i="12"/>
  <c r="F1328" i="12"/>
  <c r="F1329" i="12"/>
  <c r="F1330" i="12"/>
  <c r="F1331" i="12"/>
  <c r="F1332" i="12"/>
  <c r="F1333" i="12"/>
  <c r="F1334" i="12"/>
  <c r="F1335" i="12"/>
  <c r="F1336" i="12"/>
  <c r="F1337" i="12"/>
  <c r="F1338" i="12"/>
  <c r="F1339" i="12"/>
  <c r="F1340" i="12"/>
  <c r="F1341" i="12"/>
  <c r="F1342" i="12"/>
  <c r="F1343" i="12"/>
  <c r="F1344" i="12"/>
  <c r="F1345" i="12"/>
  <c r="F1346" i="12"/>
  <c r="F1347" i="12"/>
  <c r="F1348" i="12"/>
  <c r="F1349" i="12"/>
  <c r="F1350" i="12"/>
  <c r="F1351" i="12"/>
  <c r="F1352" i="12"/>
  <c r="F1353" i="12"/>
  <c r="F1354" i="12"/>
  <c r="F1355" i="12"/>
  <c r="F1356" i="12"/>
  <c r="F1357" i="12"/>
  <c r="F1358" i="12"/>
  <c r="F1359" i="12"/>
  <c r="F1360" i="12"/>
  <c r="F1361" i="12"/>
  <c r="F1362" i="12"/>
  <c r="F1363" i="12"/>
  <c r="F1364" i="12"/>
  <c r="F1365" i="12"/>
  <c r="F1366" i="12"/>
  <c r="F1367" i="12"/>
  <c r="F1368" i="12"/>
  <c r="F1369" i="12"/>
  <c r="F1370" i="12"/>
  <c r="F1371" i="12"/>
  <c r="F1372" i="12"/>
  <c r="F1373" i="12"/>
  <c r="F1374" i="12"/>
  <c r="F1375" i="12"/>
  <c r="F1376" i="12"/>
  <c r="F1377" i="12"/>
  <c r="F1378" i="12"/>
  <c r="F1379" i="12"/>
  <c r="F1380" i="12"/>
  <c r="F1381" i="12"/>
  <c r="F1382" i="12"/>
  <c r="F1383" i="12"/>
  <c r="F1384" i="12"/>
  <c r="F1385" i="12"/>
  <c r="F1386" i="12"/>
  <c r="F1387" i="12"/>
  <c r="F1388" i="12"/>
  <c r="F1389" i="12"/>
  <c r="F1390" i="12"/>
  <c r="F1391" i="12"/>
  <c r="F1392" i="12"/>
  <c r="F1393" i="12"/>
  <c r="F1394" i="12"/>
  <c r="F1395" i="12"/>
  <c r="F1396" i="12"/>
  <c r="F1397" i="12"/>
  <c r="F1398" i="12"/>
  <c r="F1399" i="12"/>
  <c r="F1400" i="12"/>
  <c r="F1401" i="12"/>
  <c r="F1402" i="12"/>
  <c r="F1403" i="12"/>
  <c r="F1404" i="12"/>
  <c r="F1405" i="12"/>
  <c r="F1406" i="12"/>
  <c r="F1407" i="12"/>
  <c r="F1408" i="12"/>
  <c r="F1409" i="12"/>
  <c r="F1410" i="12"/>
  <c r="F1411" i="12"/>
  <c r="F1412" i="12"/>
  <c r="F1413" i="12"/>
  <c r="F1414" i="12"/>
  <c r="F1415" i="12"/>
  <c r="F1416" i="12"/>
  <c r="F1417" i="12"/>
  <c r="F1418" i="12"/>
  <c r="F1419" i="12"/>
  <c r="F1420" i="12"/>
  <c r="F1421" i="12"/>
  <c r="F1422" i="12"/>
  <c r="F1423" i="12"/>
  <c r="F1424" i="12"/>
  <c r="F1425" i="12"/>
  <c r="F1426" i="12"/>
  <c r="F1427" i="12"/>
  <c r="F1428" i="12"/>
  <c r="F1429" i="12"/>
  <c r="F1430" i="12"/>
  <c r="F1431" i="12"/>
  <c r="F1432" i="12"/>
  <c r="F1433" i="12"/>
  <c r="F1434" i="12"/>
  <c r="F1435" i="12"/>
  <c r="F1436" i="12"/>
  <c r="F1437" i="12"/>
  <c r="F1438" i="12"/>
  <c r="F1439" i="12"/>
  <c r="F1440" i="12"/>
  <c r="F1441" i="12"/>
  <c r="F1442" i="12"/>
  <c r="F1443" i="12"/>
  <c r="F1444" i="12"/>
  <c r="F1445" i="12"/>
  <c r="F1446" i="12"/>
  <c r="F1447" i="12"/>
  <c r="F1448" i="12"/>
  <c r="F1449" i="12"/>
  <c r="F1450" i="12"/>
  <c r="F1451" i="12"/>
  <c r="F1452" i="12"/>
  <c r="F1453" i="12"/>
  <c r="F1454" i="12"/>
  <c r="F1455" i="12"/>
  <c r="F1456" i="12"/>
  <c r="F1457" i="12"/>
  <c r="F1458" i="12"/>
  <c r="F1459" i="12"/>
  <c r="F1460" i="12"/>
  <c r="F1461" i="12"/>
  <c r="F1462" i="12"/>
  <c r="F1463" i="12"/>
  <c r="F1464" i="12"/>
  <c r="F1465" i="12"/>
  <c r="F1466" i="12"/>
  <c r="F1467" i="12"/>
  <c r="F1468" i="12"/>
  <c r="F1469" i="12"/>
  <c r="F1470" i="12"/>
  <c r="F1471" i="12"/>
  <c r="F1472" i="12"/>
  <c r="F1473" i="12"/>
  <c r="F1474" i="12"/>
  <c r="F1475" i="12"/>
  <c r="F1476" i="12"/>
  <c r="F1477" i="12"/>
  <c r="F1478" i="12"/>
  <c r="F1479" i="12"/>
  <c r="F1480" i="12"/>
  <c r="F1481" i="12"/>
  <c r="F1482" i="12"/>
  <c r="F1483" i="12"/>
  <c r="F1484" i="12"/>
  <c r="F1485" i="12"/>
  <c r="F1486" i="12"/>
  <c r="F1487" i="12"/>
  <c r="F1488" i="12"/>
  <c r="F1489" i="12"/>
  <c r="F1490" i="12"/>
  <c r="F1491" i="12"/>
  <c r="F1492" i="12"/>
  <c r="F1493" i="12"/>
  <c r="F1494" i="12"/>
  <c r="F1495" i="12"/>
  <c r="F1496" i="12"/>
  <c r="F1497" i="12"/>
  <c r="F1498" i="12"/>
  <c r="F1499" i="12"/>
  <c r="F1500" i="12"/>
  <c r="F1501" i="12"/>
  <c r="F1502" i="12"/>
  <c r="F1503" i="12"/>
  <c r="F1504" i="12"/>
  <c r="F1505" i="12"/>
  <c r="F1506" i="12"/>
  <c r="F1507" i="12"/>
  <c r="F1508" i="12"/>
  <c r="F1509" i="12"/>
  <c r="F1510" i="12"/>
  <c r="F1511" i="12"/>
  <c r="F1512" i="12"/>
  <c r="F22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E1509" i="12"/>
  <c r="E1510" i="12"/>
  <c r="E1511" i="12"/>
  <c r="E1512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109" i="12"/>
  <c r="E110" i="12"/>
  <c r="E111" i="12"/>
  <c r="E112" i="12"/>
  <c r="E113" i="12"/>
  <c r="E114" i="12"/>
  <c r="E115" i="12"/>
  <c r="E116" i="12"/>
  <c r="C14" i="12"/>
  <c r="Q13" i="21" l="1"/>
  <c r="P13" i="21" s="1"/>
  <c r="B17" i="21" s="1"/>
  <c r="D16" i="21" s="1"/>
  <c r="C54" i="14"/>
  <c r="D1524" i="12"/>
  <c r="E1523" i="12"/>
  <c r="F1523" i="12"/>
  <c r="AC13" i="5"/>
  <c r="D18" i="21" l="1"/>
  <c r="P32" i="21"/>
  <c r="P33" i="21" s="1"/>
  <c r="D19" i="21"/>
  <c r="C55" i="14"/>
  <c r="D1525" i="12"/>
  <c r="F1524" i="12"/>
  <c r="E1524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54" i="12"/>
  <c r="E55" i="12"/>
  <c r="E56" i="12"/>
  <c r="E57" i="12"/>
  <c r="E58" i="12"/>
  <c r="E43" i="12"/>
  <c r="E44" i="12"/>
  <c r="E45" i="12"/>
  <c r="E46" i="12"/>
  <c r="E47" i="12"/>
  <c r="E48" i="12"/>
  <c r="E49" i="12"/>
  <c r="E50" i="12"/>
  <c r="E51" i="12"/>
  <c r="E52" i="12"/>
  <c r="E53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22" i="12"/>
  <c r="BD10" i="2"/>
  <c r="BC10" i="5"/>
  <c r="BC10" i="2"/>
  <c r="D20" i="21" l="1"/>
  <c r="D21" i="21" s="1"/>
  <c r="D24" i="21" s="1"/>
  <c r="D56" i="21" s="1"/>
  <c r="E56" i="21" s="1"/>
  <c r="D83" i="21"/>
  <c r="E83" i="21" s="1"/>
  <c r="D48" i="21"/>
  <c r="E48" i="21" s="1"/>
  <c r="BJ10" i="2"/>
  <c r="C56" i="14"/>
  <c r="Q13" i="14"/>
  <c r="P13" i="14" s="1"/>
  <c r="B17" i="14" s="1"/>
  <c r="D1526" i="12"/>
  <c r="F1525" i="12"/>
  <c r="E1525" i="12"/>
  <c r="R7" i="6"/>
  <c r="O6" i="6"/>
  <c r="C57" i="5"/>
  <c r="BA19" i="5"/>
  <c r="BD10" i="5"/>
  <c r="BJ10" i="5" s="1"/>
  <c r="W12" i="5"/>
  <c r="BA14" i="2"/>
  <c r="D60" i="2"/>
  <c r="AE9" i="2"/>
  <c r="BM10" i="2" s="1"/>
  <c r="L6" i="6"/>
  <c r="M6" i="6" s="1"/>
  <c r="D123" i="21" l="1"/>
  <c r="E123" i="21" s="1"/>
  <c r="D98" i="21"/>
  <c r="E98" i="21" s="1"/>
  <c r="D114" i="21"/>
  <c r="E114" i="21" s="1"/>
  <c r="D68" i="21"/>
  <c r="E68" i="21" s="1"/>
  <c r="D115" i="21"/>
  <c r="E115" i="21" s="1"/>
  <c r="D99" i="21"/>
  <c r="E99" i="21" s="1"/>
  <c r="D50" i="21"/>
  <c r="E50" i="21" s="1"/>
  <c r="D70" i="21"/>
  <c r="E70" i="21" s="1"/>
  <c r="D105" i="21"/>
  <c r="E105" i="21" s="1"/>
  <c r="D121" i="21"/>
  <c r="E121" i="21" s="1"/>
  <c r="D44" i="21"/>
  <c r="E44" i="21" s="1"/>
  <c r="D92" i="21"/>
  <c r="E92" i="21" s="1"/>
  <c r="D108" i="21"/>
  <c r="E108" i="21" s="1"/>
  <c r="D49" i="21"/>
  <c r="E49" i="21" s="1"/>
  <c r="D93" i="21"/>
  <c r="E93" i="21" s="1"/>
  <c r="D125" i="21"/>
  <c r="E125" i="21" s="1"/>
  <c r="D100" i="21"/>
  <c r="E100" i="21" s="1"/>
  <c r="D131" i="21"/>
  <c r="E131" i="21" s="1"/>
  <c r="D76" i="21"/>
  <c r="E76" i="21" s="1"/>
  <c r="D77" i="21"/>
  <c r="E77" i="21" s="1"/>
  <c r="D54" i="21"/>
  <c r="E54" i="21" s="1"/>
  <c r="D85" i="21"/>
  <c r="E85" i="21" s="1"/>
  <c r="D110" i="21"/>
  <c r="E110" i="21" s="1"/>
  <c r="D73" i="21"/>
  <c r="E73" i="21" s="1"/>
  <c r="D52" i="21"/>
  <c r="E52" i="21" s="1"/>
  <c r="D36" i="21"/>
  <c r="E36" i="21" s="1"/>
  <c r="D97" i="21"/>
  <c r="E97" i="21" s="1"/>
  <c r="D64" i="21"/>
  <c r="E64" i="21" s="1"/>
  <c r="D62" i="21"/>
  <c r="E62" i="21" s="1"/>
  <c r="D117" i="21"/>
  <c r="E117" i="21" s="1"/>
  <c r="D86" i="21"/>
  <c r="E86" i="21" s="1"/>
  <c r="D120" i="21"/>
  <c r="E120" i="21" s="1"/>
  <c r="D60" i="21"/>
  <c r="E60" i="21" s="1"/>
  <c r="D78" i="21"/>
  <c r="E78" i="21" s="1"/>
  <c r="D79" i="21"/>
  <c r="E79" i="21" s="1"/>
  <c r="D71" i="21"/>
  <c r="E71" i="21" s="1"/>
  <c r="D40" i="21"/>
  <c r="E40" i="21" s="1"/>
  <c r="D39" i="21"/>
  <c r="E39" i="21" s="1"/>
  <c r="D119" i="21"/>
  <c r="E119" i="21" s="1"/>
  <c r="D46" i="21"/>
  <c r="E46" i="21" s="1"/>
  <c r="D51" i="21"/>
  <c r="E51" i="21" s="1"/>
  <c r="D106" i="21"/>
  <c r="E106" i="21" s="1"/>
  <c r="D63" i="21"/>
  <c r="E63" i="21" s="1"/>
  <c r="D96" i="21"/>
  <c r="E96" i="21" s="1"/>
  <c r="D104" i="21"/>
  <c r="E104" i="21" s="1"/>
  <c r="D37" i="21"/>
  <c r="E37" i="21" s="1"/>
  <c r="D122" i="21"/>
  <c r="E122" i="21" s="1"/>
  <c r="D47" i="21"/>
  <c r="E47" i="21" s="1"/>
  <c r="D89" i="21"/>
  <c r="E89" i="21" s="1"/>
  <c r="D81" i="21"/>
  <c r="E81" i="21" s="1"/>
  <c r="D58" i="21"/>
  <c r="E58" i="21" s="1"/>
  <c r="D129" i="21"/>
  <c r="E129" i="21" s="1"/>
  <c r="D128" i="21"/>
  <c r="E128" i="21" s="1"/>
  <c r="D127" i="21"/>
  <c r="E127" i="21" s="1"/>
  <c r="D57" i="21"/>
  <c r="E57" i="21" s="1"/>
  <c r="D107" i="21"/>
  <c r="E107" i="21" s="1"/>
  <c r="D90" i="21"/>
  <c r="E90" i="21" s="1"/>
  <c r="D69" i="21"/>
  <c r="E69" i="21" s="1"/>
  <c r="D88" i="21"/>
  <c r="E88" i="21" s="1"/>
  <c r="D130" i="21"/>
  <c r="E130" i="21" s="1"/>
  <c r="D116" i="21"/>
  <c r="E116" i="21" s="1"/>
  <c r="D75" i="21"/>
  <c r="E75" i="21" s="1"/>
  <c r="D66" i="21"/>
  <c r="E66" i="21" s="1"/>
  <c r="D101" i="21"/>
  <c r="E101" i="21" s="1"/>
  <c r="D109" i="21"/>
  <c r="E109" i="21" s="1"/>
  <c r="D94" i="21"/>
  <c r="E94" i="21" s="1"/>
  <c r="D113" i="21"/>
  <c r="E113" i="21" s="1"/>
  <c r="D111" i="21"/>
  <c r="E111" i="21" s="1"/>
  <c r="D42" i="21"/>
  <c r="E42" i="21" s="1"/>
  <c r="D103" i="21"/>
  <c r="E103" i="21" s="1"/>
  <c r="D91" i="21"/>
  <c r="E91" i="21" s="1"/>
  <c r="D82" i="21"/>
  <c r="E82" i="21" s="1"/>
  <c r="D72" i="21"/>
  <c r="E72" i="21" s="1"/>
  <c r="D43" i="21"/>
  <c r="E43" i="21" s="1"/>
  <c r="D112" i="21"/>
  <c r="E112" i="21" s="1"/>
  <c r="D84" i="21"/>
  <c r="E84" i="21" s="1"/>
  <c r="D67" i="21"/>
  <c r="E67" i="21" s="1"/>
  <c r="D126" i="21"/>
  <c r="E126" i="21" s="1"/>
  <c r="EH139" i="5"/>
  <c r="EL139" i="5"/>
  <c r="EG140" i="5"/>
  <c r="EK140" i="5"/>
  <c r="EO140" i="5"/>
  <c r="EJ141" i="5"/>
  <c r="EN141" i="5"/>
  <c r="EI142" i="5"/>
  <c r="EM142" i="5"/>
  <c r="EH143" i="5"/>
  <c r="EL143" i="5"/>
  <c r="EG144" i="5"/>
  <c r="EK144" i="5"/>
  <c r="EO144" i="5"/>
  <c r="EJ145" i="5"/>
  <c r="EN145" i="5"/>
  <c r="EI146" i="5"/>
  <c r="EM146" i="5"/>
  <c r="EH147" i="5"/>
  <c r="EL147" i="5"/>
  <c r="EG148" i="5"/>
  <c r="EK148" i="5"/>
  <c r="EO148" i="5"/>
  <c r="EJ149" i="5"/>
  <c r="EN149" i="5"/>
  <c r="EI150" i="5"/>
  <c r="EM150" i="5"/>
  <c r="EH151" i="5"/>
  <c r="EL151" i="5"/>
  <c r="EG152" i="5"/>
  <c r="EK152" i="5"/>
  <c r="EO152" i="5"/>
  <c r="EJ153" i="5"/>
  <c r="EN153" i="5"/>
  <c r="EI154" i="5"/>
  <c r="EM154" i="5"/>
  <c r="EH155" i="5"/>
  <c r="EL155" i="5"/>
  <c r="EG156" i="5"/>
  <c r="EK156" i="5"/>
  <c r="EO156" i="5"/>
  <c r="EJ157" i="5"/>
  <c r="EN157" i="5"/>
  <c r="EI158" i="5"/>
  <c r="EM158" i="5"/>
  <c r="EH159" i="5"/>
  <c r="EL159" i="5"/>
  <c r="EG160" i="5"/>
  <c r="EK160" i="5"/>
  <c r="EO160" i="5"/>
  <c r="EJ161" i="5"/>
  <c r="EN161" i="5"/>
  <c r="EI162" i="5"/>
  <c r="EM162" i="5"/>
  <c r="EO139" i="5"/>
  <c r="EM141" i="5"/>
  <c r="EK143" i="5"/>
  <c r="EI145" i="5"/>
  <c r="EI139" i="5"/>
  <c r="EM139" i="5"/>
  <c r="EH140" i="5"/>
  <c r="EL140" i="5"/>
  <c r="EG141" i="5"/>
  <c r="EK141" i="5"/>
  <c r="EO141" i="5"/>
  <c r="EJ142" i="5"/>
  <c r="EN142" i="5"/>
  <c r="EI143" i="5"/>
  <c r="EM143" i="5"/>
  <c r="EH144" i="5"/>
  <c r="EL144" i="5"/>
  <c r="EG145" i="5"/>
  <c r="EK145" i="5"/>
  <c r="EO145" i="5"/>
  <c r="EJ146" i="5"/>
  <c r="EN146" i="5"/>
  <c r="EI147" i="5"/>
  <c r="EM147" i="5"/>
  <c r="EH148" i="5"/>
  <c r="EL148" i="5"/>
  <c r="EG149" i="5"/>
  <c r="EK149" i="5"/>
  <c r="EO149" i="5"/>
  <c r="EJ150" i="5"/>
  <c r="EN150" i="5"/>
  <c r="EI151" i="5"/>
  <c r="EM151" i="5"/>
  <c r="EH152" i="5"/>
  <c r="EL152" i="5"/>
  <c r="EG153" i="5"/>
  <c r="EK153" i="5"/>
  <c r="EO153" i="5"/>
  <c r="EJ154" i="5"/>
  <c r="EN154" i="5"/>
  <c r="EI155" i="5"/>
  <c r="EM155" i="5"/>
  <c r="EH156" i="5"/>
  <c r="EL156" i="5"/>
  <c r="EG157" i="5"/>
  <c r="EK157" i="5"/>
  <c r="EO157" i="5"/>
  <c r="EJ158" i="5"/>
  <c r="EN158" i="5"/>
  <c r="EI159" i="5"/>
  <c r="EM159" i="5"/>
  <c r="EH160" i="5"/>
  <c r="EL160" i="5"/>
  <c r="EG161" i="5"/>
  <c r="EK161" i="5"/>
  <c r="EO161" i="5"/>
  <c r="EJ162" i="5"/>
  <c r="EN162" i="5"/>
  <c r="EM144" i="5"/>
  <c r="EG139" i="5"/>
  <c r="EN140" i="5"/>
  <c r="EL142" i="5"/>
  <c r="EO143" i="5"/>
  <c r="EM145" i="5"/>
  <c r="EJ139" i="5"/>
  <c r="EN139" i="5"/>
  <c r="EI140" i="5"/>
  <c r="EM140" i="5"/>
  <c r="EH141" i="5"/>
  <c r="EL141" i="5"/>
  <c r="EG142" i="5"/>
  <c r="EK142" i="5"/>
  <c r="EO142" i="5"/>
  <c r="EJ143" i="5"/>
  <c r="EN143" i="5"/>
  <c r="EI144" i="5"/>
  <c r="EH145" i="5"/>
  <c r="EL145" i="5"/>
  <c r="EG146" i="5"/>
  <c r="EK146" i="5"/>
  <c r="EO146" i="5"/>
  <c r="EJ147" i="5"/>
  <c r="EN147" i="5"/>
  <c r="EI148" i="5"/>
  <c r="EM148" i="5"/>
  <c r="EH149" i="5"/>
  <c r="EL149" i="5"/>
  <c r="EG150" i="5"/>
  <c r="EK150" i="5"/>
  <c r="EO150" i="5"/>
  <c r="EJ151" i="5"/>
  <c r="EN151" i="5"/>
  <c r="EI152" i="5"/>
  <c r="EM152" i="5"/>
  <c r="EH153" i="5"/>
  <c r="EL153" i="5"/>
  <c r="EG154" i="5"/>
  <c r="EK154" i="5"/>
  <c r="EO154" i="5"/>
  <c r="EJ155" i="5"/>
  <c r="EN155" i="5"/>
  <c r="EI156" i="5"/>
  <c r="EM156" i="5"/>
  <c r="EH157" i="5"/>
  <c r="EL157" i="5"/>
  <c r="EG158" i="5"/>
  <c r="EK158" i="5"/>
  <c r="EO158" i="5"/>
  <c r="EJ159" i="5"/>
  <c r="EN159" i="5"/>
  <c r="EI160" i="5"/>
  <c r="EM160" i="5"/>
  <c r="EH161" i="5"/>
  <c r="EL161" i="5"/>
  <c r="EG162" i="5"/>
  <c r="EK162" i="5"/>
  <c r="EO162" i="5"/>
  <c r="EJ140" i="5"/>
  <c r="EI141" i="5"/>
  <c r="EG143" i="5"/>
  <c r="EN144" i="5"/>
  <c r="EH146" i="5"/>
  <c r="EK139" i="5"/>
  <c r="EH142" i="5"/>
  <c r="EJ144" i="5"/>
  <c r="EL146" i="5"/>
  <c r="EM153" i="5"/>
  <c r="EG147" i="5"/>
  <c r="EN148" i="5"/>
  <c r="EL150" i="5"/>
  <c r="EJ152" i="5"/>
  <c r="EH154" i="5"/>
  <c r="EO155" i="5"/>
  <c r="EM157" i="5"/>
  <c r="EK159" i="5"/>
  <c r="EI161" i="5"/>
  <c r="EO151" i="5"/>
  <c r="EI157" i="5"/>
  <c r="EL162" i="5"/>
  <c r="EK147" i="5"/>
  <c r="EI149" i="5"/>
  <c r="EG151" i="5"/>
  <c r="EN152" i="5"/>
  <c r="EL154" i="5"/>
  <c r="EJ156" i="5"/>
  <c r="EH158" i="5"/>
  <c r="EO159" i="5"/>
  <c r="EM161" i="5"/>
  <c r="EJ148" i="5"/>
  <c r="EG159" i="5"/>
  <c r="EO147" i="5"/>
  <c r="EM149" i="5"/>
  <c r="EK151" i="5"/>
  <c r="EI153" i="5"/>
  <c r="EG155" i="5"/>
  <c r="EN156" i="5"/>
  <c r="EL158" i="5"/>
  <c r="EJ160" i="5"/>
  <c r="EH162" i="5"/>
  <c r="EH150" i="5"/>
  <c r="EK155" i="5"/>
  <c r="EN160" i="5"/>
  <c r="D41" i="21"/>
  <c r="E41" i="21" s="1"/>
  <c r="D45" i="21"/>
  <c r="E45" i="21" s="1"/>
  <c r="D118" i="21"/>
  <c r="E118" i="21" s="1"/>
  <c r="D124" i="21"/>
  <c r="E124" i="21" s="1"/>
  <c r="D59" i="21"/>
  <c r="E59" i="21" s="1"/>
  <c r="D61" i="21"/>
  <c r="E61" i="21" s="1"/>
  <c r="D65" i="21"/>
  <c r="E65" i="21" s="1"/>
  <c r="D95" i="21"/>
  <c r="E95" i="21" s="1"/>
  <c r="D87" i="21"/>
  <c r="E87" i="21" s="1"/>
  <c r="D53" i="21"/>
  <c r="E53" i="21" s="1"/>
  <c r="D55" i="21"/>
  <c r="E55" i="21" s="1"/>
  <c r="D38" i="21"/>
  <c r="E38" i="21" s="1"/>
  <c r="D102" i="21"/>
  <c r="E102" i="21" s="1"/>
  <c r="D74" i="21"/>
  <c r="E74" i="21" s="1"/>
  <c r="D80" i="21"/>
  <c r="E80" i="21" s="1"/>
  <c r="C57" i="14"/>
  <c r="DV139" i="5"/>
  <c r="DZ139" i="5"/>
  <c r="ED139" i="5"/>
  <c r="DT140" i="5"/>
  <c r="DX140" i="5"/>
  <c r="EB140" i="5"/>
  <c r="EF140" i="5"/>
  <c r="DV141" i="5"/>
  <c r="DZ141" i="5"/>
  <c r="ED141" i="5"/>
  <c r="DT142" i="5"/>
  <c r="DX142" i="5"/>
  <c r="EB142" i="5"/>
  <c r="EF142" i="5"/>
  <c r="DV143" i="5"/>
  <c r="DZ143" i="5"/>
  <c r="ED143" i="5"/>
  <c r="DT144" i="5"/>
  <c r="DX144" i="5"/>
  <c r="EB144" i="5"/>
  <c r="EF144" i="5"/>
  <c r="DV145" i="5"/>
  <c r="DZ145" i="5"/>
  <c r="ED145" i="5"/>
  <c r="DT146" i="5"/>
  <c r="DX146" i="5"/>
  <c r="EB146" i="5"/>
  <c r="EF146" i="5"/>
  <c r="DV147" i="5"/>
  <c r="DZ147" i="5"/>
  <c r="ED147" i="5"/>
  <c r="DT148" i="5"/>
  <c r="DX148" i="5"/>
  <c r="EB148" i="5"/>
  <c r="EF148" i="5"/>
  <c r="DV149" i="5"/>
  <c r="DZ149" i="5"/>
  <c r="ED149" i="5"/>
  <c r="DT150" i="5"/>
  <c r="DX150" i="5"/>
  <c r="EB150" i="5"/>
  <c r="EF150" i="5"/>
  <c r="DV151" i="5"/>
  <c r="DZ151" i="5"/>
  <c r="ED151" i="5"/>
  <c r="DT152" i="5"/>
  <c r="DX152" i="5"/>
  <c r="EB152" i="5"/>
  <c r="EF152" i="5"/>
  <c r="DV153" i="5"/>
  <c r="DZ153" i="5"/>
  <c r="ED153" i="5"/>
  <c r="DT154" i="5"/>
  <c r="DX154" i="5"/>
  <c r="EB154" i="5"/>
  <c r="EF154" i="5"/>
  <c r="DV155" i="5"/>
  <c r="DZ155" i="5"/>
  <c r="ED155" i="5"/>
  <c r="DT156" i="5"/>
  <c r="DX156" i="5"/>
  <c r="EB156" i="5"/>
  <c r="EF156" i="5"/>
  <c r="DV157" i="5"/>
  <c r="DZ157" i="5"/>
  <c r="ED157" i="5"/>
  <c r="DT158" i="5"/>
  <c r="DX158" i="5"/>
  <c r="EB158" i="5"/>
  <c r="EF158" i="5"/>
  <c r="DV159" i="5"/>
  <c r="DZ159" i="5"/>
  <c r="ED159" i="5"/>
  <c r="DT160" i="5"/>
  <c r="DX160" i="5"/>
  <c r="EB160" i="5"/>
  <c r="EF160" i="5"/>
  <c r="DV161" i="5"/>
  <c r="DZ161" i="5"/>
  <c r="ED161" i="5"/>
  <c r="DT162" i="5"/>
  <c r="DX162" i="5"/>
  <c r="EB162" i="5"/>
  <c r="EF162" i="5"/>
  <c r="DS139" i="5"/>
  <c r="DW139" i="5"/>
  <c r="EA139" i="5"/>
  <c r="EE139" i="5"/>
  <c r="DU140" i="5"/>
  <c r="DY140" i="5"/>
  <c r="EC140" i="5"/>
  <c r="DS141" i="5"/>
  <c r="DW141" i="5"/>
  <c r="EA141" i="5"/>
  <c r="EE141" i="5"/>
  <c r="DU142" i="5"/>
  <c r="DY142" i="5"/>
  <c r="EC142" i="5"/>
  <c r="DS143" i="5"/>
  <c r="DW143" i="5"/>
  <c r="EA143" i="5"/>
  <c r="EE143" i="5"/>
  <c r="DU144" i="5"/>
  <c r="DY144" i="5"/>
  <c r="EC144" i="5"/>
  <c r="DS145" i="5"/>
  <c r="DW145" i="5"/>
  <c r="EA145" i="5"/>
  <c r="EE145" i="5"/>
  <c r="DU146" i="5"/>
  <c r="DY146" i="5"/>
  <c r="EC146" i="5"/>
  <c r="DS147" i="5"/>
  <c r="DW147" i="5"/>
  <c r="EA147" i="5"/>
  <c r="EE147" i="5"/>
  <c r="DU148" i="5"/>
  <c r="DY148" i="5"/>
  <c r="EC148" i="5"/>
  <c r="DS149" i="5"/>
  <c r="DW149" i="5"/>
  <c r="EA149" i="5"/>
  <c r="EE149" i="5"/>
  <c r="DU150" i="5"/>
  <c r="DY150" i="5"/>
  <c r="EC150" i="5"/>
  <c r="DS151" i="5"/>
  <c r="DW151" i="5"/>
  <c r="EA151" i="5"/>
  <c r="EE151" i="5"/>
  <c r="DU152" i="5"/>
  <c r="DY152" i="5"/>
  <c r="EC152" i="5"/>
  <c r="DS153" i="5"/>
  <c r="DW153" i="5"/>
  <c r="EA153" i="5"/>
  <c r="EE153" i="5"/>
  <c r="DU154" i="5"/>
  <c r="DY154" i="5"/>
  <c r="EC154" i="5"/>
  <c r="DS155" i="5"/>
  <c r="DW155" i="5"/>
  <c r="EA155" i="5"/>
  <c r="EE155" i="5"/>
  <c r="DU156" i="5"/>
  <c r="DY156" i="5"/>
  <c r="EC156" i="5"/>
  <c r="DS157" i="5"/>
  <c r="DW157" i="5"/>
  <c r="EA157" i="5"/>
  <c r="EE157" i="5"/>
  <c r="DU158" i="5"/>
  <c r="DY158" i="5"/>
  <c r="EC158" i="5"/>
  <c r="DS159" i="5"/>
  <c r="DW159" i="5"/>
  <c r="EA159" i="5"/>
  <c r="EE159" i="5"/>
  <c r="DU160" i="5"/>
  <c r="DY160" i="5"/>
  <c r="EC160" i="5"/>
  <c r="DS161" i="5"/>
  <c r="DW161" i="5"/>
  <c r="EA161" i="5"/>
  <c r="EE161" i="5"/>
  <c r="DU162" i="5"/>
  <c r="DY162" i="5"/>
  <c r="EC162" i="5"/>
  <c r="DT139" i="5"/>
  <c r="DX139" i="5"/>
  <c r="EB139" i="5"/>
  <c r="EF139" i="5"/>
  <c r="DV140" i="5"/>
  <c r="DZ140" i="5"/>
  <c r="ED140" i="5"/>
  <c r="DT141" i="5"/>
  <c r="DX141" i="5"/>
  <c r="EB141" i="5"/>
  <c r="EF141" i="5"/>
  <c r="DV142" i="5"/>
  <c r="DZ142" i="5"/>
  <c r="ED142" i="5"/>
  <c r="DT143" i="5"/>
  <c r="DX143" i="5"/>
  <c r="EB143" i="5"/>
  <c r="EF143" i="5"/>
  <c r="DV144" i="5"/>
  <c r="DZ144" i="5"/>
  <c r="ED144" i="5"/>
  <c r="DT145" i="5"/>
  <c r="DX145" i="5"/>
  <c r="EB145" i="5"/>
  <c r="EF145" i="5"/>
  <c r="DV146" i="5"/>
  <c r="DZ146" i="5"/>
  <c r="ED146" i="5"/>
  <c r="DT147" i="5"/>
  <c r="DX147" i="5"/>
  <c r="EB147" i="5"/>
  <c r="EF147" i="5"/>
  <c r="DV148" i="5"/>
  <c r="DZ148" i="5"/>
  <c r="ED148" i="5"/>
  <c r="DT149" i="5"/>
  <c r="DX149" i="5"/>
  <c r="EB149" i="5"/>
  <c r="EF149" i="5"/>
  <c r="DV150" i="5"/>
  <c r="DZ150" i="5"/>
  <c r="ED150" i="5"/>
  <c r="DT151" i="5"/>
  <c r="DX151" i="5"/>
  <c r="EB151" i="5"/>
  <c r="EF151" i="5"/>
  <c r="DV152" i="5"/>
  <c r="DZ152" i="5"/>
  <c r="ED152" i="5"/>
  <c r="DT153" i="5"/>
  <c r="DX153" i="5"/>
  <c r="EB153" i="5"/>
  <c r="EF153" i="5"/>
  <c r="DV154" i="5"/>
  <c r="DZ154" i="5"/>
  <c r="ED154" i="5"/>
  <c r="DT155" i="5"/>
  <c r="DX155" i="5"/>
  <c r="EB155" i="5"/>
  <c r="EF155" i="5"/>
  <c r="DV156" i="5"/>
  <c r="DZ156" i="5"/>
  <c r="ED156" i="5"/>
  <c r="DT157" i="5"/>
  <c r="DX157" i="5"/>
  <c r="EB157" i="5"/>
  <c r="EF157" i="5"/>
  <c r="DV158" i="5"/>
  <c r="DZ158" i="5"/>
  <c r="ED158" i="5"/>
  <c r="DT159" i="5"/>
  <c r="DX159" i="5"/>
  <c r="EB159" i="5"/>
  <c r="EF159" i="5"/>
  <c r="DV160" i="5"/>
  <c r="DZ160" i="5"/>
  <c r="ED160" i="5"/>
  <c r="DT161" i="5"/>
  <c r="DX161" i="5"/>
  <c r="EB161" i="5"/>
  <c r="EF161" i="5"/>
  <c r="DV162" i="5"/>
  <c r="DZ162" i="5"/>
  <c r="ED162" i="5"/>
  <c r="DS140" i="5"/>
  <c r="DU141" i="5"/>
  <c r="DW142" i="5"/>
  <c r="DY143" i="5"/>
  <c r="EA144" i="5"/>
  <c r="EC145" i="5"/>
  <c r="EE146" i="5"/>
  <c r="DS148" i="5"/>
  <c r="DU149" i="5"/>
  <c r="DW150" i="5"/>
  <c r="DY151" i="5"/>
  <c r="EA152" i="5"/>
  <c r="EC153" i="5"/>
  <c r="EE154" i="5"/>
  <c r="DS156" i="5"/>
  <c r="DU157" i="5"/>
  <c r="DW158" i="5"/>
  <c r="DY159" i="5"/>
  <c r="EA160" i="5"/>
  <c r="EC161" i="5"/>
  <c r="EE162" i="5"/>
  <c r="DU139" i="5"/>
  <c r="DW140" i="5"/>
  <c r="DY141" i="5"/>
  <c r="EA142" i="5"/>
  <c r="EC143" i="5"/>
  <c r="EE144" i="5"/>
  <c r="DS146" i="5"/>
  <c r="DU147" i="5"/>
  <c r="DW148" i="5"/>
  <c r="DY149" i="5"/>
  <c r="EA150" i="5"/>
  <c r="EC151" i="5"/>
  <c r="EE152" i="5"/>
  <c r="DS154" i="5"/>
  <c r="DU155" i="5"/>
  <c r="DW156" i="5"/>
  <c r="DY157" i="5"/>
  <c r="EA158" i="5"/>
  <c r="EC159" i="5"/>
  <c r="EE160" i="5"/>
  <c r="DS162" i="5"/>
  <c r="DY139" i="5"/>
  <c r="EA140" i="5"/>
  <c r="EC141" i="5"/>
  <c r="EE142" i="5"/>
  <c r="DS144" i="5"/>
  <c r="DU145" i="5"/>
  <c r="DW146" i="5"/>
  <c r="DY147" i="5"/>
  <c r="EA148" i="5"/>
  <c r="EC149" i="5"/>
  <c r="EE150" i="5"/>
  <c r="DS152" i="5"/>
  <c r="DU153" i="5"/>
  <c r="DW154" i="5"/>
  <c r="DY155" i="5"/>
  <c r="EA156" i="5"/>
  <c r="EC157" i="5"/>
  <c r="EE158" i="5"/>
  <c r="DS160" i="5"/>
  <c r="DU161" i="5"/>
  <c r="DW162" i="5"/>
  <c r="EC139" i="5"/>
  <c r="EE140" i="5"/>
  <c r="DS142" i="5"/>
  <c r="DU143" i="5"/>
  <c r="DW144" i="5"/>
  <c r="DY145" i="5"/>
  <c r="EA146" i="5"/>
  <c r="EC147" i="5"/>
  <c r="EE148" i="5"/>
  <c r="DS150" i="5"/>
  <c r="DU151" i="5"/>
  <c r="DW152" i="5"/>
  <c r="DY153" i="5"/>
  <c r="EA154" i="5"/>
  <c r="EC155" i="5"/>
  <c r="EE156" i="5"/>
  <c r="DS158" i="5"/>
  <c r="DU159" i="5"/>
  <c r="DW160" i="5"/>
  <c r="DY161" i="5"/>
  <c r="EA162" i="5"/>
  <c r="D1527" i="12"/>
  <c r="F1526" i="12"/>
  <c r="E1526" i="12"/>
  <c r="DR139" i="5"/>
  <c r="DR141" i="5"/>
  <c r="DR143" i="5"/>
  <c r="DR145" i="5"/>
  <c r="DR147" i="5"/>
  <c r="DR149" i="5"/>
  <c r="DR151" i="5"/>
  <c r="DR153" i="5"/>
  <c r="DR155" i="5"/>
  <c r="DR157" i="5"/>
  <c r="DR159" i="5"/>
  <c r="DR161" i="5"/>
  <c r="DR140" i="5"/>
  <c r="DR142" i="5"/>
  <c r="DR144" i="5"/>
  <c r="DR146" i="5"/>
  <c r="DR148" i="5"/>
  <c r="DR150" i="5"/>
  <c r="DR152" i="5"/>
  <c r="DR154" i="5"/>
  <c r="DR156" i="5"/>
  <c r="DR158" i="5"/>
  <c r="DR160" i="5"/>
  <c r="DR162" i="5"/>
  <c r="E35" i="21" l="1"/>
  <c r="D27" i="21" s="1"/>
  <c r="C58" i="14"/>
  <c r="D1528" i="12"/>
  <c r="E1527" i="12"/>
  <c r="F1527" i="12"/>
  <c r="F11" i="6"/>
  <c r="C59" i="14" l="1"/>
  <c r="D1529" i="12"/>
  <c r="F1528" i="12"/>
  <c r="E1528" i="12"/>
  <c r="AA7" i="6"/>
  <c r="V7" i="6"/>
  <c r="C60" i="14" l="1"/>
  <c r="D1530" i="12"/>
  <c r="E1529" i="12"/>
  <c r="F1529" i="12"/>
  <c r="X7" i="6"/>
  <c r="C61" i="14" l="1"/>
  <c r="D1531" i="12"/>
  <c r="F1530" i="12"/>
  <c r="E1530" i="12"/>
  <c r="C62" i="14" l="1"/>
  <c r="D1532" i="12"/>
  <c r="F1531" i="12"/>
  <c r="E1531" i="12"/>
  <c r="W7" i="5"/>
  <c r="W8" i="5" s="1"/>
  <c r="AE7" i="2"/>
  <c r="FM211" i="6"/>
  <c r="FM212" i="6"/>
  <c r="FM213" i="6"/>
  <c r="FM214" i="6"/>
  <c r="FM215" i="6"/>
  <c r="FM216" i="6"/>
  <c r="FM217" i="6"/>
  <c r="FM218" i="6"/>
  <c r="FM219" i="6"/>
  <c r="FM220" i="6"/>
  <c r="FM221" i="6"/>
  <c r="FM222" i="6"/>
  <c r="FM223" i="6"/>
  <c r="FM224" i="6"/>
  <c r="FM225" i="6"/>
  <c r="FM226" i="6"/>
  <c r="FM227" i="6"/>
  <c r="FM228" i="6"/>
  <c r="FM229" i="6"/>
  <c r="FM230" i="6"/>
  <c r="FM231" i="6"/>
  <c r="FM232" i="6"/>
  <c r="FM233" i="6"/>
  <c r="FM234" i="6"/>
  <c r="FM235" i="6"/>
  <c r="FM236" i="6"/>
  <c r="FM237" i="6"/>
  <c r="FM238" i="6"/>
  <c r="FM239" i="6"/>
  <c r="FM240" i="6"/>
  <c r="FM241" i="6"/>
  <c r="FM242" i="6"/>
  <c r="FM243" i="6"/>
  <c r="FM244" i="6"/>
  <c r="FM245" i="6"/>
  <c r="FM246" i="6"/>
  <c r="FM247" i="6"/>
  <c r="FM248" i="6"/>
  <c r="FM249" i="6"/>
  <c r="FM250" i="6"/>
  <c r="FM251" i="6"/>
  <c r="FM252" i="6"/>
  <c r="FM253" i="6"/>
  <c r="FM254" i="6"/>
  <c r="FM255" i="6"/>
  <c r="FM256" i="6"/>
  <c r="FM257" i="6"/>
  <c r="FM258" i="6"/>
  <c r="FM259" i="6"/>
  <c r="FM260" i="6"/>
  <c r="FM261" i="6"/>
  <c r="FM262" i="6"/>
  <c r="FM263" i="6"/>
  <c r="FM264" i="6"/>
  <c r="FM265" i="6"/>
  <c r="FM266" i="6"/>
  <c r="FM267" i="6"/>
  <c r="FM268" i="6"/>
  <c r="FM269" i="6"/>
  <c r="FM270" i="6"/>
  <c r="FM271" i="6"/>
  <c r="FM272" i="6"/>
  <c r="FM273" i="6"/>
  <c r="FM274" i="6"/>
  <c r="FM275" i="6"/>
  <c r="FM276" i="6"/>
  <c r="FM277" i="6"/>
  <c r="FM278" i="6"/>
  <c r="FM279" i="6"/>
  <c r="FM280" i="6"/>
  <c r="FM281" i="6"/>
  <c r="FM282" i="6"/>
  <c r="FM283" i="6"/>
  <c r="FM284" i="6"/>
  <c r="FM285" i="6"/>
  <c r="FM286" i="6"/>
  <c r="FM287" i="6"/>
  <c r="FM288" i="6"/>
  <c r="FM289" i="6"/>
  <c r="FM290" i="6"/>
  <c r="FM291" i="6"/>
  <c r="FM292" i="6"/>
  <c r="FM293" i="6"/>
  <c r="FM294" i="6"/>
  <c r="FM295" i="6"/>
  <c r="FM296" i="6"/>
  <c r="FM297" i="6"/>
  <c r="FM298" i="6"/>
  <c r="FM299" i="6"/>
  <c r="FM300" i="6"/>
  <c r="FM301" i="6"/>
  <c r="FM302" i="6"/>
  <c r="FM303" i="6"/>
  <c r="FM304" i="6"/>
  <c r="FM305" i="6"/>
  <c r="FM306" i="6"/>
  <c r="FM307" i="6"/>
  <c r="FM308" i="6"/>
  <c r="FM309" i="6"/>
  <c r="FM310" i="6"/>
  <c r="FM311" i="6"/>
  <c r="FM312" i="6"/>
  <c r="FM313" i="6"/>
  <c r="FM314" i="6"/>
  <c r="FM315" i="6"/>
  <c r="FM316" i="6"/>
  <c r="FM317" i="6"/>
  <c r="FM318" i="6"/>
  <c r="FM319" i="6"/>
  <c r="FM320" i="6"/>
  <c r="FM321" i="6"/>
  <c r="FM322" i="6"/>
  <c r="FM323" i="6"/>
  <c r="FM324" i="6"/>
  <c r="FM325" i="6"/>
  <c r="FM326" i="6"/>
  <c r="FM327" i="6"/>
  <c r="FM328" i="6"/>
  <c r="FM329" i="6"/>
  <c r="FM330" i="6"/>
  <c r="FM331" i="6"/>
  <c r="FM332" i="6"/>
  <c r="FM333" i="6"/>
  <c r="FM334" i="6"/>
  <c r="FM335" i="6"/>
  <c r="FM336" i="6"/>
  <c r="FM337" i="6"/>
  <c r="FM338" i="6"/>
  <c r="FM339" i="6"/>
  <c r="FM340" i="6"/>
  <c r="FM341" i="6"/>
  <c r="FM342" i="6"/>
  <c r="FM343" i="6"/>
  <c r="FM344" i="6"/>
  <c r="FM345" i="6"/>
  <c r="FM346" i="6"/>
  <c r="FM347" i="6"/>
  <c r="FM348" i="6"/>
  <c r="FM349" i="6"/>
  <c r="FM350" i="6"/>
  <c r="FM351" i="6"/>
  <c r="FM352" i="6"/>
  <c r="FM353" i="6"/>
  <c r="FM354" i="6"/>
  <c r="FM355" i="6"/>
  <c r="FM356" i="6"/>
  <c r="FM357" i="6"/>
  <c r="FM358" i="6"/>
  <c r="FM359" i="6"/>
  <c r="FM360" i="6"/>
  <c r="FM361" i="6"/>
  <c r="FM362" i="6"/>
  <c r="FM363" i="6"/>
  <c r="FM364" i="6"/>
  <c r="FM365" i="6"/>
  <c r="FM366" i="6"/>
  <c r="FM367" i="6"/>
  <c r="FM368" i="6"/>
  <c r="FM369" i="6"/>
  <c r="FM370" i="6"/>
  <c r="FM371" i="6"/>
  <c r="FM372" i="6"/>
  <c r="FM373" i="6"/>
  <c r="FM374" i="6"/>
  <c r="FM375" i="6"/>
  <c r="FM376" i="6"/>
  <c r="FM377" i="6"/>
  <c r="FM378" i="6"/>
  <c r="FM379" i="6"/>
  <c r="FM380" i="6"/>
  <c r="FM381" i="6"/>
  <c r="FM382" i="6"/>
  <c r="FM383" i="6"/>
  <c r="FM384" i="6"/>
  <c r="FM385" i="6"/>
  <c r="FM386" i="6"/>
  <c r="FM387" i="6"/>
  <c r="FM388" i="6"/>
  <c r="FM389" i="6"/>
  <c r="FM390" i="6"/>
  <c r="FM391" i="6"/>
  <c r="FM392" i="6"/>
  <c r="FM393" i="6"/>
  <c r="FM394" i="6"/>
  <c r="FM395" i="6"/>
  <c r="FM396" i="6"/>
  <c r="FM397" i="6"/>
  <c r="FM398" i="6"/>
  <c r="FM399" i="6"/>
  <c r="FM400" i="6"/>
  <c r="FM401" i="6"/>
  <c r="FM402" i="6"/>
  <c r="FM403" i="6"/>
  <c r="FM404" i="6"/>
  <c r="FM405" i="6"/>
  <c r="FM406" i="6"/>
  <c r="FM407" i="6"/>
  <c r="FM408" i="6"/>
  <c r="FM409" i="6"/>
  <c r="FM410" i="6"/>
  <c r="FM411" i="6"/>
  <c r="FM412" i="6"/>
  <c r="FM413" i="6"/>
  <c r="FK215" i="6"/>
  <c r="FK216" i="6"/>
  <c r="FK217" i="6"/>
  <c r="FK218" i="6"/>
  <c r="FK219" i="6"/>
  <c r="FK220" i="6"/>
  <c r="FK221" i="6"/>
  <c r="FK222" i="6"/>
  <c r="FK223" i="6"/>
  <c r="FK224" i="6"/>
  <c r="FK225" i="6"/>
  <c r="FK226" i="6"/>
  <c r="FK227" i="6"/>
  <c r="FK228" i="6"/>
  <c r="FK229" i="6"/>
  <c r="FK230" i="6"/>
  <c r="FK231" i="6"/>
  <c r="FK232" i="6"/>
  <c r="FK233" i="6"/>
  <c r="FK234" i="6"/>
  <c r="FK235" i="6"/>
  <c r="FK236" i="6"/>
  <c r="FK237" i="6"/>
  <c r="FK238" i="6"/>
  <c r="FK239" i="6"/>
  <c r="FK240" i="6"/>
  <c r="FK241" i="6"/>
  <c r="FK242" i="6"/>
  <c r="FK243" i="6"/>
  <c r="FK244" i="6"/>
  <c r="FK245" i="6"/>
  <c r="FK246" i="6"/>
  <c r="FK247" i="6"/>
  <c r="FK248" i="6"/>
  <c r="FK249" i="6"/>
  <c r="FK250" i="6"/>
  <c r="FK251" i="6"/>
  <c r="FK252" i="6"/>
  <c r="FK253" i="6"/>
  <c r="FK254" i="6"/>
  <c r="FK255" i="6"/>
  <c r="FK256" i="6"/>
  <c r="FK257" i="6"/>
  <c r="FK258" i="6"/>
  <c r="FK259" i="6"/>
  <c r="FK260" i="6"/>
  <c r="FK261" i="6"/>
  <c r="FK262" i="6"/>
  <c r="FK263" i="6"/>
  <c r="FK264" i="6"/>
  <c r="FK265" i="6"/>
  <c r="FK266" i="6"/>
  <c r="FK267" i="6"/>
  <c r="FK268" i="6"/>
  <c r="FK269" i="6"/>
  <c r="FK270" i="6"/>
  <c r="FK271" i="6"/>
  <c r="FK272" i="6"/>
  <c r="FK273" i="6"/>
  <c r="FK274" i="6"/>
  <c r="FK275" i="6"/>
  <c r="FK276" i="6"/>
  <c r="FK277" i="6"/>
  <c r="FK278" i="6"/>
  <c r="FK279" i="6"/>
  <c r="FK280" i="6"/>
  <c r="FK281" i="6"/>
  <c r="FK282" i="6"/>
  <c r="FK283" i="6"/>
  <c r="FK284" i="6"/>
  <c r="FK285" i="6"/>
  <c r="FK286" i="6"/>
  <c r="FK287" i="6"/>
  <c r="FK288" i="6"/>
  <c r="FK289" i="6"/>
  <c r="FK290" i="6"/>
  <c r="FK291" i="6"/>
  <c r="FK292" i="6"/>
  <c r="FK293" i="6"/>
  <c r="FK294" i="6"/>
  <c r="FK295" i="6"/>
  <c r="FK296" i="6"/>
  <c r="FK297" i="6"/>
  <c r="FK298" i="6"/>
  <c r="FK299" i="6"/>
  <c r="FK300" i="6"/>
  <c r="FK301" i="6"/>
  <c r="FK302" i="6"/>
  <c r="FK303" i="6"/>
  <c r="FK304" i="6"/>
  <c r="FK305" i="6"/>
  <c r="FK306" i="6"/>
  <c r="FK307" i="6"/>
  <c r="FK308" i="6"/>
  <c r="FK309" i="6"/>
  <c r="FK310" i="6"/>
  <c r="FK311" i="6"/>
  <c r="FK312" i="6"/>
  <c r="FK313" i="6"/>
  <c r="FK314" i="6"/>
  <c r="FK315" i="6"/>
  <c r="FK316" i="6"/>
  <c r="FK317" i="6"/>
  <c r="FK318" i="6"/>
  <c r="FK319" i="6"/>
  <c r="FK320" i="6"/>
  <c r="FK321" i="6"/>
  <c r="FK322" i="6"/>
  <c r="FK323" i="6"/>
  <c r="FK324" i="6"/>
  <c r="FK325" i="6"/>
  <c r="FK326" i="6"/>
  <c r="FK327" i="6"/>
  <c r="FK328" i="6"/>
  <c r="FK329" i="6"/>
  <c r="FK330" i="6"/>
  <c r="FK331" i="6"/>
  <c r="FK332" i="6"/>
  <c r="FK333" i="6"/>
  <c r="FK334" i="6"/>
  <c r="FK335" i="6"/>
  <c r="FK336" i="6"/>
  <c r="FK337" i="6"/>
  <c r="FK338" i="6"/>
  <c r="FK339" i="6"/>
  <c r="FK340" i="6"/>
  <c r="FK341" i="6"/>
  <c r="FK342" i="6"/>
  <c r="FK343" i="6"/>
  <c r="FK344" i="6"/>
  <c r="FK345" i="6"/>
  <c r="FK346" i="6"/>
  <c r="FK347" i="6"/>
  <c r="FK348" i="6"/>
  <c r="FK349" i="6"/>
  <c r="FK350" i="6"/>
  <c r="FK351" i="6"/>
  <c r="FK352" i="6"/>
  <c r="FK353" i="6"/>
  <c r="FK354" i="6"/>
  <c r="FK355" i="6"/>
  <c r="FK356" i="6"/>
  <c r="FK357" i="6"/>
  <c r="FK358" i="6"/>
  <c r="FK359" i="6"/>
  <c r="FK360" i="6"/>
  <c r="FK361" i="6"/>
  <c r="FK362" i="6"/>
  <c r="FK363" i="6"/>
  <c r="FK364" i="6"/>
  <c r="FK365" i="6"/>
  <c r="FK366" i="6"/>
  <c r="FK367" i="6"/>
  <c r="FK368" i="6"/>
  <c r="FK369" i="6"/>
  <c r="FK370" i="6"/>
  <c r="FK371" i="6"/>
  <c r="FK372" i="6"/>
  <c r="FK373" i="6"/>
  <c r="FK374" i="6"/>
  <c r="FK375" i="6"/>
  <c r="FK376" i="6"/>
  <c r="FK377" i="6"/>
  <c r="FK378" i="6"/>
  <c r="FK379" i="6"/>
  <c r="FK380" i="6"/>
  <c r="FK381" i="6"/>
  <c r="FK382" i="6"/>
  <c r="FK383" i="6"/>
  <c r="FK384" i="6"/>
  <c r="FK385" i="6"/>
  <c r="FK386" i="6"/>
  <c r="FK387" i="6"/>
  <c r="FK388" i="6"/>
  <c r="FK389" i="6"/>
  <c r="FK390" i="6"/>
  <c r="FK391" i="6"/>
  <c r="FK392" i="6"/>
  <c r="FK393" i="6"/>
  <c r="FK394" i="6"/>
  <c r="FK395" i="6"/>
  <c r="FK396" i="6"/>
  <c r="FK397" i="6"/>
  <c r="FK398" i="6"/>
  <c r="FK399" i="6"/>
  <c r="FK400" i="6"/>
  <c r="FK401" i="6"/>
  <c r="FK402" i="6"/>
  <c r="FK403" i="6"/>
  <c r="FK404" i="6"/>
  <c r="FK405" i="6"/>
  <c r="FK406" i="6"/>
  <c r="FK407" i="6"/>
  <c r="FK408" i="6"/>
  <c r="FK409" i="6"/>
  <c r="FK410" i="6"/>
  <c r="FK411" i="6"/>
  <c r="FK412" i="6"/>
  <c r="FK413" i="6"/>
  <c r="FK211" i="6"/>
  <c r="FK212" i="6"/>
  <c r="FK213" i="6"/>
  <c r="FK214" i="6"/>
  <c r="C63" i="14" l="1"/>
  <c r="D1533" i="12"/>
  <c r="F1532" i="12"/>
  <c r="E1532" i="12"/>
  <c r="V35" i="5"/>
  <c r="V36" i="5"/>
  <c r="E37" i="2"/>
  <c r="E36" i="2"/>
  <c r="BH10" i="5"/>
  <c r="C64" i="14" l="1"/>
  <c r="D1534" i="12"/>
  <c r="F1533" i="12"/>
  <c r="E1533" i="12"/>
  <c r="CP18" i="2"/>
  <c r="V17" i="5"/>
  <c r="D24" i="5" s="1"/>
  <c r="V23" i="2"/>
  <c r="V22" i="2"/>
  <c r="BR18" i="2"/>
  <c r="BS18" i="2"/>
  <c r="BT18" i="2"/>
  <c r="BR19" i="2"/>
  <c r="BS19" i="2"/>
  <c r="BT19" i="2"/>
  <c r="BR20" i="2"/>
  <c r="BS20" i="2"/>
  <c r="BT20" i="2"/>
  <c r="BR21" i="2"/>
  <c r="BS21" i="2"/>
  <c r="BT21" i="2"/>
  <c r="BR22" i="2"/>
  <c r="BS22" i="2"/>
  <c r="BT22" i="2"/>
  <c r="BR23" i="2"/>
  <c r="BS23" i="2"/>
  <c r="BT23" i="2"/>
  <c r="BR24" i="2"/>
  <c r="BS24" i="2"/>
  <c r="BT24" i="2"/>
  <c r="BR25" i="2"/>
  <c r="BS25" i="2"/>
  <c r="BT25" i="2"/>
  <c r="BR26" i="2"/>
  <c r="BS26" i="2"/>
  <c r="BT26" i="2"/>
  <c r="BR27" i="2"/>
  <c r="BS27" i="2"/>
  <c r="BT27" i="2"/>
  <c r="BR28" i="2"/>
  <c r="BS28" i="2"/>
  <c r="BT28" i="2"/>
  <c r="BR29" i="2"/>
  <c r="BS29" i="2"/>
  <c r="BT29" i="2"/>
  <c r="BR30" i="2"/>
  <c r="BS30" i="2"/>
  <c r="BT30" i="2"/>
  <c r="BR31" i="2"/>
  <c r="BS31" i="2"/>
  <c r="BT31" i="2"/>
  <c r="BR32" i="2"/>
  <c r="BS32" i="2"/>
  <c r="BT32" i="2"/>
  <c r="BR33" i="2"/>
  <c r="BS33" i="2"/>
  <c r="BT33" i="2"/>
  <c r="BR34" i="2"/>
  <c r="BS34" i="2"/>
  <c r="BT34" i="2"/>
  <c r="BR35" i="2"/>
  <c r="BS35" i="2"/>
  <c r="BT35" i="2"/>
  <c r="BR36" i="2"/>
  <c r="BS36" i="2"/>
  <c r="BT36" i="2"/>
  <c r="BR37" i="2"/>
  <c r="BS37" i="2"/>
  <c r="BT37" i="2"/>
  <c r="BR38" i="2"/>
  <c r="BS38" i="2"/>
  <c r="BT38" i="2"/>
  <c r="BR39" i="2"/>
  <c r="BS39" i="2"/>
  <c r="BT39" i="2"/>
  <c r="BR40" i="2"/>
  <c r="BS40" i="2"/>
  <c r="BT40" i="2"/>
  <c r="BR41" i="2"/>
  <c r="BS41" i="2"/>
  <c r="BT41" i="2"/>
  <c r="BR42" i="2"/>
  <c r="BS42" i="2"/>
  <c r="BT42" i="2"/>
  <c r="BR43" i="2"/>
  <c r="BS43" i="2"/>
  <c r="BT43" i="2"/>
  <c r="BR44" i="2"/>
  <c r="BS44" i="2"/>
  <c r="BT44" i="2"/>
  <c r="BR45" i="2"/>
  <c r="BS45" i="2"/>
  <c r="BT45" i="2"/>
  <c r="BR46" i="2"/>
  <c r="BS46" i="2"/>
  <c r="BT46" i="2"/>
  <c r="BR47" i="2"/>
  <c r="BS47" i="2"/>
  <c r="BT47" i="2"/>
  <c r="BR48" i="2"/>
  <c r="BS48" i="2"/>
  <c r="BT48" i="2"/>
  <c r="BR49" i="2"/>
  <c r="BS49" i="2"/>
  <c r="BT49" i="2"/>
  <c r="BR50" i="2"/>
  <c r="BS50" i="2"/>
  <c r="BT50" i="2"/>
  <c r="BR51" i="2"/>
  <c r="BS51" i="2"/>
  <c r="BT51" i="2"/>
  <c r="BR52" i="2"/>
  <c r="BS52" i="2"/>
  <c r="BT52" i="2"/>
  <c r="BR53" i="2"/>
  <c r="BS53" i="2"/>
  <c r="BT53" i="2"/>
  <c r="BR54" i="2"/>
  <c r="BS54" i="2"/>
  <c r="BT54" i="2"/>
  <c r="BR55" i="2"/>
  <c r="BS55" i="2"/>
  <c r="BT55" i="2"/>
  <c r="BR56" i="2"/>
  <c r="BS56" i="2"/>
  <c r="BT56" i="2"/>
  <c r="BR57" i="2"/>
  <c r="BS57" i="2"/>
  <c r="BT57" i="2"/>
  <c r="BR58" i="2"/>
  <c r="BS58" i="2"/>
  <c r="BT58" i="2"/>
  <c r="BR59" i="2"/>
  <c r="BS59" i="2"/>
  <c r="BT59" i="2"/>
  <c r="BR60" i="2"/>
  <c r="BS60" i="2"/>
  <c r="BT60" i="2"/>
  <c r="BR61" i="2"/>
  <c r="BS61" i="2"/>
  <c r="BT61" i="2"/>
  <c r="BR62" i="2"/>
  <c r="BS62" i="2"/>
  <c r="BT62" i="2"/>
  <c r="BR63" i="2"/>
  <c r="BS63" i="2"/>
  <c r="BT63" i="2"/>
  <c r="BR64" i="2"/>
  <c r="BS64" i="2"/>
  <c r="BT64" i="2"/>
  <c r="BR65" i="2"/>
  <c r="BS65" i="2"/>
  <c r="BT65" i="2"/>
  <c r="BR66" i="2"/>
  <c r="BS66" i="2"/>
  <c r="BT66" i="2"/>
  <c r="BR67" i="2"/>
  <c r="BS67" i="2"/>
  <c r="BT67" i="2"/>
  <c r="BR68" i="2"/>
  <c r="BS68" i="2"/>
  <c r="BT68" i="2"/>
  <c r="BR69" i="2"/>
  <c r="BS69" i="2"/>
  <c r="BT69" i="2"/>
  <c r="BR70" i="2"/>
  <c r="BS70" i="2"/>
  <c r="BT70" i="2"/>
  <c r="BR71" i="2"/>
  <c r="BS71" i="2"/>
  <c r="BT71" i="2"/>
  <c r="BR72" i="2"/>
  <c r="BS72" i="2"/>
  <c r="BT72" i="2"/>
  <c r="BR73" i="2"/>
  <c r="BS73" i="2"/>
  <c r="BT73" i="2"/>
  <c r="BR74" i="2"/>
  <c r="BS74" i="2"/>
  <c r="BT74" i="2"/>
  <c r="BR75" i="2"/>
  <c r="BS75" i="2"/>
  <c r="BT75" i="2"/>
  <c r="BR76" i="2"/>
  <c r="BS76" i="2"/>
  <c r="BT76" i="2"/>
  <c r="BR77" i="2"/>
  <c r="BS77" i="2"/>
  <c r="BT77" i="2"/>
  <c r="BR78" i="2"/>
  <c r="BS78" i="2"/>
  <c r="BT78" i="2"/>
  <c r="BR79" i="2"/>
  <c r="BS79" i="2"/>
  <c r="BT79" i="2"/>
  <c r="BR80" i="2"/>
  <c r="BS80" i="2"/>
  <c r="BT80" i="2"/>
  <c r="BR81" i="2"/>
  <c r="BS81" i="2"/>
  <c r="BT81" i="2"/>
  <c r="BR82" i="2"/>
  <c r="BS82" i="2"/>
  <c r="BT82" i="2"/>
  <c r="BR83" i="2"/>
  <c r="BS83" i="2"/>
  <c r="BT83" i="2"/>
  <c r="BR84" i="2"/>
  <c r="BS84" i="2"/>
  <c r="BT84" i="2"/>
  <c r="BR85" i="2"/>
  <c r="BS85" i="2"/>
  <c r="BT85" i="2"/>
  <c r="BR86" i="2"/>
  <c r="BS86" i="2"/>
  <c r="BT86" i="2"/>
  <c r="BR87" i="2"/>
  <c r="BS87" i="2"/>
  <c r="BT87" i="2"/>
  <c r="BR88" i="2"/>
  <c r="BS88" i="2"/>
  <c r="BT88" i="2"/>
  <c r="BR89" i="2"/>
  <c r="BS89" i="2"/>
  <c r="BT89" i="2"/>
  <c r="BR90" i="2"/>
  <c r="BS90" i="2"/>
  <c r="BT90" i="2"/>
  <c r="BR91" i="2"/>
  <c r="BS91" i="2"/>
  <c r="BT91" i="2"/>
  <c r="BR92" i="2"/>
  <c r="BS92" i="2"/>
  <c r="BT92" i="2"/>
  <c r="BR93" i="2"/>
  <c r="BS93" i="2"/>
  <c r="BT93" i="2"/>
  <c r="BR94" i="2"/>
  <c r="BS94" i="2"/>
  <c r="BT94" i="2"/>
  <c r="BR95" i="2"/>
  <c r="BS95" i="2"/>
  <c r="BT95" i="2"/>
  <c r="BR96" i="2"/>
  <c r="BS96" i="2"/>
  <c r="BT96" i="2"/>
  <c r="BR97" i="2"/>
  <c r="BS97" i="2"/>
  <c r="BT97" i="2"/>
  <c r="BR98" i="2"/>
  <c r="BS98" i="2"/>
  <c r="BT98" i="2"/>
  <c r="BR99" i="2"/>
  <c r="BS99" i="2"/>
  <c r="BT99" i="2"/>
  <c r="BR100" i="2"/>
  <c r="BS100" i="2"/>
  <c r="BT100" i="2"/>
  <c r="BR101" i="2"/>
  <c r="BS101" i="2"/>
  <c r="BT101" i="2"/>
  <c r="BR102" i="2"/>
  <c r="BS102" i="2"/>
  <c r="BT102" i="2"/>
  <c r="BR103" i="2"/>
  <c r="BS103" i="2"/>
  <c r="BT103" i="2"/>
  <c r="BR104" i="2"/>
  <c r="BS104" i="2"/>
  <c r="BT104" i="2"/>
  <c r="BR105" i="2"/>
  <c r="BS105" i="2"/>
  <c r="BT105" i="2"/>
  <c r="BR106" i="2"/>
  <c r="BS106" i="2"/>
  <c r="BT106" i="2"/>
  <c r="BR107" i="2"/>
  <c r="BS107" i="2"/>
  <c r="BT107" i="2"/>
  <c r="BR108" i="2"/>
  <c r="BS108" i="2"/>
  <c r="BT108" i="2"/>
  <c r="BR109" i="2"/>
  <c r="BS109" i="2"/>
  <c r="BT109" i="2"/>
  <c r="BR110" i="2"/>
  <c r="BS110" i="2"/>
  <c r="BT110" i="2"/>
  <c r="BR111" i="2"/>
  <c r="BS111" i="2"/>
  <c r="BT111" i="2"/>
  <c r="BR112" i="2"/>
  <c r="BS112" i="2"/>
  <c r="BT112" i="2"/>
  <c r="BR113" i="2"/>
  <c r="BS113" i="2"/>
  <c r="BT113" i="2"/>
  <c r="BR114" i="2"/>
  <c r="BS114" i="2"/>
  <c r="BT114" i="2"/>
  <c r="BR115" i="2"/>
  <c r="BS115" i="2"/>
  <c r="BT115" i="2"/>
  <c r="BR116" i="2"/>
  <c r="BS116" i="2"/>
  <c r="BT116" i="2"/>
  <c r="BR117" i="2"/>
  <c r="BS117" i="2"/>
  <c r="BT117" i="2"/>
  <c r="BR118" i="2"/>
  <c r="BS118" i="2"/>
  <c r="BT118" i="2"/>
  <c r="BR119" i="2"/>
  <c r="BS119" i="2"/>
  <c r="BT119" i="2"/>
  <c r="BR120" i="2"/>
  <c r="BS120" i="2"/>
  <c r="BT120" i="2"/>
  <c r="BR121" i="2"/>
  <c r="BS121" i="2"/>
  <c r="BT121" i="2"/>
  <c r="BR122" i="2"/>
  <c r="BS122" i="2"/>
  <c r="BT122" i="2"/>
  <c r="BR123" i="2"/>
  <c r="BS123" i="2"/>
  <c r="BT123" i="2"/>
  <c r="BR124" i="2"/>
  <c r="BS124" i="2"/>
  <c r="BT124" i="2"/>
  <c r="BR125" i="2"/>
  <c r="BS125" i="2"/>
  <c r="BT125" i="2"/>
  <c r="BR126" i="2"/>
  <c r="BS126" i="2"/>
  <c r="BT126" i="2"/>
  <c r="BR127" i="2"/>
  <c r="BS127" i="2"/>
  <c r="BT127" i="2"/>
  <c r="BR128" i="2"/>
  <c r="BS128" i="2"/>
  <c r="BT128" i="2"/>
  <c r="BR129" i="2"/>
  <c r="BS129" i="2"/>
  <c r="BT129" i="2"/>
  <c r="BR130" i="2"/>
  <c r="BS130" i="2"/>
  <c r="BT130" i="2"/>
  <c r="BR131" i="2"/>
  <c r="BS131" i="2"/>
  <c r="BT131" i="2"/>
  <c r="BR132" i="2"/>
  <c r="BS132" i="2"/>
  <c r="BT132" i="2"/>
  <c r="BR133" i="2"/>
  <c r="BS133" i="2"/>
  <c r="BT133" i="2"/>
  <c r="BR134" i="2"/>
  <c r="BS134" i="2"/>
  <c r="BT134" i="2"/>
  <c r="BR135" i="2"/>
  <c r="BS135" i="2"/>
  <c r="BT135" i="2"/>
  <c r="BR136" i="2"/>
  <c r="BS136" i="2"/>
  <c r="BT136" i="2"/>
  <c r="BR137" i="2"/>
  <c r="BS137" i="2"/>
  <c r="BT137" i="2"/>
  <c r="BR138" i="2"/>
  <c r="BS138" i="2"/>
  <c r="BT138" i="2"/>
  <c r="BR139" i="2"/>
  <c r="BS139" i="2"/>
  <c r="BT139" i="2"/>
  <c r="BR140" i="2"/>
  <c r="BS140" i="2"/>
  <c r="BT140" i="2"/>
  <c r="BR141" i="2"/>
  <c r="BS141" i="2"/>
  <c r="BT141" i="2"/>
  <c r="BR142" i="2"/>
  <c r="BS142" i="2"/>
  <c r="BT142" i="2"/>
  <c r="BR143" i="2"/>
  <c r="BS143" i="2"/>
  <c r="BT143" i="2"/>
  <c r="BR144" i="2"/>
  <c r="BS144" i="2"/>
  <c r="BT144" i="2"/>
  <c r="BR145" i="2"/>
  <c r="BS145" i="2"/>
  <c r="BT145" i="2"/>
  <c r="BR146" i="2"/>
  <c r="BS146" i="2"/>
  <c r="BT146" i="2"/>
  <c r="BR147" i="2"/>
  <c r="BS147" i="2"/>
  <c r="BT147" i="2"/>
  <c r="BR148" i="2"/>
  <c r="BS148" i="2"/>
  <c r="BT148" i="2"/>
  <c r="BR149" i="2"/>
  <c r="BS149" i="2"/>
  <c r="BT149" i="2"/>
  <c r="BR150" i="2"/>
  <c r="BS150" i="2"/>
  <c r="BT150" i="2"/>
  <c r="BR151" i="2"/>
  <c r="BS151" i="2"/>
  <c r="BT151" i="2"/>
  <c r="BR152" i="2"/>
  <c r="BS152" i="2"/>
  <c r="BT152" i="2"/>
  <c r="BR153" i="2"/>
  <c r="BS153" i="2"/>
  <c r="BT153" i="2"/>
  <c r="BR154" i="2"/>
  <c r="BS154" i="2"/>
  <c r="BT154" i="2"/>
  <c r="BR155" i="2"/>
  <c r="BS155" i="2"/>
  <c r="BT155" i="2"/>
  <c r="BR156" i="2"/>
  <c r="BS156" i="2"/>
  <c r="BT156" i="2"/>
  <c r="BR157" i="2"/>
  <c r="BS157" i="2"/>
  <c r="BT157" i="2"/>
  <c r="BR158" i="2"/>
  <c r="BS158" i="2"/>
  <c r="BT158" i="2"/>
  <c r="BR159" i="2"/>
  <c r="BS159" i="2"/>
  <c r="BT159" i="2"/>
  <c r="BR160" i="2"/>
  <c r="BS160" i="2"/>
  <c r="BT160" i="2"/>
  <c r="BR161" i="2"/>
  <c r="BS161" i="2"/>
  <c r="BT161" i="2"/>
  <c r="BR162" i="2"/>
  <c r="BS162" i="2"/>
  <c r="BT162" i="2"/>
  <c r="V16" i="2"/>
  <c r="V18" i="2"/>
  <c r="S61" i="2"/>
  <c r="T61" i="2"/>
  <c r="U61" i="2"/>
  <c r="C65" i="14" l="1"/>
  <c r="V28" i="2"/>
  <c r="V34" i="2"/>
  <c r="V29" i="2"/>
  <c r="V35" i="2"/>
  <c r="V30" i="2"/>
  <c r="V36" i="2"/>
  <c r="V31" i="2"/>
  <c r="V37" i="2"/>
  <c r="V32" i="2"/>
  <c r="V33" i="2"/>
  <c r="D1535" i="12"/>
  <c r="F1534" i="12"/>
  <c r="E1534" i="12"/>
  <c r="E24" i="2"/>
  <c r="V17" i="2"/>
  <c r="AS12" i="2"/>
  <c r="J51" i="2" l="1"/>
  <c r="J52" i="2"/>
  <c r="C66" i="14"/>
  <c r="D1536" i="12"/>
  <c r="E1535" i="12"/>
  <c r="F1535" i="12"/>
  <c r="Y9" i="5"/>
  <c r="BH10" i="2"/>
  <c r="C67" i="14" l="1"/>
  <c r="D1537" i="12"/>
  <c r="F1536" i="12"/>
  <c r="E1536" i="12"/>
  <c r="Y11" i="5"/>
  <c r="W9" i="5" s="1"/>
  <c r="R61" i="2"/>
  <c r="N61" i="2"/>
  <c r="O61" i="2"/>
  <c r="P61" i="2"/>
  <c r="Q61" i="2"/>
  <c r="BM18" i="2"/>
  <c r="BN18" i="2"/>
  <c r="BO18" i="2"/>
  <c r="BP18" i="2"/>
  <c r="BQ18" i="2"/>
  <c r="BM19" i="2"/>
  <c r="BN19" i="2"/>
  <c r="BO19" i="2"/>
  <c r="BP19" i="2"/>
  <c r="BQ19" i="2"/>
  <c r="BM20" i="2"/>
  <c r="BN20" i="2"/>
  <c r="BO20" i="2"/>
  <c r="BP20" i="2"/>
  <c r="BQ20" i="2"/>
  <c r="BM21" i="2"/>
  <c r="BN21" i="2"/>
  <c r="BO21" i="2"/>
  <c r="BP21" i="2"/>
  <c r="BQ21" i="2"/>
  <c r="BM22" i="2"/>
  <c r="BN22" i="2"/>
  <c r="BO22" i="2"/>
  <c r="BP22" i="2"/>
  <c r="BQ22" i="2"/>
  <c r="BM23" i="2"/>
  <c r="BN23" i="2"/>
  <c r="BO23" i="2"/>
  <c r="BP23" i="2"/>
  <c r="BQ23" i="2"/>
  <c r="BM24" i="2"/>
  <c r="BN24" i="2"/>
  <c r="BO24" i="2"/>
  <c r="BP24" i="2"/>
  <c r="BQ24" i="2"/>
  <c r="BM25" i="2"/>
  <c r="BN25" i="2"/>
  <c r="BO25" i="2"/>
  <c r="BP25" i="2"/>
  <c r="BQ25" i="2"/>
  <c r="BM26" i="2"/>
  <c r="BN26" i="2"/>
  <c r="BO26" i="2"/>
  <c r="BP26" i="2"/>
  <c r="BQ26" i="2"/>
  <c r="BM27" i="2"/>
  <c r="BN27" i="2"/>
  <c r="BO27" i="2"/>
  <c r="BP27" i="2"/>
  <c r="BQ27" i="2"/>
  <c r="BM28" i="2"/>
  <c r="BN28" i="2"/>
  <c r="BO28" i="2"/>
  <c r="BP28" i="2"/>
  <c r="BQ28" i="2"/>
  <c r="BM29" i="2"/>
  <c r="BN29" i="2"/>
  <c r="BO29" i="2"/>
  <c r="BP29" i="2"/>
  <c r="BQ29" i="2"/>
  <c r="BM30" i="2"/>
  <c r="BN30" i="2"/>
  <c r="BO30" i="2"/>
  <c r="BP30" i="2"/>
  <c r="BQ30" i="2"/>
  <c r="BM31" i="2"/>
  <c r="BN31" i="2"/>
  <c r="BO31" i="2"/>
  <c r="BP31" i="2"/>
  <c r="BQ31" i="2"/>
  <c r="BM32" i="2"/>
  <c r="BN32" i="2"/>
  <c r="BO32" i="2"/>
  <c r="BP32" i="2"/>
  <c r="BQ32" i="2"/>
  <c r="BM33" i="2"/>
  <c r="BN33" i="2"/>
  <c r="BO33" i="2"/>
  <c r="BP33" i="2"/>
  <c r="BQ33" i="2"/>
  <c r="BM34" i="2"/>
  <c r="BN34" i="2"/>
  <c r="BO34" i="2"/>
  <c r="BP34" i="2"/>
  <c r="BQ34" i="2"/>
  <c r="BM35" i="2"/>
  <c r="BN35" i="2"/>
  <c r="BO35" i="2"/>
  <c r="BP35" i="2"/>
  <c r="BQ35" i="2"/>
  <c r="BM36" i="2"/>
  <c r="BN36" i="2"/>
  <c r="BO36" i="2"/>
  <c r="BP36" i="2"/>
  <c r="BQ36" i="2"/>
  <c r="BM37" i="2"/>
  <c r="BN37" i="2"/>
  <c r="BO37" i="2"/>
  <c r="BP37" i="2"/>
  <c r="BQ37" i="2"/>
  <c r="BM38" i="2"/>
  <c r="BN38" i="2"/>
  <c r="BO38" i="2"/>
  <c r="BP38" i="2"/>
  <c r="BQ38" i="2"/>
  <c r="BM39" i="2"/>
  <c r="BN39" i="2"/>
  <c r="BO39" i="2"/>
  <c r="BP39" i="2"/>
  <c r="BQ39" i="2"/>
  <c r="BM40" i="2"/>
  <c r="BN40" i="2"/>
  <c r="BO40" i="2"/>
  <c r="BP40" i="2"/>
  <c r="BQ40" i="2"/>
  <c r="BM41" i="2"/>
  <c r="BN41" i="2"/>
  <c r="BO41" i="2"/>
  <c r="BP41" i="2"/>
  <c r="BQ41" i="2"/>
  <c r="BM42" i="2"/>
  <c r="BN42" i="2"/>
  <c r="BO42" i="2"/>
  <c r="BP42" i="2"/>
  <c r="BQ42" i="2"/>
  <c r="BM43" i="2"/>
  <c r="BN43" i="2"/>
  <c r="BO43" i="2"/>
  <c r="BP43" i="2"/>
  <c r="BQ43" i="2"/>
  <c r="BM44" i="2"/>
  <c r="BN44" i="2"/>
  <c r="BO44" i="2"/>
  <c r="BP44" i="2"/>
  <c r="BQ44" i="2"/>
  <c r="BM45" i="2"/>
  <c r="BN45" i="2"/>
  <c r="BO45" i="2"/>
  <c r="BP45" i="2"/>
  <c r="BQ45" i="2"/>
  <c r="BM46" i="2"/>
  <c r="BN46" i="2"/>
  <c r="BO46" i="2"/>
  <c r="BP46" i="2"/>
  <c r="BQ46" i="2"/>
  <c r="BM47" i="2"/>
  <c r="BN47" i="2"/>
  <c r="BO47" i="2"/>
  <c r="BP47" i="2"/>
  <c r="BQ47" i="2"/>
  <c r="BM48" i="2"/>
  <c r="BN48" i="2"/>
  <c r="BO48" i="2"/>
  <c r="BP48" i="2"/>
  <c r="BQ48" i="2"/>
  <c r="BM49" i="2"/>
  <c r="BN49" i="2"/>
  <c r="BO49" i="2"/>
  <c r="BP49" i="2"/>
  <c r="BQ49" i="2"/>
  <c r="BM50" i="2"/>
  <c r="BN50" i="2"/>
  <c r="BO50" i="2"/>
  <c r="BP50" i="2"/>
  <c r="BQ50" i="2"/>
  <c r="BM51" i="2"/>
  <c r="BN51" i="2"/>
  <c r="BO51" i="2"/>
  <c r="BP51" i="2"/>
  <c r="BQ51" i="2"/>
  <c r="BM52" i="2"/>
  <c r="BN52" i="2"/>
  <c r="BO52" i="2"/>
  <c r="BP52" i="2"/>
  <c r="BQ52" i="2"/>
  <c r="BM53" i="2"/>
  <c r="BN53" i="2"/>
  <c r="BO53" i="2"/>
  <c r="BP53" i="2"/>
  <c r="BQ53" i="2"/>
  <c r="BM54" i="2"/>
  <c r="BN54" i="2"/>
  <c r="BO54" i="2"/>
  <c r="BP54" i="2"/>
  <c r="BQ54" i="2"/>
  <c r="BM55" i="2"/>
  <c r="BN55" i="2"/>
  <c r="BO55" i="2"/>
  <c r="BP55" i="2"/>
  <c r="BQ55" i="2"/>
  <c r="BM56" i="2"/>
  <c r="BN56" i="2"/>
  <c r="BO56" i="2"/>
  <c r="BP56" i="2"/>
  <c r="BQ56" i="2"/>
  <c r="BM57" i="2"/>
  <c r="BN57" i="2"/>
  <c r="BO57" i="2"/>
  <c r="BP57" i="2"/>
  <c r="BQ57" i="2"/>
  <c r="BM58" i="2"/>
  <c r="BN58" i="2"/>
  <c r="BO58" i="2"/>
  <c r="BP58" i="2"/>
  <c r="BQ58" i="2"/>
  <c r="BM59" i="2"/>
  <c r="BN59" i="2"/>
  <c r="BO59" i="2"/>
  <c r="BP59" i="2"/>
  <c r="BQ59" i="2"/>
  <c r="BM60" i="2"/>
  <c r="BN60" i="2"/>
  <c r="BO60" i="2"/>
  <c r="BP60" i="2"/>
  <c r="BQ60" i="2"/>
  <c r="BM61" i="2"/>
  <c r="BN61" i="2"/>
  <c r="BO61" i="2"/>
  <c r="BP61" i="2"/>
  <c r="BQ61" i="2"/>
  <c r="BM62" i="2"/>
  <c r="BN62" i="2"/>
  <c r="BO62" i="2"/>
  <c r="BP62" i="2"/>
  <c r="BQ62" i="2"/>
  <c r="BM63" i="2"/>
  <c r="BN63" i="2"/>
  <c r="BO63" i="2"/>
  <c r="BP63" i="2"/>
  <c r="BQ63" i="2"/>
  <c r="BM64" i="2"/>
  <c r="BN64" i="2"/>
  <c r="BO64" i="2"/>
  <c r="BP64" i="2"/>
  <c r="BQ64" i="2"/>
  <c r="BM65" i="2"/>
  <c r="BN65" i="2"/>
  <c r="BO65" i="2"/>
  <c r="BP65" i="2"/>
  <c r="BQ65" i="2"/>
  <c r="BM66" i="2"/>
  <c r="BN66" i="2"/>
  <c r="BO66" i="2"/>
  <c r="BP66" i="2"/>
  <c r="BQ66" i="2"/>
  <c r="BM67" i="2"/>
  <c r="BN67" i="2"/>
  <c r="BO67" i="2"/>
  <c r="BP67" i="2"/>
  <c r="BQ67" i="2"/>
  <c r="BM68" i="2"/>
  <c r="BN68" i="2"/>
  <c r="BO68" i="2"/>
  <c r="BP68" i="2"/>
  <c r="BQ68" i="2"/>
  <c r="BM69" i="2"/>
  <c r="BN69" i="2"/>
  <c r="BO69" i="2"/>
  <c r="BP69" i="2"/>
  <c r="BQ69" i="2"/>
  <c r="BM70" i="2"/>
  <c r="BN70" i="2"/>
  <c r="BO70" i="2"/>
  <c r="BP70" i="2"/>
  <c r="BQ70" i="2"/>
  <c r="BM71" i="2"/>
  <c r="BN71" i="2"/>
  <c r="BO71" i="2"/>
  <c r="BP71" i="2"/>
  <c r="BQ71" i="2"/>
  <c r="BM72" i="2"/>
  <c r="BN72" i="2"/>
  <c r="BO72" i="2"/>
  <c r="BP72" i="2"/>
  <c r="BQ72" i="2"/>
  <c r="BM73" i="2"/>
  <c r="BN73" i="2"/>
  <c r="BO73" i="2"/>
  <c r="BP73" i="2"/>
  <c r="BQ73" i="2"/>
  <c r="BM74" i="2"/>
  <c r="BN74" i="2"/>
  <c r="BO74" i="2"/>
  <c r="BP74" i="2"/>
  <c r="BQ74" i="2"/>
  <c r="BM75" i="2"/>
  <c r="BN75" i="2"/>
  <c r="BO75" i="2"/>
  <c r="BP75" i="2"/>
  <c r="BQ75" i="2"/>
  <c r="BM76" i="2"/>
  <c r="BN76" i="2"/>
  <c r="BO76" i="2"/>
  <c r="BP76" i="2"/>
  <c r="BQ76" i="2"/>
  <c r="BM77" i="2"/>
  <c r="BN77" i="2"/>
  <c r="BO77" i="2"/>
  <c r="BP77" i="2"/>
  <c r="BQ77" i="2"/>
  <c r="BM78" i="2"/>
  <c r="BN78" i="2"/>
  <c r="BO78" i="2"/>
  <c r="BP78" i="2"/>
  <c r="BQ78" i="2"/>
  <c r="BM79" i="2"/>
  <c r="BN79" i="2"/>
  <c r="BO79" i="2"/>
  <c r="BP79" i="2"/>
  <c r="BQ79" i="2"/>
  <c r="BM80" i="2"/>
  <c r="BN80" i="2"/>
  <c r="BO80" i="2"/>
  <c r="BP80" i="2"/>
  <c r="BQ80" i="2"/>
  <c r="BM81" i="2"/>
  <c r="BN81" i="2"/>
  <c r="BO81" i="2"/>
  <c r="BP81" i="2"/>
  <c r="BQ81" i="2"/>
  <c r="BM82" i="2"/>
  <c r="BN82" i="2"/>
  <c r="BO82" i="2"/>
  <c r="BP82" i="2"/>
  <c r="BQ82" i="2"/>
  <c r="BM83" i="2"/>
  <c r="BN83" i="2"/>
  <c r="BO83" i="2"/>
  <c r="BP83" i="2"/>
  <c r="BQ83" i="2"/>
  <c r="BM84" i="2"/>
  <c r="BN84" i="2"/>
  <c r="BO84" i="2"/>
  <c r="BP84" i="2"/>
  <c r="BQ84" i="2"/>
  <c r="BM85" i="2"/>
  <c r="BN85" i="2"/>
  <c r="BO85" i="2"/>
  <c r="BP85" i="2"/>
  <c r="BQ85" i="2"/>
  <c r="BM86" i="2"/>
  <c r="BN86" i="2"/>
  <c r="BO86" i="2"/>
  <c r="BP86" i="2"/>
  <c r="BQ86" i="2"/>
  <c r="BM87" i="2"/>
  <c r="BN87" i="2"/>
  <c r="BO87" i="2"/>
  <c r="BP87" i="2"/>
  <c r="BQ87" i="2"/>
  <c r="BM88" i="2"/>
  <c r="BN88" i="2"/>
  <c r="BO88" i="2"/>
  <c r="BP88" i="2"/>
  <c r="BQ88" i="2"/>
  <c r="BM89" i="2"/>
  <c r="BN89" i="2"/>
  <c r="BO89" i="2"/>
  <c r="BP89" i="2"/>
  <c r="BQ89" i="2"/>
  <c r="BM90" i="2"/>
  <c r="BN90" i="2"/>
  <c r="BO90" i="2"/>
  <c r="BP90" i="2"/>
  <c r="BQ90" i="2"/>
  <c r="BM91" i="2"/>
  <c r="BN91" i="2"/>
  <c r="BO91" i="2"/>
  <c r="BP91" i="2"/>
  <c r="BQ91" i="2"/>
  <c r="BM92" i="2"/>
  <c r="BN92" i="2"/>
  <c r="BO92" i="2"/>
  <c r="BP92" i="2"/>
  <c r="BQ92" i="2"/>
  <c r="BM93" i="2"/>
  <c r="BN93" i="2"/>
  <c r="BO93" i="2"/>
  <c r="BP93" i="2"/>
  <c r="BQ93" i="2"/>
  <c r="BM94" i="2"/>
  <c r="BN94" i="2"/>
  <c r="BO94" i="2"/>
  <c r="BP94" i="2"/>
  <c r="BQ94" i="2"/>
  <c r="BM95" i="2"/>
  <c r="BN95" i="2"/>
  <c r="BO95" i="2"/>
  <c r="BP95" i="2"/>
  <c r="BQ95" i="2"/>
  <c r="BM96" i="2"/>
  <c r="BN96" i="2"/>
  <c r="BO96" i="2"/>
  <c r="BP96" i="2"/>
  <c r="BQ96" i="2"/>
  <c r="BM97" i="2"/>
  <c r="BN97" i="2"/>
  <c r="BO97" i="2"/>
  <c r="BP97" i="2"/>
  <c r="BQ97" i="2"/>
  <c r="BM98" i="2"/>
  <c r="BN98" i="2"/>
  <c r="BO98" i="2"/>
  <c r="BP98" i="2"/>
  <c r="BQ98" i="2"/>
  <c r="BM99" i="2"/>
  <c r="BN99" i="2"/>
  <c r="BO99" i="2"/>
  <c r="BP99" i="2"/>
  <c r="BQ99" i="2"/>
  <c r="BM100" i="2"/>
  <c r="BN100" i="2"/>
  <c r="BO100" i="2"/>
  <c r="BP100" i="2"/>
  <c r="BQ100" i="2"/>
  <c r="BM101" i="2"/>
  <c r="BN101" i="2"/>
  <c r="BO101" i="2"/>
  <c r="BP101" i="2"/>
  <c r="BQ101" i="2"/>
  <c r="BM102" i="2"/>
  <c r="BN102" i="2"/>
  <c r="BO102" i="2"/>
  <c r="BP102" i="2"/>
  <c r="BQ102" i="2"/>
  <c r="BM103" i="2"/>
  <c r="BN103" i="2"/>
  <c r="BO103" i="2"/>
  <c r="BP103" i="2"/>
  <c r="BQ103" i="2"/>
  <c r="BM104" i="2"/>
  <c r="BN104" i="2"/>
  <c r="BO104" i="2"/>
  <c r="BP104" i="2"/>
  <c r="BQ104" i="2"/>
  <c r="BM105" i="2"/>
  <c r="BN105" i="2"/>
  <c r="BO105" i="2"/>
  <c r="BP105" i="2"/>
  <c r="BQ105" i="2"/>
  <c r="BM106" i="2"/>
  <c r="BN106" i="2"/>
  <c r="BO106" i="2"/>
  <c r="BP106" i="2"/>
  <c r="BQ106" i="2"/>
  <c r="BM107" i="2"/>
  <c r="BN107" i="2"/>
  <c r="BO107" i="2"/>
  <c r="BP107" i="2"/>
  <c r="BQ107" i="2"/>
  <c r="BM108" i="2"/>
  <c r="BN108" i="2"/>
  <c r="BO108" i="2"/>
  <c r="BP108" i="2"/>
  <c r="BQ108" i="2"/>
  <c r="BM109" i="2"/>
  <c r="BN109" i="2"/>
  <c r="BO109" i="2"/>
  <c r="BP109" i="2"/>
  <c r="BQ109" i="2"/>
  <c r="BM110" i="2"/>
  <c r="BN110" i="2"/>
  <c r="BO110" i="2"/>
  <c r="BP110" i="2"/>
  <c r="BQ110" i="2"/>
  <c r="BM111" i="2"/>
  <c r="BN111" i="2"/>
  <c r="BO111" i="2"/>
  <c r="BP111" i="2"/>
  <c r="BQ111" i="2"/>
  <c r="BM112" i="2"/>
  <c r="BN112" i="2"/>
  <c r="BO112" i="2"/>
  <c r="BP112" i="2"/>
  <c r="BQ112" i="2"/>
  <c r="BM113" i="2"/>
  <c r="BN113" i="2"/>
  <c r="BO113" i="2"/>
  <c r="BP113" i="2"/>
  <c r="BQ113" i="2"/>
  <c r="BM114" i="2"/>
  <c r="BN114" i="2"/>
  <c r="BO114" i="2"/>
  <c r="BP114" i="2"/>
  <c r="BQ114" i="2"/>
  <c r="BM115" i="2"/>
  <c r="BN115" i="2"/>
  <c r="BO115" i="2"/>
  <c r="BP115" i="2"/>
  <c r="BQ115" i="2"/>
  <c r="BM116" i="2"/>
  <c r="BN116" i="2"/>
  <c r="BO116" i="2"/>
  <c r="BP116" i="2"/>
  <c r="BQ116" i="2"/>
  <c r="BM117" i="2"/>
  <c r="BN117" i="2"/>
  <c r="BO117" i="2"/>
  <c r="BP117" i="2"/>
  <c r="BQ117" i="2"/>
  <c r="BM118" i="2"/>
  <c r="BN118" i="2"/>
  <c r="BO118" i="2"/>
  <c r="BP118" i="2"/>
  <c r="BQ118" i="2"/>
  <c r="BM119" i="2"/>
  <c r="BN119" i="2"/>
  <c r="BO119" i="2"/>
  <c r="BP119" i="2"/>
  <c r="BQ119" i="2"/>
  <c r="BM120" i="2"/>
  <c r="BN120" i="2"/>
  <c r="BO120" i="2"/>
  <c r="BP120" i="2"/>
  <c r="BQ120" i="2"/>
  <c r="BM121" i="2"/>
  <c r="BN121" i="2"/>
  <c r="BO121" i="2"/>
  <c r="BP121" i="2"/>
  <c r="BQ121" i="2"/>
  <c r="BM122" i="2"/>
  <c r="BN122" i="2"/>
  <c r="BO122" i="2"/>
  <c r="BP122" i="2"/>
  <c r="BQ122" i="2"/>
  <c r="BM123" i="2"/>
  <c r="BN123" i="2"/>
  <c r="BO123" i="2"/>
  <c r="BP123" i="2"/>
  <c r="BQ123" i="2"/>
  <c r="BM124" i="2"/>
  <c r="BN124" i="2"/>
  <c r="BO124" i="2"/>
  <c r="BP124" i="2"/>
  <c r="BQ124" i="2"/>
  <c r="BM125" i="2"/>
  <c r="BN125" i="2"/>
  <c r="BO125" i="2"/>
  <c r="BP125" i="2"/>
  <c r="BQ125" i="2"/>
  <c r="BM126" i="2"/>
  <c r="BN126" i="2"/>
  <c r="BO126" i="2"/>
  <c r="BP126" i="2"/>
  <c r="BQ126" i="2"/>
  <c r="BM127" i="2"/>
  <c r="BN127" i="2"/>
  <c r="BO127" i="2"/>
  <c r="BP127" i="2"/>
  <c r="BQ127" i="2"/>
  <c r="BM128" i="2"/>
  <c r="BN128" i="2"/>
  <c r="BO128" i="2"/>
  <c r="BP128" i="2"/>
  <c r="BQ128" i="2"/>
  <c r="BM129" i="2"/>
  <c r="BN129" i="2"/>
  <c r="BO129" i="2"/>
  <c r="BP129" i="2"/>
  <c r="BQ129" i="2"/>
  <c r="BM130" i="2"/>
  <c r="BN130" i="2"/>
  <c r="BO130" i="2"/>
  <c r="BP130" i="2"/>
  <c r="BQ130" i="2"/>
  <c r="BM131" i="2"/>
  <c r="BN131" i="2"/>
  <c r="BO131" i="2"/>
  <c r="BP131" i="2"/>
  <c r="BQ131" i="2"/>
  <c r="BM132" i="2"/>
  <c r="BN132" i="2"/>
  <c r="BO132" i="2"/>
  <c r="BP132" i="2"/>
  <c r="BQ132" i="2"/>
  <c r="BM133" i="2"/>
  <c r="BN133" i="2"/>
  <c r="BO133" i="2"/>
  <c r="BP133" i="2"/>
  <c r="BQ133" i="2"/>
  <c r="BM134" i="2"/>
  <c r="BN134" i="2"/>
  <c r="BO134" i="2"/>
  <c r="BP134" i="2"/>
  <c r="BQ134" i="2"/>
  <c r="BM135" i="2"/>
  <c r="BN135" i="2"/>
  <c r="BO135" i="2"/>
  <c r="BP135" i="2"/>
  <c r="BQ135" i="2"/>
  <c r="BM136" i="2"/>
  <c r="BN136" i="2"/>
  <c r="BO136" i="2"/>
  <c r="BP136" i="2"/>
  <c r="BQ136" i="2"/>
  <c r="BM137" i="2"/>
  <c r="BN137" i="2"/>
  <c r="BO137" i="2"/>
  <c r="BP137" i="2"/>
  <c r="BQ137" i="2"/>
  <c r="BM138" i="2"/>
  <c r="BN138" i="2"/>
  <c r="BO138" i="2"/>
  <c r="BP138" i="2"/>
  <c r="BQ138" i="2"/>
  <c r="BM139" i="2"/>
  <c r="BN139" i="2"/>
  <c r="BO139" i="2"/>
  <c r="BP139" i="2"/>
  <c r="BQ139" i="2"/>
  <c r="BM140" i="2"/>
  <c r="BN140" i="2"/>
  <c r="BO140" i="2"/>
  <c r="BP140" i="2"/>
  <c r="BQ140" i="2"/>
  <c r="BM141" i="2"/>
  <c r="BN141" i="2"/>
  <c r="BO141" i="2"/>
  <c r="BP141" i="2"/>
  <c r="BQ141" i="2"/>
  <c r="BM142" i="2"/>
  <c r="BN142" i="2"/>
  <c r="BO142" i="2"/>
  <c r="BP142" i="2"/>
  <c r="BQ142" i="2"/>
  <c r="BM143" i="2"/>
  <c r="BN143" i="2"/>
  <c r="BO143" i="2"/>
  <c r="BP143" i="2"/>
  <c r="BQ143" i="2"/>
  <c r="BM144" i="2"/>
  <c r="BN144" i="2"/>
  <c r="BO144" i="2"/>
  <c r="BP144" i="2"/>
  <c r="BQ144" i="2"/>
  <c r="BM145" i="2"/>
  <c r="BN145" i="2"/>
  <c r="BO145" i="2"/>
  <c r="BP145" i="2"/>
  <c r="BQ145" i="2"/>
  <c r="BM146" i="2"/>
  <c r="BN146" i="2"/>
  <c r="BO146" i="2"/>
  <c r="BP146" i="2"/>
  <c r="BQ146" i="2"/>
  <c r="BM147" i="2"/>
  <c r="BN147" i="2"/>
  <c r="BO147" i="2"/>
  <c r="BP147" i="2"/>
  <c r="BQ147" i="2"/>
  <c r="BM148" i="2"/>
  <c r="BN148" i="2"/>
  <c r="BO148" i="2"/>
  <c r="BP148" i="2"/>
  <c r="BQ148" i="2"/>
  <c r="BM149" i="2"/>
  <c r="BN149" i="2"/>
  <c r="BO149" i="2"/>
  <c r="BP149" i="2"/>
  <c r="BQ149" i="2"/>
  <c r="BM150" i="2"/>
  <c r="BN150" i="2"/>
  <c r="BO150" i="2"/>
  <c r="BP150" i="2"/>
  <c r="BQ150" i="2"/>
  <c r="BM151" i="2"/>
  <c r="BN151" i="2"/>
  <c r="BO151" i="2"/>
  <c r="BP151" i="2"/>
  <c r="BQ151" i="2"/>
  <c r="BM152" i="2"/>
  <c r="BN152" i="2"/>
  <c r="BO152" i="2"/>
  <c r="BP152" i="2"/>
  <c r="BQ152" i="2"/>
  <c r="BM153" i="2"/>
  <c r="BN153" i="2"/>
  <c r="BO153" i="2"/>
  <c r="BP153" i="2"/>
  <c r="BQ153" i="2"/>
  <c r="BM154" i="2"/>
  <c r="BN154" i="2"/>
  <c r="BO154" i="2"/>
  <c r="BP154" i="2"/>
  <c r="BQ154" i="2"/>
  <c r="BM155" i="2"/>
  <c r="BN155" i="2"/>
  <c r="BO155" i="2"/>
  <c r="BP155" i="2"/>
  <c r="BQ155" i="2"/>
  <c r="BM156" i="2"/>
  <c r="BN156" i="2"/>
  <c r="BO156" i="2"/>
  <c r="BP156" i="2"/>
  <c r="BQ156" i="2"/>
  <c r="BM157" i="2"/>
  <c r="BN157" i="2"/>
  <c r="BO157" i="2"/>
  <c r="BP157" i="2"/>
  <c r="BQ157" i="2"/>
  <c r="BM158" i="2"/>
  <c r="BN158" i="2"/>
  <c r="BO158" i="2"/>
  <c r="BP158" i="2"/>
  <c r="BQ158" i="2"/>
  <c r="BM159" i="2"/>
  <c r="BN159" i="2"/>
  <c r="BO159" i="2"/>
  <c r="BP159" i="2"/>
  <c r="BQ159" i="2"/>
  <c r="BM160" i="2"/>
  <c r="BN160" i="2"/>
  <c r="BO160" i="2"/>
  <c r="BP160" i="2"/>
  <c r="BQ160" i="2"/>
  <c r="BM161" i="2"/>
  <c r="BN161" i="2"/>
  <c r="BO161" i="2"/>
  <c r="BP161" i="2"/>
  <c r="BQ161" i="2"/>
  <c r="BM162" i="2"/>
  <c r="BN162" i="2"/>
  <c r="BO162" i="2"/>
  <c r="BP162" i="2"/>
  <c r="BQ162" i="2"/>
  <c r="C68" i="14" l="1"/>
  <c r="D1538" i="12"/>
  <c r="F1537" i="12"/>
  <c r="E1537" i="12"/>
  <c r="J6" i="6"/>
  <c r="C69" i="14" l="1"/>
  <c r="D1539" i="12"/>
  <c r="F1538" i="12"/>
  <c r="E1538" i="12"/>
  <c r="B29" i="2"/>
  <c r="B30" i="2"/>
  <c r="B31" i="2"/>
  <c r="B35" i="2"/>
  <c r="A28" i="5"/>
  <c r="A30" i="5"/>
  <c r="A32" i="5"/>
  <c r="A34" i="5"/>
  <c r="F47" i="2" l="1"/>
  <c r="E47" i="5"/>
  <c r="P49" i="2"/>
  <c r="P46" i="2"/>
  <c r="I50" i="2"/>
  <c r="DQ18" i="2" s="1"/>
  <c r="P50" i="2"/>
  <c r="I44" i="2"/>
  <c r="DK18" i="2" s="1"/>
  <c r="H44" i="5"/>
  <c r="DK18" i="5" s="1"/>
  <c r="H48" i="5"/>
  <c r="DO18" i="5" s="1"/>
  <c r="N44" i="5"/>
  <c r="I46" i="2"/>
  <c r="DM18" i="2" s="1"/>
  <c r="E50" i="5"/>
  <c r="I49" i="2"/>
  <c r="DP18" i="2" s="1"/>
  <c r="I48" i="2"/>
  <c r="DO18" i="2" s="1"/>
  <c r="H50" i="5"/>
  <c r="P43" i="2"/>
  <c r="H45" i="5"/>
  <c r="DL18" i="5" s="1"/>
  <c r="P48" i="2"/>
  <c r="I43" i="2"/>
  <c r="DJ18" i="2" s="1"/>
  <c r="E43" i="5"/>
  <c r="N49" i="5"/>
  <c r="H49" i="5"/>
  <c r="N46" i="5"/>
  <c r="F44" i="2"/>
  <c r="F51" i="2"/>
  <c r="L51" i="2" s="1"/>
  <c r="O51" i="2" s="1"/>
  <c r="P45" i="2"/>
  <c r="I51" i="2"/>
  <c r="N43" i="5"/>
  <c r="E44" i="5"/>
  <c r="P51" i="2"/>
  <c r="F50" i="2"/>
  <c r="P44" i="2"/>
  <c r="F52" i="2"/>
  <c r="L52" i="2" s="1"/>
  <c r="O52" i="2" s="1"/>
  <c r="F45" i="2"/>
  <c r="I52" i="2"/>
  <c r="F49" i="2"/>
  <c r="P47" i="2"/>
  <c r="F43" i="2"/>
  <c r="H47" i="5"/>
  <c r="DN18" i="5" s="1"/>
  <c r="N47" i="5"/>
  <c r="F46" i="2"/>
  <c r="I45" i="2"/>
  <c r="DL18" i="2" s="1"/>
  <c r="E45" i="5"/>
  <c r="H46" i="5"/>
  <c r="DM18" i="5" s="1"/>
  <c r="N45" i="5"/>
  <c r="N50" i="5"/>
  <c r="E49" i="5"/>
  <c r="F48" i="2"/>
  <c r="N48" i="5"/>
  <c r="H43" i="5"/>
  <c r="DJ18" i="5" s="1"/>
  <c r="E46" i="5"/>
  <c r="P52" i="2"/>
  <c r="E48" i="5"/>
  <c r="I47" i="2"/>
  <c r="DN18" i="2" s="1"/>
  <c r="H36" i="5"/>
  <c r="E35" i="5"/>
  <c r="B35" i="5" s="1"/>
  <c r="N38" i="5"/>
  <c r="H35" i="5"/>
  <c r="H37" i="5"/>
  <c r="E38" i="5"/>
  <c r="H42" i="5"/>
  <c r="I41" i="2"/>
  <c r="DH18" i="2" s="1"/>
  <c r="H39" i="5"/>
  <c r="DF18" i="5" s="1"/>
  <c r="F37" i="2"/>
  <c r="F36" i="2"/>
  <c r="I38" i="2"/>
  <c r="DE18" i="2" s="1"/>
  <c r="I36" i="2"/>
  <c r="P37" i="2"/>
  <c r="I39" i="2"/>
  <c r="DF18" i="2" s="1"/>
  <c r="F38" i="2"/>
  <c r="P36" i="2"/>
  <c r="I40" i="2"/>
  <c r="DG18" i="2" s="1"/>
  <c r="I37" i="2"/>
  <c r="N42" i="5"/>
  <c r="N40" i="5"/>
  <c r="F42" i="2"/>
  <c r="P39" i="2"/>
  <c r="E41" i="5"/>
  <c r="C70" i="14"/>
  <c r="D1540" i="12"/>
  <c r="E1539" i="12"/>
  <c r="F1539" i="12"/>
  <c r="FK12" i="6"/>
  <c r="FK13" i="6"/>
  <c r="FK14" i="6"/>
  <c r="FK15" i="6"/>
  <c r="FK16" i="6"/>
  <c r="FK17" i="6"/>
  <c r="FK18" i="6"/>
  <c r="FK19" i="6"/>
  <c r="FK20" i="6"/>
  <c r="FK21" i="6"/>
  <c r="FK22" i="6"/>
  <c r="FK23" i="6"/>
  <c r="FK24" i="6"/>
  <c r="FK25" i="6"/>
  <c r="FK26" i="6"/>
  <c r="FK27" i="6"/>
  <c r="FK28" i="6"/>
  <c r="FK29" i="6"/>
  <c r="FK30" i="6"/>
  <c r="FK31" i="6"/>
  <c r="FK32" i="6"/>
  <c r="FK33" i="6"/>
  <c r="FK34" i="6"/>
  <c r="FK35" i="6"/>
  <c r="FK36" i="6"/>
  <c r="FK37" i="6"/>
  <c r="FK38" i="6"/>
  <c r="FK39" i="6"/>
  <c r="FK40" i="6"/>
  <c r="FK41" i="6"/>
  <c r="FK42" i="6"/>
  <c r="FK43" i="6"/>
  <c r="FK44" i="6"/>
  <c r="FK45" i="6"/>
  <c r="FK46" i="6"/>
  <c r="FK47" i="6"/>
  <c r="FK48" i="6"/>
  <c r="FK49" i="6"/>
  <c r="FK50" i="6"/>
  <c r="FK51" i="6"/>
  <c r="FK52" i="6"/>
  <c r="FK53" i="6"/>
  <c r="FK54" i="6"/>
  <c r="FK55" i="6"/>
  <c r="FK56" i="6"/>
  <c r="FK57" i="6"/>
  <c r="FK58" i="6"/>
  <c r="FK59" i="6"/>
  <c r="FK60" i="6"/>
  <c r="FK61" i="6"/>
  <c r="FK62" i="6"/>
  <c r="FK63" i="6"/>
  <c r="FK64" i="6"/>
  <c r="FK65" i="6"/>
  <c r="FK66" i="6"/>
  <c r="FK67" i="6"/>
  <c r="FK68" i="6"/>
  <c r="FK69" i="6"/>
  <c r="FK70" i="6"/>
  <c r="FK71" i="6"/>
  <c r="FK72" i="6"/>
  <c r="FK73" i="6"/>
  <c r="FK74" i="6"/>
  <c r="FK75" i="6"/>
  <c r="FK76" i="6"/>
  <c r="FK77" i="6"/>
  <c r="FK78" i="6"/>
  <c r="FK79" i="6"/>
  <c r="FK80" i="6"/>
  <c r="FK81" i="6"/>
  <c r="FK82" i="6"/>
  <c r="FK83" i="6"/>
  <c r="FK84" i="6"/>
  <c r="FK85" i="6"/>
  <c r="FK86" i="6"/>
  <c r="FK87" i="6"/>
  <c r="FK88" i="6"/>
  <c r="FK89" i="6"/>
  <c r="FK90" i="6"/>
  <c r="FK91" i="6"/>
  <c r="FK92" i="6"/>
  <c r="FK93" i="6"/>
  <c r="FK94" i="6"/>
  <c r="FK95" i="6"/>
  <c r="FK96" i="6"/>
  <c r="FK97" i="6"/>
  <c r="FK98" i="6"/>
  <c r="FK99" i="6"/>
  <c r="FK100" i="6"/>
  <c r="FK101" i="6"/>
  <c r="FK102" i="6"/>
  <c r="FK103" i="6"/>
  <c r="FK104" i="6"/>
  <c r="FK105" i="6"/>
  <c r="FK106" i="6"/>
  <c r="FK107" i="6"/>
  <c r="FK108" i="6"/>
  <c r="FK109" i="6"/>
  <c r="FK110" i="6"/>
  <c r="FK111" i="6"/>
  <c r="FK112" i="6"/>
  <c r="FK113" i="6"/>
  <c r="FK114" i="6"/>
  <c r="FK115" i="6"/>
  <c r="FK116" i="6"/>
  <c r="FK117" i="6"/>
  <c r="FK118" i="6"/>
  <c r="FK119" i="6"/>
  <c r="FK120" i="6"/>
  <c r="FK121" i="6"/>
  <c r="FK122" i="6"/>
  <c r="FK123" i="6"/>
  <c r="FK124" i="6"/>
  <c r="FK125" i="6"/>
  <c r="FK126" i="6"/>
  <c r="FK127" i="6"/>
  <c r="FK128" i="6"/>
  <c r="FK129" i="6"/>
  <c r="FK130" i="6"/>
  <c r="FK131" i="6"/>
  <c r="FK132" i="6"/>
  <c r="FK133" i="6"/>
  <c r="FK134" i="6"/>
  <c r="FK135" i="6"/>
  <c r="FK136" i="6"/>
  <c r="FK137" i="6"/>
  <c r="FK138" i="6"/>
  <c r="FK139" i="6"/>
  <c r="FK140" i="6"/>
  <c r="FK141" i="6"/>
  <c r="FK142" i="6"/>
  <c r="FK143" i="6"/>
  <c r="FK144" i="6"/>
  <c r="FK145" i="6"/>
  <c r="FK146" i="6"/>
  <c r="FK147" i="6"/>
  <c r="FK148" i="6"/>
  <c r="FK149" i="6"/>
  <c r="FK150" i="6"/>
  <c r="FK151" i="6"/>
  <c r="FK152" i="6"/>
  <c r="FK153" i="6"/>
  <c r="FK154" i="6"/>
  <c r="FK155" i="6"/>
  <c r="FK156" i="6"/>
  <c r="FK157" i="6"/>
  <c r="FK158" i="6"/>
  <c r="FK159" i="6"/>
  <c r="FK160" i="6"/>
  <c r="FK161" i="6"/>
  <c r="FK162" i="6"/>
  <c r="FK163" i="6"/>
  <c r="FK164" i="6"/>
  <c r="FK165" i="6"/>
  <c r="FK166" i="6"/>
  <c r="FK167" i="6"/>
  <c r="FK168" i="6"/>
  <c r="FK169" i="6"/>
  <c r="FK170" i="6"/>
  <c r="FK171" i="6"/>
  <c r="FK172" i="6"/>
  <c r="FK173" i="6"/>
  <c r="FK174" i="6"/>
  <c r="FK175" i="6"/>
  <c r="FK176" i="6"/>
  <c r="FK177" i="6"/>
  <c r="FK178" i="6"/>
  <c r="FK179" i="6"/>
  <c r="FK180" i="6"/>
  <c r="FK181" i="6"/>
  <c r="FK182" i="6"/>
  <c r="FK183" i="6"/>
  <c r="FK184" i="6"/>
  <c r="FK185" i="6"/>
  <c r="FK186" i="6"/>
  <c r="FK187" i="6"/>
  <c r="FK188" i="6"/>
  <c r="FK189" i="6"/>
  <c r="FK190" i="6"/>
  <c r="FK191" i="6"/>
  <c r="FK192" i="6"/>
  <c r="FK193" i="6"/>
  <c r="FK194" i="6"/>
  <c r="FK195" i="6"/>
  <c r="FK196" i="6"/>
  <c r="FK197" i="6"/>
  <c r="FK198" i="6"/>
  <c r="FK199" i="6"/>
  <c r="FK200" i="6"/>
  <c r="FK201" i="6"/>
  <c r="FK202" i="6"/>
  <c r="FK203" i="6"/>
  <c r="FK204" i="6"/>
  <c r="FK205" i="6"/>
  <c r="FK206" i="6"/>
  <c r="FK207" i="6"/>
  <c r="FK208" i="6"/>
  <c r="FK209" i="6"/>
  <c r="FK210" i="6"/>
  <c r="DQ18" i="5" l="1"/>
  <c r="DP18" i="5"/>
  <c r="DI18" i="5"/>
  <c r="P42" i="2"/>
  <c r="P38" i="2"/>
  <c r="N37" i="5"/>
  <c r="H41" i="5"/>
  <c r="DH18" i="5" s="1"/>
  <c r="N35" i="5"/>
  <c r="F39" i="2"/>
  <c r="E39" i="5"/>
  <c r="P41" i="2"/>
  <c r="F41" i="2"/>
  <c r="N41" i="5"/>
  <c r="H38" i="5"/>
  <c r="DE18" i="5" s="1"/>
  <c r="E40" i="5"/>
  <c r="F40" i="2"/>
  <c r="I42" i="2"/>
  <c r="DI18" i="2" s="1"/>
  <c r="E36" i="5"/>
  <c r="E37" i="5"/>
  <c r="H40" i="5"/>
  <c r="DG18" i="5" s="1"/>
  <c r="E42" i="5"/>
  <c r="P40" i="2"/>
  <c r="N39" i="5"/>
  <c r="N36" i="5"/>
  <c r="C71" i="14"/>
  <c r="D1541" i="12"/>
  <c r="F1540" i="12"/>
  <c r="E1540" i="12"/>
  <c r="H6" i="12"/>
  <c r="C6" i="12" s="1"/>
  <c r="H13" i="12"/>
  <c r="C13" i="12" s="1"/>
  <c r="H5" i="12"/>
  <c r="C5" i="12" s="1"/>
  <c r="H7" i="12"/>
  <c r="C7" i="12" s="1"/>
  <c r="H8" i="12"/>
  <c r="C8" i="12" s="1"/>
  <c r="L14" i="12" s="1"/>
  <c r="C9" i="12"/>
  <c r="H10" i="12"/>
  <c r="C10" i="12" s="1"/>
  <c r="H11" i="12"/>
  <c r="C11" i="12" s="1"/>
  <c r="H12" i="12"/>
  <c r="C12" i="12" s="1"/>
  <c r="H4" i="12"/>
  <c r="C4" i="12" s="1"/>
  <c r="H3" i="12"/>
  <c r="C3" i="12" s="1"/>
  <c r="C72" i="14" l="1"/>
  <c r="D1542" i="12"/>
  <c r="E1541" i="12"/>
  <c r="F1541" i="12"/>
  <c r="FM14" i="6"/>
  <c r="C73" i="14" l="1"/>
  <c r="D1543" i="12"/>
  <c r="F1542" i="12"/>
  <c r="E1542" i="12"/>
  <c r="E35" i="2"/>
  <c r="C74" i="14" l="1"/>
  <c r="P35" i="2"/>
  <c r="F35" i="2"/>
  <c r="I35" i="2"/>
  <c r="D1544" i="12"/>
  <c r="F1543" i="12"/>
  <c r="E1543" i="12"/>
  <c r="H6" i="15"/>
  <c r="FK210" i="15"/>
  <c r="FK209" i="15"/>
  <c r="FK208" i="15"/>
  <c r="FK207" i="15"/>
  <c r="FK206" i="15"/>
  <c r="FK205" i="15"/>
  <c r="FK204" i="15"/>
  <c r="FK203" i="15"/>
  <c r="FK202" i="15"/>
  <c r="FK201" i="15"/>
  <c r="FK200" i="15"/>
  <c r="FK199" i="15"/>
  <c r="FK198" i="15"/>
  <c r="FK197" i="15"/>
  <c r="FK196" i="15"/>
  <c r="FK195" i="15"/>
  <c r="FK194" i="15"/>
  <c r="FK193" i="15"/>
  <c r="FK192" i="15"/>
  <c r="FK191" i="15"/>
  <c r="FK190" i="15"/>
  <c r="FK189" i="15"/>
  <c r="FK188" i="15"/>
  <c r="FK187" i="15"/>
  <c r="FK186" i="15"/>
  <c r="FK185" i="15"/>
  <c r="FK184" i="15"/>
  <c r="FK183" i="15"/>
  <c r="FK182" i="15"/>
  <c r="FK181" i="15"/>
  <c r="FK180" i="15"/>
  <c r="FK179" i="15"/>
  <c r="FK178" i="15"/>
  <c r="FK177" i="15"/>
  <c r="FK176" i="15"/>
  <c r="FK175" i="15"/>
  <c r="FK174" i="15"/>
  <c r="FK173" i="15"/>
  <c r="FK172" i="15"/>
  <c r="FK171" i="15"/>
  <c r="FK170" i="15"/>
  <c r="FK169" i="15"/>
  <c r="FK168" i="15"/>
  <c r="FK167" i="15"/>
  <c r="FK166" i="15"/>
  <c r="FK165" i="15"/>
  <c r="FK164" i="15"/>
  <c r="FK163" i="15"/>
  <c r="FK162" i="15"/>
  <c r="FK161" i="15"/>
  <c r="FK160" i="15"/>
  <c r="FK159" i="15"/>
  <c r="FK158" i="15"/>
  <c r="FK157" i="15"/>
  <c r="FK156" i="15"/>
  <c r="FK155" i="15"/>
  <c r="FK154" i="15"/>
  <c r="FK153" i="15"/>
  <c r="FK152" i="15"/>
  <c r="FK151" i="15"/>
  <c r="FK150" i="15"/>
  <c r="FK149" i="15"/>
  <c r="FK148" i="15"/>
  <c r="FK147" i="15"/>
  <c r="FK146" i="15"/>
  <c r="FK145" i="15"/>
  <c r="FK144" i="15"/>
  <c r="FK143" i="15"/>
  <c r="FK142" i="15"/>
  <c r="FK141" i="15"/>
  <c r="FK140" i="15"/>
  <c r="FK139" i="15"/>
  <c r="FK138" i="15"/>
  <c r="FK137" i="15"/>
  <c r="FK136" i="15"/>
  <c r="FK135" i="15"/>
  <c r="FK134" i="15"/>
  <c r="FK133" i="15"/>
  <c r="FK132" i="15"/>
  <c r="FK131" i="15"/>
  <c r="FK130" i="15"/>
  <c r="FK129" i="15"/>
  <c r="FK128" i="15"/>
  <c r="FK127" i="15"/>
  <c r="FK126" i="15"/>
  <c r="FK125" i="15"/>
  <c r="FK124" i="15"/>
  <c r="FK123" i="15"/>
  <c r="FK122" i="15"/>
  <c r="FK121" i="15"/>
  <c r="FK120" i="15"/>
  <c r="FK119" i="15"/>
  <c r="FK118" i="15"/>
  <c r="FK117" i="15"/>
  <c r="FK116" i="15"/>
  <c r="FK115" i="15"/>
  <c r="FK114" i="15"/>
  <c r="FK113" i="15"/>
  <c r="FK112" i="15"/>
  <c r="FK111" i="15"/>
  <c r="FK110" i="15"/>
  <c r="FK109" i="15"/>
  <c r="FK108" i="15"/>
  <c r="FK107" i="15"/>
  <c r="FK106" i="15"/>
  <c r="FK105" i="15"/>
  <c r="FK104" i="15"/>
  <c r="FK103" i="15"/>
  <c r="FK102" i="15"/>
  <c r="FK101" i="15"/>
  <c r="FK100" i="15"/>
  <c r="FK99" i="15"/>
  <c r="FK98" i="15"/>
  <c r="FK97" i="15"/>
  <c r="FK96" i="15"/>
  <c r="FK95" i="15"/>
  <c r="FK94" i="15"/>
  <c r="FK93" i="15"/>
  <c r="FK92" i="15"/>
  <c r="FK91" i="15"/>
  <c r="FK90" i="15"/>
  <c r="FK89" i="15"/>
  <c r="FK88" i="15"/>
  <c r="FK87" i="15"/>
  <c r="FK86" i="15"/>
  <c r="FK85" i="15"/>
  <c r="FK84" i="15"/>
  <c r="FK83" i="15"/>
  <c r="FK82" i="15"/>
  <c r="FK81" i="15"/>
  <c r="FK80" i="15"/>
  <c r="FK79" i="15"/>
  <c r="FK78" i="15"/>
  <c r="FK77" i="15"/>
  <c r="FK76" i="15"/>
  <c r="FK75" i="15"/>
  <c r="FK74" i="15"/>
  <c r="FK73" i="15"/>
  <c r="FK72" i="15"/>
  <c r="FK71" i="15"/>
  <c r="FK70" i="15"/>
  <c r="FK69" i="15"/>
  <c r="FK68" i="15"/>
  <c r="FK67" i="15"/>
  <c r="FK66" i="15"/>
  <c r="FK65" i="15"/>
  <c r="FK64" i="15"/>
  <c r="FK63" i="15"/>
  <c r="FK62" i="15"/>
  <c r="FK61" i="15"/>
  <c r="FK60" i="15"/>
  <c r="FK59" i="15"/>
  <c r="FK58" i="15"/>
  <c r="FK57" i="15"/>
  <c r="FK56" i="15"/>
  <c r="FK55" i="15"/>
  <c r="FK54" i="15"/>
  <c r="FK53" i="15"/>
  <c r="FK52" i="15"/>
  <c r="FK51" i="15"/>
  <c r="FK50" i="15"/>
  <c r="FK49" i="15"/>
  <c r="FK48" i="15"/>
  <c r="FK47" i="15"/>
  <c r="FK46" i="15"/>
  <c r="FK45" i="15"/>
  <c r="FK44" i="15"/>
  <c r="FK43" i="15"/>
  <c r="FK42" i="15"/>
  <c r="FK41" i="15"/>
  <c r="FK40" i="15"/>
  <c r="FK39" i="15"/>
  <c r="FK38" i="15"/>
  <c r="FK37" i="15"/>
  <c r="FK36" i="15"/>
  <c r="FK35" i="15"/>
  <c r="FK34" i="15"/>
  <c r="FK33" i="15"/>
  <c r="FK32" i="15"/>
  <c r="FK31" i="15"/>
  <c r="FK30" i="15"/>
  <c r="FA30" i="15"/>
  <c r="FB30" i="15" s="1"/>
  <c r="FK29" i="15"/>
  <c r="FA29" i="15"/>
  <c r="FB29" i="15" s="1"/>
  <c r="FK28" i="15"/>
  <c r="FB28" i="15"/>
  <c r="FK27" i="15"/>
  <c r="FB27" i="15"/>
  <c r="FK26" i="15"/>
  <c r="FA26" i="15"/>
  <c r="FB26" i="15" s="1"/>
  <c r="FK25" i="15"/>
  <c r="FK24" i="15"/>
  <c r="FK23" i="15"/>
  <c r="FK22" i="15"/>
  <c r="FK21" i="15"/>
  <c r="FK20" i="15"/>
  <c r="FK19" i="15"/>
  <c r="FK18" i="15"/>
  <c r="FK17" i="15"/>
  <c r="FK16" i="15"/>
  <c r="FK15" i="15"/>
  <c r="FK14" i="15"/>
  <c r="FK13" i="15"/>
  <c r="FK12" i="15"/>
  <c r="FK11" i="15"/>
  <c r="C75" i="14" l="1"/>
  <c r="D1545" i="12"/>
  <c r="F1544" i="12"/>
  <c r="E1544" i="12"/>
  <c r="O6" i="15"/>
  <c r="AA7" i="15" s="1"/>
  <c r="J6" i="15"/>
  <c r="R7" i="15"/>
  <c r="V7" i="15" s="1"/>
  <c r="Q7" i="15"/>
  <c r="K6" i="15"/>
  <c r="N5" i="15" s="1"/>
  <c r="L6" i="15"/>
  <c r="M6" i="15" s="1"/>
  <c r="F11" i="15"/>
  <c r="C76" i="14" l="1"/>
  <c r="D1546" i="12"/>
  <c r="E1545" i="12"/>
  <c r="F1545" i="12"/>
  <c r="X7" i="15"/>
  <c r="S12" i="5"/>
  <c r="T12" i="5"/>
  <c r="R12" i="5"/>
  <c r="Q12" i="5"/>
  <c r="O12" i="5"/>
  <c r="P12" i="5"/>
  <c r="M12" i="5"/>
  <c r="N12" i="5"/>
  <c r="F12" i="5"/>
  <c r="K12" i="5"/>
  <c r="D12" i="5"/>
  <c r="G12" i="5"/>
  <c r="L12" i="5"/>
  <c r="I12" i="5"/>
  <c r="H9" i="15"/>
  <c r="I9" i="15" s="1"/>
  <c r="G10" i="15"/>
  <c r="H12" i="5"/>
  <c r="J12" i="5"/>
  <c r="E12" i="5"/>
  <c r="A31" i="5" s="1"/>
  <c r="I10" i="12"/>
  <c r="I13" i="12"/>
  <c r="I2" i="12"/>
  <c r="C77" i="14" l="1"/>
  <c r="D1547" i="12"/>
  <c r="F1546" i="12"/>
  <c r="E1546" i="12"/>
  <c r="I8" i="12"/>
  <c r="I5" i="12"/>
  <c r="I10" i="15"/>
  <c r="J9" i="15"/>
  <c r="H10" i="15"/>
  <c r="I6" i="12"/>
  <c r="I12" i="12"/>
  <c r="I4" i="12"/>
  <c r="I3" i="12"/>
  <c r="I11" i="12"/>
  <c r="I7" i="12"/>
  <c r="C78" i="14" l="1"/>
  <c r="D1548" i="12"/>
  <c r="E1547" i="12"/>
  <c r="F1547" i="12"/>
  <c r="K9" i="15"/>
  <c r="J10" i="15"/>
  <c r="O12" i="14"/>
  <c r="D16" i="14" s="1"/>
  <c r="Q14" i="14"/>
  <c r="Q15" i="14"/>
  <c r="O19" i="14"/>
  <c r="O18" i="14" s="1"/>
  <c r="C16" i="14" s="1"/>
  <c r="O26" i="14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E2" i="12"/>
  <c r="F2" i="12"/>
  <c r="E3" i="12"/>
  <c r="F3" i="12"/>
  <c r="E4" i="12"/>
  <c r="F4" i="12"/>
  <c r="E5" i="12"/>
  <c r="F5" i="12"/>
  <c r="E6" i="12"/>
  <c r="F6" i="12"/>
  <c r="E7" i="12"/>
  <c r="F7" i="12"/>
  <c r="E8" i="12"/>
  <c r="F8" i="12"/>
  <c r="L8" i="12"/>
  <c r="E9" i="12"/>
  <c r="F9" i="12"/>
  <c r="L9" i="12"/>
  <c r="E10" i="12"/>
  <c r="F10" i="12"/>
  <c r="L10" i="12"/>
  <c r="N10" i="12"/>
  <c r="E11" i="12"/>
  <c r="F11" i="12"/>
  <c r="L11" i="12"/>
  <c r="N11" i="12"/>
  <c r="E12" i="12"/>
  <c r="F12" i="12"/>
  <c r="L12" i="12"/>
  <c r="N12" i="12"/>
  <c r="E13" i="12"/>
  <c r="F13" i="12"/>
  <c r="L13" i="12"/>
  <c r="N13" i="12"/>
  <c r="E14" i="12"/>
  <c r="F14" i="12"/>
  <c r="N14" i="12"/>
  <c r="L15" i="12"/>
  <c r="N15" i="12"/>
  <c r="L16" i="12"/>
  <c r="N16" i="12"/>
  <c r="L17" i="12"/>
  <c r="N17" i="12"/>
  <c r="L18" i="12"/>
  <c r="N18" i="12"/>
  <c r="L19" i="12"/>
  <c r="N19" i="12"/>
  <c r="L20" i="12"/>
  <c r="N20" i="12"/>
  <c r="P32" i="14" l="1"/>
  <c r="P33" i="14" s="1"/>
  <c r="E17" i="14"/>
  <c r="C79" i="14"/>
  <c r="D1549" i="12"/>
  <c r="F1548" i="12"/>
  <c r="E1548" i="12"/>
  <c r="L9" i="15"/>
  <c r="K10" i="15"/>
  <c r="O15" i="14"/>
  <c r="D19" i="14"/>
  <c r="E16" i="14" l="1"/>
  <c r="O32" i="14" s="1"/>
  <c r="O33" i="14" s="1"/>
  <c r="C80" i="14"/>
  <c r="D1550" i="12"/>
  <c r="F1549" i="12"/>
  <c r="E1549" i="12"/>
  <c r="L10" i="15"/>
  <c r="M9" i="15"/>
  <c r="D18" i="14"/>
  <c r="D20" i="14" l="1"/>
  <c r="D21" i="14" s="1"/>
  <c r="E19" i="14"/>
  <c r="E18" i="14"/>
  <c r="E20" i="14" s="1"/>
  <c r="E21" i="14" s="1"/>
  <c r="C81" i="14"/>
  <c r="D1551" i="12"/>
  <c r="F1550" i="12"/>
  <c r="E1550" i="12"/>
  <c r="N9" i="15"/>
  <c r="M10" i="15"/>
  <c r="D24" i="14" l="1"/>
  <c r="D37" i="14" s="1"/>
  <c r="E37" i="14" s="1"/>
  <c r="C82" i="14"/>
  <c r="D1552" i="12"/>
  <c r="F1551" i="12"/>
  <c r="E1551" i="12"/>
  <c r="O9" i="15"/>
  <c r="N10" i="15"/>
  <c r="D120" i="14" l="1"/>
  <c r="D88" i="14"/>
  <c r="D60" i="14"/>
  <c r="E60" i="14" s="1"/>
  <c r="D123" i="14"/>
  <c r="D95" i="14"/>
  <c r="D63" i="14"/>
  <c r="E63" i="14" s="1"/>
  <c r="D126" i="14"/>
  <c r="D110" i="14"/>
  <c r="D94" i="14"/>
  <c r="D78" i="14"/>
  <c r="E78" i="14" s="1"/>
  <c r="D58" i="14"/>
  <c r="E58" i="14" s="1"/>
  <c r="D36" i="14"/>
  <c r="E36" i="14" s="1"/>
  <c r="D64" i="14"/>
  <c r="E64" i="14" s="1"/>
  <c r="D91" i="14"/>
  <c r="D97" i="14"/>
  <c r="D128" i="14"/>
  <c r="D68" i="14"/>
  <c r="E68" i="14" s="1"/>
  <c r="D103" i="14"/>
  <c r="D130" i="14"/>
  <c r="D114" i="14"/>
  <c r="D82" i="14"/>
  <c r="E82" i="14" s="1"/>
  <c r="D42" i="14"/>
  <c r="E42" i="14" s="1"/>
  <c r="D113" i="14"/>
  <c r="D112" i="14"/>
  <c r="D84" i="14"/>
  <c r="D52" i="14"/>
  <c r="E52" i="14" s="1"/>
  <c r="D115" i="14"/>
  <c r="D87" i="14"/>
  <c r="D55" i="14"/>
  <c r="E55" i="14" s="1"/>
  <c r="D122" i="14"/>
  <c r="D106" i="14"/>
  <c r="D90" i="14"/>
  <c r="D74" i="14"/>
  <c r="E74" i="14" s="1"/>
  <c r="D50" i="14"/>
  <c r="E50" i="14" s="1"/>
  <c r="D124" i="14"/>
  <c r="D56" i="14"/>
  <c r="E56" i="14" s="1"/>
  <c r="D59" i="14"/>
  <c r="E59" i="14" s="1"/>
  <c r="D81" i="14"/>
  <c r="E81" i="14" s="1"/>
  <c r="D96" i="14"/>
  <c r="D131" i="14"/>
  <c r="D71" i="14"/>
  <c r="E71" i="14" s="1"/>
  <c r="D98" i="14"/>
  <c r="D62" i="14"/>
  <c r="E62" i="14" s="1"/>
  <c r="D92" i="14"/>
  <c r="D119" i="14"/>
  <c r="D104" i="14"/>
  <c r="D76" i="14"/>
  <c r="E76" i="14" s="1"/>
  <c r="D44" i="14"/>
  <c r="E44" i="14" s="1"/>
  <c r="D107" i="14"/>
  <c r="D79" i="14"/>
  <c r="E79" i="14" s="1"/>
  <c r="D43" i="14"/>
  <c r="E43" i="14" s="1"/>
  <c r="D118" i="14"/>
  <c r="D102" i="14"/>
  <c r="D86" i="14"/>
  <c r="D66" i="14"/>
  <c r="E66" i="14" s="1"/>
  <c r="D46" i="14"/>
  <c r="E46" i="14" s="1"/>
  <c r="D100" i="14"/>
  <c r="D127" i="14"/>
  <c r="D129" i="14"/>
  <c r="D65" i="14"/>
  <c r="E65" i="14" s="1"/>
  <c r="D49" i="14"/>
  <c r="E49" i="14" s="1"/>
  <c r="D83" i="14"/>
  <c r="D51" i="14"/>
  <c r="E51" i="14" s="1"/>
  <c r="D125" i="14"/>
  <c r="D109" i="14"/>
  <c r="D93" i="14"/>
  <c r="D77" i="14"/>
  <c r="E77" i="14" s="1"/>
  <c r="D61" i="14"/>
  <c r="E61" i="14" s="1"/>
  <c r="D45" i="14"/>
  <c r="E45" i="14" s="1"/>
  <c r="D116" i="14"/>
  <c r="D80" i="14"/>
  <c r="E80" i="14" s="1"/>
  <c r="D48" i="14"/>
  <c r="E48" i="14" s="1"/>
  <c r="D111" i="14"/>
  <c r="D75" i="14"/>
  <c r="E75" i="14" s="1"/>
  <c r="D47" i="14"/>
  <c r="E47" i="14" s="1"/>
  <c r="D121" i="14"/>
  <c r="D105" i="14"/>
  <c r="D89" i="14"/>
  <c r="D73" i="14"/>
  <c r="E73" i="14" s="1"/>
  <c r="D57" i="14"/>
  <c r="E57" i="14" s="1"/>
  <c r="D41" i="14"/>
  <c r="E41" i="14" s="1"/>
  <c r="D70" i="14"/>
  <c r="E70" i="14" s="1"/>
  <c r="D54" i="14"/>
  <c r="E54" i="14" s="1"/>
  <c r="D38" i="14"/>
  <c r="E38" i="14" s="1"/>
  <c r="D108" i="14"/>
  <c r="D72" i="14"/>
  <c r="E72" i="14" s="1"/>
  <c r="D40" i="14"/>
  <c r="E40" i="14" s="1"/>
  <c r="D99" i="14"/>
  <c r="D67" i="14"/>
  <c r="E67" i="14" s="1"/>
  <c r="D39" i="14"/>
  <c r="E39" i="14" s="1"/>
  <c r="D117" i="14"/>
  <c r="D101" i="14"/>
  <c r="D85" i="14"/>
  <c r="D69" i="14"/>
  <c r="E69" i="14" s="1"/>
  <c r="D53" i="14"/>
  <c r="E53" i="14" s="1"/>
  <c r="C83" i="14"/>
  <c r="D1553" i="12"/>
  <c r="F1552" i="12"/>
  <c r="E1552" i="12"/>
  <c r="O10" i="15"/>
  <c r="P9" i="15"/>
  <c r="C84" i="14" l="1"/>
  <c r="E83" i="14"/>
  <c r="D1554" i="12"/>
  <c r="E1553" i="12"/>
  <c r="F1553" i="12"/>
  <c r="Q9" i="15"/>
  <c r="P10" i="15"/>
  <c r="C85" i="14" l="1"/>
  <c r="E84" i="14"/>
  <c r="D1555" i="12"/>
  <c r="F1554" i="12"/>
  <c r="E1554" i="12"/>
  <c r="R9" i="15"/>
  <c r="Q10" i="15"/>
  <c r="FM12" i="6"/>
  <c r="FM13" i="6"/>
  <c r="FM15" i="6"/>
  <c r="FM16" i="6"/>
  <c r="FM17" i="6"/>
  <c r="FM18" i="6"/>
  <c r="FM19" i="6"/>
  <c r="FM20" i="6"/>
  <c r="FM21" i="6"/>
  <c r="FM22" i="6"/>
  <c r="FM23" i="6"/>
  <c r="FM24" i="6"/>
  <c r="FM25" i="6"/>
  <c r="FM26" i="6"/>
  <c r="FM27" i="6"/>
  <c r="FM28" i="6"/>
  <c r="FM29" i="6"/>
  <c r="FM30" i="6"/>
  <c r="FM31" i="6"/>
  <c r="FM32" i="6"/>
  <c r="FM33" i="6"/>
  <c r="FM34" i="6"/>
  <c r="FM35" i="6"/>
  <c r="FM36" i="6"/>
  <c r="FM37" i="6"/>
  <c r="FM38" i="6"/>
  <c r="FM39" i="6"/>
  <c r="FM40" i="6"/>
  <c r="FM41" i="6"/>
  <c r="FM42" i="6"/>
  <c r="FM43" i="6"/>
  <c r="FM44" i="6"/>
  <c r="FM45" i="6"/>
  <c r="FM46" i="6"/>
  <c r="FM47" i="6"/>
  <c r="FM48" i="6"/>
  <c r="FM49" i="6"/>
  <c r="FM50" i="6"/>
  <c r="FM51" i="6"/>
  <c r="FM52" i="6"/>
  <c r="FM53" i="6"/>
  <c r="FM54" i="6"/>
  <c r="FM55" i="6"/>
  <c r="FM56" i="6"/>
  <c r="FM57" i="6"/>
  <c r="FM58" i="6"/>
  <c r="FM59" i="6"/>
  <c r="FM60" i="6"/>
  <c r="FM61" i="6"/>
  <c r="FM62" i="6"/>
  <c r="FM63" i="6"/>
  <c r="FM64" i="6"/>
  <c r="FM65" i="6"/>
  <c r="FM66" i="6"/>
  <c r="FM67" i="6"/>
  <c r="FM68" i="6"/>
  <c r="FM69" i="6"/>
  <c r="FM70" i="6"/>
  <c r="FM71" i="6"/>
  <c r="FM72" i="6"/>
  <c r="FM73" i="6"/>
  <c r="FM74" i="6"/>
  <c r="FM75" i="6"/>
  <c r="FM76" i="6"/>
  <c r="FM77" i="6"/>
  <c r="FM78" i="6"/>
  <c r="FM79" i="6"/>
  <c r="FM80" i="6"/>
  <c r="FM81" i="6"/>
  <c r="FM82" i="6"/>
  <c r="FM83" i="6"/>
  <c r="FM84" i="6"/>
  <c r="FM85" i="6"/>
  <c r="FM86" i="6"/>
  <c r="FM87" i="6"/>
  <c r="FM88" i="6"/>
  <c r="FM89" i="6"/>
  <c r="FM90" i="6"/>
  <c r="FM91" i="6"/>
  <c r="FM92" i="6"/>
  <c r="FM93" i="6"/>
  <c r="FM94" i="6"/>
  <c r="FM95" i="6"/>
  <c r="FM96" i="6"/>
  <c r="FM97" i="6"/>
  <c r="FM98" i="6"/>
  <c r="FM99" i="6"/>
  <c r="FM100" i="6"/>
  <c r="FM101" i="6"/>
  <c r="FM102" i="6"/>
  <c r="FM103" i="6"/>
  <c r="FM104" i="6"/>
  <c r="FM105" i="6"/>
  <c r="FM106" i="6"/>
  <c r="FM107" i="6"/>
  <c r="FM108" i="6"/>
  <c r="FM109" i="6"/>
  <c r="FM110" i="6"/>
  <c r="FM111" i="6"/>
  <c r="FM112" i="6"/>
  <c r="FM113" i="6"/>
  <c r="FM114" i="6"/>
  <c r="FM115" i="6"/>
  <c r="FM116" i="6"/>
  <c r="FM117" i="6"/>
  <c r="FM118" i="6"/>
  <c r="FM119" i="6"/>
  <c r="FM120" i="6"/>
  <c r="FM121" i="6"/>
  <c r="FM122" i="6"/>
  <c r="FM123" i="6"/>
  <c r="FM124" i="6"/>
  <c r="FM125" i="6"/>
  <c r="FM126" i="6"/>
  <c r="FM127" i="6"/>
  <c r="FM128" i="6"/>
  <c r="FM129" i="6"/>
  <c r="FM130" i="6"/>
  <c r="FM131" i="6"/>
  <c r="FM132" i="6"/>
  <c r="FM133" i="6"/>
  <c r="FM134" i="6"/>
  <c r="FM135" i="6"/>
  <c r="FM136" i="6"/>
  <c r="FM137" i="6"/>
  <c r="FM138" i="6"/>
  <c r="FM139" i="6"/>
  <c r="FM140" i="6"/>
  <c r="FM141" i="6"/>
  <c r="FM142" i="6"/>
  <c r="FM143" i="6"/>
  <c r="FM144" i="6"/>
  <c r="FM145" i="6"/>
  <c r="FM146" i="6"/>
  <c r="FM147" i="6"/>
  <c r="FM148" i="6"/>
  <c r="FM149" i="6"/>
  <c r="FM150" i="6"/>
  <c r="FM151" i="6"/>
  <c r="FM152" i="6"/>
  <c r="FM153" i="6"/>
  <c r="FM154" i="6"/>
  <c r="FM155" i="6"/>
  <c r="FM156" i="6"/>
  <c r="FM157" i="6"/>
  <c r="FM158" i="6"/>
  <c r="FM159" i="6"/>
  <c r="FM160" i="6"/>
  <c r="FM161" i="6"/>
  <c r="FM162" i="6"/>
  <c r="FM163" i="6"/>
  <c r="FM164" i="6"/>
  <c r="FM165" i="6"/>
  <c r="FM166" i="6"/>
  <c r="FM167" i="6"/>
  <c r="FM168" i="6"/>
  <c r="FM169" i="6"/>
  <c r="FM170" i="6"/>
  <c r="FM171" i="6"/>
  <c r="FM172" i="6"/>
  <c r="FM173" i="6"/>
  <c r="FM174" i="6"/>
  <c r="FM175" i="6"/>
  <c r="FM176" i="6"/>
  <c r="FM177" i="6"/>
  <c r="FM178" i="6"/>
  <c r="FM179" i="6"/>
  <c r="FM180" i="6"/>
  <c r="FM181" i="6"/>
  <c r="FM182" i="6"/>
  <c r="FM183" i="6"/>
  <c r="FM184" i="6"/>
  <c r="FM185" i="6"/>
  <c r="FM186" i="6"/>
  <c r="FM187" i="6"/>
  <c r="FM188" i="6"/>
  <c r="FM189" i="6"/>
  <c r="FM190" i="6"/>
  <c r="FM191" i="6"/>
  <c r="FM192" i="6"/>
  <c r="FM193" i="6"/>
  <c r="FM194" i="6"/>
  <c r="FM195" i="6"/>
  <c r="FM196" i="6"/>
  <c r="FM197" i="6"/>
  <c r="FM198" i="6"/>
  <c r="FM199" i="6"/>
  <c r="FM200" i="6"/>
  <c r="FM201" i="6"/>
  <c r="FM202" i="6"/>
  <c r="FM203" i="6"/>
  <c r="FM204" i="6"/>
  <c r="FM205" i="6"/>
  <c r="FM206" i="6"/>
  <c r="FM207" i="6"/>
  <c r="FM208" i="6"/>
  <c r="FM209" i="6"/>
  <c r="FM210" i="6"/>
  <c r="FM11" i="6"/>
  <c r="FK12" i="10"/>
  <c r="FK13" i="10"/>
  <c r="FK14" i="10"/>
  <c r="FK15" i="10"/>
  <c r="FK16" i="10"/>
  <c r="FK17" i="10"/>
  <c r="FK18" i="10"/>
  <c r="FK19" i="10"/>
  <c r="FK20" i="10"/>
  <c r="FK21" i="10"/>
  <c r="FK22" i="10"/>
  <c r="FK23" i="10"/>
  <c r="FK24" i="10"/>
  <c r="FK25" i="10"/>
  <c r="FK26" i="10"/>
  <c r="FK27" i="10"/>
  <c r="FK28" i="10"/>
  <c r="FK29" i="10"/>
  <c r="FK30" i="10"/>
  <c r="FK31" i="10"/>
  <c r="FK32" i="10"/>
  <c r="FK33" i="10"/>
  <c r="FK34" i="10"/>
  <c r="FK35" i="10"/>
  <c r="FK36" i="10"/>
  <c r="FK37" i="10"/>
  <c r="FK38" i="10"/>
  <c r="FK39" i="10"/>
  <c r="FK40" i="10"/>
  <c r="FK41" i="10"/>
  <c r="FK42" i="10"/>
  <c r="FK43" i="10"/>
  <c r="FK44" i="10"/>
  <c r="FK45" i="10"/>
  <c r="FK46" i="10"/>
  <c r="FK47" i="10"/>
  <c r="FK48" i="10"/>
  <c r="FK49" i="10"/>
  <c r="FK50" i="10"/>
  <c r="FK51" i="10"/>
  <c r="FK52" i="10"/>
  <c r="FK53" i="10"/>
  <c r="FK54" i="10"/>
  <c r="FK55" i="10"/>
  <c r="FK56" i="10"/>
  <c r="FK57" i="10"/>
  <c r="FK58" i="10"/>
  <c r="FK59" i="10"/>
  <c r="FK60" i="10"/>
  <c r="FK61" i="10"/>
  <c r="FK62" i="10"/>
  <c r="FK63" i="10"/>
  <c r="FK64" i="10"/>
  <c r="FK65" i="10"/>
  <c r="FK66" i="10"/>
  <c r="FK67" i="10"/>
  <c r="FK68" i="10"/>
  <c r="FK69" i="10"/>
  <c r="FK70" i="10"/>
  <c r="FK71" i="10"/>
  <c r="FK72" i="10"/>
  <c r="FK73" i="10"/>
  <c r="FK74" i="10"/>
  <c r="FK75" i="10"/>
  <c r="FK76" i="10"/>
  <c r="FK77" i="10"/>
  <c r="FK78" i="10"/>
  <c r="FK79" i="10"/>
  <c r="FK80" i="10"/>
  <c r="FK81" i="10"/>
  <c r="FK82" i="10"/>
  <c r="FK83" i="10"/>
  <c r="FK84" i="10"/>
  <c r="FK85" i="10"/>
  <c r="FK86" i="10"/>
  <c r="FK87" i="10"/>
  <c r="FK88" i="10"/>
  <c r="FK89" i="10"/>
  <c r="FK90" i="10"/>
  <c r="FK91" i="10"/>
  <c r="FK92" i="10"/>
  <c r="FK93" i="10"/>
  <c r="FK94" i="10"/>
  <c r="FK95" i="10"/>
  <c r="FK96" i="10"/>
  <c r="FK97" i="10"/>
  <c r="FK98" i="10"/>
  <c r="FK99" i="10"/>
  <c r="FK100" i="10"/>
  <c r="FK101" i="10"/>
  <c r="FK102" i="10"/>
  <c r="FK103" i="10"/>
  <c r="FK104" i="10"/>
  <c r="FK105" i="10"/>
  <c r="FK106" i="10"/>
  <c r="FK107" i="10"/>
  <c r="FK108" i="10"/>
  <c r="FK109" i="10"/>
  <c r="FK110" i="10"/>
  <c r="FK111" i="10"/>
  <c r="FK112" i="10"/>
  <c r="FK113" i="10"/>
  <c r="FK114" i="10"/>
  <c r="FK115" i="10"/>
  <c r="FK116" i="10"/>
  <c r="FK117" i="10"/>
  <c r="FK118" i="10"/>
  <c r="FK119" i="10"/>
  <c r="FK120" i="10"/>
  <c r="FK121" i="10"/>
  <c r="FK122" i="10"/>
  <c r="FK123" i="10"/>
  <c r="FK124" i="10"/>
  <c r="FK125" i="10"/>
  <c r="FK126" i="10"/>
  <c r="FK127" i="10"/>
  <c r="FK128" i="10"/>
  <c r="FK129" i="10"/>
  <c r="FK130" i="10"/>
  <c r="FK131" i="10"/>
  <c r="FK132" i="10"/>
  <c r="FK133" i="10"/>
  <c r="FK134" i="10"/>
  <c r="FK135" i="10"/>
  <c r="FK136" i="10"/>
  <c r="FK137" i="10"/>
  <c r="FK138" i="10"/>
  <c r="FK139" i="10"/>
  <c r="FK140" i="10"/>
  <c r="FK141" i="10"/>
  <c r="FK142" i="10"/>
  <c r="FK143" i="10"/>
  <c r="FK144" i="10"/>
  <c r="FK145" i="10"/>
  <c r="FK146" i="10"/>
  <c r="FK147" i="10"/>
  <c r="FK148" i="10"/>
  <c r="FK149" i="10"/>
  <c r="FK150" i="10"/>
  <c r="FK151" i="10"/>
  <c r="FK152" i="10"/>
  <c r="FK153" i="10"/>
  <c r="FK154" i="10"/>
  <c r="FK155" i="10"/>
  <c r="FK156" i="10"/>
  <c r="FK157" i="10"/>
  <c r="FK158" i="10"/>
  <c r="FK159" i="10"/>
  <c r="FK160" i="10"/>
  <c r="FK161" i="10"/>
  <c r="FK162" i="10"/>
  <c r="FK163" i="10"/>
  <c r="FK164" i="10"/>
  <c r="FK165" i="10"/>
  <c r="FK166" i="10"/>
  <c r="FK167" i="10"/>
  <c r="FK168" i="10"/>
  <c r="FK169" i="10"/>
  <c r="FK170" i="10"/>
  <c r="FK171" i="10"/>
  <c r="FK172" i="10"/>
  <c r="FK173" i="10"/>
  <c r="FK174" i="10"/>
  <c r="FK175" i="10"/>
  <c r="FK176" i="10"/>
  <c r="FK177" i="10"/>
  <c r="FK178" i="10"/>
  <c r="FK179" i="10"/>
  <c r="FK180" i="10"/>
  <c r="FK181" i="10"/>
  <c r="FK182" i="10"/>
  <c r="FK183" i="10"/>
  <c r="FK184" i="10"/>
  <c r="FK185" i="10"/>
  <c r="FK186" i="10"/>
  <c r="FK187" i="10"/>
  <c r="FK188" i="10"/>
  <c r="FK189" i="10"/>
  <c r="FK190" i="10"/>
  <c r="FK191" i="10"/>
  <c r="FK192" i="10"/>
  <c r="FK193" i="10"/>
  <c r="FK194" i="10"/>
  <c r="FK195" i="10"/>
  <c r="FK196" i="10"/>
  <c r="FK197" i="10"/>
  <c r="FK198" i="10"/>
  <c r="FK199" i="10"/>
  <c r="FK200" i="10"/>
  <c r="FK201" i="10"/>
  <c r="FK202" i="10"/>
  <c r="FK203" i="10"/>
  <c r="FK204" i="10"/>
  <c r="FK205" i="10"/>
  <c r="FK206" i="10"/>
  <c r="FK207" i="10"/>
  <c r="FK208" i="10"/>
  <c r="FK209" i="10"/>
  <c r="FK210" i="10"/>
  <c r="FK11" i="10"/>
  <c r="H6" i="10"/>
  <c r="FA30" i="10"/>
  <c r="FB30" i="10" s="1"/>
  <c r="FA29" i="10"/>
  <c r="FB29" i="10" s="1"/>
  <c r="FB28" i="10"/>
  <c r="FB27" i="10"/>
  <c r="FA26" i="10"/>
  <c r="FB26" i="10" s="1"/>
  <c r="BD18" i="2"/>
  <c r="C86" i="14" l="1"/>
  <c r="E85" i="14"/>
  <c r="D1556" i="12"/>
  <c r="F1555" i="12"/>
  <c r="E1555" i="12"/>
  <c r="J6" i="10"/>
  <c r="O6" i="10"/>
  <c r="AA7" i="10" s="1"/>
  <c r="R7" i="10"/>
  <c r="V7" i="10" s="1"/>
  <c r="Q7" i="10"/>
  <c r="S9" i="15"/>
  <c r="R10" i="15"/>
  <c r="L6" i="10"/>
  <c r="K6" i="10"/>
  <c r="F11" i="10"/>
  <c r="C87" i="14" l="1"/>
  <c r="E86" i="14"/>
  <c r="D1557" i="12"/>
  <c r="F1556" i="12"/>
  <c r="E1556" i="12"/>
  <c r="F11" i="2"/>
  <c r="B33" i="2" s="1"/>
  <c r="M6" i="10"/>
  <c r="G10" i="10"/>
  <c r="N5" i="10"/>
  <c r="X7" i="10"/>
  <c r="S11" i="2"/>
  <c r="T11" i="2"/>
  <c r="P11" i="2"/>
  <c r="O11" i="2"/>
  <c r="U11" i="2"/>
  <c r="R11" i="2"/>
  <c r="Q11" i="2"/>
  <c r="M11" i="2"/>
  <c r="N11" i="2"/>
  <c r="S10" i="15"/>
  <c r="T9" i="15"/>
  <c r="K11" i="2"/>
  <c r="J11" i="2"/>
  <c r="E11" i="2"/>
  <c r="I11" i="2"/>
  <c r="G11" i="2"/>
  <c r="H11" i="2"/>
  <c r="L11" i="2"/>
  <c r="H9" i="10"/>
  <c r="H10" i="10" s="1"/>
  <c r="C88" i="14" l="1"/>
  <c r="E87" i="14"/>
  <c r="D1558" i="12"/>
  <c r="F1557" i="12"/>
  <c r="E1557" i="12"/>
  <c r="U9" i="15"/>
  <c r="T10" i="15"/>
  <c r="I9" i="10"/>
  <c r="J9" i="10" s="1"/>
  <c r="J10" i="10" s="1"/>
  <c r="C89" i="14" l="1"/>
  <c r="E88" i="14"/>
  <c r="D1559" i="12"/>
  <c r="F1558" i="12"/>
  <c r="E1558" i="12"/>
  <c r="U10" i="15"/>
  <c r="V9" i="15"/>
  <c r="K9" i="10"/>
  <c r="L9" i="10" s="1"/>
  <c r="L10" i="10" s="1"/>
  <c r="I10" i="10"/>
  <c r="C90" i="14" l="1"/>
  <c r="E89" i="14"/>
  <c r="D1560" i="12"/>
  <c r="E1559" i="12"/>
  <c r="F1559" i="12"/>
  <c r="W9" i="15"/>
  <c r="V10" i="15"/>
  <c r="K10" i="10"/>
  <c r="M9" i="10"/>
  <c r="M10" i="10" s="1"/>
  <c r="C91" i="14" l="1"/>
  <c r="E90" i="14"/>
  <c r="D1561" i="12"/>
  <c r="F1560" i="12"/>
  <c r="E1560" i="12"/>
  <c r="X9" i="15"/>
  <c r="W10" i="15"/>
  <c r="N9" i="10"/>
  <c r="N10" i="10" s="1"/>
  <c r="C92" i="14" l="1"/>
  <c r="E91" i="14"/>
  <c r="D1562" i="12"/>
  <c r="F1561" i="12"/>
  <c r="E1561" i="12"/>
  <c r="Y9" i="15"/>
  <c r="Y10" i="15" s="1"/>
  <c r="X10" i="15"/>
  <c r="O9" i="10"/>
  <c r="O10" i="10" s="1"/>
  <c r="AU5" i="2"/>
  <c r="AV5" i="2" s="1"/>
  <c r="C93" i="14" l="1"/>
  <c r="E92" i="14"/>
  <c r="D1563" i="12"/>
  <c r="F1562" i="12"/>
  <c r="E1562" i="12"/>
  <c r="Z9" i="15"/>
  <c r="Z10" i="15" s="1"/>
  <c r="P9" i="10"/>
  <c r="P10" i="10" s="1"/>
  <c r="FK11" i="6"/>
  <c r="BD115" i="2"/>
  <c r="BE115" i="2"/>
  <c r="BF115" i="2"/>
  <c r="BG115" i="2"/>
  <c r="BH115" i="2"/>
  <c r="BI115" i="2"/>
  <c r="BJ115" i="2"/>
  <c r="BK115" i="2"/>
  <c r="BL115" i="2"/>
  <c r="BD116" i="2"/>
  <c r="BE116" i="2"/>
  <c r="BF116" i="2"/>
  <c r="BG116" i="2"/>
  <c r="BH116" i="2"/>
  <c r="BI116" i="2"/>
  <c r="BJ116" i="2"/>
  <c r="BK116" i="2"/>
  <c r="BL116" i="2"/>
  <c r="BD117" i="2"/>
  <c r="BE117" i="2"/>
  <c r="BF117" i="2"/>
  <c r="BG117" i="2"/>
  <c r="BH117" i="2"/>
  <c r="BI117" i="2"/>
  <c r="BJ117" i="2"/>
  <c r="BK117" i="2"/>
  <c r="BL117" i="2"/>
  <c r="BD118" i="2"/>
  <c r="BE118" i="2"/>
  <c r="BF118" i="2"/>
  <c r="BG118" i="2"/>
  <c r="BH118" i="2"/>
  <c r="BI118" i="2"/>
  <c r="BJ118" i="2"/>
  <c r="BK118" i="2"/>
  <c r="BL118" i="2"/>
  <c r="BD119" i="2"/>
  <c r="BE119" i="2"/>
  <c r="BF119" i="2"/>
  <c r="BG119" i="2"/>
  <c r="BH119" i="2"/>
  <c r="BI119" i="2"/>
  <c r="BJ119" i="2"/>
  <c r="BK119" i="2"/>
  <c r="BL119" i="2"/>
  <c r="BD120" i="2"/>
  <c r="BE120" i="2"/>
  <c r="BF120" i="2"/>
  <c r="BG120" i="2"/>
  <c r="BH120" i="2"/>
  <c r="BI120" i="2"/>
  <c r="BJ120" i="2"/>
  <c r="BK120" i="2"/>
  <c r="BL120" i="2"/>
  <c r="BD121" i="2"/>
  <c r="BE121" i="2"/>
  <c r="BF121" i="2"/>
  <c r="BG121" i="2"/>
  <c r="BH121" i="2"/>
  <c r="BI121" i="2"/>
  <c r="BJ121" i="2"/>
  <c r="BK121" i="2"/>
  <c r="BL121" i="2"/>
  <c r="BD122" i="2"/>
  <c r="BE122" i="2"/>
  <c r="BF122" i="2"/>
  <c r="BG122" i="2"/>
  <c r="BH122" i="2"/>
  <c r="BI122" i="2"/>
  <c r="BJ122" i="2"/>
  <c r="BK122" i="2"/>
  <c r="BL122" i="2"/>
  <c r="BD123" i="2"/>
  <c r="BE123" i="2"/>
  <c r="BF123" i="2"/>
  <c r="BG123" i="2"/>
  <c r="BH123" i="2"/>
  <c r="BI123" i="2"/>
  <c r="BJ123" i="2"/>
  <c r="BK123" i="2"/>
  <c r="BL123" i="2"/>
  <c r="BD124" i="2"/>
  <c r="BE124" i="2"/>
  <c r="BF124" i="2"/>
  <c r="BG124" i="2"/>
  <c r="BH124" i="2"/>
  <c r="BI124" i="2"/>
  <c r="BJ124" i="2"/>
  <c r="BK124" i="2"/>
  <c r="BL124" i="2"/>
  <c r="BD125" i="2"/>
  <c r="BE125" i="2"/>
  <c r="BF125" i="2"/>
  <c r="BG125" i="2"/>
  <c r="BH125" i="2"/>
  <c r="BI125" i="2"/>
  <c r="BJ125" i="2"/>
  <c r="BK125" i="2"/>
  <c r="BL125" i="2"/>
  <c r="BD126" i="2"/>
  <c r="BE126" i="2"/>
  <c r="BF126" i="2"/>
  <c r="BG126" i="2"/>
  <c r="BH126" i="2"/>
  <c r="BI126" i="2"/>
  <c r="BJ126" i="2"/>
  <c r="BK126" i="2"/>
  <c r="BL126" i="2"/>
  <c r="BD127" i="2"/>
  <c r="BE127" i="2"/>
  <c r="BF127" i="2"/>
  <c r="BG127" i="2"/>
  <c r="BH127" i="2"/>
  <c r="BI127" i="2"/>
  <c r="BJ127" i="2"/>
  <c r="BK127" i="2"/>
  <c r="BL127" i="2"/>
  <c r="BD128" i="2"/>
  <c r="BE128" i="2"/>
  <c r="BF128" i="2"/>
  <c r="BG128" i="2"/>
  <c r="BH128" i="2"/>
  <c r="BI128" i="2"/>
  <c r="BJ128" i="2"/>
  <c r="BK128" i="2"/>
  <c r="BL128" i="2"/>
  <c r="BD129" i="2"/>
  <c r="BE129" i="2"/>
  <c r="BF129" i="2"/>
  <c r="BG129" i="2"/>
  <c r="BH129" i="2"/>
  <c r="BI129" i="2"/>
  <c r="BJ129" i="2"/>
  <c r="BK129" i="2"/>
  <c r="BL129" i="2"/>
  <c r="BD130" i="2"/>
  <c r="BE130" i="2"/>
  <c r="BF130" i="2"/>
  <c r="BG130" i="2"/>
  <c r="BH130" i="2"/>
  <c r="BI130" i="2"/>
  <c r="BJ130" i="2"/>
  <c r="BK130" i="2"/>
  <c r="BL130" i="2"/>
  <c r="BD131" i="2"/>
  <c r="BE131" i="2"/>
  <c r="BF131" i="2"/>
  <c r="BG131" i="2"/>
  <c r="BH131" i="2"/>
  <c r="BI131" i="2"/>
  <c r="BJ131" i="2"/>
  <c r="BK131" i="2"/>
  <c r="BL131" i="2"/>
  <c r="BD132" i="2"/>
  <c r="BE132" i="2"/>
  <c r="BF132" i="2"/>
  <c r="BG132" i="2"/>
  <c r="BH132" i="2"/>
  <c r="BI132" i="2"/>
  <c r="BJ132" i="2"/>
  <c r="BK132" i="2"/>
  <c r="BL132" i="2"/>
  <c r="BD133" i="2"/>
  <c r="BE133" i="2"/>
  <c r="BF133" i="2"/>
  <c r="BG133" i="2"/>
  <c r="BH133" i="2"/>
  <c r="BI133" i="2"/>
  <c r="BJ133" i="2"/>
  <c r="BK133" i="2"/>
  <c r="BL133" i="2"/>
  <c r="BD134" i="2"/>
  <c r="BE134" i="2"/>
  <c r="BF134" i="2"/>
  <c r="BG134" i="2"/>
  <c r="BH134" i="2"/>
  <c r="BI134" i="2"/>
  <c r="BJ134" i="2"/>
  <c r="BK134" i="2"/>
  <c r="BL134" i="2"/>
  <c r="BD135" i="2"/>
  <c r="BE135" i="2"/>
  <c r="BF135" i="2"/>
  <c r="BG135" i="2"/>
  <c r="BH135" i="2"/>
  <c r="BI135" i="2"/>
  <c r="BJ135" i="2"/>
  <c r="BK135" i="2"/>
  <c r="BL135" i="2"/>
  <c r="BD136" i="2"/>
  <c r="BE136" i="2"/>
  <c r="BF136" i="2"/>
  <c r="BG136" i="2"/>
  <c r="BH136" i="2"/>
  <c r="BI136" i="2"/>
  <c r="BJ136" i="2"/>
  <c r="BK136" i="2"/>
  <c r="BL136" i="2"/>
  <c r="BD137" i="2"/>
  <c r="BE137" i="2"/>
  <c r="BF137" i="2"/>
  <c r="BG137" i="2"/>
  <c r="BH137" i="2"/>
  <c r="BI137" i="2"/>
  <c r="BJ137" i="2"/>
  <c r="BK137" i="2"/>
  <c r="BL137" i="2"/>
  <c r="BD138" i="2"/>
  <c r="BE138" i="2"/>
  <c r="BF138" i="2"/>
  <c r="BG138" i="2"/>
  <c r="BH138" i="2"/>
  <c r="BI138" i="2"/>
  <c r="BJ138" i="2"/>
  <c r="BK138" i="2"/>
  <c r="BL138" i="2"/>
  <c r="BD139" i="2"/>
  <c r="BE139" i="2"/>
  <c r="BF139" i="2"/>
  <c r="BG139" i="2"/>
  <c r="BH139" i="2"/>
  <c r="BI139" i="2"/>
  <c r="BJ139" i="2"/>
  <c r="BK139" i="2"/>
  <c r="BL139" i="2"/>
  <c r="BD140" i="2"/>
  <c r="BE140" i="2"/>
  <c r="BF140" i="2"/>
  <c r="BG140" i="2"/>
  <c r="BH140" i="2"/>
  <c r="BI140" i="2"/>
  <c r="BJ140" i="2"/>
  <c r="BK140" i="2"/>
  <c r="BL140" i="2"/>
  <c r="BD141" i="2"/>
  <c r="BE141" i="2"/>
  <c r="BF141" i="2"/>
  <c r="BG141" i="2"/>
  <c r="BH141" i="2"/>
  <c r="BI141" i="2"/>
  <c r="BJ141" i="2"/>
  <c r="BK141" i="2"/>
  <c r="BL141" i="2"/>
  <c r="BD142" i="2"/>
  <c r="BE142" i="2"/>
  <c r="BF142" i="2"/>
  <c r="BG142" i="2"/>
  <c r="BH142" i="2"/>
  <c r="BI142" i="2"/>
  <c r="BJ142" i="2"/>
  <c r="BK142" i="2"/>
  <c r="BL142" i="2"/>
  <c r="BD143" i="2"/>
  <c r="BE143" i="2"/>
  <c r="BF143" i="2"/>
  <c r="BG143" i="2"/>
  <c r="BH143" i="2"/>
  <c r="BI143" i="2"/>
  <c r="BJ143" i="2"/>
  <c r="BK143" i="2"/>
  <c r="BL143" i="2"/>
  <c r="BD144" i="2"/>
  <c r="BE144" i="2"/>
  <c r="BF144" i="2"/>
  <c r="BG144" i="2"/>
  <c r="BH144" i="2"/>
  <c r="BI144" i="2"/>
  <c r="BJ144" i="2"/>
  <c r="BK144" i="2"/>
  <c r="BL144" i="2"/>
  <c r="BD145" i="2"/>
  <c r="BE145" i="2"/>
  <c r="BF145" i="2"/>
  <c r="BG145" i="2"/>
  <c r="BH145" i="2"/>
  <c r="BI145" i="2"/>
  <c r="BJ145" i="2"/>
  <c r="BK145" i="2"/>
  <c r="BL145" i="2"/>
  <c r="BD146" i="2"/>
  <c r="BE146" i="2"/>
  <c r="BF146" i="2"/>
  <c r="BG146" i="2"/>
  <c r="BH146" i="2"/>
  <c r="BI146" i="2"/>
  <c r="BJ146" i="2"/>
  <c r="BK146" i="2"/>
  <c r="BL146" i="2"/>
  <c r="BD147" i="2"/>
  <c r="BE147" i="2"/>
  <c r="BF147" i="2"/>
  <c r="BG147" i="2"/>
  <c r="BH147" i="2"/>
  <c r="BI147" i="2"/>
  <c r="BJ147" i="2"/>
  <c r="BK147" i="2"/>
  <c r="BL147" i="2"/>
  <c r="BD148" i="2"/>
  <c r="BE148" i="2"/>
  <c r="BF148" i="2"/>
  <c r="BG148" i="2"/>
  <c r="BH148" i="2"/>
  <c r="BI148" i="2"/>
  <c r="BJ148" i="2"/>
  <c r="BK148" i="2"/>
  <c r="BL148" i="2"/>
  <c r="BD149" i="2"/>
  <c r="BE149" i="2"/>
  <c r="BF149" i="2"/>
  <c r="BG149" i="2"/>
  <c r="BH149" i="2"/>
  <c r="BI149" i="2"/>
  <c r="BJ149" i="2"/>
  <c r="BK149" i="2"/>
  <c r="BL149" i="2"/>
  <c r="BD150" i="2"/>
  <c r="BE150" i="2"/>
  <c r="BF150" i="2"/>
  <c r="BG150" i="2"/>
  <c r="BH150" i="2"/>
  <c r="BI150" i="2"/>
  <c r="BJ150" i="2"/>
  <c r="BK150" i="2"/>
  <c r="BL150" i="2"/>
  <c r="BD151" i="2"/>
  <c r="BE151" i="2"/>
  <c r="BF151" i="2"/>
  <c r="BG151" i="2"/>
  <c r="BH151" i="2"/>
  <c r="BI151" i="2"/>
  <c r="BJ151" i="2"/>
  <c r="BK151" i="2"/>
  <c r="BL151" i="2"/>
  <c r="BD152" i="2"/>
  <c r="BE152" i="2"/>
  <c r="BF152" i="2"/>
  <c r="BG152" i="2"/>
  <c r="BH152" i="2"/>
  <c r="BI152" i="2"/>
  <c r="BJ152" i="2"/>
  <c r="BK152" i="2"/>
  <c r="BL152" i="2"/>
  <c r="BD153" i="2"/>
  <c r="BE153" i="2"/>
  <c r="BF153" i="2"/>
  <c r="BG153" i="2"/>
  <c r="BH153" i="2"/>
  <c r="BI153" i="2"/>
  <c r="BJ153" i="2"/>
  <c r="BK153" i="2"/>
  <c r="BL153" i="2"/>
  <c r="BD154" i="2"/>
  <c r="BE154" i="2"/>
  <c r="BF154" i="2"/>
  <c r="BG154" i="2"/>
  <c r="BH154" i="2"/>
  <c r="BI154" i="2"/>
  <c r="BJ154" i="2"/>
  <c r="BK154" i="2"/>
  <c r="BL154" i="2"/>
  <c r="BD155" i="2"/>
  <c r="BE155" i="2"/>
  <c r="BF155" i="2"/>
  <c r="BG155" i="2"/>
  <c r="BH155" i="2"/>
  <c r="BI155" i="2"/>
  <c r="BJ155" i="2"/>
  <c r="BK155" i="2"/>
  <c r="BL155" i="2"/>
  <c r="BD156" i="2"/>
  <c r="BE156" i="2"/>
  <c r="BF156" i="2"/>
  <c r="BG156" i="2"/>
  <c r="BH156" i="2"/>
  <c r="BI156" i="2"/>
  <c r="BJ156" i="2"/>
  <c r="BK156" i="2"/>
  <c r="BL156" i="2"/>
  <c r="BD157" i="2"/>
  <c r="BE157" i="2"/>
  <c r="BF157" i="2"/>
  <c r="BG157" i="2"/>
  <c r="BH157" i="2"/>
  <c r="BI157" i="2"/>
  <c r="BJ157" i="2"/>
  <c r="BK157" i="2"/>
  <c r="BL157" i="2"/>
  <c r="BD158" i="2"/>
  <c r="BE158" i="2"/>
  <c r="BF158" i="2"/>
  <c r="BG158" i="2"/>
  <c r="BH158" i="2"/>
  <c r="BI158" i="2"/>
  <c r="BJ158" i="2"/>
  <c r="BK158" i="2"/>
  <c r="BL158" i="2"/>
  <c r="BD159" i="2"/>
  <c r="BE159" i="2"/>
  <c r="BF159" i="2"/>
  <c r="BG159" i="2"/>
  <c r="BH159" i="2"/>
  <c r="BI159" i="2"/>
  <c r="BJ159" i="2"/>
  <c r="BK159" i="2"/>
  <c r="BL159" i="2"/>
  <c r="BD160" i="2"/>
  <c r="BE160" i="2"/>
  <c r="BF160" i="2"/>
  <c r="BG160" i="2"/>
  <c r="BH160" i="2"/>
  <c r="BI160" i="2"/>
  <c r="BJ160" i="2"/>
  <c r="BK160" i="2"/>
  <c r="BL160" i="2"/>
  <c r="BD161" i="2"/>
  <c r="BE161" i="2"/>
  <c r="BF161" i="2"/>
  <c r="BG161" i="2"/>
  <c r="BH161" i="2"/>
  <c r="BI161" i="2"/>
  <c r="BJ161" i="2"/>
  <c r="BK161" i="2"/>
  <c r="BL161" i="2"/>
  <c r="BD162" i="2"/>
  <c r="BE162" i="2"/>
  <c r="BF162" i="2"/>
  <c r="BG162" i="2"/>
  <c r="BH162" i="2"/>
  <c r="BI162" i="2"/>
  <c r="BJ162" i="2"/>
  <c r="BK162" i="2"/>
  <c r="BL162" i="2"/>
  <c r="K6" i="6"/>
  <c r="N5" i="6" s="1"/>
  <c r="C94" i="14" l="1"/>
  <c r="E93" i="14"/>
  <c r="D1564" i="12"/>
  <c r="E1563" i="12"/>
  <c r="F1563" i="12"/>
  <c r="FL211" i="6"/>
  <c r="FL215" i="6"/>
  <c r="FL219" i="6"/>
  <c r="FL223" i="6"/>
  <c r="FL227" i="6"/>
  <c r="FL231" i="6"/>
  <c r="FL235" i="6"/>
  <c r="FL239" i="6"/>
  <c r="FL243" i="6"/>
  <c r="FL247" i="6"/>
  <c r="FL251" i="6"/>
  <c r="FL255" i="6"/>
  <c r="FL259" i="6"/>
  <c r="FL263" i="6"/>
  <c r="FL267" i="6"/>
  <c r="FL271" i="6"/>
  <c r="FL275" i="6"/>
  <c r="FL279" i="6"/>
  <c r="FL283" i="6"/>
  <c r="FL287" i="6"/>
  <c r="FL291" i="6"/>
  <c r="FL295" i="6"/>
  <c r="FL299" i="6"/>
  <c r="FL303" i="6"/>
  <c r="FL307" i="6"/>
  <c r="FL311" i="6"/>
  <c r="FL315" i="6"/>
  <c r="FL319" i="6"/>
  <c r="FL323" i="6"/>
  <c r="FL327" i="6"/>
  <c r="FL331" i="6"/>
  <c r="FL335" i="6"/>
  <c r="FL339" i="6"/>
  <c r="FL343" i="6"/>
  <c r="FL347" i="6"/>
  <c r="FL351" i="6"/>
  <c r="FL355" i="6"/>
  <c r="FL359" i="6"/>
  <c r="FL363" i="6"/>
  <c r="FL367" i="6"/>
  <c r="FL371" i="6"/>
  <c r="FL375" i="6"/>
  <c r="FL379" i="6"/>
  <c r="FL383" i="6"/>
  <c r="FL387" i="6"/>
  <c r="FL391" i="6"/>
  <c r="FL395" i="6"/>
  <c r="FL399" i="6"/>
  <c r="FL403" i="6"/>
  <c r="FL407" i="6"/>
  <c r="FL411" i="6"/>
  <c r="FL212" i="6"/>
  <c r="FL217" i="6"/>
  <c r="FL222" i="6"/>
  <c r="FL228" i="6"/>
  <c r="FL233" i="6"/>
  <c r="FL238" i="6"/>
  <c r="FL244" i="6"/>
  <c r="FL249" i="6"/>
  <c r="FL254" i="6"/>
  <c r="FL260" i="6"/>
  <c r="FL265" i="6"/>
  <c r="FL270" i="6"/>
  <c r="FL276" i="6"/>
  <c r="FL281" i="6"/>
  <c r="FL286" i="6"/>
  <c r="FL292" i="6"/>
  <c r="FL297" i="6"/>
  <c r="FL302" i="6"/>
  <c r="FL308" i="6"/>
  <c r="FL313" i="6"/>
  <c r="FL318" i="6"/>
  <c r="FL324" i="6"/>
  <c r="FL329" i="6"/>
  <c r="FL334" i="6"/>
  <c r="FL340" i="6"/>
  <c r="FL345" i="6"/>
  <c r="FL350" i="6"/>
  <c r="FL356" i="6"/>
  <c r="FL361" i="6"/>
  <c r="FL366" i="6"/>
  <c r="FL372" i="6"/>
  <c r="FL377" i="6"/>
  <c r="FL382" i="6"/>
  <c r="FL388" i="6"/>
  <c r="FL393" i="6"/>
  <c r="FL398" i="6"/>
  <c r="FL404" i="6"/>
  <c r="FL409" i="6"/>
  <c r="FL216" i="6"/>
  <c r="FL224" i="6"/>
  <c r="FL230" i="6"/>
  <c r="FL237" i="6"/>
  <c r="FL245" i="6"/>
  <c r="FL252" i="6"/>
  <c r="FL258" i="6"/>
  <c r="FL266" i="6"/>
  <c r="FL273" i="6"/>
  <c r="FL280" i="6"/>
  <c r="FL288" i="6"/>
  <c r="FL294" i="6"/>
  <c r="FL301" i="6"/>
  <c r="FL309" i="6"/>
  <c r="FL316" i="6"/>
  <c r="FL322" i="6"/>
  <c r="FL330" i="6"/>
  <c r="FL337" i="6"/>
  <c r="FL344" i="6"/>
  <c r="FL352" i="6"/>
  <c r="FL358" i="6"/>
  <c r="FL365" i="6"/>
  <c r="FL373" i="6"/>
  <c r="FL380" i="6"/>
  <c r="FL386" i="6"/>
  <c r="FL394" i="6"/>
  <c r="FL401" i="6"/>
  <c r="FL408" i="6"/>
  <c r="FL218" i="6"/>
  <c r="FL225" i="6"/>
  <c r="FL232" i="6"/>
  <c r="FL240" i="6"/>
  <c r="FL246" i="6"/>
  <c r="FL253" i="6"/>
  <c r="FL261" i="6"/>
  <c r="FL268" i="6"/>
  <c r="FL274" i="6"/>
  <c r="FL282" i="6"/>
  <c r="FL289" i="6"/>
  <c r="FL296" i="6"/>
  <c r="FL304" i="6"/>
  <c r="FL310" i="6"/>
  <c r="FL317" i="6"/>
  <c r="FL325" i="6"/>
  <c r="FL332" i="6"/>
  <c r="FL338" i="6"/>
  <c r="FL346" i="6"/>
  <c r="FL353" i="6"/>
  <c r="FL360" i="6"/>
  <c r="FL368" i="6"/>
  <c r="FL374" i="6"/>
  <c r="FL381" i="6"/>
  <c r="FL389" i="6"/>
  <c r="FL396" i="6"/>
  <c r="FL402" i="6"/>
  <c r="FL410" i="6"/>
  <c r="FL213" i="6"/>
  <c r="FL220" i="6"/>
  <c r="FL226" i="6"/>
  <c r="FL234" i="6"/>
  <c r="FL241" i="6"/>
  <c r="FL248" i="6"/>
  <c r="FL256" i="6"/>
  <c r="FL262" i="6"/>
  <c r="FL269" i="6"/>
  <c r="FL277" i="6"/>
  <c r="FL284" i="6"/>
  <c r="FL290" i="6"/>
  <c r="FL298" i="6"/>
  <c r="FL305" i="6"/>
  <c r="FL312" i="6"/>
  <c r="FL320" i="6"/>
  <c r="FL326" i="6"/>
  <c r="FL333" i="6"/>
  <c r="FL341" i="6"/>
  <c r="FL348" i="6"/>
  <c r="FL354" i="6"/>
  <c r="FL362" i="6"/>
  <c r="FL369" i="6"/>
  <c r="FL376" i="6"/>
  <c r="FL384" i="6"/>
  <c r="FL390" i="6"/>
  <c r="FL397" i="6"/>
  <c r="FL405" i="6"/>
  <c r="FL412" i="6"/>
  <c r="FL214" i="6"/>
  <c r="FL221" i="6"/>
  <c r="FL229" i="6"/>
  <c r="FL236" i="6"/>
  <c r="FL242" i="6"/>
  <c r="FL250" i="6"/>
  <c r="FL257" i="6"/>
  <c r="FL264" i="6"/>
  <c r="FL272" i="6"/>
  <c r="FL278" i="6"/>
  <c r="FL285" i="6"/>
  <c r="FL293" i="6"/>
  <c r="FL300" i="6"/>
  <c r="FL306" i="6"/>
  <c r="FL314" i="6"/>
  <c r="FL321" i="6"/>
  <c r="FL328" i="6"/>
  <c r="FL336" i="6"/>
  <c r="FL342" i="6"/>
  <c r="FL349" i="6"/>
  <c r="FL357" i="6"/>
  <c r="FL364" i="6"/>
  <c r="FL370" i="6"/>
  <c r="FL378" i="6"/>
  <c r="FL385" i="6"/>
  <c r="FL392" i="6"/>
  <c r="FL400" i="6"/>
  <c r="FL406" i="6"/>
  <c r="FL413" i="6"/>
  <c r="FL13" i="15"/>
  <c r="FL189" i="15"/>
  <c r="FL193" i="15"/>
  <c r="FL201" i="15"/>
  <c r="FL205" i="15"/>
  <c r="FL209" i="15"/>
  <c r="FL13" i="10"/>
  <c r="FL189" i="10"/>
  <c r="FL193" i="10"/>
  <c r="FL201" i="10"/>
  <c r="FL205" i="10"/>
  <c r="FL209" i="10"/>
  <c r="FL186" i="15"/>
  <c r="FL190" i="15"/>
  <c r="FL194" i="15"/>
  <c r="FL198" i="15"/>
  <c r="FL202" i="15"/>
  <c r="FL206" i="15"/>
  <c r="FL210" i="15"/>
  <c r="FL186" i="10"/>
  <c r="FL190" i="10"/>
  <c r="FL194" i="10"/>
  <c r="FL198" i="10"/>
  <c r="FL202" i="10"/>
  <c r="FL206" i="10"/>
  <c r="FL210" i="10"/>
  <c r="FL192" i="15"/>
  <c r="FL200" i="15"/>
  <c r="FL208" i="15"/>
  <c r="FL188" i="10"/>
  <c r="FL187" i="15"/>
  <c r="FL195" i="15"/>
  <c r="FL203" i="15"/>
  <c r="FL191" i="10"/>
  <c r="FL199" i="10"/>
  <c r="FL207" i="10"/>
  <c r="FL188" i="15"/>
  <c r="FL192" i="10"/>
  <c r="FL200" i="10"/>
  <c r="FL208" i="10"/>
  <c r="FL191" i="15"/>
  <c r="FL199" i="15"/>
  <c r="FL207" i="15"/>
  <c r="FL187" i="10"/>
  <c r="FL195" i="10"/>
  <c r="FL203" i="10"/>
  <c r="FL137" i="10"/>
  <c r="FL148" i="15"/>
  <c r="FL88" i="15"/>
  <c r="FL32" i="15"/>
  <c r="FL176" i="15"/>
  <c r="FL172" i="15"/>
  <c r="FL159" i="15"/>
  <c r="FL157" i="15"/>
  <c r="FL79" i="15"/>
  <c r="FL76" i="15"/>
  <c r="FL73" i="15"/>
  <c r="FL60" i="15"/>
  <c r="FL40" i="15"/>
  <c r="FL29" i="15"/>
  <c r="FL25" i="15"/>
  <c r="FL164" i="10"/>
  <c r="FL52" i="10"/>
  <c r="FL184" i="15"/>
  <c r="FL153" i="15"/>
  <c r="FL107" i="10"/>
  <c r="FL68" i="15"/>
  <c r="FL56" i="15"/>
  <c r="FL117" i="15"/>
  <c r="FL95" i="10"/>
  <c r="FL14" i="15"/>
  <c r="FL80" i="15"/>
  <c r="FL55" i="15"/>
  <c r="FL145" i="15"/>
  <c r="FL137" i="15"/>
  <c r="FL111" i="15"/>
  <c r="FL103" i="15"/>
  <c r="FL89" i="15"/>
  <c r="FL72" i="15"/>
  <c r="FL111" i="10"/>
  <c r="FL19" i="10"/>
  <c r="FL148" i="10"/>
  <c r="FL55" i="10"/>
  <c r="FL100" i="10"/>
  <c r="FL63" i="10"/>
  <c r="FL181" i="15"/>
  <c r="FL178" i="15"/>
  <c r="FL154" i="15"/>
  <c r="FL146" i="15"/>
  <c r="FL82" i="10"/>
  <c r="FL70" i="15"/>
  <c r="FL54" i="15"/>
  <c r="FL38" i="15"/>
  <c r="FL22" i="15"/>
  <c r="FL168" i="10"/>
  <c r="FL141" i="10"/>
  <c r="FL120" i="10"/>
  <c r="FL99" i="10"/>
  <c r="FL56" i="10"/>
  <c r="FL35" i="10"/>
  <c r="FL155" i="15"/>
  <c r="FL27" i="15"/>
  <c r="FL90" i="10"/>
  <c r="FL118" i="10"/>
  <c r="FL94" i="10"/>
  <c r="FL58" i="10"/>
  <c r="FL42" i="10"/>
  <c r="FL18" i="10"/>
  <c r="FL167" i="10"/>
  <c r="FL145" i="10"/>
  <c r="FL124" i="10"/>
  <c r="FL92" i="10"/>
  <c r="FL60" i="10"/>
  <c r="FL28" i="10"/>
  <c r="FL134" i="10"/>
  <c r="FL86" i="10"/>
  <c r="FL158" i="10"/>
  <c r="FL138" i="15"/>
  <c r="FL126" i="10"/>
  <c r="FL102" i="15"/>
  <c r="FL34" i="15"/>
  <c r="FL176" i="10"/>
  <c r="FL133" i="10"/>
  <c r="FL101" i="10"/>
  <c r="FL69" i="10"/>
  <c r="FL37" i="10"/>
  <c r="FL163" i="15"/>
  <c r="FL156" i="15"/>
  <c r="FL147" i="15"/>
  <c r="FL133" i="15"/>
  <c r="FL125" i="15"/>
  <c r="FL121" i="15"/>
  <c r="FL115" i="15"/>
  <c r="FL105" i="15"/>
  <c r="FL97" i="15"/>
  <c r="FL84" i="15"/>
  <c r="FL47" i="15"/>
  <c r="FL15" i="15"/>
  <c r="FL143" i="10"/>
  <c r="FL31" i="10"/>
  <c r="FL168" i="15"/>
  <c r="FL144" i="15"/>
  <c r="FL139" i="10"/>
  <c r="FL135" i="15"/>
  <c r="FL128" i="15"/>
  <c r="FL108" i="15"/>
  <c r="FL92" i="15"/>
  <c r="FL83" i="15"/>
  <c r="FL57" i="15"/>
  <c r="FL44" i="15"/>
  <c r="FL33" i="15"/>
  <c r="FL20" i="15"/>
  <c r="FL68" i="10"/>
  <c r="FL183" i="15"/>
  <c r="FL180" i="15"/>
  <c r="FL177" i="15"/>
  <c r="FL161" i="15"/>
  <c r="FL155" i="10"/>
  <c r="FL124" i="15"/>
  <c r="FL116" i="15"/>
  <c r="FL65" i="15"/>
  <c r="FL61" i="15"/>
  <c r="FL49" i="15"/>
  <c r="FL41" i="15"/>
  <c r="FL27" i="10"/>
  <c r="FL17" i="15"/>
  <c r="FL175" i="10"/>
  <c r="FL89" i="10"/>
  <c r="FL127" i="15"/>
  <c r="FL127" i="10"/>
  <c r="FL41" i="10"/>
  <c r="FL26" i="15"/>
  <c r="FL84" i="10"/>
  <c r="FL36" i="10"/>
  <c r="FL165" i="15"/>
  <c r="FL178" i="10"/>
  <c r="FL154" i="10"/>
  <c r="FL146" i="10"/>
  <c r="FL98" i="15"/>
  <c r="FL70" i="10"/>
  <c r="FL54" i="10"/>
  <c r="FL38" i="10"/>
  <c r="FL22" i="10"/>
  <c r="FL163" i="10"/>
  <c r="FL136" i="10"/>
  <c r="FL115" i="10"/>
  <c r="FL72" i="10"/>
  <c r="FL51" i="10"/>
  <c r="FL29" i="10"/>
  <c r="FL139" i="15"/>
  <c r="FL75" i="15"/>
  <c r="FL114" i="15"/>
  <c r="FL166" i="15"/>
  <c r="FL122" i="15"/>
  <c r="FL62" i="15"/>
  <c r="FL50" i="15"/>
  <c r="FL183" i="10"/>
  <c r="FL161" i="10"/>
  <c r="FL140" i="10"/>
  <c r="FL119" i="10"/>
  <c r="FL81" i="10"/>
  <c r="FL44" i="10"/>
  <c r="FL23" i="10"/>
  <c r="FL110" i="15"/>
  <c r="FL162" i="15"/>
  <c r="FL138" i="10"/>
  <c r="FL102" i="10"/>
  <c r="FL34" i="10"/>
  <c r="FL160" i="10"/>
  <c r="FL128" i="10"/>
  <c r="FL96" i="10"/>
  <c r="FL64" i="10"/>
  <c r="FL32" i="10"/>
  <c r="FL164" i="15"/>
  <c r="FL99" i="15"/>
  <c r="FL87" i="15"/>
  <c r="FL173" i="10"/>
  <c r="FL169" i="15"/>
  <c r="FL157" i="10"/>
  <c r="FL75" i="10"/>
  <c r="FL63" i="15"/>
  <c r="FL52" i="15"/>
  <c r="FL43" i="10"/>
  <c r="FL37" i="15"/>
  <c r="FL28" i="15"/>
  <c r="FL24" i="15"/>
  <c r="FL121" i="10"/>
  <c r="FL185" i="15"/>
  <c r="FL171" i="10"/>
  <c r="FL113" i="15"/>
  <c r="FL100" i="15"/>
  <c r="FL67" i="15"/>
  <c r="FL39" i="15"/>
  <c r="FL20" i="10"/>
  <c r="FL96" i="15"/>
  <c r="FL59" i="10"/>
  <c r="FL53" i="15"/>
  <c r="FL140" i="15"/>
  <c r="FL131" i="15"/>
  <c r="FL104" i="15"/>
  <c r="FL81" i="15"/>
  <c r="FL153" i="10"/>
  <c r="FL57" i="10"/>
  <c r="FL108" i="10"/>
  <c r="FL14" i="10"/>
  <c r="FL26" i="10"/>
  <c r="FL79" i="10"/>
  <c r="FL25" i="10"/>
  <c r="FL174" i="15"/>
  <c r="FL150" i="15"/>
  <c r="FL130" i="15"/>
  <c r="FL98" i="10"/>
  <c r="FL66" i="15"/>
  <c r="FL184" i="10"/>
  <c r="FL152" i="10"/>
  <c r="FL131" i="10"/>
  <c r="FL109" i="10"/>
  <c r="FL88" i="10"/>
  <c r="FL67" i="10"/>
  <c r="FL24" i="10"/>
  <c r="FL123" i="15"/>
  <c r="FL59" i="15"/>
  <c r="FL114" i="10"/>
  <c r="FL166" i="10"/>
  <c r="FL122" i="10"/>
  <c r="FL62" i="10"/>
  <c r="FL50" i="10"/>
  <c r="FL177" i="10"/>
  <c r="FL156" i="10"/>
  <c r="FL135" i="10"/>
  <c r="FL113" i="10"/>
  <c r="FL76" i="10"/>
  <c r="FL39" i="10"/>
  <c r="FL17" i="10"/>
  <c r="FL110" i="10"/>
  <c r="FL170" i="15"/>
  <c r="FL162" i="10"/>
  <c r="FL142" i="15"/>
  <c r="FL106" i="15"/>
  <c r="FL30" i="15"/>
  <c r="FL149" i="10"/>
  <c r="FL117" i="10"/>
  <c r="FL85" i="10"/>
  <c r="FL53" i="10"/>
  <c r="FL21" i="10"/>
  <c r="FL19" i="15"/>
  <c r="FL152" i="15"/>
  <c r="FL143" i="15"/>
  <c r="FL132" i="15"/>
  <c r="FL123" i="10"/>
  <c r="FL120" i="15"/>
  <c r="FL112" i="15"/>
  <c r="FL101" i="15"/>
  <c r="FL85" i="15"/>
  <c r="FL185" i="10"/>
  <c r="FL97" i="10"/>
  <c r="FL31" i="15"/>
  <c r="FL165" i="10"/>
  <c r="FL149" i="15"/>
  <c r="FL141" i="15"/>
  <c r="FL136" i="15"/>
  <c r="FL129" i="15"/>
  <c r="FL109" i="15"/>
  <c r="FL71" i="15"/>
  <c r="FL36" i="15"/>
  <c r="FL21" i="15"/>
  <c r="FL159" i="10"/>
  <c r="FL173" i="15"/>
  <c r="FL181" i="10"/>
  <c r="FL179" i="15"/>
  <c r="FL175" i="15"/>
  <c r="FL167" i="15"/>
  <c r="FL160" i="15"/>
  <c r="FL119" i="15"/>
  <c r="FL69" i="15"/>
  <c r="FL64" i="15"/>
  <c r="FL51" i="15"/>
  <c r="FL48" i="15"/>
  <c r="FL35" i="15"/>
  <c r="FL23" i="15"/>
  <c r="FL16" i="15"/>
  <c r="FL132" i="10"/>
  <c r="FL47" i="10"/>
  <c r="FL169" i="10"/>
  <c r="FL87" i="10"/>
  <c r="FL95" i="15"/>
  <c r="FL105" i="10"/>
  <c r="FL73" i="10"/>
  <c r="FL15" i="10"/>
  <c r="FL174" i="10"/>
  <c r="FL150" i="10"/>
  <c r="FL130" i="10"/>
  <c r="FL82" i="15"/>
  <c r="FL66" i="10"/>
  <c r="FL179" i="10"/>
  <c r="FL147" i="10"/>
  <c r="FL125" i="10"/>
  <c r="FL104" i="10"/>
  <c r="FL83" i="10"/>
  <c r="FL61" i="10"/>
  <c r="FL40" i="10"/>
  <c r="FL171" i="15"/>
  <c r="FL107" i="15"/>
  <c r="FL43" i="15"/>
  <c r="FL90" i="15"/>
  <c r="FL118" i="15"/>
  <c r="FL94" i="15"/>
  <c r="FL58" i="15"/>
  <c r="FL42" i="15"/>
  <c r="FL18" i="15"/>
  <c r="FL172" i="10"/>
  <c r="FL151" i="10"/>
  <c r="FL129" i="10"/>
  <c r="FL103" i="10"/>
  <c r="FL65" i="10"/>
  <c r="FL33" i="10"/>
  <c r="FL134" i="15"/>
  <c r="FL86" i="15"/>
  <c r="FL170" i="10"/>
  <c r="FL158" i="15"/>
  <c r="FL142" i="10"/>
  <c r="FL126" i="15"/>
  <c r="FL106" i="10"/>
  <c r="FL30" i="10"/>
  <c r="FL144" i="10"/>
  <c r="FL112" i="10"/>
  <c r="FL80" i="10"/>
  <c r="FL48" i="10"/>
  <c r="FL16" i="10"/>
  <c r="FL151" i="15"/>
  <c r="FL180" i="10"/>
  <c r="FL116" i="10"/>
  <c r="FL49" i="10"/>
  <c r="FL71" i="10"/>
  <c r="AA9" i="15"/>
  <c r="AB9" i="15" s="1"/>
  <c r="Q9" i="10"/>
  <c r="R9" i="10" s="1"/>
  <c r="C95" i="14" l="1"/>
  <c r="E94" i="14"/>
  <c r="D1565" i="12"/>
  <c r="F1564" i="12"/>
  <c r="E1564" i="12"/>
  <c r="AA10" i="15"/>
  <c r="AB10" i="15"/>
  <c r="AC9" i="15"/>
  <c r="Q10" i="10"/>
  <c r="R10" i="10"/>
  <c r="S9" i="10"/>
  <c r="C96" i="14" l="1"/>
  <c r="E95" i="14"/>
  <c r="D1566" i="12"/>
  <c r="E1565" i="12"/>
  <c r="F1565" i="12"/>
  <c r="AC10" i="15"/>
  <c r="AD9" i="15"/>
  <c r="S10" i="10"/>
  <c r="T9" i="10"/>
  <c r="F12" i="6"/>
  <c r="F13" i="6" s="1"/>
  <c r="F14" i="6" s="1"/>
  <c r="F15" i="6" s="1"/>
  <c r="F16" i="6" s="1"/>
  <c r="F17" i="6" s="1"/>
  <c r="F18" i="6" s="1"/>
  <c r="C97" i="14" l="1"/>
  <c r="E96" i="14"/>
  <c r="D1567" i="12"/>
  <c r="F1566" i="12"/>
  <c r="E1566" i="12"/>
  <c r="F19" i="6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AD10" i="15"/>
  <c r="AE9" i="15"/>
  <c r="T10" i="10"/>
  <c r="U9" i="10"/>
  <c r="C98" i="14" l="1"/>
  <c r="E97" i="14"/>
  <c r="D1568" i="12"/>
  <c r="F1567" i="12"/>
  <c r="E1567" i="12"/>
  <c r="AE10" i="15"/>
  <c r="AF9" i="15"/>
  <c r="U10" i="10"/>
  <c r="V9" i="10"/>
  <c r="C99" i="14" l="1"/>
  <c r="E98" i="14"/>
  <c r="D1569" i="12"/>
  <c r="F1568" i="12"/>
  <c r="E1568" i="12"/>
  <c r="AF10" i="15"/>
  <c r="AG9" i="15"/>
  <c r="V10" i="10"/>
  <c r="W9" i="10"/>
  <c r="FB28" i="6"/>
  <c r="C100" i="14" l="1"/>
  <c r="E99" i="14"/>
  <c r="D1570" i="12"/>
  <c r="F1569" i="12"/>
  <c r="E1569" i="12"/>
  <c r="AG10" i="15"/>
  <c r="AH9" i="15"/>
  <c r="W10" i="10"/>
  <c r="X9" i="10"/>
  <c r="C101" i="14" l="1"/>
  <c r="E100" i="14"/>
  <c r="D1571" i="12"/>
  <c r="F1570" i="12"/>
  <c r="E1570" i="12"/>
  <c r="AH10" i="15"/>
  <c r="AI9" i="15"/>
  <c r="X10" i="10"/>
  <c r="Y9" i="10"/>
  <c r="E34" i="2"/>
  <c r="E33" i="2"/>
  <c r="E32" i="2"/>
  <c r="E31" i="2"/>
  <c r="E30" i="2"/>
  <c r="E29" i="2"/>
  <c r="E28" i="2"/>
  <c r="FA30" i="6"/>
  <c r="FB30" i="6" s="1"/>
  <c r="FA29" i="6"/>
  <c r="FB29" i="6" s="1"/>
  <c r="FB27" i="6"/>
  <c r="C102" i="14" l="1"/>
  <c r="E101" i="14"/>
  <c r="P31" i="2"/>
  <c r="F31" i="2"/>
  <c r="I31" i="2"/>
  <c r="P28" i="2"/>
  <c r="I28" i="2"/>
  <c r="F28" i="2"/>
  <c r="P30" i="2"/>
  <c r="F30" i="2"/>
  <c r="I30" i="2"/>
  <c r="P32" i="2"/>
  <c r="I32" i="2"/>
  <c r="F32" i="2"/>
  <c r="P34" i="2"/>
  <c r="I34" i="2"/>
  <c r="F34" i="2"/>
  <c r="P33" i="2"/>
  <c r="I33" i="2"/>
  <c r="F33" i="2"/>
  <c r="P29" i="2"/>
  <c r="F29" i="2"/>
  <c r="I29" i="2"/>
  <c r="D1572" i="12"/>
  <c r="E1571" i="12"/>
  <c r="F1571" i="12"/>
  <c r="AI10" i="15"/>
  <c r="AJ9" i="15"/>
  <c r="Y10" i="10"/>
  <c r="Z9" i="10"/>
  <c r="FA26" i="6"/>
  <c r="FB26" i="6" s="1"/>
  <c r="H9" i="6"/>
  <c r="E38" i="6"/>
  <c r="G10" i="6"/>
  <c r="C103" i="14" l="1"/>
  <c r="E102" i="14"/>
  <c r="D1573" i="12"/>
  <c r="F1572" i="12"/>
  <c r="E1572" i="12"/>
  <c r="AJ10" i="15"/>
  <c r="AK9" i="15"/>
  <c r="Z10" i="10"/>
  <c r="AA9" i="10"/>
  <c r="I9" i="6"/>
  <c r="H10" i="6"/>
  <c r="C104" i="14" l="1"/>
  <c r="E103" i="14"/>
  <c r="D1574" i="12"/>
  <c r="F1573" i="12"/>
  <c r="E1573" i="12"/>
  <c r="AK10" i="15"/>
  <c r="AL9" i="15"/>
  <c r="AA10" i="10"/>
  <c r="AB9" i="10"/>
  <c r="I10" i="6"/>
  <c r="J9" i="6"/>
  <c r="C105" i="14" l="1"/>
  <c r="E104" i="14"/>
  <c r="D1575" i="12"/>
  <c r="F1574" i="12"/>
  <c r="E1574" i="12"/>
  <c r="AL10" i="15"/>
  <c r="AM9" i="15"/>
  <c r="AB10" i="10"/>
  <c r="AC9" i="10"/>
  <c r="K9" i="6"/>
  <c r="J10" i="6"/>
  <c r="C106" i="14" l="1"/>
  <c r="E105" i="14"/>
  <c r="D1576" i="12"/>
  <c r="F1575" i="12"/>
  <c r="E1575" i="12"/>
  <c r="AM10" i="15"/>
  <c r="AN9" i="15"/>
  <c r="AC10" i="10"/>
  <c r="AD9" i="10"/>
  <c r="K10" i="6"/>
  <c r="L9" i="6"/>
  <c r="C107" i="14" l="1"/>
  <c r="E106" i="14"/>
  <c r="D1577" i="12"/>
  <c r="F1576" i="12"/>
  <c r="E1576" i="12"/>
  <c r="L10" i="6"/>
  <c r="AN10" i="15"/>
  <c r="AO9" i="15"/>
  <c r="AD10" i="10"/>
  <c r="AE9" i="10"/>
  <c r="M9" i="6"/>
  <c r="C108" i="14" l="1"/>
  <c r="E107" i="14"/>
  <c r="D1578" i="12"/>
  <c r="E1577" i="12"/>
  <c r="F1577" i="12"/>
  <c r="AO10" i="15"/>
  <c r="AP9" i="15"/>
  <c r="AE10" i="10"/>
  <c r="AF9" i="10"/>
  <c r="N9" i="6"/>
  <c r="N10" i="6" s="1"/>
  <c r="M10" i="6"/>
  <c r="C109" i="14" l="1"/>
  <c r="E108" i="14"/>
  <c r="D1579" i="12"/>
  <c r="F1578" i="12"/>
  <c r="E1578" i="12"/>
  <c r="AP10" i="15"/>
  <c r="AQ9" i="15"/>
  <c r="AF10" i="10"/>
  <c r="AG9" i="10"/>
  <c r="O9" i="6"/>
  <c r="O10" i="6" s="1"/>
  <c r="C110" i="14" l="1"/>
  <c r="E109" i="14"/>
  <c r="D1580" i="12"/>
  <c r="F1579" i="12"/>
  <c r="E1579" i="12"/>
  <c r="AQ10" i="15"/>
  <c r="AR9" i="15"/>
  <c r="AG10" i="10"/>
  <c r="AH9" i="10"/>
  <c r="P9" i="6"/>
  <c r="C111" i="14" l="1"/>
  <c r="E110" i="14"/>
  <c r="D1581" i="12"/>
  <c r="F1580" i="12"/>
  <c r="E1580" i="12"/>
  <c r="AR10" i="15"/>
  <c r="AS9" i="15"/>
  <c r="AH10" i="10"/>
  <c r="AI9" i="10"/>
  <c r="Q9" i="6"/>
  <c r="P10" i="6"/>
  <c r="C112" i="14" l="1"/>
  <c r="E111" i="14"/>
  <c r="D1582" i="12"/>
  <c r="E1581" i="12"/>
  <c r="F1581" i="12"/>
  <c r="AS10" i="15"/>
  <c r="AT9" i="15"/>
  <c r="Q10" i="6"/>
  <c r="R9" i="6"/>
  <c r="AI10" i="10"/>
  <c r="AJ9" i="10"/>
  <c r="C113" i="14" l="1"/>
  <c r="E112" i="14"/>
  <c r="D1583" i="12"/>
  <c r="F1582" i="12"/>
  <c r="E1582" i="12"/>
  <c r="AT10" i="15"/>
  <c r="AU9" i="15"/>
  <c r="S9" i="6"/>
  <c r="S10" i="6" s="1"/>
  <c r="R10" i="6"/>
  <c r="AJ10" i="10"/>
  <c r="AK9" i="10"/>
  <c r="C114" i="14" l="1"/>
  <c r="E113" i="14"/>
  <c r="D1584" i="12"/>
  <c r="E1583" i="12"/>
  <c r="F1583" i="12"/>
  <c r="AU10" i="15"/>
  <c r="AV9" i="15"/>
  <c r="T9" i="6"/>
  <c r="AK10" i="10"/>
  <c r="AL9" i="10"/>
  <c r="C115" i="14" l="1"/>
  <c r="E114" i="14"/>
  <c r="D1585" i="12"/>
  <c r="F1584" i="12"/>
  <c r="E1584" i="12"/>
  <c r="AV10" i="15"/>
  <c r="AW9" i="15"/>
  <c r="U9" i="6"/>
  <c r="U10" i="6" s="1"/>
  <c r="T10" i="6"/>
  <c r="AL10" i="10"/>
  <c r="AM9" i="10"/>
  <c r="C116" i="14" l="1"/>
  <c r="E115" i="14"/>
  <c r="D1586" i="12"/>
  <c r="F1585" i="12"/>
  <c r="E1585" i="12"/>
  <c r="AW10" i="15"/>
  <c r="AX9" i="15"/>
  <c r="V9" i="6"/>
  <c r="AM10" i="10"/>
  <c r="AN9" i="10"/>
  <c r="C117" i="14" l="1"/>
  <c r="E116" i="14"/>
  <c r="D1587" i="12"/>
  <c r="F1586" i="12"/>
  <c r="E1586" i="12"/>
  <c r="AX10" i="15"/>
  <c r="AY9" i="15"/>
  <c r="V10" i="6"/>
  <c r="W9" i="6"/>
  <c r="W10" i="6" s="1"/>
  <c r="AN10" i="10"/>
  <c r="AO9" i="10"/>
  <c r="C118" i="14" l="1"/>
  <c r="E117" i="14"/>
  <c r="D1588" i="12"/>
  <c r="E1587" i="12"/>
  <c r="F1587" i="12"/>
  <c r="AY10" i="15"/>
  <c r="AZ9" i="15"/>
  <c r="X9" i="6"/>
  <c r="AO10" i="10"/>
  <c r="AP9" i="10"/>
  <c r="C119" i="14" l="1"/>
  <c r="E118" i="14"/>
  <c r="D1589" i="12"/>
  <c r="F1588" i="12"/>
  <c r="E1588" i="12"/>
  <c r="AZ10" i="15"/>
  <c r="BA9" i="15"/>
  <c r="Y9" i="6"/>
  <c r="X10" i="6"/>
  <c r="AP10" i="10"/>
  <c r="AQ9" i="10"/>
  <c r="C120" i="14" l="1"/>
  <c r="E119" i="14"/>
  <c r="D1590" i="12"/>
  <c r="E1589" i="12"/>
  <c r="F1589" i="12"/>
  <c r="Y10" i="6"/>
  <c r="Z9" i="6"/>
  <c r="Z10" i="6" s="1"/>
  <c r="BA10" i="15"/>
  <c r="BB9" i="15"/>
  <c r="AQ10" i="10"/>
  <c r="AR9" i="10"/>
  <c r="F61" i="2"/>
  <c r="G61" i="2"/>
  <c r="H61" i="2"/>
  <c r="I61" i="2"/>
  <c r="J61" i="2"/>
  <c r="K61" i="2"/>
  <c r="L61" i="2"/>
  <c r="M61" i="2"/>
  <c r="C121" i="14" l="1"/>
  <c r="E120" i="14"/>
  <c r="D1591" i="12"/>
  <c r="F1590" i="12"/>
  <c r="E1590" i="12"/>
  <c r="AA9" i="6"/>
  <c r="AA10" i="6" s="1"/>
  <c r="BB10" i="15"/>
  <c r="BC9" i="15"/>
  <c r="AR10" i="10"/>
  <c r="AS9" i="10"/>
  <c r="C122" i="14" l="1"/>
  <c r="E121" i="14"/>
  <c r="D1592" i="12"/>
  <c r="F1591" i="12"/>
  <c r="E1591" i="12"/>
  <c r="AB9" i="6"/>
  <c r="AB10" i="6" s="1"/>
  <c r="BC10" i="15"/>
  <c r="BD9" i="15"/>
  <c r="AS10" i="10"/>
  <c r="AT9" i="10"/>
  <c r="Z13" i="5"/>
  <c r="AS19" i="5"/>
  <c r="D28" i="5"/>
  <c r="D29" i="5"/>
  <c r="D30" i="5"/>
  <c r="V29" i="5"/>
  <c r="D31" i="5"/>
  <c r="V30" i="5"/>
  <c r="D32" i="5"/>
  <c r="V31" i="5"/>
  <c r="D33" i="5"/>
  <c r="V32" i="5"/>
  <c r="D34" i="5"/>
  <c r="V33" i="5"/>
  <c r="V34" i="5"/>
  <c r="C123" i="14" l="1"/>
  <c r="E122" i="14"/>
  <c r="H28" i="5"/>
  <c r="E28" i="5"/>
  <c r="N28" i="5"/>
  <c r="H32" i="5"/>
  <c r="E32" i="5"/>
  <c r="N32" i="5"/>
  <c r="E29" i="5"/>
  <c r="H29" i="5"/>
  <c r="N29" i="5"/>
  <c r="H31" i="5"/>
  <c r="E31" i="5"/>
  <c r="N31" i="5"/>
  <c r="H34" i="5"/>
  <c r="E34" i="5"/>
  <c r="N34" i="5"/>
  <c r="H33" i="5"/>
  <c r="E33" i="5"/>
  <c r="N33" i="5"/>
  <c r="E30" i="5"/>
  <c r="H30" i="5"/>
  <c r="N30" i="5"/>
  <c r="D1593" i="12"/>
  <c r="F1592" i="12"/>
  <c r="E1592" i="12"/>
  <c r="AC9" i="6"/>
  <c r="AC10" i="6" s="1"/>
  <c r="BD10" i="15"/>
  <c r="BE9" i="15"/>
  <c r="AT10" i="10"/>
  <c r="AU9" i="10"/>
  <c r="H54" i="5"/>
  <c r="H6" i="2" s="1"/>
  <c r="P438" i="2" s="1"/>
  <c r="W14" i="5"/>
  <c r="AS15" i="5"/>
  <c r="W13" i="5" s="1"/>
  <c r="C124" i="14" l="1"/>
  <c r="E123" i="14"/>
  <c r="D1594" i="12"/>
  <c r="F1593" i="12"/>
  <c r="E1593" i="12"/>
  <c r="G8" i="5"/>
  <c r="BB10" i="2"/>
  <c r="O7" i="15"/>
  <c r="P7" i="15" s="1"/>
  <c r="O7" i="10"/>
  <c r="AD9" i="6"/>
  <c r="AD10" i="6" s="1"/>
  <c r="O7" i="6"/>
  <c r="N7" i="6" s="1"/>
  <c r="T5" i="6" s="1"/>
  <c r="U5" i="6" s="1"/>
  <c r="BE10" i="15"/>
  <c r="BF9" i="15"/>
  <c r="AU10" i="10"/>
  <c r="AV9" i="10"/>
  <c r="W15" i="5"/>
  <c r="W16" i="5" s="1"/>
  <c r="AW15" i="5"/>
  <c r="AR23" i="5"/>
  <c r="BF23" i="5" s="1"/>
  <c r="C125" i="14" l="1"/>
  <c r="E124" i="14"/>
  <c r="D1595" i="12"/>
  <c r="F1594" i="12"/>
  <c r="E1594" i="12"/>
  <c r="BC23" i="5"/>
  <c r="U7" i="15"/>
  <c r="N7" i="15"/>
  <c r="T5" i="15" s="1"/>
  <c r="U5" i="15" s="1"/>
  <c r="W7" i="15"/>
  <c r="W7" i="10"/>
  <c r="N7" i="10"/>
  <c r="T5" i="10" s="1"/>
  <c r="U5" i="10" s="1"/>
  <c r="U7" i="10"/>
  <c r="P7" i="10"/>
  <c r="AE9" i="6"/>
  <c r="AE10" i="6" s="1"/>
  <c r="W7" i="6"/>
  <c r="P7" i="6"/>
  <c r="U7" i="6"/>
  <c r="AE11" i="2"/>
  <c r="BG10" i="2"/>
  <c r="BB10" i="5"/>
  <c r="BG10" i="5"/>
  <c r="BF10" i="15"/>
  <c r="BG9" i="15"/>
  <c r="AV10" i="10"/>
  <c r="AW9" i="10"/>
  <c r="C58" i="5"/>
  <c r="AV23" i="5"/>
  <c r="BA15" i="5"/>
  <c r="AZ23" i="5" s="1"/>
  <c r="C126" i="14" l="1"/>
  <c r="E125" i="14"/>
  <c r="CT18" i="5"/>
  <c r="D1596" i="12"/>
  <c r="E1595" i="12"/>
  <c r="F1595" i="12"/>
  <c r="Y7" i="6"/>
  <c r="AF9" i="6"/>
  <c r="AF10" i="6" s="1"/>
  <c r="Y7" i="15"/>
  <c r="Y7" i="10"/>
  <c r="Z7" i="15"/>
  <c r="T7" i="15" s="1"/>
  <c r="O5" i="15" s="1"/>
  <c r="Z7" i="10"/>
  <c r="Z7" i="6"/>
  <c r="BG10" i="15"/>
  <c r="BH9" i="15"/>
  <c r="AW10" i="10"/>
  <c r="AX9" i="10"/>
  <c r="C127" i="14" l="1"/>
  <c r="E126" i="14"/>
  <c r="EQ18" i="5"/>
  <c r="D1597" i="12"/>
  <c r="F1596" i="12"/>
  <c r="E1596" i="12"/>
  <c r="AG9" i="6"/>
  <c r="AG10" i="6" s="1"/>
  <c r="T7" i="10"/>
  <c r="AB7" i="10" s="1"/>
  <c r="AB7" i="15"/>
  <c r="N6" i="15" s="1"/>
  <c r="T7" i="6"/>
  <c r="BH10" i="15"/>
  <c r="BI9" i="15"/>
  <c r="AX10" i="10"/>
  <c r="AY9" i="10"/>
  <c r="C128" i="14" l="1"/>
  <c r="E127" i="14"/>
  <c r="D1598" i="12"/>
  <c r="F1597" i="12"/>
  <c r="E1597" i="12"/>
  <c r="AH9" i="6"/>
  <c r="AH10" i="6" s="1"/>
  <c r="N6" i="10"/>
  <c r="O5" i="10"/>
  <c r="W5" i="10"/>
  <c r="W5" i="15"/>
  <c r="AB7" i="6"/>
  <c r="O5" i="6"/>
  <c r="BI10" i="15"/>
  <c r="BJ9" i="15"/>
  <c r="AY10" i="10"/>
  <c r="AZ9" i="10"/>
  <c r="C129" i="14" l="1"/>
  <c r="E128" i="14"/>
  <c r="D1599" i="12"/>
  <c r="F1598" i="12"/>
  <c r="E1598" i="12"/>
  <c r="AI9" i="6"/>
  <c r="AJ9" i="6" s="1"/>
  <c r="V5" i="6"/>
  <c r="N6" i="6"/>
  <c r="BJ10" i="15"/>
  <c r="BK9" i="15"/>
  <c r="AZ10" i="10"/>
  <c r="BA9" i="10"/>
  <c r="C130" i="14" l="1"/>
  <c r="E129" i="14"/>
  <c r="D1600" i="12"/>
  <c r="E1599" i="12"/>
  <c r="F1599" i="12"/>
  <c r="AI10" i="6"/>
  <c r="G38" i="6"/>
  <c r="G42" i="6"/>
  <c r="G46" i="6"/>
  <c r="G50" i="6"/>
  <c r="G54" i="6"/>
  <c r="G45" i="6"/>
  <c r="G39" i="6"/>
  <c r="G43" i="6"/>
  <c r="G47" i="6"/>
  <c r="G51" i="6"/>
  <c r="G55" i="6"/>
  <c r="G49" i="6"/>
  <c r="G40" i="6"/>
  <c r="G44" i="6"/>
  <c r="G48" i="6"/>
  <c r="G52" i="6"/>
  <c r="G56" i="6"/>
  <c r="G41" i="6"/>
  <c r="G53" i="6"/>
  <c r="H38" i="6"/>
  <c r="H39" i="6"/>
  <c r="H43" i="6"/>
  <c r="H47" i="6"/>
  <c r="H51" i="6"/>
  <c r="H55" i="6"/>
  <c r="H40" i="6"/>
  <c r="H44" i="6"/>
  <c r="H48" i="6"/>
  <c r="H52" i="6"/>
  <c r="H56" i="6"/>
  <c r="H41" i="6"/>
  <c r="H45" i="6"/>
  <c r="H49" i="6"/>
  <c r="H53" i="6"/>
  <c r="H42" i="6"/>
  <c r="H46" i="6"/>
  <c r="H50" i="6"/>
  <c r="H54" i="6"/>
  <c r="I38" i="6"/>
  <c r="M38" i="6"/>
  <c r="Q38" i="6"/>
  <c r="U38" i="6"/>
  <c r="Y38" i="6"/>
  <c r="AC38" i="6"/>
  <c r="AG38" i="6"/>
  <c r="K39" i="6"/>
  <c r="O39" i="6"/>
  <c r="S39" i="6"/>
  <c r="W39" i="6"/>
  <c r="AA39" i="6"/>
  <c r="AE39" i="6"/>
  <c r="AI39" i="6"/>
  <c r="J38" i="6"/>
  <c r="N38" i="6"/>
  <c r="R38" i="6"/>
  <c r="V38" i="6"/>
  <c r="Z38" i="6"/>
  <c r="AD38" i="6"/>
  <c r="AH38" i="6"/>
  <c r="L39" i="6"/>
  <c r="P39" i="6"/>
  <c r="T39" i="6"/>
  <c r="X39" i="6"/>
  <c r="AB39" i="6"/>
  <c r="AF39" i="6"/>
  <c r="AJ39" i="6"/>
  <c r="K38" i="6"/>
  <c r="O38" i="6"/>
  <c r="S38" i="6"/>
  <c r="W38" i="6"/>
  <c r="AA38" i="6"/>
  <c r="AE38" i="6"/>
  <c r="AI38" i="6"/>
  <c r="I39" i="6"/>
  <c r="M39" i="6"/>
  <c r="Q39" i="6"/>
  <c r="U39" i="6"/>
  <c r="Y39" i="6"/>
  <c r="AC39" i="6"/>
  <c r="AG39" i="6"/>
  <c r="K40" i="6"/>
  <c r="O40" i="6"/>
  <c r="S40" i="6"/>
  <c r="W40" i="6"/>
  <c r="AA40" i="6"/>
  <c r="AE40" i="6"/>
  <c r="AI40" i="6"/>
  <c r="L38" i="6"/>
  <c r="AB38" i="6"/>
  <c r="N39" i="6"/>
  <c r="AD39" i="6"/>
  <c r="M40" i="6"/>
  <c r="R40" i="6"/>
  <c r="X40" i="6"/>
  <c r="AC40" i="6"/>
  <c r="AH40" i="6"/>
  <c r="L41" i="6"/>
  <c r="P41" i="6"/>
  <c r="T41" i="6"/>
  <c r="X41" i="6"/>
  <c r="AB41" i="6"/>
  <c r="AF41" i="6"/>
  <c r="AJ41" i="6"/>
  <c r="P38" i="6"/>
  <c r="AF38" i="6"/>
  <c r="R39" i="6"/>
  <c r="AH39" i="6"/>
  <c r="I40" i="6"/>
  <c r="N40" i="6"/>
  <c r="T40" i="6"/>
  <c r="Y40" i="6"/>
  <c r="AD40" i="6"/>
  <c r="AJ40" i="6"/>
  <c r="I41" i="6"/>
  <c r="M41" i="6"/>
  <c r="Q41" i="6"/>
  <c r="U41" i="6"/>
  <c r="Y41" i="6"/>
  <c r="AC41" i="6"/>
  <c r="AG41" i="6"/>
  <c r="T38" i="6"/>
  <c r="AJ38" i="6"/>
  <c r="V39" i="6"/>
  <c r="J40" i="6"/>
  <c r="P40" i="6"/>
  <c r="U40" i="6"/>
  <c r="Z40" i="6"/>
  <c r="AF40" i="6"/>
  <c r="J41" i="6"/>
  <c r="N41" i="6"/>
  <c r="R41" i="6"/>
  <c r="V41" i="6"/>
  <c r="Z41" i="6"/>
  <c r="AD41" i="6"/>
  <c r="AH41" i="6"/>
  <c r="L42" i="6"/>
  <c r="P42" i="6"/>
  <c r="T42" i="6"/>
  <c r="X42" i="6"/>
  <c r="AB42" i="6"/>
  <c r="AF42" i="6"/>
  <c r="AJ42" i="6"/>
  <c r="J43" i="6"/>
  <c r="N43" i="6"/>
  <c r="R43" i="6"/>
  <c r="X38" i="6"/>
  <c r="J39" i="6"/>
  <c r="V40" i="6"/>
  <c r="S41" i="6"/>
  <c r="AI41" i="6"/>
  <c r="J42" i="6"/>
  <c r="O42" i="6"/>
  <c r="U42" i="6"/>
  <c r="Z42" i="6"/>
  <c r="AE42" i="6"/>
  <c r="L43" i="6"/>
  <c r="Q43" i="6"/>
  <c r="V43" i="6"/>
  <c r="Z43" i="6"/>
  <c r="AD43" i="6"/>
  <c r="AH43" i="6"/>
  <c r="Z39" i="6"/>
  <c r="AB40" i="6"/>
  <c r="W41" i="6"/>
  <c r="K42" i="6"/>
  <c r="Q42" i="6"/>
  <c r="V42" i="6"/>
  <c r="AA42" i="6"/>
  <c r="AG42" i="6"/>
  <c r="M43" i="6"/>
  <c r="S43" i="6"/>
  <c r="W43" i="6"/>
  <c r="AA43" i="6"/>
  <c r="AE43" i="6"/>
  <c r="AI43" i="6"/>
  <c r="I44" i="6"/>
  <c r="M44" i="6"/>
  <c r="Q44" i="6"/>
  <c r="U44" i="6"/>
  <c r="Y44" i="6"/>
  <c r="AC44" i="6"/>
  <c r="AG44" i="6"/>
  <c r="K45" i="6"/>
  <c r="O45" i="6"/>
  <c r="S45" i="6"/>
  <c r="W45" i="6"/>
  <c r="AA45" i="6"/>
  <c r="AE45" i="6"/>
  <c r="AI45" i="6"/>
  <c r="I46" i="6"/>
  <c r="M46" i="6"/>
  <c r="Q46" i="6"/>
  <c r="U46" i="6"/>
  <c r="Y46" i="6"/>
  <c r="AC46" i="6"/>
  <c r="AG46" i="6"/>
  <c r="L40" i="6"/>
  <c r="AG40" i="6"/>
  <c r="K41" i="6"/>
  <c r="AA41" i="6"/>
  <c r="M42" i="6"/>
  <c r="R42" i="6"/>
  <c r="W42" i="6"/>
  <c r="AC42" i="6"/>
  <c r="AH42" i="6"/>
  <c r="I43" i="6"/>
  <c r="O43" i="6"/>
  <c r="T43" i="6"/>
  <c r="X43" i="6"/>
  <c r="AB43" i="6"/>
  <c r="AF43" i="6"/>
  <c r="AJ43" i="6"/>
  <c r="J44" i="6"/>
  <c r="N44" i="6"/>
  <c r="R44" i="6"/>
  <c r="V44" i="6"/>
  <c r="Z44" i="6"/>
  <c r="AD44" i="6"/>
  <c r="AH44" i="6"/>
  <c r="L45" i="6"/>
  <c r="P45" i="6"/>
  <c r="T45" i="6"/>
  <c r="X45" i="6"/>
  <c r="AB45" i="6"/>
  <c r="AF45" i="6"/>
  <c r="AJ45" i="6"/>
  <c r="J46" i="6"/>
  <c r="N46" i="6"/>
  <c r="R46" i="6"/>
  <c r="V46" i="6"/>
  <c r="Z46" i="6"/>
  <c r="AD46" i="6"/>
  <c r="AH46" i="6"/>
  <c r="I42" i="6"/>
  <c r="AD42" i="6"/>
  <c r="P43" i="6"/>
  <c r="AG43" i="6"/>
  <c r="P44" i="6"/>
  <c r="X44" i="6"/>
  <c r="AF44" i="6"/>
  <c r="J45" i="6"/>
  <c r="R45" i="6"/>
  <c r="Z45" i="6"/>
  <c r="AH45" i="6"/>
  <c r="L46" i="6"/>
  <c r="T46" i="6"/>
  <c r="AB46" i="6"/>
  <c r="AJ46" i="6"/>
  <c r="Q40" i="6"/>
  <c r="O41" i="6"/>
  <c r="N42" i="6"/>
  <c r="AI42" i="6"/>
  <c r="U43" i="6"/>
  <c r="K44" i="6"/>
  <c r="S44" i="6"/>
  <c r="AA44" i="6"/>
  <c r="AI44" i="6"/>
  <c r="M45" i="6"/>
  <c r="U45" i="6"/>
  <c r="AC45" i="6"/>
  <c r="O46" i="6"/>
  <c r="W46" i="6"/>
  <c r="AE46" i="6"/>
  <c r="AE41" i="6"/>
  <c r="S42" i="6"/>
  <c r="Y43" i="6"/>
  <c r="L44" i="6"/>
  <c r="T44" i="6"/>
  <c r="AB44" i="6"/>
  <c r="AJ44" i="6"/>
  <c r="N45" i="6"/>
  <c r="V45" i="6"/>
  <c r="AD45" i="6"/>
  <c r="P46" i="6"/>
  <c r="X46" i="6"/>
  <c r="AF46" i="6"/>
  <c r="J47" i="6"/>
  <c r="N47" i="6"/>
  <c r="R47" i="6"/>
  <c r="V47" i="6"/>
  <c r="Z47" i="6"/>
  <c r="AD47" i="6"/>
  <c r="AH47" i="6"/>
  <c r="L48" i="6"/>
  <c r="P48" i="6"/>
  <c r="T48" i="6"/>
  <c r="X48" i="6"/>
  <c r="AB48" i="6"/>
  <c r="AF48" i="6"/>
  <c r="AJ48" i="6"/>
  <c r="K43" i="6"/>
  <c r="O44" i="6"/>
  <c r="AG45" i="6"/>
  <c r="S46" i="6"/>
  <c r="M47" i="6"/>
  <c r="S47" i="6"/>
  <c r="X47" i="6"/>
  <c r="AC47" i="6"/>
  <c r="AI47" i="6"/>
  <c r="J48" i="6"/>
  <c r="O48" i="6"/>
  <c r="U48" i="6"/>
  <c r="Z48" i="6"/>
  <c r="AE48" i="6"/>
  <c r="J49" i="6"/>
  <c r="N49" i="6"/>
  <c r="R49" i="6"/>
  <c r="V49" i="6"/>
  <c r="Z49" i="6"/>
  <c r="AD49" i="6"/>
  <c r="AH49" i="6"/>
  <c r="L50" i="6"/>
  <c r="P50" i="6"/>
  <c r="T50" i="6"/>
  <c r="X50" i="6"/>
  <c r="AB50" i="6"/>
  <c r="AF50" i="6"/>
  <c r="AJ50" i="6"/>
  <c r="AC43" i="6"/>
  <c r="W44" i="6"/>
  <c r="I45" i="6"/>
  <c r="AA46" i="6"/>
  <c r="I47" i="6"/>
  <c r="O47" i="6"/>
  <c r="T47" i="6"/>
  <c r="Y47" i="6"/>
  <c r="AE47" i="6"/>
  <c r="AJ47" i="6"/>
  <c r="K48" i="6"/>
  <c r="Q48" i="6"/>
  <c r="V48" i="6"/>
  <c r="AA48" i="6"/>
  <c r="AG48" i="6"/>
  <c r="K49" i="6"/>
  <c r="O49" i="6"/>
  <c r="S49" i="6"/>
  <c r="W49" i="6"/>
  <c r="AA49" i="6"/>
  <c r="AE49" i="6"/>
  <c r="AI49" i="6"/>
  <c r="I50" i="6"/>
  <c r="M50" i="6"/>
  <c r="Q50" i="6"/>
  <c r="U50" i="6"/>
  <c r="Y50" i="6"/>
  <c r="AC50" i="6"/>
  <c r="AG50" i="6"/>
  <c r="K51" i="6"/>
  <c r="O51" i="6"/>
  <c r="S51" i="6"/>
  <c r="W51" i="6"/>
  <c r="AA51" i="6"/>
  <c r="AE51" i="6"/>
  <c r="AI51" i="6"/>
  <c r="Y42" i="6"/>
  <c r="AE44" i="6"/>
  <c r="Q45" i="6"/>
  <c r="AI46" i="6"/>
  <c r="K47" i="6"/>
  <c r="P47" i="6"/>
  <c r="U47" i="6"/>
  <c r="AA47" i="6"/>
  <c r="AF47" i="6"/>
  <c r="M48" i="6"/>
  <c r="R48" i="6"/>
  <c r="W48" i="6"/>
  <c r="AC48" i="6"/>
  <c r="AH48" i="6"/>
  <c r="L49" i="6"/>
  <c r="P49" i="6"/>
  <c r="T49" i="6"/>
  <c r="X49" i="6"/>
  <c r="AB49" i="6"/>
  <c r="AF49" i="6"/>
  <c r="AJ49" i="6"/>
  <c r="J50" i="6"/>
  <c r="N50" i="6"/>
  <c r="R50" i="6"/>
  <c r="V50" i="6"/>
  <c r="Z50" i="6"/>
  <c r="AD50" i="6"/>
  <c r="AH50" i="6"/>
  <c r="L51" i="6"/>
  <c r="P51" i="6"/>
  <c r="T51" i="6"/>
  <c r="X51" i="6"/>
  <c r="AB51" i="6"/>
  <c r="AF51" i="6"/>
  <c r="AJ51" i="6"/>
  <c r="L47" i="6"/>
  <c r="AG47" i="6"/>
  <c r="S48" i="6"/>
  <c r="Q49" i="6"/>
  <c r="AG49" i="6"/>
  <c r="S50" i="6"/>
  <c r="AI50" i="6"/>
  <c r="J51" i="6"/>
  <c r="R51" i="6"/>
  <c r="Z51" i="6"/>
  <c r="AH51" i="6"/>
  <c r="L52" i="6"/>
  <c r="P52" i="6"/>
  <c r="T52" i="6"/>
  <c r="X52" i="6"/>
  <c r="AB52" i="6"/>
  <c r="AF52" i="6"/>
  <c r="AJ52" i="6"/>
  <c r="J53" i="6"/>
  <c r="N53" i="6"/>
  <c r="R53" i="6"/>
  <c r="V53" i="6"/>
  <c r="Z53" i="6"/>
  <c r="AD53" i="6"/>
  <c r="AH53" i="6"/>
  <c r="L54" i="6"/>
  <c r="P54" i="6"/>
  <c r="T54" i="6"/>
  <c r="X54" i="6"/>
  <c r="AB54" i="6"/>
  <c r="AF54" i="6"/>
  <c r="AJ54" i="6"/>
  <c r="Q47" i="6"/>
  <c r="Y48" i="6"/>
  <c r="U49" i="6"/>
  <c r="W50" i="6"/>
  <c r="M51" i="6"/>
  <c r="U51" i="6"/>
  <c r="AC51" i="6"/>
  <c r="I52" i="6"/>
  <c r="M52" i="6"/>
  <c r="Q52" i="6"/>
  <c r="U52" i="6"/>
  <c r="Y52" i="6"/>
  <c r="AC52" i="6"/>
  <c r="AG52" i="6"/>
  <c r="K53" i="6"/>
  <c r="O53" i="6"/>
  <c r="S53" i="6"/>
  <c r="W53" i="6"/>
  <c r="AA53" i="6"/>
  <c r="AE53" i="6"/>
  <c r="AI53" i="6"/>
  <c r="I54" i="6"/>
  <c r="M54" i="6"/>
  <c r="Q54" i="6"/>
  <c r="U54" i="6"/>
  <c r="Y54" i="6"/>
  <c r="AC54" i="6"/>
  <c r="AG54" i="6"/>
  <c r="K55" i="6"/>
  <c r="O55" i="6"/>
  <c r="S55" i="6"/>
  <c r="W55" i="6"/>
  <c r="AA55" i="6"/>
  <c r="AE55" i="6"/>
  <c r="AI55" i="6"/>
  <c r="Y45" i="6"/>
  <c r="K46" i="6"/>
  <c r="W47" i="6"/>
  <c r="I48" i="6"/>
  <c r="AD48" i="6"/>
  <c r="I49" i="6"/>
  <c r="Y49" i="6"/>
  <c r="K50" i="6"/>
  <c r="AA50" i="6"/>
  <c r="N51" i="6"/>
  <c r="V51" i="6"/>
  <c r="AD51" i="6"/>
  <c r="J52" i="6"/>
  <c r="N52" i="6"/>
  <c r="R52" i="6"/>
  <c r="V52" i="6"/>
  <c r="Z52" i="6"/>
  <c r="AD52" i="6"/>
  <c r="AH52" i="6"/>
  <c r="L53" i="6"/>
  <c r="P53" i="6"/>
  <c r="T53" i="6"/>
  <c r="X53" i="6"/>
  <c r="AB53" i="6"/>
  <c r="AF53" i="6"/>
  <c r="AJ53" i="6"/>
  <c r="J54" i="6"/>
  <c r="N54" i="6"/>
  <c r="R54" i="6"/>
  <c r="V54" i="6"/>
  <c r="Z54" i="6"/>
  <c r="AD54" i="6"/>
  <c r="AH54" i="6"/>
  <c r="L55" i="6"/>
  <c r="P55" i="6"/>
  <c r="T55" i="6"/>
  <c r="X55" i="6"/>
  <c r="AB55" i="6"/>
  <c r="AF55" i="6"/>
  <c r="AJ55" i="6"/>
  <c r="N48" i="6"/>
  <c r="M49" i="6"/>
  <c r="I51" i="6"/>
  <c r="K52" i="6"/>
  <c r="AA52" i="6"/>
  <c r="M53" i="6"/>
  <c r="AC53" i="6"/>
  <c r="O54" i="6"/>
  <c r="AE54" i="6"/>
  <c r="J55" i="6"/>
  <c r="R55" i="6"/>
  <c r="Z55" i="6"/>
  <c r="AH55" i="6"/>
  <c r="J56" i="6"/>
  <c r="N56" i="6"/>
  <c r="R56" i="6"/>
  <c r="V56" i="6"/>
  <c r="Z56" i="6"/>
  <c r="AD56" i="6"/>
  <c r="AH56" i="6"/>
  <c r="AI48" i="6"/>
  <c r="AC49" i="6"/>
  <c r="O50" i="6"/>
  <c r="Q51" i="6"/>
  <c r="O52" i="6"/>
  <c r="AE52" i="6"/>
  <c r="Q53" i="6"/>
  <c r="AG53" i="6"/>
  <c r="S54" i="6"/>
  <c r="AI54" i="6"/>
  <c r="M55" i="6"/>
  <c r="U55" i="6"/>
  <c r="AC55" i="6"/>
  <c r="K56" i="6"/>
  <c r="O56" i="6"/>
  <c r="S56" i="6"/>
  <c r="W56" i="6"/>
  <c r="AA56" i="6"/>
  <c r="AE56" i="6"/>
  <c r="AI56" i="6"/>
  <c r="AB47" i="6"/>
  <c r="AE50" i="6"/>
  <c r="Y51" i="6"/>
  <c r="S52" i="6"/>
  <c r="AI52" i="6"/>
  <c r="U53" i="6"/>
  <c r="W54" i="6"/>
  <c r="N55" i="6"/>
  <c r="V55" i="6"/>
  <c r="AD55" i="6"/>
  <c r="L56" i="6"/>
  <c r="P56" i="6"/>
  <c r="T56" i="6"/>
  <c r="X56" i="6"/>
  <c r="AB56" i="6"/>
  <c r="AF56" i="6"/>
  <c r="AJ56" i="6"/>
  <c r="AG51" i="6"/>
  <c r="W52" i="6"/>
  <c r="I53" i="6"/>
  <c r="Y53" i="6"/>
  <c r="K54" i="6"/>
  <c r="AA54" i="6"/>
  <c r="I55" i="6"/>
  <c r="Q55" i="6"/>
  <c r="Y55" i="6"/>
  <c r="AG55" i="6"/>
  <c r="I56" i="6"/>
  <c r="M56" i="6"/>
  <c r="Q56" i="6"/>
  <c r="U56" i="6"/>
  <c r="Y56" i="6"/>
  <c r="AC56" i="6"/>
  <c r="AG56" i="6"/>
  <c r="W5" i="6"/>
  <c r="AJ10" i="6"/>
  <c r="BK10" i="15"/>
  <c r="BL9" i="15"/>
  <c r="BA10" i="10"/>
  <c r="BB9" i="10"/>
  <c r="AK9" i="6"/>
  <c r="AK55" i="6" s="1"/>
  <c r="C131" i="14" l="1"/>
  <c r="E131" i="14" s="1"/>
  <c r="E130" i="14"/>
  <c r="D1601" i="12"/>
  <c r="F1600" i="12"/>
  <c r="E1600" i="12"/>
  <c r="AK53" i="6"/>
  <c r="AK26" i="6" s="1"/>
  <c r="AK56" i="6"/>
  <c r="AK29" i="6" s="1"/>
  <c r="AK30" i="6" s="1"/>
  <c r="AK31" i="6" s="1"/>
  <c r="AK32" i="6" s="1"/>
  <c r="AK33" i="6" s="1"/>
  <c r="AK38" i="6"/>
  <c r="AK11" i="6" s="1"/>
  <c r="AK41" i="6"/>
  <c r="AK14" i="6" s="1"/>
  <c r="AK39" i="6"/>
  <c r="AK12" i="6" s="1"/>
  <c r="AK40" i="6"/>
  <c r="AK13" i="6" s="1"/>
  <c r="AK42" i="6"/>
  <c r="AK15" i="6" s="1"/>
  <c r="AK46" i="6"/>
  <c r="AK19" i="6" s="1"/>
  <c r="AK45" i="6"/>
  <c r="AK18" i="6" s="1"/>
  <c r="AK44" i="6"/>
  <c r="AK17" i="6" s="1"/>
  <c r="AK43" i="6"/>
  <c r="AK16" i="6" s="1"/>
  <c r="AK50" i="6"/>
  <c r="AK23" i="6" s="1"/>
  <c r="AK48" i="6"/>
  <c r="AK21" i="6" s="1"/>
  <c r="AK47" i="6"/>
  <c r="AK20" i="6" s="1"/>
  <c r="AK49" i="6"/>
  <c r="AK22" i="6" s="1"/>
  <c r="AK54" i="6"/>
  <c r="AK27" i="6" s="1"/>
  <c r="AK52" i="6"/>
  <c r="AK25" i="6" s="1"/>
  <c r="AK51" i="6"/>
  <c r="AK24" i="6" s="1"/>
  <c r="Y12" i="6"/>
  <c r="U13" i="6"/>
  <c r="Q14" i="6"/>
  <c r="AG14" i="6"/>
  <c r="N12" i="6"/>
  <c r="AD12" i="6"/>
  <c r="J13" i="6"/>
  <c r="Z13" i="6"/>
  <c r="V14" i="6"/>
  <c r="S12" i="6"/>
  <c r="AI12" i="6"/>
  <c r="O13" i="6"/>
  <c r="AE13" i="6"/>
  <c r="K14" i="6"/>
  <c r="AA14" i="6"/>
  <c r="AB12" i="6"/>
  <c r="X13" i="6"/>
  <c r="T14" i="6"/>
  <c r="X15" i="6"/>
  <c r="T12" i="6"/>
  <c r="P13" i="6"/>
  <c r="L14" i="6"/>
  <c r="V15" i="6"/>
  <c r="R16" i="6"/>
  <c r="AH16" i="6"/>
  <c r="N17" i="6"/>
  <c r="AD17" i="6"/>
  <c r="J18" i="6"/>
  <c r="Z18" i="6"/>
  <c r="K15" i="6"/>
  <c r="X16" i="6"/>
  <c r="T17" i="6"/>
  <c r="T16" i="6"/>
  <c r="P17" i="6"/>
  <c r="O18" i="6"/>
  <c r="AJ18" i="6"/>
  <c r="K19" i="6"/>
  <c r="AA19" i="6"/>
  <c r="M12" i="6"/>
  <c r="AC12" i="6"/>
  <c r="Y13" i="6"/>
  <c r="U14" i="6"/>
  <c r="R12" i="6"/>
  <c r="AH12" i="6"/>
  <c r="N13" i="6"/>
  <c r="AD13" i="6"/>
  <c r="J14" i="6"/>
  <c r="Z14" i="6"/>
  <c r="W12" i="6"/>
  <c r="S13" i="6"/>
  <c r="AI13" i="6"/>
  <c r="O14" i="6"/>
  <c r="AE14" i="6"/>
  <c r="AJ14" i="6"/>
  <c r="L15" i="6"/>
  <c r="AB15" i="6"/>
  <c r="AJ12" i="6"/>
  <c r="AF13" i="6"/>
  <c r="AB14" i="6"/>
  <c r="J15" i="6"/>
  <c r="Z15" i="6"/>
  <c r="V16" i="6"/>
  <c r="R17" i="6"/>
  <c r="AH17" i="6"/>
  <c r="N18" i="6"/>
  <c r="AD18" i="6"/>
  <c r="J19" i="6"/>
  <c r="S15" i="6"/>
  <c r="AC16" i="6"/>
  <c r="Y17" i="6"/>
  <c r="M15" i="6"/>
  <c r="Y16" i="6"/>
  <c r="U17" i="6"/>
  <c r="P14" i="6"/>
  <c r="K16" i="6"/>
  <c r="T18" i="6"/>
  <c r="O19" i="6"/>
  <c r="AE19" i="6"/>
  <c r="Q12" i="6"/>
  <c r="AG12" i="6"/>
  <c r="M13" i="6"/>
  <c r="AC13" i="6"/>
  <c r="Y14" i="6"/>
  <c r="V12" i="6"/>
  <c r="R13" i="6"/>
  <c r="AH13" i="6"/>
  <c r="N14" i="6"/>
  <c r="AD14" i="6"/>
  <c r="K12" i="6"/>
  <c r="AA12" i="6"/>
  <c r="W13" i="6"/>
  <c r="S14" i="6"/>
  <c r="AI14" i="6"/>
  <c r="P15" i="6"/>
  <c r="AF15" i="6"/>
  <c r="P12" i="6"/>
  <c r="N15" i="6"/>
  <c r="AD15" i="6"/>
  <c r="J16" i="6"/>
  <c r="Z16" i="6"/>
  <c r="V17" i="6"/>
  <c r="R18" i="6"/>
  <c r="AH18" i="6"/>
  <c r="X12" i="6"/>
  <c r="AJ13" i="6"/>
  <c r="AF14" i="6"/>
  <c r="AA15" i="6"/>
  <c r="M16" i="6"/>
  <c r="AI16" i="6"/>
  <c r="AE17" i="6"/>
  <c r="L13" i="6"/>
  <c r="U15" i="6"/>
  <c r="AE16" i="6"/>
  <c r="AA17" i="6"/>
  <c r="U16" i="6"/>
  <c r="Q17" i="6"/>
  <c r="Y18" i="6"/>
  <c r="S19" i="6"/>
  <c r="U12" i="6"/>
  <c r="Q13" i="6"/>
  <c r="AG13" i="6"/>
  <c r="M14" i="6"/>
  <c r="AC14" i="6"/>
  <c r="J12" i="6"/>
  <c r="Z12" i="6"/>
  <c r="V13" i="6"/>
  <c r="R14" i="6"/>
  <c r="AH14" i="6"/>
  <c r="O12" i="6"/>
  <c r="AE12" i="6"/>
  <c r="K13" i="6"/>
  <c r="AA13" i="6"/>
  <c r="W14" i="6"/>
  <c r="L12" i="6"/>
  <c r="T15" i="6"/>
  <c r="AJ15" i="6"/>
  <c r="AF12" i="6"/>
  <c r="R15" i="6"/>
  <c r="AH15" i="6"/>
  <c r="N16" i="6"/>
  <c r="AD16" i="6"/>
  <c r="J17" i="6"/>
  <c r="Z17" i="6"/>
  <c r="V18" i="6"/>
  <c r="AI15" i="6"/>
  <c r="S16" i="6"/>
  <c r="O17" i="6"/>
  <c r="AJ17" i="6"/>
  <c r="AC15" i="6"/>
  <c r="O16" i="6"/>
  <c r="AJ16" i="6"/>
  <c r="K17" i="6"/>
  <c r="AF17" i="6"/>
  <c r="T13" i="6"/>
  <c r="W15" i="6"/>
  <c r="AF16" i="6"/>
  <c r="AB17" i="6"/>
  <c r="AE18" i="6"/>
  <c r="AB13" i="6"/>
  <c r="W16" i="6"/>
  <c r="Q18" i="6"/>
  <c r="M19" i="6"/>
  <c r="AC19" i="6"/>
  <c r="Y20" i="6"/>
  <c r="U21" i="6"/>
  <c r="Q22" i="6"/>
  <c r="AG22" i="6"/>
  <c r="M23" i="6"/>
  <c r="AC23" i="6"/>
  <c r="Y24" i="6"/>
  <c r="U18" i="6"/>
  <c r="P19" i="6"/>
  <c r="X20" i="6"/>
  <c r="AI18" i="6"/>
  <c r="Z19" i="6"/>
  <c r="J20" i="6"/>
  <c r="AE20" i="6"/>
  <c r="AA21" i="6"/>
  <c r="W22" i="6"/>
  <c r="S23" i="6"/>
  <c r="O24" i="6"/>
  <c r="AJ24" i="6"/>
  <c r="P18" i="6"/>
  <c r="L19" i="6"/>
  <c r="V20" i="6"/>
  <c r="R21" i="6"/>
  <c r="N22" i="6"/>
  <c r="AI22" i="6"/>
  <c r="J23" i="6"/>
  <c r="AE23" i="6"/>
  <c r="AH20" i="6"/>
  <c r="AI21" i="6"/>
  <c r="AE22" i="6"/>
  <c r="AA23" i="6"/>
  <c r="S24" i="6"/>
  <c r="N25" i="6"/>
  <c r="AD25" i="6"/>
  <c r="J26" i="6"/>
  <c r="Z26" i="6"/>
  <c r="V27" i="6"/>
  <c r="O21" i="6"/>
  <c r="K22" i="6"/>
  <c r="AI24" i="6"/>
  <c r="W25" i="6"/>
  <c r="AJ22" i="6"/>
  <c r="AF23" i="6"/>
  <c r="W24" i="6"/>
  <c r="P25" i="6"/>
  <c r="AF25" i="6"/>
  <c r="L26" i="6"/>
  <c r="AB26" i="6"/>
  <c r="X27" i="6"/>
  <c r="T28" i="6"/>
  <c r="AJ28" i="6"/>
  <c r="P29" i="6"/>
  <c r="P30" i="6" s="1"/>
  <c r="P31" i="6" s="1"/>
  <c r="P32" i="6" s="1"/>
  <c r="P33" i="6" s="1"/>
  <c r="AF29" i="6"/>
  <c r="AF30" i="6" s="1"/>
  <c r="AF31" i="6" s="1"/>
  <c r="AF32" i="6" s="1"/>
  <c r="AF33" i="6" s="1"/>
  <c r="P22" i="6"/>
  <c r="AE26" i="6"/>
  <c r="AA27" i="6"/>
  <c r="X14" i="6"/>
  <c r="AG16" i="6"/>
  <c r="P16" i="6"/>
  <c r="L17" i="6"/>
  <c r="W18" i="6"/>
  <c r="Q19" i="6"/>
  <c r="AG19" i="6"/>
  <c r="M20" i="6"/>
  <c r="AC20" i="6"/>
  <c r="Y21" i="6"/>
  <c r="U22" i="6"/>
  <c r="Q23" i="6"/>
  <c r="AG23" i="6"/>
  <c r="M24" i="6"/>
  <c r="AC24" i="6"/>
  <c r="AF18" i="6"/>
  <c r="X19" i="6"/>
  <c r="AD20" i="6"/>
  <c r="M17" i="6"/>
  <c r="AH19" i="6"/>
  <c r="O20" i="6"/>
  <c r="AJ20" i="6"/>
  <c r="K21" i="6"/>
  <c r="AF21" i="6"/>
  <c r="AB22" i="6"/>
  <c r="X23" i="6"/>
  <c r="T24" i="6"/>
  <c r="AA18" i="6"/>
  <c r="T19" i="6"/>
  <c r="AA20" i="6"/>
  <c r="W21" i="6"/>
  <c r="S22" i="6"/>
  <c r="O23" i="6"/>
  <c r="AJ23" i="6"/>
  <c r="K24" i="6"/>
  <c r="AA24" i="6"/>
  <c r="R25" i="6"/>
  <c r="AH25" i="6"/>
  <c r="N26" i="6"/>
  <c r="AD26" i="6"/>
  <c r="J27" i="6"/>
  <c r="Z27" i="6"/>
  <c r="R20" i="6"/>
  <c r="Z21" i="6"/>
  <c r="V22" i="6"/>
  <c r="R23" i="6"/>
  <c r="N24" i="6"/>
  <c r="K25" i="6"/>
  <c r="AA25" i="6"/>
  <c r="N19" i="6"/>
  <c r="AD24" i="6"/>
  <c r="T25" i="6"/>
  <c r="AJ25" i="6"/>
  <c r="P26" i="6"/>
  <c r="AF26" i="6"/>
  <c r="L27" i="6"/>
  <c r="AB27" i="6"/>
  <c r="X28" i="6"/>
  <c r="T29" i="6"/>
  <c r="T30" i="6" s="1"/>
  <c r="T31" i="6" s="1"/>
  <c r="T32" i="6" s="1"/>
  <c r="T33" i="6" s="1"/>
  <c r="AJ29" i="6"/>
  <c r="AJ30" i="6" s="1"/>
  <c r="AJ31" i="6" s="1"/>
  <c r="AJ32" i="6" s="1"/>
  <c r="AJ33" i="6" s="1"/>
  <c r="AC18" i="6"/>
  <c r="T21" i="6"/>
  <c r="Y25" i="6"/>
  <c r="AI27" i="6"/>
  <c r="J28" i="6"/>
  <c r="AE28" i="6"/>
  <c r="AA29" i="6"/>
  <c r="AA30" i="6" s="1"/>
  <c r="AA31" i="6" s="1"/>
  <c r="AA32" i="6" s="1"/>
  <c r="AA33" i="6" s="1"/>
  <c r="R24" i="6"/>
  <c r="Q26" i="6"/>
  <c r="W19" i="6"/>
  <c r="Y15" i="6"/>
  <c r="O15" i="6"/>
  <c r="AA16" i="6"/>
  <c r="W17" i="6"/>
  <c r="AB18" i="6"/>
  <c r="U19" i="6"/>
  <c r="Q20" i="6"/>
  <c r="AG20" i="6"/>
  <c r="M21" i="6"/>
  <c r="AC21" i="6"/>
  <c r="Y22" i="6"/>
  <c r="U23" i="6"/>
  <c r="Q24" i="6"/>
  <c r="AG24" i="6"/>
  <c r="AB16" i="6"/>
  <c r="AF19" i="6"/>
  <c r="N20" i="6"/>
  <c r="AI20" i="6"/>
  <c r="AG15" i="6"/>
  <c r="AI17" i="6"/>
  <c r="M18" i="6"/>
  <c r="T20" i="6"/>
  <c r="P21" i="6"/>
  <c r="L22" i="6"/>
  <c r="AH22" i="6"/>
  <c r="AD23" i="6"/>
  <c r="Z24" i="6"/>
  <c r="AB19" i="6"/>
  <c r="K20" i="6"/>
  <c r="AF20" i="6"/>
  <c r="AB21" i="6"/>
  <c r="X22" i="6"/>
  <c r="T23" i="6"/>
  <c r="AD19" i="6"/>
  <c r="N21" i="6"/>
  <c r="J22" i="6"/>
  <c r="AH24" i="6"/>
  <c r="V25" i="6"/>
  <c r="R26" i="6"/>
  <c r="AH26" i="6"/>
  <c r="N27" i="6"/>
  <c r="AD27" i="6"/>
  <c r="X17" i="6"/>
  <c r="AJ21" i="6"/>
  <c r="AF22" i="6"/>
  <c r="AB23" i="6"/>
  <c r="V24" i="6"/>
  <c r="O25" i="6"/>
  <c r="AE25" i="6"/>
  <c r="S18" i="6"/>
  <c r="S21" i="6"/>
  <c r="O22" i="6"/>
  <c r="K23" i="6"/>
  <c r="X25" i="6"/>
  <c r="T26" i="6"/>
  <c r="AJ26" i="6"/>
  <c r="P27" i="6"/>
  <c r="AF27" i="6"/>
  <c r="L28" i="6"/>
  <c r="AB28" i="6"/>
  <c r="X29" i="6"/>
  <c r="X30" i="6" s="1"/>
  <c r="X31" i="6" s="1"/>
  <c r="X32" i="6" s="1"/>
  <c r="X33" i="6" s="1"/>
  <c r="O26" i="6"/>
  <c r="K27" i="6"/>
  <c r="AI19" i="6"/>
  <c r="L16" i="6"/>
  <c r="AE15" i="6"/>
  <c r="AG17" i="6"/>
  <c r="L18" i="6"/>
  <c r="AG18" i="6"/>
  <c r="Y19" i="6"/>
  <c r="U20" i="6"/>
  <c r="Q21" i="6"/>
  <c r="AG21" i="6"/>
  <c r="M22" i="6"/>
  <c r="AC22" i="6"/>
  <c r="Y23" i="6"/>
  <c r="U24" i="6"/>
  <c r="Q15" i="6"/>
  <c r="AC17" i="6"/>
  <c r="K18" i="6"/>
  <c r="S20" i="6"/>
  <c r="X18" i="6"/>
  <c r="R19" i="6"/>
  <c r="Z20" i="6"/>
  <c r="V21" i="6"/>
  <c r="R22" i="6"/>
  <c r="N23" i="6"/>
  <c r="AI23" i="6"/>
  <c r="J24" i="6"/>
  <c r="AE24" i="6"/>
  <c r="S17" i="6"/>
  <c r="AJ19" i="6"/>
  <c r="P20" i="6"/>
  <c r="L21" i="6"/>
  <c r="AH21" i="6"/>
  <c r="AD22" i="6"/>
  <c r="Z23" i="6"/>
  <c r="Q16" i="6"/>
  <c r="L20" i="6"/>
  <c r="X21" i="6"/>
  <c r="T22" i="6"/>
  <c r="P23" i="6"/>
  <c r="L24" i="6"/>
  <c r="J25" i="6"/>
  <c r="Z25" i="6"/>
  <c r="V26" i="6"/>
  <c r="R27" i="6"/>
  <c r="AH27" i="6"/>
  <c r="AB24" i="6"/>
  <c r="S25" i="6"/>
  <c r="AI25" i="6"/>
  <c r="W20" i="6"/>
  <c r="AD21" i="6"/>
  <c r="Z22" i="6"/>
  <c r="V23" i="6"/>
  <c r="P24" i="6"/>
  <c r="L25" i="6"/>
  <c r="AB25" i="6"/>
  <c r="X26" i="6"/>
  <c r="T27" i="6"/>
  <c r="AJ27" i="6"/>
  <c r="P28" i="6"/>
  <c r="AF28" i="6"/>
  <c r="L29" i="6"/>
  <c r="L30" i="6" s="1"/>
  <c r="L31" i="6" s="1"/>
  <c r="L32" i="6" s="1"/>
  <c r="L33" i="6" s="1"/>
  <c r="AB29" i="6"/>
  <c r="AB30" i="6" s="1"/>
  <c r="AB31" i="6" s="1"/>
  <c r="AB32" i="6" s="1"/>
  <c r="AB33" i="6" s="1"/>
  <c r="L23" i="6"/>
  <c r="W26" i="6"/>
  <c r="S27" i="6"/>
  <c r="Z28" i="6"/>
  <c r="K29" i="6"/>
  <c r="K30" i="6" s="1"/>
  <c r="K31" i="6" s="1"/>
  <c r="K32" i="6" s="1"/>
  <c r="K33" i="6" s="1"/>
  <c r="M27" i="6"/>
  <c r="Q28" i="6"/>
  <c r="M29" i="6"/>
  <c r="M30" i="6" s="1"/>
  <c r="M31" i="6" s="1"/>
  <c r="M32" i="6" s="1"/>
  <c r="M33" i="6" s="1"/>
  <c r="AH29" i="6"/>
  <c r="AH30" i="6" s="1"/>
  <c r="AH31" i="6" s="1"/>
  <c r="AH32" i="6" s="1"/>
  <c r="AH33" i="6" s="1"/>
  <c r="Q25" i="6"/>
  <c r="AI26" i="6"/>
  <c r="AE27" i="6"/>
  <c r="AC28" i="6"/>
  <c r="Y29" i="6"/>
  <c r="Y30" i="6" s="1"/>
  <c r="Y31" i="6" s="1"/>
  <c r="Y32" i="6" s="1"/>
  <c r="Y33" i="6" s="1"/>
  <c r="AF24" i="6"/>
  <c r="U26" i="6"/>
  <c r="Q27" i="6"/>
  <c r="S28" i="6"/>
  <c r="J29" i="6"/>
  <c r="J30" i="6" s="1"/>
  <c r="J31" i="6" s="1"/>
  <c r="J32" i="6" s="1"/>
  <c r="J33" i="6" s="1"/>
  <c r="O29" i="6"/>
  <c r="O30" i="6" s="1"/>
  <c r="O31" i="6" s="1"/>
  <c r="O32" i="6" s="1"/>
  <c r="O33" i="6" s="1"/>
  <c r="AK28" i="6"/>
  <c r="Q29" i="6"/>
  <c r="Q30" i="6" s="1"/>
  <c r="Q31" i="6" s="1"/>
  <c r="Q32" i="6" s="1"/>
  <c r="Q33" i="6" s="1"/>
  <c r="AB20" i="6"/>
  <c r="AA22" i="6"/>
  <c r="U27" i="6"/>
  <c r="V28" i="6"/>
  <c r="R29" i="6"/>
  <c r="R30" i="6" s="1"/>
  <c r="R31" i="6" s="1"/>
  <c r="R32" i="6" s="1"/>
  <c r="R33" i="6" s="1"/>
  <c r="AG25" i="6"/>
  <c r="K26" i="6"/>
  <c r="M28" i="6"/>
  <c r="AH28" i="6"/>
  <c r="I29" i="6"/>
  <c r="I30" i="6" s="1"/>
  <c r="I31" i="6" s="1"/>
  <c r="I32" i="6" s="1"/>
  <c r="I33" i="6" s="1"/>
  <c r="AD29" i="6"/>
  <c r="AD30" i="6" s="1"/>
  <c r="AD31" i="6" s="1"/>
  <c r="AD32" i="6" s="1"/>
  <c r="AD33" i="6" s="1"/>
  <c r="AC26" i="6"/>
  <c r="Y27" i="6"/>
  <c r="Y28" i="6"/>
  <c r="AE29" i="6"/>
  <c r="AE30" i="6" s="1"/>
  <c r="AE31" i="6" s="1"/>
  <c r="AE32" i="6" s="1"/>
  <c r="AE33" i="6" s="1"/>
  <c r="O28" i="6"/>
  <c r="V29" i="6"/>
  <c r="V30" i="6" s="1"/>
  <c r="V31" i="6" s="1"/>
  <c r="V32" i="6" s="1"/>
  <c r="V33" i="6" s="1"/>
  <c r="M25" i="6"/>
  <c r="Y26" i="6"/>
  <c r="AC27" i="6"/>
  <c r="AA28" i="6"/>
  <c r="W29" i="6"/>
  <c r="W30" i="6" s="1"/>
  <c r="W31" i="6" s="1"/>
  <c r="W32" i="6" s="1"/>
  <c r="W33" i="6" s="1"/>
  <c r="X24" i="6"/>
  <c r="S26" i="6"/>
  <c r="O27" i="6"/>
  <c r="R28" i="6"/>
  <c r="N29" i="6"/>
  <c r="N30" i="6" s="1"/>
  <c r="N31" i="6" s="1"/>
  <c r="N32" i="6" s="1"/>
  <c r="N33" i="6" s="1"/>
  <c r="AI29" i="6"/>
  <c r="AI30" i="6" s="1"/>
  <c r="AI31" i="6" s="1"/>
  <c r="AI32" i="6" s="1"/>
  <c r="AI33" i="6" s="1"/>
  <c r="J21" i="6"/>
  <c r="U25" i="6"/>
  <c r="AG27" i="6"/>
  <c r="I28" i="6"/>
  <c r="AD28" i="6"/>
  <c r="Z29" i="6"/>
  <c r="Z30" i="6" s="1"/>
  <c r="Z31" i="6" s="1"/>
  <c r="Z32" i="6" s="1"/>
  <c r="Z33" i="6" s="1"/>
  <c r="U28" i="6"/>
  <c r="AG29" i="6"/>
  <c r="AG30" i="6" s="1"/>
  <c r="AG31" i="6" s="1"/>
  <c r="AG32" i="6" s="1"/>
  <c r="AG33" i="6" s="1"/>
  <c r="AE21" i="6"/>
  <c r="W23" i="6"/>
  <c r="AC25" i="6"/>
  <c r="AG26" i="6"/>
  <c r="K28" i="6"/>
  <c r="AG28" i="6"/>
  <c r="AC29" i="6"/>
  <c r="AC30" i="6" s="1"/>
  <c r="AC31" i="6" s="1"/>
  <c r="AC32" i="6" s="1"/>
  <c r="AC33" i="6" s="1"/>
  <c r="AH23" i="6"/>
  <c r="AA26" i="6"/>
  <c r="W27" i="6"/>
  <c r="W28" i="6"/>
  <c r="S29" i="6"/>
  <c r="S30" i="6" s="1"/>
  <c r="S31" i="6" s="1"/>
  <c r="S32" i="6" s="1"/>
  <c r="S33" i="6" s="1"/>
  <c r="V19" i="6"/>
  <c r="M26" i="6"/>
  <c r="I27" i="6"/>
  <c r="N28" i="6"/>
  <c r="AI28" i="6"/>
  <c r="U29" i="6"/>
  <c r="U30" i="6" s="1"/>
  <c r="U31" i="6" s="1"/>
  <c r="U32" i="6" s="1"/>
  <c r="U33" i="6" s="1"/>
  <c r="J11" i="6"/>
  <c r="Z11" i="6"/>
  <c r="W11" i="6"/>
  <c r="T11" i="6"/>
  <c r="AJ11" i="6"/>
  <c r="Q11" i="6"/>
  <c r="AG11" i="6"/>
  <c r="N11" i="6"/>
  <c r="AD11" i="6"/>
  <c r="K11" i="6"/>
  <c r="AA11" i="6"/>
  <c r="X11" i="6"/>
  <c r="U11" i="6"/>
  <c r="R11" i="6"/>
  <c r="AH11" i="6"/>
  <c r="O11" i="6"/>
  <c r="AE11" i="6"/>
  <c r="L11" i="6"/>
  <c r="AB11" i="6"/>
  <c r="V11" i="6"/>
  <c r="S11" i="6"/>
  <c r="AI11" i="6"/>
  <c r="P11" i="6"/>
  <c r="AF11" i="6"/>
  <c r="M11" i="6"/>
  <c r="AC11" i="6"/>
  <c r="Y11" i="6"/>
  <c r="H12" i="6"/>
  <c r="H20" i="6"/>
  <c r="H28" i="6"/>
  <c r="I18" i="6"/>
  <c r="I26" i="6"/>
  <c r="H17" i="6"/>
  <c r="H25" i="6"/>
  <c r="I15" i="6"/>
  <c r="I23" i="6"/>
  <c r="H14" i="6"/>
  <c r="H22" i="6"/>
  <c r="I12" i="6"/>
  <c r="I20" i="6"/>
  <c r="H19" i="6"/>
  <c r="H27" i="6"/>
  <c r="I17" i="6"/>
  <c r="I25" i="6"/>
  <c r="H16" i="6"/>
  <c r="H24" i="6"/>
  <c r="I14" i="6"/>
  <c r="I22" i="6"/>
  <c r="H13" i="6"/>
  <c r="H21" i="6"/>
  <c r="H29" i="6"/>
  <c r="H30" i="6" s="1"/>
  <c r="H31" i="6" s="1"/>
  <c r="H32" i="6" s="1"/>
  <c r="H33" i="6" s="1"/>
  <c r="I19" i="6"/>
  <c r="H18" i="6"/>
  <c r="H26" i="6"/>
  <c r="I16" i="6"/>
  <c r="I24" i="6"/>
  <c r="H15" i="6"/>
  <c r="H23" i="6"/>
  <c r="I13" i="6"/>
  <c r="I21" i="6"/>
  <c r="H11" i="6"/>
  <c r="I11" i="6"/>
  <c r="G12" i="6"/>
  <c r="G28" i="6"/>
  <c r="G25" i="6"/>
  <c r="G23" i="6"/>
  <c r="G21" i="6"/>
  <c r="G19" i="6"/>
  <c r="G16" i="6"/>
  <c r="G13" i="6"/>
  <c r="G29" i="6"/>
  <c r="G30" i="6" s="1"/>
  <c r="G31" i="6" s="1"/>
  <c r="G32" i="6" s="1"/>
  <c r="G33" i="6" s="1"/>
  <c r="G27" i="6"/>
  <c r="G20" i="6"/>
  <c r="G17" i="6"/>
  <c r="G14" i="6"/>
  <c r="G15" i="6"/>
  <c r="G24" i="6"/>
  <c r="G18" i="6"/>
  <c r="G26" i="6"/>
  <c r="G22" i="6"/>
  <c r="G11" i="6"/>
  <c r="AK10" i="6"/>
  <c r="BL10" i="15"/>
  <c r="BM9" i="15"/>
  <c r="BB10" i="10"/>
  <c r="BC9" i="10"/>
  <c r="AL9" i="6"/>
  <c r="E35" i="14" l="1"/>
  <c r="D27" i="14" s="1"/>
  <c r="D1602" i="12"/>
  <c r="E1601" i="12"/>
  <c r="F1601" i="12"/>
  <c r="AL39" i="6"/>
  <c r="AL12" i="6" s="1"/>
  <c r="AL38" i="6"/>
  <c r="AL11" i="6" s="1"/>
  <c r="AL43" i="6"/>
  <c r="AL16" i="6" s="1"/>
  <c r="AL42" i="6"/>
  <c r="AL15" i="6" s="1"/>
  <c r="AL41" i="6"/>
  <c r="AL14" i="6" s="1"/>
  <c r="AL44" i="6"/>
  <c r="AL17" i="6" s="1"/>
  <c r="AL46" i="6"/>
  <c r="AL19" i="6" s="1"/>
  <c r="AL40" i="6"/>
  <c r="AL13" i="6" s="1"/>
  <c r="AL45" i="6"/>
  <c r="AL18" i="6" s="1"/>
  <c r="AL47" i="6"/>
  <c r="AL20" i="6" s="1"/>
  <c r="AL49" i="6"/>
  <c r="AL22" i="6" s="1"/>
  <c r="AL48" i="6"/>
  <c r="AL21" i="6" s="1"/>
  <c r="AL50" i="6"/>
  <c r="AL23" i="6" s="1"/>
  <c r="AL53" i="6"/>
  <c r="AL26" i="6" s="1"/>
  <c r="AL54" i="6"/>
  <c r="AL27" i="6" s="1"/>
  <c r="AL52" i="6"/>
  <c r="AL25" i="6" s="1"/>
  <c r="AL51" i="6"/>
  <c r="AL24" i="6" s="1"/>
  <c r="AL56" i="6"/>
  <c r="AL29" i="6" s="1"/>
  <c r="AL30" i="6" s="1"/>
  <c r="AL31" i="6" s="1"/>
  <c r="AL32" i="6" s="1"/>
  <c r="AL33" i="6" s="1"/>
  <c r="AL55" i="6"/>
  <c r="AL28" i="6" s="1"/>
  <c r="AL10" i="6"/>
  <c r="BM10" i="15"/>
  <c r="BN9" i="15"/>
  <c r="BC10" i="10"/>
  <c r="BD9" i="10"/>
  <c r="AM9" i="6"/>
  <c r="D1603" i="12" l="1"/>
  <c r="F1602" i="12"/>
  <c r="E1602" i="12"/>
  <c r="AM39" i="6"/>
  <c r="AM12" i="6" s="1"/>
  <c r="AM38" i="6"/>
  <c r="AM11" i="6" s="1"/>
  <c r="AM40" i="6"/>
  <c r="AM13" i="6" s="1"/>
  <c r="AM43" i="6"/>
  <c r="AM16" i="6" s="1"/>
  <c r="AM41" i="6"/>
  <c r="AM14" i="6" s="1"/>
  <c r="AM42" i="6"/>
  <c r="AM15" i="6" s="1"/>
  <c r="AM45" i="6"/>
  <c r="AM18" i="6" s="1"/>
  <c r="AM46" i="6"/>
  <c r="AM19" i="6" s="1"/>
  <c r="AM51" i="6"/>
  <c r="AM24" i="6" s="1"/>
  <c r="AM49" i="6"/>
  <c r="AM22" i="6" s="1"/>
  <c r="AM55" i="6"/>
  <c r="AM28" i="6" s="1"/>
  <c r="AM47" i="6"/>
  <c r="AM20" i="6" s="1"/>
  <c r="AM50" i="6"/>
  <c r="AM23" i="6" s="1"/>
  <c r="AM53" i="6"/>
  <c r="AM26" i="6" s="1"/>
  <c r="AM48" i="6"/>
  <c r="AM21" i="6" s="1"/>
  <c r="AM44" i="6"/>
  <c r="AM17" i="6" s="1"/>
  <c r="AM56" i="6"/>
  <c r="AM29" i="6" s="1"/>
  <c r="AM30" i="6" s="1"/>
  <c r="AM31" i="6" s="1"/>
  <c r="AM32" i="6" s="1"/>
  <c r="AM33" i="6" s="1"/>
  <c r="AM54" i="6"/>
  <c r="AM27" i="6" s="1"/>
  <c r="AM52" i="6"/>
  <c r="AM25" i="6" s="1"/>
  <c r="AM10" i="6"/>
  <c r="BN10" i="15"/>
  <c r="BO9" i="15"/>
  <c r="BD10" i="10"/>
  <c r="BE9" i="10"/>
  <c r="AN9" i="6"/>
  <c r="D1604" i="12" l="1"/>
  <c r="F1603" i="12"/>
  <c r="E1603" i="12"/>
  <c r="AN41" i="6"/>
  <c r="AN14" i="6" s="1"/>
  <c r="AN40" i="6"/>
  <c r="AN13" i="6" s="1"/>
  <c r="AN39" i="6"/>
  <c r="AN12" i="6" s="1"/>
  <c r="AN38" i="6"/>
  <c r="AN11" i="6" s="1"/>
  <c r="AN43" i="6"/>
  <c r="AN16" i="6" s="1"/>
  <c r="AN45" i="6"/>
  <c r="AN18" i="6" s="1"/>
  <c r="AN42" i="6"/>
  <c r="AN15" i="6" s="1"/>
  <c r="AN44" i="6"/>
  <c r="AN17" i="6" s="1"/>
  <c r="AN46" i="6"/>
  <c r="AN19" i="6" s="1"/>
  <c r="AN48" i="6"/>
  <c r="AN21" i="6" s="1"/>
  <c r="AN47" i="6"/>
  <c r="AN20" i="6" s="1"/>
  <c r="AN50" i="6"/>
  <c r="AN23" i="6" s="1"/>
  <c r="AN51" i="6"/>
  <c r="AN24" i="6" s="1"/>
  <c r="AN54" i="6"/>
  <c r="AN27" i="6" s="1"/>
  <c r="AN55" i="6"/>
  <c r="AN28" i="6" s="1"/>
  <c r="AN49" i="6"/>
  <c r="AN22" i="6" s="1"/>
  <c r="AN52" i="6"/>
  <c r="AN25" i="6" s="1"/>
  <c r="AN53" i="6"/>
  <c r="AN26" i="6" s="1"/>
  <c r="AN56" i="6"/>
  <c r="AN29" i="6" s="1"/>
  <c r="AN30" i="6" s="1"/>
  <c r="AN31" i="6" s="1"/>
  <c r="AN32" i="6" s="1"/>
  <c r="AN33" i="6" s="1"/>
  <c r="AN10" i="6"/>
  <c r="BO10" i="15"/>
  <c r="BP9" i="15"/>
  <c r="BE10" i="10"/>
  <c r="BF9" i="10"/>
  <c r="AO9" i="6"/>
  <c r="D1605" i="12" l="1"/>
  <c r="F1604" i="12"/>
  <c r="E1604" i="12"/>
  <c r="AO39" i="6"/>
  <c r="AO12" i="6" s="1"/>
  <c r="AO38" i="6"/>
  <c r="AO11" i="6" s="1"/>
  <c r="AO41" i="6"/>
  <c r="AO14" i="6" s="1"/>
  <c r="AO40" i="6"/>
  <c r="AO13" i="6" s="1"/>
  <c r="AO44" i="6"/>
  <c r="AO17" i="6" s="1"/>
  <c r="AO43" i="6"/>
  <c r="AO16" i="6" s="1"/>
  <c r="AO42" i="6"/>
  <c r="AO15" i="6" s="1"/>
  <c r="AO46" i="6"/>
  <c r="AO19" i="6" s="1"/>
  <c r="AO47" i="6"/>
  <c r="AO20" i="6" s="1"/>
  <c r="AO50" i="6"/>
  <c r="AO23" i="6" s="1"/>
  <c r="AO45" i="6"/>
  <c r="AO18" i="6" s="1"/>
  <c r="AO49" i="6"/>
  <c r="AO22" i="6" s="1"/>
  <c r="AO54" i="6"/>
  <c r="AO27" i="6" s="1"/>
  <c r="AO51" i="6"/>
  <c r="AO24" i="6" s="1"/>
  <c r="AO48" i="6"/>
  <c r="AO21" i="6" s="1"/>
  <c r="AO52" i="6"/>
  <c r="AO25" i="6" s="1"/>
  <c r="AO55" i="6"/>
  <c r="AO28" i="6" s="1"/>
  <c r="AO56" i="6"/>
  <c r="AO29" i="6" s="1"/>
  <c r="AO30" i="6" s="1"/>
  <c r="AO31" i="6" s="1"/>
  <c r="AO32" i="6" s="1"/>
  <c r="AO33" i="6" s="1"/>
  <c r="AO53" i="6"/>
  <c r="AO26" i="6" s="1"/>
  <c r="AO10" i="6"/>
  <c r="BP10" i="15"/>
  <c r="BQ9" i="15"/>
  <c r="BF10" i="10"/>
  <c r="BG9" i="10"/>
  <c r="AP9" i="6"/>
  <c r="D1606" i="12" l="1"/>
  <c r="F1605" i="12"/>
  <c r="E1605" i="12"/>
  <c r="AP38" i="6"/>
  <c r="AP11" i="6" s="1"/>
  <c r="AP40" i="6"/>
  <c r="AP13" i="6" s="1"/>
  <c r="AP41" i="6"/>
  <c r="AP14" i="6" s="1"/>
  <c r="AP42" i="6"/>
  <c r="AP15" i="6" s="1"/>
  <c r="AP43" i="6"/>
  <c r="AP16" i="6" s="1"/>
  <c r="AP39" i="6"/>
  <c r="AP12" i="6" s="1"/>
  <c r="AP44" i="6"/>
  <c r="AP17" i="6" s="1"/>
  <c r="AP46" i="6"/>
  <c r="AP19" i="6" s="1"/>
  <c r="AP45" i="6"/>
  <c r="AP18" i="6" s="1"/>
  <c r="AP48" i="6"/>
  <c r="AP21" i="6" s="1"/>
  <c r="AP47" i="6"/>
  <c r="AP20" i="6" s="1"/>
  <c r="AP49" i="6"/>
  <c r="AP22" i="6" s="1"/>
  <c r="AP55" i="6"/>
  <c r="AP28" i="6" s="1"/>
  <c r="AP50" i="6"/>
  <c r="AP23" i="6" s="1"/>
  <c r="AP53" i="6"/>
  <c r="AP26" i="6" s="1"/>
  <c r="AP54" i="6"/>
  <c r="AP27" i="6" s="1"/>
  <c r="AP51" i="6"/>
  <c r="AP24" i="6" s="1"/>
  <c r="AP52" i="6"/>
  <c r="AP25" i="6" s="1"/>
  <c r="AP56" i="6"/>
  <c r="AP29" i="6" s="1"/>
  <c r="AP30" i="6" s="1"/>
  <c r="AP31" i="6" s="1"/>
  <c r="AP32" i="6" s="1"/>
  <c r="AP33" i="6" s="1"/>
  <c r="AP10" i="6"/>
  <c r="BQ10" i="15"/>
  <c r="BR9" i="15"/>
  <c r="BG10" i="10"/>
  <c r="BH9" i="10"/>
  <c r="AQ9" i="6"/>
  <c r="D1607" i="12" l="1"/>
  <c r="F1606" i="12"/>
  <c r="E1606" i="12"/>
  <c r="AQ40" i="6"/>
  <c r="AQ13" i="6" s="1"/>
  <c r="AQ39" i="6"/>
  <c r="AQ12" i="6" s="1"/>
  <c r="AQ38" i="6"/>
  <c r="AQ11" i="6" s="1"/>
  <c r="AQ45" i="6"/>
  <c r="AQ18" i="6" s="1"/>
  <c r="AQ42" i="6"/>
  <c r="AQ15" i="6" s="1"/>
  <c r="AQ43" i="6"/>
  <c r="AQ16" i="6" s="1"/>
  <c r="AQ41" i="6"/>
  <c r="AQ14" i="6" s="1"/>
  <c r="AQ44" i="6"/>
  <c r="AQ17" i="6" s="1"/>
  <c r="AQ48" i="6"/>
  <c r="AQ21" i="6" s="1"/>
  <c r="AQ51" i="6"/>
  <c r="AQ24" i="6" s="1"/>
  <c r="AQ49" i="6"/>
  <c r="AQ22" i="6" s="1"/>
  <c r="AQ47" i="6"/>
  <c r="AQ20" i="6" s="1"/>
  <c r="AQ50" i="6"/>
  <c r="AQ23" i="6" s="1"/>
  <c r="AQ55" i="6"/>
  <c r="AQ28" i="6" s="1"/>
  <c r="AQ52" i="6"/>
  <c r="AQ25" i="6" s="1"/>
  <c r="AQ53" i="6"/>
  <c r="AQ26" i="6" s="1"/>
  <c r="AQ46" i="6"/>
  <c r="AQ19" i="6" s="1"/>
  <c r="AQ54" i="6"/>
  <c r="AQ27" i="6" s="1"/>
  <c r="AQ56" i="6"/>
  <c r="AQ29" i="6" s="1"/>
  <c r="AQ30" i="6" s="1"/>
  <c r="AQ31" i="6" s="1"/>
  <c r="AQ32" i="6" s="1"/>
  <c r="AQ33" i="6" s="1"/>
  <c r="AQ10" i="6"/>
  <c r="BR10" i="15"/>
  <c r="BS9" i="15"/>
  <c r="BH10" i="10"/>
  <c r="BI9" i="10"/>
  <c r="AR9" i="6"/>
  <c r="D1608" i="12" l="1"/>
  <c r="E1607" i="12"/>
  <c r="F1607" i="12"/>
  <c r="AR39" i="6"/>
  <c r="AR12" i="6" s="1"/>
  <c r="AR38" i="6"/>
  <c r="AR11" i="6" s="1"/>
  <c r="AR41" i="6"/>
  <c r="AR14" i="6" s="1"/>
  <c r="AR42" i="6"/>
  <c r="AR15" i="6" s="1"/>
  <c r="AR40" i="6"/>
  <c r="AR13" i="6" s="1"/>
  <c r="AR43" i="6"/>
  <c r="AR16" i="6" s="1"/>
  <c r="AR45" i="6"/>
  <c r="AR18" i="6" s="1"/>
  <c r="AR44" i="6"/>
  <c r="AR17" i="6" s="1"/>
  <c r="AR46" i="6"/>
  <c r="AR19" i="6" s="1"/>
  <c r="AR48" i="6"/>
  <c r="AR21" i="6" s="1"/>
  <c r="AR50" i="6"/>
  <c r="AR23" i="6" s="1"/>
  <c r="AR51" i="6"/>
  <c r="AR24" i="6" s="1"/>
  <c r="AR54" i="6"/>
  <c r="AR27" i="6" s="1"/>
  <c r="AR47" i="6"/>
  <c r="AR20" i="6" s="1"/>
  <c r="AR55" i="6"/>
  <c r="AR28" i="6" s="1"/>
  <c r="AR49" i="6"/>
  <c r="AR22" i="6" s="1"/>
  <c r="AR52" i="6"/>
  <c r="AR25" i="6" s="1"/>
  <c r="AR53" i="6"/>
  <c r="AR26" i="6" s="1"/>
  <c r="AR56" i="6"/>
  <c r="AR29" i="6" s="1"/>
  <c r="AR30" i="6" s="1"/>
  <c r="AR31" i="6" s="1"/>
  <c r="AR32" i="6" s="1"/>
  <c r="AR33" i="6" s="1"/>
  <c r="AR10" i="6"/>
  <c r="BS10" i="15"/>
  <c r="BT9" i="15"/>
  <c r="BI10" i="10"/>
  <c r="BJ9" i="10"/>
  <c r="AS9" i="6"/>
  <c r="D1609" i="12" l="1"/>
  <c r="F1608" i="12"/>
  <c r="E1608" i="12"/>
  <c r="AS39" i="6"/>
  <c r="AS12" i="6" s="1"/>
  <c r="AS38" i="6"/>
  <c r="AS11" i="6" s="1"/>
  <c r="AS41" i="6"/>
  <c r="AS14" i="6" s="1"/>
  <c r="AS40" i="6"/>
  <c r="AS13" i="6" s="1"/>
  <c r="AS46" i="6"/>
  <c r="AS19" i="6" s="1"/>
  <c r="AS44" i="6"/>
  <c r="AS17" i="6" s="1"/>
  <c r="AS42" i="6"/>
  <c r="AS15" i="6" s="1"/>
  <c r="AS45" i="6"/>
  <c r="AS18" i="6" s="1"/>
  <c r="AS43" i="6"/>
  <c r="AS16" i="6" s="1"/>
  <c r="AS47" i="6"/>
  <c r="AS20" i="6" s="1"/>
  <c r="AS48" i="6"/>
  <c r="AS21" i="6" s="1"/>
  <c r="AS51" i="6"/>
  <c r="AS24" i="6" s="1"/>
  <c r="AS52" i="6"/>
  <c r="AS25" i="6" s="1"/>
  <c r="AS50" i="6"/>
  <c r="AS23" i="6" s="1"/>
  <c r="AS56" i="6"/>
  <c r="AS29" i="6" s="1"/>
  <c r="AS30" i="6" s="1"/>
  <c r="AS31" i="6" s="1"/>
  <c r="AS32" i="6" s="1"/>
  <c r="AS33" i="6" s="1"/>
  <c r="AS54" i="6"/>
  <c r="AS27" i="6" s="1"/>
  <c r="AS49" i="6"/>
  <c r="AS22" i="6" s="1"/>
  <c r="AS53" i="6"/>
  <c r="AS26" i="6" s="1"/>
  <c r="AS55" i="6"/>
  <c r="AS28" i="6" s="1"/>
  <c r="AS10" i="6"/>
  <c r="BT10" i="15"/>
  <c r="BU9" i="15"/>
  <c r="BJ10" i="10"/>
  <c r="BK9" i="10"/>
  <c r="AT9" i="6"/>
  <c r="D1610" i="12" l="1"/>
  <c r="F1609" i="12"/>
  <c r="E1609" i="12"/>
  <c r="AT40" i="6"/>
  <c r="AT13" i="6" s="1"/>
  <c r="AT38" i="6"/>
  <c r="AT11" i="6" s="1"/>
  <c r="AT39" i="6"/>
  <c r="AT12" i="6" s="1"/>
  <c r="AT41" i="6"/>
  <c r="AT14" i="6" s="1"/>
  <c r="AT43" i="6"/>
  <c r="AT16" i="6" s="1"/>
  <c r="AT44" i="6"/>
  <c r="AT17" i="6" s="1"/>
  <c r="AT45" i="6"/>
  <c r="AT18" i="6" s="1"/>
  <c r="AT46" i="6"/>
  <c r="AT19" i="6" s="1"/>
  <c r="AT47" i="6"/>
  <c r="AT20" i="6" s="1"/>
  <c r="AT49" i="6"/>
  <c r="AT22" i="6" s="1"/>
  <c r="AT48" i="6"/>
  <c r="AT21" i="6" s="1"/>
  <c r="AT50" i="6"/>
  <c r="AT23" i="6" s="1"/>
  <c r="AT53" i="6"/>
  <c r="AT26" i="6" s="1"/>
  <c r="AT54" i="6"/>
  <c r="AT27" i="6" s="1"/>
  <c r="AT42" i="6"/>
  <c r="AT15" i="6" s="1"/>
  <c r="AT51" i="6"/>
  <c r="AT24" i="6" s="1"/>
  <c r="AT52" i="6"/>
  <c r="AT25" i="6" s="1"/>
  <c r="AT56" i="6"/>
  <c r="AT29" i="6" s="1"/>
  <c r="AT30" i="6" s="1"/>
  <c r="AT31" i="6" s="1"/>
  <c r="AT32" i="6" s="1"/>
  <c r="AT33" i="6" s="1"/>
  <c r="AT55" i="6"/>
  <c r="AT28" i="6" s="1"/>
  <c r="AT10" i="6"/>
  <c r="BU10" i="15"/>
  <c r="BV9" i="15"/>
  <c r="BK10" i="10"/>
  <c r="BL9" i="10"/>
  <c r="AU9" i="6"/>
  <c r="D1611" i="12" l="1"/>
  <c r="F1610" i="12"/>
  <c r="E1610" i="12"/>
  <c r="AU40" i="6"/>
  <c r="AU13" i="6" s="1"/>
  <c r="AU39" i="6"/>
  <c r="AU12" i="6" s="1"/>
  <c r="AU38" i="6"/>
  <c r="AU11" i="6" s="1"/>
  <c r="AU45" i="6"/>
  <c r="AU18" i="6" s="1"/>
  <c r="AU42" i="6"/>
  <c r="AU15" i="6" s="1"/>
  <c r="AU43" i="6"/>
  <c r="AU16" i="6" s="1"/>
  <c r="AU46" i="6"/>
  <c r="AU19" i="6" s="1"/>
  <c r="AU48" i="6"/>
  <c r="AU21" i="6" s="1"/>
  <c r="AU44" i="6"/>
  <c r="AU17" i="6" s="1"/>
  <c r="AU47" i="6"/>
  <c r="AU20" i="6" s="1"/>
  <c r="AU49" i="6"/>
  <c r="AU22" i="6" s="1"/>
  <c r="AU51" i="6"/>
  <c r="AU24" i="6" s="1"/>
  <c r="AU53" i="6"/>
  <c r="AU26" i="6" s="1"/>
  <c r="AU54" i="6"/>
  <c r="AU27" i="6" s="1"/>
  <c r="AU41" i="6"/>
  <c r="AU14" i="6" s="1"/>
  <c r="AU52" i="6"/>
  <c r="AU25" i="6" s="1"/>
  <c r="AU55" i="6"/>
  <c r="AU28" i="6" s="1"/>
  <c r="AU50" i="6"/>
  <c r="AU23" i="6" s="1"/>
  <c r="AU56" i="6"/>
  <c r="AU29" i="6" s="1"/>
  <c r="AU30" i="6" s="1"/>
  <c r="AU31" i="6" s="1"/>
  <c r="AU32" i="6" s="1"/>
  <c r="AU33" i="6" s="1"/>
  <c r="AU10" i="6"/>
  <c r="BV10" i="15"/>
  <c r="BW9" i="15"/>
  <c r="BL10" i="10"/>
  <c r="BM9" i="10"/>
  <c r="AV9" i="6"/>
  <c r="D1612" i="12" l="1"/>
  <c r="F1611" i="12"/>
  <c r="E1611" i="12"/>
  <c r="AV39" i="6"/>
  <c r="AV12" i="6" s="1"/>
  <c r="AV38" i="6"/>
  <c r="AV11" i="6" s="1"/>
  <c r="AV41" i="6"/>
  <c r="AV14" i="6" s="1"/>
  <c r="AV43" i="6"/>
  <c r="AV16" i="6" s="1"/>
  <c r="AV42" i="6"/>
  <c r="AV15" i="6" s="1"/>
  <c r="AV40" i="6"/>
  <c r="AV13" i="6" s="1"/>
  <c r="AV44" i="6"/>
  <c r="AV17" i="6" s="1"/>
  <c r="AV45" i="6"/>
  <c r="AV18" i="6" s="1"/>
  <c r="AV46" i="6"/>
  <c r="AV19" i="6" s="1"/>
  <c r="AV48" i="6"/>
  <c r="AV21" i="6" s="1"/>
  <c r="AV50" i="6"/>
  <c r="AV23" i="6" s="1"/>
  <c r="AV47" i="6"/>
  <c r="AV20" i="6" s="1"/>
  <c r="AV51" i="6"/>
  <c r="AV24" i="6" s="1"/>
  <c r="AV54" i="6"/>
  <c r="AV27" i="6" s="1"/>
  <c r="AV55" i="6"/>
  <c r="AV28" i="6" s="1"/>
  <c r="AV49" i="6"/>
  <c r="AV22" i="6" s="1"/>
  <c r="AV52" i="6"/>
  <c r="AV25" i="6" s="1"/>
  <c r="AV53" i="6"/>
  <c r="AV26" i="6" s="1"/>
  <c r="AV56" i="6"/>
  <c r="AV29" i="6" s="1"/>
  <c r="AV30" i="6" s="1"/>
  <c r="AV31" i="6" s="1"/>
  <c r="AV32" i="6" s="1"/>
  <c r="AV33" i="6" s="1"/>
  <c r="BW10" i="15"/>
  <c r="BX9" i="15"/>
  <c r="BM10" i="10"/>
  <c r="BN9" i="10"/>
  <c r="AV10" i="6"/>
  <c r="AW9" i="6"/>
  <c r="D1613" i="12" l="1"/>
  <c r="F1612" i="12"/>
  <c r="E1612" i="12"/>
  <c r="AW39" i="6"/>
  <c r="AW12" i="6" s="1"/>
  <c r="AW38" i="6"/>
  <c r="AW11" i="6" s="1"/>
  <c r="AW41" i="6"/>
  <c r="AW14" i="6" s="1"/>
  <c r="AW40" i="6"/>
  <c r="AW13" i="6" s="1"/>
  <c r="AW46" i="6"/>
  <c r="AW19" i="6" s="1"/>
  <c r="AW42" i="6"/>
  <c r="AW15" i="6" s="1"/>
  <c r="AW44" i="6"/>
  <c r="AW17" i="6" s="1"/>
  <c r="AW43" i="6"/>
  <c r="AW16" i="6" s="1"/>
  <c r="AW45" i="6"/>
  <c r="AW18" i="6" s="1"/>
  <c r="AW48" i="6"/>
  <c r="AW21" i="6" s="1"/>
  <c r="AW50" i="6"/>
  <c r="AW23" i="6" s="1"/>
  <c r="AW49" i="6"/>
  <c r="AW22" i="6" s="1"/>
  <c r="AW54" i="6"/>
  <c r="AW27" i="6" s="1"/>
  <c r="AW52" i="6"/>
  <c r="AW25" i="6" s="1"/>
  <c r="AW51" i="6"/>
  <c r="AW24" i="6" s="1"/>
  <c r="AW47" i="6"/>
  <c r="AW20" i="6" s="1"/>
  <c r="AW55" i="6"/>
  <c r="AW28" i="6" s="1"/>
  <c r="AW56" i="6"/>
  <c r="AW29" i="6" s="1"/>
  <c r="AW30" i="6" s="1"/>
  <c r="AW31" i="6" s="1"/>
  <c r="AW32" i="6" s="1"/>
  <c r="AW33" i="6" s="1"/>
  <c r="AW53" i="6"/>
  <c r="AW26" i="6" s="1"/>
  <c r="AW10" i="6"/>
  <c r="BX10" i="15"/>
  <c r="BY9" i="15"/>
  <c r="BN10" i="10"/>
  <c r="BO9" i="10"/>
  <c r="AX9" i="6"/>
  <c r="D1614" i="12" l="1"/>
  <c r="E1613" i="12"/>
  <c r="F1613" i="12"/>
  <c r="AX40" i="6"/>
  <c r="AX13" i="6" s="1"/>
  <c r="AX38" i="6"/>
  <c r="AX11" i="6" s="1"/>
  <c r="AX39" i="6"/>
  <c r="AX12" i="6" s="1"/>
  <c r="AX42" i="6"/>
  <c r="AX15" i="6" s="1"/>
  <c r="AX41" i="6"/>
  <c r="AX14" i="6" s="1"/>
  <c r="AX44" i="6"/>
  <c r="AX17" i="6" s="1"/>
  <c r="AX46" i="6"/>
  <c r="AX19" i="6" s="1"/>
  <c r="AX45" i="6"/>
  <c r="AX18" i="6" s="1"/>
  <c r="AX43" i="6"/>
  <c r="AX16" i="6" s="1"/>
  <c r="AX49" i="6"/>
  <c r="AX22" i="6" s="1"/>
  <c r="AX47" i="6"/>
  <c r="AX20" i="6" s="1"/>
  <c r="AX52" i="6"/>
  <c r="AX25" i="6" s="1"/>
  <c r="AX48" i="6"/>
  <c r="AX21" i="6" s="1"/>
  <c r="AX55" i="6"/>
  <c r="AX28" i="6" s="1"/>
  <c r="AX56" i="6"/>
  <c r="AX29" i="6" s="1"/>
  <c r="AX30" i="6" s="1"/>
  <c r="AX31" i="6" s="1"/>
  <c r="AX32" i="6" s="1"/>
  <c r="AX33" i="6" s="1"/>
  <c r="AX50" i="6"/>
  <c r="AX23" i="6" s="1"/>
  <c r="AX51" i="6"/>
  <c r="AX24" i="6" s="1"/>
  <c r="AX53" i="6"/>
  <c r="AX26" i="6" s="1"/>
  <c r="AX54" i="6"/>
  <c r="AX27" i="6" s="1"/>
  <c r="AX10" i="6"/>
  <c r="BY10" i="15"/>
  <c r="BZ9" i="15"/>
  <c r="BO10" i="10"/>
  <c r="BP9" i="10"/>
  <c r="AY9" i="6"/>
  <c r="D1615" i="12" l="1"/>
  <c r="F1614" i="12"/>
  <c r="E1614" i="12"/>
  <c r="AY40" i="6"/>
  <c r="AY13" i="6" s="1"/>
  <c r="AY39" i="6"/>
  <c r="AY12" i="6" s="1"/>
  <c r="AY38" i="6"/>
  <c r="AY11" i="6" s="1"/>
  <c r="AY41" i="6"/>
  <c r="AY14" i="6" s="1"/>
  <c r="AY45" i="6"/>
  <c r="AY18" i="6" s="1"/>
  <c r="AY43" i="6"/>
  <c r="AY16" i="6" s="1"/>
  <c r="AY44" i="6"/>
  <c r="AY17" i="6" s="1"/>
  <c r="AY42" i="6"/>
  <c r="AY15" i="6" s="1"/>
  <c r="AY49" i="6"/>
  <c r="AY22" i="6" s="1"/>
  <c r="AY46" i="6"/>
  <c r="AY19" i="6" s="1"/>
  <c r="AY47" i="6"/>
  <c r="AY20" i="6" s="1"/>
  <c r="AY51" i="6"/>
  <c r="AY24" i="6" s="1"/>
  <c r="AY55" i="6"/>
  <c r="AY28" i="6" s="1"/>
  <c r="AY48" i="6"/>
  <c r="AY21" i="6" s="1"/>
  <c r="AY50" i="6"/>
  <c r="AY23" i="6" s="1"/>
  <c r="AY53" i="6"/>
  <c r="AY26" i="6" s="1"/>
  <c r="AY56" i="6"/>
  <c r="AY29" i="6" s="1"/>
  <c r="AY30" i="6" s="1"/>
  <c r="AY31" i="6" s="1"/>
  <c r="AY32" i="6" s="1"/>
  <c r="AY33" i="6" s="1"/>
  <c r="AY52" i="6"/>
  <c r="AY25" i="6" s="1"/>
  <c r="AY54" i="6"/>
  <c r="AY27" i="6" s="1"/>
  <c r="BZ10" i="15"/>
  <c r="CA9" i="15"/>
  <c r="BP10" i="10"/>
  <c r="BQ9" i="10"/>
  <c r="AZ9" i="6"/>
  <c r="AY10" i="6"/>
  <c r="D1616" i="12" l="1"/>
  <c r="F1615" i="12"/>
  <c r="E1615" i="12"/>
  <c r="AZ40" i="6"/>
  <c r="AZ13" i="6" s="1"/>
  <c r="AZ39" i="6"/>
  <c r="AZ12" i="6" s="1"/>
  <c r="AZ38" i="6"/>
  <c r="AZ11" i="6" s="1"/>
  <c r="AZ41" i="6"/>
  <c r="AZ14" i="6" s="1"/>
  <c r="AZ43" i="6"/>
  <c r="AZ16" i="6" s="1"/>
  <c r="AZ42" i="6"/>
  <c r="AZ15" i="6" s="1"/>
  <c r="AZ46" i="6"/>
  <c r="AZ19" i="6" s="1"/>
  <c r="AZ45" i="6"/>
  <c r="AZ18" i="6" s="1"/>
  <c r="AZ44" i="6"/>
  <c r="AZ17" i="6" s="1"/>
  <c r="AZ50" i="6"/>
  <c r="AZ23" i="6" s="1"/>
  <c r="AZ48" i="6"/>
  <c r="AZ21" i="6" s="1"/>
  <c r="AZ47" i="6"/>
  <c r="AZ20" i="6" s="1"/>
  <c r="AZ49" i="6"/>
  <c r="AZ22" i="6" s="1"/>
  <c r="AZ52" i="6"/>
  <c r="AZ25" i="6" s="1"/>
  <c r="AZ53" i="6"/>
  <c r="AZ26" i="6" s="1"/>
  <c r="AZ51" i="6"/>
  <c r="AZ24" i="6" s="1"/>
  <c r="AZ54" i="6"/>
  <c r="AZ27" i="6" s="1"/>
  <c r="AZ55" i="6"/>
  <c r="AZ28" i="6" s="1"/>
  <c r="AZ56" i="6"/>
  <c r="AZ29" i="6" s="1"/>
  <c r="AZ30" i="6" s="1"/>
  <c r="AZ31" i="6" s="1"/>
  <c r="AZ32" i="6" s="1"/>
  <c r="AZ33" i="6" s="1"/>
  <c r="AZ10" i="6"/>
  <c r="CA10" i="15"/>
  <c r="CB9" i="15"/>
  <c r="BQ10" i="10"/>
  <c r="BR9" i="10"/>
  <c r="BA9" i="6"/>
  <c r="D1617" i="12" l="1"/>
  <c r="F1616" i="12"/>
  <c r="E1616" i="12"/>
  <c r="BA38" i="6"/>
  <c r="BA11" i="6" s="1"/>
  <c r="BA41" i="6"/>
  <c r="BA14" i="6" s="1"/>
  <c r="BA39" i="6"/>
  <c r="BA12" i="6" s="1"/>
  <c r="BA40" i="6"/>
  <c r="BA13" i="6" s="1"/>
  <c r="BA46" i="6"/>
  <c r="BA19" i="6" s="1"/>
  <c r="BA42" i="6"/>
  <c r="BA15" i="6" s="1"/>
  <c r="BA44" i="6"/>
  <c r="BA17" i="6" s="1"/>
  <c r="BA43" i="6"/>
  <c r="BA16" i="6" s="1"/>
  <c r="BA45" i="6"/>
  <c r="BA18" i="6" s="1"/>
  <c r="BA50" i="6"/>
  <c r="BA23" i="6" s="1"/>
  <c r="BA48" i="6"/>
  <c r="BA21" i="6" s="1"/>
  <c r="BA51" i="6"/>
  <c r="BA24" i="6" s="1"/>
  <c r="BA54" i="6"/>
  <c r="BA27" i="6" s="1"/>
  <c r="BA49" i="6"/>
  <c r="BA22" i="6" s="1"/>
  <c r="BA52" i="6"/>
  <c r="BA25" i="6" s="1"/>
  <c r="BA47" i="6"/>
  <c r="BA20" i="6" s="1"/>
  <c r="BA55" i="6"/>
  <c r="BA28" i="6" s="1"/>
  <c r="BA53" i="6"/>
  <c r="BA26" i="6" s="1"/>
  <c r="BA56" i="6"/>
  <c r="BA29" i="6" s="1"/>
  <c r="BA30" i="6" s="1"/>
  <c r="BA31" i="6" s="1"/>
  <c r="BA32" i="6" s="1"/>
  <c r="BA33" i="6" s="1"/>
  <c r="BA10" i="6"/>
  <c r="CB10" i="15"/>
  <c r="CC9" i="15"/>
  <c r="BR10" i="10"/>
  <c r="BS9" i="10"/>
  <c r="BB9" i="6"/>
  <c r="D1618" i="12" l="1"/>
  <c r="E1617" i="12"/>
  <c r="F1617" i="12"/>
  <c r="BB38" i="6"/>
  <c r="BB11" i="6" s="1"/>
  <c r="BB39" i="6"/>
  <c r="BB12" i="6" s="1"/>
  <c r="BB43" i="6"/>
  <c r="BB16" i="6" s="1"/>
  <c r="BB41" i="6"/>
  <c r="BB14" i="6" s="1"/>
  <c r="BB40" i="6"/>
  <c r="BB13" i="6" s="1"/>
  <c r="BB42" i="6"/>
  <c r="BB15" i="6" s="1"/>
  <c r="BB46" i="6"/>
  <c r="BB19" i="6" s="1"/>
  <c r="BB44" i="6"/>
  <c r="BB17" i="6" s="1"/>
  <c r="BB45" i="6"/>
  <c r="BB18" i="6" s="1"/>
  <c r="BB47" i="6"/>
  <c r="BB20" i="6" s="1"/>
  <c r="BB49" i="6"/>
  <c r="BB22" i="6" s="1"/>
  <c r="BB48" i="6"/>
  <c r="BB21" i="6" s="1"/>
  <c r="BB50" i="6"/>
  <c r="BB23" i="6" s="1"/>
  <c r="BB53" i="6"/>
  <c r="BB26" i="6" s="1"/>
  <c r="BB51" i="6"/>
  <c r="BB24" i="6" s="1"/>
  <c r="BB54" i="6"/>
  <c r="BB27" i="6" s="1"/>
  <c r="BB52" i="6"/>
  <c r="BB25" i="6" s="1"/>
  <c r="BB56" i="6"/>
  <c r="BB29" i="6" s="1"/>
  <c r="BB30" i="6" s="1"/>
  <c r="BB31" i="6" s="1"/>
  <c r="BB32" i="6" s="1"/>
  <c r="BB33" i="6" s="1"/>
  <c r="BB55" i="6"/>
  <c r="BB28" i="6" s="1"/>
  <c r="BB10" i="6"/>
  <c r="CC10" i="15"/>
  <c r="CD9" i="15"/>
  <c r="BS10" i="10"/>
  <c r="BT9" i="10"/>
  <c r="BC9" i="6"/>
  <c r="D1619" i="12" l="1"/>
  <c r="F1618" i="12"/>
  <c r="E1618" i="12"/>
  <c r="BC39" i="6"/>
  <c r="BC12" i="6" s="1"/>
  <c r="BC38" i="6"/>
  <c r="BC11" i="6" s="1"/>
  <c r="BC40" i="6"/>
  <c r="BC13" i="6" s="1"/>
  <c r="BC43" i="6"/>
  <c r="BC16" i="6" s="1"/>
  <c r="BC42" i="6"/>
  <c r="BC15" i="6" s="1"/>
  <c r="BC41" i="6"/>
  <c r="BC14" i="6" s="1"/>
  <c r="BC45" i="6"/>
  <c r="BC18" i="6" s="1"/>
  <c r="BC46" i="6"/>
  <c r="BC19" i="6" s="1"/>
  <c r="BC51" i="6"/>
  <c r="BC24" i="6" s="1"/>
  <c r="BC49" i="6"/>
  <c r="BC22" i="6" s="1"/>
  <c r="BC44" i="6"/>
  <c r="BC17" i="6" s="1"/>
  <c r="BC47" i="6"/>
  <c r="BC20" i="6" s="1"/>
  <c r="BC55" i="6"/>
  <c r="BC28" i="6" s="1"/>
  <c r="BC48" i="6"/>
  <c r="BC21" i="6" s="1"/>
  <c r="BC53" i="6"/>
  <c r="BC26" i="6" s="1"/>
  <c r="BC50" i="6"/>
  <c r="BC23" i="6" s="1"/>
  <c r="BC56" i="6"/>
  <c r="BC29" i="6" s="1"/>
  <c r="BC30" i="6" s="1"/>
  <c r="BC31" i="6" s="1"/>
  <c r="BC32" i="6" s="1"/>
  <c r="BC33" i="6" s="1"/>
  <c r="BC54" i="6"/>
  <c r="BC27" i="6" s="1"/>
  <c r="BC52" i="6"/>
  <c r="BC25" i="6" s="1"/>
  <c r="BC10" i="6"/>
  <c r="CD10" i="15"/>
  <c r="CE9" i="15"/>
  <c r="BT10" i="10"/>
  <c r="BU9" i="10"/>
  <c r="BD9" i="6"/>
  <c r="D1620" i="12" l="1"/>
  <c r="E1619" i="12"/>
  <c r="F1619" i="12"/>
  <c r="BD41" i="6"/>
  <c r="BD14" i="6" s="1"/>
  <c r="BD40" i="6"/>
  <c r="BD13" i="6" s="1"/>
  <c r="BD39" i="6"/>
  <c r="BD12" i="6" s="1"/>
  <c r="BD38" i="6"/>
  <c r="BD11" i="6" s="1"/>
  <c r="BD43" i="6"/>
  <c r="BD16" i="6" s="1"/>
  <c r="BD45" i="6"/>
  <c r="BD18" i="6" s="1"/>
  <c r="BD44" i="6"/>
  <c r="BD17" i="6" s="1"/>
  <c r="BD42" i="6"/>
  <c r="BD15" i="6" s="1"/>
  <c r="BD48" i="6"/>
  <c r="BD21" i="6" s="1"/>
  <c r="BD47" i="6"/>
  <c r="BD20" i="6" s="1"/>
  <c r="BD50" i="6"/>
  <c r="BD23" i="6" s="1"/>
  <c r="BD46" i="6"/>
  <c r="BD19" i="6" s="1"/>
  <c r="BD51" i="6"/>
  <c r="BD24" i="6" s="1"/>
  <c r="BD54" i="6"/>
  <c r="BD27" i="6" s="1"/>
  <c r="BD55" i="6"/>
  <c r="BD28" i="6" s="1"/>
  <c r="BD49" i="6"/>
  <c r="BD22" i="6" s="1"/>
  <c r="BD52" i="6"/>
  <c r="BD25" i="6" s="1"/>
  <c r="BD53" i="6"/>
  <c r="BD26" i="6" s="1"/>
  <c r="BD56" i="6"/>
  <c r="BD29" i="6" s="1"/>
  <c r="BD30" i="6" s="1"/>
  <c r="BD31" i="6" s="1"/>
  <c r="BD32" i="6" s="1"/>
  <c r="BD33" i="6" s="1"/>
  <c r="CE10" i="15"/>
  <c r="CF9" i="15"/>
  <c r="BU10" i="10"/>
  <c r="BV9" i="10"/>
  <c r="BD10" i="6"/>
  <c r="BE9" i="6"/>
  <c r="D1621" i="12" l="1"/>
  <c r="F1620" i="12"/>
  <c r="E1620" i="12"/>
  <c r="BE39" i="6"/>
  <c r="BE12" i="6" s="1"/>
  <c r="BE38" i="6"/>
  <c r="BE11" i="6" s="1"/>
  <c r="BE41" i="6"/>
  <c r="BE14" i="6" s="1"/>
  <c r="BE40" i="6"/>
  <c r="BE13" i="6" s="1"/>
  <c r="BE44" i="6"/>
  <c r="BE17" i="6" s="1"/>
  <c r="BE46" i="6"/>
  <c r="BE19" i="6" s="1"/>
  <c r="BE42" i="6"/>
  <c r="BE15" i="6" s="1"/>
  <c r="BE43" i="6"/>
  <c r="BE16" i="6" s="1"/>
  <c r="BE47" i="6"/>
  <c r="BE20" i="6" s="1"/>
  <c r="BE50" i="6"/>
  <c r="BE23" i="6" s="1"/>
  <c r="BE49" i="6"/>
  <c r="BE22" i="6" s="1"/>
  <c r="BE54" i="6"/>
  <c r="BE27" i="6" s="1"/>
  <c r="BE52" i="6"/>
  <c r="BE25" i="6" s="1"/>
  <c r="BE48" i="6"/>
  <c r="BE21" i="6" s="1"/>
  <c r="BE51" i="6"/>
  <c r="BE24" i="6" s="1"/>
  <c r="BE53" i="6"/>
  <c r="BE26" i="6" s="1"/>
  <c r="BE45" i="6"/>
  <c r="BE18" i="6" s="1"/>
  <c r="BE56" i="6"/>
  <c r="BE29" i="6" s="1"/>
  <c r="BE30" i="6" s="1"/>
  <c r="BE31" i="6" s="1"/>
  <c r="BE32" i="6" s="1"/>
  <c r="BE33" i="6" s="1"/>
  <c r="BE55" i="6"/>
  <c r="BE28" i="6" s="1"/>
  <c r="BE10" i="6"/>
  <c r="CF10" i="15"/>
  <c r="CG9" i="15"/>
  <c r="BV10" i="10"/>
  <c r="BW9" i="10"/>
  <c r="BF9" i="6"/>
  <c r="D1622" i="12" l="1"/>
  <c r="F1621" i="12"/>
  <c r="E1621" i="12"/>
  <c r="BF38" i="6"/>
  <c r="BF11" i="6" s="1"/>
  <c r="BF40" i="6"/>
  <c r="BF13" i="6" s="1"/>
  <c r="BF41" i="6"/>
  <c r="BF14" i="6" s="1"/>
  <c r="BF42" i="6"/>
  <c r="BF15" i="6" s="1"/>
  <c r="BF43" i="6"/>
  <c r="BF16" i="6" s="1"/>
  <c r="BF44" i="6"/>
  <c r="BF17" i="6" s="1"/>
  <c r="BF46" i="6"/>
  <c r="BF19" i="6" s="1"/>
  <c r="BF39" i="6"/>
  <c r="BF12" i="6" s="1"/>
  <c r="BF45" i="6"/>
  <c r="BF18" i="6" s="1"/>
  <c r="BF47" i="6"/>
  <c r="BF20" i="6" s="1"/>
  <c r="BF49" i="6"/>
  <c r="BF22" i="6" s="1"/>
  <c r="BF48" i="6"/>
  <c r="BF21" i="6" s="1"/>
  <c r="BF51" i="6"/>
  <c r="BF24" i="6" s="1"/>
  <c r="BF50" i="6"/>
  <c r="BF23" i="6" s="1"/>
  <c r="BF53" i="6"/>
  <c r="BF26" i="6" s="1"/>
  <c r="BF54" i="6"/>
  <c r="BF27" i="6" s="1"/>
  <c r="BF52" i="6"/>
  <c r="BF25" i="6" s="1"/>
  <c r="BF55" i="6"/>
  <c r="BF28" i="6" s="1"/>
  <c r="BF56" i="6"/>
  <c r="BF29" i="6" s="1"/>
  <c r="BF30" i="6" s="1"/>
  <c r="BF31" i="6" s="1"/>
  <c r="BF32" i="6" s="1"/>
  <c r="BF33" i="6" s="1"/>
  <c r="BF10" i="6"/>
  <c r="CG10" i="15"/>
  <c r="CH9" i="15"/>
  <c r="BW10" i="10"/>
  <c r="BX9" i="10"/>
  <c r="BG9" i="6"/>
  <c r="D1623" i="12" l="1"/>
  <c r="F1622" i="12"/>
  <c r="E1622" i="12"/>
  <c r="BG40" i="6"/>
  <c r="BG13" i="6" s="1"/>
  <c r="BG39" i="6"/>
  <c r="BG12" i="6" s="1"/>
  <c r="BG38" i="6"/>
  <c r="BG11" i="6" s="1"/>
  <c r="BG42" i="6"/>
  <c r="BG15" i="6" s="1"/>
  <c r="BG45" i="6"/>
  <c r="BG18" i="6" s="1"/>
  <c r="BG41" i="6"/>
  <c r="BG14" i="6" s="1"/>
  <c r="BG43" i="6"/>
  <c r="BG16" i="6" s="1"/>
  <c r="BG44" i="6"/>
  <c r="BG17" i="6" s="1"/>
  <c r="BG46" i="6"/>
  <c r="BG19" i="6" s="1"/>
  <c r="BG51" i="6"/>
  <c r="BG24" i="6" s="1"/>
  <c r="BG49" i="6"/>
  <c r="BG22" i="6" s="1"/>
  <c r="BG48" i="6"/>
  <c r="BG21" i="6" s="1"/>
  <c r="BG47" i="6"/>
  <c r="BG20" i="6" s="1"/>
  <c r="BG55" i="6"/>
  <c r="BG28" i="6" s="1"/>
  <c r="BG50" i="6"/>
  <c r="BG23" i="6" s="1"/>
  <c r="BG53" i="6"/>
  <c r="BG26" i="6" s="1"/>
  <c r="BG54" i="6"/>
  <c r="BG27" i="6" s="1"/>
  <c r="BG52" i="6"/>
  <c r="BG25" i="6" s="1"/>
  <c r="BG56" i="6"/>
  <c r="BG29" i="6" s="1"/>
  <c r="BG30" i="6" s="1"/>
  <c r="BG31" i="6" s="1"/>
  <c r="BG32" i="6" s="1"/>
  <c r="BG33" i="6" s="1"/>
  <c r="BG10" i="6"/>
  <c r="CH10" i="15"/>
  <c r="CI9" i="15"/>
  <c r="BX10" i="10"/>
  <c r="BY9" i="10"/>
  <c r="BH9" i="6"/>
  <c r="D1624" i="12" l="1"/>
  <c r="F1623" i="12"/>
  <c r="E1623" i="12"/>
  <c r="BH39" i="6"/>
  <c r="BH12" i="6" s="1"/>
  <c r="BH38" i="6"/>
  <c r="BH11" i="6" s="1"/>
  <c r="BH41" i="6"/>
  <c r="BH14" i="6" s="1"/>
  <c r="BH42" i="6"/>
  <c r="BH15" i="6" s="1"/>
  <c r="BH44" i="6"/>
  <c r="BH17" i="6" s="1"/>
  <c r="BH43" i="6"/>
  <c r="BH16" i="6" s="1"/>
  <c r="BH45" i="6"/>
  <c r="BH18" i="6" s="1"/>
  <c r="BH48" i="6"/>
  <c r="BH21" i="6" s="1"/>
  <c r="BH46" i="6"/>
  <c r="BH19" i="6" s="1"/>
  <c r="BH50" i="6"/>
  <c r="BH23" i="6" s="1"/>
  <c r="BH40" i="6"/>
  <c r="BH13" i="6" s="1"/>
  <c r="BH51" i="6"/>
  <c r="BH24" i="6" s="1"/>
  <c r="BH54" i="6"/>
  <c r="BH27" i="6" s="1"/>
  <c r="BH55" i="6"/>
  <c r="BH28" i="6" s="1"/>
  <c r="BH49" i="6"/>
  <c r="BH22" i="6" s="1"/>
  <c r="BH52" i="6"/>
  <c r="BH25" i="6" s="1"/>
  <c r="BH53" i="6"/>
  <c r="BH26" i="6" s="1"/>
  <c r="BH47" i="6"/>
  <c r="BH20" i="6" s="1"/>
  <c r="BH56" i="6"/>
  <c r="BH29" i="6" s="1"/>
  <c r="BH30" i="6" s="1"/>
  <c r="BH31" i="6" s="1"/>
  <c r="BH32" i="6" s="1"/>
  <c r="BH33" i="6" s="1"/>
  <c r="BH10" i="6"/>
  <c r="CI10" i="15"/>
  <c r="CJ9" i="15"/>
  <c r="BY10" i="10"/>
  <c r="BZ9" i="10"/>
  <c r="BI9" i="6"/>
  <c r="D1625" i="12" l="1"/>
  <c r="F1624" i="12"/>
  <c r="E1624" i="12"/>
  <c r="BI39" i="6"/>
  <c r="BI12" i="6" s="1"/>
  <c r="BI38" i="6"/>
  <c r="BI11" i="6" s="1"/>
  <c r="BI40" i="6"/>
  <c r="BI13" i="6" s="1"/>
  <c r="BI41" i="6"/>
  <c r="BI14" i="6" s="1"/>
  <c r="BI44" i="6"/>
  <c r="BI17" i="6" s="1"/>
  <c r="BI42" i="6"/>
  <c r="BI15" i="6" s="1"/>
  <c r="BI45" i="6"/>
  <c r="BI18" i="6" s="1"/>
  <c r="BI47" i="6"/>
  <c r="BI20" i="6" s="1"/>
  <c r="BI46" i="6"/>
  <c r="BI19" i="6" s="1"/>
  <c r="BI52" i="6"/>
  <c r="BI25" i="6" s="1"/>
  <c r="BI53" i="6"/>
  <c r="BI26" i="6" s="1"/>
  <c r="BI51" i="6"/>
  <c r="BI24" i="6" s="1"/>
  <c r="BI50" i="6"/>
  <c r="BI23" i="6" s="1"/>
  <c r="BI48" i="6"/>
  <c r="BI21" i="6" s="1"/>
  <c r="BI56" i="6"/>
  <c r="BI29" i="6" s="1"/>
  <c r="BI30" i="6" s="1"/>
  <c r="BI31" i="6" s="1"/>
  <c r="BI32" i="6" s="1"/>
  <c r="BI33" i="6" s="1"/>
  <c r="BI43" i="6"/>
  <c r="BI16" i="6" s="1"/>
  <c r="BI55" i="6"/>
  <c r="BI28" i="6" s="1"/>
  <c r="BI49" i="6"/>
  <c r="BI22" i="6" s="1"/>
  <c r="BI54" i="6"/>
  <c r="BI27" i="6" s="1"/>
  <c r="BI10" i="6"/>
  <c r="CJ10" i="15"/>
  <c r="CK9" i="15"/>
  <c r="BZ10" i="10"/>
  <c r="CA9" i="10"/>
  <c r="BJ9" i="6"/>
  <c r="D1626" i="12" l="1"/>
  <c r="E1625" i="12"/>
  <c r="F1625" i="12"/>
  <c r="BJ38" i="6"/>
  <c r="BJ11" i="6" s="1"/>
  <c r="BJ39" i="6"/>
  <c r="BJ12" i="6" s="1"/>
  <c r="BJ40" i="6"/>
  <c r="BJ13" i="6" s="1"/>
  <c r="BJ41" i="6"/>
  <c r="BJ14" i="6" s="1"/>
  <c r="BJ43" i="6"/>
  <c r="BJ16" i="6" s="1"/>
  <c r="BJ46" i="6"/>
  <c r="BJ19" i="6" s="1"/>
  <c r="BJ42" i="6"/>
  <c r="BJ15" i="6" s="1"/>
  <c r="BJ45" i="6"/>
  <c r="BJ18" i="6" s="1"/>
  <c r="BJ44" i="6"/>
  <c r="BJ17" i="6" s="1"/>
  <c r="BJ47" i="6"/>
  <c r="BJ20" i="6" s="1"/>
  <c r="BJ49" i="6"/>
  <c r="BJ22" i="6" s="1"/>
  <c r="BJ48" i="6"/>
  <c r="BJ21" i="6" s="1"/>
  <c r="BJ51" i="6"/>
  <c r="BJ24" i="6" s="1"/>
  <c r="BJ50" i="6"/>
  <c r="BJ23" i="6" s="1"/>
  <c r="BJ53" i="6"/>
  <c r="BJ26" i="6" s="1"/>
  <c r="BJ54" i="6"/>
  <c r="BJ27" i="6" s="1"/>
  <c r="BJ55" i="6"/>
  <c r="BJ28" i="6" s="1"/>
  <c r="BJ56" i="6"/>
  <c r="BJ29" i="6" s="1"/>
  <c r="BJ30" i="6" s="1"/>
  <c r="BJ31" i="6" s="1"/>
  <c r="BJ32" i="6" s="1"/>
  <c r="BJ33" i="6" s="1"/>
  <c r="BJ52" i="6"/>
  <c r="BJ25" i="6" s="1"/>
  <c r="BJ10" i="6"/>
  <c r="CK10" i="15"/>
  <c r="CL9" i="15"/>
  <c r="CA10" i="10"/>
  <c r="CB9" i="10"/>
  <c r="BK9" i="6"/>
  <c r="D1627" i="12" l="1"/>
  <c r="F1626" i="12"/>
  <c r="E1626" i="12"/>
  <c r="BK40" i="6"/>
  <c r="BK13" i="6" s="1"/>
  <c r="BK39" i="6"/>
  <c r="BK12" i="6" s="1"/>
  <c r="BK38" i="6"/>
  <c r="BK11" i="6" s="1"/>
  <c r="BK42" i="6"/>
  <c r="BK15" i="6" s="1"/>
  <c r="BK45" i="6"/>
  <c r="BK18" i="6" s="1"/>
  <c r="BK43" i="6"/>
  <c r="BK16" i="6" s="1"/>
  <c r="BK41" i="6"/>
  <c r="BK14" i="6" s="1"/>
  <c r="BK46" i="6"/>
  <c r="BK19" i="6" s="1"/>
  <c r="BK48" i="6"/>
  <c r="BK21" i="6" s="1"/>
  <c r="BK44" i="6"/>
  <c r="BK17" i="6" s="1"/>
  <c r="BK47" i="6"/>
  <c r="BK20" i="6" s="1"/>
  <c r="BK49" i="6"/>
  <c r="BK22" i="6" s="1"/>
  <c r="BK53" i="6"/>
  <c r="BK26" i="6" s="1"/>
  <c r="BK51" i="6"/>
  <c r="BK24" i="6" s="1"/>
  <c r="BK54" i="6"/>
  <c r="BK27" i="6" s="1"/>
  <c r="BK55" i="6"/>
  <c r="BK28" i="6" s="1"/>
  <c r="BK50" i="6"/>
  <c r="BK23" i="6" s="1"/>
  <c r="BK52" i="6"/>
  <c r="BK25" i="6" s="1"/>
  <c r="BK56" i="6"/>
  <c r="BK29" i="6" s="1"/>
  <c r="BK30" i="6" s="1"/>
  <c r="BK31" i="6" s="1"/>
  <c r="BK32" i="6" s="1"/>
  <c r="BK33" i="6" s="1"/>
  <c r="BK10" i="6"/>
  <c r="CL10" i="15"/>
  <c r="CM9" i="15"/>
  <c r="CB10" i="10"/>
  <c r="CC9" i="10"/>
  <c r="BL9" i="6"/>
  <c r="D1628" i="12" l="1"/>
  <c r="F1627" i="12"/>
  <c r="E1627" i="12"/>
  <c r="BL39" i="6"/>
  <c r="BL12" i="6" s="1"/>
  <c r="BL41" i="6"/>
  <c r="BL14" i="6" s="1"/>
  <c r="BL38" i="6"/>
  <c r="BL11" i="6" s="1"/>
  <c r="BL40" i="6"/>
  <c r="BL13" i="6" s="1"/>
  <c r="BL43" i="6"/>
  <c r="BL16" i="6" s="1"/>
  <c r="BL42" i="6"/>
  <c r="BL15" i="6" s="1"/>
  <c r="BL45" i="6"/>
  <c r="BL18" i="6" s="1"/>
  <c r="BL44" i="6"/>
  <c r="BL17" i="6" s="1"/>
  <c r="BL48" i="6"/>
  <c r="BL21" i="6" s="1"/>
  <c r="BL46" i="6"/>
  <c r="BL19" i="6" s="1"/>
  <c r="BL50" i="6"/>
  <c r="BL23" i="6" s="1"/>
  <c r="BL47" i="6"/>
  <c r="BL20" i="6" s="1"/>
  <c r="BL51" i="6"/>
  <c r="BL24" i="6" s="1"/>
  <c r="BL54" i="6"/>
  <c r="BL27" i="6" s="1"/>
  <c r="BL55" i="6"/>
  <c r="BL28" i="6" s="1"/>
  <c r="BL49" i="6"/>
  <c r="BL22" i="6" s="1"/>
  <c r="BL52" i="6"/>
  <c r="BL25" i="6" s="1"/>
  <c r="BL53" i="6"/>
  <c r="BL26" i="6" s="1"/>
  <c r="BL56" i="6"/>
  <c r="BL29" i="6" s="1"/>
  <c r="BL30" i="6" s="1"/>
  <c r="BL31" i="6" s="1"/>
  <c r="BL32" i="6" s="1"/>
  <c r="BL33" i="6" s="1"/>
  <c r="BL10" i="6"/>
  <c r="CM10" i="15"/>
  <c r="CN9" i="15"/>
  <c r="CC10" i="10"/>
  <c r="CD9" i="10"/>
  <c r="BM9" i="6"/>
  <c r="D1629" i="12" l="1"/>
  <c r="F1628" i="12"/>
  <c r="E1628" i="12"/>
  <c r="BM39" i="6"/>
  <c r="BM12" i="6" s="1"/>
  <c r="BM38" i="6"/>
  <c r="BM11" i="6" s="1"/>
  <c r="BM41" i="6"/>
  <c r="BM14" i="6" s="1"/>
  <c r="BM42" i="6"/>
  <c r="BM15" i="6" s="1"/>
  <c r="BM40" i="6"/>
  <c r="BM13" i="6" s="1"/>
  <c r="BM44" i="6"/>
  <c r="BM17" i="6" s="1"/>
  <c r="BM43" i="6"/>
  <c r="BM16" i="6" s="1"/>
  <c r="BM48" i="6"/>
  <c r="BM21" i="6" s="1"/>
  <c r="BM45" i="6"/>
  <c r="BM18" i="6" s="1"/>
  <c r="BM50" i="6"/>
  <c r="BM23" i="6" s="1"/>
  <c r="BM54" i="6"/>
  <c r="BM27" i="6" s="1"/>
  <c r="BM46" i="6"/>
  <c r="BM19" i="6" s="1"/>
  <c r="BM49" i="6"/>
  <c r="BM22" i="6" s="1"/>
  <c r="BM52" i="6"/>
  <c r="BM25" i="6" s="1"/>
  <c r="BM47" i="6"/>
  <c r="BM20" i="6" s="1"/>
  <c r="BM56" i="6"/>
  <c r="BM29" i="6" s="1"/>
  <c r="BM30" i="6" s="1"/>
  <c r="BM31" i="6" s="1"/>
  <c r="BM32" i="6" s="1"/>
  <c r="BM33" i="6" s="1"/>
  <c r="BM53" i="6"/>
  <c r="BM26" i="6" s="1"/>
  <c r="BM51" i="6"/>
  <c r="BM24" i="6" s="1"/>
  <c r="BM55" i="6"/>
  <c r="BM28" i="6" s="1"/>
  <c r="BM10" i="6"/>
  <c r="CN10" i="15"/>
  <c r="CO9" i="15"/>
  <c r="CD10" i="10"/>
  <c r="CE9" i="10"/>
  <c r="BN9" i="6"/>
  <c r="D1630" i="12" l="1"/>
  <c r="F1629" i="12"/>
  <c r="E1629" i="12"/>
  <c r="BN38" i="6"/>
  <c r="BN11" i="6" s="1"/>
  <c r="BN40" i="6"/>
  <c r="BN13" i="6" s="1"/>
  <c r="BN39" i="6"/>
  <c r="BN12" i="6" s="1"/>
  <c r="BN41" i="6"/>
  <c r="BN14" i="6" s="1"/>
  <c r="BN43" i="6"/>
  <c r="BN16" i="6" s="1"/>
  <c r="BN44" i="6"/>
  <c r="BN17" i="6" s="1"/>
  <c r="BN45" i="6"/>
  <c r="BN18" i="6" s="1"/>
  <c r="BN42" i="6"/>
  <c r="BN15" i="6" s="1"/>
  <c r="BN46" i="6"/>
  <c r="BN19" i="6" s="1"/>
  <c r="BN49" i="6"/>
  <c r="BN22" i="6" s="1"/>
  <c r="BN47" i="6"/>
  <c r="BN20" i="6" s="1"/>
  <c r="BN48" i="6"/>
  <c r="BN21" i="6" s="1"/>
  <c r="BN52" i="6"/>
  <c r="BN25" i="6" s="1"/>
  <c r="BN51" i="6"/>
  <c r="BN24" i="6" s="1"/>
  <c r="BN56" i="6"/>
  <c r="BN29" i="6" s="1"/>
  <c r="BN30" i="6" s="1"/>
  <c r="BN31" i="6" s="1"/>
  <c r="BN32" i="6" s="1"/>
  <c r="BN33" i="6" s="1"/>
  <c r="BN50" i="6"/>
  <c r="BN23" i="6" s="1"/>
  <c r="BN53" i="6"/>
  <c r="BN26" i="6" s="1"/>
  <c r="BN55" i="6"/>
  <c r="BN28" i="6" s="1"/>
  <c r="BN54" i="6"/>
  <c r="BN27" i="6" s="1"/>
  <c r="BN10" i="6"/>
  <c r="CO10" i="15"/>
  <c r="CP9" i="15"/>
  <c r="CE10" i="10"/>
  <c r="CF9" i="10"/>
  <c r="BO9" i="6"/>
  <c r="BO56" i="6" s="1"/>
  <c r="D1631" i="12" l="1"/>
  <c r="F1630" i="12"/>
  <c r="E1630" i="12"/>
  <c r="BO40" i="6"/>
  <c r="BO13" i="6" s="1"/>
  <c r="BO39" i="6"/>
  <c r="BO12" i="6" s="1"/>
  <c r="BO38" i="6"/>
  <c r="BO11" i="6" s="1"/>
  <c r="BO45" i="6"/>
  <c r="BO18" i="6" s="1"/>
  <c r="BO46" i="6"/>
  <c r="BO19" i="6" s="1"/>
  <c r="BO41" i="6"/>
  <c r="BO14" i="6" s="1"/>
  <c r="BO43" i="6"/>
  <c r="BO16" i="6" s="1"/>
  <c r="BO44" i="6"/>
  <c r="BO17" i="6" s="1"/>
  <c r="BO49" i="6"/>
  <c r="BO22" i="6" s="1"/>
  <c r="BO42" i="6"/>
  <c r="BO15" i="6" s="1"/>
  <c r="BO47" i="6"/>
  <c r="BO20" i="6" s="1"/>
  <c r="BO51" i="6"/>
  <c r="BO24" i="6" s="1"/>
  <c r="BO55" i="6"/>
  <c r="BO28" i="6" s="1"/>
  <c r="BO53" i="6"/>
  <c r="BO26" i="6" s="1"/>
  <c r="BO50" i="6"/>
  <c r="BO23" i="6" s="1"/>
  <c r="BO48" i="6"/>
  <c r="BO21" i="6" s="1"/>
  <c r="BO54" i="6"/>
  <c r="BO27" i="6" s="1"/>
  <c r="BO29" i="6"/>
  <c r="BO30" i="6" s="1"/>
  <c r="BO31" i="6" s="1"/>
  <c r="BO32" i="6" s="1"/>
  <c r="BO33" i="6" s="1"/>
  <c r="BO52" i="6"/>
  <c r="BO25" i="6" s="1"/>
  <c r="BO10" i="6"/>
  <c r="CP10" i="15"/>
  <c r="CQ9" i="15"/>
  <c r="CF10" i="10"/>
  <c r="CG9" i="10"/>
  <c r="BP9" i="6"/>
  <c r="D1632" i="12" l="1"/>
  <c r="E1631" i="12"/>
  <c r="F1631" i="12"/>
  <c r="BP39" i="6"/>
  <c r="BP12" i="6" s="1"/>
  <c r="BP41" i="6"/>
  <c r="BP14" i="6" s="1"/>
  <c r="BP38" i="6"/>
  <c r="BP11" i="6" s="1"/>
  <c r="BP40" i="6"/>
  <c r="BP13" i="6" s="1"/>
  <c r="BP43" i="6"/>
  <c r="BP16" i="6" s="1"/>
  <c r="BP42" i="6"/>
  <c r="BP15" i="6" s="1"/>
  <c r="BP45" i="6"/>
  <c r="BP18" i="6" s="1"/>
  <c r="BP46" i="6"/>
  <c r="BP19" i="6" s="1"/>
  <c r="BP50" i="6"/>
  <c r="BP23" i="6" s="1"/>
  <c r="BP48" i="6"/>
  <c r="BP21" i="6" s="1"/>
  <c r="BP44" i="6"/>
  <c r="BP17" i="6" s="1"/>
  <c r="BP47" i="6"/>
  <c r="BP20" i="6" s="1"/>
  <c r="BP49" i="6"/>
  <c r="BP22" i="6" s="1"/>
  <c r="BP52" i="6"/>
  <c r="BP25" i="6" s="1"/>
  <c r="BP53" i="6"/>
  <c r="BP26" i="6" s="1"/>
  <c r="BP51" i="6"/>
  <c r="BP24" i="6" s="1"/>
  <c r="BP54" i="6"/>
  <c r="BP27" i="6" s="1"/>
  <c r="BP55" i="6"/>
  <c r="BP28" i="6" s="1"/>
  <c r="BP56" i="6"/>
  <c r="BP29" i="6" s="1"/>
  <c r="BP30" i="6" s="1"/>
  <c r="BP31" i="6" s="1"/>
  <c r="BP32" i="6" s="1"/>
  <c r="BP33" i="6" s="1"/>
  <c r="BP10" i="6"/>
  <c r="CQ10" i="15"/>
  <c r="CR9" i="15"/>
  <c r="CG10" i="10"/>
  <c r="CH9" i="10"/>
  <c r="BQ9" i="6"/>
  <c r="D1633" i="12" l="1"/>
  <c r="F1632" i="12"/>
  <c r="E1632" i="12"/>
  <c r="BQ38" i="6"/>
  <c r="BQ11" i="6" s="1"/>
  <c r="BQ41" i="6"/>
  <c r="BQ14" i="6" s="1"/>
  <c r="BQ39" i="6"/>
  <c r="BQ12" i="6" s="1"/>
  <c r="BQ42" i="6"/>
  <c r="BQ15" i="6" s="1"/>
  <c r="BQ40" i="6"/>
  <c r="BQ13" i="6" s="1"/>
  <c r="BQ44" i="6"/>
  <c r="BQ17" i="6" s="1"/>
  <c r="BQ43" i="6"/>
  <c r="BQ16" i="6" s="1"/>
  <c r="BQ45" i="6"/>
  <c r="BQ18" i="6" s="1"/>
  <c r="BQ46" i="6"/>
  <c r="BQ19" i="6" s="1"/>
  <c r="BQ50" i="6"/>
  <c r="BQ23" i="6" s="1"/>
  <c r="BQ48" i="6"/>
  <c r="BQ21" i="6" s="1"/>
  <c r="BQ54" i="6"/>
  <c r="BQ27" i="6" s="1"/>
  <c r="BQ47" i="6"/>
  <c r="BQ20" i="6" s="1"/>
  <c r="BQ52" i="6"/>
  <c r="BQ25" i="6" s="1"/>
  <c r="BQ49" i="6"/>
  <c r="BQ22" i="6" s="1"/>
  <c r="BQ51" i="6"/>
  <c r="BQ24" i="6" s="1"/>
  <c r="BQ55" i="6"/>
  <c r="BQ28" i="6" s="1"/>
  <c r="BQ53" i="6"/>
  <c r="BQ26" i="6" s="1"/>
  <c r="BQ56" i="6"/>
  <c r="BQ29" i="6" s="1"/>
  <c r="BQ30" i="6" s="1"/>
  <c r="BQ31" i="6" s="1"/>
  <c r="BQ32" i="6" s="1"/>
  <c r="BQ33" i="6" s="1"/>
  <c r="BQ10" i="6"/>
  <c r="CR10" i="15"/>
  <c r="CS9" i="15"/>
  <c r="CH10" i="10"/>
  <c r="CI9" i="10"/>
  <c r="BR9" i="6"/>
  <c r="D1634" i="12" l="1"/>
  <c r="F1633" i="12"/>
  <c r="E1633" i="12"/>
  <c r="BR40" i="6"/>
  <c r="BR13" i="6" s="1"/>
  <c r="BR39" i="6"/>
  <c r="BR12" i="6" s="1"/>
  <c r="BR38" i="6"/>
  <c r="BR11" i="6" s="1"/>
  <c r="BR43" i="6"/>
  <c r="BR16" i="6" s="1"/>
  <c r="BR42" i="6"/>
  <c r="BR15" i="6" s="1"/>
  <c r="BR46" i="6"/>
  <c r="BR19" i="6" s="1"/>
  <c r="BR41" i="6"/>
  <c r="BR14" i="6" s="1"/>
  <c r="BR44" i="6"/>
  <c r="BR17" i="6" s="1"/>
  <c r="BR45" i="6"/>
  <c r="BR18" i="6" s="1"/>
  <c r="BR47" i="6"/>
  <c r="BR20" i="6" s="1"/>
  <c r="BR49" i="6"/>
  <c r="BR22" i="6" s="1"/>
  <c r="BR50" i="6"/>
  <c r="BR23" i="6" s="1"/>
  <c r="BR53" i="6"/>
  <c r="BR26" i="6" s="1"/>
  <c r="BR54" i="6"/>
  <c r="BR27" i="6" s="1"/>
  <c r="BR48" i="6"/>
  <c r="BR21" i="6" s="1"/>
  <c r="BR52" i="6"/>
  <c r="BR25" i="6" s="1"/>
  <c r="BR51" i="6"/>
  <c r="BR24" i="6" s="1"/>
  <c r="BR56" i="6"/>
  <c r="BR29" i="6" s="1"/>
  <c r="BR30" i="6" s="1"/>
  <c r="BR31" i="6" s="1"/>
  <c r="BR32" i="6" s="1"/>
  <c r="BR33" i="6" s="1"/>
  <c r="BR55" i="6"/>
  <c r="BR28" i="6" s="1"/>
  <c r="BR10" i="6"/>
  <c r="CS10" i="15"/>
  <c r="CT9" i="15"/>
  <c r="CI10" i="10"/>
  <c r="CJ9" i="10"/>
  <c r="BS9" i="6"/>
  <c r="D1635" i="12" l="1"/>
  <c r="E1634" i="12"/>
  <c r="F1634" i="12"/>
  <c r="BS39" i="6"/>
  <c r="BS12" i="6" s="1"/>
  <c r="BS38" i="6"/>
  <c r="BS11" i="6" s="1"/>
  <c r="BS40" i="6"/>
  <c r="BS13" i="6" s="1"/>
  <c r="BS43" i="6"/>
  <c r="BS16" i="6" s="1"/>
  <c r="BS42" i="6"/>
  <c r="BS15" i="6" s="1"/>
  <c r="BS46" i="6"/>
  <c r="BS19" i="6" s="1"/>
  <c r="BS41" i="6"/>
  <c r="BS14" i="6" s="1"/>
  <c r="BS45" i="6"/>
  <c r="BS18" i="6" s="1"/>
  <c r="BS51" i="6"/>
  <c r="BS24" i="6" s="1"/>
  <c r="BS49" i="6"/>
  <c r="BS22" i="6" s="1"/>
  <c r="BS50" i="6"/>
  <c r="BS23" i="6" s="1"/>
  <c r="BS55" i="6"/>
  <c r="BS28" i="6" s="1"/>
  <c r="BS48" i="6"/>
  <c r="BS21" i="6" s="1"/>
  <c r="BS47" i="6"/>
  <c r="BS20" i="6" s="1"/>
  <c r="BS53" i="6"/>
  <c r="BS26" i="6" s="1"/>
  <c r="BS52" i="6"/>
  <c r="BS25" i="6" s="1"/>
  <c r="BS56" i="6"/>
  <c r="BS29" i="6" s="1"/>
  <c r="BS30" i="6" s="1"/>
  <c r="BS31" i="6" s="1"/>
  <c r="BS32" i="6" s="1"/>
  <c r="BS33" i="6" s="1"/>
  <c r="BS44" i="6"/>
  <c r="BS17" i="6" s="1"/>
  <c r="BS54" i="6"/>
  <c r="BS27" i="6" s="1"/>
  <c r="BS10" i="6"/>
  <c r="CT10" i="15"/>
  <c r="CU9" i="15"/>
  <c r="CJ10" i="10"/>
  <c r="CK9" i="10"/>
  <c r="BT9" i="6"/>
  <c r="D1636" i="12" l="1"/>
  <c r="F1635" i="12"/>
  <c r="E1635" i="12"/>
  <c r="BT41" i="6"/>
  <c r="BT14" i="6" s="1"/>
  <c r="BT39" i="6"/>
  <c r="BT12" i="6" s="1"/>
  <c r="BT40" i="6"/>
  <c r="BT13" i="6" s="1"/>
  <c r="BT43" i="6"/>
  <c r="BT16" i="6" s="1"/>
  <c r="BT42" i="6"/>
  <c r="BT15" i="6" s="1"/>
  <c r="BT45" i="6"/>
  <c r="BT18" i="6" s="1"/>
  <c r="BT38" i="6"/>
  <c r="BT11" i="6" s="1"/>
  <c r="BT44" i="6"/>
  <c r="BT17" i="6" s="1"/>
  <c r="BT46" i="6"/>
  <c r="BT19" i="6" s="1"/>
  <c r="BT50" i="6"/>
  <c r="BT23" i="6" s="1"/>
  <c r="BT48" i="6"/>
  <c r="BT21" i="6" s="1"/>
  <c r="BT47" i="6"/>
  <c r="BT20" i="6" s="1"/>
  <c r="BT51" i="6"/>
  <c r="BT24" i="6" s="1"/>
  <c r="BT54" i="6"/>
  <c r="BT27" i="6" s="1"/>
  <c r="BT55" i="6"/>
  <c r="BT28" i="6" s="1"/>
  <c r="BT49" i="6"/>
  <c r="BT22" i="6" s="1"/>
  <c r="BT52" i="6"/>
  <c r="BT25" i="6" s="1"/>
  <c r="BT53" i="6"/>
  <c r="BT26" i="6" s="1"/>
  <c r="BT56" i="6"/>
  <c r="BT29" i="6" s="1"/>
  <c r="BT30" i="6" s="1"/>
  <c r="BT31" i="6" s="1"/>
  <c r="BT32" i="6" s="1"/>
  <c r="BT33" i="6" s="1"/>
  <c r="BT10" i="6"/>
  <c r="CU10" i="15"/>
  <c r="CV9" i="15"/>
  <c r="CK10" i="10"/>
  <c r="CL9" i="10"/>
  <c r="BU9" i="6"/>
  <c r="D1637" i="12" l="1"/>
  <c r="E1636" i="12"/>
  <c r="F1636" i="12"/>
  <c r="BU39" i="6"/>
  <c r="BU12" i="6" s="1"/>
  <c r="BU38" i="6"/>
  <c r="BU11" i="6" s="1"/>
  <c r="BU41" i="6"/>
  <c r="BU14" i="6" s="1"/>
  <c r="BU44" i="6"/>
  <c r="BU17" i="6" s="1"/>
  <c r="BU40" i="6"/>
  <c r="BU13" i="6" s="1"/>
  <c r="BU42" i="6"/>
  <c r="BU15" i="6" s="1"/>
  <c r="BU43" i="6"/>
  <c r="BU16" i="6" s="1"/>
  <c r="BU46" i="6"/>
  <c r="BU19" i="6" s="1"/>
  <c r="BU50" i="6"/>
  <c r="BU23" i="6" s="1"/>
  <c r="BU48" i="6"/>
  <c r="BU21" i="6" s="1"/>
  <c r="BU45" i="6"/>
  <c r="BU18" i="6" s="1"/>
  <c r="BU47" i="6"/>
  <c r="BU20" i="6" s="1"/>
  <c r="BU54" i="6"/>
  <c r="BU27" i="6" s="1"/>
  <c r="BU49" i="6"/>
  <c r="BU22" i="6" s="1"/>
  <c r="BU52" i="6"/>
  <c r="BU25" i="6" s="1"/>
  <c r="BU55" i="6"/>
  <c r="BU28" i="6" s="1"/>
  <c r="BU53" i="6"/>
  <c r="BU26" i="6" s="1"/>
  <c r="BU51" i="6"/>
  <c r="BU24" i="6" s="1"/>
  <c r="BU56" i="6"/>
  <c r="BU29" i="6" s="1"/>
  <c r="BU30" i="6" s="1"/>
  <c r="BU31" i="6" s="1"/>
  <c r="BU32" i="6" s="1"/>
  <c r="BU33" i="6" s="1"/>
  <c r="BU10" i="6"/>
  <c r="CV10" i="15"/>
  <c r="CW9" i="15"/>
  <c r="CL10" i="10"/>
  <c r="CM9" i="10"/>
  <c r="BV9" i="6"/>
  <c r="D1638" i="12" l="1"/>
  <c r="E1637" i="12"/>
  <c r="F1637" i="12"/>
  <c r="BV38" i="6"/>
  <c r="BV11" i="6" s="1"/>
  <c r="BV40" i="6"/>
  <c r="BV13" i="6" s="1"/>
  <c r="BV41" i="6"/>
  <c r="BV14" i="6" s="1"/>
  <c r="BV39" i="6"/>
  <c r="BV12" i="6" s="1"/>
  <c r="BV43" i="6"/>
  <c r="BV16" i="6" s="1"/>
  <c r="BV44" i="6"/>
  <c r="BV17" i="6" s="1"/>
  <c r="BV42" i="6"/>
  <c r="BV15" i="6" s="1"/>
  <c r="BV45" i="6"/>
  <c r="BV18" i="6" s="1"/>
  <c r="BV46" i="6"/>
  <c r="BV19" i="6" s="1"/>
  <c r="BV47" i="6"/>
  <c r="BV20" i="6" s="1"/>
  <c r="BV49" i="6"/>
  <c r="BV22" i="6" s="1"/>
  <c r="BV55" i="6"/>
  <c r="BV28" i="6" s="1"/>
  <c r="BV50" i="6"/>
  <c r="BV23" i="6" s="1"/>
  <c r="BV53" i="6"/>
  <c r="BV26" i="6" s="1"/>
  <c r="BV54" i="6"/>
  <c r="BV27" i="6" s="1"/>
  <c r="BV48" i="6"/>
  <c r="BV21" i="6" s="1"/>
  <c r="BV51" i="6"/>
  <c r="BV24" i="6" s="1"/>
  <c r="BV52" i="6"/>
  <c r="BV25" i="6" s="1"/>
  <c r="BV56" i="6"/>
  <c r="BV29" i="6" s="1"/>
  <c r="BV30" i="6" s="1"/>
  <c r="BV31" i="6" s="1"/>
  <c r="BV32" i="6" s="1"/>
  <c r="BV33" i="6" s="1"/>
  <c r="BV10" i="6"/>
  <c r="CW10" i="15"/>
  <c r="CX9" i="15"/>
  <c r="CM10" i="10"/>
  <c r="CN9" i="10"/>
  <c r="BW9" i="6"/>
  <c r="D1639" i="12" l="1"/>
  <c r="F1638" i="12"/>
  <c r="E1638" i="12"/>
  <c r="BW39" i="6"/>
  <c r="BW12" i="6" s="1"/>
  <c r="BW38" i="6"/>
  <c r="BW11" i="6" s="1"/>
  <c r="BW40" i="6"/>
  <c r="BW13" i="6" s="1"/>
  <c r="BW45" i="6"/>
  <c r="BW18" i="6" s="1"/>
  <c r="BW43" i="6"/>
  <c r="BW16" i="6" s="1"/>
  <c r="BW41" i="6"/>
  <c r="BW14" i="6" s="1"/>
  <c r="BW44" i="6"/>
  <c r="BW17" i="6" s="1"/>
  <c r="BW42" i="6"/>
  <c r="BW15" i="6" s="1"/>
  <c r="BW46" i="6"/>
  <c r="BW19" i="6" s="1"/>
  <c r="BW49" i="6"/>
  <c r="BW22" i="6" s="1"/>
  <c r="BW51" i="6"/>
  <c r="BW24" i="6" s="1"/>
  <c r="BW52" i="6"/>
  <c r="BW25" i="6" s="1"/>
  <c r="BW47" i="6"/>
  <c r="BW20" i="6" s="1"/>
  <c r="BW53" i="6"/>
  <c r="BW26" i="6" s="1"/>
  <c r="BW55" i="6"/>
  <c r="BW28" i="6" s="1"/>
  <c r="BW56" i="6"/>
  <c r="BW29" i="6" s="1"/>
  <c r="BW30" i="6" s="1"/>
  <c r="BW31" i="6" s="1"/>
  <c r="BW32" i="6" s="1"/>
  <c r="BW33" i="6" s="1"/>
  <c r="BW54" i="6"/>
  <c r="BW27" i="6" s="1"/>
  <c r="BW50" i="6"/>
  <c r="BW23" i="6" s="1"/>
  <c r="BW48" i="6"/>
  <c r="BW21" i="6" s="1"/>
  <c r="BW10" i="6"/>
  <c r="CX10" i="15"/>
  <c r="CY9" i="15"/>
  <c r="CN10" i="10"/>
  <c r="CO9" i="10"/>
  <c r="BX9" i="6"/>
  <c r="D1640" i="12" l="1"/>
  <c r="F1639" i="12"/>
  <c r="E1639" i="12"/>
  <c r="BX39" i="6"/>
  <c r="BX12" i="6" s="1"/>
  <c r="BX41" i="6"/>
  <c r="BX14" i="6" s="1"/>
  <c r="BX38" i="6"/>
  <c r="BX11" i="6" s="1"/>
  <c r="BX40" i="6"/>
  <c r="BX13" i="6" s="1"/>
  <c r="BX42" i="6"/>
  <c r="BX15" i="6" s="1"/>
  <c r="BX45" i="6"/>
  <c r="BX18" i="6" s="1"/>
  <c r="BX43" i="6"/>
  <c r="BX16" i="6" s="1"/>
  <c r="BX44" i="6"/>
  <c r="BX17" i="6" s="1"/>
  <c r="BX46" i="6"/>
  <c r="BX19" i="6" s="1"/>
  <c r="BX50" i="6"/>
  <c r="BX23" i="6" s="1"/>
  <c r="BX48" i="6"/>
  <c r="BX21" i="6" s="1"/>
  <c r="BX54" i="6"/>
  <c r="BX27" i="6" s="1"/>
  <c r="BX55" i="6"/>
  <c r="BX28" i="6" s="1"/>
  <c r="BX49" i="6"/>
  <c r="BX22" i="6" s="1"/>
  <c r="BX47" i="6"/>
  <c r="BX20" i="6" s="1"/>
  <c r="BX52" i="6"/>
  <c r="BX25" i="6" s="1"/>
  <c r="BX53" i="6"/>
  <c r="BX26" i="6" s="1"/>
  <c r="BX51" i="6"/>
  <c r="BX24" i="6" s="1"/>
  <c r="BX56" i="6"/>
  <c r="BX29" i="6" s="1"/>
  <c r="BX30" i="6" s="1"/>
  <c r="BX31" i="6" s="1"/>
  <c r="BX32" i="6" s="1"/>
  <c r="BX33" i="6" s="1"/>
  <c r="BX10" i="6"/>
  <c r="CY10" i="15"/>
  <c r="CZ9" i="15"/>
  <c r="CO10" i="10"/>
  <c r="CP9" i="10"/>
  <c r="BY9" i="6"/>
  <c r="D1641" i="12" l="1"/>
  <c r="F1640" i="12"/>
  <c r="E1640" i="12"/>
  <c r="BY39" i="6"/>
  <c r="BY12" i="6" s="1"/>
  <c r="BY38" i="6"/>
  <c r="BY11" i="6" s="1"/>
  <c r="BY41" i="6"/>
  <c r="BY14" i="6" s="1"/>
  <c r="BY44" i="6"/>
  <c r="BY17" i="6" s="1"/>
  <c r="BY42" i="6"/>
  <c r="BY15" i="6" s="1"/>
  <c r="BY40" i="6"/>
  <c r="BY13" i="6" s="1"/>
  <c r="BY45" i="6"/>
  <c r="BY18" i="6" s="1"/>
  <c r="BY47" i="6"/>
  <c r="BY20" i="6" s="1"/>
  <c r="BY43" i="6"/>
  <c r="BY16" i="6" s="1"/>
  <c r="BY48" i="6"/>
  <c r="BY21" i="6" s="1"/>
  <c r="BY50" i="6"/>
  <c r="BY23" i="6" s="1"/>
  <c r="BY52" i="6"/>
  <c r="BY25" i="6" s="1"/>
  <c r="BY49" i="6"/>
  <c r="BY22" i="6" s="1"/>
  <c r="BY53" i="6"/>
  <c r="BY26" i="6" s="1"/>
  <c r="BY46" i="6"/>
  <c r="BY19" i="6" s="1"/>
  <c r="BY56" i="6"/>
  <c r="BY29" i="6" s="1"/>
  <c r="BY30" i="6" s="1"/>
  <c r="BY31" i="6" s="1"/>
  <c r="BY32" i="6" s="1"/>
  <c r="BY33" i="6" s="1"/>
  <c r="BY51" i="6"/>
  <c r="BY24" i="6" s="1"/>
  <c r="BY55" i="6"/>
  <c r="BY28" i="6" s="1"/>
  <c r="BY54" i="6"/>
  <c r="BY27" i="6" s="1"/>
  <c r="BY10" i="6"/>
  <c r="CZ10" i="15"/>
  <c r="DA9" i="15"/>
  <c r="CP10" i="10"/>
  <c r="CQ9" i="10"/>
  <c r="BZ9" i="6"/>
  <c r="D1642" i="12" l="1"/>
  <c r="E1641" i="12"/>
  <c r="F1641" i="12"/>
  <c r="BZ38" i="6"/>
  <c r="BZ11" i="6" s="1"/>
  <c r="BZ40" i="6"/>
  <c r="BZ13" i="6" s="1"/>
  <c r="BZ39" i="6"/>
  <c r="BZ12" i="6" s="1"/>
  <c r="BZ41" i="6"/>
  <c r="BZ14" i="6" s="1"/>
  <c r="BZ43" i="6"/>
  <c r="BZ16" i="6" s="1"/>
  <c r="BZ45" i="6"/>
  <c r="BZ18" i="6" s="1"/>
  <c r="BZ42" i="6"/>
  <c r="BZ15" i="6" s="1"/>
  <c r="BZ44" i="6"/>
  <c r="BZ17" i="6" s="1"/>
  <c r="BZ46" i="6"/>
  <c r="BZ19" i="6" s="1"/>
  <c r="BZ47" i="6"/>
  <c r="BZ20" i="6" s="1"/>
  <c r="BZ49" i="6"/>
  <c r="BZ22" i="6" s="1"/>
  <c r="BZ50" i="6"/>
  <c r="BZ23" i="6" s="1"/>
  <c r="BZ53" i="6"/>
  <c r="BZ26" i="6" s="1"/>
  <c r="BZ54" i="6"/>
  <c r="BZ27" i="6" s="1"/>
  <c r="BZ48" i="6"/>
  <c r="BZ21" i="6" s="1"/>
  <c r="BZ51" i="6"/>
  <c r="BZ24" i="6" s="1"/>
  <c r="BZ56" i="6"/>
  <c r="BZ29" i="6" s="1"/>
  <c r="BZ30" i="6" s="1"/>
  <c r="BZ31" i="6" s="1"/>
  <c r="BZ32" i="6" s="1"/>
  <c r="BZ33" i="6" s="1"/>
  <c r="BZ55" i="6"/>
  <c r="BZ28" i="6" s="1"/>
  <c r="BZ52" i="6"/>
  <c r="BZ25" i="6" s="1"/>
  <c r="BZ10" i="6"/>
  <c r="DA10" i="15"/>
  <c r="DB9" i="15"/>
  <c r="CQ10" i="10"/>
  <c r="CR9" i="10"/>
  <c r="CA9" i="6"/>
  <c r="D1643" i="12" l="1"/>
  <c r="E1642" i="12"/>
  <c r="F1642" i="12"/>
  <c r="CA39" i="6"/>
  <c r="CA12" i="6" s="1"/>
  <c r="CA38" i="6"/>
  <c r="CA11" i="6" s="1"/>
  <c r="CA40" i="6"/>
  <c r="CA13" i="6" s="1"/>
  <c r="CA42" i="6"/>
  <c r="CA15" i="6" s="1"/>
  <c r="CA45" i="6"/>
  <c r="CA18" i="6" s="1"/>
  <c r="CA43" i="6"/>
  <c r="CA16" i="6" s="1"/>
  <c r="CA41" i="6"/>
  <c r="CA14" i="6" s="1"/>
  <c r="CA46" i="6"/>
  <c r="CA19" i="6" s="1"/>
  <c r="CA47" i="6"/>
  <c r="CA20" i="6" s="1"/>
  <c r="CA44" i="6"/>
  <c r="CA17" i="6" s="1"/>
  <c r="CA49" i="6"/>
  <c r="CA22" i="6" s="1"/>
  <c r="CA53" i="6"/>
  <c r="CA26" i="6" s="1"/>
  <c r="CA48" i="6"/>
  <c r="CA21" i="6" s="1"/>
  <c r="CA51" i="6"/>
  <c r="CA24" i="6" s="1"/>
  <c r="CA55" i="6"/>
  <c r="CA28" i="6" s="1"/>
  <c r="CA54" i="6"/>
  <c r="CA27" i="6" s="1"/>
  <c r="CA52" i="6"/>
  <c r="CA25" i="6" s="1"/>
  <c r="CA50" i="6"/>
  <c r="CA23" i="6" s="1"/>
  <c r="CA56" i="6"/>
  <c r="CA29" i="6" s="1"/>
  <c r="CA30" i="6" s="1"/>
  <c r="CA31" i="6" s="1"/>
  <c r="CA32" i="6" s="1"/>
  <c r="CA33" i="6" s="1"/>
  <c r="CA10" i="6"/>
  <c r="DB10" i="15"/>
  <c r="DC9" i="15"/>
  <c r="CR10" i="10"/>
  <c r="CS9" i="10"/>
  <c r="CB9" i="6"/>
  <c r="D1644" i="12" l="1"/>
  <c r="E1643" i="12"/>
  <c r="F1643" i="12"/>
  <c r="CB39" i="6"/>
  <c r="CB12" i="6" s="1"/>
  <c r="CB41" i="6"/>
  <c r="CB14" i="6" s="1"/>
  <c r="CB38" i="6"/>
  <c r="CB11" i="6" s="1"/>
  <c r="CB42" i="6"/>
  <c r="CB15" i="6" s="1"/>
  <c r="CB44" i="6"/>
  <c r="CB17" i="6" s="1"/>
  <c r="CB45" i="6"/>
  <c r="CB18" i="6" s="1"/>
  <c r="CB40" i="6"/>
  <c r="CB13" i="6" s="1"/>
  <c r="CB43" i="6"/>
  <c r="CB16" i="6" s="1"/>
  <c r="CB48" i="6"/>
  <c r="CB21" i="6" s="1"/>
  <c r="CB46" i="6"/>
  <c r="CB19" i="6" s="1"/>
  <c r="CB50" i="6"/>
  <c r="CB23" i="6" s="1"/>
  <c r="CB47" i="6"/>
  <c r="CB20" i="6" s="1"/>
  <c r="CB51" i="6"/>
  <c r="CB24" i="6" s="1"/>
  <c r="CB54" i="6"/>
  <c r="CB27" i="6" s="1"/>
  <c r="CB55" i="6"/>
  <c r="CB28" i="6" s="1"/>
  <c r="CB49" i="6"/>
  <c r="CB22" i="6" s="1"/>
  <c r="CB52" i="6"/>
  <c r="CB25" i="6" s="1"/>
  <c r="CB53" i="6"/>
  <c r="CB26" i="6" s="1"/>
  <c r="CB56" i="6"/>
  <c r="CB29" i="6" s="1"/>
  <c r="CB30" i="6" s="1"/>
  <c r="CB31" i="6" s="1"/>
  <c r="CB32" i="6" s="1"/>
  <c r="CB33" i="6" s="1"/>
  <c r="CB10" i="6"/>
  <c r="DC10" i="15"/>
  <c r="DD9" i="15"/>
  <c r="CS10" i="10"/>
  <c r="CT9" i="10"/>
  <c r="CC9" i="6"/>
  <c r="D1645" i="12" l="1"/>
  <c r="F1644" i="12"/>
  <c r="E1644" i="12"/>
  <c r="CC39" i="6"/>
  <c r="CC12" i="6" s="1"/>
  <c r="CC38" i="6"/>
  <c r="CC11" i="6" s="1"/>
  <c r="CC41" i="6"/>
  <c r="CC14" i="6" s="1"/>
  <c r="CC42" i="6"/>
  <c r="CC15" i="6" s="1"/>
  <c r="CC44" i="6"/>
  <c r="CC17" i="6" s="1"/>
  <c r="CC43" i="6"/>
  <c r="CC16" i="6" s="1"/>
  <c r="CC40" i="6"/>
  <c r="CC13" i="6" s="1"/>
  <c r="CC48" i="6"/>
  <c r="CC21" i="6" s="1"/>
  <c r="CC45" i="6"/>
  <c r="CC18" i="6" s="1"/>
  <c r="CC50" i="6"/>
  <c r="CC23" i="6" s="1"/>
  <c r="CC47" i="6"/>
  <c r="CC20" i="6" s="1"/>
  <c r="CC54" i="6"/>
  <c r="CC27" i="6" s="1"/>
  <c r="CC52" i="6"/>
  <c r="CC25" i="6" s="1"/>
  <c r="CC49" i="6"/>
  <c r="CC22" i="6" s="1"/>
  <c r="CC46" i="6"/>
  <c r="CC19" i="6" s="1"/>
  <c r="CC53" i="6"/>
  <c r="CC26" i="6" s="1"/>
  <c r="CC55" i="6"/>
  <c r="CC28" i="6" s="1"/>
  <c r="CC51" i="6"/>
  <c r="CC24" i="6" s="1"/>
  <c r="CC56" i="6"/>
  <c r="CC29" i="6" s="1"/>
  <c r="CC30" i="6" s="1"/>
  <c r="CC31" i="6" s="1"/>
  <c r="CC32" i="6" s="1"/>
  <c r="CC33" i="6" s="1"/>
  <c r="CC10" i="6"/>
  <c r="DD10" i="15"/>
  <c r="DE9" i="15"/>
  <c r="CT10" i="10"/>
  <c r="CU9" i="10"/>
  <c r="CD9" i="6"/>
  <c r="D1646" i="12" l="1"/>
  <c r="F1645" i="12"/>
  <c r="E1645" i="12"/>
  <c r="CD39" i="6"/>
  <c r="CD12" i="6" s="1"/>
  <c r="CD38" i="6"/>
  <c r="CD11" i="6" s="1"/>
  <c r="CD40" i="6"/>
  <c r="CD13" i="6" s="1"/>
  <c r="CD41" i="6"/>
  <c r="CD14" i="6" s="1"/>
  <c r="CD42" i="6"/>
  <c r="CD15" i="6" s="1"/>
  <c r="CD43" i="6"/>
  <c r="CD16" i="6" s="1"/>
  <c r="CD45" i="6"/>
  <c r="CD18" i="6" s="1"/>
  <c r="CD44" i="6"/>
  <c r="CD17" i="6" s="1"/>
  <c r="CD46" i="6"/>
  <c r="CD19" i="6" s="1"/>
  <c r="CD49" i="6"/>
  <c r="CD22" i="6" s="1"/>
  <c r="CD47" i="6"/>
  <c r="CD20" i="6" s="1"/>
  <c r="CD48" i="6"/>
  <c r="CD21" i="6" s="1"/>
  <c r="CD51" i="6"/>
  <c r="CD24" i="6" s="1"/>
  <c r="CD52" i="6"/>
  <c r="CD25" i="6" s="1"/>
  <c r="CD56" i="6"/>
  <c r="CD29" i="6" s="1"/>
  <c r="CD30" i="6" s="1"/>
  <c r="CD31" i="6" s="1"/>
  <c r="CD32" i="6" s="1"/>
  <c r="CD33" i="6" s="1"/>
  <c r="CD50" i="6"/>
  <c r="CD23" i="6" s="1"/>
  <c r="CD53" i="6"/>
  <c r="CD26" i="6" s="1"/>
  <c r="CD54" i="6"/>
  <c r="CD27" i="6" s="1"/>
  <c r="CD55" i="6"/>
  <c r="CD28" i="6" s="1"/>
  <c r="CD10" i="6"/>
  <c r="DE10" i="15"/>
  <c r="DF9" i="15"/>
  <c r="CU10" i="10"/>
  <c r="CV9" i="10"/>
  <c r="CE9" i="6"/>
  <c r="D1647" i="12" l="1"/>
  <c r="E1646" i="12"/>
  <c r="F1646" i="12"/>
  <c r="CE40" i="6"/>
  <c r="CE13" i="6" s="1"/>
  <c r="CE39" i="6"/>
  <c r="CE12" i="6" s="1"/>
  <c r="CE38" i="6"/>
  <c r="CE11" i="6" s="1"/>
  <c r="CE41" i="6"/>
  <c r="CE14" i="6" s="1"/>
  <c r="CE45" i="6"/>
  <c r="CE18" i="6" s="1"/>
  <c r="CE46" i="6"/>
  <c r="CE19" i="6" s="1"/>
  <c r="CE44" i="6"/>
  <c r="CE17" i="6" s="1"/>
  <c r="CE43" i="6"/>
  <c r="CE16" i="6" s="1"/>
  <c r="CE42" i="6"/>
  <c r="CE15" i="6" s="1"/>
  <c r="CE49" i="6"/>
  <c r="CE22" i="6" s="1"/>
  <c r="CE47" i="6"/>
  <c r="CE20" i="6" s="1"/>
  <c r="CE53" i="6"/>
  <c r="CE26" i="6" s="1"/>
  <c r="CE51" i="6"/>
  <c r="CE24" i="6" s="1"/>
  <c r="CE50" i="6"/>
  <c r="CE23" i="6" s="1"/>
  <c r="CE48" i="6"/>
  <c r="CE21" i="6" s="1"/>
  <c r="CE56" i="6"/>
  <c r="CE29" i="6" s="1"/>
  <c r="CE30" i="6" s="1"/>
  <c r="CE31" i="6" s="1"/>
  <c r="CE32" i="6" s="1"/>
  <c r="CE33" i="6" s="1"/>
  <c r="CE54" i="6"/>
  <c r="CE27" i="6" s="1"/>
  <c r="CE52" i="6"/>
  <c r="CE25" i="6" s="1"/>
  <c r="CE55" i="6"/>
  <c r="CE28" i="6" s="1"/>
  <c r="CE10" i="6"/>
  <c r="DF10" i="15"/>
  <c r="DG9" i="15"/>
  <c r="CV10" i="10"/>
  <c r="CW9" i="10"/>
  <c r="CF9" i="6"/>
  <c r="D1648" i="12" l="1"/>
  <c r="F1647" i="12"/>
  <c r="E1647" i="12"/>
  <c r="CF38" i="6"/>
  <c r="CF11" i="6" s="1"/>
  <c r="CF41" i="6"/>
  <c r="CF14" i="6" s="1"/>
  <c r="CF40" i="6"/>
  <c r="CF13" i="6" s="1"/>
  <c r="CF39" i="6"/>
  <c r="CF12" i="6" s="1"/>
  <c r="CF43" i="6"/>
  <c r="CF16" i="6" s="1"/>
  <c r="CF42" i="6"/>
  <c r="CF15" i="6" s="1"/>
  <c r="CF45" i="6"/>
  <c r="CF18" i="6" s="1"/>
  <c r="CF44" i="6"/>
  <c r="CF17" i="6" s="1"/>
  <c r="CF50" i="6"/>
  <c r="CF23" i="6" s="1"/>
  <c r="CF48" i="6"/>
  <c r="CF21" i="6" s="1"/>
  <c r="CF47" i="6"/>
  <c r="CF20" i="6" s="1"/>
  <c r="CF46" i="6"/>
  <c r="CF19" i="6" s="1"/>
  <c r="CF49" i="6"/>
  <c r="CF22" i="6" s="1"/>
  <c r="CF52" i="6"/>
  <c r="CF25" i="6" s="1"/>
  <c r="CF53" i="6"/>
  <c r="CF26" i="6" s="1"/>
  <c r="CF51" i="6"/>
  <c r="CF24" i="6" s="1"/>
  <c r="CF54" i="6"/>
  <c r="CF27" i="6" s="1"/>
  <c r="CF55" i="6"/>
  <c r="CF28" i="6" s="1"/>
  <c r="CF56" i="6"/>
  <c r="CF29" i="6" s="1"/>
  <c r="CF30" i="6" s="1"/>
  <c r="CF31" i="6" s="1"/>
  <c r="CF32" i="6" s="1"/>
  <c r="CF33" i="6" s="1"/>
  <c r="CF10" i="6"/>
  <c r="DG10" i="15"/>
  <c r="DH9" i="15"/>
  <c r="CW10" i="10"/>
  <c r="CX9" i="10"/>
  <c r="CG9" i="6"/>
  <c r="D1649" i="12" l="1"/>
  <c r="E1648" i="12"/>
  <c r="F1648" i="12"/>
  <c r="CG38" i="6"/>
  <c r="CG11" i="6" s="1"/>
  <c r="CG41" i="6"/>
  <c r="CG14" i="6" s="1"/>
  <c r="CG39" i="6"/>
  <c r="CG12" i="6" s="1"/>
  <c r="CG42" i="6"/>
  <c r="CG15" i="6" s="1"/>
  <c r="CG44" i="6"/>
  <c r="CG17" i="6" s="1"/>
  <c r="CG43" i="6"/>
  <c r="CG16" i="6" s="1"/>
  <c r="CG40" i="6"/>
  <c r="CG13" i="6" s="1"/>
  <c r="CG45" i="6"/>
  <c r="CG18" i="6" s="1"/>
  <c r="CG50" i="6"/>
  <c r="CG23" i="6" s="1"/>
  <c r="CG46" i="6"/>
  <c r="CG19" i="6" s="1"/>
  <c r="CG48" i="6"/>
  <c r="CG21" i="6" s="1"/>
  <c r="CG49" i="6"/>
  <c r="CG22" i="6" s="1"/>
  <c r="CG47" i="6"/>
  <c r="CG20" i="6" s="1"/>
  <c r="CG54" i="6"/>
  <c r="CG27" i="6" s="1"/>
  <c r="CG52" i="6"/>
  <c r="CG25" i="6" s="1"/>
  <c r="CG55" i="6"/>
  <c r="CG28" i="6" s="1"/>
  <c r="CG51" i="6"/>
  <c r="CG24" i="6" s="1"/>
  <c r="CG56" i="6"/>
  <c r="CG29" i="6" s="1"/>
  <c r="CG30" i="6" s="1"/>
  <c r="CG31" i="6" s="1"/>
  <c r="CG32" i="6" s="1"/>
  <c r="CG33" i="6" s="1"/>
  <c r="CG53" i="6"/>
  <c r="CG26" i="6" s="1"/>
  <c r="CG10" i="6"/>
  <c r="DH10" i="15"/>
  <c r="DI9" i="15"/>
  <c r="CX10" i="10"/>
  <c r="CY9" i="10"/>
  <c r="CH9" i="6"/>
  <c r="D1650" i="12" l="1"/>
  <c r="E1649" i="12"/>
  <c r="F1649" i="12"/>
  <c r="CH39" i="6"/>
  <c r="CH12" i="6" s="1"/>
  <c r="CH40" i="6"/>
  <c r="CH13" i="6" s="1"/>
  <c r="CH38" i="6"/>
  <c r="CH11" i="6" s="1"/>
  <c r="CH43" i="6"/>
  <c r="CH16" i="6" s="1"/>
  <c r="CH42" i="6"/>
  <c r="CH15" i="6" s="1"/>
  <c r="CH44" i="6"/>
  <c r="CH17" i="6" s="1"/>
  <c r="CH46" i="6"/>
  <c r="CH19" i="6" s="1"/>
  <c r="CH41" i="6"/>
  <c r="CH14" i="6" s="1"/>
  <c r="CH47" i="6"/>
  <c r="CH20" i="6" s="1"/>
  <c r="CH45" i="6"/>
  <c r="CH18" i="6" s="1"/>
  <c r="CH49" i="6"/>
  <c r="CH22" i="6" s="1"/>
  <c r="CH50" i="6"/>
  <c r="CH23" i="6" s="1"/>
  <c r="CH53" i="6"/>
  <c r="CH26" i="6" s="1"/>
  <c r="CH54" i="6"/>
  <c r="CH27" i="6" s="1"/>
  <c r="CH48" i="6"/>
  <c r="CH21" i="6" s="1"/>
  <c r="CH51" i="6"/>
  <c r="CH24" i="6" s="1"/>
  <c r="CH52" i="6"/>
  <c r="CH25" i="6" s="1"/>
  <c r="CH56" i="6"/>
  <c r="CH29" i="6" s="1"/>
  <c r="CH30" i="6" s="1"/>
  <c r="CH31" i="6" s="1"/>
  <c r="CH32" i="6" s="1"/>
  <c r="CH33" i="6" s="1"/>
  <c r="CH55" i="6"/>
  <c r="CH28" i="6" s="1"/>
  <c r="CH10" i="6"/>
  <c r="DI10" i="15"/>
  <c r="DJ9" i="15"/>
  <c r="CY10" i="10"/>
  <c r="CZ9" i="10"/>
  <c r="CI9" i="6"/>
  <c r="D1651" i="12" l="1"/>
  <c r="F1650" i="12"/>
  <c r="E1650" i="12"/>
  <c r="CI39" i="6"/>
  <c r="CI12" i="6" s="1"/>
  <c r="CI38" i="6"/>
  <c r="CI11" i="6" s="1"/>
  <c r="CI40" i="6"/>
  <c r="CI13" i="6" s="1"/>
  <c r="CI41" i="6"/>
  <c r="CI14" i="6" s="1"/>
  <c r="CI43" i="6"/>
  <c r="CI16" i="6" s="1"/>
  <c r="CI45" i="6"/>
  <c r="CI18" i="6" s="1"/>
  <c r="CI46" i="6"/>
  <c r="CI19" i="6" s="1"/>
  <c r="CI42" i="6"/>
  <c r="CI15" i="6" s="1"/>
  <c r="CI49" i="6"/>
  <c r="CI22" i="6" s="1"/>
  <c r="CI44" i="6"/>
  <c r="CI17" i="6" s="1"/>
  <c r="CI50" i="6"/>
  <c r="CI23" i="6" s="1"/>
  <c r="CI53" i="6"/>
  <c r="CI26" i="6" s="1"/>
  <c r="CI48" i="6"/>
  <c r="CI21" i="6" s="1"/>
  <c r="CI51" i="6"/>
  <c r="CI24" i="6" s="1"/>
  <c r="CI54" i="6"/>
  <c r="CI27" i="6" s="1"/>
  <c r="CI55" i="6"/>
  <c r="CI28" i="6" s="1"/>
  <c r="CI56" i="6"/>
  <c r="CI29" i="6" s="1"/>
  <c r="CI30" i="6" s="1"/>
  <c r="CI31" i="6" s="1"/>
  <c r="CI32" i="6" s="1"/>
  <c r="CI33" i="6" s="1"/>
  <c r="CI52" i="6"/>
  <c r="CI25" i="6" s="1"/>
  <c r="CI47" i="6"/>
  <c r="CI20" i="6" s="1"/>
  <c r="CI10" i="6"/>
  <c r="DJ10" i="15"/>
  <c r="DK9" i="15"/>
  <c r="CZ10" i="10"/>
  <c r="DA9" i="10"/>
  <c r="CJ9" i="6"/>
  <c r="D1652" i="12" l="1"/>
  <c r="F1651" i="12"/>
  <c r="E1651" i="12"/>
  <c r="CJ41" i="6"/>
  <c r="CJ14" i="6" s="1"/>
  <c r="CJ39" i="6"/>
  <c r="CJ12" i="6" s="1"/>
  <c r="CJ40" i="6"/>
  <c r="CJ13" i="6" s="1"/>
  <c r="CJ43" i="6"/>
  <c r="CJ16" i="6" s="1"/>
  <c r="CJ45" i="6"/>
  <c r="CJ18" i="6" s="1"/>
  <c r="CJ42" i="6"/>
  <c r="CJ15" i="6" s="1"/>
  <c r="CJ38" i="6"/>
  <c r="CJ11" i="6" s="1"/>
  <c r="CJ44" i="6"/>
  <c r="CJ17" i="6" s="1"/>
  <c r="CJ46" i="6"/>
  <c r="CJ19" i="6" s="1"/>
  <c r="CJ50" i="6"/>
  <c r="CJ23" i="6" s="1"/>
  <c r="CJ47" i="6"/>
  <c r="CJ20" i="6" s="1"/>
  <c r="CJ48" i="6"/>
  <c r="CJ21" i="6" s="1"/>
  <c r="CJ54" i="6"/>
  <c r="CJ27" i="6" s="1"/>
  <c r="CJ55" i="6"/>
  <c r="CJ28" i="6" s="1"/>
  <c r="CJ49" i="6"/>
  <c r="CJ22" i="6" s="1"/>
  <c r="CJ52" i="6"/>
  <c r="CJ25" i="6" s="1"/>
  <c r="CJ53" i="6"/>
  <c r="CJ26" i="6" s="1"/>
  <c r="CJ51" i="6"/>
  <c r="CJ24" i="6" s="1"/>
  <c r="CJ56" i="6"/>
  <c r="CJ29" i="6" s="1"/>
  <c r="CJ30" i="6" s="1"/>
  <c r="CJ31" i="6" s="1"/>
  <c r="CJ32" i="6" s="1"/>
  <c r="CJ33" i="6" s="1"/>
  <c r="CJ10" i="6"/>
  <c r="DK10" i="15"/>
  <c r="DL9" i="15"/>
  <c r="DA10" i="10"/>
  <c r="DB9" i="10"/>
  <c r="CK9" i="6"/>
  <c r="D1653" i="12" l="1"/>
  <c r="E1652" i="12"/>
  <c r="F1652" i="12"/>
  <c r="CK39" i="6"/>
  <c r="CK12" i="6" s="1"/>
  <c r="CK38" i="6"/>
  <c r="CK11" i="6" s="1"/>
  <c r="CK41" i="6"/>
  <c r="CK14" i="6" s="1"/>
  <c r="CK44" i="6"/>
  <c r="CK17" i="6" s="1"/>
  <c r="CK40" i="6"/>
  <c r="CK13" i="6" s="1"/>
  <c r="CK43" i="6"/>
  <c r="CK16" i="6" s="1"/>
  <c r="CK42" i="6"/>
  <c r="CK15" i="6" s="1"/>
  <c r="CK46" i="6"/>
  <c r="CK19" i="6" s="1"/>
  <c r="CK50" i="6"/>
  <c r="CK23" i="6" s="1"/>
  <c r="CK47" i="6"/>
  <c r="CK20" i="6" s="1"/>
  <c r="CK48" i="6"/>
  <c r="CK21" i="6" s="1"/>
  <c r="CK45" i="6"/>
  <c r="CK18" i="6" s="1"/>
  <c r="CK51" i="6"/>
  <c r="CK24" i="6" s="1"/>
  <c r="CK54" i="6"/>
  <c r="CK27" i="6" s="1"/>
  <c r="CK52" i="6"/>
  <c r="CK25" i="6" s="1"/>
  <c r="CK49" i="6"/>
  <c r="CK22" i="6" s="1"/>
  <c r="CK53" i="6"/>
  <c r="CK26" i="6" s="1"/>
  <c r="CK55" i="6"/>
  <c r="CK28" i="6" s="1"/>
  <c r="CK56" i="6"/>
  <c r="CK29" i="6" s="1"/>
  <c r="CK30" i="6" s="1"/>
  <c r="CK31" i="6" s="1"/>
  <c r="CK32" i="6" s="1"/>
  <c r="CK33" i="6" s="1"/>
  <c r="CK10" i="6"/>
  <c r="DL10" i="15"/>
  <c r="DM9" i="15"/>
  <c r="DB10" i="10"/>
  <c r="DC9" i="10"/>
  <c r="CL9" i="6"/>
  <c r="D1654" i="12" l="1"/>
  <c r="F1653" i="12"/>
  <c r="E1653" i="12"/>
  <c r="CL38" i="6"/>
  <c r="CL11" i="6" s="1"/>
  <c r="CL40" i="6"/>
  <c r="CL13" i="6" s="1"/>
  <c r="CL39" i="6"/>
  <c r="CL12" i="6" s="1"/>
  <c r="CL41" i="6"/>
  <c r="CL14" i="6" s="1"/>
  <c r="CL43" i="6"/>
  <c r="CL16" i="6" s="1"/>
  <c r="CL42" i="6"/>
  <c r="CL15" i="6" s="1"/>
  <c r="CL44" i="6"/>
  <c r="CL17" i="6" s="1"/>
  <c r="CL46" i="6"/>
  <c r="CL19" i="6" s="1"/>
  <c r="CL45" i="6"/>
  <c r="CL18" i="6" s="1"/>
  <c r="CL47" i="6"/>
  <c r="CL20" i="6" s="1"/>
  <c r="CL49" i="6"/>
  <c r="CL22" i="6" s="1"/>
  <c r="CL50" i="6"/>
  <c r="CL23" i="6" s="1"/>
  <c r="CL53" i="6"/>
  <c r="CL26" i="6" s="1"/>
  <c r="CL54" i="6"/>
  <c r="CL27" i="6" s="1"/>
  <c r="CL48" i="6"/>
  <c r="CL21" i="6" s="1"/>
  <c r="CL51" i="6"/>
  <c r="CL24" i="6" s="1"/>
  <c r="CL52" i="6"/>
  <c r="CL25" i="6" s="1"/>
  <c r="CL55" i="6"/>
  <c r="CL28" i="6" s="1"/>
  <c r="CL56" i="6"/>
  <c r="CL29" i="6" s="1"/>
  <c r="CL30" i="6" s="1"/>
  <c r="CL31" i="6" s="1"/>
  <c r="CL32" i="6" s="1"/>
  <c r="CL33" i="6" s="1"/>
  <c r="CL10" i="6"/>
  <c r="DM10" i="15"/>
  <c r="DN9" i="15"/>
  <c r="DC10" i="10"/>
  <c r="DD9" i="10"/>
  <c r="CM9" i="6"/>
  <c r="D1655" i="12" l="1"/>
  <c r="E1654" i="12"/>
  <c r="F1654" i="12"/>
  <c r="CM39" i="6"/>
  <c r="CM12" i="6" s="1"/>
  <c r="CM38" i="6"/>
  <c r="CM11" i="6" s="1"/>
  <c r="CM40" i="6"/>
  <c r="CM13" i="6" s="1"/>
  <c r="CM45" i="6"/>
  <c r="CM18" i="6" s="1"/>
  <c r="CM43" i="6"/>
  <c r="CM16" i="6" s="1"/>
  <c r="CM42" i="6"/>
  <c r="CM15" i="6" s="1"/>
  <c r="CM41" i="6"/>
  <c r="CM14" i="6" s="1"/>
  <c r="CM44" i="6"/>
  <c r="CM17" i="6" s="1"/>
  <c r="CM46" i="6"/>
  <c r="CM19" i="6" s="1"/>
  <c r="CM49" i="6"/>
  <c r="CM22" i="6" s="1"/>
  <c r="CM51" i="6"/>
  <c r="CM24" i="6" s="1"/>
  <c r="CM50" i="6"/>
  <c r="CM23" i="6" s="1"/>
  <c r="CM52" i="6"/>
  <c r="CM25" i="6" s="1"/>
  <c r="CM47" i="6"/>
  <c r="CM20" i="6" s="1"/>
  <c r="CM53" i="6"/>
  <c r="CM26" i="6" s="1"/>
  <c r="CM48" i="6"/>
  <c r="CM21" i="6" s="1"/>
  <c r="CM55" i="6"/>
  <c r="CM28" i="6" s="1"/>
  <c r="CM56" i="6"/>
  <c r="CM29" i="6" s="1"/>
  <c r="CM30" i="6" s="1"/>
  <c r="CM31" i="6" s="1"/>
  <c r="CM32" i="6" s="1"/>
  <c r="CM33" i="6" s="1"/>
  <c r="CM54" i="6"/>
  <c r="CM27" i="6" s="1"/>
  <c r="CM10" i="6"/>
  <c r="DN10" i="15"/>
  <c r="DO9" i="15"/>
  <c r="DD10" i="10"/>
  <c r="DE9" i="10"/>
  <c r="CN9" i="6"/>
  <c r="D1656" i="12" l="1"/>
  <c r="E1655" i="12"/>
  <c r="F1655" i="12"/>
  <c r="CN41" i="6"/>
  <c r="CN14" i="6" s="1"/>
  <c r="CN38" i="6"/>
  <c r="CN11" i="6" s="1"/>
  <c r="CN40" i="6"/>
  <c r="CN13" i="6" s="1"/>
  <c r="CN42" i="6"/>
  <c r="CN15" i="6" s="1"/>
  <c r="CN43" i="6"/>
  <c r="CN16" i="6" s="1"/>
  <c r="CN44" i="6"/>
  <c r="CN17" i="6" s="1"/>
  <c r="CN39" i="6"/>
  <c r="CN12" i="6" s="1"/>
  <c r="CN45" i="6"/>
  <c r="CN18" i="6" s="1"/>
  <c r="CN46" i="6"/>
  <c r="CN19" i="6" s="1"/>
  <c r="CN50" i="6"/>
  <c r="CN23" i="6" s="1"/>
  <c r="CN48" i="6"/>
  <c r="CN21" i="6" s="1"/>
  <c r="CN54" i="6"/>
  <c r="CN27" i="6" s="1"/>
  <c r="CN55" i="6"/>
  <c r="CN28" i="6" s="1"/>
  <c r="CN49" i="6"/>
  <c r="CN22" i="6" s="1"/>
  <c r="CN52" i="6"/>
  <c r="CN25" i="6" s="1"/>
  <c r="CN53" i="6"/>
  <c r="CN26" i="6" s="1"/>
  <c r="CN47" i="6"/>
  <c r="CN20" i="6" s="1"/>
  <c r="CN56" i="6"/>
  <c r="CN29" i="6" s="1"/>
  <c r="CN30" i="6" s="1"/>
  <c r="CN31" i="6" s="1"/>
  <c r="CN32" i="6" s="1"/>
  <c r="CN33" i="6" s="1"/>
  <c r="CN51" i="6"/>
  <c r="CN24" i="6" s="1"/>
  <c r="CN10" i="6"/>
  <c r="DO10" i="15"/>
  <c r="DP9" i="15"/>
  <c r="DE10" i="10"/>
  <c r="DF9" i="10"/>
  <c r="CO9" i="6"/>
  <c r="D1657" i="12" l="1"/>
  <c r="F1656" i="12"/>
  <c r="E1656" i="12"/>
  <c r="CO39" i="6"/>
  <c r="CO12" i="6" s="1"/>
  <c r="CO38" i="6"/>
  <c r="CO11" i="6" s="1"/>
  <c r="CO41" i="6"/>
  <c r="CO14" i="6" s="1"/>
  <c r="CO42" i="6"/>
  <c r="CO15" i="6" s="1"/>
  <c r="CO44" i="6"/>
  <c r="CO17" i="6" s="1"/>
  <c r="CO45" i="6"/>
  <c r="CO18" i="6" s="1"/>
  <c r="CO40" i="6"/>
  <c r="CO13" i="6" s="1"/>
  <c r="CO47" i="6"/>
  <c r="CO20" i="6" s="1"/>
  <c r="CO43" i="6"/>
  <c r="CO16" i="6" s="1"/>
  <c r="CO48" i="6"/>
  <c r="CO21" i="6" s="1"/>
  <c r="CO52" i="6"/>
  <c r="CO25" i="6" s="1"/>
  <c r="CO50" i="6"/>
  <c r="CO23" i="6" s="1"/>
  <c r="CO53" i="6"/>
  <c r="CO26" i="6" s="1"/>
  <c r="CO46" i="6"/>
  <c r="CO19" i="6" s="1"/>
  <c r="CO54" i="6"/>
  <c r="CO27" i="6" s="1"/>
  <c r="CO49" i="6"/>
  <c r="CO22" i="6" s="1"/>
  <c r="CO55" i="6"/>
  <c r="CO28" i="6" s="1"/>
  <c r="CO51" i="6"/>
  <c r="CO24" i="6" s="1"/>
  <c r="CO56" i="6"/>
  <c r="CO29" i="6" s="1"/>
  <c r="CO30" i="6" s="1"/>
  <c r="CO31" i="6" s="1"/>
  <c r="CO32" i="6" s="1"/>
  <c r="CO33" i="6" s="1"/>
  <c r="CO10" i="6"/>
  <c r="DP10" i="15"/>
  <c r="DQ9" i="15"/>
  <c r="DF10" i="10"/>
  <c r="DG9" i="10"/>
  <c r="CP9" i="6"/>
  <c r="D1658" i="12" l="1"/>
  <c r="F1657" i="12"/>
  <c r="E1657" i="12"/>
  <c r="CP38" i="6"/>
  <c r="CP11" i="6" s="1"/>
  <c r="CP39" i="6"/>
  <c r="CP12" i="6" s="1"/>
  <c r="CP40" i="6"/>
  <c r="CP13" i="6" s="1"/>
  <c r="CP41" i="6"/>
  <c r="CP14" i="6" s="1"/>
  <c r="CP43" i="6"/>
  <c r="CP16" i="6" s="1"/>
  <c r="CP42" i="6"/>
  <c r="CP15" i="6" s="1"/>
  <c r="CP44" i="6"/>
  <c r="CP17" i="6" s="1"/>
  <c r="CP46" i="6"/>
  <c r="CP19" i="6" s="1"/>
  <c r="CP45" i="6"/>
  <c r="CP18" i="6" s="1"/>
  <c r="CP47" i="6"/>
  <c r="CP20" i="6" s="1"/>
  <c r="CP49" i="6"/>
  <c r="CP22" i="6" s="1"/>
  <c r="CP50" i="6"/>
  <c r="CP23" i="6" s="1"/>
  <c r="CP53" i="6"/>
  <c r="CP26" i="6" s="1"/>
  <c r="CP54" i="6"/>
  <c r="CP27" i="6" s="1"/>
  <c r="CP48" i="6"/>
  <c r="CP21" i="6" s="1"/>
  <c r="CP51" i="6"/>
  <c r="CP24" i="6" s="1"/>
  <c r="CP52" i="6"/>
  <c r="CP25" i="6" s="1"/>
  <c r="CP55" i="6"/>
  <c r="CP28" i="6" s="1"/>
  <c r="CP56" i="6"/>
  <c r="CP29" i="6" s="1"/>
  <c r="CP30" i="6" s="1"/>
  <c r="CP31" i="6" s="1"/>
  <c r="CP32" i="6" s="1"/>
  <c r="CP33" i="6" s="1"/>
  <c r="CP10" i="6"/>
  <c r="DQ10" i="15"/>
  <c r="DR9" i="15"/>
  <c r="DG10" i="10"/>
  <c r="DH9" i="10"/>
  <c r="CQ9" i="6"/>
  <c r="D1659" i="12" l="1"/>
  <c r="F1658" i="12"/>
  <c r="E1658" i="12"/>
  <c r="CQ39" i="6"/>
  <c r="CQ12" i="6" s="1"/>
  <c r="CQ38" i="6"/>
  <c r="CQ11" i="6" s="1"/>
  <c r="CQ40" i="6"/>
  <c r="CQ13" i="6" s="1"/>
  <c r="CQ45" i="6"/>
  <c r="CQ18" i="6" s="1"/>
  <c r="CQ43" i="6"/>
  <c r="CQ16" i="6" s="1"/>
  <c r="CQ42" i="6"/>
  <c r="CQ15" i="6" s="1"/>
  <c r="CQ41" i="6"/>
  <c r="CQ14" i="6" s="1"/>
  <c r="CQ46" i="6"/>
  <c r="CQ19" i="6" s="1"/>
  <c r="CQ44" i="6"/>
  <c r="CQ17" i="6" s="1"/>
  <c r="CQ47" i="6"/>
  <c r="CQ20" i="6" s="1"/>
  <c r="CQ49" i="6"/>
  <c r="CQ22" i="6" s="1"/>
  <c r="CQ53" i="6"/>
  <c r="CQ26" i="6" s="1"/>
  <c r="CQ55" i="6"/>
  <c r="CQ28" i="6" s="1"/>
  <c r="CQ51" i="6"/>
  <c r="CQ24" i="6" s="1"/>
  <c r="CQ48" i="6"/>
  <c r="CQ21" i="6" s="1"/>
  <c r="CQ52" i="6"/>
  <c r="CQ25" i="6" s="1"/>
  <c r="CQ50" i="6"/>
  <c r="CQ23" i="6" s="1"/>
  <c r="CQ54" i="6"/>
  <c r="CQ27" i="6" s="1"/>
  <c r="CQ56" i="6"/>
  <c r="CQ29" i="6" s="1"/>
  <c r="CQ30" i="6" s="1"/>
  <c r="CQ31" i="6" s="1"/>
  <c r="CQ32" i="6" s="1"/>
  <c r="CQ33" i="6" s="1"/>
  <c r="CQ10" i="6"/>
  <c r="DR10" i="15"/>
  <c r="DS9" i="15"/>
  <c r="DH10" i="10"/>
  <c r="DI9" i="10"/>
  <c r="CR9" i="6"/>
  <c r="D1660" i="12" l="1"/>
  <c r="F1659" i="12"/>
  <c r="E1659" i="12"/>
  <c r="CR38" i="6"/>
  <c r="CR11" i="6" s="1"/>
  <c r="CR41" i="6"/>
  <c r="CR14" i="6" s="1"/>
  <c r="CR39" i="6"/>
  <c r="CR12" i="6" s="1"/>
  <c r="CR42" i="6"/>
  <c r="CR15" i="6" s="1"/>
  <c r="CR40" i="6"/>
  <c r="CR13" i="6" s="1"/>
  <c r="CR43" i="6"/>
  <c r="CR16" i="6" s="1"/>
  <c r="CR45" i="6"/>
  <c r="CR18" i="6" s="1"/>
  <c r="CR44" i="6"/>
  <c r="CR17" i="6" s="1"/>
  <c r="CR48" i="6"/>
  <c r="CR21" i="6" s="1"/>
  <c r="CR46" i="6"/>
  <c r="CR19" i="6" s="1"/>
  <c r="CR50" i="6"/>
  <c r="CR23" i="6" s="1"/>
  <c r="CR51" i="6"/>
  <c r="CR24" i="6" s="1"/>
  <c r="CR54" i="6"/>
  <c r="CR27" i="6" s="1"/>
  <c r="CR55" i="6"/>
  <c r="CR28" i="6" s="1"/>
  <c r="CR47" i="6"/>
  <c r="CR20" i="6" s="1"/>
  <c r="CR49" i="6"/>
  <c r="CR22" i="6" s="1"/>
  <c r="CR52" i="6"/>
  <c r="CR25" i="6" s="1"/>
  <c r="CR53" i="6"/>
  <c r="CR26" i="6" s="1"/>
  <c r="CR56" i="6"/>
  <c r="CR29" i="6" s="1"/>
  <c r="CR30" i="6" s="1"/>
  <c r="CR31" i="6" s="1"/>
  <c r="CR32" i="6" s="1"/>
  <c r="CR33" i="6" s="1"/>
  <c r="DS10" i="15"/>
  <c r="DT9" i="15"/>
  <c r="DI10" i="10"/>
  <c r="DJ9" i="10"/>
  <c r="CS9" i="6"/>
  <c r="CR10" i="6"/>
  <c r="D1661" i="12" l="1"/>
  <c r="E1660" i="12"/>
  <c r="F1660" i="12"/>
  <c r="CS39" i="6"/>
  <c r="CS12" i="6" s="1"/>
  <c r="CS38" i="6"/>
  <c r="CS11" i="6" s="1"/>
  <c r="CS41" i="6"/>
  <c r="CS14" i="6" s="1"/>
  <c r="CS40" i="6"/>
  <c r="CS13" i="6" s="1"/>
  <c r="CS44" i="6"/>
  <c r="CS17" i="6" s="1"/>
  <c r="CS43" i="6"/>
  <c r="CS16" i="6" s="1"/>
  <c r="CS42" i="6"/>
  <c r="CS15" i="6" s="1"/>
  <c r="CS45" i="6"/>
  <c r="CS18" i="6" s="1"/>
  <c r="CS48" i="6"/>
  <c r="CS21" i="6" s="1"/>
  <c r="CS50" i="6"/>
  <c r="CS23" i="6" s="1"/>
  <c r="CS54" i="6"/>
  <c r="CS27" i="6" s="1"/>
  <c r="CS52" i="6"/>
  <c r="CS25" i="6" s="1"/>
  <c r="CS46" i="6"/>
  <c r="CS19" i="6" s="1"/>
  <c r="CS47" i="6"/>
  <c r="CS20" i="6" s="1"/>
  <c r="CS49" i="6"/>
  <c r="CS22" i="6" s="1"/>
  <c r="CS53" i="6"/>
  <c r="CS26" i="6" s="1"/>
  <c r="CS55" i="6"/>
  <c r="CS28" i="6" s="1"/>
  <c r="CS51" i="6"/>
  <c r="CS24" i="6" s="1"/>
  <c r="CS56" i="6"/>
  <c r="CS29" i="6" s="1"/>
  <c r="CS30" i="6" s="1"/>
  <c r="CS31" i="6" s="1"/>
  <c r="CS32" i="6" s="1"/>
  <c r="CS33" i="6" s="1"/>
  <c r="DT10" i="15"/>
  <c r="DU9" i="15"/>
  <c r="DJ10" i="10"/>
  <c r="DK9" i="10"/>
  <c r="CT9" i="6"/>
  <c r="CS10" i="6"/>
  <c r="D1662" i="12" l="1"/>
  <c r="E1661" i="12"/>
  <c r="F1661" i="12"/>
  <c r="CT38" i="6"/>
  <c r="CT11" i="6" s="1"/>
  <c r="CT40" i="6"/>
  <c r="CT13" i="6" s="1"/>
  <c r="CT39" i="6"/>
  <c r="CT12" i="6" s="1"/>
  <c r="CT42" i="6"/>
  <c r="CT15" i="6" s="1"/>
  <c r="CT41" i="6"/>
  <c r="CT14" i="6" s="1"/>
  <c r="CT45" i="6"/>
  <c r="CT18" i="6" s="1"/>
  <c r="CT43" i="6"/>
  <c r="CT16" i="6" s="1"/>
  <c r="CT44" i="6"/>
  <c r="CT17" i="6" s="1"/>
  <c r="CT46" i="6"/>
  <c r="CT19" i="6" s="1"/>
  <c r="CT49" i="6"/>
  <c r="CT22" i="6" s="1"/>
  <c r="CT47" i="6"/>
  <c r="CT20" i="6" s="1"/>
  <c r="CT48" i="6"/>
  <c r="CT21" i="6" s="1"/>
  <c r="CT51" i="6"/>
  <c r="CT24" i="6" s="1"/>
  <c r="CT52" i="6"/>
  <c r="CT25" i="6" s="1"/>
  <c r="CT56" i="6"/>
  <c r="CT29" i="6" s="1"/>
  <c r="CT30" i="6" s="1"/>
  <c r="CT31" i="6" s="1"/>
  <c r="CT32" i="6" s="1"/>
  <c r="CT33" i="6" s="1"/>
  <c r="CT50" i="6"/>
  <c r="CT23" i="6" s="1"/>
  <c r="CT53" i="6"/>
  <c r="CT26" i="6" s="1"/>
  <c r="CT54" i="6"/>
  <c r="CT27" i="6" s="1"/>
  <c r="CT55" i="6"/>
  <c r="CT28" i="6" s="1"/>
  <c r="DU10" i="15"/>
  <c r="DV9" i="15"/>
  <c r="DK10" i="10"/>
  <c r="DL9" i="10"/>
  <c r="CU9" i="6"/>
  <c r="CT10" i="6"/>
  <c r="D1663" i="12" l="1"/>
  <c r="F1662" i="12"/>
  <c r="E1662" i="12"/>
  <c r="CU40" i="6"/>
  <c r="CU13" i="6" s="1"/>
  <c r="CU39" i="6"/>
  <c r="CU12" i="6" s="1"/>
  <c r="CU38" i="6"/>
  <c r="CU11" i="6" s="1"/>
  <c r="CU41" i="6"/>
  <c r="CU14" i="6" s="1"/>
  <c r="CU45" i="6"/>
  <c r="CU18" i="6" s="1"/>
  <c r="CU46" i="6"/>
  <c r="CU19" i="6" s="1"/>
  <c r="CU42" i="6"/>
  <c r="CU15" i="6" s="1"/>
  <c r="CU43" i="6"/>
  <c r="CU16" i="6" s="1"/>
  <c r="CU44" i="6"/>
  <c r="CU17" i="6" s="1"/>
  <c r="CU47" i="6"/>
  <c r="CU20" i="6" s="1"/>
  <c r="CU49" i="6"/>
  <c r="CU22" i="6" s="1"/>
  <c r="CU50" i="6"/>
  <c r="CU23" i="6" s="1"/>
  <c r="CU48" i="6"/>
  <c r="CU21" i="6" s="1"/>
  <c r="CU53" i="6"/>
  <c r="CU26" i="6" s="1"/>
  <c r="CU51" i="6"/>
  <c r="CU24" i="6" s="1"/>
  <c r="CU56" i="6"/>
  <c r="CU29" i="6" s="1"/>
  <c r="CU30" i="6" s="1"/>
  <c r="CU31" i="6" s="1"/>
  <c r="CU32" i="6" s="1"/>
  <c r="CU33" i="6" s="1"/>
  <c r="CU55" i="6"/>
  <c r="CU28" i="6" s="1"/>
  <c r="CU52" i="6"/>
  <c r="CU25" i="6" s="1"/>
  <c r="CU54" i="6"/>
  <c r="CU27" i="6" s="1"/>
  <c r="DV10" i="15"/>
  <c r="DW9" i="15"/>
  <c r="DL10" i="10"/>
  <c r="DM9" i="10"/>
  <c r="CV9" i="6"/>
  <c r="CU10" i="6"/>
  <c r="F1663" i="12" l="1"/>
  <c r="E1663" i="12"/>
  <c r="D1664" i="12"/>
  <c r="CV38" i="6"/>
  <c r="CV11" i="6" s="1"/>
  <c r="CV41" i="6"/>
  <c r="CV14" i="6" s="1"/>
  <c r="CV43" i="6"/>
  <c r="CV16" i="6" s="1"/>
  <c r="CV42" i="6"/>
  <c r="CV15" i="6" s="1"/>
  <c r="CV40" i="6"/>
  <c r="CV13" i="6" s="1"/>
  <c r="CV45" i="6"/>
  <c r="CV18" i="6" s="1"/>
  <c r="CV50" i="6"/>
  <c r="CV23" i="6" s="1"/>
  <c r="CV47" i="6"/>
  <c r="CV20" i="6" s="1"/>
  <c r="CV48" i="6"/>
  <c r="CV21" i="6" s="1"/>
  <c r="CV46" i="6"/>
  <c r="CV19" i="6" s="1"/>
  <c r="CV44" i="6"/>
  <c r="CV17" i="6" s="1"/>
  <c r="CV39" i="6"/>
  <c r="CV12" i="6" s="1"/>
  <c r="CV49" i="6"/>
  <c r="CV22" i="6" s="1"/>
  <c r="CV52" i="6"/>
  <c r="CV25" i="6" s="1"/>
  <c r="CV53" i="6"/>
  <c r="CV26" i="6" s="1"/>
  <c r="CV51" i="6"/>
  <c r="CV24" i="6" s="1"/>
  <c r="CV54" i="6"/>
  <c r="CV27" i="6" s="1"/>
  <c r="CV56" i="6"/>
  <c r="CV29" i="6" s="1"/>
  <c r="CV30" i="6" s="1"/>
  <c r="CV31" i="6" s="1"/>
  <c r="CV32" i="6" s="1"/>
  <c r="CV33" i="6" s="1"/>
  <c r="CV55" i="6"/>
  <c r="CV28" i="6" s="1"/>
  <c r="DW10" i="15"/>
  <c r="DX9" i="15"/>
  <c r="DM10" i="10"/>
  <c r="DN9" i="10"/>
  <c r="CW9" i="6"/>
  <c r="CV10" i="6"/>
  <c r="F1664" i="12" l="1"/>
  <c r="E1664" i="12"/>
  <c r="D1665" i="12"/>
  <c r="CW38" i="6"/>
  <c r="CW11" i="6" s="1"/>
  <c r="CW41" i="6"/>
  <c r="CW14" i="6" s="1"/>
  <c r="CW39" i="6"/>
  <c r="CW12" i="6" s="1"/>
  <c r="CW42" i="6"/>
  <c r="CW15" i="6" s="1"/>
  <c r="CW40" i="6"/>
  <c r="CW13" i="6" s="1"/>
  <c r="CW45" i="6"/>
  <c r="CW18" i="6" s="1"/>
  <c r="CW44" i="6"/>
  <c r="CW17" i="6" s="1"/>
  <c r="CW43" i="6"/>
  <c r="CW16" i="6" s="1"/>
  <c r="CW50" i="6"/>
  <c r="CW23" i="6" s="1"/>
  <c r="CW48" i="6"/>
  <c r="CW21" i="6" s="1"/>
  <c r="CW46" i="6"/>
  <c r="CW19" i="6" s="1"/>
  <c r="CW47" i="6"/>
  <c r="CW20" i="6" s="1"/>
  <c r="CW49" i="6"/>
  <c r="CW22" i="6" s="1"/>
  <c r="CW54" i="6"/>
  <c r="CW27" i="6" s="1"/>
  <c r="CW55" i="6"/>
  <c r="CW28" i="6" s="1"/>
  <c r="CW52" i="6"/>
  <c r="CW25" i="6" s="1"/>
  <c r="CW53" i="6"/>
  <c r="CW26" i="6" s="1"/>
  <c r="CW51" i="6"/>
  <c r="CW24" i="6" s="1"/>
  <c r="CW56" i="6"/>
  <c r="CW29" i="6" s="1"/>
  <c r="CW30" i="6" s="1"/>
  <c r="CW31" i="6" s="1"/>
  <c r="CW32" i="6" s="1"/>
  <c r="CW33" i="6" s="1"/>
  <c r="DX10" i="15"/>
  <c r="DY9" i="15"/>
  <c r="DN10" i="10"/>
  <c r="DO9" i="10"/>
  <c r="CX9" i="6"/>
  <c r="CW10" i="6"/>
  <c r="D1666" i="12" l="1"/>
  <c r="E1665" i="12"/>
  <c r="F1665" i="12"/>
  <c r="CX40" i="6"/>
  <c r="CX13" i="6" s="1"/>
  <c r="CX39" i="6"/>
  <c r="CX12" i="6" s="1"/>
  <c r="CX38" i="6"/>
  <c r="CX11" i="6" s="1"/>
  <c r="CX43" i="6"/>
  <c r="CX16" i="6" s="1"/>
  <c r="CX42" i="6"/>
  <c r="CX15" i="6" s="1"/>
  <c r="CX44" i="6"/>
  <c r="CX17" i="6" s="1"/>
  <c r="CX46" i="6"/>
  <c r="CX19" i="6" s="1"/>
  <c r="CX41" i="6"/>
  <c r="CX14" i="6" s="1"/>
  <c r="CX45" i="6"/>
  <c r="CX18" i="6" s="1"/>
  <c r="CX47" i="6"/>
  <c r="CX20" i="6" s="1"/>
  <c r="CX49" i="6"/>
  <c r="CX22" i="6" s="1"/>
  <c r="CX50" i="6"/>
  <c r="CX23" i="6" s="1"/>
  <c r="CX53" i="6"/>
  <c r="CX26" i="6" s="1"/>
  <c r="CX54" i="6"/>
  <c r="CX27" i="6" s="1"/>
  <c r="CX48" i="6"/>
  <c r="CX21" i="6" s="1"/>
  <c r="CX51" i="6"/>
  <c r="CX24" i="6" s="1"/>
  <c r="CX52" i="6"/>
  <c r="CX25" i="6" s="1"/>
  <c r="CX56" i="6"/>
  <c r="CX29" i="6" s="1"/>
  <c r="CX30" i="6" s="1"/>
  <c r="CX31" i="6" s="1"/>
  <c r="CX32" i="6" s="1"/>
  <c r="CX33" i="6" s="1"/>
  <c r="CX55" i="6"/>
  <c r="CX28" i="6" s="1"/>
  <c r="DY10" i="15"/>
  <c r="DZ9" i="15"/>
  <c r="DO10" i="10"/>
  <c r="DP9" i="10"/>
  <c r="CY9" i="6"/>
  <c r="CX10" i="6"/>
  <c r="D1667" i="12" l="1"/>
  <c r="E1666" i="12"/>
  <c r="F1666" i="12"/>
  <c r="CY39" i="6"/>
  <c r="CY12" i="6" s="1"/>
  <c r="CY38" i="6"/>
  <c r="CY11" i="6" s="1"/>
  <c r="CY40" i="6"/>
  <c r="CY13" i="6" s="1"/>
  <c r="CY43" i="6"/>
  <c r="CY16" i="6" s="1"/>
  <c r="CY41" i="6"/>
  <c r="CY14" i="6" s="1"/>
  <c r="CY42" i="6"/>
  <c r="CY15" i="6" s="1"/>
  <c r="CY45" i="6"/>
  <c r="CY18" i="6" s="1"/>
  <c r="CY46" i="6"/>
  <c r="CY19" i="6" s="1"/>
  <c r="CY49" i="6"/>
  <c r="CY22" i="6" s="1"/>
  <c r="CY47" i="6"/>
  <c r="CY20" i="6" s="1"/>
  <c r="CY50" i="6"/>
  <c r="CY23" i="6" s="1"/>
  <c r="CY53" i="6"/>
  <c r="CY26" i="6" s="1"/>
  <c r="CY44" i="6"/>
  <c r="CY17" i="6" s="1"/>
  <c r="CY51" i="6"/>
  <c r="CY24" i="6" s="1"/>
  <c r="CY48" i="6"/>
  <c r="CY21" i="6" s="1"/>
  <c r="CY56" i="6"/>
  <c r="CY29" i="6" s="1"/>
  <c r="CY30" i="6" s="1"/>
  <c r="CY31" i="6" s="1"/>
  <c r="CY32" i="6" s="1"/>
  <c r="CY33" i="6" s="1"/>
  <c r="CY54" i="6"/>
  <c r="CY27" i="6" s="1"/>
  <c r="CY52" i="6"/>
  <c r="CY25" i="6" s="1"/>
  <c r="CY55" i="6"/>
  <c r="CY28" i="6" s="1"/>
  <c r="DZ10" i="15"/>
  <c r="EA9" i="15"/>
  <c r="DP10" i="10"/>
  <c r="DQ9" i="10"/>
  <c r="CZ9" i="6"/>
  <c r="CY10" i="6"/>
  <c r="D1668" i="12" l="1"/>
  <c r="E1667" i="12"/>
  <c r="F1667" i="12"/>
  <c r="CZ41" i="6"/>
  <c r="CZ14" i="6" s="1"/>
  <c r="CZ39" i="6"/>
  <c r="CZ12" i="6" s="1"/>
  <c r="CZ40" i="6"/>
  <c r="CZ13" i="6" s="1"/>
  <c r="CZ43" i="6"/>
  <c r="CZ16" i="6" s="1"/>
  <c r="CZ45" i="6"/>
  <c r="CZ18" i="6" s="1"/>
  <c r="CZ42" i="6"/>
  <c r="CZ15" i="6" s="1"/>
  <c r="CZ38" i="6"/>
  <c r="CZ11" i="6" s="1"/>
  <c r="CZ44" i="6"/>
  <c r="CZ17" i="6" s="1"/>
  <c r="CZ46" i="6"/>
  <c r="CZ19" i="6" s="1"/>
  <c r="CZ47" i="6"/>
  <c r="CZ20" i="6" s="1"/>
  <c r="CZ50" i="6"/>
  <c r="CZ23" i="6" s="1"/>
  <c r="CZ48" i="6"/>
  <c r="CZ21" i="6" s="1"/>
  <c r="CZ54" i="6"/>
  <c r="CZ27" i="6" s="1"/>
  <c r="CZ55" i="6"/>
  <c r="CZ28" i="6" s="1"/>
  <c r="CZ49" i="6"/>
  <c r="CZ22" i="6" s="1"/>
  <c r="CZ52" i="6"/>
  <c r="CZ25" i="6" s="1"/>
  <c r="CZ53" i="6"/>
  <c r="CZ26" i="6" s="1"/>
  <c r="CZ51" i="6"/>
  <c r="CZ24" i="6" s="1"/>
  <c r="CZ56" i="6"/>
  <c r="CZ29" i="6" s="1"/>
  <c r="CZ30" i="6" s="1"/>
  <c r="CZ31" i="6" s="1"/>
  <c r="CZ32" i="6" s="1"/>
  <c r="CZ33" i="6" s="1"/>
  <c r="EA10" i="15"/>
  <c r="EB9" i="15"/>
  <c r="DQ10" i="10"/>
  <c r="DR9" i="10"/>
  <c r="DA9" i="6"/>
  <c r="CZ10" i="6"/>
  <c r="BE18" i="2"/>
  <c r="BF18" i="2"/>
  <c r="BG18" i="2"/>
  <c r="BH18" i="2"/>
  <c r="BI18" i="2"/>
  <c r="BJ18" i="2"/>
  <c r="BK18" i="2"/>
  <c r="BL18" i="2"/>
  <c r="BD19" i="2"/>
  <c r="BE19" i="2"/>
  <c r="BF19" i="2"/>
  <c r="BG19" i="2"/>
  <c r="BH19" i="2"/>
  <c r="BI19" i="2"/>
  <c r="BJ19" i="2"/>
  <c r="BK19" i="2"/>
  <c r="BL19" i="2"/>
  <c r="BD20" i="2"/>
  <c r="BE20" i="2"/>
  <c r="BF20" i="2"/>
  <c r="BG20" i="2"/>
  <c r="BH20" i="2"/>
  <c r="BI20" i="2"/>
  <c r="BJ20" i="2"/>
  <c r="BK20" i="2"/>
  <c r="BL20" i="2"/>
  <c r="BD21" i="2"/>
  <c r="BE21" i="2"/>
  <c r="BF21" i="2"/>
  <c r="BG21" i="2"/>
  <c r="BH21" i="2"/>
  <c r="BI21" i="2"/>
  <c r="BJ21" i="2"/>
  <c r="BK21" i="2"/>
  <c r="BL21" i="2"/>
  <c r="BD22" i="2"/>
  <c r="BE22" i="2"/>
  <c r="BF22" i="2"/>
  <c r="BG22" i="2"/>
  <c r="BH22" i="2"/>
  <c r="BI22" i="2"/>
  <c r="BJ22" i="2"/>
  <c r="BK22" i="2"/>
  <c r="BL22" i="2"/>
  <c r="BD23" i="2"/>
  <c r="BE23" i="2"/>
  <c r="BF23" i="2"/>
  <c r="BG23" i="2"/>
  <c r="BH23" i="2"/>
  <c r="BI23" i="2"/>
  <c r="BJ23" i="2"/>
  <c r="BK23" i="2"/>
  <c r="BL23" i="2"/>
  <c r="BD24" i="2"/>
  <c r="BE24" i="2"/>
  <c r="BF24" i="2"/>
  <c r="BG24" i="2"/>
  <c r="BH24" i="2"/>
  <c r="BI24" i="2"/>
  <c r="BJ24" i="2"/>
  <c r="BK24" i="2"/>
  <c r="BL24" i="2"/>
  <c r="BD25" i="2"/>
  <c r="BE25" i="2"/>
  <c r="BF25" i="2"/>
  <c r="BG25" i="2"/>
  <c r="BH25" i="2"/>
  <c r="BI25" i="2"/>
  <c r="BJ25" i="2"/>
  <c r="BK25" i="2"/>
  <c r="BL25" i="2"/>
  <c r="BD26" i="2"/>
  <c r="BE26" i="2"/>
  <c r="BF26" i="2"/>
  <c r="BG26" i="2"/>
  <c r="BH26" i="2"/>
  <c r="BI26" i="2"/>
  <c r="BJ26" i="2"/>
  <c r="BK26" i="2"/>
  <c r="BL26" i="2"/>
  <c r="BD27" i="2"/>
  <c r="BE27" i="2"/>
  <c r="BF27" i="2"/>
  <c r="BG27" i="2"/>
  <c r="BH27" i="2"/>
  <c r="BI27" i="2"/>
  <c r="BJ27" i="2"/>
  <c r="BK27" i="2"/>
  <c r="BL27" i="2"/>
  <c r="BD28" i="2"/>
  <c r="BE28" i="2"/>
  <c r="BF28" i="2"/>
  <c r="BG28" i="2"/>
  <c r="BH28" i="2"/>
  <c r="BI28" i="2"/>
  <c r="BJ28" i="2"/>
  <c r="BK28" i="2"/>
  <c r="BL28" i="2"/>
  <c r="BD29" i="2"/>
  <c r="BE29" i="2"/>
  <c r="BF29" i="2"/>
  <c r="BG29" i="2"/>
  <c r="BH29" i="2"/>
  <c r="BI29" i="2"/>
  <c r="BJ29" i="2"/>
  <c r="BK29" i="2"/>
  <c r="BL29" i="2"/>
  <c r="BD30" i="2"/>
  <c r="BE30" i="2"/>
  <c r="BF30" i="2"/>
  <c r="BG30" i="2"/>
  <c r="BH30" i="2"/>
  <c r="BI30" i="2"/>
  <c r="BJ30" i="2"/>
  <c r="BK30" i="2"/>
  <c r="BL30" i="2"/>
  <c r="BD31" i="2"/>
  <c r="BE31" i="2"/>
  <c r="BF31" i="2"/>
  <c r="BG31" i="2"/>
  <c r="BH31" i="2"/>
  <c r="BI31" i="2"/>
  <c r="BJ31" i="2"/>
  <c r="BK31" i="2"/>
  <c r="BL31" i="2"/>
  <c r="BD32" i="2"/>
  <c r="BE32" i="2"/>
  <c r="BF32" i="2"/>
  <c r="BG32" i="2"/>
  <c r="BH32" i="2"/>
  <c r="BI32" i="2"/>
  <c r="BJ32" i="2"/>
  <c r="BK32" i="2"/>
  <c r="BL32" i="2"/>
  <c r="BD33" i="2"/>
  <c r="BE33" i="2"/>
  <c r="BF33" i="2"/>
  <c r="BG33" i="2"/>
  <c r="BH33" i="2"/>
  <c r="BI33" i="2"/>
  <c r="BJ33" i="2"/>
  <c r="BK33" i="2"/>
  <c r="BL33" i="2"/>
  <c r="BD34" i="2"/>
  <c r="BE34" i="2"/>
  <c r="BF34" i="2"/>
  <c r="BG34" i="2"/>
  <c r="BH34" i="2"/>
  <c r="BI34" i="2"/>
  <c r="BJ34" i="2"/>
  <c r="BK34" i="2"/>
  <c r="BL34" i="2"/>
  <c r="BD35" i="2"/>
  <c r="BE35" i="2"/>
  <c r="BF35" i="2"/>
  <c r="BG35" i="2"/>
  <c r="BH35" i="2"/>
  <c r="BI35" i="2"/>
  <c r="BJ35" i="2"/>
  <c r="BK35" i="2"/>
  <c r="BL35" i="2"/>
  <c r="BD36" i="2"/>
  <c r="BE36" i="2"/>
  <c r="BF36" i="2"/>
  <c r="BG36" i="2"/>
  <c r="BH36" i="2"/>
  <c r="BI36" i="2"/>
  <c r="BJ36" i="2"/>
  <c r="BK36" i="2"/>
  <c r="BL36" i="2"/>
  <c r="BD37" i="2"/>
  <c r="BE37" i="2"/>
  <c r="BF37" i="2"/>
  <c r="BG37" i="2"/>
  <c r="BH37" i="2"/>
  <c r="BI37" i="2"/>
  <c r="BJ37" i="2"/>
  <c r="BK37" i="2"/>
  <c r="BL37" i="2"/>
  <c r="BD38" i="2"/>
  <c r="BE38" i="2"/>
  <c r="BF38" i="2"/>
  <c r="BG38" i="2"/>
  <c r="BH38" i="2"/>
  <c r="BI38" i="2"/>
  <c r="BJ38" i="2"/>
  <c r="BK38" i="2"/>
  <c r="BL38" i="2"/>
  <c r="BD39" i="2"/>
  <c r="BE39" i="2"/>
  <c r="BF39" i="2"/>
  <c r="BG39" i="2"/>
  <c r="BH39" i="2"/>
  <c r="BI39" i="2"/>
  <c r="BJ39" i="2"/>
  <c r="BK39" i="2"/>
  <c r="BL39" i="2"/>
  <c r="BD40" i="2"/>
  <c r="BE40" i="2"/>
  <c r="BF40" i="2"/>
  <c r="BG40" i="2"/>
  <c r="BH40" i="2"/>
  <c r="BI40" i="2"/>
  <c r="BJ40" i="2"/>
  <c r="BK40" i="2"/>
  <c r="BL40" i="2"/>
  <c r="BD41" i="2"/>
  <c r="BE41" i="2"/>
  <c r="BF41" i="2"/>
  <c r="BG41" i="2"/>
  <c r="BH41" i="2"/>
  <c r="BI41" i="2"/>
  <c r="BJ41" i="2"/>
  <c r="BK41" i="2"/>
  <c r="BL41" i="2"/>
  <c r="BD42" i="2"/>
  <c r="BE42" i="2"/>
  <c r="BF42" i="2"/>
  <c r="BG42" i="2"/>
  <c r="BH42" i="2"/>
  <c r="BI42" i="2"/>
  <c r="BJ42" i="2"/>
  <c r="BK42" i="2"/>
  <c r="BL42" i="2"/>
  <c r="BD43" i="2"/>
  <c r="BE43" i="2"/>
  <c r="BF43" i="2"/>
  <c r="BG43" i="2"/>
  <c r="BH43" i="2"/>
  <c r="BI43" i="2"/>
  <c r="BJ43" i="2"/>
  <c r="BK43" i="2"/>
  <c r="BL43" i="2"/>
  <c r="BD44" i="2"/>
  <c r="BE44" i="2"/>
  <c r="BF44" i="2"/>
  <c r="BG44" i="2"/>
  <c r="BH44" i="2"/>
  <c r="BI44" i="2"/>
  <c r="BJ44" i="2"/>
  <c r="BK44" i="2"/>
  <c r="BL44" i="2"/>
  <c r="BD45" i="2"/>
  <c r="BE45" i="2"/>
  <c r="BF45" i="2"/>
  <c r="BG45" i="2"/>
  <c r="BH45" i="2"/>
  <c r="BI45" i="2"/>
  <c r="BJ45" i="2"/>
  <c r="BK45" i="2"/>
  <c r="BL45" i="2"/>
  <c r="BD46" i="2"/>
  <c r="BE46" i="2"/>
  <c r="BF46" i="2"/>
  <c r="BG46" i="2"/>
  <c r="BH46" i="2"/>
  <c r="BI46" i="2"/>
  <c r="BJ46" i="2"/>
  <c r="BK46" i="2"/>
  <c r="BL46" i="2"/>
  <c r="BD47" i="2"/>
  <c r="BE47" i="2"/>
  <c r="BF47" i="2"/>
  <c r="BG47" i="2"/>
  <c r="BH47" i="2"/>
  <c r="BI47" i="2"/>
  <c r="BJ47" i="2"/>
  <c r="BK47" i="2"/>
  <c r="BL47" i="2"/>
  <c r="BD48" i="2"/>
  <c r="BE48" i="2"/>
  <c r="BF48" i="2"/>
  <c r="BG48" i="2"/>
  <c r="BH48" i="2"/>
  <c r="BI48" i="2"/>
  <c r="BJ48" i="2"/>
  <c r="BK48" i="2"/>
  <c r="BL48" i="2"/>
  <c r="BD49" i="2"/>
  <c r="BE49" i="2"/>
  <c r="BF49" i="2"/>
  <c r="BG49" i="2"/>
  <c r="BH49" i="2"/>
  <c r="BI49" i="2"/>
  <c r="BJ49" i="2"/>
  <c r="BK49" i="2"/>
  <c r="BL49" i="2"/>
  <c r="BD50" i="2"/>
  <c r="BE50" i="2"/>
  <c r="BF50" i="2"/>
  <c r="BG50" i="2"/>
  <c r="BH50" i="2"/>
  <c r="BI50" i="2"/>
  <c r="BJ50" i="2"/>
  <c r="BK50" i="2"/>
  <c r="BL50" i="2"/>
  <c r="BD51" i="2"/>
  <c r="BE51" i="2"/>
  <c r="BF51" i="2"/>
  <c r="BG51" i="2"/>
  <c r="BH51" i="2"/>
  <c r="BI51" i="2"/>
  <c r="BJ51" i="2"/>
  <c r="BK51" i="2"/>
  <c r="BL51" i="2"/>
  <c r="BD52" i="2"/>
  <c r="BE52" i="2"/>
  <c r="BF52" i="2"/>
  <c r="BG52" i="2"/>
  <c r="BH52" i="2"/>
  <c r="BI52" i="2"/>
  <c r="BJ52" i="2"/>
  <c r="BK52" i="2"/>
  <c r="BL52" i="2"/>
  <c r="BD53" i="2"/>
  <c r="BE53" i="2"/>
  <c r="BF53" i="2"/>
  <c r="BG53" i="2"/>
  <c r="BH53" i="2"/>
  <c r="BI53" i="2"/>
  <c r="BJ53" i="2"/>
  <c r="BK53" i="2"/>
  <c r="BL53" i="2"/>
  <c r="BD54" i="2"/>
  <c r="BE54" i="2"/>
  <c r="BF54" i="2"/>
  <c r="BG54" i="2"/>
  <c r="BH54" i="2"/>
  <c r="BI54" i="2"/>
  <c r="BJ54" i="2"/>
  <c r="BK54" i="2"/>
  <c r="BL54" i="2"/>
  <c r="BD55" i="2"/>
  <c r="BE55" i="2"/>
  <c r="BF55" i="2"/>
  <c r="BG55" i="2"/>
  <c r="BH55" i="2"/>
  <c r="BI55" i="2"/>
  <c r="BJ55" i="2"/>
  <c r="BK55" i="2"/>
  <c r="BL55" i="2"/>
  <c r="BD56" i="2"/>
  <c r="BE56" i="2"/>
  <c r="BF56" i="2"/>
  <c r="BG56" i="2"/>
  <c r="BH56" i="2"/>
  <c r="BI56" i="2"/>
  <c r="BJ56" i="2"/>
  <c r="BK56" i="2"/>
  <c r="BL56" i="2"/>
  <c r="BD57" i="2"/>
  <c r="BE57" i="2"/>
  <c r="BF57" i="2"/>
  <c r="BG57" i="2"/>
  <c r="BH57" i="2"/>
  <c r="BI57" i="2"/>
  <c r="BJ57" i="2"/>
  <c r="BK57" i="2"/>
  <c r="BL57" i="2"/>
  <c r="BD58" i="2"/>
  <c r="BE58" i="2"/>
  <c r="BF58" i="2"/>
  <c r="BG58" i="2"/>
  <c r="BH58" i="2"/>
  <c r="BI58" i="2"/>
  <c r="BJ58" i="2"/>
  <c r="BK58" i="2"/>
  <c r="BL58" i="2"/>
  <c r="BD59" i="2"/>
  <c r="BE59" i="2"/>
  <c r="BF59" i="2"/>
  <c r="BG59" i="2"/>
  <c r="BH59" i="2"/>
  <c r="BI59" i="2"/>
  <c r="BJ59" i="2"/>
  <c r="BK59" i="2"/>
  <c r="BL59" i="2"/>
  <c r="BD60" i="2"/>
  <c r="BE60" i="2"/>
  <c r="BF60" i="2"/>
  <c r="BG60" i="2"/>
  <c r="BH60" i="2"/>
  <c r="BI60" i="2"/>
  <c r="BJ60" i="2"/>
  <c r="BK60" i="2"/>
  <c r="BL60" i="2"/>
  <c r="BD61" i="2"/>
  <c r="BE61" i="2"/>
  <c r="BF61" i="2"/>
  <c r="BG61" i="2"/>
  <c r="BH61" i="2"/>
  <c r="BI61" i="2"/>
  <c r="BJ61" i="2"/>
  <c r="BK61" i="2"/>
  <c r="BL61" i="2"/>
  <c r="BD62" i="2"/>
  <c r="BE62" i="2"/>
  <c r="BF62" i="2"/>
  <c r="BG62" i="2"/>
  <c r="BH62" i="2"/>
  <c r="BI62" i="2"/>
  <c r="BJ62" i="2"/>
  <c r="BK62" i="2"/>
  <c r="BL62" i="2"/>
  <c r="BD63" i="2"/>
  <c r="BE63" i="2"/>
  <c r="BF63" i="2"/>
  <c r="BG63" i="2"/>
  <c r="BH63" i="2"/>
  <c r="BI63" i="2"/>
  <c r="BJ63" i="2"/>
  <c r="BK63" i="2"/>
  <c r="BL63" i="2"/>
  <c r="BD64" i="2"/>
  <c r="BE64" i="2"/>
  <c r="BF64" i="2"/>
  <c r="BG64" i="2"/>
  <c r="BH64" i="2"/>
  <c r="BI64" i="2"/>
  <c r="BJ64" i="2"/>
  <c r="BK64" i="2"/>
  <c r="BL64" i="2"/>
  <c r="BD65" i="2"/>
  <c r="BE65" i="2"/>
  <c r="BF65" i="2"/>
  <c r="BG65" i="2"/>
  <c r="BH65" i="2"/>
  <c r="BI65" i="2"/>
  <c r="BJ65" i="2"/>
  <c r="BK65" i="2"/>
  <c r="BL65" i="2"/>
  <c r="BD66" i="2"/>
  <c r="BE66" i="2"/>
  <c r="BF66" i="2"/>
  <c r="BG66" i="2"/>
  <c r="BH66" i="2"/>
  <c r="BI66" i="2"/>
  <c r="BJ66" i="2"/>
  <c r="BK66" i="2"/>
  <c r="BL66" i="2"/>
  <c r="BD67" i="2"/>
  <c r="BE67" i="2"/>
  <c r="BF67" i="2"/>
  <c r="BG67" i="2"/>
  <c r="BH67" i="2"/>
  <c r="BI67" i="2"/>
  <c r="BJ67" i="2"/>
  <c r="BK67" i="2"/>
  <c r="BL67" i="2"/>
  <c r="BD68" i="2"/>
  <c r="BE68" i="2"/>
  <c r="BF68" i="2"/>
  <c r="BG68" i="2"/>
  <c r="BH68" i="2"/>
  <c r="BI68" i="2"/>
  <c r="BJ68" i="2"/>
  <c r="BK68" i="2"/>
  <c r="BL68" i="2"/>
  <c r="BD69" i="2"/>
  <c r="BE69" i="2"/>
  <c r="BF69" i="2"/>
  <c r="BG69" i="2"/>
  <c r="BH69" i="2"/>
  <c r="BI69" i="2"/>
  <c r="BJ69" i="2"/>
  <c r="BK69" i="2"/>
  <c r="BL69" i="2"/>
  <c r="BD70" i="2"/>
  <c r="BE70" i="2"/>
  <c r="BF70" i="2"/>
  <c r="BG70" i="2"/>
  <c r="BH70" i="2"/>
  <c r="BI70" i="2"/>
  <c r="BJ70" i="2"/>
  <c r="BK70" i="2"/>
  <c r="BL70" i="2"/>
  <c r="BD71" i="2"/>
  <c r="BE71" i="2"/>
  <c r="BF71" i="2"/>
  <c r="BG71" i="2"/>
  <c r="BH71" i="2"/>
  <c r="BI71" i="2"/>
  <c r="BJ71" i="2"/>
  <c r="BK71" i="2"/>
  <c r="BL71" i="2"/>
  <c r="BD72" i="2"/>
  <c r="BE72" i="2"/>
  <c r="BF72" i="2"/>
  <c r="BG72" i="2"/>
  <c r="BH72" i="2"/>
  <c r="BI72" i="2"/>
  <c r="BJ72" i="2"/>
  <c r="BK72" i="2"/>
  <c r="BL72" i="2"/>
  <c r="BD73" i="2"/>
  <c r="BE73" i="2"/>
  <c r="BF73" i="2"/>
  <c r="BG73" i="2"/>
  <c r="BH73" i="2"/>
  <c r="BI73" i="2"/>
  <c r="BJ73" i="2"/>
  <c r="BK73" i="2"/>
  <c r="BL73" i="2"/>
  <c r="BD74" i="2"/>
  <c r="BE74" i="2"/>
  <c r="BF74" i="2"/>
  <c r="BG74" i="2"/>
  <c r="BH74" i="2"/>
  <c r="BI74" i="2"/>
  <c r="BJ74" i="2"/>
  <c r="BK74" i="2"/>
  <c r="BL74" i="2"/>
  <c r="BD75" i="2"/>
  <c r="BE75" i="2"/>
  <c r="BF75" i="2"/>
  <c r="BG75" i="2"/>
  <c r="BH75" i="2"/>
  <c r="BI75" i="2"/>
  <c r="BJ75" i="2"/>
  <c r="BK75" i="2"/>
  <c r="BL75" i="2"/>
  <c r="BD76" i="2"/>
  <c r="BE76" i="2"/>
  <c r="BF76" i="2"/>
  <c r="BG76" i="2"/>
  <c r="BH76" i="2"/>
  <c r="BI76" i="2"/>
  <c r="BJ76" i="2"/>
  <c r="BK76" i="2"/>
  <c r="BL76" i="2"/>
  <c r="BD77" i="2"/>
  <c r="BE77" i="2"/>
  <c r="BF77" i="2"/>
  <c r="BG77" i="2"/>
  <c r="BH77" i="2"/>
  <c r="BI77" i="2"/>
  <c r="BJ77" i="2"/>
  <c r="BK77" i="2"/>
  <c r="BL77" i="2"/>
  <c r="BD78" i="2"/>
  <c r="BE78" i="2"/>
  <c r="BF78" i="2"/>
  <c r="BG78" i="2"/>
  <c r="BH78" i="2"/>
  <c r="BI78" i="2"/>
  <c r="BJ78" i="2"/>
  <c r="BK78" i="2"/>
  <c r="BL78" i="2"/>
  <c r="BD79" i="2"/>
  <c r="BE79" i="2"/>
  <c r="BF79" i="2"/>
  <c r="BG79" i="2"/>
  <c r="BH79" i="2"/>
  <c r="BI79" i="2"/>
  <c r="BJ79" i="2"/>
  <c r="BK79" i="2"/>
  <c r="BL79" i="2"/>
  <c r="BD80" i="2"/>
  <c r="BE80" i="2"/>
  <c r="BF80" i="2"/>
  <c r="BG80" i="2"/>
  <c r="BH80" i="2"/>
  <c r="BI80" i="2"/>
  <c r="BJ80" i="2"/>
  <c r="BK80" i="2"/>
  <c r="BL80" i="2"/>
  <c r="BD81" i="2"/>
  <c r="BE81" i="2"/>
  <c r="BF81" i="2"/>
  <c r="BG81" i="2"/>
  <c r="BH81" i="2"/>
  <c r="BI81" i="2"/>
  <c r="BJ81" i="2"/>
  <c r="BK81" i="2"/>
  <c r="BL81" i="2"/>
  <c r="BD82" i="2"/>
  <c r="BE82" i="2"/>
  <c r="BF82" i="2"/>
  <c r="BG82" i="2"/>
  <c r="BH82" i="2"/>
  <c r="BI82" i="2"/>
  <c r="BJ82" i="2"/>
  <c r="BK82" i="2"/>
  <c r="BL82" i="2"/>
  <c r="BD83" i="2"/>
  <c r="BE83" i="2"/>
  <c r="BF83" i="2"/>
  <c r="BG83" i="2"/>
  <c r="BH83" i="2"/>
  <c r="BI83" i="2"/>
  <c r="BJ83" i="2"/>
  <c r="BK83" i="2"/>
  <c r="BL83" i="2"/>
  <c r="BD84" i="2"/>
  <c r="BE84" i="2"/>
  <c r="BF84" i="2"/>
  <c r="BG84" i="2"/>
  <c r="BH84" i="2"/>
  <c r="BI84" i="2"/>
  <c r="BJ84" i="2"/>
  <c r="BK84" i="2"/>
  <c r="BL84" i="2"/>
  <c r="BD85" i="2"/>
  <c r="BE85" i="2"/>
  <c r="BF85" i="2"/>
  <c r="BG85" i="2"/>
  <c r="BH85" i="2"/>
  <c r="BI85" i="2"/>
  <c r="BJ85" i="2"/>
  <c r="BK85" i="2"/>
  <c r="BL85" i="2"/>
  <c r="BD86" i="2"/>
  <c r="BE86" i="2"/>
  <c r="BF86" i="2"/>
  <c r="BG86" i="2"/>
  <c r="BH86" i="2"/>
  <c r="BI86" i="2"/>
  <c r="BJ86" i="2"/>
  <c r="BK86" i="2"/>
  <c r="BL86" i="2"/>
  <c r="BD87" i="2"/>
  <c r="BE87" i="2"/>
  <c r="BF87" i="2"/>
  <c r="BG87" i="2"/>
  <c r="BH87" i="2"/>
  <c r="BI87" i="2"/>
  <c r="BJ87" i="2"/>
  <c r="BK87" i="2"/>
  <c r="BL87" i="2"/>
  <c r="BD88" i="2"/>
  <c r="BE88" i="2"/>
  <c r="BF88" i="2"/>
  <c r="BG88" i="2"/>
  <c r="BH88" i="2"/>
  <c r="BI88" i="2"/>
  <c r="BJ88" i="2"/>
  <c r="BK88" i="2"/>
  <c r="BL88" i="2"/>
  <c r="BD89" i="2"/>
  <c r="BE89" i="2"/>
  <c r="BF89" i="2"/>
  <c r="BG89" i="2"/>
  <c r="BH89" i="2"/>
  <c r="BI89" i="2"/>
  <c r="BJ89" i="2"/>
  <c r="BK89" i="2"/>
  <c r="BL89" i="2"/>
  <c r="BD90" i="2"/>
  <c r="BE90" i="2"/>
  <c r="BF90" i="2"/>
  <c r="BG90" i="2"/>
  <c r="BH90" i="2"/>
  <c r="BI90" i="2"/>
  <c r="BJ90" i="2"/>
  <c r="BK90" i="2"/>
  <c r="BL90" i="2"/>
  <c r="BD91" i="2"/>
  <c r="BE91" i="2"/>
  <c r="BF91" i="2"/>
  <c r="BG91" i="2"/>
  <c r="BH91" i="2"/>
  <c r="BI91" i="2"/>
  <c r="BJ91" i="2"/>
  <c r="BK91" i="2"/>
  <c r="BL91" i="2"/>
  <c r="BD92" i="2"/>
  <c r="BE92" i="2"/>
  <c r="BF92" i="2"/>
  <c r="BG92" i="2"/>
  <c r="BH92" i="2"/>
  <c r="BI92" i="2"/>
  <c r="BJ92" i="2"/>
  <c r="BK92" i="2"/>
  <c r="BL92" i="2"/>
  <c r="BD93" i="2"/>
  <c r="BE93" i="2"/>
  <c r="BF93" i="2"/>
  <c r="BG93" i="2"/>
  <c r="BH93" i="2"/>
  <c r="BI93" i="2"/>
  <c r="BJ93" i="2"/>
  <c r="BK93" i="2"/>
  <c r="BL93" i="2"/>
  <c r="BD94" i="2"/>
  <c r="BE94" i="2"/>
  <c r="BF94" i="2"/>
  <c r="BG94" i="2"/>
  <c r="BH94" i="2"/>
  <c r="BI94" i="2"/>
  <c r="BJ94" i="2"/>
  <c r="BK94" i="2"/>
  <c r="BL94" i="2"/>
  <c r="BD95" i="2"/>
  <c r="BE95" i="2"/>
  <c r="BF95" i="2"/>
  <c r="BG95" i="2"/>
  <c r="BH95" i="2"/>
  <c r="BI95" i="2"/>
  <c r="BJ95" i="2"/>
  <c r="BK95" i="2"/>
  <c r="BL95" i="2"/>
  <c r="BD96" i="2"/>
  <c r="BE96" i="2"/>
  <c r="BF96" i="2"/>
  <c r="BG96" i="2"/>
  <c r="BH96" i="2"/>
  <c r="BI96" i="2"/>
  <c r="BJ96" i="2"/>
  <c r="BK96" i="2"/>
  <c r="BL96" i="2"/>
  <c r="BD97" i="2"/>
  <c r="BE97" i="2"/>
  <c r="BF97" i="2"/>
  <c r="BG97" i="2"/>
  <c r="BH97" i="2"/>
  <c r="BI97" i="2"/>
  <c r="BJ97" i="2"/>
  <c r="BK97" i="2"/>
  <c r="BL97" i="2"/>
  <c r="BD98" i="2"/>
  <c r="BE98" i="2"/>
  <c r="BF98" i="2"/>
  <c r="BG98" i="2"/>
  <c r="BH98" i="2"/>
  <c r="BI98" i="2"/>
  <c r="BJ98" i="2"/>
  <c r="BK98" i="2"/>
  <c r="BL98" i="2"/>
  <c r="BD99" i="2"/>
  <c r="BE99" i="2"/>
  <c r="BF99" i="2"/>
  <c r="BG99" i="2"/>
  <c r="BH99" i="2"/>
  <c r="BI99" i="2"/>
  <c r="BJ99" i="2"/>
  <c r="BK99" i="2"/>
  <c r="BL99" i="2"/>
  <c r="BD100" i="2"/>
  <c r="BE100" i="2"/>
  <c r="BF100" i="2"/>
  <c r="BG100" i="2"/>
  <c r="BH100" i="2"/>
  <c r="BI100" i="2"/>
  <c r="BJ100" i="2"/>
  <c r="BK100" i="2"/>
  <c r="BL100" i="2"/>
  <c r="BD101" i="2"/>
  <c r="BE101" i="2"/>
  <c r="BF101" i="2"/>
  <c r="BG101" i="2"/>
  <c r="BH101" i="2"/>
  <c r="BI101" i="2"/>
  <c r="BJ101" i="2"/>
  <c r="BK101" i="2"/>
  <c r="BL101" i="2"/>
  <c r="BD102" i="2"/>
  <c r="BE102" i="2"/>
  <c r="BF102" i="2"/>
  <c r="BG102" i="2"/>
  <c r="BH102" i="2"/>
  <c r="BI102" i="2"/>
  <c r="BJ102" i="2"/>
  <c r="BK102" i="2"/>
  <c r="BL102" i="2"/>
  <c r="BD103" i="2"/>
  <c r="BE103" i="2"/>
  <c r="BF103" i="2"/>
  <c r="BG103" i="2"/>
  <c r="BH103" i="2"/>
  <c r="BI103" i="2"/>
  <c r="BJ103" i="2"/>
  <c r="BK103" i="2"/>
  <c r="BL103" i="2"/>
  <c r="BD104" i="2"/>
  <c r="BE104" i="2"/>
  <c r="BF104" i="2"/>
  <c r="BG104" i="2"/>
  <c r="BH104" i="2"/>
  <c r="BI104" i="2"/>
  <c r="BJ104" i="2"/>
  <c r="BK104" i="2"/>
  <c r="BL104" i="2"/>
  <c r="BD105" i="2"/>
  <c r="BE105" i="2"/>
  <c r="BF105" i="2"/>
  <c r="BG105" i="2"/>
  <c r="BH105" i="2"/>
  <c r="BI105" i="2"/>
  <c r="BJ105" i="2"/>
  <c r="BK105" i="2"/>
  <c r="BL105" i="2"/>
  <c r="BD106" i="2"/>
  <c r="BE106" i="2"/>
  <c r="BF106" i="2"/>
  <c r="BG106" i="2"/>
  <c r="BH106" i="2"/>
  <c r="BI106" i="2"/>
  <c r="BJ106" i="2"/>
  <c r="BK106" i="2"/>
  <c r="BL106" i="2"/>
  <c r="BD107" i="2"/>
  <c r="BE107" i="2"/>
  <c r="BF107" i="2"/>
  <c r="BG107" i="2"/>
  <c r="BH107" i="2"/>
  <c r="BI107" i="2"/>
  <c r="BJ107" i="2"/>
  <c r="BK107" i="2"/>
  <c r="BL107" i="2"/>
  <c r="BD108" i="2"/>
  <c r="BE108" i="2"/>
  <c r="BF108" i="2"/>
  <c r="BG108" i="2"/>
  <c r="BH108" i="2"/>
  <c r="BI108" i="2"/>
  <c r="BJ108" i="2"/>
  <c r="BK108" i="2"/>
  <c r="BL108" i="2"/>
  <c r="BD109" i="2"/>
  <c r="BE109" i="2"/>
  <c r="BF109" i="2"/>
  <c r="BG109" i="2"/>
  <c r="BH109" i="2"/>
  <c r="BI109" i="2"/>
  <c r="BJ109" i="2"/>
  <c r="BK109" i="2"/>
  <c r="BL109" i="2"/>
  <c r="BD110" i="2"/>
  <c r="BE110" i="2"/>
  <c r="BF110" i="2"/>
  <c r="BG110" i="2"/>
  <c r="BH110" i="2"/>
  <c r="BI110" i="2"/>
  <c r="BJ110" i="2"/>
  <c r="BK110" i="2"/>
  <c r="BL110" i="2"/>
  <c r="BD111" i="2"/>
  <c r="BE111" i="2"/>
  <c r="BF111" i="2"/>
  <c r="BG111" i="2"/>
  <c r="BH111" i="2"/>
  <c r="BI111" i="2"/>
  <c r="BJ111" i="2"/>
  <c r="BK111" i="2"/>
  <c r="BL111" i="2"/>
  <c r="BD112" i="2"/>
  <c r="BE112" i="2"/>
  <c r="BF112" i="2"/>
  <c r="BG112" i="2"/>
  <c r="BH112" i="2"/>
  <c r="BI112" i="2"/>
  <c r="BJ112" i="2"/>
  <c r="BK112" i="2"/>
  <c r="BL112" i="2"/>
  <c r="BD113" i="2"/>
  <c r="BE113" i="2"/>
  <c r="BF113" i="2"/>
  <c r="BG113" i="2"/>
  <c r="BH113" i="2"/>
  <c r="BI113" i="2"/>
  <c r="BJ113" i="2"/>
  <c r="BK113" i="2"/>
  <c r="BL113" i="2"/>
  <c r="BD114" i="2"/>
  <c r="BE114" i="2"/>
  <c r="BF114" i="2"/>
  <c r="BG114" i="2"/>
  <c r="BH114" i="2"/>
  <c r="BI114" i="2"/>
  <c r="BJ114" i="2"/>
  <c r="BK114" i="2"/>
  <c r="BL114" i="2"/>
  <c r="E61" i="2"/>
  <c r="D1669" i="12" l="1"/>
  <c r="E1668" i="12"/>
  <c r="F1668" i="12"/>
  <c r="DA39" i="6"/>
  <c r="DA12" i="6" s="1"/>
  <c r="DA38" i="6"/>
  <c r="DA11" i="6" s="1"/>
  <c r="DA41" i="6"/>
  <c r="DA14" i="6" s="1"/>
  <c r="DA44" i="6"/>
  <c r="DA17" i="6" s="1"/>
  <c r="DA40" i="6"/>
  <c r="DA13" i="6" s="1"/>
  <c r="DA42" i="6"/>
  <c r="DA15" i="6" s="1"/>
  <c r="DA43" i="6"/>
  <c r="DA16" i="6" s="1"/>
  <c r="DA45" i="6"/>
  <c r="DA18" i="6" s="1"/>
  <c r="DA47" i="6"/>
  <c r="DA20" i="6" s="1"/>
  <c r="DA50" i="6"/>
  <c r="DA23" i="6" s="1"/>
  <c r="DA46" i="6"/>
  <c r="DA19" i="6" s="1"/>
  <c r="DA48" i="6"/>
  <c r="DA21" i="6" s="1"/>
  <c r="DA49" i="6"/>
  <c r="DA22" i="6" s="1"/>
  <c r="DA51" i="6"/>
  <c r="DA24" i="6" s="1"/>
  <c r="DA54" i="6"/>
  <c r="DA27" i="6" s="1"/>
  <c r="DA52" i="6"/>
  <c r="DA25" i="6" s="1"/>
  <c r="DA56" i="6"/>
  <c r="DA29" i="6" s="1"/>
  <c r="DA30" i="6" s="1"/>
  <c r="DA31" i="6" s="1"/>
  <c r="DA32" i="6" s="1"/>
  <c r="DA33" i="6" s="1"/>
  <c r="DA55" i="6"/>
  <c r="DA28" i="6" s="1"/>
  <c r="DA53" i="6"/>
  <c r="DA26" i="6" s="1"/>
  <c r="EB10" i="15"/>
  <c r="EC9" i="15"/>
  <c r="DR10" i="10"/>
  <c r="DS9" i="10"/>
  <c r="DB9" i="6"/>
  <c r="DA10" i="6"/>
  <c r="D1670" i="12" l="1"/>
  <c r="F1669" i="12"/>
  <c r="E1669" i="12"/>
  <c r="DB38" i="6"/>
  <c r="DB11" i="6" s="1"/>
  <c r="DB39" i="6"/>
  <c r="DB12" i="6" s="1"/>
  <c r="DB40" i="6"/>
  <c r="DB13" i="6" s="1"/>
  <c r="DB41" i="6"/>
  <c r="DB14" i="6" s="1"/>
  <c r="DB42" i="6"/>
  <c r="DB15" i="6" s="1"/>
  <c r="DB43" i="6"/>
  <c r="DB16" i="6" s="1"/>
  <c r="DB44" i="6"/>
  <c r="DB17" i="6" s="1"/>
  <c r="DB45" i="6"/>
  <c r="DB18" i="6" s="1"/>
  <c r="DB46" i="6"/>
  <c r="DB19" i="6" s="1"/>
  <c r="DB47" i="6"/>
  <c r="DB20" i="6" s="1"/>
  <c r="DB49" i="6"/>
  <c r="DB22" i="6" s="1"/>
  <c r="DB50" i="6"/>
  <c r="DB23" i="6" s="1"/>
  <c r="DB53" i="6"/>
  <c r="DB26" i="6" s="1"/>
  <c r="DB54" i="6"/>
  <c r="DB27" i="6" s="1"/>
  <c r="DB48" i="6"/>
  <c r="DB21" i="6" s="1"/>
  <c r="DB51" i="6"/>
  <c r="DB24" i="6" s="1"/>
  <c r="DB52" i="6"/>
  <c r="DB25" i="6" s="1"/>
  <c r="DB55" i="6"/>
  <c r="DB28" i="6" s="1"/>
  <c r="DB56" i="6"/>
  <c r="DB29" i="6" s="1"/>
  <c r="DB30" i="6" s="1"/>
  <c r="DB31" i="6" s="1"/>
  <c r="DB32" i="6" s="1"/>
  <c r="DB33" i="6" s="1"/>
  <c r="EC10" i="15"/>
  <c r="ED9" i="15"/>
  <c r="DS10" i="10"/>
  <c r="DT9" i="10"/>
  <c r="DC9" i="6"/>
  <c r="DB10" i="6"/>
  <c r="D1671" i="12" l="1"/>
  <c r="F1670" i="12"/>
  <c r="E1670" i="12"/>
  <c r="DC39" i="6"/>
  <c r="DC12" i="6" s="1"/>
  <c r="DC38" i="6"/>
  <c r="DC11" i="6" s="1"/>
  <c r="DC40" i="6"/>
  <c r="DC13" i="6" s="1"/>
  <c r="DC45" i="6"/>
  <c r="DC18" i="6" s="1"/>
  <c r="DC42" i="6"/>
  <c r="DC15" i="6" s="1"/>
  <c r="DC43" i="6"/>
  <c r="DC16" i="6" s="1"/>
  <c r="DC44" i="6"/>
  <c r="DC17" i="6" s="1"/>
  <c r="DC41" i="6"/>
  <c r="DC14" i="6" s="1"/>
  <c r="DC46" i="6"/>
  <c r="DC19" i="6" s="1"/>
  <c r="DC49" i="6"/>
  <c r="DC22" i="6" s="1"/>
  <c r="DC51" i="6"/>
  <c r="DC24" i="6" s="1"/>
  <c r="DC47" i="6"/>
  <c r="DC20" i="6" s="1"/>
  <c r="DC50" i="6"/>
  <c r="DC23" i="6" s="1"/>
  <c r="DC52" i="6"/>
  <c r="DC25" i="6" s="1"/>
  <c r="DC53" i="6"/>
  <c r="DC26" i="6" s="1"/>
  <c r="DC54" i="6"/>
  <c r="DC27" i="6" s="1"/>
  <c r="DC55" i="6"/>
  <c r="DC28" i="6" s="1"/>
  <c r="DC48" i="6"/>
  <c r="DC21" i="6" s="1"/>
  <c r="DC56" i="6"/>
  <c r="DC29" i="6" s="1"/>
  <c r="DC30" i="6" s="1"/>
  <c r="DC31" i="6" s="1"/>
  <c r="DC32" i="6" s="1"/>
  <c r="DC33" i="6" s="1"/>
  <c r="ED10" i="15"/>
  <c r="EE9" i="15"/>
  <c r="DT10" i="10"/>
  <c r="DU9" i="10"/>
  <c r="DD9" i="6"/>
  <c r="DC10" i="6"/>
  <c r="D1672" i="12" l="1"/>
  <c r="F1671" i="12"/>
  <c r="E1671" i="12"/>
  <c r="DD38" i="6"/>
  <c r="DD11" i="6" s="1"/>
  <c r="DD41" i="6"/>
  <c r="DD14" i="6" s="1"/>
  <c r="DD42" i="6"/>
  <c r="DD15" i="6" s="1"/>
  <c r="DD40" i="6"/>
  <c r="DD13" i="6" s="1"/>
  <c r="DD39" i="6"/>
  <c r="DD12" i="6" s="1"/>
  <c r="DD45" i="6"/>
  <c r="DD18" i="6" s="1"/>
  <c r="DD43" i="6"/>
  <c r="DD16" i="6" s="1"/>
  <c r="DD44" i="6"/>
  <c r="DD17" i="6" s="1"/>
  <c r="DD50" i="6"/>
  <c r="DD23" i="6" s="1"/>
  <c r="DD46" i="6"/>
  <c r="DD19" i="6" s="1"/>
  <c r="DD48" i="6"/>
  <c r="DD21" i="6" s="1"/>
  <c r="DD47" i="6"/>
  <c r="DD20" i="6" s="1"/>
  <c r="DD54" i="6"/>
  <c r="DD27" i="6" s="1"/>
  <c r="DD55" i="6"/>
  <c r="DD28" i="6" s="1"/>
  <c r="DD49" i="6"/>
  <c r="DD22" i="6" s="1"/>
  <c r="DD52" i="6"/>
  <c r="DD25" i="6" s="1"/>
  <c r="DD53" i="6"/>
  <c r="DD26" i="6" s="1"/>
  <c r="DD56" i="6"/>
  <c r="DD29" i="6" s="1"/>
  <c r="DD30" i="6" s="1"/>
  <c r="DD31" i="6" s="1"/>
  <c r="DD32" i="6" s="1"/>
  <c r="DD33" i="6" s="1"/>
  <c r="DD51" i="6"/>
  <c r="DD24" i="6" s="1"/>
  <c r="EE10" i="15"/>
  <c r="EF9" i="15"/>
  <c r="DU10" i="10"/>
  <c r="DV9" i="10"/>
  <c r="DE9" i="6"/>
  <c r="DD10" i="6"/>
  <c r="D1673" i="12" l="1"/>
  <c r="F1672" i="12"/>
  <c r="E1672" i="12"/>
  <c r="DE39" i="6"/>
  <c r="DE12" i="6" s="1"/>
  <c r="DE38" i="6"/>
  <c r="DE11" i="6" s="1"/>
  <c r="DE41" i="6"/>
  <c r="DE14" i="6" s="1"/>
  <c r="DE44" i="6"/>
  <c r="DE17" i="6" s="1"/>
  <c r="DE40" i="6"/>
  <c r="DE13" i="6" s="1"/>
  <c r="DE45" i="6"/>
  <c r="DE18" i="6" s="1"/>
  <c r="DE42" i="6"/>
  <c r="DE15" i="6" s="1"/>
  <c r="DE46" i="6"/>
  <c r="DE19" i="6" s="1"/>
  <c r="DE43" i="6"/>
  <c r="DE16" i="6" s="1"/>
  <c r="DE47" i="6"/>
  <c r="DE20" i="6" s="1"/>
  <c r="DE48" i="6"/>
  <c r="DE21" i="6" s="1"/>
  <c r="DE52" i="6"/>
  <c r="DE25" i="6" s="1"/>
  <c r="DE50" i="6"/>
  <c r="DE23" i="6" s="1"/>
  <c r="DE53" i="6"/>
  <c r="DE26" i="6" s="1"/>
  <c r="DE51" i="6"/>
  <c r="DE24" i="6" s="1"/>
  <c r="DE55" i="6"/>
  <c r="DE28" i="6" s="1"/>
  <c r="DE56" i="6"/>
  <c r="DE29" i="6" s="1"/>
  <c r="DE30" i="6" s="1"/>
  <c r="DE31" i="6" s="1"/>
  <c r="DE32" i="6" s="1"/>
  <c r="DE33" i="6" s="1"/>
  <c r="DE54" i="6"/>
  <c r="DE27" i="6" s="1"/>
  <c r="DE49" i="6"/>
  <c r="DE22" i="6" s="1"/>
  <c r="EF10" i="15"/>
  <c r="EG9" i="15"/>
  <c r="DV10" i="10"/>
  <c r="DW9" i="10"/>
  <c r="DF9" i="6"/>
  <c r="DE10" i="6"/>
  <c r="D1674" i="12" l="1"/>
  <c r="F1673" i="12"/>
  <c r="E1673" i="12"/>
  <c r="DF38" i="6"/>
  <c r="DF11" i="6" s="1"/>
  <c r="DF40" i="6"/>
  <c r="DF13" i="6" s="1"/>
  <c r="DF39" i="6"/>
  <c r="DF12" i="6" s="1"/>
  <c r="DF41" i="6"/>
  <c r="DF14" i="6" s="1"/>
  <c r="DF45" i="6"/>
  <c r="DF18" i="6" s="1"/>
  <c r="DF44" i="6"/>
  <c r="DF17" i="6" s="1"/>
  <c r="DF43" i="6"/>
  <c r="DF16" i="6" s="1"/>
  <c r="DF46" i="6"/>
  <c r="DF19" i="6" s="1"/>
  <c r="DF47" i="6"/>
  <c r="DF20" i="6" s="1"/>
  <c r="DF49" i="6"/>
  <c r="DF22" i="6" s="1"/>
  <c r="DF42" i="6"/>
  <c r="DF15" i="6" s="1"/>
  <c r="DF50" i="6"/>
  <c r="DF23" i="6" s="1"/>
  <c r="DF53" i="6"/>
  <c r="DF26" i="6" s="1"/>
  <c r="DF54" i="6"/>
  <c r="DF27" i="6" s="1"/>
  <c r="DF48" i="6"/>
  <c r="DF21" i="6" s="1"/>
  <c r="DF51" i="6"/>
  <c r="DF24" i="6" s="1"/>
  <c r="DF52" i="6"/>
  <c r="DF25" i="6" s="1"/>
  <c r="DF56" i="6"/>
  <c r="DF29" i="6" s="1"/>
  <c r="DF30" i="6" s="1"/>
  <c r="DF31" i="6" s="1"/>
  <c r="DF32" i="6" s="1"/>
  <c r="DF33" i="6" s="1"/>
  <c r="DF55" i="6"/>
  <c r="DF28" i="6" s="1"/>
  <c r="EG10" i="15"/>
  <c r="EH9" i="15"/>
  <c r="DW10" i="10"/>
  <c r="DX9" i="10"/>
  <c r="DG9" i="6"/>
  <c r="DF10" i="6"/>
  <c r="D1675" i="12" l="1"/>
  <c r="F1674" i="12"/>
  <c r="E1674" i="12"/>
  <c r="DG39" i="6"/>
  <c r="DG12" i="6" s="1"/>
  <c r="DG38" i="6"/>
  <c r="DG11" i="6" s="1"/>
  <c r="DG40" i="6"/>
  <c r="DG13" i="6" s="1"/>
  <c r="DG45" i="6"/>
  <c r="DG18" i="6" s="1"/>
  <c r="DG42" i="6"/>
  <c r="DG15" i="6" s="1"/>
  <c r="DG43" i="6"/>
  <c r="DG16" i="6" s="1"/>
  <c r="DG46" i="6"/>
  <c r="DG19" i="6" s="1"/>
  <c r="DG41" i="6"/>
  <c r="DG14" i="6" s="1"/>
  <c r="DG44" i="6"/>
  <c r="DG17" i="6" s="1"/>
  <c r="DG47" i="6"/>
  <c r="DG20" i="6" s="1"/>
  <c r="DG49" i="6"/>
  <c r="DG22" i="6" s="1"/>
  <c r="DG53" i="6"/>
  <c r="DG26" i="6" s="1"/>
  <c r="DG54" i="6"/>
  <c r="DG27" i="6" s="1"/>
  <c r="DG51" i="6"/>
  <c r="DG24" i="6" s="1"/>
  <c r="DG48" i="6"/>
  <c r="DG21" i="6" s="1"/>
  <c r="DG50" i="6"/>
  <c r="DG23" i="6" s="1"/>
  <c r="DG52" i="6"/>
  <c r="DG25" i="6" s="1"/>
  <c r="DG55" i="6"/>
  <c r="DG28" i="6" s="1"/>
  <c r="DG56" i="6"/>
  <c r="DG29" i="6" s="1"/>
  <c r="DG30" i="6" s="1"/>
  <c r="DG31" i="6" s="1"/>
  <c r="DG32" i="6" s="1"/>
  <c r="DG33" i="6" s="1"/>
  <c r="EH10" i="15"/>
  <c r="EI9" i="15"/>
  <c r="DX10" i="10"/>
  <c r="DY9" i="10"/>
  <c r="DH9" i="6"/>
  <c r="DG10" i="6"/>
  <c r="D1676" i="12" l="1"/>
  <c r="F1675" i="12"/>
  <c r="E1675" i="12"/>
  <c r="DH39" i="6"/>
  <c r="DH12" i="6" s="1"/>
  <c r="DH38" i="6"/>
  <c r="DH11" i="6" s="1"/>
  <c r="DH41" i="6"/>
  <c r="DH14" i="6" s="1"/>
  <c r="DH42" i="6"/>
  <c r="DH15" i="6" s="1"/>
  <c r="DH40" i="6"/>
  <c r="DH13" i="6" s="1"/>
  <c r="DH44" i="6"/>
  <c r="DH17" i="6" s="1"/>
  <c r="DH45" i="6"/>
  <c r="DH18" i="6" s="1"/>
  <c r="DH43" i="6"/>
  <c r="DH16" i="6" s="1"/>
  <c r="DH46" i="6"/>
  <c r="DH19" i="6" s="1"/>
  <c r="DH48" i="6"/>
  <c r="DH21" i="6" s="1"/>
  <c r="DH51" i="6"/>
  <c r="DH24" i="6" s="1"/>
  <c r="DH50" i="6"/>
  <c r="DH23" i="6" s="1"/>
  <c r="DH47" i="6"/>
  <c r="DH20" i="6" s="1"/>
  <c r="DH54" i="6"/>
  <c r="DH27" i="6" s="1"/>
  <c r="DH55" i="6"/>
  <c r="DH28" i="6" s="1"/>
  <c r="DH49" i="6"/>
  <c r="DH22" i="6" s="1"/>
  <c r="DH52" i="6"/>
  <c r="DH25" i="6" s="1"/>
  <c r="DH56" i="6"/>
  <c r="DH29" i="6" s="1"/>
  <c r="DH30" i="6" s="1"/>
  <c r="DH31" i="6" s="1"/>
  <c r="DH32" i="6" s="1"/>
  <c r="DH33" i="6" s="1"/>
  <c r="DH53" i="6"/>
  <c r="DH26" i="6" s="1"/>
  <c r="EI10" i="15"/>
  <c r="EJ9" i="15"/>
  <c r="DY10" i="10"/>
  <c r="DZ9" i="10"/>
  <c r="DI9" i="6"/>
  <c r="DH10" i="6"/>
  <c r="D1677" i="12" l="1"/>
  <c r="F1676" i="12"/>
  <c r="E1676" i="12"/>
  <c r="DI39" i="6"/>
  <c r="DI12" i="6" s="1"/>
  <c r="DI38" i="6"/>
  <c r="DI11" i="6" s="1"/>
  <c r="DI41" i="6"/>
  <c r="DI14" i="6" s="1"/>
  <c r="DI40" i="6"/>
  <c r="DI13" i="6" s="1"/>
  <c r="DI42" i="6"/>
  <c r="DI15" i="6" s="1"/>
  <c r="DI44" i="6"/>
  <c r="DI17" i="6" s="1"/>
  <c r="DI43" i="6"/>
  <c r="DI16" i="6" s="1"/>
  <c r="DI48" i="6"/>
  <c r="DI21" i="6" s="1"/>
  <c r="DI50" i="6"/>
  <c r="DI23" i="6" s="1"/>
  <c r="DI49" i="6"/>
  <c r="DI22" i="6" s="1"/>
  <c r="DI54" i="6"/>
  <c r="DI27" i="6" s="1"/>
  <c r="DI46" i="6"/>
  <c r="DI19" i="6" s="1"/>
  <c r="DI52" i="6"/>
  <c r="DI25" i="6" s="1"/>
  <c r="DI45" i="6"/>
  <c r="DI18" i="6" s="1"/>
  <c r="DI47" i="6"/>
  <c r="DI20" i="6" s="1"/>
  <c r="DI51" i="6"/>
  <c r="DI24" i="6" s="1"/>
  <c r="DI56" i="6"/>
  <c r="DI29" i="6" s="1"/>
  <c r="DI30" i="6" s="1"/>
  <c r="DI31" i="6" s="1"/>
  <c r="DI32" i="6" s="1"/>
  <c r="DI33" i="6" s="1"/>
  <c r="DI53" i="6"/>
  <c r="DI26" i="6" s="1"/>
  <c r="DI55" i="6"/>
  <c r="DI28" i="6" s="1"/>
  <c r="EJ10" i="15"/>
  <c r="EK9" i="15"/>
  <c r="DZ10" i="10"/>
  <c r="EA9" i="10"/>
  <c r="DJ9" i="6"/>
  <c r="DI10" i="6"/>
  <c r="G39" i="4"/>
  <c r="G11" i="4" s="1"/>
  <c r="H39" i="4"/>
  <c r="H11" i="4" s="1"/>
  <c r="I39" i="4"/>
  <c r="I11" i="4" s="1"/>
  <c r="J39" i="4"/>
  <c r="J11" i="4" s="1"/>
  <c r="K39" i="4"/>
  <c r="K11" i="4" s="1"/>
  <c r="L39" i="4"/>
  <c r="L11" i="4" s="1"/>
  <c r="M39" i="4"/>
  <c r="M11" i="4" s="1"/>
  <c r="N39" i="4"/>
  <c r="N11" i="4" s="1"/>
  <c r="O39" i="4"/>
  <c r="O11" i="4" s="1"/>
  <c r="P39" i="4"/>
  <c r="P11" i="4" s="1"/>
  <c r="Q39" i="4"/>
  <c r="Q11" i="4" s="1"/>
  <c r="R39" i="4"/>
  <c r="R11" i="4" s="1"/>
  <c r="S39" i="4"/>
  <c r="S11" i="4" s="1"/>
  <c r="T39" i="4"/>
  <c r="T11" i="4" s="1"/>
  <c r="U39" i="4"/>
  <c r="U11" i="4" s="1"/>
  <c r="V39" i="4"/>
  <c r="V11" i="4" s="1"/>
  <c r="W39" i="4"/>
  <c r="W11" i="4" s="1"/>
  <c r="X39" i="4"/>
  <c r="X11" i="4" s="1"/>
  <c r="Y39" i="4"/>
  <c r="Y11" i="4" s="1"/>
  <c r="Z39" i="4"/>
  <c r="Z11" i="4" s="1"/>
  <c r="AA39" i="4"/>
  <c r="AA11" i="4" s="1"/>
  <c r="AB39" i="4"/>
  <c r="AB11" i="4" s="1"/>
  <c r="AC39" i="4"/>
  <c r="AC11" i="4" s="1"/>
  <c r="AD39" i="4"/>
  <c r="AD11" i="4" s="1"/>
  <c r="AE39" i="4"/>
  <c r="AE11" i="4" s="1"/>
  <c r="AF39" i="4"/>
  <c r="AF11" i="4" s="1"/>
  <c r="AG39" i="4"/>
  <c r="AG11" i="4" s="1"/>
  <c r="AH39" i="4"/>
  <c r="AH11" i="4" s="1"/>
  <c r="AI39" i="4"/>
  <c r="AI11" i="4" s="1"/>
  <c r="AJ39" i="4"/>
  <c r="AJ11" i="4" s="1"/>
  <c r="AK39" i="4"/>
  <c r="AK11" i="4" s="1"/>
  <c r="AL39" i="4"/>
  <c r="AL11" i="4" s="1"/>
  <c r="AM39" i="4"/>
  <c r="AM11" i="4" s="1"/>
  <c r="AN39" i="4"/>
  <c r="AN11" i="4" s="1"/>
  <c r="AO39" i="4"/>
  <c r="AO11" i="4" s="1"/>
  <c r="AP39" i="4"/>
  <c r="AP11" i="4" s="1"/>
  <c r="AQ39" i="4"/>
  <c r="AQ11" i="4" s="1"/>
  <c r="AR39" i="4"/>
  <c r="AR11" i="4" s="1"/>
  <c r="AS39" i="4"/>
  <c r="AS11" i="4" s="1"/>
  <c r="AT39" i="4"/>
  <c r="AT11" i="4" s="1"/>
  <c r="AU39" i="4"/>
  <c r="AU11" i="4" s="1"/>
  <c r="AV39" i="4"/>
  <c r="AV11" i="4" s="1"/>
  <c r="AW39" i="4"/>
  <c r="AW11" i="4" s="1"/>
  <c r="AX39" i="4"/>
  <c r="AX11" i="4" s="1"/>
  <c r="AY39" i="4"/>
  <c r="AY11" i="4" s="1"/>
  <c r="AZ39" i="4"/>
  <c r="AZ11" i="4" s="1"/>
  <c r="BA39" i="4"/>
  <c r="BA11" i="4" s="1"/>
  <c r="BB39" i="4"/>
  <c r="BB11" i="4" s="1"/>
  <c r="BC39" i="4"/>
  <c r="BC11" i="4" s="1"/>
  <c r="BD39" i="4"/>
  <c r="BD11" i="4" s="1"/>
  <c r="BE39" i="4"/>
  <c r="BE11" i="4" s="1"/>
  <c r="BF39" i="4"/>
  <c r="BF11" i="4" s="1"/>
  <c r="BG39" i="4"/>
  <c r="BG11" i="4" s="1"/>
  <c r="BH39" i="4"/>
  <c r="BH11" i="4" s="1"/>
  <c r="BI39" i="4"/>
  <c r="BI11" i="4" s="1"/>
  <c r="BJ39" i="4"/>
  <c r="BJ11" i="4" s="1"/>
  <c r="BK39" i="4"/>
  <c r="BK11" i="4" s="1"/>
  <c r="BL39" i="4"/>
  <c r="BL11" i="4" s="1"/>
  <c r="BM39" i="4"/>
  <c r="BM11" i="4" s="1"/>
  <c r="BN39" i="4"/>
  <c r="BN11" i="4" s="1"/>
  <c r="BO39" i="4"/>
  <c r="BO11" i="4" s="1"/>
  <c r="BP39" i="4"/>
  <c r="BP11" i="4" s="1"/>
  <c r="BQ39" i="4"/>
  <c r="BQ11" i="4" s="1"/>
  <c r="BR39" i="4"/>
  <c r="BR11" i="4" s="1"/>
  <c r="BS39" i="4"/>
  <c r="BS11" i="4" s="1"/>
  <c r="BT39" i="4"/>
  <c r="BT11" i="4" s="1"/>
  <c r="BU39" i="4"/>
  <c r="BU11" i="4" s="1"/>
  <c r="BV39" i="4"/>
  <c r="BV11" i="4" s="1"/>
  <c r="BW39" i="4"/>
  <c r="BW11" i="4" s="1"/>
  <c r="BX39" i="4"/>
  <c r="BX11" i="4" s="1"/>
  <c r="BY39" i="4"/>
  <c r="BY11" i="4" s="1"/>
  <c r="BZ39" i="4"/>
  <c r="BZ11" i="4" s="1"/>
  <c r="CA39" i="4"/>
  <c r="CA11" i="4" s="1"/>
  <c r="CB39" i="4"/>
  <c r="CB11" i="4" s="1"/>
  <c r="CC39" i="4"/>
  <c r="CC11" i="4" s="1"/>
  <c r="CD39" i="4"/>
  <c r="CD11" i="4" s="1"/>
  <c r="CE39" i="4"/>
  <c r="CE11" i="4" s="1"/>
  <c r="CF39" i="4"/>
  <c r="CF11" i="4" s="1"/>
  <c r="CG39" i="4"/>
  <c r="CG11" i="4" s="1"/>
  <c r="CH39" i="4"/>
  <c r="CH11" i="4" s="1"/>
  <c r="CI39" i="4"/>
  <c r="CI11" i="4" s="1"/>
  <c r="CJ39" i="4"/>
  <c r="CJ11" i="4" s="1"/>
  <c r="CK39" i="4"/>
  <c r="CK11" i="4" s="1"/>
  <c r="CL39" i="4"/>
  <c r="CL11" i="4" s="1"/>
  <c r="G40" i="4"/>
  <c r="G12" i="4" s="1"/>
  <c r="H40" i="4"/>
  <c r="H12" i="4" s="1"/>
  <c r="I40" i="4"/>
  <c r="I12" i="4" s="1"/>
  <c r="J40" i="4"/>
  <c r="J12" i="4" s="1"/>
  <c r="K40" i="4"/>
  <c r="K12" i="4" s="1"/>
  <c r="L40" i="4"/>
  <c r="L12" i="4" s="1"/>
  <c r="M40" i="4"/>
  <c r="M12" i="4" s="1"/>
  <c r="N40" i="4"/>
  <c r="N12" i="4" s="1"/>
  <c r="O40" i="4"/>
  <c r="O12" i="4" s="1"/>
  <c r="P40" i="4"/>
  <c r="P12" i="4" s="1"/>
  <c r="Q40" i="4"/>
  <c r="Q12" i="4" s="1"/>
  <c r="R40" i="4"/>
  <c r="R12" i="4" s="1"/>
  <c r="S40" i="4"/>
  <c r="S12" i="4" s="1"/>
  <c r="T40" i="4"/>
  <c r="T12" i="4" s="1"/>
  <c r="U40" i="4"/>
  <c r="U12" i="4" s="1"/>
  <c r="V40" i="4"/>
  <c r="V12" i="4" s="1"/>
  <c r="W40" i="4"/>
  <c r="W12" i="4" s="1"/>
  <c r="X40" i="4"/>
  <c r="X12" i="4" s="1"/>
  <c r="Y40" i="4"/>
  <c r="Y12" i="4" s="1"/>
  <c r="Z40" i="4"/>
  <c r="Z12" i="4" s="1"/>
  <c r="AA40" i="4"/>
  <c r="AA12" i="4" s="1"/>
  <c r="AB40" i="4"/>
  <c r="AB12" i="4" s="1"/>
  <c r="AC40" i="4"/>
  <c r="AC12" i="4" s="1"/>
  <c r="AD40" i="4"/>
  <c r="AD12" i="4" s="1"/>
  <c r="AE40" i="4"/>
  <c r="AE12" i="4" s="1"/>
  <c r="AF40" i="4"/>
  <c r="AF12" i="4" s="1"/>
  <c r="AG40" i="4"/>
  <c r="AG12" i="4" s="1"/>
  <c r="AH40" i="4"/>
  <c r="AH12" i="4" s="1"/>
  <c r="AI40" i="4"/>
  <c r="AI12" i="4" s="1"/>
  <c r="AJ40" i="4"/>
  <c r="AJ12" i="4" s="1"/>
  <c r="AK40" i="4"/>
  <c r="AK12" i="4" s="1"/>
  <c r="AL40" i="4"/>
  <c r="AL12" i="4" s="1"/>
  <c r="AM40" i="4"/>
  <c r="AM12" i="4" s="1"/>
  <c r="AN40" i="4"/>
  <c r="AN12" i="4" s="1"/>
  <c r="AO40" i="4"/>
  <c r="AO12" i="4" s="1"/>
  <c r="AP40" i="4"/>
  <c r="AP12" i="4" s="1"/>
  <c r="AQ40" i="4"/>
  <c r="AQ12" i="4" s="1"/>
  <c r="AR40" i="4"/>
  <c r="AR12" i="4" s="1"/>
  <c r="AS40" i="4"/>
  <c r="AS12" i="4" s="1"/>
  <c r="AT40" i="4"/>
  <c r="AT12" i="4" s="1"/>
  <c r="AU40" i="4"/>
  <c r="AU12" i="4" s="1"/>
  <c r="AV40" i="4"/>
  <c r="AV12" i="4" s="1"/>
  <c r="AW40" i="4"/>
  <c r="AW12" i="4" s="1"/>
  <c r="AX40" i="4"/>
  <c r="AX12" i="4" s="1"/>
  <c r="AY40" i="4"/>
  <c r="AY12" i="4" s="1"/>
  <c r="AZ40" i="4"/>
  <c r="AZ12" i="4" s="1"/>
  <c r="BA40" i="4"/>
  <c r="BA12" i="4" s="1"/>
  <c r="BB40" i="4"/>
  <c r="BB12" i="4" s="1"/>
  <c r="BC40" i="4"/>
  <c r="BC12" i="4" s="1"/>
  <c r="BD40" i="4"/>
  <c r="BD12" i="4" s="1"/>
  <c r="BE40" i="4"/>
  <c r="BE12" i="4" s="1"/>
  <c r="BF40" i="4"/>
  <c r="BF12" i="4" s="1"/>
  <c r="BG40" i="4"/>
  <c r="BG12" i="4" s="1"/>
  <c r="BH40" i="4"/>
  <c r="BH12" i="4" s="1"/>
  <c r="BI40" i="4"/>
  <c r="BI12" i="4" s="1"/>
  <c r="BJ40" i="4"/>
  <c r="BJ12" i="4" s="1"/>
  <c r="BK40" i="4"/>
  <c r="BK12" i="4" s="1"/>
  <c r="BL40" i="4"/>
  <c r="BL12" i="4" s="1"/>
  <c r="BM40" i="4"/>
  <c r="BM12" i="4" s="1"/>
  <c r="BN40" i="4"/>
  <c r="BN12" i="4" s="1"/>
  <c r="BO40" i="4"/>
  <c r="BO12" i="4" s="1"/>
  <c r="BP40" i="4"/>
  <c r="BP12" i="4" s="1"/>
  <c r="BQ40" i="4"/>
  <c r="BQ12" i="4" s="1"/>
  <c r="BR40" i="4"/>
  <c r="BR12" i="4" s="1"/>
  <c r="BS40" i="4"/>
  <c r="BS12" i="4" s="1"/>
  <c r="BT40" i="4"/>
  <c r="BT12" i="4" s="1"/>
  <c r="BU40" i="4"/>
  <c r="BU12" i="4" s="1"/>
  <c r="BV40" i="4"/>
  <c r="BV12" i="4" s="1"/>
  <c r="BW40" i="4"/>
  <c r="BW12" i="4" s="1"/>
  <c r="BX40" i="4"/>
  <c r="BX12" i="4" s="1"/>
  <c r="BY40" i="4"/>
  <c r="BY12" i="4" s="1"/>
  <c r="BZ40" i="4"/>
  <c r="BZ12" i="4" s="1"/>
  <c r="CA40" i="4"/>
  <c r="CA12" i="4" s="1"/>
  <c r="CB40" i="4"/>
  <c r="CB12" i="4" s="1"/>
  <c r="CC40" i="4"/>
  <c r="CC12" i="4" s="1"/>
  <c r="CD40" i="4"/>
  <c r="CD12" i="4" s="1"/>
  <c r="CE40" i="4"/>
  <c r="CE12" i="4" s="1"/>
  <c r="CF40" i="4"/>
  <c r="CF12" i="4" s="1"/>
  <c r="CG40" i="4"/>
  <c r="CG12" i="4" s="1"/>
  <c r="CH40" i="4"/>
  <c r="CH12" i="4" s="1"/>
  <c r="CI40" i="4"/>
  <c r="CI12" i="4" s="1"/>
  <c r="CJ40" i="4"/>
  <c r="CJ12" i="4" s="1"/>
  <c r="CK40" i="4"/>
  <c r="CK12" i="4" s="1"/>
  <c r="CL40" i="4"/>
  <c r="CL12" i="4" s="1"/>
  <c r="G41" i="4"/>
  <c r="G13" i="4" s="1"/>
  <c r="H41" i="4"/>
  <c r="H13" i="4" s="1"/>
  <c r="I41" i="4"/>
  <c r="I13" i="4" s="1"/>
  <c r="J41" i="4"/>
  <c r="J13" i="4" s="1"/>
  <c r="K41" i="4"/>
  <c r="K13" i="4" s="1"/>
  <c r="L41" i="4"/>
  <c r="L13" i="4" s="1"/>
  <c r="M41" i="4"/>
  <c r="M13" i="4" s="1"/>
  <c r="N41" i="4"/>
  <c r="N13" i="4" s="1"/>
  <c r="O41" i="4"/>
  <c r="O13" i="4" s="1"/>
  <c r="P41" i="4"/>
  <c r="P13" i="4" s="1"/>
  <c r="Q41" i="4"/>
  <c r="Q13" i="4" s="1"/>
  <c r="R41" i="4"/>
  <c r="R13" i="4" s="1"/>
  <c r="S41" i="4"/>
  <c r="S13" i="4" s="1"/>
  <c r="T41" i="4"/>
  <c r="T13" i="4" s="1"/>
  <c r="U41" i="4"/>
  <c r="U13" i="4" s="1"/>
  <c r="V41" i="4"/>
  <c r="V13" i="4" s="1"/>
  <c r="W41" i="4"/>
  <c r="W13" i="4" s="1"/>
  <c r="X41" i="4"/>
  <c r="X13" i="4" s="1"/>
  <c r="Y41" i="4"/>
  <c r="Y13" i="4" s="1"/>
  <c r="Z41" i="4"/>
  <c r="Z13" i="4" s="1"/>
  <c r="AA41" i="4"/>
  <c r="AA13" i="4" s="1"/>
  <c r="AB41" i="4"/>
  <c r="AB13" i="4" s="1"/>
  <c r="AC41" i="4"/>
  <c r="AC13" i="4" s="1"/>
  <c r="AD41" i="4"/>
  <c r="AD13" i="4" s="1"/>
  <c r="AE41" i="4"/>
  <c r="AE13" i="4" s="1"/>
  <c r="AF41" i="4"/>
  <c r="AF13" i="4" s="1"/>
  <c r="AG41" i="4"/>
  <c r="AG13" i="4" s="1"/>
  <c r="AH41" i="4"/>
  <c r="AH13" i="4" s="1"/>
  <c r="AI41" i="4"/>
  <c r="AI13" i="4" s="1"/>
  <c r="AJ41" i="4"/>
  <c r="AJ13" i="4" s="1"/>
  <c r="AK41" i="4"/>
  <c r="AK13" i="4" s="1"/>
  <c r="AL41" i="4"/>
  <c r="AL13" i="4" s="1"/>
  <c r="AM41" i="4"/>
  <c r="AM13" i="4" s="1"/>
  <c r="AN41" i="4"/>
  <c r="AN13" i="4" s="1"/>
  <c r="AO41" i="4"/>
  <c r="AO13" i="4" s="1"/>
  <c r="AP41" i="4"/>
  <c r="AP13" i="4" s="1"/>
  <c r="AQ41" i="4"/>
  <c r="AQ13" i="4" s="1"/>
  <c r="AR41" i="4"/>
  <c r="AR13" i="4" s="1"/>
  <c r="AS41" i="4"/>
  <c r="AS13" i="4" s="1"/>
  <c r="AT41" i="4"/>
  <c r="AT13" i="4" s="1"/>
  <c r="AU41" i="4"/>
  <c r="AU13" i="4" s="1"/>
  <c r="AV41" i="4"/>
  <c r="AV13" i="4" s="1"/>
  <c r="AW41" i="4"/>
  <c r="AW13" i="4" s="1"/>
  <c r="AX41" i="4"/>
  <c r="AX13" i="4" s="1"/>
  <c r="AY41" i="4"/>
  <c r="AY13" i="4" s="1"/>
  <c r="AZ41" i="4"/>
  <c r="AZ13" i="4" s="1"/>
  <c r="BA41" i="4"/>
  <c r="BA13" i="4" s="1"/>
  <c r="BB41" i="4"/>
  <c r="BB13" i="4" s="1"/>
  <c r="BC41" i="4"/>
  <c r="BC13" i="4" s="1"/>
  <c r="BD41" i="4"/>
  <c r="BD13" i="4" s="1"/>
  <c r="BE41" i="4"/>
  <c r="BE13" i="4" s="1"/>
  <c r="BF41" i="4"/>
  <c r="BF13" i="4" s="1"/>
  <c r="BG41" i="4"/>
  <c r="BG13" i="4" s="1"/>
  <c r="BH41" i="4"/>
  <c r="BH13" i="4" s="1"/>
  <c r="BI41" i="4"/>
  <c r="BI13" i="4" s="1"/>
  <c r="BJ41" i="4"/>
  <c r="BJ13" i="4" s="1"/>
  <c r="BK41" i="4"/>
  <c r="BK13" i="4" s="1"/>
  <c r="BL41" i="4"/>
  <c r="BL13" i="4" s="1"/>
  <c r="BM41" i="4"/>
  <c r="BM13" i="4" s="1"/>
  <c r="BN41" i="4"/>
  <c r="BN13" i="4" s="1"/>
  <c r="BO41" i="4"/>
  <c r="BO13" i="4" s="1"/>
  <c r="BP41" i="4"/>
  <c r="BP13" i="4" s="1"/>
  <c r="BQ41" i="4"/>
  <c r="BQ13" i="4" s="1"/>
  <c r="BR41" i="4"/>
  <c r="BR13" i="4" s="1"/>
  <c r="BS41" i="4"/>
  <c r="BS13" i="4" s="1"/>
  <c r="BT41" i="4"/>
  <c r="BT13" i="4" s="1"/>
  <c r="BU41" i="4"/>
  <c r="BU13" i="4" s="1"/>
  <c r="BV41" i="4"/>
  <c r="BV13" i="4" s="1"/>
  <c r="BW41" i="4"/>
  <c r="BW13" i="4" s="1"/>
  <c r="BX41" i="4"/>
  <c r="BX13" i="4" s="1"/>
  <c r="BY41" i="4"/>
  <c r="BY13" i="4" s="1"/>
  <c r="BZ41" i="4"/>
  <c r="BZ13" i="4" s="1"/>
  <c r="CA41" i="4"/>
  <c r="CA13" i="4" s="1"/>
  <c r="CB41" i="4"/>
  <c r="CB13" i="4" s="1"/>
  <c r="CC41" i="4"/>
  <c r="CC13" i="4" s="1"/>
  <c r="CD41" i="4"/>
  <c r="CD13" i="4" s="1"/>
  <c r="CE41" i="4"/>
  <c r="CE13" i="4" s="1"/>
  <c r="CF41" i="4"/>
  <c r="CF13" i="4" s="1"/>
  <c r="CG41" i="4"/>
  <c r="CG13" i="4" s="1"/>
  <c r="CH41" i="4"/>
  <c r="CH13" i="4" s="1"/>
  <c r="CI41" i="4"/>
  <c r="CI13" i="4" s="1"/>
  <c r="CJ41" i="4"/>
  <c r="CJ13" i="4" s="1"/>
  <c r="CK41" i="4"/>
  <c r="CK13" i="4" s="1"/>
  <c r="CL41" i="4"/>
  <c r="CL13" i="4" s="1"/>
  <c r="G42" i="4"/>
  <c r="G14" i="4" s="1"/>
  <c r="H42" i="4"/>
  <c r="H14" i="4" s="1"/>
  <c r="I42" i="4"/>
  <c r="I14" i="4" s="1"/>
  <c r="J42" i="4"/>
  <c r="J14" i="4" s="1"/>
  <c r="K42" i="4"/>
  <c r="K14" i="4" s="1"/>
  <c r="L42" i="4"/>
  <c r="L14" i="4" s="1"/>
  <c r="M42" i="4"/>
  <c r="M14" i="4" s="1"/>
  <c r="N42" i="4"/>
  <c r="N14" i="4" s="1"/>
  <c r="O42" i="4"/>
  <c r="O14" i="4" s="1"/>
  <c r="P42" i="4"/>
  <c r="P14" i="4" s="1"/>
  <c r="Q42" i="4"/>
  <c r="Q14" i="4" s="1"/>
  <c r="R42" i="4"/>
  <c r="R14" i="4" s="1"/>
  <c r="S42" i="4"/>
  <c r="S14" i="4" s="1"/>
  <c r="T42" i="4"/>
  <c r="T14" i="4" s="1"/>
  <c r="U42" i="4"/>
  <c r="U14" i="4" s="1"/>
  <c r="V42" i="4"/>
  <c r="V14" i="4" s="1"/>
  <c r="W42" i="4"/>
  <c r="W14" i="4" s="1"/>
  <c r="X42" i="4"/>
  <c r="X14" i="4" s="1"/>
  <c r="Y42" i="4"/>
  <c r="Y14" i="4" s="1"/>
  <c r="Z42" i="4"/>
  <c r="Z14" i="4" s="1"/>
  <c r="AA42" i="4"/>
  <c r="AA14" i="4" s="1"/>
  <c r="AB42" i="4"/>
  <c r="AB14" i="4" s="1"/>
  <c r="AC42" i="4"/>
  <c r="AC14" i="4" s="1"/>
  <c r="AD42" i="4"/>
  <c r="AD14" i="4" s="1"/>
  <c r="AE42" i="4"/>
  <c r="AE14" i="4" s="1"/>
  <c r="AF42" i="4"/>
  <c r="AF14" i="4" s="1"/>
  <c r="AG42" i="4"/>
  <c r="AG14" i="4" s="1"/>
  <c r="AH42" i="4"/>
  <c r="AH14" i="4" s="1"/>
  <c r="AI42" i="4"/>
  <c r="AI14" i="4" s="1"/>
  <c r="AJ42" i="4"/>
  <c r="AJ14" i="4" s="1"/>
  <c r="AK42" i="4"/>
  <c r="AK14" i="4" s="1"/>
  <c r="AL42" i="4"/>
  <c r="AL14" i="4" s="1"/>
  <c r="AM42" i="4"/>
  <c r="AM14" i="4" s="1"/>
  <c r="AN42" i="4"/>
  <c r="AN14" i="4" s="1"/>
  <c r="AO42" i="4"/>
  <c r="AO14" i="4" s="1"/>
  <c r="AP42" i="4"/>
  <c r="AP14" i="4" s="1"/>
  <c r="AQ42" i="4"/>
  <c r="AQ14" i="4" s="1"/>
  <c r="AR42" i="4"/>
  <c r="AR14" i="4" s="1"/>
  <c r="AS42" i="4"/>
  <c r="AS14" i="4" s="1"/>
  <c r="AT42" i="4"/>
  <c r="AT14" i="4" s="1"/>
  <c r="AU42" i="4"/>
  <c r="AU14" i="4" s="1"/>
  <c r="AV42" i="4"/>
  <c r="AV14" i="4" s="1"/>
  <c r="AW42" i="4"/>
  <c r="AW14" i="4" s="1"/>
  <c r="AX42" i="4"/>
  <c r="AX14" i="4" s="1"/>
  <c r="AY42" i="4"/>
  <c r="AY14" i="4" s="1"/>
  <c r="AZ42" i="4"/>
  <c r="AZ14" i="4" s="1"/>
  <c r="BA42" i="4"/>
  <c r="BA14" i="4" s="1"/>
  <c r="BB42" i="4"/>
  <c r="BB14" i="4" s="1"/>
  <c r="BC42" i="4"/>
  <c r="BC14" i="4" s="1"/>
  <c r="BD42" i="4"/>
  <c r="BD14" i="4" s="1"/>
  <c r="BE42" i="4"/>
  <c r="BE14" i="4" s="1"/>
  <c r="BF42" i="4"/>
  <c r="BF14" i="4" s="1"/>
  <c r="BG42" i="4"/>
  <c r="BG14" i="4" s="1"/>
  <c r="BH42" i="4"/>
  <c r="BH14" i="4" s="1"/>
  <c r="BI42" i="4"/>
  <c r="BI14" i="4" s="1"/>
  <c r="BJ42" i="4"/>
  <c r="BJ14" i="4" s="1"/>
  <c r="BK42" i="4"/>
  <c r="BK14" i="4" s="1"/>
  <c r="BL42" i="4"/>
  <c r="BL14" i="4" s="1"/>
  <c r="BM42" i="4"/>
  <c r="BM14" i="4" s="1"/>
  <c r="BN42" i="4"/>
  <c r="BN14" i="4" s="1"/>
  <c r="BO42" i="4"/>
  <c r="BO14" i="4" s="1"/>
  <c r="BP42" i="4"/>
  <c r="BP14" i="4" s="1"/>
  <c r="BQ42" i="4"/>
  <c r="BQ14" i="4" s="1"/>
  <c r="BR42" i="4"/>
  <c r="BR14" i="4" s="1"/>
  <c r="BS42" i="4"/>
  <c r="BS14" i="4" s="1"/>
  <c r="BT42" i="4"/>
  <c r="BT14" i="4" s="1"/>
  <c r="BU42" i="4"/>
  <c r="BU14" i="4" s="1"/>
  <c r="BV42" i="4"/>
  <c r="BV14" i="4" s="1"/>
  <c r="BW42" i="4"/>
  <c r="BW14" i="4" s="1"/>
  <c r="BX42" i="4"/>
  <c r="BX14" i="4" s="1"/>
  <c r="BY42" i="4"/>
  <c r="BY14" i="4" s="1"/>
  <c r="BZ42" i="4"/>
  <c r="BZ14" i="4" s="1"/>
  <c r="CA42" i="4"/>
  <c r="CA14" i="4" s="1"/>
  <c r="CB42" i="4"/>
  <c r="CB14" i="4" s="1"/>
  <c r="CC42" i="4"/>
  <c r="CC14" i="4" s="1"/>
  <c r="CD42" i="4"/>
  <c r="CD14" i="4" s="1"/>
  <c r="CE42" i="4"/>
  <c r="CE14" i="4" s="1"/>
  <c r="CF42" i="4"/>
  <c r="CF14" i="4" s="1"/>
  <c r="CG42" i="4"/>
  <c r="CG14" i="4" s="1"/>
  <c r="CH42" i="4"/>
  <c r="CH14" i="4" s="1"/>
  <c r="CI42" i="4"/>
  <c r="CI14" i="4" s="1"/>
  <c r="CJ42" i="4"/>
  <c r="CJ14" i="4" s="1"/>
  <c r="CK42" i="4"/>
  <c r="CK14" i="4" s="1"/>
  <c r="CL42" i="4"/>
  <c r="CL14" i="4" s="1"/>
  <c r="G43" i="4"/>
  <c r="G15" i="4" s="1"/>
  <c r="H43" i="4"/>
  <c r="H15" i="4" s="1"/>
  <c r="I43" i="4"/>
  <c r="I15" i="4" s="1"/>
  <c r="J43" i="4"/>
  <c r="J15" i="4" s="1"/>
  <c r="K43" i="4"/>
  <c r="K15" i="4" s="1"/>
  <c r="L43" i="4"/>
  <c r="L15" i="4" s="1"/>
  <c r="M43" i="4"/>
  <c r="M15" i="4" s="1"/>
  <c r="N43" i="4"/>
  <c r="N15" i="4" s="1"/>
  <c r="O43" i="4"/>
  <c r="O15" i="4" s="1"/>
  <c r="P43" i="4"/>
  <c r="P15" i="4" s="1"/>
  <c r="Q43" i="4"/>
  <c r="Q15" i="4" s="1"/>
  <c r="R43" i="4"/>
  <c r="R15" i="4" s="1"/>
  <c r="S43" i="4"/>
  <c r="S15" i="4" s="1"/>
  <c r="T43" i="4"/>
  <c r="T15" i="4" s="1"/>
  <c r="U43" i="4"/>
  <c r="U15" i="4" s="1"/>
  <c r="V43" i="4"/>
  <c r="V15" i="4" s="1"/>
  <c r="W43" i="4"/>
  <c r="W15" i="4" s="1"/>
  <c r="X43" i="4"/>
  <c r="X15" i="4" s="1"/>
  <c r="Y43" i="4"/>
  <c r="Y15" i="4" s="1"/>
  <c r="Z43" i="4"/>
  <c r="Z15" i="4" s="1"/>
  <c r="AA43" i="4"/>
  <c r="AA15" i="4" s="1"/>
  <c r="AB43" i="4"/>
  <c r="AB15" i="4" s="1"/>
  <c r="AC43" i="4"/>
  <c r="AC15" i="4" s="1"/>
  <c r="AD43" i="4"/>
  <c r="AD15" i="4" s="1"/>
  <c r="AE43" i="4"/>
  <c r="AE15" i="4" s="1"/>
  <c r="AF43" i="4"/>
  <c r="AF15" i="4" s="1"/>
  <c r="AG43" i="4"/>
  <c r="AG15" i="4" s="1"/>
  <c r="AH43" i="4"/>
  <c r="AH15" i="4" s="1"/>
  <c r="AI43" i="4"/>
  <c r="AI15" i="4" s="1"/>
  <c r="AJ43" i="4"/>
  <c r="AJ15" i="4" s="1"/>
  <c r="AK43" i="4"/>
  <c r="AK15" i="4" s="1"/>
  <c r="AL43" i="4"/>
  <c r="AL15" i="4" s="1"/>
  <c r="AM43" i="4"/>
  <c r="AM15" i="4" s="1"/>
  <c r="AN43" i="4"/>
  <c r="AN15" i="4" s="1"/>
  <c r="AO43" i="4"/>
  <c r="AO15" i="4" s="1"/>
  <c r="AP43" i="4"/>
  <c r="AP15" i="4" s="1"/>
  <c r="AQ43" i="4"/>
  <c r="AQ15" i="4" s="1"/>
  <c r="AR43" i="4"/>
  <c r="AR15" i="4" s="1"/>
  <c r="AS43" i="4"/>
  <c r="AS15" i="4" s="1"/>
  <c r="AT43" i="4"/>
  <c r="AT15" i="4" s="1"/>
  <c r="AU43" i="4"/>
  <c r="AU15" i="4" s="1"/>
  <c r="AV43" i="4"/>
  <c r="AV15" i="4" s="1"/>
  <c r="AW43" i="4"/>
  <c r="AW15" i="4" s="1"/>
  <c r="AX43" i="4"/>
  <c r="AX15" i="4" s="1"/>
  <c r="AY43" i="4"/>
  <c r="AY15" i="4" s="1"/>
  <c r="AZ43" i="4"/>
  <c r="AZ15" i="4" s="1"/>
  <c r="BA43" i="4"/>
  <c r="BA15" i="4" s="1"/>
  <c r="BB43" i="4"/>
  <c r="BB15" i="4" s="1"/>
  <c r="BC43" i="4"/>
  <c r="BC15" i="4" s="1"/>
  <c r="BD43" i="4"/>
  <c r="BD15" i="4" s="1"/>
  <c r="BE43" i="4"/>
  <c r="BE15" i="4" s="1"/>
  <c r="BF43" i="4"/>
  <c r="BF15" i="4" s="1"/>
  <c r="BG43" i="4"/>
  <c r="BG15" i="4" s="1"/>
  <c r="BH43" i="4"/>
  <c r="BH15" i="4" s="1"/>
  <c r="BI43" i="4"/>
  <c r="BI15" i="4" s="1"/>
  <c r="BJ43" i="4"/>
  <c r="BJ15" i="4" s="1"/>
  <c r="BK43" i="4"/>
  <c r="BK15" i="4" s="1"/>
  <c r="BL43" i="4"/>
  <c r="BL15" i="4" s="1"/>
  <c r="BM43" i="4"/>
  <c r="BM15" i="4" s="1"/>
  <c r="BN43" i="4"/>
  <c r="BN15" i="4" s="1"/>
  <c r="BO43" i="4"/>
  <c r="BO15" i="4" s="1"/>
  <c r="BP43" i="4"/>
  <c r="BP15" i="4" s="1"/>
  <c r="BQ43" i="4"/>
  <c r="BQ15" i="4" s="1"/>
  <c r="BR43" i="4"/>
  <c r="BR15" i="4" s="1"/>
  <c r="BS43" i="4"/>
  <c r="BS15" i="4" s="1"/>
  <c r="BT43" i="4"/>
  <c r="BT15" i="4" s="1"/>
  <c r="BU43" i="4"/>
  <c r="BU15" i="4" s="1"/>
  <c r="BV43" i="4"/>
  <c r="BV15" i="4" s="1"/>
  <c r="BW43" i="4"/>
  <c r="BW15" i="4" s="1"/>
  <c r="BX43" i="4"/>
  <c r="BX15" i="4" s="1"/>
  <c r="BY43" i="4"/>
  <c r="BY15" i="4" s="1"/>
  <c r="BZ43" i="4"/>
  <c r="BZ15" i="4" s="1"/>
  <c r="CA43" i="4"/>
  <c r="CA15" i="4" s="1"/>
  <c r="CB43" i="4"/>
  <c r="CB15" i="4" s="1"/>
  <c r="CC43" i="4"/>
  <c r="CC15" i="4" s="1"/>
  <c r="CD43" i="4"/>
  <c r="CD15" i="4" s="1"/>
  <c r="CE43" i="4"/>
  <c r="CE15" i="4" s="1"/>
  <c r="CF43" i="4"/>
  <c r="CF15" i="4" s="1"/>
  <c r="CG43" i="4"/>
  <c r="CG15" i="4" s="1"/>
  <c r="CH43" i="4"/>
  <c r="CH15" i="4" s="1"/>
  <c r="CI43" i="4"/>
  <c r="CI15" i="4" s="1"/>
  <c r="CJ43" i="4"/>
  <c r="CJ15" i="4" s="1"/>
  <c r="CK43" i="4"/>
  <c r="CK15" i="4" s="1"/>
  <c r="CL43" i="4"/>
  <c r="CL15" i="4" s="1"/>
  <c r="G44" i="4"/>
  <c r="G16" i="4" s="1"/>
  <c r="H44" i="4"/>
  <c r="H16" i="4" s="1"/>
  <c r="I44" i="4"/>
  <c r="I16" i="4" s="1"/>
  <c r="J44" i="4"/>
  <c r="J16" i="4" s="1"/>
  <c r="K44" i="4"/>
  <c r="K16" i="4" s="1"/>
  <c r="L44" i="4"/>
  <c r="L16" i="4" s="1"/>
  <c r="M44" i="4"/>
  <c r="M16" i="4" s="1"/>
  <c r="N44" i="4"/>
  <c r="N16" i="4" s="1"/>
  <c r="O44" i="4"/>
  <c r="O16" i="4" s="1"/>
  <c r="P44" i="4"/>
  <c r="P16" i="4" s="1"/>
  <c r="Q44" i="4"/>
  <c r="Q16" i="4" s="1"/>
  <c r="R44" i="4"/>
  <c r="R16" i="4" s="1"/>
  <c r="S44" i="4"/>
  <c r="S16" i="4" s="1"/>
  <c r="T44" i="4"/>
  <c r="T16" i="4" s="1"/>
  <c r="U44" i="4"/>
  <c r="U16" i="4" s="1"/>
  <c r="V44" i="4"/>
  <c r="V16" i="4" s="1"/>
  <c r="W44" i="4"/>
  <c r="W16" i="4" s="1"/>
  <c r="X44" i="4"/>
  <c r="X16" i="4" s="1"/>
  <c r="Y44" i="4"/>
  <c r="Y16" i="4" s="1"/>
  <c r="Z44" i="4"/>
  <c r="Z16" i="4" s="1"/>
  <c r="AA44" i="4"/>
  <c r="AA16" i="4" s="1"/>
  <c r="AB44" i="4"/>
  <c r="AB16" i="4" s="1"/>
  <c r="AC44" i="4"/>
  <c r="AC16" i="4" s="1"/>
  <c r="AD44" i="4"/>
  <c r="AD16" i="4" s="1"/>
  <c r="AE44" i="4"/>
  <c r="AE16" i="4" s="1"/>
  <c r="AF44" i="4"/>
  <c r="AF16" i="4" s="1"/>
  <c r="AG44" i="4"/>
  <c r="AG16" i="4" s="1"/>
  <c r="AH44" i="4"/>
  <c r="AH16" i="4" s="1"/>
  <c r="AI44" i="4"/>
  <c r="AI16" i="4" s="1"/>
  <c r="AJ44" i="4"/>
  <c r="AJ16" i="4" s="1"/>
  <c r="AK44" i="4"/>
  <c r="AK16" i="4" s="1"/>
  <c r="AL44" i="4"/>
  <c r="AL16" i="4" s="1"/>
  <c r="AM44" i="4"/>
  <c r="AM16" i="4" s="1"/>
  <c r="AN44" i="4"/>
  <c r="AN16" i="4" s="1"/>
  <c r="AO44" i="4"/>
  <c r="AO16" i="4" s="1"/>
  <c r="AP44" i="4"/>
  <c r="AP16" i="4" s="1"/>
  <c r="AQ44" i="4"/>
  <c r="AQ16" i="4" s="1"/>
  <c r="AR44" i="4"/>
  <c r="AR16" i="4" s="1"/>
  <c r="AS44" i="4"/>
  <c r="AS16" i="4" s="1"/>
  <c r="AT44" i="4"/>
  <c r="AT16" i="4" s="1"/>
  <c r="AU44" i="4"/>
  <c r="AU16" i="4" s="1"/>
  <c r="AV44" i="4"/>
  <c r="AV16" i="4" s="1"/>
  <c r="AW44" i="4"/>
  <c r="AW16" i="4" s="1"/>
  <c r="AX44" i="4"/>
  <c r="AX16" i="4" s="1"/>
  <c r="AY44" i="4"/>
  <c r="AY16" i="4" s="1"/>
  <c r="AZ44" i="4"/>
  <c r="AZ16" i="4" s="1"/>
  <c r="BA44" i="4"/>
  <c r="BA16" i="4" s="1"/>
  <c r="BB44" i="4"/>
  <c r="BB16" i="4" s="1"/>
  <c r="BC44" i="4"/>
  <c r="BC16" i="4" s="1"/>
  <c r="BD44" i="4"/>
  <c r="BD16" i="4" s="1"/>
  <c r="BE44" i="4"/>
  <c r="BE16" i="4" s="1"/>
  <c r="BF44" i="4"/>
  <c r="BF16" i="4" s="1"/>
  <c r="BG44" i="4"/>
  <c r="BG16" i="4" s="1"/>
  <c r="BH44" i="4"/>
  <c r="BH16" i="4" s="1"/>
  <c r="BI44" i="4"/>
  <c r="BI16" i="4" s="1"/>
  <c r="BJ44" i="4"/>
  <c r="BJ16" i="4" s="1"/>
  <c r="BK44" i="4"/>
  <c r="BK16" i="4" s="1"/>
  <c r="BL44" i="4"/>
  <c r="BL16" i="4" s="1"/>
  <c r="BM44" i="4"/>
  <c r="BM16" i="4" s="1"/>
  <c r="BN44" i="4"/>
  <c r="BN16" i="4" s="1"/>
  <c r="BO44" i="4"/>
  <c r="BO16" i="4" s="1"/>
  <c r="BP44" i="4"/>
  <c r="BP16" i="4" s="1"/>
  <c r="BQ44" i="4"/>
  <c r="BQ16" i="4" s="1"/>
  <c r="BR44" i="4"/>
  <c r="BR16" i="4" s="1"/>
  <c r="BS44" i="4"/>
  <c r="BS16" i="4" s="1"/>
  <c r="BT44" i="4"/>
  <c r="BT16" i="4" s="1"/>
  <c r="BU44" i="4"/>
  <c r="BU16" i="4" s="1"/>
  <c r="BV44" i="4"/>
  <c r="BV16" i="4" s="1"/>
  <c r="BW44" i="4"/>
  <c r="BW16" i="4" s="1"/>
  <c r="BX44" i="4"/>
  <c r="BX16" i="4" s="1"/>
  <c r="BY44" i="4"/>
  <c r="BY16" i="4" s="1"/>
  <c r="BZ44" i="4"/>
  <c r="BZ16" i="4" s="1"/>
  <c r="CA44" i="4"/>
  <c r="CA16" i="4" s="1"/>
  <c r="CB44" i="4"/>
  <c r="CB16" i="4" s="1"/>
  <c r="CC44" i="4"/>
  <c r="CC16" i="4" s="1"/>
  <c r="CD44" i="4"/>
  <c r="CD16" i="4" s="1"/>
  <c r="CE44" i="4"/>
  <c r="CE16" i="4" s="1"/>
  <c r="CF44" i="4"/>
  <c r="CF16" i="4" s="1"/>
  <c r="CG44" i="4"/>
  <c r="CG16" i="4" s="1"/>
  <c r="CH44" i="4"/>
  <c r="CH16" i="4" s="1"/>
  <c r="CI44" i="4"/>
  <c r="CI16" i="4" s="1"/>
  <c r="CJ44" i="4"/>
  <c r="CJ16" i="4" s="1"/>
  <c r="CK44" i="4"/>
  <c r="CK16" i="4" s="1"/>
  <c r="CL44" i="4"/>
  <c r="CL16" i="4" s="1"/>
  <c r="G45" i="4"/>
  <c r="G17" i="4" s="1"/>
  <c r="H45" i="4"/>
  <c r="H17" i="4" s="1"/>
  <c r="I45" i="4"/>
  <c r="I17" i="4" s="1"/>
  <c r="J45" i="4"/>
  <c r="J17" i="4" s="1"/>
  <c r="K45" i="4"/>
  <c r="K17" i="4" s="1"/>
  <c r="L45" i="4"/>
  <c r="L17" i="4" s="1"/>
  <c r="M45" i="4"/>
  <c r="M17" i="4" s="1"/>
  <c r="N45" i="4"/>
  <c r="N17" i="4" s="1"/>
  <c r="O45" i="4"/>
  <c r="O17" i="4" s="1"/>
  <c r="P45" i="4"/>
  <c r="P17" i="4" s="1"/>
  <c r="Q45" i="4"/>
  <c r="Q17" i="4" s="1"/>
  <c r="R45" i="4"/>
  <c r="R17" i="4" s="1"/>
  <c r="S45" i="4"/>
  <c r="S17" i="4" s="1"/>
  <c r="T45" i="4"/>
  <c r="T17" i="4" s="1"/>
  <c r="U45" i="4"/>
  <c r="U17" i="4" s="1"/>
  <c r="V45" i="4"/>
  <c r="V17" i="4" s="1"/>
  <c r="W45" i="4"/>
  <c r="W17" i="4" s="1"/>
  <c r="X45" i="4"/>
  <c r="X17" i="4" s="1"/>
  <c r="Y45" i="4"/>
  <c r="Y17" i="4" s="1"/>
  <c r="Z45" i="4"/>
  <c r="Z17" i="4" s="1"/>
  <c r="AA45" i="4"/>
  <c r="AA17" i="4" s="1"/>
  <c r="AB45" i="4"/>
  <c r="AB17" i="4" s="1"/>
  <c r="AC45" i="4"/>
  <c r="AC17" i="4" s="1"/>
  <c r="AD45" i="4"/>
  <c r="AD17" i="4" s="1"/>
  <c r="AE45" i="4"/>
  <c r="AE17" i="4" s="1"/>
  <c r="AF45" i="4"/>
  <c r="AF17" i="4" s="1"/>
  <c r="AG45" i="4"/>
  <c r="AG17" i="4" s="1"/>
  <c r="AH45" i="4"/>
  <c r="AH17" i="4" s="1"/>
  <c r="AI45" i="4"/>
  <c r="AI17" i="4" s="1"/>
  <c r="AJ45" i="4"/>
  <c r="AJ17" i="4" s="1"/>
  <c r="AK45" i="4"/>
  <c r="AK17" i="4" s="1"/>
  <c r="AL45" i="4"/>
  <c r="AL17" i="4" s="1"/>
  <c r="AM45" i="4"/>
  <c r="AM17" i="4" s="1"/>
  <c r="AN45" i="4"/>
  <c r="AN17" i="4" s="1"/>
  <c r="AO45" i="4"/>
  <c r="AO17" i="4" s="1"/>
  <c r="AP45" i="4"/>
  <c r="AP17" i="4" s="1"/>
  <c r="AQ45" i="4"/>
  <c r="AQ17" i="4" s="1"/>
  <c r="AR45" i="4"/>
  <c r="AR17" i="4" s="1"/>
  <c r="AS45" i="4"/>
  <c r="AS17" i="4" s="1"/>
  <c r="AT45" i="4"/>
  <c r="AT17" i="4" s="1"/>
  <c r="AU45" i="4"/>
  <c r="AU17" i="4" s="1"/>
  <c r="AV45" i="4"/>
  <c r="AV17" i="4" s="1"/>
  <c r="AW45" i="4"/>
  <c r="AW17" i="4" s="1"/>
  <c r="AX45" i="4"/>
  <c r="AX17" i="4" s="1"/>
  <c r="AY45" i="4"/>
  <c r="AY17" i="4" s="1"/>
  <c r="AZ45" i="4"/>
  <c r="AZ17" i="4" s="1"/>
  <c r="BA45" i="4"/>
  <c r="BA17" i="4" s="1"/>
  <c r="BB45" i="4"/>
  <c r="BB17" i="4" s="1"/>
  <c r="BC45" i="4"/>
  <c r="BC17" i="4" s="1"/>
  <c r="BD45" i="4"/>
  <c r="BD17" i="4" s="1"/>
  <c r="BE45" i="4"/>
  <c r="BE17" i="4" s="1"/>
  <c r="BF45" i="4"/>
  <c r="BF17" i="4" s="1"/>
  <c r="BG45" i="4"/>
  <c r="BG17" i="4" s="1"/>
  <c r="BH45" i="4"/>
  <c r="BH17" i="4" s="1"/>
  <c r="BI45" i="4"/>
  <c r="BI17" i="4" s="1"/>
  <c r="BJ45" i="4"/>
  <c r="BJ17" i="4" s="1"/>
  <c r="BK45" i="4"/>
  <c r="BK17" i="4" s="1"/>
  <c r="BL45" i="4"/>
  <c r="BL17" i="4" s="1"/>
  <c r="BM45" i="4"/>
  <c r="BM17" i="4" s="1"/>
  <c r="BN45" i="4"/>
  <c r="BN17" i="4" s="1"/>
  <c r="BO45" i="4"/>
  <c r="BO17" i="4" s="1"/>
  <c r="BP45" i="4"/>
  <c r="BP17" i="4" s="1"/>
  <c r="BQ45" i="4"/>
  <c r="BQ17" i="4" s="1"/>
  <c r="BR45" i="4"/>
  <c r="BR17" i="4" s="1"/>
  <c r="BS45" i="4"/>
  <c r="BS17" i="4" s="1"/>
  <c r="BT45" i="4"/>
  <c r="BT17" i="4" s="1"/>
  <c r="BU45" i="4"/>
  <c r="BU17" i="4" s="1"/>
  <c r="BV45" i="4"/>
  <c r="BV17" i="4" s="1"/>
  <c r="BW45" i="4"/>
  <c r="BW17" i="4" s="1"/>
  <c r="BX45" i="4"/>
  <c r="BX17" i="4" s="1"/>
  <c r="BY45" i="4"/>
  <c r="BY17" i="4" s="1"/>
  <c r="BZ45" i="4"/>
  <c r="BZ17" i="4" s="1"/>
  <c r="CA45" i="4"/>
  <c r="CA17" i="4" s="1"/>
  <c r="CB45" i="4"/>
  <c r="CB17" i="4" s="1"/>
  <c r="CC45" i="4"/>
  <c r="CC17" i="4" s="1"/>
  <c r="CD45" i="4"/>
  <c r="CD17" i="4" s="1"/>
  <c r="CE45" i="4"/>
  <c r="CE17" i="4" s="1"/>
  <c r="CF45" i="4"/>
  <c r="CF17" i="4" s="1"/>
  <c r="CG45" i="4"/>
  <c r="CG17" i="4" s="1"/>
  <c r="CH45" i="4"/>
  <c r="CH17" i="4" s="1"/>
  <c r="CI45" i="4"/>
  <c r="CI17" i="4" s="1"/>
  <c r="CJ45" i="4"/>
  <c r="CJ17" i="4" s="1"/>
  <c r="CK45" i="4"/>
  <c r="CK17" i="4" s="1"/>
  <c r="CL45" i="4"/>
  <c r="CL17" i="4" s="1"/>
  <c r="G46" i="4"/>
  <c r="G18" i="4" s="1"/>
  <c r="H46" i="4"/>
  <c r="H18" i="4" s="1"/>
  <c r="I46" i="4"/>
  <c r="I18" i="4" s="1"/>
  <c r="J46" i="4"/>
  <c r="J18" i="4" s="1"/>
  <c r="K46" i="4"/>
  <c r="K18" i="4" s="1"/>
  <c r="L46" i="4"/>
  <c r="L18" i="4" s="1"/>
  <c r="M46" i="4"/>
  <c r="M18" i="4" s="1"/>
  <c r="N46" i="4"/>
  <c r="N18" i="4" s="1"/>
  <c r="O46" i="4"/>
  <c r="O18" i="4" s="1"/>
  <c r="P46" i="4"/>
  <c r="P18" i="4" s="1"/>
  <c r="Q46" i="4"/>
  <c r="Q18" i="4" s="1"/>
  <c r="R46" i="4"/>
  <c r="R18" i="4" s="1"/>
  <c r="S46" i="4"/>
  <c r="S18" i="4" s="1"/>
  <c r="T46" i="4"/>
  <c r="T18" i="4" s="1"/>
  <c r="U46" i="4"/>
  <c r="U18" i="4" s="1"/>
  <c r="V46" i="4"/>
  <c r="V18" i="4" s="1"/>
  <c r="W46" i="4"/>
  <c r="W18" i="4" s="1"/>
  <c r="X46" i="4"/>
  <c r="X18" i="4" s="1"/>
  <c r="Y46" i="4"/>
  <c r="Y18" i="4" s="1"/>
  <c r="Z46" i="4"/>
  <c r="Z18" i="4" s="1"/>
  <c r="AA46" i="4"/>
  <c r="AA18" i="4" s="1"/>
  <c r="AB46" i="4"/>
  <c r="AB18" i="4" s="1"/>
  <c r="AC46" i="4"/>
  <c r="AC18" i="4" s="1"/>
  <c r="AD46" i="4"/>
  <c r="AD18" i="4" s="1"/>
  <c r="AE46" i="4"/>
  <c r="AE18" i="4" s="1"/>
  <c r="AF46" i="4"/>
  <c r="AF18" i="4" s="1"/>
  <c r="AG46" i="4"/>
  <c r="AG18" i="4" s="1"/>
  <c r="AH46" i="4"/>
  <c r="AH18" i="4" s="1"/>
  <c r="AI46" i="4"/>
  <c r="AI18" i="4" s="1"/>
  <c r="AJ46" i="4"/>
  <c r="AJ18" i="4" s="1"/>
  <c r="AK46" i="4"/>
  <c r="AK18" i="4" s="1"/>
  <c r="AL46" i="4"/>
  <c r="AL18" i="4" s="1"/>
  <c r="AM46" i="4"/>
  <c r="AM18" i="4" s="1"/>
  <c r="AN46" i="4"/>
  <c r="AN18" i="4" s="1"/>
  <c r="AO46" i="4"/>
  <c r="AO18" i="4" s="1"/>
  <c r="AP46" i="4"/>
  <c r="AP18" i="4" s="1"/>
  <c r="AQ46" i="4"/>
  <c r="AQ18" i="4" s="1"/>
  <c r="AR46" i="4"/>
  <c r="AR18" i="4" s="1"/>
  <c r="AS46" i="4"/>
  <c r="AS18" i="4" s="1"/>
  <c r="AT46" i="4"/>
  <c r="AT18" i="4" s="1"/>
  <c r="AU46" i="4"/>
  <c r="AU18" i="4" s="1"/>
  <c r="AV46" i="4"/>
  <c r="AV18" i="4" s="1"/>
  <c r="AW46" i="4"/>
  <c r="AW18" i="4" s="1"/>
  <c r="AX46" i="4"/>
  <c r="AX18" i="4" s="1"/>
  <c r="AY46" i="4"/>
  <c r="AY18" i="4" s="1"/>
  <c r="AZ46" i="4"/>
  <c r="AZ18" i="4" s="1"/>
  <c r="BA46" i="4"/>
  <c r="BA18" i="4" s="1"/>
  <c r="BB46" i="4"/>
  <c r="BB18" i="4" s="1"/>
  <c r="BC46" i="4"/>
  <c r="BC18" i="4" s="1"/>
  <c r="BD46" i="4"/>
  <c r="BD18" i="4" s="1"/>
  <c r="BE46" i="4"/>
  <c r="BE18" i="4" s="1"/>
  <c r="BF46" i="4"/>
  <c r="BF18" i="4" s="1"/>
  <c r="BG46" i="4"/>
  <c r="BG18" i="4" s="1"/>
  <c r="BH46" i="4"/>
  <c r="BH18" i="4" s="1"/>
  <c r="BI46" i="4"/>
  <c r="BI18" i="4" s="1"/>
  <c r="BJ46" i="4"/>
  <c r="BJ18" i="4" s="1"/>
  <c r="BK46" i="4"/>
  <c r="BK18" i="4" s="1"/>
  <c r="BL46" i="4"/>
  <c r="BL18" i="4" s="1"/>
  <c r="BM46" i="4"/>
  <c r="BM18" i="4" s="1"/>
  <c r="BN46" i="4"/>
  <c r="BN18" i="4" s="1"/>
  <c r="BO46" i="4"/>
  <c r="BO18" i="4" s="1"/>
  <c r="BP46" i="4"/>
  <c r="BP18" i="4" s="1"/>
  <c r="BQ46" i="4"/>
  <c r="BQ18" i="4" s="1"/>
  <c r="BR46" i="4"/>
  <c r="BR18" i="4" s="1"/>
  <c r="BS46" i="4"/>
  <c r="BS18" i="4" s="1"/>
  <c r="BT46" i="4"/>
  <c r="BT18" i="4" s="1"/>
  <c r="BU46" i="4"/>
  <c r="BU18" i="4" s="1"/>
  <c r="BV46" i="4"/>
  <c r="BV18" i="4" s="1"/>
  <c r="BW46" i="4"/>
  <c r="BW18" i="4" s="1"/>
  <c r="BX46" i="4"/>
  <c r="BX18" i="4" s="1"/>
  <c r="BY46" i="4"/>
  <c r="BY18" i="4" s="1"/>
  <c r="BZ46" i="4"/>
  <c r="BZ18" i="4" s="1"/>
  <c r="CA46" i="4"/>
  <c r="CA18" i="4" s="1"/>
  <c r="CB46" i="4"/>
  <c r="CB18" i="4" s="1"/>
  <c r="CC46" i="4"/>
  <c r="CC18" i="4" s="1"/>
  <c r="CD46" i="4"/>
  <c r="CD18" i="4" s="1"/>
  <c r="CE46" i="4"/>
  <c r="CE18" i="4" s="1"/>
  <c r="CF46" i="4"/>
  <c r="CF18" i="4" s="1"/>
  <c r="CG46" i="4"/>
  <c r="CG18" i="4" s="1"/>
  <c r="CH46" i="4"/>
  <c r="CH18" i="4" s="1"/>
  <c r="CI46" i="4"/>
  <c r="CI18" i="4" s="1"/>
  <c r="CJ46" i="4"/>
  <c r="CJ18" i="4" s="1"/>
  <c r="CK46" i="4"/>
  <c r="CK18" i="4" s="1"/>
  <c r="CL46" i="4"/>
  <c r="CL18" i="4" s="1"/>
  <c r="G47" i="4"/>
  <c r="G19" i="4" s="1"/>
  <c r="H47" i="4"/>
  <c r="H19" i="4" s="1"/>
  <c r="I47" i="4"/>
  <c r="I19" i="4" s="1"/>
  <c r="J47" i="4"/>
  <c r="J19" i="4" s="1"/>
  <c r="K47" i="4"/>
  <c r="K19" i="4" s="1"/>
  <c r="L47" i="4"/>
  <c r="L19" i="4" s="1"/>
  <c r="M47" i="4"/>
  <c r="M19" i="4" s="1"/>
  <c r="N47" i="4"/>
  <c r="N19" i="4" s="1"/>
  <c r="O47" i="4"/>
  <c r="O19" i="4" s="1"/>
  <c r="P47" i="4"/>
  <c r="P19" i="4" s="1"/>
  <c r="Q47" i="4"/>
  <c r="Q19" i="4" s="1"/>
  <c r="R47" i="4"/>
  <c r="R19" i="4" s="1"/>
  <c r="S47" i="4"/>
  <c r="S19" i="4" s="1"/>
  <c r="T47" i="4"/>
  <c r="T19" i="4" s="1"/>
  <c r="U47" i="4"/>
  <c r="U19" i="4" s="1"/>
  <c r="V47" i="4"/>
  <c r="V19" i="4" s="1"/>
  <c r="W47" i="4"/>
  <c r="W19" i="4" s="1"/>
  <c r="X47" i="4"/>
  <c r="X19" i="4" s="1"/>
  <c r="Y47" i="4"/>
  <c r="Y19" i="4" s="1"/>
  <c r="Z47" i="4"/>
  <c r="Z19" i="4" s="1"/>
  <c r="AA47" i="4"/>
  <c r="AA19" i="4" s="1"/>
  <c r="AB47" i="4"/>
  <c r="AB19" i="4" s="1"/>
  <c r="AC47" i="4"/>
  <c r="AC19" i="4" s="1"/>
  <c r="AD47" i="4"/>
  <c r="AD19" i="4" s="1"/>
  <c r="AE47" i="4"/>
  <c r="AE19" i="4" s="1"/>
  <c r="AF47" i="4"/>
  <c r="AF19" i="4" s="1"/>
  <c r="AG47" i="4"/>
  <c r="AG19" i="4" s="1"/>
  <c r="AH47" i="4"/>
  <c r="AH19" i="4" s="1"/>
  <c r="AI47" i="4"/>
  <c r="AI19" i="4" s="1"/>
  <c r="AJ47" i="4"/>
  <c r="AJ19" i="4" s="1"/>
  <c r="AK47" i="4"/>
  <c r="AK19" i="4" s="1"/>
  <c r="AL47" i="4"/>
  <c r="AL19" i="4" s="1"/>
  <c r="AM47" i="4"/>
  <c r="AM19" i="4" s="1"/>
  <c r="AN47" i="4"/>
  <c r="AN19" i="4" s="1"/>
  <c r="AO47" i="4"/>
  <c r="AO19" i="4" s="1"/>
  <c r="AP47" i="4"/>
  <c r="AP19" i="4" s="1"/>
  <c r="AQ47" i="4"/>
  <c r="AQ19" i="4" s="1"/>
  <c r="AR47" i="4"/>
  <c r="AR19" i="4" s="1"/>
  <c r="AS47" i="4"/>
  <c r="AS19" i="4" s="1"/>
  <c r="AT47" i="4"/>
  <c r="AT19" i="4" s="1"/>
  <c r="AU47" i="4"/>
  <c r="AU19" i="4" s="1"/>
  <c r="AV47" i="4"/>
  <c r="AV19" i="4" s="1"/>
  <c r="AW47" i="4"/>
  <c r="AW19" i="4" s="1"/>
  <c r="AX47" i="4"/>
  <c r="AX19" i="4" s="1"/>
  <c r="AY47" i="4"/>
  <c r="AY19" i="4" s="1"/>
  <c r="AZ47" i="4"/>
  <c r="AZ19" i="4" s="1"/>
  <c r="BA47" i="4"/>
  <c r="BA19" i="4" s="1"/>
  <c r="BB47" i="4"/>
  <c r="BB19" i="4" s="1"/>
  <c r="BC47" i="4"/>
  <c r="BC19" i="4" s="1"/>
  <c r="BD47" i="4"/>
  <c r="BD19" i="4" s="1"/>
  <c r="BE47" i="4"/>
  <c r="BE19" i="4" s="1"/>
  <c r="BF47" i="4"/>
  <c r="BF19" i="4" s="1"/>
  <c r="BG47" i="4"/>
  <c r="BG19" i="4" s="1"/>
  <c r="BH47" i="4"/>
  <c r="BH19" i="4" s="1"/>
  <c r="BI47" i="4"/>
  <c r="BI19" i="4" s="1"/>
  <c r="BJ47" i="4"/>
  <c r="BJ19" i="4" s="1"/>
  <c r="BK47" i="4"/>
  <c r="BK19" i="4" s="1"/>
  <c r="BL47" i="4"/>
  <c r="BL19" i="4" s="1"/>
  <c r="BM47" i="4"/>
  <c r="BM19" i="4" s="1"/>
  <c r="BN47" i="4"/>
  <c r="BN19" i="4" s="1"/>
  <c r="BO47" i="4"/>
  <c r="BO19" i="4" s="1"/>
  <c r="BP47" i="4"/>
  <c r="BP19" i="4" s="1"/>
  <c r="BQ47" i="4"/>
  <c r="BQ19" i="4" s="1"/>
  <c r="BR47" i="4"/>
  <c r="BR19" i="4" s="1"/>
  <c r="BS47" i="4"/>
  <c r="BS19" i="4" s="1"/>
  <c r="BT47" i="4"/>
  <c r="BT19" i="4" s="1"/>
  <c r="BU47" i="4"/>
  <c r="BU19" i="4" s="1"/>
  <c r="BV47" i="4"/>
  <c r="BV19" i="4" s="1"/>
  <c r="BW47" i="4"/>
  <c r="BW19" i="4" s="1"/>
  <c r="BX47" i="4"/>
  <c r="BX19" i="4" s="1"/>
  <c r="BY47" i="4"/>
  <c r="BY19" i="4" s="1"/>
  <c r="BZ47" i="4"/>
  <c r="BZ19" i="4" s="1"/>
  <c r="CA47" i="4"/>
  <c r="CA19" i="4" s="1"/>
  <c r="CB47" i="4"/>
  <c r="CB19" i="4" s="1"/>
  <c r="CC47" i="4"/>
  <c r="CC19" i="4" s="1"/>
  <c r="CD47" i="4"/>
  <c r="CD19" i="4" s="1"/>
  <c r="CE47" i="4"/>
  <c r="CE19" i="4" s="1"/>
  <c r="CF47" i="4"/>
  <c r="CF19" i="4" s="1"/>
  <c r="CG47" i="4"/>
  <c r="CG19" i="4" s="1"/>
  <c r="CH47" i="4"/>
  <c r="CH19" i="4" s="1"/>
  <c r="CI47" i="4"/>
  <c r="CI19" i="4" s="1"/>
  <c r="CJ47" i="4"/>
  <c r="CJ19" i="4" s="1"/>
  <c r="CK47" i="4"/>
  <c r="CK19" i="4" s="1"/>
  <c r="CL47" i="4"/>
  <c r="CL19" i="4" s="1"/>
  <c r="G48" i="4"/>
  <c r="G20" i="4" s="1"/>
  <c r="H48" i="4"/>
  <c r="H20" i="4" s="1"/>
  <c r="I48" i="4"/>
  <c r="I20" i="4" s="1"/>
  <c r="J48" i="4"/>
  <c r="J20" i="4" s="1"/>
  <c r="K48" i="4"/>
  <c r="K20" i="4" s="1"/>
  <c r="L48" i="4"/>
  <c r="L20" i="4" s="1"/>
  <c r="M48" i="4"/>
  <c r="M20" i="4" s="1"/>
  <c r="N48" i="4"/>
  <c r="N20" i="4" s="1"/>
  <c r="O48" i="4"/>
  <c r="O20" i="4" s="1"/>
  <c r="P48" i="4"/>
  <c r="P20" i="4" s="1"/>
  <c r="Q48" i="4"/>
  <c r="Q20" i="4" s="1"/>
  <c r="R48" i="4"/>
  <c r="R20" i="4" s="1"/>
  <c r="S48" i="4"/>
  <c r="S20" i="4" s="1"/>
  <c r="T48" i="4"/>
  <c r="T20" i="4" s="1"/>
  <c r="U48" i="4"/>
  <c r="U20" i="4" s="1"/>
  <c r="V48" i="4"/>
  <c r="V20" i="4" s="1"/>
  <c r="W48" i="4"/>
  <c r="W20" i="4" s="1"/>
  <c r="X48" i="4"/>
  <c r="X20" i="4" s="1"/>
  <c r="Y48" i="4"/>
  <c r="Y20" i="4" s="1"/>
  <c r="Z48" i="4"/>
  <c r="Z20" i="4" s="1"/>
  <c r="AA48" i="4"/>
  <c r="AA20" i="4" s="1"/>
  <c r="AB48" i="4"/>
  <c r="AB20" i="4" s="1"/>
  <c r="AC48" i="4"/>
  <c r="AC20" i="4" s="1"/>
  <c r="AD48" i="4"/>
  <c r="AD20" i="4" s="1"/>
  <c r="AE48" i="4"/>
  <c r="AE20" i="4" s="1"/>
  <c r="AF48" i="4"/>
  <c r="AF20" i="4" s="1"/>
  <c r="AG48" i="4"/>
  <c r="AG20" i="4" s="1"/>
  <c r="AH48" i="4"/>
  <c r="AH20" i="4" s="1"/>
  <c r="AI48" i="4"/>
  <c r="AI20" i="4" s="1"/>
  <c r="AJ48" i="4"/>
  <c r="AJ20" i="4" s="1"/>
  <c r="AK48" i="4"/>
  <c r="AK20" i="4" s="1"/>
  <c r="AL48" i="4"/>
  <c r="AL20" i="4" s="1"/>
  <c r="AM48" i="4"/>
  <c r="AM20" i="4" s="1"/>
  <c r="AN48" i="4"/>
  <c r="AN20" i="4" s="1"/>
  <c r="AO48" i="4"/>
  <c r="AO20" i="4" s="1"/>
  <c r="AP48" i="4"/>
  <c r="AP20" i="4" s="1"/>
  <c r="AQ48" i="4"/>
  <c r="AQ20" i="4" s="1"/>
  <c r="AR48" i="4"/>
  <c r="AR20" i="4" s="1"/>
  <c r="AS48" i="4"/>
  <c r="AS20" i="4" s="1"/>
  <c r="AT48" i="4"/>
  <c r="AT20" i="4" s="1"/>
  <c r="AU48" i="4"/>
  <c r="AU20" i="4" s="1"/>
  <c r="AV48" i="4"/>
  <c r="AV20" i="4" s="1"/>
  <c r="AW48" i="4"/>
  <c r="AW20" i="4" s="1"/>
  <c r="AX48" i="4"/>
  <c r="AX20" i="4" s="1"/>
  <c r="AY48" i="4"/>
  <c r="AY20" i="4" s="1"/>
  <c r="AZ48" i="4"/>
  <c r="AZ20" i="4" s="1"/>
  <c r="BA48" i="4"/>
  <c r="BA20" i="4" s="1"/>
  <c r="BB48" i="4"/>
  <c r="BB20" i="4" s="1"/>
  <c r="BC48" i="4"/>
  <c r="BC20" i="4" s="1"/>
  <c r="BD48" i="4"/>
  <c r="BD20" i="4" s="1"/>
  <c r="BE48" i="4"/>
  <c r="BE20" i="4" s="1"/>
  <c r="BF48" i="4"/>
  <c r="BF20" i="4" s="1"/>
  <c r="BG48" i="4"/>
  <c r="BG20" i="4" s="1"/>
  <c r="BH48" i="4"/>
  <c r="BH20" i="4" s="1"/>
  <c r="BI48" i="4"/>
  <c r="BI20" i="4" s="1"/>
  <c r="BJ48" i="4"/>
  <c r="BJ20" i="4" s="1"/>
  <c r="BK48" i="4"/>
  <c r="BK20" i="4" s="1"/>
  <c r="BL48" i="4"/>
  <c r="BL20" i="4" s="1"/>
  <c r="BM48" i="4"/>
  <c r="BM20" i="4" s="1"/>
  <c r="BN48" i="4"/>
  <c r="BN20" i="4" s="1"/>
  <c r="BO48" i="4"/>
  <c r="BO20" i="4" s="1"/>
  <c r="BP48" i="4"/>
  <c r="BP20" i="4" s="1"/>
  <c r="BQ48" i="4"/>
  <c r="BQ20" i="4" s="1"/>
  <c r="BR48" i="4"/>
  <c r="BR20" i="4" s="1"/>
  <c r="BS48" i="4"/>
  <c r="BS20" i="4" s="1"/>
  <c r="BT48" i="4"/>
  <c r="BT20" i="4" s="1"/>
  <c r="BU48" i="4"/>
  <c r="BU20" i="4" s="1"/>
  <c r="BV48" i="4"/>
  <c r="BV20" i="4" s="1"/>
  <c r="BW48" i="4"/>
  <c r="BW20" i="4" s="1"/>
  <c r="BX48" i="4"/>
  <c r="BX20" i="4" s="1"/>
  <c r="BY48" i="4"/>
  <c r="BY20" i="4" s="1"/>
  <c r="BZ48" i="4"/>
  <c r="BZ20" i="4" s="1"/>
  <c r="CA48" i="4"/>
  <c r="CA20" i="4" s="1"/>
  <c r="CB48" i="4"/>
  <c r="CB20" i="4" s="1"/>
  <c r="CC48" i="4"/>
  <c r="CC20" i="4" s="1"/>
  <c r="CD48" i="4"/>
  <c r="CD20" i="4" s="1"/>
  <c r="CE48" i="4"/>
  <c r="CE20" i="4" s="1"/>
  <c r="CF48" i="4"/>
  <c r="CF20" i="4" s="1"/>
  <c r="CG48" i="4"/>
  <c r="CG20" i="4" s="1"/>
  <c r="CH48" i="4"/>
  <c r="CH20" i="4" s="1"/>
  <c r="CI48" i="4"/>
  <c r="CI20" i="4" s="1"/>
  <c r="CJ48" i="4"/>
  <c r="CJ20" i="4" s="1"/>
  <c r="CK48" i="4"/>
  <c r="CK20" i="4" s="1"/>
  <c r="CL48" i="4"/>
  <c r="CL20" i="4" s="1"/>
  <c r="G49" i="4"/>
  <c r="G21" i="4" s="1"/>
  <c r="H49" i="4"/>
  <c r="H21" i="4" s="1"/>
  <c r="I49" i="4"/>
  <c r="I21" i="4" s="1"/>
  <c r="J49" i="4"/>
  <c r="J21" i="4" s="1"/>
  <c r="K49" i="4"/>
  <c r="K21" i="4" s="1"/>
  <c r="L49" i="4"/>
  <c r="L21" i="4" s="1"/>
  <c r="M49" i="4"/>
  <c r="M21" i="4" s="1"/>
  <c r="N49" i="4"/>
  <c r="N21" i="4" s="1"/>
  <c r="O49" i="4"/>
  <c r="O21" i="4" s="1"/>
  <c r="P49" i="4"/>
  <c r="P21" i="4" s="1"/>
  <c r="Q49" i="4"/>
  <c r="Q21" i="4" s="1"/>
  <c r="R49" i="4"/>
  <c r="R21" i="4" s="1"/>
  <c r="S49" i="4"/>
  <c r="S21" i="4" s="1"/>
  <c r="T49" i="4"/>
  <c r="T21" i="4" s="1"/>
  <c r="U49" i="4"/>
  <c r="U21" i="4" s="1"/>
  <c r="V49" i="4"/>
  <c r="V21" i="4" s="1"/>
  <c r="W49" i="4"/>
  <c r="W21" i="4" s="1"/>
  <c r="X49" i="4"/>
  <c r="X21" i="4" s="1"/>
  <c r="Y49" i="4"/>
  <c r="Y21" i="4" s="1"/>
  <c r="Z49" i="4"/>
  <c r="Z21" i="4" s="1"/>
  <c r="AA49" i="4"/>
  <c r="AA21" i="4" s="1"/>
  <c r="AB49" i="4"/>
  <c r="AB21" i="4" s="1"/>
  <c r="AC49" i="4"/>
  <c r="AC21" i="4" s="1"/>
  <c r="AD49" i="4"/>
  <c r="AD21" i="4" s="1"/>
  <c r="AE49" i="4"/>
  <c r="AE21" i="4" s="1"/>
  <c r="AF49" i="4"/>
  <c r="AF21" i="4" s="1"/>
  <c r="AG49" i="4"/>
  <c r="AG21" i="4" s="1"/>
  <c r="AH49" i="4"/>
  <c r="AH21" i="4" s="1"/>
  <c r="AI49" i="4"/>
  <c r="AI21" i="4" s="1"/>
  <c r="AJ49" i="4"/>
  <c r="AJ21" i="4" s="1"/>
  <c r="AK49" i="4"/>
  <c r="AK21" i="4" s="1"/>
  <c r="AL49" i="4"/>
  <c r="AL21" i="4" s="1"/>
  <c r="AM49" i="4"/>
  <c r="AM21" i="4" s="1"/>
  <c r="AN49" i="4"/>
  <c r="AN21" i="4" s="1"/>
  <c r="AO49" i="4"/>
  <c r="AO21" i="4" s="1"/>
  <c r="AP49" i="4"/>
  <c r="AP21" i="4" s="1"/>
  <c r="AQ49" i="4"/>
  <c r="AQ21" i="4" s="1"/>
  <c r="AR49" i="4"/>
  <c r="AR21" i="4" s="1"/>
  <c r="AS49" i="4"/>
  <c r="AS21" i="4" s="1"/>
  <c r="AT49" i="4"/>
  <c r="AT21" i="4" s="1"/>
  <c r="AU49" i="4"/>
  <c r="AU21" i="4" s="1"/>
  <c r="AV49" i="4"/>
  <c r="AV21" i="4" s="1"/>
  <c r="AW49" i="4"/>
  <c r="AW21" i="4" s="1"/>
  <c r="AX49" i="4"/>
  <c r="AX21" i="4" s="1"/>
  <c r="AY49" i="4"/>
  <c r="AY21" i="4" s="1"/>
  <c r="AZ49" i="4"/>
  <c r="AZ21" i="4" s="1"/>
  <c r="BA49" i="4"/>
  <c r="BA21" i="4" s="1"/>
  <c r="BB49" i="4"/>
  <c r="BB21" i="4" s="1"/>
  <c r="BC49" i="4"/>
  <c r="BC21" i="4" s="1"/>
  <c r="BD49" i="4"/>
  <c r="BD21" i="4" s="1"/>
  <c r="BE49" i="4"/>
  <c r="BE21" i="4" s="1"/>
  <c r="BF49" i="4"/>
  <c r="BF21" i="4" s="1"/>
  <c r="BG49" i="4"/>
  <c r="BG21" i="4" s="1"/>
  <c r="BH49" i="4"/>
  <c r="BH21" i="4" s="1"/>
  <c r="BI49" i="4"/>
  <c r="BI21" i="4" s="1"/>
  <c r="BJ49" i="4"/>
  <c r="BJ21" i="4" s="1"/>
  <c r="BK49" i="4"/>
  <c r="BK21" i="4" s="1"/>
  <c r="BL49" i="4"/>
  <c r="BL21" i="4" s="1"/>
  <c r="BM49" i="4"/>
  <c r="BM21" i="4" s="1"/>
  <c r="BN49" i="4"/>
  <c r="BN21" i="4" s="1"/>
  <c r="BO49" i="4"/>
  <c r="BO21" i="4" s="1"/>
  <c r="BP49" i="4"/>
  <c r="BP21" i="4" s="1"/>
  <c r="BQ49" i="4"/>
  <c r="BQ21" i="4" s="1"/>
  <c r="BR49" i="4"/>
  <c r="BR21" i="4" s="1"/>
  <c r="BS49" i="4"/>
  <c r="BS21" i="4" s="1"/>
  <c r="BT49" i="4"/>
  <c r="BT21" i="4" s="1"/>
  <c r="BU49" i="4"/>
  <c r="BU21" i="4" s="1"/>
  <c r="BV49" i="4"/>
  <c r="BV21" i="4" s="1"/>
  <c r="BW49" i="4"/>
  <c r="BW21" i="4" s="1"/>
  <c r="BX49" i="4"/>
  <c r="BX21" i="4" s="1"/>
  <c r="BY49" i="4"/>
  <c r="BY21" i="4" s="1"/>
  <c r="BZ49" i="4"/>
  <c r="BZ21" i="4" s="1"/>
  <c r="CA49" i="4"/>
  <c r="CA21" i="4" s="1"/>
  <c r="CB49" i="4"/>
  <c r="CB21" i="4" s="1"/>
  <c r="CC49" i="4"/>
  <c r="CC21" i="4" s="1"/>
  <c r="CD49" i="4"/>
  <c r="CD21" i="4" s="1"/>
  <c r="CE49" i="4"/>
  <c r="CE21" i="4" s="1"/>
  <c r="CF49" i="4"/>
  <c r="CF21" i="4" s="1"/>
  <c r="CG49" i="4"/>
  <c r="CG21" i="4" s="1"/>
  <c r="CH49" i="4"/>
  <c r="CH21" i="4" s="1"/>
  <c r="CI49" i="4"/>
  <c r="CI21" i="4" s="1"/>
  <c r="CJ49" i="4"/>
  <c r="CJ21" i="4" s="1"/>
  <c r="CK49" i="4"/>
  <c r="CK21" i="4" s="1"/>
  <c r="CL49" i="4"/>
  <c r="CL21" i="4" s="1"/>
  <c r="G50" i="4"/>
  <c r="G22" i="4" s="1"/>
  <c r="H50" i="4"/>
  <c r="H22" i="4" s="1"/>
  <c r="I50" i="4"/>
  <c r="I22" i="4" s="1"/>
  <c r="J50" i="4"/>
  <c r="J22" i="4" s="1"/>
  <c r="K50" i="4"/>
  <c r="K22" i="4" s="1"/>
  <c r="L50" i="4"/>
  <c r="L22" i="4" s="1"/>
  <c r="M50" i="4"/>
  <c r="M22" i="4" s="1"/>
  <c r="N50" i="4"/>
  <c r="N22" i="4" s="1"/>
  <c r="O50" i="4"/>
  <c r="O22" i="4" s="1"/>
  <c r="P50" i="4"/>
  <c r="P22" i="4" s="1"/>
  <c r="Q50" i="4"/>
  <c r="Q22" i="4" s="1"/>
  <c r="R50" i="4"/>
  <c r="R22" i="4" s="1"/>
  <c r="S50" i="4"/>
  <c r="S22" i="4" s="1"/>
  <c r="T50" i="4"/>
  <c r="T22" i="4" s="1"/>
  <c r="U50" i="4"/>
  <c r="U22" i="4" s="1"/>
  <c r="V50" i="4"/>
  <c r="V22" i="4" s="1"/>
  <c r="W50" i="4"/>
  <c r="W22" i="4" s="1"/>
  <c r="X50" i="4"/>
  <c r="X22" i="4" s="1"/>
  <c r="Y50" i="4"/>
  <c r="Y22" i="4" s="1"/>
  <c r="Z50" i="4"/>
  <c r="Z22" i="4" s="1"/>
  <c r="AA50" i="4"/>
  <c r="AA22" i="4" s="1"/>
  <c r="AB50" i="4"/>
  <c r="AB22" i="4" s="1"/>
  <c r="AC50" i="4"/>
  <c r="AC22" i="4" s="1"/>
  <c r="AD50" i="4"/>
  <c r="AD22" i="4" s="1"/>
  <c r="AE50" i="4"/>
  <c r="AE22" i="4" s="1"/>
  <c r="AF50" i="4"/>
  <c r="AF22" i="4" s="1"/>
  <c r="AG50" i="4"/>
  <c r="AG22" i="4" s="1"/>
  <c r="AH50" i="4"/>
  <c r="AH22" i="4" s="1"/>
  <c r="AI50" i="4"/>
  <c r="AI22" i="4" s="1"/>
  <c r="AJ50" i="4"/>
  <c r="AJ22" i="4" s="1"/>
  <c r="AK50" i="4"/>
  <c r="AK22" i="4" s="1"/>
  <c r="AL50" i="4"/>
  <c r="AL22" i="4" s="1"/>
  <c r="AM50" i="4"/>
  <c r="AM22" i="4" s="1"/>
  <c r="AN50" i="4"/>
  <c r="AN22" i="4" s="1"/>
  <c r="AO50" i="4"/>
  <c r="AO22" i="4" s="1"/>
  <c r="AP50" i="4"/>
  <c r="AP22" i="4" s="1"/>
  <c r="AQ50" i="4"/>
  <c r="AQ22" i="4" s="1"/>
  <c r="AR50" i="4"/>
  <c r="AR22" i="4" s="1"/>
  <c r="AS50" i="4"/>
  <c r="AS22" i="4" s="1"/>
  <c r="AT50" i="4"/>
  <c r="AT22" i="4" s="1"/>
  <c r="AU50" i="4"/>
  <c r="AU22" i="4" s="1"/>
  <c r="AV50" i="4"/>
  <c r="AV22" i="4" s="1"/>
  <c r="AW50" i="4"/>
  <c r="AW22" i="4" s="1"/>
  <c r="AX50" i="4"/>
  <c r="AX22" i="4" s="1"/>
  <c r="AY50" i="4"/>
  <c r="AY22" i="4" s="1"/>
  <c r="AZ50" i="4"/>
  <c r="AZ22" i="4" s="1"/>
  <c r="BA50" i="4"/>
  <c r="BA22" i="4" s="1"/>
  <c r="BB50" i="4"/>
  <c r="BB22" i="4" s="1"/>
  <c r="BC50" i="4"/>
  <c r="BC22" i="4" s="1"/>
  <c r="BD50" i="4"/>
  <c r="BD22" i="4" s="1"/>
  <c r="BE50" i="4"/>
  <c r="BE22" i="4" s="1"/>
  <c r="BF50" i="4"/>
  <c r="BF22" i="4" s="1"/>
  <c r="BG50" i="4"/>
  <c r="BG22" i="4" s="1"/>
  <c r="BH50" i="4"/>
  <c r="BH22" i="4" s="1"/>
  <c r="BI50" i="4"/>
  <c r="BI22" i="4" s="1"/>
  <c r="BJ50" i="4"/>
  <c r="BJ22" i="4" s="1"/>
  <c r="BK50" i="4"/>
  <c r="BK22" i="4" s="1"/>
  <c r="BL50" i="4"/>
  <c r="BL22" i="4" s="1"/>
  <c r="BM50" i="4"/>
  <c r="BM22" i="4" s="1"/>
  <c r="BN50" i="4"/>
  <c r="BN22" i="4" s="1"/>
  <c r="BO50" i="4"/>
  <c r="BO22" i="4" s="1"/>
  <c r="BP50" i="4"/>
  <c r="BP22" i="4" s="1"/>
  <c r="BQ50" i="4"/>
  <c r="BQ22" i="4" s="1"/>
  <c r="BR50" i="4"/>
  <c r="BR22" i="4" s="1"/>
  <c r="BS50" i="4"/>
  <c r="BS22" i="4" s="1"/>
  <c r="BT50" i="4"/>
  <c r="BT22" i="4" s="1"/>
  <c r="BU50" i="4"/>
  <c r="BU22" i="4" s="1"/>
  <c r="BV50" i="4"/>
  <c r="BV22" i="4" s="1"/>
  <c r="BW50" i="4"/>
  <c r="BW22" i="4" s="1"/>
  <c r="BX50" i="4"/>
  <c r="BX22" i="4" s="1"/>
  <c r="BY50" i="4"/>
  <c r="BY22" i="4" s="1"/>
  <c r="BZ50" i="4"/>
  <c r="BZ22" i="4" s="1"/>
  <c r="CA50" i="4"/>
  <c r="CA22" i="4" s="1"/>
  <c r="CB50" i="4"/>
  <c r="CB22" i="4" s="1"/>
  <c r="CC50" i="4"/>
  <c r="CC22" i="4" s="1"/>
  <c r="CD50" i="4"/>
  <c r="CD22" i="4" s="1"/>
  <c r="CE50" i="4"/>
  <c r="CE22" i="4" s="1"/>
  <c r="CF50" i="4"/>
  <c r="CF22" i="4" s="1"/>
  <c r="CG50" i="4"/>
  <c r="CG22" i="4" s="1"/>
  <c r="CH50" i="4"/>
  <c r="CH22" i="4" s="1"/>
  <c r="CI50" i="4"/>
  <c r="CI22" i="4" s="1"/>
  <c r="CJ50" i="4"/>
  <c r="CJ22" i="4" s="1"/>
  <c r="CK50" i="4"/>
  <c r="CK22" i="4" s="1"/>
  <c r="CL50" i="4"/>
  <c r="CL22" i="4" s="1"/>
  <c r="G51" i="4"/>
  <c r="G23" i="4" s="1"/>
  <c r="H51" i="4"/>
  <c r="H23" i="4" s="1"/>
  <c r="I51" i="4"/>
  <c r="I23" i="4" s="1"/>
  <c r="J51" i="4"/>
  <c r="J23" i="4" s="1"/>
  <c r="K51" i="4"/>
  <c r="K23" i="4" s="1"/>
  <c r="L51" i="4"/>
  <c r="L23" i="4" s="1"/>
  <c r="M51" i="4"/>
  <c r="M23" i="4" s="1"/>
  <c r="N51" i="4"/>
  <c r="N23" i="4" s="1"/>
  <c r="O51" i="4"/>
  <c r="O23" i="4" s="1"/>
  <c r="P51" i="4"/>
  <c r="P23" i="4" s="1"/>
  <c r="Q51" i="4"/>
  <c r="Q23" i="4" s="1"/>
  <c r="R51" i="4"/>
  <c r="R23" i="4" s="1"/>
  <c r="S51" i="4"/>
  <c r="S23" i="4" s="1"/>
  <c r="T51" i="4"/>
  <c r="T23" i="4" s="1"/>
  <c r="U51" i="4"/>
  <c r="U23" i="4" s="1"/>
  <c r="V51" i="4"/>
  <c r="V23" i="4" s="1"/>
  <c r="W51" i="4"/>
  <c r="W23" i="4" s="1"/>
  <c r="X51" i="4"/>
  <c r="X23" i="4" s="1"/>
  <c r="Y51" i="4"/>
  <c r="Y23" i="4" s="1"/>
  <c r="Z51" i="4"/>
  <c r="Z23" i="4" s="1"/>
  <c r="AA51" i="4"/>
  <c r="AA23" i="4" s="1"/>
  <c r="AB51" i="4"/>
  <c r="AB23" i="4" s="1"/>
  <c r="AC51" i="4"/>
  <c r="AC23" i="4" s="1"/>
  <c r="AD51" i="4"/>
  <c r="AD23" i="4" s="1"/>
  <c r="AE51" i="4"/>
  <c r="AE23" i="4" s="1"/>
  <c r="AF51" i="4"/>
  <c r="AF23" i="4" s="1"/>
  <c r="AG51" i="4"/>
  <c r="AG23" i="4" s="1"/>
  <c r="AH51" i="4"/>
  <c r="AH23" i="4" s="1"/>
  <c r="AI51" i="4"/>
  <c r="AI23" i="4" s="1"/>
  <c r="AJ51" i="4"/>
  <c r="AJ23" i="4" s="1"/>
  <c r="AK51" i="4"/>
  <c r="AK23" i="4" s="1"/>
  <c r="AL51" i="4"/>
  <c r="AL23" i="4" s="1"/>
  <c r="AM51" i="4"/>
  <c r="AM23" i="4" s="1"/>
  <c r="AN51" i="4"/>
  <c r="AN23" i="4" s="1"/>
  <c r="AO51" i="4"/>
  <c r="AO23" i="4" s="1"/>
  <c r="AP51" i="4"/>
  <c r="AP23" i="4" s="1"/>
  <c r="AQ51" i="4"/>
  <c r="AQ23" i="4" s="1"/>
  <c r="AR51" i="4"/>
  <c r="AR23" i="4" s="1"/>
  <c r="AS51" i="4"/>
  <c r="AS23" i="4" s="1"/>
  <c r="AT51" i="4"/>
  <c r="AT23" i="4" s="1"/>
  <c r="AU51" i="4"/>
  <c r="AU23" i="4" s="1"/>
  <c r="AV51" i="4"/>
  <c r="AV23" i="4" s="1"/>
  <c r="AW51" i="4"/>
  <c r="AW23" i="4" s="1"/>
  <c r="AX51" i="4"/>
  <c r="AX23" i="4" s="1"/>
  <c r="AY51" i="4"/>
  <c r="AY23" i="4" s="1"/>
  <c r="AZ51" i="4"/>
  <c r="AZ23" i="4" s="1"/>
  <c r="BA51" i="4"/>
  <c r="BA23" i="4" s="1"/>
  <c r="BB51" i="4"/>
  <c r="BB23" i="4" s="1"/>
  <c r="BC51" i="4"/>
  <c r="BC23" i="4" s="1"/>
  <c r="BD51" i="4"/>
  <c r="BD23" i="4" s="1"/>
  <c r="BE51" i="4"/>
  <c r="BE23" i="4" s="1"/>
  <c r="BF51" i="4"/>
  <c r="BF23" i="4" s="1"/>
  <c r="BG51" i="4"/>
  <c r="BG23" i="4" s="1"/>
  <c r="BH51" i="4"/>
  <c r="BH23" i="4" s="1"/>
  <c r="BI51" i="4"/>
  <c r="BI23" i="4" s="1"/>
  <c r="BJ51" i="4"/>
  <c r="BJ23" i="4" s="1"/>
  <c r="BK51" i="4"/>
  <c r="BK23" i="4" s="1"/>
  <c r="BL51" i="4"/>
  <c r="BL23" i="4" s="1"/>
  <c r="BM51" i="4"/>
  <c r="BM23" i="4" s="1"/>
  <c r="BN51" i="4"/>
  <c r="BN23" i="4" s="1"/>
  <c r="BO51" i="4"/>
  <c r="BO23" i="4" s="1"/>
  <c r="BP51" i="4"/>
  <c r="BP23" i="4" s="1"/>
  <c r="BQ51" i="4"/>
  <c r="BQ23" i="4" s="1"/>
  <c r="BR51" i="4"/>
  <c r="BR23" i="4" s="1"/>
  <c r="BS51" i="4"/>
  <c r="BS23" i="4" s="1"/>
  <c r="BT51" i="4"/>
  <c r="BT23" i="4" s="1"/>
  <c r="BU51" i="4"/>
  <c r="BU23" i="4" s="1"/>
  <c r="BV51" i="4"/>
  <c r="BV23" i="4" s="1"/>
  <c r="BW51" i="4"/>
  <c r="BW23" i="4" s="1"/>
  <c r="BX51" i="4"/>
  <c r="BX23" i="4" s="1"/>
  <c r="BY51" i="4"/>
  <c r="BY23" i="4" s="1"/>
  <c r="BZ51" i="4"/>
  <c r="BZ23" i="4" s="1"/>
  <c r="CA51" i="4"/>
  <c r="CA23" i="4" s="1"/>
  <c r="CB51" i="4"/>
  <c r="CB23" i="4" s="1"/>
  <c r="CC51" i="4"/>
  <c r="CC23" i="4" s="1"/>
  <c r="CD51" i="4"/>
  <c r="CD23" i="4" s="1"/>
  <c r="CE51" i="4"/>
  <c r="CE23" i="4" s="1"/>
  <c r="CF51" i="4"/>
  <c r="CF23" i="4" s="1"/>
  <c r="CG51" i="4"/>
  <c r="CG23" i="4" s="1"/>
  <c r="CH51" i="4"/>
  <c r="CH23" i="4" s="1"/>
  <c r="CI51" i="4"/>
  <c r="CI23" i="4" s="1"/>
  <c r="CJ51" i="4"/>
  <c r="CJ23" i="4" s="1"/>
  <c r="CK51" i="4"/>
  <c r="CK23" i="4" s="1"/>
  <c r="CL51" i="4"/>
  <c r="CL23" i="4" s="1"/>
  <c r="G52" i="4"/>
  <c r="G24" i="4" s="1"/>
  <c r="H52" i="4"/>
  <c r="H24" i="4" s="1"/>
  <c r="I52" i="4"/>
  <c r="I24" i="4" s="1"/>
  <c r="J52" i="4"/>
  <c r="J24" i="4" s="1"/>
  <c r="K52" i="4"/>
  <c r="K24" i="4" s="1"/>
  <c r="L52" i="4"/>
  <c r="L24" i="4" s="1"/>
  <c r="M52" i="4"/>
  <c r="M24" i="4" s="1"/>
  <c r="N52" i="4"/>
  <c r="N24" i="4" s="1"/>
  <c r="O52" i="4"/>
  <c r="O24" i="4" s="1"/>
  <c r="P52" i="4"/>
  <c r="P24" i="4" s="1"/>
  <c r="Q52" i="4"/>
  <c r="Q24" i="4" s="1"/>
  <c r="R52" i="4"/>
  <c r="R24" i="4" s="1"/>
  <c r="S52" i="4"/>
  <c r="S24" i="4" s="1"/>
  <c r="T52" i="4"/>
  <c r="T24" i="4" s="1"/>
  <c r="U52" i="4"/>
  <c r="U24" i="4" s="1"/>
  <c r="V52" i="4"/>
  <c r="V24" i="4" s="1"/>
  <c r="W52" i="4"/>
  <c r="W24" i="4" s="1"/>
  <c r="X52" i="4"/>
  <c r="X24" i="4" s="1"/>
  <c r="Y52" i="4"/>
  <c r="Y24" i="4" s="1"/>
  <c r="Z52" i="4"/>
  <c r="Z24" i="4" s="1"/>
  <c r="AA52" i="4"/>
  <c r="AA24" i="4" s="1"/>
  <c r="AB52" i="4"/>
  <c r="AB24" i="4" s="1"/>
  <c r="AC52" i="4"/>
  <c r="AC24" i="4" s="1"/>
  <c r="AD52" i="4"/>
  <c r="AD24" i="4" s="1"/>
  <c r="AE52" i="4"/>
  <c r="AE24" i="4" s="1"/>
  <c r="AF52" i="4"/>
  <c r="AF24" i="4" s="1"/>
  <c r="AG52" i="4"/>
  <c r="AG24" i="4" s="1"/>
  <c r="AH52" i="4"/>
  <c r="AH24" i="4" s="1"/>
  <c r="AI52" i="4"/>
  <c r="AI24" i="4" s="1"/>
  <c r="AJ52" i="4"/>
  <c r="AJ24" i="4" s="1"/>
  <c r="AK52" i="4"/>
  <c r="AK24" i="4" s="1"/>
  <c r="AL52" i="4"/>
  <c r="AL24" i="4" s="1"/>
  <c r="AM52" i="4"/>
  <c r="AM24" i="4" s="1"/>
  <c r="AN52" i="4"/>
  <c r="AN24" i="4" s="1"/>
  <c r="AO52" i="4"/>
  <c r="AO24" i="4" s="1"/>
  <c r="AP52" i="4"/>
  <c r="AP24" i="4" s="1"/>
  <c r="AQ52" i="4"/>
  <c r="AQ24" i="4" s="1"/>
  <c r="AR52" i="4"/>
  <c r="AR24" i="4" s="1"/>
  <c r="AS52" i="4"/>
  <c r="AS24" i="4" s="1"/>
  <c r="AT52" i="4"/>
  <c r="AT24" i="4" s="1"/>
  <c r="AU52" i="4"/>
  <c r="AU24" i="4" s="1"/>
  <c r="AV52" i="4"/>
  <c r="AV24" i="4" s="1"/>
  <c r="AW52" i="4"/>
  <c r="AW24" i="4" s="1"/>
  <c r="AX52" i="4"/>
  <c r="AX24" i="4" s="1"/>
  <c r="AY52" i="4"/>
  <c r="AY24" i="4" s="1"/>
  <c r="AZ52" i="4"/>
  <c r="AZ24" i="4" s="1"/>
  <c r="BA52" i="4"/>
  <c r="BA24" i="4" s="1"/>
  <c r="BB52" i="4"/>
  <c r="BB24" i="4" s="1"/>
  <c r="BC52" i="4"/>
  <c r="BC24" i="4" s="1"/>
  <c r="BD52" i="4"/>
  <c r="BD24" i="4" s="1"/>
  <c r="BE52" i="4"/>
  <c r="BE24" i="4" s="1"/>
  <c r="BF52" i="4"/>
  <c r="BF24" i="4" s="1"/>
  <c r="BG52" i="4"/>
  <c r="BG24" i="4" s="1"/>
  <c r="BH52" i="4"/>
  <c r="BH24" i="4" s="1"/>
  <c r="BI52" i="4"/>
  <c r="BI24" i="4" s="1"/>
  <c r="BJ52" i="4"/>
  <c r="BJ24" i="4" s="1"/>
  <c r="BK52" i="4"/>
  <c r="BK24" i="4" s="1"/>
  <c r="BL52" i="4"/>
  <c r="BL24" i="4" s="1"/>
  <c r="BM52" i="4"/>
  <c r="BM24" i="4" s="1"/>
  <c r="BN52" i="4"/>
  <c r="BN24" i="4" s="1"/>
  <c r="BO52" i="4"/>
  <c r="BO24" i="4" s="1"/>
  <c r="BP52" i="4"/>
  <c r="BP24" i="4" s="1"/>
  <c r="BQ52" i="4"/>
  <c r="BQ24" i="4" s="1"/>
  <c r="BR52" i="4"/>
  <c r="BR24" i="4" s="1"/>
  <c r="BS52" i="4"/>
  <c r="BS24" i="4" s="1"/>
  <c r="BT52" i="4"/>
  <c r="BT24" i="4" s="1"/>
  <c r="BU52" i="4"/>
  <c r="BU24" i="4" s="1"/>
  <c r="BV52" i="4"/>
  <c r="BV24" i="4" s="1"/>
  <c r="BW52" i="4"/>
  <c r="BW24" i="4" s="1"/>
  <c r="BX52" i="4"/>
  <c r="BX24" i="4" s="1"/>
  <c r="BY52" i="4"/>
  <c r="BY24" i="4" s="1"/>
  <c r="BZ52" i="4"/>
  <c r="BZ24" i="4" s="1"/>
  <c r="CA52" i="4"/>
  <c r="CA24" i="4" s="1"/>
  <c r="CB52" i="4"/>
  <c r="CB24" i="4" s="1"/>
  <c r="CC52" i="4"/>
  <c r="CC24" i="4" s="1"/>
  <c r="CD52" i="4"/>
  <c r="CD24" i="4" s="1"/>
  <c r="CE52" i="4"/>
  <c r="CE24" i="4" s="1"/>
  <c r="CF52" i="4"/>
  <c r="CF24" i="4" s="1"/>
  <c r="CG52" i="4"/>
  <c r="CG24" i="4" s="1"/>
  <c r="CH52" i="4"/>
  <c r="CH24" i="4" s="1"/>
  <c r="CI52" i="4"/>
  <c r="CI24" i="4" s="1"/>
  <c r="CJ52" i="4"/>
  <c r="CJ24" i="4" s="1"/>
  <c r="CK52" i="4"/>
  <c r="CK24" i="4" s="1"/>
  <c r="CL52" i="4"/>
  <c r="CL24" i="4" s="1"/>
  <c r="G53" i="4"/>
  <c r="G25" i="4" s="1"/>
  <c r="H53" i="4"/>
  <c r="H25" i="4" s="1"/>
  <c r="I53" i="4"/>
  <c r="I25" i="4" s="1"/>
  <c r="J53" i="4"/>
  <c r="J25" i="4" s="1"/>
  <c r="K53" i="4"/>
  <c r="K25" i="4" s="1"/>
  <c r="L53" i="4"/>
  <c r="L25" i="4" s="1"/>
  <c r="M53" i="4"/>
  <c r="M25" i="4" s="1"/>
  <c r="N53" i="4"/>
  <c r="N25" i="4" s="1"/>
  <c r="O53" i="4"/>
  <c r="O25" i="4" s="1"/>
  <c r="P53" i="4"/>
  <c r="P25" i="4" s="1"/>
  <c r="Q53" i="4"/>
  <c r="Q25" i="4" s="1"/>
  <c r="R53" i="4"/>
  <c r="R25" i="4" s="1"/>
  <c r="S53" i="4"/>
  <c r="S25" i="4" s="1"/>
  <c r="T53" i="4"/>
  <c r="T25" i="4" s="1"/>
  <c r="U53" i="4"/>
  <c r="U25" i="4" s="1"/>
  <c r="V53" i="4"/>
  <c r="V25" i="4" s="1"/>
  <c r="W53" i="4"/>
  <c r="W25" i="4" s="1"/>
  <c r="X53" i="4"/>
  <c r="X25" i="4" s="1"/>
  <c r="Y53" i="4"/>
  <c r="Y25" i="4" s="1"/>
  <c r="Z53" i="4"/>
  <c r="Z25" i="4" s="1"/>
  <c r="AA53" i="4"/>
  <c r="AA25" i="4" s="1"/>
  <c r="AB53" i="4"/>
  <c r="AB25" i="4" s="1"/>
  <c r="AC53" i="4"/>
  <c r="AC25" i="4" s="1"/>
  <c r="AD53" i="4"/>
  <c r="AD25" i="4" s="1"/>
  <c r="AE53" i="4"/>
  <c r="AE25" i="4" s="1"/>
  <c r="AF53" i="4"/>
  <c r="AF25" i="4" s="1"/>
  <c r="AG53" i="4"/>
  <c r="AG25" i="4" s="1"/>
  <c r="AH53" i="4"/>
  <c r="AH25" i="4" s="1"/>
  <c r="AI53" i="4"/>
  <c r="AI25" i="4" s="1"/>
  <c r="AJ53" i="4"/>
  <c r="AJ25" i="4" s="1"/>
  <c r="AK53" i="4"/>
  <c r="AK25" i="4" s="1"/>
  <c r="AL53" i="4"/>
  <c r="AL25" i="4" s="1"/>
  <c r="AM53" i="4"/>
  <c r="AM25" i="4" s="1"/>
  <c r="AN53" i="4"/>
  <c r="AN25" i="4" s="1"/>
  <c r="AO53" i="4"/>
  <c r="AO25" i="4" s="1"/>
  <c r="AP53" i="4"/>
  <c r="AP25" i="4" s="1"/>
  <c r="AQ53" i="4"/>
  <c r="AQ25" i="4" s="1"/>
  <c r="AR53" i="4"/>
  <c r="AR25" i="4" s="1"/>
  <c r="AS53" i="4"/>
  <c r="AS25" i="4" s="1"/>
  <c r="AT53" i="4"/>
  <c r="AT25" i="4" s="1"/>
  <c r="AU53" i="4"/>
  <c r="AU25" i="4" s="1"/>
  <c r="AV53" i="4"/>
  <c r="AV25" i="4" s="1"/>
  <c r="AW53" i="4"/>
  <c r="AW25" i="4" s="1"/>
  <c r="AX53" i="4"/>
  <c r="AX25" i="4" s="1"/>
  <c r="AY53" i="4"/>
  <c r="AY25" i="4" s="1"/>
  <c r="AZ53" i="4"/>
  <c r="AZ25" i="4" s="1"/>
  <c r="BA53" i="4"/>
  <c r="BA25" i="4" s="1"/>
  <c r="BB53" i="4"/>
  <c r="BB25" i="4" s="1"/>
  <c r="BC53" i="4"/>
  <c r="BC25" i="4" s="1"/>
  <c r="BD53" i="4"/>
  <c r="BD25" i="4" s="1"/>
  <c r="BE53" i="4"/>
  <c r="BE25" i="4" s="1"/>
  <c r="BF53" i="4"/>
  <c r="BF25" i="4" s="1"/>
  <c r="BG53" i="4"/>
  <c r="BG25" i="4" s="1"/>
  <c r="BH53" i="4"/>
  <c r="BH25" i="4" s="1"/>
  <c r="BI53" i="4"/>
  <c r="BI25" i="4" s="1"/>
  <c r="BJ53" i="4"/>
  <c r="BJ25" i="4" s="1"/>
  <c r="BK53" i="4"/>
  <c r="BK25" i="4" s="1"/>
  <c r="BL53" i="4"/>
  <c r="BL25" i="4" s="1"/>
  <c r="BM53" i="4"/>
  <c r="BM25" i="4" s="1"/>
  <c r="BN53" i="4"/>
  <c r="BN25" i="4" s="1"/>
  <c r="BO53" i="4"/>
  <c r="BO25" i="4" s="1"/>
  <c r="BP53" i="4"/>
  <c r="BP25" i="4" s="1"/>
  <c r="BQ53" i="4"/>
  <c r="BQ25" i="4" s="1"/>
  <c r="BR53" i="4"/>
  <c r="BR25" i="4" s="1"/>
  <c r="BS53" i="4"/>
  <c r="BS25" i="4" s="1"/>
  <c r="BT53" i="4"/>
  <c r="BT25" i="4" s="1"/>
  <c r="BU53" i="4"/>
  <c r="BU25" i="4" s="1"/>
  <c r="BV53" i="4"/>
  <c r="BV25" i="4" s="1"/>
  <c r="BW53" i="4"/>
  <c r="BW25" i="4" s="1"/>
  <c r="BX53" i="4"/>
  <c r="BX25" i="4" s="1"/>
  <c r="BY53" i="4"/>
  <c r="BY25" i="4" s="1"/>
  <c r="BZ53" i="4"/>
  <c r="BZ25" i="4" s="1"/>
  <c r="CA53" i="4"/>
  <c r="CA25" i="4" s="1"/>
  <c r="CB53" i="4"/>
  <c r="CB25" i="4" s="1"/>
  <c r="CC53" i="4"/>
  <c r="CC25" i="4" s="1"/>
  <c r="CD53" i="4"/>
  <c r="CD25" i="4" s="1"/>
  <c r="CE53" i="4"/>
  <c r="CE25" i="4" s="1"/>
  <c r="CF53" i="4"/>
  <c r="CF25" i="4" s="1"/>
  <c r="CG53" i="4"/>
  <c r="CG25" i="4" s="1"/>
  <c r="CH53" i="4"/>
  <c r="CH25" i="4" s="1"/>
  <c r="CI53" i="4"/>
  <c r="CI25" i="4" s="1"/>
  <c r="CJ53" i="4"/>
  <c r="CJ25" i="4" s="1"/>
  <c r="CK53" i="4"/>
  <c r="CK25" i="4" s="1"/>
  <c r="CL53" i="4"/>
  <c r="CL25" i="4" s="1"/>
  <c r="G54" i="4"/>
  <c r="G26" i="4" s="1"/>
  <c r="H54" i="4"/>
  <c r="H26" i="4" s="1"/>
  <c r="I54" i="4"/>
  <c r="I26" i="4" s="1"/>
  <c r="J54" i="4"/>
  <c r="J26" i="4" s="1"/>
  <c r="K54" i="4"/>
  <c r="K26" i="4" s="1"/>
  <c r="L54" i="4"/>
  <c r="L26" i="4" s="1"/>
  <c r="M54" i="4"/>
  <c r="M26" i="4" s="1"/>
  <c r="N54" i="4"/>
  <c r="N26" i="4" s="1"/>
  <c r="O54" i="4"/>
  <c r="O26" i="4" s="1"/>
  <c r="P54" i="4"/>
  <c r="P26" i="4" s="1"/>
  <c r="Q54" i="4"/>
  <c r="Q26" i="4" s="1"/>
  <c r="R54" i="4"/>
  <c r="R26" i="4" s="1"/>
  <c r="S54" i="4"/>
  <c r="S26" i="4" s="1"/>
  <c r="T54" i="4"/>
  <c r="T26" i="4" s="1"/>
  <c r="U54" i="4"/>
  <c r="U26" i="4" s="1"/>
  <c r="V54" i="4"/>
  <c r="V26" i="4" s="1"/>
  <c r="W54" i="4"/>
  <c r="W26" i="4" s="1"/>
  <c r="X54" i="4"/>
  <c r="X26" i="4" s="1"/>
  <c r="Y54" i="4"/>
  <c r="Y26" i="4" s="1"/>
  <c r="Z54" i="4"/>
  <c r="Z26" i="4" s="1"/>
  <c r="AA54" i="4"/>
  <c r="AA26" i="4" s="1"/>
  <c r="AB54" i="4"/>
  <c r="AB26" i="4" s="1"/>
  <c r="AC54" i="4"/>
  <c r="AC26" i="4" s="1"/>
  <c r="AD54" i="4"/>
  <c r="AD26" i="4" s="1"/>
  <c r="AE54" i="4"/>
  <c r="AE26" i="4" s="1"/>
  <c r="AF54" i="4"/>
  <c r="AF26" i="4" s="1"/>
  <c r="AG54" i="4"/>
  <c r="AG26" i="4" s="1"/>
  <c r="AH54" i="4"/>
  <c r="AH26" i="4" s="1"/>
  <c r="AI54" i="4"/>
  <c r="AI26" i="4" s="1"/>
  <c r="AJ54" i="4"/>
  <c r="AJ26" i="4" s="1"/>
  <c r="AK54" i="4"/>
  <c r="AK26" i="4" s="1"/>
  <c r="AL54" i="4"/>
  <c r="AL26" i="4" s="1"/>
  <c r="AM54" i="4"/>
  <c r="AM26" i="4" s="1"/>
  <c r="AN54" i="4"/>
  <c r="AN26" i="4" s="1"/>
  <c r="AO54" i="4"/>
  <c r="AO26" i="4" s="1"/>
  <c r="AP54" i="4"/>
  <c r="AP26" i="4" s="1"/>
  <c r="AQ54" i="4"/>
  <c r="AQ26" i="4" s="1"/>
  <c r="AR54" i="4"/>
  <c r="AR26" i="4" s="1"/>
  <c r="AS54" i="4"/>
  <c r="AS26" i="4" s="1"/>
  <c r="AT54" i="4"/>
  <c r="AT26" i="4" s="1"/>
  <c r="AU54" i="4"/>
  <c r="AU26" i="4" s="1"/>
  <c r="AV54" i="4"/>
  <c r="AV26" i="4" s="1"/>
  <c r="AW54" i="4"/>
  <c r="AW26" i="4" s="1"/>
  <c r="AX54" i="4"/>
  <c r="AX26" i="4" s="1"/>
  <c r="AY54" i="4"/>
  <c r="AY26" i="4" s="1"/>
  <c r="AZ54" i="4"/>
  <c r="AZ26" i="4" s="1"/>
  <c r="BA54" i="4"/>
  <c r="BA26" i="4" s="1"/>
  <c r="BB54" i="4"/>
  <c r="BB26" i="4" s="1"/>
  <c r="BC54" i="4"/>
  <c r="BC26" i="4" s="1"/>
  <c r="BD54" i="4"/>
  <c r="BD26" i="4" s="1"/>
  <c r="BE54" i="4"/>
  <c r="BE26" i="4" s="1"/>
  <c r="BF54" i="4"/>
  <c r="BF26" i="4" s="1"/>
  <c r="BG54" i="4"/>
  <c r="BG26" i="4" s="1"/>
  <c r="BH54" i="4"/>
  <c r="BH26" i="4" s="1"/>
  <c r="BI54" i="4"/>
  <c r="BI26" i="4" s="1"/>
  <c r="BJ54" i="4"/>
  <c r="BJ26" i="4" s="1"/>
  <c r="BK54" i="4"/>
  <c r="BK26" i="4" s="1"/>
  <c r="BL54" i="4"/>
  <c r="BL26" i="4" s="1"/>
  <c r="BM54" i="4"/>
  <c r="BM26" i="4" s="1"/>
  <c r="BN54" i="4"/>
  <c r="BN26" i="4" s="1"/>
  <c r="BO54" i="4"/>
  <c r="BO26" i="4" s="1"/>
  <c r="BP54" i="4"/>
  <c r="BP26" i="4" s="1"/>
  <c r="BQ54" i="4"/>
  <c r="BQ26" i="4" s="1"/>
  <c r="BR54" i="4"/>
  <c r="BR26" i="4" s="1"/>
  <c r="BS54" i="4"/>
  <c r="BS26" i="4" s="1"/>
  <c r="BT54" i="4"/>
  <c r="BT26" i="4" s="1"/>
  <c r="BU54" i="4"/>
  <c r="BU26" i="4" s="1"/>
  <c r="BV54" i="4"/>
  <c r="BV26" i="4" s="1"/>
  <c r="BW54" i="4"/>
  <c r="BW26" i="4" s="1"/>
  <c r="BX54" i="4"/>
  <c r="BX26" i="4" s="1"/>
  <c r="BY54" i="4"/>
  <c r="BY26" i="4" s="1"/>
  <c r="BZ54" i="4"/>
  <c r="BZ26" i="4" s="1"/>
  <c r="CA54" i="4"/>
  <c r="CA26" i="4" s="1"/>
  <c r="CB54" i="4"/>
  <c r="CB26" i="4" s="1"/>
  <c r="CC54" i="4"/>
  <c r="CC26" i="4" s="1"/>
  <c r="CD54" i="4"/>
  <c r="CD26" i="4" s="1"/>
  <c r="CE54" i="4"/>
  <c r="CE26" i="4" s="1"/>
  <c r="CF54" i="4"/>
  <c r="CF26" i="4" s="1"/>
  <c r="CG54" i="4"/>
  <c r="CG26" i="4" s="1"/>
  <c r="CH54" i="4"/>
  <c r="CH26" i="4" s="1"/>
  <c r="CI54" i="4"/>
  <c r="CI26" i="4" s="1"/>
  <c r="CJ54" i="4"/>
  <c r="CJ26" i="4" s="1"/>
  <c r="CK54" i="4"/>
  <c r="CK26" i="4" s="1"/>
  <c r="CL54" i="4"/>
  <c r="CL26" i="4" s="1"/>
  <c r="G55" i="4"/>
  <c r="G27" i="4" s="1"/>
  <c r="H55" i="4"/>
  <c r="H27" i="4" s="1"/>
  <c r="I55" i="4"/>
  <c r="I27" i="4" s="1"/>
  <c r="J55" i="4"/>
  <c r="J27" i="4" s="1"/>
  <c r="K55" i="4"/>
  <c r="K27" i="4" s="1"/>
  <c r="L55" i="4"/>
  <c r="L27" i="4" s="1"/>
  <c r="M55" i="4"/>
  <c r="M27" i="4" s="1"/>
  <c r="N55" i="4"/>
  <c r="N27" i="4" s="1"/>
  <c r="O55" i="4"/>
  <c r="O27" i="4" s="1"/>
  <c r="P55" i="4"/>
  <c r="P27" i="4" s="1"/>
  <c r="Q55" i="4"/>
  <c r="Q27" i="4" s="1"/>
  <c r="R55" i="4"/>
  <c r="R27" i="4" s="1"/>
  <c r="S55" i="4"/>
  <c r="S27" i="4" s="1"/>
  <c r="T55" i="4"/>
  <c r="T27" i="4" s="1"/>
  <c r="U55" i="4"/>
  <c r="U27" i="4" s="1"/>
  <c r="V55" i="4"/>
  <c r="V27" i="4" s="1"/>
  <c r="W55" i="4"/>
  <c r="W27" i="4" s="1"/>
  <c r="X55" i="4"/>
  <c r="X27" i="4" s="1"/>
  <c r="Y55" i="4"/>
  <c r="Y27" i="4" s="1"/>
  <c r="Z55" i="4"/>
  <c r="Z27" i="4" s="1"/>
  <c r="AA55" i="4"/>
  <c r="AA27" i="4" s="1"/>
  <c r="AB55" i="4"/>
  <c r="AB27" i="4" s="1"/>
  <c r="AC55" i="4"/>
  <c r="AC27" i="4" s="1"/>
  <c r="AD55" i="4"/>
  <c r="AD27" i="4" s="1"/>
  <c r="AE55" i="4"/>
  <c r="AE27" i="4" s="1"/>
  <c r="AF55" i="4"/>
  <c r="AF27" i="4" s="1"/>
  <c r="AG55" i="4"/>
  <c r="AG27" i="4" s="1"/>
  <c r="AH55" i="4"/>
  <c r="AH27" i="4" s="1"/>
  <c r="AI55" i="4"/>
  <c r="AI27" i="4" s="1"/>
  <c r="AJ55" i="4"/>
  <c r="AJ27" i="4" s="1"/>
  <c r="AK55" i="4"/>
  <c r="AK27" i="4" s="1"/>
  <c r="AL55" i="4"/>
  <c r="AL27" i="4" s="1"/>
  <c r="AM55" i="4"/>
  <c r="AM27" i="4" s="1"/>
  <c r="AN55" i="4"/>
  <c r="AN27" i="4" s="1"/>
  <c r="AO55" i="4"/>
  <c r="AO27" i="4" s="1"/>
  <c r="AP55" i="4"/>
  <c r="AP27" i="4" s="1"/>
  <c r="AQ55" i="4"/>
  <c r="AQ27" i="4" s="1"/>
  <c r="AR55" i="4"/>
  <c r="AR27" i="4" s="1"/>
  <c r="AS55" i="4"/>
  <c r="AS27" i="4" s="1"/>
  <c r="AT55" i="4"/>
  <c r="AT27" i="4" s="1"/>
  <c r="AU55" i="4"/>
  <c r="AU27" i="4" s="1"/>
  <c r="AV55" i="4"/>
  <c r="AV27" i="4" s="1"/>
  <c r="AW55" i="4"/>
  <c r="AW27" i="4" s="1"/>
  <c r="AX55" i="4"/>
  <c r="AX27" i="4" s="1"/>
  <c r="AY55" i="4"/>
  <c r="AY27" i="4" s="1"/>
  <c r="AZ55" i="4"/>
  <c r="AZ27" i="4" s="1"/>
  <c r="BA55" i="4"/>
  <c r="BA27" i="4" s="1"/>
  <c r="BB55" i="4"/>
  <c r="BB27" i="4" s="1"/>
  <c r="BC55" i="4"/>
  <c r="BC27" i="4" s="1"/>
  <c r="BD55" i="4"/>
  <c r="BD27" i="4" s="1"/>
  <c r="BE55" i="4"/>
  <c r="BE27" i="4" s="1"/>
  <c r="BF55" i="4"/>
  <c r="BF27" i="4" s="1"/>
  <c r="BG55" i="4"/>
  <c r="BG27" i="4" s="1"/>
  <c r="BH55" i="4"/>
  <c r="BH27" i="4" s="1"/>
  <c r="BI55" i="4"/>
  <c r="BI27" i="4" s="1"/>
  <c r="BJ55" i="4"/>
  <c r="BJ27" i="4" s="1"/>
  <c r="BK55" i="4"/>
  <c r="BK27" i="4" s="1"/>
  <c r="BL55" i="4"/>
  <c r="BL27" i="4" s="1"/>
  <c r="BM55" i="4"/>
  <c r="BM27" i="4" s="1"/>
  <c r="BN55" i="4"/>
  <c r="BN27" i="4" s="1"/>
  <c r="BO55" i="4"/>
  <c r="BO27" i="4" s="1"/>
  <c r="BP55" i="4"/>
  <c r="BP27" i="4" s="1"/>
  <c r="BQ55" i="4"/>
  <c r="BQ27" i="4" s="1"/>
  <c r="BR55" i="4"/>
  <c r="BR27" i="4" s="1"/>
  <c r="BS55" i="4"/>
  <c r="BS27" i="4" s="1"/>
  <c r="BT55" i="4"/>
  <c r="BT27" i="4" s="1"/>
  <c r="BU55" i="4"/>
  <c r="BU27" i="4" s="1"/>
  <c r="BV55" i="4"/>
  <c r="BV27" i="4" s="1"/>
  <c r="BW55" i="4"/>
  <c r="BW27" i="4" s="1"/>
  <c r="BX55" i="4"/>
  <c r="BX27" i="4" s="1"/>
  <c r="BY55" i="4"/>
  <c r="BY27" i="4" s="1"/>
  <c r="BZ55" i="4"/>
  <c r="BZ27" i="4" s="1"/>
  <c r="CA55" i="4"/>
  <c r="CA27" i="4" s="1"/>
  <c r="CB55" i="4"/>
  <c r="CB27" i="4" s="1"/>
  <c r="CC55" i="4"/>
  <c r="CC27" i="4" s="1"/>
  <c r="CD55" i="4"/>
  <c r="CD27" i="4" s="1"/>
  <c r="CE55" i="4"/>
  <c r="CE27" i="4" s="1"/>
  <c r="CF55" i="4"/>
  <c r="CF27" i="4" s="1"/>
  <c r="CG55" i="4"/>
  <c r="CG27" i="4" s="1"/>
  <c r="CH55" i="4"/>
  <c r="CH27" i="4" s="1"/>
  <c r="CI55" i="4"/>
  <c r="CI27" i="4" s="1"/>
  <c r="CJ55" i="4"/>
  <c r="CJ27" i="4" s="1"/>
  <c r="CK55" i="4"/>
  <c r="CK27" i="4" s="1"/>
  <c r="CL55" i="4"/>
  <c r="CL27" i="4" s="1"/>
  <c r="G56" i="4"/>
  <c r="G28" i="4" s="1"/>
  <c r="H56" i="4"/>
  <c r="H28" i="4" s="1"/>
  <c r="I56" i="4"/>
  <c r="I28" i="4" s="1"/>
  <c r="J56" i="4"/>
  <c r="J28" i="4" s="1"/>
  <c r="K56" i="4"/>
  <c r="K28" i="4" s="1"/>
  <c r="L56" i="4"/>
  <c r="L28" i="4" s="1"/>
  <c r="M56" i="4"/>
  <c r="M28" i="4" s="1"/>
  <c r="N56" i="4"/>
  <c r="N28" i="4" s="1"/>
  <c r="O56" i="4"/>
  <c r="O28" i="4" s="1"/>
  <c r="P56" i="4"/>
  <c r="P28" i="4" s="1"/>
  <c r="Q56" i="4"/>
  <c r="Q28" i="4" s="1"/>
  <c r="R56" i="4"/>
  <c r="R28" i="4" s="1"/>
  <c r="S56" i="4"/>
  <c r="S28" i="4" s="1"/>
  <c r="T56" i="4"/>
  <c r="T28" i="4" s="1"/>
  <c r="U56" i="4"/>
  <c r="U28" i="4" s="1"/>
  <c r="V56" i="4"/>
  <c r="V28" i="4" s="1"/>
  <c r="W56" i="4"/>
  <c r="W28" i="4" s="1"/>
  <c r="X56" i="4"/>
  <c r="X28" i="4" s="1"/>
  <c r="Y56" i="4"/>
  <c r="Y28" i="4" s="1"/>
  <c r="Z56" i="4"/>
  <c r="Z28" i="4" s="1"/>
  <c r="AA56" i="4"/>
  <c r="AA28" i="4" s="1"/>
  <c r="AB56" i="4"/>
  <c r="AB28" i="4" s="1"/>
  <c r="AC56" i="4"/>
  <c r="AC28" i="4" s="1"/>
  <c r="AD56" i="4"/>
  <c r="AD28" i="4" s="1"/>
  <c r="AE56" i="4"/>
  <c r="AE28" i="4" s="1"/>
  <c r="AF56" i="4"/>
  <c r="AF28" i="4" s="1"/>
  <c r="AG56" i="4"/>
  <c r="AG28" i="4" s="1"/>
  <c r="AH56" i="4"/>
  <c r="AH28" i="4" s="1"/>
  <c r="AI56" i="4"/>
  <c r="AI28" i="4" s="1"/>
  <c r="AJ56" i="4"/>
  <c r="AJ28" i="4" s="1"/>
  <c r="AK56" i="4"/>
  <c r="AK28" i="4" s="1"/>
  <c r="AL56" i="4"/>
  <c r="AL28" i="4" s="1"/>
  <c r="AM56" i="4"/>
  <c r="AM28" i="4" s="1"/>
  <c r="AN56" i="4"/>
  <c r="AN28" i="4" s="1"/>
  <c r="AO56" i="4"/>
  <c r="AO28" i="4" s="1"/>
  <c r="AP56" i="4"/>
  <c r="AP28" i="4" s="1"/>
  <c r="AQ56" i="4"/>
  <c r="AQ28" i="4" s="1"/>
  <c r="AR56" i="4"/>
  <c r="AR28" i="4" s="1"/>
  <c r="AS56" i="4"/>
  <c r="AS28" i="4" s="1"/>
  <c r="AT56" i="4"/>
  <c r="AT28" i="4" s="1"/>
  <c r="AU56" i="4"/>
  <c r="AU28" i="4" s="1"/>
  <c r="AV56" i="4"/>
  <c r="AV28" i="4" s="1"/>
  <c r="AW56" i="4"/>
  <c r="AW28" i="4" s="1"/>
  <c r="AX56" i="4"/>
  <c r="AX28" i="4" s="1"/>
  <c r="AY56" i="4"/>
  <c r="AY28" i="4" s="1"/>
  <c r="AZ56" i="4"/>
  <c r="AZ28" i="4" s="1"/>
  <c r="BA56" i="4"/>
  <c r="BA28" i="4" s="1"/>
  <c r="BB56" i="4"/>
  <c r="BB28" i="4" s="1"/>
  <c r="BC56" i="4"/>
  <c r="BC28" i="4" s="1"/>
  <c r="BD56" i="4"/>
  <c r="BD28" i="4" s="1"/>
  <c r="BE56" i="4"/>
  <c r="BE28" i="4" s="1"/>
  <c r="BF56" i="4"/>
  <c r="BF28" i="4" s="1"/>
  <c r="BG56" i="4"/>
  <c r="BG28" i="4" s="1"/>
  <c r="BH56" i="4"/>
  <c r="BH28" i="4" s="1"/>
  <c r="BI56" i="4"/>
  <c r="BI28" i="4" s="1"/>
  <c r="BJ56" i="4"/>
  <c r="BJ28" i="4" s="1"/>
  <c r="BK56" i="4"/>
  <c r="BK28" i="4" s="1"/>
  <c r="BL56" i="4"/>
  <c r="BL28" i="4" s="1"/>
  <c r="BM56" i="4"/>
  <c r="BM28" i="4" s="1"/>
  <c r="BN56" i="4"/>
  <c r="BN28" i="4" s="1"/>
  <c r="BO56" i="4"/>
  <c r="BO28" i="4" s="1"/>
  <c r="BP56" i="4"/>
  <c r="BP28" i="4" s="1"/>
  <c r="BQ56" i="4"/>
  <c r="BQ28" i="4" s="1"/>
  <c r="BR56" i="4"/>
  <c r="BR28" i="4" s="1"/>
  <c r="BS56" i="4"/>
  <c r="BS28" i="4" s="1"/>
  <c r="BT56" i="4"/>
  <c r="BT28" i="4" s="1"/>
  <c r="BU56" i="4"/>
  <c r="BU28" i="4" s="1"/>
  <c r="BV56" i="4"/>
  <c r="BV28" i="4" s="1"/>
  <c r="BW56" i="4"/>
  <c r="BW28" i="4" s="1"/>
  <c r="BX56" i="4"/>
  <c r="BX28" i="4" s="1"/>
  <c r="BY56" i="4"/>
  <c r="BY28" i="4" s="1"/>
  <c r="BZ56" i="4"/>
  <c r="BZ28" i="4" s="1"/>
  <c r="CA56" i="4"/>
  <c r="CA28" i="4" s="1"/>
  <c r="CB56" i="4"/>
  <c r="CB28" i="4" s="1"/>
  <c r="CC56" i="4"/>
  <c r="CC28" i="4" s="1"/>
  <c r="CD56" i="4"/>
  <c r="CD28" i="4" s="1"/>
  <c r="CE56" i="4"/>
  <c r="CE28" i="4" s="1"/>
  <c r="CF56" i="4"/>
  <c r="CF28" i="4" s="1"/>
  <c r="CG56" i="4"/>
  <c r="CG28" i="4" s="1"/>
  <c r="CH56" i="4"/>
  <c r="CH28" i="4" s="1"/>
  <c r="CI56" i="4"/>
  <c r="CI28" i="4" s="1"/>
  <c r="CJ56" i="4"/>
  <c r="CJ28" i="4" s="1"/>
  <c r="CK56" i="4"/>
  <c r="CK28" i="4" s="1"/>
  <c r="CL56" i="4"/>
  <c r="CL28" i="4" s="1"/>
  <c r="G57" i="4"/>
  <c r="G29" i="4" s="1"/>
  <c r="H57" i="4"/>
  <c r="H29" i="4" s="1"/>
  <c r="I57" i="4"/>
  <c r="I29" i="4" s="1"/>
  <c r="J57" i="4"/>
  <c r="J29" i="4" s="1"/>
  <c r="K57" i="4"/>
  <c r="K29" i="4" s="1"/>
  <c r="L57" i="4"/>
  <c r="L29" i="4" s="1"/>
  <c r="M57" i="4"/>
  <c r="M29" i="4" s="1"/>
  <c r="N57" i="4"/>
  <c r="N29" i="4" s="1"/>
  <c r="O57" i="4"/>
  <c r="O29" i="4" s="1"/>
  <c r="P57" i="4"/>
  <c r="P29" i="4" s="1"/>
  <c r="Q57" i="4"/>
  <c r="Q29" i="4" s="1"/>
  <c r="R57" i="4"/>
  <c r="R29" i="4" s="1"/>
  <c r="S57" i="4"/>
  <c r="S29" i="4" s="1"/>
  <c r="T57" i="4"/>
  <c r="T29" i="4" s="1"/>
  <c r="U57" i="4"/>
  <c r="U29" i="4" s="1"/>
  <c r="V57" i="4"/>
  <c r="V29" i="4" s="1"/>
  <c r="W57" i="4"/>
  <c r="W29" i="4" s="1"/>
  <c r="X57" i="4"/>
  <c r="X29" i="4" s="1"/>
  <c r="Y57" i="4"/>
  <c r="Y29" i="4" s="1"/>
  <c r="Z57" i="4"/>
  <c r="Z29" i="4" s="1"/>
  <c r="AA57" i="4"/>
  <c r="AA29" i="4" s="1"/>
  <c r="AB57" i="4"/>
  <c r="AB29" i="4" s="1"/>
  <c r="AC57" i="4"/>
  <c r="AC29" i="4" s="1"/>
  <c r="AD57" i="4"/>
  <c r="AD29" i="4" s="1"/>
  <c r="AE57" i="4"/>
  <c r="AE29" i="4" s="1"/>
  <c r="AF57" i="4"/>
  <c r="AF29" i="4" s="1"/>
  <c r="AG57" i="4"/>
  <c r="AG29" i="4" s="1"/>
  <c r="AH57" i="4"/>
  <c r="AH29" i="4" s="1"/>
  <c r="AI57" i="4"/>
  <c r="AI29" i="4" s="1"/>
  <c r="AJ57" i="4"/>
  <c r="AJ29" i="4" s="1"/>
  <c r="AK57" i="4"/>
  <c r="AK29" i="4" s="1"/>
  <c r="AL57" i="4"/>
  <c r="AL29" i="4" s="1"/>
  <c r="AM57" i="4"/>
  <c r="AM29" i="4" s="1"/>
  <c r="AN57" i="4"/>
  <c r="AN29" i="4" s="1"/>
  <c r="AO57" i="4"/>
  <c r="AO29" i="4" s="1"/>
  <c r="AP57" i="4"/>
  <c r="AP29" i="4" s="1"/>
  <c r="AQ57" i="4"/>
  <c r="AQ29" i="4" s="1"/>
  <c r="AR57" i="4"/>
  <c r="AR29" i="4" s="1"/>
  <c r="AS57" i="4"/>
  <c r="AS29" i="4" s="1"/>
  <c r="AT57" i="4"/>
  <c r="AT29" i="4" s="1"/>
  <c r="AU57" i="4"/>
  <c r="AU29" i="4" s="1"/>
  <c r="AV57" i="4"/>
  <c r="AV29" i="4" s="1"/>
  <c r="AW57" i="4"/>
  <c r="AW29" i="4" s="1"/>
  <c r="AX57" i="4"/>
  <c r="AX29" i="4" s="1"/>
  <c r="AY57" i="4"/>
  <c r="AY29" i="4" s="1"/>
  <c r="AZ57" i="4"/>
  <c r="AZ29" i="4" s="1"/>
  <c r="BA57" i="4"/>
  <c r="BA29" i="4" s="1"/>
  <c r="BB57" i="4"/>
  <c r="BB29" i="4" s="1"/>
  <c r="BC57" i="4"/>
  <c r="BC29" i="4" s="1"/>
  <c r="BD57" i="4"/>
  <c r="BD29" i="4" s="1"/>
  <c r="BE57" i="4"/>
  <c r="BE29" i="4" s="1"/>
  <c r="BF57" i="4"/>
  <c r="BF29" i="4" s="1"/>
  <c r="BG57" i="4"/>
  <c r="BG29" i="4" s="1"/>
  <c r="BH57" i="4"/>
  <c r="BH29" i="4" s="1"/>
  <c r="BI57" i="4"/>
  <c r="BI29" i="4" s="1"/>
  <c r="BJ57" i="4"/>
  <c r="BJ29" i="4" s="1"/>
  <c r="BK57" i="4"/>
  <c r="BK29" i="4" s="1"/>
  <c r="BL57" i="4"/>
  <c r="BL29" i="4" s="1"/>
  <c r="BM57" i="4"/>
  <c r="BM29" i="4" s="1"/>
  <c r="BN57" i="4"/>
  <c r="BN29" i="4" s="1"/>
  <c r="BO57" i="4"/>
  <c r="BO29" i="4" s="1"/>
  <c r="BP57" i="4"/>
  <c r="BP29" i="4" s="1"/>
  <c r="BQ57" i="4"/>
  <c r="BQ29" i="4" s="1"/>
  <c r="BR57" i="4"/>
  <c r="BR29" i="4" s="1"/>
  <c r="BS57" i="4"/>
  <c r="BS29" i="4" s="1"/>
  <c r="BT57" i="4"/>
  <c r="BT29" i="4" s="1"/>
  <c r="BU57" i="4"/>
  <c r="BU29" i="4" s="1"/>
  <c r="BV57" i="4"/>
  <c r="BV29" i="4" s="1"/>
  <c r="BW57" i="4"/>
  <c r="BW29" i="4" s="1"/>
  <c r="BX57" i="4"/>
  <c r="BX29" i="4" s="1"/>
  <c r="BY57" i="4"/>
  <c r="BY29" i="4" s="1"/>
  <c r="BZ57" i="4"/>
  <c r="BZ29" i="4" s="1"/>
  <c r="CA57" i="4"/>
  <c r="CA29" i="4" s="1"/>
  <c r="CB57" i="4"/>
  <c r="CB29" i="4" s="1"/>
  <c r="CC57" i="4"/>
  <c r="CC29" i="4" s="1"/>
  <c r="CD57" i="4"/>
  <c r="CD29" i="4" s="1"/>
  <c r="CE57" i="4"/>
  <c r="CE29" i="4" s="1"/>
  <c r="CF57" i="4"/>
  <c r="CF29" i="4" s="1"/>
  <c r="CG57" i="4"/>
  <c r="CG29" i="4" s="1"/>
  <c r="CH57" i="4"/>
  <c r="CH29" i="4" s="1"/>
  <c r="CI57" i="4"/>
  <c r="CI29" i="4" s="1"/>
  <c r="CJ57" i="4"/>
  <c r="CJ29" i="4" s="1"/>
  <c r="CK57" i="4"/>
  <c r="CK29" i="4" s="1"/>
  <c r="CL57" i="4"/>
  <c r="CL29" i="4" s="1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BD38" i="4"/>
  <c r="BE38" i="4"/>
  <c r="BF38" i="4"/>
  <c r="BG38" i="4"/>
  <c r="BH38" i="4"/>
  <c r="BI38" i="4"/>
  <c r="BJ38" i="4"/>
  <c r="BK38" i="4"/>
  <c r="BL38" i="4"/>
  <c r="BM38" i="4"/>
  <c r="BN38" i="4"/>
  <c r="BO38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CK38" i="4"/>
  <c r="CL38" i="4"/>
  <c r="G38" i="4"/>
  <c r="D1678" i="12" l="1"/>
  <c r="E1677" i="12"/>
  <c r="F1677" i="12"/>
  <c r="DJ39" i="6"/>
  <c r="DJ12" i="6" s="1"/>
  <c r="DJ38" i="6"/>
  <c r="DJ11" i="6" s="1"/>
  <c r="DJ40" i="6"/>
  <c r="DJ13" i="6" s="1"/>
  <c r="DJ42" i="6"/>
  <c r="DJ15" i="6" s="1"/>
  <c r="DJ41" i="6"/>
  <c r="DJ14" i="6" s="1"/>
  <c r="DJ43" i="6"/>
  <c r="DJ16" i="6" s="1"/>
  <c r="DJ45" i="6"/>
  <c r="DJ18" i="6" s="1"/>
  <c r="DJ44" i="6"/>
  <c r="DJ17" i="6" s="1"/>
  <c r="DJ46" i="6"/>
  <c r="DJ19" i="6" s="1"/>
  <c r="DJ49" i="6"/>
  <c r="DJ22" i="6" s="1"/>
  <c r="DJ47" i="6"/>
  <c r="DJ20" i="6" s="1"/>
  <c r="DJ48" i="6"/>
  <c r="DJ21" i="6" s="1"/>
  <c r="DJ51" i="6"/>
  <c r="DJ24" i="6" s="1"/>
  <c r="DJ52" i="6"/>
  <c r="DJ25" i="6" s="1"/>
  <c r="DJ50" i="6"/>
  <c r="DJ23" i="6" s="1"/>
  <c r="DJ53" i="6"/>
  <c r="DJ26" i="6" s="1"/>
  <c r="DJ54" i="6"/>
  <c r="DJ27" i="6" s="1"/>
  <c r="DJ55" i="6"/>
  <c r="DJ28" i="6" s="1"/>
  <c r="DJ56" i="6"/>
  <c r="DJ29" i="6" s="1"/>
  <c r="DJ30" i="6" s="1"/>
  <c r="DJ31" i="6" s="1"/>
  <c r="DJ32" i="6" s="1"/>
  <c r="DJ33" i="6" s="1"/>
  <c r="EK10" i="15"/>
  <c r="EL9" i="15"/>
  <c r="EA10" i="10"/>
  <c r="EB9" i="10"/>
  <c r="DK9" i="6"/>
  <c r="DJ10" i="6"/>
  <c r="CJ10" i="4"/>
  <c r="CI10" i="4"/>
  <c r="CG10" i="4"/>
  <c r="CF10" i="4"/>
  <c r="CE10" i="4"/>
  <c r="CB10" i="4"/>
  <c r="CA10" i="4"/>
  <c r="BY10" i="4"/>
  <c r="BX10" i="4"/>
  <c r="BW10" i="4"/>
  <c r="BT10" i="4"/>
  <c r="BS10" i="4"/>
  <c r="BP10" i="4"/>
  <c r="BO10" i="4"/>
  <c r="BL10" i="4"/>
  <c r="BK10" i="4"/>
  <c r="BH10" i="4"/>
  <c r="BG10" i="4"/>
  <c r="BD10" i="4"/>
  <c r="BC10" i="4"/>
  <c r="AZ10" i="4"/>
  <c r="AY10" i="4"/>
  <c r="AV10" i="4"/>
  <c r="AU10" i="4"/>
  <c r="AR10" i="4"/>
  <c r="AQ10" i="4"/>
  <c r="AN10" i="4"/>
  <c r="AM10" i="4"/>
  <c r="AJ10" i="4"/>
  <c r="AI10" i="4"/>
  <c r="AF10" i="4"/>
  <c r="AE10" i="4"/>
  <c r="AB10" i="4"/>
  <c r="AA10" i="4"/>
  <c r="X10" i="4"/>
  <c r="W10" i="4"/>
  <c r="T10" i="4"/>
  <c r="S10" i="4"/>
  <c r="P10" i="4"/>
  <c r="O10" i="4"/>
  <c r="L10" i="4"/>
  <c r="K10" i="4"/>
  <c r="H10" i="4"/>
  <c r="G10" i="4"/>
  <c r="CL10" i="4"/>
  <c r="CK10" i="4"/>
  <c r="CH10" i="4"/>
  <c r="CD10" i="4"/>
  <c r="CC10" i="4"/>
  <c r="BZ10" i="4"/>
  <c r="BV10" i="4"/>
  <c r="BU10" i="4"/>
  <c r="BR10" i="4"/>
  <c r="BQ10" i="4"/>
  <c r="BN10" i="4"/>
  <c r="BM10" i="4"/>
  <c r="BJ10" i="4"/>
  <c r="BI10" i="4"/>
  <c r="BF10" i="4"/>
  <c r="BE10" i="4"/>
  <c r="BB10" i="4"/>
  <c r="BA10" i="4"/>
  <c r="AX10" i="4"/>
  <c r="AW10" i="4"/>
  <c r="AT10" i="4"/>
  <c r="AS10" i="4"/>
  <c r="AP10" i="4"/>
  <c r="AO10" i="4"/>
  <c r="AL10" i="4"/>
  <c r="AK10" i="4"/>
  <c r="AH10" i="4"/>
  <c r="AG10" i="4"/>
  <c r="AD10" i="4"/>
  <c r="AC10" i="4"/>
  <c r="Z10" i="4"/>
  <c r="Y10" i="4"/>
  <c r="V10" i="4"/>
  <c r="U10" i="4"/>
  <c r="R10" i="4"/>
  <c r="Q10" i="4"/>
  <c r="N10" i="4"/>
  <c r="M10" i="4"/>
  <c r="J10" i="4"/>
  <c r="I10" i="4"/>
  <c r="D1679" i="12" l="1"/>
  <c r="F1678" i="12"/>
  <c r="E1678" i="12"/>
  <c r="DK40" i="6"/>
  <c r="DK13" i="6" s="1"/>
  <c r="DK39" i="6"/>
  <c r="DK12" i="6" s="1"/>
  <c r="DK38" i="6"/>
  <c r="DK11" i="6" s="1"/>
  <c r="DK41" i="6"/>
  <c r="DK14" i="6" s="1"/>
  <c r="DK45" i="6"/>
  <c r="DK18" i="6" s="1"/>
  <c r="DK43" i="6"/>
  <c r="DK16" i="6" s="1"/>
  <c r="DK46" i="6"/>
  <c r="DK19" i="6" s="1"/>
  <c r="DK44" i="6"/>
  <c r="DK17" i="6" s="1"/>
  <c r="DK42" i="6"/>
  <c r="DK15" i="6" s="1"/>
  <c r="DK49" i="6"/>
  <c r="DK22" i="6" s="1"/>
  <c r="DK47" i="6"/>
  <c r="DK20" i="6" s="1"/>
  <c r="DK48" i="6"/>
  <c r="DK21" i="6" s="1"/>
  <c r="DK53" i="6"/>
  <c r="DK26" i="6" s="1"/>
  <c r="DK51" i="6"/>
  <c r="DK24" i="6" s="1"/>
  <c r="DK50" i="6"/>
  <c r="DK23" i="6" s="1"/>
  <c r="DK56" i="6"/>
  <c r="DK29" i="6" s="1"/>
  <c r="DK30" i="6" s="1"/>
  <c r="DK31" i="6" s="1"/>
  <c r="DK32" i="6" s="1"/>
  <c r="DK33" i="6" s="1"/>
  <c r="DK52" i="6"/>
  <c r="DK25" i="6" s="1"/>
  <c r="DK55" i="6"/>
  <c r="DK28" i="6" s="1"/>
  <c r="DK54" i="6"/>
  <c r="DK27" i="6" s="1"/>
  <c r="EL10" i="15"/>
  <c r="EM9" i="15"/>
  <c r="EB10" i="10"/>
  <c r="EC9" i="10"/>
  <c r="DL9" i="6"/>
  <c r="DK10" i="6"/>
  <c r="D1680" i="12" l="1"/>
  <c r="F1679" i="12"/>
  <c r="E1679" i="12"/>
  <c r="DL38" i="6"/>
  <c r="DL11" i="6" s="1"/>
  <c r="DL41" i="6"/>
  <c r="DL14" i="6" s="1"/>
  <c r="DL43" i="6"/>
  <c r="DL16" i="6" s="1"/>
  <c r="DL42" i="6"/>
  <c r="DL15" i="6" s="1"/>
  <c r="DL39" i="6"/>
  <c r="DL12" i="6" s="1"/>
  <c r="DL40" i="6"/>
  <c r="DL13" i="6" s="1"/>
  <c r="DL45" i="6"/>
  <c r="DL18" i="6" s="1"/>
  <c r="DL44" i="6"/>
  <c r="DL17" i="6" s="1"/>
  <c r="DL46" i="6"/>
  <c r="DL19" i="6" s="1"/>
  <c r="DL48" i="6"/>
  <c r="DL21" i="6" s="1"/>
  <c r="DL47" i="6"/>
  <c r="DL20" i="6" s="1"/>
  <c r="DL49" i="6"/>
  <c r="DL22" i="6" s="1"/>
  <c r="DL52" i="6"/>
  <c r="DL25" i="6" s="1"/>
  <c r="DL53" i="6"/>
  <c r="DL26" i="6" s="1"/>
  <c r="DL51" i="6"/>
  <c r="DL24" i="6" s="1"/>
  <c r="DL50" i="6"/>
  <c r="DL23" i="6" s="1"/>
  <c r="DL54" i="6"/>
  <c r="DL27" i="6" s="1"/>
  <c r="DL55" i="6"/>
  <c r="DL28" i="6" s="1"/>
  <c r="DL56" i="6"/>
  <c r="DL29" i="6" s="1"/>
  <c r="DL30" i="6" s="1"/>
  <c r="DL31" i="6" s="1"/>
  <c r="DL32" i="6" s="1"/>
  <c r="DL33" i="6" s="1"/>
  <c r="EM10" i="15"/>
  <c r="EN9" i="15"/>
  <c r="EC10" i="10"/>
  <c r="ED9" i="10"/>
  <c r="DM9" i="6"/>
  <c r="DL10" i="6"/>
  <c r="D1681" i="12" l="1"/>
  <c r="F1680" i="12"/>
  <c r="E1680" i="12"/>
  <c r="DM38" i="6"/>
  <c r="DM11" i="6" s="1"/>
  <c r="DM41" i="6"/>
  <c r="DM14" i="6" s="1"/>
  <c r="DM39" i="6"/>
  <c r="DM12" i="6" s="1"/>
  <c r="DM40" i="6"/>
  <c r="DM13" i="6" s="1"/>
  <c r="DM42" i="6"/>
  <c r="DM15" i="6" s="1"/>
  <c r="DM44" i="6"/>
  <c r="DM17" i="6" s="1"/>
  <c r="DM45" i="6"/>
  <c r="DM18" i="6" s="1"/>
  <c r="DM50" i="6"/>
  <c r="DM23" i="6" s="1"/>
  <c r="DM48" i="6"/>
  <c r="DM21" i="6" s="1"/>
  <c r="DM46" i="6"/>
  <c r="DM19" i="6" s="1"/>
  <c r="DM55" i="6"/>
  <c r="DM28" i="6" s="1"/>
  <c r="DM54" i="6"/>
  <c r="DM27" i="6" s="1"/>
  <c r="DM43" i="6"/>
  <c r="DM16" i="6" s="1"/>
  <c r="DM49" i="6"/>
  <c r="DM22" i="6" s="1"/>
  <c r="DM52" i="6"/>
  <c r="DM25" i="6" s="1"/>
  <c r="DM47" i="6"/>
  <c r="DM20" i="6" s="1"/>
  <c r="DM56" i="6"/>
  <c r="DM29" i="6" s="1"/>
  <c r="DM30" i="6" s="1"/>
  <c r="DM31" i="6" s="1"/>
  <c r="DM32" i="6" s="1"/>
  <c r="DM33" i="6" s="1"/>
  <c r="DM53" i="6"/>
  <c r="DM26" i="6" s="1"/>
  <c r="DM51" i="6"/>
  <c r="DM24" i="6" s="1"/>
  <c r="EN10" i="15"/>
  <c r="EO9" i="15"/>
  <c r="ED10" i="10"/>
  <c r="EE9" i="10"/>
  <c r="DN9" i="6"/>
  <c r="DM10" i="6"/>
  <c r="AS10" i="2"/>
  <c r="D1682" i="12" l="1"/>
  <c r="F1681" i="12"/>
  <c r="E1681" i="12"/>
  <c r="DN39" i="6"/>
  <c r="DN12" i="6" s="1"/>
  <c r="DN40" i="6"/>
  <c r="DN13" i="6" s="1"/>
  <c r="DN38" i="6"/>
  <c r="DN11" i="6" s="1"/>
  <c r="DN41" i="6"/>
  <c r="DN14" i="6" s="1"/>
  <c r="DN42" i="6"/>
  <c r="DN15" i="6" s="1"/>
  <c r="DN44" i="6"/>
  <c r="DN17" i="6" s="1"/>
  <c r="DN46" i="6"/>
  <c r="DN19" i="6" s="1"/>
  <c r="DN43" i="6"/>
  <c r="DN16" i="6" s="1"/>
  <c r="DN47" i="6"/>
  <c r="DN20" i="6" s="1"/>
  <c r="DN49" i="6"/>
  <c r="DN22" i="6" s="1"/>
  <c r="DN45" i="6"/>
  <c r="DN18" i="6" s="1"/>
  <c r="DN50" i="6"/>
  <c r="DN23" i="6" s="1"/>
  <c r="DN53" i="6"/>
  <c r="DN26" i="6" s="1"/>
  <c r="DN54" i="6"/>
  <c r="DN27" i="6" s="1"/>
  <c r="DN48" i="6"/>
  <c r="DN21" i="6" s="1"/>
  <c r="DN51" i="6"/>
  <c r="DN24" i="6" s="1"/>
  <c r="DN52" i="6"/>
  <c r="DN25" i="6" s="1"/>
  <c r="DN56" i="6"/>
  <c r="DN29" i="6" s="1"/>
  <c r="DN30" i="6" s="1"/>
  <c r="DN31" i="6" s="1"/>
  <c r="DN32" i="6" s="1"/>
  <c r="DN33" i="6" s="1"/>
  <c r="DN55" i="6"/>
  <c r="DN28" i="6" s="1"/>
  <c r="EO10" i="15"/>
  <c r="EP9" i="15"/>
  <c r="EE10" i="10"/>
  <c r="EF9" i="10"/>
  <c r="DO9" i="6"/>
  <c r="DN10" i="6"/>
  <c r="D61" i="2"/>
  <c r="AW10" i="2"/>
  <c r="AR18" i="2"/>
  <c r="BB18" i="2" s="1"/>
  <c r="D1683" i="12" l="1"/>
  <c r="F1682" i="12"/>
  <c r="E1682" i="12"/>
  <c r="DO39" i="6"/>
  <c r="DO12" i="6" s="1"/>
  <c r="DO38" i="6"/>
  <c r="DO11" i="6" s="1"/>
  <c r="DO40" i="6"/>
  <c r="DO13" i="6" s="1"/>
  <c r="DO43" i="6"/>
  <c r="DO16" i="6" s="1"/>
  <c r="DO42" i="6"/>
  <c r="DO15" i="6" s="1"/>
  <c r="DO41" i="6"/>
  <c r="DO14" i="6" s="1"/>
  <c r="DO46" i="6"/>
  <c r="DO19" i="6" s="1"/>
  <c r="DO45" i="6"/>
  <c r="DO18" i="6" s="1"/>
  <c r="DO44" i="6"/>
  <c r="DO17" i="6" s="1"/>
  <c r="DO49" i="6"/>
  <c r="DO22" i="6" s="1"/>
  <c r="DO47" i="6"/>
  <c r="DO20" i="6" s="1"/>
  <c r="DO48" i="6"/>
  <c r="DO21" i="6" s="1"/>
  <c r="DO50" i="6"/>
  <c r="DO23" i="6" s="1"/>
  <c r="DO53" i="6"/>
  <c r="DO26" i="6" s="1"/>
  <c r="DO51" i="6"/>
  <c r="DO24" i="6" s="1"/>
  <c r="DO56" i="6"/>
  <c r="DO29" i="6" s="1"/>
  <c r="DO30" i="6" s="1"/>
  <c r="DO31" i="6" s="1"/>
  <c r="DO32" i="6" s="1"/>
  <c r="DO33" i="6" s="1"/>
  <c r="DO52" i="6"/>
  <c r="DO25" i="6" s="1"/>
  <c r="DO54" i="6"/>
  <c r="DO27" i="6" s="1"/>
  <c r="DO55" i="6"/>
  <c r="DO28" i="6" s="1"/>
  <c r="EP10" i="15"/>
  <c r="EQ9" i="15"/>
  <c r="EF10" i="10"/>
  <c r="EG9" i="10"/>
  <c r="DP9" i="6"/>
  <c r="DO10" i="6"/>
  <c r="BA10" i="2"/>
  <c r="AZ18" i="2" s="1"/>
  <c r="AV18" i="2"/>
  <c r="D1684" i="12" l="1"/>
  <c r="F1683" i="12"/>
  <c r="E1683" i="12"/>
  <c r="DP41" i="6"/>
  <c r="DP14" i="6" s="1"/>
  <c r="DP39" i="6"/>
  <c r="DP12" i="6" s="1"/>
  <c r="DP40" i="6"/>
  <c r="DP13" i="6" s="1"/>
  <c r="DP38" i="6"/>
  <c r="DP11" i="6" s="1"/>
  <c r="DP43" i="6"/>
  <c r="DP16" i="6" s="1"/>
  <c r="DP45" i="6"/>
  <c r="DP18" i="6" s="1"/>
  <c r="DP44" i="6"/>
  <c r="DP17" i="6" s="1"/>
  <c r="DP42" i="6"/>
  <c r="DP15" i="6" s="1"/>
  <c r="DP46" i="6"/>
  <c r="DP19" i="6" s="1"/>
  <c r="DP47" i="6"/>
  <c r="DP20" i="6" s="1"/>
  <c r="DP48" i="6"/>
  <c r="DP21" i="6" s="1"/>
  <c r="DP54" i="6"/>
  <c r="DP27" i="6" s="1"/>
  <c r="DP55" i="6"/>
  <c r="DP28" i="6" s="1"/>
  <c r="DP49" i="6"/>
  <c r="DP22" i="6" s="1"/>
  <c r="DP52" i="6"/>
  <c r="DP25" i="6" s="1"/>
  <c r="DP53" i="6"/>
  <c r="DP26" i="6" s="1"/>
  <c r="DP50" i="6"/>
  <c r="DP23" i="6" s="1"/>
  <c r="DP51" i="6"/>
  <c r="DP24" i="6" s="1"/>
  <c r="DP56" i="6"/>
  <c r="DP29" i="6" s="1"/>
  <c r="DP30" i="6" s="1"/>
  <c r="DP31" i="6" s="1"/>
  <c r="DP32" i="6" s="1"/>
  <c r="DP33" i="6" s="1"/>
  <c r="CT18" i="2"/>
  <c r="EQ10" i="15"/>
  <c r="ER9" i="15"/>
  <c r="EG10" i="10"/>
  <c r="EH9" i="10"/>
  <c r="DQ9" i="6"/>
  <c r="DP10" i="6"/>
  <c r="D1685" i="12" l="1"/>
  <c r="F1684" i="12"/>
  <c r="E1684" i="12"/>
  <c r="DS18" i="2"/>
  <c r="DQ39" i="6"/>
  <c r="DQ12" i="6" s="1"/>
  <c r="DQ38" i="6"/>
  <c r="DQ11" i="6" s="1"/>
  <c r="DQ41" i="6"/>
  <c r="DQ14" i="6" s="1"/>
  <c r="DQ44" i="6"/>
  <c r="DQ17" i="6" s="1"/>
  <c r="DQ43" i="6"/>
  <c r="DQ16" i="6" s="1"/>
  <c r="DQ40" i="6"/>
  <c r="DQ13" i="6" s="1"/>
  <c r="DQ42" i="6"/>
  <c r="DQ15" i="6" s="1"/>
  <c r="DQ47" i="6"/>
  <c r="DQ20" i="6" s="1"/>
  <c r="DQ50" i="6"/>
  <c r="DQ23" i="6" s="1"/>
  <c r="DQ48" i="6"/>
  <c r="DQ21" i="6" s="1"/>
  <c r="DQ46" i="6"/>
  <c r="DQ19" i="6" s="1"/>
  <c r="DQ49" i="6"/>
  <c r="DQ22" i="6" s="1"/>
  <c r="DQ45" i="6"/>
  <c r="DQ18" i="6" s="1"/>
  <c r="DQ54" i="6"/>
  <c r="DQ27" i="6" s="1"/>
  <c r="DQ51" i="6"/>
  <c r="DQ24" i="6" s="1"/>
  <c r="DQ52" i="6"/>
  <c r="DQ25" i="6" s="1"/>
  <c r="DQ53" i="6"/>
  <c r="DQ26" i="6" s="1"/>
  <c r="DQ55" i="6"/>
  <c r="DQ28" i="6" s="1"/>
  <c r="DQ56" i="6"/>
  <c r="DQ29" i="6" s="1"/>
  <c r="DQ30" i="6" s="1"/>
  <c r="DQ31" i="6" s="1"/>
  <c r="DQ32" i="6" s="1"/>
  <c r="DQ33" i="6" s="1"/>
  <c r="ER10" i="15"/>
  <c r="ES9" i="15"/>
  <c r="EH10" i="10"/>
  <c r="EI9" i="10"/>
  <c r="DR9" i="6"/>
  <c r="DQ10" i="6"/>
  <c r="D1686" i="12" l="1"/>
  <c r="F1685" i="12"/>
  <c r="E1685" i="12"/>
  <c r="DR38" i="6"/>
  <c r="DR11" i="6" s="1"/>
  <c r="DR40" i="6"/>
  <c r="DR13" i="6" s="1"/>
  <c r="DR39" i="6"/>
  <c r="DR12" i="6" s="1"/>
  <c r="DR41" i="6"/>
  <c r="DR14" i="6" s="1"/>
  <c r="DR42" i="6"/>
  <c r="DR15" i="6" s="1"/>
  <c r="DR44" i="6"/>
  <c r="DR17" i="6" s="1"/>
  <c r="DR46" i="6"/>
  <c r="DR19" i="6" s="1"/>
  <c r="DR43" i="6"/>
  <c r="DR16" i="6" s="1"/>
  <c r="DR45" i="6"/>
  <c r="DR18" i="6" s="1"/>
  <c r="DR47" i="6"/>
  <c r="DR20" i="6" s="1"/>
  <c r="DR49" i="6"/>
  <c r="DR22" i="6" s="1"/>
  <c r="DR50" i="6"/>
  <c r="DR23" i="6" s="1"/>
  <c r="DR53" i="6"/>
  <c r="DR26" i="6" s="1"/>
  <c r="DR54" i="6"/>
  <c r="DR27" i="6" s="1"/>
  <c r="DR55" i="6"/>
  <c r="DR28" i="6" s="1"/>
  <c r="DR48" i="6"/>
  <c r="DR21" i="6" s="1"/>
  <c r="DR51" i="6"/>
  <c r="DR24" i="6" s="1"/>
  <c r="DR52" i="6"/>
  <c r="DR25" i="6" s="1"/>
  <c r="DR56" i="6"/>
  <c r="DR29" i="6" s="1"/>
  <c r="DR30" i="6" s="1"/>
  <c r="DR31" i="6" s="1"/>
  <c r="DR32" i="6" s="1"/>
  <c r="DR33" i="6" s="1"/>
  <c r="ES10" i="15"/>
  <c r="ET9" i="15"/>
  <c r="EI10" i="10"/>
  <c r="EJ9" i="10"/>
  <c r="DS9" i="6"/>
  <c r="DR10" i="6"/>
  <c r="D1687" i="12" l="1"/>
  <c r="E1686" i="12"/>
  <c r="F1686" i="12"/>
  <c r="DS39" i="6"/>
  <c r="DS12" i="6" s="1"/>
  <c r="DS38" i="6"/>
  <c r="DS11" i="6" s="1"/>
  <c r="DS40" i="6"/>
  <c r="DS13" i="6" s="1"/>
  <c r="DS42" i="6"/>
  <c r="DS15" i="6" s="1"/>
  <c r="DS45" i="6"/>
  <c r="DS18" i="6" s="1"/>
  <c r="DS41" i="6"/>
  <c r="DS14" i="6" s="1"/>
  <c r="DS43" i="6"/>
  <c r="DS16" i="6" s="1"/>
  <c r="DS44" i="6"/>
  <c r="DS17" i="6" s="1"/>
  <c r="DS46" i="6"/>
  <c r="DS19" i="6" s="1"/>
  <c r="DS49" i="6"/>
  <c r="DS22" i="6" s="1"/>
  <c r="DS47" i="6"/>
  <c r="DS20" i="6" s="1"/>
  <c r="DS50" i="6"/>
  <c r="DS23" i="6" s="1"/>
  <c r="DS51" i="6"/>
  <c r="DS24" i="6" s="1"/>
  <c r="DS53" i="6"/>
  <c r="DS26" i="6" s="1"/>
  <c r="DS52" i="6"/>
  <c r="DS25" i="6" s="1"/>
  <c r="DS55" i="6"/>
  <c r="DS28" i="6" s="1"/>
  <c r="DS48" i="6"/>
  <c r="DS21" i="6" s="1"/>
  <c r="DS54" i="6"/>
  <c r="DS27" i="6" s="1"/>
  <c r="DS56" i="6"/>
  <c r="DS29" i="6" s="1"/>
  <c r="DS30" i="6" s="1"/>
  <c r="DS31" i="6" s="1"/>
  <c r="DS32" i="6" s="1"/>
  <c r="DS33" i="6" s="1"/>
  <c r="ET10" i="15"/>
  <c r="EJ10" i="10"/>
  <c r="EK9" i="10"/>
  <c r="DT9" i="6"/>
  <c r="DS10" i="6"/>
  <c r="D1688" i="12" l="1"/>
  <c r="F1687" i="12"/>
  <c r="E1687" i="12"/>
  <c r="DT38" i="6"/>
  <c r="DT11" i="6" s="1"/>
  <c r="DT41" i="6"/>
  <c r="DT14" i="6" s="1"/>
  <c r="DT42" i="6"/>
  <c r="DT15" i="6" s="1"/>
  <c r="DT39" i="6"/>
  <c r="DT12" i="6" s="1"/>
  <c r="DT40" i="6"/>
  <c r="DT13" i="6" s="1"/>
  <c r="DT43" i="6"/>
  <c r="DT16" i="6" s="1"/>
  <c r="DT44" i="6"/>
  <c r="DT17" i="6" s="1"/>
  <c r="DT45" i="6"/>
  <c r="DT18" i="6" s="1"/>
  <c r="DT46" i="6"/>
  <c r="DT19" i="6" s="1"/>
  <c r="DT48" i="6"/>
  <c r="DT21" i="6" s="1"/>
  <c r="DT54" i="6"/>
  <c r="DT27" i="6" s="1"/>
  <c r="DT55" i="6"/>
  <c r="DT28" i="6" s="1"/>
  <c r="DT49" i="6"/>
  <c r="DT22" i="6" s="1"/>
  <c r="DT52" i="6"/>
  <c r="DT25" i="6" s="1"/>
  <c r="DT47" i="6"/>
  <c r="DT20" i="6" s="1"/>
  <c r="DT53" i="6"/>
  <c r="DT26" i="6" s="1"/>
  <c r="DT50" i="6"/>
  <c r="DT23" i="6" s="1"/>
  <c r="DT51" i="6"/>
  <c r="DT24" i="6" s="1"/>
  <c r="DT56" i="6"/>
  <c r="DT29" i="6" s="1"/>
  <c r="DT30" i="6" s="1"/>
  <c r="DT31" i="6" s="1"/>
  <c r="DT32" i="6" s="1"/>
  <c r="DT33" i="6" s="1"/>
  <c r="EK10" i="10"/>
  <c r="EL9" i="10"/>
  <c r="DU9" i="6"/>
  <c r="DT10" i="6"/>
  <c r="D1689" i="12" l="1"/>
  <c r="F1688" i="12"/>
  <c r="E1688" i="12"/>
  <c r="DU39" i="6"/>
  <c r="DU12" i="6" s="1"/>
  <c r="DU38" i="6"/>
  <c r="DU11" i="6" s="1"/>
  <c r="DU41" i="6"/>
  <c r="DU14" i="6" s="1"/>
  <c r="DU44" i="6"/>
  <c r="DU17" i="6" s="1"/>
  <c r="DU42" i="6"/>
  <c r="DU15" i="6" s="1"/>
  <c r="DU45" i="6"/>
  <c r="DU18" i="6" s="1"/>
  <c r="DU43" i="6"/>
  <c r="DU16" i="6" s="1"/>
  <c r="DU47" i="6"/>
  <c r="DU20" i="6" s="1"/>
  <c r="DU40" i="6"/>
  <c r="DU13" i="6" s="1"/>
  <c r="DU48" i="6"/>
  <c r="DU21" i="6" s="1"/>
  <c r="DU46" i="6"/>
  <c r="DU19" i="6" s="1"/>
  <c r="DU52" i="6"/>
  <c r="DU25" i="6" s="1"/>
  <c r="DU53" i="6"/>
  <c r="DU26" i="6" s="1"/>
  <c r="DU50" i="6"/>
  <c r="DU23" i="6" s="1"/>
  <c r="DU51" i="6"/>
  <c r="DU24" i="6" s="1"/>
  <c r="DU56" i="6"/>
  <c r="DU29" i="6" s="1"/>
  <c r="DU30" i="6" s="1"/>
  <c r="DU31" i="6" s="1"/>
  <c r="DU32" i="6" s="1"/>
  <c r="DU33" i="6" s="1"/>
  <c r="DU55" i="6"/>
  <c r="DU28" i="6" s="1"/>
  <c r="DU54" i="6"/>
  <c r="DU27" i="6" s="1"/>
  <c r="DU49" i="6"/>
  <c r="DU22" i="6" s="1"/>
  <c r="EL10" i="10"/>
  <c r="EM9" i="10"/>
  <c r="DV9" i="6"/>
  <c r="DU10" i="6"/>
  <c r="D1690" i="12" l="1"/>
  <c r="F1689" i="12"/>
  <c r="E1689" i="12"/>
  <c r="DV38" i="6"/>
  <c r="DV11" i="6" s="1"/>
  <c r="DV39" i="6"/>
  <c r="DV12" i="6" s="1"/>
  <c r="DV40" i="6"/>
  <c r="DV13" i="6" s="1"/>
  <c r="DV41" i="6"/>
  <c r="DV14" i="6" s="1"/>
  <c r="DV43" i="6"/>
  <c r="DV16" i="6" s="1"/>
  <c r="DV42" i="6"/>
  <c r="DV15" i="6" s="1"/>
  <c r="DV44" i="6"/>
  <c r="DV17" i="6" s="1"/>
  <c r="DV46" i="6"/>
  <c r="DV19" i="6" s="1"/>
  <c r="DV45" i="6"/>
  <c r="DV18" i="6" s="1"/>
  <c r="DV47" i="6"/>
  <c r="DV20" i="6" s="1"/>
  <c r="DV49" i="6"/>
  <c r="DV22" i="6" s="1"/>
  <c r="DV50" i="6"/>
  <c r="DV23" i="6" s="1"/>
  <c r="DV53" i="6"/>
  <c r="DV26" i="6" s="1"/>
  <c r="DV54" i="6"/>
  <c r="DV27" i="6" s="1"/>
  <c r="DV48" i="6"/>
  <c r="DV21" i="6" s="1"/>
  <c r="DV51" i="6"/>
  <c r="DV24" i="6" s="1"/>
  <c r="DV56" i="6"/>
  <c r="DV29" i="6" s="1"/>
  <c r="DV30" i="6" s="1"/>
  <c r="DV31" i="6" s="1"/>
  <c r="DV32" i="6" s="1"/>
  <c r="DV33" i="6" s="1"/>
  <c r="DV52" i="6"/>
  <c r="DV25" i="6" s="1"/>
  <c r="DV55" i="6"/>
  <c r="DV28" i="6" s="1"/>
  <c r="DW9" i="6"/>
  <c r="EM10" i="10"/>
  <c r="EN9" i="10"/>
  <c r="DV10" i="6"/>
  <c r="D1691" i="12" l="1"/>
  <c r="F1690" i="12"/>
  <c r="E1690" i="12"/>
  <c r="DW39" i="6"/>
  <c r="DW12" i="6" s="1"/>
  <c r="DW38" i="6"/>
  <c r="DW11" i="6" s="1"/>
  <c r="DW40" i="6"/>
  <c r="DW13" i="6" s="1"/>
  <c r="DW42" i="6"/>
  <c r="DW15" i="6" s="1"/>
  <c r="DW45" i="6"/>
  <c r="DW18" i="6" s="1"/>
  <c r="DW43" i="6"/>
  <c r="DW16" i="6" s="1"/>
  <c r="DW41" i="6"/>
  <c r="DW14" i="6" s="1"/>
  <c r="DW46" i="6"/>
  <c r="DW19" i="6" s="1"/>
  <c r="DW47" i="6"/>
  <c r="DW20" i="6" s="1"/>
  <c r="DW49" i="6"/>
  <c r="DW22" i="6" s="1"/>
  <c r="DW48" i="6"/>
  <c r="DW21" i="6" s="1"/>
  <c r="DW53" i="6"/>
  <c r="DW26" i="6" s="1"/>
  <c r="DW44" i="6"/>
  <c r="DW17" i="6" s="1"/>
  <c r="DW51" i="6"/>
  <c r="DW24" i="6" s="1"/>
  <c r="DW54" i="6"/>
  <c r="DW27" i="6" s="1"/>
  <c r="DW55" i="6"/>
  <c r="DW28" i="6" s="1"/>
  <c r="DW52" i="6"/>
  <c r="DW25" i="6" s="1"/>
  <c r="DW50" i="6"/>
  <c r="DW23" i="6" s="1"/>
  <c r="DW56" i="6"/>
  <c r="DW29" i="6" s="1"/>
  <c r="DW30" i="6" s="1"/>
  <c r="DW31" i="6" s="1"/>
  <c r="DW32" i="6" s="1"/>
  <c r="DW33" i="6" s="1"/>
  <c r="DX9" i="6"/>
  <c r="DW10" i="6"/>
  <c r="EN10" i="10"/>
  <c r="EO9" i="10"/>
  <c r="D1692" i="12" l="1"/>
  <c r="F1691" i="12"/>
  <c r="E1691" i="12"/>
  <c r="DX41" i="6"/>
  <c r="DX14" i="6" s="1"/>
  <c r="DX38" i="6"/>
  <c r="DX11" i="6" s="1"/>
  <c r="DX39" i="6"/>
  <c r="DX12" i="6" s="1"/>
  <c r="DX42" i="6"/>
  <c r="DX15" i="6" s="1"/>
  <c r="DX40" i="6"/>
  <c r="DX13" i="6" s="1"/>
  <c r="DX43" i="6"/>
  <c r="DX16" i="6" s="1"/>
  <c r="DX45" i="6"/>
  <c r="DX18" i="6" s="1"/>
  <c r="DX44" i="6"/>
  <c r="DX17" i="6" s="1"/>
  <c r="DX48" i="6"/>
  <c r="DX21" i="6" s="1"/>
  <c r="DX46" i="6"/>
  <c r="DX19" i="6" s="1"/>
  <c r="DX51" i="6"/>
  <c r="DX24" i="6" s="1"/>
  <c r="DX47" i="6"/>
  <c r="DX20" i="6" s="1"/>
  <c r="DX54" i="6"/>
  <c r="DX27" i="6" s="1"/>
  <c r="DX55" i="6"/>
  <c r="DX28" i="6" s="1"/>
  <c r="DX49" i="6"/>
  <c r="DX22" i="6" s="1"/>
  <c r="DX50" i="6"/>
  <c r="DX23" i="6" s="1"/>
  <c r="DX52" i="6"/>
  <c r="DX25" i="6" s="1"/>
  <c r="DX53" i="6"/>
  <c r="DX26" i="6" s="1"/>
  <c r="DX56" i="6"/>
  <c r="DX29" i="6" s="1"/>
  <c r="DX30" i="6" s="1"/>
  <c r="DX31" i="6" s="1"/>
  <c r="DX32" i="6" s="1"/>
  <c r="DX33" i="6" s="1"/>
  <c r="DY9" i="6"/>
  <c r="DX10" i="6"/>
  <c r="EO10" i="10"/>
  <c r="EP9" i="10"/>
  <c r="D1693" i="12" l="1"/>
  <c r="F1692" i="12"/>
  <c r="E1692" i="12"/>
  <c r="DY10" i="6"/>
  <c r="DY39" i="6"/>
  <c r="DY12" i="6" s="1"/>
  <c r="DY38" i="6"/>
  <c r="DY11" i="6" s="1"/>
  <c r="DY41" i="6"/>
  <c r="DY14" i="6" s="1"/>
  <c r="DY42" i="6"/>
  <c r="DY15" i="6" s="1"/>
  <c r="DY40" i="6"/>
  <c r="DY13" i="6" s="1"/>
  <c r="DY44" i="6"/>
  <c r="DY17" i="6" s="1"/>
  <c r="DY43" i="6"/>
  <c r="DY16" i="6" s="1"/>
  <c r="DY48" i="6"/>
  <c r="DY21" i="6" s="1"/>
  <c r="DY45" i="6"/>
  <c r="DY18" i="6" s="1"/>
  <c r="DY50" i="6"/>
  <c r="DY23" i="6" s="1"/>
  <c r="DY54" i="6"/>
  <c r="DY27" i="6" s="1"/>
  <c r="DY49" i="6"/>
  <c r="DY22" i="6" s="1"/>
  <c r="DY52" i="6"/>
  <c r="DY25" i="6" s="1"/>
  <c r="DY47" i="6"/>
  <c r="DY20" i="6" s="1"/>
  <c r="DY46" i="6"/>
  <c r="DY19" i="6" s="1"/>
  <c r="DY51" i="6"/>
  <c r="DY24" i="6" s="1"/>
  <c r="DY56" i="6"/>
  <c r="DY29" i="6" s="1"/>
  <c r="DY30" i="6" s="1"/>
  <c r="DY31" i="6" s="1"/>
  <c r="DY32" i="6" s="1"/>
  <c r="DY33" i="6" s="1"/>
  <c r="DY55" i="6"/>
  <c r="DY28" i="6" s="1"/>
  <c r="DY53" i="6"/>
  <c r="DY26" i="6" s="1"/>
  <c r="DZ9" i="6"/>
  <c r="EP10" i="10"/>
  <c r="EQ9" i="10"/>
  <c r="D1694" i="12" l="1"/>
  <c r="E1693" i="12"/>
  <c r="F1693" i="12"/>
  <c r="DZ10" i="6"/>
  <c r="DZ38" i="6"/>
  <c r="DZ11" i="6" s="1"/>
  <c r="DZ40" i="6"/>
  <c r="DZ13" i="6" s="1"/>
  <c r="DZ39" i="6"/>
  <c r="DZ12" i="6" s="1"/>
  <c r="DZ41" i="6"/>
  <c r="DZ14" i="6" s="1"/>
  <c r="DZ42" i="6"/>
  <c r="DZ15" i="6" s="1"/>
  <c r="DZ45" i="6"/>
  <c r="DZ18" i="6" s="1"/>
  <c r="DZ44" i="6"/>
  <c r="DZ17" i="6" s="1"/>
  <c r="DZ46" i="6"/>
  <c r="DZ19" i="6" s="1"/>
  <c r="DZ43" i="6"/>
  <c r="DZ16" i="6" s="1"/>
  <c r="DZ49" i="6"/>
  <c r="DZ22" i="6" s="1"/>
  <c r="DZ47" i="6"/>
  <c r="DZ20" i="6" s="1"/>
  <c r="DZ48" i="6"/>
  <c r="DZ21" i="6" s="1"/>
  <c r="DZ51" i="6"/>
  <c r="DZ24" i="6" s="1"/>
  <c r="DZ52" i="6"/>
  <c r="DZ25" i="6" s="1"/>
  <c r="DZ50" i="6"/>
  <c r="DZ23" i="6" s="1"/>
  <c r="DZ53" i="6"/>
  <c r="DZ26" i="6" s="1"/>
  <c r="DZ55" i="6"/>
  <c r="DZ28" i="6" s="1"/>
  <c r="DZ56" i="6"/>
  <c r="DZ29" i="6" s="1"/>
  <c r="DZ30" i="6" s="1"/>
  <c r="DZ31" i="6" s="1"/>
  <c r="DZ32" i="6" s="1"/>
  <c r="DZ33" i="6" s="1"/>
  <c r="DZ54" i="6"/>
  <c r="DZ27" i="6" s="1"/>
  <c r="EA9" i="6"/>
  <c r="EA10" i="6" s="1"/>
  <c r="EQ10" i="10"/>
  <c r="ER9" i="10"/>
  <c r="D1695" i="12" l="1"/>
  <c r="F1694" i="12"/>
  <c r="E1694" i="12"/>
  <c r="EB9" i="6"/>
  <c r="EB43" i="6" s="1"/>
  <c r="EB16" i="6" s="1"/>
  <c r="EA40" i="6"/>
  <c r="EA13" i="6" s="1"/>
  <c r="EA39" i="6"/>
  <c r="EA12" i="6" s="1"/>
  <c r="EA38" i="6"/>
  <c r="EA11" i="6" s="1"/>
  <c r="EA45" i="6"/>
  <c r="EA18" i="6" s="1"/>
  <c r="EA46" i="6"/>
  <c r="EA19" i="6" s="1"/>
  <c r="EA43" i="6"/>
  <c r="EA16" i="6" s="1"/>
  <c r="EA41" i="6"/>
  <c r="EA14" i="6" s="1"/>
  <c r="EA44" i="6"/>
  <c r="EA17" i="6" s="1"/>
  <c r="EA49" i="6"/>
  <c r="EA22" i="6" s="1"/>
  <c r="EA47" i="6"/>
  <c r="EA20" i="6" s="1"/>
  <c r="EA50" i="6"/>
  <c r="EA23" i="6" s="1"/>
  <c r="EA53" i="6"/>
  <c r="EA26" i="6" s="1"/>
  <c r="EA48" i="6"/>
  <c r="EA21" i="6" s="1"/>
  <c r="EA51" i="6"/>
  <c r="EA24" i="6" s="1"/>
  <c r="EA42" i="6"/>
  <c r="EA15" i="6" s="1"/>
  <c r="EA54" i="6"/>
  <c r="EA27" i="6" s="1"/>
  <c r="EA56" i="6"/>
  <c r="EA29" i="6" s="1"/>
  <c r="EA30" i="6" s="1"/>
  <c r="EA31" i="6" s="1"/>
  <c r="EA32" i="6" s="1"/>
  <c r="EA33" i="6" s="1"/>
  <c r="EA52" i="6"/>
  <c r="EA25" i="6" s="1"/>
  <c r="EA55" i="6"/>
  <c r="EA28" i="6" s="1"/>
  <c r="ER10" i="10"/>
  <c r="ES9" i="10"/>
  <c r="D1696" i="12" l="1"/>
  <c r="E1695" i="12"/>
  <c r="F1695" i="12"/>
  <c r="EB10" i="6"/>
  <c r="EC9" i="6"/>
  <c r="EC41" i="6" s="1"/>
  <c r="EC14" i="6" s="1"/>
  <c r="EB56" i="6"/>
  <c r="EB29" i="6" s="1"/>
  <c r="EB30" i="6" s="1"/>
  <c r="EB31" i="6" s="1"/>
  <c r="EB32" i="6" s="1"/>
  <c r="EB33" i="6" s="1"/>
  <c r="EB54" i="6"/>
  <c r="EB27" i="6" s="1"/>
  <c r="EB53" i="6"/>
  <c r="EB26" i="6" s="1"/>
  <c r="EB47" i="6"/>
  <c r="EB20" i="6" s="1"/>
  <c r="EB48" i="6"/>
  <c r="EB21" i="6" s="1"/>
  <c r="EB45" i="6"/>
  <c r="EB18" i="6" s="1"/>
  <c r="EB50" i="6"/>
  <c r="EB23" i="6" s="1"/>
  <c r="EB41" i="6"/>
  <c r="EB14" i="6" s="1"/>
  <c r="EB42" i="6"/>
  <c r="EB15" i="6" s="1"/>
  <c r="EB55" i="6"/>
  <c r="EB28" i="6" s="1"/>
  <c r="EB52" i="6"/>
  <c r="EB25" i="6" s="1"/>
  <c r="EB46" i="6"/>
  <c r="EB19" i="6" s="1"/>
  <c r="EB40" i="6"/>
  <c r="EB13" i="6" s="1"/>
  <c r="EB51" i="6"/>
  <c r="EB24" i="6" s="1"/>
  <c r="EB49" i="6"/>
  <c r="EB22" i="6" s="1"/>
  <c r="EB44" i="6"/>
  <c r="EB17" i="6" s="1"/>
  <c r="EB39" i="6"/>
  <c r="EB12" i="6" s="1"/>
  <c r="EB38" i="6"/>
  <c r="EB11" i="6" s="1"/>
  <c r="ES10" i="10"/>
  <c r="ET9" i="10"/>
  <c r="EC39" i="6" l="1"/>
  <c r="EC12" i="6" s="1"/>
  <c r="EC50" i="6"/>
  <c r="EC23" i="6" s="1"/>
  <c r="EC53" i="6"/>
  <c r="EC26" i="6" s="1"/>
  <c r="EC52" i="6"/>
  <c r="EC25" i="6" s="1"/>
  <c r="ED9" i="6"/>
  <c r="ED39" i="6" s="1"/>
  <c r="ED12" i="6" s="1"/>
  <c r="EC44" i="6"/>
  <c r="EC17" i="6" s="1"/>
  <c r="D1697" i="12"/>
  <c r="F1696" i="12"/>
  <c r="E1696" i="12"/>
  <c r="EC43" i="6"/>
  <c r="EC16" i="6" s="1"/>
  <c r="EC42" i="6"/>
  <c r="EC15" i="6" s="1"/>
  <c r="EC56" i="6"/>
  <c r="EC29" i="6" s="1"/>
  <c r="EC30" i="6" s="1"/>
  <c r="EC31" i="6" s="1"/>
  <c r="EC32" i="6" s="1"/>
  <c r="EC33" i="6" s="1"/>
  <c r="EC47" i="6"/>
  <c r="EC20" i="6" s="1"/>
  <c r="EC40" i="6"/>
  <c r="EC13" i="6" s="1"/>
  <c r="EC38" i="6"/>
  <c r="EC11" i="6" s="1"/>
  <c r="EC55" i="6"/>
  <c r="EC28" i="6" s="1"/>
  <c r="EC54" i="6"/>
  <c r="EC27" i="6" s="1"/>
  <c r="EC46" i="6"/>
  <c r="EC19" i="6" s="1"/>
  <c r="EC10" i="6"/>
  <c r="EC51" i="6"/>
  <c r="EC24" i="6" s="1"/>
  <c r="EC49" i="6"/>
  <c r="EC22" i="6" s="1"/>
  <c r="EC48" i="6"/>
  <c r="EC21" i="6" s="1"/>
  <c r="EC45" i="6"/>
  <c r="EC18" i="6" s="1"/>
  <c r="ET10" i="10"/>
  <c r="ED40" i="6" l="1"/>
  <c r="ED13" i="6" s="1"/>
  <c r="ED55" i="6"/>
  <c r="ED28" i="6" s="1"/>
  <c r="ED56" i="6"/>
  <c r="ED29" i="6" s="1"/>
  <c r="ED30" i="6" s="1"/>
  <c r="ED31" i="6" s="1"/>
  <c r="ED32" i="6" s="1"/>
  <c r="ED33" i="6" s="1"/>
  <c r="ED53" i="6"/>
  <c r="ED26" i="6" s="1"/>
  <c r="ED50" i="6"/>
  <c r="ED23" i="6" s="1"/>
  <c r="ED43" i="6"/>
  <c r="ED16" i="6" s="1"/>
  <c r="ED41" i="6"/>
  <c r="ED14" i="6" s="1"/>
  <c r="ED52" i="6"/>
  <c r="ED25" i="6" s="1"/>
  <c r="ED49" i="6"/>
  <c r="ED22" i="6" s="1"/>
  <c r="ED44" i="6"/>
  <c r="ED17" i="6" s="1"/>
  <c r="ED42" i="6"/>
  <c r="ED15" i="6" s="1"/>
  <c r="ED10" i="6"/>
  <c r="ED47" i="6"/>
  <c r="ED20" i="6" s="1"/>
  <c r="ED51" i="6"/>
  <c r="ED24" i="6" s="1"/>
  <c r="ED46" i="6"/>
  <c r="ED19" i="6" s="1"/>
  <c r="EE9" i="6"/>
  <c r="EE43" i="6" s="1"/>
  <c r="EE16" i="6" s="1"/>
  <c r="ED48" i="6"/>
  <c r="ED21" i="6" s="1"/>
  <c r="ED38" i="6"/>
  <c r="ED11" i="6" s="1"/>
  <c r="ED54" i="6"/>
  <c r="ED27" i="6" s="1"/>
  <c r="ED45" i="6"/>
  <c r="ED18" i="6" s="1"/>
  <c r="D1698" i="12"/>
  <c r="F1697" i="12"/>
  <c r="E1697" i="12"/>
  <c r="EF9" i="6" l="1"/>
  <c r="EF41" i="6" s="1"/>
  <c r="EF14" i="6" s="1"/>
  <c r="EE50" i="6"/>
  <c r="EE23" i="6" s="1"/>
  <c r="EE48" i="6"/>
  <c r="EE21" i="6" s="1"/>
  <c r="EE49" i="6"/>
  <c r="EE22" i="6" s="1"/>
  <c r="EE38" i="6"/>
  <c r="EE11" i="6" s="1"/>
  <c r="EE40" i="6"/>
  <c r="EE13" i="6" s="1"/>
  <c r="EE56" i="6"/>
  <c r="EE29" i="6" s="1"/>
  <c r="EE30" i="6" s="1"/>
  <c r="EE31" i="6" s="1"/>
  <c r="EE32" i="6" s="1"/>
  <c r="EE33" i="6" s="1"/>
  <c r="EE45" i="6"/>
  <c r="EE18" i="6" s="1"/>
  <c r="EE10" i="6"/>
  <c r="EE52" i="6"/>
  <c r="EE25" i="6" s="1"/>
  <c r="EE42" i="6"/>
  <c r="EE15" i="6" s="1"/>
  <c r="EE39" i="6"/>
  <c r="EE12" i="6" s="1"/>
  <c r="EE54" i="6"/>
  <c r="EE27" i="6" s="1"/>
  <c r="EE51" i="6"/>
  <c r="EE24" i="6" s="1"/>
  <c r="EE46" i="6"/>
  <c r="EE19" i="6" s="1"/>
  <c r="EE47" i="6"/>
  <c r="EE20" i="6" s="1"/>
  <c r="EE53" i="6"/>
  <c r="EE26" i="6" s="1"/>
  <c r="EE41" i="6"/>
  <c r="EE14" i="6" s="1"/>
  <c r="EE55" i="6"/>
  <c r="EE28" i="6" s="1"/>
  <c r="EE44" i="6"/>
  <c r="EE17" i="6" s="1"/>
  <c r="D1699" i="12"/>
  <c r="F1698" i="12"/>
  <c r="E1698" i="12"/>
  <c r="EG9" i="6"/>
  <c r="EF49" i="6" l="1"/>
  <c r="EF22" i="6" s="1"/>
  <c r="EF44" i="6"/>
  <c r="EF17" i="6" s="1"/>
  <c r="EF40" i="6"/>
  <c r="EF13" i="6" s="1"/>
  <c r="EF56" i="6"/>
  <c r="EF29" i="6" s="1"/>
  <c r="EF30" i="6" s="1"/>
  <c r="EF31" i="6" s="1"/>
  <c r="EF32" i="6" s="1"/>
  <c r="EF33" i="6" s="1"/>
  <c r="EF55" i="6"/>
  <c r="EF28" i="6" s="1"/>
  <c r="EF38" i="6"/>
  <c r="EF11" i="6" s="1"/>
  <c r="EF39" i="6"/>
  <c r="EF12" i="6" s="1"/>
  <c r="EF54" i="6"/>
  <c r="EF27" i="6" s="1"/>
  <c r="EF50" i="6"/>
  <c r="EF23" i="6" s="1"/>
  <c r="EF45" i="6"/>
  <c r="EF18" i="6" s="1"/>
  <c r="EF51" i="6"/>
  <c r="EF24" i="6" s="1"/>
  <c r="EF47" i="6"/>
  <c r="EF20" i="6" s="1"/>
  <c r="EF42" i="6"/>
  <c r="EF15" i="6" s="1"/>
  <c r="EF53" i="6"/>
  <c r="EF26" i="6" s="1"/>
  <c r="EF48" i="6"/>
  <c r="EF21" i="6" s="1"/>
  <c r="EF43" i="6"/>
  <c r="EF16" i="6" s="1"/>
  <c r="EF10" i="6"/>
  <c r="EF52" i="6"/>
  <c r="EF25" i="6" s="1"/>
  <c r="EF46" i="6"/>
  <c r="EF19" i="6" s="1"/>
  <c r="D1700" i="12"/>
  <c r="F1699" i="12"/>
  <c r="E1699" i="12"/>
  <c r="EG39" i="6"/>
  <c r="EG12" i="6" s="1"/>
  <c r="EG38" i="6"/>
  <c r="EG11" i="6" s="1"/>
  <c r="EG41" i="6"/>
  <c r="EG14" i="6" s="1"/>
  <c r="EG44" i="6"/>
  <c r="EG17" i="6" s="1"/>
  <c r="EG40" i="6"/>
  <c r="EG13" i="6" s="1"/>
  <c r="EG43" i="6"/>
  <c r="EG16" i="6" s="1"/>
  <c r="EG42" i="6"/>
  <c r="EG15" i="6" s="1"/>
  <c r="EG45" i="6"/>
  <c r="EG18" i="6" s="1"/>
  <c r="EG50" i="6"/>
  <c r="EG23" i="6" s="1"/>
  <c r="EG48" i="6"/>
  <c r="EG21" i="6" s="1"/>
  <c r="EG47" i="6"/>
  <c r="EG20" i="6" s="1"/>
  <c r="EG46" i="6"/>
  <c r="EG19" i="6" s="1"/>
  <c r="EG54" i="6"/>
  <c r="EG27" i="6" s="1"/>
  <c r="EG49" i="6"/>
  <c r="EG22" i="6" s="1"/>
  <c r="EG52" i="6"/>
  <c r="EG25" i="6" s="1"/>
  <c r="EG51" i="6"/>
  <c r="EG24" i="6" s="1"/>
  <c r="EG55" i="6"/>
  <c r="EG28" i="6" s="1"/>
  <c r="EG53" i="6"/>
  <c r="EG26" i="6" s="1"/>
  <c r="EG56" i="6"/>
  <c r="EG29" i="6" s="1"/>
  <c r="EG30" i="6" s="1"/>
  <c r="EG31" i="6" s="1"/>
  <c r="EG32" i="6" s="1"/>
  <c r="EG33" i="6" s="1"/>
  <c r="EH9" i="6"/>
  <c r="EG10" i="6"/>
  <c r="D1701" i="12" l="1"/>
  <c r="F1700" i="12"/>
  <c r="E1700" i="12"/>
  <c r="EH38" i="6"/>
  <c r="EH11" i="6" s="1"/>
  <c r="EH39" i="6"/>
  <c r="EH12" i="6" s="1"/>
  <c r="EH40" i="6"/>
  <c r="EH13" i="6" s="1"/>
  <c r="EH41" i="6"/>
  <c r="EH14" i="6" s="1"/>
  <c r="EH42" i="6"/>
  <c r="EH15" i="6" s="1"/>
  <c r="EH43" i="6"/>
  <c r="EH16" i="6" s="1"/>
  <c r="EH44" i="6"/>
  <c r="EH17" i="6" s="1"/>
  <c r="EH45" i="6"/>
  <c r="EH18" i="6" s="1"/>
  <c r="EH47" i="6"/>
  <c r="EH20" i="6" s="1"/>
  <c r="EH49" i="6"/>
  <c r="EH22" i="6" s="1"/>
  <c r="EH46" i="6"/>
  <c r="EH19" i="6" s="1"/>
  <c r="EH55" i="6"/>
  <c r="EH28" i="6" s="1"/>
  <c r="EH50" i="6"/>
  <c r="EH23" i="6" s="1"/>
  <c r="EH53" i="6"/>
  <c r="EH26" i="6" s="1"/>
  <c r="EH54" i="6"/>
  <c r="EH27" i="6" s="1"/>
  <c r="EH48" i="6"/>
  <c r="EH21" i="6" s="1"/>
  <c r="EH51" i="6"/>
  <c r="EH24" i="6" s="1"/>
  <c r="EH52" i="6"/>
  <c r="EH25" i="6" s="1"/>
  <c r="EH56" i="6"/>
  <c r="EH29" i="6" s="1"/>
  <c r="EH30" i="6" s="1"/>
  <c r="EH31" i="6" s="1"/>
  <c r="EH32" i="6" s="1"/>
  <c r="EH33" i="6" s="1"/>
  <c r="EI9" i="6"/>
  <c r="EH10" i="6"/>
  <c r="D1702" i="12" l="1"/>
  <c r="E1701" i="12"/>
  <c r="F1701" i="12"/>
  <c r="EI39" i="6"/>
  <c r="EI12" i="6" s="1"/>
  <c r="EI38" i="6"/>
  <c r="EI11" i="6" s="1"/>
  <c r="EI40" i="6"/>
  <c r="EI13" i="6" s="1"/>
  <c r="EI45" i="6"/>
  <c r="EI18" i="6" s="1"/>
  <c r="EI43" i="6"/>
  <c r="EI16" i="6" s="1"/>
  <c r="EI41" i="6"/>
  <c r="EI14" i="6" s="1"/>
  <c r="EI44" i="6"/>
  <c r="EI17" i="6" s="1"/>
  <c r="EI42" i="6"/>
  <c r="EI15" i="6" s="1"/>
  <c r="EI46" i="6"/>
  <c r="EI19" i="6" s="1"/>
  <c r="EI49" i="6"/>
  <c r="EI22" i="6" s="1"/>
  <c r="EI51" i="6"/>
  <c r="EI24" i="6" s="1"/>
  <c r="EI52" i="6"/>
  <c r="EI25" i="6" s="1"/>
  <c r="EI50" i="6"/>
  <c r="EI23" i="6" s="1"/>
  <c r="EI47" i="6"/>
  <c r="EI20" i="6" s="1"/>
  <c r="EI48" i="6"/>
  <c r="EI21" i="6" s="1"/>
  <c r="EI53" i="6"/>
  <c r="EI26" i="6" s="1"/>
  <c r="EI54" i="6"/>
  <c r="EI27" i="6" s="1"/>
  <c r="EI55" i="6"/>
  <c r="EI28" i="6" s="1"/>
  <c r="EI56" i="6"/>
  <c r="EI29" i="6" s="1"/>
  <c r="EI30" i="6" s="1"/>
  <c r="EI31" i="6" s="1"/>
  <c r="EI32" i="6" s="1"/>
  <c r="EI33" i="6" s="1"/>
  <c r="EJ9" i="6"/>
  <c r="EI10" i="6"/>
  <c r="D1703" i="12" l="1"/>
  <c r="E1702" i="12"/>
  <c r="F1702" i="12"/>
  <c r="EJ38" i="6"/>
  <c r="EJ11" i="6" s="1"/>
  <c r="EJ42" i="6"/>
  <c r="EJ15" i="6" s="1"/>
  <c r="EJ40" i="6"/>
  <c r="EJ13" i="6" s="1"/>
  <c r="EJ45" i="6"/>
  <c r="EJ18" i="6" s="1"/>
  <c r="EJ43" i="6"/>
  <c r="EJ16" i="6" s="1"/>
  <c r="EJ44" i="6"/>
  <c r="EJ17" i="6" s="1"/>
  <c r="EJ39" i="6"/>
  <c r="EJ12" i="6" s="1"/>
  <c r="EJ41" i="6"/>
  <c r="EJ14" i="6" s="1"/>
  <c r="EJ46" i="6"/>
  <c r="EJ19" i="6" s="1"/>
  <c r="EJ48" i="6"/>
  <c r="EJ21" i="6" s="1"/>
  <c r="EJ47" i="6"/>
  <c r="EJ20" i="6" s="1"/>
  <c r="EJ50" i="6"/>
  <c r="EJ23" i="6" s="1"/>
  <c r="EJ55" i="6"/>
  <c r="EJ28" i="6" s="1"/>
  <c r="EJ49" i="6"/>
  <c r="EJ22" i="6" s="1"/>
  <c r="EJ52" i="6"/>
  <c r="EJ25" i="6" s="1"/>
  <c r="EJ53" i="6"/>
  <c r="EJ26" i="6" s="1"/>
  <c r="EJ54" i="6"/>
  <c r="EJ27" i="6" s="1"/>
  <c r="EJ51" i="6"/>
  <c r="EJ24" i="6" s="1"/>
  <c r="EJ56" i="6"/>
  <c r="EJ29" i="6" s="1"/>
  <c r="EJ30" i="6" s="1"/>
  <c r="EJ31" i="6" s="1"/>
  <c r="EJ32" i="6" s="1"/>
  <c r="EJ33" i="6" s="1"/>
  <c r="EK9" i="6"/>
  <c r="EJ10" i="6"/>
  <c r="D1704" i="12" l="1"/>
  <c r="E1703" i="12"/>
  <c r="F1703" i="12"/>
  <c r="EK39" i="6"/>
  <c r="EK12" i="6" s="1"/>
  <c r="EK38" i="6"/>
  <c r="EK11" i="6" s="1"/>
  <c r="EK41" i="6"/>
  <c r="EK14" i="6" s="1"/>
  <c r="EK44" i="6"/>
  <c r="EK17" i="6" s="1"/>
  <c r="EK42" i="6"/>
  <c r="EK15" i="6" s="1"/>
  <c r="EK40" i="6"/>
  <c r="EK13" i="6" s="1"/>
  <c r="EK45" i="6"/>
  <c r="EK18" i="6" s="1"/>
  <c r="EK47" i="6"/>
  <c r="EK20" i="6" s="1"/>
  <c r="EK46" i="6"/>
  <c r="EK19" i="6" s="1"/>
  <c r="EK48" i="6"/>
  <c r="EK21" i="6" s="1"/>
  <c r="EK50" i="6"/>
  <c r="EK23" i="6" s="1"/>
  <c r="EK52" i="6"/>
  <c r="EK25" i="6" s="1"/>
  <c r="EK53" i="6"/>
  <c r="EK26" i="6" s="1"/>
  <c r="EK49" i="6"/>
  <c r="EK22" i="6" s="1"/>
  <c r="EK43" i="6"/>
  <c r="EK16" i="6" s="1"/>
  <c r="EK51" i="6"/>
  <c r="EK24" i="6" s="1"/>
  <c r="EK55" i="6"/>
  <c r="EK28" i="6" s="1"/>
  <c r="EK56" i="6"/>
  <c r="EK29" i="6" s="1"/>
  <c r="EK30" i="6" s="1"/>
  <c r="EK31" i="6" s="1"/>
  <c r="EK32" i="6" s="1"/>
  <c r="EK33" i="6" s="1"/>
  <c r="EK54" i="6"/>
  <c r="EK27" i="6" s="1"/>
  <c r="EL9" i="6"/>
  <c r="EK10" i="6"/>
  <c r="D1705" i="12" l="1"/>
  <c r="F1704" i="12"/>
  <c r="E1704" i="12"/>
  <c r="EL38" i="6"/>
  <c r="EL11" i="6" s="1"/>
  <c r="EL40" i="6"/>
  <c r="EL13" i="6" s="1"/>
  <c r="EL39" i="6"/>
  <c r="EL12" i="6" s="1"/>
  <c r="EL41" i="6"/>
  <c r="EL14" i="6" s="1"/>
  <c r="EL42" i="6"/>
  <c r="EL15" i="6" s="1"/>
  <c r="EL44" i="6"/>
  <c r="EL17" i="6" s="1"/>
  <c r="EL43" i="6"/>
  <c r="EL16" i="6" s="1"/>
  <c r="EL47" i="6"/>
  <c r="EL20" i="6" s="1"/>
  <c r="EL45" i="6"/>
  <c r="EL18" i="6" s="1"/>
  <c r="EL49" i="6"/>
  <c r="EL22" i="6" s="1"/>
  <c r="EL46" i="6"/>
  <c r="EL19" i="6" s="1"/>
  <c r="EL50" i="6"/>
  <c r="EL23" i="6" s="1"/>
  <c r="EL53" i="6"/>
  <c r="EL26" i="6" s="1"/>
  <c r="EL54" i="6"/>
  <c r="EL27" i="6" s="1"/>
  <c r="EL48" i="6"/>
  <c r="EL21" i="6" s="1"/>
  <c r="EL51" i="6"/>
  <c r="EL24" i="6" s="1"/>
  <c r="EL55" i="6"/>
  <c r="EL28" i="6" s="1"/>
  <c r="EL56" i="6"/>
  <c r="EL29" i="6" s="1"/>
  <c r="EL30" i="6" s="1"/>
  <c r="EL31" i="6" s="1"/>
  <c r="EL32" i="6" s="1"/>
  <c r="EL33" i="6" s="1"/>
  <c r="EL52" i="6"/>
  <c r="EL25" i="6" s="1"/>
  <c r="EM9" i="6"/>
  <c r="EL10" i="6"/>
  <c r="D1706" i="12" l="1"/>
  <c r="F1705" i="12"/>
  <c r="E1705" i="12"/>
  <c r="EM39" i="6"/>
  <c r="EM12" i="6" s="1"/>
  <c r="EM38" i="6"/>
  <c r="EM11" i="6" s="1"/>
  <c r="EM40" i="6"/>
  <c r="EM13" i="6" s="1"/>
  <c r="EM42" i="6"/>
  <c r="EM15" i="6" s="1"/>
  <c r="EM41" i="6"/>
  <c r="EM14" i="6" s="1"/>
  <c r="EM45" i="6"/>
  <c r="EM18" i="6" s="1"/>
  <c r="EM43" i="6"/>
  <c r="EM16" i="6" s="1"/>
  <c r="EM47" i="6"/>
  <c r="EM20" i="6" s="1"/>
  <c r="EM44" i="6"/>
  <c r="EM17" i="6" s="1"/>
  <c r="EM49" i="6"/>
  <c r="EM22" i="6" s="1"/>
  <c r="EM53" i="6"/>
  <c r="EM26" i="6" s="1"/>
  <c r="EM48" i="6"/>
  <c r="EM21" i="6" s="1"/>
  <c r="EM51" i="6"/>
  <c r="EM24" i="6" s="1"/>
  <c r="EM55" i="6"/>
  <c r="EM28" i="6" s="1"/>
  <c r="EM46" i="6"/>
  <c r="EM19" i="6" s="1"/>
  <c r="EM50" i="6"/>
  <c r="EM23" i="6" s="1"/>
  <c r="EM54" i="6"/>
  <c r="EM27" i="6" s="1"/>
  <c r="EM52" i="6"/>
  <c r="EM25" i="6" s="1"/>
  <c r="EM56" i="6"/>
  <c r="EM29" i="6" s="1"/>
  <c r="EM30" i="6" s="1"/>
  <c r="EM31" i="6" s="1"/>
  <c r="EM32" i="6" s="1"/>
  <c r="EM33" i="6" s="1"/>
  <c r="EM10" i="6"/>
  <c r="EN9" i="6"/>
  <c r="D1707" i="12" l="1"/>
  <c r="F1706" i="12"/>
  <c r="E1706" i="12"/>
  <c r="EN39" i="6"/>
  <c r="EN12" i="6" s="1"/>
  <c r="EN38" i="6"/>
  <c r="EN11" i="6" s="1"/>
  <c r="EN42" i="6"/>
  <c r="EN15" i="6" s="1"/>
  <c r="EN40" i="6"/>
  <c r="EN13" i="6" s="1"/>
  <c r="EN44" i="6"/>
  <c r="EN17" i="6" s="1"/>
  <c r="EN41" i="6"/>
  <c r="EN14" i="6" s="1"/>
  <c r="EN45" i="6"/>
  <c r="EN18" i="6" s="1"/>
  <c r="EN43" i="6"/>
  <c r="EN16" i="6" s="1"/>
  <c r="EN48" i="6"/>
  <c r="EN21" i="6" s="1"/>
  <c r="EN46" i="6"/>
  <c r="EN19" i="6" s="1"/>
  <c r="EN47" i="6"/>
  <c r="EN20" i="6" s="1"/>
  <c r="EN51" i="6"/>
  <c r="EN24" i="6" s="1"/>
  <c r="EN50" i="6"/>
  <c r="EN23" i="6" s="1"/>
  <c r="EN55" i="6"/>
  <c r="EN28" i="6" s="1"/>
  <c r="EN49" i="6"/>
  <c r="EN22" i="6" s="1"/>
  <c r="EN52" i="6"/>
  <c r="EN25" i="6" s="1"/>
  <c r="EN54" i="6"/>
  <c r="EN27" i="6" s="1"/>
  <c r="EN53" i="6"/>
  <c r="EN26" i="6" s="1"/>
  <c r="EN56" i="6"/>
  <c r="EN29" i="6" s="1"/>
  <c r="EN30" i="6" s="1"/>
  <c r="EN31" i="6" s="1"/>
  <c r="EN32" i="6" s="1"/>
  <c r="EN33" i="6" s="1"/>
  <c r="EO9" i="6"/>
  <c r="EN10" i="6"/>
  <c r="D1708" i="12" l="1"/>
  <c r="F1707" i="12"/>
  <c r="E1707" i="12"/>
  <c r="EO39" i="6"/>
  <c r="EO12" i="6" s="1"/>
  <c r="EO38" i="6"/>
  <c r="EO11" i="6" s="1"/>
  <c r="EO42" i="6"/>
  <c r="EO15" i="6" s="1"/>
  <c r="EO44" i="6"/>
  <c r="EO17" i="6" s="1"/>
  <c r="EO40" i="6"/>
  <c r="EO13" i="6" s="1"/>
  <c r="EO43" i="6"/>
  <c r="EO16" i="6" s="1"/>
  <c r="EO41" i="6"/>
  <c r="EO14" i="6" s="1"/>
  <c r="EO48" i="6"/>
  <c r="EO21" i="6" s="1"/>
  <c r="EO46" i="6"/>
  <c r="EO19" i="6" s="1"/>
  <c r="EO50" i="6"/>
  <c r="EO23" i="6" s="1"/>
  <c r="EO45" i="6"/>
  <c r="EO18" i="6" s="1"/>
  <c r="EO54" i="6"/>
  <c r="EO27" i="6" s="1"/>
  <c r="EO52" i="6"/>
  <c r="EO25" i="6" s="1"/>
  <c r="EO49" i="6"/>
  <c r="EO22" i="6" s="1"/>
  <c r="EO47" i="6"/>
  <c r="EO20" i="6" s="1"/>
  <c r="EO53" i="6"/>
  <c r="EO26" i="6" s="1"/>
  <c r="EO55" i="6"/>
  <c r="EO28" i="6" s="1"/>
  <c r="EO51" i="6"/>
  <c r="EO24" i="6" s="1"/>
  <c r="EO56" i="6"/>
  <c r="EO29" i="6" s="1"/>
  <c r="EO30" i="6" s="1"/>
  <c r="EO31" i="6" s="1"/>
  <c r="EO32" i="6" s="1"/>
  <c r="EO33" i="6" s="1"/>
  <c r="EP9" i="6"/>
  <c r="EO10" i="6"/>
  <c r="D1709" i="12" l="1"/>
  <c r="E1708" i="12"/>
  <c r="F1708" i="12"/>
  <c r="EP39" i="6"/>
  <c r="EP12" i="6" s="1"/>
  <c r="EP38" i="6"/>
  <c r="EP11" i="6" s="1"/>
  <c r="EP40" i="6"/>
  <c r="EP13" i="6" s="1"/>
  <c r="EP41" i="6"/>
  <c r="EP14" i="6" s="1"/>
  <c r="EP42" i="6"/>
  <c r="EP15" i="6" s="1"/>
  <c r="EP45" i="6"/>
  <c r="EP18" i="6" s="1"/>
  <c r="EP44" i="6"/>
  <c r="EP17" i="6" s="1"/>
  <c r="EP49" i="6"/>
  <c r="EP22" i="6" s="1"/>
  <c r="EP43" i="6"/>
  <c r="EP16" i="6" s="1"/>
  <c r="EP46" i="6"/>
  <c r="EP19" i="6" s="1"/>
  <c r="EP47" i="6"/>
  <c r="EP20" i="6" s="1"/>
  <c r="EP48" i="6"/>
  <c r="EP21" i="6" s="1"/>
  <c r="EP51" i="6"/>
  <c r="EP24" i="6" s="1"/>
  <c r="EP52" i="6"/>
  <c r="EP25" i="6" s="1"/>
  <c r="EP50" i="6"/>
  <c r="EP23" i="6" s="1"/>
  <c r="EP53" i="6"/>
  <c r="EP26" i="6" s="1"/>
  <c r="EP56" i="6"/>
  <c r="EP29" i="6" s="1"/>
  <c r="EP30" i="6" s="1"/>
  <c r="EP31" i="6" s="1"/>
  <c r="EP32" i="6" s="1"/>
  <c r="EP33" i="6" s="1"/>
  <c r="EP54" i="6"/>
  <c r="EP27" i="6" s="1"/>
  <c r="EP55" i="6"/>
  <c r="EP28" i="6" s="1"/>
  <c r="EQ9" i="6"/>
  <c r="EP10" i="6"/>
  <c r="D1710" i="12" l="1"/>
  <c r="E1709" i="12"/>
  <c r="F1709" i="12"/>
  <c r="EQ40" i="6"/>
  <c r="EQ13" i="6" s="1"/>
  <c r="EQ39" i="6"/>
  <c r="EQ12" i="6" s="1"/>
  <c r="EQ38" i="6"/>
  <c r="EQ11" i="6" s="1"/>
  <c r="EQ41" i="6"/>
  <c r="EQ14" i="6" s="1"/>
  <c r="EQ45" i="6"/>
  <c r="EQ18" i="6" s="1"/>
  <c r="EQ44" i="6"/>
  <c r="EQ17" i="6" s="1"/>
  <c r="EQ43" i="6"/>
  <c r="EQ16" i="6" s="1"/>
  <c r="EQ42" i="6"/>
  <c r="EQ15" i="6" s="1"/>
  <c r="EQ49" i="6"/>
  <c r="EQ22" i="6" s="1"/>
  <c r="EQ46" i="6"/>
  <c r="EQ19" i="6" s="1"/>
  <c r="EQ47" i="6"/>
  <c r="EQ20" i="6" s="1"/>
  <c r="EQ53" i="6"/>
  <c r="EQ26" i="6" s="1"/>
  <c r="EQ51" i="6"/>
  <c r="EQ24" i="6" s="1"/>
  <c r="EQ48" i="6"/>
  <c r="EQ21" i="6" s="1"/>
  <c r="EQ50" i="6"/>
  <c r="EQ23" i="6" s="1"/>
  <c r="EQ56" i="6"/>
  <c r="EQ29" i="6" s="1"/>
  <c r="EQ30" i="6" s="1"/>
  <c r="EQ31" i="6" s="1"/>
  <c r="EQ32" i="6" s="1"/>
  <c r="EQ33" i="6" s="1"/>
  <c r="EQ54" i="6"/>
  <c r="EQ27" i="6" s="1"/>
  <c r="EQ52" i="6"/>
  <c r="EQ25" i="6" s="1"/>
  <c r="EQ55" i="6"/>
  <c r="EQ28" i="6" s="1"/>
  <c r="ER9" i="6"/>
  <c r="EQ10" i="6"/>
  <c r="D1711" i="12" l="1"/>
  <c r="E1710" i="12"/>
  <c r="F1710" i="12"/>
  <c r="ER38" i="6"/>
  <c r="ER11" i="6" s="1"/>
  <c r="ER43" i="6"/>
  <c r="ER16" i="6" s="1"/>
  <c r="ER42" i="6"/>
  <c r="ER15" i="6" s="1"/>
  <c r="ER41" i="6"/>
  <c r="ER14" i="6" s="1"/>
  <c r="ER39" i="6"/>
  <c r="ER12" i="6" s="1"/>
  <c r="ER40" i="6"/>
  <c r="ER13" i="6" s="1"/>
  <c r="ER45" i="6"/>
  <c r="ER18" i="6" s="1"/>
  <c r="ER44" i="6"/>
  <c r="ER17" i="6" s="1"/>
  <c r="ER46" i="6"/>
  <c r="ER19" i="6" s="1"/>
  <c r="ER48" i="6"/>
  <c r="ER21" i="6" s="1"/>
  <c r="ER47" i="6"/>
  <c r="ER20" i="6" s="1"/>
  <c r="ER49" i="6"/>
  <c r="ER22" i="6" s="1"/>
  <c r="ER52" i="6"/>
  <c r="ER25" i="6" s="1"/>
  <c r="ER53" i="6"/>
  <c r="ER26" i="6" s="1"/>
  <c r="ER51" i="6"/>
  <c r="ER24" i="6" s="1"/>
  <c r="ER50" i="6"/>
  <c r="ER23" i="6" s="1"/>
  <c r="ER55" i="6"/>
  <c r="ER28" i="6" s="1"/>
  <c r="ER54" i="6"/>
  <c r="ER27" i="6" s="1"/>
  <c r="ER56" i="6"/>
  <c r="ER29" i="6" s="1"/>
  <c r="ER30" i="6" s="1"/>
  <c r="ER31" i="6" s="1"/>
  <c r="ER32" i="6" s="1"/>
  <c r="ER33" i="6" s="1"/>
  <c r="ES9" i="6"/>
  <c r="ER10" i="6"/>
  <c r="D1712" i="12" l="1"/>
  <c r="E1711" i="12"/>
  <c r="F1711" i="12"/>
  <c r="ES38" i="6"/>
  <c r="ES11" i="6" s="1"/>
  <c r="ES39" i="6"/>
  <c r="ES12" i="6" s="1"/>
  <c r="ES41" i="6"/>
  <c r="ES14" i="6" s="1"/>
  <c r="ES42" i="6"/>
  <c r="ES15" i="6" s="1"/>
  <c r="ES40" i="6"/>
  <c r="ES13" i="6" s="1"/>
  <c r="ES44" i="6"/>
  <c r="ES17" i="6" s="1"/>
  <c r="ES45" i="6"/>
  <c r="ES18" i="6" s="1"/>
  <c r="ES50" i="6"/>
  <c r="ES23" i="6" s="1"/>
  <c r="ES48" i="6"/>
  <c r="ES21" i="6" s="1"/>
  <c r="ES43" i="6"/>
  <c r="ES16" i="6" s="1"/>
  <c r="ES49" i="6"/>
  <c r="ES22" i="6" s="1"/>
  <c r="ES47" i="6"/>
  <c r="ES20" i="6" s="1"/>
  <c r="ES54" i="6"/>
  <c r="ES27" i="6" s="1"/>
  <c r="ES52" i="6"/>
  <c r="ES25" i="6" s="1"/>
  <c r="ES51" i="6"/>
  <c r="ES24" i="6" s="1"/>
  <c r="ES55" i="6"/>
  <c r="ES28" i="6" s="1"/>
  <c r="ES56" i="6"/>
  <c r="ES29" i="6" s="1"/>
  <c r="ES30" i="6" s="1"/>
  <c r="ES31" i="6" s="1"/>
  <c r="ES32" i="6" s="1"/>
  <c r="ES33" i="6" s="1"/>
  <c r="ES46" i="6"/>
  <c r="ES19" i="6" s="1"/>
  <c r="ES53" i="6"/>
  <c r="ES26" i="6" s="1"/>
  <c r="ET9" i="6"/>
  <c r="ES10" i="6"/>
  <c r="D1713" i="12" l="1"/>
  <c r="F1712" i="12"/>
  <c r="E1712" i="12"/>
  <c r="ET39" i="6"/>
  <c r="ET12" i="6" s="1"/>
  <c r="ET40" i="6"/>
  <c r="ET13" i="6" s="1"/>
  <c r="ET38" i="6"/>
  <c r="ET11" i="6" s="1"/>
  <c r="ET42" i="6"/>
  <c r="ET15" i="6" s="1"/>
  <c r="ET44" i="6"/>
  <c r="ET17" i="6" s="1"/>
  <c r="ET41" i="6"/>
  <c r="ET14" i="6" s="1"/>
  <c r="ET43" i="6"/>
  <c r="ET16" i="6" s="1"/>
  <c r="ET45" i="6"/>
  <c r="ET18" i="6" s="1"/>
  <c r="ET47" i="6"/>
  <c r="ET20" i="6" s="1"/>
  <c r="ET49" i="6"/>
  <c r="ET22" i="6" s="1"/>
  <c r="ET46" i="6"/>
  <c r="ET19" i="6" s="1"/>
  <c r="ET50" i="6"/>
  <c r="ET23" i="6" s="1"/>
  <c r="ET53" i="6"/>
  <c r="ET26" i="6" s="1"/>
  <c r="ET54" i="6"/>
  <c r="ET27" i="6" s="1"/>
  <c r="ET48" i="6"/>
  <c r="ET21" i="6" s="1"/>
  <c r="ET51" i="6"/>
  <c r="ET24" i="6" s="1"/>
  <c r="ET52" i="6"/>
  <c r="ET25" i="6" s="1"/>
  <c r="ET55" i="6"/>
  <c r="ET28" i="6" s="1"/>
  <c r="ET56" i="6"/>
  <c r="ET29" i="6" s="1"/>
  <c r="ET30" i="6" s="1"/>
  <c r="ET31" i="6" s="1"/>
  <c r="ET32" i="6" s="1"/>
  <c r="ET33" i="6" s="1"/>
  <c r="ET10" i="6"/>
  <c r="D1714" i="12" l="1"/>
  <c r="F1713" i="12"/>
  <c r="E1713" i="12"/>
  <c r="AS14" i="2"/>
  <c r="D1715" i="12" l="1"/>
  <c r="F1714" i="12"/>
  <c r="E1714" i="12"/>
  <c r="AW18" i="5"/>
  <c r="BA18" i="5" s="1"/>
  <c r="D1716" i="12" l="1"/>
  <c r="F1715" i="12"/>
  <c r="E1715" i="12"/>
  <c r="A27" i="5"/>
  <c r="D1717" i="12" l="1"/>
  <c r="F1716" i="12"/>
  <c r="E1716" i="12"/>
  <c r="B28" i="2"/>
  <c r="D1718" i="12" l="1"/>
  <c r="F1717" i="12"/>
  <c r="E1717" i="12"/>
  <c r="AE10" i="2"/>
  <c r="FL98" i="6"/>
  <c r="FL128" i="6"/>
  <c r="FL175" i="6"/>
  <c r="FL158" i="6"/>
  <c r="FL201" i="6"/>
  <c r="FL111" i="6"/>
  <c r="FL81" i="6"/>
  <c r="FL17" i="6"/>
  <c r="FL25" i="6"/>
  <c r="FL26" i="6"/>
  <c r="FL109" i="6"/>
  <c r="FL188" i="6"/>
  <c r="FL89" i="6"/>
  <c r="FL197" i="6"/>
  <c r="FL171" i="6"/>
  <c r="FL134" i="6"/>
  <c r="FL141" i="6"/>
  <c r="FL77" i="6"/>
  <c r="FL21" i="6"/>
  <c r="FL170" i="6"/>
  <c r="FL140" i="6"/>
  <c r="FL23" i="6"/>
  <c r="FL85" i="6"/>
  <c r="FL116" i="6"/>
  <c r="FL54" i="6"/>
  <c r="FL94" i="6"/>
  <c r="FL30" i="6"/>
  <c r="FL45" i="6"/>
  <c r="FL80" i="6"/>
  <c r="FL59" i="6"/>
  <c r="FL122" i="6"/>
  <c r="FL35" i="6"/>
  <c r="FL96" i="6"/>
  <c r="FL95" i="6"/>
  <c r="FL68" i="6"/>
  <c r="FL18" i="6"/>
  <c r="FL38" i="6"/>
  <c r="FL162" i="6"/>
  <c r="FL147" i="6"/>
  <c r="FL160" i="6"/>
  <c r="I3" i="2"/>
  <c r="FL152" i="6"/>
  <c r="FL125" i="6"/>
  <c r="FL110" i="6"/>
  <c r="FL127" i="6"/>
  <c r="FL62" i="6"/>
  <c r="FL64" i="6"/>
  <c r="FL135" i="6"/>
  <c r="FL132" i="6"/>
  <c r="FL31" i="6"/>
  <c r="FL29" i="6"/>
  <c r="FL182" i="6"/>
  <c r="FL121" i="6"/>
  <c r="FL138" i="6"/>
  <c r="FL108" i="6"/>
  <c r="FL200" i="6"/>
  <c r="FL63" i="6"/>
  <c r="FL133" i="6"/>
  <c r="FL131" i="6"/>
  <c r="FL144" i="6"/>
  <c r="FL34" i="6"/>
  <c r="FL113" i="6"/>
  <c r="FL205" i="6"/>
  <c r="FL190" i="6"/>
  <c r="FL143" i="6"/>
  <c r="FL44" i="6"/>
  <c r="FL87" i="6"/>
  <c r="FL153" i="6"/>
  <c r="FL106" i="6"/>
  <c r="FL76" i="6"/>
  <c r="FL86" i="6"/>
  <c r="FL53" i="6"/>
  <c r="FL150" i="6"/>
  <c r="FL181" i="6"/>
  <c r="FL155" i="6"/>
  <c r="FL183" i="6"/>
  <c r="FL189" i="6"/>
  <c r="FL174" i="6"/>
  <c r="FL191" i="6"/>
  <c r="FL56" i="6"/>
  <c r="FL66" i="6"/>
  <c r="FL196" i="6"/>
  <c r="FL50" i="6"/>
  <c r="FL93" i="6"/>
  <c r="FL169" i="6"/>
  <c r="FL126" i="6"/>
  <c r="FL192" i="6"/>
  <c r="FL178" i="6"/>
  <c r="FL163" i="6"/>
  <c r="FL112" i="6"/>
  <c r="FL40" i="6"/>
  <c r="FL176" i="6"/>
  <c r="FL27" i="6"/>
  <c r="FL145" i="6"/>
  <c r="FL173" i="6"/>
  <c r="FL79" i="6"/>
  <c r="FL180" i="6"/>
  <c r="FL39" i="6"/>
  <c r="FL164" i="6"/>
  <c r="FL118" i="6"/>
  <c r="FL146" i="6"/>
  <c r="FL42" i="6"/>
  <c r="FL139" i="6"/>
  <c r="FL186" i="6"/>
  <c r="FL156" i="6"/>
  <c r="FL19" i="6"/>
  <c r="FL149" i="6"/>
  <c r="FL123" i="6"/>
  <c r="FL46" i="6"/>
  <c r="FL58" i="6"/>
  <c r="FL154" i="6"/>
  <c r="FL159" i="6"/>
  <c r="FL48" i="6"/>
  <c r="FL70" i="6"/>
  <c r="FL129" i="6"/>
  <c r="FL41" i="6"/>
  <c r="FL142" i="6"/>
  <c r="FL161" i="6"/>
  <c r="FL92" i="6"/>
  <c r="FL204" i="6"/>
  <c r="FL104" i="6"/>
  <c r="FL22" i="6"/>
  <c r="FL208" i="6"/>
  <c r="FL107" i="6"/>
  <c r="FL69" i="6"/>
  <c r="FL57" i="6"/>
  <c r="FL52" i="6"/>
  <c r="FL20" i="6"/>
  <c r="FL97" i="6"/>
  <c r="FL67" i="6"/>
  <c r="FL130" i="6"/>
  <c r="FL13" i="6"/>
  <c r="FL74" i="6"/>
  <c r="FL203" i="6"/>
  <c r="FL136" i="6"/>
  <c r="FL36" i="6"/>
  <c r="FL72" i="6"/>
  <c r="FL166" i="6"/>
  <c r="FL103" i="6"/>
  <c r="FL179" i="6"/>
  <c r="FL124" i="6"/>
  <c r="FL185" i="6"/>
  <c r="FL202" i="6"/>
  <c r="FL172" i="6"/>
  <c r="FL60" i="6"/>
  <c r="FL37" i="6"/>
  <c r="FL47" i="6"/>
  <c r="FL184" i="6"/>
  <c r="FL15" i="6"/>
  <c r="FL151" i="6"/>
  <c r="FL148" i="6"/>
  <c r="FL51" i="6"/>
  <c r="FL193" i="6"/>
  <c r="FL177" i="6"/>
  <c r="FL114" i="6"/>
  <c r="FL99" i="6"/>
  <c r="FL207" i="6"/>
  <c r="FL55" i="6"/>
  <c r="FL14" i="6"/>
  <c r="FL187" i="6"/>
  <c r="FL120" i="6"/>
  <c r="FL49" i="6"/>
  <c r="FL43" i="6"/>
  <c r="FL195" i="6"/>
  <c r="FL206" i="6"/>
  <c r="FL117" i="6"/>
  <c r="FL91" i="6"/>
  <c r="FL119" i="6"/>
  <c r="FL199" i="6"/>
  <c r="FL105" i="6"/>
  <c r="FL209" i="6"/>
  <c r="FL82" i="6"/>
  <c r="FL210" i="6"/>
  <c r="FL73" i="6"/>
  <c r="FL90" i="6"/>
  <c r="FL16" i="6"/>
  <c r="FL88" i="6"/>
  <c r="FL32" i="6"/>
  <c r="FL84" i="6"/>
  <c r="FL102" i="6"/>
  <c r="FL194" i="6"/>
  <c r="FL115" i="6"/>
  <c r="FL33" i="6"/>
  <c r="FL157" i="6"/>
  <c r="FL78" i="6"/>
  <c r="FL71" i="6"/>
  <c r="FL101" i="6"/>
  <c r="FL75" i="6"/>
  <c r="FL167" i="6"/>
  <c r="FL100" i="6"/>
  <c r="FL165" i="6"/>
  <c r="FL28" i="6"/>
  <c r="FL65" i="6"/>
  <c r="FL137" i="6"/>
  <c r="FL168" i="6"/>
  <c r="FL24" i="6"/>
  <c r="FL83" i="6"/>
  <c r="FL61" i="6"/>
  <c r="FL198" i="6"/>
  <c r="D1719" i="12" l="1"/>
  <c r="E1718" i="12"/>
  <c r="F1718" i="12"/>
  <c r="FL78" i="15"/>
  <c r="FL78" i="10"/>
  <c r="FL74" i="10"/>
  <c r="FL74" i="15"/>
  <c r="FL77" i="10"/>
  <c r="FL77" i="15"/>
  <c r="FL93" i="15"/>
  <c r="FL93" i="10"/>
  <c r="FL91" i="15"/>
  <c r="FL91" i="10"/>
  <c r="BI10" i="2"/>
  <c r="AS11" i="2"/>
  <c r="BL11" i="2" s="1"/>
  <c r="FL11" i="6"/>
  <c r="FL12" i="15"/>
  <c r="FL12" i="10"/>
  <c r="FL12" i="6"/>
  <c r="FL197" i="10"/>
  <c r="FL197" i="15"/>
  <c r="FL46" i="10"/>
  <c r="FL46" i="15"/>
  <c r="FL204" i="10"/>
  <c r="FL204" i="15"/>
  <c r="FL196" i="10"/>
  <c r="FL196" i="15"/>
  <c r="FL182" i="15"/>
  <c r="FL182" i="10"/>
  <c r="FL45" i="10"/>
  <c r="FL45" i="15"/>
  <c r="FL11" i="15"/>
  <c r="FL11" i="10"/>
  <c r="BA161" i="2"/>
  <c r="BA144" i="2"/>
  <c r="BA140" i="2"/>
  <c r="BA157" i="2"/>
  <c r="BA148" i="2"/>
  <c r="BA156" i="2"/>
  <c r="BA147" i="2"/>
  <c r="BA141" i="2"/>
  <c r="BA159" i="2"/>
  <c r="H3" i="5"/>
  <c r="AW161" i="2"/>
  <c r="AW162" i="2"/>
  <c r="AW159" i="2"/>
  <c r="AW158" i="2"/>
  <c r="AW157" i="2"/>
  <c r="AW154" i="2"/>
  <c r="AW152" i="2"/>
  <c r="AW160" i="2"/>
  <c r="AW150" i="2"/>
  <c r="AW156" i="2"/>
  <c r="AW155" i="2"/>
  <c r="AW153" i="2"/>
  <c r="AW151" i="2"/>
  <c r="AW149" i="2"/>
  <c r="AW148" i="2"/>
  <c r="AW145" i="2"/>
  <c r="AW144" i="2"/>
  <c r="AW143" i="2"/>
  <c r="AW139" i="2"/>
  <c r="AW147" i="2"/>
  <c r="AW146" i="2"/>
  <c r="AW141" i="2"/>
  <c r="AW142" i="2"/>
  <c r="AW140" i="2"/>
  <c r="BA153" i="2"/>
  <c r="BA162" i="2"/>
  <c r="BA154" i="2"/>
  <c r="AW14" i="2"/>
  <c r="BA143" i="2"/>
  <c r="BA155" i="2"/>
  <c r="BA150" i="2"/>
  <c r="BA145" i="2"/>
  <c r="BA146" i="2"/>
  <c r="BA139" i="2"/>
  <c r="BA152" i="2"/>
  <c r="BA142" i="2"/>
  <c r="BA149" i="2"/>
  <c r="BA158" i="2"/>
  <c r="BA151" i="2"/>
  <c r="BA160" i="2"/>
  <c r="BL13" i="2" l="1"/>
  <c r="D1720" i="12"/>
  <c r="F1719" i="12"/>
  <c r="E1719" i="12"/>
  <c r="AW15" i="2"/>
  <c r="AW166" i="5"/>
  <c r="AW167" i="5"/>
  <c r="AW157" i="5"/>
  <c r="AW165" i="5"/>
  <c r="AW164" i="5"/>
  <c r="AW162" i="5"/>
  <c r="AW160" i="5"/>
  <c r="AW159" i="5"/>
  <c r="AW155" i="5"/>
  <c r="AW163" i="5"/>
  <c r="AW161" i="5"/>
  <c r="AW158" i="5"/>
  <c r="AW154" i="5"/>
  <c r="AW150" i="5"/>
  <c r="AW149" i="5"/>
  <c r="AW147" i="5"/>
  <c r="AW152" i="5"/>
  <c r="AW144" i="5"/>
  <c r="AW151" i="5"/>
  <c r="AW148" i="5"/>
  <c r="AW146" i="5"/>
  <c r="AW145" i="5"/>
  <c r="AW156" i="5"/>
  <c r="AW153" i="5"/>
  <c r="BA80" i="5"/>
  <c r="BA156" i="5"/>
  <c r="BA25" i="5"/>
  <c r="BA97" i="5"/>
  <c r="BA37" i="5"/>
  <c r="BA104" i="5"/>
  <c r="BA113" i="5"/>
  <c r="BA28" i="5"/>
  <c r="BA55" i="5"/>
  <c r="BA72" i="5"/>
  <c r="BA167" i="5"/>
  <c r="BA139" i="5"/>
  <c r="BA43" i="5"/>
  <c r="BA157" i="5"/>
  <c r="BA162" i="5"/>
  <c r="BA143" i="5"/>
  <c r="BA42" i="5"/>
  <c r="BA118" i="5"/>
  <c r="BA46" i="5"/>
  <c r="BA76" i="5"/>
  <c r="BA129" i="5"/>
  <c r="BA44" i="5"/>
  <c r="BA145" i="5"/>
  <c r="BA164" i="5"/>
  <c r="BA105" i="5"/>
  <c r="BA85" i="5"/>
  <c r="BA47" i="5"/>
  <c r="BA131" i="5"/>
  <c r="BA106" i="5"/>
  <c r="BA166" i="5"/>
  <c r="BA108" i="5"/>
  <c r="BA163" i="5"/>
  <c r="BA53" i="5"/>
  <c r="BA124" i="5"/>
  <c r="BA115" i="5"/>
  <c r="BA60" i="5"/>
  <c r="BA87" i="5"/>
  <c r="BA24" i="5"/>
  <c r="BA152" i="5"/>
  <c r="BA98" i="5"/>
  <c r="BA74" i="5"/>
  <c r="BA54" i="5"/>
  <c r="BA59" i="5"/>
  <c r="BA114" i="5"/>
  <c r="BA128" i="5"/>
  <c r="BA71" i="5"/>
  <c r="BA49" i="5"/>
  <c r="BA140" i="5"/>
  <c r="BA126" i="5"/>
  <c r="BA132" i="5"/>
  <c r="BA154" i="5"/>
  <c r="BA127" i="5"/>
  <c r="BA112" i="5"/>
  <c r="BA151" i="5"/>
  <c r="BA78" i="5"/>
  <c r="BA29" i="5"/>
  <c r="BA96" i="5"/>
  <c r="BA142" i="5"/>
  <c r="BA81" i="5"/>
  <c r="BA40" i="5"/>
  <c r="BA88" i="5"/>
  <c r="BA67" i="5"/>
  <c r="BA79" i="5"/>
  <c r="BA141" i="5"/>
  <c r="BA160" i="5"/>
  <c r="BA52" i="5"/>
  <c r="BA64" i="5"/>
  <c r="BA69" i="5"/>
  <c r="BA116" i="5"/>
  <c r="BA144" i="5"/>
  <c r="BA121" i="5"/>
  <c r="BA58" i="5"/>
  <c r="BA149" i="5"/>
  <c r="BA57" i="5"/>
  <c r="BA45" i="5"/>
  <c r="BA75" i="5"/>
  <c r="BA68" i="5"/>
  <c r="BA27" i="5"/>
  <c r="BA146" i="5"/>
  <c r="BA86" i="5"/>
  <c r="BA91" i="5"/>
  <c r="BA125" i="5"/>
  <c r="BA83" i="5"/>
  <c r="BA73" i="5"/>
  <c r="BA36" i="5"/>
  <c r="BA50" i="5"/>
  <c r="BA61" i="5"/>
  <c r="BA100" i="5"/>
  <c r="BA32" i="5"/>
  <c r="BA111" i="5"/>
  <c r="BA66" i="5"/>
  <c r="BA155" i="5"/>
  <c r="BA48" i="5"/>
  <c r="BA102" i="5"/>
  <c r="BA38" i="5"/>
  <c r="BA94" i="5"/>
  <c r="BA117" i="5"/>
  <c r="BA33" i="5"/>
  <c r="BA63" i="5"/>
  <c r="BA119" i="5"/>
  <c r="BA95" i="5"/>
  <c r="BA35" i="5"/>
  <c r="BA159" i="5"/>
  <c r="BA158" i="5"/>
  <c r="BA110" i="5"/>
  <c r="BA130" i="5"/>
  <c r="BA70" i="5"/>
  <c r="BA120" i="5"/>
  <c r="BA77" i="5"/>
  <c r="BA153" i="5"/>
  <c r="BA148" i="5"/>
  <c r="BA39" i="5"/>
  <c r="BA135" i="5"/>
  <c r="BA161" i="5"/>
  <c r="BA165" i="5"/>
  <c r="BA134" i="5"/>
  <c r="BA107" i="5"/>
  <c r="BA122" i="5"/>
  <c r="BA90" i="5"/>
  <c r="BA41" i="5"/>
  <c r="BA150" i="5"/>
  <c r="BA103" i="5"/>
  <c r="BA30" i="5"/>
  <c r="BA93" i="5"/>
  <c r="BA109" i="5"/>
  <c r="BA84" i="5"/>
  <c r="BA62" i="5"/>
  <c r="BA51" i="5"/>
  <c r="BA136" i="5"/>
  <c r="BA56" i="5"/>
  <c r="BA34" i="5"/>
  <c r="BA99" i="5"/>
  <c r="BA133" i="5"/>
  <c r="BA138" i="5"/>
  <c r="BA26" i="5"/>
  <c r="BA137" i="5"/>
  <c r="BA101" i="5"/>
  <c r="BA147" i="5"/>
  <c r="BA82" i="5"/>
  <c r="BA123" i="5"/>
  <c r="BA65" i="5"/>
  <c r="BA89" i="5"/>
  <c r="AW19" i="5"/>
  <c r="BA92" i="5"/>
  <c r="BA31" i="5"/>
  <c r="D62" i="2"/>
  <c r="AS16" i="5"/>
  <c r="BM10" i="5"/>
  <c r="BI10" i="5"/>
  <c r="BL10" i="5" l="1"/>
  <c r="BL11" i="5"/>
  <c r="H62" i="2"/>
  <c r="J62" i="2"/>
  <c r="N62" i="2"/>
  <c r="R62" i="2"/>
  <c r="K62" i="2"/>
  <c r="O62" i="2"/>
  <c r="S62" i="2"/>
  <c r="L62" i="2"/>
  <c r="P62" i="2"/>
  <c r="T62" i="2"/>
  <c r="M62" i="2"/>
  <c r="Q62" i="2"/>
  <c r="U62" i="2"/>
  <c r="I62" i="2"/>
  <c r="D1721" i="12"/>
  <c r="F1720" i="12"/>
  <c r="E1720" i="12"/>
  <c r="T100" i="10"/>
  <c r="AJ100" i="10"/>
  <c r="V101" i="10"/>
  <c r="AL101" i="10"/>
  <c r="X100" i="10"/>
  <c r="AN100" i="10"/>
  <c r="J101" i="10"/>
  <c r="Z101" i="10"/>
  <c r="AP101" i="10"/>
  <c r="L100" i="10"/>
  <c r="AB100" i="10"/>
  <c r="AR100" i="10"/>
  <c r="N101" i="10"/>
  <c r="AD101" i="10"/>
  <c r="AT101" i="10"/>
  <c r="P100" i="10"/>
  <c r="AF100" i="10"/>
  <c r="AV100" i="10"/>
  <c r="R101" i="10"/>
  <c r="AH101" i="10"/>
  <c r="AX101" i="10"/>
  <c r="X102" i="10"/>
  <c r="AN102" i="10"/>
  <c r="J103" i="10"/>
  <c r="Z103" i="10"/>
  <c r="AP103" i="10"/>
  <c r="L104" i="10"/>
  <c r="AB104" i="10"/>
  <c r="AR104" i="10"/>
  <c r="N105" i="10"/>
  <c r="AD105" i="10"/>
  <c r="AT105" i="10"/>
  <c r="P106" i="10"/>
  <c r="AF106" i="10"/>
  <c r="AV106" i="10"/>
  <c r="R107" i="10"/>
  <c r="AH107" i="10"/>
  <c r="AX107" i="10"/>
  <c r="T108" i="10"/>
  <c r="AJ108" i="10"/>
  <c r="U100" i="10"/>
  <c r="AK100" i="10"/>
  <c r="W101" i="10"/>
  <c r="AM101" i="10"/>
  <c r="I102" i="10"/>
  <c r="J100" i="10"/>
  <c r="Z100" i="10"/>
  <c r="AP100" i="10"/>
  <c r="L101" i="10"/>
  <c r="AB101" i="10"/>
  <c r="AR101" i="10"/>
  <c r="N102" i="10"/>
  <c r="AD102" i="10"/>
  <c r="AT102" i="10"/>
  <c r="P103" i="10"/>
  <c r="AF103" i="10"/>
  <c r="AV103" i="10"/>
  <c r="R104" i="10"/>
  <c r="AH104" i="10"/>
  <c r="AX104" i="10"/>
  <c r="T105" i="10"/>
  <c r="AJ105" i="10"/>
  <c r="V106" i="10"/>
  <c r="AL106" i="10"/>
  <c r="X107" i="10"/>
  <c r="AN107" i="10"/>
  <c r="J108" i="10"/>
  <c r="Z108" i="10"/>
  <c r="AP108" i="10"/>
  <c r="L109" i="10"/>
  <c r="AB109" i="10"/>
  <c r="AR109" i="10"/>
  <c r="L102" i="10"/>
  <c r="AB102" i="10"/>
  <c r="AR102" i="10"/>
  <c r="N103" i="10"/>
  <c r="AD103" i="10"/>
  <c r="AT103" i="10"/>
  <c r="P104" i="10"/>
  <c r="AF104" i="10"/>
  <c r="AV104" i="10"/>
  <c r="R105" i="10"/>
  <c r="AH105" i="10"/>
  <c r="AX105" i="10"/>
  <c r="T106" i="10"/>
  <c r="AJ106" i="10"/>
  <c r="V107" i="10"/>
  <c r="AL107" i="10"/>
  <c r="X108" i="10"/>
  <c r="AN108" i="10"/>
  <c r="I100" i="10"/>
  <c r="Y100" i="10"/>
  <c r="AO100" i="10"/>
  <c r="K101" i="10"/>
  <c r="AA101" i="10"/>
  <c r="AQ101" i="10"/>
  <c r="M102" i="10"/>
  <c r="N100" i="10"/>
  <c r="AD100" i="10"/>
  <c r="AT100" i="10"/>
  <c r="P101" i="10"/>
  <c r="AF101" i="10"/>
  <c r="AV101" i="10"/>
  <c r="R102" i="10"/>
  <c r="AH102" i="10"/>
  <c r="AX102" i="10"/>
  <c r="T103" i="10"/>
  <c r="AJ103" i="10"/>
  <c r="V104" i="10"/>
  <c r="AL104" i="10"/>
  <c r="X105" i="10"/>
  <c r="AN105" i="10"/>
  <c r="J106" i="10"/>
  <c r="Z106" i="10"/>
  <c r="AP106" i="10"/>
  <c r="L107" i="10"/>
  <c r="AB107" i="10"/>
  <c r="AR107" i="10"/>
  <c r="N108" i="10"/>
  <c r="AD108" i="10"/>
  <c r="AT108" i="10"/>
  <c r="P109" i="10"/>
  <c r="AF109" i="10"/>
  <c r="AV109" i="10"/>
  <c r="P102" i="10"/>
  <c r="AF102" i="10"/>
  <c r="AV102" i="10"/>
  <c r="R103" i="10"/>
  <c r="AH103" i="10"/>
  <c r="AX103" i="10"/>
  <c r="T104" i="10"/>
  <c r="AJ104" i="10"/>
  <c r="V105" i="10"/>
  <c r="AL105" i="10"/>
  <c r="X106" i="10"/>
  <c r="AN106" i="10"/>
  <c r="J107" i="10"/>
  <c r="Z107" i="10"/>
  <c r="AP107" i="10"/>
  <c r="L108" i="10"/>
  <c r="AB108" i="10"/>
  <c r="AR108" i="10"/>
  <c r="M100" i="10"/>
  <c r="AC100" i="10"/>
  <c r="AS100" i="10"/>
  <c r="O101" i="10"/>
  <c r="AE101" i="10"/>
  <c r="AU101" i="10"/>
  <c r="Q102" i="10"/>
  <c r="R100" i="10"/>
  <c r="AH100" i="10"/>
  <c r="AX100" i="10"/>
  <c r="T101" i="10"/>
  <c r="AJ101" i="10"/>
  <c r="V102" i="10"/>
  <c r="AL102" i="10"/>
  <c r="X103" i="10"/>
  <c r="AN103" i="10"/>
  <c r="J104" i="10"/>
  <c r="Z104" i="10"/>
  <c r="AP104" i="10"/>
  <c r="L105" i="10"/>
  <c r="AB105" i="10"/>
  <c r="AR105" i="10"/>
  <c r="N106" i="10"/>
  <c r="AD106" i="10"/>
  <c r="AT106" i="10"/>
  <c r="P107" i="10"/>
  <c r="AF107" i="10"/>
  <c r="AV107" i="10"/>
  <c r="R108" i="10"/>
  <c r="AH108" i="10"/>
  <c r="AX108" i="10"/>
  <c r="T109" i="10"/>
  <c r="AJ109" i="10"/>
  <c r="T102" i="10"/>
  <c r="AJ102" i="10"/>
  <c r="V103" i="10"/>
  <c r="AL103" i="10"/>
  <c r="X104" i="10"/>
  <c r="AN104" i="10"/>
  <c r="J105" i="10"/>
  <c r="Z105" i="10"/>
  <c r="AP105" i="10"/>
  <c r="L106" i="10"/>
  <c r="AB106" i="10"/>
  <c r="AR106" i="10"/>
  <c r="N107" i="10"/>
  <c r="AD107" i="10"/>
  <c r="AT107" i="10"/>
  <c r="P108" i="10"/>
  <c r="AF108" i="10"/>
  <c r="AV108" i="10"/>
  <c r="Q100" i="10"/>
  <c r="AG100" i="10"/>
  <c r="AW100" i="10"/>
  <c r="S101" i="10"/>
  <c r="AI101" i="10"/>
  <c r="AY101" i="10"/>
  <c r="U102" i="10"/>
  <c r="V100" i="10"/>
  <c r="AL100" i="10"/>
  <c r="X101" i="10"/>
  <c r="AN101" i="10"/>
  <c r="J102" i="10"/>
  <c r="Z102" i="10"/>
  <c r="AP102" i="10"/>
  <c r="L103" i="10"/>
  <c r="AB103" i="10"/>
  <c r="AR103" i="10"/>
  <c r="N104" i="10"/>
  <c r="AD104" i="10"/>
  <c r="AT104" i="10"/>
  <c r="P105" i="10"/>
  <c r="AF105" i="10"/>
  <c r="AV105" i="10"/>
  <c r="R106" i="10"/>
  <c r="AH106" i="10"/>
  <c r="AX106" i="10"/>
  <c r="T107" i="10"/>
  <c r="AJ107" i="10"/>
  <c r="V108" i="10"/>
  <c r="AL108" i="10"/>
  <c r="X109" i="10"/>
  <c r="AN109" i="10"/>
  <c r="AQ100" i="10"/>
  <c r="AC101" i="10"/>
  <c r="O102" i="10"/>
  <c r="AY102" i="10"/>
  <c r="AK103" i="10"/>
  <c r="W104" i="10"/>
  <c r="I105" i="10"/>
  <c r="AO105" i="10"/>
  <c r="AA106" i="10"/>
  <c r="M107" i="10"/>
  <c r="AS107" i="10"/>
  <c r="AE108" i="10"/>
  <c r="Y109" i="10"/>
  <c r="AT109" i="10"/>
  <c r="I110" i="10"/>
  <c r="Y110" i="10"/>
  <c r="AO110" i="10"/>
  <c r="K111" i="10"/>
  <c r="AA111" i="10"/>
  <c r="AQ111" i="10"/>
  <c r="M112" i="10"/>
  <c r="AC112" i="10"/>
  <c r="AS112" i="10"/>
  <c r="O113" i="10"/>
  <c r="AE113" i="10"/>
  <c r="AU113" i="10"/>
  <c r="Q114" i="10"/>
  <c r="AG114" i="10"/>
  <c r="AW114" i="10"/>
  <c r="S115" i="10"/>
  <c r="AI115" i="10"/>
  <c r="AY115" i="10"/>
  <c r="U116" i="10"/>
  <c r="AK116" i="10"/>
  <c r="W117" i="10"/>
  <c r="AM117" i="10"/>
  <c r="I118" i="10"/>
  <c r="Y118" i="10"/>
  <c r="AO118" i="10"/>
  <c r="K119" i="10"/>
  <c r="AA119" i="10"/>
  <c r="AQ119" i="10"/>
  <c r="M120" i="10"/>
  <c r="AC120" i="10"/>
  <c r="AS120" i="10"/>
  <c r="O121" i="10"/>
  <c r="AE121" i="10"/>
  <c r="AU121" i="10"/>
  <c r="O100" i="10"/>
  <c r="AK102" i="10"/>
  <c r="W103" i="10"/>
  <c r="I104" i="10"/>
  <c r="AO104" i="10"/>
  <c r="AA105" i="10"/>
  <c r="M106" i="10"/>
  <c r="AS106" i="10"/>
  <c r="AE107" i="10"/>
  <c r="Q108" i="10"/>
  <c r="AW108" i="10"/>
  <c r="O109" i="10"/>
  <c r="AK109" i="10"/>
  <c r="R110" i="10"/>
  <c r="AH110" i="10"/>
  <c r="AX110" i="10"/>
  <c r="T111" i="10"/>
  <c r="AJ111" i="10"/>
  <c r="V112" i="10"/>
  <c r="AL112" i="10"/>
  <c r="X113" i="10"/>
  <c r="AN113" i="10"/>
  <c r="J114" i="10"/>
  <c r="Z114" i="10"/>
  <c r="AP114" i="10"/>
  <c r="L115" i="10"/>
  <c r="AB115" i="10"/>
  <c r="AR115" i="10"/>
  <c r="N116" i="10"/>
  <c r="AD116" i="10"/>
  <c r="AT116" i="10"/>
  <c r="P117" i="10"/>
  <c r="AF117" i="10"/>
  <c r="AV117" i="10"/>
  <c r="R118" i="10"/>
  <c r="AH118" i="10"/>
  <c r="AX118" i="10"/>
  <c r="T119" i="10"/>
  <c r="AJ119" i="10"/>
  <c r="V120" i="10"/>
  <c r="AL120" i="10"/>
  <c r="X121" i="10"/>
  <c r="AN121" i="10"/>
  <c r="AY100" i="10"/>
  <c r="AK101" i="10"/>
  <c r="W102" i="10"/>
  <c r="I103" i="10"/>
  <c r="AO103" i="10"/>
  <c r="AA104" i="10"/>
  <c r="M105" i="10"/>
  <c r="AS105" i="10"/>
  <c r="AE106" i="10"/>
  <c r="Q107" i="10"/>
  <c r="AW107" i="10"/>
  <c r="AI108" i="10"/>
  <c r="AA109" i="10"/>
  <c r="AW109" i="10"/>
  <c r="K110" i="10"/>
  <c r="AA110" i="10"/>
  <c r="AQ110" i="10"/>
  <c r="M111" i="10"/>
  <c r="AC111" i="10"/>
  <c r="AS111" i="10"/>
  <c r="O112" i="10"/>
  <c r="AE112" i="10"/>
  <c r="AU112" i="10"/>
  <c r="Q113" i="10"/>
  <c r="AG113" i="10"/>
  <c r="AW113" i="10"/>
  <c r="S114" i="10"/>
  <c r="AI114" i="10"/>
  <c r="AY114" i="10"/>
  <c r="U115" i="10"/>
  <c r="AK115" i="10"/>
  <c r="W116" i="10"/>
  <c r="AM116" i="10"/>
  <c r="I117" i="10"/>
  <c r="Y117" i="10"/>
  <c r="AO117" i="10"/>
  <c r="K118" i="10"/>
  <c r="AA118" i="10"/>
  <c r="AQ118" i="10"/>
  <c r="M119" i="10"/>
  <c r="AC119" i="10"/>
  <c r="AS119" i="10"/>
  <c r="O120" i="10"/>
  <c r="AE120" i="10"/>
  <c r="AU120" i="10"/>
  <c r="Q121" i="10"/>
  <c r="AG121" i="10"/>
  <c r="AW121" i="10"/>
  <c r="S122" i="10"/>
  <c r="AI122" i="10"/>
  <c r="AY107" i="10"/>
  <c r="AK108" i="10"/>
  <c r="AT111" i="10"/>
  <c r="AF112" i="10"/>
  <c r="R113" i="10"/>
  <c r="AN116" i="10"/>
  <c r="Z117" i="10"/>
  <c r="L118" i="10"/>
  <c r="AV120" i="10"/>
  <c r="AH121" i="10"/>
  <c r="L122" i="10"/>
  <c r="AG122" i="10"/>
  <c r="V123" i="10"/>
  <c r="AL123" i="10"/>
  <c r="X124" i="10"/>
  <c r="AN124" i="10"/>
  <c r="J125" i="10"/>
  <c r="Z125" i="10"/>
  <c r="AP125" i="10"/>
  <c r="L126" i="10"/>
  <c r="AB126" i="10"/>
  <c r="AR126" i="10"/>
  <c r="N127" i="10"/>
  <c r="AD127" i="10"/>
  <c r="AT127" i="10"/>
  <c r="P128" i="10"/>
  <c r="AF128" i="10"/>
  <c r="AV128" i="10"/>
  <c r="R129" i="10"/>
  <c r="AH129" i="10"/>
  <c r="AX129" i="10"/>
  <c r="T130" i="10"/>
  <c r="AJ130" i="10"/>
  <c r="V131" i="10"/>
  <c r="AL131" i="10"/>
  <c r="X132" i="10"/>
  <c r="AN132" i="10"/>
  <c r="J133" i="10"/>
  <c r="Z133" i="10"/>
  <c r="AP133" i="10"/>
  <c r="L134" i="10"/>
  <c r="AB134" i="10"/>
  <c r="AR134" i="10"/>
  <c r="N135" i="10"/>
  <c r="AD135" i="10"/>
  <c r="AT135" i="10"/>
  <c r="P136" i="10"/>
  <c r="AF136" i="10"/>
  <c r="AV136" i="10"/>
  <c r="AS101" i="10"/>
  <c r="AA102" i="10"/>
  <c r="M103" i="10"/>
  <c r="AS103" i="10"/>
  <c r="AE104" i="10"/>
  <c r="Q105" i="10"/>
  <c r="AW105" i="10"/>
  <c r="AI106" i="10"/>
  <c r="U107" i="10"/>
  <c r="AM108" i="10"/>
  <c r="I109" i="10"/>
  <c r="AD109" i="10"/>
  <c r="AY109" i="10"/>
  <c r="M110" i="10"/>
  <c r="AC110" i="10"/>
  <c r="AS110" i="10"/>
  <c r="O111" i="10"/>
  <c r="AE111" i="10"/>
  <c r="AU111" i="10"/>
  <c r="Q112" i="10"/>
  <c r="AG112" i="10"/>
  <c r="AW112" i="10"/>
  <c r="S113" i="10"/>
  <c r="AI113" i="10"/>
  <c r="AY113" i="10"/>
  <c r="U114" i="10"/>
  <c r="AK114" i="10"/>
  <c r="W115" i="10"/>
  <c r="AM115" i="10"/>
  <c r="I116" i="10"/>
  <c r="Y116" i="10"/>
  <c r="AO116" i="10"/>
  <c r="K117" i="10"/>
  <c r="AA117" i="10"/>
  <c r="AQ117" i="10"/>
  <c r="M118" i="10"/>
  <c r="AC118" i="10"/>
  <c r="AS118" i="10"/>
  <c r="O119" i="10"/>
  <c r="AE119" i="10"/>
  <c r="AU119" i="10"/>
  <c r="Q120" i="10"/>
  <c r="AG120" i="10"/>
  <c r="AW120" i="10"/>
  <c r="S121" i="10"/>
  <c r="AI121" i="10"/>
  <c r="AY121" i="10"/>
  <c r="AE100" i="10"/>
  <c r="Q101" i="10"/>
  <c r="AS102" i="10"/>
  <c r="AE103" i="10"/>
  <c r="Q104" i="10"/>
  <c r="AW104" i="10"/>
  <c r="AI105" i="10"/>
  <c r="U106" i="10"/>
  <c r="AM107" i="10"/>
  <c r="Y108" i="10"/>
  <c r="U109" i="10"/>
  <c r="AP109" i="10"/>
  <c r="V110" i="10"/>
  <c r="AL110" i="10"/>
  <c r="X111" i="10"/>
  <c r="AN111" i="10"/>
  <c r="J112" i="10"/>
  <c r="Z112" i="10"/>
  <c r="AP112" i="10"/>
  <c r="L113" i="10"/>
  <c r="AB113" i="10"/>
  <c r="AR113" i="10"/>
  <c r="N114" i="10"/>
  <c r="AD114" i="10"/>
  <c r="AT114" i="10"/>
  <c r="P115" i="10"/>
  <c r="AF115" i="10"/>
  <c r="AV115" i="10"/>
  <c r="R116" i="10"/>
  <c r="AH116" i="10"/>
  <c r="AX116" i="10"/>
  <c r="T117" i="10"/>
  <c r="AJ117" i="10"/>
  <c r="V118" i="10"/>
  <c r="AL118" i="10"/>
  <c r="X119" i="10"/>
  <c r="AN119" i="10"/>
  <c r="J120" i="10"/>
  <c r="Z120" i="10"/>
  <c r="AP120" i="10"/>
  <c r="L121" i="10"/>
  <c r="AB121" i="10"/>
  <c r="AR121" i="10"/>
  <c r="AE102" i="10"/>
  <c r="Q103" i="10"/>
  <c r="AW103" i="10"/>
  <c r="AI104" i="10"/>
  <c r="U105" i="10"/>
  <c r="AM106" i="10"/>
  <c r="Y107" i="10"/>
  <c r="K108" i="10"/>
  <c r="AQ108" i="10"/>
  <c r="K109" i="10"/>
  <c r="AG109" i="10"/>
  <c r="O110" i="10"/>
  <c r="AE110" i="10"/>
  <c r="AU110" i="10"/>
  <c r="Q111" i="10"/>
  <c r="AG111" i="10"/>
  <c r="AW111" i="10"/>
  <c r="S112" i="10"/>
  <c r="AI112" i="10"/>
  <c r="AY112" i="10"/>
  <c r="U113" i="10"/>
  <c r="AK113" i="10"/>
  <c r="W114" i="10"/>
  <c r="AM114" i="10"/>
  <c r="I115" i="10"/>
  <c r="Y115" i="10"/>
  <c r="AO115" i="10"/>
  <c r="K116" i="10"/>
  <c r="AA116" i="10"/>
  <c r="AQ116" i="10"/>
  <c r="M117" i="10"/>
  <c r="AC117" i="10"/>
  <c r="AS117" i="10"/>
  <c r="O118" i="10"/>
  <c r="AE118" i="10"/>
  <c r="AU118" i="10"/>
  <c r="Q119" i="10"/>
  <c r="AG119" i="10"/>
  <c r="AW119" i="10"/>
  <c r="S120" i="10"/>
  <c r="AI120" i="10"/>
  <c r="AY120" i="10"/>
  <c r="U121" i="10"/>
  <c r="AK121" i="10"/>
  <c r="W122" i="10"/>
  <c r="AM122" i="10"/>
  <c r="Y102" i="10"/>
  <c r="K103" i="10"/>
  <c r="L110" i="10"/>
  <c r="AV112" i="10"/>
  <c r="AH113" i="10"/>
  <c r="T114" i="10"/>
  <c r="AP117" i="10"/>
  <c r="AB118" i="10"/>
  <c r="N119" i="10"/>
  <c r="AX121" i="10"/>
  <c r="Q122" i="10"/>
  <c r="AL122" i="10"/>
  <c r="J123" i="10"/>
  <c r="Z123" i="10"/>
  <c r="AP123" i="10"/>
  <c r="L124" i="10"/>
  <c r="AB124" i="10"/>
  <c r="AR124" i="10"/>
  <c r="N125" i="10"/>
  <c r="AD125" i="10"/>
  <c r="AT125" i="10"/>
  <c r="P126" i="10"/>
  <c r="AF126" i="10"/>
  <c r="AV126" i="10"/>
  <c r="R127" i="10"/>
  <c r="AH127" i="10"/>
  <c r="AX127" i="10"/>
  <c r="T128" i="10"/>
  <c r="AJ128" i="10"/>
  <c r="V129" i="10"/>
  <c r="AL129" i="10"/>
  <c r="X130" i="10"/>
  <c r="AN130" i="10"/>
  <c r="J131" i="10"/>
  <c r="Z131" i="10"/>
  <c r="AP131" i="10"/>
  <c r="L132" i="10"/>
  <c r="AB132" i="10"/>
  <c r="AR132" i="10"/>
  <c r="N133" i="10"/>
  <c r="AD133" i="10"/>
  <c r="AT133" i="10"/>
  <c r="P134" i="10"/>
  <c r="AF134" i="10"/>
  <c r="AV134" i="10"/>
  <c r="R135" i="10"/>
  <c r="AH135" i="10"/>
  <c r="AX135" i="10"/>
  <c r="T136" i="10"/>
  <c r="AJ136" i="10"/>
  <c r="K100" i="10"/>
  <c r="AI102" i="10"/>
  <c r="U103" i="10"/>
  <c r="AM104" i="10"/>
  <c r="Y105" i="10"/>
  <c r="K106" i="10"/>
  <c r="AQ106" i="10"/>
  <c r="AC107" i="10"/>
  <c r="O108" i="10"/>
  <c r="AU108" i="10"/>
  <c r="N109" i="10"/>
  <c r="AI109" i="10"/>
  <c r="Q110" i="10"/>
  <c r="AG110" i="10"/>
  <c r="AW110" i="10"/>
  <c r="S111" i="10"/>
  <c r="AI111" i="10"/>
  <c r="AY111" i="10"/>
  <c r="U112" i="10"/>
  <c r="AK112" i="10"/>
  <c r="W113" i="10"/>
  <c r="AM113" i="10"/>
  <c r="I114" i="10"/>
  <c r="Y114" i="10"/>
  <c r="AO114" i="10"/>
  <c r="K115" i="10"/>
  <c r="AA115" i="10"/>
  <c r="AQ115" i="10"/>
  <c r="M116" i="10"/>
  <c r="AC116" i="10"/>
  <c r="AS116" i="10"/>
  <c r="O117" i="10"/>
  <c r="AE117" i="10"/>
  <c r="AU117" i="10"/>
  <c r="Q118" i="10"/>
  <c r="AG118" i="10"/>
  <c r="AW118" i="10"/>
  <c r="S119" i="10"/>
  <c r="AI119" i="10"/>
  <c r="AY119" i="10"/>
  <c r="U120" i="10"/>
  <c r="AK120" i="10"/>
  <c r="W121" i="10"/>
  <c r="AM121" i="10"/>
  <c r="AU100" i="10"/>
  <c r="AG101" i="10"/>
  <c r="S102" i="10"/>
  <c r="AM103" i="10"/>
  <c r="Y104" i="10"/>
  <c r="K105" i="10"/>
  <c r="AQ105" i="10"/>
  <c r="AC106" i="10"/>
  <c r="O107" i="10"/>
  <c r="AU107" i="10"/>
  <c r="AG108" i="10"/>
  <c r="Z109" i="10"/>
  <c r="AU109" i="10"/>
  <c r="J110" i="10"/>
  <c r="Z110" i="10"/>
  <c r="AP110" i="10"/>
  <c r="L111" i="10"/>
  <c r="AB111" i="10"/>
  <c r="AR111" i="10"/>
  <c r="N112" i="10"/>
  <c r="AD112" i="10"/>
  <c r="AT112" i="10"/>
  <c r="P113" i="10"/>
  <c r="AF113" i="10"/>
  <c r="AV113" i="10"/>
  <c r="R114" i="10"/>
  <c r="AH114" i="10"/>
  <c r="AX114" i="10"/>
  <c r="T115" i="10"/>
  <c r="AJ115" i="10"/>
  <c r="V116" i="10"/>
  <c r="AL116" i="10"/>
  <c r="X117" i="10"/>
  <c r="AN117" i="10"/>
  <c r="J118" i="10"/>
  <c r="Z118" i="10"/>
  <c r="AP118" i="10"/>
  <c r="L119" i="10"/>
  <c r="AB119" i="10"/>
  <c r="AR119" i="10"/>
  <c r="N120" i="10"/>
  <c r="AD120" i="10"/>
  <c r="AT120" i="10"/>
  <c r="P121" i="10"/>
  <c r="AF121" i="10"/>
  <c r="AV121" i="10"/>
  <c r="S100" i="10"/>
  <c r="AM102" i="10"/>
  <c r="Y103" i="10"/>
  <c r="K104" i="10"/>
  <c r="AQ104" i="10"/>
  <c r="AC105" i="10"/>
  <c r="O106" i="10"/>
  <c r="AU106" i="10"/>
  <c r="AG107" i="10"/>
  <c r="S108" i="10"/>
  <c r="AY108" i="10"/>
  <c r="Q109" i="10"/>
  <c r="AL109" i="10"/>
  <c r="S110" i="10"/>
  <c r="AI110" i="10"/>
  <c r="AY110" i="10"/>
  <c r="U111" i="10"/>
  <c r="AK111" i="10"/>
  <c r="W112" i="10"/>
  <c r="AM112" i="10"/>
  <c r="I113" i="10"/>
  <c r="Y113" i="10"/>
  <c r="AO113" i="10"/>
  <c r="K114" i="10"/>
  <c r="AA114" i="10"/>
  <c r="AQ114" i="10"/>
  <c r="M115" i="10"/>
  <c r="AC115" i="10"/>
  <c r="AS115" i="10"/>
  <c r="O116" i="10"/>
  <c r="AE116" i="10"/>
  <c r="AU116" i="10"/>
  <c r="Q117" i="10"/>
  <c r="AG117" i="10"/>
  <c r="AW117" i="10"/>
  <c r="S118" i="10"/>
  <c r="AI118" i="10"/>
  <c r="AY118" i="10"/>
  <c r="U119" i="10"/>
  <c r="AK119" i="10"/>
  <c r="W120" i="10"/>
  <c r="AM120" i="10"/>
  <c r="I121" i="10"/>
  <c r="Y121" i="10"/>
  <c r="AO121" i="10"/>
  <c r="K122" i="10"/>
  <c r="AA122" i="10"/>
  <c r="AQ122" i="10"/>
  <c r="AQ103" i="10"/>
  <c r="AC104" i="10"/>
  <c r="O105" i="10"/>
  <c r="AC109" i="10"/>
  <c r="AB110" i="10"/>
  <c r="N111" i="10"/>
  <c r="AX113" i="10"/>
  <c r="AJ114" i="10"/>
  <c r="V115" i="10"/>
  <c r="AR118" i="10"/>
  <c r="AD119" i="10"/>
  <c r="P120" i="10"/>
  <c r="V122" i="10"/>
  <c r="AR122" i="10"/>
  <c r="N123" i="10"/>
  <c r="AD123" i="10"/>
  <c r="AT123" i="10"/>
  <c r="P124" i="10"/>
  <c r="AF124" i="10"/>
  <c r="AV124" i="10"/>
  <c r="R125" i="10"/>
  <c r="AH125" i="10"/>
  <c r="AX125" i="10"/>
  <c r="T126" i="10"/>
  <c r="AJ126" i="10"/>
  <c r="V127" i="10"/>
  <c r="AL127" i="10"/>
  <c r="X128" i="10"/>
  <c r="AN128" i="10"/>
  <c r="J129" i="10"/>
  <c r="Z129" i="10"/>
  <c r="AP129" i="10"/>
  <c r="L130" i="10"/>
  <c r="AB130" i="10"/>
  <c r="AR130" i="10"/>
  <c r="N131" i="10"/>
  <c r="AD131" i="10"/>
  <c r="AT131" i="10"/>
  <c r="P132" i="10"/>
  <c r="AF132" i="10"/>
  <c r="AV132" i="10"/>
  <c r="R133" i="10"/>
  <c r="AH133" i="10"/>
  <c r="AX133" i="10"/>
  <c r="T134" i="10"/>
  <c r="AJ134" i="10"/>
  <c r="V135" i="10"/>
  <c r="AL135" i="10"/>
  <c r="X136" i="10"/>
  <c r="AN136" i="10"/>
  <c r="AA100" i="10"/>
  <c r="M101" i="10"/>
  <c r="AQ102" i="10"/>
  <c r="AC103" i="10"/>
  <c r="O104" i="10"/>
  <c r="AU104" i="10"/>
  <c r="AG105" i="10"/>
  <c r="S106" i="10"/>
  <c r="AY106" i="10"/>
  <c r="AK107" i="10"/>
  <c r="W108" i="10"/>
  <c r="S109" i="10"/>
  <c r="AO109" i="10"/>
  <c r="U110" i="10"/>
  <c r="AK110" i="10"/>
  <c r="W111" i="10"/>
  <c r="AM111" i="10"/>
  <c r="I112" i="10"/>
  <c r="Y112" i="10"/>
  <c r="AO112" i="10"/>
  <c r="K113" i="10"/>
  <c r="AA113" i="10"/>
  <c r="AQ113" i="10"/>
  <c r="M114" i="10"/>
  <c r="AC114" i="10"/>
  <c r="AS114" i="10"/>
  <c r="O115" i="10"/>
  <c r="AE115" i="10"/>
  <c r="AU115" i="10"/>
  <c r="Q116" i="10"/>
  <c r="AG116" i="10"/>
  <c r="AW116" i="10"/>
  <c r="S117" i="10"/>
  <c r="AI117" i="10"/>
  <c r="AY117" i="10"/>
  <c r="U118" i="10"/>
  <c r="AK118" i="10"/>
  <c r="W119" i="10"/>
  <c r="AM119" i="10"/>
  <c r="I120" i="10"/>
  <c r="Y120" i="10"/>
  <c r="AO120" i="10"/>
  <c r="K121" i="10"/>
  <c r="AA121" i="10"/>
  <c r="AQ121" i="10"/>
  <c r="AW101" i="10"/>
  <c r="AC102" i="10"/>
  <c r="O103" i="10"/>
  <c r="AU103" i="10"/>
  <c r="AG104" i="10"/>
  <c r="S105" i="10"/>
  <c r="AY105" i="10"/>
  <c r="AK106" i="10"/>
  <c r="W107" i="10"/>
  <c r="I108" i="10"/>
  <c r="AO108" i="10"/>
  <c r="J109" i="10"/>
  <c r="AE109" i="10"/>
  <c r="N110" i="10"/>
  <c r="AD110" i="10"/>
  <c r="AT110" i="10"/>
  <c r="P111" i="10"/>
  <c r="AF111" i="10"/>
  <c r="AV111" i="10"/>
  <c r="R112" i="10"/>
  <c r="AH112" i="10"/>
  <c r="AX112" i="10"/>
  <c r="T113" i="10"/>
  <c r="AJ113" i="10"/>
  <c r="V114" i="10"/>
  <c r="AL114" i="10"/>
  <c r="X115" i="10"/>
  <c r="AN115" i="10"/>
  <c r="J116" i="10"/>
  <c r="Z116" i="10"/>
  <c r="AP116" i="10"/>
  <c r="L117" i="10"/>
  <c r="AB117" i="10"/>
  <c r="AR117" i="10"/>
  <c r="N118" i="10"/>
  <c r="AD118" i="10"/>
  <c r="AT118" i="10"/>
  <c r="P119" i="10"/>
  <c r="AF119" i="10"/>
  <c r="AV119" i="10"/>
  <c r="R120" i="10"/>
  <c r="AH120" i="10"/>
  <c r="AX120" i="10"/>
  <c r="T121" i="10"/>
  <c r="AJ121" i="10"/>
  <c r="AI100" i="10"/>
  <c r="U101" i="10"/>
  <c r="AU102" i="10"/>
  <c r="AG103" i="10"/>
  <c r="S104" i="10"/>
  <c r="AY104" i="10"/>
  <c r="AK105" i="10"/>
  <c r="W106" i="10"/>
  <c r="I107" i="10"/>
  <c r="AO107" i="10"/>
  <c r="AA108" i="10"/>
  <c r="V109" i="10"/>
  <c r="AQ109" i="10"/>
  <c r="W110" i="10"/>
  <c r="AM110" i="10"/>
  <c r="I111" i="10"/>
  <c r="Y111" i="10"/>
  <c r="AO111" i="10"/>
  <c r="K112" i="10"/>
  <c r="AA112" i="10"/>
  <c r="AQ112" i="10"/>
  <c r="M113" i="10"/>
  <c r="AC113" i="10"/>
  <c r="AS113" i="10"/>
  <c r="O114" i="10"/>
  <c r="AE114" i="10"/>
  <c r="AU114" i="10"/>
  <c r="Q115" i="10"/>
  <c r="AG115" i="10"/>
  <c r="AW115" i="10"/>
  <c r="S116" i="10"/>
  <c r="AI116" i="10"/>
  <c r="AY116" i="10"/>
  <c r="U117" i="10"/>
  <c r="AK117" i="10"/>
  <c r="W118" i="10"/>
  <c r="AM118" i="10"/>
  <c r="I119" i="10"/>
  <c r="Y119" i="10"/>
  <c r="AO119" i="10"/>
  <c r="K120" i="10"/>
  <c r="AA120" i="10"/>
  <c r="AQ120" i="10"/>
  <c r="M121" i="10"/>
  <c r="AC121" i="10"/>
  <c r="AS121" i="10"/>
  <c r="O122" i="10"/>
  <c r="AE122" i="10"/>
  <c r="AO101" i="10"/>
  <c r="AU105" i="10"/>
  <c r="AG106" i="10"/>
  <c r="S107" i="10"/>
  <c r="AX109" i="10"/>
  <c r="AR110" i="10"/>
  <c r="AD111" i="10"/>
  <c r="P112" i="10"/>
  <c r="AL115" i="10"/>
  <c r="X116" i="10"/>
  <c r="J117" i="10"/>
  <c r="AT119" i="10"/>
  <c r="AF120" i="10"/>
  <c r="R121" i="10"/>
  <c r="AB122" i="10"/>
  <c r="AV122" i="10"/>
  <c r="R123" i="10"/>
  <c r="AH123" i="10"/>
  <c r="AX123" i="10"/>
  <c r="T124" i="10"/>
  <c r="AJ124" i="10"/>
  <c r="V125" i="10"/>
  <c r="AL125" i="10"/>
  <c r="X126" i="10"/>
  <c r="AN126" i="10"/>
  <c r="J127" i="10"/>
  <c r="Z127" i="10"/>
  <c r="AP127" i="10"/>
  <c r="L128" i="10"/>
  <c r="AB128" i="10"/>
  <c r="AR128" i="10"/>
  <c r="N129" i="10"/>
  <c r="AD129" i="10"/>
  <c r="AT129" i="10"/>
  <c r="P130" i="10"/>
  <c r="AF130" i="10"/>
  <c r="AV130" i="10"/>
  <c r="R131" i="10"/>
  <c r="AH131" i="10"/>
  <c r="AX131" i="10"/>
  <c r="T132" i="10"/>
  <c r="AJ132" i="10"/>
  <c r="V133" i="10"/>
  <c r="AL133" i="10"/>
  <c r="X134" i="10"/>
  <c r="AN134" i="10"/>
  <c r="J135" i="10"/>
  <c r="Z135" i="10"/>
  <c r="AP135" i="10"/>
  <c r="L136" i="10"/>
  <c r="AB136" i="10"/>
  <c r="AR136" i="10"/>
  <c r="AY103" i="10"/>
  <c r="AK104" i="10"/>
  <c r="W105" i="10"/>
  <c r="I106" i="10"/>
  <c r="AH109" i="10"/>
  <c r="AF110" i="10"/>
  <c r="R111" i="10"/>
  <c r="AN114" i="10"/>
  <c r="Z115" i="10"/>
  <c r="L116" i="10"/>
  <c r="AV118" i="10"/>
  <c r="AH119" i="10"/>
  <c r="T120" i="10"/>
  <c r="X122" i="10"/>
  <c r="AS122" i="10"/>
  <c r="O123" i="10"/>
  <c r="AE123" i="10"/>
  <c r="AU123" i="10"/>
  <c r="Q124" i="10"/>
  <c r="AG124" i="10"/>
  <c r="AW124" i="10"/>
  <c r="S125" i="10"/>
  <c r="AI125" i="10"/>
  <c r="AY125" i="10"/>
  <c r="U126" i="10"/>
  <c r="AK126" i="10"/>
  <c r="W127" i="10"/>
  <c r="AM127" i="10"/>
  <c r="I128" i="10"/>
  <c r="Y128" i="10"/>
  <c r="AO128" i="10"/>
  <c r="K129" i="10"/>
  <c r="AA129" i="10"/>
  <c r="AQ129" i="10"/>
  <c r="M130" i="10"/>
  <c r="AC130" i="10"/>
  <c r="AS130" i="10"/>
  <c r="O131" i="10"/>
  <c r="AE131" i="10"/>
  <c r="AU131" i="10"/>
  <c r="I101" i="10"/>
  <c r="AS104" i="10"/>
  <c r="AE105" i="10"/>
  <c r="Q106" i="10"/>
  <c r="AM109" i="10"/>
  <c r="AJ110" i="10"/>
  <c r="V111" i="10"/>
  <c r="AR114" i="10"/>
  <c r="AD115" i="10"/>
  <c r="P116" i="10"/>
  <c r="AL119" i="10"/>
  <c r="X120" i="10"/>
  <c r="J121" i="10"/>
  <c r="Y122" i="10"/>
  <c r="AT122" i="10"/>
  <c r="P123" i="10"/>
  <c r="AF123" i="10"/>
  <c r="AV123" i="10"/>
  <c r="R124" i="10"/>
  <c r="AH124" i="10"/>
  <c r="AX124" i="10"/>
  <c r="T125" i="10"/>
  <c r="AJ125" i="10"/>
  <c r="V126" i="10"/>
  <c r="AL126" i="10"/>
  <c r="X127" i="10"/>
  <c r="AN127" i="10"/>
  <c r="J128" i="10"/>
  <c r="Z128" i="10"/>
  <c r="AP128" i="10"/>
  <c r="L129" i="10"/>
  <c r="AB129" i="10"/>
  <c r="AR129" i="10"/>
  <c r="N130" i="10"/>
  <c r="AD130" i="10"/>
  <c r="AT130" i="10"/>
  <c r="P131" i="10"/>
  <c r="AF131" i="10"/>
  <c r="AV131" i="10"/>
  <c r="AQ107" i="10"/>
  <c r="AX115" i="10"/>
  <c r="V117" i="10"/>
  <c r="J122" i="10"/>
  <c r="AO125" i="10"/>
  <c r="AA126" i="10"/>
  <c r="M127" i="10"/>
  <c r="AW129" i="10"/>
  <c r="AI130" i="10"/>
  <c r="U131" i="10"/>
  <c r="S132" i="10"/>
  <c r="AO132" i="10"/>
  <c r="AA133" i="10"/>
  <c r="AV133" i="10"/>
  <c r="M134" i="10"/>
  <c r="AH134" i="10"/>
  <c r="T135" i="10"/>
  <c r="AO135" i="10"/>
  <c r="AA136" i="10"/>
  <c r="AW136" i="10"/>
  <c r="S137" i="10"/>
  <c r="AI137" i="10"/>
  <c r="AY137" i="10"/>
  <c r="U138" i="10"/>
  <c r="AK138" i="10"/>
  <c r="W139" i="10"/>
  <c r="AM139" i="10"/>
  <c r="I140" i="10"/>
  <c r="Y140" i="10"/>
  <c r="AO140" i="10"/>
  <c r="K141" i="10"/>
  <c r="AA141" i="10"/>
  <c r="AQ141" i="10"/>
  <c r="M142" i="10"/>
  <c r="AC142" i="10"/>
  <c r="AS142" i="10"/>
  <c r="O143" i="10"/>
  <c r="AE143" i="10"/>
  <c r="AU143" i="10"/>
  <c r="Q144" i="10"/>
  <c r="AG144" i="10"/>
  <c r="AW144" i="10"/>
  <c r="S145" i="10"/>
  <c r="AI145" i="10"/>
  <c r="AY145" i="10"/>
  <c r="U146" i="10"/>
  <c r="AK146" i="10"/>
  <c r="W147" i="10"/>
  <c r="AM147" i="10"/>
  <c r="I148" i="10"/>
  <c r="Y148" i="10"/>
  <c r="AO148" i="10"/>
  <c r="K149" i="10"/>
  <c r="AA149" i="10"/>
  <c r="AQ149" i="10"/>
  <c r="M150" i="10"/>
  <c r="AC150" i="10"/>
  <c r="AS150" i="10"/>
  <c r="AM100" i="10"/>
  <c r="AR112" i="10"/>
  <c r="P114" i="10"/>
  <c r="AT121" i="10"/>
  <c r="AK122" i="10"/>
  <c r="Y123" i="10"/>
  <c r="K124" i="10"/>
  <c r="AU126" i="10"/>
  <c r="AG127" i="10"/>
  <c r="S128" i="10"/>
  <c r="AO131" i="10"/>
  <c r="Z132" i="10"/>
  <c r="AU132" i="10"/>
  <c r="L133" i="10"/>
  <c r="AG133" i="10"/>
  <c r="S134" i="10"/>
  <c r="AO134" i="10"/>
  <c r="AA135" i="10"/>
  <c r="AV135" i="10"/>
  <c r="M136" i="10"/>
  <c r="AH136" i="10"/>
  <c r="X137" i="10"/>
  <c r="AN137" i="10"/>
  <c r="J138" i="10"/>
  <c r="Z138" i="10"/>
  <c r="AP138" i="10"/>
  <c r="L139" i="10"/>
  <c r="AB139" i="10"/>
  <c r="AR139" i="10"/>
  <c r="N140" i="10"/>
  <c r="AD140" i="10"/>
  <c r="AT140" i="10"/>
  <c r="P141" i="10"/>
  <c r="AF141" i="10"/>
  <c r="AV141" i="10"/>
  <c r="R142" i="10"/>
  <c r="AH142" i="10"/>
  <c r="AX142" i="10"/>
  <c r="T143" i="10"/>
  <c r="AJ143" i="10"/>
  <c r="V144" i="10"/>
  <c r="AL144" i="10"/>
  <c r="X145" i="10"/>
  <c r="AN145" i="10"/>
  <c r="J146" i="10"/>
  <c r="Z146" i="10"/>
  <c r="AP146" i="10"/>
  <c r="L147" i="10"/>
  <c r="AB147" i="10"/>
  <c r="AR147" i="10"/>
  <c r="N148" i="10"/>
  <c r="AD148" i="10"/>
  <c r="AT148" i="10"/>
  <c r="P149" i="10"/>
  <c r="AF149" i="10"/>
  <c r="AV149" i="10"/>
  <c r="R150" i="10"/>
  <c r="AH150" i="10"/>
  <c r="AX150" i="10"/>
  <c r="AW102" i="10"/>
  <c r="W109" i="10"/>
  <c r="J111" i="10"/>
  <c r="AN118" i="10"/>
  <c r="L120" i="10"/>
  <c r="AS123" i="10"/>
  <c r="AE124" i="10"/>
  <c r="Q125" i="10"/>
  <c r="AM128" i="10"/>
  <c r="Y129" i="10"/>
  <c r="K130" i="10"/>
  <c r="K132" i="10"/>
  <c r="AO106" i="10"/>
  <c r="AA107" i="10"/>
  <c r="M108" i="10"/>
  <c r="AV110" i="10"/>
  <c r="AH111" i="10"/>
  <c r="T112" i="10"/>
  <c r="AP115" i="10"/>
  <c r="AB116" i="10"/>
  <c r="N117" i="10"/>
  <c r="AX119" i="10"/>
  <c r="AJ120" i="10"/>
  <c r="V121" i="10"/>
  <c r="AC122" i="10"/>
  <c r="AW122" i="10"/>
  <c r="S123" i="10"/>
  <c r="AI123" i="10"/>
  <c r="AY123" i="10"/>
  <c r="U124" i="10"/>
  <c r="AK124" i="10"/>
  <c r="W125" i="10"/>
  <c r="AM125" i="10"/>
  <c r="I126" i="10"/>
  <c r="Y126" i="10"/>
  <c r="AO126" i="10"/>
  <c r="K127" i="10"/>
  <c r="AA127" i="10"/>
  <c r="AQ127" i="10"/>
  <c r="M128" i="10"/>
  <c r="AC128" i="10"/>
  <c r="AS128" i="10"/>
  <c r="O129" i="10"/>
  <c r="AE129" i="10"/>
  <c r="AU129" i="10"/>
  <c r="Q130" i="10"/>
  <c r="AG130" i="10"/>
  <c r="AW130" i="10"/>
  <c r="S131" i="10"/>
  <c r="AI131" i="10"/>
  <c r="AY131" i="10"/>
  <c r="AW106" i="10"/>
  <c r="AI107" i="10"/>
  <c r="U108" i="10"/>
  <c r="AL111" i="10"/>
  <c r="X112" i="10"/>
  <c r="J113" i="10"/>
  <c r="AT115" i="10"/>
  <c r="AF116" i="10"/>
  <c r="R117" i="10"/>
  <c r="AN120" i="10"/>
  <c r="Z121" i="10"/>
  <c r="I122" i="10"/>
  <c r="AD122" i="10"/>
  <c r="AX122" i="10"/>
  <c r="T123" i="10"/>
  <c r="AJ123" i="10"/>
  <c r="V124" i="10"/>
  <c r="AL124" i="10"/>
  <c r="X125" i="10"/>
  <c r="AN125" i="10"/>
  <c r="J126" i="10"/>
  <c r="Z126" i="10"/>
  <c r="AP126" i="10"/>
  <c r="L127" i="10"/>
  <c r="AB127" i="10"/>
  <c r="AR127" i="10"/>
  <c r="N128" i="10"/>
  <c r="AD128" i="10"/>
  <c r="AT128" i="10"/>
  <c r="P129" i="10"/>
  <c r="AF129" i="10"/>
  <c r="AV129" i="10"/>
  <c r="R130" i="10"/>
  <c r="AH130" i="10"/>
  <c r="AX130" i="10"/>
  <c r="T131" i="10"/>
  <c r="AJ131" i="10"/>
  <c r="AC108" i="10"/>
  <c r="AB112" i="10"/>
  <c r="AD121" i="10"/>
  <c r="AF122" i="10"/>
  <c r="U123" i="10"/>
  <c r="AQ126" i="10"/>
  <c r="AC127" i="10"/>
  <c r="O128" i="10"/>
  <c r="AY130" i="10"/>
  <c r="AK131" i="10"/>
  <c r="Y132" i="10"/>
  <c r="AT132" i="10"/>
  <c r="K133" i="10"/>
  <c r="AF133" i="10"/>
  <c r="R134" i="10"/>
  <c r="AM134" i="10"/>
  <c r="Y135" i="10"/>
  <c r="AU135" i="10"/>
  <c r="K136" i="10"/>
  <c r="AG136" i="10"/>
  <c r="W137" i="10"/>
  <c r="AM137" i="10"/>
  <c r="I138" i="10"/>
  <c r="Y138" i="10"/>
  <c r="AO138" i="10"/>
  <c r="K139" i="10"/>
  <c r="AA139" i="10"/>
  <c r="AQ139" i="10"/>
  <c r="M140" i="10"/>
  <c r="AC140" i="10"/>
  <c r="AS140" i="10"/>
  <c r="O141" i="10"/>
  <c r="AE141" i="10"/>
  <c r="AU141" i="10"/>
  <c r="Q142" i="10"/>
  <c r="AG142" i="10"/>
  <c r="AW142" i="10"/>
  <c r="S143" i="10"/>
  <c r="AI143" i="10"/>
  <c r="AY143" i="10"/>
  <c r="U144" i="10"/>
  <c r="AK144" i="10"/>
  <c r="W145" i="10"/>
  <c r="AM145" i="10"/>
  <c r="I146" i="10"/>
  <c r="Y146" i="10"/>
  <c r="AO146" i="10"/>
  <c r="K147" i="10"/>
  <c r="AA147" i="10"/>
  <c r="AQ147" i="10"/>
  <c r="M148" i="10"/>
  <c r="AC148" i="10"/>
  <c r="AS148" i="10"/>
  <c r="O149" i="10"/>
  <c r="AE149" i="10"/>
  <c r="AU149" i="10"/>
  <c r="Q150" i="10"/>
  <c r="AG150" i="10"/>
  <c r="AW150" i="10"/>
  <c r="K102" i="10"/>
  <c r="X118" i="10"/>
  <c r="AO123" i="10"/>
  <c r="AA124" i="10"/>
  <c r="M125" i="10"/>
  <c r="AW127" i="10"/>
  <c r="AI128" i="10"/>
  <c r="U129" i="10"/>
  <c r="J132" i="10"/>
  <c r="AE132" i="10"/>
  <c r="Q133" i="10"/>
  <c r="AM133" i="10"/>
  <c r="Y134" i="10"/>
  <c r="AT134" i="10"/>
  <c r="K135" i="10"/>
  <c r="AF135" i="10"/>
  <c r="R136" i="10"/>
  <c r="AM136" i="10"/>
  <c r="L137" i="10"/>
  <c r="AB137" i="10"/>
  <c r="AR137" i="10"/>
  <c r="N138" i="10"/>
  <c r="AD138" i="10"/>
  <c r="AT138" i="10"/>
  <c r="P139" i="10"/>
  <c r="AF139" i="10"/>
  <c r="AV139" i="10"/>
  <c r="R140" i="10"/>
  <c r="AH140" i="10"/>
  <c r="AX140" i="10"/>
  <c r="T141" i="10"/>
  <c r="AJ141" i="10"/>
  <c r="V142" i="10"/>
  <c r="AL142" i="10"/>
  <c r="X143" i="10"/>
  <c r="AN143" i="10"/>
  <c r="J144" i="10"/>
  <c r="Z144" i="10"/>
  <c r="AP144" i="10"/>
  <c r="L145" i="10"/>
  <c r="AB145" i="10"/>
  <c r="AR145" i="10"/>
  <c r="N146" i="10"/>
  <c r="AD146" i="10"/>
  <c r="AT146" i="10"/>
  <c r="P147" i="10"/>
  <c r="AF147" i="10"/>
  <c r="AV147" i="10"/>
  <c r="R148" i="10"/>
  <c r="AH148" i="10"/>
  <c r="AX148" i="10"/>
  <c r="T149" i="10"/>
  <c r="AJ149" i="10"/>
  <c r="V150" i="10"/>
  <c r="AL150" i="10"/>
  <c r="AI103" i="10"/>
  <c r="AT113" i="10"/>
  <c r="R115" i="10"/>
  <c r="AU124" i="10"/>
  <c r="AG125" i="10"/>
  <c r="S126" i="10"/>
  <c r="AO129" i="10"/>
  <c r="AA130" i="10"/>
  <c r="M131" i="10"/>
  <c r="Q132" i="10"/>
  <c r="AS108" i="10"/>
  <c r="AX111" i="10"/>
  <c r="AJ112" i="10"/>
  <c r="V113" i="10"/>
  <c r="AR116" i="10"/>
  <c r="AD117" i="10"/>
  <c r="P118" i="10"/>
  <c r="AL121" i="10"/>
  <c r="M122" i="10"/>
  <c r="AH122" i="10"/>
  <c r="W123" i="10"/>
  <c r="AM123" i="10"/>
  <c r="I124" i="10"/>
  <c r="Y124" i="10"/>
  <c r="AO124" i="10"/>
  <c r="K125" i="10"/>
  <c r="AA125" i="10"/>
  <c r="AQ125" i="10"/>
  <c r="M126" i="10"/>
  <c r="AC126" i="10"/>
  <c r="AS126" i="10"/>
  <c r="O127" i="10"/>
  <c r="AE127" i="10"/>
  <c r="AU127" i="10"/>
  <c r="Q128" i="10"/>
  <c r="AG128" i="10"/>
  <c r="AW128" i="10"/>
  <c r="S129" i="10"/>
  <c r="AI129" i="10"/>
  <c r="AY129" i="10"/>
  <c r="U130" i="10"/>
  <c r="AK130" i="10"/>
  <c r="W131" i="10"/>
  <c r="AM131" i="10"/>
  <c r="W100" i="10"/>
  <c r="AN112" i="10"/>
  <c r="Z113" i="10"/>
  <c r="L114" i="10"/>
  <c r="AV116" i="10"/>
  <c r="AH117" i="10"/>
  <c r="T118" i="10"/>
  <c r="AP121" i="10"/>
  <c r="N122" i="10"/>
  <c r="AJ122" i="10"/>
  <c r="X123" i="10"/>
  <c r="AN123" i="10"/>
  <c r="J124" i="10"/>
  <c r="Z124" i="10"/>
  <c r="AP124" i="10"/>
  <c r="L125" i="10"/>
  <c r="AB125" i="10"/>
  <c r="AR125" i="10"/>
  <c r="N126" i="10"/>
  <c r="AD126" i="10"/>
  <c r="AT126" i="10"/>
  <c r="P127" i="10"/>
  <c r="AF127" i="10"/>
  <c r="AV127" i="10"/>
  <c r="R128" i="10"/>
  <c r="AH128" i="10"/>
  <c r="AX128" i="10"/>
  <c r="T129" i="10"/>
  <c r="AJ129" i="10"/>
  <c r="V130" i="10"/>
  <c r="AL130" i="10"/>
  <c r="X131" i="10"/>
  <c r="AN131" i="10"/>
  <c r="AJ116" i="10"/>
  <c r="AY122" i="10"/>
  <c r="AK123" i="10"/>
  <c r="W124" i="10"/>
  <c r="I125" i="10"/>
  <c r="AS127" i="10"/>
  <c r="AE128" i="10"/>
  <c r="Q129" i="10"/>
  <c r="I132" i="10"/>
  <c r="AD132" i="10"/>
  <c r="AY132" i="10"/>
  <c r="P133" i="10"/>
  <c r="AK133" i="10"/>
  <c r="W134" i="10"/>
  <c r="AS134" i="10"/>
  <c r="I135" i="10"/>
  <c r="AE135" i="10"/>
  <c r="Q136" i="10"/>
  <c r="AL136" i="10"/>
  <c r="K137" i="10"/>
  <c r="AA137" i="10"/>
  <c r="AQ137" i="10"/>
  <c r="M138" i="10"/>
  <c r="AC138" i="10"/>
  <c r="AS138" i="10"/>
  <c r="O139" i="10"/>
  <c r="AE139" i="10"/>
  <c r="AU139" i="10"/>
  <c r="Q140" i="10"/>
  <c r="AG140" i="10"/>
  <c r="AW140" i="10"/>
  <c r="S141" i="10"/>
  <c r="AI141" i="10"/>
  <c r="AY141" i="10"/>
  <c r="U142" i="10"/>
  <c r="AK142" i="10"/>
  <c r="W143" i="10"/>
  <c r="AM143" i="10"/>
  <c r="I144" i="10"/>
  <c r="Y144" i="10"/>
  <c r="AO144" i="10"/>
  <c r="K145" i="10"/>
  <c r="AA145" i="10"/>
  <c r="AQ145" i="10"/>
  <c r="M146" i="10"/>
  <c r="AC146" i="10"/>
  <c r="AS146" i="10"/>
  <c r="O147" i="10"/>
  <c r="AE147" i="10"/>
  <c r="AU147" i="10"/>
  <c r="Q148" i="10"/>
  <c r="AG148" i="10"/>
  <c r="AW148" i="10"/>
  <c r="S149" i="10"/>
  <c r="AI149" i="10"/>
  <c r="AY149" i="10"/>
  <c r="U150" i="10"/>
  <c r="AK150" i="10"/>
  <c r="AD113" i="10"/>
  <c r="AQ124" i="10"/>
  <c r="AC125" i="10"/>
  <c r="O126" i="10"/>
  <c r="AY128" i="10"/>
  <c r="AK129" i="10"/>
  <c r="W130" i="10"/>
  <c r="I131" i="10"/>
  <c r="O132" i="10"/>
  <c r="AK132" i="10"/>
  <c r="W133" i="10"/>
  <c r="AR133" i="10"/>
  <c r="I134" i="10"/>
  <c r="AD134" i="10"/>
  <c r="AY134" i="10"/>
  <c r="P135" i="10"/>
  <c r="AK135" i="10"/>
  <c r="W136" i="10"/>
  <c r="AS136" i="10"/>
  <c r="P137" i="10"/>
  <c r="AF137" i="10"/>
  <c r="AV137" i="10"/>
  <c r="R138" i="10"/>
  <c r="AH138" i="10"/>
  <c r="AX138" i="10"/>
  <c r="T139" i="10"/>
  <c r="AJ139" i="10"/>
  <c r="V140" i="10"/>
  <c r="AL140" i="10"/>
  <c r="X141" i="10"/>
  <c r="AN141" i="10"/>
  <c r="J142" i="10"/>
  <c r="Z142" i="10"/>
  <c r="AP142" i="10"/>
  <c r="L143" i="10"/>
  <c r="AB143" i="10"/>
  <c r="AR143" i="10"/>
  <c r="N144" i="10"/>
  <c r="AD144" i="10"/>
  <c r="AT144" i="10"/>
  <c r="P145" i="10"/>
  <c r="AF145" i="10"/>
  <c r="AV145" i="10"/>
  <c r="R146" i="10"/>
  <c r="AH146" i="10"/>
  <c r="AX146" i="10"/>
  <c r="T147" i="10"/>
  <c r="AJ147" i="10"/>
  <c r="V148" i="10"/>
  <c r="AL148" i="10"/>
  <c r="X149" i="10"/>
  <c r="AN149" i="10"/>
  <c r="J150" i="10"/>
  <c r="Z150" i="10"/>
  <c r="AP150" i="10"/>
  <c r="U104" i="10"/>
  <c r="X110" i="10"/>
  <c r="Z119" i="10"/>
  <c r="U122" i="10"/>
  <c r="M123" i="10"/>
  <c r="AW125" i="10"/>
  <c r="AI126" i="10"/>
  <c r="U127" i="10"/>
  <c r="AQ130" i="10"/>
  <c r="AC131" i="10"/>
  <c r="V132" i="10"/>
  <c r="AG102" i="10"/>
  <c r="S103" i="10"/>
  <c r="M109" i="10"/>
  <c r="P110" i="10"/>
  <c r="AL113" i="10"/>
  <c r="X114" i="10"/>
  <c r="J115" i="10"/>
  <c r="AT117" i="10"/>
  <c r="AF118" i="10"/>
  <c r="R119" i="10"/>
  <c r="R122" i="10"/>
  <c r="AN122" i="10"/>
  <c r="K123" i="10"/>
  <c r="AA123" i="10"/>
  <c r="AQ123" i="10"/>
  <c r="M124" i="10"/>
  <c r="AC124" i="10"/>
  <c r="AS124" i="10"/>
  <c r="O125" i="10"/>
  <c r="AE125" i="10"/>
  <c r="AU125" i="10"/>
  <c r="Q126" i="10"/>
  <c r="AG126" i="10"/>
  <c r="AW126" i="10"/>
  <c r="S127" i="10"/>
  <c r="AI127" i="10"/>
  <c r="AY127" i="10"/>
  <c r="U128" i="10"/>
  <c r="AK128" i="10"/>
  <c r="W129" i="10"/>
  <c r="AM129" i="10"/>
  <c r="I130" i="10"/>
  <c r="Y130" i="10"/>
  <c r="AO130" i="10"/>
  <c r="K131" i="10"/>
  <c r="AA131" i="10"/>
  <c r="AQ131" i="10"/>
  <c r="AO102" i="10"/>
  <c r="AA103" i="10"/>
  <c r="M104" i="10"/>
  <c r="R109" i="10"/>
  <c r="T110" i="10"/>
  <c r="AP113" i="10"/>
  <c r="AB114" i="10"/>
  <c r="N115" i="10"/>
  <c r="AX117" i="10"/>
  <c r="AJ118" i="10"/>
  <c r="V119" i="10"/>
  <c r="T122" i="10"/>
  <c r="AO122" i="10"/>
  <c r="L123" i="10"/>
  <c r="AB123" i="10"/>
  <c r="AR123" i="10"/>
  <c r="N124" i="10"/>
  <c r="AD124" i="10"/>
  <c r="AT124" i="10"/>
  <c r="P125" i="10"/>
  <c r="AF125" i="10"/>
  <c r="AV125" i="10"/>
  <c r="R126" i="10"/>
  <c r="AH126" i="10"/>
  <c r="AX126" i="10"/>
  <c r="T127" i="10"/>
  <c r="AJ127" i="10"/>
  <c r="V128" i="10"/>
  <c r="AL128" i="10"/>
  <c r="X129" i="10"/>
  <c r="AN129" i="10"/>
  <c r="J130" i="10"/>
  <c r="Z130" i="10"/>
  <c r="AP130" i="10"/>
  <c r="L131" i="10"/>
  <c r="AB131" i="10"/>
  <c r="AR131" i="10"/>
  <c r="AP111" i="10"/>
  <c r="N113" i="10"/>
  <c r="AR120" i="10"/>
  <c r="AM124" i="10"/>
  <c r="Y125" i="10"/>
  <c r="K126" i="10"/>
  <c r="AU128" i="10"/>
  <c r="AG129" i="10"/>
  <c r="S130" i="10"/>
  <c r="N132" i="10"/>
  <c r="AI132" i="10"/>
  <c r="U133" i="10"/>
  <c r="AQ133" i="10"/>
  <c r="AC134" i="10"/>
  <c r="AX134" i="10"/>
  <c r="O135" i="10"/>
  <c r="AJ135" i="10"/>
  <c r="V136" i="10"/>
  <c r="AQ136" i="10"/>
  <c r="O137" i="10"/>
  <c r="AE137" i="10"/>
  <c r="AU137" i="10"/>
  <c r="Q138" i="10"/>
  <c r="AG138" i="10"/>
  <c r="AW138" i="10"/>
  <c r="S139" i="10"/>
  <c r="AI139" i="10"/>
  <c r="AY139" i="10"/>
  <c r="U140" i="10"/>
  <c r="AK140" i="10"/>
  <c r="W141" i="10"/>
  <c r="AM141" i="10"/>
  <c r="I142" i="10"/>
  <c r="Y142" i="10"/>
  <c r="AO142" i="10"/>
  <c r="K143" i="10"/>
  <c r="AA143" i="10"/>
  <c r="AQ143" i="10"/>
  <c r="M144" i="10"/>
  <c r="AC144" i="10"/>
  <c r="AS144" i="10"/>
  <c r="O145" i="10"/>
  <c r="AE145" i="10"/>
  <c r="AU145" i="10"/>
  <c r="Q146" i="10"/>
  <c r="AG146" i="10"/>
  <c r="AW146" i="10"/>
  <c r="S147" i="10"/>
  <c r="AI147" i="10"/>
  <c r="AY147" i="10"/>
  <c r="U148" i="10"/>
  <c r="AK148" i="10"/>
  <c r="W149" i="10"/>
  <c r="AM149" i="10"/>
  <c r="I150" i="10"/>
  <c r="Y150" i="10"/>
  <c r="AO150" i="10"/>
  <c r="AL117" i="10"/>
  <c r="J119" i="10"/>
  <c r="P122" i="10"/>
  <c r="I123" i="10"/>
  <c r="AS125" i="10"/>
  <c r="AE126" i="10"/>
  <c r="Q127" i="10"/>
  <c r="AM130" i="10"/>
  <c r="Y131" i="10"/>
  <c r="U132" i="10"/>
  <c r="AP132" i="10"/>
  <c r="AB133" i="10"/>
  <c r="AW133" i="10"/>
  <c r="N134" i="10"/>
  <c r="AI134" i="10"/>
  <c r="U135" i="10"/>
  <c r="AQ135" i="10"/>
  <c r="AC136" i="10"/>
  <c r="AX136" i="10"/>
  <c r="T137" i="10"/>
  <c r="AJ137" i="10"/>
  <c r="V138" i="10"/>
  <c r="AL138" i="10"/>
  <c r="X139" i="10"/>
  <c r="AN139" i="10"/>
  <c r="J140" i="10"/>
  <c r="Z140" i="10"/>
  <c r="AP140" i="10"/>
  <c r="L141" i="10"/>
  <c r="AB141" i="10"/>
  <c r="AR141" i="10"/>
  <c r="N142" i="10"/>
  <c r="AD142" i="10"/>
  <c r="AT142" i="10"/>
  <c r="P143" i="10"/>
  <c r="AF143" i="10"/>
  <c r="AV143" i="10"/>
  <c r="R144" i="10"/>
  <c r="AH144" i="10"/>
  <c r="AX144" i="10"/>
  <c r="T145" i="10"/>
  <c r="AJ145" i="10"/>
  <c r="V146" i="10"/>
  <c r="AL146" i="10"/>
  <c r="X147" i="10"/>
  <c r="AN147" i="10"/>
  <c r="J148" i="10"/>
  <c r="Z148" i="10"/>
  <c r="AP148" i="10"/>
  <c r="L149" i="10"/>
  <c r="AB149" i="10"/>
  <c r="AR149" i="10"/>
  <c r="N150" i="10"/>
  <c r="AD150" i="10"/>
  <c r="AT150" i="10"/>
  <c r="AF114" i="10"/>
  <c r="AP122" i="10"/>
  <c r="AC123" i="10"/>
  <c r="O124" i="10"/>
  <c r="AY126" i="10"/>
  <c r="AK127" i="10"/>
  <c r="W128" i="10"/>
  <c r="I129" i="10"/>
  <c r="AS131" i="10"/>
  <c r="AA132" i="10"/>
  <c r="AG132" i="10"/>
  <c r="S133" i="10"/>
  <c r="AN133" i="10"/>
  <c r="Z134" i="10"/>
  <c r="AU134" i="10"/>
  <c r="L135" i="10"/>
  <c r="AG135" i="10"/>
  <c r="S136" i="10"/>
  <c r="AO136" i="10"/>
  <c r="M137" i="10"/>
  <c r="AC137" i="10"/>
  <c r="AS137" i="10"/>
  <c r="O138" i="10"/>
  <c r="AE138" i="10"/>
  <c r="AU138" i="10"/>
  <c r="Q139" i="10"/>
  <c r="AG139" i="10"/>
  <c r="AW139" i="10"/>
  <c r="S140" i="10"/>
  <c r="AI140" i="10"/>
  <c r="AY140" i="10"/>
  <c r="U141" i="10"/>
  <c r="AK141" i="10"/>
  <c r="W142" i="10"/>
  <c r="AM142" i="10"/>
  <c r="I143" i="10"/>
  <c r="Y143" i="10"/>
  <c r="AO143" i="10"/>
  <c r="K144" i="10"/>
  <c r="AA144" i="10"/>
  <c r="AQ144" i="10"/>
  <c r="M145" i="10"/>
  <c r="AC145" i="10"/>
  <c r="AS145" i="10"/>
  <c r="O146" i="10"/>
  <c r="AE146" i="10"/>
  <c r="AU146" i="10"/>
  <c r="Q147" i="10"/>
  <c r="AG147" i="10"/>
  <c r="AW147" i="10"/>
  <c r="S148" i="10"/>
  <c r="AI148" i="10"/>
  <c r="AY148" i="10"/>
  <c r="U149" i="10"/>
  <c r="AK149" i="10"/>
  <c r="W150" i="10"/>
  <c r="AM150" i="10"/>
  <c r="AN110" i="10"/>
  <c r="L112" i="10"/>
  <c r="AP119" i="10"/>
  <c r="N121" i="10"/>
  <c r="Z122" i="10"/>
  <c r="Q123" i="10"/>
  <c r="AM126" i="10"/>
  <c r="AA128" i="10"/>
  <c r="O133" i="10"/>
  <c r="AQ134" i="10"/>
  <c r="O136" i="10"/>
  <c r="J137" i="10"/>
  <c r="AT139" i="10"/>
  <c r="AF140" i="10"/>
  <c r="R141" i="10"/>
  <c r="AN144" i="10"/>
  <c r="Z145" i="10"/>
  <c r="L146" i="10"/>
  <c r="AV148" i="10"/>
  <c r="AH149" i="10"/>
  <c r="T150" i="10"/>
  <c r="AQ128" i="10"/>
  <c r="O130" i="10"/>
  <c r="T133" i="10"/>
  <c r="AW134" i="10"/>
  <c r="U136" i="10"/>
  <c r="N137" i="10"/>
  <c r="AX139" i="10"/>
  <c r="AJ140" i="10"/>
  <c r="V141" i="10"/>
  <c r="AR144" i="10"/>
  <c r="AD145" i="10"/>
  <c r="P146" i="10"/>
  <c r="AL149" i="10"/>
  <c r="X150" i="10"/>
  <c r="I127" i="10"/>
  <c r="R132" i="10"/>
  <c r="AU133" i="10"/>
  <c r="S135" i="10"/>
  <c r="AU136" i="10"/>
  <c r="AH137" i="10"/>
  <c r="T138" i="10"/>
  <c r="AP141" i="10"/>
  <c r="AB142" i="10"/>
  <c r="N143" i="10"/>
  <c r="AX145" i="10"/>
  <c r="AJ146" i="10"/>
  <c r="V147" i="10"/>
  <c r="AR150" i="10"/>
  <c r="AG131" i="10"/>
  <c r="AS132" i="10"/>
  <c r="Q134" i="10"/>
  <c r="AS135" i="10"/>
  <c r="AN138" i="10"/>
  <c r="Z139" i="10"/>
  <c r="L140" i="10"/>
  <c r="AV142" i="10"/>
  <c r="AH143" i="10"/>
  <c r="T144" i="10"/>
  <c r="AP147" i="10"/>
  <c r="AB148" i="10"/>
  <c r="N57" i="10"/>
  <c r="N11" i="10" s="1"/>
  <c r="AT57" i="10"/>
  <c r="AT11" i="10" s="1"/>
  <c r="K57" i="10"/>
  <c r="K11" i="10" s="1"/>
  <c r="AQ57" i="10"/>
  <c r="AQ11" i="10" s="1"/>
  <c r="AB57" i="10"/>
  <c r="AB11" i="10" s="1"/>
  <c r="Y57" i="10"/>
  <c r="Y11" i="10" s="1"/>
  <c r="H118" i="10"/>
  <c r="H119" i="10"/>
  <c r="H108" i="10"/>
  <c r="H129" i="10"/>
  <c r="G114" i="10"/>
  <c r="G143" i="10"/>
  <c r="G112" i="10"/>
  <c r="G141" i="10"/>
  <c r="G102" i="10"/>
  <c r="G148" i="10"/>
  <c r="G145" i="10"/>
  <c r="AL132" i="10"/>
  <c r="X133" i="10"/>
  <c r="AS133" i="10"/>
  <c r="J134" i="10"/>
  <c r="AE134" i="10"/>
  <c r="Q135" i="10"/>
  <c r="AM135" i="10"/>
  <c r="Y136" i="10"/>
  <c r="AT136" i="10"/>
  <c r="Q137" i="10"/>
  <c r="AG137" i="10"/>
  <c r="AW137" i="10"/>
  <c r="S138" i="10"/>
  <c r="AI138" i="10"/>
  <c r="AY138" i="10"/>
  <c r="U139" i="10"/>
  <c r="AK139" i="10"/>
  <c r="W140" i="10"/>
  <c r="AM140" i="10"/>
  <c r="I141" i="10"/>
  <c r="Y141" i="10"/>
  <c r="AO141" i="10"/>
  <c r="K142" i="10"/>
  <c r="AA142" i="10"/>
  <c r="AQ142" i="10"/>
  <c r="M143" i="10"/>
  <c r="AC143" i="10"/>
  <c r="AS143" i="10"/>
  <c r="O144" i="10"/>
  <c r="AE144" i="10"/>
  <c r="AU144" i="10"/>
  <c r="Q145" i="10"/>
  <c r="AG145" i="10"/>
  <c r="AW145" i="10"/>
  <c r="S146" i="10"/>
  <c r="AI146" i="10"/>
  <c r="AY146" i="10"/>
  <c r="U147" i="10"/>
  <c r="AK147" i="10"/>
  <c r="W148" i="10"/>
  <c r="AM148" i="10"/>
  <c r="I149" i="10"/>
  <c r="Y149" i="10"/>
  <c r="AO149" i="10"/>
  <c r="K150" i="10"/>
  <c r="AA150" i="10"/>
  <c r="AQ150" i="10"/>
  <c r="Y101" i="10"/>
  <c r="AM105" i="10"/>
  <c r="AV114" i="10"/>
  <c r="T116" i="10"/>
  <c r="AU122" i="10"/>
  <c r="AG123" i="10"/>
  <c r="S124" i="10"/>
  <c r="AJ133" i="10"/>
  <c r="AK136" i="10"/>
  <c r="Z137" i="10"/>
  <c r="L138" i="10"/>
  <c r="AV140" i="10"/>
  <c r="AH141" i="10"/>
  <c r="T142" i="10"/>
  <c r="AP145" i="10"/>
  <c r="AB146" i="10"/>
  <c r="N147" i="10"/>
  <c r="AX149" i="10"/>
  <c r="AJ150" i="10"/>
  <c r="M132" i="10"/>
  <c r="AO133" i="10"/>
  <c r="M135" i="10"/>
  <c r="AP136" i="10"/>
  <c r="AD137" i="10"/>
  <c r="P138" i="10"/>
  <c r="AL141" i="10"/>
  <c r="X142" i="10"/>
  <c r="J143" i="10"/>
  <c r="AT145" i="10"/>
  <c r="AF146" i="10"/>
  <c r="R147" i="10"/>
  <c r="AN150" i="10"/>
  <c r="AS129" i="10"/>
  <c r="Q131" i="10"/>
  <c r="AM132" i="10"/>
  <c r="K134" i="10"/>
  <c r="AN135" i="10"/>
  <c r="AX137" i="10"/>
  <c r="AJ138" i="10"/>
  <c r="V139" i="10"/>
  <c r="AR142" i="10"/>
  <c r="AD143" i="10"/>
  <c r="P144" i="10"/>
  <c r="AL147" i="10"/>
  <c r="X148" i="10"/>
  <c r="J149" i="10"/>
  <c r="K128" i="10"/>
  <c r="I133" i="10"/>
  <c r="AL134" i="10"/>
  <c r="J136" i="10"/>
  <c r="AP139" i="10"/>
  <c r="AB140" i="10"/>
  <c r="N141" i="10"/>
  <c r="AX143" i="10"/>
  <c r="AJ144" i="10"/>
  <c r="V145" i="10"/>
  <c r="AR148" i="10"/>
  <c r="AD149" i="10"/>
  <c r="P150" i="10"/>
  <c r="R57" i="10"/>
  <c r="R11" i="10" s="1"/>
  <c r="AH57" i="10"/>
  <c r="AH11" i="10" s="1"/>
  <c r="AX57" i="10"/>
  <c r="AX11" i="10" s="1"/>
  <c r="O57" i="10"/>
  <c r="O11" i="10" s="1"/>
  <c r="AE57" i="10"/>
  <c r="AE11" i="10" s="1"/>
  <c r="AU57" i="10"/>
  <c r="AU11" i="10" s="1"/>
  <c r="P57" i="10"/>
  <c r="P11" i="10" s="1"/>
  <c r="AF57" i="10"/>
  <c r="AF11" i="10" s="1"/>
  <c r="AV57" i="10"/>
  <c r="AV11" i="10" s="1"/>
  <c r="AC57" i="10"/>
  <c r="AC11" i="10" s="1"/>
  <c r="AS57" i="10"/>
  <c r="AS11" i="10" s="1"/>
  <c r="H106" i="10"/>
  <c r="H122" i="10"/>
  <c r="H138" i="10"/>
  <c r="H107" i="10"/>
  <c r="H123" i="10"/>
  <c r="H139" i="10"/>
  <c r="H112" i="10"/>
  <c r="H128" i="10"/>
  <c r="H144" i="10"/>
  <c r="H101" i="10"/>
  <c r="H117" i="10"/>
  <c r="H133" i="10"/>
  <c r="H149" i="10"/>
  <c r="G118" i="10"/>
  <c r="G150" i="10"/>
  <c r="G131" i="10"/>
  <c r="G100" i="10"/>
  <c r="AQ132" i="10"/>
  <c r="AC133" i="10"/>
  <c r="AY133" i="10"/>
  <c r="O134" i="10"/>
  <c r="AK134" i="10"/>
  <c r="W135" i="10"/>
  <c r="AR135" i="10"/>
  <c r="I136" i="10"/>
  <c r="AD136" i="10"/>
  <c r="AY136" i="10"/>
  <c r="U137" i="10"/>
  <c r="AK137" i="10"/>
  <c r="W138" i="10"/>
  <c r="AM138" i="10"/>
  <c r="I139" i="10"/>
  <c r="Y139" i="10"/>
  <c r="AO139" i="10"/>
  <c r="K140" i="10"/>
  <c r="AA140" i="10"/>
  <c r="AQ140" i="10"/>
  <c r="M141" i="10"/>
  <c r="AC141" i="10"/>
  <c r="AS141" i="10"/>
  <c r="O142" i="10"/>
  <c r="AE142" i="10"/>
  <c r="AU142" i="10"/>
  <c r="Q143" i="10"/>
  <c r="AG143" i="10"/>
  <c r="AW143" i="10"/>
  <c r="S144" i="10"/>
  <c r="AI144" i="10"/>
  <c r="AY144" i="10"/>
  <c r="U145" i="10"/>
  <c r="AK145" i="10"/>
  <c r="W146" i="10"/>
  <c r="AM146" i="10"/>
  <c r="I147" i="10"/>
  <c r="Y147" i="10"/>
  <c r="AO147" i="10"/>
  <c r="K148" i="10"/>
  <c r="AA148" i="10"/>
  <c r="AQ148" i="10"/>
  <c r="M149" i="10"/>
  <c r="AC149" i="10"/>
  <c r="AS149" i="10"/>
  <c r="O150" i="10"/>
  <c r="AE150" i="10"/>
  <c r="AU150" i="10"/>
  <c r="Y106" i="10"/>
  <c r="AS109" i="10"/>
  <c r="Z111" i="10"/>
  <c r="AB120" i="10"/>
  <c r="AW123" i="10"/>
  <c r="AI124" i="10"/>
  <c r="U125" i="10"/>
  <c r="AO127" i="10"/>
  <c r="M129" i="10"/>
  <c r="AC132" i="10"/>
  <c r="AC135" i="10"/>
  <c r="AP137" i="10"/>
  <c r="AB138" i="10"/>
  <c r="N139" i="10"/>
  <c r="AX141" i="10"/>
  <c r="AJ142" i="10"/>
  <c r="V143" i="10"/>
  <c r="AR146" i="10"/>
  <c r="AD147" i="10"/>
  <c r="P148" i="10"/>
  <c r="AC129" i="10"/>
  <c r="AH132" i="10"/>
  <c r="AI135" i="10"/>
  <c r="AT137" i="10"/>
  <c r="AF138" i="10"/>
  <c r="R139" i="10"/>
  <c r="AN142" i="10"/>
  <c r="Z143" i="10"/>
  <c r="L144" i="10"/>
  <c r="AV146" i="10"/>
  <c r="AH147" i="10"/>
  <c r="T148" i="10"/>
  <c r="AG134" i="10"/>
  <c r="AL139" i="10"/>
  <c r="X140" i="10"/>
  <c r="J141" i="10"/>
  <c r="AT143" i="10"/>
  <c r="AF144" i="10"/>
  <c r="R145" i="10"/>
  <c r="AN148" i="10"/>
  <c r="Z149" i="10"/>
  <c r="L150" i="10"/>
  <c r="AU130" i="10"/>
  <c r="AE133" i="10"/>
  <c r="AE136" i="10"/>
  <c r="V137" i="10"/>
  <c r="AR140" i="10"/>
  <c r="AD141" i="10"/>
  <c r="P142" i="10"/>
  <c r="AL145" i="10"/>
  <c r="X146" i="10"/>
  <c r="J147" i="10"/>
  <c r="AT149" i="10"/>
  <c r="AF150" i="10"/>
  <c r="I57" i="10"/>
  <c r="I11" i="10" s="1"/>
  <c r="V57" i="10"/>
  <c r="V11" i="10" s="1"/>
  <c r="AL57" i="10"/>
  <c r="AL11" i="10" s="1"/>
  <c r="S57" i="10"/>
  <c r="S11" i="10" s="1"/>
  <c r="AI57" i="10"/>
  <c r="AI11" i="10" s="1"/>
  <c r="AY57" i="10"/>
  <c r="AY11" i="10" s="1"/>
  <c r="T57" i="10"/>
  <c r="T11" i="10" s="1"/>
  <c r="AJ57" i="10"/>
  <c r="AJ11" i="10" s="1"/>
  <c r="AG57" i="10"/>
  <c r="AG11" i="10" s="1"/>
  <c r="AW57" i="10"/>
  <c r="AW11" i="10" s="1"/>
  <c r="H110" i="10"/>
  <c r="H126" i="10"/>
  <c r="H142" i="10"/>
  <c r="H111" i="10"/>
  <c r="H127" i="10"/>
  <c r="H143" i="10"/>
  <c r="H100" i="10"/>
  <c r="H116" i="10"/>
  <c r="H132" i="10"/>
  <c r="H148" i="10"/>
  <c r="H105" i="10"/>
  <c r="H121" i="10"/>
  <c r="H137" i="10"/>
  <c r="G106" i="10"/>
  <c r="G122" i="10"/>
  <c r="G138" i="10"/>
  <c r="G103" i="10"/>
  <c r="G119" i="10"/>
  <c r="G135" i="10"/>
  <c r="G104" i="10"/>
  <c r="G120" i="10"/>
  <c r="G136" i="10"/>
  <c r="G101" i="10"/>
  <c r="G117" i="10"/>
  <c r="G133" i="10"/>
  <c r="G149" i="10"/>
  <c r="N149" i="10"/>
  <c r="AA57" i="10"/>
  <c r="AA11" i="10" s="1"/>
  <c r="L57" i="10"/>
  <c r="L11" i="10" s="1"/>
  <c r="AR57" i="10"/>
  <c r="AR11" i="10" s="1"/>
  <c r="H102" i="10"/>
  <c r="H150" i="10"/>
  <c r="H103" i="10"/>
  <c r="H140" i="10"/>
  <c r="H145" i="10"/>
  <c r="G146" i="10"/>
  <c r="G127" i="10"/>
  <c r="G128" i="10"/>
  <c r="G125" i="10"/>
  <c r="G134" i="10"/>
  <c r="G147" i="10"/>
  <c r="G132" i="10"/>
  <c r="G113" i="10"/>
  <c r="AW132" i="10"/>
  <c r="M133" i="10"/>
  <c r="AI133" i="10"/>
  <c r="U134" i="10"/>
  <c r="AP134" i="10"/>
  <c r="AB135" i="10"/>
  <c r="AW135" i="10"/>
  <c r="N136" i="10"/>
  <c r="AI136" i="10"/>
  <c r="I137" i="10"/>
  <c r="Y137" i="10"/>
  <c r="AO137" i="10"/>
  <c r="K138" i="10"/>
  <c r="AA138" i="10"/>
  <c r="AQ138" i="10"/>
  <c r="M139" i="10"/>
  <c r="AC139" i="10"/>
  <c r="AS139" i="10"/>
  <c r="O140" i="10"/>
  <c r="AE140" i="10"/>
  <c r="AU140" i="10"/>
  <c r="Q141" i="10"/>
  <c r="AG141" i="10"/>
  <c r="AW141" i="10"/>
  <c r="S142" i="10"/>
  <c r="AI142" i="10"/>
  <c r="AY142" i="10"/>
  <c r="U143" i="10"/>
  <c r="AK143" i="10"/>
  <c r="W144" i="10"/>
  <c r="AM144" i="10"/>
  <c r="I145" i="10"/>
  <c r="Y145" i="10"/>
  <c r="AO145" i="10"/>
  <c r="K146" i="10"/>
  <c r="AA146" i="10"/>
  <c r="AQ146" i="10"/>
  <c r="M147" i="10"/>
  <c r="AC147" i="10"/>
  <c r="AS147" i="10"/>
  <c r="O148" i="10"/>
  <c r="AE148" i="10"/>
  <c r="AU148" i="10"/>
  <c r="Q149" i="10"/>
  <c r="AG149" i="10"/>
  <c r="AW149" i="10"/>
  <c r="S150" i="10"/>
  <c r="AI150" i="10"/>
  <c r="AY150" i="10"/>
  <c r="K107" i="10"/>
  <c r="AH115" i="10"/>
  <c r="AY124" i="10"/>
  <c r="AK125" i="10"/>
  <c r="W126" i="10"/>
  <c r="AW131" i="10"/>
  <c r="AX132" i="10"/>
  <c r="V134" i="10"/>
  <c r="AY135" i="10"/>
  <c r="AR138" i="10"/>
  <c r="AD139" i="10"/>
  <c r="P140" i="10"/>
  <c r="AL143" i="10"/>
  <c r="X144" i="10"/>
  <c r="J145" i="10"/>
  <c r="AT147" i="10"/>
  <c r="AF148" i="10"/>
  <c r="R149" i="10"/>
  <c r="AA134" i="10"/>
  <c r="AV138" i="10"/>
  <c r="AH139" i="10"/>
  <c r="T140" i="10"/>
  <c r="AP143" i="10"/>
  <c r="AB144" i="10"/>
  <c r="N145" i="10"/>
  <c r="AX147" i="10"/>
  <c r="AJ148" i="10"/>
  <c r="V149" i="10"/>
  <c r="AE130" i="10"/>
  <c r="Y133" i="10"/>
  <c r="Z136" i="10"/>
  <c r="R137" i="10"/>
  <c r="AN140" i="10"/>
  <c r="Z141" i="10"/>
  <c r="L142" i="10"/>
  <c r="AV144" i="10"/>
  <c r="AH145" i="10"/>
  <c r="T146" i="10"/>
  <c r="AP149" i="10"/>
  <c r="AB150" i="10"/>
  <c r="Y127" i="10"/>
  <c r="W132" i="10"/>
  <c r="X135" i="10"/>
  <c r="AL137" i="10"/>
  <c r="X138" i="10"/>
  <c r="J139" i="10"/>
  <c r="AT141" i="10"/>
  <c r="AF142" i="10"/>
  <c r="R143" i="10"/>
  <c r="AN146" i="10"/>
  <c r="Z147" i="10"/>
  <c r="L148" i="10"/>
  <c r="AV150" i="10"/>
  <c r="J57" i="10"/>
  <c r="J11" i="10" s="1"/>
  <c r="Z57" i="10"/>
  <c r="Z11" i="10" s="1"/>
  <c r="AP57" i="10"/>
  <c r="AP11" i="10" s="1"/>
  <c r="Q57" i="10"/>
  <c r="Q11" i="10" s="1"/>
  <c r="W57" i="10"/>
  <c r="W11" i="10" s="1"/>
  <c r="AM57" i="10"/>
  <c r="AM11" i="10" s="1"/>
  <c r="U57" i="10"/>
  <c r="U11" i="10" s="1"/>
  <c r="X57" i="10"/>
  <c r="X11" i="10" s="1"/>
  <c r="AN57" i="10"/>
  <c r="AN11" i="10" s="1"/>
  <c r="M57" i="10"/>
  <c r="M11" i="10" s="1"/>
  <c r="AK57" i="10"/>
  <c r="AK11" i="10" s="1"/>
  <c r="H114" i="10"/>
  <c r="H130" i="10"/>
  <c r="H146" i="10"/>
  <c r="H115" i="10"/>
  <c r="H131" i="10"/>
  <c r="H147" i="10"/>
  <c r="H104" i="10"/>
  <c r="H120" i="10"/>
  <c r="H136" i="10"/>
  <c r="H109" i="10"/>
  <c r="H125" i="10"/>
  <c r="H141" i="10"/>
  <c r="G110" i="10"/>
  <c r="G126" i="10"/>
  <c r="G142" i="10"/>
  <c r="G107" i="10"/>
  <c r="G123" i="10"/>
  <c r="G139" i="10"/>
  <c r="G108" i="10"/>
  <c r="G124" i="10"/>
  <c r="G140" i="10"/>
  <c r="G105" i="10"/>
  <c r="G121" i="10"/>
  <c r="G137" i="10"/>
  <c r="AD57" i="10"/>
  <c r="AD11" i="10" s="1"/>
  <c r="AO57" i="10"/>
  <c r="AO11" i="10" s="1"/>
  <c r="H57" i="10"/>
  <c r="H11" i="10" s="1"/>
  <c r="H134" i="10"/>
  <c r="H135" i="10"/>
  <c r="H124" i="10"/>
  <c r="H113" i="10"/>
  <c r="G130" i="10"/>
  <c r="G111" i="10"/>
  <c r="G144" i="10"/>
  <c r="G109" i="10"/>
  <c r="G57" i="10"/>
  <c r="G11" i="10" s="1"/>
  <c r="G115" i="10"/>
  <c r="G116" i="10"/>
  <c r="G129" i="10"/>
  <c r="AZ136" i="10"/>
  <c r="AZ105" i="10"/>
  <c r="AZ111" i="10"/>
  <c r="AZ124" i="10"/>
  <c r="AZ112" i="10"/>
  <c r="AZ133" i="10"/>
  <c r="AZ106" i="10"/>
  <c r="AZ109" i="10"/>
  <c r="AZ119" i="10"/>
  <c r="AZ128" i="10"/>
  <c r="AZ113" i="10"/>
  <c r="AZ132" i="10"/>
  <c r="AZ110" i="10"/>
  <c r="AZ141" i="10"/>
  <c r="AZ135" i="10"/>
  <c r="AZ127" i="10"/>
  <c r="AZ144" i="10"/>
  <c r="AZ140" i="10"/>
  <c r="AZ108" i="10"/>
  <c r="AZ107" i="10"/>
  <c r="AZ126" i="10"/>
  <c r="AZ131" i="10"/>
  <c r="AZ147" i="10"/>
  <c r="AZ150" i="10"/>
  <c r="AZ101" i="10"/>
  <c r="AZ117" i="10"/>
  <c r="AZ134" i="10"/>
  <c r="AZ143" i="10"/>
  <c r="AZ129" i="10"/>
  <c r="AZ57" i="10"/>
  <c r="AZ11" i="10" s="1"/>
  <c r="AZ100" i="10"/>
  <c r="AZ103" i="10"/>
  <c r="AZ102" i="10"/>
  <c r="AZ122" i="10"/>
  <c r="AZ115" i="10"/>
  <c r="AZ121" i="10"/>
  <c r="AZ118" i="10"/>
  <c r="AZ123" i="10"/>
  <c r="AZ149" i="10"/>
  <c r="AZ139" i="10"/>
  <c r="AZ137" i="10"/>
  <c r="AZ138" i="10"/>
  <c r="AZ148" i="10"/>
  <c r="AZ142" i="10"/>
  <c r="AZ104" i="10"/>
  <c r="AZ130" i="10"/>
  <c r="AZ114" i="10"/>
  <c r="AZ125" i="10"/>
  <c r="AZ120" i="10"/>
  <c r="AZ145" i="10"/>
  <c r="AZ116" i="10"/>
  <c r="AZ146" i="10"/>
  <c r="BA100" i="10"/>
  <c r="BA114" i="10"/>
  <c r="BA113" i="10"/>
  <c r="BA120" i="10"/>
  <c r="BA110" i="10"/>
  <c r="BA126" i="10"/>
  <c r="BA124" i="10"/>
  <c r="BA132" i="10"/>
  <c r="BA108" i="10"/>
  <c r="BA128" i="10"/>
  <c r="BA129" i="10"/>
  <c r="BA125" i="10"/>
  <c r="BA137" i="10"/>
  <c r="BA116" i="10"/>
  <c r="BA106" i="10"/>
  <c r="BA121" i="10"/>
  <c r="BA102" i="10"/>
  <c r="BA118" i="10"/>
  <c r="BA138" i="10"/>
  <c r="BA133" i="10"/>
  <c r="BA135" i="10"/>
  <c r="BA131" i="10"/>
  <c r="BA123" i="10"/>
  <c r="BA141" i="10"/>
  <c r="BA134" i="10"/>
  <c r="BA145" i="10"/>
  <c r="BA115" i="10"/>
  <c r="BA101" i="10"/>
  <c r="BA103" i="10"/>
  <c r="BA111" i="10"/>
  <c r="BA109" i="10"/>
  <c r="BA146" i="10"/>
  <c r="BA136" i="10"/>
  <c r="BA122" i="10"/>
  <c r="BA142" i="10"/>
  <c r="BA140" i="10"/>
  <c r="BA149" i="10"/>
  <c r="BA139" i="10"/>
  <c r="BA143" i="10"/>
  <c r="BA107" i="10"/>
  <c r="BA105" i="10"/>
  <c r="BA112" i="10"/>
  <c r="BA119" i="10"/>
  <c r="BA117" i="10"/>
  <c r="BA127" i="10"/>
  <c r="BA144" i="10"/>
  <c r="BA130" i="10"/>
  <c r="BA150" i="10"/>
  <c r="BA148" i="10"/>
  <c r="BA104" i="10"/>
  <c r="BA147" i="10"/>
  <c r="BA57" i="10"/>
  <c r="BA11" i="10" s="1"/>
  <c r="BB101" i="10"/>
  <c r="BB105" i="10"/>
  <c r="BB108" i="10"/>
  <c r="BB123" i="10"/>
  <c r="BB109" i="10"/>
  <c r="BB135" i="10"/>
  <c r="BB113" i="10"/>
  <c r="BB119" i="10"/>
  <c r="BB111" i="10"/>
  <c r="BB148" i="10"/>
  <c r="BB138" i="10"/>
  <c r="BB137" i="10"/>
  <c r="BB57" i="10"/>
  <c r="BB11" i="10" s="1"/>
  <c r="BB106" i="10"/>
  <c r="BB102" i="10"/>
  <c r="BB112" i="10"/>
  <c r="BB131" i="10"/>
  <c r="BB129" i="10"/>
  <c r="BB114" i="10"/>
  <c r="BB126" i="10"/>
  <c r="BB124" i="10"/>
  <c r="BB122" i="10"/>
  <c r="BB117" i="10"/>
  <c r="BB146" i="10"/>
  <c r="BB149" i="10"/>
  <c r="BB134" i="10"/>
  <c r="BB107" i="10"/>
  <c r="BB103" i="10"/>
  <c r="BB120" i="10"/>
  <c r="BB110" i="10"/>
  <c r="BB116" i="10"/>
  <c r="BB125" i="10"/>
  <c r="BB136" i="10"/>
  <c r="BB142" i="10"/>
  <c r="BB130" i="10"/>
  <c r="BB121" i="10"/>
  <c r="BB132" i="10"/>
  <c r="BB141" i="10"/>
  <c r="BB139" i="10"/>
  <c r="BB104" i="10"/>
  <c r="BB100" i="10"/>
  <c r="BB115" i="10"/>
  <c r="BB118" i="10"/>
  <c r="BB127" i="10"/>
  <c r="BB133" i="10"/>
  <c r="BB144" i="10"/>
  <c r="BB150" i="10"/>
  <c r="BB140" i="10"/>
  <c r="BB128" i="10"/>
  <c r="BB143" i="10"/>
  <c r="BB147" i="10"/>
  <c r="BB145" i="10"/>
  <c r="BC101" i="10"/>
  <c r="BC102" i="10"/>
  <c r="BC100" i="10"/>
  <c r="BC120" i="10"/>
  <c r="BC107" i="10"/>
  <c r="BC127" i="10"/>
  <c r="BC147" i="10"/>
  <c r="BC109" i="10"/>
  <c r="BC122" i="10"/>
  <c r="BC143" i="10"/>
  <c r="BC135" i="10"/>
  <c r="BC148" i="10"/>
  <c r="BC136" i="10"/>
  <c r="BC104" i="10"/>
  <c r="BC116" i="10"/>
  <c r="BC113" i="10"/>
  <c r="BC108" i="10"/>
  <c r="BC106" i="10"/>
  <c r="BC124" i="10"/>
  <c r="BC130" i="10"/>
  <c r="BC125" i="10"/>
  <c r="BC128" i="10"/>
  <c r="BC129" i="10"/>
  <c r="BC142" i="10"/>
  <c r="BC126" i="10"/>
  <c r="BC144" i="10"/>
  <c r="BC117" i="10"/>
  <c r="BC115" i="10"/>
  <c r="BC121" i="10"/>
  <c r="BC111" i="10"/>
  <c r="BC110" i="10"/>
  <c r="BC134" i="10"/>
  <c r="BC133" i="10"/>
  <c r="BC137" i="10"/>
  <c r="BC123" i="10"/>
  <c r="BC141" i="10"/>
  <c r="BC150" i="10"/>
  <c r="BC138" i="10"/>
  <c r="BC132" i="10"/>
  <c r="BC103" i="10"/>
  <c r="BC114" i="10"/>
  <c r="BC112" i="10"/>
  <c r="BC119" i="10"/>
  <c r="BC118" i="10"/>
  <c r="BC139" i="10"/>
  <c r="BC105" i="10"/>
  <c r="BC145" i="10"/>
  <c r="BC131" i="10"/>
  <c r="BC149" i="10"/>
  <c r="BC140" i="10"/>
  <c r="BC146" i="10"/>
  <c r="BC57" i="10"/>
  <c r="BC11" i="10" s="1"/>
  <c r="BD100" i="10"/>
  <c r="BD106" i="10"/>
  <c r="BD109" i="10"/>
  <c r="BD132" i="10"/>
  <c r="BD116" i="10"/>
  <c r="BD128" i="10"/>
  <c r="BD127" i="10"/>
  <c r="BD125" i="10"/>
  <c r="BD123" i="10"/>
  <c r="BD112" i="10"/>
  <c r="BD140" i="10"/>
  <c r="BD118" i="10"/>
  <c r="BD135" i="10"/>
  <c r="BD102" i="10"/>
  <c r="BD103" i="10"/>
  <c r="BD113" i="10"/>
  <c r="BD108" i="10"/>
  <c r="BD122" i="10"/>
  <c r="BD115" i="10"/>
  <c r="BD137" i="10"/>
  <c r="BD110" i="10"/>
  <c r="BD131" i="10"/>
  <c r="BD129" i="10"/>
  <c r="BD146" i="10"/>
  <c r="BD136" i="10"/>
  <c r="BD142" i="10"/>
  <c r="BD107" i="10"/>
  <c r="BD104" i="10"/>
  <c r="BD121" i="10"/>
  <c r="BD111" i="10"/>
  <c r="BD130" i="10"/>
  <c r="BD126" i="10"/>
  <c r="BD145" i="10"/>
  <c r="BD143" i="10"/>
  <c r="BD141" i="10"/>
  <c r="BD139" i="10"/>
  <c r="BD144" i="10"/>
  <c r="BD150" i="10"/>
  <c r="BD148" i="10"/>
  <c r="BD105" i="10"/>
  <c r="BD101" i="10"/>
  <c r="BD124" i="10"/>
  <c r="BD119" i="10"/>
  <c r="BD117" i="10"/>
  <c r="BD134" i="10"/>
  <c r="BD114" i="10"/>
  <c r="BD120" i="10"/>
  <c r="BD149" i="10"/>
  <c r="BD147" i="10"/>
  <c r="BD138" i="10"/>
  <c r="BD133" i="10"/>
  <c r="BD57" i="10"/>
  <c r="BD11" i="10" s="1"/>
  <c r="BE100" i="10"/>
  <c r="BE116" i="10"/>
  <c r="BE109" i="10"/>
  <c r="BE113" i="10"/>
  <c r="BE120" i="10"/>
  <c r="BE128" i="10"/>
  <c r="BE126" i="10"/>
  <c r="BE131" i="10"/>
  <c r="BE123" i="10"/>
  <c r="BE106" i="10"/>
  <c r="BE150" i="10"/>
  <c r="BE149" i="10"/>
  <c r="BE127" i="10"/>
  <c r="BE110" i="10"/>
  <c r="BE107" i="10"/>
  <c r="BE114" i="10"/>
  <c r="BE121" i="10"/>
  <c r="BE108" i="10"/>
  <c r="BE140" i="10"/>
  <c r="BE125" i="10"/>
  <c r="BE124" i="10"/>
  <c r="BE129" i="10"/>
  <c r="BE132" i="10"/>
  <c r="BE134" i="10"/>
  <c r="BE139" i="10"/>
  <c r="BE57" i="10"/>
  <c r="BE11" i="10" s="1"/>
  <c r="BE118" i="10"/>
  <c r="BE115" i="10"/>
  <c r="BE104" i="10"/>
  <c r="BE102" i="10"/>
  <c r="BE111" i="10"/>
  <c r="BE148" i="10"/>
  <c r="BE138" i="10"/>
  <c r="BE136" i="10"/>
  <c r="BE122" i="10"/>
  <c r="BE135" i="10"/>
  <c r="BE143" i="10"/>
  <c r="BE147" i="10"/>
  <c r="BE137" i="10"/>
  <c r="BE117" i="10"/>
  <c r="BE105" i="10"/>
  <c r="BE103" i="10"/>
  <c r="BE112" i="10"/>
  <c r="BE119" i="10"/>
  <c r="BE101" i="10"/>
  <c r="BE146" i="10"/>
  <c r="BE144" i="10"/>
  <c r="BE130" i="10"/>
  <c r="BE142" i="10"/>
  <c r="BE141" i="10"/>
  <c r="BE133" i="10"/>
  <c r="BE145" i="10"/>
  <c r="BF101" i="10"/>
  <c r="BF106" i="10"/>
  <c r="BF102" i="10"/>
  <c r="BF133" i="10"/>
  <c r="BF131" i="10"/>
  <c r="BF129" i="10"/>
  <c r="BF113" i="10"/>
  <c r="BF126" i="10"/>
  <c r="BF115" i="10"/>
  <c r="BF142" i="10"/>
  <c r="BF130" i="10"/>
  <c r="BF149" i="10"/>
  <c r="BF145" i="10"/>
  <c r="BF103" i="10"/>
  <c r="BF107" i="10"/>
  <c r="BF109" i="10"/>
  <c r="BF112" i="10"/>
  <c r="BF110" i="10"/>
  <c r="BF116" i="10"/>
  <c r="BF128" i="10"/>
  <c r="BF119" i="10"/>
  <c r="BF124" i="10"/>
  <c r="BF150" i="10"/>
  <c r="BF140" i="10"/>
  <c r="BF141" i="10"/>
  <c r="BF139" i="10"/>
  <c r="BF100" i="10"/>
  <c r="BF104" i="10"/>
  <c r="BF114" i="10"/>
  <c r="BF120" i="10"/>
  <c r="BF118" i="10"/>
  <c r="BF127" i="10"/>
  <c r="BF138" i="10"/>
  <c r="BF136" i="10"/>
  <c r="BF111" i="10"/>
  <c r="BF121" i="10"/>
  <c r="BF148" i="10"/>
  <c r="BF147" i="10"/>
  <c r="BF137" i="10"/>
  <c r="BF108" i="10"/>
  <c r="BF105" i="10"/>
  <c r="BF125" i="10"/>
  <c r="BF123" i="10"/>
  <c r="BF117" i="10"/>
  <c r="BF135" i="10"/>
  <c r="BF146" i="10"/>
  <c r="BF144" i="10"/>
  <c r="BF132" i="10"/>
  <c r="BF122" i="10"/>
  <c r="BF143" i="10"/>
  <c r="BF134" i="10"/>
  <c r="BF57" i="10"/>
  <c r="BF11" i="10" s="1"/>
  <c r="BG101" i="10"/>
  <c r="BG105" i="10"/>
  <c r="BG100" i="10"/>
  <c r="BG115" i="10"/>
  <c r="BG121" i="10"/>
  <c r="BG103" i="10"/>
  <c r="BG122" i="10"/>
  <c r="BG107" i="10"/>
  <c r="BG137" i="10"/>
  <c r="BG131" i="10"/>
  <c r="BG136" i="10"/>
  <c r="BG150" i="10"/>
  <c r="BG57" i="10"/>
  <c r="BG11" i="10" s="1"/>
  <c r="BG106" i="10"/>
  <c r="BG104" i="10"/>
  <c r="BG102" i="10"/>
  <c r="BG109" i="10"/>
  <c r="BG112" i="10"/>
  <c r="BG141" i="10"/>
  <c r="BG127" i="10"/>
  <c r="BG125" i="10"/>
  <c r="BG145" i="10"/>
  <c r="BG143" i="10"/>
  <c r="BG144" i="10"/>
  <c r="BG140" i="10"/>
  <c r="BG138" i="10"/>
  <c r="BG111" i="10"/>
  <c r="BG110" i="10"/>
  <c r="BG117" i="10"/>
  <c r="BG114" i="10"/>
  <c r="BG120" i="10"/>
  <c r="BG149" i="10"/>
  <c r="BG139" i="10"/>
  <c r="BG126" i="10"/>
  <c r="BG135" i="10"/>
  <c r="BG124" i="10"/>
  <c r="BG132" i="10"/>
  <c r="BG148" i="10"/>
  <c r="BG146" i="10"/>
  <c r="BG119" i="10"/>
  <c r="BG118" i="10"/>
  <c r="BG116" i="10"/>
  <c r="BG113" i="10"/>
  <c r="BG129" i="10"/>
  <c r="BG108" i="10"/>
  <c r="BG147" i="10"/>
  <c r="BG133" i="10"/>
  <c r="BG123" i="10"/>
  <c r="BG130" i="10"/>
  <c r="BG142" i="10"/>
  <c r="BG134" i="10"/>
  <c r="BG128" i="10"/>
  <c r="BH100" i="10"/>
  <c r="BH102" i="10"/>
  <c r="BH103" i="10"/>
  <c r="BH126" i="10"/>
  <c r="BH124" i="10"/>
  <c r="BH122" i="10"/>
  <c r="BH128" i="10"/>
  <c r="BH114" i="10"/>
  <c r="BH145" i="10"/>
  <c r="BH116" i="10"/>
  <c r="BH149" i="10"/>
  <c r="BH144" i="10"/>
  <c r="BH148" i="10"/>
  <c r="BH104" i="10"/>
  <c r="BH107" i="10"/>
  <c r="BH108" i="10"/>
  <c r="BH134" i="10"/>
  <c r="BH132" i="10"/>
  <c r="BH130" i="10"/>
  <c r="BH129" i="10"/>
  <c r="BH127" i="10"/>
  <c r="BH125" i="10"/>
  <c r="BH123" i="10"/>
  <c r="BH112" i="10"/>
  <c r="BH150" i="10"/>
  <c r="BH146" i="10"/>
  <c r="BH101" i="10"/>
  <c r="BH105" i="10"/>
  <c r="BH115" i="10"/>
  <c r="BH113" i="10"/>
  <c r="BH111" i="10"/>
  <c r="BH117" i="10"/>
  <c r="BH139" i="10"/>
  <c r="BH133" i="10"/>
  <c r="BH120" i="10"/>
  <c r="BH131" i="10"/>
  <c r="BH138" i="10"/>
  <c r="BH136" i="10"/>
  <c r="BH140" i="10"/>
  <c r="BH109" i="10"/>
  <c r="BH106" i="10"/>
  <c r="BH110" i="10"/>
  <c r="BH121" i="10"/>
  <c r="BH119" i="10"/>
  <c r="BH118" i="10"/>
  <c r="BH147" i="10"/>
  <c r="BH137" i="10"/>
  <c r="BH143" i="10"/>
  <c r="BH141" i="10"/>
  <c r="BH135" i="10"/>
  <c r="BH142" i="10"/>
  <c r="BH57" i="10"/>
  <c r="BH11" i="10" s="1"/>
  <c r="BI100" i="10"/>
  <c r="BI119" i="10"/>
  <c r="BI101" i="10"/>
  <c r="BI108" i="10"/>
  <c r="BI114" i="10"/>
  <c r="BI104" i="10"/>
  <c r="BI150" i="10"/>
  <c r="BI109" i="10"/>
  <c r="BI123" i="10"/>
  <c r="BI124" i="10"/>
  <c r="BI133" i="10"/>
  <c r="BI143" i="10"/>
  <c r="BI132" i="10"/>
  <c r="BI112" i="10"/>
  <c r="BI110" i="10"/>
  <c r="BI107" i="10"/>
  <c r="BI105" i="10"/>
  <c r="BI102" i="10"/>
  <c r="BI122" i="10"/>
  <c r="BI125" i="10"/>
  <c r="BI134" i="10"/>
  <c r="BI126" i="10"/>
  <c r="BI127" i="10"/>
  <c r="BI137" i="10"/>
  <c r="BI57" i="10"/>
  <c r="BI11" i="10" s="1"/>
  <c r="BI135" i="10"/>
  <c r="BI120" i="10"/>
  <c r="BI118" i="10"/>
  <c r="BI116" i="10"/>
  <c r="BI115" i="10"/>
  <c r="BI113" i="10"/>
  <c r="BI130" i="10"/>
  <c r="BI131" i="10"/>
  <c r="BI140" i="10"/>
  <c r="BI138" i="10"/>
  <c r="BI136" i="10"/>
  <c r="BI145" i="10"/>
  <c r="BI141" i="10"/>
  <c r="BI139" i="10"/>
  <c r="BI111" i="10"/>
  <c r="BI117" i="10"/>
  <c r="BI106" i="10"/>
  <c r="BI103" i="10"/>
  <c r="BI121" i="10"/>
  <c r="BI142" i="10"/>
  <c r="BI128" i="10"/>
  <c r="BI148" i="10"/>
  <c r="BI146" i="10"/>
  <c r="BI144" i="10"/>
  <c r="BI129" i="10"/>
  <c r="BI149" i="10"/>
  <c r="BI147" i="10"/>
  <c r="BJ101" i="10"/>
  <c r="BJ100" i="10"/>
  <c r="BJ104" i="10"/>
  <c r="BJ135" i="10"/>
  <c r="BJ133" i="10"/>
  <c r="BJ131" i="10"/>
  <c r="BJ129" i="10"/>
  <c r="BJ132" i="10"/>
  <c r="BJ128" i="10"/>
  <c r="BJ126" i="10"/>
  <c r="BJ142" i="10"/>
  <c r="BJ141" i="10"/>
  <c r="BJ113" i="10"/>
  <c r="BJ105" i="10"/>
  <c r="BJ108" i="10"/>
  <c r="BJ116" i="10"/>
  <c r="BJ114" i="10"/>
  <c r="BJ112" i="10"/>
  <c r="BJ109" i="10"/>
  <c r="BJ117" i="10"/>
  <c r="BJ134" i="10"/>
  <c r="BJ138" i="10"/>
  <c r="BJ136" i="10"/>
  <c r="BJ150" i="10"/>
  <c r="BJ139" i="10"/>
  <c r="BJ137" i="10"/>
  <c r="BJ102" i="10"/>
  <c r="BJ106" i="10"/>
  <c r="BJ119" i="10"/>
  <c r="BJ111" i="10"/>
  <c r="BJ120" i="10"/>
  <c r="BJ110" i="10"/>
  <c r="BJ122" i="10"/>
  <c r="BJ140" i="10"/>
  <c r="BJ146" i="10"/>
  <c r="BJ144" i="10"/>
  <c r="BJ121" i="10"/>
  <c r="BJ145" i="10"/>
  <c r="BJ143" i="10"/>
  <c r="BJ103" i="10"/>
  <c r="BJ107" i="10"/>
  <c r="BJ127" i="10"/>
  <c r="BJ125" i="10"/>
  <c r="BJ123" i="10"/>
  <c r="BJ118" i="10"/>
  <c r="BJ130" i="10"/>
  <c r="BJ148" i="10"/>
  <c r="BJ115" i="10"/>
  <c r="BJ124" i="10"/>
  <c r="BJ147" i="10"/>
  <c r="BJ57" i="10"/>
  <c r="BJ11" i="10" s="1"/>
  <c r="BJ149" i="10"/>
  <c r="BK101" i="10"/>
  <c r="BK106" i="10"/>
  <c r="BK104" i="10"/>
  <c r="BK109" i="10"/>
  <c r="BK117" i="10"/>
  <c r="BK114" i="10"/>
  <c r="BK135" i="10"/>
  <c r="BK141" i="10"/>
  <c r="BK139" i="10"/>
  <c r="BK137" i="10"/>
  <c r="BK146" i="10"/>
  <c r="BK57" i="10"/>
  <c r="BK11" i="10" s="1"/>
  <c r="BK133" i="10"/>
  <c r="BK113" i="10"/>
  <c r="BK108" i="10"/>
  <c r="BK111" i="10"/>
  <c r="BK102" i="10"/>
  <c r="BK116" i="10"/>
  <c r="BK123" i="10"/>
  <c r="BK143" i="10"/>
  <c r="BK149" i="10"/>
  <c r="BK147" i="10"/>
  <c r="BK145" i="10"/>
  <c r="BK136" i="10"/>
  <c r="BK142" i="10"/>
  <c r="BK134" i="10"/>
  <c r="BK121" i="10"/>
  <c r="BK112" i="10"/>
  <c r="BK119" i="10"/>
  <c r="BK110" i="10"/>
  <c r="BK115" i="10"/>
  <c r="BK131" i="10"/>
  <c r="BK129" i="10"/>
  <c r="BK126" i="10"/>
  <c r="BK124" i="10"/>
  <c r="BK132" i="10"/>
  <c r="BK144" i="10"/>
  <c r="BK150" i="10"/>
  <c r="BK140" i="10"/>
  <c r="BK107" i="10"/>
  <c r="BK120" i="10"/>
  <c r="BK103" i="10"/>
  <c r="BK118" i="10"/>
  <c r="BK100" i="10"/>
  <c r="BK128" i="10"/>
  <c r="BK105" i="10"/>
  <c r="BK127" i="10"/>
  <c r="BK125" i="10"/>
  <c r="BK138" i="10"/>
  <c r="BK130" i="10"/>
  <c r="BK122" i="10"/>
  <c r="BK148" i="10"/>
  <c r="BL100" i="10"/>
  <c r="BL101" i="10"/>
  <c r="BL105" i="10"/>
  <c r="BL108" i="10"/>
  <c r="BL113" i="10"/>
  <c r="BL132" i="10"/>
  <c r="BL130" i="10"/>
  <c r="BL149" i="10"/>
  <c r="BL147" i="10"/>
  <c r="BL137" i="10"/>
  <c r="BL133" i="10"/>
  <c r="BL144" i="10"/>
  <c r="BL142" i="10"/>
  <c r="BL106" i="10"/>
  <c r="BL109" i="10"/>
  <c r="BL117" i="10"/>
  <c r="BL120" i="10"/>
  <c r="BL121" i="10"/>
  <c r="BL111" i="10"/>
  <c r="BL123" i="10"/>
  <c r="BL118" i="10"/>
  <c r="BL110" i="10"/>
  <c r="BL145" i="10"/>
  <c r="BL135" i="10"/>
  <c r="BL150" i="10"/>
  <c r="BL57" i="10"/>
  <c r="BL11" i="10" s="1"/>
  <c r="BL103" i="10"/>
  <c r="BL102" i="10"/>
  <c r="BL128" i="10"/>
  <c r="BL126" i="10"/>
  <c r="BL112" i="10"/>
  <c r="BL119" i="10"/>
  <c r="BL131" i="10"/>
  <c r="BL129" i="10"/>
  <c r="BL127" i="10"/>
  <c r="BL116" i="10"/>
  <c r="BL143" i="10"/>
  <c r="BL148" i="10"/>
  <c r="BL140" i="10"/>
  <c r="BL104" i="10"/>
  <c r="BL107" i="10"/>
  <c r="BL115" i="10"/>
  <c r="BL134" i="10"/>
  <c r="BL124" i="10"/>
  <c r="BL122" i="10"/>
  <c r="BL141" i="10"/>
  <c r="BL139" i="10"/>
  <c r="BL114" i="10"/>
  <c r="BL125" i="10"/>
  <c r="BL138" i="10"/>
  <c r="BL136" i="10"/>
  <c r="BL146" i="10"/>
  <c r="BM100" i="10"/>
  <c r="BM121" i="10"/>
  <c r="BM120" i="10"/>
  <c r="BM118" i="10"/>
  <c r="BM116" i="10"/>
  <c r="BM115" i="10"/>
  <c r="BM144" i="10"/>
  <c r="BM142" i="10"/>
  <c r="BM148" i="10"/>
  <c r="BM138" i="10"/>
  <c r="BM147" i="10"/>
  <c r="BM132" i="10"/>
  <c r="BM141" i="10"/>
  <c r="BM114" i="10"/>
  <c r="BM106" i="10"/>
  <c r="BM111" i="10"/>
  <c r="BM107" i="10"/>
  <c r="BM104" i="10"/>
  <c r="BM102" i="10"/>
  <c r="BM122" i="10"/>
  <c r="BM150" i="10"/>
  <c r="BM127" i="10"/>
  <c r="BM146" i="10"/>
  <c r="BM137" i="10"/>
  <c r="BM135" i="10"/>
  <c r="BM149" i="10"/>
  <c r="BM101" i="10"/>
  <c r="BM108" i="10"/>
  <c r="BM119" i="10"/>
  <c r="BM117" i="10"/>
  <c r="BM103" i="10"/>
  <c r="BM124" i="10"/>
  <c r="BM130" i="10"/>
  <c r="BM128" i="10"/>
  <c r="BM133" i="10"/>
  <c r="BM125" i="10"/>
  <c r="BM145" i="10"/>
  <c r="BM143" i="10"/>
  <c r="BM123" i="10"/>
  <c r="BM113" i="10"/>
  <c r="BM112" i="10"/>
  <c r="BM110" i="10"/>
  <c r="BM105" i="10"/>
  <c r="BM109" i="10"/>
  <c r="BM136" i="10"/>
  <c r="BM129" i="10"/>
  <c r="BM140" i="10"/>
  <c r="BM126" i="10"/>
  <c r="BM139" i="10"/>
  <c r="BM134" i="10"/>
  <c r="BM57" i="10"/>
  <c r="BM11" i="10" s="1"/>
  <c r="BM131" i="10"/>
  <c r="BN101" i="10"/>
  <c r="BN102" i="10"/>
  <c r="BN106" i="10"/>
  <c r="BN116" i="10"/>
  <c r="BN121" i="10"/>
  <c r="BN120" i="10"/>
  <c r="BN117" i="10"/>
  <c r="BN122" i="10"/>
  <c r="BN119" i="10"/>
  <c r="BN146" i="10"/>
  <c r="BN115" i="10"/>
  <c r="BN139" i="10"/>
  <c r="BN149" i="10"/>
  <c r="BN107" i="10"/>
  <c r="BN103" i="10"/>
  <c r="BN110" i="10"/>
  <c r="BN127" i="10"/>
  <c r="BN125" i="10"/>
  <c r="BN113" i="10"/>
  <c r="BN124" i="10"/>
  <c r="BN130" i="10"/>
  <c r="BN128" i="10"/>
  <c r="BN111" i="10"/>
  <c r="BN136" i="10"/>
  <c r="BN145" i="10"/>
  <c r="BN137" i="10"/>
  <c r="BN104" i="10"/>
  <c r="BN100" i="10"/>
  <c r="BN118" i="10"/>
  <c r="BN135" i="10"/>
  <c r="BN133" i="10"/>
  <c r="BN123" i="10"/>
  <c r="BN142" i="10"/>
  <c r="BN140" i="10"/>
  <c r="BN134" i="10"/>
  <c r="BN126" i="10"/>
  <c r="BN144" i="10"/>
  <c r="BN132" i="10"/>
  <c r="BN143" i="10"/>
  <c r="BN105" i="10"/>
  <c r="BN108" i="10"/>
  <c r="BN129" i="10"/>
  <c r="BN114" i="10"/>
  <c r="BN112" i="10"/>
  <c r="BN131" i="10"/>
  <c r="BN150" i="10"/>
  <c r="BN148" i="10"/>
  <c r="BN138" i="10"/>
  <c r="BN109" i="10"/>
  <c r="BN147" i="10"/>
  <c r="BN57" i="10"/>
  <c r="BN11" i="10" s="1"/>
  <c r="BN141" i="10"/>
  <c r="BO101" i="10"/>
  <c r="BO106" i="10"/>
  <c r="BO100" i="10"/>
  <c r="BO102" i="10"/>
  <c r="BO118" i="10"/>
  <c r="BO125" i="10"/>
  <c r="BO123" i="10"/>
  <c r="BO134" i="10"/>
  <c r="BO141" i="10"/>
  <c r="BO139" i="10"/>
  <c r="BO148" i="10"/>
  <c r="BO146" i="10"/>
  <c r="BO57" i="10"/>
  <c r="BO11" i="10" s="1"/>
  <c r="BO109" i="10"/>
  <c r="BO113" i="10"/>
  <c r="BO104" i="10"/>
  <c r="BO111" i="10"/>
  <c r="BO117" i="10"/>
  <c r="BO137" i="10"/>
  <c r="BO131" i="10"/>
  <c r="BO129" i="10"/>
  <c r="BO149" i="10"/>
  <c r="BO147" i="10"/>
  <c r="BO124" i="10"/>
  <c r="BO135" i="10"/>
  <c r="BO142" i="10"/>
  <c r="BO115" i="10"/>
  <c r="BO121" i="10"/>
  <c r="BO112" i="10"/>
  <c r="BO119" i="10"/>
  <c r="BO108" i="10"/>
  <c r="BO145" i="10"/>
  <c r="BO132" i="10"/>
  <c r="BO107" i="10"/>
  <c r="BO127" i="10"/>
  <c r="BO128" i="10"/>
  <c r="BO133" i="10"/>
  <c r="BO136" i="10"/>
  <c r="BO150" i="10"/>
  <c r="BO114" i="10"/>
  <c r="BO105" i="10"/>
  <c r="BO120" i="10"/>
  <c r="BO110" i="10"/>
  <c r="BO116" i="10"/>
  <c r="BO126" i="10"/>
  <c r="BO143" i="10"/>
  <c r="BO130" i="10"/>
  <c r="BO122" i="10"/>
  <c r="BO140" i="10"/>
  <c r="BO138" i="10"/>
  <c r="BO144" i="10"/>
  <c r="BO103" i="10"/>
  <c r="BP100" i="10"/>
  <c r="BP104" i="10"/>
  <c r="BP107" i="10"/>
  <c r="BP122" i="10"/>
  <c r="BP128" i="10"/>
  <c r="BP113" i="10"/>
  <c r="BP112" i="10"/>
  <c r="BP118" i="10"/>
  <c r="BP141" i="10"/>
  <c r="BP139" i="10"/>
  <c r="BP137" i="10"/>
  <c r="BP148" i="10"/>
  <c r="BP57" i="10"/>
  <c r="BP11" i="10" s="1"/>
  <c r="BP105" i="10"/>
  <c r="BP101" i="10"/>
  <c r="BP111" i="10"/>
  <c r="BP130" i="10"/>
  <c r="BP115" i="10"/>
  <c r="BP121" i="10"/>
  <c r="BP125" i="10"/>
  <c r="BP123" i="10"/>
  <c r="BP149" i="10"/>
  <c r="BP147" i="10"/>
  <c r="BP145" i="10"/>
  <c r="BP133" i="10"/>
  <c r="BP150" i="10"/>
  <c r="BP106" i="10"/>
  <c r="BP109" i="10"/>
  <c r="BP119" i="10"/>
  <c r="BP117" i="10"/>
  <c r="BP126" i="10"/>
  <c r="BP124" i="10"/>
  <c r="BP143" i="10"/>
  <c r="BP131" i="10"/>
  <c r="BP110" i="10"/>
  <c r="BP120" i="10"/>
  <c r="BP142" i="10"/>
  <c r="BP140" i="10"/>
  <c r="BP138" i="10"/>
  <c r="BP103" i="10"/>
  <c r="BP102" i="10"/>
  <c r="BP114" i="10"/>
  <c r="BP108" i="10"/>
  <c r="BP134" i="10"/>
  <c r="BP132" i="10"/>
  <c r="BP116" i="10"/>
  <c r="BP135" i="10"/>
  <c r="BP129" i="10"/>
  <c r="BP127" i="10"/>
  <c r="BP136" i="10"/>
  <c r="BP146" i="10"/>
  <c r="BP144" i="10"/>
  <c r="BQ100" i="10"/>
  <c r="BQ115" i="10"/>
  <c r="BQ112" i="10"/>
  <c r="BQ111" i="10"/>
  <c r="BQ118" i="10"/>
  <c r="BQ126" i="10"/>
  <c r="BQ146" i="10"/>
  <c r="BQ104" i="10"/>
  <c r="BQ127" i="10"/>
  <c r="BQ150" i="10"/>
  <c r="BQ140" i="10"/>
  <c r="BQ149" i="10"/>
  <c r="BQ137" i="10"/>
  <c r="BQ103" i="10"/>
  <c r="BQ114" i="10"/>
  <c r="BQ120" i="10"/>
  <c r="BQ119" i="10"/>
  <c r="BQ106" i="10"/>
  <c r="BQ123" i="10"/>
  <c r="BQ129" i="10"/>
  <c r="BQ124" i="10"/>
  <c r="BQ122" i="10"/>
  <c r="BQ108" i="10"/>
  <c r="BQ148" i="10"/>
  <c r="BQ139" i="10"/>
  <c r="BQ145" i="10"/>
  <c r="BQ116" i="10"/>
  <c r="BQ113" i="10"/>
  <c r="BQ109" i="10"/>
  <c r="BQ107" i="10"/>
  <c r="BQ105" i="10"/>
  <c r="BQ133" i="10"/>
  <c r="BQ132" i="10"/>
  <c r="BQ136" i="10"/>
  <c r="BQ130" i="10"/>
  <c r="BQ128" i="10"/>
  <c r="BQ134" i="10"/>
  <c r="BQ147" i="10"/>
  <c r="BQ143" i="10"/>
  <c r="BQ102" i="10"/>
  <c r="BQ121" i="10"/>
  <c r="BQ101" i="10"/>
  <c r="BQ110" i="10"/>
  <c r="BQ117" i="10"/>
  <c r="BQ138" i="10"/>
  <c r="BQ135" i="10"/>
  <c r="BQ144" i="10"/>
  <c r="BQ142" i="10"/>
  <c r="BQ131" i="10"/>
  <c r="BQ141" i="10"/>
  <c r="BQ125" i="10"/>
  <c r="BQ57" i="10"/>
  <c r="BQ11" i="10" s="1"/>
  <c r="BR101" i="10"/>
  <c r="BR105" i="10"/>
  <c r="BR108" i="10"/>
  <c r="BR123" i="10"/>
  <c r="BR115" i="10"/>
  <c r="BR135" i="10"/>
  <c r="BR121" i="10"/>
  <c r="BR113" i="10"/>
  <c r="BR119" i="10"/>
  <c r="BR148" i="10"/>
  <c r="BR146" i="10"/>
  <c r="BR143" i="10"/>
  <c r="BR57" i="10"/>
  <c r="BR11" i="10" s="1"/>
  <c r="BR106" i="10"/>
  <c r="BR102" i="10"/>
  <c r="BR112" i="10"/>
  <c r="BR131" i="10"/>
  <c r="BR129" i="10"/>
  <c r="BR114" i="10"/>
  <c r="BR126" i="10"/>
  <c r="BR124" i="10"/>
  <c r="BR122" i="10"/>
  <c r="BR111" i="10"/>
  <c r="BR117" i="10"/>
  <c r="BR134" i="10"/>
  <c r="BR132" i="10"/>
  <c r="BR107" i="10"/>
  <c r="BR103" i="10"/>
  <c r="BR120" i="10"/>
  <c r="BR110" i="10"/>
  <c r="BR116" i="10"/>
  <c r="BR125" i="10"/>
  <c r="BR136" i="10"/>
  <c r="BR142" i="10"/>
  <c r="BR130" i="10"/>
  <c r="BR128" i="10"/>
  <c r="BR139" i="10"/>
  <c r="BR137" i="10"/>
  <c r="BR141" i="10"/>
  <c r="BR104" i="10"/>
  <c r="BR100" i="10"/>
  <c r="BR109" i="10"/>
  <c r="BR118" i="10"/>
  <c r="BR127" i="10"/>
  <c r="BR133" i="10"/>
  <c r="BR144" i="10"/>
  <c r="BR150" i="10"/>
  <c r="BR140" i="10"/>
  <c r="BR138" i="10"/>
  <c r="BR145" i="10"/>
  <c r="BR149" i="10"/>
  <c r="BR147" i="10"/>
  <c r="BS101" i="10"/>
  <c r="BS115" i="10"/>
  <c r="BS104" i="10"/>
  <c r="BS103" i="10"/>
  <c r="BS111" i="10"/>
  <c r="BS127" i="10"/>
  <c r="BS124" i="10"/>
  <c r="BS123" i="10"/>
  <c r="BS122" i="10"/>
  <c r="BS134" i="10"/>
  <c r="BS142" i="10"/>
  <c r="BS148" i="10"/>
  <c r="BS135" i="10"/>
  <c r="BS117" i="10"/>
  <c r="BS107" i="10"/>
  <c r="BS108" i="10"/>
  <c r="BS102" i="10"/>
  <c r="BS119" i="10"/>
  <c r="BS139" i="10"/>
  <c r="BS137" i="10"/>
  <c r="BS131" i="10"/>
  <c r="BS128" i="10"/>
  <c r="BS141" i="10"/>
  <c r="BS150" i="10"/>
  <c r="BS138" i="10"/>
  <c r="BS136" i="10"/>
  <c r="BS116" i="10"/>
  <c r="BS106" i="10"/>
  <c r="BS113" i="10"/>
  <c r="BS112" i="10"/>
  <c r="BS110" i="10"/>
  <c r="BS147" i="10"/>
  <c r="BS145" i="10"/>
  <c r="BS105" i="10"/>
  <c r="BS100" i="10"/>
  <c r="BS149" i="10"/>
  <c r="BS132" i="10"/>
  <c r="BS146" i="10"/>
  <c r="BS144" i="10"/>
  <c r="BS109" i="10"/>
  <c r="BS114" i="10"/>
  <c r="BS121" i="10"/>
  <c r="BS120" i="10"/>
  <c r="BS118" i="10"/>
  <c r="BS125" i="10"/>
  <c r="BS130" i="10"/>
  <c r="BS143" i="10"/>
  <c r="BS129" i="10"/>
  <c r="BS133" i="10"/>
  <c r="BS140" i="10"/>
  <c r="BS126" i="10"/>
  <c r="BS57" i="10"/>
  <c r="BS11" i="10" s="1"/>
  <c r="BT100" i="10"/>
  <c r="BT106" i="10"/>
  <c r="BT109" i="10"/>
  <c r="BT124" i="10"/>
  <c r="BT122" i="10"/>
  <c r="BT128" i="10"/>
  <c r="BT112" i="10"/>
  <c r="BT145" i="10"/>
  <c r="BT123" i="10"/>
  <c r="BT120" i="10"/>
  <c r="BT147" i="10"/>
  <c r="BT140" i="10"/>
  <c r="BT138" i="10"/>
  <c r="BT102" i="10"/>
  <c r="BT103" i="10"/>
  <c r="BT108" i="10"/>
  <c r="BT132" i="10"/>
  <c r="BT130" i="10"/>
  <c r="BT115" i="10"/>
  <c r="BT127" i="10"/>
  <c r="BT125" i="10"/>
  <c r="BT131" i="10"/>
  <c r="BT129" i="10"/>
  <c r="BT135" i="10"/>
  <c r="BT146" i="10"/>
  <c r="BT136" i="10"/>
  <c r="BT107" i="10"/>
  <c r="BT104" i="10"/>
  <c r="BT113" i="10"/>
  <c r="BT111" i="10"/>
  <c r="BT117" i="10"/>
  <c r="BT126" i="10"/>
  <c r="BT110" i="10"/>
  <c r="BT143" i="10"/>
  <c r="BT141" i="10"/>
  <c r="BT118" i="10"/>
  <c r="BT142" i="10"/>
  <c r="BT133" i="10"/>
  <c r="BT150" i="10"/>
  <c r="BT105" i="10"/>
  <c r="BT101" i="10"/>
  <c r="BT121" i="10"/>
  <c r="BT119" i="10"/>
  <c r="BT116" i="10"/>
  <c r="BT134" i="10"/>
  <c r="BT137" i="10"/>
  <c r="BT114" i="10"/>
  <c r="BT149" i="10"/>
  <c r="BT139" i="10"/>
  <c r="BT148" i="10"/>
  <c r="BT144" i="10"/>
  <c r="BT57" i="10"/>
  <c r="BT11" i="10" s="1"/>
  <c r="BU100" i="10"/>
  <c r="BU104" i="10"/>
  <c r="BU116" i="10"/>
  <c r="BU113" i="10"/>
  <c r="BU107" i="10"/>
  <c r="BU102" i="10"/>
  <c r="BU101" i="10"/>
  <c r="BU124" i="10"/>
  <c r="BU136" i="10"/>
  <c r="BU122" i="10"/>
  <c r="BU123" i="10"/>
  <c r="BU141" i="10"/>
  <c r="BU147" i="10"/>
  <c r="BU105" i="10"/>
  <c r="BU103" i="10"/>
  <c r="BU115" i="10"/>
  <c r="BU121" i="10"/>
  <c r="BU111" i="10"/>
  <c r="BU140" i="10"/>
  <c r="BU138" i="10"/>
  <c r="BU125" i="10"/>
  <c r="BU144" i="10"/>
  <c r="BU130" i="10"/>
  <c r="BU129" i="10"/>
  <c r="BU149" i="10"/>
  <c r="BU57" i="10"/>
  <c r="BU11" i="10" s="1"/>
  <c r="BU110" i="10"/>
  <c r="BU117" i="10"/>
  <c r="BU114" i="10"/>
  <c r="BU112" i="10"/>
  <c r="BU119" i="10"/>
  <c r="BU148" i="10"/>
  <c r="BU146" i="10"/>
  <c r="BU132" i="10"/>
  <c r="BU131" i="10"/>
  <c r="BU142" i="10"/>
  <c r="BU143" i="10"/>
  <c r="BU127" i="10"/>
  <c r="BU137" i="10"/>
  <c r="BU118" i="10"/>
  <c r="BU109" i="10"/>
  <c r="BU108" i="10"/>
  <c r="BU120" i="10"/>
  <c r="BU128" i="10"/>
  <c r="BU126" i="10"/>
  <c r="BU106" i="10"/>
  <c r="BU135" i="10"/>
  <c r="BU134" i="10"/>
  <c r="BU150" i="10"/>
  <c r="BU133" i="10"/>
  <c r="BU139" i="10"/>
  <c r="BU145" i="10"/>
  <c r="BV103" i="10"/>
  <c r="BV106" i="10"/>
  <c r="BV102" i="10"/>
  <c r="BV112" i="10"/>
  <c r="BV110" i="10"/>
  <c r="BV116" i="10"/>
  <c r="BV121" i="10"/>
  <c r="BV146" i="10"/>
  <c r="BV136" i="10"/>
  <c r="BV142" i="10"/>
  <c r="BV130" i="10"/>
  <c r="BV134" i="10"/>
  <c r="BV147" i="10"/>
  <c r="BV100" i="10"/>
  <c r="BV107" i="10"/>
  <c r="BV114" i="10"/>
  <c r="BV120" i="10"/>
  <c r="BV118" i="10"/>
  <c r="BV117" i="10"/>
  <c r="BV128" i="10"/>
  <c r="BV113" i="10"/>
  <c r="BV144" i="10"/>
  <c r="BV150" i="10"/>
  <c r="BV140" i="10"/>
  <c r="BV143" i="10"/>
  <c r="BV145" i="10"/>
  <c r="BV108" i="10"/>
  <c r="BV104" i="10"/>
  <c r="BV125" i="10"/>
  <c r="BV123" i="10"/>
  <c r="BV129" i="10"/>
  <c r="BV127" i="10"/>
  <c r="BV119" i="10"/>
  <c r="BV126" i="10"/>
  <c r="BV111" i="10"/>
  <c r="BV115" i="10"/>
  <c r="BV148" i="10"/>
  <c r="BV149" i="10"/>
  <c r="BV139" i="10"/>
  <c r="BV101" i="10"/>
  <c r="BV105" i="10"/>
  <c r="BV133" i="10"/>
  <c r="BV131" i="10"/>
  <c r="BV109" i="10"/>
  <c r="BV135" i="10"/>
  <c r="BV138" i="10"/>
  <c r="BV132" i="10"/>
  <c r="BV124" i="10"/>
  <c r="BV122" i="10"/>
  <c r="BV137" i="10"/>
  <c r="BV141" i="10"/>
  <c r="BV57" i="10"/>
  <c r="BV11" i="10" s="1"/>
  <c r="BW101" i="10"/>
  <c r="BW118" i="10"/>
  <c r="BW100" i="10"/>
  <c r="BW104" i="10"/>
  <c r="BW121" i="10"/>
  <c r="BW129" i="10"/>
  <c r="BW130" i="10"/>
  <c r="BW147" i="10"/>
  <c r="BW137" i="10"/>
  <c r="BW108" i="10"/>
  <c r="BW132" i="10"/>
  <c r="BW142" i="10"/>
  <c r="BW128" i="10"/>
  <c r="BW111" i="10"/>
  <c r="BW117" i="10"/>
  <c r="BW106" i="10"/>
  <c r="BW114" i="10"/>
  <c r="BW112" i="10"/>
  <c r="BW141" i="10"/>
  <c r="BW127" i="10"/>
  <c r="BW135" i="10"/>
  <c r="BW145" i="10"/>
  <c r="BW126" i="10"/>
  <c r="BW136" i="10"/>
  <c r="BW150" i="10"/>
  <c r="BW57" i="10"/>
  <c r="BW11" i="10" s="1"/>
  <c r="BW119" i="10"/>
  <c r="BW109" i="10"/>
  <c r="BW115" i="10"/>
  <c r="BW102" i="10"/>
  <c r="BW120" i="10"/>
  <c r="BW149" i="10"/>
  <c r="BW133" i="10"/>
  <c r="BW122" i="10"/>
  <c r="BW123" i="10"/>
  <c r="BW143" i="10"/>
  <c r="BW144" i="10"/>
  <c r="BW140" i="10"/>
  <c r="BW138" i="10"/>
  <c r="BW110" i="10"/>
  <c r="BW116" i="10"/>
  <c r="BW105" i="10"/>
  <c r="BW113" i="10"/>
  <c r="BW103" i="10"/>
  <c r="BW124" i="10"/>
  <c r="BW139" i="10"/>
  <c r="BW125" i="10"/>
  <c r="BW131" i="10"/>
  <c r="BW107" i="10"/>
  <c r="BW134" i="10"/>
  <c r="BW148" i="10"/>
  <c r="BW146" i="10"/>
  <c r="BX100" i="10"/>
  <c r="BX102" i="10"/>
  <c r="BX103" i="10"/>
  <c r="BX134" i="10"/>
  <c r="BX124" i="10"/>
  <c r="BX122" i="10"/>
  <c r="BX128" i="10"/>
  <c r="BX139" i="10"/>
  <c r="BX145" i="10"/>
  <c r="BX143" i="10"/>
  <c r="BX149" i="10"/>
  <c r="BX57" i="10"/>
  <c r="BX11" i="10" s="1"/>
  <c r="BX150" i="10"/>
  <c r="BX104" i="10"/>
  <c r="BX107" i="10"/>
  <c r="BX115" i="10"/>
  <c r="BX113" i="10"/>
  <c r="BX132" i="10"/>
  <c r="BX130" i="10"/>
  <c r="BX116" i="10"/>
  <c r="BX147" i="10"/>
  <c r="BX120" i="10"/>
  <c r="BX123" i="10"/>
  <c r="BX135" i="10"/>
  <c r="BX112" i="10"/>
  <c r="BX136" i="10"/>
  <c r="BX101" i="10"/>
  <c r="BX105" i="10"/>
  <c r="BX118" i="10"/>
  <c r="BX121" i="10"/>
  <c r="BX111" i="10"/>
  <c r="BX108" i="10"/>
  <c r="BX129" i="10"/>
  <c r="BX127" i="10"/>
  <c r="BX114" i="10"/>
  <c r="BX131" i="10"/>
  <c r="BX146" i="10"/>
  <c r="BX138" i="10"/>
  <c r="BX142" i="10"/>
  <c r="BX109" i="10"/>
  <c r="BX106" i="10"/>
  <c r="BX126" i="10"/>
  <c r="BX110" i="10"/>
  <c r="BX119" i="10"/>
  <c r="BX117" i="10"/>
  <c r="BX133" i="10"/>
  <c r="BX137" i="10"/>
  <c r="BX125" i="10"/>
  <c r="BX141" i="10"/>
  <c r="BX140" i="10"/>
  <c r="BX144" i="10"/>
  <c r="BX148" i="10"/>
  <c r="BY100" i="10"/>
  <c r="BY106" i="10"/>
  <c r="BY103" i="10"/>
  <c r="BY108" i="10"/>
  <c r="BY101" i="10"/>
  <c r="BY122" i="10"/>
  <c r="BY142" i="10"/>
  <c r="BY140" i="10"/>
  <c r="BY109" i="10"/>
  <c r="BY123" i="10"/>
  <c r="BY137" i="10"/>
  <c r="BY143" i="10"/>
  <c r="BY133" i="10"/>
  <c r="BY107" i="10"/>
  <c r="BY105" i="10"/>
  <c r="BY110" i="10"/>
  <c r="BY117" i="10"/>
  <c r="BY114" i="10"/>
  <c r="BY130" i="10"/>
  <c r="BY150" i="10"/>
  <c r="BY148" i="10"/>
  <c r="BY126" i="10"/>
  <c r="BY124" i="10"/>
  <c r="BY145" i="10"/>
  <c r="BY57" i="10"/>
  <c r="BY11" i="10" s="1"/>
  <c r="BY139" i="10"/>
  <c r="BY112" i="10"/>
  <c r="BY111" i="10"/>
  <c r="BY118" i="10"/>
  <c r="BY116" i="10"/>
  <c r="BY113" i="10"/>
  <c r="BY127" i="10"/>
  <c r="BY128" i="10"/>
  <c r="BY125" i="10"/>
  <c r="BY138" i="10"/>
  <c r="BY136" i="10"/>
  <c r="BY132" i="10"/>
  <c r="BY141" i="10"/>
  <c r="BY147" i="10"/>
  <c r="BY120" i="10"/>
  <c r="BY119" i="10"/>
  <c r="BY102" i="10"/>
  <c r="BY115" i="10"/>
  <c r="BY121" i="10"/>
  <c r="BY134" i="10"/>
  <c r="BY104" i="10"/>
  <c r="BY131" i="10"/>
  <c r="BY146" i="10"/>
  <c r="BY144" i="10"/>
  <c r="BY135" i="10"/>
  <c r="BY149" i="10"/>
  <c r="BY129" i="10"/>
  <c r="BZ105" i="10"/>
  <c r="BZ108" i="10"/>
  <c r="BZ104" i="10"/>
  <c r="BZ114" i="10"/>
  <c r="BZ109" i="10"/>
  <c r="BZ123" i="10"/>
  <c r="BZ129" i="10"/>
  <c r="BZ140" i="10"/>
  <c r="BZ138" i="10"/>
  <c r="BZ144" i="10"/>
  <c r="BZ134" i="10"/>
  <c r="BZ143" i="10"/>
  <c r="BZ147" i="10"/>
  <c r="BZ102" i="10"/>
  <c r="BZ101" i="10"/>
  <c r="BZ116" i="10"/>
  <c r="BZ119" i="10"/>
  <c r="BZ112" i="10"/>
  <c r="BZ131" i="10"/>
  <c r="BZ122" i="10"/>
  <c r="BZ148" i="10"/>
  <c r="BZ146" i="10"/>
  <c r="BZ115" i="10"/>
  <c r="BZ142" i="10"/>
  <c r="BZ149" i="10"/>
  <c r="BZ141" i="10"/>
  <c r="BZ103" i="10"/>
  <c r="BZ106" i="10"/>
  <c r="BZ127" i="10"/>
  <c r="BZ125" i="10"/>
  <c r="BZ120" i="10"/>
  <c r="BZ110" i="10"/>
  <c r="BZ130" i="10"/>
  <c r="BZ117" i="10"/>
  <c r="BZ126" i="10"/>
  <c r="BZ124" i="10"/>
  <c r="BZ150" i="10"/>
  <c r="BZ57" i="10"/>
  <c r="BZ11" i="10" s="1"/>
  <c r="BZ139" i="10"/>
  <c r="BZ100" i="10"/>
  <c r="BZ107" i="10"/>
  <c r="BZ135" i="10"/>
  <c r="BZ133" i="10"/>
  <c r="BZ111" i="10"/>
  <c r="BZ118" i="10"/>
  <c r="BZ113" i="10"/>
  <c r="BZ128" i="10"/>
  <c r="BZ136" i="10"/>
  <c r="BZ132" i="10"/>
  <c r="BZ137" i="10"/>
  <c r="BZ121" i="10"/>
  <c r="BZ145" i="10"/>
  <c r="CA101" i="10"/>
  <c r="CA109" i="10"/>
  <c r="CA111" i="10"/>
  <c r="CA117" i="10"/>
  <c r="CA104" i="10"/>
  <c r="CA108" i="10"/>
  <c r="CA143" i="10"/>
  <c r="CA149" i="10"/>
  <c r="CA126" i="10"/>
  <c r="CA137" i="10"/>
  <c r="CA146" i="10"/>
  <c r="CA57" i="10"/>
  <c r="CA11" i="10" s="1"/>
  <c r="CA140" i="10"/>
  <c r="CA113" i="10"/>
  <c r="CA112" i="10"/>
  <c r="CA119" i="10"/>
  <c r="CA107" i="10"/>
  <c r="CA115" i="10"/>
  <c r="CA114" i="10"/>
  <c r="CA129" i="10"/>
  <c r="CA127" i="10"/>
  <c r="CA132" i="10"/>
  <c r="CA145" i="10"/>
  <c r="CA136" i="10"/>
  <c r="CA134" i="10"/>
  <c r="CA148" i="10"/>
  <c r="CA121" i="10"/>
  <c r="CA120" i="10"/>
  <c r="CA110" i="10"/>
  <c r="CA106" i="10"/>
  <c r="CA103" i="10"/>
  <c r="CA123" i="10"/>
  <c r="CA128" i="10"/>
  <c r="CA139" i="10"/>
  <c r="CA125" i="10"/>
  <c r="CA124" i="10"/>
  <c r="CA144" i="10"/>
  <c r="CA142" i="10"/>
  <c r="CA122" i="10"/>
  <c r="CA100" i="10"/>
  <c r="CA105" i="10"/>
  <c r="CA118" i="10"/>
  <c r="CA116" i="10"/>
  <c r="CA102" i="10"/>
  <c r="CA131" i="10"/>
  <c r="CA141" i="10"/>
  <c r="CA147" i="10"/>
  <c r="CA135" i="10"/>
  <c r="CA138" i="10"/>
  <c r="CA130" i="10"/>
  <c r="CA150" i="10"/>
  <c r="CA133" i="10"/>
  <c r="CB100" i="10"/>
  <c r="CB101" i="10"/>
  <c r="CB105" i="10"/>
  <c r="CB126" i="10"/>
  <c r="CB120" i="10"/>
  <c r="CB119" i="10"/>
  <c r="CB116" i="10"/>
  <c r="CB149" i="10"/>
  <c r="CB147" i="10"/>
  <c r="CB135" i="10"/>
  <c r="CB125" i="10"/>
  <c r="CB138" i="10"/>
  <c r="CB148" i="10"/>
  <c r="CB106" i="10"/>
  <c r="CB109" i="10"/>
  <c r="CB117" i="10"/>
  <c r="CB134" i="10"/>
  <c r="CB124" i="10"/>
  <c r="CB112" i="10"/>
  <c r="CB123" i="10"/>
  <c r="CB129" i="10"/>
  <c r="CB118" i="10"/>
  <c r="CB137" i="10"/>
  <c r="CB143" i="10"/>
  <c r="CB144" i="10"/>
  <c r="CB136" i="10"/>
  <c r="CB103" i="10"/>
  <c r="CB102" i="10"/>
  <c r="CB128" i="10"/>
  <c r="CB113" i="10"/>
  <c r="CB132" i="10"/>
  <c r="CB122" i="10"/>
  <c r="CB131" i="10"/>
  <c r="CB114" i="10"/>
  <c r="CB127" i="10"/>
  <c r="CB145" i="10"/>
  <c r="CB108" i="10"/>
  <c r="CB150" i="10"/>
  <c r="CB142" i="10"/>
  <c r="CB104" i="10"/>
  <c r="CB107" i="10"/>
  <c r="CB115" i="10"/>
  <c r="CB121" i="10"/>
  <c r="CB111" i="10"/>
  <c r="CB130" i="10"/>
  <c r="CB141" i="10"/>
  <c r="CB139" i="10"/>
  <c r="CB133" i="10"/>
  <c r="CB110" i="10"/>
  <c r="CB146" i="10"/>
  <c r="CB57" i="10"/>
  <c r="CB11" i="10" s="1"/>
  <c r="CB140" i="10"/>
  <c r="CC100" i="10"/>
  <c r="CC113" i="10"/>
  <c r="CC120" i="10"/>
  <c r="CC111" i="10"/>
  <c r="CC109" i="10"/>
  <c r="CC124" i="10"/>
  <c r="CC122" i="10"/>
  <c r="CC133" i="10"/>
  <c r="CC140" i="10"/>
  <c r="CC146" i="10"/>
  <c r="CC123" i="10"/>
  <c r="CC145" i="10"/>
  <c r="CC57" i="10"/>
  <c r="CC11" i="10" s="1"/>
  <c r="CC108" i="10"/>
  <c r="CC121" i="10"/>
  <c r="CC101" i="10"/>
  <c r="CC119" i="10"/>
  <c r="CC117" i="10"/>
  <c r="CC136" i="10"/>
  <c r="CC130" i="10"/>
  <c r="CC128" i="10"/>
  <c r="CC148" i="10"/>
  <c r="CC127" i="10"/>
  <c r="CC132" i="10"/>
  <c r="CC143" i="10"/>
  <c r="CC141" i="10"/>
  <c r="CC114" i="10"/>
  <c r="CC105" i="10"/>
  <c r="CC104" i="10"/>
  <c r="CC110" i="10"/>
  <c r="CC116" i="10"/>
  <c r="CC144" i="10"/>
  <c r="CC142" i="10"/>
  <c r="CC106" i="10"/>
  <c r="CC126" i="10"/>
  <c r="CC139" i="10"/>
  <c r="CC135" i="10"/>
  <c r="CC102" i="10"/>
  <c r="CC149" i="10"/>
  <c r="CC107" i="10"/>
  <c r="CC112" i="10"/>
  <c r="CC103" i="10"/>
  <c r="CC118" i="10"/>
  <c r="CC115" i="10"/>
  <c r="CC125" i="10"/>
  <c r="CC150" i="10"/>
  <c r="CC129" i="10"/>
  <c r="CC138" i="10"/>
  <c r="CC147" i="10"/>
  <c r="CC137" i="10"/>
  <c r="CC131" i="10"/>
  <c r="CC134" i="10"/>
  <c r="CD107" i="10"/>
  <c r="CD103" i="10"/>
  <c r="CD106" i="10"/>
  <c r="CD129" i="10"/>
  <c r="CD114" i="10"/>
  <c r="CD120" i="10"/>
  <c r="CD111" i="10"/>
  <c r="CD117" i="10"/>
  <c r="CD140" i="10"/>
  <c r="CD138" i="10"/>
  <c r="CD126" i="10"/>
  <c r="CD147" i="10"/>
  <c r="CD149" i="10"/>
  <c r="CD104" i="10"/>
  <c r="CD100" i="10"/>
  <c r="CD110" i="10"/>
  <c r="CD116" i="10"/>
  <c r="CD125" i="10"/>
  <c r="CD121" i="10"/>
  <c r="CD124" i="10"/>
  <c r="CD122" i="10"/>
  <c r="CD148" i="10"/>
  <c r="CD146" i="10"/>
  <c r="CD136" i="10"/>
  <c r="CD57" i="10"/>
  <c r="CD11" i="10" s="1"/>
  <c r="CD132" i="10"/>
  <c r="CD105" i="10"/>
  <c r="CD108" i="10"/>
  <c r="CD118" i="10"/>
  <c r="CD127" i="10"/>
  <c r="CD133" i="10"/>
  <c r="CD123" i="10"/>
  <c r="CD142" i="10"/>
  <c r="CD130" i="10"/>
  <c r="CD109" i="10"/>
  <c r="CD115" i="10"/>
  <c r="CD144" i="10"/>
  <c r="CD139" i="10"/>
  <c r="CD137" i="10"/>
  <c r="CD102" i="10"/>
  <c r="CD101" i="10"/>
  <c r="CD113" i="10"/>
  <c r="CD135" i="10"/>
  <c r="CD112" i="10"/>
  <c r="CD131" i="10"/>
  <c r="CD150" i="10"/>
  <c r="CD134" i="10"/>
  <c r="CD128" i="10"/>
  <c r="CD119" i="10"/>
  <c r="CD141" i="10"/>
  <c r="CD145" i="10"/>
  <c r="CD143" i="10"/>
  <c r="CE101" i="10"/>
  <c r="CE113" i="10"/>
  <c r="CE107" i="10"/>
  <c r="CE100" i="10"/>
  <c r="CE109" i="10"/>
  <c r="CE116" i="10"/>
  <c r="CE137" i="10"/>
  <c r="CE103" i="10"/>
  <c r="CE126" i="10"/>
  <c r="CE127" i="10"/>
  <c r="CE133" i="10"/>
  <c r="CE146" i="10"/>
  <c r="CE57" i="10"/>
  <c r="CE11" i="10" s="1"/>
  <c r="CE102" i="10"/>
  <c r="CE121" i="10"/>
  <c r="CE111" i="10"/>
  <c r="CE110" i="10"/>
  <c r="CE117" i="10"/>
  <c r="CE125" i="10"/>
  <c r="CE145" i="10"/>
  <c r="CE123" i="10"/>
  <c r="CE129" i="10"/>
  <c r="CE130" i="10"/>
  <c r="CE140" i="10"/>
  <c r="CE124" i="10"/>
  <c r="CE142" i="10"/>
  <c r="CE115" i="10"/>
  <c r="CE112" i="10"/>
  <c r="CE119" i="10"/>
  <c r="CE118" i="10"/>
  <c r="CE105" i="10"/>
  <c r="CE122" i="10"/>
  <c r="CE128" i="10"/>
  <c r="CE131" i="10"/>
  <c r="CE141" i="10"/>
  <c r="CE139" i="10"/>
  <c r="CE148" i="10"/>
  <c r="CE136" i="10"/>
  <c r="CE150" i="10"/>
  <c r="CE114" i="10"/>
  <c r="CE120" i="10"/>
  <c r="CE108" i="10"/>
  <c r="CE106" i="10"/>
  <c r="CE104" i="10"/>
  <c r="CE132" i="10"/>
  <c r="CE134" i="10"/>
  <c r="CE143" i="10"/>
  <c r="CE149" i="10"/>
  <c r="CE147" i="10"/>
  <c r="CE138" i="10"/>
  <c r="CE144" i="10"/>
  <c r="CE135" i="10"/>
  <c r="CF100" i="10"/>
  <c r="CF104" i="10"/>
  <c r="CF111" i="10"/>
  <c r="CF130" i="10"/>
  <c r="CF128" i="10"/>
  <c r="CF113" i="10"/>
  <c r="CF120" i="10"/>
  <c r="CF112" i="10"/>
  <c r="CF149" i="10"/>
  <c r="CF147" i="10"/>
  <c r="CF145" i="10"/>
  <c r="CF142" i="10"/>
  <c r="CF57" i="10"/>
  <c r="CF11" i="10" s="1"/>
  <c r="CF105" i="10"/>
  <c r="CF101" i="10"/>
  <c r="CF119" i="10"/>
  <c r="CF109" i="10"/>
  <c r="CF115" i="10"/>
  <c r="CF121" i="10"/>
  <c r="CF125" i="10"/>
  <c r="CF123" i="10"/>
  <c r="CF118" i="10"/>
  <c r="CF110" i="10"/>
  <c r="CF150" i="10"/>
  <c r="CF136" i="10"/>
  <c r="CF133" i="10"/>
  <c r="CF106" i="10"/>
  <c r="CF102" i="10"/>
  <c r="CF108" i="10"/>
  <c r="CF117" i="10"/>
  <c r="CF126" i="10"/>
  <c r="CF124" i="10"/>
  <c r="CF135" i="10"/>
  <c r="CF131" i="10"/>
  <c r="CF129" i="10"/>
  <c r="CF127" i="10"/>
  <c r="CF138" i="10"/>
  <c r="CF116" i="10"/>
  <c r="CF140" i="10"/>
  <c r="CF103" i="10"/>
  <c r="CF107" i="10"/>
  <c r="CF122" i="10"/>
  <c r="CF114" i="10"/>
  <c r="CF134" i="10"/>
  <c r="CF132" i="10"/>
  <c r="CF143" i="10"/>
  <c r="CF141" i="10"/>
  <c r="CF139" i="10"/>
  <c r="CF137" i="10"/>
  <c r="CF144" i="10"/>
  <c r="CF148" i="10"/>
  <c r="CF146" i="10"/>
  <c r="CG100" i="10"/>
  <c r="CG114" i="10"/>
  <c r="CG121" i="10"/>
  <c r="CG102" i="10"/>
  <c r="CG110" i="10"/>
  <c r="CG117" i="10"/>
  <c r="CG146" i="10"/>
  <c r="CG136" i="10"/>
  <c r="CG130" i="10"/>
  <c r="CG128" i="10"/>
  <c r="CG132" i="10"/>
  <c r="CG139" i="10"/>
  <c r="CG125" i="10"/>
  <c r="CG116" i="10"/>
  <c r="CG106" i="10"/>
  <c r="CG103" i="10"/>
  <c r="CG111" i="10"/>
  <c r="CG118" i="10"/>
  <c r="CG126" i="10"/>
  <c r="CG124" i="10"/>
  <c r="CG144" i="10"/>
  <c r="CG142" i="10"/>
  <c r="CG133" i="10"/>
  <c r="CG135" i="10"/>
  <c r="CG147" i="10"/>
  <c r="CG134" i="10"/>
  <c r="CG115" i="10"/>
  <c r="CG105" i="10"/>
  <c r="CG112" i="10"/>
  <c r="CG119" i="10"/>
  <c r="CG101" i="10"/>
  <c r="CG131" i="10"/>
  <c r="CG104" i="10"/>
  <c r="CG129" i="10"/>
  <c r="CG150" i="10"/>
  <c r="CG140" i="10"/>
  <c r="CG141" i="10"/>
  <c r="CG137" i="10"/>
  <c r="CG143" i="10"/>
  <c r="CG107" i="10"/>
  <c r="CG113" i="10"/>
  <c r="CG120" i="10"/>
  <c r="CG108" i="10"/>
  <c r="CG109" i="10"/>
  <c r="CG138" i="10"/>
  <c r="CG123" i="10"/>
  <c r="CG122" i="10"/>
  <c r="CG127" i="10"/>
  <c r="CG148" i="10"/>
  <c r="CG149" i="10"/>
  <c r="CG145" i="10"/>
  <c r="CG57" i="10"/>
  <c r="CG11" i="10" s="1"/>
  <c r="CH101" i="10"/>
  <c r="CH105" i="10"/>
  <c r="CH108" i="10"/>
  <c r="CH131" i="10"/>
  <c r="CH116" i="10"/>
  <c r="CH114" i="10"/>
  <c r="CH126" i="10"/>
  <c r="CH124" i="10"/>
  <c r="CH113" i="10"/>
  <c r="CH140" i="10"/>
  <c r="CH138" i="10"/>
  <c r="CH139" i="10"/>
  <c r="CH143" i="10"/>
  <c r="CH106" i="10"/>
  <c r="CH102" i="10"/>
  <c r="CH112" i="10"/>
  <c r="CH110" i="10"/>
  <c r="CH115" i="10"/>
  <c r="CH125" i="10"/>
  <c r="CH136" i="10"/>
  <c r="CH117" i="10"/>
  <c r="CH122" i="10"/>
  <c r="CH148" i="10"/>
  <c r="CH146" i="10"/>
  <c r="CH145" i="10"/>
  <c r="CH137" i="10"/>
  <c r="CH107" i="10"/>
  <c r="CH103" i="10"/>
  <c r="CH120" i="10"/>
  <c r="CH118" i="10"/>
  <c r="CH127" i="10"/>
  <c r="CH133" i="10"/>
  <c r="CH144" i="10"/>
  <c r="CH142" i="10"/>
  <c r="CH130" i="10"/>
  <c r="CH119" i="10"/>
  <c r="CH141" i="10"/>
  <c r="CH132" i="10"/>
  <c r="CH57" i="10"/>
  <c r="CH11" i="10" s="1"/>
  <c r="CH104" i="10"/>
  <c r="CH100" i="10"/>
  <c r="CH123" i="10"/>
  <c r="CH129" i="10"/>
  <c r="CH135" i="10"/>
  <c r="CH111" i="10"/>
  <c r="CH121" i="10"/>
  <c r="CH150" i="10"/>
  <c r="CH109" i="10"/>
  <c r="CH128" i="10"/>
  <c r="CH147" i="10"/>
  <c r="CH134" i="10"/>
  <c r="CH149" i="10"/>
  <c r="CI101" i="10"/>
  <c r="CI103" i="10"/>
  <c r="CI115" i="10"/>
  <c r="CI112" i="10"/>
  <c r="CI107" i="10"/>
  <c r="CI127" i="10"/>
  <c r="CI137" i="10"/>
  <c r="CI131" i="10"/>
  <c r="CI130" i="10"/>
  <c r="CI141" i="10"/>
  <c r="CI142" i="10"/>
  <c r="CI135" i="10"/>
  <c r="CI136" i="10"/>
  <c r="CI104" i="10"/>
  <c r="CI102" i="10"/>
  <c r="CI114" i="10"/>
  <c r="CI120" i="10"/>
  <c r="CI106" i="10"/>
  <c r="CI139" i="10"/>
  <c r="CI145" i="10"/>
  <c r="CI124" i="10"/>
  <c r="CI133" i="10"/>
  <c r="CI149" i="10"/>
  <c r="CI150" i="10"/>
  <c r="CI138" i="10"/>
  <c r="CI144" i="10"/>
  <c r="CI109" i="10"/>
  <c r="CI116" i="10"/>
  <c r="CI113" i="10"/>
  <c r="CI111" i="10"/>
  <c r="CI110" i="10"/>
  <c r="CI147" i="10"/>
  <c r="CI105" i="10"/>
  <c r="CI134" i="10"/>
  <c r="CI129" i="10"/>
  <c r="CI122" i="10"/>
  <c r="CI140" i="10"/>
  <c r="CI146" i="10"/>
  <c r="CI126" i="10"/>
  <c r="CI117" i="10"/>
  <c r="CI108" i="10"/>
  <c r="CI121" i="10"/>
  <c r="CI119" i="10"/>
  <c r="CI118" i="10"/>
  <c r="CI125" i="10"/>
  <c r="CI123" i="10"/>
  <c r="CI143" i="10"/>
  <c r="CI100" i="10"/>
  <c r="CI128" i="10"/>
  <c r="CI148" i="10"/>
  <c r="CI132" i="10"/>
  <c r="CI57" i="10"/>
  <c r="CI11" i="10" s="1"/>
  <c r="CJ100" i="10"/>
  <c r="CJ106" i="10"/>
  <c r="CJ113" i="10"/>
  <c r="CJ111" i="10"/>
  <c r="CJ109" i="10"/>
  <c r="CJ115" i="10"/>
  <c r="CJ120" i="10"/>
  <c r="CJ112" i="10"/>
  <c r="CJ131" i="10"/>
  <c r="CJ114" i="10"/>
  <c r="CJ110" i="10"/>
  <c r="CJ142" i="10"/>
  <c r="CJ146" i="10"/>
  <c r="CJ102" i="10"/>
  <c r="CJ103" i="10"/>
  <c r="CJ121" i="10"/>
  <c r="CJ119" i="10"/>
  <c r="CJ117" i="10"/>
  <c r="CJ116" i="10"/>
  <c r="CJ127" i="10"/>
  <c r="CJ125" i="10"/>
  <c r="CJ118" i="10"/>
  <c r="CJ129" i="10"/>
  <c r="CJ136" i="10"/>
  <c r="CJ148" i="10"/>
  <c r="CJ144" i="10"/>
  <c r="CJ107" i="10"/>
  <c r="CJ104" i="10"/>
  <c r="CJ124" i="10"/>
  <c r="CJ122" i="10"/>
  <c r="CJ128" i="10"/>
  <c r="CJ126" i="10"/>
  <c r="CJ137" i="10"/>
  <c r="CJ143" i="10"/>
  <c r="CJ141" i="10"/>
  <c r="CJ139" i="10"/>
  <c r="CJ150" i="10"/>
  <c r="CJ140" i="10"/>
  <c r="CJ138" i="10"/>
  <c r="CJ105" i="10"/>
  <c r="CJ101" i="10"/>
  <c r="CJ132" i="10"/>
  <c r="CJ130" i="10"/>
  <c r="CJ108" i="10"/>
  <c r="CJ134" i="10"/>
  <c r="CJ145" i="10"/>
  <c r="CJ123" i="10"/>
  <c r="CJ149" i="10"/>
  <c r="CJ147" i="10"/>
  <c r="CJ133" i="10"/>
  <c r="CJ135" i="10"/>
  <c r="CJ57" i="10"/>
  <c r="CJ11" i="10" s="1"/>
  <c r="CK100" i="10"/>
  <c r="CK117" i="10"/>
  <c r="CK115" i="10"/>
  <c r="CK103" i="10"/>
  <c r="CK120" i="10"/>
  <c r="CK128" i="10"/>
  <c r="CK129" i="10"/>
  <c r="CK138" i="10"/>
  <c r="CK101" i="10"/>
  <c r="CK122" i="10"/>
  <c r="CK150" i="10"/>
  <c r="CK141" i="10"/>
  <c r="CK133" i="10"/>
  <c r="CK110" i="10"/>
  <c r="CK116" i="10"/>
  <c r="CK105" i="10"/>
  <c r="CK113" i="10"/>
  <c r="CK111" i="10"/>
  <c r="CK140" i="10"/>
  <c r="CK126" i="10"/>
  <c r="CK146" i="10"/>
  <c r="CK136" i="10"/>
  <c r="CK130" i="10"/>
  <c r="CK131" i="10"/>
  <c r="CK149" i="10"/>
  <c r="CK137" i="10"/>
  <c r="CK118" i="10"/>
  <c r="CK107" i="10"/>
  <c r="CK114" i="10"/>
  <c r="CK121" i="10"/>
  <c r="CK119" i="10"/>
  <c r="CK148" i="10"/>
  <c r="CK132" i="10"/>
  <c r="CK134" i="10"/>
  <c r="CK144" i="10"/>
  <c r="CK125" i="10"/>
  <c r="CK143" i="10"/>
  <c r="CK139" i="10"/>
  <c r="CK145" i="10"/>
  <c r="CK109" i="10"/>
  <c r="CK108" i="10"/>
  <c r="CK104" i="10"/>
  <c r="CK112" i="10"/>
  <c r="CK102" i="10"/>
  <c r="CK123" i="10"/>
  <c r="CK135" i="10"/>
  <c r="CK124" i="10"/>
  <c r="CK106" i="10"/>
  <c r="CK142" i="10"/>
  <c r="CK127" i="10"/>
  <c r="CK147" i="10"/>
  <c r="CK57" i="10"/>
  <c r="CK11" i="10" s="1"/>
  <c r="CL103" i="10"/>
  <c r="CL106" i="10"/>
  <c r="CL102" i="10"/>
  <c r="CL133" i="10"/>
  <c r="CL123" i="10"/>
  <c r="CL129" i="10"/>
  <c r="CL115" i="10"/>
  <c r="CL146" i="10"/>
  <c r="CL144" i="10"/>
  <c r="CL150" i="10"/>
  <c r="CL148" i="10"/>
  <c r="CL139" i="10"/>
  <c r="CL111" i="10"/>
  <c r="CL100" i="10"/>
  <c r="CL107" i="10"/>
  <c r="CL114" i="10"/>
  <c r="CL112" i="10"/>
  <c r="CL131" i="10"/>
  <c r="CL116" i="10"/>
  <c r="CL128" i="10"/>
  <c r="CL121" i="10"/>
  <c r="CL113" i="10"/>
  <c r="CL122" i="10"/>
  <c r="CL119" i="10"/>
  <c r="CL137" i="10"/>
  <c r="CL141" i="10"/>
  <c r="CL108" i="10"/>
  <c r="CL104" i="10"/>
  <c r="CL117" i="10"/>
  <c r="CL120" i="10"/>
  <c r="CL110" i="10"/>
  <c r="CL127" i="10"/>
  <c r="CL132" i="10"/>
  <c r="CL126" i="10"/>
  <c r="CL124" i="10"/>
  <c r="CL130" i="10"/>
  <c r="CL134" i="10"/>
  <c r="CL143" i="10"/>
  <c r="CL147" i="10"/>
  <c r="CL101" i="10"/>
  <c r="CL105" i="10"/>
  <c r="CL125" i="10"/>
  <c r="CL109" i="10"/>
  <c r="CL118" i="10"/>
  <c r="CL135" i="10"/>
  <c r="CL138" i="10"/>
  <c r="CL136" i="10"/>
  <c r="CL142" i="10"/>
  <c r="CL140" i="10"/>
  <c r="CL145" i="10"/>
  <c r="CL149" i="10"/>
  <c r="CL57" i="10"/>
  <c r="CL11" i="10" s="1"/>
  <c r="CM101" i="10"/>
  <c r="CM105" i="10"/>
  <c r="CM102" i="10"/>
  <c r="CM115" i="10"/>
  <c r="CM121" i="10"/>
  <c r="CM129" i="10"/>
  <c r="CM149" i="10"/>
  <c r="CM139" i="10"/>
  <c r="CM125" i="10"/>
  <c r="CM107" i="10"/>
  <c r="CM136" i="10"/>
  <c r="CM128" i="10"/>
  <c r="CM57" i="10"/>
  <c r="CM11" i="10" s="1"/>
  <c r="CM106" i="10"/>
  <c r="CM104" i="10"/>
  <c r="CM109" i="10"/>
  <c r="CM114" i="10"/>
  <c r="CM112" i="10"/>
  <c r="CM126" i="10"/>
  <c r="CM135" i="10"/>
  <c r="CM147" i="10"/>
  <c r="CM137" i="10"/>
  <c r="CM123" i="10"/>
  <c r="CM144" i="10"/>
  <c r="CM140" i="10"/>
  <c r="CM132" i="10"/>
  <c r="CM111" i="10"/>
  <c r="CM110" i="10"/>
  <c r="CM117" i="10"/>
  <c r="CM100" i="10"/>
  <c r="CM120" i="10"/>
  <c r="CM133" i="10"/>
  <c r="CM127" i="10"/>
  <c r="CM124" i="10"/>
  <c r="CM145" i="10"/>
  <c r="CM131" i="10"/>
  <c r="CM142" i="10"/>
  <c r="CM148" i="10"/>
  <c r="CM138" i="10"/>
  <c r="CM119" i="10"/>
  <c r="CM118" i="10"/>
  <c r="CM116" i="10"/>
  <c r="CM113" i="10"/>
  <c r="CM108" i="10"/>
  <c r="CM141" i="10"/>
  <c r="CM103" i="10"/>
  <c r="CM130" i="10"/>
  <c r="CM122" i="10"/>
  <c r="CM143" i="10"/>
  <c r="CM150" i="10"/>
  <c r="CM134" i="10"/>
  <c r="CM146" i="10"/>
  <c r="CN100" i="10"/>
  <c r="CN107" i="10"/>
  <c r="CN115" i="10"/>
  <c r="CN121" i="10"/>
  <c r="CN108" i="10"/>
  <c r="CN122" i="10"/>
  <c r="CN128" i="10"/>
  <c r="CN116" i="10"/>
  <c r="CN125" i="10"/>
  <c r="CN123" i="10"/>
  <c r="CN149" i="10"/>
  <c r="CN146" i="10"/>
  <c r="CN135" i="10"/>
  <c r="CN104" i="10"/>
  <c r="CN105" i="10"/>
  <c r="CN126" i="10"/>
  <c r="CN118" i="10"/>
  <c r="CN111" i="10"/>
  <c r="CN130" i="10"/>
  <c r="CN129" i="10"/>
  <c r="CN127" i="10"/>
  <c r="CN112" i="10"/>
  <c r="CN131" i="10"/>
  <c r="CN136" i="10"/>
  <c r="CN140" i="10"/>
  <c r="CN120" i="10"/>
  <c r="CN101" i="10"/>
  <c r="CN106" i="10"/>
  <c r="CN134" i="10"/>
  <c r="CN124" i="10"/>
  <c r="CN119" i="10"/>
  <c r="CN109" i="10"/>
  <c r="CN139" i="10"/>
  <c r="CN137" i="10"/>
  <c r="CN143" i="10"/>
  <c r="CN133" i="10"/>
  <c r="CN142" i="10"/>
  <c r="CN138" i="10"/>
  <c r="CN144" i="10"/>
  <c r="CN102" i="10"/>
  <c r="CN103" i="10"/>
  <c r="CN113" i="10"/>
  <c r="CN132" i="10"/>
  <c r="CN110" i="10"/>
  <c r="CN117" i="10"/>
  <c r="CN147" i="10"/>
  <c r="CN145" i="10"/>
  <c r="CN114" i="10"/>
  <c r="CN141" i="10"/>
  <c r="CN148" i="10"/>
  <c r="CN57" i="10"/>
  <c r="CN11" i="10" s="1"/>
  <c r="CN150" i="10"/>
  <c r="CO100" i="10"/>
  <c r="CO108" i="10"/>
  <c r="CO110" i="10"/>
  <c r="CO107" i="10"/>
  <c r="CO115" i="10"/>
  <c r="CO113" i="10"/>
  <c r="CO142" i="10"/>
  <c r="CO140" i="10"/>
  <c r="CO146" i="10"/>
  <c r="CO134" i="10"/>
  <c r="CO137" i="10"/>
  <c r="CO135" i="10"/>
  <c r="CO149" i="10"/>
  <c r="CO101" i="10"/>
  <c r="CO111" i="10"/>
  <c r="CO118" i="10"/>
  <c r="CO116" i="10"/>
  <c r="CO103" i="10"/>
  <c r="CO121" i="10"/>
  <c r="CO150" i="10"/>
  <c r="CO148" i="10"/>
  <c r="CO125" i="10"/>
  <c r="CO136" i="10"/>
  <c r="CO145" i="10"/>
  <c r="CO57" i="10"/>
  <c r="CO11" i="10" s="1"/>
  <c r="CO139" i="10"/>
  <c r="CO112" i="10"/>
  <c r="CO119" i="10"/>
  <c r="CO109" i="10"/>
  <c r="CO106" i="10"/>
  <c r="CO114" i="10"/>
  <c r="CO122" i="10"/>
  <c r="CO128" i="10"/>
  <c r="CO126" i="10"/>
  <c r="CO131" i="10"/>
  <c r="CO144" i="10"/>
  <c r="CO143" i="10"/>
  <c r="CO133" i="10"/>
  <c r="CO147" i="10"/>
  <c r="CO120" i="10"/>
  <c r="CO104" i="10"/>
  <c r="CO117" i="10"/>
  <c r="CO105" i="10"/>
  <c r="CO102" i="10"/>
  <c r="CO130" i="10"/>
  <c r="CO127" i="10"/>
  <c r="CO138" i="10"/>
  <c r="CO124" i="10"/>
  <c r="CO123" i="10"/>
  <c r="CO132" i="10"/>
  <c r="CO141" i="10"/>
  <c r="CO129" i="10"/>
  <c r="CP105" i="10"/>
  <c r="CP108" i="10"/>
  <c r="CP104" i="10"/>
  <c r="CP114" i="10"/>
  <c r="CP120" i="10"/>
  <c r="CP110" i="10"/>
  <c r="CP115" i="10"/>
  <c r="CP148" i="10"/>
  <c r="CP117" i="10"/>
  <c r="CP134" i="10"/>
  <c r="CP124" i="10"/>
  <c r="CP145" i="10"/>
  <c r="CP149" i="10"/>
  <c r="CP102" i="10"/>
  <c r="CP101" i="10"/>
  <c r="CP116" i="10"/>
  <c r="CP125" i="10"/>
  <c r="CP119" i="10"/>
  <c r="CP118" i="10"/>
  <c r="CP122" i="10"/>
  <c r="CP128" i="10"/>
  <c r="CP126" i="10"/>
  <c r="CP136" i="10"/>
  <c r="CP113" i="10"/>
  <c r="CP57" i="10"/>
  <c r="CP11" i="10" s="1"/>
  <c r="CP147" i="10"/>
  <c r="CP103" i="10"/>
  <c r="CP106" i="10"/>
  <c r="CP127" i="10"/>
  <c r="CP133" i="10"/>
  <c r="CP123" i="10"/>
  <c r="CP111" i="10"/>
  <c r="CP130" i="10"/>
  <c r="CP138" i="10"/>
  <c r="CP121" i="10"/>
  <c r="CP144" i="10"/>
  <c r="CP142" i="10"/>
  <c r="CP137" i="10"/>
  <c r="CP141" i="10"/>
  <c r="CP100" i="10"/>
  <c r="CP107" i="10"/>
  <c r="CP135" i="10"/>
  <c r="CP112" i="10"/>
  <c r="CP131" i="10"/>
  <c r="CP129" i="10"/>
  <c r="CP140" i="10"/>
  <c r="CP146" i="10"/>
  <c r="CP132" i="10"/>
  <c r="CP109" i="10"/>
  <c r="CP150" i="10"/>
  <c r="CP143" i="10"/>
  <c r="CP139" i="10"/>
  <c r="CQ101" i="10"/>
  <c r="CQ106" i="10"/>
  <c r="CQ111" i="10"/>
  <c r="CQ102" i="10"/>
  <c r="CQ117" i="10"/>
  <c r="CQ114" i="10"/>
  <c r="CQ124" i="10"/>
  <c r="CQ132" i="10"/>
  <c r="CQ135" i="10"/>
  <c r="CQ137" i="10"/>
  <c r="CQ146" i="10"/>
  <c r="CQ136" i="10"/>
  <c r="CQ142" i="10"/>
  <c r="CQ113" i="10"/>
  <c r="CQ112" i="10"/>
  <c r="CQ119" i="10"/>
  <c r="CQ110" i="10"/>
  <c r="CQ108" i="10"/>
  <c r="CQ123" i="10"/>
  <c r="CQ129" i="10"/>
  <c r="CQ127" i="10"/>
  <c r="CQ139" i="10"/>
  <c r="CQ145" i="10"/>
  <c r="CQ122" i="10"/>
  <c r="CQ144" i="10"/>
  <c r="CQ150" i="10"/>
  <c r="CQ121" i="10"/>
  <c r="CQ120" i="10"/>
  <c r="CQ100" i="10"/>
  <c r="CQ118" i="10"/>
  <c r="CQ116" i="10"/>
  <c r="CQ131" i="10"/>
  <c r="CQ141" i="10"/>
  <c r="CQ105" i="10"/>
  <c r="CQ147" i="10"/>
  <c r="CQ126" i="10"/>
  <c r="CQ130" i="10"/>
  <c r="CQ133" i="10"/>
  <c r="CQ140" i="10"/>
  <c r="CQ107" i="10"/>
  <c r="CQ104" i="10"/>
  <c r="CQ103" i="10"/>
  <c r="CQ109" i="10"/>
  <c r="CQ115" i="10"/>
  <c r="CQ143" i="10"/>
  <c r="CQ149" i="10"/>
  <c r="CQ128" i="10"/>
  <c r="CQ125" i="10"/>
  <c r="CQ138" i="10"/>
  <c r="CQ134" i="10"/>
  <c r="CQ57" i="10"/>
  <c r="CQ11" i="10" s="1"/>
  <c r="CQ148" i="10"/>
  <c r="CR100" i="10"/>
  <c r="CR101" i="10"/>
  <c r="CR109" i="10"/>
  <c r="CR115" i="10"/>
  <c r="CR121" i="10"/>
  <c r="CR119" i="10"/>
  <c r="CR110" i="10"/>
  <c r="CR141" i="10"/>
  <c r="CR129" i="10"/>
  <c r="CR147" i="10"/>
  <c r="CR118" i="10"/>
  <c r="CR146" i="10"/>
  <c r="CR150" i="10"/>
  <c r="CR106" i="10"/>
  <c r="CR102" i="10"/>
  <c r="CR117" i="10"/>
  <c r="CR126" i="10"/>
  <c r="CR124" i="10"/>
  <c r="CR120" i="10"/>
  <c r="CR108" i="10"/>
  <c r="CR149" i="10"/>
  <c r="CR133" i="10"/>
  <c r="CR127" i="10"/>
  <c r="CR125" i="10"/>
  <c r="CR57" i="10"/>
  <c r="CR11" i="10" s="1"/>
  <c r="CR148" i="10"/>
  <c r="CR103" i="10"/>
  <c r="CR107" i="10"/>
  <c r="CR112" i="10"/>
  <c r="CR134" i="10"/>
  <c r="CR132" i="10"/>
  <c r="CR122" i="10"/>
  <c r="CR123" i="10"/>
  <c r="CR114" i="10"/>
  <c r="CR135" i="10"/>
  <c r="CR137" i="10"/>
  <c r="CR143" i="10"/>
  <c r="CR138" i="10"/>
  <c r="CR136" i="10"/>
  <c r="CR104" i="10"/>
  <c r="CR105" i="10"/>
  <c r="CR128" i="10"/>
  <c r="CR113" i="10"/>
  <c r="CR111" i="10"/>
  <c r="CR130" i="10"/>
  <c r="CR131" i="10"/>
  <c r="CR116" i="10"/>
  <c r="CR139" i="10"/>
  <c r="CR145" i="10"/>
  <c r="CR140" i="10"/>
  <c r="CR144" i="10"/>
  <c r="CR142" i="10"/>
  <c r="CS100" i="10"/>
  <c r="CS112" i="10"/>
  <c r="CS106" i="10"/>
  <c r="CS107" i="10"/>
  <c r="CS108" i="10"/>
  <c r="CS115" i="10"/>
  <c r="CS127" i="10"/>
  <c r="CS130" i="10"/>
  <c r="CS128" i="10"/>
  <c r="CS129" i="10"/>
  <c r="CS135" i="10"/>
  <c r="CS145" i="10"/>
  <c r="CS143" i="10"/>
  <c r="CS114" i="10"/>
  <c r="CS120" i="10"/>
  <c r="CS110" i="10"/>
  <c r="CS109" i="10"/>
  <c r="CS116" i="10"/>
  <c r="CS124" i="10"/>
  <c r="CS133" i="10"/>
  <c r="CS142" i="10"/>
  <c r="CS140" i="10"/>
  <c r="CS138" i="10"/>
  <c r="CS139" i="10"/>
  <c r="CS123" i="10"/>
  <c r="CS57" i="10"/>
  <c r="CS11" i="10" s="1"/>
  <c r="CS113" i="10"/>
  <c r="CS111" i="10"/>
  <c r="CS118" i="10"/>
  <c r="CS117" i="10"/>
  <c r="CS104" i="10"/>
  <c r="CS136" i="10"/>
  <c r="CS102" i="10"/>
  <c r="CS150" i="10"/>
  <c r="CS148" i="10"/>
  <c r="CS146" i="10"/>
  <c r="CS147" i="10"/>
  <c r="CS134" i="10"/>
  <c r="CS141" i="10"/>
  <c r="CS121" i="10"/>
  <c r="CS119" i="10"/>
  <c r="CS101" i="10"/>
  <c r="CS105" i="10"/>
  <c r="CS103" i="10"/>
  <c r="CS144" i="10"/>
  <c r="CS122" i="10"/>
  <c r="CS125" i="10"/>
  <c r="CS126" i="10"/>
  <c r="CS132" i="10"/>
  <c r="CS137" i="10"/>
  <c r="CS131" i="10"/>
  <c r="CS149" i="10"/>
  <c r="CT107" i="10"/>
  <c r="CT103" i="10"/>
  <c r="CT106" i="10"/>
  <c r="CT129" i="10"/>
  <c r="CT135" i="10"/>
  <c r="CT112" i="10"/>
  <c r="CT119" i="10"/>
  <c r="CT150" i="10"/>
  <c r="CT140" i="10"/>
  <c r="CT138" i="10"/>
  <c r="CT136" i="10"/>
  <c r="CT137" i="10"/>
  <c r="CT57" i="10"/>
  <c r="CT11" i="10" s="1"/>
  <c r="CT104" i="10"/>
  <c r="CT100" i="10"/>
  <c r="CT110" i="10"/>
  <c r="CT116" i="10"/>
  <c r="CT114" i="10"/>
  <c r="CT120" i="10"/>
  <c r="CT124" i="10"/>
  <c r="CT111" i="10"/>
  <c r="CT148" i="10"/>
  <c r="CT146" i="10"/>
  <c r="CT144" i="10"/>
  <c r="CT143" i="10"/>
  <c r="CT147" i="10"/>
  <c r="CT105" i="10"/>
  <c r="CT108" i="10"/>
  <c r="CT118" i="10"/>
  <c r="CT113" i="10"/>
  <c r="CT125" i="10"/>
  <c r="CT123" i="10"/>
  <c r="CT134" i="10"/>
  <c r="CT122" i="10"/>
  <c r="CT117" i="10"/>
  <c r="CT109" i="10"/>
  <c r="CT115" i="10"/>
  <c r="CT141" i="10"/>
  <c r="CT139" i="10"/>
  <c r="CT102" i="10"/>
  <c r="CT101" i="10"/>
  <c r="CT121" i="10"/>
  <c r="CT127" i="10"/>
  <c r="CT133" i="10"/>
  <c r="CT131" i="10"/>
  <c r="CT142" i="10"/>
  <c r="CT130" i="10"/>
  <c r="CT128" i="10"/>
  <c r="CT126" i="10"/>
  <c r="CT149" i="10"/>
  <c r="CT132" i="10"/>
  <c r="CT145" i="10"/>
  <c r="CU101" i="10"/>
  <c r="CU113" i="10"/>
  <c r="CU104" i="10"/>
  <c r="CU111" i="10"/>
  <c r="CU109" i="10"/>
  <c r="CU125" i="10"/>
  <c r="CU145" i="10"/>
  <c r="CU143" i="10"/>
  <c r="CU149" i="10"/>
  <c r="CU132" i="10"/>
  <c r="CU140" i="10"/>
  <c r="CU135" i="10"/>
  <c r="CU57" i="10"/>
  <c r="CU11" i="10" s="1"/>
  <c r="CU115" i="10"/>
  <c r="CU121" i="10"/>
  <c r="CU112" i="10"/>
  <c r="CU119" i="10"/>
  <c r="CU117" i="10"/>
  <c r="CU103" i="10"/>
  <c r="CU123" i="10"/>
  <c r="CU128" i="10"/>
  <c r="CU126" i="10"/>
  <c r="CU139" i="10"/>
  <c r="CU148" i="10"/>
  <c r="CU136" i="10"/>
  <c r="CU133" i="10"/>
  <c r="CU114" i="10"/>
  <c r="CU105" i="10"/>
  <c r="CU120" i="10"/>
  <c r="CU110" i="10"/>
  <c r="CU100" i="10"/>
  <c r="CU130" i="10"/>
  <c r="CU131" i="10"/>
  <c r="CU129" i="10"/>
  <c r="CU127" i="10"/>
  <c r="CU147" i="10"/>
  <c r="CU138" i="10"/>
  <c r="CU144" i="10"/>
  <c r="CU142" i="10"/>
  <c r="CU106" i="10"/>
  <c r="CU108" i="10"/>
  <c r="CU102" i="10"/>
  <c r="CU118" i="10"/>
  <c r="CU116" i="10"/>
  <c r="CU137" i="10"/>
  <c r="CU122" i="10"/>
  <c r="CU141" i="10"/>
  <c r="CU107" i="10"/>
  <c r="CU134" i="10"/>
  <c r="CU146" i="10"/>
  <c r="CU124" i="10"/>
  <c r="CU150" i="10"/>
  <c r="CV100" i="10"/>
  <c r="CV104" i="10"/>
  <c r="CV111" i="10"/>
  <c r="CV109" i="10"/>
  <c r="CV114" i="10"/>
  <c r="CV121" i="10"/>
  <c r="CV110" i="10"/>
  <c r="CV123" i="10"/>
  <c r="CV112" i="10"/>
  <c r="CV118" i="10"/>
  <c r="CV137" i="10"/>
  <c r="CV146" i="10"/>
  <c r="CV142" i="10"/>
  <c r="CV105" i="10"/>
  <c r="CV101" i="10"/>
  <c r="CV119" i="10"/>
  <c r="CV117" i="10"/>
  <c r="CV126" i="10"/>
  <c r="CV108" i="10"/>
  <c r="CV125" i="10"/>
  <c r="CV131" i="10"/>
  <c r="CV129" i="10"/>
  <c r="CV127" i="10"/>
  <c r="CV145" i="10"/>
  <c r="CV150" i="10"/>
  <c r="CV136" i="10"/>
  <c r="CV106" i="10"/>
  <c r="CV102" i="10"/>
  <c r="CV122" i="10"/>
  <c r="CV128" i="10"/>
  <c r="CV134" i="10"/>
  <c r="CV124" i="10"/>
  <c r="CV143" i="10"/>
  <c r="CV141" i="10"/>
  <c r="CV139" i="10"/>
  <c r="CV116" i="10"/>
  <c r="CV133" i="10"/>
  <c r="CV138" i="10"/>
  <c r="CV57" i="10"/>
  <c r="CV11" i="10" s="1"/>
  <c r="CV103" i="10"/>
  <c r="CV107" i="10"/>
  <c r="CV130" i="10"/>
  <c r="CV115" i="10"/>
  <c r="CV113" i="10"/>
  <c r="CV132" i="10"/>
  <c r="CV120" i="10"/>
  <c r="CV149" i="10"/>
  <c r="CV147" i="10"/>
  <c r="CV135" i="10"/>
  <c r="CV140" i="10"/>
  <c r="CV144" i="10"/>
  <c r="CV148" i="10"/>
  <c r="CW100" i="10"/>
  <c r="CW101" i="10"/>
  <c r="CW121" i="10"/>
  <c r="CW119" i="10"/>
  <c r="CW106" i="10"/>
  <c r="CW126" i="10"/>
  <c r="CW131" i="10"/>
  <c r="CW122" i="10"/>
  <c r="CW142" i="10"/>
  <c r="CW135" i="10"/>
  <c r="CW127" i="10"/>
  <c r="CW147" i="10"/>
  <c r="CW145" i="10"/>
  <c r="CW103" i="10"/>
  <c r="CW115" i="10"/>
  <c r="CW112" i="10"/>
  <c r="CW107" i="10"/>
  <c r="CW105" i="10"/>
  <c r="CW138" i="10"/>
  <c r="CW136" i="10"/>
  <c r="CW130" i="10"/>
  <c r="CW150" i="10"/>
  <c r="CW128" i="10"/>
  <c r="CW141" i="10"/>
  <c r="CW108" i="10"/>
  <c r="CW143" i="10"/>
  <c r="CW116" i="10"/>
  <c r="CW114" i="10"/>
  <c r="CW120" i="10"/>
  <c r="CW110" i="10"/>
  <c r="CW109" i="10"/>
  <c r="CW146" i="10"/>
  <c r="CW144" i="10"/>
  <c r="CW123" i="10"/>
  <c r="CW129" i="10"/>
  <c r="CW140" i="10"/>
  <c r="CW149" i="10"/>
  <c r="CW134" i="10"/>
  <c r="CW125" i="10"/>
  <c r="CW102" i="10"/>
  <c r="CW113" i="10"/>
  <c r="CW111" i="10"/>
  <c r="CW118" i="10"/>
  <c r="CW117" i="10"/>
  <c r="CW124" i="10"/>
  <c r="CW104" i="10"/>
  <c r="CW133" i="10"/>
  <c r="CW132" i="10"/>
  <c r="CW148" i="10"/>
  <c r="CW139" i="10"/>
  <c r="CW137" i="10"/>
  <c r="CW57" i="10"/>
  <c r="CW11" i="10" s="1"/>
  <c r="CX101" i="10"/>
  <c r="CX105" i="10"/>
  <c r="CX108" i="10"/>
  <c r="CX131" i="10"/>
  <c r="CX116" i="10"/>
  <c r="CX115" i="10"/>
  <c r="CX126" i="10"/>
  <c r="CX111" i="10"/>
  <c r="CX109" i="10"/>
  <c r="CX140" i="10"/>
  <c r="CX138" i="10"/>
  <c r="CX132" i="10"/>
  <c r="CX145" i="10"/>
  <c r="CX106" i="10"/>
  <c r="CX102" i="10"/>
  <c r="CX112" i="10"/>
  <c r="CX110" i="10"/>
  <c r="CX127" i="10"/>
  <c r="CX125" i="10"/>
  <c r="CX117" i="10"/>
  <c r="CX124" i="10"/>
  <c r="CX121" i="10"/>
  <c r="CX148" i="10"/>
  <c r="CX146" i="10"/>
  <c r="CX141" i="10"/>
  <c r="CX57" i="10"/>
  <c r="CX11" i="10" s="1"/>
  <c r="CX107" i="10"/>
  <c r="CX103" i="10"/>
  <c r="CX120" i="10"/>
  <c r="CX118" i="10"/>
  <c r="CX135" i="10"/>
  <c r="CX133" i="10"/>
  <c r="CX136" i="10"/>
  <c r="CX142" i="10"/>
  <c r="CX122" i="10"/>
  <c r="CX113" i="10"/>
  <c r="CX149" i="10"/>
  <c r="CX147" i="10"/>
  <c r="CX143" i="10"/>
  <c r="CX104" i="10"/>
  <c r="CX100" i="10"/>
  <c r="CX123" i="10"/>
  <c r="CX129" i="10"/>
  <c r="CX114" i="10"/>
  <c r="CX119" i="10"/>
  <c r="CX144" i="10"/>
  <c r="CX150" i="10"/>
  <c r="CX130" i="10"/>
  <c r="CX128" i="10"/>
  <c r="CX134" i="10"/>
  <c r="CX139" i="10"/>
  <c r="CX137" i="10"/>
  <c r="CY101" i="10"/>
  <c r="CY116" i="10"/>
  <c r="CY114" i="10"/>
  <c r="CY103" i="10"/>
  <c r="CY111" i="10"/>
  <c r="CY127" i="10"/>
  <c r="CY128" i="10"/>
  <c r="CY145" i="10"/>
  <c r="CY131" i="10"/>
  <c r="CY141" i="10"/>
  <c r="CY142" i="10"/>
  <c r="CY135" i="10"/>
  <c r="CY146" i="10"/>
  <c r="CY108" i="10"/>
  <c r="CY115" i="10"/>
  <c r="CY104" i="10"/>
  <c r="CY102" i="10"/>
  <c r="CY119" i="10"/>
  <c r="CY139" i="10"/>
  <c r="CY125" i="10"/>
  <c r="CY105" i="10"/>
  <c r="CY143" i="10"/>
  <c r="CY149" i="10"/>
  <c r="CY150" i="10"/>
  <c r="CY140" i="10"/>
  <c r="CY136" i="10"/>
  <c r="CY109" i="10"/>
  <c r="CY107" i="10"/>
  <c r="CY113" i="10"/>
  <c r="CY112" i="10"/>
  <c r="CY110" i="10"/>
  <c r="CY147" i="10"/>
  <c r="CY134" i="10"/>
  <c r="CY133" i="10"/>
  <c r="CY129" i="10"/>
  <c r="CY130" i="10"/>
  <c r="CY126" i="10"/>
  <c r="CY148" i="10"/>
  <c r="CY144" i="10"/>
  <c r="CY117" i="10"/>
  <c r="CY106" i="10"/>
  <c r="CY121" i="10"/>
  <c r="CY120" i="10"/>
  <c r="CY118" i="10"/>
  <c r="CY122" i="10"/>
  <c r="CY137" i="10"/>
  <c r="CY123" i="10"/>
  <c r="CY124" i="10"/>
  <c r="CY100" i="10"/>
  <c r="CY132" i="10"/>
  <c r="CY138" i="10"/>
  <c r="CY57" i="10"/>
  <c r="CY11" i="10" s="1"/>
  <c r="CZ100" i="10"/>
  <c r="CZ106" i="10"/>
  <c r="CZ113" i="10"/>
  <c r="CZ132" i="10"/>
  <c r="CZ130" i="10"/>
  <c r="CZ128" i="10"/>
  <c r="CZ114" i="10"/>
  <c r="CZ120" i="10"/>
  <c r="CZ112" i="10"/>
  <c r="CZ149" i="10"/>
  <c r="CZ133" i="10"/>
  <c r="CZ110" i="10"/>
  <c r="CZ148" i="10"/>
  <c r="CZ102" i="10"/>
  <c r="CZ103" i="10"/>
  <c r="CZ121" i="10"/>
  <c r="CZ111" i="10"/>
  <c r="CZ108" i="10"/>
  <c r="CZ115" i="10"/>
  <c r="CZ127" i="10"/>
  <c r="CZ125" i="10"/>
  <c r="CZ123" i="10"/>
  <c r="CZ129" i="10"/>
  <c r="CZ144" i="10"/>
  <c r="CZ136" i="10"/>
  <c r="CZ140" i="10"/>
  <c r="CZ107" i="10"/>
  <c r="CZ104" i="10"/>
  <c r="CZ116" i="10"/>
  <c r="CZ119" i="10"/>
  <c r="CZ109" i="10"/>
  <c r="CZ126" i="10"/>
  <c r="CZ137" i="10"/>
  <c r="CZ143" i="10"/>
  <c r="CZ131" i="10"/>
  <c r="CZ139" i="10"/>
  <c r="CZ135" i="10"/>
  <c r="CZ150" i="10"/>
  <c r="CZ146" i="10"/>
  <c r="CZ105" i="10"/>
  <c r="CZ101" i="10"/>
  <c r="CZ124" i="10"/>
  <c r="CZ122" i="10"/>
  <c r="CZ117" i="10"/>
  <c r="CZ134" i="10"/>
  <c r="CZ145" i="10"/>
  <c r="CZ118" i="10"/>
  <c r="CZ141" i="10"/>
  <c r="CZ147" i="10"/>
  <c r="CZ138" i="10"/>
  <c r="CZ142" i="10"/>
  <c r="CZ57" i="10"/>
  <c r="CZ11" i="10" s="1"/>
  <c r="DA100" i="10"/>
  <c r="DA104" i="10"/>
  <c r="DA117" i="10"/>
  <c r="DA114" i="10"/>
  <c r="DA120" i="10"/>
  <c r="DA128" i="10"/>
  <c r="DA140" i="10"/>
  <c r="DA126" i="10"/>
  <c r="DA123" i="10"/>
  <c r="DA144" i="10"/>
  <c r="DA142" i="10"/>
  <c r="DA141" i="10"/>
  <c r="DA57" i="10"/>
  <c r="DA11" i="10" s="1"/>
  <c r="DA105" i="10"/>
  <c r="DA103" i="10"/>
  <c r="DA101" i="10"/>
  <c r="DA113" i="10"/>
  <c r="DA107" i="10"/>
  <c r="DA125" i="10"/>
  <c r="DA148" i="10"/>
  <c r="DA102" i="10"/>
  <c r="DA129" i="10"/>
  <c r="DA106" i="10"/>
  <c r="DA150" i="10"/>
  <c r="DA149" i="10"/>
  <c r="DA137" i="10"/>
  <c r="DA110" i="10"/>
  <c r="DA108" i="10"/>
  <c r="DA116" i="10"/>
  <c r="DA121" i="10"/>
  <c r="DA111" i="10"/>
  <c r="DA132" i="10"/>
  <c r="DA131" i="10"/>
  <c r="DA138" i="10"/>
  <c r="DA124" i="10"/>
  <c r="DA122" i="10"/>
  <c r="DA143" i="10"/>
  <c r="DA139" i="10"/>
  <c r="DA145" i="10"/>
  <c r="DA118" i="10"/>
  <c r="DA109" i="10"/>
  <c r="DA115" i="10"/>
  <c r="DA112" i="10"/>
  <c r="DA119" i="10"/>
  <c r="DA135" i="10"/>
  <c r="DA134" i="10"/>
  <c r="DA146" i="10"/>
  <c r="DA136" i="10"/>
  <c r="DA130" i="10"/>
  <c r="DA133" i="10"/>
  <c r="DA147" i="10"/>
  <c r="DA127" i="10"/>
  <c r="DB103" i="10"/>
  <c r="DB106" i="10"/>
  <c r="DB102" i="10"/>
  <c r="DB112" i="10"/>
  <c r="DB131" i="10"/>
  <c r="DB129" i="10"/>
  <c r="DB128" i="10"/>
  <c r="DB115" i="10"/>
  <c r="DB121" i="10"/>
  <c r="DB113" i="10"/>
  <c r="DB140" i="10"/>
  <c r="DB119" i="10"/>
  <c r="DB134" i="10"/>
  <c r="DB100" i="10"/>
  <c r="DB107" i="10"/>
  <c r="DB114" i="10"/>
  <c r="DB120" i="10"/>
  <c r="DB110" i="10"/>
  <c r="DB116" i="10"/>
  <c r="DB111" i="10"/>
  <c r="DB126" i="10"/>
  <c r="DB124" i="10"/>
  <c r="DB122" i="10"/>
  <c r="DB148" i="10"/>
  <c r="DB145" i="10"/>
  <c r="DB143" i="10"/>
  <c r="DB108" i="10"/>
  <c r="DB104" i="10"/>
  <c r="DB125" i="10"/>
  <c r="DB117" i="10"/>
  <c r="DB118" i="10"/>
  <c r="DB127" i="10"/>
  <c r="DB138" i="10"/>
  <c r="DB136" i="10"/>
  <c r="DB142" i="10"/>
  <c r="DB130" i="10"/>
  <c r="DB141" i="10"/>
  <c r="DB139" i="10"/>
  <c r="DB149" i="10"/>
  <c r="DB101" i="10"/>
  <c r="DB105" i="10"/>
  <c r="DB133" i="10"/>
  <c r="DB123" i="10"/>
  <c r="DB109" i="10"/>
  <c r="DB135" i="10"/>
  <c r="DB146" i="10"/>
  <c r="DB144" i="10"/>
  <c r="DB150" i="10"/>
  <c r="DB132" i="10"/>
  <c r="DB147" i="10"/>
  <c r="DB137" i="10"/>
  <c r="DB57" i="10"/>
  <c r="DB11" i="10" s="1"/>
  <c r="DC101" i="10"/>
  <c r="DC110" i="10"/>
  <c r="DC117" i="10"/>
  <c r="DC105" i="10"/>
  <c r="DC113" i="10"/>
  <c r="DC108" i="10"/>
  <c r="DC127" i="10"/>
  <c r="DC125" i="10"/>
  <c r="DC107" i="10"/>
  <c r="DC133" i="10"/>
  <c r="DC136" i="10"/>
  <c r="DC150" i="10"/>
  <c r="DC148" i="10"/>
  <c r="DC100" i="10"/>
  <c r="DC118" i="10"/>
  <c r="DC116" i="10"/>
  <c r="DC104" i="10"/>
  <c r="DC121" i="10"/>
  <c r="DC129" i="10"/>
  <c r="DC126" i="10"/>
  <c r="DC137" i="10"/>
  <c r="DC130" i="10"/>
  <c r="DC143" i="10"/>
  <c r="DC144" i="10"/>
  <c r="DC128" i="10"/>
  <c r="DC138" i="10"/>
  <c r="DC111" i="10"/>
  <c r="DC103" i="10"/>
  <c r="DC106" i="10"/>
  <c r="DC114" i="10"/>
  <c r="DC112" i="10"/>
  <c r="DC141" i="10"/>
  <c r="DC139" i="10"/>
  <c r="DC145" i="10"/>
  <c r="DC123" i="10"/>
  <c r="DC135" i="10"/>
  <c r="DC57" i="10"/>
  <c r="DC11" i="10" s="1"/>
  <c r="DC132" i="10"/>
  <c r="DC146" i="10"/>
  <c r="DC119" i="10"/>
  <c r="DC109" i="10"/>
  <c r="DC115" i="10"/>
  <c r="DC102" i="10"/>
  <c r="DC120" i="10"/>
  <c r="DC149" i="10"/>
  <c r="DC147" i="10"/>
  <c r="DC124" i="10"/>
  <c r="DC131" i="10"/>
  <c r="DC122" i="10"/>
  <c r="DC142" i="10"/>
  <c r="DC140" i="10"/>
  <c r="DC134" i="10"/>
  <c r="DD100" i="10"/>
  <c r="DD107" i="10"/>
  <c r="DD115" i="10"/>
  <c r="DD113" i="10"/>
  <c r="DD111" i="10"/>
  <c r="DD130" i="10"/>
  <c r="DD128" i="10"/>
  <c r="DD139" i="10"/>
  <c r="DD137" i="10"/>
  <c r="DD133" i="10"/>
  <c r="DD141" i="10"/>
  <c r="DD57" i="10"/>
  <c r="DD11" i="10" s="1"/>
  <c r="DD135" i="10"/>
  <c r="DD104" i="10"/>
  <c r="DD105" i="10"/>
  <c r="DD126" i="10"/>
  <c r="DD121" i="10"/>
  <c r="DD119" i="10"/>
  <c r="DD109" i="10"/>
  <c r="DD114" i="10"/>
  <c r="DD147" i="10"/>
  <c r="DD145" i="10"/>
  <c r="DD143" i="10"/>
  <c r="DD149" i="10"/>
  <c r="DD136" i="10"/>
  <c r="DD146" i="10"/>
  <c r="DD101" i="10"/>
  <c r="DD106" i="10"/>
  <c r="DD134" i="10"/>
  <c r="DD124" i="10"/>
  <c r="DD118" i="10"/>
  <c r="DD117" i="10"/>
  <c r="DD129" i="10"/>
  <c r="DD127" i="10"/>
  <c r="DD116" i="10"/>
  <c r="DD123" i="10"/>
  <c r="DD144" i="10"/>
  <c r="DD142" i="10"/>
  <c r="DD140" i="10"/>
  <c r="DD102" i="10"/>
  <c r="DD103" i="10"/>
  <c r="DD108" i="10"/>
  <c r="DD132" i="10"/>
  <c r="DD122" i="10"/>
  <c r="DD110" i="10"/>
  <c r="DD120" i="10"/>
  <c r="DD112" i="10"/>
  <c r="DD125" i="10"/>
  <c r="DD131" i="10"/>
  <c r="DD150" i="10"/>
  <c r="DD148" i="10"/>
  <c r="DD138" i="10"/>
  <c r="DE100" i="10"/>
  <c r="DE106" i="10"/>
  <c r="DE101" i="10"/>
  <c r="DE102" i="10"/>
  <c r="DE115" i="10"/>
  <c r="DE121" i="10"/>
  <c r="DE150" i="10"/>
  <c r="DE148" i="10"/>
  <c r="DE134" i="10"/>
  <c r="DE136" i="10"/>
  <c r="DE137" i="10"/>
  <c r="DE57" i="10"/>
  <c r="DE11" i="10" s="1"/>
  <c r="DE139" i="10"/>
  <c r="DE107" i="10"/>
  <c r="DE105" i="10"/>
  <c r="DE103" i="10"/>
  <c r="DE109" i="10"/>
  <c r="DE114" i="10"/>
  <c r="DE122" i="10"/>
  <c r="DE123" i="10"/>
  <c r="DE126" i="10"/>
  <c r="DE138" i="10"/>
  <c r="DE144" i="10"/>
  <c r="DE145" i="10"/>
  <c r="DE141" i="10"/>
  <c r="DE147" i="10"/>
  <c r="DE112" i="10"/>
  <c r="DE111" i="10"/>
  <c r="DE110" i="10"/>
  <c r="DE117" i="10"/>
  <c r="DE108" i="10"/>
  <c r="DE130" i="10"/>
  <c r="DE128" i="10"/>
  <c r="DE104" i="10"/>
  <c r="DE146" i="10"/>
  <c r="DE125" i="10"/>
  <c r="DE133" i="10"/>
  <c r="DE149" i="10"/>
  <c r="DE132" i="10"/>
  <c r="DE120" i="10"/>
  <c r="DE119" i="10"/>
  <c r="DE118" i="10"/>
  <c r="DE116" i="10"/>
  <c r="DE113" i="10"/>
  <c r="DE142" i="10"/>
  <c r="DE140" i="10"/>
  <c r="DE127" i="10"/>
  <c r="DE124" i="10"/>
  <c r="DE131" i="10"/>
  <c r="DE143" i="10"/>
  <c r="DE129" i="10"/>
  <c r="DE135" i="10"/>
  <c r="DF105" i="10"/>
  <c r="DF108" i="10"/>
  <c r="DF104" i="10"/>
  <c r="DF135" i="10"/>
  <c r="DF112" i="10"/>
  <c r="DF110" i="10"/>
  <c r="DF109" i="10"/>
  <c r="DF148" i="10"/>
  <c r="DF121" i="10"/>
  <c r="DF126" i="10"/>
  <c r="DF117" i="10"/>
  <c r="DF139" i="10"/>
  <c r="DF149" i="10"/>
  <c r="DF102" i="10"/>
  <c r="DF101" i="10"/>
  <c r="DF116" i="10"/>
  <c r="DF114" i="10"/>
  <c r="DF120" i="10"/>
  <c r="DF118" i="10"/>
  <c r="DF122" i="10"/>
  <c r="DF115" i="10"/>
  <c r="DF134" i="10"/>
  <c r="DF136" i="10"/>
  <c r="DF124" i="10"/>
  <c r="DF145" i="10"/>
  <c r="DF57" i="10"/>
  <c r="DF11" i="10" s="1"/>
  <c r="DF103" i="10"/>
  <c r="DF106" i="10"/>
  <c r="DF111" i="10"/>
  <c r="DF125" i="10"/>
  <c r="DF123" i="10"/>
  <c r="DF119" i="10"/>
  <c r="DF130" i="10"/>
  <c r="DF128" i="10"/>
  <c r="DF138" i="10"/>
  <c r="DF144" i="10"/>
  <c r="DF142" i="10"/>
  <c r="DF137" i="10"/>
  <c r="DF147" i="10"/>
  <c r="DF100" i="10"/>
  <c r="DF107" i="10"/>
  <c r="DF127" i="10"/>
  <c r="DF133" i="10"/>
  <c r="DF131" i="10"/>
  <c r="DF129" i="10"/>
  <c r="DF140" i="10"/>
  <c r="DF132" i="10"/>
  <c r="DF146" i="10"/>
  <c r="DF113" i="10"/>
  <c r="DF150" i="10"/>
  <c r="DF143" i="10"/>
  <c r="DF141" i="10"/>
  <c r="DG101" i="10"/>
  <c r="DG120" i="10"/>
  <c r="DG110" i="10"/>
  <c r="DG117" i="10"/>
  <c r="DG116" i="10"/>
  <c r="DG102" i="10"/>
  <c r="DG143" i="10"/>
  <c r="DG135" i="10"/>
  <c r="DG127" i="10"/>
  <c r="DG128" i="10"/>
  <c r="DG138" i="10"/>
  <c r="DG122" i="10"/>
  <c r="DG140" i="10"/>
  <c r="DG113" i="10"/>
  <c r="DG111" i="10"/>
  <c r="DG118" i="10"/>
  <c r="DG100" i="10"/>
  <c r="DG104" i="10"/>
  <c r="DG114" i="10"/>
  <c r="DG126" i="10"/>
  <c r="DG141" i="10"/>
  <c r="DG139" i="10"/>
  <c r="DG137" i="10"/>
  <c r="DG146" i="10"/>
  <c r="DG57" i="10"/>
  <c r="DG11" i="10" s="1"/>
  <c r="DG148" i="10"/>
  <c r="DG121" i="10"/>
  <c r="DG119" i="10"/>
  <c r="DG105" i="10"/>
  <c r="DG107" i="10"/>
  <c r="DG115" i="10"/>
  <c r="DG123" i="10"/>
  <c r="DG132" i="10"/>
  <c r="DG149" i="10"/>
  <c r="DG147" i="10"/>
  <c r="DG145" i="10"/>
  <c r="DG136" i="10"/>
  <c r="DG142" i="10"/>
  <c r="DG133" i="10"/>
  <c r="DG112" i="10"/>
  <c r="DG108" i="10"/>
  <c r="DG109" i="10"/>
  <c r="DG106" i="10"/>
  <c r="DG103" i="10"/>
  <c r="DG131" i="10"/>
  <c r="DG129" i="10"/>
  <c r="DG124" i="10"/>
  <c r="DG125" i="10"/>
  <c r="DG134" i="10"/>
  <c r="DG144" i="10"/>
  <c r="DG150" i="10"/>
  <c r="DG130" i="10"/>
  <c r="DH100" i="10"/>
  <c r="DH101" i="10"/>
  <c r="DH109" i="10"/>
  <c r="DH115" i="10"/>
  <c r="DH113" i="10"/>
  <c r="DH111" i="10"/>
  <c r="DH118" i="10"/>
  <c r="DH135" i="10"/>
  <c r="DH110" i="10"/>
  <c r="DH116" i="10"/>
  <c r="DH125" i="10"/>
  <c r="DH142" i="10"/>
  <c r="DH146" i="10"/>
  <c r="DH106" i="10"/>
  <c r="DH102" i="10"/>
  <c r="DH117" i="10"/>
  <c r="DH112" i="10"/>
  <c r="DH121" i="10"/>
  <c r="DH119" i="10"/>
  <c r="DH123" i="10"/>
  <c r="DH141" i="10"/>
  <c r="DH129" i="10"/>
  <c r="DH127" i="10"/>
  <c r="DH143" i="10"/>
  <c r="DH140" i="10"/>
  <c r="DH138" i="10"/>
  <c r="DH103" i="10"/>
  <c r="DH107" i="10"/>
  <c r="DH120" i="10"/>
  <c r="DH126" i="10"/>
  <c r="DH124" i="10"/>
  <c r="DH122" i="10"/>
  <c r="DH131" i="10"/>
  <c r="DH149" i="10"/>
  <c r="DH139" i="10"/>
  <c r="DH137" i="10"/>
  <c r="DH148" i="10"/>
  <c r="DH57" i="10"/>
  <c r="DH11" i="10" s="1"/>
  <c r="DH144" i="10"/>
  <c r="DH104" i="10"/>
  <c r="DH105" i="10"/>
  <c r="DH128" i="10"/>
  <c r="DH134" i="10"/>
  <c r="DH132" i="10"/>
  <c r="DH130" i="10"/>
  <c r="DH133" i="10"/>
  <c r="DH108" i="10"/>
  <c r="DH147" i="10"/>
  <c r="DH145" i="10"/>
  <c r="DH136" i="10"/>
  <c r="DH114" i="10"/>
  <c r="DH150" i="10"/>
  <c r="DI100" i="10"/>
  <c r="DI121" i="10"/>
  <c r="DI104" i="10"/>
  <c r="DI108" i="10"/>
  <c r="DI117" i="10"/>
  <c r="DI124" i="10"/>
  <c r="DI122" i="10"/>
  <c r="DI127" i="10"/>
  <c r="DI125" i="10"/>
  <c r="DI138" i="10"/>
  <c r="DI147" i="10"/>
  <c r="DI143" i="10"/>
  <c r="DI135" i="10"/>
  <c r="DI114" i="10"/>
  <c r="DI105" i="10"/>
  <c r="DI103" i="10"/>
  <c r="DI110" i="10"/>
  <c r="DI116" i="10"/>
  <c r="DI129" i="10"/>
  <c r="DI130" i="10"/>
  <c r="DI128" i="10"/>
  <c r="DI126" i="10"/>
  <c r="DI146" i="10"/>
  <c r="DI131" i="10"/>
  <c r="DI123" i="10"/>
  <c r="DI141" i="10"/>
  <c r="DI107" i="10"/>
  <c r="DI112" i="10"/>
  <c r="DI111" i="10"/>
  <c r="DI118" i="10"/>
  <c r="DI101" i="10"/>
  <c r="DI136" i="10"/>
  <c r="DI142" i="10"/>
  <c r="DI140" i="10"/>
  <c r="DI106" i="10"/>
  <c r="DI133" i="10"/>
  <c r="DI137" i="10"/>
  <c r="DI57" i="10"/>
  <c r="DI11" i="10" s="1"/>
  <c r="DI149" i="10"/>
  <c r="DI113" i="10"/>
  <c r="DI120" i="10"/>
  <c r="DI119" i="10"/>
  <c r="DI109" i="10"/>
  <c r="DI115" i="10"/>
  <c r="DI144" i="10"/>
  <c r="DI150" i="10"/>
  <c r="DI148" i="10"/>
  <c r="DI102" i="10"/>
  <c r="DI139" i="10"/>
  <c r="DI145" i="10"/>
  <c r="DI132" i="10"/>
  <c r="DI134" i="10"/>
  <c r="DJ107" i="10"/>
  <c r="DJ103" i="10"/>
  <c r="DJ106" i="10"/>
  <c r="DJ116" i="10"/>
  <c r="DJ114" i="10"/>
  <c r="DJ112" i="10"/>
  <c r="DJ109" i="10"/>
  <c r="DJ119" i="10"/>
  <c r="DJ140" i="10"/>
  <c r="DJ138" i="10"/>
  <c r="DJ134" i="10"/>
  <c r="DJ145" i="10"/>
  <c r="DJ57" i="10"/>
  <c r="DJ11" i="10" s="1"/>
  <c r="DJ104" i="10"/>
  <c r="DJ100" i="10"/>
  <c r="DJ110" i="10"/>
  <c r="DJ121" i="10"/>
  <c r="DJ113" i="10"/>
  <c r="DJ120" i="10"/>
  <c r="DJ124" i="10"/>
  <c r="DJ122" i="10"/>
  <c r="DJ148" i="10"/>
  <c r="DJ146" i="10"/>
  <c r="DJ136" i="10"/>
  <c r="DJ149" i="10"/>
  <c r="DJ132" i="10"/>
  <c r="DJ105" i="10"/>
  <c r="DJ108" i="10"/>
  <c r="DJ118" i="10"/>
  <c r="DJ127" i="10"/>
  <c r="DJ125" i="10"/>
  <c r="DJ123" i="10"/>
  <c r="DJ142" i="10"/>
  <c r="DJ130" i="10"/>
  <c r="DJ111" i="10"/>
  <c r="DJ117" i="10"/>
  <c r="DJ144" i="10"/>
  <c r="DJ137" i="10"/>
  <c r="DJ141" i="10"/>
  <c r="DJ102" i="10"/>
  <c r="DJ101" i="10"/>
  <c r="DJ129" i="10"/>
  <c r="DJ135" i="10"/>
  <c r="DJ133" i="10"/>
  <c r="DJ131" i="10"/>
  <c r="DJ150" i="10"/>
  <c r="DJ115" i="10"/>
  <c r="DJ128" i="10"/>
  <c r="DJ126" i="10"/>
  <c r="DJ139" i="10"/>
  <c r="DJ143" i="10"/>
  <c r="DJ147" i="10"/>
  <c r="DK101" i="10"/>
  <c r="DK100" i="10"/>
  <c r="DK112" i="10"/>
  <c r="DK110" i="10"/>
  <c r="DK109" i="10"/>
  <c r="DK116" i="10"/>
  <c r="DK123" i="10"/>
  <c r="DK103" i="10"/>
  <c r="DK141" i="10"/>
  <c r="DK127" i="10"/>
  <c r="DK140" i="10"/>
  <c r="DK133" i="10"/>
  <c r="DK57" i="10"/>
  <c r="DK11" i="10" s="1"/>
  <c r="DK102" i="10"/>
  <c r="DK114" i="10"/>
  <c r="DK120" i="10"/>
  <c r="DK118" i="10"/>
  <c r="DK117" i="10"/>
  <c r="DK125" i="10"/>
  <c r="DK131" i="10"/>
  <c r="DK129" i="10"/>
  <c r="DK149" i="10"/>
  <c r="DK139" i="10"/>
  <c r="DK148" i="10"/>
  <c r="DK136" i="10"/>
  <c r="DK142" i="10"/>
  <c r="DK121" i="10"/>
  <c r="DK143" i="10"/>
  <c r="DK134" i="10"/>
  <c r="DK146" i="10"/>
  <c r="DK115" i="10"/>
  <c r="DK113" i="10"/>
  <c r="DK111" i="10"/>
  <c r="DK107" i="10"/>
  <c r="DK105" i="10"/>
  <c r="DK137" i="10"/>
  <c r="DK130" i="10"/>
  <c r="DK122" i="10"/>
  <c r="DK128" i="10"/>
  <c r="DK147" i="10"/>
  <c r="DK138" i="10"/>
  <c r="DK144" i="10"/>
  <c r="DK150" i="10"/>
  <c r="DK108" i="10"/>
  <c r="DK119" i="10"/>
  <c r="DK106" i="10"/>
  <c r="DK104" i="10"/>
  <c r="DK145" i="10"/>
  <c r="DK132" i="10"/>
  <c r="DK126" i="10"/>
  <c r="DK135" i="10"/>
  <c r="DK124" i="10"/>
  <c r="DL100" i="10"/>
  <c r="DL104" i="10"/>
  <c r="DL111" i="10"/>
  <c r="DL109" i="10"/>
  <c r="DL108" i="10"/>
  <c r="DL121" i="10"/>
  <c r="DL118" i="10"/>
  <c r="DL123" i="10"/>
  <c r="DL120" i="10"/>
  <c r="DL139" i="10"/>
  <c r="DL137" i="10"/>
  <c r="DL146" i="10"/>
  <c r="DL144" i="10"/>
  <c r="DL105" i="10"/>
  <c r="DL101" i="10"/>
  <c r="DL119" i="10"/>
  <c r="DL117" i="10"/>
  <c r="DL126" i="10"/>
  <c r="DL114" i="10"/>
  <c r="DL125" i="10"/>
  <c r="DL131" i="10"/>
  <c r="DL129" i="10"/>
  <c r="DL147" i="10"/>
  <c r="DL145" i="10"/>
  <c r="DL150" i="10"/>
  <c r="DL57" i="10"/>
  <c r="DL11" i="10" s="1"/>
  <c r="DL106" i="10"/>
  <c r="DL102" i="10"/>
  <c r="DL122" i="10"/>
  <c r="DL128" i="10"/>
  <c r="DL134" i="10"/>
  <c r="DL124" i="10"/>
  <c r="DL143" i="10"/>
  <c r="DL141" i="10"/>
  <c r="DL135" i="10"/>
  <c r="DL112" i="10"/>
  <c r="DL148" i="10"/>
  <c r="DL138" i="10"/>
  <c r="DL142" i="10"/>
  <c r="DL103" i="10"/>
  <c r="DL107" i="10"/>
  <c r="DL130" i="10"/>
  <c r="DL115" i="10"/>
  <c r="DL113" i="10"/>
  <c r="DL132" i="10"/>
  <c r="DL110" i="10"/>
  <c r="DL149" i="10"/>
  <c r="DL116" i="10"/>
  <c r="DL127" i="10"/>
  <c r="DL140" i="10"/>
  <c r="DL133" i="10"/>
  <c r="DL136" i="10"/>
  <c r="DM100" i="10"/>
  <c r="DM114" i="10"/>
  <c r="DM113" i="10"/>
  <c r="DM120" i="10"/>
  <c r="DM110" i="10"/>
  <c r="DM126" i="10"/>
  <c r="DM127" i="10"/>
  <c r="DM136" i="10"/>
  <c r="DM122" i="10"/>
  <c r="DM150" i="10"/>
  <c r="DM148" i="10"/>
  <c r="DM125" i="10"/>
  <c r="DM137" i="10"/>
  <c r="DM116" i="10"/>
  <c r="DM106" i="10"/>
  <c r="DM121" i="10"/>
  <c r="DM102" i="10"/>
  <c r="DM118" i="10"/>
  <c r="DM138" i="10"/>
  <c r="DM124" i="10"/>
  <c r="DM144" i="10"/>
  <c r="DM130" i="10"/>
  <c r="DM128" i="10"/>
  <c r="DM129" i="10"/>
  <c r="DM134" i="10"/>
  <c r="DM145" i="10"/>
  <c r="DM115" i="10"/>
  <c r="DM101" i="10"/>
  <c r="DM103" i="10"/>
  <c r="DM111" i="10"/>
  <c r="DM109" i="10"/>
  <c r="DM146" i="10"/>
  <c r="DM108" i="10"/>
  <c r="DM132" i="10"/>
  <c r="DM131" i="10"/>
  <c r="DM123" i="10"/>
  <c r="DM141" i="10"/>
  <c r="DM139" i="10"/>
  <c r="DM143" i="10"/>
  <c r="DM107" i="10"/>
  <c r="DM105" i="10"/>
  <c r="DM112" i="10"/>
  <c r="DM119" i="10"/>
  <c r="DM117" i="10"/>
  <c r="DM104" i="10"/>
  <c r="DM133" i="10"/>
  <c r="DM135" i="10"/>
  <c r="DM142" i="10"/>
  <c r="DM140" i="10"/>
  <c r="DM149" i="10"/>
  <c r="DM147" i="10"/>
  <c r="DM57" i="10"/>
  <c r="DM11" i="10" s="1"/>
  <c r="DN101" i="10"/>
  <c r="DN105" i="10"/>
  <c r="DN108" i="10"/>
  <c r="DN123" i="10"/>
  <c r="DN129" i="10"/>
  <c r="DN114" i="10"/>
  <c r="DN126" i="10"/>
  <c r="DN124" i="10"/>
  <c r="DN122" i="10"/>
  <c r="DN121" i="10"/>
  <c r="DN117" i="10"/>
  <c r="DN149" i="10"/>
  <c r="DN57" i="10"/>
  <c r="DN11" i="10" s="1"/>
  <c r="DN106" i="10"/>
  <c r="DN102" i="10"/>
  <c r="DN112" i="10"/>
  <c r="DN131" i="10"/>
  <c r="DN116" i="10"/>
  <c r="DN125" i="10"/>
  <c r="DN136" i="10"/>
  <c r="DN142" i="10"/>
  <c r="DN130" i="10"/>
  <c r="DN128" i="10"/>
  <c r="DN132" i="10"/>
  <c r="DN141" i="10"/>
  <c r="DN109" i="10"/>
  <c r="DN107" i="10"/>
  <c r="DN103" i="10"/>
  <c r="DN120" i="10"/>
  <c r="DN110" i="10"/>
  <c r="DN127" i="10"/>
  <c r="DN133" i="10"/>
  <c r="DN144" i="10"/>
  <c r="DN150" i="10"/>
  <c r="DN140" i="10"/>
  <c r="DN138" i="10"/>
  <c r="DN143" i="10"/>
  <c r="DN134" i="10"/>
  <c r="DN139" i="10"/>
  <c r="DN104" i="10"/>
  <c r="DN100" i="10"/>
  <c r="DN115" i="10"/>
  <c r="DN118" i="10"/>
  <c r="DN135" i="10"/>
  <c r="DN113" i="10"/>
  <c r="DN119" i="10"/>
  <c r="DN111" i="10"/>
  <c r="DN148" i="10"/>
  <c r="DN146" i="10"/>
  <c r="DN137" i="10"/>
  <c r="DN147" i="10"/>
  <c r="DN145" i="10"/>
  <c r="DO101" i="10"/>
  <c r="DO103" i="10"/>
  <c r="DO114" i="10"/>
  <c r="DO100" i="10"/>
  <c r="DO107" i="10"/>
  <c r="DO127" i="10"/>
  <c r="DO147" i="10"/>
  <c r="DO137" i="10"/>
  <c r="DO123" i="10"/>
  <c r="DO129" i="10"/>
  <c r="DO135" i="10"/>
  <c r="DO148" i="10"/>
  <c r="DO132" i="10"/>
  <c r="DO104" i="10"/>
  <c r="DO102" i="10"/>
  <c r="DO113" i="10"/>
  <c r="DO108" i="10"/>
  <c r="DO106" i="10"/>
  <c r="DO124" i="10"/>
  <c r="DO130" i="10"/>
  <c r="DO145" i="10"/>
  <c r="DO131" i="10"/>
  <c r="DO121" i="10"/>
  <c r="DO142" i="10"/>
  <c r="DO126" i="10"/>
  <c r="DO136" i="10"/>
  <c r="DO109" i="10"/>
  <c r="DO116" i="10"/>
  <c r="DO112" i="10"/>
  <c r="DO111" i="10"/>
  <c r="DO110" i="10"/>
  <c r="DO134" i="10"/>
  <c r="DO133" i="10"/>
  <c r="DO122" i="10"/>
  <c r="DO143" i="10"/>
  <c r="DO141" i="10"/>
  <c r="DO150" i="10"/>
  <c r="DO138" i="10"/>
  <c r="DO144" i="10"/>
  <c r="DO117" i="10"/>
  <c r="DO115" i="10"/>
  <c r="DO120" i="10"/>
  <c r="DO119" i="10"/>
  <c r="DO118" i="10"/>
  <c r="DO139" i="10"/>
  <c r="DO125" i="10"/>
  <c r="DO128" i="10"/>
  <c r="DO105" i="10"/>
  <c r="DO149" i="10"/>
  <c r="DO140" i="10"/>
  <c r="DO146" i="10"/>
  <c r="DO57" i="10"/>
  <c r="DO11" i="10" s="1"/>
  <c r="DP100" i="10"/>
  <c r="DP106" i="10"/>
  <c r="DP113" i="10"/>
  <c r="DP111" i="10"/>
  <c r="DP130" i="10"/>
  <c r="DP115" i="10"/>
  <c r="DP137" i="10"/>
  <c r="DP125" i="10"/>
  <c r="DP131" i="10"/>
  <c r="DP112" i="10"/>
  <c r="DP140" i="10"/>
  <c r="DP136" i="10"/>
  <c r="DP118" i="10"/>
  <c r="DP102" i="10"/>
  <c r="DP103" i="10"/>
  <c r="DP124" i="10"/>
  <c r="DP119" i="10"/>
  <c r="DP109" i="10"/>
  <c r="DP126" i="10"/>
  <c r="DP145" i="10"/>
  <c r="DP143" i="10"/>
  <c r="DP110" i="10"/>
  <c r="DP129" i="10"/>
  <c r="DP146" i="10"/>
  <c r="DP135" i="10"/>
  <c r="DP142" i="10"/>
  <c r="DP107" i="10"/>
  <c r="DP104" i="10"/>
  <c r="DP132" i="10"/>
  <c r="DP116" i="10"/>
  <c r="DP117" i="10"/>
  <c r="DP134" i="10"/>
  <c r="DP121" i="10"/>
  <c r="DP120" i="10"/>
  <c r="DP141" i="10"/>
  <c r="DP139" i="10"/>
  <c r="DP144" i="10"/>
  <c r="DP150" i="10"/>
  <c r="DP148" i="10"/>
  <c r="DP105" i="10"/>
  <c r="DP101" i="10"/>
  <c r="DP108" i="10"/>
  <c r="DP122" i="10"/>
  <c r="DP128" i="10"/>
  <c r="DP127" i="10"/>
  <c r="DP114" i="10"/>
  <c r="DP123" i="10"/>
  <c r="DP149" i="10"/>
  <c r="DP147" i="10"/>
  <c r="DP138" i="10"/>
  <c r="DP133" i="10"/>
  <c r="DP57" i="10"/>
  <c r="DP11" i="10" s="1"/>
  <c r="DQ100" i="10"/>
  <c r="DQ117" i="10"/>
  <c r="DQ115" i="10"/>
  <c r="DQ103" i="10"/>
  <c r="DQ120" i="10"/>
  <c r="DQ128" i="10"/>
  <c r="DQ125" i="10"/>
  <c r="DQ106" i="10"/>
  <c r="DQ144" i="10"/>
  <c r="DQ130" i="10"/>
  <c r="DQ150" i="10"/>
  <c r="DQ141" i="10"/>
  <c r="DQ147" i="10"/>
  <c r="DQ110" i="10"/>
  <c r="DQ102" i="10"/>
  <c r="DQ105" i="10"/>
  <c r="DQ113" i="10"/>
  <c r="DQ108" i="10"/>
  <c r="DQ140" i="10"/>
  <c r="DQ138" i="10"/>
  <c r="DQ101" i="10"/>
  <c r="DQ123" i="10"/>
  <c r="DQ132" i="10"/>
  <c r="DQ134" i="10"/>
  <c r="DQ149" i="10"/>
  <c r="DQ137" i="10"/>
  <c r="DQ118" i="10"/>
  <c r="DQ116" i="10"/>
  <c r="DQ114" i="10"/>
  <c r="DQ121" i="10"/>
  <c r="DQ111" i="10"/>
  <c r="DQ148" i="10"/>
  <c r="DQ146" i="10"/>
  <c r="DQ124" i="10"/>
  <c r="DQ129" i="10"/>
  <c r="DQ135" i="10"/>
  <c r="DQ143" i="10"/>
  <c r="DQ133" i="10"/>
  <c r="DQ145" i="10"/>
  <c r="DQ109" i="10"/>
  <c r="DQ107" i="10"/>
  <c r="DQ104" i="10"/>
  <c r="DQ112" i="10"/>
  <c r="DQ119" i="10"/>
  <c r="DQ126" i="10"/>
  <c r="DQ131" i="10"/>
  <c r="DQ136" i="10"/>
  <c r="DQ122" i="10"/>
  <c r="DQ142" i="10"/>
  <c r="DQ57" i="10"/>
  <c r="DQ11" i="10" s="1"/>
  <c r="DQ139" i="10"/>
  <c r="DQ127" i="10"/>
  <c r="DR103" i="10"/>
  <c r="DR106" i="10"/>
  <c r="DR102" i="10"/>
  <c r="DR112" i="10"/>
  <c r="DR110" i="10"/>
  <c r="DR129" i="10"/>
  <c r="DR135" i="10"/>
  <c r="DR146" i="10"/>
  <c r="DR115" i="10"/>
  <c r="DR142" i="10"/>
  <c r="DR111" i="10"/>
  <c r="DR149" i="10"/>
  <c r="DR145" i="10"/>
  <c r="DR100" i="10"/>
  <c r="DR107" i="10"/>
  <c r="DR114" i="10"/>
  <c r="DR120" i="10"/>
  <c r="DR118" i="10"/>
  <c r="DR116" i="10"/>
  <c r="DR113" i="10"/>
  <c r="DR126" i="10"/>
  <c r="DR124" i="10"/>
  <c r="DR150" i="10"/>
  <c r="DR140" i="10"/>
  <c r="DR141" i="10"/>
  <c r="DR139" i="10"/>
  <c r="DR108" i="10"/>
  <c r="DR104" i="10"/>
  <c r="DR125" i="10"/>
  <c r="DR123" i="10"/>
  <c r="DR117" i="10"/>
  <c r="DR109" i="10"/>
  <c r="DR128" i="10"/>
  <c r="DR136" i="10"/>
  <c r="DR119" i="10"/>
  <c r="DR122" i="10"/>
  <c r="DR148" i="10"/>
  <c r="DR147" i="10"/>
  <c r="DR137" i="10"/>
  <c r="DR101" i="10"/>
  <c r="DR105" i="10"/>
  <c r="DR133" i="10"/>
  <c r="DR131" i="10"/>
  <c r="DR121" i="10"/>
  <c r="DR127" i="10"/>
  <c r="DR138" i="10"/>
  <c r="DR144" i="10"/>
  <c r="DR132" i="10"/>
  <c r="DR130" i="10"/>
  <c r="DR143" i="10"/>
  <c r="DR134" i="10"/>
  <c r="DR57" i="10"/>
  <c r="DR11" i="10" s="1"/>
  <c r="DS101" i="10"/>
  <c r="DS105" i="10"/>
  <c r="DS100" i="10"/>
  <c r="DS116" i="10"/>
  <c r="DS112" i="10"/>
  <c r="DS129" i="10"/>
  <c r="DS127" i="10"/>
  <c r="DS103" i="10"/>
  <c r="DS137" i="10"/>
  <c r="DS131" i="10"/>
  <c r="DS136" i="10"/>
  <c r="DS142" i="10"/>
  <c r="DS148" i="10"/>
  <c r="DS106" i="10"/>
  <c r="DS104" i="10"/>
  <c r="DS102" i="10"/>
  <c r="DS115" i="10"/>
  <c r="DS120" i="10"/>
  <c r="DS141" i="10"/>
  <c r="DS139" i="10"/>
  <c r="DS108" i="10"/>
  <c r="DS145" i="10"/>
  <c r="DS143" i="10"/>
  <c r="DS144" i="10"/>
  <c r="DS150" i="10"/>
  <c r="DS138" i="10"/>
  <c r="DS111" i="10"/>
  <c r="DS110" i="10"/>
  <c r="DS109" i="10"/>
  <c r="DS114" i="10"/>
  <c r="DS107" i="10"/>
  <c r="DS149" i="10"/>
  <c r="DS147" i="10"/>
  <c r="DS126" i="10"/>
  <c r="DS135" i="10"/>
  <c r="DS124" i="10"/>
  <c r="DS128" i="10"/>
  <c r="DS134" i="10"/>
  <c r="DS146" i="10"/>
  <c r="DS119" i="10"/>
  <c r="DS118" i="10"/>
  <c r="DS117" i="10"/>
  <c r="DS113" i="10"/>
  <c r="DS121" i="10"/>
  <c r="DS122" i="10"/>
  <c r="DS125" i="10"/>
  <c r="DS133" i="10"/>
  <c r="DS123" i="10"/>
  <c r="DS130" i="10"/>
  <c r="DS132" i="10"/>
  <c r="DS140" i="10"/>
  <c r="DS57" i="10"/>
  <c r="DS11" i="10" s="1"/>
  <c r="DT100" i="10"/>
  <c r="DT107" i="10"/>
  <c r="DT108" i="10"/>
  <c r="DT134" i="10"/>
  <c r="DT111" i="10"/>
  <c r="DT109" i="10"/>
  <c r="DT121" i="10"/>
  <c r="DT112" i="10"/>
  <c r="DT137" i="10"/>
  <c r="DT116" i="10"/>
  <c r="DT141" i="10"/>
  <c r="DT144" i="10"/>
  <c r="DT148" i="10"/>
  <c r="DT104" i="10"/>
  <c r="DT105" i="10"/>
  <c r="DT115" i="10"/>
  <c r="DT113" i="10"/>
  <c r="DT119" i="10"/>
  <c r="DT117" i="10"/>
  <c r="DT129" i="10"/>
  <c r="DT114" i="10"/>
  <c r="DT145" i="10"/>
  <c r="DT123" i="10"/>
  <c r="DT149" i="10"/>
  <c r="DT150" i="10"/>
  <c r="DT146" i="10"/>
  <c r="DT101" i="10"/>
  <c r="DT106" i="10"/>
  <c r="DT110" i="10"/>
  <c r="DT124" i="10"/>
  <c r="DT122" i="10"/>
  <c r="DT118" i="10"/>
  <c r="DT139" i="10"/>
  <c r="DT127" i="10"/>
  <c r="DT125" i="10"/>
  <c r="DT131" i="10"/>
  <c r="DT138" i="10"/>
  <c r="DT136" i="10"/>
  <c r="DT140" i="10"/>
  <c r="DT102" i="10"/>
  <c r="DT103" i="10"/>
  <c r="DT126" i="10"/>
  <c r="DT132" i="10"/>
  <c r="DT130" i="10"/>
  <c r="DT128" i="10"/>
  <c r="DT147" i="10"/>
  <c r="DT133" i="10"/>
  <c r="DT143" i="10"/>
  <c r="DT120" i="10"/>
  <c r="DT135" i="10"/>
  <c r="DT142" i="10"/>
  <c r="DT57" i="10"/>
  <c r="DT11" i="10" s="1"/>
  <c r="DU100" i="10"/>
  <c r="DU119" i="10"/>
  <c r="DU117" i="10"/>
  <c r="DU116" i="10"/>
  <c r="DU115" i="10"/>
  <c r="DU113" i="10"/>
  <c r="DU142" i="10"/>
  <c r="DU128" i="10"/>
  <c r="DU123" i="10"/>
  <c r="DU124" i="10"/>
  <c r="DU133" i="10"/>
  <c r="DU132" i="10"/>
  <c r="DU141" i="10"/>
  <c r="DU112" i="10"/>
  <c r="DU110" i="10"/>
  <c r="DU104" i="10"/>
  <c r="DU106" i="10"/>
  <c r="DU103" i="10"/>
  <c r="DU121" i="10"/>
  <c r="DU150" i="10"/>
  <c r="DU134" i="10"/>
  <c r="DU126" i="10"/>
  <c r="DU127" i="10"/>
  <c r="DU137" i="10"/>
  <c r="DU135" i="10"/>
  <c r="DU149" i="10"/>
  <c r="DU120" i="10"/>
  <c r="DU118" i="10"/>
  <c r="DU101" i="10"/>
  <c r="DU108" i="10"/>
  <c r="DU114" i="10"/>
  <c r="DU122" i="10"/>
  <c r="DU125" i="10"/>
  <c r="DU140" i="10"/>
  <c r="DU138" i="10"/>
  <c r="DU136" i="10"/>
  <c r="DU145" i="10"/>
  <c r="DU129" i="10"/>
  <c r="DU139" i="10"/>
  <c r="DU111" i="10"/>
  <c r="DU109" i="10"/>
  <c r="DU107" i="10"/>
  <c r="DU105" i="10"/>
  <c r="DU102" i="10"/>
  <c r="DU130" i="10"/>
  <c r="DU131" i="10"/>
  <c r="DU148" i="10"/>
  <c r="DU146" i="10"/>
  <c r="DU144" i="10"/>
  <c r="DU143" i="10"/>
  <c r="DU57" i="10"/>
  <c r="DU11" i="10" s="1"/>
  <c r="DU147" i="10"/>
  <c r="DV105" i="10"/>
  <c r="DV108" i="10"/>
  <c r="DV104" i="10"/>
  <c r="DV135" i="10"/>
  <c r="DV133" i="10"/>
  <c r="DV131" i="10"/>
  <c r="DV117" i="10"/>
  <c r="DV134" i="10"/>
  <c r="DV128" i="10"/>
  <c r="DV126" i="10"/>
  <c r="DV142" i="10"/>
  <c r="DV141" i="10"/>
  <c r="DV145" i="10"/>
  <c r="DV102" i="10"/>
  <c r="DV101" i="10"/>
  <c r="DV116" i="10"/>
  <c r="DV114" i="10"/>
  <c r="DV112" i="10"/>
  <c r="DV110" i="10"/>
  <c r="DV122" i="10"/>
  <c r="DV140" i="10"/>
  <c r="DV138" i="10"/>
  <c r="DV136" i="10"/>
  <c r="DV150" i="10"/>
  <c r="DV57" i="10"/>
  <c r="DV11" i="10" s="1"/>
  <c r="DV137" i="10"/>
  <c r="DV103" i="10"/>
  <c r="DV106" i="10"/>
  <c r="DV119" i="10"/>
  <c r="DV111" i="10"/>
  <c r="DV120" i="10"/>
  <c r="DV118" i="10"/>
  <c r="DV130" i="10"/>
  <c r="DV148" i="10"/>
  <c r="DV146" i="10"/>
  <c r="DV144" i="10"/>
  <c r="DV113" i="10"/>
  <c r="DV139" i="10"/>
  <c r="DV143" i="10"/>
  <c r="DV100" i="10"/>
  <c r="DV107" i="10"/>
  <c r="DV127" i="10"/>
  <c r="DV125" i="10"/>
  <c r="DV123" i="10"/>
  <c r="DV129" i="10"/>
  <c r="DV132" i="10"/>
  <c r="DV109" i="10"/>
  <c r="DV115" i="10"/>
  <c r="DV124" i="10"/>
  <c r="DV147" i="10"/>
  <c r="DV121" i="10"/>
  <c r="DV149" i="10"/>
  <c r="DW101" i="10"/>
  <c r="DW108" i="10"/>
  <c r="DW111" i="10"/>
  <c r="DW110" i="10"/>
  <c r="DW116" i="10"/>
  <c r="DW121" i="10"/>
  <c r="DW135" i="10"/>
  <c r="DW149" i="10"/>
  <c r="DW147" i="10"/>
  <c r="DW137" i="10"/>
  <c r="DW146" i="10"/>
  <c r="DW57" i="10"/>
  <c r="DW11" i="10" s="1"/>
  <c r="DW130" i="10"/>
  <c r="DW113" i="10"/>
  <c r="DW112" i="10"/>
  <c r="DW119" i="10"/>
  <c r="DW118" i="10"/>
  <c r="DW115" i="10"/>
  <c r="DW123" i="10"/>
  <c r="DW143" i="10"/>
  <c r="DW126" i="10"/>
  <c r="DW124" i="10"/>
  <c r="DW145" i="10"/>
  <c r="DW136" i="10"/>
  <c r="DW142" i="10"/>
  <c r="DW134" i="10"/>
  <c r="DW107" i="10"/>
  <c r="DW120" i="10"/>
  <c r="DW103" i="10"/>
  <c r="DW109" i="10"/>
  <c r="DW100" i="10"/>
  <c r="DW131" i="10"/>
  <c r="DW129" i="10"/>
  <c r="DW127" i="10"/>
  <c r="DW125" i="10"/>
  <c r="DW132" i="10"/>
  <c r="DW144" i="10"/>
  <c r="DW150" i="10"/>
  <c r="DW140" i="10"/>
  <c r="DW106" i="10"/>
  <c r="DW104" i="10"/>
  <c r="DW102" i="10"/>
  <c r="DW117" i="10"/>
  <c r="DW114" i="10"/>
  <c r="DW128" i="10"/>
  <c r="DW141" i="10"/>
  <c r="DW139" i="10"/>
  <c r="DW105" i="10"/>
  <c r="DW138" i="10"/>
  <c r="DW133" i="10"/>
  <c r="DW122" i="10"/>
  <c r="DW148" i="10"/>
  <c r="DX100" i="10"/>
  <c r="DX101" i="10"/>
  <c r="DX109" i="10"/>
  <c r="DX115" i="10"/>
  <c r="DX113" i="10"/>
  <c r="DX111" i="10"/>
  <c r="DX123" i="10"/>
  <c r="DX118" i="10"/>
  <c r="DX147" i="10"/>
  <c r="DX145" i="10"/>
  <c r="DX133" i="10"/>
  <c r="DX144" i="10"/>
  <c r="DX142" i="10"/>
  <c r="DX106" i="10"/>
  <c r="DX102" i="10"/>
  <c r="DX117" i="10"/>
  <c r="DX120" i="10"/>
  <c r="DX112" i="10"/>
  <c r="DX119" i="10"/>
  <c r="DX131" i="10"/>
  <c r="DX121" i="10"/>
  <c r="DX110" i="10"/>
  <c r="DX116" i="10"/>
  <c r="DX135" i="10"/>
  <c r="DX150" i="10"/>
  <c r="DX57" i="10"/>
  <c r="DX11" i="10" s="1"/>
  <c r="DX103" i="10"/>
  <c r="DX107" i="10"/>
  <c r="DX108" i="10"/>
  <c r="DX126" i="10"/>
  <c r="DX124" i="10"/>
  <c r="DX122" i="10"/>
  <c r="DX141" i="10"/>
  <c r="DX129" i="10"/>
  <c r="DX127" i="10"/>
  <c r="DX125" i="10"/>
  <c r="DX143" i="10"/>
  <c r="DX148" i="10"/>
  <c r="DX140" i="10"/>
  <c r="DX104" i="10"/>
  <c r="DX105" i="10"/>
  <c r="DX128" i="10"/>
  <c r="DX134" i="10"/>
  <c r="DX132" i="10"/>
  <c r="DX130" i="10"/>
  <c r="DX149" i="10"/>
  <c r="DX139" i="10"/>
  <c r="DX137" i="10"/>
  <c r="DX114" i="10"/>
  <c r="DX138" i="10"/>
  <c r="DX136" i="10"/>
  <c r="DX146" i="10"/>
  <c r="DY100" i="10"/>
  <c r="DY121" i="10"/>
  <c r="DY111" i="10"/>
  <c r="DY107" i="10"/>
  <c r="DY105" i="10"/>
  <c r="DY115" i="10"/>
  <c r="DY122" i="10"/>
  <c r="DY150" i="10"/>
  <c r="DY148" i="10"/>
  <c r="DY138" i="10"/>
  <c r="DY147" i="10"/>
  <c r="DY145" i="10"/>
  <c r="DY57" i="10"/>
  <c r="DY11" i="10" s="1"/>
  <c r="DY114" i="10"/>
  <c r="DY108" i="10"/>
  <c r="DY119" i="10"/>
  <c r="DY109" i="10"/>
  <c r="DY116" i="10"/>
  <c r="DY124" i="10"/>
  <c r="DY130" i="10"/>
  <c r="DY102" i="10"/>
  <c r="DY127" i="10"/>
  <c r="DY146" i="10"/>
  <c r="DY134" i="10"/>
  <c r="DY132" i="10"/>
  <c r="DY141" i="10"/>
  <c r="DY101" i="10"/>
  <c r="DY112" i="10"/>
  <c r="DY110" i="10"/>
  <c r="DY117" i="10"/>
  <c r="DY104" i="10"/>
  <c r="DY136" i="10"/>
  <c r="DY129" i="10"/>
  <c r="DY128" i="10"/>
  <c r="DY133" i="10"/>
  <c r="DY125" i="10"/>
  <c r="DY131" i="10"/>
  <c r="DY135" i="10"/>
  <c r="DY149" i="10"/>
  <c r="DY113" i="10"/>
  <c r="DY120" i="10"/>
  <c r="DY118" i="10"/>
  <c r="DY106" i="10"/>
  <c r="DY103" i="10"/>
  <c r="DY144" i="10"/>
  <c r="DY142" i="10"/>
  <c r="DY140" i="10"/>
  <c r="DY126" i="10"/>
  <c r="DY139" i="10"/>
  <c r="DY137" i="10"/>
  <c r="DY143" i="10"/>
  <c r="DY123" i="10"/>
  <c r="DZ107" i="10"/>
  <c r="DZ103" i="10"/>
  <c r="DZ106" i="10"/>
  <c r="DZ116" i="10"/>
  <c r="DZ125" i="10"/>
  <c r="DZ113" i="10"/>
  <c r="DZ124" i="10"/>
  <c r="DZ109" i="10"/>
  <c r="DZ140" i="10"/>
  <c r="DZ134" i="10"/>
  <c r="DZ126" i="10"/>
  <c r="DZ132" i="10"/>
  <c r="DZ149" i="10"/>
  <c r="DZ104" i="10"/>
  <c r="DZ100" i="10"/>
  <c r="DZ110" i="10"/>
  <c r="DZ127" i="10"/>
  <c r="DZ133" i="10"/>
  <c r="DZ123" i="10"/>
  <c r="DZ115" i="10"/>
  <c r="DZ121" i="10"/>
  <c r="DZ148" i="10"/>
  <c r="DZ138" i="10"/>
  <c r="DZ136" i="10"/>
  <c r="DZ139" i="10"/>
  <c r="DZ137" i="10"/>
  <c r="DZ105" i="10"/>
  <c r="DZ108" i="10"/>
  <c r="DZ118" i="10"/>
  <c r="DZ135" i="10"/>
  <c r="DZ112" i="10"/>
  <c r="DZ131" i="10"/>
  <c r="DZ142" i="10"/>
  <c r="DZ122" i="10"/>
  <c r="DZ119" i="10"/>
  <c r="DZ146" i="10"/>
  <c r="DZ144" i="10"/>
  <c r="DZ145" i="10"/>
  <c r="DZ143" i="10"/>
  <c r="DZ102" i="10"/>
  <c r="DZ101" i="10"/>
  <c r="DZ129" i="10"/>
  <c r="DZ114" i="10"/>
  <c r="DZ120" i="10"/>
  <c r="DZ117" i="10"/>
  <c r="DZ150" i="10"/>
  <c r="DZ130" i="10"/>
  <c r="DZ128" i="10"/>
  <c r="DZ111" i="10"/>
  <c r="DZ147" i="10"/>
  <c r="DZ57" i="10"/>
  <c r="DZ11" i="10" s="1"/>
  <c r="DZ141" i="10"/>
  <c r="EA101" i="10"/>
  <c r="EA113" i="10"/>
  <c r="EA112" i="10"/>
  <c r="EA119" i="10"/>
  <c r="EA117" i="10"/>
  <c r="EA107" i="10"/>
  <c r="EA123" i="10"/>
  <c r="EA129" i="10"/>
  <c r="EA127" i="10"/>
  <c r="EA139" i="10"/>
  <c r="EA140" i="10"/>
  <c r="EA133" i="10"/>
  <c r="EA144" i="10"/>
  <c r="EA115" i="10"/>
  <c r="EA105" i="10"/>
  <c r="EA120" i="10"/>
  <c r="EA110" i="10"/>
  <c r="EA108" i="10"/>
  <c r="EA137" i="10"/>
  <c r="EA132" i="10"/>
  <c r="EA130" i="10"/>
  <c r="EA121" i="10"/>
  <c r="EA147" i="10"/>
  <c r="EA148" i="10"/>
  <c r="EA138" i="10"/>
  <c r="EA57" i="10"/>
  <c r="EA11" i="10" s="1"/>
  <c r="EA114" i="10"/>
  <c r="EA100" i="10"/>
  <c r="EA102" i="10"/>
  <c r="EA118" i="10"/>
  <c r="EA116" i="10"/>
  <c r="EA145" i="10"/>
  <c r="EA143" i="10"/>
  <c r="EA141" i="10"/>
  <c r="EA122" i="10"/>
  <c r="EA103" i="10"/>
  <c r="EA124" i="10"/>
  <c r="EA146" i="10"/>
  <c r="EA142" i="10"/>
  <c r="EA106" i="10"/>
  <c r="EA104" i="10"/>
  <c r="EA111" i="10"/>
  <c r="EA109" i="10"/>
  <c r="EA125" i="10"/>
  <c r="EA126" i="10"/>
  <c r="EA134" i="10"/>
  <c r="EA149" i="10"/>
  <c r="EA131" i="10"/>
  <c r="EA128" i="10"/>
  <c r="EA135" i="10"/>
  <c r="EA136" i="10"/>
  <c r="EA150" i="10"/>
  <c r="EB100" i="10"/>
  <c r="EB104" i="10"/>
  <c r="EB111" i="10"/>
  <c r="EB122" i="10"/>
  <c r="EB108" i="10"/>
  <c r="EB134" i="10"/>
  <c r="EB112" i="10"/>
  <c r="EB123" i="10"/>
  <c r="EB149" i="10"/>
  <c r="EB139" i="10"/>
  <c r="EB137" i="10"/>
  <c r="EB136" i="10"/>
  <c r="EB57" i="10"/>
  <c r="EB11" i="10" s="1"/>
  <c r="EB105" i="10"/>
  <c r="EB101" i="10"/>
  <c r="EB119" i="10"/>
  <c r="EB130" i="10"/>
  <c r="EB128" i="10"/>
  <c r="EB113" i="10"/>
  <c r="EB125" i="10"/>
  <c r="EB131" i="10"/>
  <c r="EB116" i="10"/>
  <c r="EB147" i="10"/>
  <c r="EB145" i="10"/>
  <c r="EB148" i="10"/>
  <c r="EB150" i="10"/>
  <c r="EB106" i="10"/>
  <c r="EB102" i="10"/>
  <c r="EB114" i="10"/>
  <c r="EB109" i="10"/>
  <c r="EB115" i="10"/>
  <c r="EB124" i="10"/>
  <c r="EB143" i="10"/>
  <c r="EB135" i="10"/>
  <c r="EB110" i="10"/>
  <c r="EB120" i="10"/>
  <c r="EB142" i="10"/>
  <c r="EB140" i="10"/>
  <c r="EB138" i="10"/>
  <c r="EB103" i="10"/>
  <c r="EB107" i="10"/>
  <c r="EB121" i="10"/>
  <c r="EB117" i="10"/>
  <c r="EB126" i="10"/>
  <c r="EB132" i="10"/>
  <c r="EB118" i="10"/>
  <c r="EB141" i="10"/>
  <c r="EB129" i="10"/>
  <c r="EB127" i="10"/>
  <c r="EB133" i="10"/>
  <c r="EB146" i="10"/>
  <c r="EB144" i="10"/>
  <c r="EC100" i="10"/>
  <c r="EC115" i="10"/>
  <c r="EC112" i="10"/>
  <c r="EC119" i="10"/>
  <c r="EC106" i="10"/>
  <c r="EC126" i="10"/>
  <c r="EC146" i="10"/>
  <c r="EC124" i="10"/>
  <c r="EC108" i="10"/>
  <c r="EC150" i="10"/>
  <c r="EC140" i="10"/>
  <c r="EC149" i="10"/>
  <c r="EC137" i="10"/>
  <c r="EC103" i="10"/>
  <c r="EC114" i="10"/>
  <c r="EC120" i="10"/>
  <c r="EC107" i="10"/>
  <c r="EC105" i="10"/>
  <c r="EC123" i="10"/>
  <c r="EC129" i="10"/>
  <c r="EC136" i="10"/>
  <c r="EC122" i="10"/>
  <c r="EC131" i="10"/>
  <c r="EC148" i="10"/>
  <c r="EC139" i="10"/>
  <c r="EC145" i="10"/>
  <c r="EC116" i="10"/>
  <c r="EC113" i="10"/>
  <c r="EC101" i="10"/>
  <c r="EC110" i="10"/>
  <c r="EC109" i="10"/>
  <c r="EC133" i="10"/>
  <c r="EC132" i="10"/>
  <c r="EC144" i="10"/>
  <c r="EC130" i="10"/>
  <c r="EC104" i="10"/>
  <c r="EC134" i="10"/>
  <c r="EC147" i="10"/>
  <c r="EC143" i="10"/>
  <c r="EC102" i="10"/>
  <c r="EC121" i="10"/>
  <c r="EC111" i="10"/>
  <c r="EC118" i="10"/>
  <c r="EC117" i="10"/>
  <c r="EC138" i="10"/>
  <c r="EC135" i="10"/>
  <c r="EC127" i="10"/>
  <c r="EC142" i="10"/>
  <c r="EC128" i="10"/>
  <c r="EC141" i="10"/>
  <c r="EC125" i="10"/>
  <c r="EC57" i="10"/>
  <c r="EC11" i="10" s="1"/>
  <c r="ED101" i="10"/>
  <c r="ED105" i="10"/>
  <c r="ED108" i="10"/>
  <c r="ED131" i="10"/>
  <c r="ED129" i="10"/>
  <c r="ED114" i="10"/>
  <c r="ED109" i="10"/>
  <c r="ED124" i="10"/>
  <c r="ED119" i="10"/>
  <c r="ED148" i="10"/>
  <c r="ED146" i="10"/>
  <c r="ED117" i="10"/>
  <c r="ED57" i="10"/>
  <c r="ED11" i="10" s="1"/>
  <c r="ED106" i="10"/>
  <c r="ED102" i="10"/>
  <c r="ED112" i="10"/>
  <c r="ED110" i="10"/>
  <c r="ED116" i="10"/>
  <c r="ED125" i="10"/>
  <c r="ED136" i="10"/>
  <c r="ED142" i="10"/>
  <c r="ED122" i="10"/>
  <c r="ED111" i="10"/>
  <c r="ED134" i="10"/>
  <c r="ED143" i="10"/>
  <c r="ED132" i="10"/>
  <c r="ED107" i="10"/>
  <c r="ED103" i="10"/>
  <c r="ED120" i="10"/>
  <c r="ED118" i="10"/>
  <c r="ED127" i="10"/>
  <c r="ED133" i="10"/>
  <c r="ED144" i="10"/>
  <c r="ED150" i="10"/>
  <c r="ED130" i="10"/>
  <c r="ED128" i="10"/>
  <c r="ED139" i="10"/>
  <c r="ED137" i="10"/>
  <c r="ED141" i="10"/>
  <c r="ED104" i="10"/>
  <c r="ED100" i="10"/>
  <c r="ED123" i="10"/>
  <c r="ED115" i="10"/>
  <c r="ED135" i="10"/>
  <c r="ED126" i="10"/>
  <c r="ED113" i="10"/>
  <c r="ED121" i="10"/>
  <c r="ED140" i="10"/>
  <c r="ED138" i="10"/>
  <c r="ED145" i="10"/>
  <c r="ED149" i="10"/>
  <c r="ED147" i="10"/>
  <c r="EE101" i="10"/>
  <c r="EE115" i="10"/>
  <c r="EE104" i="10"/>
  <c r="EE102" i="10"/>
  <c r="EE119" i="10"/>
  <c r="EE127" i="10"/>
  <c r="EE125" i="10"/>
  <c r="EE130" i="10"/>
  <c r="EE143" i="10"/>
  <c r="EE134" i="10"/>
  <c r="EE142" i="10"/>
  <c r="EE126" i="10"/>
  <c r="EE136" i="10"/>
  <c r="EE109" i="10"/>
  <c r="EE107" i="10"/>
  <c r="EE108" i="10"/>
  <c r="EE112" i="10"/>
  <c r="EE110" i="10"/>
  <c r="EE139" i="10"/>
  <c r="EE124" i="10"/>
  <c r="EE131" i="10"/>
  <c r="EE122" i="10"/>
  <c r="EE141" i="10"/>
  <c r="EE150" i="10"/>
  <c r="EE138" i="10"/>
  <c r="EE144" i="10"/>
  <c r="EE117" i="10"/>
  <c r="EE106" i="10"/>
  <c r="EE113" i="10"/>
  <c r="EE120" i="10"/>
  <c r="EE118" i="10"/>
  <c r="EE147" i="10"/>
  <c r="EE137" i="10"/>
  <c r="EE123" i="10"/>
  <c r="EE128" i="10"/>
  <c r="EE149" i="10"/>
  <c r="EE140" i="10"/>
  <c r="EE146" i="10"/>
  <c r="EE132" i="10"/>
  <c r="EE116" i="10"/>
  <c r="EE114" i="10"/>
  <c r="EE103" i="10"/>
  <c r="EE111" i="10"/>
  <c r="EE100" i="10"/>
  <c r="EE105" i="10"/>
  <c r="EE145" i="10"/>
  <c r="EE121" i="10"/>
  <c r="EE129" i="10"/>
  <c r="EE133" i="10"/>
  <c r="EE148" i="10"/>
  <c r="EE135" i="10"/>
  <c r="EE57" i="10"/>
  <c r="EE11" i="10" s="1"/>
  <c r="EF100" i="10"/>
  <c r="EF106" i="10"/>
  <c r="EF108" i="10"/>
  <c r="EF111" i="10"/>
  <c r="EF109" i="10"/>
  <c r="EF115" i="10"/>
  <c r="EF127" i="10"/>
  <c r="EF125" i="10"/>
  <c r="EF123" i="10"/>
  <c r="EF149" i="10"/>
  <c r="EF147" i="10"/>
  <c r="EF146" i="10"/>
  <c r="EF135" i="10"/>
  <c r="EF102" i="10"/>
  <c r="EF103" i="10"/>
  <c r="EF113" i="10"/>
  <c r="EF119" i="10"/>
  <c r="EF117" i="10"/>
  <c r="EF126" i="10"/>
  <c r="EF118" i="10"/>
  <c r="EF110" i="10"/>
  <c r="EF131" i="10"/>
  <c r="EF120" i="10"/>
  <c r="EF142" i="10"/>
  <c r="EF133" i="10"/>
  <c r="EF136" i="10"/>
  <c r="EF107" i="10"/>
  <c r="EF104" i="10"/>
  <c r="EF124" i="10"/>
  <c r="EF122" i="10"/>
  <c r="EF116" i="10"/>
  <c r="EF134" i="10"/>
  <c r="EF137" i="10"/>
  <c r="EF143" i="10"/>
  <c r="EF121" i="10"/>
  <c r="EF129" i="10"/>
  <c r="EF148" i="10"/>
  <c r="EF144" i="10"/>
  <c r="EF150" i="10"/>
  <c r="EF105" i="10"/>
  <c r="EF101" i="10"/>
  <c r="EF132" i="10"/>
  <c r="EF130" i="10"/>
  <c r="EF128" i="10"/>
  <c r="EF112" i="10"/>
  <c r="EF145" i="10"/>
  <c r="EF114" i="10"/>
  <c r="EF141" i="10"/>
  <c r="EF139" i="10"/>
  <c r="EF140" i="10"/>
  <c r="EF138" i="10"/>
  <c r="EF57" i="10"/>
  <c r="EF11" i="10" s="1"/>
  <c r="EG100" i="10"/>
  <c r="EG104" i="10"/>
  <c r="EG116" i="10"/>
  <c r="EG113" i="10"/>
  <c r="EG107" i="10"/>
  <c r="EG128" i="10"/>
  <c r="EG138" i="10"/>
  <c r="EG102" i="10"/>
  <c r="EG136" i="10"/>
  <c r="EG130" i="10"/>
  <c r="EG129" i="10"/>
  <c r="EG139" i="10"/>
  <c r="EG137" i="10"/>
  <c r="EG105" i="10"/>
  <c r="EG103" i="10"/>
  <c r="EG115" i="10"/>
  <c r="EG121" i="10"/>
  <c r="EG111" i="10"/>
  <c r="EG140" i="10"/>
  <c r="EG146" i="10"/>
  <c r="EG125" i="10"/>
  <c r="EG144" i="10"/>
  <c r="EG142" i="10"/>
  <c r="EG143" i="10"/>
  <c r="EG147" i="10"/>
  <c r="EG145" i="10"/>
  <c r="EG110" i="10"/>
  <c r="EG109" i="10"/>
  <c r="EG114" i="10"/>
  <c r="EG112" i="10"/>
  <c r="EG119" i="10"/>
  <c r="EG148" i="10"/>
  <c r="EG124" i="10"/>
  <c r="EG132" i="10"/>
  <c r="EG134" i="10"/>
  <c r="EG150" i="10"/>
  <c r="EG141" i="10"/>
  <c r="EG127" i="10"/>
  <c r="EG131" i="10"/>
  <c r="EG118" i="10"/>
  <c r="EG117" i="10"/>
  <c r="EG108" i="10"/>
  <c r="EG120" i="10"/>
  <c r="EG106" i="10"/>
  <c r="EG126" i="10"/>
  <c r="EG101" i="10"/>
  <c r="EG135" i="10"/>
  <c r="EG122" i="10"/>
  <c r="EG123" i="10"/>
  <c r="EG149" i="10"/>
  <c r="EG57" i="10"/>
  <c r="EG11" i="10" s="1"/>
  <c r="EG133" i="10"/>
  <c r="EH103" i="10"/>
  <c r="EH106" i="10"/>
  <c r="EH102" i="10"/>
  <c r="EH133" i="10"/>
  <c r="EH123" i="10"/>
  <c r="EH129" i="10"/>
  <c r="EH135" i="10"/>
  <c r="EH113" i="10"/>
  <c r="EH136" i="10"/>
  <c r="EH150" i="10"/>
  <c r="EH130" i="10"/>
  <c r="EH134" i="10"/>
  <c r="EH147" i="10"/>
  <c r="EH100" i="10"/>
  <c r="EH107" i="10"/>
  <c r="EH114" i="10"/>
  <c r="EH112" i="10"/>
  <c r="EH131" i="10"/>
  <c r="EH116" i="10"/>
  <c r="EH128" i="10"/>
  <c r="EH126" i="10"/>
  <c r="EH144" i="10"/>
  <c r="EH111" i="10"/>
  <c r="EH140" i="10"/>
  <c r="EH143" i="10"/>
  <c r="EH145" i="10"/>
  <c r="EH108" i="10"/>
  <c r="EH104" i="10"/>
  <c r="EH109" i="10"/>
  <c r="EH120" i="10"/>
  <c r="EH110" i="10"/>
  <c r="EH117" i="10"/>
  <c r="EH138" i="10"/>
  <c r="EH119" i="10"/>
  <c r="EH124" i="10"/>
  <c r="EH115" i="10"/>
  <c r="EH148" i="10"/>
  <c r="EH149" i="10"/>
  <c r="EH139" i="10"/>
  <c r="EH101" i="10"/>
  <c r="EH105" i="10"/>
  <c r="EH125" i="10"/>
  <c r="EH121" i="10"/>
  <c r="EH118" i="10"/>
  <c r="EH127" i="10"/>
  <c r="EH146" i="10"/>
  <c r="EH132" i="10"/>
  <c r="EH142" i="10"/>
  <c r="EH122" i="10"/>
  <c r="EH137" i="10"/>
  <c r="EH141" i="10"/>
  <c r="EH57" i="10"/>
  <c r="EH11" i="10" s="1"/>
  <c r="EI101" i="10"/>
  <c r="EI118" i="10"/>
  <c r="EI103" i="10"/>
  <c r="EI105" i="10"/>
  <c r="EI113" i="10"/>
  <c r="EI131" i="10"/>
  <c r="EI130" i="10"/>
  <c r="EI147" i="10"/>
  <c r="EI108" i="10"/>
  <c r="EI123" i="10"/>
  <c r="EI136" i="10"/>
  <c r="EI150" i="10"/>
  <c r="EI138" i="10"/>
  <c r="EI111" i="10"/>
  <c r="EI109" i="10"/>
  <c r="EI100" i="10"/>
  <c r="EI104" i="10"/>
  <c r="EI112" i="10"/>
  <c r="EI141" i="10"/>
  <c r="EI127" i="10"/>
  <c r="EI135" i="10"/>
  <c r="EI137" i="10"/>
  <c r="EI126" i="10"/>
  <c r="EI144" i="10"/>
  <c r="EI140" i="10"/>
  <c r="EI146" i="10"/>
  <c r="EI119" i="10"/>
  <c r="EI117" i="10"/>
  <c r="EI106" i="10"/>
  <c r="EI114" i="10"/>
  <c r="EI120" i="10"/>
  <c r="EI149" i="10"/>
  <c r="EI133" i="10"/>
  <c r="EI122" i="10"/>
  <c r="EI145" i="10"/>
  <c r="EI143" i="10"/>
  <c r="EI107" i="10"/>
  <c r="EI148" i="10"/>
  <c r="EI134" i="10"/>
  <c r="EI110" i="10"/>
  <c r="EI116" i="10"/>
  <c r="EI115" i="10"/>
  <c r="EI102" i="10"/>
  <c r="EI129" i="10"/>
  <c r="EI124" i="10"/>
  <c r="EI139" i="10"/>
  <c r="EI125" i="10"/>
  <c r="EI121" i="10"/>
  <c r="EI132" i="10"/>
  <c r="EI142" i="10"/>
  <c r="EI57" i="10"/>
  <c r="EI11" i="10" s="1"/>
  <c r="EI128" i="10"/>
  <c r="EJ100" i="10"/>
  <c r="EJ107" i="10"/>
  <c r="EJ115" i="10"/>
  <c r="EJ113" i="10"/>
  <c r="EJ111" i="10"/>
  <c r="EJ108" i="10"/>
  <c r="EJ116" i="10"/>
  <c r="EJ147" i="10"/>
  <c r="EJ114" i="10"/>
  <c r="EJ121" i="10"/>
  <c r="EJ149" i="10"/>
  <c r="EJ138" i="10"/>
  <c r="EJ57" i="10"/>
  <c r="EJ11" i="10" s="1"/>
  <c r="EJ104" i="10"/>
  <c r="EJ105" i="10"/>
  <c r="EJ118" i="10"/>
  <c r="EJ110" i="10"/>
  <c r="EJ119" i="10"/>
  <c r="EJ109" i="10"/>
  <c r="EJ129" i="10"/>
  <c r="EJ127" i="10"/>
  <c r="EJ125" i="10"/>
  <c r="EJ123" i="10"/>
  <c r="EJ135" i="10"/>
  <c r="EJ112" i="10"/>
  <c r="EJ136" i="10"/>
  <c r="EJ101" i="10"/>
  <c r="EJ106" i="10"/>
  <c r="EJ126" i="10"/>
  <c r="EJ124" i="10"/>
  <c r="EJ122" i="10"/>
  <c r="EJ117" i="10"/>
  <c r="EJ133" i="10"/>
  <c r="EJ137" i="10"/>
  <c r="EJ143" i="10"/>
  <c r="EJ131" i="10"/>
  <c r="EJ146" i="10"/>
  <c r="EJ144" i="10"/>
  <c r="EJ142" i="10"/>
  <c r="EJ102" i="10"/>
  <c r="EJ103" i="10"/>
  <c r="EJ134" i="10"/>
  <c r="EJ132" i="10"/>
  <c r="EJ130" i="10"/>
  <c r="EJ128" i="10"/>
  <c r="EJ139" i="10"/>
  <c r="EJ145" i="10"/>
  <c r="EJ120" i="10"/>
  <c r="EJ141" i="10"/>
  <c r="EJ140" i="10"/>
  <c r="EJ150" i="10"/>
  <c r="EJ148" i="10"/>
  <c r="EK100" i="10"/>
  <c r="EK106" i="10"/>
  <c r="EK103" i="10"/>
  <c r="EK108" i="10"/>
  <c r="EK115" i="10"/>
  <c r="EK121" i="10"/>
  <c r="EK134" i="10"/>
  <c r="EK140" i="10"/>
  <c r="EK138" i="10"/>
  <c r="EK104" i="10"/>
  <c r="EK137" i="10"/>
  <c r="EK57" i="10"/>
  <c r="EK11" i="10" s="1"/>
  <c r="EK139" i="10"/>
  <c r="EK107" i="10"/>
  <c r="EK105" i="10"/>
  <c r="EK110" i="10"/>
  <c r="EK109" i="10"/>
  <c r="EK101" i="10"/>
  <c r="EK122" i="10"/>
  <c r="EK142" i="10"/>
  <c r="EK148" i="10"/>
  <c r="EK146" i="10"/>
  <c r="EK136" i="10"/>
  <c r="EK145" i="10"/>
  <c r="EK141" i="10"/>
  <c r="EK147" i="10"/>
  <c r="EK112" i="10"/>
  <c r="EK111" i="10"/>
  <c r="EK118" i="10"/>
  <c r="EK117" i="10"/>
  <c r="EK114" i="10"/>
  <c r="EK130" i="10"/>
  <c r="EK150" i="10"/>
  <c r="EK125" i="10"/>
  <c r="EK123" i="10"/>
  <c r="EK144" i="10"/>
  <c r="EK129" i="10"/>
  <c r="EK149" i="10"/>
  <c r="EK132" i="10"/>
  <c r="EK120" i="10"/>
  <c r="EK119" i="10"/>
  <c r="EK102" i="10"/>
  <c r="EK116" i="10"/>
  <c r="EK113" i="10"/>
  <c r="EK127" i="10"/>
  <c r="EK128" i="10"/>
  <c r="EK126" i="10"/>
  <c r="EK124" i="10"/>
  <c r="EK131" i="10"/>
  <c r="EK143" i="10"/>
  <c r="EK133" i="10"/>
  <c r="EK135" i="10"/>
  <c r="EL105" i="10"/>
  <c r="EL108" i="10"/>
  <c r="EL104" i="10"/>
  <c r="EL114" i="10"/>
  <c r="EL112" i="10"/>
  <c r="EL131" i="10"/>
  <c r="EL122" i="10"/>
  <c r="EL117" i="10"/>
  <c r="EL146" i="10"/>
  <c r="EL136" i="10"/>
  <c r="EL132" i="10"/>
  <c r="EL137" i="10"/>
  <c r="EL141" i="10"/>
  <c r="EL102" i="10"/>
  <c r="EL101" i="10"/>
  <c r="EL116" i="10"/>
  <c r="EL119" i="10"/>
  <c r="EL120" i="10"/>
  <c r="EL110" i="10"/>
  <c r="EL130" i="10"/>
  <c r="EL128" i="10"/>
  <c r="EL121" i="10"/>
  <c r="EL144" i="10"/>
  <c r="EL134" i="10"/>
  <c r="EL143" i="10"/>
  <c r="EL139" i="10"/>
  <c r="EL103" i="10"/>
  <c r="EL106" i="10"/>
  <c r="EL127" i="10"/>
  <c r="EL125" i="10"/>
  <c r="EL111" i="10"/>
  <c r="EL118" i="10"/>
  <c r="EL140" i="10"/>
  <c r="EL113" i="10"/>
  <c r="EL109" i="10"/>
  <c r="EL115" i="10"/>
  <c r="EL142" i="10"/>
  <c r="EL149" i="10"/>
  <c r="EL57" i="10"/>
  <c r="EL11" i="10" s="1"/>
  <c r="EL100" i="10"/>
  <c r="EL107" i="10"/>
  <c r="EL135" i="10"/>
  <c r="EL133" i="10"/>
  <c r="EL123" i="10"/>
  <c r="EL129" i="10"/>
  <c r="EL148" i="10"/>
  <c r="EL138" i="10"/>
  <c r="EL126" i="10"/>
  <c r="EL124" i="10"/>
  <c r="EL150" i="10"/>
  <c r="EL147" i="10"/>
  <c r="EL145" i="10"/>
  <c r="EM101" i="10"/>
  <c r="EM120" i="10"/>
  <c r="EM118" i="10"/>
  <c r="EM106" i="10"/>
  <c r="EM104" i="10"/>
  <c r="EM108" i="10"/>
  <c r="EM129" i="10"/>
  <c r="EM127" i="10"/>
  <c r="EM132" i="10"/>
  <c r="EM137" i="10"/>
  <c r="EM146" i="10"/>
  <c r="EM134" i="10"/>
  <c r="EM130" i="10"/>
  <c r="EM113" i="10"/>
  <c r="EM111" i="10"/>
  <c r="EM109" i="10"/>
  <c r="EM116" i="10"/>
  <c r="EM115" i="10"/>
  <c r="EM114" i="10"/>
  <c r="EM128" i="10"/>
  <c r="EM139" i="10"/>
  <c r="EM131" i="10"/>
  <c r="EM145" i="10"/>
  <c r="EM136" i="10"/>
  <c r="EM142" i="10"/>
  <c r="EM140" i="10"/>
  <c r="EM100" i="10"/>
  <c r="EM119" i="10"/>
  <c r="EM117" i="10"/>
  <c r="EM105" i="10"/>
  <c r="EM103" i="10"/>
  <c r="EM123" i="10"/>
  <c r="EM141" i="10"/>
  <c r="EM147" i="10"/>
  <c r="EM125" i="10"/>
  <c r="EM124" i="10"/>
  <c r="EM144" i="10"/>
  <c r="EM150" i="10"/>
  <c r="EM148" i="10"/>
  <c r="EM112" i="10"/>
  <c r="EM110" i="10"/>
  <c r="EM107" i="10"/>
  <c r="EM121" i="10"/>
  <c r="EM102" i="10"/>
  <c r="EM143" i="10"/>
  <c r="EM149" i="10"/>
  <c r="EM126" i="10"/>
  <c r="EM135" i="10"/>
  <c r="EM138" i="10"/>
  <c r="EM57" i="10"/>
  <c r="EM11" i="10" s="1"/>
  <c r="EM133" i="10"/>
  <c r="EM122" i="10"/>
  <c r="EN100" i="10"/>
  <c r="EN101" i="10"/>
  <c r="EN109" i="10"/>
  <c r="EN126" i="10"/>
  <c r="EN124" i="10"/>
  <c r="EN112" i="10"/>
  <c r="EN116" i="10"/>
  <c r="EN129" i="10"/>
  <c r="EN118" i="10"/>
  <c r="EN135" i="10"/>
  <c r="EN125" i="10"/>
  <c r="EN144" i="10"/>
  <c r="EN136" i="10"/>
  <c r="EN106" i="10"/>
  <c r="EN102" i="10"/>
  <c r="EN117" i="10"/>
  <c r="EN134" i="10"/>
  <c r="EN132" i="10"/>
  <c r="EN122" i="10"/>
  <c r="EN123" i="10"/>
  <c r="EN108" i="10"/>
  <c r="EN127" i="10"/>
  <c r="EN137" i="10"/>
  <c r="EN143" i="10"/>
  <c r="EN150" i="10"/>
  <c r="EN131" i="10"/>
  <c r="EN103" i="10"/>
  <c r="EN107" i="10"/>
  <c r="EN128" i="10"/>
  <c r="EN113" i="10"/>
  <c r="EN111" i="10"/>
  <c r="EN130" i="10"/>
  <c r="EN141" i="10"/>
  <c r="EN139" i="10"/>
  <c r="EN133" i="10"/>
  <c r="EN145" i="10"/>
  <c r="EN146" i="10"/>
  <c r="EN57" i="10"/>
  <c r="EN11" i="10" s="1"/>
  <c r="EN142" i="10"/>
  <c r="EN104" i="10"/>
  <c r="EN105" i="10"/>
  <c r="EN115" i="10"/>
  <c r="EN120" i="10"/>
  <c r="EN119" i="10"/>
  <c r="EN121" i="10"/>
  <c r="EN149" i="10"/>
  <c r="EN147" i="10"/>
  <c r="EN114" i="10"/>
  <c r="EN110" i="10"/>
  <c r="EN138" i="10"/>
  <c r="EN148" i="10"/>
  <c r="EN140" i="10"/>
  <c r="EO100" i="10"/>
  <c r="EO113" i="10"/>
  <c r="EO120" i="10"/>
  <c r="EO111" i="10"/>
  <c r="EO109" i="10"/>
  <c r="EO124" i="10"/>
  <c r="EO125" i="10"/>
  <c r="EO142" i="10"/>
  <c r="EO129" i="10"/>
  <c r="EO126" i="10"/>
  <c r="EO139" i="10"/>
  <c r="EO135" i="10"/>
  <c r="EO134" i="10"/>
  <c r="EO108" i="10"/>
  <c r="EO121" i="10"/>
  <c r="EO101" i="10"/>
  <c r="EO119" i="10"/>
  <c r="EO117" i="10"/>
  <c r="EO106" i="10"/>
  <c r="EO122" i="10"/>
  <c r="EO150" i="10"/>
  <c r="EO140" i="10"/>
  <c r="EO138" i="10"/>
  <c r="EO147" i="10"/>
  <c r="EO137" i="10"/>
  <c r="EO57" i="10"/>
  <c r="EO11" i="10" s="1"/>
  <c r="EO114" i="10"/>
  <c r="EO105" i="10"/>
  <c r="EO104" i="10"/>
  <c r="EO110" i="10"/>
  <c r="EO116" i="10"/>
  <c r="EO136" i="10"/>
  <c r="EO130" i="10"/>
  <c r="EO133" i="10"/>
  <c r="EO148" i="10"/>
  <c r="EO146" i="10"/>
  <c r="EO123" i="10"/>
  <c r="EO145" i="10"/>
  <c r="EO141" i="10"/>
  <c r="EO107" i="10"/>
  <c r="EO112" i="10"/>
  <c r="EO103" i="10"/>
  <c r="EO118" i="10"/>
  <c r="EO115" i="10"/>
  <c r="EO144" i="10"/>
  <c r="EO131" i="10"/>
  <c r="EO128" i="10"/>
  <c r="EO102" i="10"/>
  <c r="EO127" i="10"/>
  <c r="EO132" i="10"/>
  <c r="EO143" i="10"/>
  <c r="EO149" i="10"/>
  <c r="EP107" i="10"/>
  <c r="EP103" i="10"/>
  <c r="EP106" i="10"/>
  <c r="EP129" i="10"/>
  <c r="EP114" i="10"/>
  <c r="EP120" i="10"/>
  <c r="EP121" i="10"/>
  <c r="EP117" i="10"/>
  <c r="EP140" i="10"/>
  <c r="EP138" i="10"/>
  <c r="EP136" i="10"/>
  <c r="EP147" i="10"/>
  <c r="EP145" i="10"/>
  <c r="EP104" i="10"/>
  <c r="EP100" i="10"/>
  <c r="EP110" i="10"/>
  <c r="EP116" i="10"/>
  <c r="EP125" i="10"/>
  <c r="EP123" i="10"/>
  <c r="EP124" i="10"/>
  <c r="EP122" i="10"/>
  <c r="EP148" i="10"/>
  <c r="EP146" i="10"/>
  <c r="EP144" i="10"/>
  <c r="EP57" i="10"/>
  <c r="EP11" i="10" s="1"/>
  <c r="EP149" i="10"/>
  <c r="EP105" i="10"/>
  <c r="EP108" i="10"/>
  <c r="EP118" i="10"/>
  <c r="EP127" i="10"/>
  <c r="EP133" i="10"/>
  <c r="EP131" i="10"/>
  <c r="EP142" i="10"/>
  <c r="EP130" i="10"/>
  <c r="EP109" i="10"/>
  <c r="EP119" i="10"/>
  <c r="EP115" i="10"/>
  <c r="EP139" i="10"/>
  <c r="EP137" i="10"/>
  <c r="EP102" i="10"/>
  <c r="EP101" i="10"/>
  <c r="EP113" i="10"/>
  <c r="EP135" i="10"/>
  <c r="EP112" i="10"/>
  <c r="EP111" i="10"/>
  <c r="EP150" i="10"/>
  <c r="EP134" i="10"/>
  <c r="EP128" i="10"/>
  <c r="EP126" i="10"/>
  <c r="EP141" i="10"/>
  <c r="EP132" i="10"/>
  <c r="EP143" i="10"/>
  <c r="EQ101" i="10"/>
  <c r="EQ113" i="10"/>
  <c r="EQ119" i="10"/>
  <c r="EQ118" i="10"/>
  <c r="EQ105" i="10"/>
  <c r="EQ125" i="10"/>
  <c r="EQ145" i="10"/>
  <c r="EQ123" i="10"/>
  <c r="EQ141" i="10"/>
  <c r="EQ130" i="10"/>
  <c r="EQ140" i="10"/>
  <c r="EQ124" i="10"/>
  <c r="EQ57" i="10"/>
  <c r="EQ11" i="10" s="1"/>
  <c r="EQ102" i="10"/>
  <c r="EQ112" i="10"/>
  <c r="EQ108" i="10"/>
  <c r="EQ106" i="10"/>
  <c r="EQ104" i="10"/>
  <c r="EQ122" i="10"/>
  <c r="EQ128" i="10"/>
  <c r="EQ143" i="10"/>
  <c r="EQ149" i="10"/>
  <c r="EQ139" i="10"/>
  <c r="EQ148" i="10"/>
  <c r="EQ136" i="10"/>
  <c r="EQ142" i="10"/>
  <c r="EQ115" i="10"/>
  <c r="EQ120" i="10"/>
  <c r="EQ100" i="10"/>
  <c r="EQ109" i="10"/>
  <c r="EQ116" i="10"/>
  <c r="EQ132" i="10"/>
  <c r="EQ131" i="10"/>
  <c r="EQ126" i="10"/>
  <c r="EQ103" i="10"/>
  <c r="EQ147" i="10"/>
  <c r="EQ138" i="10"/>
  <c r="EQ144" i="10"/>
  <c r="EQ150" i="10"/>
  <c r="EQ114" i="10"/>
  <c r="EQ111" i="10"/>
  <c r="EQ110" i="10"/>
  <c r="EQ117" i="10"/>
  <c r="EQ107" i="10"/>
  <c r="EQ137" i="10"/>
  <c r="EQ134" i="10"/>
  <c r="EQ129" i="10"/>
  <c r="EQ127" i="10"/>
  <c r="EQ133" i="10"/>
  <c r="EQ146" i="10"/>
  <c r="EQ135" i="10"/>
  <c r="EQ121" i="10"/>
  <c r="ER100" i="10"/>
  <c r="ER104" i="10"/>
  <c r="ER111" i="10"/>
  <c r="ER130" i="10"/>
  <c r="ER128" i="10"/>
  <c r="ER113" i="10"/>
  <c r="ER120" i="10"/>
  <c r="ER112" i="10"/>
  <c r="ER118" i="10"/>
  <c r="ER110" i="10"/>
  <c r="ER131" i="10"/>
  <c r="ER142" i="10"/>
  <c r="ER57" i="10"/>
  <c r="ER11" i="10" s="1"/>
  <c r="ER105" i="10"/>
  <c r="ER101" i="10"/>
  <c r="ER119" i="10"/>
  <c r="ER109" i="10"/>
  <c r="ER115" i="10"/>
  <c r="ER121" i="10"/>
  <c r="ER125" i="10"/>
  <c r="ER123" i="10"/>
  <c r="ER129" i="10"/>
  <c r="ER127" i="10"/>
  <c r="ER150" i="10"/>
  <c r="ER136" i="10"/>
  <c r="ER116" i="10"/>
  <c r="ER106" i="10"/>
  <c r="ER102" i="10"/>
  <c r="ER108" i="10"/>
  <c r="ER117" i="10"/>
  <c r="ER126" i="10"/>
  <c r="ER124" i="10"/>
  <c r="ER135" i="10"/>
  <c r="ER141" i="10"/>
  <c r="ER139" i="10"/>
  <c r="ER137" i="10"/>
  <c r="ER138" i="10"/>
  <c r="ER133" i="10"/>
  <c r="ER140" i="10"/>
  <c r="ER103" i="10"/>
  <c r="ER107" i="10"/>
  <c r="ER122" i="10"/>
  <c r="ER114" i="10"/>
  <c r="ER134" i="10"/>
  <c r="ER132" i="10"/>
  <c r="ER143" i="10"/>
  <c r="ER149" i="10"/>
  <c r="ER147" i="10"/>
  <c r="ER145" i="10"/>
  <c r="ER144" i="10"/>
  <c r="ER148" i="10"/>
  <c r="ER146" i="10"/>
  <c r="ES100" i="10"/>
  <c r="ES114" i="10"/>
  <c r="ES121" i="10"/>
  <c r="ES120" i="10"/>
  <c r="ES110" i="10"/>
  <c r="ES117" i="10"/>
  <c r="ES124" i="10"/>
  <c r="ES129" i="10"/>
  <c r="ES150" i="10"/>
  <c r="ES140" i="10"/>
  <c r="ES104" i="10"/>
  <c r="ES147" i="10"/>
  <c r="ES125" i="10"/>
  <c r="ES116" i="10"/>
  <c r="ES106" i="10"/>
  <c r="ES108" i="10"/>
  <c r="ES102" i="10"/>
  <c r="ES118" i="10"/>
  <c r="ES126" i="10"/>
  <c r="ES123" i="10"/>
  <c r="ES122" i="10"/>
  <c r="ES127" i="10"/>
  <c r="ES148" i="10"/>
  <c r="ES141" i="10"/>
  <c r="ES131" i="10"/>
  <c r="ES134" i="10"/>
  <c r="ES115" i="10"/>
  <c r="ES105" i="10"/>
  <c r="ES103" i="10"/>
  <c r="ES111" i="10"/>
  <c r="ES101" i="10"/>
  <c r="ES138" i="10"/>
  <c r="ES136" i="10"/>
  <c r="ES130" i="10"/>
  <c r="ES128" i="10"/>
  <c r="ES132" i="10"/>
  <c r="ES149" i="10"/>
  <c r="ES137" i="10"/>
  <c r="ES143" i="10"/>
  <c r="ES107" i="10"/>
  <c r="ES113" i="10"/>
  <c r="ES112" i="10"/>
  <c r="ES119" i="10"/>
  <c r="ES109" i="10"/>
  <c r="ES146" i="10"/>
  <c r="ES144" i="10"/>
  <c r="ES142" i="10"/>
  <c r="ES133" i="10"/>
  <c r="ES135" i="10"/>
  <c r="ES139" i="10"/>
  <c r="ES145" i="10"/>
  <c r="ES57" i="10"/>
  <c r="ES11" i="10" s="1"/>
  <c r="ET101" i="10"/>
  <c r="ET105" i="10"/>
  <c r="ET108" i="10"/>
  <c r="ET131" i="10"/>
  <c r="ET116" i="10"/>
  <c r="ET114" i="10"/>
  <c r="ET126" i="10"/>
  <c r="ET124" i="10"/>
  <c r="ET122" i="10"/>
  <c r="ET148" i="10"/>
  <c r="ET138" i="10"/>
  <c r="ET134" i="10"/>
  <c r="ET143" i="10"/>
  <c r="ET106" i="10"/>
  <c r="ET102" i="10"/>
  <c r="ET112" i="10"/>
  <c r="ET110" i="10"/>
  <c r="ET115" i="10"/>
  <c r="ET125" i="10"/>
  <c r="ET136" i="10"/>
  <c r="ET142" i="10"/>
  <c r="ET130" i="10"/>
  <c r="ET119" i="10"/>
  <c r="ET146" i="10"/>
  <c r="ET139" i="10"/>
  <c r="ET137" i="10"/>
  <c r="ET107" i="10"/>
  <c r="ET103" i="10"/>
  <c r="ET120" i="10"/>
  <c r="ET118" i="10"/>
  <c r="ET127" i="10"/>
  <c r="ET133" i="10"/>
  <c r="ET144" i="10"/>
  <c r="ET150" i="10"/>
  <c r="ET117" i="10"/>
  <c r="ET128" i="10"/>
  <c r="ET141" i="10"/>
  <c r="ET145" i="10"/>
  <c r="ET57" i="10"/>
  <c r="ET11" i="10" s="1"/>
  <c r="ET104" i="10"/>
  <c r="ET100" i="10"/>
  <c r="ET123" i="10"/>
  <c r="ET129" i="10"/>
  <c r="ET135" i="10"/>
  <c r="ET111" i="10"/>
  <c r="ET121" i="10"/>
  <c r="ET113" i="10"/>
  <c r="ET140" i="10"/>
  <c r="ET109" i="10"/>
  <c r="ET147" i="10"/>
  <c r="ET132" i="10"/>
  <c r="ET149" i="10"/>
  <c r="T100" i="15"/>
  <c r="AJ100" i="15"/>
  <c r="AZ100" i="15"/>
  <c r="U101" i="15"/>
  <c r="AK101" i="15"/>
  <c r="BA101" i="15"/>
  <c r="V102" i="15"/>
  <c r="AL102" i="15"/>
  <c r="BB102" i="15"/>
  <c r="Q100" i="15"/>
  <c r="AG100" i="15"/>
  <c r="AW100" i="15"/>
  <c r="R101" i="15"/>
  <c r="AH101" i="15"/>
  <c r="AX101" i="15"/>
  <c r="S102" i="15"/>
  <c r="AE100" i="15"/>
  <c r="P101" i="15"/>
  <c r="AV101" i="15"/>
  <c r="AE102" i="15"/>
  <c r="AZ102" i="15"/>
  <c r="P103" i="15"/>
  <c r="AF103" i="15"/>
  <c r="AV103" i="15"/>
  <c r="Q104" i="15"/>
  <c r="AG104" i="15"/>
  <c r="AW104" i="15"/>
  <c r="R105" i="15"/>
  <c r="AH105" i="15"/>
  <c r="AX105" i="15"/>
  <c r="S106" i="15"/>
  <c r="AI106" i="15"/>
  <c r="AY106" i="15"/>
  <c r="T107" i="15"/>
  <c r="AJ107" i="15"/>
  <c r="AZ107" i="15"/>
  <c r="U108" i="15"/>
  <c r="AK108" i="15"/>
  <c r="BA108" i="15"/>
  <c r="V109" i="15"/>
  <c r="AL109" i="15"/>
  <c r="BB109" i="15"/>
  <c r="Z100" i="15"/>
  <c r="BF100" i="15"/>
  <c r="K101" i="15"/>
  <c r="AQ101" i="15"/>
  <c r="AA102" i="15"/>
  <c r="AV102" i="15"/>
  <c r="M103" i="15"/>
  <c r="AC103" i="15"/>
  <c r="AS103" i="15"/>
  <c r="BI103" i="15"/>
  <c r="N104" i="15"/>
  <c r="AD104" i="15"/>
  <c r="AT104" i="15"/>
  <c r="BJ104" i="15"/>
  <c r="O105" i="15"/>
  <c r="AE105" i="15"/>
  <c r="AU105" i="15"/>
  <c r="P106" i="15"/>
  <c r="AF106" i="15"/>
  <c r="AV106" i="15"/>
  <c r="Q107" i="15"/>
  <c r="AG107" i="15"/>
  <c r="AW107" i="15"/>
  <c r="R108" i="15"/>
  <c r="AH108" i="15"/>
  <c r="AX108" i="15"/>
  <c r="K100" i="15"/>
  <c r="AQ100" i="15"/>
  <c r="AB101" i="15"/>
  <c r="BH101" i="15"/>
  <c r="M102" i="15"/>
  <c r="AM102" i="15"/>
  <c r="BH102" i="15"/>
  <c r="H100" i="15"/>
  <c r="X100" i="15"/>
  <c r="AN100" i="15"/>
  <c r="BD100" i="15"/>
  <c r="I101" i="15"/>
  <c r="Y101" i="15"/>
  <c r="AO101" i="15"/>
  <c r="BE101" i="15"/>
  <c r="J102" i="15"/>
  <c r="Z102" i="15"/>
  <c r="AP102" i="15"/>
  <c r="BF102" i="15"/>
  <c r="U100" i="15"/>
  <c r="AK100" i="15"/>
  <c r="BA100" i="15"/>
  <c r="V101" i="15"/>
  <c r="AL101" i="15"/>
  <c r="BB101" i="15"/>
  <c r="W102" i="15"/>
  <c r="AM100" i="15"/>
  <c r="X101" i="15"/>
  <c r="BD101" i="15"/>
  <c r="I102" i="15"/>
  <c r="AJ102" i="15"/>
  <c r="BE102" i="15"/>
  <c r="T103" i="15"/>
  <c r="AJ103" i="15"/>
  <c r="AZ103" i="15"/>
  <c r="U104" i="15"/>
  <c r="AK104" i="15"/>
  <c r="BA104" i="15"/>
  <c r="V105" i="15"/>
  <c r="AL105" i="15"/>
  <c r="BB105" i="15"/>
  <c r="W106" i="15"/>
  <c r="AM106" i="15"/>
  <c r="BC106" i="15"/>
  <c r="H107" i="15"/>
  <c r="X107" i="15"/>
  <c r="AN107" i="15"/>
  <c r="BD107" i="15"/>
  <c r="I108" i="15"/>
  <c r="Y108" i="15"/>
  <c r="AO108" i="15"/>
  <c r="BE108" i="15"/>
  <c r="J109" i="15"/>
  <c r="Z109" i="15"/>
  <c r="AP109" i="15"/>
  <c r="BF109" i="15"/>
  <c r="AH100" i="15"/>
  <c r="S101" i="15"/>
  <c r="AY101" i="15"/>
  <c r="AF102" i="15"/>
  <c r="BA102" i="15"/>
  <c r="Q103" i="15"/>
  <c r="AG103" i="15"/>
  <c r="AW103" i="15"/>
  <c r="R104" i="15"/>
  <c r="AH104" i="15"/>
  <c r="AX104" i="15"/>
  <c r="S105" i="15"/>
  <c r="AI105" i="15"/>
  <c r="AY105" i="15"/>
  <c r="T106" i="15"/>
  <c r="AJ106" i="15"/>
  <c r="AZ106" i="15"/>
  <c r="U107" i="15"/>
  <c r="AK107" i="15"/>
  <c r="BA107" i="15"/>
  <c r="V108" i="15"/>
  <c r="AL108" i="15"/>
  <c r="S100" i="15"/>
  <c r="AY100" i="15"/>
  <c r="AJ101" i="15"/>
  <c r="U102" i="15"/>
  <c r="AR102" i="15"/>
  <c r="J103" i="15"/>
  <c r="L100" i="15"/>
  <c r="AB100" i="15"/>
  <c r="AR100" i="15"/>
  <c r="BH100" i="15"/>
  <c r="M101" i="15"/>
  <c r="AC101" i="15"/>
  <c r="AS101" i="15"/>
  <c r="BI101" i="15"/>
  <c r="N102" i="15"/>
  <c r="AD102" i="15"/>
  <c r="AT102" i="15"/>
  <c r="BJ102" i="15"/>
  <c r="I100" i="15"/>
  <c r="Y100" i="15"/>
  <c r="AO100" i="15"/>
  <c r="BE100" i="15"/>
  <c r="J101" i="15"/>
  <c r="Z101" i="15"/>
  <c r="AP101" i="15"/>
  <c r="BF101" i="15"/>
  <c r="K102" i="15"/>
  <c r="O100" i="15"/>
  <c r="AU100" i="15"/>
  <c r="AF101" i="15"/>
  <c r="Q102" i="15"/>
  <c r="AO102" i="15"/>
  <c r="H103" i="15"/>
  <c r="X103" i="15"/>
  <c r="AN103" i="15"/>
  <c r="BD103" i="15"/>
  <c r="I104" i="15"/>
  <c r="Y104" i="15"/>
  <c r="AO104" i="15"/>
  <c r="BE104" i="15"/>
  <c r="J105" i="15"/>
  <c r="Z105" i="15"/>
  <c r="AP105" i="15"/>
  <c r="BF105" i="15"/>
  <c r="K106" i="15"/>
  <c r="AA106" i="15"/>
  <c r="AQ106" i="15"/>
  <c r="BG106" i="15"/>
  <c r="L107" i="15"/>
  <c r="AB107" i="15"/>
  <c r="AR107" i="15"/>
  <c r="BH107" i="15"/>
  <c r="M108" i="15"/>
  <c r="AC108" i="15"/>
  <c r="AS108" i="15"/>
  <c r="BI108" i="15"/>
  <c r="N109" i="15"/>
  <c r="AD109" i="15"/>
  <c r="AT109" i="15"/>
  <c r="BJ109" i="15"/>
  <c r="J100" i="15"/>
  <c r="AP100" i="15"/>
  <c r="AA101" i="15"/>
  <c r="BG101" i="15"/>
  <c r="L102" i="15"/>
  <c r="AK102" i="15"/>
  <c r="BG102" i="15"/>
  <c r="U103" i="15"/>
  <c r="AK103" i="15"/>
  <c r="BA103" i="15"/>
  <c r="V104" i="15"/>
  <c r="AL104" i="15"/>
  <c r="BB104" i="15"/>
  <c r="W105" i="15"/>
  <c r="AM105" i="15"/>
  <c r="BC105" i="15"/>
  <c r="H106" i="15"/>
  <c r="X106" i="15"/>
  <c r="AN106" i="15"/>
  <c r="BD106" i="15"/>
  <c r="I107" i="15"/>
  <c r="Y107" i="15"/>
  <c r="AO107" i="15"/>
  <c r="BE107" i="15"/>
  <c r="J108" i="15"/>
  <c r="Z108" i="15"/>
  <c r="AP108" i="15"/>
  <c r="AA100" i="15"/>
  <c r="BG100" i="15"/>
  <c r="L101" i="15"/>
  <c r="AR101" i="15"/>
  <c r="AB102" i="15"/>
  <c r="AW102" i="15"/>
  <c r="N103" i="15"/>
  <c r="AD103" i="15"/>
  <c r="AT103" i="15"/>
  <c r="BJ103" i="15"/>
  <c r="P100" i="15"/>
  <c r="AF100" i="15"/>
  <c r="AV100" i="15"/>
  <c r="Q101" i="15"/>
  <c r="AG101" i="15"/>
  <c r="AW101" i="15"/>
  <c r="R102" i="15"/>
  <c r="AH102" i="15"/>
  <c r="AX102" i="15"/>
  <c r="M100" i="15"/>
  <c r="AC100" i="15"/>
  <c r="AS100" i="15"/>
  <c r="BI100" i="15"/>
  <c r="N101" i="15"/>
  <c r="AD101" i="15"/>
  <c r="AT101" i="15"/>
  <c r="BJ101" i="15"/>
  <c r="O102" i="15"/>
  <c r="W100" i="15"/>
  <c r="BC100" i="15"/>
  <c r="H101" i="15"/>
  <c r="AN101" i="15"/>
  <c r="Y102" i="15"/>
  <c r="AU102" i="15"/>
  <c r="L103" i="15"/>
  <c r="AB103" i="15"/>
  <c r="AR103" i="15"/>
  <c r="BH103" i="15"/>
  <c r="M104" i="15"/>
  <c r="AC104" i="15"/>
  <c r="AS104" i="15"/>
  <c r="BI104" i="15"/>
  <c r="N105" i="15"/>
  <c r="AD105" i="15"/>
  <c r="AT105" i="15"/>
  <c r="BJ105" i="15"/>
  <c r="O106" i="15"/>
  <c r="AE106" i="15"/>
  <c r="AU106" i="15"/>
  <c r="P107" i="15"/>
  <c r="AF107" i="15"/>
  <c r="AV107" i="15"/>
  <c r="Q108" i="15"/>
  <c r="AG108" i="15"/>
  <c r="AW108" i="15"/>
  <c r="R109" i="15"/>
  <c r="AH109" i="15"/>
  <c r="AX109" i="15"/>
  <c r="R100" i="15"/>
  <c r="AX100" i="15"/>
  <c r="AI101" i="15"/>
  <c r="T102" i="15"/>
  <c r="AQ102" i="15"/>
  <c r="I103" i="15"/>
  <c r="Y103" i="15"/>
  <c r="AO103" i="15"/>
  <c r="BE103" i="15"/>
  <c r="J104" i="15"/>
  <c r="Z104" i="15"/>
  <c r="AP104" i="15"/>
  <c r="BF104" i="15"/>
  <c r="K105" i="15"/>
  <c r="AA105" i="15"/>
  <c r="AQ105" i="15"/>
  <c r="BG105" i="15"/>
  <c r="L106" i="15"/>
  <c r="AB106" i="15"/>
  <c r="AR106" i="15"/>
  <c r="BH106" i="15"/>
  <c r="M107" i="15"/>
  <c r="AC107" i="15"/>
  <c r="AS107" i="15"/>
  <c r="BI107" i="15"/>
  <c r="N108" i="15"/>
  <c r="AD108" i="15"/>
  <c r="AT108" i="15"/>
  <c r="AI100" i="15"/>
  <c r="T101" i="15"/>
  <c r="AZ101" i="15"/>
  <c r="AG102" i="15"/>
  <c r="BC102" i="15"/>
  <c r="R103" i="15"/>
  <c r="AH103" i="15"/>
  <c r="AX103" i="15"/>
  <c r="S104" i="15"/>
  <c r="AI104" i="15"/>
  <c r="AY104" i="15"/>
  <c r="V103" i="15"/>
  <c r="BB103" i="15"/>
  <c r="O104" i="15"/>
  <c r="AM104" i="15"/>
  <c r="BG104" i="15"/>
  <c r="T105" i="15"/>
  <c r="AJ105" i="15"/>
  <c r="AZ105" i="15"/>
  <c r="U106" i="15"/>
  <c r="AK106" i="15"/>
  <c r="BA106" i="15"/>
  <c r="V107" i="15"/>
  <c r="AL107" i="15"/>
  <c r="BB107" i="15"/>
  <c r="W108" i="15"/>
  <c r="AM108" i="15"/>
  <c r="BC108" i="15"/>
  <c r="H109" i="15"/>
  <c r="X109" i="15"/>
  <c r="AN109" i="15"/>
  <c r="BD109" i="15"/>
  <c r="I110" i="15"/>
  <c r="Y110" i="15"/>
  <c r="AO110" i="15"/>
  <c r="BE110" i="15"/>
  <c r="J111" i="15"/>
  <c r="Z111" i="15"/>
  <c r="AP111" i="15"/>
  <c r="BF111" i="15"/>
  <c r="K112" i="15"/>
  <c r="AA112" i="15"/>
  <c r="AQ112" i="15"/>
  <c r="BG112" i="15"/>
  <c r="N100" i="15"/>
  <c r="AT100" i="15"/>
  <c r="AE101" i="15"/>
  <c r="P102" i="15"/>
  <c r="AN102" i="15"/>
  <c r="BI102" i="15"/>
  <c r="W103" i="15"/>
  <c r="AM103" i="15"/>
  <c r="BC103" i="15"/>
  <c r="H104" i="15"/>
  <c r="X104" i="15"/>
  <c r="AN104" i="15"/>
  <c r="BD104" i="15"/>
  <c r="I105" i="15"/>
  <c r="Y105" i="15"/>
  <c r="AO105" i="15"/>
  <c r="BE105" i="15"/>
  <c r="J106" i="15"/>
  <c r="Z106" i="15"/>
  <c r="AP106" i="15"/>
  <c r="BF106" i="15"/>
  <c r="K107" i="15"/>
  <c r="AA107" i="15"/>
  <c r="AQ107" i="15"/>
  <c r="BG107" i="15"/>
  <c r="L108" i="15"/>
  <c r="AB108" i="15"/>
  <c r="AR108" i="15"/>
  <c r="BH108" i="15"/>
  <c r="M109" i="15"/>
  <c r="AC109" i="15"/>
  <c r="AS109" i="15"/>
  <c r="BI109" i="15"/>
  <c r="N110" i="15"/>
  <c r="AD110" i="15"/>
  <c r="AT110" i="15"/>
  <c r="BJ110" i="15"/>
  <c r="O111" i="15"/>
  <c r="AE111" i="15"/>
  <c r="AU111" i="15"/>
  <c r="P112" i="15"/>
  <c r="AF112" i="15"/>
  <c r="AV112" i="15"/>
  <c r="BB108" i="15"/>
  <c r="AM109" i="15"/>
  <c r="AB110" i="15"/>
  <c r="BH110" i="15"/>
  <c r="M111" i="15"/>
  <c r="AS111" i="15"/>
  <c r="AD112" i="15"/>
  <c r="BJ112" i="15"/>
  <c r="W113" i="15"/>
  <c r="AM113" i="15"/>
  <c r="BC113" i="15"/>
  <c r="H114" i="15"/>
  <c r="X114" i="15"/>
  <c r="AN114" i="15"/>
  <c r="BD114" i="15"/>
  <c r="I115" i="15"/>
  <c r="Y115" i="15"/>
  <c r="AO115" i="15"/>
  <c r="BE115" i="15"/>
  <c r="J116" i="15"/>
  <c r="Z116" i="15"/>
  <c r="AP116" i="15"/>
  <c r="BF116" i="15"/>
  <c r="K117" i="15"/>
  <c r="AA117" i="15"/>
  <c r="AQ117" i="15"/>
  <c r="BG117" i="15"/>
  <c r="L118" i="15"/>
  <c r="AB118" i="15"/>
  <c r="AR118" i="15"/>
  <c r="BH118" i="15"/>
  <c r="M119" i="15"/>
  <c r="AC119" i="15"/>
  <c r="AS119" i="15"/>
  <c r="BI119" i="15"/>
  <c r="N120" i="15"/>
  <c r="AD120" i="15"/>
  <c r="AT120" i="15"/>
  <c r="BJ120" i="15"/>
  <c r="K109" i="15"/>
  <c r="O110" i="15"/>
  <c r="AU110" i="15"/>
  <c r="AF111" i="15"/>
  <c r="Q112" i="15"/>
  <c r="AW112" i="15"/>
  <c r="P113" i="15"/>
  <c r="AF113" i="15"/>
  <c r="AV113" i="15"/>
  <c r="Q114" i="15"/>
  <c r="AG114" i="15"/>
  <c r="AW114" i="15"/>
  <c r="R115" i="15"/>
  <c r="AH115" i="15"/>
  <c r="AX115" i="15"/>
  <c r="S116" i="15"/>
  <c r="AI116" i="15"/>
  <c r="AY116" i="15"/>
  <c r="Z103" i="15"/>
  <c r="BF103" i="15"/>
  <c r="W104" i="15"/>
  <c r="AQ104" i="15"/>
  <c r="H105" i="15"/>
  <c r="X105" i="15"/>
  <c r="AN105" i="15"/>
  <c r="BD105" i="15"/>
  <c r="I106" i="15"/>
  <c r="Y106" i="15"/>
  <c r="AO106" i="15"/>
  <c r="BE106" i="15"/>
  <c r="J107" i="15"/>
  <c r="Z107" i="15"/>
  <c r="AP107" i="15"/>
  <c r="BF107" i="15"/>
  <c r="K108" i="15"/>
  <c r="AA108" i="15"/>
  <c r="AQ108" i="15"/>
  <c r="BG108" i="15"/>
  <c r="L109" i="15"/>
  <c r="AB109" i="15"/>
  <c r="AR109" i="15"/>
  <c r="BH109" i="15"/>
  <c r="M110" i="15"/>
  <c r="AC110" i="15"/>
  <c r="AS110" i="15"/>
  <c r="BI110" i="15"/>
  <c r="N111" i="15"/>
  <c r="AD111" i="15"/>
  <c r="AT111" i="15"/>
  <c r="BJ111" i="15"/>
  <c r="O112" i="15"/>
  <c r="AE112" i="15"/>
  <c r="AU112" i="15"/>
  <c r="V100" i="15"/>
  <c r="BB100" i="15"/>
  <c r="AM101" i="15"/>
  <c r="X102" i="15"/>
  <c r="AS102" i="15"/>
  <c r="K103" i="15"/>
  <c r="AA103" i="15"/>
  <c r="AQ103" i="15"/>
  <c r="BG103" i="15"/>
  <c r="L104" i="15"/>
  <c r="AB104" i="15"/>
  <c r="AR104" i="15"/>
  <c r="BH104" i="15"/>
  <c r="M105" i="15"/>
  <c r="AC105" i="15"/>
  <c r="AS105" i="15"/>
  <c r="BI105" i="15"/>
  <c r="N106" i="15"/>
  <c r="AD106" i="15"/>
  <c r="AT106" i="15"/>
  <c r="BJ106" i="15"/>
  <c r="O107" i="15"/>
  <c r="AE107" i="15"/>
  <c r="AU107" i="15"/>
  <c r="P108" i="15"/>
  <c r="AF108" i="15"/>
  <c r="AV108" i="15"/>
  <c r="Q109" i="15"/>
  <c r="AG109" i="15"/>
  <c r="AW109" i="15"/>
  <c r="R110" i="15"/>
  <c r="AH110" i="15"/>
  <c r="AX110" i="15"/>
  <c r="S111" i="15"/>
  <c r="AI111" i="15"/>
  <c r="AY111" i="15"/>
  <c r="T112" i="15"/>
  <c r="AJ112" i="15"/>
  <c r="AZ112" i="15"/>
  <c r="BC109" i="15"/>
  <c r="AJ110" i="15"/>
  <c r="U111" i="15"/>
  <c r="BA111" i="15"/>
  <c r="AL112" i="15"/>
  <c r="K113" i="15"/>
  <c r="AA113" i="15"/>
  <c r="AQ113" i="15"/>
  <c r="BG113" i="15"/>
  <c r="L114" i="15"/>
  <c r="AB114" i="15"/>
  <c r="AR114" i="15"/>
  <c r="BH114" i="15"/>
  <c r="M115" i="15"/>
  <c r="AC115" i="15"/>
  <c r="AS115" i="15"/>
  <c r="BI115" i="15"/>
  <c r="N116" i="15"/>
  <c r="AD116" i="15"/>
  <c r="AT116" i="15"/>
  <c r="BJ116" i="15"/>
  <c r="O117" i="15"/>
  <c r="AE117" i="15"/>
  <c r="AU117" i="15"/>
  <c r="P118" i="15"/>
  <c r="AF118" i="15"/>
  <c r="AV118" i="15"/>
  <c r="Q119" i="15"/>
  <c r="AG119" i="15"/>
  <c r="AW119" i="15"/>
  <c r="R120" i="15"/>
  <c r="AH120" i="15"/>
  <c r="AX120" i="15"/>
  <c r="AA109" i="15"/>
  <c r="W110" i="15"/>
  <c r="BC110" i="15"/>
  <c r="H111" i="15"/>
  <c r="AN111" i="15"/>
  <c r="Y112" i="15"/>
  <c r="BE112" i="15"/>
  <c r="T113" i="15"/>
  <c r="AJ113" i="15"/>
  <c r="AZ113" i="15"/>
  <c r="U114" i="15"/>
  <c r="AK114" i="15"/>
  <c r="BA114" i="15"/>
  <c r="V115" i="15"/>
  <c r="AL115" i="15"/>
  <c r="BB115" i="15"/>
  <c r="W116" i="15"/>
  <c r="AM116" i="15"/>
  <c r="BC116" i="15"/>
  <c r="H117" i="15"/>
  <c r="X117" i="15"/>
  <c r="AN117" i="15"/>
  <c r="BD117" i="15"/>
  <c r="AL103" i="15"/>
  <c r="AA104" i="15"/>
  <c r="AU104" i="15"/>
  <c r="L105" i="15"/>
  <c r="AB105" i="15"/>
  <c r="AR105" i="15"/>
  <c r="BH105" i="15"/>
  <c r="M106" i="15"/>
  <c r="AC106" i="15"/>
  <c r="AS106" i="15"/>
  <c r="BI106" i="15"/>
  <c r="N107" i="15"/>
  <c r="AD107" i="15"/>
  <c r="AT107" i="15"/>
  <c r="BJ107" i="15"/>
  <c r="O108" i="15"/>
  <c r="AE108" i="15"/>
  <c r="AU108" i="15"/>
  <c r="P109" i="15"/>
  <c r="AF109" i="15"/>
  <c r="AV109" i="15"/>
  <c r="Q110" i="15"/>
  <c r="AG110" i="15"/>
  <c r="AW110" i="15"/>
  <c r="R111" i="15"/>
  <c r="AH111" i="15"/>
  <c r="AX111" i="15"/>
  <c r="S112" i="15"/>
  <c r="AI112" i="15"/>
  <c r="AY112" i="15"/>
  <c r="AD100" i="15"/>
  <c r="BJ100" i="15"/>
  <c r="O101" i="15"/>
  <c r="AU101" i="15"/>
  <c r="AC102" i="15"/>
  <c r="AY102" i="15"/>
  <c r="O103" i="15"/>
  <c r="AE103" i="15"/>
  <c r="AU103" i="15"/>
  <c r="P104" i="15"/>
  <c r="AF104" i="15"/>
  <c r="AV104" i="15"/>
  <c r="Q105" i="15"/>
  <c r="AG105" i="15"/>
  <c r="AW105" i="15"/>
  <c r="R106" i="15"/>
  <c r="AH106" i="15"/>
  <c r="AX106" i="15"/>
  <c r="S107" i="15"/>
  <c r="AI107" i="15"/>
  <c r="AY107" i="15"/>
  <c r="T108" i="15"/>
  <c r="AJ108" i="15"/>
  <c r="AZ108" i="15"/>
  <c r="U109" i="15"/>
  <c r="AK109" i="15"/>
  <c r="BA109" i="15"/>
  <c r="V110" i="15"/>
  <c r="AL110" i="15"/>
  <c r="BB110" i="15"/>
  <c r="W111" i="15"/>
  <c r="AM111" i="15"/>
  <c r="BC111" i="15"/>
  <c r="H112" i="15"/>
  <c r="X112" i="15"/>
  <c r="AN112" i="15"/>
  <c r="BD112" i="15"/>
  <c r="L110" i="15"/>
  <c r="AR110" i="15"/>
  <c r="AC111" i="15"/>
  <c r="BI111" i="15"/>
  <c r="N112" i="15"/>
  <c r="AT112" i="15"/>
  <c r="O113" i="15"/>
  <c r="AE113" i="15"/>
  <c r="AU113" i="15"/>
  <c r="P114" i="15"/>
  <c r="AF114" i="15"/>
  <c r="AV114" i="15"/>
  <c r="Q115" i="15"/>
  <c r="AG115" i="15"/>
  <c r="AW115" i="15"/>
  <c r="R116" i="15"/>
  <c r="AH116" i="15"/>
  <c r="AX116" i="15"/>
  <c r="S117" i="15"/>
  <c r="AI117" i="15"/>
  <c r="AY117" i="15"/>
  <c r="T118" i="15"/>
  <c r="AJ118" i="15"/>
  <c r="AZ118" i="15"/>
  <c r="U119" i="15"/>
  <c r="AK119" i="15"/>
  <c r="BA119" i="15"/>
  <c r="V120" i="15"/>
  <c r="AL120" i="15"/>
  <c r="BB120" i="15"/>
  <c r="BF108" i="15"/>
  <c r="AQ109" i="15"/>
  <c r="AE110" i="15"/>
  <c r="P111" i="15"/>
  <c r="AV111" i="15"/>
  <c r="AG112" i="15"/>
  <c r="H113" i="15"/>
  <c r="X113" i="15"/>
  <c r="AN113" i="15"/>
  <c r="BD113" i="15"/>
  <c r="I114" i="15"/>
  <c r="Y114" i="15"/>
  <c r="AO114" i="15"/>
  <c r="BE114" i="15"/>
  <c r="J115" i="15"/>
  <c r="Z115" i="15"/>
  <c r="AP115" i="15"/>
  <c r="BF115" i="15"/>
  <c r="K116" i="15"/>
  <c r="AA116" i="15"/>
  <c r="AQ116" i="15"/>
  <c r="BG116" i="15"/>
  <c r="L117" i="15"/>
  <c r="AB117" i="15"/>
  <c r="AR117" i="15"/>
  <c r="BH117" i="15"/>
  <c r="M118" i="15"/>
  <c r="AC118" i="15"/>
  <c r="AS118" i="15"/>
  <c r="BI118" i="15"/>
  <c r="AP103" i="15"/>
  <c r="K104" i="15"/>
  <c r="AE104" i="15"/>
  <c r="BC104" i="15"/>
  <c r="P105" i="15"/>
  <c r="AF105" i="15"/>
  <c r="AV105" i="15"/>
  <c r="Q106" i="15"/>
  <c r="AG106" i="15"/>
  <c r="AW106" i="15"/>
  <c r="R107" i="15"/>
  <c r="AH107" i="15"/>
  <c r="AX107" i="15"/>
  <c r="S108" i="15"/>
  <c r="AI108" i="15"/>
  <c r="AY108" i="15"/>
  <c r="T109" i="15"/>
  <c r="AJ109" i="15"/>
  <c r="AZ109" i="15"/>
  <c r="U110" i="15"/>
  <c r="AK110" i="15"/>
  <c r="BA110" i="15"/>
  <c r="V111" i="15"/>
  <c r="AL111" i="15"/>
  <c r="BB111" i="15"/>
  <c r="W112" i="15"/>
  <c r="AM112" i="15"/>
  <c r="BC112" i="15"/>
  <c r="AL100" i="15"/>
  <c r="W101" i="15"/>
  <c r="BC101" i="15"/>
  <c r="H102" i="15"/>
  <c r="AI102" i="15"/>
  <c r="BD102" i="15"/>
  <c r="S103" i="15"/>
  <c r="AI103" i="15"/>
  <c r="AY103" i="15"/>
  <c r="T104" i="15"/>
  <c r="AJ104" i="15"/>
  <c r="AZ104" i="15"/>
  <c r="U105" i="15"/>
  <c r="AK105" i="15"/>
  <c r="BA105" i="15"/>
  <c r="V106" i="15"/>
  <c r="AL106" i="15"/>
  <c r="BB106" i="15"/>
  <c r="W107" i="15"/>
  <c r="AM107" i="15"/>
  <c r="BC107" i="15"/>
  <c r="H108" i="15"/>
  <c r="X108" i="15"/>
  <c r="AN108" i="15"/>
  <c r="BD108" i="15"/>
  <c r="I109" i="15"/>
  <c r="Y109" i="15"/>
  <c r="AO109" i="15"/>
  <c r="BE109" i="15"/>
  <c r="J110" i="15"/>
  <c r="Z110" i="15"/>
  <c r="AP110" i="15"/>
  <c r="BF110" i="15"/>
  <c r="K111" i="15"/>
  <c r="AA111" i="15"/>
  <c r="AQ111" i="15"/>
  <c r="BG111" i="15"/>
  <c r="L112" i="15"/>
  <c r="AB112" i="15"/>
  <c r="AR112" i="15"/>
  <c r="BH112" i="15"/>
  <c r="W109" i="15"/>
  <c r="T110" i="15"/>
  <c r="AZ110" i="15"/>
  <c r="AK111" i="15"/>
  <c r="V112" i="15"/>
  <c r="BB112" i="15"/>
  <c r="S113" i="15"/>
  <c r="AI113" i="15"/>
  <c r="AY113" i="15"/>
  <c r="T114" i="15"/>
  <c r="AJ114" i="15"/>
  <c r="AZ114" i="15"/>
  <c r="U115" i="15"/>
  <c r="AK115" i="15"/>
  <c r="BA115" i="15"/>
  <c r="V116" i="15"/>
  <c r="AL116" i="15"/>
  <c r="BB116" i="15"/>
  <c r="W117" i="15"/>
  <c r="AM117" i="15"/>
  <c r="BC117" i="15"/>
  <c r="H118" i="15"/>
  <c r="X118" i="15"/>
  <c r="AN118" i="15"/>
  <c r="BD118" i="15"/>
  <c r="I119" i="15"/>
  <c r="Y119" i="15"/>
  <c r="AO119" i="15"/>
  <c r="BE119" i="15"/>
  <c r="J120" i="15"/>
  <c r="Z120" i="15"/>
  <c r="AP120" i="15"/>
  <c r="BF120" i="15"/>
  <c r="BG109" i="15"/>
  <c r="AM110" i="15"/>
  <c r="X111" i="15"/>
  <c r="BD111" i="15"/>
  <c r="I112" i="15"/>
  <c r="AO112" i="15"/>
  <c r="L113" i="15"/>
  <c r="AB113" i="15"/>
  <c r="AR113" i="15"/>
  <c r="BH113" i="15"/>
  <c r="M114" i="15"/>
  <c r="AC114" i="15"/>
  <c r="AS114" i="15"/>
  <c r="BI114" i="15"/>
  <c r="N115" i="15"/>
  <c r="AD115" i="15"/>
  <c r="AT115" i="15"/>
  <c r="BJ115" i="15"/>
  <c r="O116" i="15"/>
  <c r="AE116" i="15"/>
  <c r="AU116" i="15"/>
  <c r="P117" i="15"/>
  <c r="AF117" i="15"/>
  <c r="AV117" i="15"/>
  <c r="Q118" i="15"/>
  <c r="AG118" i="15"/>
  <c r="AW118" i="15"/>
  <c r="AJ117" i="15"/>
  <c r="AK118" i="15"/>
  <c r="V119" i="15"/>
  <c r="AL119" i="15"/>
  <c r="BB119" i="15"/>
  <c r="W120" i="15"/>
  <c r="AM120" i="15"/>
  <c r="BC120" i="15"/>
  <c r="H110" i="15"/>
  <c r="AN110" i="15"/>
  <c r="Y111" i="15"/>
  <c r="BE111" i="15"/>
  <c r="J112" i="15"/>
  <c r="AP112" i="15"/>
  <c r="M113" i="15"/>
  <c r="AC113" i="15"/>
  <c r="AS113" i="15"/>
  <c r="BI113" i="15"/>
  <c r="N114" i="15"/>
  <c r="AD114" i="15"/>
  <c r="AT114" i="15"/>
  <c r="BJ114" i="15"/>
  <c r="O115" i="15"/>
  <c r="AE115" i="15"/>
  <c r="AU115" i="15"/>
  <c r="P116" i="15"/>
  <c r="AF116" i="15"/>
  <c r="AV116" i="15"/>
  <c r="Q117" i="15"/>
  <c r="AG117" i="15"/>
  <c r="AW117" i="15"/>
  <c r="R118" i="15"/>
  <c r="AH118" i="15"/>
  <c r="AX118" i="15"/>
  <c r="S119" i="15"/>
  <c r="AI119" i="15"/>
  <c r="AY119" i="15"/>
  <c r="T120" i="15"/>
  <c r="AJ120" i="15"/>
  <c r="AZ120" i="15"/>
  <c r="U121" i="15"/>
  <c r="AK121" i="15"/>
  <c r="BA121" i="15"/>
  <c r="V122" i="15"/>
  <c r="AL122" i="15"/>
  <c r="BB122" i="15"/>
  <c r="W123" i="15"/>
  <c r="AM123" i="15"/>
  <c r="BC123" i="15"/>
  <c r="H124" i="15"/>
  <c r="AY109" i="15"/>
  <c r="AI110" i="15"/>
  <c r="T111" i="15"/>
  <c r="AZ111" i="15"/>
  <c r="AK112" i="15"/>
  <c r="J113" i="15"/>
  <c r="Z113" i="15"/>
  <c r="AP113" i="15"/>
  <c r="BF113" i="15"/>
  <c r="K114" i="15"/>
  <c r="AA114" i="15"/>
  <c r="AQ114" i="15"/>
  <c r="BG114" i="15"/>
  <c r="L115" i="15"/>
  <c r="AB115" i="15"/>
  <c r="AR115" i="15"/>
  <c r="BH115" i="15"/>
  <c r="M116" i="15"/>
  <c r="AC116" i="15"/>
  <c r="AS116" i="15"/>
  <c r="BI116" i="15"/>
  <c r="N117" i="15"/>
  <c r="AD117" i="15"/>
  <c r="AT117" i="15"/>
  <c r="BJ117" i="15"/>
  <c r="O118" i="15"/>
  <c r="AE118" i="15"/>
  <c r="AU118" i="15"/>
  <c r="P119" i="15"/>
  <c r="AF119" i="15"/>
  <c r="AV119" i="15"/>
  <c r="Q120" i="15"/>
  <c r="AG120" i="15"/>
  <c r="AW120" i="15"/>
  <c r="R121" i="15"/>
  <c r="AH121" i="15"/>
  <c r="AX121" i="15"/>
  <c r="S122" i="15"/>
  <c r="AI122" i="15"/>
  <c r="AY122" i="15"/>
  <c r="T123" i="15"/>
  <c r="AJ123" i="15"/>
  <c r="AZ123" i="15"/>
  <c r="U124" i="15"/>
  <c r="L121" i="15"/>
  <c r="AR121" i="15"/>
  <c r="AC122" i="15"/>
  <c r="BI122" i="15"/>
  <c r="N123" i="15"/>
  <c r="AT123" i="15"/>
  <c r="AB124" i="15"/>
  <c r="AS124" i="15"/>
  <c r="BI124" i="15"/>
  <c r="N125" i="15"/>
  <c r="AD125" i="15"/>
  <c r="AT125" i="15"/>
  <c r="BJ125" i="15"/>
  <c r="O126" i="15"/>
  <c r="AE126" i="15"/>
  <c r="AU126" i="15"/>
  <c r="P127" i="15"/>
  <c r="AF127" i="15"/>
  <c r="AV127" i="15"/>
  <c r="Q128" i="15"/>
  <c r="AG128" i="15"/>
  <c r="AW128" i="15"/>
  <c r="R129" i="15"/>
  <c r="AH129" i="15"/>
  <c r="AX129" i="15"/>
  <c r="S130" i="15"/>
  <c r="AI130" i="15"/>
  <c r="AY130" i="15"/>
  <c r="T131" i="15"/>
  <c r="AJ131" i="15"/>
  <c r="AZ131" i="15"/>
  <c r="AZ117" i="15"/>
  <c r="I118" i="15"/>
  <c r="AO118" i="15"/>
  <c r="J119" i="15"/>
  <c r="Z119" i="15"/>
  <c r="AP119" i="15"/>
  <c r="BF119" i="15"/>
  <c r="K120" i="15"/>
  <c r="AA120" i="15"/>
  <c r="AQ120" i="15"/>
  <c r="BG120" i="15"/>
  <c r="O109" i="15"/>
  <c r="P110" i="15"/>
  <c r="AV110" i="15"/>
  <c r="AG111" i="15"/>
  <c r="R112" i="15"/>
  <c r="AX112" i="15"/>
  <c r="Q113" i="15"/>
  <c r="AG113" i="15"/>
  <c r="AW113" i="15"/>
  <c r="R114" i="15"/>
  <c r="AH114" i="15"/>
  <c r="AX114" i="15"/>
  <c r="S115" i="15"/>
  <c r="AI115" i="15"/>
  <c r="AY115" i="15"/>
  <c r="T116" i="15"/>
  <c r="AJ116" i="15"/>
  <c r="AZ116" i="15"/>
  <c r="U117" i="15"/>
  <c r="AK117" i="15"/>
  <c r="BA117" i="15"/>
  <c r="V118" i="15"/>
  <c r="AL118" i="15"/>
  <c r="BB118" i="15"/>
  <c r="W119" i="15"/>
  <c r="AM119" i="15"/>
  <c r="BC119" i="15"/>
  <c r="H120" i="15"/>
  <c r="X120" i="15"/>
  <c r="AN120" i="15"/>
  <c r="BD120" i="15"/>
  <c r="I121" i="15"/>
  <c r="Y121" i="15"/>
  <c r="AO121" i="15"/>
  <c r="BE121" i="15"/>
  <c r="J122" i="15"/>
  <c r="Z122" i="15"/>
  <c r="AP122" i="15"/>
  <c r="BF122" i="15"/>
  <c r="K123" i="15"/>
  <c r="AA123" i="15"/>
  <c r="AQ123" i="15"/>
  <c r="BG123" i="15"/>
  <c r="L124" i="15"/>
  <c r="K110" i="15"/>
  <c r="AQ110" i="15"/>
  <c r="AB111" i="15"/>
  <c r="BH111" i="15"/>
  <c r="M112" i="15"/>
  <c r="AS112" i="15"/>
  <c r="N113" i="15"/>
  <c r="AD113" i="15"/>
  <c r="AT113" i="15"/>
  <c r="BJ113" i="15"/>
  <c r="O114" i="15"/>
  <c r="AE114" i="15"/>
  <c r="AU114" i="15"/>
  <c r="P115" i="15"/>
  <c r="AF115" i="15"/>
  <c r="AV115" i="15"/>
  <c r="Q116" i="15"/>
  <c r="AG116" i="15"/>
  <c r="AW116" i="15"/>
  <c r="R117" i="15"/>
  <c r="AH117" i="15"/>
  <c r="AX117" i="15"/>
  <c r="S118" i="15"/>
  <c r="AI118" i="15"/>
  <c r="AY118" i="15"/>
  <c r="T119" i="15"/>
  <c r="AJ119" i="15"/>
  <c r="AZ119" i="15"/>
  <c r="U120" i="15"/>
  <c r="AK120" i="15"/>
  <c r="BA120" i="15"/>
  <c r="V121" i="15"/>
  <c r="AL121" i="15"/>
  <c r="BB121" i="15"/>
  <c r="W122" i="15"/>
  <c r="AM122" i="15"/>
  <c r="BC122" i="15"/>
  <c r="H123" i="15"/>
  <c r="X123" i="15"/>
  <c r="AN123" i="15"/>
  <c r="BD123" i="15"/>
  <c r="I124" i="15"/>
  <c r="Y124" i="15"/>
  <c r="T121" i="15"/>
  <c r="AZ121" i="15"/>
  <c r="AK122" i="15"/>
  <c r="V123" i="15"/>
  <c r="BB123" i="15"/>
  <c r="AG124" i="15"/>
  <c r="AW124" i="15"/>
  <c r="R125" i="15"/>
  <c r="AH125" i="15"/>
  <c r="AX125" i="15"/>
  <c r="S126" i="15"/>
  <c r="AI126" i="15"/>
  <c r="AY126" i="15"/>
  <c r="T127" i="15"/>
  <c r="AJ127" i="15"/>
  <c r="AZ127" i="15"/>
  <c r="U128" i="15"/>
  <c r="AK128" i="15"/>
  <c r="BA128" i="15"/>
  <c r="V129" i="15"/>
  <c r="AL129" i="15"/>
  <c r="BB129" i="15"/>
  <c r="W130" i="15"/>
  <c r="AM130" i="15"/>
  <c r="BC130" i="15"/>
  <c r="H131" i="15"/>
  <c r="X131" i="15"/>
  <c r="AN131" i="15"/>
  <c r="BD131" i="15"/>
  <c r="U118" i="15"/>
  <c r="BA118" i="15"/>
  <c r="N119" i="15"/>
  <c r="AD119" i="15"/>
  <c r="AT119" i="15"/>
  <c r="BJ119" i="15"/>
  <c r="O120" i="15"/>
  <c r="AE120" i="15"/>
  <c r="AU120" i="15"/>
  <c r="AE109" i="15"/>
  <c r="X110" i="15"/>
  <c r="BD110" i="15"/>
  <c r="I111" i="15"/>
  <c r="AO111" i="15"/>
  <c r="Z112" i="15"/>
  <c r="BF112" i="15"/>
  <c r="U113" i="15"/>
  <c r="AK113" i="15"/>
  <c r="BA113" i="15"/>
  <c r="V114" i="15"/>
  <c r="AL114" i="15"/>
  <c r="BB114" i="15"/>
  <c r="W115" i="15"/>
  <c r="AM115" i="15"/>
  <c r="BC115" i="15"/>
  <c r="H116" i="15"/>
  <c r="X116" i="15"/>
  <c r="AN116" i="15"/>
  <c r="BD116" i="15"/>
  <c r="I117" i="15"/>
  <c r="Y117" i="15"/>
  <c r="AO117" i="15"/>
  <c r="BE117" i="15"/>
  <c r="J118" i="15"/>
  <c r="Z118" i="15"/>
  <c r="AP118" i="15"/>
  <c r="BF118" i="15"/>
  <c r="K119" i="15"/>
  <c r="AA119" i="15"/>
  <c r="AQ119" i="15"/>
  <c r="BG119" i="15"/>
  <c r="L120" i="15"/>
  <c r="AB120" i="15"/>
  <c r="AR120" i="15"/>
  <c r="BH120" i="15"/>
  <c r="M121" i="15"/>
  <c r="AC121" i="15"/>
  <c r="AS121" i="15"/>
  <c r="BI121" i="15"/>
  <c r="N122" i="15"/>
  <c r="AD122" i="15"/>
  <c r="AT122" i="15"/>
  <c r="BJ122" i="15"/>
  <c r="O123" i="15"/>
  <c r="AE123" i="15"/>
  <c r="AU123" i="15"/>
  <c r="P124" i="15"/>
  <c r="S109" i="15"/>
  <c r="S110" i="15"/>
  <c r="AY110" i="15"/>
  <c r="AJ111" i="15"/>
  <c r="U112" i="15"/>
  <c r="BA112" i="15"/>
  <c r="R113" i="15"/>
  <c r="AH113" i="15"/>
  <c r="AX113" i="15"/>
  <c r="S114" i="15"/>
  <c r="AI114" i="15"/>
  <c r="AY114" i="15"/>
  <c r="T115" i="15"/>
  <c r="AJ115" i="15"/>
  <c r="AZ115" i="15"/>
  <c r="U116" i="15"/>
  <c r="AK116" i="15"/>
  <c r="BA116" i="15"/>
  <c r="V117" i="15"/>
  <c r="AL117" i="15"/>
  <c r="BB117" i="15"/>
  <c r="W118" i="15"/>
  <c r="AM118" i="15"/>
  <c r="BC118" i="15"/>
  <c r="H119" i="15"/>
  <c r="X119" i="15"/>
  <c r="AN119" i="15"/>
  <c r="BD119" i="15"/>
  <c r="I120" i="15"/>
  <c r="Y120" i="15"/>
  <c r="AO120" i="15"/>
  <c r="BE120" i="15"/>
  <c r="J121" i="15"/>
  <c r="Z121" i="15"/>
  <c r="AP121" i="15"/>
  <c r="BF121" i="15"/>
  <c r="K122" i="15"/>
  <c r="AA122" i="15"/>
  <c r="AQ122" i="15"/>
  <c r="BG122" i="15"/>
  <c r="L123" i="15"/>
  <c r="AB123" i="15"/>
  <c r="AR123" i="15"/>
  <c r="BH123" i="15"/>
  <c r="M124" i="15"/>
  <c r="AC124" i="15"/>
  <c r="AB121" i="15"/>
  <c r="BH121" i="15"/>
  <c r="M122" i="15"/>
  <c r="AS122" i="15"/>
  <c r="AD123" i="15"/>
  <c r="BJ123" i="15"/>
  <c r="O124" i="15"/>
  <c r="AK124" i="15"/>
  <c r="BA124" i="15"/>
  <c r="V125" i="15"/>
  <c r="AL125" i="15"/>
  <c r="BB125" i="15"/>
  <c r="W126" i="15"/>
  <c r="AM126" i="15"/>
  <c r="BC126" i="15"/>
  <c r="H127" i="15"/>
  <c r="X127" i="15"/>
  <c r="AN127" i="15"/>
  <c r="BD127" i="15"/>
  <c r="I128" i="15"/>
  <c r="Y128" i="15"/>
  <c r="AO128" i="15"/>
  <c r="BE128" i="15"/>
  <c r="J129" i="15"/>
  <c r="Z129" i="15"/>
  <c r="AP129" i="15"/>
  <c r="BF129" i="15"/>
  <c r="K130" i="15"/>
  <c r="AA130" i="15"/>
  <c r="AQ130" i="15"/>
  <c r="BG130" i="15"/>
  <c r="L131" i="15"/>
  <c r="AB131" i="15"/>
  <c r="AR131" i="15"/>
  <c r="BH131" i="15"/>
  <c r="T117" i="15"/>
  <c r="Y118" i="15"/>
  <c r="BE118" i="15"/>
  <c r="R119" i="15"/>
  <c r="AH119" i="15"/>
  <c r="AX119" i="15"/>
  <c r="S120" i="15"/>
  <c r="AI120" i="15"/>
  <c r="AY120" i="15"/>
  <c r="BJ108" i="15"/>
  <c r="AU109" i="15"/>
  <c r="AF110" i="15"/>
  <c r="Q111" i="15"/>
  <c r="AW111" i="15"/>
  <c r="AH112" i="15"/>
  <c r="I113" i="15"/>
  <c r="Y113" i="15"/>
  <c r="AO113" i="15"/>
  <c r="BE113" i="15"/>
  <c r="J114" i="15"/>
  <c r="Z114" i="15"/>
  <c r="AP114" i="15"/>
  <c r="BF114" i="15"/>
  <c r="K115" i="15"/>
  <c r="AA115" i="15"/>
  <c r="AQ115" i="15"/>
  <c r="BG115" i="15"/>
  <c r="L116" i="15"/>
  <c r="AB116" i="15"/>
  <c r="AR116" i="15"/>
  <c r="BH116" i="15"/>
  <c r="M117" i="15"/>
  <c r="AC117" i="15"/>
  <c r="AS117" i="15"/>
  <c r="BI117" i="15"/>
  <c r="N118" i="15"/>
  <c r="AD118" i="15"/>
  <c r="AT118" i="15"/>
  <c r="BJ118" i="15"/>
  <c r="O119" i="15"/>
  <c r="AE119" i="15"/>
  <c r="AU119" i="15"/>
  <c r="P120" i="15"/>
  <c r="AF120" i="15"/>
  <c r="AV120" i="15"/>
  <c r="Q121" i="15"/>
  <c r="AG121" i="15"/>
  <c r="AW121" i="15"/>
  <c r="R122" i="15"/>
  <c r="AH122" i="15"/>
  <c r="AX122" i="15"/>
  <c r="S123" i="15"/>
  <c r="AI123" i="15"/>
  <c r="AY123" i="15"/>
  <c r="T124" i="15"/>
  <c r="AI109" i="15"/>
  <c r="AA110" i="15"/>
  <c r="BG110" i="15"/>
  <c r="L111" i="15"/>
  <c r="AR111" i="15"/>
  <c r="AC112" i="15"/>
  <c r="BI112" i="15"/>
  <c r="V113" i="15"/>
  <c r="AL113" i="15"/>
  <c r="BB113" i="15"/>
  <c r="W114" i="15"/>
  <c r="AM114" i="15"/>
  <c r="BC114" i="15"/>
  <c r="H115" i="15"/>
  <c r="X115" i="15"/>
  <c r="AN115" i="15"/>
  <c r="BD115" i="15"/>
  <c r="I116" i="15"/>
  <c r="Y116" i="15"/>
  <c r="AO116" i="15"/>
  <c r="BE116" i="15"/>
  <c r="J117" i="15"/>
  <c r="Z117" i="15"/>
  <c r="AP117" i="15"/>
  <c r="BF117" i="15"/>
  <c r="K118" i="15"/>
  <c r="AA118" i="15"/>
  <c r="AQ118" i="15"/>
  <c r="BG118" i="15"/>
  <c r="L119" i="15"/>
  <c r="AB119" i="15"/>
  <c r="AR119" i="15"/>
  <c r="BH119" i="15"/>
  <c r="M120" i="15"/>
  <c r="AC120" i="15"/>
  <c r="AS120" i="15"/>
  <c r="BI120" i="15"/>
  <c r="N121" i="15"/>
  <c r="AD121" i="15"/>
  <c r="AT121" i="15"/>
  <c r="BJ121" i="15"/>
  <c r="O122" i="15"/>
  <c r="AE122" i="15"/>
  <c r="AU122" i="15"/>
  <c r="P123" i="15"/>
  <c r="AF123" i="15"/>
  <c r="AV123" i="15"/>
  <c r="Q124" i="15"/>
  <c r="AJ121" i="15"/>
  <c r="U122" i="15"/>
  <c r="BA122" i="15"/>
  <c r="AL123" i="15"/>
  <c r="W124" i="15"/>
  <c r="AO124" i="15"/>
  <c r="BE124" i="15"/>
  <c r="J125" i="15"/>
  <c r="Z125" i="15"/>
  <c r="AP125" i="15"/>
  <c r="BF125" i="15"/>
  <c r="K126" i="15"/>
  <c r="AA126" i="15"/>
  <c r="AQ126" i="15"/>
  <c r="BG126" i="15"/>
  <c r="L127" i="15"/>
  <c r="AB127" i="15"/>
  <c r="AR127" i="15"/>
  <c r="BH127" i="15"/>
  <c r="M128" i="15"/>
  <c r="AC128" i="15"/>
  <c r="AS128" i="15"/>
  <c r="BI128" i="15"/>
  <c r="N129" i="15"/>
  <c r="AD129" i="15"/>
  <c r="AT129" i="15"/>
  <c r="BJ129" i="15"/>
  <c r="O130" i="15"/>
  <c r="AE130" i="15"/>
  <c r="AU130" i="15"/>
  <c r="P131" i="15"/>
  <c r="AF131" i="15"/>
  <c r="AV131" i="15"/>
  <c r="Q132" i="15"/>
  <c r="AG132" i="15"/>
  <c r="AW132" i="15"/>
  <c r="R133" i="15"/>
  <c r="AH133" i="15"/>
  <c r="AX133" i="15"/>
  <c r="M132" i="15"/>
  <c r="AK132" i="15"/>
  <c r="BE132" i="15"/>
  <c r="V133" i="15"/>
  <c r="AP133" i="15"/>
  <c r="BJ133" i="15"/>
  <c r="S134" i="15"/>
  <c r="AI134" i="15"/>
  <c r="AY134" i="15"/>
  <c r="T135" i="15"/>
  <c r="AJ135" i="15"/>
  <c r="AZ135" i="15"/>
  <c r="U136" i="15"/>
  <c r="AK136" i="15"/>
  <c r="BA136" i="15"/>
  <c r="V137" i="15"/>
  <c r="AL137" i="15"/>
  <c r="BB137" i="15"/>
  <c r="W138" i="15"/>
  <c r="AM121" i="15"/>
  <c r="X122" i="15"/>
  <c r="BD122" i="15"/>
  <c r="I123" i="15"/>
  <c r="AO123" i="15"/>
  <c r="X124" i="15"/>
  <c r="AP124" i="15"/>
  <c r="BF124" i="15"/>
  <c r="K125" i="15"/>
  <c r="AA125" i="15"/>
  <c r="AQ125" i="15"/>
  <c r="BG125" i="15"/>
  <c r="L126" i="15"/>
  <c r="AB126" i="15"/>
  <c r="AR126" i="15"/>
  <c r="BH126" i="15"/>
  <c r="M127" i="15"/>
  <c r="AC127" i="15"/>
  <c r="AS127" i="15"/>
  <c r="BI127" i="15"/>
  <c r="N128" i="15"/>
  <c r="AD128" i="15"/>
  <c r="AT128" i="15"/>
  <c r="BJ128" i="15"/>
  <c r="O129" i="15"/>
  <c r="AE129" i="15"/>
  <c r="AU129" i="15"/>
  <c r="P130" i="15"/>
  <c r="AF130" i="15"/>
  <c r="AV130" i="15"/>
  <c r="Q131" i="15"/>
  <c r="AG131" i="15"/>
  <c r="AW131" i="15"/>
  <c r="R132" i="15"/>
  <c r="AH132" i="15"/>
  <c r="AX132" i="15"/>
  <c r="S133" i="15"/>
  <c r="AI133" i="15"/>
  <c r="AY133" i="15"/>
  <c r="T134" i="15"/>
  <c r="AJ134" i="15"/>
  <c r="AZ134" i="15"/>
  <c r="U135" i="15"/>
  <c r="AK135" i="15"/>
  <c r="BA135" i="15"/>
  <c r="V136" i="15"/>
  <c r="AL136" i="15"/>
  <c r="BB136" i="15"/>
  <c r="X121" i="15"/>
  <c r="BD121" i="15"/>
  <c r="I122" i="15"/>
  <c r="AO122" i="15"/>
  <c r="Z123" i="15"/>
  <c r="BF123" i="15"/>
  <c r="K124" i="15"/>
  <c r="AI124" i="15"/>
  <c r="AY124" i="15"/>
  <c r="T125" i="15"/>
  <c r="AJ125" i="15"/>
  <c r="AZ125" i="15"/>
  <c r="U126" i="15"/>
  <c r="AK126" i="15"/>
  <c r="BA126" i="15"/>
  <c r="V127" i="15"/>
  <c r="AL127" i="15"/>
  <c r="BB127" i="15"/>
  <c r="W128" i="15"/>
  <c r="AM128" i="15"/>
  <c r="BC128" i="15"/>
  <c r="H129" i="15"/>
  <c r="X129" i="15"/>
  <c r="AN129" i="15"/>
  <c r="BD129" i="15"/>
  <c r="I130" i="15"/>
  <c r="Y130" i="15"/>
  <c r="AO130" i="15"/>
  <c r="BE130" i="15"/>
  <c r="J131" i="15"/>
  <c r="Z131" i="15"/>
  <c r="AP131" i="15"/>
  <c r="BF131" i="15"/>
  <c r="K132" i="15"/>
  <c r="AA132" i="15"/>
  <c r="AQ132" i="15"/>
  <c r="BG132" i="15"/>
  <c r="L133" i="15"/>
  <c r="AB133" i="15"/>
  <c r="AR133" i="15"/>
  <c r="BH133" i="15"/>
  <c r="M134" i="15"/>
  <c r="AC134" i="15"/>
  <c r="AS134" i="15"/>
  <c r="BI134" i="15"/>
  <c r="N135" i="15"/>
  <c r="AD135" i="15"/>
  <c r="AT135" i="15"/>
  <c r="BJ135" i="15"/>
  <c r="O136" i="15"/>
  <c r="AE136" i="15"/>
  <c r="AU136" i="15"/>
  <c r="P137" i="15"/>
  <c r="AF137" i="15"/>
  <c r="AV137" i="15"/>
  <c r="Q138" i="15"/>
  <c r="AG138" i="15"/>
  <c r="AW138" i="15"/>
  <c r="R139" i="15"/>
  <c r="AH139" i="15"/>
  <c r="AX139" i="15"/>
  <c r="S140" i="15"/>
  <c r="AI140" i="15"/>
  <c r="AY140" i="15"/>
  <c r="T141" i="15"/>
  <c r="AJ141" i="15"/>
  <c r="AZ141" i="15"/>
  <c r="S121" i="15"/>
  <c r="AY121" i="15"/>
  <c r="AJ122" i="15"/>
  <c r="U123" i="15"/>
  <c r="BA123" i="15"/>
  <c r="AF124" i="15"/>
  <c r="AV124" i="15"/>
  <c r="Q125" i="15"/>
  <c r="AG125" i="15"/>
  <c r="AW125" i="15"/>
  <c r="R126" i="15"/>
  <c r="AH126" i="15"/>
  <c r="AX126" i="15"/>
  <c r="S127" i="15"/>
  <c r="AI127" i="15"/>
  <c r="AY127" i="15"/>
  <c r="T128" i="15"/>
  <c r="AJ128" i="15"/>
  <c r="AZ128" i="15"/>
  <c r="U129" i="15"/>
  <c r="AK129" i="15"/>
  <c r="BA129" i="15"/>
  <c r="V130" i="15"/>
  <c r="AL130" i="15"/>
  <c r="BB130" i="15"/>
  <c r="W131" i="15"/>
  <c r="AM131" i="15"/>
  <c r="BC131" i="15"/>
  <c r="H132" i="15"/>
  <c r="X132" i="15"/>
  <c r="AN132" i="15"/>
  <c r="BD132" i="15"/>
  <c r="I133" i="15"/>
  <c r="Y133" i="15"/>
  <c r="AO133" i="15"/>
  <c r="BE133" i="15"/>
  <c r="J134" i="15"/>
  <c r="Z134" i="15"/>
  <c r="AP134" i="15"/>
  <c r="BF134" i="15"/>
  <c r="K135" i="15"/>
  <c r="AA135" i="15"/>
  <c r="AQ135" i="15"/>
  <c r="BG135" i="15"/>
  <c r="L136" i="15"/>
  <c r="AB136" i="15"/>
  <c r="AR136" i="15"/>
  <c r="BH136" i="15"/>
  <c r="M137" i="15"/>
  <c r="AC137" i="15"/>
  <c r="AS137" i="15"/>
  <c r="BI137" i="15"/>
  <c r="N138" i="15"/>
  <c r="AD138" i="15"/>
  <c r="AT138" i="15"/>
  <c r="BJ138" i="15"/>
  <c r="O139" i="15"/>
  <c r="AE139" i="15"/>
  <c r="AU139" i="15"/>
  <c r="P140" i="15"/>
  <c r="AF140" i="15"/>
  <c r="AV140" i="15"/>
  <c r="Q141" i="15"/>
  <c r="AG141" i="15"/>
  <c r="AW141" i="15"/>
  <c r="AE137" i="15"/>
  <c r="P138" i="15"/>
  <c r="BG138" i="15"/>
  <c r="L139" i="15"/>
  <c r="AR139" i="15"/>
  <c r="AC140" i="15"/>
  <c r="BI140" i="15"/>
  <c r="N141" i="15"/>
  <c r="AT141" i="15"/>
  <c r="H142" i="15"/>
  <c r="X142" i="15"/>
  <c r="AN142" i="15"/>
  <c r="BD142" i="15"/>
  <c r="I143" i="15"/>
  <c r="Y143" i="15"/>
  <c r="AO143" i="15"/>
  <c r="BE143" i="15"/>
  <c r="J144" i="15"/>
  <c r="Z144" i="15"/>
  <c r="AP144" i="15"/>
  <c r="BF144" i="15"/>
  <c r="K145" i="15"/>
  <c r="AA145" i="15"/>
  <c r="AQ145" i="15"/>
  <c r="BG145" i="15"/>
  <c r="L146" i="15"/>
  <c r="AB146" i="15"/>
  <c r="AR146" i="15"/>
  <c r="BH146" i="15"/>
  <c r="M147" i="15"/>
  <c r="AC147" i="15"/>
  <c r="AS147" i="15"/>
  <c r="BI147" i="15"/>
  <c r="N148" i="15"/>
  <c r="AD148" i="15"/>
  <c r="AT148" i="15"/>
  <c r="BJ148" i="15"/>
  <c r="O149" i="15"/>
  <c r="AE149" i="15"/>
  <c r="AU149" i="15"/>
  <c r="P150" i="15"/>
  <c r="AF150" i="15"/>
  <c r="AV150" i="15"/>
  <c r="S137" i="15"/>
  <c r="AZ138" i="15"/>
  <c r="AK139" i="15"/>
  <c r="V140" i="15"/>
  <c r="BB140" i="15"/>
  <c r="AM141" i="15"/>
  <c r="U142" i="15"/>
  <c r="AK142" i="15"/>
  <c r="BA142" i="15"/>
  <c r="V143" i="15"/>
  <c r="AL143" i="15"/>
  <c r="BB143" i="15"/>
  <c r="W144" i="15"/>
  <c r="AM144" i="15"/>
  <c r="BC144" i="15"/>
  <c r="H145" i="15"/>
  <c r="U132" i="15"/>
  <c r="AO132" i="15"/>
  <c r="BI132" i="15"/>
  <c r="Z133" i="15"/>
  <c r="AT133" i="15"/>
  <c r="W134" i="15"/>
  <c r="AM134" i="15"/>
  <c r="BC134" i="15"/>
  <c r="H135" i="15"/>
  <c r="X135" i="15"/>
  <c r="AN135" i="15"/>
  <c r="BD135" i="15"/>
  <c r="I136" i="15"/>
  <c r="Y136" i="15"/>
  <c r="AO136" i="15"/>
  <c r="BE136" i="15"/>
  <c r="J137" i="15"/>
  <c r="Z137" i="15"/>
  <c r="AP137" i="15"/>
  <c r="BF137" i="15"/>
  <c r="K138" i="15"/>
  <c r="AA138" i="15"/>
  <c r="O121" i="15"/>
  <c r="AU121" i="15"/>
  <c r="AF122" i="15"/>
  <c r="Q123" i="15"/>
  <c r="AW123" i="15"/>
  <c r="AD124" i="15"/>
  <c r="AT124" i="15"/>
  <c r="BJ124" i="15"/>
  <c r="O125" i="15"/>
  <c r="AE125" i="15"/>
  <c r="AU125" i="15"/>
  <c r="P126" i="15"/>
  <c r="AF126" i="15"/>
  <c r="AV126" i="15"/>
  <c r="Q127" i="15"/>
  <c r="AG127" i="15"/>
  <c r="AW127" i="15"/>
  <c r="R128" i="15"/>
  <c r="AH128" i="15"/>
  <c r="AX128" i="15"/>
  <c r="S129" i="15"/>
  <c r="AI129" i="15"/>
  <c r="AY129" i="15"/>
  <c r="T130" i="15"/>
  <c r="AJ130" i="15"/>
  <c r="AZ130" i="15"/>
  <c r="U131" i="15"/>
  <c r="AK131" i="15"/>
  <c r="BA131" i="15"/>
  <c r="V132" i="15"/>
  <c r="AL132" i="15"/>
  <c r="BB132" i="15"/>
  <c r="W133" i="15"/>
  <c r="AM133" i="15"/>
  <c r="BC133" i="15"/>
  <c r="H134" i="15"/>
  <c r="X134" i="15"/>
  <c r="AN134" i="15"/>
  <c r="BD134" i="15"/>
  <c r="I135" i="15"/>
  <c r="Y135" i="15"/>
  <c r="AO135" i="15"/>
  <c r="BE135" i="15"/>
  <c r="J136" i="15"/>
  <c r="Z136" i="15"/>
  <c r="AP136" i="15"/>
  <c r="BF136" i="15"/>
  <c r="AF121" i="15"/>
  <c r="Q122" i="15"/>
  <c r="AW122" i="15"/>
  <c r="AH123" i="15"/>
  <c r="S124" i="15"/>
  <c r="AM124" i="15"/>
  <c r="BC124" i="15"/>
  <c r="H125" i="15"/>
  <c r="X125" i="15"/>
  <c r="AN125" i="15"/>
  <c r="BD125" i="15"/>
  <c r="I126" i="15"/>
  <c r="Y126" i="15"/>
  <c r="AO126" i="15"/>
  <c r="BE126" i="15"/>
  <c r="J127" i="15"/>
  <c r="Z127" i="15"/>
  <c r="AP127" i="15"/>
  <c r="BF127" i="15"/>
  <c r="K128" i="15"/>
  <c r="AA128" i="15"/>
  <c r="AQ128" i="15"/>
  <c r="BG128" i="15"/>
  <c r="L129" i="15"/>
  <c r="AB129" i="15"/>
  <c r="AR129" i="15"/>
  <c r="BH129" i="15"/>
  <c r="M130" i="15"/>
  <c r="AC130" i="15"/>
  <c r="AS130" i="15"/>
  <c r="BI130" i="15"/>
  <c r="N131" i="15"/>
  <c r="AD131" i="15"/>
  <c r="AT131" i="15"/>
  <c r="BJ131" i="15"/>
  <c r="O132" i="15"/>
  <c r="AE132" i="15"/>
  <c r="AU132" i="15"/>
  <c r="P133" i="15"/>
  <c r="AF133" i="15"/>
  <c r="AV133" i="15"/>
  <c r="Q134" i="15"/>
  <c r="AG134" i="15"/>
  <c r="AW134" i="15"/>
  <c r="R135" i="15"/>
  <c r="AH135" i="15"/>
  <c r="AX135" i="15"/>
  <c r="S136" i="15"/>
  <c r="AI136" i="15"/>
  <c r="AY136" i="15"/>
  <c r="T137" i="15"/>
  <c r="AJ137" i="15"/>
  <c r="AZ137" i="15"/>
  <c r="U138" i="15"/>
  <c r="AK138" i="15"/>
  <c r="BA138" i="15"/>
  <c r="V139" i="15"/>
  <c r="AL139" i="15"/>
  <c r="BB139" i="15"/>
  <c r="W140" i="15"/>
  <c r="AM140" i="15"/>
  <c r="BC140" i="15"/>
  <c r="H141" i="15"/>
  <c r="X141" i="15"/>
  <c r="AN141" i="15"/>
  <c r="BD141" i="15"/>
  <c r="AA121" i="15"/>
  <c r="BG121" i="15"/>
  <c r="L122" i="15"/>
  <c r="AR122" i="15"/>
  <c r="AC123" i="15"/>
  <c r="BI123" i="15"/>
  <c r="N124" i="15"/>
  <c r="AJ124" i="15"/>
  <c r="AZ124" i="15"/>
  <c r="U125" i="15"/>
  <c r="AK125" i="15"/>
  <c r="BA125" i="15"/>
  <c r="V126" i="15"/>
  <c r="AL126" i="15"/>
  <c r="BB126" i="15"/>
  <c r="W127" i="15"/>
  <c r="AM127" i="15"/>
  <c r="BC127" i="15"/>
  <c r="H128" i="15"/>
  <c r="X128" i="15"/>
  <c r="AN128" i="15"/>
  <c r="BD128" i="15"/>
  <c r="I129" i="15"/>
  <c r="Y129" i="15"/>
  <c r="AO129" i="15"/>
  <c r="BE129" i="15"/>
  <c r="J130" i="15"/>
  <c r="Z130" i="15"/>
  <c r="AP130" i="15"/>
  <c r="BF130" i="15"/>
  <c r="K131" i="15"/>
  <c r="AA131" i="15"/>
  <c r="AQ131" i="15"/>
  <c r="BG131" i="15"/>
  <c r="L132" i="15"/>
  <c r="AB132" i="15"/>
  <c r="AR132" i="15"/>
  <c r="BH132" i="15"/>
  <c r="M133" i="15"/>
  <c r="AC133" i="15"/>
  <c r="AS133" i="15"/>
  <c r="BI133" i="15"/>
  <c r="N134" i="15"/>
  <c r="AD134" i="15"/>
  <c r="AT134" i="15"/>
  <c r="BJ134" i="15"/>
  <c r="O135" i="15"/>
  <c r="AE135" i="15"/>
  <c r="AU135" i="15"/>
  <c r="P136" i="15"/>
  <c r="AF136" i="15"/>
  <c r="AV136" i="15"/>
  <c r="Q137" i="15"/>
  <c r="AG137" i="15"/>
  <c r="AW137" i="15"/>
  <c r="R138" i="15"/>
  <c r="AH138" i="15"/>
  <c r="AX138" i="15"/>
  <c r="S139" i="15"/>
  <c r="AI139" i="15"/>
  <c r="AY139" i="15"/>
  <c r="T140" i="15"/>
  <c r="AJ140" i="15"/>
  <c r="AZ140" i="15"/>
  <c r="U141" i="15"/>
  <c r="AK141" i="15"/>
  <c r="BA141" i="15"/>
  <c r="BJ136" i="15"/>
  <c r="AU137" i="15"/>
  <c r="AF138" i="15"/>
  <c r="T139" i="15"/>
  <c r="AZ139" i="15"/>
  <c r="AK140" i="15"/>
  <c r="V141" i="15"/>
  <c r="BB141" i="15"/>
  <c r="L142" i="15"/>
  <c r="AB142" i="15"/>
  <c r="AR142" i="15"/>
  <c r="BH142" i="15"/>
  <c r="M143" i="15"/>
  <c r="AC143" i="15"/>
  <c r="AS143" i="15"/>
  <c r="BI143" i="15"/>
  <c r="N144" i="15"/>
  <c r="AD144" i="15"/>
  <c r="AT144" i="15"/>
  <c r="BJ144" i="15"/>
  <c r="O145" i="15"/>
  <c r="AE145" i="15"/>
  <c r="AU145" i="15"/>
  <c r="P146" i="15"/>
  <c r="AF146" i="15"/>
  <c r="AV146" i="15"/>
  <c r="Q147" i="15"/>
  <c r="AG147" i="15"/>
  <c r="AW147" i="15"/>
  <c r="R148" i="15"/>
  <c r="AH148" i="15"/>
  <c r="AX148" i="15"/>
  <c r="S149" i="15"/>
  <c r="AI149" i="15"/>
  <c r="AY149" i="15"/>
  <c r="T150" i="15"/>
  <c r="AJ150" i="15"/>
  <c r="AZ150" i="15"/>
  <c r="AI137" i="15"/>
  <c r="T138" i="15"/>
  <c r="BH138" i="15"/>
  <c r="M139" i="15"/>
  <c r="AS139" i="15"/>
  <c r="AD140" i="15"/>
  <c r="BJ140" i="15"/>
  <c r="O141" i="15"/>
  <c r="AU141" i="15"/>
  <c r="I142" i="15"/>
  <c r="Y142" i="15"/>
  <c r="AO142" i="15"/>
  <c r="BE142" i="15"/>
  <c r="J143" i="15"/>
  <c r="Z143" i="15"/>
  <c r="AP143" i="15"/>
  <c r="BF143" i="15"/>
  <c r="K144" i="15"/>
  <c r="AA144" i="15"/>
  <c r="AQ144" i="15"/>
  <c r="BG144" i="15"/>
  <c r="L145" i="15"/>
  <c r="AB145" i="15"/>
  <c r="AR145" i="15"/>
  <c r="BH145" i="15"/>
  <c r="Y132" i="15"/>
  <c r="AS132" i="15"/>
  <c r="J133" i="15"/>
  <c r="AD133" i="15"/>
  <c r="BB133" i="15"/>
  <c r="K134" i="15"/>
  <c r="AA134" i="15"/>
  <c r="AQ134" i="15"/>
  <c r="BG134" i="15"/>
  <c r="L135" i="15"/>
  <c r="AB135" i="15"/>
  <c r="AR135" i="15"/>
  <c r="BH135" i="15"/>
  <c r="M136" i="15"/>
  <c r="AC136" i="15"/>
  <c r="AS136" i="15"/>
  <c r="BI136" i="15"/>
  <c r="N137" i="15"/>
  <c r="AD137" i="15"/>
  <c r="AT137" i="15"/>
  <c r="BJ137" i="15"/>
  <c r="O138" i="15"/>
  <c r="AE138" i="15"/>
  <c r="W121" i="15"/>
  <c r="BC121" i="15"/>
  <c r="H122" i="15"/>
  <c r="AN122" i="15"/>
  <c r="Y123" i="15"/>
  <c r="BE123" i="15"/>
  <c r="J124" i="15"/>
  <c r="AH124" i="15"/>
  <c r="AX124" i="15"/>
  <c r="S125" i="15"/>
  <c r="AI125" i="15"/>
  <c r="AY125" i="15"/>
  <c r="T126" i="15"/>
  <c r="AJ126" i="15"/>
  <c r="AZ126" i="15"/>
  <c r="U127" i="15"/>
  <c r="AK127" i="15"/>
  <c r="BA127" i="15"/>
  <c r="V128" i="15"/>
  <c r="AL128" i="15"/>
  <c r="BB128" i="15"/>
  <c r="W129" i="15"/>
  <c r="AM129" i="15"/>
  <c r="BC129" i="15"/>
  <c r="H130" i="15"/>
  <c r="X130" i="15"/>
  <c r="AN130" i="15"/>
  <c r="BD130" i="15"/>
  <c r="I131" i="15"/>
  <c r="Y131" i="15"/>
  <c r="AO131" i="15"/>
  <c r="BE131" i="15"/>
  <c r="J132" i="15"/>
  <c r="Z132" i="15"/>
  <c r="AP132" i="15"/>
  <c r="BF132" i="15"/>
  <c r="K133" i="15"/>
  <c r="AA133" i="15"/>
  <c r="AQ133" i="15"/>
  <c r="BG133" i="15"/>
  <c r="L134" i="15"/>
  <c r="AB134" i="15"/>
  <c r="AR134" i="15"/>
  <c r="BH134" i="15"/>
  <c r="M135" i="15"/>
  <c r="AC135" i="15"/>
  <c r="AS135" i="15"/>
  <c r="BI135" i="15"/>
  <c r="N136" i="15"/>
  <c r="AD136" i="15"/>
  <c r="AT136" i="15"/>
  <c r="H121" i="15"/>
  <c r="AN121" i="15"/>
  <c r="Y122" i="15"/>
  <c r="BE122" i="15"/>
  <c r="J123" i="15"/>
  <c r="AP123" i="15"/>
  <c r="Z124" i="15"/>
  <c r="AQ124" i="15"/>
  <c r="BG124" i="15"/>
  <c r="L125" i="15"/>
  <c r="AB125" i="15"/>
  <c r="AR125" i="15"/>
  <c r="BH125" i="15"/>
  <c r="M126" i="15"/>
  <c r="AC126" i="15"/>
  <c r="AS126" i="15"/>
  <c r="BI126" i="15"/>
  <c r="N127" i="15"/>
  <c r="AD127" i="15"/>
  <c r="AT127" i="15"/>
  <c r="BJ127" i="15"/>
  <c r="O128" i="15"/>
  <c r="AE128" i="15"/>
  <c r="AU128" i="15"/>
  <c r="P129" i="15"/>
  <c r="AF129" i="15"/>
  <c r="AV129" i="15"/>
  <c r="Q130" i="15"/>
  <c r="AG130" i="15"/>
  <c r="AW130" i="15"/>
  <c r="R131" i="15"/>
  <c r="AH131" i="15"/>
  <c r="AX131" i="15"/>
  <c r="S132" i="15"/>
  <c r="AI132" i="15"/>
  <c r="AY132" i="15"/>
  <c r="T133" i="15"/>
  <c r="AJ133" i="15"/>
  <c r="AZ133" i="15"/>
  <c r="U134" i="15"/>
  <c r="AK134" i="15"/>
  <c r="BA134" i="15"/>
  <c r="V135" i="15"/>
  <c r="AL135" i="15"/>
  <c r="BB135" i="15"/>
  <c r="W136" i="15"/>
  <c r="AM136" i="15"/>
  <c r="BC136" i="15"/>
  <c r="H137" i="15"/>
  <c r="X137" i="15"/>
  <c r="AN137" i="15"/>
  <c r="BD137" i="15"/>
  <c r="I138" i="15"/>
  <c r="Y138" i="15"/>
  <c r="AO138" i="15"/>
  <c r="BE138" i="15"/>
  <c r="J139" i="15"/>
  <c r="Z139" i="15"/>
  <c r="AP139" i="15"/>
  <c r="BF139" i="15"/>
  <c r="K140" i="15"/>
  <c r="AA140" i="15"/>
  <c r="AQ140" i="15"/>
  <c r="BG140" i="15"/>
  <c r="L141" i="15"/>
  <c r="AB141" i="15"/>
  <c r="AR141" i="15"/>
  <c r="BH141" i="15"/>
  <c r="AI121" i="15"/>
  <c r="T122" i="15"/>
  <c r="AZ122" i="15"/>
  <c r="AK123" i="15"/>
  <c r="V124" i="15"/>
  <c r="AN124" i="15"/>
  <c r="BD124" i="15"/>
  <c r="I125" i="15"/>
  <c r="Y125" i="15"/>
  <c r="AO125" i="15"/>
  <c r="BE125" i="15"/>
  <c r="J126" i="15"/>
  <c r="Z126" i="15"/>
  <c r="AP126" i="15"/>
  <c r="BF126" i="15"/>
  <c r="K127" i="15"/>
  <c r="AA127" i="15"/>
  <c r="AQ127" i="15"/>
  <c r="BG127" i="15"/>
  <c r="L128" i="15"/>
  <c r="AB128" i="15"/>
  <c r="AR128" i="15"/>
  <c r="BH128" i="15"/>
  <c r="M129" i="15"/>
  <c r="AC129" i="15"/>
  <c r="AS129" i="15"/>
  <c r="BI129" i="15"/>
  <c r="N130" i="15"/>
  <c r="AD130" i="15"/>
  <c r="AT130" i="15"/>
  <c r="BJ130" i="15"/>
  <c r="O131" i="15"/>
  <c r="AE131" i="15"/>
  <c r="AU131" i="15"/>
  <c r="P132" i="15"/>
  <c r="AF132" i="15"/>
  <c r="AV132" i="15"/>
  <c r="Q133" i="15"/>
  <c r="AG133" i="15"/>
  <c r="AW133" i="15"/>
  <c r="R134" i="15"/>
  <c r="AH134" i="15"/>
  <c r="AX134" i="15"/>
  <c r="S135" i="15"/>
  <c r="AI135" i="15"/>
  <c r="AY135" i="15"/>
  <c r="T136" i="15"/>
  <c r="AJ136" i="15"/>
  <c r="AZ136" i="15"/>
  <c r="U137" i="15"/>
  <c r="AK137" i="15"/>
  <c r="BA137" i="15"/>
  <c r="V138" i="15"/>
  <c r="AL138" i="15"/>
  <c r="BB138" i="15"/>
  <c r="W139" i="15"/>
  <c r="AM139" i="15"/>
  <c r="BC139" i="15"/>
  <c r="H140" i="15"/>
  <c r="X140" i="15"/>
  <c r="AN140" i="15"/>
  <c r="BD140" i="15"/>
  <c r="I141" i="15"/>
  <c r="Y141" i="15"/>
  <c r="AO141" i="15"/>
  <c r="BE141" i="15"/>
  <c r="AQ138" i="15"/>
  <c r="AB139" i="15"/>
  <c r="BH139" i="15"/>
  <c r="M140" i="15"/>
  <c r="AS140" i="15"/>
  <c r="AD141" i="15"/>
  <c r="BJ141" i="15"/>
  <c r="P142" i="15"/>
  <c r="AF142" i="15"/>
  <c r="AV142" i="15"/>
  <c r="Q143" i="15"/>
  <c r="AG143" i="15"/>
  <c r="AW143" i="15"/>
  <c r="R144" i="15"/>
  <c r="AH144" i="15"/>
  <c r="AX144" i="15"/>
  <c r="S145" i="15"/>
  <c r="AI145" i="15"/>
  <c r="AY145" i="15"/>
  <c r="T146" i="15"/>
  <c r="AJ146" i="15"/>
  <c r="AZ146" i="15"/>
  <c r="U147" i="15"/>
  <c r="AK147" i="15"/>
  <c r="BA147" i="15"/>
  <c r="V148" i="15"/>
  <c r="AL148" i="15"/>
  <c r="BB148" i="15"/>
  <c r="W149" i="15"/>
  <c r="AM149" i="15"/>
  <c r="BC149" i="15"/>
  <c r="H150" i="15"/>
  <c r="X150" i="15"/>
  <c r="AN150" i="15"/>
  <c r="BD150" i="15"/>
  <c r="AY137" i="15"/>
  <c r="AJ138" i="15"/>
  <c r="U139" i="15"/>
  <c r="BA139" i="15"/>
  <c r="AL140" i="15"/>
  <c r="W141" i="15"/>
  <c r="BC141" i="15"/>
  <c r="M142" i="15"/>
  <c r="AC142" i="15"/>
  <c r="AS142" i="15"/>
  <c r="BI142" i="15"/>
  <c r="N143" i="15"/>
  <c r="AD143" i="15"/>
  <c r="AT143" i="15"/>
  <c r="BJ143" i="15"/>
  <c r="O144" i="15"/>
  <c r="AE144" i="15"/>
  <c r="AU144" i="15"/>
  <c r="P145" i="15"/>
  <c r="AF145" i="15"/>
  <c r="AV145" i="15"/>
  <c r="I132" i="15"/>
  <c r="AC132" i="15"/>
  <c r="BA132" i="15"/>
  <c r="N133" i="15"/>
  <c r="AL133" i="15"/>
  <c r="BF133" i="15"/>
  <c r="O134" i="15"/>
  <c r="AE134" i="15"/>
  <c r="AU134" i="15"/>
  <c r="P135" i="15"/>
  <c r="AF135" i="15"/>
  <c r="AV135" i="15"/>
  <c r="Q136" i="15"/>
  <c r="AG136" i="15"/>
  <c r="AW136" i="15"/>
  <c r="R137" i="15"/>
  <c r="AH137" i="15"/>
  <c r="AX137" i="15"/>
  <c r="S138" i="15"/>
  <c r="AI138" i="15"/>
  <c r="AE121" i="15"/>
  <c r="P122" i="15"/>
  <c r="AV122" i="15"/>
  <c r="AG123" i="15"/>
  <c r="R124" i="15"/>
  <c r="AL124" i="15"/>
  <c r="BB124" i="15"/>
  <c r="W125" i="15"/>
  <c r="AM125" i="15"/>
  <c r="BC125" i="15"/>
  <c r="H126" i="15"/>
  <c r="X126" i="15"/>
  <c r="AN126" i="15"/>
  <c r="BD126" i="15"/>
  <c r="I127" i="15"/>
  <c r="Y127" i="15"/>
  <c r="AO127" i="15"/>
  <c r="BE127" i="15"/>
  <c r="J128" i="15"/>
  <c r="Z128" i="15"/>
  <c r="AP128" i="15"/>
  <c r="BF128" i="15"/>
  <c r="K129" i="15"/>
  <c r="AA129" i="15"/>
  <c r="AQ129" i="15"/>
  <c r="BG129" i="15"/>
  <c r="L130" i="15"/>
  <c r="AB130" i="15"/>
  <c r="AR130" i="15"/>
  <c r="BH130" i="15"/>
  <c r="M131" i="15"/>
  <c r="AC131" i="15"/>
  <c r="AS131" i="15"/>
  <c r="BI131" i="15"/>
  <c r="N132" i="15"/>
  <c r="AD132" i="15"/>
  <c r="AT132" i="15"/>
  <c r="BJ132" i="15"/>
  <c r="O133" i="15"/>
  <c r="AE133" i="15"/>
  <c r="AU133" i="15"/>
  <c r="P134" i="15"/>
  <c r="AF134" i="15"/>
  <c r="AV134" i="15"/>
  <c r="Q135" i="15"/>
  <c r="AG135" i="15"/>
  <c r="AW135" i="15"/>
  <c r="R136" i="15"/>
  <c r="AH136" i="15"/>
  <c r="AX136" i="15"/>
  <c r="P121" i="15"/>
  <c r="AV121" i="15"/>
  <c r="AG122" i="15"/>
  <c r="R123" i="15"/>
  <c r="AX123" i="15"/>
  <c r="AE124" i="15"/>
  <c r="AU124" i="15"/>
  <c r="P125" i="15"/>
  <c r="AF125" i="15"/>
  <c r="AV125" i="15"/>
  <c r="Q126" i="15"/>
  <c r="AG126" i="15"/>
  <c r="AW126" i="15"/>
  <c r="R127" i="15"/>
  <c r="AH127" i="15"/>
  <c r="AX127" i="15"/>
  <c r="S128" i="15"/>
  <c r="AI128" i="15"/>
  <c r="AY128" i="15"/>
  <c r="T129" i="15"/>
  <c r="AJ129" i="15"/>
  <c r="AZ129" i="15"/>
  <c r="U130" i="15"/>
  <c r="AK130" i="15"/>
  <c r="BA130" i="15"/>
  <c r="V131" i="15"/>
  <c r="AL131" i="15"/>
  <c r="BB131" i="15"/>
  <c r="W132" i="15"/>
  <c r="AM132" i="15"/>
  <c r="BC132" i="15"/>
  <c r="H133" i="15"/>
  <c r="X133" i="15"/>
  <c r="AN133" i="15"/>
  <c r="BD133" i="15"/>
  <c r="I134" i="15"/>
  <c r="Y134" i="15"/>
  <c r="AO134" i="15"/>
  <c r="BE134" i="15"/>
  <c r="J135" i="15"/>
  <c r="Z135" i="15"/>
  <c r="AP135" i="15"/>
  <c r="BF135" i="15"/>
  <c r="K136" i="15"/>
  <c r="AA136" i="15"/>
  <c r="AQ136" i="15"/>
  <c r="BG136" i="15"/>
  <c r="L137" i="15"/>
  <c r="AB137" i="15"/>
  <c r="AR137" i="15"/>
  <c r="BH137" i="15"/>
  <c r="M138" i="15"/>
  <c r="AC138" i="15"/>
  <c r="AS138" i="15"/>
  <c r="BI138" i="15"/>
  <c r="N139" i="15"/>
  <c r="AD139" i="15"/>
  <c r="AT139" i="15"/>
  <c r="BJ139" i="15"/>
  <c r="O140" i="15"/>
  <c r="AE140" i="15"/>
  <c r="AU140" i="15"/>
  <c r="P141" i="15"/>
  <c r="AF141" i="15"/>
  <c r="AV141" i="15"/>
  <c r="K121" i="15"/>
  <c r="AQ121" i="15"/>
  <c r="AB122" i="15"/>
  <c r="BH122" i="15"/>
  <c r="M123" i="15"/>
  <c r="AS123" i="15"/>
  <c r="AA124" i="15"/>
  <c r="AR124" i="15"/>
  <c r="BH124" i="15"/>
  <c r="M125" i="15"/>
  <c r="AC125" i="15"/>
  <c r="AS125" i="15"/>
  <c r="BI125" i="15"/>
  <c r="N126" i="15"/>
  <c r="AD126" i="15"/>
  <c r="AT126" i="15"/>
  <c r="BJ126" i="15"/>
  <c r="O127" i="15"/>
  <c r="AE127" i="15"/>
  <c r="AU127" i="15"/>
  <c r="P128" i="15"/>
  <c r="AF128" i="15"/>
  <c r="AV128" i="15"/>
  <c r="Q129" i="15"/>
  <c r="AG129" i="15"/>
  <c r="AW129" i="15"/>
  <c r="R130" i="15"/>
  <c r="AH130" i="15"/>
  <c r="AX130" i="15"/>
  <c r="S131" i="15"/>
  <c r="AI131" i="15"/>
  <c r="AY131" i="15"/>
  <c r="T132" i="15"/>
  <c r="AJ132" i="15"/>
  <c r="AZ132" i="15"/>
  <c r="U133" i="15"/>
  <c r="AK133" i="15"/>
  <c r="BA133" i="15"/>
  <c r="V134" i="15"/>
  <c r="AL134" i="15"/>
  <c r="BB134" i="15"/>
  <c r="W135" i="15"/>
  <c r="AM135" i="15"/>
  <c r="BC135" i="15"/>
  <c r="H136" i="15"/>
  <c r="X136" i="15"/>
  <c r="AN136" i="15"/>
  <c r="BD136" i="15"/>
  <c r="I137" i="15"/>
  <c r="Y137" i="15"/>
  <c r="AO137" i="15"/>
  <c r="BE137" i="15"/>
  <c r="J138" i="15"/>
  <c r="Z138" i="15"/>
  <c r="AP138" i="15"/>
  <c r="BF138" i="15"/>
  <c r="K139" i="15"/>
  <c r="AA139" i="15"/>
  <c r="AQ139" i="15"/>
  <c r="BG139" i="15"/>
  <c r="L140" i="15"/>
  <c r="AB140" i="15"/>
  <c r="AR140" i="15"/>
  <c r="BH140" i="15"/>
  <c r="M141" i="15"/>
  <c r="AC141" i="15"/>
  <c r="AS141" i="15"/>
  <c r="BI141" i="15"/>
  <c r="O137" i="15"/>
  <c r="AY138" i="15"/>
  <c r="AJ139" i="15"/>
  <c r="U140" i="15"/>
  <c r="BA140" i="15"/>
  <c r="AL141" i="15"/>
  <c r="T142" i="15"/>
  <c r="AJ142" i="15"/>
  <c r="AZ142" i="15"/>
  <c r="U143" i="15"/>
  <c r="AK143" i="15"/>
  <c r="BA143" i="15"/>
  <c r="V144" i="15"/>
  <c r="AL144" i="15"/>
  <c r="BB144" i="15"/>
  <c r="W145" i="15"/>
  <c r="AM145" i="15"/>
  <c r="BC145" i="15"/>
  <c r="H146" i="15"/>
  <c r="X146" i="15"/>
  <c r="AN146" i="15"/>
  <c r="BD146" i="15"/>
  <c r="I147" i="15"/>
  <c r="Y147" i="15"/>
  <c r="AO147" i="15"/>
  <c r="BE147" i="15"/>
  <c r="J148" i="15"/>
  <c r="Z148" i="15"/>
  <c r="AP148" i="15"/>
  <c r="BF148" i="15"/>
  <c r="K149" i="15"/>
  <c r="AA149" i="15"/>
  <c r="AQ149" i="15"/>
  <c r="BG149" i="15"/>
  <c r="L150" i="15"/>
  <c r="AB150" i="15"/>
  <c r="AR150" i="15"/>
  <c r="BH150" i="15"/>
  <c r="AR138" i="15"/>
  <c r="AC139" i="15"/>
  <c r="BI139" i="15"/>
  <c r="N140" i="15"/>
  <c r="AT140" i="15"/>
  <c r="AE141" i="15"/>
  <c r="Q142" i="15"/>
  <c r="AG142" i="15"/>
  <c r="AW142" i="15"/>
  <c r="R143" i="15"/>
  <c r="AH143" i="15"/>
  <c r="AX143" i="15"/>
  <c r="S144" i="15"/>
  <c r="AI144" i="15"/>
  <c r="AY144" i="15"/>
  <c r="T145" i="15"/>
  <c r="AJ145" i="15"/>
  <c r="AZ145" i="15"/>
  <c r="X145" i="15"/>
  <c r="U146" i="15"/>
  <c r="AK146" i="15"/>
  <c r="BA146" i="15"/>
  <c r="V147" i="15"/>
  <c r="AL147" i="15"/>
  <c r="BB147" i="15"/>
  <c r="W148" i="15"/>
  <c r="AM148" i="15"/>
  <c r="BC148" i="15"/>
  <c r="H149" i="15"/>
  <c r="X149" i="15"/>
  <c r="AN149" i="15"/>
  <c r="BD149" i="15"/>
  <c r="I150" i="15"/>
  <c r="Y150" i="15"/>
  <c r="AO150" i="15"/>
  <c r="BE150" i="15"/>
  <c r="BC137" i="15"/>
  <c r="AM138" i="15"/>
  <c r="X139" i="15"/>
  <c r="BD139" i="15"/>
  <c r="I140" i="15"/>
  <c r="AO140" i="15"/>
  <c r="Z141" i="15"/>
  <c r="BF141" i="15"/>
  <c r="N142" i="15"/>
  <c r="AD142" i="15"/>
  <c r="AT142" i="15"/>
  <c r="BJ142" i="15"/>
  <c r="O143" i="15"/>
  <c r="AE143" i="15"/>
  <c r="AU143" i="15"/>
  <c r="P144" i="15"/>
  <c r="AF144" i="15"/>
  <c r="AV144" i="15"/>
  <c r="Q145" i="15"/>
  <c r="AG145" i="15"/>
  <c r="AW145" i="15"/>
  <c r="R146" i="15"/>
  <c r="AH146" i="15"/>
  <c r="AX146" i="15"/>
  <c r="S147" i="15"/>
  <c r="AI147" i="15"/>
  <c r="AY147" i="15"/>
  <c r="T148" i="15"/>
  <c r="AJ148" i="15"/>
  <c r="AZ148" i="15"/>
  <c r="U149" i="15"/>
  <c r="AK149" i="15"/>
  <c r="BA149" i="15"/>
  <c r="V150" i="15"/>
  <c r="AL150" i="15"/>
  <c r="BB150" i="15"/>
  <c r="AQ137" i="15"/>
  <c r="AB138" i="15"/>
  <c r="Q139" i="15"/>
  <c r="AW139" i="15"/>
  <c r="AH140" i="15"/>
  <c r="S141" i="15"/>
  <c r="AY141" i="15"/>
  <c r="K142" i="15"/>
  <c r="AA142" i="15"/>
  <c r="AQ142" i="15"/>
  <c r="BG142" i="15"/>
  <c r="L143" i="15"/>
  <c r="AB143" i="15"/>
  <c r="AR143" i="15"/>
  <c r="BH143" i="15"/>
  <c r="M144" i="15"/>
  <c r="AC144" i="15"/>
  <c r="AS144" i="15"/>
  <c r="BI144" i="15"/>
  <c r="N145" i="15"/>
  <c r="AD145" i="15"/>
  <c r="AT145" i="15"/>
  <c r="BJ145" i="15"/>
  <c r="O146" i="15"/>
  <c r="AE146" i="15"/>
  <c r="AU146" i="15"/>
  <c r="P147" i="15"/>
  <c r="AF147" i="15"/>
  <c r="AV147" i="15"/>
  <c r="Q148" i="15"/>
  <c r="AG148" i="15"/>
  <c r="AW148" i="15"/>
  <c r="R149" i="15"/>
  <c r="AH149" i="15"/>
  <c r="AX149" i="15"/>
  <c r="S150" i="15"/>
  <c r="AI150" i="15"/>
  <c r="AY150" i="15"/>
  <c r="U57" i="15"/>
  <c r="U11" i="15" s="1"/>
  <c r="AK57" i="15"/>
  <c r="AK11" i="15" s="1"/>
  <c r="BA57" i="15"/>
  <c r="BA11" i="15" s="1"/>
  <c r="R57" i="15"/>
  <c r="R11" i="15" s="1"/>
  <c r="AH57" i="15"/>
  <c r="AH11" i="15" s="1"/>
  <c r="AX57" i="15"/>
  <c r="AX11" i="15" s="1"/>
  <c r="O57" i="15"/>
  <c r="O11" i="15" s="1"/>
  <c r="AE57" i="15"/>
  <c r="AE11" i="15" s="1"/>
  <c r="AU57" i="15"/>
  <c r="AU11" i="15" s="1"/>
  <c r="AB57" i="15"/>
  <c r="AB11" i="15" s="1"/>
  <c r="AR57" i="15"/>
  <c r="AR11" i="15" s="1"/>
  <c r="BH57" i="15"/>
  <c r="BH11" i="15" s="1"/>
  <c r="G106" i="15"/>
  <c r="G138" i="15"/>
  <c r="G119" i="15"/>
  <c r="G120" i="15"/>
  <c r="G101" i="15"/>
  <c r="G133" i="15"/>
  <c r="AN145" i="15"/>
  <c r="I146" i="15"/>
  <c r="Y146" i="15"/>
  <c r="AO146" i="15"/>
  <c r="BE146" i="15"/>
  <c r="J147" i="15"/>
  <c r="Z147" i="15"/>
  <c r="AP147" i="15"/>
  <c r="BF147" i="15"/>
  <c r="K148" i="15"/>
  <c r="AA148" i="15"/>
  <c r="AQ148" i="15"/>
  <c r="BG148" i="15"/>
  <c r="L149" i="15"/>
  <c r="AB149" i="15"/>
  <c r="AR149" i="15"/>
  <c r="BH149" i="15"/>
  <c r="M150" i="15"/>
  <c r="AC150" i="15"/>
  <c r="AS150" i="15"/>
  <c r="BI150" i="15"/>
  <c r="AU138" i="15"/>
  <c r="AF139" i="15"/>
  <c r="Q140" i="15"/>
  <c r="AW140" i="15"/>
  <c r="AH141" i="15"/>
  <c r="R142" i="15"/>
  <c r="AH142" i="15"/>
  <c r="AX142" i="15"/>
  <c r="S143" i="15"/>
  <c r="AI143" i="15"/>
  <c r="AY143" i="15"/>
  <c r="T144" i="15"/>
  <c r="AJ144" i="15"/>
  <c r="AZ144" i="15"/>
  <c r="U145" i="15"/>
  <c r="AK145" i="15"/>
  <c r="BA145" i="15"/>
  <c r="V146" i="15"/>
  <c r="AL146" i="15"/>
  <c r="BB146" i="15"/>
  <c r="W147" i="15"/>
  <c r="AM147" i="15"/>
  <c r="BC147" i="15"/>
  <c r="H148" i="15"/>
  <c r="X148" i="15"/>
  <c r="AN148" i="15"/>
  <c r="BD148" i="15"/>
  <c r="I149" i="15"/>
  <c r="Y149" i="15"/>
  <c r="AO149" i="15"/>
  <c r="BE149" i="15"/>
  <c r="J150" i="15"/>
  <c r="Z150" i="15"/>
  <c r="AP150" i="15"/>
  <c r="BF150" i="15"/>
  <c r="BG137" i="15"/>
  <c r="AN138" i="15"/>
  <c r="Y139" i="15"/>
  <c r="BE139" i="15"/>
  <c r="J140" i="15"/>
  <c r="AP140" i="15"/>
  <c r="AA141" i="15"/>
  <c r="BG141" i="15"/>
  <c r="O142" i="15"/>
  <c r="AE142" i="15"/>
  <c r="AU142" i="15"/>
  <c r="P143" i="15"/>
  <c r="AF143" i="15"/>
  <c r="AV143" i="15"/>
  <c r="Q144" i="15"/>
  <c r="AG144" i="15"/>
  <c r="AW144" i="15"/>
  <c r="R145" i="15"/>
  <c r="AH145" i="15"/>
  <c r="AX145" i="15"/>
  <c r="S146" i="15"/>
  <c r="AI146" i="15"/>
  <c r="AY146" i="15"/>
  <c r="T147" i="15"/>
  <c r="AJ147" i="15"/>
  <c r="AZ147" i="15"/>
  <c r="U148" i="15"/>
  <c r="AK148" i="15"/>
  <c r="BA148" i="15"/>
  <c r="V149" i="15"/>
  <c r="AL149" i="15"/>
  <c r="BB149" i="15"/>
  <c r="W150" i="15"/>
  <c r="AM150" i="15"/>
  <c r="BC150" i="15"/>
  <c r="I57" i="15"/>
  <c r="I11" i="15" s="1"/>
  <c r="Y57" i="15"/>
  <c r="Y11" i="15" s="1"/>
  <c r="AO57" i="15"/>
  <c r="AO11" i="15" s="1"/>
  <c r="BE57" i="15"/>
  <c r="BE11" i="15" s="1"/>
  <c r="P57" i="15"/>
  <c r="P11" i="15" s="1"/>
  <c r="V57" i="15"/>
  <c r="V11" i="15" s="1"/>
  <c r="AL57" i="15"/>
  <c r="AL11" i="15" s="1"/>
  <c r="BB57" i="15"/>
  <c r="BB11" i="15" s="1"/>
  <c r="S57" i="15"/>
  <c r="S11" i="15" s="1"/>
  <c r="AI57" i="15"/>
  <c r="AI11" i="15" s="1"/>
  <c r="AY57" i="15"/>
  <c r="AY11" i="15" s="1"/>
  <c r="AF57" i="15"/>
  <c r="AF11" i="15" s="1"/>
  <c r="AV57" i="15"/>
  <c r="AV11" i="15" s="1"/>
  <c r="G110" i="15"/>
  <c r="G126" i="15"/>
  <c r="G142" i="15"/>
  <c r="G107" i="15"/>
  <c r="G123" i="15"/>
  <c r="G139" i="15"/>
  <c r="G108" i="15"/>
  <c r="G124" i="15"/>
  <c r="G140" i="15"/>
  <c r="G121" i="15"/>
  <c r="G57" i="15"/>
  <c r="G11" i="15" s="1"/>
  <c r="BD145" i="15"/>
  <c r="M146" i="15"/>
  <c r="AC146" i="15"/>
  <c r="AS146" i="15"/>
  <c r="BI146" i="15"/>
  <c r="N147" i="15"/>
  <c r="AD147" i="15"/>
  <c r="AT147" i="15"/>
  <c r="BJ147" i="15"/>
  <c r="O148" i="15"/>
  <c r="AE148" i="15"/>
  <c r="AU148" i="15"/>
  <c r="P149" i="15"/>
  <c r="AF149" i="15"/>
  <c r="AV149" i="15"/>
  <c r="Q150" i="15"/>
  <c r="AG150" i="15"/>
  <c r="AW150" i="15"/>
  <c r="W137" i="15"/>
  <c r="H138" i="15"/>
  <c r="BC138" i="15"/>
  <c r="H139" i="15"/>
  <c r="AN139" i="15"/>
  <c r="Y140" i="15"/>
  <c r="BE140" i="15"/>
  <c r="J141" i="15"/>
  <c r="AP141" i="15"/>
  <c r="V142" i="15"/>
  <c r="AL142" i="15"/>
  <c r="BB142" i="15"/>
  <c r="W143" i="15"/>
  <c r="AM143" i="15"/>
  <c r="BC143" i="15"/>
  <c r="H144" i="15"/>
  <c r="X144" i="15"/>
  <c r="AN144" i="15"/>
  <c r="BD144" i="15"/>
  <c r="I145" i="15"/>
  <c r="Y145" i="15"/>
  <c r="AO145" i="15"/>
  <c r="BE145" i="15"/>
  <c r="J146" i="15"/>
  <c r="Z146" i="15"/>
  <c r="AP146" i="15"/>
  <c r="BF146" i="15"/>
  <c r="K147" i="15"/>
  <c r="AA147" i="15"/>
  <c r="AQ147" i="15"/>
  <c r="BG147" i="15"/>
  <c r="L148" i="15"/>
  <c r="AB148" i="15"/>
  <c r="AR148" i="15"/>
  <c r="BH148" i="15"/>
  <c r="M149" i="15"/>
  <c r="AC149" i="15"/>
  <c r="AS149" i="15"/>
  <c r="BI149" i="15"/>
  <c r="N150" i="15"/>
  <c r="AD150" i="15"/>
  <c r="AT150" i="15"/>
  <c r="BJ150" i="15"/>
  <c r="K137" i="15"/>
  <c r="AV138" i="15"/>
  <c r="AG139" i="15"/>
  <c r="R140" i="15"/>
  <c r="AX140" i="15"/>
  <c r="AI141" i="15"/>
  <c r="S142" i="15"/>
  <c r="AI142" i="15"/>
  <c r="AY142" i="15"/>
  <c r="T143" i="15"/>
  <c r="AJ143" i="15"/>
  <c r="AZ143" i="15"/>
  <c r="U144" i="15"/>
  <c r="AK144" i="15"/>
  <c r="BA144" i="15"/>
  <c r="V145" i="15"/>
  <c r="AL145" i="15"/>
  <c r="BB145" i="15"/>
  <c r="W146" i="15"/>
  <c r="AM146" i="15"/>
  <c r="BC146" i="15"/>
  <c r="H147" i="15"/>
  <c r="X147" i="15"/>
  <c r="AN147" i="15"/>
  <c r="BD147" i="15"/>
  <c r="I148" i="15"/>
  <c r="Y148" i="15"/>
  <c r="AO148" i="15"/>
  <c r="BE148" i="15"/>
  <c r="J149" i="15"/>
  <c r="Z149" i="15"/>
  <c r="AP149" i="15"/>
  <c r="BF149" i="15"/>
  <c r="K150" i="15"/>
  <c r="AA150" i="15"/>
  <c r="AQ150" i="15"/>
  <c r="BG150" i="15"/>
  <c r="M57" i="15"/>
  <c r="M11" i="15" s="1"/>
  <c r="AC57" i="15"/>
  <c r="AC11" i="15" s="1"/>
  <c r="AS57" i="15"/>
  <c r="AS11" i="15" s="1"/>
  <c r="BI57" i="15"/>
  <c r="BI11" i="15" s="1"/>
  <c r="J57" i="15"/>
  <c r="J11" i="15" s="1"/>
  <c r="Z57" i="15"/>
  <c r="Z11" i="15" s="1"/>
  <c r="AP57" i="15"/>
  <c r="AP11" i="15" s="1"/>
  <c r="BF57" i="15"/>
  <c r="BF11" i="15" s="1"/>
  <c r="T57" i="15"/>
  <c r="T11" i="15" s="1"/>
  <c r="W57" i="15"/>
  <c r="W11" i="15" s="1"/>
  <c r="AM57" i="15"/>
  <c r="AM11" i="15" s="1"/>
  <c r="BC57" i="15"/>
  <c r="BC11" i="15" s="1"/>
  <c r="L57" i="15"/>
  <c r="L11" i="15" s="1"/>
  <c r="AJ57" i="15"/>
  <c r="AJ11" i="15" s="1"/>
  <c r="AZ57" i="15"/>
  <c r="AZ11" i="15" s="1"/>
  <c r="G114" i="15"/>
  <c r="G130" i="15"/>
  <c r="G146" i="15"/>
  <c r="G111" i="15"/>
  <c r="G127" i="15"/>
  <c r="G143" i="15"/>
  <c r="G112" i="15"/>
  <c r="G128" i="15"/>
  <c r="G144" i="15"/>
  <c r="G109" i="15"/>
  <c r="G125" i="15"/>
  <c r="G141" i="15"/>
  <c r="Q146" i="15"/>
  <c r="AG146" i="15"/>
  <c r="AW146" i="15"/>
  <c r="R147" i="15"/>
  <c r="AH147" i="15"/>
  <c r="AX147" i="15"/>
  <c r="S148" i="15"/>
  <c r="AI148" i="15"/>
  <c r="AY148" i="15"/>
  <c r="T149" i="15"/>
  <c r="AJ149" i="15"/>
  <c r="AZ149" i="15"/>
  <c r="U150" i="15"/>
  <c r="AK150" i="15"/>
  <c r="BA150" i="15"/>
  <c r="AM137" i="15"/>
  <c r="X138" i="15"/>
  <c r="P139" i="15"/>
  <c r="AV139" i="15"/>
  <c r="AG140" i="15"/>
  <c r="R141" i="15"/>
  <c r="AX141" i="15"/>
  <c r="J142" i="15"/>
  <c r="Z142" i="15"/>
  <c r="AP142" i="15"/>
  <c r="BF142" i="15"/>
  <c r="K143" i="15"/>
  <c r="AA143" i="15"/>
  <c r="AQ143" i="15"/>
  <c r="BG143" i="15"/>
  <c r="L144" i="15"/>
  <c r="AB144" i="15"/>
  <c r="AR144" i="15"/>
  <c r="BH144" i="15"/>
  <c r="M145" i="15"/>
  <c r="AC145" i="15"/>
  <c r="AS145" i="15"/>
  <c r="BI145" i="15"/>
  <c r="N146" i="15"/>
  <c r="AD146" i="15"/>
  <c r="AT146" i="15"/>
  <c r="BJ146" i="15"/>
  <c r="O147" i="15"/>
  <c r="AE147" i="15"/>
  <c r="AU147" i="15"/>
  <c r="P148" i="15"/>
  <c r="AF148" i="15"/>
  <c r="AV148" i="15"/>
  <c r="Q149" i="15"/>
  <c r="AG149" i="15"/>
  <c r="AW149" i="15"/>
  <c r="R150" i="15"/>
  <c r="AH150" i="15"/>
  <c r="AX150" i="15"/>
  <c r="AA137" i="15"/>
  <c r="L138" i="15"/>
  <c r="BD138" i="15"/>
  <c r="I139" i="15"/>
  <c r="AO139" i="15"/>
  <c r="Z140" i="15"/>
  <c r="BF140" i="15"/>
  <c r="K141" i="15"/>
  <c r="AQ141" i="15"/>
  <c r="W142" i="15"/>
  <c r="AM142" i="15"/>
  <c r="BC142" i="15"/>
  <c r="H143" i="15"/>
  <c r="X143" i="15"/>
  <c r="AN143" i="15"/>
  <c r="BD143" i="15"/>
  <c r="I144" i="15"/>
  <c r="Y144" i="15"/>
  <c r="AO144" i="15"/>
  <c r="BE144" i="15"/>
  <c r="J145" i="15"/>
  <c r="Z145" i="15"/>
  <c r="AP145" i="15"/>
  <c r="BF145" i="15"/>
  <c r="K146" i="15"/>
  <c r="AA146" i="15"/>
  <c r="AQ146" i="15"/>
  <c r="BG146" i="15"/>
  <c r="L147" i="15"/>
  <c r="AB147" i="15"/>
  <c r="AR147" i="15"/>
  <c r="BH147" i="15"/>
  <c r="M148" i="15"/>
  <c r="AC148" i="15"/>
  <c r="AS148" i="15"/>
  <c r="BI148" i="15"/>
  <c r="N149" i="15"/>
  <c r="AD149" i="15"/>
  <c r="AT149" i="15"/>
  <c r="BJ149" i="15"/>
  <c r="O150" i="15"/>
  <c r="AE150" i="15"/>
  <c r="AU150" i="15"/>
  <c r="Q57" i="15"/>
  <c r="Q11" i="15" s="1"/>
  <c r="AG57" i="15"/>
  <c r="AG11" i="15" s="1"/>
  <c r="AW57" i="15"/>
  <c r="AW11" i="15" s="1"/>
  <c r="N57" i="15"/>
  <c r="N11" i="15" s="1"/>
  <c r="AD57" i="15"/>
  <c r="AD11" i="15" s="1"/>
  <c r="AT57" i="15"/>
  <c r="AT11" i="15" s="1"/>
  <c r="BJ57" i="15"/>
  <c r="BJ11" i="15" s="1"/>
  <c r="K57" i="15"/>
  <c r="K11" i="15" s="1"/>
  <c r="AA57" i="15"/>
  <c r="AA11" i="15" s="1"/>
  <c r="AQ57" i="15"/>
  <c r="AQ11" i="15" s="1"/>
  <c r="BG57" i="15"/>
  <c r="BG11" i="15" s="1"/>
  <c r="X57" i="15"/>
  <c r="X11" i="15" s="1"/>
  <c r="AN57" i="15"/>
  <c r="AN11" i="15" s="1"/>
  <c r="BD57" i="15"/>
  <c r="BD11" i="15" s="1"/>
  <c r="H57" i="15"/>
  <c r="H11" i="15" s="1"/>
  <c r="G102" i="15"/>
  <c r="G118" i="15"/>
  <c r="G134" i="15"/>
  <c r="G150" i="15"/>
  <c r="G115" i="15"/>
  <c r="G131" i="15"/>
  <c r="G147" i="15"/>
  <c r="G100" i="15"/>
  <c r="G116" i="15"/>
  <c r="G132" i="15"/>
  <c r="G148" i="15"/>
  <c r="G113" i="15"/>
  <c r="G129" i="15"/>
  <c r="G145" i="15"/>
  <c r="G122" i="15"/>
  <c r="G103" i="15"/>
  <c r="G135" i="15"/>
  <c r="G104" i="15"/>
  <c r="G136" i="15"/>
  <c r="G117" i="15"/>
  <c r="G149" i="15"/>
  <c r="G105" i="15"/>
  <c r="G137" i="15"/>
  <c r="BK100" i="15"/>
  <c r="BK101" i="15"/>
  <c r="BK107" i="15"/>
  <c r="BK113" i="15"/>
  <c r="BK115" i="15"/>
  <c r="BK120" i="15"/>
  <c r="BK130" i="15"/>
  <c r="BK149" i="15"/>
  <c r="BK145" i="15"/>
  <c r="BK144" i="15"/>
  <c r="BK124" i="15"/>
  <c r="BK150" i="15"/>
  <c r="BK142" i="15"/>
  <c r="BK105" i="15"/>
  <c r="BK111" i="15"/>
  <c r="BK117" i="15"/>
  <c r="BK110" i="15"/>
  <c r="BK118" i="15"/>
  <c r="BK123" i="15"/>
  <c r="BK129" i="15"/>
  <c r="BK125" i="15"/>
  <c r="BK128" i="15"/>
  <c r="BK134" i="15"/>
  <c r="BK140" i="15"/>
  <c r="BK147" i="15"/>
  <c r="BK57" i="15"/>
  <c r="BK11" i="15" s="1"/>
  <c r="BK102" i="15"/>
  <c r="BK104" i="15"/>
  <c r="BK108" i="15"/>
  <c r="BK116" i="15"/>
  <c r="BK126" i="15"/>
  <c r="BK119" i="15"/>
  <c r="BK136" i="15"/>
  <c r="BK132" i="15"/>
  <c r="BK131" i="15"/>
  <c r="BK121" i="15"/>
  <c r="BK127" i="15"/>
  <c r="BK138" i="15"/>
  <c r="BK146" i="15"/>
  <c r="BK106" i="15"/>
  <c r="BK112" i="15"/>
  <c r="BK103" i="15"/>
  <c r="BK109" i="15"/>
  <c r="BK114" i="15"/>
  <c r="BK122" i="15"/>
  <c r="BK139" i="15"/>
  <c r="BK135" i="15"/>
  <c r="BK137" i="15"/>
  <c r="BK133" i="15"/>
  <c r="BK141" i="15"/>
  <c r="BK148" i="15"/>
  <c r="BK143" i="15"/>
  <c r="BL103" i="15"/>
  <c r="BL107" i="15"/>
  <c r="BL113" i="15"/>
  <c r="BL104" i="15"/>
  <c r="BL116" i="15"/>
  <c r="BL110" i="15"/>
  <c r="BL130" i="15"/>
  <c r="BL150" i="15"/>
  <c r="BL133" i="15"/>
  <c r="BL132" i="15"/>
  <c r="BL134" i="15"/>
  <c r="BL138" i="15"/>
  <c r="BL143" i="15"/>
  <c r="BL106" i="15"/>
  <c r="BL102" i="15"/>
  <c r="BL108" i="15"/>
  <c r="BL114" i="15"/>
  <c r="BL119" i="15"/>
  <c r="BL120" i="15"/>
  <c r="BL137" i="15"/>
  <c r="BL122" i="15"/>
  <c r="BL136" i="15"/>
  <c r="BL142" i="15"/>
  <c r="BL125" i="15"/>
  <c r="BL147" i="15"/>
  <c r="BL57" i="15"/>
  <c r="BL11" i="15" s="1"/>
  <c r="BL101" i="15"/>
  <c r="BL112" i="15"/>
  <c r="BL118" i="15"/>
  <c r="BL105" i="15"/>
  <c r="BL127" i="15"/>
  <c r="BL123" i="15"/>
  <c r="BL124" i="15"/>
  <c r="BL126" i="15"/>
  <c r="BL146" i="15"/>
  <c r="BL145" i="15"/>
  <c r="BL128" i="15"/>
  <c r="BL139" i="15"/>
  <c r="BL149" i="15"/>
  <c r="BL100" i="15"/>
  <c r="BL111" i="15"/>
  <c r="BL109" i="15"/>
  <c r="BL117" i="15"/>
  <c r="BL115" i="15"/>
  <c r="BL131" i="15"/>
  <c r="BL140" i="15"/>
  <c r="BL121" i="15"/>
  <c r="BL129" i="15"/>
  <c r="BL135" i="15"/>
  <c r="BL144" i="15"/>
  <c r="BL141" i="15"/>
  <c r="BL148" i="15"/>
  <c r="BM100" i="15"/>
  <c r="BM102" i="15"/>
  <c r="BM109" i="15"/>
  <c r="BM115" i="15"/>
  <c r="BM117" i="15"/>
  <c r="BM113" i="15"/>
  <c r="BM132" i="15"/>
  <c r="BM141" i="15"/>
  <c r="BM147" i="15"/>
  <c r="BM136" i="15"/>
  <c r="BM126" i="15"/>
  <c r="BM148" i="15"/>
  <c r="BM146" i="15"/>
  <c r="BM104" i="15"/>
  <c r="BM101" i="15"/>
  <c r="BM119" i="15"/>
  <c r="BM112" i="15"/>
  <c r="BM120" i="15"/>
  <c r="BM116" i="15"/>
  <c r="BM131" i="15"/>
  <c r="BM127" i="15"/>
  <c r="BM130" i="15"/>
  <c r="BM123" i="15"/>
  <c r="BM129" i="15"/>
  <c r="BM144" i="15"/>
  <c r="BM140" i="15"/>
  <c r="BM107" i="15"/>
  <c r="BM108" i="15"/>
  <c r="BM110" i="15"/>
  <c r="BM106" i="15"/>
  <c r="BM128" i="15"/>
  <c r="BM124" i="15"/>
  <c r="BM138" i="15"/>
  <c r="BM134" i="15"/>
  <c r="BM133" i="15"/>
  <c r="BM135" i="15"/>
  <c r="BM142" i="15"/>
  <c r="BM150" i="15"/>
  <c r="BM149" i="15"/>
  <c r="BM103" i="15"/>
  <c r="BM114" i="15"/>
  <c r="BM105" i="15"/>
  <c r="BM118" i="15"/>
  <c r="BM111" i="15"/>
  <c r="BM121" i="15"/>
  <c r="BM125" i="15"/>
  <c r="BM137" i="15"/>
  <c r="BM143" i="15"/>
  <c r="BM122" i="15"/>
  <c r="BM145" i="15"/>
  <c r="BM139" i="15"/>
  <c r="BM57" i="15"/>
  <c r="BM11" i="15" s="1"/>
  <c r="BN101" i="15"/>
  <c r="BN102" i="15"/>
  <c r="BN110" i="15"/>
  <c r="BN116" i="15"/>
  <c r="BN121" i="15"/>
  <c r="BN125" i="15"/>
  <c r="BN122" i="15"/>
  <c r="BN126" i="15"/>
  <c r="BN138" i="15"/>
  <c r="BN134" i="15"/>
  <c r="BN127" i="15"/>
  <c r="BN140" i="15"/>
  <c r="BN145" i="15"/>
  <c r="BN105" i="15"/>
  <c r="BN109" i="15"/>
  <c r="BN120" i="15"/>
  <c r="BN107" i="15"/>
  <c r="BN129" i="15"/>
  <c r="BN113" i="15"/>
  <c r="BN133" i="15"/>
  <c r="BN128" i="15"/>
  <c r="BN148" i="15"/>
  <c r="BN144" i="15"/>
  <c r="BN130" i="15"/>
  <c r="BN149" i="15"/>
  <c r="BN141" i="15"/>
  <c r="BN100" i="15"/>
  <c r="BN103" i="15"/>
  <c r="BN111" i="15"/>
  <c r="BN118" i="15"/>
  <c r="BN114" i="15"/>
  <c r="BN119" i="15"/>
  <c r="BN132" i="15"/>
  <c r="BN123" i="15"/>
  <c r="BN124" i="15"/>
  <c r="BN136" i="15"/>
  <c r="BN143" i="15"/>
  <c r="BN57" i="15"/>
  <c r="BN11" i="15" s="1"/>
  <c r="BN147" i="15"/>
  <c r="BN104" i="15"/>
  <c r="BN115" i="15"/>
  <c r="BN106" i="15"/>
  <c r="BN108" i="15"/>
  <c r="BN117" i="15"/>
  <c r="BN112" i="15"/>
  <c r="BN139" i="15"/>
  <c r="BN135" i="15"/>
  <c r="BN131" i="15"/>
  <c r="BN137" i="15"/>
  <c r="BN146" i="15"/>
  <c r="BN142" i="15"/>
  <c r="BN150" i="15"/>
  <c r="BO106" i="15"/>
  <c r="BO104" i="15"/>
  <c r="BO112" i="15"/>
  <c r="BO103" i="15"/>
  <c r="BO122" i="15"/>
  <c r="BO118" i="15"/>
  <c r="BO123" i="15"/>
  <c r="BO140" i="15"/>
  <c r="BO139" i="15"/>
  <c r="BO132" i="15"/>
  <c r="BO128" i="15"/>
  <c r="BO144" i="15"/>
  <c r="BO146" i="15"/>
  <c r="BO105" i="15"/>
  <c r="BO116" i="15"/>
  <c r="BO107" i="15"/>
  <c r="BO113" i="15"/>
  <c r="BO130" i="15"/>
  <c r="BO126" i="15"/>
  <c r="BO134" i="15"/>
  <c r="BO127" i="15"/>
  <c r="BO138" i="15"/>
  <c r="BO121" i="15"/>
  <c r="BO131" i="15"/>
  <c r="BO147" i="15"/>
  <c r="BO57" i="15"/>
  <c r="BO11" i="15" s="1"/>
  <c r="BO101" i="15"/>
  <c r="BO102" i="15"/>
  <c r="BO117" i="15"/>
  <c r="BO119" i="15"/>
  <c r="BO115" i="15"/>
  <c r="BO114" i="15"/>
  <c r="BO133" i="15"/>
  <c r="BO129" i="15"/>
  <c r="BO149" i="15"/>
  <c r="BO135" i="15"/>
  <c r="BO141" i="15"/>
  <c r="BO150" i="15"/>
  <c r="BO142" i="15"/>
  <c r="BO100" i="15"/>
  <c r="BO111" i="15"/>
  <c r="BO108" i="15"/>
  <c r="BO110" i="15"/>
  <c r="BO109" i="15"/>
  <c r="BO120" i="15"/>
  <c r="BO124" i="15"/>
  <c r="BO136" i="15"/>
  <c r="BO125" i="15"/>
  <c r="BO145" i="15"/>
  <c r="BO137" i="15"/>
  <c r="BO143" i="15"/>
  <c r="BO148" i="15"/>
  <c r="BP100" i="15"/>
  <c r="BP101" i="15"/>
  <c r="BP110" i="15"/>
  <c r="BP109" i="15"/>
  <c r="BP123" i="15"/>
  <c r="BP127" i="15"/>
  <c r="BP121" i="15"/>
  <c r="BP122" i="15"/>
  <c r="BP137" i="15"/>
  <c r="BP126" i="15"/>
  <c r="BP138" i="15"/>
  <c r="BP142" i="15"/>
  <c r="BP147" i="15"/>
  <c r="BP107" i="15"/>
  <c r="BP102" i="15"/>
  <c r="BP113" i="15"/>
  <c r="BP104" i="15"/>
  <c r="BP131" i="15"/>
  <c r="BP117" i="15"/>
  <c r="BP135" i="15"/>
  <c r="BP128" i="15"/>
  <c r="BP124" i="15"/>
  <c r="BP133" i="15"/>
  <c r="BP129" i="15"/>
  <c r="BP145" i="15"/>
  <c r="BP143" i="15"/>
  <c r="BP103" i="15"/>
  <c r="BP105" i="15"/>
  <c r="BP108" i="15"/>
  <c r="BP114" i="15"/>
  <c r="BP116" i="15"/>
  <c r="BP111" i="15"/>
  <c r="BP134" i="15"/>
  <c r="BP141" i="15"/>
  <c r="BP140" i="15"/>
  <c r="BP136" i="15"/>
  <c r="BP132" i="15"/>
  <c r="BP148" i="15"/>
  <c r="BP57" i="15"/>
  <c r="BP11" i="15" s="1"/>
  <c r="BP106" i="15"/>
  <c r="BP112" i="15"/>
  <c r="BP118" i="15"/>
  <c r="BP120" i="15"/>
  <c r="BP119" i="15"/>
  <c r="BP115" i="15"/>
  <c r="BP125" i="15"/>
  <c r="BP130" i="15"/>
  <c r="BP150" i="15"/>
  <c r="BP146" i="15"/>
  <c r="BP139" i="15"/>
  <c r="BP144" i="15"/>
  <c r="BP149" i="15"/>
  <c r="BQ101" i="15"/>
  <c r="BQ104" i="15"/>
  <c r="BQ114" i="15"/>
  <c r="BQ105" i="15"/>
  <c r="BQ121" i="15"/>
  <c r="BQ122" i="15"/>
  <c r="BQ124" i="15"/>
  <c r="BQ129" i="15"/>
  <c r="BQ138" i="15"/>
  <c r="BQ127" i="15"/>
  <c r="BQ147" i="15"/>
  <c r="BQ146" i="15"/>
  <c r="BQ148" i="15"/>
  <c r="BQ108" i="15"/>
  <c r="BQ107" i="15"/>
  <c r="BQ109" i="15"/>
  <c r="BQ111" i="15"/>
  <c r="BQ112" i="15"/>
  <c r="BQ128" i="15"/>
  <c r="BQ136" i="15"/>
  <c r="BQ139" i="15"/>
  <c r="BQ125" i="15"/>
  <c r="BQ134" i="15"/>
  <c r="BQ130" i="15"/>
  <c r="BQ149" i="15"/>
  <c r="BQ141" i="15"/>
  <c r="BQ102" i="15"/>
  <c r="BQ103" i="15"/>
  <c r="BQ119" i="15"/>
  <c r="BQ115" i="15"/>
  <c r="BQ117" i="15"/>
  <c r="BQ113" i="15"/>
  <c r="BQ135" i="15"/>
  <c r="BQ142" i="15"/>
  <c r="BQ140" i="15"/>
  <c r="BQ123" i="15"/>
  <c r="BQ133" i="15"/>
  <c r="BQ57" i="15"/>
  <c r="BQ11" i="15" s="1"/>
  <c r="BQ144" i="15"/>
  <c r="BQ100" i="15"/>
  <c r="BQ106" i="15"/>
  <c r="BQ110" i="15"/>
  <c r="BQ118" i="15"/>
  <c r="BQ120" i="15"/>
  <c r="BQ116" i="15"/>
  <c r="BQ126" i="15"/>
  <c r="BQ131" i="15"/>
  <c r="BQ132" i="15"/>
  <c r="BQ137" i="15"/>
  <c r="BQ143" i="15"/>
  <c r="BQ145" i="15"/>
  <c r="BQ150" i="15"/>
  <c r="BR102" i="15"/>
  <c r="BR104" i="15"/>
  <c r="BR115" i="15"/>
  <c r="BR111" i="15"/>
  <c r="BR119" i="15"/>
  <c r="BR129" i="15"/>
  <c r="BR113" i="15"/>
  <c r="BR130" i="15"/>
  <c r="BR139" i="15"/>
  <c r="BR138" i="15"/>
  <c r="BR131" i="15"/>
  <c r="BR136" i="15"/>
  <c r="BR57" i="15"/>
  <c r="BR11" i="15" s="1"/>
  <c r="BR109" i="15"/>
  <c r="BR107" i="15"/>
  <c r="BR103" i="15"/>
  <c r="BR100" i="15"/>
  <c r="BR122" i="15"/>
  <c r="BR114" i="15"/>
  <c r="BR123" i="15"/>
  <c r="BR143" i="15"/>
  <c r="BR126" i="15"/>
  <c r="BR148" i="15"/>
  <c r="BR134" i="15"/>
  <c r="BR150" i="15"/>
  <c r="BR142" i="15"/>
  <c r="BR101" i="15"/>
  <c r="BR108" i="15"/>
  <c r="BR110" i="15"/>
  <c r="BR106" i="15"/>
  <c r="BR118" i="15"/>
  <c r="BR117" i="15"/>
  <c r="BR137" i="15"/>
  <c r="BR133" i="15"/>
  <c r="BR128" i="15"/>
  <c r="BR140" i="15"/>
  <c r="BR144" i="15"/>
  <c r="BR146" i="15"/>
  <c r="BR145" i="15"/>
  <c r="BR105" i="15"/>
  <c r="BR112" i="15"/>
  <c r="BR120" i="15"/>
  <c r="BR116" i="15"/>
  <c r="BR121" i="15"/>
  <c r="BR125" i="15"/>
  <c r="BR127" i="15"/>
  <c r="BR132" i="15"/>
  <c r="BR135" i="15"/>
  <c r="BR124" i="15"/>
  <c r="BR147" i="15"/>
  <c r="BR149" i="15"/>
  <c r="BR141" i="15"/>
  <c r="BS100" i="15"/>
  <c r="BS108" i="15"/>
  <c r="BS116" i="15"/>
  <c r="BS112" i="15"/>
  <c r="BS120" i="15"/>
  <c r="BS130" i="15"/>
  <c r="BS114" i="15"/>
  <c r="BS141" i="15"/>
  <c r="BS124" i="15"/>
  <c r="BS136" i="15"/>
  <c r="BS132" i="15"/>
  <c r="BS138" i="15"/>
  <c r="BS143" i="15"/>
  <c r="BS106" i="15"/>
  <c r="BS103" i="15"/>
  <c r="BS104" i="15"/>
  <c r="BS107" i="15"/>
  <c r="BS123" i="15"/>
  <c r="BS115" i="15"/>
  <c r="BS121" i="15"/>
  <c r="BS144" i="15"/>
  <c r="BS140" i="15"/>
  <c r="BS139" i="15"/>
  <c r="BS135" i="15"/>
  <c r="BS137" i="15"/>
  <c r="BS146" i="15"/>
  <c r="BS105" i="15"/>
  <c r="BS113" i="15"/>
  <c r="BS111" i="15"/>
  <c r="BS117" i="15"/>
  <c r="BS119" i="15"/>
  <c r="BS118" i="15"/>
  <c r="BS128" i="15"/>
  <c r="BS134" i="15"/>
  <c r="BS127" i="15"/>
  <c r="BS149" i="15"/>
  <c r="BS145" i="15"/>
  <c r="BS147" i="15"/>
  <c r="BS57" i="15"/>
  <c r="BS11" i="15" s="1"/>
  <c r="BS102" i="15"/>
  <c r="BS101" i="15"/>
  <c r="BS109" i="15"/>
  <c r="BS110" i="15"/>
  <c r="BS122" i="15"/>
  <c r="BS126" i="15"/>
  <c r="BS131" i="15"/>
  <c r="BS133" i="15"/>
  <c r="BS129" i="15"/>
  <c r="BS125" i="15"/>
  <c r="BS148" i="15"/>
  <c r="BS150" i="15"/>
  <c r="BS142" i="15"/>
  <c r="BT100" i="15"/>
  <c r="BT101" i="15"/>
  <c r="BT105" i="15"/>
  <c r="BT113" i="15"/>
  <c r="BT120" i="15"/>
  <c r="BT119" i="15"/>
  <c r="BT129" i="15"/>
  <c r="BT134" i="15"/>
  <c r="BT122" i="15"/>
  <c r="BT124" i="15"/>
  <c r="BT133" i="15"/>
  <c r="BT148" i="15"/>
  <c r="BT147" i="15"/>
  <c r="BT107" i="15"/>
  <c r="BT109" i="15"/>
  <c r="BT111" i="15"/>
  <c r="BT108" i="15"/>
  <c r="BT123" i="15"/>
  <c r="BT127" i="15"/>
  <c r="BT132" i="15"/>
  <c r="BT125" i="15"/>
  <c r="BT130" i="15"/>
  <c r="BT140" i="15"/>
  <c r="BT136" i="15"/>
  <c r="BT138" i="15"/>
  <c r="BT145" i="15"/>
  <c r="BT103" i="15"/>
  <c r="BT104" i="15"/>
  <c r="BT102" i="15"/>
  <c r="BT118" i="15"/>
  <c r="BT131" i="15"/>
  <c r="BT117" i="15"/>
  <c r="BT142" i="15"/>
  <c r="BT128" i="15"/>
  <c r="BT121" i="15"/>
  <c r="BT150" i="15"/>
  <c r="BT146" i="15"/>
  <c r="BT139" i="15"/>
  <c r="BT143" i="15"/>
  <c r="BT106" i="15"/>
  <c r="BT114" i="15"/>
  <c r="BT112" i="15"/>
  <c r="BT110" i="15"/>
  <c r="BT116" i="15"/>
  <c r="BT115" i="15"/>
  <c r="BT135" i="15"/>
  <c r="BT141" i="15"/>
  <c r="BT137" i="15"/>
  <c r="BT126" i="15"/>
  <c r="BT149" i="15"/>
  <c r="BT144" i="15"/>
  <c r="BT57" i="15"/>
  <c r="BT11" i="15" s="1"/>
  <c r="BU102" i="15"/>
  <c r="BU104" i="15"/>
  <c r="BU105" i="15"/>
  <c r="BU109" i="15"/>
  <c r="BU121" i="15"/>
  <c r="BU128" i="15"/>
  <c r="BU123" i="15"/>
  <c r="BU143" i="15"/>
  <c r="BU129" i="15"/>
  <c r="BU125" i="15"/>
  <c r="BU137" i="15"/>
  <c r="BU146" i="15"/>
  <c r="BU148" i="15"/>
  <c r="BU101" i="15"/>
  <c r="BU107" i="15"/>
  <c r="BU115" i="15"/>
  <c r="BU119" i="15"/>
  <c r="BU111" i="15"/>
  <c r="BU113" i="15"/>
  <c r="BU122" i="15"/>
  <c r="BU136" i="15"/>
  <c r="BU142" i="15"/>
  <c r="BU132" i="15"/>
  <c r="BU147" i="15"/>
  <c r="BU149" i="15"/>
  <c r="BU141" i="15"/>
  <c r="BU108" i="15"/>
  <c r="BU103" i="15"/>
  <c r="BU106" i="15"/>
  <c r="BU112" i="15"/>
  <c r="BU117" i="15"/>
  <c r="BU116" i="15"/>
  <c r="BU130" i="15"/>
  <c r="BU135" i="15"/>
  <c r="BU131" i="15"/>
  <c r="BU127" i="15"/>
  <c r="BU150" i="15"/>
  <c r="BU57" i="15"/>
  <c r="BU11" i="15" s="1"/>
  <c r="BU139" i="15"/>
  <c r="BU100" i="15"/>
  <c r="BU110" i="15"/>
  <c r="BU114" i="15"/>
  <c r="BU118" i="15"/>
  <c r="BU120" i="15"/>
  <c r="BU124" i="15"/>
  <c r="BU133" i="15"/>
  <c r="BU126" i="15"/>
  <c r="BU138" i="15"/>
  <c r="BU134" i="15"/>
  <c r="BU140" i="15"/>
  <c r="BU145" i="15"/>
  <c r="BU144" i="15"/>
  <c r="BV102" i="15"/>
  <c r="BV100" i="15"/>
  <c r="BV116" i="15"/>
  <c r="BV110" i="15"/>
  <c r="BV113" i="15"/>
  <c r="BV121" i="15"/>
  <c r="BV125" i="15"/>
  <c r="BV144" i="15"/>
  <c r="BV143" i="15"/>
  <c r="BV139" i="15"/>
  <c r="BV138" i="15"/>
  <c r="BV150" i="15"/>
  <c r="BV149" i="15"/>
  <c r="BV109" i="15"/>
  <c r="BV104" i="15"/>
  <c r="BV107" i="15"/>
  <c r="BV120" i="15"/>
  <c r="BV119" i="15"/>
  <c r="BV129" i="15"/>
  <c r="BV124" i="15"/>
  <c r="BV137" i="15"/>
  <c r="BV133" i="15"/>
  <c r="BV126" i="15"/>
  <c r="BV148" i="15"/>
  <c r="BV136" i="15"/>
  <c r="BV57" i="15"/>
  <c r="BV11" i="15" s="1"/>
  <c r="BV101" i="15"/>
  <c r="BV111" i="15"/>
  <c r="BV115" i="15"/>
  <c r="BV108" i="15"/>
  <c r="BV122" i="15"/>
  <c r="BV114" i="15"/>
  <c r="BV131" i="15"/>
  <c r="BV127" i="15"/>
  <c r="BV132" i="15"/>
  <c r="BV128" i="15"/>
  <c r="BV141" i="15"/>
  <c r="BV140" i="15"/>
  <c r="BV142" i="15"/>
  <c r="BV105" i="15"/>
  <c r="BV106" i="15"/>
  <c r="BV103" i="15"/>
  <c r="BV112" i="15"/>
  <c r="BV118" i="15"/>
  <c r="BV117" i="15"/>
  <c r="BV134" i="15"/>
  <c r="BV130" i="15"/>
  <c r="BV123" i="15"/>
  <c r="BV135" i="15"/>
  <c r="BV147" i="15"/>
  <c r="BV146" i="15"/>
  <c r="BV145" i="15"/>
  <c r="BW101" i="15"/>
  <c r="BW105" i="15"/>
  <c r="BW109" i="15"/>
  <c r="BW116" i="15"/>
  <c r="BW120" i="15"/>
  <c r="BW122" i="15"/>
  <c r="BW126" i="15"/>
  <c r="BW145" i="15"/>
  <c r="BW144" i="15"/>
  <c r="BW140" i="15"/>
  <c r="BW136" i="15"/>
  <c r="BW142" i="15"/>
  <c r="BW150" i="15"/>
  <c r="BW100" i="15"/>
  <c r="BW112" i="15"/>
  <c r="BW108" i="15"/>
  <c r="BW104" i="15"/>
  <c r="BW123" i="15"/>
  <c r="BW130" i="15"/>
  <c r="BW125" i="15"/>
  <c r="BW128" i="15"/>
  <c r="BW134" i="15"/>
  <c r="BW127" i="15"/>
  <c r="BW121" i="15"/>
  <c r="BW148" i="15"/>
  <c r="BW143" i="15"/>
  <c r="BW102" i="15"/>
  <c r="BW107" i="15"/>
  <c r="BW103" i="15"/>
  <c r="BW111" i="15"/>
  <c r="BW110" i="15"/>
  <c r="BW115" i="15"/>
  <c r="BW132" i="15"/>
  <c r="BW131" i="15"/>
  <c r="BW133" i="15"/>
  <c r="BW138" i="15"/>
  <c r="BW139" i="15"/>
  <c r="BW147" i="15"/>
  <c r="BW146" i="15"/>
  <c r="BW106" i="15"/>
  <c r="BW117" i="15"/>
  <c r="BW113" i="15"/>
  <c r="BW114" i="15"/>
  <c r="BW119" i="15"/>
  <c r="BW118" i="15"/>
  <c r="BW135" i="15"/>
  <c r="BW141" i="15"/>
  <c r="BW124" i="15"/>
  <c r="BW129" i="15"/>
  <c r="BW149" i="15"/>
  <c r="BW137" i="15"/>
  <c r="BW57" i="15"/>
  <c r="BW11" i="15" s="1"/>
  <c r="BX100" i="15"/>
  <c r="BX106" i="15"/>
  <c r="BX109" i="15"/>
  <c r="BX110" i="15"/>
  <c r="BX115" i="15"/>
  <c r="BX131" i="15"/>
  <c r="BX127" i="15"/>
  <c r="BX139" i="15"/>
  <c r="BX132" i="15"/>
  <c r="BX134" i="15"/>
  <c r="BX130" i="15"/>
  <c r="BX150" i="15"/>
  <c r="BX149" i="15"/>
  <c r="BX107" i="15"/>
  <c r="BX102" i="15"/>
  <c r="BX104" i="15"/>
  <c r="BX117" i="15"/>
  <c r="BX121" i="15"/>
  <c r="BX116" i="15"/>
  <c r="BX126" i="15"/>
  <c r="BX146" i="15"/>
  <c r="BX142" i="15"/>
  <c r="BX125" i="15"/>
  <c r="BX137" i="15"/>
  <c r="BX138" i="15"/>
  <c r="BX148" i="15"/>
  <c r="BX101" i="15"/>
  <c r="BX108" i="15"/>
  <c r="BX114" i="15"/>
  <c r="BX112" i="15"/>
  <c r="BX120" i="15"/>
  <c r="BX111" i="15"/>
  <c r="BX133" i="15"/>
  <c r="BX129" i="15"/>
  <c r="BX145" i="15"/>
  <c r="BX128" i="15"/>
  <c r="BX124" i="15"/>
  <c r="BX143" i="15"/>
  <c r="BX144" i="15"/>
  <c r="BX103" i="15"/>
  <c r="BX118" i="15"/>
  <c r="BX105" i="15"/>
  <c r="BX113" i="15"/>
  <c r="BX123" i="15"/>
  <c r="BX119" i="15"/>
  <c r="BX136" i="15"/>
  <c r="BX122" i="15"/>
  <c r="BX135" i="15"/>
  <c r="BX141" i="15"/>
  <c r="BX140" i="15"/>
  <c r="BX57" i="15"/>
  <c r="BX11" i="15" s="1"/>
  <c r="BX147" i="15"/>
  <c r="BY103" i="15"/>
  <c r="BY104" i="15"/>
  <c r="BY119" i="15"/>
  <c r="BY106" i="15"/>
  <c r="BY116" i="15"/>
  <c r="BY121" i="15"/>
  <c r="BY128" i="15"/>
  <c r="BY137" i="15"/>
  <c r="BY143" i="15"/>
  <c r="BY126" i="15"/>
  <c r="BY131" i="15"/>
  <c r="BY141" i="15"/>
  <c r="BY149" i="15"/>
  <c r="BY101" i="15"/>
  <c r="BY107" i="15"/>
  <c r="BY110" i="15"/>
  <c r="BY102" i="15"/>
  <c r="BY124" i="15"/>
  <c r="BY122" i="15"/>
  <c r="BY132" i="15"/>
  <c r="BY147" i="15"/>
  <c r="BY139" i="15"/>
  <c r="BY129" i="15"/>
  <c r="BY138" i="15"/>
  <c r="BY144" i="15"/>
  <c r="BY57" i="15"/>
  <c r="BY11" i="15" s="1"/>
  <c r="BY108" i="15"/>
  <c r="BY109" i="15"/>
  <c r="BY105" i="15"/>
  <c r="BY114" i="15"/>
  <c r="BY112" i="15"/>
  <c r="BY117" i="15"/>
  <c r="BY127" i="15"/>
  <c r="BY130" i="15"/>
  <c r="BY136" i="15"/>
  <c r="BY140" i="15"/>
  <c r="BY123" i="15"/>
  <c r="BY150" i="15"/>
  <c r="BY145" i="15"/>
  <c r="BY100" i="15"/>
  <c r="BY111" i="15"/>
  <c r="BY115" i="15"/>
  <c r="BY113" i="15"/>
  <c r="BY118" i="15"/>
  <c r="BY120" i="15"/>
  <c r="BY134" i="15"/>
  <c r="BY133" i="15"/>
  <c r="BY135" i="15"/>
  <c r="BY142" i="15"/>
  <c r="BY125" i="15"/>
  <c r="BY146" i="15"/>
  <c r="BY148" i="15"/>
  <c r="BZ104" i="15"/>
  <c r="BZ101" i="15"/>
  <c r="BZ120" i="15"/>
  <c r="BZ107" i="15"/>
  <c r="BZ114" i="15"/>
  <c r="BZ113" i="15"/>
  <c r="BZ121" i="15"/>
  <c r="BZ138" i="15"/>
  <c r="BZ134" i="15"/>
  <c r="BZ130" i="15"/>
  <c r="BZ132" i="15"/>
  <c r="BZ142" i="15"/>
  <c r="BZ150" i="15"/>
  <c r="BZ102" i="15"/>
  <c r="BZ105" i="15"/>
  <c r="BZ111" i="15"/>
  <c r="BZ112" i="15"/>
  <c r="BZ117" i="15"/>
  <c r="BZ119" i="15"/>
  <c r="BZ129" i="15"/>
  <c r="BZ148" i="15"/>
  <c r="BZ144" i="15"/>
  <c r="BZ136" i="15"/>
  <c r="BZ139" i="15"/>
  <c r="BZ145" i="15"/>
  <c r="BZ146" i="15"/>
  <c r="BZ109" i="15"/>
  <c r="BZ100" i="15"/>
  <c r="BZ106" i="15"/>
  <c r="BZ115" i="15"/>
  <c r="BZ123" i="15"/>
  <c r="BZ122" i="15"/>
  <c r="BZ128" i="15"/>
  <c r="BZ124" i="15"/>
  <c r="BZ137" i="15"/>
  <c r="BZ143" i="15"/>
  <c r="BZ126" i="15"/>
  <c r="BZ141" i="15"/>
  <c r="BZ149" i="15"/>
  <c r="BZ103" i="15"/>
  <c r="BZ110" i="15"/>
  <c r="BZ116" i="15"/>
  <c r="BZ108" i="15"/>
  <c r="BZ125" i="15"/>
  <c r="BZ118" i="15"/>
  <c r="BZ135" i="15"/>
  <c r="BZ131" i="15"/>
  <c r="BZ127" i="15"/>
  <c r="BZ133" i="15"/>
  <c r="BZ140" i="15"/>
  <c r="BZ147" i="15"/>
  <c r="BZ57" i="15"/>
  <c r="BZ11" i="15" s="1"/>
  <c r="CA105" i="15"/>
  <c r="CA104" i="15"/>
  <c r="CA107" i="15"/>
  <c r="CA103" i="15"/>
  <c r="CA118" i="15"/>
  <c r="CA120" i="15"/>
  <c r="CA130" i="15"/>
  <c r="CA149" i="15"/>
  <c r="CA135" i="15"/>
  <c r="CA141" i="15"/>
  <c r="CA124" i="15"/>
  <c r="CA143" i="15"/>
  <c r="CA142" i="15"/>
  <c r="CA102" i="15"/>
  <c r="CA111" i="15"/>
  <c r="CA117" i="15"/>
  <c r="CA113" i="15"/>
  <c r="CA126" i="15"/>
  <c r="CA123" i="15"/>
  <c r="CA129" i="15"/>
  <c r="CA121" i="15"/>
  <c r="CA145" i="15"/>
  <c r="CA144" i="15"/>
  <c r="CA140" i="15"/>
  <c r="CA146" i="15"/>
  <c r="CA148" i="15"/>
  <c r="CA100" i="15"/>
  <c r="CA110" i="15"/>
  <c r="CA108" i="15"/>
  <c r="CA116" i="15"/>
  <c r="CA109" i="15"/>
  <c r="CA119" i="15"/>
  <c r="CA136" i="15"/>
  <c r="CA125" i="15"/>
  <c r="CA128" i="15"/>
  <c r="CA134" i="15"/>
  <c r="CA127" i="15"/>
  <c r="CA57" i="15"/>
  <c r="CA11" i="15" s="1"/>
  <c r="CA147" i="15"/>
  <c r="CA106" i="15"/>
  <c r="CA112" i="15"/>
  <c r="CA101" i="15"/>
  <c r="CA115" i="15"/>
  <c r="CA114" i="15"/>
  <c r="CA122" i="15"/>
  <c r="CA139" i="15"/>
  <c r="CA132" i="15"/>
  <c r="CA131" i="15"/>
  <c r="CA133" i="15"/>
  <c r="CA137" i="15"/>
  <c r="CA138" i="15"/>
  <c r="CA150" i="15"/>
  <c r="CB101" i="15"/>
  <c r="CB100" i="15"/>
  <c r="CB108" i="15"/>
  <c r="CB114" i="15"/>
  <c r="CB116" i="15"/>
  <c r="CB115" i="15"/>
  <c r="CB130" i="15"/>
  <c r="CB150" i="15"/>
  <c r="CB146" i="15"/>
  <c r="CB145" i="15"/>
  <c r="CB121" i="15"/>
  <c r="CB144" i="15"/>
  <c r="CB149" i="15"/>
  <c r="CB103" i="15"/>
  <c r="CB107" i="15"/>
  <c r="CB118" i="15"/>
  <c r="CB111" i="15"/>
  <c r="CB119" i="15"/>
  <c r="CB120" i="15"/>
  <c r="CB137" i="15"/>
  <c r="CB126" i="15"/>
  <c r="CB129" i="15"/>
  <c r="CB135" i="15"/>
  <c r="CB125" i="15"/>
  <c r="CB147" i="15"/>
  <c r="CB138" i="15"/>
  <c r="CB106" i="15"/>
  <c r="CB112" i="15"/>
  <c r="CB109" i="15"/>
  <c r="CB105" i="15"/>
  <c r="CB127" i="15"/>
  <c r="CB123" i="15"/>
  <c r="CB124" i="15"/>
  <c r="CB133" i="15"/>
  <c r="CB132" i="15"/>
  <c r="CB122" i="15"/>
  <c r="CB128" i="15"/>
  <c r="CB143" i="15"/>
  <c r="CB139" i="15"/>
  <c r="CB102" i="15"/>
  <c r="CB113" i="15"/>
  <c r="CB104" i="15"/>
  <c r="CB117" i="15"/>
  <c r="CB110" i="15"/>
  <c r="CB131" i="15"/>
  <c r="CB140" i="15"/>
  <c r="CB136" i="15"/>
  <c r="CB142" i="15"/>
  <c r="CB134" i="15"/>
  <c r="CB141" i="15"/>
  <c r="CB57" i="15"/>
  <c r="CB11" i="15" s="1"/>
  <c r="CB148" i="15"/>
  <c r="CC100" i="15"/>
  <c r="CC103" i="15"/>
  <c r="CC114" i="15"/>
  <c r="CC105" i="15"/>
  <c r="CC117" i="15"/>
  <c r="CC116" i="15"/>
  <c r="CC132" i="15"/>
  <c r="CC123" i="15"/>
  <c r="CC137" i="15"/>
  <c r="CC143" i="15"/>
  <c r="CC129" i="15"/>
  <c r="CC148" i="15"/>
  <c r="CC150" i="15"/>
  <c r="CC104" i="15"/>
  <c r="CC101" i="15"/>
  <c r="CC109" i="15"/>
  <c r="CC115" i="15"/>
  <c r="CC120" i="15"/>
  <c r="CC124" i="15"/>
  <c r="CC131" i="15"/>
  <c r="CC127" i="15"/>
  <c r="CC147" i="15"/>
  <c r="CC136" i="15"/>
  <c r="CC142" i="15"/>
  <c r="CC140" i="15"/>
  <c r="CC146" i="15"/>
  <c r="CC107" i="15"/>
  <c r="CC108" i="15"/>
  <c r="CC119" i="15"/>
  <c r="CC106" i="15"/>
  <c r="CC128" i="15"/>
  <c r="CC111" i="15"/>
  <c r="CC138" i="15"/>
  <c r="CC122" i="15"/>
  <c r="CC130" i="15"/>
  <c r="CC135" i="15"/>
  <c r="CC145" i="15"/>
  <c r="CC141" i="15"/>
  <c r="CC149" i="15"/>
  <c r="CC102" i="15"/>
  <c r="CC112" i="15"/>
  <c r="CC110" i="15"/>
  <c r="CC118" i="15"/>
  <c r="CC113" i="15"/>
  <c r="CC121" i="15"/>
  <c r="CC125" i="15"/>
  <c r="CC134" i="15"/>
  <c r="CC133" i="15"/>
  <c r="CC126" i="15"/>
  <c r="CC139" i="15"/>
  <c r="CC144" i="15"/>
  <c r="CC57" i="15"/>
  <c r="CC11" i="15" s="1"/>
  <c r="CD101" i="15"/>
  <c r="CD109" i="15"/>
  <c r="CD110" i="15"/>
  <c r="CD116" i="15"/>
  <c r="CD129" i="15"/>
  <c r="CD117" i="15"/>
  <c r="CD122" i="15"/>
  <c r="CD126" i="15"/>
  <c r="CD148" i="15"/>
  <c r="CD144" i="15"/>
  <c r="CD130" i="15"/>
  <c r="CD149" i="15"/>
  <c r="CD140" i="15"/>
  <c r="CD105" i="15"/>
  <c r="CD100" i="15"/>
  <c r="CD120" i="15"/>
  <c r="CD107" i="15"/>
  <c r="CD112" i="15"/>
  <c r="CD125" i="15"/>
  <c r="CD133" i="15"/>
  <c r="CD128" i="15"/>
  <c r="CD124" i="15"/>
  <c r="CD137" i="15"/>
  <c r="CD136" i="15"/>
  <c r="CD57" i="15"/>
  <c r="CD11" i="15" s="1"/>
  <c r="CD141" i="15"/>
  <c r="CD104" i="15"/>
  <c r="CD103" i="15"/>
  <c r="CD111" i="15"/>
  <c r="CD118" i="15"/>
  <c r="CD114" i="15"/>
  <c r="CD113" i="15"/>
  <c r="CD132" i="15"/>
  <c r="CD135" i="15"/>
  <c r="CD131" i="15"/>
  <c r="CD123" i="15"/>
  <c r="CD143" i="15"/>
  <c r="CD142" i="15"/>
  <c r="CD147" i="15"/>
  <c r="CD102" i="15"/>
  <c r="CD115" i="15"/>
  <c r="CD106" i="15"/>
  <c r="CD121" i="15"/>
  <c r="CD108" i="15"/>
  <c r="CD119" i="15"/>
  <c r="CD139" i="15"/>
  <c r="CD138" i="15"/>
  <c r="CD134" i="15"/>
  <c r="CD127" i="15"/>
  <c r="CD146" i="15"/>
  <c r="CD145" i="15"/>
  <c r="CD150" i="15"/>
  <c r="CE106" i="15"/>
  <c r="CE104" i="15"/>
  <c r="CE112" i="15"/>
  <c r="CE103" i="15"/>
  <c r="CE130" i="15"/>
  <c r="CE109" i="15"/>
  <c r="CE120" i="15"/>
  <c r="CE140" i="15"/>
  <c r="CE129" i="15"/>
  <c r="CE125" i="15"/>
  <c r="CE128" i="15"/>
  <c r="CE144" i="15"/>
  <c r="CE146" i="15"/>
  <c r="CE101" i="15"/>
  <c r="CE102" i="15"/>
  <c r="CE107" i="15"/>
  <c r="CE113" i="15"/>
  <c r="CE115" i="15"/>
  <c r="CE110" i="15"/>
  <c r="CE134" i="15"/>
  <c r="CE121" i="15"/>
  <c r="CE136" i="15"/>
  <c r="CE132" i="15"/>
  <c r="CE131" i="15"/>
  <c r="CE147" i="15"/>
  <c r="CE57" i="15"/>
  <c r="CE11" i="15" s="1"/>
  <c r="CE105" i="15"/>
  <c r="CE116" i="15"/>
  <c r="CE117" i="15"/>
  <c r="CE119" i="15"/>
  <c r="CE118" i="15"/>
  <c r="CE114" i="15"/>
  <c r="CE133" i="15"/>
  <c r="CE127" i="15"/>
  <c r="CE139" i="15"/>
  <c r="CE135" i="15"/>
  <c r="CE138" i="15"/>
  <c r="CE150" i="15"/>
  <c r="CE142" i="15"/>
  <c r="CE100" i="15"/>
  <c r="CE111" i="15"/>
  <c r="CE108" i="15"/>
  <c r="CE122" i="15"/>
  <c r="CE126" i="15"/>
  <c r="CE123" i="15"/>
  <c r="CE124" i="15"/>
  <c r="CE137" i="15"/>
  <c r="CE149" i="15"/>
  <c r="CE145" i="15"/>
  <c r="CE141" i="15"/>
  <c r="CE143" i="15"/>
  <c r="CE148" i="15"/>
  <c r="CF100" i="15"/>
  <c r="CF102" i="15"/>
  <c r="CF113" i="15"/>
  <c r="CF104" i="15"/>
  <c r="CF120" i="15"/>
  <c r="CF119" i="15"/>
  <c r="CF131" i="15"/>
  <c r="CF128" i="15"/>
  <c r="CF137" i="15"/>
  <c r="CF150" i="15"/>
  <c r="CF136" i="15"/>
  <c r="CF142" i="15"/>
  <c r="CF147" i="15"/>
  <c r="CF107" i="15"/>
  <c r="CF101" i="15"/>
  <c r="CF108" i="15"/>
  <c r="CF110" i="15"/>
  <c r="CF111" i="15"/>
  <c r="CF121" i="15"/>
  <c r="CF135" i="15"/>
  <c r="CF138" i="15"/>
  <c r="CF124" i="15"/>
  <c r="CF126" i="15"/>
  <c r="CF146" i="15"/>
  <c r="CF145" i="15"/>
  <c r="CF143" i="15"/>
  <c r="CF103" i="15"/>
  <c r="CF105" i="15"/>
  <c r="CF118" i="15"/>
  <c r="CF114" i="15"/>
  <c r="CF123" i="15"/>
  <c r="CF127" i="15"/>
  <c r="CF134" i="15"/>
  <c r="CF141" i="15"/>
  <c r="CF140" i="15"/>
  <c r="CF133" i="15"/>
  <c r="CF129" i="15"/>
  <c r="CF148" i="15"/>
  <c r="CF57" i="15"/>
  <c r="CF11" i="15" s="1"/>
  <c r="CF106" i="15"/>
  <c r="CF112" i="15"/>
  <c r="CF109" i="15"/>
  <c r="CF117" i="15"/>
  <c r="CF116" i="15"/>
  <c r="CF115" i="15"/>
  <c r="CF125" i="15"/>
  <c r="CF130" i="15"/>
  <c r="CF139" i="15"/>
  <c r="CF122" i="15"/>
  <c r="CF132" i="15"/>
  <c r="CF144" i="15"/>
  <c r="CF149" i="15"/>
  <c r="CG101" i="15"/>
  <c r="CG107" i="15"/>
  <c r="CG111" i="15"/>
  <c r="CG110" i="15"/>
  <c r="CG117" i="15"/>
  <c r="CG112" i="15"/>
  <c r="CG122" i="15"/>
  <c r="CG123" i="15"/>
  <c r="CG131" i="15"/>
  <c r="CG134" i="15"/>
  <c r="CG130" i="15"/>
  <c r="CG146" i="15"/>
  <c r="CG148" i="15"/>
  <c r="CG108" i="15"/>
  <c r="CG103" i="15"/>
  <c r="CG114" i="15"/>
  <c r="CG105" i="15"/>
  <c r="CG120" i="15"/>
  <c r="CG116" i="15"/>
  <c r="CG136" i="15"/>
  <c r="CG129" i="15"/>
  <c r="CG138" i="15"/>
  <c r="CG137" i="15"/>
  <c r="CG133" i="15"/>
  <c r="CG149" i="15"/>
  <c r="CG141" i="15"/>
  <c r="CG100" i="15"/>
  <c r="CG102" i="15"/>
  <c r="CG109" i="15"/>
  <c r="CG115" i="15"/>
  <c r="CG128" i="15"/>
  <c r="CG124" i="15"/>
  <c r="CG135" i="15"/>
  <c r="CG142" i="15"/>
  <c r="CG125" i="15"/>
  <c r="CG147" i="15"/>
  <c r="CG140" i="15"/>
  <c r="CG57" i="15"/>
  <c r="CG11" i="15" s="1"/>
  <c r="CG144" i="15"/>
  <c r="CG104" i="15"/>
  <c r="CG106" i="15"/>
  <c r="CG119" i="15"/>
  <c r="CG121" i="15"/>
  <c r="CG113" i="15"/>
  <c r="CG118" i="15"/>
  <c r="CG126" i="15"/>
  <c r="CG132" i="15"/>
  <c r="CG127" i="15"/>
  <c r="CG139" i="15"/>
  <c r="CG143" i="15"/>
  <c r="CG145" i="15"/>
  <c r="CG150" i="15"/>
  <c r="CH102" i="15"/>
  <c r="CH104" i="15"/>
  <c r="CH115" i="15"/>
  <c r="CH106" i="15"/>
  <c r="CH122" i="15"/>
  <c r="CH129" i="15"/>
  <c r="CH113" i="15"/>
  <c r="CH130" i="15"/>
  <c r="CH132" i="15"/>
  <c r="CH135" i="15"/>
  <c r="CH131" i="15"/>
  <c r="CH150" i="15"/>
  <c r="CH57" i="15"/>
  <c r="CH11" i="15" s="1"/>
  <c r="CH109" i="15"/>
  <c r="CH103" i="15"/>
  <c r="CH110" i="15"/>
  <c r="CH112" i="15"/>
  <c r="CH118" i="15"/>
  <c r="CH114" i="15"/>
  <c r="CH137" i="15"/>
  <c r="CH140" i="15"/>
  <c r="CH139" i="15"/>
  <c r="CH138" i="15"/>
  <c r="CH134" i="15"/>
  <c r="CH136" i="15"/>
  <c r="CH142" i="15"/>
  <c r="CH101" i="15"/>
  <c r="CH107" i="15"/>
  <c r="CH108" i="15"/>
  <c r="CH116" i="15"/>
  <c r="CH121" i="15"/>
  <c r="CH117" i="15"/>
  <c r="CH120" i="15"/>
  <c r="CH143" i="15"/>
  <c r="CH126" i="15"/>
  <c r="CH148" i="15"/>
  <c r="CH144" i="15"/>
  <c r="CH146" i="15"/>
  <c r="CH145" i="15"/>
  <c r="CH105" i="15"/>
  <c r="CH100" i="15"/>
  <c r="CH111" i="15"/>
  <c r="CH119" i="15"/>
  <c r="CH123" i="15"/>
  <c r="CH125" i="15"/>
  <c r="CH127" i="15"/>
  <c r="CH133" i="15"/>
  <c r="CH128" i="15"/>
  <c r="CH124" i="15"/>
  <c r="CH147" i="15"/>
  <c r="CH149" i="15"/>
  <c r="CH141" i="15"/>
  <c r="CI106" i="15"/>
  <c r="CI108" i="15"/>
  <c r="CI110" i="15"/>
  <c r="CI101" i="15"/>
  <c r="CI123" i="15"/>
  <c r="CI115" i="15"/>
  <c r="CI128" i="15"/>
  <c r="CI134" i="15"/>
  <c r="CI127" i="15"/>
  <c r="CI136" i="15"/>
  <c r="CI132" i="15"/>
  <c r="CI147" i="15"/>
  <c r="CI143" i="15"/>
  <c r="CI102" i="15"/>
  <c r="CI103" i="15"/>
  <c r="CI116" i="15"/>
  <c r="CI107" i="15"/>
  <c r="CI119" i="15"/>
  <c r="CI118" i="15"/>
  <c r="CI131" i="15"/>
  <c r="CI133" i="15"/>
  <c r="CI121" i="15"/>
  <c r="CI139" i="15"/>
  <c r="CI135" i="15"/>
  <c r="CI150" i="15"/>
  <c r="CI146" i="15"/>
  <c r="CI105" i="15"/>
  <c r="CI113" i="15"/>
  <c r="CI111" i="15"/>
  <c r="CI109" i="15"/>
  <c r="CI122" i="15"/>
  <c r="CI126" i="15"/>
  <c r="CI141" i="15"/>
  <c r="CI124" i="15"/>
  <c r="CI129" i="15"/>
  <c r="CI149" i="15"/>
  <c r="CI145" i="15"/>
  <c r="CI137" i="15"/>
  <c r="CI57" i="15"/>
  <c r="CI11" i="15" s="1"/>
  <c r="CI100" i="15"/>
  <c r="CI104" i="15"/>
  <c r="CI112" i="15"/>
  <c r="CI117" i="15"/>
  <c r="CI130" i="15"/>
  <c r="CI114" i="15"/>
  <c r="CI144" i="15"/>
  <c r="CI140" i="15"/>
  <c r="CI120" i="15"/>
  <c r="CI125" i="15"/>
  <c r="CI148" i="15"/>
  <c r="CI138" i="15"/>
  <c r="CI142" i="15"/>
  <c r="CJ100" i="15"/>
  <c r="CJ106" i="15"/>
  <c r="CJ105" i="15"/>
  <c r="CJ108" i="15"/>
  <c r="CJ120" i="15"/>
  <c r="CJ116" i="15"/>
  <c r="CJ122" i="15"/>
  <c r="CJ142" i="15"/>
  <c r="CJ128" i="15"/>
  <c r="CJ124" i="15"/>
  <c r="CJ133" i="15"/>
  <c r="CJ149" i="15"/>
  <c r="CJ147" i="15"/>
  <c r="CJ101" i="15"/>
  <c r="CJ109" i="15"/>
  <c r="CJ102" i="15"/>
  <c r="CJ118" i="15"/>
  <c r="CJ123" i="15"/>
  <c r="CJ119" i="15"/>
  <c r="CJ121" i="15"/>
  <c r="CJ135" i="15"/>
  <c r="CJ141" i="15"/>
  <c r="CJ140" i="15"/>
  <c r="CJ136" i="15"/>
  <c r="CJ139" i="15"/>
  <c r="CJ138" i="15"/>
  <c r="CJ107" i="15"/>
  <c r="CJ104" i="15"/>
  <c r="CJ112" i="15"/>
  <c r="CJ111" i="15"/>
  <c r="CJ131" i="15"/>
  <c r="CJ127" i="15"/>
  <c r="CJ129" i="15"/>
  <c r="CJ134" i="15"/>
  <c r="CJ130" i="15"/>
  <c r="CJ150" i="15"/>
  <c r="CJ146" i="15"/>
  <c r="CJ148" i="15"/>
  <c r="CJ143" i="15"/>
  <c r="CJ103" i="15"/>
  <c r="CJ114" i="15"/>
  <c r="CJ113" i="15"/>
  <c r="CJ117" i="15"/>
  <c r="CJ110" i="15"/>
  <c r="CJ115" i="15"/>
  <c r="CJ132" i="15"/>
  <c r="CJ125" i="15"/>
  <c r="CJ137" i="15"/>
  <c r="CJ126" i="15"/>
  <c r="CJ145" i="15"/>
  <c r="CJ144" i="15"/>
  <c r="CJ57" i="15"/>
  <c r="CJ11" i="15" s="1"/>
  <c r="CK101" i="15"/>
  <c r="CK107" i="15"/>
  <c r="CK105" i="15"/>
  <c r="CK114" i="15"/>
  <c r="CK111" i="15"/>
  <c r="CK128" i="15"/>
  <c r="CK130" i="15"/>
  <c r="CK135" i="15"/>
  <c r="CK132" i="15"/>
  <c r="CK138" i="15"/>
  <c r="CK137" i="15"/>
  <c r="CK149" i="15"/>
  <c r="CK145" i="15"/>
  <c r="CK108" i="15"/>
  <c r="CK102" i="15"/>
  <c r="CK115" i="15"/>
  <c r="CK109" i="15"/>
  <c r="CK121" i="15"/>
  <c r="CK113" i="15"/>
  <c r="CK133" i="15"/>
  <c r="CK126" i="15"/>
  <c r="CK123" i="15"/>
  <c r="CK125" i="15"/>
  <c r="CK147" i="15"/>
  <c r="CK139" i="15"/>
  <c r="CK148" i="15"/>
  <c r="CK100" i="15"/>
  <c r="CK103" i="15"/>
  <c r="CK106" i="15"/>
  <c r="CK119" i="15"/>
  <c r="CK117" i="15"/>
  <c r="CK116" i="15"/>
  <c r="CK143" i="15"/>
  <c r="CK129" i="15"/>
  <c r="CK131" i="15"/>
  <c r="CK127" i="15"/>
  <c r="CK150" i="15"/>
  <c r="CK57" i="15"/>
  <c r="CK11" i="15" s="1"/>
  <c r="CK141" i="15"/>
  <c r="CK104" i="15"/>
  <c r="CK110" i="15"/>
  <c r="CK112" i="15"/>
  <c r="CK118" i="15"/>
  <c r="CK120" i="15"/>
  <c r="CK124" i="15"/>
  <c r="CK136" i="15"/>
  <c r="CK142" i="15"/>
  <c r="CK122" i="15"/>
  <c r="CK134" i="15"/>
  <c r="CK146" i="15"/>
  <c r="CK140" i="15"/>
  <c r="CK144" i="15"/>
  <c r="CL100" i="15"/>
  <c r="CL105" i="15"/>
  <c r="CL116" i="15"/>
  <c r="CL115" i="15"/>
  <c r="CL122" i="15"/>
  <c r="CL129" i="15"/>
  <c r="CL124" i="15"/>
  <c r="CL144" i="15"/>
  <c r="CL143" i="15"/>
  <c r="CL126" i="15"/>
  <c r="CL138" i="15"/>
  <c r="CL150" i="15"/>
  <c r="CL57" i="15"/>
  <c r="CL11" i="15" s="1"/>
  <c r="CL102" i="15"/>
  <c r="CL104" i="15"/>
  <c r="CL108" i="15"/>
  <c r="CL110" i="15"/>
  <c r="CL112" i="15"/>
  <c r="CL114" i="15"/>
  <c r="CL123" i="15"/>
  <c r="CL137" i="15"/>
  <c r="CL133" i="15"/>
  <c r="CL128" i="15"/>
  <c r="CL148" i="15"/>
  <c r="CL146" i="15"/>
  <c r="CL142" i="15"/>
  <c r="CL109" i="15"/>
  <c r="CL111" i="15"/>
  <c r="CL103" i="15"/>
  <c r="CL113" i="15"/>
  <c r="CL118" i="15"/>
  <c r="CL117" i="15"/>
  <c r="CL131" i="15"/>
  <c r="CL127" i="15"/>
  <c r="CL132" i="15"/>
  <c r="CL135" i="15"/>
  <c r="CL141" i="15"/>
  <c r="CL136" i="15"/>
  <c r="CL140" i="15"/>
  <c r="CL101" i="15"/>
  <c r="CL106" i="15"/>
  <c r="CL107" i="15"/>
  <c r="CL119" i="15"/>
  <c r="CL121" i="15"/>
  <c r="CL125" i="15"/>
  <c r="CL134" i="15"/>
  <c r="CL130" i="15"/>
  <c r="CL139" i="15"/>
  <c r="CL120" i="15"/>
  <c r="CL147" i="15"/>
  <c r="CL149" i="15"/>
  <c r="CL145" i="15"/>
  <c r="CM102" i="15"/>
  <c r="CM105" i="15"/>
  <c r="CM108" i="15"/>
  <c r="CM104" i="15"/>
  <c r="CM120" i="15"/>
  <c r="CM130" i="15"/>
  <c r="CM126" i="15"/>
  <c r="CM138" i="15"/>
  <c r="CM131" i="15"/>
  <c r="CM133" i="15"/>
  <c r="CM129" i="15"/>
  <c r="CM142" i="15"/>
  <c r="CM143" i="15"/>
  <c r="CM106" i="15"/>
  <c r="CM112" i="15"/>
  <c r="CM103" i="15"/>
  <c r="CM116" i="15"/>
  <c r="CM123" i="15"/>
  <c r="CM115" i="15"/>
  <c r="CM125" i="15"/>
  <c r="CM145" i="15"/>
  <c r="CM141" i="15"/>
  <c r="CM124" i="15"/>
  <c r="CM136" i="15"/>
  <c r="CM148" i="15"/>
  <c r="CM137" i="15"/>
  <c r="CM101" i="15"/>
  <c r="CM107" i="15"/>
  <c r="CM113" i="15"/>
  <c r="CM111" i="15"/>
  <c r="CM119" i="15"/>
  <c r="CM110" i="15"/>
  <c r="CM132" i="15"/>
  <c r="CM128" i="15"/>
  <c r="CM144" i="15"/>
  <c r="CM140" i="15"/>
  <c r="CM139" i="15"/>
  <c r="CM147" i="15"/>
  <c r="CM146" i="15"/>
  <c r="CM100" i="15"/>
  <c r="CM117" i="15"/>
  <c r="CM109" i="15"/>
  <c r="CM114" i="15"/>
  <c r="CM122" i="15"/>
  <c r="CM118" i="15"/>
  <c r="CM135" i="15"/>
  <c r="CM121" i="15"/>
  <c r="CM134" i="15"/>
  <c r="CM127" i="15"/>
  <c r="CM149" i="15"/>
  <c r="CM150" i="15"/>
  <c r="CM57" i="15"/>
  <c r="CM11" i="15" s="1"/>
  <c r="CN101" i="15"/>
  <c r="CN103" i="15"/>
  <c r="CN118" i="15"/>
  <c r="CN105" i="15"/>
  <c r="CN115" i="15"/>
  <c r="CN121" i="15"/>
  <c r="CN127" i="15"/>
  <c r="CN146" i="15"/>
  <c r="CN138" i="15"/>
  <c r="CN125" i="15"/>
  <c r="CN130" i="15"/>
  <c r="CN140" i="15"/>
  <c r="CN149" i="15"/>
  <c r="CN100" i="15"/>
  <c r="CN106" i="15"/>
  <c r="CN109" i="15"/>
  <c r="CN117" i="15"/>
  <c r="CN111" i="15"/>
  <c r="CN131" i="15"/>
  <c r="CN126" i="15"/>
  <c r="CN129" i="15"/>
  <c r="CN145" i="15"/>
  <c r="CN128" i="15"/>
  <c r="CN137" i="15"/>
  <c r="CN150" i="15"/>
  <c r="CN148" i="15"/>
  <c r="CN107" i="15"/>
  <c r="CN108" i="15"/>
  <c r="CN104" i="15"/>
  <c r="CN112" i="15"/>
  <c r="CN120" i="15"/>
  <c r="CN116" i="15"/>
  <c r="CN133" i="15"/>
  <c r="CN132" i="15"/>
  <c r="CN135" i="15"/>
  <c r="CN139" i="15"/>
  <c r="CN122" i="15"/>
  <c r="CN143" i="15"/>
  <c r="CN144" i="15"/>
  <c r="CN102" i="15"/>
  <c r="CN110" i="15"/>
  <c r="CN114" i="15"/>
  <c r="CN113" i="15"/>
  <c r="CN123" i="15"/>
  <c r="CN119" i="15"/>
  <c r="CN136" i="15"/>
  <c r="CN142" i="15"/>
  <c r="CN134" i="15"/>
  <c r="CN141" i="15"/>
  <c r="CN124" i="15"/>
  <c r="CN57" i="15"/>
  <c r="CN11" i="15" s="1"/>
  <c r="CN147" i="15"/>
  <c r="CO103" i="15"/>
  <c r="CO104" i="15"/>
  <c r="CO110" i="15"/>
  <c r="CO102" i="15"/>
  <c r="CO116" i="15"/>
  <c r="CO121" i="15"/>
  <c r="CO128" i="15"/>
  <c r="CO140" i="15"/>
  <c r="CO133" i="15"/>
  <c r="CO126" i="15"/>
  <c r="CO131" i="15"/>
  <c r="CO141" i="15"/>
  <c r="CO149" i="15"/>
  <c r="CO101" i="15"/>
  <c r="CO107" i="15"/>
  <c r="CO105" i="15"/>
  <c r="CO111" i="15"/>
  <c r="CO122" i="15"/>
  <c r="CO117" i="15"/>
  <c r="CO127" i="15"/>
  <c r="CO147" i="15"/>
  <c r="CO143" i="15"/>
  <c r="CO129" i="15"/>
  <c r="CO138" i="15"/>
  <c r="CO144" i="15"/>
  <c r="CO57" i="15"/>
  <c r="CO11" i="15" s="1"/>
  <c r="CO108" i="15"/>
  <c r="CO109" i="15"/>
  <c r="CO115" i="15"/>
  <c r="CO114" i="15"/>
  <c r="CO124" i="15"/>
  <c r="CO112" i="15"/>
  <c r="CO134" i="15"/>
  <c r="CO130" i="15"/>
  <c r="CO136" i="15"/>
  <c r="CO142" i="15"/>
  <c r="CO125" i="15"/>
  <c r="CO150" i="15"/>
  <c r="CO145" i="15"/>
  <c r="CO100" i="15"/>
  <c r="CO119" i="15"/>
  <c r="CO106" i="15"/>
  <c r="CO113" i="15"/>
  <c r="CO118" i="15"/>
  <c r="CO120" i="15"/>
  <c r="CO137" i="15"/>
  <c r="CO123" i="15"/>
  <c r="CO135" i="15"/>
  <c r="CO132" i="15"/>
  <c r="CO139" i="15"/>
  <c r="CO146" i="15"/>
  <c r="CO148" i="15"/>
  <c r="CP104" i="15"/>
  <c r="CP101" i="15"/>
  <c r="CP111" i="15"/>
  <c r="CP100" i="15"/>
  <c r="CP125" i="15"/>
  <c r="CP122" i="15"/>
  <c r="CP129" i="15"/>
  <c r="CP148" i="15"/>
  <c r="CP134" i="15"/>
  <c r="CP127" i="15"/>
  <c r="CP132" i="15"/>
  <c r="CP142" i="15"/>
  <c r="CP150" i="15"/>
  <c r="CP102" i="15"/>
  <c r="CP105" i="15"/>
  <c r="CP106" i="15"/>
  <c r="CP115" i="15"/>
  <c r="CP108" i="15"/>
  <c r="CP123" i="15"/>
  <c r="CP128" i="15"/>
  <c r="CP120" i="15"/>
  <c r="CP144" i="15"/>
  <c r="CP130" i="15"/>
  <c r="CP139" i="15"/>
  <c r="CP145" i="15"/>
  <c r="CP146" i="15"/>
  <c r="CP109" i="15"/>
  <c r="CP110" i="15"/>
  <c r="CP116" i="15"/>
  <c r="CP114" i="15"/>
  <c r="CP113" i="15"/>
  <c r="CP118" i="15"/>
  <c r="CP135" i="15"/>
  <c r="CP124" i="15"/>
  <c r="CP140" i="15"/>
  <c r="CP143" i="15"/>
  <c r="CP126" i="15"/>
  <c r="CP141" i="15"/>
  <c r="CP149" i="15"/>
  <c r="CP103" i="15"/>
  <c r="CP112" i="15"/>
  <c r="CP107" i="15"/>
  <c r="CP117" i="15"/>
  <c r="CP119" i="15"/>
  <c r="CP121" i="15"/>
  <c r="CP138" i="15"/>
  <c r="CP131" i="15"/>
  <c r="CP137" i="15"/>
  <c r="CP133" i="15"/>
  <c r="CP136" i="15"/>
  <c r="CP147" i="15"/>
  <c r="CP57" i="15"/>
  <c r="CP11" i="15" s="1"/>
  <c r="CQ100" i="15"/>
  <c r="CQ101" i="15"/>
  <c r="CQ117" i="15"/>
  <c r="CQ110" i="15"/>
  <c r="CQ118" i="15"/>
  <c r="CQ123" i="15"/>
  <c r="CQ129" i="15"/>
  <c r="CQ149" i="15"/>
  <c r="CQ145" i="15"/>
  <c r="CQ144" i="15"/>
  <c r="CQ120" i="15"/>
  <c r="CQ143" i="15"/>
  <c r="CQ148" i="15"/>
  <c r="CQ102" i="15"/>
  <c r="CQ111" i="15"/>
  <c r="CQ108" i="15"/>
  <c r="CQ104" i="15"/>
  <c r="CQ126" i="15"/>
  <c r="CQ119" i="15"/>
  <c r="CQ136" i="15"/>
  <c r="CQ125" i="15"/>
  <c r="CQ128" i="15"/>
  <c r="CQ134" i="15"/>
  <c r="CQ124" i="15"/>
  <c r="CQ146" i="15"/>
  <c r="CQ138" i="15"/>
  <c r="CQ105" i="15"/>
  <c r="CQ112" i="15"/>
  <c r="CQ103" i="15"/>
  <c r="CQ116" i="15"/>
  <c r="CQ114" i="15"/>
  <c r="CQ122" i="15"/>
  <c r="CQ139" i="15"/>
  <c r="CQ132" i="15"/>
  <c r="CQ131" i="15"/>
  <c r="CQ121" i="15"/>
  <c r="CQ140" i="15"/>
  <c r="CQ57" i="15"/>
  <c r="CQ11" i="15" s="1"/>
  <c r="CQ147" i="15"/>
  <c r="CQ106" i="15"/>
  <c r="CQ107" i="15"/>
  <c r="CQ113" i="15"/>
  <c r="CQ115" i="15"/>
  <c r="CQ109" i="15"/>
  <c r="CQ130" i="15"/>
  <c r="CQ137" i="15"/>
  <c r="CQ135" i="15"/>
  <c r="CQ141" i="15"/>
  <c r="CQ133" i="15"/>
  <c r="CQ127" i="15"/>
  <c r="CQ142" i="15"/>
  <c r="CQ150" i="15"/>
  <c r="CR103" i="15"/>
  <c r="CR100" i="15"/>
  <c r="CR113" i="15"/>
  <c r="CR104" i="15"/>
  <c r="CR116" i="15"/>
  <c r="CR110" i="15"/>
  <c r="CR130" i="15"/>
  <c r="CR150" i="15"/>
  <c r="CR133" i="15"/>
  <c r="CR132" i="15"/>
  <c r="CR134" i="15"/>
  <c r="CR144" i="15"/>
  <c r="CR143" i="15"/>
  <c r="CR106" i="15"/>
  <c r="CR107" i="15"/>
  <c r="CR108" i="15"/>
  <c r="CR114" i="15"/>
  <c r="CR119" i="15"/>
  <c r="CR120" i="15"/>
  <c r="CR137" i="15"/>
  <c r="CR122" i="15"/>
  <c r="CR136" i="15"/>
  <c r="CR142" i="15"/>
  <c r="CR125" i="15"/>
  <c r="CR138" i="15"/>
  <c r="CR57" i="15"/>
  <c r="CR11" i="15" s="1"/>
  <c r="CR102" i="15"/>
  <c r="CR112" i="15"/>
  <c r="CR118" i="15"/>
  <c r="CR105" i="15"/>
  <c r="CR127" i="15"/>
  <c r="CR123" i="15"/>
  <c r="CR124" i="15"/>
  <c r="CR126" i="15"/>
  <c r="CR146" i="15"/>
  <c r="CR145" i="15"/>
  <c r="CR128" i="15"/>
  <c r="CR147" i="15"/>
  <c r="CR149" i="15"/>
  <c r="CR101" i="15"/>
  <c r="CR111" i="15"/>
  <c r="CR109" i="15"/>
  <c r="CR117" i="15"/>
  <c r="CR115" i="15"/>
  <c r="CR131" i="15"/>
  <c r="CR140" i="15"/>
  <c r="CR121" i="15"/>
  <c r="CR129" i="15"/>
  <c r="CR135" i="15"/>
  <c r="CR141" i="15"/>
  <c r="CR139" i="15"/>
  <c r="CR148" i="15"/>
  <c r="CS100" i="15"/>
  <c r="CS101" i="15"/>
  <c r="CS109" i="15"/>
  <c r="CS115" i="15"/>
  <c r="CS117" i="15"/>
  <c r="CS113" i="15"/>
  <c r="CS132" i="15"/>
  <c r="CS127" i="15"/>
  <c r="CS130" i="15"/>
  <c r="CS123" i="15"/>
  <c r="CS129" i="15"/>
  <c r="CS141" i="15"/>
  <c r="CS146" i="15"/>
  <c r="CS104" i="15"/>
  <c r="CS108" i="15"/>
  <c r="CS119" i="15"/>
  <c r="CS112" i="15"/>
  <c r="CS120" i="15"/>
  <c r="CS116" i="15"/>
  <c r="CS131" i="15"/>
  <c r="CS134" i="15"/>
  <c r="CS133" i="15"/>
  <c r="CS135" i="15"/>
  <c r="CS142" i="15"/>
  <c r="CS144" i="15"/>
  <c r="CS140" i="15"/>
  <c r="CS107" i="15"/>
  <c r="CS102" i="15"/>
  <c r="CS110" i="15"/>
  <c r="CS106" i="15"/>
  <c r="CS128" i="15"/>
  <c r="CS124" i="15"/>
  <c r="CS138" i="15"/>
  <c r="CS137" i="15"/>
  <c r="CS143" i="15"/>
  <c r="CS122" i="15"/>
  <c r="CS145" i="15"/>
  <c r="CS150" i="15"/>
  <c r="CS149" i="15"/>
  <c r="CS103" i="15"/>
  <c r="CS114" i="15"/>
  <c r="CS105" i="15"/>
  <c r="CS118" i="15"/>
  <c r="CS111" i="15"/>
  <c r="CS121" i="15"/>
  <c r="CS125" i="15"/>
  <c r="CS147" i="15"/>
  <c r="CS136" i="15"/>
  <c r="CS126" i="15"/>
  <c r="CS148" i="15"/>
  <c r="CS139" i="15"/>
  <c r="CS57" i="15"/>
  <c r="CS11" i="15" s="1"/>
  <c r="CT101" i="15"/>
  <c r="CT109" i="15"/>
  <c r="CT111" i="15"/>
  <c r="CT102" i="15"/>
  <c r="CT114" i="15"/>
  <c r="CT113" i="15"/>
  <c r="CT133" i="15"/>
  <c r="CT126" i="15"/>
  <c r="CT135" i="15"/>
  <c r="CT131" i="15"/>
  <c r="CT127" i="15"/>
  <c r="CT140" i="15"/>
  <c r="CT145" i="15"/>
  <c r="CT105" i="15"/>
  <c r="CT103" i="15"/>
  <c r="CT106" i="15"/>
  <c r="CT118" i="15"/>
  <c r="CT117" i="15"/>
  <c r="CT119" i="15"/>
  <c r="CT132" i="15"/>
  <c r="CT136" i="15"/>
  <c r="CT138" i="15"/>
  <c r="CT134" i="15"/>
  <c r="CT130" i="15"/>
  <c r="CT149" i="15"/>
  <c r="CT141" i="15"/>
  <c r="CT100" i="15"/>
  <c r="CT115" i="15"/>
  <c r="CT116" i="15"/>
  <c r="CT121" i="15"/>
  <c r="CT125" i="15"/>
  <c r="CT112" i="15"/>
  <c r="CT139" i="15"/>
  <c r="CT128" i="15"/>
  <c r="CT148" i="15"/>
  <c r="CT144" i="15"/>
  <c r="CT143" i="15"/>
  <c r="CT57" i="15"/>
  <c r="CT11" i="15" s="1"/>
  <c r="CT147" i="15"/>
  <c r="CT104" i="15"/>
  <c r="CT110" i="15"/>
  <c r="CT107" i="15"/>
  <c r="CT129" i="15"/>
  <c r="CT108" i="15"/>
  <c r="CT122" i="15"/>
  <c r="CT120" i="15"/>
  <c r="CT123" i="15"/>
  <c r="CT124" i="15"/>
  <c r="CT137" i="15"/>
  <c r="CT146" i="15"/>
  <c r="CT142" i="15"/>
  <c r="CT150" i="15"/>
  <c r="CU106" i="15"/>
  <c r="CU100" i="15"/>
  <c r="CU112" i="15"/>
  <c r="CU103" i="15"/>
  <c r="CU122" i="15"/>
  <c r="CU120" i="15"/>
  <c r="CU109" i="15"/>
  <c r="CU140" i="15"/>
  <c r="CU139" i="15"/>
  <c r="CU125" i="15"/>
  <c r="CU145" i="15"/>
  <c r="CU144" i="15"/>
  <c r="CU146" i="15"/>
  <c r="CU102" i="15"/>
  <c r="CU104" i="15"/>
  <c r="CU107" i="15"/>
  <c r="CU113" i="15"/>
  <c r="CU130" i="15"/>
  <c r="CU126" i="15"/>
  <c r="CU134" i="15"/>
  <c r="CU127" i="15"/>
  <c r="CU138" i="15"/>
  <c r="CU132" i="15"/>
  <c r="CU128" i="15"/>
  <c r="CU147" i="15"/>
  <c r="CU57" i="15"/>
  <c r="CU11" i="15" s="1"/>
  <c r="CU105" i="15"/>
  <c r="CU116" i="15"/>
  <c r="CU117" i="15"/>
  <c r="CU119" i="15"/>
  <c r="CU115" i="15"/>
  <c r="CU114" i="15"/>
  <c r="CU133" i="15"/>
  <c r="CU129" i="15"/>
  <c r="CU149" i="15"/>
  <c r="CU121" i="15"/>
  <c r="CU131" i="15"/>
  <c r="CU150" i="15"/>
  <c r="CU142" i="15"/>
  <c r="CU101" i="15"/>
  <c r="CU111" i="15"/>
  <c r="CU108" i="15"/>
  <c r="CU110" i="15"/>
  <c r="CU118" i="15"/>
  <c r="CU123" i="15"/>
  <c r="CU124" i="15"/>
  <c r="CU136" i="15"/>
  <c r="CU137" i="15"/>
  <c r="CU135" i="15"/>
  <c r="CU141" i="15"/>
  <c r="CU143" i="15"/>
  <c r="CU148" i="15"/>
  <c r="CV100" i="15"/>
  <c r="CV101" i="15"/>
  <c r="CV110" i="15"/>
  <c r="CV109" i="15"/>
  <c r="CV123" i="15"/>
  <c r="CV117" i="15"/>
  <c r="CV135" i="15"/>
  <c r="CV128" i="15"/>
  <c r="CV137" i="15"/>
  <c r="CV126" i="15"/>
  <c r="CV138" i="15"/>
  <c r="CV142" i="15"/>
  <c r="CV147" i="15"/>
  <c r="CV107" i="15"/>
  <c r="CV102" i="15"/>
  <c r="CV113" i="15"/>
  <c r="CV104" i="15"/>
  <c r="CV116" i="15"/>
  <c r="CV111" i="15"/>
  <c r="CV134" i="15"/>
  <c r="CV141" i="15"/>
  <c r="CV124" i="15"/>
  <c r="CV133" i="15"/>
  <c r="CV129" i="15"/>
  <c r="CV145" i="15"/>
  <c r="CV143" i="15"/>
  <c r="CV103" i="15"/>
  <c r="CV105" i="15"/>
  <c r="CV108" i="15"/>
  <c r="CV114" i="15"/>
  <c r="CV119" i="15"/>
  <c r="CV115" i="15"/>
  <c r="CV125" i="15"/>
  <c r="CV131" i="15"/>
  <c r="CV140" i="15"/>
  <c r="CV136" i="15"/>
  <c r="CV132" i="15"/>
  <c r="CV148" i="15"/>
  <c r="CV57" i="15"/>
  <c r="CV11" i="15" s="1"/>
  <c r="CV106" i="15"/>
  <c r="CV112" i="15"/>
  <c r="CV118" i="15"/>
  <c r="CV120" i="15"/>
  <c r="CV127" i="15"/>
  <c r="CV121" i="15"/>
  <c r="CV122" i="15"/>
  <c r="CV130" i="15"/>
  <c r="CV150" i="15"/>
  <c r="CV146" i="15"/>
  <c r="CV139" i="15"/>
  <c r="CV144" i="15"/>
  <c r="CV149" i="15"/>
  <c r="CW101" i="15"/>
  <c r="CW107" i="15"/>
  <c r="CW114" i="15"/>
  <c r="CW105" i="15"/>
  <c r="CW112" i="15"/>
  <c r="CW128" i="15"/>
  <c r="CW124" i="15"/>
  <c r="CW126" i="15"/>
  <c r="CW131" i="15"/>
  <c r="CW127" i="15"/>
  <c r="CW147" i="15"/>
  <c r="CW146" i="15"/>
  <c r="CW148" i="15"/>
  <c r="CW108" i="15"/>
  <c r="CW103" i="15"/>
  <c r="CW109" i="15"/>
  <c r="CW111" i="15"/>
  <c r="CW117" i="15"/>
  <c r="CW118" i="15"/>
  <c r="CW132" i="15"/>
  <c r="CW129" i="15"/>
  <c r="CW138" i="15"/>
  <c r="CW134" i="15"/>
  <c r="CW130" i="15"/>
  <c r="CW149" i="15"/>
  <c r="CW141" i="15"/>
  <c r="CW100" i="15"/>
  <c r="CW102" i="15"/>
  <c r="CW119" i="15"/>
  <c r="CW115" i="15"/>
  <c r="CW120" i="15"/>
  <c r="CW113" i="15"/>
  <c r="CW136" i="15"/>
  <c r="CW139" i="15"/>
  <c r="CW125" i="15"/>
  <c r="CW123" i="15"/>
  <c r="CW133" i="15"/>
  <c r="CW57" i="15"/>
  <c r="CW11" i="15" s="1"/>
  <c r="CW144" i="15"/>
  <c r="CW104" i="15"/>
  <c r="CW106" i="15"/>
  <c r="CW110" i="15"/>
  <c r="CW121" i="15"/>
  <c r="CW122" i="15"/>
  <c r="CW116" i="15"/>
  <c r="CW135" i="15"/>
  <c r="CW142" i="15"/>
  <c r="CW140" i="15"/>
  <c r="CW137" i="15"/>
  <c r="CW143" i="15"/>
  <c r="CW145" i="15"/>
  <c r="CW150" i="15"/>
  <c r="CX109" i="15"/>
  <c r="CX107" i="15"/>
  <c r="CX103" i="15"/>
  <c r="CX106" i="15"/>
  <c r="CX122" i="15"/>
  <c r="CX114" i="15"/>
  <c r="CX123" i="15"/>
  <c r="CX143" i="15"/>
  <c r="CX126" i="15"/>
  <c r="CX138" i="15"/>
  <c r="CX131" i="15"/>
  <c r="CX150" i="15"/>
  <c r="CX136" i="15"/>
  <c r="CX101" i="15"/>
  <c r="CX102" i="15"/>
  <c r="CX110" i="15"/>
  <c r="CX108" i="15"/>
  <c r="CX118" i="15"/>
  <c r="CX117" i="15"/>
  <c r="CX137" i="15"/>
  <c r="CX133" i="15"/>
  <c r="CX120" i="15"/>
  <c r="CX148" i="15"/>
  <c r="CX134" i="15"/>
  <c r="CX146" i="15"/>
  <c r="CX142" i="15"/>
  <c r="CX149" i="15"/>
  <c r="CX145" i="15"/>
  <c r="CX104" i="15"/>
  <c r="CX115" i="15"/>
  <c r="CX100" i="15"/>
  <c r="CX119" i="15"/>
  <c r="CX129" i="15"/>
  <c r="CX113" i="15"/>
  <c r="CX130" i="15"/>
  <c r="CX139" i="15"/>
  <c r="CX135" i="15"/>
  <c r="CX124" i="15"/>
  <c r="CX147" i="15"/>
  <c r="CX57" i="15"/>
  <c r="CX11" i="15" s="1"/>
  <c r="CX141" i="15"/>
  <c r="CX105" i="15"/>
  <c r="CX112" i="15"/>
  <c r="CX111" i="15"/>
  <c r="CX116" i="15"/>
  <c r="CX121" i="15"/>
  <c r="CX125" i="15"/>
  <c r="CX127" i="15"/>
  <c r="CX132" i="15"/>
  <c r="CX128" i="15"/>
  <c r="CX140" i="15"/>
  <c r="CX144" i="15"/>
  <c r="CY100" i="15"/>
  <c r="CY108" i="15"/>
  <c r="CY104" i="15"/>
  <c r="CY112" i="15"/>
  <c r="CY123" i="15"/>
  <c r="CY115" i="15"/>
  <c r="CY121" i="15"/>
  <c r="CY141" i="15"/>
  <c r="CY124" i="15"/>
  <c r="CY136" i="15"/>
  <c r="CY132" i="15"/>
  <c r="CY138" i="15"/>
  <c r="CY146" i="15"/>
  <c r="CY106" i="15"/>
  <c r="CY103" i="15"/>
  <c r="CY101" i="15"/>
  <c r="CY107" i="15"/>
  <c r="CY119" i="15"/>
  <c r="CY118" i="15"/>
  <c r="CY120" i="15"/>
  <c r="CY144" i="15"/>
  <c r="CY140" i="15"/>
  <c r="CY139" i="15"/>
  <c r="CY135" i="15"/>
  <c r="CY147" i="15"/>
  <c r="CY57" i="15"/>
  <c r="CY11" i="15" s="1"/>
  <c r="CY105" i="15"/>
  <c r="CY111" i="15"/>
  <c r="CY110" i="15"/>
  <c r="CY114" i="15"/>
  <c r="CY133" i="15"/>
  <c r="CY125" i="15"/>
  <c r="CY143" i="15"/>
  <c r="CY102" i="15"/>
  <c r="CY109" i="15"/>
  <c r="CY116" i="15"/>
  <c r="CY117" i="15"/>
  <c r="CY122" i="15"/>
  <c r="CY126" i="15"/>
  <c r="CY128" i="15"/>
  <c r="CY134" i="15"/>
  <c r="CY127" i="15"/>
  <c r="CY149" i="15"/>
  <c r="CY145" i="15"/>
  <c r="CY150" i="15"/>
  <c r="CY137" i="15"/>
  <c r="CY113" i="15"/>
  <c r="CY130" i="15"/>
  <c r="CY131" i="15"/>
  <c r="CY129" i="15"/>
  <c r="CY148" i="15"/>
  <c r="CY142" i="15"/>
  <c r="CZ100" i="15"/>
  <c r="CZ101" i="15"/>
  <c r="CZ114" i="15"/>
  <c r="CZ113" i="15"/>
  <c r="CZ120" i="15"/>
  <c r="CZ127" i="15"/>
  <c r="CZ132" i="15"/>
  <c r="CZ125" i="15"/>
  <c r="CZ122" i="15"/>
  <c r="CZ124" i="15"/>
  <c r="CZ133" i="15"/>
  <c r="CZ145" i="15"/>
  <c r="CZ144" i="15"/>
  <c r="CZ107" i="15"/>
  <c r="CZ102" i="15"/>
  <c r="CZ105" i="15"/>
  <c r="CZ108" i="15"/>
  <c r="CZ123" i="15"/>
  <c r="CZ117" i="15"/>
  <c r="CZ142" i="15"/>
  <c r="CZ128" i="15"/>
  <c r="CZ130" i="15"/>
  <c r="CZ140" i="15"/>
  <c r="CZ136" i="15"/>
  <c r="CZ148" i="15"/>
  <c r="CZ147" i="15"/>
  <c r="CZ103" i="15"/>
  <c r="CZ109" i="15"/>
  <c r="CZ111" i="15"/>
  <c r="CZ118" i="15"/>
  <c r="CZ116" i="15"/>
  <c r="CZ115" i="15"/>
  <c r="CZ135" i="15"/>
  <c r="CZ141" i="15"/>
  <c r="CZ121" i="15"/>
  <c r="CZ150" i="15"/>
  <c r="CZ146" i="15"/>
  <c r="CZ138" i="15"/>
  <c r="CZ143" i="15"/>
  <c r="CZ106" i="15"/>
  <c r="CZ104" i="15"/>
  <c r="CZ112" i="15"/>
  <c r="CZ110" i="15"/>
  <c r="CZ119" i="15"/>
  <c r="CZ129" i="15"/>
  <c r="CZ134" i="15"/>
  <c r="CZ131" i="15"/>
  <c r="CZ137" i="15"/>
  <c r="CZ126" i="15"/>
  <c r="CZ149" i="15"/>
  <c r="CZ139" i="15"/>
  <c r="CZ57" i="15"/>
  <c r="CZ11" i="15" s="1"/>
  <c r="DA101" i="15"/>
  <c r="DA104" i="15"/>
  <c r="DA105" i="15"/>
  <c r="DA109" i="15"/>
  <c r="DA111" i="15"/>
  <c r="DA118" i="15"/>
  <c r="DA123" i="15"/>
  <c r="DA143" i="15"/>
  <c r="DA126" i="15"/>
  <c r="DA138" i="15"/>
  <c r="DA137" i="15"/>
  <c r="DA146" i="15"/>
  <c r="DA148" i="15"/>
  <c r="DA108" i="15"/>
  <c r="DA107" i="15"/>
  <c r="DA115" i="15"/>
  <c r="DA119" i="15"/>
  <c r="DA117" i="15"/>
  <c r="DA113" i="15"/>
  <c r="DA122" i="15"/>
  <c r="DA132" i="15"/>
  <c r="DA129" i="15"/>
  <c r="DA125" i="15"/>
  <c r="DA147" i="15"/>
  <c r="DA149" i="15"/>
  <c r="DA141" i="15"/>
  <c r="DA102" i="15"/>
  <c r="DA103" i="15"/>
  <c r="DA106" i="15"/>
  <c r="DA112" i="15"/>
  <c r="DA120" i="15"/>
  <c r="DA116" i="15"/>
  <c r="DA130" i="15"/>
  <c r="DA136" i="15"/>
  <c r="DA142" i="15"/>
  <c r="DA127" i="15"/>
  <c r="DA150" i="15"/>
  <c r="DA57" i="15"/>
  <c r="DA11" i="15" s="1"/>
  <c r="DA139" i="15"/>
  <c r="DA100" i="15"/>
  <c r="DA110" i="15"/>
  <c r="DA114" i="15"/>
  <c r="DA121" i="15"/>
  <c r="DA128" i="15"/>
  <c r="DA124" i="15"/>
  <c r="DA133" i="15"/>
  <c r="DA135" i="15"/>
  <c r="DA131" i="15"/>
  <c r="DA134" i="15"/>
  <c r="DA140" i="15"/>
  <c r="DA145" i="15"/>
  <c r="DA144" i="15"/>
  <c r="DB109" i="15"/>
  <c r="DB104" i="15"/>
  <c r="DB107" i="15"/>
  <c r="DB103" i="15"/>
  <c r="DB119" i="15"/>
  <c r="DB129" i="15"/>
  <c r="DB124" i="15"/>
  <c r="DB137" i="15"/>
  <c r="DB143" i="15"/>
  <c r="DB139" i="15"/>
  <c r="DB138" i="15"/>
  <c r="DB150" i="15"/>
  <c r="DB57" i="15"/>
  <c r="DB11" i="15" s="1"/>
  <c r="DB105" i="15"/>
  <c r="DB106" i="15"/>
  <c r="DB108" i="15"/>
  <c r="DB112" i="15"/>
  <c r="DB118" i="15"/>
  <c r="DB117" i="15"/>
  <c r="DB134" i="15"/>
  <c r="DB132" i="15"/>
  <c r="DB128" i="15"/>
  <c r="DB141" i="15"/>
  <c r="DB146" i="15"/>
  <c r="DB116" i="15"/>
  <c r="DB115" i="15"/>
  <c r="DB121" i="15"/>
  <c r="DB144" i="15"/>
  <c r="DB130" i="15"/>
  <c r="DB135" i="15"/>
  <c r="DB149" i="15"/>
  <c r="DB101" i="15"/>
  <c r="DB111" i="15"/>
  <c r="DB102" i="15"/>
  <c r="DB110" i="15"/>
  <c r="DB122" i="15"/>
  <c r="DB114" i="15"/>
  <c r="DB131" i="15"/>
  <c r="DB127" i="15"/>
  <c r="DB133" i="15"/>
  <c r="DB126" i="15"/>
  <c r="DB148" i="15"/>
  <c r="DB140" i="15"/>
  <c r="DB142" i="15"/>
  <c r="DB120" i="15"/>
  <c r="DB136" i="15"/>
  <c r="DB100" i="15"/>
  <c r="DB113" i="15"/>
  <c r="DB125" i="15"/>
  <c r="DB123" i="15"/>
  <c r="DB147" i="15"/>
  <c r="DB145" i="15"/>
  <c r="DC101" i="15"/>
  <c r="DC105" i="15"/>
  <c r="DC108" i="15"/>
  <c r="DC109" i="15"/>
  <c r="DC123" i="15"/>
  <c r="DC120" i="15"/>
  <c r="DC126" i="15"/>
  <c r="DC145" i="15"/>
  <c r="DC144" i="15"/>
  <c r="DC140" i="15"/>
  <c r="DC136" i="15"/>
  <c r="DC137" i="15"/>
  <c r="DC150" i="15"/>
  <c r="DC112" i="15"/>
  <c r="DC103" i="15"/>
  <c r="DC110" i="15"/>
  <c r="DC130" i="15"/>
  <c r="DC125" i="15"/>
  <c r="DC128" i="15"/>
  <c r="DC134" i="15"/>
  <c r="DC121" i="15"/>
  <c r="DC142" i="15"/>
  <c r="DC143" i="15"/>
  <c r="DC107" i="15"/>
  <c r="DC113" i="15"/>
  <c r="DC119" i="15"/>
  <c r="DC115" i="15"/>
  <c r="DC131" i="15"/>
  <c r="DC138" i="15"/>
  <c r="DC148" i="15"/>
  <c r="DC102" i="15"/>
  <c r="DC104" i="15"/>
  <c r="DC122" i="15"/>
  <c r="DC135" i="15"/>
  <c r="DC129" i="15"/>
  <c r="DC147" i="15"/>
  <c r="DC100" i="15"/>
  <c r="DC116" i="15"/>
  <c r="DC127" i="15"/>
  <c r="DC133" i="15"/>
  <c r="DC146" i="15"/>
  <c r="DC141" i="15"/>
  <c r="DC57" i="15"/>
  <c r="DC11" i="15" s="1"/>
  <c r="DC106" i="15"/>
  <c r="DC111" i="15"/>
  <c r="DC132" i="15"/>
  <c r="DC139" i="15"/>
  <c r="DC117" i="15"/>
  <c r="DC114" i="15"/>
  <c r="DC118" i="15"/>
  <c r="DC124" i="15"/>
  <c r="DC149" i="15"/>
  <c r="DD102" i="15"/>
  <c r="DD103" i="15"/>
  <c r="DD109" i="15"/>
  <c r="DD110" i="15"/>
  <c r="DD115" i="15"/>
  <c r="DD116" i="15"/>
  <c r="DD126" i="15"/>
  <c r="DD146" i="15"/>
  <c r="DD142" i="15"/>
  <c r="DD128" i="15"/>
  <c r="DD137" i="15"/>
  <c r="DD138" i="15"/>
  <c r="DD145" i="15"/>
  <c r="DD100" i="15"/>
  <c r="DD106" i="15"/>
  <c r="DD104" i="15"/>
  <c r="DD117" i="15"/>
  <c r="DD121" i="15"/>
  <c r="DD111" i="15"/>
  <c r="DD133" i="15"/>
  <c r="DD129" i="15"/>
  <c r="DD135" i="15"/>
  <c r="DD141" i="15"/>
  <c r="DD124" i="15"/>
  <c r="DD143" i="15"/>
  <c r="DD148" i="15"/>
  <c r="DD107" i="15"/>
  <c r="DD108" i="15"/>
  <c r="DD114" i="15"/>
  <c r="DD112" i="15"/>
  <c r="DD120" i="15"/>
  <c r="DD119" i="15"/>
  <c r="DD136" i="15"/>
  <c r="DD122" i="15"/>
  <c r="DD134" i="15"/>
  <c r="DD131" i="15"/>
  <c r="DD140" i="15"/>
  <c r="DD57" i="15"/>
  <c r="DD11" i="15" s="1"/>
  <c r="DD144" i="15"/>
  <c r="DD101" i="15"/>
  <c r="DD118" i="15"/>
  <c r="DD105" i="15"/>
  <c r="DD113" i="15"/>
  <c r="DD123" i="15"/>
  <c r="DD127" i="15"/>
  <c r="DD139" i="15"/>
  <c r="DD132" i="15"/>
  <c r="DD125" i="15"/>
  <c r="DD130" i="15"/>
  <c r="DD150" i="15"/>
  <c r="DD149" i="15"/>
  <c r="DD147" i="15"/>
  <c r="DE103" i="15"/>
  <c r="DE100" i="15"/>
  <c r="DE111" i="15"/>
  <c r="DE115" i="15"/>
  <c r="DE113" i="15"/>
  <c r="DE121" i="15"/>
  <c r="DE128" i="15"/>
  <c r="DE147" i="15"/>
  <c r="DE139" i="15"/>
  <c r="DE126" i="15"/>
  <c r="DE131" i="15"/>
  <c r="DE141" i="15"/>
  <c r="DE149" i="15"/>
  <c r="DE101" i="15"/>
  <c r="DE104" i="15"/>
  <c r="DE119" i="15"/>
  <c r="DE106" i="15"/>
  <c r="DE116" i="15"/>
  <c r="DE122" i="15"/>
  <c r="DE127" i="15"/>
  <c r="DE130" i="15"/>
  <c r="DE132" i="15"/>
  <c r="DE129" i="15"/>
  <c r="DE138" i="15"/>
  <c r="DE144" i="15"/>
  <c r="DE57" i="15"/>
  <c r="DE11" i="15" s="1"/>
  <c r="DE108" i="15"/>
  <c r="DE107" i="15"/>
  <c r="DE110" i="15"/>
  <c r="DE114" i="15"/>
  <c r="DE124" i="15"/>
  <c r="DE117" i="15"/>
  <c r="DE134" i="15"/>
  <c r="DE133" i="15"/>
  <c r="DE136" i="15"/>
  <c r="DE140" i="15"/>
  <c r="DE123" i="15"/>
  <c r="DE150" i="15"/>
  <c r="DE145" i="15"/>
  <c r="DE102" i="15"/>
  <c r="DE109" i="15"/>
  <c r="DE105" i="15"/>
  <c r="DE118" i="15"/>
  <c r="DE112" i="15"/>
  <c r="DE120" i="15"/>
  <c r="DE137" i="15"/>
  <c r="DE143" i="15"/>
  <c r="DE135" i="15"/>
  <c r="DE142" i="15"/>
  <c r="DE125" i="15"/>
  <c r="DE146" i="15"/>
  <c r="DE148" i="15"/>
  <c r="DF104" i="15"/>
  <c r="DF105" i="15"/>
  <c r="DF106" i="15"/>
  <c r="DF112" i="15"/>
  <c r="DF123" i="15"/>
  <c r="DF108" i="15"/>
  <c r="DF129" i="15"/>
  <c r="DF136" i="15"/>
  <c r="DF134" i="15"/>
  <c r="DF130" i="15"/>
  <c r="DF132" i="15"/>
  <c r="DF142" i="15"/>
  <c r="DF150" i="15"/>
  <c r="DF109" i="15"/>
  <c r="DF100" i="15"/>
  <c r="DF116" i="15"/>
  <c r="DF115" i="15"/>
  <c r="DF125" i="15"/>
  <c r="DF122" i="15"/>
  <c r="DF128" i="15"/>
  <c r="DF148" i="15"/>
  <c r="DF144" i="15"/>
  <c r="DF143" i="15"/>
  <c r="DF139" i="15"/>
  <c r="DF145" i="15"/>
  <c r="DF146" i="15"/>
  <c r="DF103" i="15"/>
  <c r="DF110" i="15"/>
  <c r="DF107" i="15"/>
  <c r="DF114" i="15"/>
  <c r="DF113" i="15"/>
  <c r="DF118" i="15"/>
  <c r="DF135" i="15"/>
  <c r="DF124" i="15"/>
  <c r="DF137" i="15"/>
  <c r="DF133" i="15"/>
  <c r="DF126" i="15"/>
  <c r="DF141" i="15"/>
  <c r="DF149" i="15"/>
  <c r="DF101" i="15"/>
  <c r="DF111" i="15"/>
  <c r="DF102" i="15"/>
  <c r="DF117" i="15"/>
  <c r="DF119" i="15"/>
  <c r="DF121" i="15"/>
  <c r="DF138" i="15"/>
  <c r="DF131" i="15"/>
  <c r="DF127" i="15"/>
  <c r="DF120" i="15"/>
  <c r="DF140" i="15"/>
  <c r="DF147" i="15"/>
  <c r="DF57" i="15"/>
  <c r="DF11" i="15" s="1"/>
  <c r="DG102" i="15"/>
  <c r="DG111" i="15"/>
  <c r="DG117" i="15"/>
  <c r="DG113" i="15"/>
  <c r="DG118" i="15"/>
  <c r="DG109" i="15"/>
  <c r="DG129" i="15"/>
  <c r="DG121" i="15"/>
  <c r="DG135" i="15"/>
  <c r="DG131" i="15"/>
  <c r="DG133" i="15"/>
  <c r="DG143" i="15"/>
  <c r="DG142" i="15"/>
  <c r="DG105" i="15"/>
  <c r="DG110" i="15"/>
  <c r="DG108" i="15"/>
  <c r="DG104" i="15"/>
  <c r="DG126" i="15"/>
  <c r="DG119" i="15"/>
  <c r="DG136" i="15"/>
  <c r="DG125" i="15"/>
  <c r="DG137" i="15"/>
  <c r="DG141" i="15"/>
  <c r="DG124" i="15"/>
  <c r="DG146" i="15"/>
  <c r="DG148" i="15"/>
  <c r="DG100" i="15"/>
  <c r="DG112" i="15"/>
  <c r="DG101" i="15"/>
  <c r="DG116" i="15"/>
  <c r="DG114" i="15"/>
  <c r="DG122" i="15"/>
  <c r="DG139" i="15"/>
  <c r="DG120" i="15"/>
  <c r="DG145" i="15"/>
  <c r="DG144" i="15"/>
  <c r="DG140" i="15"/>
  <c r="DG57" i="15"/>
  <c r="DG11" i="15" s="1"/>
  <c r="DG147" i="15"/>
  <c r="DG106" i="15"/>
  <c r="DG107" i="15"/>
  <c r="DG103" i="15"/>
  <c r="DG115" i="15"/>
  <c r="DG123" i="15"/>
  <c r="DG130" i="15"/>
  <c r="DG149" i="15"/>
  <c r="DG132" i="15"/>
  <c r="DG128" i="15"/>
  <c r="DG134" i="15"/>
  <c r="DG127" i="15"/>
  <c r="DG138" i="15"/>
  <c r="DG150" i="15"/>
  <c r="DH101" i="15"/>
  <c r="DH100" i="15"/>
  <c r="DH108" i="15"/>
  <c r="DH114" i="15"/>
  <c r="DH116" i="15"/>
  <c r="DH115" i="15"/>
  <c r="DH130" i="15"/>
  <c r="DH150" i="15"/>
  <c r="DH146" i="15"/>
  <c r="DH135" i="15"/>
  <c r="DH125" i="15"/>
  <c r="DH147" i="15"/>
  <c r="DH138" i="15"/>
  <c r="DH103" i="15"/>
  <c r="DH107" i="15"/>
  <c r="DH118" i="15"/>
  <c r="DH111" i="15"/>
  <c r="DH119" i="15"/>
  <c r="DH120" i="15"/>
  <c r="DH137" i="15"/>
  <c r="DH126" i="15"/>
  <c r="DH129" i="15"/>
  <c r="DH122" i="15"/>
  <c r="DH128" i="15"/>
  <c r="DH143" i="15"/>
  <c r="DH145" i="15"/>
  <c r="DH106" i="15"/>
  <c r="DH112" i="15"/>
  <c r="DH109" i="15"/>
  <c r="DH105" i="15"/>
  <c r="DH127" i="15"/>
  <c r="DH123" i="15"/>
  <c r="DH124" i="15"/>
  <c r="DH133" i="15"/>
  <c r="DH132" i="15"/>
  <c r="DH134" i="15"/>
  <c r="DH141" i="15"/>
  <c r="DH57" i="15"/>
  <c r="DH11" i="15" s="1"/>
  <c r="DH139" i="15"/>
  <c r="DH102" i="15"/>
  <c r="DH113" i="15"/>
  <c r="DH104" i="15"/>
  <c r="DH117" i="15"/>
  <c r="DH110" i="15"/>
  <c r="DH131" i="15"/>
  <c r="DH140" i="15"/>
  <c r="DH136" i="15"/>
  <c r="DH142" i="15"/>
  <c r="DH121" i="15"/>
  <c r="DH144" i="15"/>
  <c r="DH149" i="15"/>
  <c r="DH148" i="15"/>
  <c r="DI100" i="15"/>
  <c r="DI101" i="15"/>
  <c r="DI114" i="15"/>
  <c r="DI105" i="15"/>
  <c r="DI117" i="15"/>
  <c r="DI116" i="15"/>
  <c r="DI132" i="15"/>
  <c r="DI123" i="15"/>
  <c r="DI137" i="15"/>
  <c r="DI143" i="15"/>
  <c r="DI129" i="15"/>
  <c r="DI148" i="15"/>
  <c r="DI150" i="15"/>
  <c r="DI104" i="15"/>
  <c r="DI108" i="15"/>
  <c r="DI109" i="15"/>
  <c r="DI115" i="15"/>
  <c r="DI120" i="15"/>
  <c r="DI124" i="15"/>
  <c r="DI131" i="15"/>
  <c r="DI127" i="15"/>
  <c r="DI147" i="15"/>
  <c r="DI136" i="15"/>
  <c r="DI142" i="15"/>
  <c r="DI140" i="15"/>
  <c r="DI146" i="15"/>
  <c r="DI107" i="15"/>
  <c r="DI102" i="15"/>
  <c r="DI119" i="15"/>
  <c r="DI106" i="15"/>
  <c r="DI128" i="15"/>
  <c r="DI111" i="15"/>
  <c r="DI138" i="15"/>
  <c r="DI122" i="15"/>
  <c r="DI130" i="15"/>
  <c r="DI135" i="15"/>
  <c r="DI145" i="15"/>
  <c r="DI141" i="15"/>
  <c r="DI149" i="15"/>
  <c r="DI103" i="15"/>
  <c r="DI112" i="15"/>
  <c r="DI110" i="15"/>
  <c r="DI118" i="15"/>
  <c r="DI113" i="15"/>
  <c r="DI121" i="15"/>
  <c r="DI125" i="15"/>
  <c r="DI134" i="15"/>
  <c r="DI133" i="15"/>
  <c r="DI126" i="15"/>
  <c r="DI139" i="15"/>
  <c r="DI144" i="15"/>
  <c r="DI57" i="15"/>
  <c r="DI11" i="15" s="1"/>
  <c r="DJ101" i="15"/>
  <c r="DJ103" i="15"/>
  <c r="DJ106" i="15"/>
  <c r="DJ118" i="15"/>
  <c r="DJ112" i="15"/>
  <c r="DJ113" i="15"/>
  <c r="DJ133" i="15"/>
  <c r="DJ128" i="15"/>
  <c r="DJ136" i="15"/>
  <c r="DJ134" i="15"/>
  <c r="DJ127" i="15"/>
  <c r="DJ149" i="15"/>
  <c r="DJ140" i="15"/>
  <c r="DJ105" i="15"/>
  <c r="DJ115" i="15"/>
  <c r="DJ116" i="15"/>
  <c r="DJ109" i="15"/>
  <c r="DJ114" i="15"/>
  <c r="DJ119" i="15"/>
  <c r="DJ132" i="15"/>
  <c r="DJ135" i="15"/>
  <c r="DJ124" i="15"/>
  <c r="DJ144" i="15"/>
  <c r="DJ130" i="15"/>
  <c r="DJ57" i="15"/>
  <c r="DJ11" i="15" s="1"/>
  <c r="DJ141" i="15"/>
  <c r="DJ104" i="15"/>
  <c r="DJ110" i="15"/>
  <c r="DJ107" i="15"/>
  <c r="DJ121" i="15"/>
  <c r="DJ117" i="15"/>
  <c r="DJ122" i="15"/>
  <c r="DJ139" i="15"/>
  <c r="DJ138" i="15"/>
  <c r="DJ131" i="15"/>
  <c r="DJ137" i="15"/>
  <c r="DJ143" i="15"/>
  <c r="DJ142" i="15"/>
  <c r="DJ147" i="15"/>
  <c r="DJ100" i="15"/>
  <c r="DJ111" i="15"/>
  <c r="DJ102" i="15"/>
  <c r="DJ129" i="15"/>
  <c r="DJ125" i="15"/>
  <c r="DJ108" i="15"/>
  <c r="DJ126" i="15"/>
  <c r="DJ148" i="15"/>
  <c r="DJ120" i="15"/>
  <c r="DJ123" i="15"/>
  <c r="DJ146" i="15"/>
  <c r="DJ145" i="15"/>
  <c r="DJ150" i="15"/>
  <c r="DK106" i="15"/>
  <c r="DK100" i="15"/>
  <c r="DK112" i="15"/>
  <c r="DK103" i="15"/>
  <c r="DK122" i="15"/>
  <c r="DK126" i="15"/>
  <c r="DK120" i="15"/>
  <c r="DK140" i="15"/>
  <c r="DK136" i="15"/>
  <c r="DK132" i="15"/>
  <c r="DK128" i="15"/>
  <c r="DK144" i="15"/>
  <c r="DK146" i="15"/>
  <c r="DK102" i="15"/>
  <c r="DK104" i="15"/>
  <c r="DK107" i="15"/>
  <c r="DK113" i="15"/>
  <c r="DK130" i="15"/>
  <c r="DK110" i="15"/>
  <c r="DK134" i="15"/>
  <c r="DK121" i="15"/>
  <c r="DK139" i="15"/>
  <c r="DK135" i="15"/>
  <c r="DK131" i="15"/>
  <c r="DK147" i="15"/>
  <c r="DK57" i="15"/>
  <c r="DK11" i="15" s="1"/>
  <c r="DK101" i="15"/>
  <c r="DK111" i="15"/>
  <c r="DK117" i="15"/>
  <c r="DK116" i="15"/>
  <c r="DK115" i="15"/>
  <c r="DK114" i="15"/>
  <c r="DK133" i="15"/>
  <c r="DK127" i="15"/>
  <c r="DK149" i="15"/>
  <c r="DK145" i="15"/>
  <c r="DK138" i="15"/>
  <c r="DK150" i="15"/>
  <c r="DK142" i="15"/>
  <c r="DK105" i="15"/>
  <c r="DK109" i="15"/>
  <c r="DK108" i="15"/>
  <c r="DK119" i="15"/>
  <c r="DK118" i="15"/>
  <c r="DK123" i="15"/>
  <c r="DK124" i="15"/>
  <c r="DK129" i="15"/>
  <c r="DK125" i="15"/>
  <c r="DK137" i="15"/>
  <c r="DK141" i="15"/>
  <c r="DK143" i="15"/>
  <c r="DK148" i="15"/>
  <c r="DL100" i="15"/>
  <c r="DL102" i="15"/>
  <c r="DL113" i="15"/>
  <c r="DL104" i="15"/>
  <c r="DL120" i="15"/>
  <c r="DL119" i="15"/>
  <c r="DL131" i="15"/>
  <c r="DL128" i="15"/>
  <c r="DL137" i="15"/>
  <c r="DL150" i="15"/>
  <c r="DL136" i="15"/>
  <c r="DL142" i="15"/>
  <c r="DL147" i="15"/>
  <c r="DL107" i="15"/>
  <c r="DL101" i="15"/>
  <c r="DL108" i="15"/>
  <c r="DL110" i="15"/>
  <c r="DL111" i="15"/>
  <c r="DL121" i="15"/>
  <c r="DL135" i="15"/>
  <c r="DL138" i="15"/>
  <c r="DL124" i="15"/>
  <c r="DL126" i="15"/>
  <c r="DL146" i="15"/>
  <c r="DL145" i="15"/>
  <c r="DL143" i="15"/>
  <c r="DL103" i="15"/>
  <c r="DL105" i="15"/>
  <c r="DL118" i="15"/>
  <c r="DL114" i="15"/>
  <c r="DL123" i="15"/>
  <c r="DL127" i="15"/>
  <c r="DL134" i="15"/>
  <c r="DL141" i="15"/>
  <c r="DL140" i="15"/>
  <c r="DL133" i="15"/>
  <c r="DL129" i="15"/>
  <c r="DL148" i="15"/>
  <c r="DL57" i="15"/>
  <c r="DL11" i="15" s="1"/>
  <c r="DL106" i="15"/>
  <c r="DL112" i="15"/>
  <c r="DL109" i="15"/>
  <c r="DL117" i="15"/>
  <c r="DL116" i="15"/>
  <c r="DL115" i="15"/>
  <c r="DL125" i="15"/>
  <c r="DL130" i="15"/>
  <c r="DL139" i="15"/>
  <c r="DL122" i="15"/>
  <c r="DL132" i="15"/>
  <c r="DL144" i="15"/>
  <c r="DL149" i="15"/>
  <c r="DM101" i="15"/>
  <c r="DM107" i="15"/>
  <c r="DM111" i="15"/>
  <c r="DM110" i="15"/>
  <c r="DM118" i="15"/>
  <c r="DM113" i="15"/>
  <c r="DM122" i="15"/>
  <c r="DM123" i="15"/>
  <c r="DM138" i="15"/>
  <c r="DM137" i="15"/>
  <c r="DM130" i="15"/>
  <c r="DM146" i="15"/>
  <c r="DM148" i="15"/>
  <c r="DM108" i="15"/>
  <c r="DM103" i="15"/>
  <c r="DM114" i="15"/>
  <c r="DM105" i="15"/>
  <c r="DM117" i="15"/>
  <c r="DM112" i="15"/>
  <c r="DM136" i="15"/>
  <c r="DM129" i="15"/>
  <c r="DM125" i="15"/>
  <c r="DM147" i="15"/>
  <c r="DM133" i="15"/>
  <c r="DM149" i="15"/>
  <c r="DM141" i="15"/>
  <c r="DM100" i="15"/>
  <c r="DM106" i="15"/>
  <c r="DM109" i="15"/>
  <c r="DM115" i="15"/>
  <c r="DM120" i="15"/>
  <c r="DM116" i="15"/>
  <c r="DM135" i="15"/>
  <c r="DM142" i="15"/>
  <c r="DM127" i="15"/>
  <c r="DM139" i="15"/>
  <c r="DM140" i="15"/>
  <c r="DM57" i="15"/>
  <c r="DM11" i="15" s="1"/>
  <c r="DM144" i="15"/>
  <c r="DM104" i="15"/>
  <c r="DM102" i="15"/>
  <c r="DM119" i="15"/>
  <c r="DM121" i="15"/>
  <c r="DM128" i="15"/>
  <c r="DM124" i="15"/>
  <c r="DM126" i="15"/>
  <c r="DM131" i="15"/>
  <c r="DM134" i="15"/>
  <c r="DM132" i="15"/>
  <c r="DM143" i="15"/>
  <c r="DM145" i="15"/>
  <c r="DM150" i="15"/>
  <c r="DN101" i="15"/>
  <c r="DN107" i="15"/>
  <c r="DN115" i="15"/>
  <c r="DN112" i="15"/>
  <c r="DN122" i="15"/>
  <c r="DN129" i="15"/>
  <c r="DN113" i="15"/>
  <c r="DN130" i="15"/>
  <c r="DN132" i="15"/>
  <c r="DN135" i="15"/>
  <c r="DN131" i="15"/>
  <c r="DN150" i="15"/>
  <c r="DN142" i="15"/>
  <c r="DN105" i="15"/>
  <c r="DN102" i="15"/>
  <c r="DN110" i="15"/>
  <c r="DN116" i="15"/>
  <c r="DN118" i="15"/>
  <c r="DN114" i="15"/>
  <c r="DN137" i="15"/>
  <c r="DN140" i="15"/>
  <c r="DN139" i="15"/>
  <c r="DN138" i="15"/>
  <c r="DN134" i="15"/>
  <c r="DN146" i="15"/>
  <c r="DN145" i="15"/>
  <c r="DN104" i="15"/>
  <c r="DN108" i="15"/>
  <c r="DN111" i="15"/>
  <c r="DN109" i="15"/>
  <c r="DN121" i="15"/>
  <c r="DN117" i="15"/>
  <c r="DN120" i="15"/>
  <c r="DN143" i="15"/>
  <c r="DN126" i="15"/>
  <c r="DN148" i="15"/>
  <c r="DN144" i="15"/>
  <c r="DN149" i="15"/>
  <c r="DN136" i="15"/>
  <c r="DN103" i="15"/>
  <c r="DN100" i="15"/>
  <c r="DN106" i="15"/>
  <c r="DN119" i="15"/>
  <c r="DN123" i="15"/>
  <c r="DN125" i="15"/>
  <c r="DN127" i="15"/>
  <c r="DN133" i="15"/>
  <c r="DN128" i="15"/>
  <c r="DN124" i="15"/>
  <c r="DN147" i="15"/>
  <c r="DN57" i="15"/>
  <c r="DN11" i="15" s="1"/>
  <c r="DN141" i="15"/>
  <c r="DO106" i="15"/>
  <c r="DO108" i="15"/>
  <c r="DO110" i="15"/>
  <c r="DO101" i="15"/>
  <c r="DO123" i="15"/>
  <c r="DO115" i="15"/>
  <c r="DO128" i="15"/>
  <c r="DO134" i="15"/>
  <c r="DO127" i="15"/>
  <c r="DO136" i="15"/>
  <c r="DO132" i="15"/>
  <c r="DO137" i="15"/>
  <c r="DO143" i="15"/>
  <c r="DO102" i="15"/>
  <c r="DO103" i="15"/>
  <c r="DO116" i="15"/>
  <c r="DO107" i="15"/>
  <c r="DO119" i="15"/>
  <c r="DO118" i="15"/>
  <c r="DO131" i="15"/>
  <c r="DO133" i="15"/>
  <c r="DO121" i="15"/>
  <c r="DO139" i="15"/>
  <c r="DO135" i="15"/>
  <c r="DO147" i="15"/>
  <c r="DO146" i="15"/>
  <c r="DO105" i="15"/>
  <c r="DO113" i="15"/>
  <c r="DO111" i="15"/>
  <c r="DO117" i="15"/>
  <c r="DO122" i="15"/>
  <c r="DO126" i="15"/>
  <c r="DO141" i="15"/>
  <c r="DO124" i="15"/>
  <c r="DO129" i="15"/>
  <c r="DO149" i="15"/>
  <c r="DO145" i="15"/>
  <c r="DO150" i="15"/>
  <c r="DO57" i="15"/>
  <c r="DO11" i="15" s="1"/>
  <c r="DO100" i="15"/>
  <c r="DO104" i="15"/>
  <c r="DO112" i="15"/>
  <c r="DO109" i="15"/>
  <c r="DO130" i="15"/>
  <c r="DO114" i="15"/>
  <c r="DO144" i="15"/>
  <c r="DO140" i="15"/>
  <c r="DO120" i="15"/>
  <c r="DO125" i="15"/>
  <c r="DO148" i="15"/>
  <c r="DO138" i="15"/>
  <c r="DO142" i="15"/>
  <c r="DP100" i="15"/>
  <c r="DP106" i="15"/>
  <c r="DP114" i="15"/>
  <c r="DP108" i="15"/>
  <c r="DP120" i="15"/>
  <c r="DP119" i="15"/>
  <c r="DP121" i="15"/>
  <c r="DP131" i="15"/>
  <c r="DP128" i="15"/>
  <c r="DP124" i="15"/>
  <c r="DP133" i="15"/>
  <c r="DP139" i="15"/>
  <c r="DP147" i="15"/>
  <c r="DP101" i="15"/>
  <c r="DP102" i="15"/>
  <c r="DP105" i="15"/>
  <c r="DP118" i="15"/>
  <c r="DP123" i="15"/>
  <c r="DP127" i="15"/>
  <c r="DP129" i="15"/>
  <c r="DP135" i="15"/>
  <c r="DP141" i="15"/>
  <c r="DP140" i="15"/>
  <c r="DP136" i="15"/>
  <c r="DP145" i="15"/>
  <c r="DP138" i="15"/>
  <c r="DP107" i="15"/>
  <c r="DP109" i="15"/>
  <c r="DP112" i="15"/>
  <c r="DP111" i="15"/>
  <c r="DP110" i="15"/>
  <c r="DP115" i="15"/>
  <c r="DP132" i="15"/>
  <c r="DP134" i="15"/>
  <c r="DP130" i="15"/>
  <c r="DP150" i="15"/>
  <c r="DP146" i="15"/>
  <c r="DP148" i="15"/>
  <c r="DP143" i="15"/>
  <c r="DP103" i="15"/>
  <c r="DP104" i="15"/>
  <c r="DP113" i="15"/>
  <c r="DP117" i="15"/>
  <c r="DP116" i="15"/>
  <c r="DP122" i="15"/>
  <c r="DP142" i="15"/>
  <c r="DP125" i="15"/>
  <c r="DP137" i="15"/>
  <c r="DP126" i="15"/>
  <c r="DP149" i="15"/>
  <c r="DP144" i="15"/>
  <c r="DP57" i="15"/>
  <c r="DP11" i="15" s="1"/>
  <c r="DQ101" i="15"/>
  <c r="DQ104" i="15"/>
  <c r="DQ105" i="15"/>
  <c r="DQ114" i="15"/>
  <c r="DQ121" i="15"/>
  <c r="DQ128" i="15"/>
  <c r="DQ132" i="15"/>
  <c r="DQ136" i="15"/>
  <c r="DQ142" i="15"/>
  <c r="DQ138" i="15"/>
  <c r="DQ137" i="15"/>
  <c r="DQ149" i="15"/>
  <c r="DQ145" i="15"/>
  <c r="DQ108" i="15"/>
  <c r="DQ107" i="15"/>
  <c r="DQ115" i="15"/>
  <c r="DQ109" i="15"/>
  <c r="DQ118" i="15"/>
  <c r="DQ113" i="15"/>
  <c r="DQ130" i="15"/>
  <c r="DQ135" i="15"/>
  <c r="DQ123" i="15"/>
  <c r="DQ125" i="15"/>
  <c r="DQ147" i="15"/>
  <c r="DQ139" i="15"/>
  <c r="DQ148" i="15"/>
  <c r="DQ102" i="15"/>
  <c r="DQ103" i="15"/>
  <c r="DQ106" i="15"/>
  <c r="DQ119" i="15"/>
  <c r="DQ117" i="15"/>
  <c r="DQ116" i="15"/>
  <c r="DQ133" i="15"/>
  <c r="DQ126" i="15"/>
  <c r="DQ131" i="15"/>
  <c r="DQ127" i="15"/>
  <c r="DQ150" i="15"/>
  <c r="DQ57" i="15"/>
  <c r="DQ11" i="15" s="1"/>
  <c r="DQ141" i="15"/>
  <c r="DQ100" i="15"/>
  <c r="DQ110" i="15"/>
  <c r="DQ112" i="15"/>
  <c r="DQ111" i="15"/>
  <c r="DQ120" i="15"/>
  <c r="DQ124" i="15"/>
  <c r="DQ143" i="15"/>
  <c r="DQ129" i="15"/>
  <c r="DQ122" i="15"/>
  <c r="DQ134" i="15"/>
  <c r="DQ146" i="15"/>
  <c r="DQ140" i="15"/>
  <c r="DQ144" i="15"/>
  <c r="DR100" i="15"/>
  <c r="DR111" i="15"/>
  <c r="DR107" i="15"/>
  <c r="DR110" i="15"/>
  <c r="DR109" i="15"/>
  <c r="DR129" i="15"/>
  <c r="DR124" i="15"/>
  <c r="DR144" i="15"/>
  <c r="DR143" i="15"/>
  <c r="DR126" i="15"/>
  <c r="DR138" i="15"/>
  <c r="DR147" i="15"/>
  <c r="DR57" i="15"/>
  <c r="DR11" i="15" s="1"/>
  <c r="DR101" i="15"/>
  <c r="DR106" i="15"/>
  <c r="DR102" i="15"/>
  <c r="DR113" i="15"/>
  <c r="DR112" i="15"/>
  <c r="DR114" i="15"/>
  <c r="DR123" i="15"/>
  <c r="DR137" i="15"/>
  <c r="DR133" i="15"/>
  <c r="DR128" i="15"/>
  <c r="DR148" i="15"/>
  <c r="DR150" i="15"/>
  <c r="DR142" i="15"/>
  <c r="DR105" i="15"/>
  <c r="DR116" i="15"/>
  <c r="DR108" i="15"/>
  <c r="DR119" i="15"/>
  <c r="DR118" i="15"/>
  <c r="DR117" i="15"/>
  <c r="DR131" i="15"/>
  <c r="DR127" i="15"/>
  <c r="DR132" i="15"/>
  <c r="DR135" i="15"/>
  <c r="DR136" i="15"/>
  <c r="DR146" i="15"/>
  <c r="DR140" i="15"/>
  <c r="DR104" i="15"/>
  <c r="DR103" i="15"/>
  <c r="DR115" i="15"/>
  <c r="DR122" i="15"/>
  <c r="DR121" i="15"/>
  <c r="DR125" i="15"/>
  <c r="DR134" i="15"/>
  <c r="DR130" i="15"/>
  <c r="DR139" i="15"/>
  <c r="DR120" i="15"/>
  <c r="DR141" i="15"/>
  <c r="DR149" i="15"/>
  <c r="DR145" i="15"/>
  <c r="DS106" i="15"/>
  <c r="DS105" i="15"/>
  <c r="DS108" i="15"/>
  <c r="DS109" i="15"/>
  <c r="DS120" i="15"/>
  <c r="DS130" i="15"/>
  <c r="DS126" i="15"/>
  <c r="DS138" i="15"/>
  <c r="DS131" i="15"/>
  <c r="DS133" i="15"/>
  <c r="DS129" i="15"/>
  <c r="DS142" i="15"/>
  <c r="DS150" i="15"/>
  <c r="DS101" i="15"/>
  <c r="DS112" i="15"/>
  <c r="DS103" i="15"/>
  <c r="DS116" i="15"/>
  <c r="DS123" i="15"/>
  <c r="DS115" i="15"/>
  <c r="DS125" i="15"/>
  <c r="DS145" i="15"/>
  <c r="DS141" i="15"/>
  <c r="DS124" i="15"/>
  <c r="DS136" i="15"/>
  <c r="DS148" i="15"/>
  <c r="DS143" i="15"/>
  <c r="DS100" i="15"/>
  <c r="DS107" i="15"/>
  <c r="DS113" i="15"/>
  <c r="DS111" i="15"/>
  <c r="DS119" i="15"/>
  <c r="DS110" i="15"/>
  <c r="DS132" i="15"/>
  <c r="DS128" i="15"/>
  <c r="DS144" i="15"/>
  <c r="DS140" i="15"/>
  <c r="DS139" i="15"/>
  <c r="DS137" i="15"/>
  <c r="DS146" i="15"/>
  <c r="DS102" i="15"/>
  <c r="DS117" i="15"/>
  <c r="DS104" i="15"/>
  <c r="DS114" i="15"/>
  <c r="DS122" i="15"/>
  <c r="DS118" i="15"/>
  <c r="DS135" i="15"/>
  <c r="DS121" i="15"/>
  <c r="DS134" i="15"/>
  <c r="DS127" i="15"/>
  <c r="DS149" i="15"/>
  <c r="DS147" i="15"/>
  <c r="DS57" i="15"/>
  <c r="DS11" i="15" s="1"/>
  <c r="DT102" i="15"/>
  <c r="DT103" i="15"/>
  <c r="DT118" i="15"/>
  <c r="DT105" i="15"/>
  <c r="DT115" i="15"/>
  <c r="DT121" i="15"/>
  <c r="DT126" i="15"/>
  <c r="DT129" i="15"/>
  <c r="DT131" i="15"/>
  <c r="DT128" i="15"/>
  <c r="DT137" i="15"/>
  <c r="DT150" i="15"/>
  <c r="DT145" i="15"/>
  <c r="DT101" i="15"/>
  <c r="DT106" i="15"/>
  <c r="DT109" i="15"/>
  <c r="DT117" i="15"/>
  <c r="DT111" i="15"/>
  <c r="DT116" i="15"/>
  <c r="DT133" i="15"/>
  <c r="DT132" i="15"/>
  <c r="DT135" i="15"/>
  <c r="DT139" i="15"/>
  <c r="DT122" i="15"/>
  <c r="DT143" i="15"/>
  <c r="DT148" i="15"/>
  <c r="DT100" i="15"/>
  <c r="DT108" i="15"/>
  <c r="DT104" i="15"/>
  <c r="DT112" i="15"/>
  <c r="DT120" i="15"/>
  <c r="DT119" i="15"/>
  <c r="DT136" i="15"/>
  <c r="DT142" i="15"/>
  <c r="DT134" i="15"/>
  <c r="DT141" i="15"/>
  <c r="DT124" i="15"/>
  <c r="DT57" i="15"/>
  <c r="DT11" i="15" s="1"/>
  <c r="DT144" i="15"/>
  <c r="DT107" i="15"/>
  <c r="DT110" i="15"/>
  <c r="DT114" i="15"/>
  <c r="DT113" i="15"/>
  <c r="DT123" i="15"/>
  <c r="DT127" i="15"/>
  <c r="DT146" i="15"/>
  <c r="DT138" i="15"/>
  <c r="DT125" i="15"/>
  <c r="DT130" i="15"/>
  <c r="DT140" i="15"/>
  <c r="DT149" i="15"/>
  <c r="DT147" i="15"/>
  <c r="DU103" i="15"/>
  <c r="DU100" i="15"/>
  <c r="DU119" i="15"/>
  <c r="DU106" i="15"/>
  <c r="DU116" i="15"/>
  <c r="DU118" i="15"/>
  <c r="DU128" i="15"/>
  <c r="DU140" i="15"/>
  <c r="DU123" i="15"/>
  <c r="DU135" i="15"/>
  <c r="DU131" i="15"/>
  <c r="DU141" i="15"/>
  <c r="DU149" i="15"/>
  <c r="DU101" i="15"/>
  <c r="DU104" i="15"/>
  <c r="DU110" i="15"/>
  <c r="DU111" i="15"/>
  <c r="DU122" i="15"/>
  <c r="DU117" i="15"/>
  <c r="DU127" i="15"/>
  <c r="DU147" i="15"/>
  <c r="DU133" i="15"/>
  <c r="DU126" i="15"/>
  <c r="DU138" i="15"/>
  <c r="DU144" i="15"/>
  <c r="DU57" i="15"/>
  <c r="DU11" i="15" s="1"/>
  <c r="DU108" i="15"/>
  <c r="DU107" i="15"/>
  <c r="DU105" i="15"/>
  <c r="DU114" i="15"/>
  <c r="DU124" i="15"/>
  <c r="DU112" i="15"/>
  <c r="DU134" i="15"/>
  <c r="DU132" i="15"/>
  <c r="DU143" i="15"/>
  <c r="DU129" i="15"/>
  <c r="DU125" i="15"/>
  <c r="DU150" i="15"/>
  <c r="DU145" i="15"/>
  <c r="DU102" i="15"/>
  <c r="DU109" i="15"/>
  <c r="DU115" i="15"/>
  <c r="DU113" i="15"/>
  <c r="DU121" i="15"/>
  <c r="DU120" i="15"/>
  <c r="DU137" i="15"/>
  <c r="DU130" i="15"/>
  <c r="DU136" i="15"/>
  <c r="DU142" i="15"/>
  <c r="DU139" i="15"/>
  <c r="DU146" i="15"/>
  <c r="DU148" i="15"/>
  <c r="DV104" i="15"/>
  <c r="DV112" i="15"/>
  <c r="DV116" i="15"/>
  <c r="DV102" i="15"/>
  <c r="DV125" i="15"/>
  <c r="DV123" i="15"/>
  <c r="DV129" i="15"/>
  <c r="DV148" i="15"/>
  <c r="DV134" i="15"/>
  <c r="DV137" i="15"/>
  <c r="DV133" i="15"/>
  <c r="DV142" i="15"/>
  <c r="DV150" i="15"/>
  <c r="DV101" i="15"/>
  <c r="DV109" i="15"/>
  <c r="DV103" i="15"/>
  <c r="DV115" i="15"/>
  <c r="DV113" i="15"/>
  <c r="DV108" i="15"/>
  <c r="DV128" i="15"/>
  <c r="DV120" i="15"/>
  <c r="DV136" i="15"/>
  <c r="DV127" i="15"/>
  <c r="DV132" i="15"/>
  <c r="DV145" i="15"/>
  <c r="DV146" i="15"/>
  <c r="DV144" i="15"/>
  <c r="DV139" i="15"/>
  <c r="DV149" i="15"/>
  <c r="DV110" i="15"/>
  <c r="DV106" i="15"/>
  <c r="DV117" i="15"/>
  <c r="DV122" i="15"/>
  <c r="DV121" i="15"/>
  <c r="DV131" i="15"/>
  <c r="DV140" i="15"/>
  <c r="DV126" i="15"/>
  <c r="DV57" i="15"/>
  <c r="DV11" i="15" s="1"/>
  <c r="DV105" i="15"/>
  <c r="DV111" i="15"/>
  <c r="DV107" i="15"/>
  <c r="DV114" i="15"/>
  <c r="DV119" i="15"/>
  <c r="DV118" i="15"/>
  <c r="DV135" i="15"/>
  <c r="DV124" i="15"/>
  <c r="DV130" i="15"/>
  <c r="DV141" i="15"/>
  <c r="DV100" i="15"/>
  <c r="DV138" i="15"/>
  <c r="DV143" i="15"/>
  <c r="DV147" i="15"/>
  <c r="DW100" i="15"/>
  <c r="DW101" i="15"/>
  <c r="DW117" i="15"/>
  <c r="DW110" i="15"/>
  <c r="DW118" i="15"/>
  <c r="DW123" i="15"/>
  <c r="DW129" i="15"/>
  <c r="DW125" i="15"/>
  <c r="DW128" i="15"/>
  <c r="DW144" i="15"/>
  <c r="DW120" i="15"/>
  <c r="DW143" i="15"/>
  <c r="DW148" i="15"/>
  <c r="DW102" i="15"/>
  <c r="DW111" i="15"/>
  <c r="DW108" i="15"/>
  <c r="DW104" i="15"/>
  <c r="DW126" i="15"/>
  <c r="DW119" i="15"/>
  <c r="DW136" i="15"/>
  <c r="DW132" i="15"/>
  <c r="DW131" i="15"/>
  <c r="DW134" i="15"/>
  <c r="DW124" i="15"/>
  <c r="DW146" i="15"/>
  <c r="DW138" i="15"/>
  <c r="DW105" i="15"/>
  <c r="DW112" i="15"/>
  <c r="DW103" i="15"/>
  <c r="DW116" i="15"/>
  <c r="DW109" i="15"/>
  <c r="DW122" i="15"/>
  <c r="DW139" i="15"/>
  <c r="DW135" i="15"/>
  <c r="DW137" i="15"/>
  <c r="DW121" i="15"/>
  <c r="DW140" i="15"/>
  <c r="DW57" i="15"/>
  <c r="DW11" i="15" s="1"/>
  <c r="DW147" i="15"/>
  <c r="DW106" i="15"/>
  <c r="DW107" i="15"/>
  <c r="DW113" i="15"/>
  <c r="DW115" i="15"/>
  <c r="DW114" i="15"/>
  <c r="DW130" i="15"/>
  <c r="DW149" i="15"/>
  <c r="DW145" i="15"/>
  <c r="DW141" i="15"/>
  <c r="DW133" i="15"/>
  <c r="DW127" i="15"/>
  <c r="DW142" i="15"/>
  <c r="DW150" i="15"/>
  <c r="DX103" i="15"/>
  <c r="DX100" i="15"/>
  <c r="DX113" i="15"/>
  <c r="DX104" i="15"/>
  <c r="DX116" i="15"/>
  <c r="DX110" i="15"/>
  <c r="DX130" i="15"/>
  <c r="DX150" i="15"/>
  <c r="DX133" i="15"/>
  <c r="DX132" i="15"/>
  <c r="DX125" i="15"/>
  <c r="DX138" i="15"/>
  <c r="DX57" i="15"/>
  <c r="DX11" i="15" s="1"/>
  <c r="DX106" i="15"/>
  <c r="DX107" i="15"/>
  <c r="DX108" i="15"/>
  <c r="DX114" i="15"/>
  <c r="DX119" i="15"/>
  <c r="DX120" i="15"/>
  <c r="DX137" i="15"/>
  <c r="DX122" i="15"/>
  <c r="DX136" i="15"/>
  <c r="DX142" i="15"/>
  <c r="DX128" i="15"/>
  <c r="DX147" i="15"/>
  <c r="DX149" i="15"/>
  <c r="DX102" i="15"/>
  <c r="DX112" i="15"/>
  <c r="DX118" i="15"/>
  <c r="DX105" i="15"/>
  <c r="DX127" i="15"/>
  <c r="DX123" i="15"/>
  <c r="DX124" i="15"/>
  <c r="DX126" i="15"/>
  <c r="DX146" i="15"/>
  <c r="DX135" i="15"/>
  <c r="DX141" i="15"/>
  <c r="DX139" i="15"/>
  <c r="DX145" i="15"/>
  <c r="DX101" i="15"/>
  <c r="DX111" i="15"/>
  <c r="DX109" i="15"/>
  <c r="DX117" i="15"/>
  <c r="DX115" i="15"/>
  <c r="DX131" i="15"/>
  <c r="DX140" i="15"/>
  <c r="DX121" i="15"/>
  <c r="DX129" i="15"/>
  <c r="DX134" i="15"/>
  <c r="DX144" i="15"/>
  <c r="DX143" i="15"/>
  <c r="DX148" i="15"/>
  <c r="DY100" i="15"/>
  <c r="DY101" i="15"/>
  <c r="DY109" i="15"/>
  <c r="DY115" i="15"/>
  <c r="DY117" i="15"/>
  <c r="DY113" i="15"/>
  <c r="DY132" i="15"/>
  <c r="DY127" i="15"/>
  <c r="DY130" i="15"/>
  <c r="DY123" i="15"/>
  <c r="DY129" i="15"/>
  <c r="DY141" i="15"/>
  <c r="DY146" i="15"/>
  <c r="DY104" i="15"/>
  <c r="DY108" i="15"/>
  <c r="DY119" i="15"/>
  <c r="DY112" i="15"/>
  <c r="DY120" i="15"/>
  <c r="DY116" i="15"/>
  <c r="DY131" i="15"/>
  <c r="DY134" i="15"/>
  <c r="DY133" i="15"/>
  <c r="DY135" i="15"/>
  <c r="DY142" i="15"/>
  <c r="DY144" i="15"/>
  <c r="DY140" i="15"/>
  <c r="DY107" i="15"/>
  <c r="DY102" i="15"/>
  <c r="DY110" i="15"/>
  <c r="DY106" i="15"/>
  <c r="DY128" i="15"/>
  <c r="DY124" i="15"/>
  <c r="DY138" i="15"/>
  <c r="DY137" i="15"/>
  <c r="DY143" i="15"/>
  <c r="DY122" i="15"/>
  <c r="DY145" i="15"/>
  <c r="DY150" i="15"/>
  <c r="DY149" i="15"/>
  <c r="DY103" i="15"/>
  <c r="DY114" i="15"/>
  <c r="DY105" i="15"/>
  <c r="DY118" i="15"/>
  <c r="DY111" i="15"/>
  <c r="DY121" i="15"/>
  <c r="DY125" i="15"/>
  <c r="DY147" i="15"/>
  <c r="DY136" i="15"/>
  <c r="DY126" i="15"/>
  <c r="DY148" i="15"/>
  <c r="DY139" i="15"/>
  <c r="DY57" i="15"/>
  <c r="DY11" i="15" s="1"/>
  <c r="DZ101" i="15"/>
  <c r="DZ103" i="15"/>
  <c r="DZ106" i="15"/>
  <c r="DZ118" i="15"/>
  <c r="DZ114" i="15"/>
  <c r="DZ113" i="15"/>
  <c r="DZ133" i="15"/>
  <c r="DZ126" i="15"/>
  <c r="DZ138" i="15"/>
  <c r="DZ134" i="15"/>
  <c r="DZ127" i="15"/>
  <c r="DZ140" i="15"/>
  <c r="DZ145" i="15"/>
  <c r="DZ105" i="15"/>
  <c r="DZ115" i="15"/>
  <c r="DZ116" i="15"/>
  <c r="DZ108" i="15"/>
  <c r="DZ117" i="15"/>
  <c r="DZ119" i="15"/>
  <c r="DZ132" i="15"/>
  <c r="DZ128" i="15"/>
  <c r="DZ148" i="15"/>
  <c r="DZ144" i="15"/>
  <c r="DZ130" i="15"/>
  <c r="DZ149" i="15"/>
  <c r="DZ141" i="15"/>
  <c r="DZ100" i="15"/>
  <c r="DZ110" i="15"/>
  <c r="DZ107" i="15"/>
  <c r="DZ121" i="15"/>
  <c r="DZ125" i="15"/>
  <c r="DZ112" i="15"/>
  <c r="DZ139" i="15"/>
  <c r="DZ123" i="15"/>
  <c r="DZ124" i="15"/>
  <c r="DZ136" i="15"/>
  <c r="DZ143" i="15"/>
  <c r="DZ57" i="15"/>
  <c r="DZ11" i="15" s="1"/>
  <c r="DZ147" i="15"/>
  <c r="DZ104" i="15"/>
  <c r="DZ111" i="15"/>
  <c r="DZ102" i="15"/>
  <c r="DZ129" i="15"/>
  <c r="DZ109" i="15"/>
  <c r="DZ122" i="15"/>
  <c r="DZ120" i="15"/>
  <c r="DZ135" i="15"/>
  <c r="DZ131" i="15"/>
  <c r="DZ137" i="15"/>
  <c r="DZ146" i="15"/>
  <c r="DZ142" i="15"/>
  <c r="DZ150" i="15"/>
  <c r="EA106" i="15"/>
  <c r="EA100" i="15"/>
  <c r="EA107" i="15"/>
  <c r="EA109" i="15"/>
  <c r="EA122" i="15"/>
  <c r="EA118" i="15"/>
  <c r="EA123" i="15"/>
  <c r="EA140" i="15"/>
  <c r="EA139" i="15"/>
  <c r="EA132" i="15"/>
  <c r="EA128" i="15"/>
  <c r="EA144" i="15"/>
  <c r="EA146" i="15"/>
  <c r="EA102" i="15"/>
  <c r="EA104" i="15"/>
  <c r="EA117" i="15"/>
  <c r="EA113" i="15"/>
  <c r="EA130" i="15"/>
  <c r="EA120" i="15"/>
  <c r="EA134" i="15"/>
  <c r="EA127" i="15"/>
  <c r="EA138" i="15"/>
  <c r="EA121" i="15"/>
  <c r="EA131" i="15"/>
  <c r="EA147" i="15"/>
  <c r="EA57" i="15"/>
  <c r="EA11" i="15" s="1"/>
  <c r="EA105" i="15"/>
  <c r="EA111" i="15"/>
  <c r="EA108" i="15"/>
  <c r="EA119" i="15"/>
  <c r="EA116" i="15"/>
  <c r="EA126" i="15"/>
  <c r="EA133" i="15"/>
  <c r="EA129" i="15"/>
  <c r="EA149" i="15"/>
  <c r="EA135" i="15"/>
  <c r="EA141" i="15"/>
  <c r="EA150" i="15"/>
  <c r="EA142" i="15"/>
  <c r="EA101" i="15"/>
  <c r="EA112" i="15"/>
  <c r="EA103" i="15"/>
  <c r="EA110" i="15"/>
  <c r="EA115" i="15"/>
  <c r="EA114" i="15"/>
  <c r="EA124" i="15"/>
  <c r="EA136" i="15"/>
  <c r="EA125" i="15"/>
  <c r="EA145" i="15"/>
  <c r="EA137" i="15"/>
  <c r="EA143" i="15"/>
  <c r="EA148" i="15"/>
  <c r="EB100" i="15"/>
  <c r="EB101" i="15"/>
  <c r="EB110" i="15"/>
  <c r="EB109" i="15"/>
  <c r="EB123" i="15"/>
  <c r="EB117" i="15"/>
  <c r="EB135" i="15"/>
  <c r="EB128" i="15"/>
  <c r="EB124" i="15"/>
  <c r="EB133" i="15"/>
  <c r="EB131" i="15"/>
  <c r="EB142" i="15"/>
  <c r="EB147" i="15"/>
  <c r="EB107" i="15"/>
  <c r="EB102" i="15"/>
  <c r="EB113" i="15"/>
  <c r="EB104" i="15"/>
  <c r="EB116" i="15"/>
  <c r="EB111" i="15"/>
  <c r="EB134" i="15"/>
  <c r="EB141" i="15"/>
  <c r="EB140" i="15"/>
  <c r="EB136" i="15"/>
  <c r="EB129" i="15"/>
  <c r="EB145" i="15"/>
  <c r="EB143" i="15"/>
  <c r="EB103" i="15"/>
  <c r="EB105" i="15"/>
  <c r="EB108" i="15"/>
  <c r="EB114" i="15"/>
  <c r="EB119" i="15"/>
  <c r="EB115" i="15"/>
  <c r="EB125" i="15"/>
  <c r="EB130" i="15"/>
  <c r="EB150" i="15"/>
  <c r="EB146" i="15"/>
  <c r="EB132" i="15"/>
  <c r="EB148" i="15"/>
  <c r="EB57" i="15"/>
  <c r="EB11" i="15" s="1"/>
  <c r="EB106" i="15"/>
  <c r="EB112" i="15"/>
  <c r="EB118" i="15"/>
  <c r="EB120" i="15"/>
  <c r="EB127" i="15"/>
  <c r="EB121" i="15"/>
  <c r="EB122" i="15"/>
  <c r="EB137" i="15"/>
  <c r="EB126" i="15"/>
  <c r="EB138" i="15"/>
  <c r="EB139" i="15"/>
  <c r="EB144" i="15"/>
  <c r="EB149" i="15"/>
  <c r="EC101" i="15"/>
  <c r="EC107" i="15"/>
  <c r="EC102" i="15"/>
  <c r="EC105" i="15"/>
  <c r="EC121" i="15"/>
  <c r="EC122" i="15"/>
  <c r="EC124" i="15"/>
  <c r="EC129" i="15"/>
  <c r="EC138" i="15"/>
  <c r="EC127" i="15"/>
  <c r="EC147" i="15"/>
  <c r="EC146" i="15"/>
  <c r="EC148" i="15"/>
  <c r="EC108" i="15"/>
  <c r="EC103" i="15"/>
  <c r="EC109" i="15"/>
  <c r="EC111" i="15"/>
  <c r="EC112" i="15"/>
  <c r="EC128" i="15"/>
  <c r="EC136" i="15"/>
  <c r="EC139" i="15"/>
  <c r="EC125" i="15"/>
  <c r="EC134" i="15"/>
  <c r="EC130" i="15"/>
  <c r="EC149" i="15"/>
  <c r="EC141" i="15"/>
  <c r="EC100" i="15"/>
  <c r="EC106" i="15"/>
  <c r="EC119" i="15"/>
  <c r="EC115" i="15"/>
  <c r="EC117" i="15"/>
  <c r="EC113" i="15"/>
  <c r="EC135" i="15"/>
  <c r="EC142" i="15"/>
  <c r="EC140" i="15"/>
  <c r="EC123" i="15"/>
  <c r="EC133" i="15"/>
  <c r="EC57" i="15"/>
  <c r="EC11" i="15" s="1"/>
  <c r="EC144" i="15"/>
  <c r="EC104" i="15"/>
  <c r="EC114" i="15"/>
  <c r="EC110" i="15"/>
  <c r="EC118" i="15"/>
  <c r="EC120" i="15"/>
  <c r="EC116" i="15"/>
  <c r="EC126" i="15"/>
  <c r="EC131" i="15"/>
  <c r="EC132" i="15"/>
  <c r="EC137" i="15"/>
  <c r="EC143" i="15"/>
  <c r="EC145" i="15"/>
  <c r="EC150" i="15"/>
  <c r="ED101" i="15"/>
  <c r="ED102" i="15"/>
  <c r="ED115" i="15"/>
  <c r="ED100" i="15"/>
  <c r="ED122" i="15"/>
  <c r="ED114" i="15"/>
  <c r="ED123" i="15"/>
  <c r="ED143" i="15"/>
  <c r="ED126" i="15"/>
  <c r="ED138" i="15"/>
  <c r="ED131" i="15"/>
  <c r="ED136" i="15"/>
  <c r="ED57" i="15"/>
  <c r="ED11" i="15" s="1"/>
  <c r="ED105" i="15"/>
  <c r="ED108" i="15"/>
  <c r="ED110" i="15"/>
  <c r="ED106" i="15"/>
  <c r="ED118" i="15"/>
  <c r="ED117" i="15"/>
  <c r="ED137" i="15"/>
  <c r="ED133" i="15"/>
  <c r="ED120" i="15"/>
  <c r="ED148" i="15"/>
  <c r="ED134" i="15"/>
  <c r="ED150" i="15"/>
  <c r="ED142" i="15"/>
  <c r="ED104" i="15"/>
  <c r="ED112" i="15"/>
  <c r="ED103" i="15"/>
  <c r="ED116" i="15"/>
  <c r="ED121" i="15"/>
  <c r="ED125" i="15"/>
  <c r="ED127" i="15"/>
  <c r="ED132" i="15"/>
  <c r="ED128" i="15"/>
  <c r="ED140" i="15"/>
  <c r="ED144" i="15"/>
  <c r="ED146" i="15"/>
  <c r="ED145" i="15"/>
  <c r="ED107" i="15"/>
  <c r="ED109" i="15"/>
  <c r="ED111" i="15"/>
  <c r="ED119" i="15"/>
  <c r="ED129" i="15"/>
  <c r="ED113" i="15"/>
  <c r="ED130" i="15"/>
  <c r="ED139" i="15"/>
  <c r="ED135" i="15"/>
  <c r="ED124" i="15"/>
  <c r="ED147" i="15"/>
  <c r="ED149" i="15"/>
  <c r="ED141" i="15"/>
  <c r="EE100" i="15"/>
  <c r="EE108" i="15"/>
  <c r="EE101" i="15"/>
  <c r="EE107" i="15"/>
  <c r="EE119" i="15"/>
  <c r="EE115" i="15"/>
  <c r="EE121" i="15"/>
  <c r="EE141" i="15"/>
  <c r="EE124" i="15"/>
  <c r="EE136" i="15"/>
  <c r="EE132" i="15"/>
  <c r="EE138" i="15"/>
  <c r="EE143" i="15"/>
  <c r="EE106" i="15"/>
  <c r="EE103" i="15"/>
  <c r="EE116" i="15"/>
  <c r="EE117" i="15"/>
  <c r="EE122" i="15"/>
  <c r="EE118" i="15"/>
  <c r="EE120" i="15"/>
  <c r="EE144" i="15"/>
  <c r="EE140" i="15"/>
  <c r="EE139" i="15"/>
  <c r="EE135" i="15"/>
  <c r="EE137" i="15"/>
  <c r="EE146" i="15"/>
  <c r="EE102" i="15"/>
  <c r="EE113" i="15"/>
  <c r="EE111" i="15"/>
  <c r="EE110" i="15"/>
  <c r="EE130" i="15"/>
  <c r="EE126" i="15"/>
  <c r="EE128" i="15"/>
  <c r="EE134" i="15"/>
  <c r="EE127" i="15"/>
  <c r="EE149" i="15"/>
  <c r="EE145" i="15"/>
  <c r="EE147" i="15"/>
  <c r="EE57" i="15"/>
  <c r="EE11" i="15" s="1"/>
  <c r="EE105" i="15"/>
  <c r="EE104" i="15"/>
  <c r="EE112" i="15"/>
  <c r="EE123" i="15"/>
  <c r="EE109" i="15"/>
  <c r="EE114" i="15"/>
  <c r="EE131" i="15"/>
  <c r="EE133" i="15"/>
  <c r="EE129" i="15"/>
  <c r="EE125" i="15"/>
  <c r="EE148" i="15"/>
  <c r="EE150" i="15"/>
  <c r="EE142" i="15"/>
  <c r="EF100" i="15"/>
  <c r="EF101" i="15"/>
  <c r="EF114" i="15"/>
  <c r="EF113" i="15"/>
  <c r="EF120" i="15"/>
  <c r="EF127" i="15"/>
  <c r="EF129" i="15"/>
  <c r="EF134" i="15"/>
  <c r="EF122" i="15"/>
  <c r="EF124" i="15"/>
  <c r="EF133" i="15"/>
  <c r="EF145" i="15"/>
  <c r="EF144" i="15"/>
  <c r="EF107" i="15"/>
  <c r="EF102" i="15"/>
  <c r="EF105" i="15"/>
  <c r="EF108" i="15"/>
  <c r="EF123" i="15"/>
  <c r="EF117" i="15"/>
  <c r="EF132" i="15"/>
  <c r="EF125" i="15"/>
  <c r="EF130" i="15"/>
  <c r="EF140" i="15"/>
  <c r="EF136" i="15"/>
  <c r="EF148" i="15"/>
  <c r="EF147" i="15"/>
  <c r="EF103" i="15"/>
  <c r="EF109" i="15"/>
  <c r="EF111" i="15"/>
  <c r="EF118" i="15"/>
  <c r="EF116" i="15"/>
  <c r="EF115" i="15"/>
  <c r="EF142" i="15"/>
  <c r="EF128" i="15"/>
  <c r="EF121" i="15"/>
  <c r="EF150" i="15"/>
  <c r="EF146" i="15"/>
  <c r="EF138" i="15"/>
  <c r="EF143" i="15"/>
  <c r="EF106" i="15"/>
  <c r="EF104" i="15"/>
  <c r="EF112" i="15"/>
  <c r="EF110" i="15"/>
  <c r="EF119" i="15"/>
  <c r="EF131" i="15"/>
  <c r="EF135" i="15"/>
  <c r="EF141" i="15"/>
  <c r="EF137" i="15"/>
  <c r="EF126" i="15"/>
  <c r="EF149" i="15"/>
  <c r="EF139" i="15"/>
  <c r="EF57" i="15"/>
  <c r="EF11" i="15" s="1"/>
  <c r="EG101" i="15"/>
  <c r="EG104" i="15"/>
  <c r="EG105" i="15"/>
  <c r="EG109" i="15"/>
  <c r="EG121" i="15"/>
  <c r="EG128" i="15"/>
  <c r="EG123" i="15"/>
  <c r="EG143" i="15"/>
  <c r="EG129" i="15"/>
  <c r="EG125" i="15"/>
  <c r="EG137" i="15"/>
  <c r="EG146" i="15"/>
  <c r="EG148" i="15"/>
  <c r="EG108" i="15"/>
  <c r="EG107" i="15"/>
  <c r="EG115" i="15"/>
  <c r="EG119" i="15"/>
  <c r="EG111" i="15"/>
  <c r="EG113" i="15"/>
  <c r="EG122" i="15"/>
  <c r="EG136" i="15"/>
  <c r="EG142" i="15"/>
  <c r="EG132" i="15"/>
  <c r="EG147" i="15"/>
  <c r="EG149" i="15"/>
  <c r="EG141" i="15"/>
  <c r="EG102" i="15"/>
  <c r="EG103" i="15"/>
  <c r="EG106" i="15"/>
  <c r="EG112" i="15"/>
  <c r="EG117" i="15"/>
  <c r="EG116" i="15"/>
  <c r="EG130" i="15"/>
  <c r="EG135" i="15"/>
  <c r="EG131" i="15"/>
  <c r="EG127" i="15"/>
  <c r="EG150" i="15"/>
  <c r="EG57" i="15"/>
  <c r="EG11" i="15" s="1"/>
  <c r="EG139" i="15"/>
  <c r="EG100" i="15"/>
  <c r="EG110" i="15"/>
  <c r="EG114" i="15"/>
  <c r="EG118" i="15"/>
  <c r="EG120" i="15"/>
  <c r="EG124" i="15"/>
  <c r="EG133" i="15"/>
  <c r="EG126" i="15"/>
  <c r="EG138" i="15"/>
  <c r="EG134" i="15"/>
  <c r="EG140" i="15"/>
  <c r="EG145" i="15"/>
  <c r="EG144" i="15"/>
  <c r="EH101" i="15"/>
  <c r="EH103" i="15"/>
  <c r="EH107" i="15"/>
  <c r="EH108" i="15"/>
  <c r="EH122" i="15"/>
  <c r="EH114" i="15"/>
  <c r="EH124" i="15"/>
  <c r="EH137" i="15"/>
  <c r="EH143" i="15"/>
  <c r="EH139" i="15"/>
  <c r="EH138" i="15"/>
  <c r="EH150" i="15"/>
  <c r="EH149" i="15"/>
  <c r="EH105" i="15"/>
  <c r="EH111" i="15"/>
  <c r="EH102" i="15"/>
  <c r="EH112" i="15"/>
  <c r="EH118" i="15"/>
  <c r="EH109" i="15"/>
  <c r="EH131" i="15"/>
  <c r="EH127" i="15"/>
  <c r="EH133" i="15"/>
  <c r="EH126" i="15"/>
  <c r="EH148" i="15"/>
  <c r="EH136" i="15"/>
  <c r="EH57" i="15"/>
  <c r="EH11" i="15" s="1"/>
  <c r="EH100" i="15"/>
  <c r="EH106" i="15"/>
  <c r="EH115" i="15"/>
  <c r="EH113" i="15"/>
  <c r="EH121" i="15"/>
  <c r="EH117" i="15"/>
  <c r="EH134" i="15"/>
  <c r="EH120" i="15"/>
  <c r="EH132" i="15"/>
  <c r="EH128" i="15"/>
  <c r="EH141" i="15"/>
  <c r="EH140" i="15"/>
  <c r="EH142" i="15"/>
  <c r="EH104" i="15"/>
  <c r="EH116" i="15"/>
  <c r="EH110" i="15"/>
  <c r="EH119" i="15"/>
  <c r="EH129" i="15"/>
  <c r="EH125" i="15"/>
  <c r="EH144" i="15"/>
  <c r="EH130" i="15"/>
  <c r="EH123" i="15"/>
  <c r="EH135" i="15"/>
  <c r="EH147" i="15"/>
  <c r="EH146" i="15"/>
  <c r="EH145" i="15"/>
  <c r="EI101" i="15"/>
  <c r="EI105" i="15"/>
  <c r="EI117" i="15"/>
  <c r="EI104" i="15"/>
  <c r="EI123" i="15"/>
  <c r="EI120" i="15"/>
  <c r="EI126" i="15"/>
  <c r="EI145" i="15"/>
  <c r="EI144" i="15"/>
  <c r="EI140" i="15"/>
  <c r="EI136" i="15"/>
  <c r="EI142" i="15"/>
  <c r="EI150" i="15"/>
  <c r="EI100" i="15"/>
  <c r="EI112" i="15"/>
  <c r="EI108" i="15"/>
  <c r="EI116" i="15"/>
  <c r="EI110" i="15"/>
  <c r="EI130" i="15"/>
  <c r="EI125" i="15"/>
  <c r="EI128" i="15"/>
  <c r="EI134" i="15"/>
  <c r="EI127" i="15"/>
  <c r="EI121" i="15"/>
  <c r="EI148" i="15"/>
  <c r="EI143" i="15"/>
  <c r="EI106" i="15"/>
  <c r="EI107" i="15"/>
  <c r="EI103" i="15"/>
  <c r="EI111" i="15"/>
  <c r="EI119" i="15"/>
  <c r="EI115" i="15"/>
  <c r="EI132" i="15"/>
  <c r="EI131" i="15"/>
  <c r="EI133" i="15"/>
  <c r="EI138" i="15"/>
  <c r="EI139" i="15"/>
  <c r="EI147" i="15"/>
  <c r="EI146" i="15"/>
  <c r="EI102" i="15"/>
  <c r="EI109" i="15"/>
  <c r="EI113" i="15"/>
  <c r="EI114" i="15"/>
  <c r="EI122" i="15"/>
  <c r="EI118" i="15"/>
  <c r="EI135" i="15"/>
  <c r="EI141" i="15"/>
  <c r="EI124" i="15"/>
  <c r="EI129" i="15"/>
  <c r="EI149" i="15"/>
  <c r="EI137" i="15"/>
  <c r="EI57" i="15"/>
  <c r="EI11" i="15" s="1"/>
  <c r="EJ102" i="15"/>
  <c r="EJ103" i="15"/>
  <c r="EJ109" i="15"/>
  <c r="EJ110" i="15"/>
  <c r="EJ115" i="15"/>
  <c r="EJ116" i="15"/>
  <c r="EJ126" i="15"/>
  <c r="EJ146" i="15"/>
  <c r="EJ132" i="15"/>
  <c r="EJ125" i="15"/>
  <c r="EJ137" i="15"/>
  <c r="EJ138" i="15"/>
  <c r="EJ145" i="15"/>
  <c r="EJ100" i="15"/>
  <c r="EJ106" i="15"/>
  <c r="EJ104" i="15"/>
  <c r="EJ117" i="15"/>
  <c r="EJ121" i="15"/>
  <c r="EJ111" i="15"/>
  <c r="EJ133" i="15"/>
  <c r="EJ131" i="15"/>
  <c r="EJ142" i="15"/>
  <c r="EJ128" i="15"/>
  <c r="EJ124" i="15"/>
  <c r="EJ143" i="15"/>
  <c r="EJ148" i="15"/>
  <c r="EJ107" i="15"/>
  <c r="EJ108" i="15"/>
  <c r="EJ114" i="15"/>
  <c r="EJ112" i="15"/>
  <c r="EJ120" i="15"/>
  <c r="EJ119" i="15"/>
  <c r="EJ136" i="15"/>
  <c r="EJ129" i="15"/>
  <c r="EJ135" i="15"/>
  <c r="EJ141" i="15"/>
  <c r="EJ140" i="15"/>
  <c r="EJ57" i="15"/>
  <c r="EJ11" i="15" s="1"/>
  <c r="EJ144" i="15"/>
  <c r="EJ101" i="15"/>
  <c r="EJ118" i="15"/>
  <c r="EJ105" i="15"/>
  <c r="EJ113" i="15"/>
  <c r="EJ123" i="15"/>
  <c r="EJ127" i="15"/>
  <c r="EJ139" i="15"/>
  <c r="EJ122" i="15"/>
  <c r="EJ134" i="15"/>
  <c r="EJ130" i="15"/>
  <c r="EJ150" i="15"/>
  <c r="EJ149" i="15"/>
  <c r="EJ147" i="15"/>
  <c r="EK103" i="15"/>
  <c r="EK100" i="15"/>
  <c r="EK111" i="15"/>
  <c r="EK115" i="15"/>
  <c r="EK116" i="15"/>
  <c r="EK121" i="15"/>
  <c r="EK128" i="15"/>
  <c r="EK137" i="15"/>
  <c r="EK143" i="15"/>
  <c r="EK126" i="15"/>
  <c r="EK131" i="15"/>
  <c r="EK141" i="15"/>
  <c r="EK149" i="15"/>
  <c r="EK101" i="15"/>
  <c r="EK104" i="15"/>
  <c r="EK119" i="15"/>
  <c r="EK106" i="15"/>
  <c r="EK124" i="15"/>
  <c r="EK122" i="15"/>
  <c r="EK132" i="15"/>
  <c r="EK147" i="15"/>
  <c r="EK139" i="15"/>
  <c r="EK129" i="15"/>
  <c r="EK138" i="15"/>
  <c r="EK144" i="15"/>
  <c r="EK57" i="15"/>
  <c r="EK11" i="15" s="1"/>
  <c r="EK108" i="15"/>
  <c r="EK107" i="15"/>
  <c r="EK110" i="15"/>
  <c r="EK114" i="15"/>
  <c r="EK112" i="15"/>
  <c r="EK117" i="15"/>
  <c r="EK127" i="15"/>
  <c r="EK130" i="15"/>
  <c r="EK136" i="15"/>
  <c r="EK140" i="15"/>
  <c r="EK123" i="15"/>
  <c r="EK150" i="15"/>
  <c r="EK145" i="15"/>
  <c r="EK102" i="15"/>
  <c r="EK109" i="15"/>
  <c r="EK105" i="15"/>
  <c r="EK113" i="15"/>
  <c r="EK118" i="15"/>
  <c r="EK120" i="15"/>
  <c r="EK134" i="15"/>
  <c r="EK133" i="15"/>
  <c r="EK135" i="15"/>
  <c r="EK142" i="15"/>
  <c r="EK125" i="15"/>
  <c r="EK146" i="15"/>
  <c r="EK148" i="15"/>
  <c r="EL104" i="15"/>
  <c r="EL110" i="15"/>
  <c r="EL116" i="15"/>
  <c r="EL109" i="15"/>
  <c r="EL117" i="15"/>
  <c r="EL119" i="15"/>
  <c r="EL129" i="15"/>
  <c r="EL148" i="15"/>
  <c r="EL144" i="15"/>
  <c r="EL136" i="15"/>
  <c r="EL132" i="15"/>
  <c r="EL142" i="15"/>
  <c r="EL150" i="15"/>
  <c r="EL101" i="15"/>
  <c r="EL103" i="15"/>
  <c r="EL107" i="15"/>
  <c r="EL115" i="15"/>
  <c r="EL123" i="15"/>
  <c r="EL122" i="15"/>
  <c r="EL128" i="15"/>
  <c r="EL124" i="15"/>
  <c r="EL137" i="15"/>
  <c r="EL143" i="15"/>
  <c r="EL139" i="15"/>
  <c r="EL145" i="15"/>
  <c r="EL146" i="15"/>
  <c r="EL105" i="15"/>
  <c r="EL111" i="15"/>
  <c r="EL102" i="15"/>
  <c r="EL108" i="15"/>
  <c r="EL125" i="15"/>
  <c r="EL118" i="15"/>
  <c r="EL135" i="15"/>
  <c r="EL131" i="15"/>
  <c r="EL127" i="15"/>
  <c r="EL133" i="15"/>
  <c r="EL126" i="15"/>
  <c r="EL141" i="15"/>
  <c r="EL149" i="15"/>
  <c r="EL100" i="15"/>
  <c r="EL106" i="15"/>
  <c r="EL112" i="15"/>
  <c r="EL114" i="15"/>
  <c r="EL113" i="15"/>
  <c r="EL121" i="15"/>
  <c r="EL138" i="15"/>
  <c r="EL134" i="15"/>
  <c r="EL130" i="15"/>
  <c r="EL120" i="15"/>
  <c r="EL140" i="15"/>
  <c r="EL147" i="15"/>
  <c r="EL57" i="15"/>
  <c r="EL11" i="15" s="1"/>
  <c r="EM102" i="15"/>
  <c r="EM111" i="15"/>
  <c r="EM117" i="15"/>
  <c r="EM113" i="15"/>
  <c r="EM118" i="15"/>
  <c r="EM109" i="15"/>
  <c r="EM129" i="15"/>
  <c r="EM121" i="15"/>
  <c r="EM135" i="15"/>
  <c r="EM141" i="15"/>
  <c r="EM124" i="15"/>
  <c r="EM143" i="15"/>
  <c r="EM142" i="15"/>
  <c r="EM131" i="15"/>
  <c r="EM105" i="15"/>
  <c r="EM110" i="15"/>
  <c r="EM108" i="15"/>
  <c r="EM104" i="15"/>
  <c r="EM126" i="15"/>
  <c r="EM119" i="15"/>
  <c r="EM136" i="15"/>
  <c r="EM125" i="15"/>
  <c r="EM145" i="15"/>
  <c r="EM144" i="15"/>
  <c r="EM140" i="15"/>
  <c r="EM146" i="15"/>
  <c r="EM148" i="15"/>
  <c r="EM149" i="15"/>
  <c r="EM138" i="15"/>
  <c r="EM100" i="15"/>
  <c r="EM112" i="15"/>
  <c r="EM101" i="15"/>
  <c r="EM116" i="15"/>
  <c r="EM114" i="15"/>
  <c r="EM122" i="15"/>
  <c r="EM139" i="15"/>
  <c r="EM120" i="15"/>
  <c r="EM128" i="15"/>
  <c r="EM134" i="15"/>
  <c r="EM127" i="15"/>
  <c r="EM57" i="15"/>
  <c r="EM11" i="15" s="1"/>
  <c r="EM147" i="15"/>
  <c r="EM130" i="15"/>
  <c r="EM132" i="15"/>
  <c r="EM133" i="15"/>
  <c r="EM137" i="15"/>
  <c r="EM150" i="15"/>
  <c r="EM106" i="15"/>
  <c r="EM107" i="15"/>
  <c r="EM103" i="15"/>
  <c r="EM115" i="15"/>
  <c r="EM123" i="15"/>
  <c r="EN101" i="15"/>
  <c r="EN100" i="15"/>
  <c r="EN118" i="15"/>
  <c r="EN111" i="15"/>
  <c r="EN119" i="15"/>
  <c r="EN115" i="15"/>
  <c r="EN130" i="15"/>
  <c r="EN150" i="15"/>
  <c r="EN146" i="15"/>
  <c r="EN135" i="15"/>
  <c r="EN125" i="15"/>
  <c r="EN147" i="15"/>
  <c r="EN138" i="15"/>
  <c r="EN103" i="15"/>
  <c r="EN107" i="15"/>
  <c r="EN109" i="15"/>
  <c r="EN105" i="15"/>
  <c r="EN127" i="15"/>
  <c r="EN120" i="15"/>
  <c r="EN137" i="15"/>
  <c r="EN126" i="15"/>
  <c r="EN129" i="15"/>
  <c r="EN122" i="15"/>
  <c r="EN128" i="15"/>
  <c r="EN143" i="15"/>
  <c r="EN145" i="15"/>
  <c r="EN106" i="15"/>
  <c r="EN113" i="15"/>
  <c r="EN104" i="15"/>
  <c r="EN117" i="15"/>
  <c r="EN110" i="15"/>
  <c r="EN123" i="15"/>
  <c r="EN124" i="15"/>
  <c r="EN133" i="15"/>
  <c r="EN132" i="15"/>
  <c r="EN134" i="15"/>
  <c r="EN141" i="15"/>
  <c r="EN57" i="15"/>
  <c r="EN11" i="15" s="1"/>
  <c r="EN139" i="15"/>
  <c r="EN102" i="15"/>
  <c r="EN108" i="15"/>
  <c r="EN114" i="15"/>
  <c r="EN116" i="15"/>
  <c r="EN112" i="15"/>
  <c r="EN131" i="15"/>
  <c r="EN140" i="15"/>
  <c r="EN136" i="15"/>
  <c r="EN142" i="15"/>
  <c r="EN121" i="15"/>
  <c r="EN144" i="15"/>
  <c r="EN149" i="15"/>
  <c r="EN148" i="15"/>
  <c r="EO100" i="15"/>
  <c r="EO101" i="15"/>
  <c r="EO109" i="15"/>
  <c r="EO115" i="15"/>
  <c r="EO128" i="15"/>
  <c r="EO112" i="15"/>
  <c r="EO132" i="15"/>
  <c r="EO123" i="15"/>
  <c r="EO137" i="15"/>
  <c r="EO143" i="15"/>
  <c r="EO129" i="15"/>
  <c r="EO148" i="15"/>
  <c r="EO150" i="15"/>
  <c r="EO104" i="15"/>
  <c r="EO108" i="15"/>
  <c r="EO119" i="15"/>
  <c r="EO106" i="15"/>
  <c r="EO113" i="15"/>
  <c r="EO118" i="15"/>
  <c r="EO131" i="15"/>
  <c r="EO127" i="15"/>
  <c r="EO147" i="15"/>
  <c r="EO136" i="15"/>
  <c r="EO142" i="15"/>
  <c r="EO140" i="15"/>
  <c r="EO146" i="15"/>
  <c r="EO107" i="15"/>
  <c r="EO102" i="15"/>
  <c r="EO110" i="15"/>
  <c r="EO117" i="15"/>
  <c r="EO116" i="15"/>
  <c r="EO111" i="15"/>
  <c r="EO138" i="15"/>
  <c r="EO122" i="15"/>
  <c r="EO130" i="15"/>
  <c r="EO135" i="15"/>
  <c r="EO145" i="15"/>
  <c r="EO141" i="15"/>
  <c r="EO149" i="15"/>
  <c r="EO103" i="15"/>
  <c r="EO114" i="15"/>
  <c r="EO105" i="15"/>
  <c r="EO120" i="15"/>
  <c r="EO124" i="15"/>
  <c r="EO121" i="15"/>
  <c r="EO125" i="15"/>
  <c r="EO134" i="15"/>
  <c r="EO133" i="15"/>
  <c r="EO126" i="15"/>
  <c r="EO139" i="15"/>
  <c r="EO144" i="15"/>
  <c r="EO57" i="15"/>
  <c r="EO11" i="15" s="1"/>
  <c r="EP101" i="15"/>
  <c r="EP103" i="15"/>
  <c r="EP106" i="15"/>
  <c r="EP112" i="15"/>
  <c r="EP129" i="15"/>
  <c r="EP125" i="15"/>
  <c r="EP133" i="15"/>
  <c r="EP128" i="15"/>
  <c r="EP124" i="15"/>
  <c r="EP144" i="15"/>
  <c r="EP130" i="15"/>
  <c r="EP149" i="15"/>
  <c r="EP140" i="15"/>
  <c r="EP105" i="15"/>
  <c r="EP115" i="15"/>
  <c r="EP116" i="15"/>
  <c r="EP118" i="15"/>
  <c r="EP114" i="15"/>
  <c r="EP113" i="15"/>
  <c r="EP132" i="15"/>
  <c r="EP135" i="15"/>
  <c r="EP131" i="15"/>
  <c r="EP137" i="15"/>
  <c r="EP136" i="15"/>
  <c r="EP57" i="15"/>
  <c r="EP11" i="15" s="1"/>
  <c r="EP141" i="15"/>
  <c r="EP104" i="15"/>
  <c r="EP110" i="15"/>
  <c r="EP107" i="15"/>
  <c r="EP109" i="15"/>
  <c r="EP108" i="15"/>
  <c r="EP119" i="15"/>
  <c r="EP139" i="15"/>
  <c r="EP138" i="15"/>
  <c r="EP120" i="15"/>
  <c r="EP123" i="15"/>
  <c r="EP143" i="15"/>
  <c r="EP142" i="15"/>
  <c r="EP147" i="15"/>
  <c r="EP100" i="15"/>
  <c r="EP111" i="15"/>
  <c r="EP102" i="15"/>
  <c r="EP121" i="15"/>
  <c r="EP117" i="15"/>
  <c r="EP122" i="15"/>
  <c r="EP126" i="15"/>
  <c r="EP148" i="15"/>
  <c r="EP134" i="15"/>
  <c r="EP127" i="15"/>
  <c r="EP146" i="15"/>
  <c r="EP145" i="15"/>
  <c r="EP150" i="15"/>
  <c r="EQ106" i="15"/>
  <c r="EQ100" i="15"/>
  <c r="EQ112" i="15"/>
  <c r="EQ103" i="15"/>
  <c r="EQ130" i="15"/>
  <c r="EQ116" i="15"/>
  <c r="EQ120" i="15"/>
  <c r="EQ140" i="15"/>
  <c r="EQ129" i="15"/>
  <c r="EQ125" i="15"/>
  <c r="EQ128" i="15"/>
  <c r="EQ144" i="15"/>
  <c r="EQ146" i="15"/>
  <c r="EQ102" i="15"/>
  <c r="EQ104" i="15"/>
  <c r="EQ107" i="15"/>
  <c r="EQ113" i="15"/>
  <c r="EQ115" i="15"/>
  <c r="EQ110" i="15"/>
  <c r="EQ134" i="15"/>
  <c r="EQ121" i="15"/>
  <c r="EQ136" i="15"/>
  <c r="EQ132" i="15"/>
  <c r="EQ131" i="15"/>
  <c r="EQ147" i="15"/>
  <c r="EQ57" i="15"/>
  <c r="EQ11" i="15" s="1"/>
  <c r="EQ101" i="15"/>
  <c r="EQ111" i="15"/>
  <c r="EQ117" i="15"/>
  <c r="EQ119" i="15"/>
  <c r="EQ118" i="15"/>
  <c r="EQ114" i="15"/>
  <c r="EQ133" i="15"/>
  <c r="EQ127" i="15"/>
  <c r="EQ139" i="15"/>
  <c r="EQ135" i="15"/>
  <c r="EQ138" i="15"/>
  <c r="EQ150" i="15"/>
  <c r="EQ142" i="15"/>
  <c r="EQ105" i="15"/>
  <c r="EQ109" i="15"/>
  <c r="EQ108" i="15"/>
  <c r="EQ122" i="15"/>
  <c r="EQ126" i="15"/>
  <c r="EQ123" i="15"/>
  <c r="EQ124" i="15"/>
  <c r="EQ137" i="15"/>
  <c r="EQ149" i="15"/>
  <c r="EQ145" i="15"/>
  <c r="EQ141" i="15"/>
  <c r="EQ143" i="15"/>
  <c r="EQ148" i="15"/>
  <c r="ER100" i="15"/>
  <c r="ER102" i="15"/>
  <c r="ER108" i="15"/>
  <c r="ER110" i="15"/>
  <c r="ER111" i="15"/>
  <c r="ER121" i="15"/>
  <c r="ER135" i="15"/>
  <c r="ER138" i="15"/>
  <c r="ER124" i="15"/>
  <c r="ER131" i="15"/>
  <c r="ER136" i="15"/>
  <c r="ER142" i="15"/>
  <c r="ER147" i="15"/>
  <c r="ER107" i="15"/>
  <c r="ER101" i="15"/>
  <c r="ER118" i="15"/>
  <c r="ER114" i="15"/>
  <c r="ER123" i="15"/>
  <c r="ER127" i="15"/>
  <c r="ER134" i="15"/>
  <c r="ER141" i="15"/>
  <c r="ER140" i="15"/>
  <c r="ER126" i="15"/>
  <c r="ER146" i="15"/>
  <c r="ER145" i="15"/>
  <c r="ER143" i="15"/>
  <c r="ER103" i="15"/>
  <c r="ER105" i="15"/>
  <c r="ER109" i="15"/>
  <c r="ER117" i="15"/>
  <c r="ER116" i="15"/>
  <c r="ER112" i="15"/>
  <c r="ER125" i="15"/>
  <c r="ER130" i="15"/>
  <c r="ER139" i="15"/>
  <c r="ER133" i="15"/>
  <c r="ER129" i="15"/>
  <c r="ER148" i="15"/>
  <c r="ER57" i="15"/>
  <c r="ER11" i="15" s="1"/>
  <c r="ER106" i="15"/>
  <c r="ER113" i="15"/>
  <c r="ER104" i="15"/>
  <c r="ER120" i="15"/>
  <c r="ER119" i="15"/>
  <c r="ER115" i="15"/>
  <c r="ER128" i="15"/>
  <c r="ER137" i="15"/>
  <c r="ER150" i="15"/>
  <c r="ER122" i="15"/>
  <c r="ER132" i="15"/>
  <c r="ER144" i="15"/>
  <c r="ER149" i="15"/>
  <c r="ES101" i="15"/>
  <c r="ES107" i="15"/>
  <c r="ES114" i="15"/>
  <c r="ES110" i="15"/>
  <c r="ES121" i="15"/>
  <c r="ES113" i="15"/>
  <c r="ES122" i="15"/>
  <c r="ES123" i="15"/>
  <c r="ES131" i="15"/>
  <c r="ES134" i="15"/>
  <c r="ES130" i="15"/>
  <c r="ES146" i="15"/>
  <c r="ES148" i="15"/>
  <c r="ES108" i="15"/>
  <c r="ES103" i="15"/>
  <c r="ES109" i="15"/>
  <c r="ES105" i="15"/>
  <c r="ES117" i="15"/>
  <c r="ES116" i="15"/>
  <c r="ES136" i="15"/>
  <c r="ES129" i="15"/>
  <c r="ES138" i="15"/>
  <c r="ES137" i="15"/>
  <c r="ES133" i="15"/>
  <c r="ES149" i="15"/>
  <c r="ES141" i="15"/>
  <c r="ES100" i="15"/>
  <c r="ES106" i="15"/>
  <c r="ES119" i="15"/>
  <c r="ES115" i="15"/>
  <c r="ES120" i="15"/>
  <c r="ES124" i="15"/>
  <c r="ES135" i="15"/>
  <c r="ES142" i="15"/>
  <c r="ES125" i="15"/>
  <c r="ES147" i="15"/>
  <c r="ES140" i="15"/>
  <c r="ES57" i="15"/>
  <c r="ES11" i="15" s="1"/>
  <c r="ES144" i="15"/>
  <c r="ES104" i="15"/>
  <c r="ES111" i="15"/>
  <c r="ES102" i="15"/>
  <c r="ES118" i="15"/>
  <c r="ES128" i="15"/>
  <c r="ES112" i="15"/>
  <c r="ES126" i="15"/>
  <c r="ES132" i="15"/>
  <c r="ES127" i="15"/>
  <c r="ES139" i="15"/>
  <c r="ES143" i="15"/>
  <c r="ES145" i="15"/>
  <c r="ES150" i="15"/>
  <c r="ET101" i="15"/>
  <c r="ET102" i="15"/>
  <c r="ET103" i="15"/>
  <c r="ET106" i="15"/>
  <c r="ET122" i="15"/>
  <c r="ET129" i="15"/>
  <c r="ET113" i="15"/>
  <c r="ET130" i="15"/>
  <c r="ET132" i="15"/>
  <c r="ET135" i="15"/>
  <c r="ET131" i="15"/>
  <c r="ET150" i="15"/>
  <c r="ET57" i="15"/>
  <c r="ET11" i="15" s="1"/>
  <c r="ET105" i="15"/>
  <c r="ET112" i="15"/>
  <c r="ET110" i="15"/>
  <c r="ET116" i="15"/>
  <c r="ET118" i="15"/>
  <c r="ET114" i="15"/>
  <c r="ET137" i="15"/>
  <c r="ET140" i="15"/>
  <c r="ET139" i="15"/>
  <c r="ET138" i="15"/>
  <c r="ET134" i="15"/>
  <c r="ET136" i="15"/>
  <c r="ET142" i="15"/>
  <c r="ET104" i="15"/>
  <c r="ET100" i="15"/>
  <c r="ET108" i="15"/>
  <c r="ET109" i="15"/>
  <c r="ET121" i="15"/>
  <c r="ET117" i="15"/>
  <c r="ET120" i="15"/>
  <c r="ET143" i="15"/>
  <c r="ET126" i="15"/>
  <c r="ET148" i="15"/>
  <c r="ET144" i="15"/>
  <c r="ET146" i="15"/>
  <c r="ET145" i="15"/>
  <c r="ET107" i="15"/>
  <c r="ET115" i="15"/>
  <c r="ET111" i="15"/>
  <c r="ET119" i="15"/>
  <c r="ET123" i="15"/>
  <c r="ET125" i="15"/>
  <c r="ET127" i="15"/>
  <c r="ET133" i="15"/>
  <c r="ET128" i="15"/>
  <c r="ET124" i="15"/>
  <c r="ET147" i="15"/>
  <c r="ET149" i="15"/>
  <c r="ET141" i="15"/>
  <c r="F12" i="15"/>
  <c r="E57" i="15"/>
  <c r="F12" i="10"/>
  <c r="E57" i="10"/>
  <c r="BL10" i="2"/>
  <c r="BK10" i="2"/>
  <c r="AW7" i="2" s="1"/>
  <c r="BK10" i="5"/>
  <c r="AW9" i="5" s="1"/>
  <c r="AR19" i="2"/>
  <c r="AR24" i="5"/>
  <c r="D63" i="2"/>
  <c r="H63" i="2" l="1"/>
  <c r="I63" i="2"/>
  <c r="M63" i="2"/>
  <c r="Q63" i="2"/>
  <c r="U63" i="2"/>
  <c r="J63" i="2"/>
  <c r="N63" i="2"/>
  <c r="R63" i="2"/>
  <c r="K63" i="2"/>
  <c r="O63" i="2"/>
  <c r="S63" i="2"/>
  <c r="P63" i="2"/>
  <c r="T63" i="2"/>
  <c r="L63" i="2"/>
  <c r="D1722" i="12"/>
  <c r="F1721" i="12"/>
  <c r="E1721" i="12"/>
  <c r="BF10" i="2"/>
  <c r="EQ19" i="5"/>
  <c r="BF24" i="5"/>
  <c r="BC24" i="5"/>
  <c r="BB19" i="2"/>
  <c r="DS19" i="2"/>
  <c r="I58" i="10"/>
  <c r="I12" i="10" s="1"/>
  <c r="Y58" i="10"/>
  <c r="Y12" i="10" s="1"/>
  <c r="AO58" i="10"/>
  <c r="AO12" i="10" s="1"/>
  <c r="BE58" i="10"/>
  <c r="BE12" i="10" s="1"/>
  <c r="BU58" i="10"/>
  <c r="BU12" i="10" s="1"/>
  <c r="CK58" i="10"/>
  <c r="CK12" i="10" s="1"/>
  <c r="DA58" i="10"/>
  <c r="DA12" i="10" s="1"/>
  <c r="DQ58" i="10"/>
  <c r="DQ12" i="10" s="1"/>
  <c r="EG58" i="10"/>
  <c r="EG12" i="10" s="1"/>
  <c r="R58" i="10"/>
  <c r="R12" i="10" s="1"/>
  <c r="AH58" i="10"/>
  <c r="AH12" i="10" s="1"/>
  <c r="AX58" i="10"/>
  <c r="AX12" i="10" s="1"/>
  <c r="BN58" i="10"/>
  <c r="BN12" i="10" s="1"/>
  <c r="CD58" i="10"/>
  <c r="CD12" i="10" s="1"/>
  <c r="CT58" i="10"/>
  <c r="CT12" i="10" s="1"/>
  <c r="DJ58" i="10"/>
  <c r="DJ12" i="10" s="1"/>
  <c r="DZ58" i="10"/>
  <c r="DZ12" i="10" s="1"/>
  <c r="EP58" i="10"/>
  <c r="EP12" i="10" s="1"/>
  <c r="O58" i="10"/>
  <c r="O12" i="10" s="1"/>
  <c r="AF58" i="10"/>
  <c r="AF12" i="10" s="1"/>
  <c r="BL58" i="10"/>
  <c r="BL12" i="10" s="1"/>
  <c r="CR58" i="10"/>
  <c r="CR12" i="10" s="1"/>
  <c r="DX58" i="10"/>
  <c r="DX12" i="10" s="1"/>
  <c r="AA58" i="10"/>
  <c r="AA12" i="10" s="1"/>
  <c r="BG58" i="10"/>
  <c r="BG12" i="10" s="1"/>
  <c r="CM58" i="10"/>
  <c r="CM12" i="10" s="1"/>
  <c r="DS58" i="10"/>
  <c r="DS12" i="10" s="1"/>
  <c r="T58" i="10"/>
  <c r="T12" i="10" s="1"/>
  <c r="AZ58" i="10"/>
  <c r="AZ12" i="10" s="1"/>
  <c r="CF58" i="10"/>
  <c r="CF12" i="10" s="1"/>
  <c r="DL58" i="10"/>
  <c r="DL12" i="10" s="1"/>
  <c r="M58" i="10"/>
  <c r="M12" i="10" s="1"/>
  <c r="AC58" i="10"/>
  <c r="AC12" i="10" s="1"/>
  <c r="AS58" i="10"/>
  <c r="AS12" i="10" s="1"/>
  <c r="BI58" i="10"/>
  <c r="BI12" i="10" s="1"/>
  <c r="BY58" i="10"/>
  <c r="BY12" i="10" s="1"/>
  <c r="CO58" i="10"/>
  <c r="CO12" i="10" s="1"/>
  <c r="DE58" i="10"/>
  <c r="DE12" i="10" s="1"/>
  <c r="DU58" i="10"/>
  <c r="DU12" i="10" s="1"/>
  <c r="EK58" i="10"/>
  <c r="EK12" i="10" s="1"/>
  <c r="V58" i="10"/>
  <c r="V12" i="10" s="1"/>
  <c r="AL58" i="10"/>
  <c r="AL12" i="10" s="1"/>
  <c r="BB58" i="10"/>
  <c r="BB12" i="10" s="1"/>
  <c r="BR58" i="10"/>
  <c r="BR12" i="10" s="1"/>
  <c r="CH58" i="10"/>
  <c r="CH12" i="10" s="1"/>
  <c r="CX58" i="10"/>
  <c r="CX12" i="10" s="1"/>
  <c r="DN58" i="10"/>
  <c r="DN12" i="10" s="1"/>
  <c r="ED58" i="10"/>
  <c r="ED12" i="10" s="1"/>
  <c r="ET58" i="10"/>
  <c r="ET12" i="10" s="1"/>
  <c r="S58" i="10"/>
  <c r="S12" i="10" s="1"/>
  <c r="AN58" i="10"/>
  <c r="AN12" i="10" s="1"/>
  <c r="BT58" i="10"/>
  <c r="BT12" i="10" s="1"/>
  <c r="CZ58" i="10"/>
  <c r="CZ12" i="10" s="1"/>
  <c r="EF58" i="10"/>
  <c r="EF12" i="10" s="1"/>
  <c r="AI58" i="10"/>
  <c r="AI12" i="10" s="1"/>
  <c r="BO58" i="10"/>
  <c r="BO12" i="10" s="1"/>
  <c r="CU58" i="10"/>
  <c r="CU12" i="10" s="1"/>
  <c r="EA58" i="10"/>
  <c r="EA12" i="10" s="1"/>
  <c r="AB58" i="10"/>
  <c r="AB12" i="10" s="1"/>
  <c r="BH58" i="10"/>
  <c r="BH12" i="10" s="1"/>
  <c r="CN58" i="10"/>
  <c r="CN12" i="10" s="1"/>
  <c r="DT58" i="10"/>
  <c r="DT12" i="10" s="1"/>
  <c r="Q58" i="10"/>
  <c r="Q12" i="10" s="1"/>
  <c r="AG58" i="10"/>
  <c r="AG12" i="10" s="1"/>
  <c r="AW58" i="10"/>
  <c r="AW12" i="10" s="1"/>
  <c r="BM58" i="10"/>
  <c r="BM12" i="10" s="1"/>
  <c r="CC58" i="10"/>
  <c r="CC12" i="10" s="1"/>
  <c r="CS58" i="10"/>
  <c r="CS12" i="10" s="1"/>
  <c r="DI58" i="10"/>
  <c r="DI12" i="10" s="1"/>
  <c r="DY58" i="10"/>
  <c r="DY12" i="10" s="1"/>
  <c r="EO58" i="10"/>
  <c r="EO12" i="10" s="1"/>
  <c r="J58" i="10"/>
  <c r="J12" i="10" s="1"/>
  <c r="Z58" i="10"/>
  <c r="Z12" i="10" s="1"/>
  <c r="AP58" i="10"/>
  <c r="AP12" i="10" s="1"/>
  <c r="BF58" i="10"/>
  <c r="BF12" i="10" s="1"/>
  <c r="BV58" i="10"/>
  <c r="BV12" i="10" s="1"/>
  <c r="CL58" i="10"/>
  <c r="CL12" i="10" s="1"/>
  <c r="DB58" i="10"/>
  <c r="DB12" i="10" s="1"/>
  <c r="DR58" i="10"/>
  <c r="DR12" i="10" s="1"/>
  <c r="EH58" i="10"/>
  <c r="EH12" i="10" s="1"/>
  <c r="L58" i="10"/>
  <c r="L12" i="10" s="1"/>
  <c r="AV58" i="10"/>
  <c r="AV12" i="10" s="1"/>
  <c r="CB58" i="10"/>
  <c r="CB12" i="10" s="1"/>
  <c r="DH58" i="10"/>
  <c r="DH12" i="10" s="1"/>
  <c r="EN58" i="10"/>
  <c r="EN12" i="10" s="1"/>
  <c r="AQ58" i="10"/>
  <c r="AQ12" i="10" s="1"/>
  <c r="BW58" i="10"/>
  <c r="BW12" i="10" s="1"/>
  <c r="DC58" i="10"/>
  <c r="DC12" i="10" s="1"/>
  <c r="EI58" i="10"/>
  <c r="EI12" i="10" s="1"/>
  <c r="AJ58" i="10"/>
  <c r="AJ12" i="10" s="1"/>
  <c r="BP58" i="10"/>
  <c r="BP12" i="10" s="1"/>
  <c r="CV58" i="10"/>
  <c r="CV12" i="10" s="1"/>
  <c r="EB58" i="10"/>
  <c r="EB12" i="10" s="1"/>
  <c r="U58" i="10"/>
  <c r="U12" i="10" s="1"/>
  <c r="CG58" i="10"/>
  <c r="CG12" i="10" s="1"/>
  <c r="ES58" i="10"/>
  <c r="ES12" i="10" s="1"/>
  <c r="AD58" i="10"/>
  <c r="AD12" i="10" s="1"/>
  <c r="CP58" i="10"/>
  <c r="CP12" i="10" s="1"/>
  <c r="K58" i="10"/>
  <c r="K12" i="10" s="1"/>
  <c r="DP58" i="10"/>
  <c r="DP12" i="10" s="1"/>
  <c r="CE58" i="10"/>
  <c r="CE12" i="10" s="1"/>
  <c r="EJ58" i="10"/>
  <c r="EJ12" i="10" s="1"/>
  <c r="W58" i="10"/>
  <c r="W12" i="10" s="1"/>
  <c r="CQ58" i="10"/>
  <c r="CQ12" i="10" s="1"/>
  <c r="AM58" i="10"/>
  <c r="AM12" i="10" s="1"/>
  <c r="AU58" i="10"/>
  <c r="AU12" i="10" s="1"/>
  <c r="AK58" i="10"/>
  <c r="AK12" i="10" s="1"/>
  <c r="CW58" i="10"/>
  <c r="CW12" i="10" s="1"/>
  <c r="AT58" i="10"/>
  <c r="AT12" i="10" s="1"/>
  <c r="DF58" i="10"/>
  <c r="DF12" i="10" s="1"/>
  <c r="X58" i="10"/>
  <c r="X12" i="10" s="1"/>
  <c r="DK58" i="10"/>
  <c r="DK12" i="10" s="1"/>
  <c r="AR58" i="10"/>
  <c r="AR12" i="10" s="1"/>
  <c r="ER58" i="10"/>
  <c r="ER12" i="10" s="1"/>
  <c r="BC58" i="10"/>
  <c r="BC12" i="10" s="1"/>
  <c r="DW58" i="10"/>
  <c r="DW12" i="10" s="1"/>
  <c r="CY58" i="10"/>
  <c r="CY12" i="10" s="1"/>
  <c r="DG58" i="10"/>
  <c r="DG12" i="10" s="1"/>
  <c r="BA58" i="10"/>
  <c r="BA12" i="10" s="1"/>
  <c r="BJ58" i="10"/>
  <c r="BJ12" i="10" s="1"/>
  <c r="P58" i="10"/>
  <c r="P12" i="10" s="1"/>
  <c r="BX58" i="10"/>
  <c r="BX12" i="10" s="1"/>
  <c r="BQ58" i="10"/>
  <c r="BQ12" i="10" s="1"/>
  <c r="BZ58" i="10"/>
  <c r="BZ12" i="10" s="1"/>
  <c r="AY58" i="10"/>
  <c r="AY12" i="10" s="1"/>
  <c r="DD58" i="10"/>
  <c r="DD12" i="10" s="1"/>
  <c r="BS58" i="10"/>
  <c r="BS12" i="10" s="1"/>
  <c r="DM58" i="10"/>
  <c r="DM12" i="10" s="1"/>
  <c r="DV58" i="10"/>
  <c r="DV12" i="10" s="1"/>
  <c r="BD58" i="10"/>
  <c r="BD12" i="10" s="1"/>
  <c r="EQ58" i="10"/>
  <c r="EQ12" i="10" s="1"/>
  <c r="CI58" i="10"/>
  <c r="CI12" i="10" s="1"/>
  <c r="AE58" i="10"/>
  <c r="AE12" i="10" s="1"/>
  <c r="EC58" i="10"/>
  <c r="EC12" i="10" s="1"/>
  <c r="CJ58" i="10"/>
  <c r="CJ12" i="10" s="1"/>
  <c r="EM58" i="10"/>
  <c r="EM12" i="10" s="1"/>
  <c r="N58" i="10"/>
  <c r="N12" i="10" s="1"/>
  <c r="EE58" i="10"/>
  <c r="EE12" i="10" s="1"/>
  <c r="EL58" i="10"/>
  <c r="EL12" i="10" s="1"/>
  <c r="DO58" i="10"/>
  <c r="DO12" i="10" s="1"/>
  <c r="BK58" i="10"/>
  <c r="BK12" i="10" s="1"/>
  <c r="CA58" i="10"/>
  <c r="CA12" i="10" s="1"/>
  <c r="H58" i="10"/>
  <c r="H12" i="10" s="1"/>
  <c r="G58" i="10"/>
  <c r="G12" i="10" s="1"/>
  <c r="H58" i="15"/>
  <c r="H12" i="15" s="1"/>
  <c r="X58" i="15"/>
  <c r="X12" i="15" s="1"/>
  <c r="AN58" i="15"/>
  <c r="AN12" i="15" s="1"/>
  <c r="BD58" i="15"/>
  <c r="BD12" i="15" s="1"/>
  <c r="BT58" i="15"/>
  <c r="BT12" i="15" s="1"/>
  <c r="CJ58" i="15"/>
  <c r="CJ12" i="15" s="1"/>
  <c r="CZ58" i="15"/>
  <c r="CZ12" i="15" s="1"/>
  <c r="DP58" i="15"/>
  <c r="DP12" i="15" s="1"/>
  <c r="EF58" i="15"/>
  <c r="EF12" i="15" s="1"/>
  <c r="U58" i="15"/>
  <c r="U12" i="15" s="1"/>
  <c r="AK58" i="15"/>
  <c r="AK12" i="15" s="1"/>
  <c r="BA58" i="15"/>
  <c r="BA12" i="15" s="1"/>
  <c r="BQ58" i="15"/>
  <c r="BQ12" i="15" s="1"/>
  <c r="CG58" i="15"/>
  <c r="CG12" i="15" s="1"/>
  <c r="CW58" i="15"/>
  <c r="CW12" i="15" s="1"/>
  <c r="DM58" i="15"/>
  <c r="DM12" i="15" s="1"/>
  <c r="EC58" i="15"/>
  <c r="EC12" i="15" s="1"/>
  <c r="ES58" i="15"/>
  <c r="ES12" i="15" s="1"/>
  <c r="R58" i="15"/>
  <c r="R12" i="15" s="1"/>
  <c r="AH58" i="15"/>
  <c r="AH12" i="15" s="1"/>
  <c r="AX58" i="15"/>
  <c r="AX12" i="15" s="1"/>
  <c r="BN58" i="15"/>
  <c r="BN12" i="15" s="1"/>
  <c r="CD58" i="15"/>
  <c r="CD12" i="15" s="1"/>
  <c r="CT58" i="15"/>
  <c r="CT12" i="15" s="1"/>
  <c r="DJ58" i="15"/>
  <c r="DJ12" i="15" s="1"/>
  <c r="DZ58" i="15"/>
  <c r="DZ12" i="15" s="1"/>
  <c r="EP58" i="15"/>
  <c r="EP12" i="15" s="1"/>
  <c r="O58" i="15"/>
  <c r="O12" i="15" s="1"/>
  <c r="AE58" i="15"/>
  <c r="AE12" i="15" s="1"/>
  <c r="AU58" i="15"/>
  <c r="AU12" i="15" s="1"/>
  <c r="BK58" i="15"/>
  <c r="BK12" i="15" s="1"/>
  <c r="CA58" i="15"/>
  <c r="CA12" i="15" s="1"/>
  <c r="CQ58" i="15"/>
  <c r="CQ12" i="15" s="1"/>
  <c r="DG58" i="15"/>
  <c r="DG12" i="15" s="1"/>
  <c r="DW58" i="15"/>
  <c r="DW12" i="15" s="1"/>
  <c r="EM58" i="15"/>
  <c r="EM12" i="15" s="1"/>
  <c r="L58" i="15"/>
  <c r="L12" i="15" s="1"/>
  <c r="AB58" i="15"/>
  <c r="AB12" i="15" s="1"/>
  <c r="AR58" i="15"/>
  <c r="AR12" i="15" s="1"/>
  <c r="BH58" i="15"/>
  <c r="BH12" i="15" s="1"/>
  <c r="BX58" i="15"/>
  <c r="BX12" i="15" s="1"/>
  <c r="CN58" i="15"/>
  <c r="CN12" i="15" s="1"/>
  <c r="DD58" i="15"/>
  <c r="DD12" i="15" s="1"/>
  <c r="DT58" i="15"/>
  <c r="DT12" i="15" s="1"/>
  <c r="EJ58" i="15"/>
  <c r="EJ12" i="15" s="1"/>
  <c r="I58" i="15"/>
  <c r="I12" i="15" s="1"/>
  <c r="Y58" i="15"/>
  <c r="Y12" i="15" s="1"/>
  <c r="AO58" i="15"/>
  <c r="AO12" i="15" s="1"/>
  <c r="BE58" i="15"/>
  <c r="BE12" i="15" s="1"/>
  <c r="BU58" i="15"/>
  <c r="BU12" i="15" s="1"/>
  <c r="CK58" i="15"/>
  <c r="CK12" i="15" s="1"/>
  <c r="DA58" i="15"/>
  <c r="DA12" i="15" s="1"/>
  <c r="DQ58" i="15"/>
  <c r="DQ12" i="15" s="1"/>
  <c r="EG58" i="15"/>
  <c r="EG12" i="15" s="1"/>
  <c r="V58" i="15"/>
  <c r="V12" i="15" s="1"/>
  <c r="AL58" i="15"/>
  <c r="AL12" i="15" s="1"/>
  <c r="BB58" i="15"/>
  <c r="BB12" i="15" s="1"/>
  <c r="BR58" i="15"/>
  <c r="BR12" i="15" s="1"/>
  <c r="CH58" i="15"/>
  <c r="CH12" i="15" s="1"/>
  <c r="CX58" i="15"/>
  <c r="CX12" i="15" s="1"/>
  <c r="DN58" i="15"/>
  <c r="DN12" i="15" s="1"/>
  <c r="ED58" i="15"/>
  <c r="ED12" i="15" s="1"/>
  <c r="ET58" i="15"/>
  <c r="ET12" i="15" s="1"/>
  <c r="S58" i="15"/>
  <c r="S12" i="15" s="1"/>
  <c r="AI58" i="15"/>
  <c r="AI12" i="15" s="1"/>
  <c r="AY58" i="15"/>
  <c r="AY12" i="15" s="1"/>
  <c r="BO58" i="15"/>
  <c r="BO12" i="15" s="1"/>
  <c r="CE58" i="15"/>
  <c r="CE12" i="15" s="1"/>
  <c r="CU58" i="15"/>
  <c r="CU12" i="15" s="1"/>
  <c r="DK58" i="15"/>
  <c r="DK12" i="15" s="1"/>
  <c r="EA58" i="15"/>
  <c r="EA12" i="15" s="1"/>
  <c r="EQ58" i="15"/>
  <c r="EQ12" i="15" s="1"/>
  <c r="P58" i="15"/>
  <c r="P12" i="15" s="1"/>
  <c r="AF58" i="15"/>
  <c r="AF12" i="15" s="1"/>
  <c r="AV58" i="15"/>
  <c r="AV12" i="15" s="1"/>
  <c r="BL58" i="15"/>
  <c r="BL12" i="15" s="1"/>
  <c r="CB58" i="15"/>
  <c r="CB12" i="15" s="1"/>
  <c r="CR58" i="15"/>
  <c r="CR12" i="15" s="1"/>
  <c r="DH58" i="15"/>
  <c r="DH12" i="15" s="1"/>
  <c r="DX58" i="15"/>
  <c r="DX12" i="15" s="1"/>
  <c r="EN58" i="15"/>
  <c r="EN12" i="15" s="1"/>
  <c r="M58" i="15"/>
  <c r="M12" i="15" s="1"/>
  <c r="AC58" i="15"/>
  <c r="AC12" i="15" s="1"/>
  <c r="AS58" i="15"/>
  <c r="AS12" i="15" s="1"/>
  <c r="BI58" i="15"/>
  <c r="BI12" i="15" s="1"/>
  <c r="BY58" i="15"/>
  <c r="BY12" i="15" s="1"/>
  <c r="CO58" i="15"/>
  <c r="CO12" i="15" s="1"/>
  <c r="DE58" i="15"/>
  <c r="DE12" i="15" s="1"/>
  <c r="DU58" i="15"/>
  <c r="DU12" i="15" s="1"/>
  <c r="EK58" i="15"/>
  <c r="EK12" i="15" s="1"/>
  <c r="J58" i="15"/>
  <c r="J12" i="15" s="1"/>
  <c r="Z58" i="15"/>
  <c r="Z12" i="15" s="1"/>
  <c r="AP58" i="15"/>
  <c r="AP12" i="15" s="1"/>
  <c r="BF58" i="15"/>
  <c r="BF12" i="15" s="1"/>
  <c r="BV58" i="15"/>
  <c r="BV12" i="15" s="1"/>
  <c r="CL58" i="15"/>
  <c r="CL12" i="15" s="1"/>
  <c r="DB58" i="15"/>
  <c r="DB12" i="15" s="1"/>
  <c r="DR58" i="15"/>
  <c r="DR12" i="15" s="1"/>
  <c r="EH58" i="15"/>
  <c r="EH12" i="15" s="1"/>
  <c r="W58" i="15"/>
  <c r="W12" i="15" s="1"/>
  <c r="AM58" i="15"/>
  <c r="AM12" i="15" s="1"/>
  <c r="BC58" i="15"/>
  <c r="BC12" i="15" s="1"/>
  <c r="BS58" i="15"/>
  <c r="BS12" i="15" s="1"/>
  <c r="CI58" i="15"/>
  <c r="CI12" i="15" s="1"/>
  <c r="CY58" i="15"/>
  <c r="CY12" i="15" s="1"/>
  <c r="DO58" i="15"/>
  <c r="DO12" i="15" s="1"/>
  <c r="EE58" i="15"/>
  <c r="EE12" i="15" s="1"/>
  <c r="T58" i="15"/>
  <c r="T12" i="15" s="1"/>
  <c r="AJ58" i="15"/>
  <c r="AJ12" i="15" s="1"/>
  <c r="AZ58" i="15"/>
  <c r="AZ12" i="15" s="1"/>
  <c r="BP58" i="15"/>
  <c r="BP12" i="15" s="1"/>
  <c r="CF58" i="15"/>
  <c r="CF12" i="15" s="1"/>
  <c r="CV58" i="15"/>
  <c r="CV12" i="15" s="1"/>
  <c r="DL58" i="15"/>
  <c r="DL12" i="15" s="1"/>
  <c r="EB58" i="15"/>
  <c r="EB12" i="15" s="1"/>
  <c r="ER58" i="15"/>
  <c r="ER12" i="15" s="1"/>
  <c r="Q58" i="15"/>
  <c r="Q12" i="15" s="1"/>
  <c r="AG58" i="15"/>
  <c r="AG12" i="15" s="1"/>
  <c r="AW58" i="15"/>
  <c r="AW12" i="15" s="1"/>
  <c r="BM58" i="15"/>
  <c r="BM12" i="15" s="1"/>
  <c r="CC58" i="15"/>
  <c r="CC12" i="15" s="1"/>
  <c r="CS58" i="15"/>
  <c r="CS12" i="15" s="1"/>
  <c r="DI58" i="15"/>
  <c r="DI12" i="15" s="1"/>
  <c r="DY58" i="15"/>
  <c r="DY12" i="15" s="1"/>
  <c r="EO58" i="15"/>
  <c r="EO12" i="15" s="1"/>
  <c r="N58" i="15"/>
  <c r="N12" i="15" s="1"/>
  <c r="AD58" i="15"/>
  <c r="AD12" i="15" s="1"/>
  <c r="AT58" i="15"/>
  <c r="AT12" i="15" s="1"/>
  <c r="BJ58" i="15"/>
  <c r="BJ12" i="15" s="1"/>
  <c r="BZ58" i="15"/>
  <c r="BZ12" i="15" s="1"/>
  <c r="CP58" i="15"/>
  <c r="CP12" i="15" s="1"/>
  <c r="DF58" i="15"/>
  <c r="DF12" i="15" s="1"/>
  <c r="DV58" i="15"/>
  <c r="DV12" i="15" s="1"/>
  <c r="EL58" i="15"/>
  <c r="EL12" i="15" s="1"/>
  <c r="K58" i="15"/>
  <c r="K12" i="15" s="1"/>
  <c r="AA58" i="15"/>
  <c r="AA12" i="15" s="1"/>
  <c r="AQ58" i="15"/>
  <c r="AQ12" i="15" s="1"/>
  <c r="BG58" i="15"/>
  <c r="BG12" i="15" s="1"/>
  <c r="BW58" i="15"/>
  <c r="BW12" i="15" s="1"/>
  <c r="CM58" i="15"/>
  <c r="CM12" i="15" s="1"/>
  <c r="DC58" i="15"/>
  <c r="DC12" i="15" s="1"/>
  <c r="DS58" i="15"/>
  <c r="DS12" i="15" s="1"/>
  <c r="EI58" i="15"/>
  <c r="EI12" i="15" s="1"/>
  <c r="G58" i="15"/>
  <c r="G12" i="15" s="1"/>
  <c r="F13" i="15"/>
  <c r="F13" i="10"/>
  <c r="AR25" i="5"/>
  <c r="C59" i="5"/>
  <c r="AR20" i="2"/>
  <c r="D64" i="2"/>
  <c r="H59" i="5" l="1"/>
  <c r="L59" i="5"/>
  <c r="P59" i="5"/>
  <c r="T59" i="5"/>
  <c r="N59" i="5"/>
  <c r="O59" i="5"/>
  <c r="I59" i="5"/>
  <c r="M59" i="5"/>
  <c r="Q59" i="5"/>
  <c r="J59" i="5"/>
  <c r="R59" i="5"/>
  <c r="K59" i="5"/>
  <c r="S59" i="5"/>
  <c r="H64" i="2"/>
  <c r="L64" i="2"/>
  <c r="P64" i="2"/>
  <c r="T64" i="2"/>
  <c r="I64" i="2"/>
  <c r="M64" i="2"/>
  <c r="Q64" i="2"/>
  <c r="U64" i="2"/>
  <c r="J64" i="2"/>
  <c r="N64" i="2"/>
  <c r="R64" i="2"/>
  <c r="S64" i="2"/>
  <c r="K64" i="2"/>
  <c r="O64" i="2"/>
  <c r="D1723" i="12"/>
  <c r="F1722" i="12"/>
  <c r="E1722" i="12"/>
  <c r="EQ20" i="5"/>
  <c r="BF25" i="5"/>
  <c r="G59" i="5"/>
  <c r="BC25" i="5"/>
  <c r="DS164" i="2"/>
  <c r="DS160" i="2"/>
  <c r="DS156" i="2"/>
  <c r="DS152" i="2"/>
  <c r="DS148" i="2"/>
  <c r="DS144" i="2"/>
  <c r="DS140" i="2"/>
  <c r="DS136" i="2"/>
  <c r="DS132" i="2"/>
  <c r="DS128" i="2"/>
  <c r="DS124" i="2"/>
  <c r="DS120" i="2"/>
  <c r="DS116" i="2"/>
  <c r="DS112" i="2"/>
  <c r="DS108" i="2"/>
  <c r="DS104" i="2"/>
  <c r="DS100" i="2"/>
  <c r="DS96" i="2"/>
  <c r="DS92" i="2"/>
  <c r="DS88" i="2"/>
  <c r="DS84" i="2"/>
  <c r="DS80" i="2"/>
  <c r="DS76" i="2"/>
  <c r="DS72" i="2"/>
  <c r="DS68" i="2"/>
  <c r="DS64" i="2"/>
  <c r="DS60" i="2"/>
  <c r="DS56" i="2"/>
  <c r="DS52" i="2"/>
  <c r="DS48" i="2"/>
  <c r="DS44" i="2"/>
  <c r="DS40" i="2"/>
  <c r="DS36" i="2"/>
  <c r="DS32" i="2"/>
  <c r="DS28" i="2"/>
  <c r="DS24" i="2"/>
  <c r="DS20" i="2"/>
  <c r="DS153" i="2"/>
  <c r="DS149" i="2"/>
  <c r="DS145" i="2"/>
  <c r="DS141" i="2"/>
  <c r="DS133" i="2"/>
  <c r="DS129" i="2"/>
  <c r="DS125" i="2"/>
  <c r="DS117" i="2"/>
  <c r="DS105" i="2"/>
  <c r="DS97" i="2"/>
  <c r="DS77" i="2"/>
  <c r="DS65" i="2"/>
  <c r="DS57" i="2"/>
  <c r="DS45" i="2"/>
  <c r="DS33" i="2"/>
  <c r="DS21" i="2"/>
  <c r="DS163" i="2"/>
  <c r="DS159" i="2"/>
  <c r="DS155" i="2"/>
  <c r="DS151" i="2"/>
  <c r="DS147" i="2"/>
  <c r="DS143" i="2"/>
  <c r="DS139" i="2"/>
  <c r="DS135" i="2"/>
  <c r="DS131" i="2"/>
  <c r="DS127" i="2"/>
  <c r="DS123" i="2"/>
  <c r="DS119" i="2"/>
  <c r="DS115" i="2"/>
  <c r="DS111" i="2"/>
  <c r="DS107" i="2"/>
  <c r="DS103" i="2"/>
  <c r="DS99" i="2"/>
  <c r="DS95" i="2"/>
  <c r="DS91" i="2"/>
  <c r="DS87" i="2"/>
  <c r="DS83" i="2"/>
  <c r="DS79" i="2"/>
  <c r="DS75" i="2"/>
  <c r="DS71" i="2"/>
  <c r="DS67" i="2"/>
  <c r="DS63" i="2"/>
  <c r="DS59" i="2"/>
  <c r="DS55" i="2"/>
  <c r="DS51" i="2"/>
  <c r="DS47" i="2"/>
  <c r="DS43" i="2"/>
  <c r="DS39" i="2"/>
  <c r="DS35" i="2"/>
  <c r="DS31" i="2"/>
  <c r="DS27" i="2"/>
  <c r="DS23" i="2"/>
  <c r="DS157" i="2"/>
  <c r="DS137" i="2"/>
  <c r="DS121" i="2"/>
  <c r="DS113" i="2"/>
  <c r="DS101" i="2"/>
  <c r="DS89" i="2"/>
  <c r="DS81" i="2"/>
  <c r="DS69" i="2"/>
  <c r="DS53" i="2"/>
  <c r="DS41" i="2"/>
  <c r="DS29" i="2"/>
  <c r="DS162" i="2"/>
  <c r="DS158" i="2"/>
  <c r="DS154" i="2"/>
  <c r="DS150" i="2"/>
  <c r="DS146" i="2"/>
  <c r="DS142" i="2"/>
  <c r="DS138" i="2"/>
  <c r="DS134" i="2"/>
  <c r="DS130" i="2"/>
  <c r="DS126" i="2"/>
  <c r="DS122" i="2"/>
  <c r="DS118" i="2"/>
  <c r="DS114" i="2"/>
  <c r="DS110" i="2"/>
  <c r="DS106" i="2"/>
  <c r="DS102" i="2"/>
  <c r="DS98" i="2"/>
  <c r="DS94" i="2"/>
  <c r="DS90" i="2"/>
  <c r="DS86" i="2"/>
  <c r="DS82" i="2"/>
  <c r="DS78" i="2"/>
  <c r="DS74" i="2"/>
  <c r="DS70" i="2"/>
  <c r="DS66" i="2"/>
  <c r="DS62" i="2"/>
  <c r="DS58" i="2"/>
  <c r="DS54" i="2"/>
  <c r="DS50" i="2"/>
  <c r="DS46" i="2"/>
  <c r="DS42" i="2"/>
  <c r="DS38" i="2"/>
  <c r="DS34" i="2"/>
  <c r="DS30" i="2"/>
  <c r="DS26" i="2"/>
  <c r="DS22" i="2"/>
  <c r="DS161" i="2"/>
  <c r="DS109" i="2"/>
  <c r="DS93" i="2"/>
  <c r="DS85" i="2"/>
  <c r="DS73" i="2"/>
  <c r="DS61" i="2"/>
  <c r="DS49" i="2"/>
  <c r="DS37" i="2"/>
  <c r="DS25" i="2"/>
  <c r="AR21" i="2"/>
  <c r="BB20" i="2"/>
  <c r="BA11" i="2"/>
  <c r="M6" i="2" s="1"/>
  <c r="AW11" i="2"/>
  <c r="K59" i="10"/>
  <c r="K13" i="10" s="1"/>
  <c r="AA59" i="10"/>
  <c r="AA13" i="10" s="1"/>
  <c r="AQ59" i="10"/>
  <c r="AQ13" i="10" s="1"/>
  <c r="BG59" i="10"/>
  <c r="BG13" i="10" s="1"/>
  <c r="BW59" i="10"/>
  <c r="BW13" i="10" s="1"/>
  <c r="CM59" i="10"/>
  <c r="CM13" i="10" s="1"/>
  <c r="DC59" i="10"/>
  <c r="DC13" i="10" s="1"/>
  <c r="T59" i="10"/>
  <c r="T13" i="10" s="1"/>
  <c r="AJ59" i="10"/>
  <c r="AJ13" i="10" s="1"/>
  <c r="AZ59" i="10"/>
  <c r="AZ13" i="10" s="1"/>
  <c r="BP59" i="10"/>
  <c r="BP13" i="10" s="1"/>
  <c r="CF59" i="10"/>
  <c r="CF13" i="10" s="1"/>
  <c r="CV59" i="10"/>
  <c r="CV13" i="10" s="1"/>
  <c r="DL59" i="10"/>
  <c r="DL13" i="10" s="1"/>
  <c r="EB59" i="10"/>
  <c r="EB13" i="10" s="1"/>
  <c r="ER59" i="10"/>
  <c r="ER13" i="10" s="1"/>
  <c r="R59" i="10"/>
  <c r="R13" i="10" s="1"/>
  <c r="AX59" i="10"/>
  <c r="AX13" i="10" s="1"/>
  <c r="CD59" i="10"/>
  <c r="CD13" i="10" s="1"/>
  <c r="DJ59" i="10"/>
  <c r="DJ13" i="10" s="1"/>
  <c r="EE59" i="10"/>
  <c r="EE13" i="10" s="1"/>
  <c r="M59" i="10"/>
  <c r="M13" i="10" s="1"/>
  <c r="AS59" i="10"/>
  <c r="AS13" i="10" s="1"/>
  <c r="BY59" i="10"/>
  <c r="BY13" i="10" s="1"/>
  <c r="DE59" i="10"/>
  <c r="DE13" i="10" s="1"/>
  <c r="EA59" i="10"/>
  <c r="EA13" i="10" s="1"/>
  <c r="O59" i="10"/>
  <c r="O13" i="10" s="1"/>
  <c r="AE59" i="10"/>
  <c r="AE13" i="10" s="1"/>
  <c r="AU59" i="10"/>
  <c r="AU13" i="10" s="1"/>
  <c r="BK59" i="10"/>
  <c r="BK13" i="10" s="1"/>
  <c r="CA59" i="10"/>
  <c r="CA13" i="10" s="1"/>
  <c r="CQ59" i="10"/>
  <c r="CQ13" i="10" s="1"/>
  <c r="DG59" i="10"/>
  <c r="DG13" i="10" s="1"/>
  <c r="X59" i="10"/>
  <c r="X13" i="10" s="1"/>
  <c r="AN59" i="10"/>
  <c r="AN13" i="10" s="1"/>
  <c r="BD59" i="10"/>
  <c r="BD13" i="10" s="1"/>
  <c r="BT59" i="10"/>
  <c r="BT13" i="10" s="1"/>
  <c r="CJ59" i="10"/>
  <c r="CJ13" i="10" s="1"/>
  <c r="CZ59" i="10"/>
  <c r="CZ13" i="10" s="1"/>
  <c r="DP59" i="10"/>
  <c r="DP13" i="10" s="1"/>
  <c r="EF59" i="10"/>
  <c r="EF13" i="10" s="1"/>
  <c r="Z59" i="10"/>
  <c r="Z13" i="10" s="1"/>
  <c r="BF59" i="10"/>
  <c r="BF13" i="10" s="1"/>
  <c r="CL59" i="10"/>
  <c r="CL13" i="10" s="1"/>
  <c r="DO59" i="10"/>
  <c r="DO13" i="10" s="1"/>
  <c r="EK59" i="10"/>
  <c r="EK13" i="10" s="1"/>
  <c r="U59" i="10"/>
  <c r="U13" i="10" s="1"/>
  <c r="BA59" i="10"/>
  <c r="BA13" i="10" s="1"/>
  <c r="CG59" i="10"/>
  <c r="CG13" i="10" s="1"/>
  <c r="DK59" i="10"/>
  <c r="DK13" i="10" s="1"/>
  <c r="EG59" i="10"/>
  <c r="EG13" i="10" s="1"/>
  <c r="S59" i="10"/>
  <c r="S13" i="10" s="1"/>
  <c r="AI59" i="10"/>
  <c r="AI13" i="10" s="1"/>
  <c r="AY59" i="10"/>
  <c r="AY13" i="10" s="1"/>
  <c r="BO59" i="10"/>
  <c r="BO13" i="10" s="1"/>
  <c r="CE59" i="10"/>
  <c r="CE13" i="10" s="1"/>
  <c r="CU59" i="10"/>
  <c r="CU13" i="10" s="1"/>
  <c r="L59" i="10"/>
  <c r="L13" i="10" s="1"/>
  <c r="AB59" i="10"/>
  <c r="AB13" i="10" s="1"/>
  <c r="AR59" i="10"/>
  <c r="AR13" i="10" s="1"/>
  <c r="BH59" i="10"/>
  <c r="BH13" i="10" s="1"/>
  <c r="BX59" i="10"/>
  <c r="BX13" i="10" s="1"/>
  <c r="CN59" i="10"/>
  <c r="CN13" i="10" s="1"/>
  <c r="DD59" i="10"/>
  <c r="DD13" i="10" s="1"/>
  <c r="DT59" i="10"/>
  <c r="DT13" i="10" s="1"/>
  <c r="EJ59" i="10"/>
  <c r="EJ13" i="10" s="1"/>
  <c r="AH59" i="10"/>
  <c r="AH13" i="10" s="1"/>
  <c r="BN59" i="10"/>
  <c r="BN13" i="10" s="1"/>
  <c r="CT59" i="10"/>
  <c r="CT13" i="10" s="1"/>
  <c r="DU59" i="10"/>
  <c r="DU13" i="10" s="1"/>
  <c r="EP59" i="10"/>
  <c r="EP13" i="10" s="1"/>
  <c r="AC59" i="10"/>
  <c r="AC13" i="10" s="1"/>
  <c r="BI59" i="10"/>
  <c r="BI13" i="10" s="1"/>
  <c r="CO59" i="10"/>
  <c r="CO13" i="10" s="1"/>
  <c r="DQ59" i="10"/>
  <c r="DQ13" i="10" s="1"/>
  <c r="EL59" i="10"/>
  <c r="EL13" i="10" s="1"/>
  <c r="BS59" i="10"/>
  <c r="BS13" i="10" s="1"/>
  <c r="P59" i="10"/>
  <c r="P13" i="10" s="1"/>
  <c r="CB59" i="10"/>
  <c r="CB13" i="10" s="1"/>
  <c r="EN59" i="10"/>
  <c r="EN13" i="10" s="1"/>
  <c r="DB59" i="10"/>
  <c r="DB13" i="10" s="1"/>
  <c r="BQ59" i="10"/>
  <c r="BQ13" i="10" s="1"/>
  <c r="AD59" i="10"/>
  <c r="AD13" i="10" s="1"/>
  <c r="BJ59" i="10"/>
  <c r="BJ13" i="10" s="1"/>
  <c r="CP59" i="10"/>
  <c r="CP13" i="10" s="1"/>
  <c r="DR59" i="10"/>
  <c r="DR13" i="10" s="1"/>
  <c r="EM59" i="10"/>
  <c r="EM13" i="10" s="1"/>
  <c r="I59" i="10"/>
  <c r="I13" i="10" s="1"/>
  <c r="DY59" i="10"/>
  <c r="DY13" i="10" s="1"/>
  <c r="CC59" i="10"/>
  <c r="CC13" i="10" s="1"/>
  <c r="EI59" i="10"/>
  <c r="EI13" i="10" s="1"/>
  <c r="EO59" i="10"/>
  <c r="EO13" i="10" s="1"/>
  <c r="W59" i="10"/>
  <c r="W13" i="10" s="1"/>
  <c r="CI59" i="10"/>
  <c r="CI13" i="10" s="1"/>
  <c r="AF59" i="10"/>
  <c r="AF13" i="10" s="1"/>
  <c r="CR59" i="10"/>
  <c r="CR13" i="10" s="1"/>
  <c r="J59" i="10"/>
  <c r="J13" i="10" s="1"/>
  <c r="DZ59" i="10"/>
  <c r="DZ13" i="10" s="1"/>
  <c r="CW59" i="10"/>
  <c r="CW13" i="10" s="1"/>
  <c r="AL59" i="10"/>
  <c r="AL13" i="10" s="1"/>
  <c r="BR59" i="10"/>
  <c r="BR13" i="10" s="1"/>
  <c r="CX59" i="10"/>
  <c r="CX13" i="10" s="1"/>
  <c r="DW59" i="10"/>
  <c r="DW13" i="10" s="1"/>
  <c r="ES59" i="10"/>
  <c r="ES13" i="10" s="1"/>
  <c r="AO59" i="10"/>
  <c r="AO13" i="10" s="1"/>
  <c r="ET59" i="10"/>
  <c r="ET13" i="10" s="1"/>
  <c r="DI59" i="10"/>
  <c r="DI13" i="10" s="1"/>
  <c r="AM59" i="10"/>
  <c r="AM13" i="10" s="1"/>
  <c r="AV59" i="10"/>
  <c r="AV13" i="10" s="1"/>
  <c r="AP59" i="10"/>
  <c r="AP13" i="10" s="1"/>
  <c r="DV59" i="10"/>
  <c r="DV13" i="10" s="1"/>
  <c r="AT59" i="10"/>
  <c r="AT13" i="10" s="1"/>
  <c r="DF59" i="10"/>
  <c r="DF13" i="10" s="1"/>
  <c r="BU59" i="10"/>
  <c r="BU13" i="10" s="1"/>
  <c r="Q59" i="10"/>
  <c r="Q13" i="10" s="1"/>
  <c r="Y59" i="10"/>
  <c r="Y13" i="10" s="1"/>
  <c r="AG59" i="10"/>
  <c r="AG13" i="10" s="1"/>
  <c r="DN59" i="10"/>
  <c r="DN13" i="10" s="1"/>
  <c r="BC59" i="10"/>
  <c r="BC13" i="10" s="1"/>
  <c r="BL59" i="10"/>
  <c r="BL13" i="10" s="1"/>
  <c r="BV59" i="10"/>
  <c r="BV13" i="10" s="1"/>
  <c r="EQ59" i="10"/>
  <c r="EQ13" i="10" s="1"/>
  <c r="BB59" i="10"/>
  <c r="BB13" i="10" s="1"/>
  <c r="DM59" i="10"/>
  <c r="DM13" i="10" s="1"/>
  <c r="DA59" i="10"/>
  <c r="DA13" i="10" s="1"/>
  <c r="AW59" i="10"/>
  <c r="AW13" i="10" s="1"/>
  <c r="CK59" i="10"/>
  <c r="CK13" i="10" s="1"/>
  <c r="CS59" i="10"/>
  <c r="CS13" i="10" s="1"/>
  <c r="CY59" i="10"/>
  <c r="CY13" i="10" s="1"/>
  <c r="DH59" i="10"/>
  <c r="DH13" i="10" s="1"/>
  <c r="N59" i="10"/>
  <c r="N13" i="10" s="1"/>
  <c r="BZ59" i="10"/>
  <c r="BZ13" i="10" s="1"/>
  <c r="EC59" i="10"/>
  <c r="EC13" i="10" s="1"/>
  <c r="ED59" i="10"/>
  <c r="ED13" i="10" s="1"/>
  <c r="EH59" i="10"/>
  <c r="EH13" i="10" s="1"/>
  <c r="DS59" i="10"/>
  <c r="DS13" i="10" s="1"/>
  <c r="V59" i="10"/>
  <c r="V13" i="10" s="1"/>
  <c r="BE59" i="10"/>
  <c r="BE13" i="10" s="1"/>
  <c r="BM59" i="10"/>
  <c r="BM13" i="10" s="1"/>
  <c r="DX59" i="10"/>
  <c r="DX13" i="10" s="1"/>
  <c r="AK59" i="10"/>
  <c r="AK13" i="10" s="1"/>
  <c r="CH59" i="10"/>
  <c r="CH13" i="10" s="1"/>
  <c r="H59" i="10"/>
  <c r="H13" i="10" s="1"/>
  <c r="G59" i="10"/>
  <c r="G13" i="10" s="1"/>
  <c r="I59" i="15"/>
  <c r="I13" i="15" s="1"/>
  <c r="Y59" i="15"/>
  <c r="Y13" i="15" s="1"/>
  <c r="AO59" i="15"/>
  <c r="AO13" i="15" s="1"/>
  <c r="BE59" i="15"/>
  <c r="BE13" i="15" s="1"/>
  <c r="BU59" i="15"/>
  <c r="BU13" i="15" s="1"/>
  <c r="CK59" i="15"/>
  <c r="CK13" i="15" s="1"/>
  <c r="DA59" i="15"/>
  <c r="DA13" i="15" s="1"/>
  <c r="DQ59" i="15"/>
  <c r="DQ13" i="15" s="1"/>
  <c r="EG59" i="15"/>
  <c r="EG13" i="15" s="1"/>
  <c r="V59" i="15"/>
  <c r="V13" i="15" s="1"/>
  <c r="AL59" i="15"/>
  <c r="AL13" i="15" s="1"/>
  <c r="BB59" i="15"/>
  <c r="BB13" i="15" s="1"/>
  <c r="BR59" i="15"/>
  <c r="BR13" i="15" s="1"/>
  <c r="CH59" i="15"/>
  <c r="CH13" i="15" s="1"/>
  <c r="CX59" i="15"/>
  <c r="CX13" i="15" s="1"/>
  <c r="DN59" i="15"/>
  <c r="DN13" i="15" s="1"/>
  <c r="ED59" i="15"/>
  <c r="ED13" i="15" s="1"/>
  <c r="ET59" i="15"/>
  <c r="ET13" i="15" s="1"/>
  <c r="S59" i="15"/>
  <c r="S13" i="15" s="1"/>
  <c r="AI59" i="15"/>
  <c r="AI13" i="15" s="1"/>
  <c r="AY59" i="15"/>
  <c r="AY13" i="15" s="1"/>
  <c r="BO59" i="15"/>
  <c r="BO13" i="15" s="1"/>
  <c r="CE59" i="15"/>
  <c r="CE13" i="15" s="1"/>
  <c r="CU59" i="15"/>
  <c r="CU13" i="15" s="1"/>
  <c r="DK59" i="15"/>
  <c r="DK13" i="15" s="1"/>
  <c r="EA59" i="15"/>
  <c r="EA13" i="15" s="1"/>
  <c r="EQ59" i="15"/>
  <c r="EQ13" i="15" s="1"/>
  <c r="P59" i="15"/>
  <c r="P13" i="15" s="1"/>
  <c r="AF59" i="15"/>
  <c r="AF13" i="15" s="1"/>
  <c r="AV59" i="15"/>
  <c r="AV13" i="15" s="1"/>
  <c r="BL59" i="15"/>
  <c r="BL13" i="15" s="1"/>
  <c r="CB59" i="15"/>
  <c r="CB13" i="15" s="1"/>
  <c r="CR59" i="15"/>
  <c r="CR13" i="15" s="1"/>
  <c r="DH59" i="15"/>
  <c r="DH13" i="15" s="1"/>
  <c r="DX59" i="15"/>
  <c r="DX13" i="15" s="1"/>
  <c r="EN59" i="15"/>
  <c r="EN13" i="15" s="1"/>
  <c r="EK59" i="15"/>
  <c r="EK13" i="15" s="1"/>
  <c r="M59" i="15"/>
  <c r="M13" i="15" s="1"/>
  <c r="AC59" i="15"/>
  <c r="AC13" i="15" s="1"/>
  <c r="AS59" i="15"/>
  <c r="AS13" i="15" s="1"/>
  <c r="BI59" i="15"/>
  <c r="BI13" i="15" s="1"/>
  <c r="BY59" i="15"/>
  <c r="BY13" i="15" s="1"/>
  <c r="CO59" i="15"/>
  <c r="CO13" i="15" s="1"/>
  <c r="DE59" i="15"/>
  <c r="DE13" i="15" s="1"/>
  <c r="DU59" i="15"/>
  <c r="DU13" i="15" s="1"/>
  <c r="J59" i="15"/>
  <c r="J13" i="15" s="1"/>
  <c r="Z59" i="15"/>
  <c r="Z13" i="15" s="1"/>
  <c r="AP59" i="15"/>
  <c r="AP13" i="15" s="1"/>
  <c r="BF59" i="15"/>
  <c r="BF13" i="15" s="1"/>
  <c r="BV59" i="15"/>
  <c r="BV13" i="15" s="1"/>
  <c r="CL59" i="15"/>
  <c r="CL13" i="15" s="1"/>
  <c r="DB59" i="15"/>
  <c r="DB13" i="15" s="1"/>
  <c r="DR59" i="15"/>
  <c r="DR13" i="15" s="1"/>
  <c r="EH59" i="15"/>
  <c r="EH13" i="15" s="1"/>
  <c r="W59" i="15"/>
  <c r="W13" i="15" s="1"/>
  <c r="AM59" i="15"/>
  <c r="AM13" i="15" s="1"/>
  <c r="BC59" i="15"/>
  <c r="BC13" i="15" s="1"/>
  <c r="BS59" i="15"/>
  <c r="BS13" i="15" s="1"/>
  <c r="CI59" i="15"/>
  <c r="CI13" i="15" s="1"/>
  <c r="CY59" i="15"/>
  <c r="CY13" i="15" s="1"/>
  <c r="DO59" i="15"/>
  <c r="DO13" i="15" s="1"/>
  <c r="EE59" i="15"/>
  <c r="EE13" i="15" s="1"/>
  <c r="T59" i="15"/>
  <c r="T13" i="15" s="1"/>
  <c r="AJ59" i="15"/>
  <c r="AJ13" i="15" s="1"/>
  <c r="AZ59" i="15"/>
  <c r="AZ13" i="15" s="1"/>
  <c r="BP59" i="15"/>
  <c r="BP13" i="15" s="1"/>
  <c r="CF59" i="15"/>
  <c r="CF13" i="15" s="1"/>
  <c r="CV59" i="15"/>
  <c r="CV13" i="15" s="1"/>
  <c r="DL59" i="15"/>
  <c r="DL13" i="15" s="1"/>
  <c r="EB59" i="15"/>
  <c r="EB13" i="15" s="1"/>
  <c r="ER59" i="15"/>
  <c r="ER13" i="15" s="1"/>
  <c r="Q59" i="15"/>
  <c r="Q13" i="15" s="1"/>
  <c r="AG59" i="15"/>
  <c r="AG13" i="15" s="1"/>
  <c r="AW59" i="15"/>
  <c r="AW13" i="15" s="1"/>
  <c r="BM59" i="15"/>
  <c r="BM13" i="15" s="1"/>
  <c r="CC59" i="15"/>
  <c r="CC13" i="15" s="1"/>
  <c r="CS59" i="15"/>
  <c r="CS13" i="15" s="1"/>
  <c r="DI59" i="15"/>
  <c r="DI13" i="15" s="1"/>
  <c r="DY59" i="15"/>
  <c r="DY13" i="15" s="1"/>
  <c r="N59" i="15"/>
  <c r="N13" i="15" s="1"/>
  <c r="AD59" i="15"/>
  <c r="AD13" i="15" s="1"/>
  <c r="AT59" i="15"/>
  <c r="AT13" i="15" s="1"/>
  <c r="BJ59" i="15"/>
  <c r="BJ13" i="15" s="1"/>
  <c r="BZ59" i="15"/>
  <c r="BZ13" i="15" s="1"/>
  <c r="CP59" i="15"/>
  <c r="CP13" i="15" s="1"/>
  <c r="DF59" i="15"/>
  <c r="DF13" i="15" s="1"/>
  <c r="DV59" i="15"/>
  <c r="DV13" i="15" s="1"/>
  <c r="EL59" i="15"/>
  <c r="EL13" i="15" s="1"/>
  <c r="K59" i="15"/>
  <c r="K13" i="15" s="1"/>
  <c r="AA59" i="15"/>
  <c r="AA13" i="15" s="1"/>
  <c r="AQ59" i="15"/>
  <c r="AQ13" i="15" s="1"/>
  <c r="BG59" i="15"/>
  <c r="BG13" i="15" s="1"/>
  <c r="BW59" i="15"/>
  <c r="BW13" i="15" s="1"/>
  <c r="CM59" i="15"/>
  <c r="CM13" i="15" s="1"/>
  <c r="DC59" i="15"/>
  <c r="DC13" i="15" s="1"/>
  <c r="DS59" i="15"/>
  <c r="DS13" i="15" s="1"/>
  <c r="EI59" i="15"/>
  <c r="EI13" i="15" s="1"/>
  <c r="H59" i="15"/>
  <c r="H13" i="15" s="1"/>
  <c r="X59" i="15"/>
  <c r="X13" i="15" s="1"/>
  <c r="AN59" i="15"/>
  <c r="AN13" i="15" s="1"/>
  <c r="BD59" i="15"/>
  <c r="BD13" i="15" s="1"/>
  <c r="BT59" i="15"/>
  <c r="BT13" i="15" s="1"/>
  <c r="CJ59" i="15"/>
  <c r="CJ13" i="15" s="1"/>
  <c r="CZ59" i="15"/>
  <c r="CZ13" i="15" s="1"/>
  <c r="DP59" i="15"/>
  <c r="DP13" i="15" s="1"/>
  <c r="EF59" i="15"/>
  <c r="EF13" i="15" s="1"/>
  <c r="U59" i="15"/>
  <c r="U13" i="15" s="1"/>
  <c r="AK59" i="15"/>
  <c r="AK13" i="15" s="1"/>
  <c r="BA59" i="15"/>
  <c r="BA13" i="15" s="1"/>
  <c r="BQ59" i="15"/>
  <c r="BQ13" i="15" s="1"/>
  <c r="CG59" i="15"/>
  <c r="CG13" i="15" s="1"/>
  <c r="CW59" i="15"/>
  <c r="CW13" i="15" s="1"/>
  <c r="DM59" i="15"/>
  <c r="DM13" i="15" s="1"/>
  <c r="EC59" i="15"/>
  <c r="EC13" i="15" s="1"/>
  <c r="R59" i="15"/>
  <c r="R13" i="15" s="1"/>
  <c r="AH59" i="15"/>
  <c r="AH13" i="15" s="1"/>
  <c r="AX59" i="15"/>
  <c r="AX13" i="15" s="1"/>
  <c r="BN59" i="15"/>
  <c r="BN13" i="15" s="1"/>
  <c r="CD59" i="15"/>
  <c r="CD13" i="15" s="1"/>
  <c r="CT59" i="15"/>
  <c r="CT13" i="15" s="1"/>
  <c r="DJ59" i="15"/>
  <c r="DJ13" i="15" s="1"/>
  <c r="DZ59" i="15"/>
  <c r="DZ13" i="15" s="1"/>
  <c r="EP59" i="15"/>
  <c r="EP13" i="15" s="1"/>
  <c r="O59" i="15"/>
  <c r="O13" i="15" s="1"/>
  <c r="AE59" i="15"/>
  <c r="AE13" i="15" s="1"/>
  <c r="AU59" i="15"/>
  <c r="AU13" i="15" s="1"/>
  <c r="BK59" i="15"/>
  <c r="BK13" i="15" s="1"/>
  <c r="CA59" i="15"/>
  <c r="CA13" i="15" s="1"/>
  <c r="CQ59" i="15"/>
  <c r="CQ13" i="15" s="1"/>
  <c r="DG59" i="15"/>
  <c r="DG13" i="15" s="1"/>
  <c r="DW59" i="15"/>
  <c r="DW13" i="15" s="1"/>
  <c r="EM59" i="15"/>
  <c r="EM13" i="15" s="1"/>
  <c r="L59" i="15"/>
  <c r="L13" i="15" s="1"/>
  <c r="AB59" i="15"/>
  <c r="AB13" i="15" s="1"/>
  <c r="AR59" i="15"/>
  <c r="AR13" i="15" s="1"/>
  <c r="BH59" i="15"/>
  <c r="BH13" i="15" s="1"/>
  <c r="BX59" i="15"/>
  <c r="BX13" i="15" s="1"/>
  <c r="CN59" i="15"/>
  <c r="CN13" i="15" s="1"/>
  <c r="DD59" i="15"/>
  <c r="DD13" i="15" s="1"/>
  <c r="DT59" i="15"/>
  <c r="DT13" i="15" s="1"/>
  <c r="EJ59" i="15"/>
  <c r="EJ13" i="15" s="1"/>
  <c r="EO59" i="15"/>
  <c r="EO13" i="15" s="1"/>
  <c r="ES59" i="15"/>
  <c r="ES13" i="15" s="1"/>
  <c r="G59" i="15"/>
  <c r="G13" i="15" s="1"/>
  <c r="F14" i="15"/>
  <c r="F14" i="10"/>
  <c r="AW6" i="2"/>
  <c r="D65" i="2"/>
  <c r="AR26" i="5"/>
  <c r="C60" i="5"/>
  <c r="K60" i="5" l="1"/>
  <c r="O60" i="5"/>
  <c r="S60" i="5"/>
  <c r="I60" i="5"/>
  <c r="Q60" i="5"/>
  <c r="J60" i="5"/>
  <c r="R60" i="5"/>
  <c r="H60" i="5"/>
  <c r="L60" i="5"/>
  <c r="P60" i="5"/>
  <c r="T60" i="5"/>
  <c r="M60" i="5"/>
  <c r="N60" i="5"/>
  <c r="H65" i="2"/>
  <c r="K65" i="2"/>
  <c r="O65" i="2"/>
  <c r="S65" i="2"/>
  <c r="L65" i="2"/>
  <c r="P65" i="2"/>
  <c r="T65" i="2"/>
  <c r="I65" i="2"/>
  <c r="M65" i="2"/>
  <c r="Q65" i="2"/>
  <c r="U65" i="2"/>
  <c r="J65" i="2"/>
  <c r="N65" i="2"/>
  <c r="R65" i="2"/>
  <c r="D1724" i="12"/>
  <c r="F1723" i="12"/>
  <c r="E1723" i="12"/>
  <c r="DS194" i="2"/>
  <c r="EQ21" i="5"/>
  <c r="BF26" i="5"/>
  <c r="G60" i="5"/>
  <c r="BC26" i="5"/>
  <c r="AR22" i="2"/>
  <c r="BB21" i="2"/>
  <c r="V60" i="10"/>
  <c r="V14" i="10" s="1"/>
  <c r="AL60" i="10"/>
  <c r="AL14" i="10" s="1"/>
  <c r="BB60" i="10"/>
  <c r="BB14" i="10" s="1"/>
  <c r="O60" i="10"/>
  <c r="O14" i="10" s="1"/>
  <c r="AJ60" i="10"/>
  <c r="AJ14" i="10" s="1"/>
  <c r="BE60" i="10"/>
  <c r="BE14" i="10" s="1"/>
  <c r="BW60" i="10"/>
  <c r="BW14" i="10" s="1"/>
  <c r="CM60" i="10"/>
  <c r="CM14" i="10" s="1"/>
  <c r="DC60" i="10"/>
  <c r="DC14" i="10" s="1"/>
  <c r="DS60" i="10"/>
  <c r="DS14" i="10" s="1"/>
  <c r="EI60" i="10"/>
  <c r="EI14" i="10" s="1"/>
  <c r="K60" i="10"/>
  <c r="K14" i="10" s="1"/>
  <c r="AF60" i="10"/>
  <c r="AF14" i="10" s="1"/>
  <c r="BA60" i="10"/>
  <c r="BA14" i="10" s="1"/>
  <c r="BT60" i="10"/>
  <c r="BT14" i="10" s="1"/>
  <c r="CJ60" i="10"/>
  <c r="CJ14" i="10" s="1"/>
  <c r="CZ60" i="10"/>
  <c r="CZ14" i="10" s="1"/>
  <c r="DP60" i="10"/>
  <c r="DP14" i="10" s="1"/>
  <c r="EF60" i="10"/>
  <c r="EF14" i="10" s="1"/>
  <c r="J60" i="10"/>
  <c r="J14" i="10" s="1"/>
  <c r="Z60" i="10"/>
  <c r="Z14" i="10" s="1"/>
  <c r="AP60" i="10"/>
  <c r="AP14" i="10" s="1"/>
  <c r="BF60" i="10"/>
  <c r="BF14" i="10" s="1"/>
  <c r="T60" i="10"/>
  <c r="T14" i="10" s="1"/>
  <c r="AO60" i="10"/>
  <c r="AO14" i="10" s="1"/>
  <c r="BK60" i="10"/>
  <c r="BK14" i="10" s="1"/>
  <c r="CA60" i="10"/>
  <c r="CA14" i="10" s="1"/>
  <c r="CQ60" i="10"/>
  <c r="CQ14" i="10" s="1"/>
  <c r="DG60" i="10"/>
  <c r="DG14" i="10" s="1"/>
  <c r="DW60" i="10"/>
  <c r="DW14" i="10" s="1"/>
  <c r="EM60" i="10"/>
  <c r="EM14" i="10" s="1"/>
  <c r="P60" i="10"/>
  <c r="P14" i="10" s="1"/>
  <c r="AK60" i="10"/>
  <c r="AK14" i="10" s="1"/>
  <c r="BG60" i="10"/>
  <c r="BG14" i="10" s="1"/>
  <c r="BX60" i="10"/>
  <c r="BX14" i="10" s="1"/>
  <c r="CN60" i="10"/>
  <c r="CN14" i="10" s="1"/>
  <c r="DD60" i="10"/>
  <c r="DD14" i="10" s="1"/>
  <c r="DT60" i="10"/>
  <c r="DT14" i="10" s="1"/>
  <c r="EJ60" i="10"/>
  <c r="EJ14" i="10" s="1"/>
  <c r="N60" i="10"/>
  <c r="N14" i="10" s="1"/>
  <c r="AD60" i="10"/>
  <c r="AD14" i="10" s="1"/>
  <c r="AT60" i="10"/>
  <c r="AT14" i="10" s="1"/>
  <c r="BJ60" i="10"/>
  <c r="BJ14" i="10" s="1"/>
  <c r="Y60" i="10"/>
  <c r="Y14" i="10" s="1"/>
  <c r="AU60" i="10"/>
  <c r="AU14" i="10" s="1"/>
  <c r="BO60" i="10"/>
  <c r="BO14" i="10" s="1"/>
  <c r="CE60" i="10"/>
  <c r="CE14" i="10" s="1"/>
  <c r="CU60" i="10"/>
  <c r="CU14" i="10" s="1"/>
  <c r="DK60" i="10"/>
  <c r="DK14" i="10" s="1"/>
  <c r="EA60" i="10"/>
  <c r="EA14" i="10" s="1"/>
  <c r="EQ60" i="10"/>
  <c r="EQ14" i="10" s="1"/>
  <c r="U60" i="10"/>
  <c r="U14" i="10" s="1"/>
  <c r="AQ60" i="10"/>
  <c r="AQ14" i="10" s="1"/>
  <c r="BL60" i="10"/>
  <c r="BL14" i="10" s="1"/>
  <c r="CB60" i="10"/>
  <c r="CB14" i="10" s="1"/>
  <c r="CR60" i="10"/>
  <c r="CR14" i="10" s="1"/>
  <c r="DH60" i="10"/>
  <c r="DH14" i="10" s="1"/>
  <c r="DX60" i="10"/>
  <c r="DX14" i="10" s="1"/>
  <c r="EN60" i="10"/>
  <c r="EN14" i="10" s="1"/>
  <c r="AZ60" i="10"/>
  <c r="AZ14" i="10" s="1"/>
  <c r="DO60" i="10"/>
  <c r="DO14" i="10" s="1"/>
  <c r="AA60" i="10"/>
  <c r="AA14" i="10" s="1"/>
  <c r="CV60" i="10"/>
  <c r="CV14" i="10" s="1"/>
  <c r="W60" i="10"/>
  <c r="W14" i="10" s="1"/>
  <c r="AR60" i="10"/>
  <c r="AR14" i="10" s="1"/>
  <c r="BN60" i="10"/>
  <c r="BN14" i="10" s="1"/>
  <c r="CT60" i="10"/>
  <c r="CT14" i="10" s="1"/>
  <c r="DZ60" i="10"/>
  <c r="DZ14" i="10" s="1"/>
  <c r="AI60" i="10"/>
  <c r="AI14" i="10" s="1"/>
  <c r="CG60" i="10"/>
  <c r="CG14" i="10" s="1"/>
  <c r="DM60" i="10"/>
  <c r="DM14" i="10" s="1"/>
  <c r="ES60" i="10"/>
  <c r="ES14" i="10" s="1"/>
  <c r="CX60" i="10"/>
  <c r="CX14" i="10" s="1"/>
  <c r="DA60" i="10"/>
  <c r="DA14" i="10" s="1"/>
  <c r="R60" i="10"/>
  <c r="R14" i="10" s="1"/>
  <c r="BS60" i="10"/>
  <c r="BS14" i="10" s="1"/>
  <c r="EE60" i="10"/>
  <c r="EE14" i="10" s="1"/>
  <c r="AV60" i="10"/>
  <c r="AV14" i="10" s="1"/>
  <c r="DL60" i="10"/>
  <c r="DL14" i="10" s="1"/>
  <c r="AB60" i="10"/>
  <c r="AB14" i="10" s="1"/>
  <c r="AW60" i="10"/>
  <c r="AW14" i="10" s="1"/>
  <c r="BV60" i="10"/>
  <c r="BV14" i="10" s="1"/>
  <c r="DB60" i="10"/>
  <c r="DB14" i="10" s="1"/>
  <c r="EH60" i="10"/>
  <c r="EH14" i="10" s="1"/>
  <c r="BD60" i="10"/>
  <c r="BD14" i="10" s="1"/>
  <c r="CO60" i="10"/>
  <c r="CO14" i="10" s="1"/>
  <c r="DU60" i="10"/>
  <c r="DU14" i="10" s="1"/>
  <c r="AN60" i="10"/>
  <c r="AN14" i="10" s="1"/>
  <c r="DN60" i="10"/>
  <c r="DN14" i="10" s="1"/>
  <c r="AS60" i="10"/>
  <c r="AS14" i="10" s="1"/>
  <c r="DQ60" i="10"/>
  <c r="DQ14" i="10" s="1"/>
  <c r="AH60" i="10"/>
  <c r="AH14" i="10" s="1"/>
  <c r="CI60" i="10"/>
  <c r="CI14" i="10" s="1"/>
  <c r="EB60" i="10"/>
  <c r="EB14" i="10" s="1"/>
  <c r="L60" i="10"/>
  <c r="L14" i="10" s="1"/>
  <c r="BC60" i="10"/>
  <c r="BC14" i="10" s="1"/>
  <c r="CD60" i="10"/>
  <c r="CD14" i="10" s="1"/>
  <c r="EP60" i="10"/>
  <c r="EP14" i="10" s="1"/>
  <c r="BQ60" i="10"/>
  <c r="BQ14" i="10" s="1"/>
  <c r="EC60" i="10"/>
  <c r="EC14" i="10" s="1"/>
  <c r="ED60" i="10"/>
  <c r="ED14" i="10" s="1"/>
  <c r="EG60" i="10"/>
  <c r="EG14" i="10" s="1"/>
  <c r="CP60" i="10"/>
  <c r="CP14" i="10" s="1"/>
  <c r="DI60" i="10"/>
  <c r="DI14" i="10" s="1"/>
  <c r="BM60" i="10"/>
  <c r="BM14" i="10" s="1"/>
  <c r="AX60" i="10"/>
  <c r="AX14" i="10" s="1"/>
  <c r="CY60" i="10"/>
  <c r="CY14" i="10" s="1"/>
  <c r="ER60" i="10"/>
  <c r="ER14" i="10" s="1"/>
  <c r="Q60" i="10"/>
  <c r="Q14" i="10" s="1"/>
  <c r="BH60" i="10"/>
  <c r="BH14" i="10" s="1"/>
  <c r="CL60" i="10"/>
  <c r="CL14" i="10" s="1"/>
  <c r="BY60" i="10"/>
  <c r="BY14" i="10" s="1"/>
  <c r="EK60" i="10"/>
  <c r="EK14" i="10" s="1"/>
  <c r="ET60" i="10"/>
  <c r="ET14" i="10" s="1"/>
  <c r="S60" i="10"/>
  <c r="S14" i="10" s="1"/>
  <c r="DF60" i="10"/>
  <c r="DF14" i="10" s="1"/>
  <c r="DY60" i="10"/>
  <c r="DY14" i="10" s="1"/>
  <c r="I60" i="10"/>
  <c r="I14" i="10" s="1"/>
  <c r="BP60" i="10"/>
  <c r="BP14" i="10" s="1"/>
  <c r="AG60" i="10"/>
  <c r="AG14" i="10" s="1"/>
  <c r="AC60" i="10"/>
  <c r="AC14" i="10" s="1"/>
  <c r="DJ60" i="10"/>
  <c r="DJ14" i="10" s="1"/>
  <c r="CW60" i="10"/>
  <c r="CW14" i="10" s="1"/>
  <c r="BR60" i="10"/>
  <c r="BR14" i="10" s="1"/>
  <c r="BU60" i="10"/>
  <c r="BU14" i="10" s="1"/>
  <c r="CF60" i="10"/>
  <c r="CF14" i="10" s="1"/>
  <c r="DR60" i="10"/>
  <c r="DR14" i="10" s="1"/>
  <c r="M60" i="10"/>
  <c r="M14" i="10" s="1"/>
  <c r="BZ60" i="10"/>
  <c r="BZ14" i="10" s="1"/>
  <c r="X60" i="10"/>
  <c r="X14" i="10" s="1"/>
  <c r="EO60" i="10"/>
  <c r="EO14" i="10" s="1"/>
  <c r="CS60" i="10"/>
  <c r="CS14" i="10" s="1"/>
  <c r="AE60" i="10"/>
  <c r="AE14" i="10" s="1"/>
  <c r="AM60" i="10"/>
  <c r="AM14" i="10" s="1"/>
  <c r="DE60" i="10"/>
  <c r="DE14" i="10" s="1"/>
  <c r="CH60" i="10"/>
  <c r="CH14" i="10" s="1"/>
  <c r="CK60" i="10"/>
  <c r="CK14" i="10" s="1"/>
  <c r="DV60" i="10"/>
  <c r="DV14" i="10" s="1"/>
  <c r="EL60" i="10"/>
  <c r="EL14" i="10" s="1"/>
  <c r="CC60" i="10"/>
  <c r="CC14" i="10" s="1"/>
  <c r="BI60" i="10"/>
  <c r="BI14" i="10" s="1"/>
  <c r="AY60" i="10"/>
  <c r="AY14" i="10" s="1"/>
  <c r="H60" i="10"/>
  <c r="H14" i="10" s="1"/>
  <c r="G60" i="10"/>
  <c r="G14" i="10" s="1"/>
  <c r="W60" i="15"/>
  <c r="W14" i="15" s="1"/>
  <c r="AM60" i="15"/>
  <c r="AM14" i="15" s="1"/>
  <c r="BC60" i="15"/>
  <c r="BC14" i="15" s="1"/>
  <c r="T60" i="15"/>
  <c r="T14" i="15" s="1"/>
  <c r="AJ60" i="15"/>
  <c r="AJ14" i="15" s="1"/>
  <c r="AZ60" i="15"/>
  <c r="AZ14" i="15" s="1"/>
  <c r="Q60" i="15"/>
  <c r="Q14" i="15" s="1"/>
  <c r="AG60" i="15"/>
  <c r="AG14" i="15" s="1"/>
  <c r="AW60" i="15"/>
  <c r="AW14" i="15" s="1"/>
  <c r="BJ60" i="15"/>
  <c r="BJ14" i="15" s="1"/>
  <c r="BZ60" i="15"/>
  <c r="BZ14" i="15" s="1"/>
  <c r="CP60" i="15"/>
  <c r="CP14" i="15" s="1"/>
  <c r="K60" i="15"/>
  <c r="K14" i="15" s="1"/>
  <c r="AA60" i="15"/>
  <c r="AA14" i="15" s="1"/>
  <c r="AQ60" i="15"/>
  <c r="AQ14" i="15" s="1"/>
  <c r="BG60" i="15"/>
  <c r="BG14" i="15" s="1"/>
  <c r="H60" i="15"/>
  <c r="H14" i="15" s="1"/>
  <c r="X60" i="15"/>
  <c r="X14" i="15" s="1"/>
  <c r="AN60" i="15"/>
  <c r="AN14" i="15" s="1"/>
  <c r="BD60" i="15"/>
  <c r="BD14" i="15" s="1"/>
  <c r="U60" i="15"/>
  <c r="U14" i="15" s="1"/>
  <c r="AK60" i="15"/>
  <c r="AK14" i="15" s="1"/>
  <c r="BA60" i="15"/>
  <c r="BA14" i="15" s="1"/>
  <c r="N60" i="15"/>
  <c r="N14" i="15" s="1"/>
  <c r="BN60" i="15"/>
  <c r="BN14" i="15" s="1"/>
  <c r="CD60" i="15"/>
  <c r="CD14" i="15" s="1"/>
  <c r="CT60" i="15"/>
  <c r="CT14" i="15" s="1"/>
  <c r="O60" i="15"/>
  <c r="O14" i="15" s="1"/>
  <c r="AE60" i="15"/>
  <c r="AE14" i="15" s="1"/>
  <c r="AU60" i="15"/>
  <c r="AU14" i="15" s="1"/>
  <c r="L60" i="15"/>
  <c r="L14" i="15" s="1"/>
  <c r="AB60" i="15"/>
  <c r="AB14" i="15" s="1"/>
  <c r="AR60" i="15"/>
  <c r="AR14" i="15" s="1"/>
  <c r="BH60" i="15"/>
  <c r="BH14" i="15" s="1"/>
  <c r="I60" i="15"/>
  <c r="I14" i="15" s="1"/>
  <c r="Y60" i="15"/>
  <c r="Y14" i="15" s="1"/>
  <c r="AO60" i="15"/>
  <c r="AO14" i="15" s="1"/>
  <c r="BE60" i="15"/>
  <c r="BE14" i="15" s="1"/>
  <c r="AD60" i="15"/>
  <c r="AD14" i="15" s="1"/>
  <c r="BR60" i="15"/>
  <c r="BR14" i="15" s="1"/>
  <c r="CH60" i="15"/>
  <c r="CH14" i="15" s="1"/>
  <c r="CX60" i="15"/>
  <c r="CX14" i="15" s="1"/>
  <c r="S60" i="15"/>
  <c r="S14" i="15" s="1"/>
  <c r="AI60" i="15"/>
  <c r="AI14" i="15" s="1"/>
  <c r="AY60" i="15"/>
  <c r="AY14" i="15" s="1"/>
  <c r="P60" i="15"/>
  <c r="P14" i="15" s="1"/>
  <c r="AF60" i="15"/>
  <c r="AF14" i="15" s="1"/>
  <c r="AV60" i="15"/>
  <c r="AV14" i="15" s="1"/>
  <c r="M60" i="15"/>
  <c r="M14" i="15" s="1"/>
  <c r="AC60" i="15"/>
  <c r="AC14" i="15" s="1"/>
  <c r="AS60" i="15"/>
  <c r="AS14" i="15" s="1"/>
  <c r="BI60" i="15"/>
  <c r="BI14" i="15" s="1"/>
  <c r="AT60" i="15"/>
  <c r="AT14" i="15" s="1"/>
  <c r="BV60" i="15"/>
  <c r="BV14" i="15" s="1"/>
  <c r="CL60" i="15"/>
  <c r="CL14" i="15" s="1"/>
  <c r="DB60" i="15"/>
  <c r="DB14" i="15" s="1"/>
  <c r="DF60" i="15"/>
  <c r="DF14" i="15" s="1"/>
  <c r="DV60" i="15"/>
  <c r="DV14" i="15" s="1"/>
  <c r="EL60" i="15"/>
  <c r="EL14" i="15" s="1"/>
  <c r="BK60" i="15"/>
  <c r="BK14" i="15" s="1"/>
  <c r="CA60" i="15"/>
  <c r="CA14" i="15" s="1"/>
  <c r="CQ60" i="15"/>
  <c r="CQ14" i="15" s="1"/>
  <c r="DG60" i="15"/>
  <c r="DG14" i="15" s="1"/>
  <c r="DW60" i="15"/>
  <c r="DW14" i="15" s="1"/>
  <c r="EM60" i="15"/>
  <c r="EM14" i="15" s="1"/>
  <c r="BB60" i="15"/>
  <c r="BB14" i="15" s="1"/>
  <c r="BX60" i="15"/>
  <c r="BX14" i="15" s="1"/>
  <c r="CN60" i="15"/>
  <c r="CN14" i="15" s="1"/>
  <c r="DD60" i="15"/>
  <c r="DD14" i="15" s="1"/>
  <c r="DT60" i="15"/>
  <c r="DT14" i="15" s="1"/>
  <c r="EJ60" i="15"/>
  <c r="EJ14" i="15" s="1"/>
  <c r="AP60" i="15"/>
  <c r="AP14" i="15" s="1"/>
  <c r="BU60" i="15"/>
  <c r="BU14" i="15" s="1"/>
  <c r="CK60" i="15"/>
  <c r="CK14" i="15" s="1"/>
  <c r="DA60" i="15"/>
  <c r="DA14" i="15" s="1"/>
  <c r="DQ60" i="15"/>
  <c r="DQ14" i="15" s="1"/>
  <c r="EG60" i="15"/>
  <c r="EG14" i="15" s="1"/>
  <c r="DJ60" i="15"/>
  <c r="DJ14" i="15" s="1"/>
  <c r="DZ60" i="15"/>
  <c r="DZ14" i="15" s="1"/>
  <c r="EP60" i="15"/>
  <c r="EP14" i="15" s="1"/>
  <c r="R60" i="15"/>
  <c r="R14" i="15" s="1"/>
  <c r="BO60" i="15"/>
  <c r="BO14" i="15" s="1"/>
  <c r="CE60" i="15"/>
  <c r="CE14" i="15" s="1"/>
  <c r="CU60" i="15"/>
  <c r="CU14" i="15" s="1"/>
  <c r="DK60" i="15"/>
  <c r="DK14" i="15" s="1"/>
  <c r="EA60" i="15"/>
  <c r="EA14" i="15" s="1"/>
  <c r="EQ60" i="15"/>
  <c r="EQ14" i="15" s="1"/>
  <c r="BL60" i="15"/>
  <c r="BL14" i="15" s="1"/>
  <c r="CB60" i="15"/>
  <c r="CB14" i="15" s="1"/>
  <c r="CR60" i="15"/>
  <c r="CR14" i="15" s="1"/>
  <c r="DH60" i="15"/>
  <c r="DH14" i="15" s="1"/>
  <c r="DX60" i="15"/>
  <c r="DX14" i="15" s="1"/>
  <c r="EN60" i="15"/>
  <c r="EN14" i="15" s="1"/>
  <c r="BF60" i="15"/>
  <c r="BF14" i="15" s="1"/>
  <c r="BY60" i="15"/>
  <c r="BY14" i="15" s="1"/>
  <c r="CO60" i="15"/>
  <c r="CO14" i="15" s="1"/>
  <c r="DE60" i="15"/>
  <c r="DE14" i="15" s="1"/>
  <c r="DU60" i="15"/>
  <c r="DU14" i="15" s="1"/>
  <c r="EK60" i="15"/>
  <c r="EK14" i="15" s="1"/>
  <c r="DN60" i="15"/>
  <c r="DN14" i="15" s="1"/>
  <c r="ED60" i="15"/>
  <c r="ED14" i="15" s="1"/>
  <c r="ET60" i="15"/>
  <c r="ET14" i="15" s="1"/>
  <c r="AH60" i="15"/>
  <c r="AH14" i="15" s="1"/>
  <c r="BS60" i="15"/>
  <c r="BS14" i="15" s="1"/>
  <c r="CI60" i="15"/>
  <c r="CI14" i="15" s="1"/>
  <c r="CY60" i="15"/>
  <c r="CY14" i="15" s="1"/>
  <c r="DO60" i="15"/>
  <c r="DO14" i="15" s="1"/>
  <c r="EE60" i="15"/>
  <c r="EE14" i="15" s="1"/>
  <c r="V60" i="15"/>
  <c r="V14" i="15" s="1"/>
  <c r="BP60" i="15"/>
  <c r="BP14" i="15" s="1"/>
  <c r="CF60" i="15"/>
  <c r="CF14" i="15" s="1"/>
  <c r="CV60" i="15"/>
  <c r="CV14" i="15" s="1"/>
  <c r="DL60" i="15"/>
  <c r="DL14" i="15" s="1"/>
  <c r="EB60" i="15"/>
  <c r="EB14" i="15" s="1"/>
  <c r="ER60" i="15"/>
  <c r="ER14" i="15" s="1"/>
  <c r="J60" i="15"/>
  <c r="J14" i="15" s="1"/>
  <c r="BM60" i="15"/>
  <c r="BM14" i="15" s="1"/>
  <c r="CC60" i="15"/>
  <c r="CC14" i="15" s="1"/>
  <c r="CS60" i="15"/>
  <c r="CS14" i="15" s="1"/>
  <c r="DI60" i="15"/>
  <c r="DI14" i="15" s="1"/>
  <c r="DY60" i="15"/>
  <c r="DY14" i="15" s="1"/>
  <c r="EO60" i="15"/>
  <c r="EO14" i="15" s="1"/>
  <c r="DR60" i="15"/>
  <c r="DR14" i="15" s="1"/>
  <c r="EH60" i="15"/>
  <c r="EH14" i="15" s="1"/>
  <c r="AX60" i="15"/>
  <c r="AX14" i="15" s="1"/>
  <c r="BW60" i="15"/>
  <c r="BW14" i="15" s="1"/>
  <c r="CM60" i="15"/>
  <c r="CM14" i="15" s="1"/>
  <c r="DC60" i="15"/>
  <c r="DC14" i="15" s="1"/>
  <c r="DS60" i="15"/>
  <c r="DS14" i="15" s="1"/>
  <c r="EI60" i="15"/>
  <c r="EI14" i="15" s="1"/>
  <c r="AL60" i="15"/>
  <c r="AL14" i="15" s="1"/>
  <c r="BT60" i="15"/>
  <c r="BT14" i="15" s="1"/>
  <c r="CJ60" i="15"/>
  <c r="CJ14" i="15" s="1"/>
  <c r="CZ60" i="15"/>
  <c r="CZ14" i="15" s="1"/>
  <c r="DP60" i="15"/>
  <c r="DP14" i="15" s="1"/>
  <c r="EF60" i="15"/>
  <c r="EF14" i="15" s="1"/>
  <c r="Z60" i="15"/>
  <c r="Z14" i="15" s="1"/>
  <c r="BQ60" i="15"/>
  <c r="BQ14" i="15" s="1"/>
  <c r="CG60" i="15"/>
  <c r="CG14" i="15" s="1"/>
  <c r="CW60" i="15"/>
  <c r="CW14" i="15" s="1"/>
  <c r="DM60" i="15"/>
  <c r="DM14" i="15" s="1"/>
  <c r="EC60" i="15"/>
  <c r="EC14" i="15" s="1"/>
  <c r="ES60" i="15"/>
  <c r="ES14" i="15" s="1"/>
  <c r="G60" i="15"/>
  <c r="G14" i="15" s="1"/>
  <c r="F15" i="15"/>
  <c r="F15" i="10"/>
  <c r="BK6" i="2"/>
  <c r="D66" i="2"/>
  <c r="C61" i="5"/>
  <c r="AR27" i="5"/>
  <c r="C62" i="5" s="1"/>
  <c r="D62" i="5" l="1"/>
  <c r="T62" i="5"/>
  <c r="P62" i="5"/>
  <c r="L62" i="5"/>
  <c r="H62" i="5"/>
  <c r="S62" i="5"/>
  <c r="O62" i="5"/>
  <c r="K62" i="5"/>
  <c r="G62" i="5"/>
  <c r="R62" i="5"/>
  <c r="N62" i="5"/>
  <c r="J62" i="5"/>
  <c r="F62" i="5"/>
  <c r="Q62" i="5"/>
  <c r="E62" i="5"/>
  <c r="M62" i="5"/>
  <c r="I62" i="5"/>
  <c r="J61" i="5"/>
  <c r="N61" i="5"/>
  <c r="R61" i="5"/>
  <c r="L61" i="5"/>
  <c r="T61" i="5"/>
  <c r="Q61" i="5"/>
  <c r="K61" i="5"/>
  <c r="O61" i="5"/>
  <c r="S61" i="5"/>
  <c r="H61" i="5"/>
  <c r="P61" i="5"/>
  <c r="I61" i="5"/>
  <c r="M61" i="5"/>
  <c r="H66" i="2"/>
  <c r="J66" i="2"/>
  <c r="N66" i="2"/>
  <c r="R66" i="2"/>
  <c r="K66" i="2"/>
  <c r="O66" i="2"/>
  <c r="S66" i="2"/>
  <c r="L66" i="2"/>
  <c r="P66" i="2"/>
  <c r="T66" i="2"/>
  <c r="I66" i="2"/>
  <c r="M66" i="2"/>
  <c r="Q66" i="2"/>
  <c r="U66" i="2"/>
  <c r="D1725" i="12"/>
  <c r="F1724" i="12"/>
  <c r="E1724" i="12"/>
  <c r="EQ22" i="5"/>
  <c r="BF27" i="5"/>
  <c r="G61" i="5"/>
  <c r="BC27" i="5"/>
  <c r="AR23" i="2"/>
  <c r="BB22" i="2"/>
  <c r="M61" i="10"/>
  <c r="M15" i="10" s="1"/>
  <c r="AC61" i="10"/>
  <c r="AC15" i="10" s="1"/>
  <c r="AS61" i="10"/>
  <c r="AS15" i="10" s="1"/>
  <c r="BI61" i="10"/>
  <c r="BI15" i="10" s="1"/>
  <c r="J61" i="10"/>
  <c r="J15" i="10" s="1"/>
  <c r="Z61" i="10"/>
  <c r="Z15" i="10" s="1"/>
  <c r="AP61" i="10"/>
  <c r="AP15" i="10" s="1"/>
  <c r="BF61" i="10"/>
  <c r="BF15" i="10" s="1"/>
  <c r="BV61" i="10"/>
  <c r="BV15" i="10" s="1"/>
  <c r="Q61" i="10"/>
  <c r="Q15" i="10" s="1"/>
  <c r="AG61" i="10"/>
  <c r="AG15" i="10" s="1"/>
  <c r="AW61" i="10"/>
  <c r="AW15" i="10" s="1"/>
  <c r="BM61" i="10"/>
  <c r="BM15" i="10" s="1"/>
  <c r="N61" i="10"/>
  <c r="N15" i="10" s="1"/>
  <c r="AD61" i="10"/>
  <c r="AD15" i="10" s="1"/>
  <c r="AT61" i="10"/>
  <c r="AT15" i="10" s="1"/>
  <c r="BJ61" i="10"/>
  <c r="BJ15" i="10" s="1"/>
  <c r="BZ61" i="10"/>
  <c r="BZ15" i="10" s="1"/>
  <c r="U61" i="10"/>
  <c r="U15" i="10" s="1"/>
  <c r="AK61" i="10"/>
  <c r="AK15" i="10" s="1"/>
  <c r="BA61" i="10"/>
  <c r="BA15" i="10" s="1"/>
  <c r="BQ61" i="10"/>
  <c r="BQ15" i="10" s="1"/>
  <c r="R61" i="10"/>
  <c r="R15" i="10" s="1"/>
  <c r="AH61" i="10"/>
  <c r="AH15" i="10" s="1"/>
  <c r="AX61" i="10"/>
  <c r="AX15" i="10" s="1"/>
  <c r="BN61" i="10"/>
  <c r="BN15" i="10" s="1"/>
  <c r="CD61" i="10"/>
  <c r="CD15" i="10" s="1"/>
  <c r="AO61" i="10"/>
  <c r="AO15" i="10" s="1"/>
  <c r="V61" i="10"/>
  <c r="V15" i="10" s="1"/>
  <c r="CH61" i="10"/>
  <c r="CH15" i="10" s="1"/>
  <c r="T61" i="10"/>
  <c r="T15" i="10" s="1"/>
  <c r="AZ61" i="10"/>
  <c r="AZ15" i="10" s="1"/>
  <c r="CB61" i="10"/>
  <c r="CB15" i="10" s="1"/>
  <c r="CT61" i="10"/>
  <c r="CT15" i="10" s="1"/>
  <c r="DJ61" i="10"/>
  <c r="DJ15" i="10" s="1"/>
  <c r="DZ61" i="10"/>
  <c r="DZ15" i="10" s="1"/>
  <c r="EP61" i="10"/>
  <c r="EP15" i="10" s="1"/>
  <c r="AM61" i="10"/>
  <c r="AM15" i="10" s="1"/>
  <c r="BS61" i="10"/>
  <c r="BS15" i="10" s="1"/>
  <c r="CM61" i="10"/>
  <c r="CM15" i="10" s="1"/>
  <c r="DC61" i="10"/>
  <c r="DC15" i="10" s="1"/>
  <c r="DS61" i="10"/>
  <c r="DS15" i="10" s="1"/>
  <c r="EI61" i="10"/>
  <c r="EI15" i="10" s="1"/>
  <c r="X61" i="10"/>
  <c r="X15" i="10" s="1"/>
  <c r="CE61" i="10"/>
  <c r="CE15" i="10" s="1"/>
  <c r="DL61" i="10"/>
  <c r="DL15" i="10" s="1"/>
  <c r="ER61" i="10"/>
  <c r="ER15" i="10" s="1"/>
  <c r="AA61" i="10"/>
  <c r="AA15" i="10" s="1"/>
  <c r="CF61" i="10"/>
  <c r="CF15" i="10" s="1"/>
  <c r="DM61" i="10"/>
  <c r="DM15" i="10" s="1"/>
  <c r="ES61" i="10"/>
  <c r="ES15" i="10" s="1"/>
  <c r="BE61" i="10"/>
  <c r="BE15" i="10" s="1"/>
  <c r="AL61" i="10"/>
  <c r="AL15" i="10" s="1"/>
  <c r="AB61" i="10"/>
  <c r="AB15" i="10" s="1"/>
  <c r="BH61" i="10"/>
  <c r="BH15" i="10" s="1"/>
  <c r="CG61" i="10"/>
  <c r="CG15" i="10" s="1"/>
  <c r="CX61" i="10"/>
  <c r="CX15" i="10" s="1"/>
  <c r="DN61" i="10"/>
  <c r="DN15" i="10" s="1"/>
  <c r="ED61" i="10"/>
  <c r="ED15" i="10" s="1"/>
  <c r="ET61" i="10"/>
  <c r="ET15" i="10" s="1"/>
  <c r="O61" i="10"/>
  <c r="O15" i="10" s="1"/>
  <c r="AU61" i="10"/>
  <c r="AU15" i="10" s="1"/>
  <c r="BX61" i="10"/>
  <c r="BX15" i="10" s="1"/>
  <c r="CQ61" i="10"/>
  <c r="CQ15" i="10" s="1"/>
  <c r="DG61" i="10"/>
  <c r="DG15" i="10" s="1"/>
  <c r="DW61" i="10"/>
  <c r="DW15" i="10" s="1"/>
  <c r="EM61" i="10"/>
  <c r="EM15" i="10" s="1"/>
  <c r="AN61" i="10"/>
  <c r="AN15" i="10" s="1"/>
  <c r="CN61" i="10"/>
  <c r="CN15" i="10" s="1"/>
  <c r="DT61" i="10"/>
  <c r="DT15" i="10" s="1"/>
  <c r="AQ61" i="10"/>
  <c r="AQ15" i="10" s="1"/>
  <c r="CO61" i="10"/>
  <c r="CO15" i="10" s="1"/>
  <c r="DU61" i="10"/>
  <c r="DU15" i="10" s="1"/>
  <c r="BP61" i="10"/>
  <c r="BP15" i="10" s="1"/>
  <c r="DB61" i="10"/>
  <c r="DB15" i="10" s="1"/>
  <c r="EH61" i="10"/>
  <c r="EH15" i="10" s="1"/>
  <c r="BC61" i="10"/>
  <c r="BC15" i="10" s="1"/>
  <c r="CU61" i="10"/>
  <c r="CU15" i="10" s="1"/>
  <c r="EA61" i="10"/>
  <c r="EA15" i="10" s="1"/>
  <c r="CV61" i="10"/>
  <c r="CV15" i="10" s="1"/>
  <c r="CW61" i="10"/>
  <c r="CW15" i="10" s="1"/>
  <c r="P61" i="10"/>
  <c r="P15" i="10" s="1"/>
  <c r="BY61" i="10"/>
  <c r="BY15" i="10" s="1"/>
  <c r="DH61" i="10"/>
  <c r="DH15" i="10" s="1"/>
  <c r="EN61" i="10"/>
  <c r="EN15" i="10" s="1"/>
  <c r="DY61" i="10"/>
  <c r="L61" i="10"/>
  <c r="L15" i="10" s="1"/>
  <c r="BW61" i="10"/>
  <c r="BW15" i="10" s="1"/>
  <c r="DF61" i="10"/>
  <c r="DF15" i="10" s="1"/>
  <c r="EL61" i="10"/>
  <c r="EL15" i="10" s="1"/>
  <c r="BK61" i="10"/>
  <c r="BK15" i="10" s="1"/>
  <c r="CY61" i="10"/>
  <c r="CY15" i="10" s="1"/>
  <c r="EE61" i="10"/>
  <c r="EE15" i="10" s="1"/>
  <c r="DD61" i="10"/>
  <c r="DD15" i="10" s="1"/>
  <c r="K61" i="10"/>
  <c r="K15" i="10" s="1"/>
  <c r="DE61" i="10"/>
  <c r="DE15" i="10" s="1"/>
  <c r="AF61" i="10"/>
  <c r="AF15" i="10" s="1"/>
  <c r="CJ61" i="10"/>
  <c r="CJ15" i="10" s="1"/>
  <c r="DP61" i="10"/>
  <c r="DP15" i="10" s="1"/>
  <c r="AI61" i="10"/>
  <c r="AI15" i="10" s="1"/>
  <c r="I61" i="10"/>
  <c r="I15" i="10" s="1"/>
  <c r="BB61" i="10"/>
  <c r="BB15" i="10" s="1"/>
  <c r="AJ61" i="10"/>
  <c r="AJ15" i="10" s="1"/>
  <c r="CL61" i="10"/>
  <c r="CL15" i="10" s="1"/>
  <c r="DR61" i="10"/>
  <c r="DR15" i="10" s="1"/>
  <c r="W61" i="10"/>
  <c r="W15" i="10" s="1"/>
  <c r="CC61" i="10"/>
  <c r="CC15" i="10" s="1"/>
  <c r="DK61" i="10"/>
  <c r="DK15" i="10" s="1"/>
  <c r="EQ61" i="10"/>
  <c r="EQ15" i="10" s="1"/>
  <c r="BD61" i="10"/>
  <c r="BD15" i="10" s="1"/>
  <c r="EB61" i="10"/>
  <c r="EB15" i="10" s="1"/>
  <c r="BG61" i="10"/>
  <c r="BG15" i="10" s="1"/>
  <c r="EC61" i="10"/>
  <c r="EC15" i="10" s="1"/>
  <c r="DO61" i="10"/>
  <c r="DO15" i="10" s="1"/>
  <c r="BL61" i="10"/>
  <c r="BL15" i="10" s="1"/>
  <c r="EF61" i="10"/>
  <c r="EF15" i="10" s="1"/>
  <c r="BR61" i="10"/>
  <c r="BR15" i="10" s="1"/>
  <c r="AR61" i="10"/>
  <c r="AR15" i="10" s="1"/>
  <c r="CR61" i="10"/>
  <c r="CR15" i="10" s="1"/>
  <c r="CK61" i="10"/>
  <c r="CK15" i="10" s="1"/>
  <c r="AY61" i="10"/>
  <c r="AY15" i="10" s="1"/>
  <c r="BO61" i="10"/>
  <c r="BO15" i="10" s="1"/>
  <c r="DI61" i="10"/>
  <c r="DI15" i="10" s="1"/>
  <c r="EO61" i="10"/>
  <c r="EO15" i="10" s="1"/>
  <c r="Y61" i="10"/>
  <c r="Y15" i="10" s="1"/>
  <c r="CP61" i="10"/>
  <c r="CP15" i="10" s="1"/>
  <c r="AE61" i="10"/>
  <c r="AE15" i="10" s="1"/>
  <c r="BT61" i="10"/>
  <c r="BT15" i="10" s="1"/>
  <c r="BU61" i="10"/>
  <c r="BU15" i="10" s="1"/>
  <c r="CZ61" i="10"/>
  <c r="CZ15" i="10" s="1"/>
  <c r="DQ61" i="10"/>
  <c r="DQ15" i="10" s="1"/>
  <c r="CS61" i="10"/>
  <c r="CS15" i="10" s="1"/>
  <c r="DA61" i="10"/>
  <c r="DA15" i="10" s="1"/>
  <c r="DV61" i="10"/>
  <c r="DV15" i="10" s="1"/>
  <c r="DX61" i="10"/>
  <c r="DX15" i="10" s="1"/>
  <c r="CI61" i="10"/>
  <c r="CI15" i="10" s="1"/>
  <c r="EJ61" i="10"/>
  <c r="EJ15" i="10" s="1"/>
  <c r="EK61" i="10"/>
  <c r="EK15" i="10" s="1"/>
  <c r="AV61" i="10"/>
  <c r="AV15" i="10" s="1"/>
  <c r="S61" i="10"/>
  <c r="S15" i="10" s="1"/>
  <c r="EG61" i="10"/>
  <c r="EG15" i="10" s="1"/>
  <c r="CA61" i="10"/>
  <c r="CA15" i="10" s="1"/>
  <c r="G61" i="10"/>
  <c r="G15" i="10" s="1"/>
  <c r="H61" i="10"/>
  <c r="H15" i="10" s="1"/>
  <c r="P61" i="15"/>
  <c r="P15" i="15" s="1"/>
  <c r="AF61" i="15"/>
  <c r="AF15" i="15" s="1"/>
  <c r="AV61" i="15"/>
  <c r="AV15" i="15" s="1"/>
  <c r="BL61" i="15"/>
  <c r="BL15" i="15" s="1"/>
  <c r="CB61" i="15"/>
  <c r="CB15" i="15" s="1"/>
  <c r="CR61" i="15"/>
  <c r="CR15" i="15" s="1"/>
  <c r="DH61" i="15"/>
  <c r="DH15" i="15" s="1"/>
  <c r="DX61" i="15"/>
  <c r="DX15" i="15" s="1"/>
  <c r="EN61" i="15"/>
  <c r="EN15" i="15" s="1"/>
  <c r="M61" i="15"/>
  <c r="M15" i="15" s="1"/>
  <c r="AC61" i="15"/>
  <c r="AC15" i="15" s="1"/>
  <c r="AS61" i="15"/>
  <c r="AS15" i="15" s="1"/>
  <c r="BI61" i="15"/>
  <c r="BI15" i="15" s="1"/>
  <c r="BY61" i="15"/>
  <c r="BY15" i="15" s="1"/>
  <c r="CO61" i="15"/>
  <c r="CO15" i="15" s="1"/>
  <c r="DE61" i="15"/>
  <c r="DE15" i="15" s="1"/>
  <c r="DU61" i="15"/>
  <c r="DU15" i="15" s="1"/>
  <c r="EK61" i="15"/>
  <c r="EK15" i="15" s="1"/>
  <c r="J61" i="15"/>
  <c r="J15" i="15" s="1"/>
  <c r="Z61" i="15"/>
  <c r="Z15" i="15" s="1"/>
  <c r="AP61" i="15"/>
  <c r="AP15" i="15" s="1"/>
  <c r="BF61" i="15"/>
  <c r="BF15" i="15" s="1"/>
  <c r="BV61" i="15"/>
  <c r="BV15" i="15" s="1"/>
  <c r="CL61" i="15"/>
  <c r="CL15" i="15" s="1"/>
  <c r="DB61" i="15"/>
  <c r="DB15" i="15" s="1"/>
  <c r="DR61" i="15"/>
  <c r="DR15" i="15" s="1"/>
  <c r="EH61" i="15"/>
  <c r="EH15" i="15" s="1"/>
  <c r="AE61" i="15"/>
  <c r="AE15" i="15" s="1"/>
  <c r="CQ61" i="15"/>
  <c r="CQ15" i="15" s="1"/>
  <c r="BS61" i="15"/>
  <c r="BS15" i="15" s="1"/>
  <c r="EE61" i="15"/>
  <c r="EE15" i="15" s="1"/>
  <c r="T61" i="15"/>
  <c r="T15" i="15" s="1"/>
  <c r="AJ61" i="15"/>
  <c r="AJ15" i="15" s="1"/>
  <c r="AZ61" i="15"/>
  <c r="AZ15" i="15" s="1"/>
  <c r="BP61" i="15"/>
  <c r="BP15" i="15" s="1"/>
  <c r="CF61" i="15"/>
  <c r="CF15" i="15" s="1"/>
  <c r="CV61" i="15"/>
  <c r="CV15" i="15" s="1"/>
  <c r="DL61" i="15"/>
  <c r="DL15" i="15" s="1"/>
  <c r="EB61" i="15"/>
  <c r="EB15" i="15" s="1"/>
  <c r="ER61" i="15"/>
  <c r="ER15" i="15" s="1"/>
  <c r="Q61" i="15"/>
  <c r="Q15" i="15" s="1"/>
  <c r="AG61" i="15"/>
  <c r="AG15" i="15" s="1"/>
  <c r="AW61" i="15"/>
  <c r="AW15" i="15" s="1"/>
  <c r="BM61" i="15"/>
  <c r="BM15" i="15" s="1"/>
  <c r="CC61" i="15"/>
  <c r="CC15" i="15" s="1"/>
  <c r="CS61" i="15"/>
  <c r="CS15" i="15" s="1"/>
  <c r="DI61" i="15"/>
  <c r="DI15" i="15" s="1"/>
  <c r="DY61" i="15"/>
  <c r="DY15" i="15" s="1"/>
  <c r="EO61" i="15"/>
  <c r="EO15" i="15" s="1"/>
  <c r="N61" i="15"/>
  <c r="N15" i="15" s="1"/>
  <c r="AD61" i="15"/>
  <c r="AD15" i="15" s="1"/>
  <c r="AT61" i="15"/>
  <c r="AT15" i="15" s="1"/>
  <c r="BJ61" i="15"/>
  <c r="BJ15" i="15" s="1"/>
  <c r="BZ61" i="15"/>
  <c r="BZ15" i="15" s="1"/>
  <c r="CP61" i="15"/>
  <c r="CP15" i="15" s="1"/>
  <c r="DF61" i="15"/>
  <c r="DF15" i="15" s="1"/>
  <c r="DV61" i="15"/>
  <c r="DV15" i="15" s="1"/>
  <c r="EL61" i="15"/>
  <c r="EL15" i="15" s="1"/>
  <c r="AU61" i="15"/>
  <c r="AU15" i="15" s="1"/>
  <c r="DG61" i="15"/>
  <c r="DG15" i="15" s="1"/>
  <c r="W61" i="15"/>
  <c r="W15" i="15" s="1"/>
  <c r="CI61" i="15"/>
  <c r="CI15" i="15" s="1"/>
  <c r="H61" i="15"/>
  <c r="H15" i="15" s="1"/>
  <c r="X61" i="15"/>
  <c r="X15" i="15" s="1"/>
  <c r="AN61" i="15"/>
  <c r="AN15" i="15" s="1"/>
  <c r="BD61" i="15"/>
  <c r="BD15" i="15" s="1"/>
  <c r="BT61" i="15"/>
  <c r="BT15" i="15" s="1"/>
  <c r="CJ61" i="15"/>
  <c r="CJ15" i="15" s="1"/>
  <c r="CZ61" i="15"/>
  <c r="CZ15" i="15" s="1"/>
  <c r="DP61" i="15"/>
  <c r="DP15" i="15" s="1"/>
  <c r="EF61" i="15"/>
  <c r="EF15" i="15" s="1"/>
  <c r="U61" i="15"/>
  <c r="U15" i="15" s="1"/>
  <c r="AK61" i="15"/>
  <c r="AK15" i="15" s="1"/>
  <c r="BA61" i="15"/>
  <c r="BA15" i="15" s="1"/>
  <c r="BQ61" i="15"/>
  <c r="BQ15" i="15" s="1"/>
  <c r="CG61" i="15"/>
  <c r="CG15" i="15" s="1"/>
  <c r="CW61" i="15"/>
  <c r="CW15" i="15" s="1"/>
  <c r="DM61" i="15"/>
  <c r="DM15" i="15" s="1"/>
  <c r="EC61" i="15"/>
  <c r="EC15" i="15" s="1"/>
  <c r="ES61" i="15"/>
  <c r="ES15" i="15" s="1"/>
  <c r="R61" i="15"/>
  <c r="R15" i="15" s="1"/>
  <c r="AH61" i="15"/>
  <c r="AH15" i="15" s="1"/>
  <c r="AX61" i="15"/>
  <c r="AX15" i="15" s="1"/>
  <c r="BN61" i="15"/>
  <c r="BN15" i="15" s="1"/>
  <c r="CD61" i="15"/>
  <c r="CD15" i="15" s="1"/>
  <c r="CT61" i="15"/>
  <c r="CT15" i="15" s="1"/>
  <c r="DJ61" i="15"/>
  <c r="DJ15" i="15" s="1"/>
  <c r="DZ61" i="15"/>
  <c r="DZ15" i="15" s="1"/>
  <c r="EP61" i="15"/>
  <c r="EP15" i="15" s="1"/>
  <c r="BK61" i="15"/>
  <c r="BK15" i="15" s="1"/>
  <c r="DW61" i="15"/>
  <c r="DW15" i="15" s="1"/>
  <c r="K61" i="15"/>
  <c r="K15" i="15" s="1"/>
  <c r="L61" i="15"/>
  <c r="L15" i="15" s="1"/>
  <c r="AB61" i="15"/>
  <c r="AB15" i="15" s="1"/>
  <c r="AR61" i="15"/>
  <c r="AR15" i="15" s="1"/>
  <c r="BH61" i="15"/>
  <c r="BH15" i="15" s="1"/>
  <c r="BX61" i="15"/>
  <c r="BX15" i="15" s="1"/>
  <c r="CN61" i="15"/>
  <c r="CN15" i="15" s="1"/>
  <c r="DD61" i="15"/>
  <c r="DD15" i="15" s="1"/>
  <c r="DT61" i="15"/>
  <c r="DT15" i="15" s="1"/>
  <c r="EJ61" i="15"/>
  <c r="EJ15" i="15" s="1"/>
  <c r="I61" i="15"/>
  <c r="I15" i="15" s="1"/>
  <c r="Y61" i="15"/>
  <c r="Y15" i="15" s="1"/>
  <c r="AO61" i="15"/>
  <c r="AO15" i="15" s="1"/>
  <c r="BE61" i="15"/>
  <c r="BE15" i="15" s="1"/>
  <c r="BU61" i="15"/>
  <c r="BU15" i="15" s="1"/>
  <c r="CK61" i="15"/>
  <c r="CK15" i="15" s="1"/>
  <c r="DA61" i="15"/>
  <c r="DA15" i="15" s="1"/>
  <c r="DQ61" i="15"/>
  <c r="DQ15" i="15" s="1"/>
  <c r="EG61" i="15"/>
  <c r="EG15" i="15" s="1"/>
  <c r="V61" i="15"/>
  <c r="V15" i="15" s="1"/>
  <c r="AL61" i="15"/>
  <c r="AL15" i="15" s="1"/>
  <c r="BB61" i="15"/>
  <c r="BB15" i="15" s="1"/>
  <c r="BR61" i="15"/>
  <c r="BR15" i="15" s="1"/>
  <c r="CH61" i="15"/>
  <c r="CH15" i="15" s="1"/>
  <c r="CX61" i="15"/>
  <c r="CX15" i="15" s="1"/>
  <c r="DN61" i="15"/>
  <c r="DN15" i="15" s="1"/>
  <c r="ED61" i="15"/>
  <c r="ED15" i="15" s="1"/>
  <c r="ET61" i="15"/>
  <c r="ET15" i="15" s="1"/>
  <c r="O61" i="15"/>
  <c r="O15" i="15" s="1"/>
  <c r="CA61" i="15"/>
  <c r="CA15" i="15" s="1"/>
  <c r="EM61" i="15"/>
  <c r="EM15" i="15" s="1"/>
  <c r="CY61" i="15"/>
  <c r="CY15" i="15" s="1"/>
  <c r="BW61" i="15"/>
  <c r="BW15" i="15" s="1"/>
  <c r="EI61" i="15"/>
  <c r="EI15" i="15" s="1"/>
  <c r="EQ61" i="15"/>
  <c r="EQ15" i="15" s="1"/>
  <c r="DO61" i="15"/>
  <c r="DO15" i="15" s="1"/>
  <c r="AA61" i="15"/>
  <c r="AA15" i="15" s="1"/>
  <c r="CM61" i="15"/>
  <c r="CM15" i="15" s="1"/>
  <c r="AM61" i="15"/>
  <c r="AM15" i="15" s="1"/>
  <c r="AQ61" i="15"/>
  <c r="AQ15" i="15" s="1"/>
  <c r="DC61" i="15"/>
  <c r="DC15" i="15" s="1"/>
  <c r="S61" i="15"/>
  <c r="S15" i="15" s="1"/>
  <c r="AY61" i="15"/>
  <c r="AY15" i="15" s="1"/>
  <c r="BC61" i="15"/>
  <c r="BC15" i="15" s="1"/>
  <c r="BG61" i="15"/>
  <c r="BG15" i="15" s="1"/>
  <c r="DS61" i="15"/>
  <c r="DS15" i="15" s="1"/>
  <c r="CE61" i="15"/>
  <c r="CE15" i="15" s="1"/>
  <c r="DK61" i="15"/>
  <c r="DK15" i="15" s="1"/>
  <c r="BO61" i="15"/>
  <c r="BO15" i="15" s="1"/>
  <c r="EA61" i="15"/>
  <c r="EA15" i="15" s="1"/>
  <c r="AI61" i="15"/>
  <c r="AI15" i="15" s="1"/>
  <c r="CU61" i="15"/>
  <c r="CU15" i="15" s="1"/>
  <c r="G61" i="15"/>
  <c r="G15" i="15" s="1"/>
  <c r="F16" i="15"/>
  <c r="DY15" i="10"/>
  <c r="F16" i="10"/>
  <c r="AS149" i="2"/>
  <c r="AS141" i="2"/>
  <c r="AS146" i="2"/>
  <c r="AS150" i="2"/>
  <c r="AS154" i="2"/>
  <c r="AS157" i="2"/>
  <c r="AS148" i="2"/>
  <c r="AS155" i="2"/>
  <c r="AS160" i="2"/>
  <c r="AS161" i="2"/>
  <c r="AS152" i="2"/>
  <c r="AS139" i="2"/>
  <c r="AS142" i="2"/>
  <c r="AS147" i="2"/>
  <c r="AS140" i="2"/>
  <c r="AS153" i="2"/>
  <c r="AS143" i="2"/>
  <c r="AS162" i="2"/>
  <c r="AS158" i="2"/>
  <c r="AS156" i="2"/>
  <c r="AS145" i="2"/>
  <c r="AS144" i="2"/>
  <c r="AS151" i="2"/>
  <c r="AS159" i="2"/>
  <c r="AR28" i="5"/>
  <c r="C63" i="5" s="1"/>
  <c r="D67" i="2"/>
  <c r="D63" i="5" l="1"/>
  <c r="T63" i="5"/>
  <c r="P63" i="5"/>
  <c r="L63" i="5"/>
  <c r="H63" i="5"/>
  <c r="S63" i="5"/>
  <c r="O63" i="5"/>
  <c r="K63" i="5"/>
  <c r="G63" i="5"/>
  <c r="R63" i="5"/>
  <c r="N63" i="5"/>
  <c r="J63" i="5"/>
  <c r="F63" i="5"/>
  <c r="Q63" i="5"/>
  <c r="E63" i="5"/>
  <c r="M63" i="5"/>
  <c r="I63" i="5"/>
  <c r="H67" i="2"/>
  <c r="I67" i="2"/>
  <c r="M67" i="2"/>
  <c r="Q67" i="2"/>
  <c r="U67" i="2"/>
  <c r="J67" i="2"/>
  <c r="N67" i="2"/>
  <c r="R67" i="2"/>
  <c r="K67" i="2"/>
  <c r="O67" i="2"/>
  <c r="S67" i="2"/>
  <c r="L67" i="2"/>
  <c r="P67" i="2"/>
  <c r="T67" i="2"/>
  <c r="D1726" i="12"/>
  <c r="F1725" i="12"/>
  <c r="E1725" i="12"/>
  <c r="EQ23" i="5"/>
  <c r="BF28" i="5"/>
  <c r="BC28" i="5"/>
  <c r="AR24" i="2"/>
  <c r="BB23" i="2"/>
  <c r="T62" i="10"/>
  <c r="T16" i="10" s="1"/>
  <c r="AJ62" i="10"/>
  <c r="AJ16" i="10" s="1"/>
  <c r="AZ62" i="10"/>
  <c r="AZ16" i="10" s="1"/>
  <c r="BP62" i="10"/>
  <c r="BP16" i="10" s="1"/>
  <c r="CF62" i="10"/>
  <c r="CF16" i="10" s="1"/>
  <c r="CV62" i="10"/>
  <c r="CV16" i="10" s="1"/>
  <c r="DL62" i="10"/>
  <c r="DL16" i="10" s="1"/>
  <c r="EB62" i="10"/>
  <c r="EB16" i="10" s="1"/>
  <c r="ER62" i="10"/>
  <c r="ER16" i="10" s="1"/>
  <c r="M62" i="10"/>
  <c r="M16" i="10" s="1"/>
  <c r="AC62" i="10"/>
  <c r="AC16" i="10" s="1"/>
  <c r="AS62" i="10"/>
  <c r="AS16" i="10" s="1"/>
  <c r="BI62" i="10"/>
  <c r="BI16" i="10" s="1"/>
  <c r="BY62" i="10"/>
  <c r="BY16" i="10" s="1"/>
  <c r="CO62" i="10"/>
  <c r="CO16" i="10" s="1"/>
  <c r="DE62" i="10"/>
  <c r="DE16" i="10" s="1"/>
  <c r="DU62" i="10"/>
  <c r="DU16" i="10" s="1"/>
  <c r="EK62" i="10"/>
  <c r="EK16" i="10" s="1"/>
  <c r="AL62" i="10"/>
  <c r="AL16" i="10" s="1"/>
  <c r="BR62" i="10"/>
  <c r="BR16" i="10" s="1"/>
  <c r="CX62" i="10"/>
  <c r="CX16" i="10" s="1"/>
  <c r="ED62" i="10"/>
  <c r="ED16" i="10" s="1"/>
  <c r="AM62" i="10"/>
  <c r="AM16" i="10" s="1"/>
  <c r="BS62" i="10"/>
  <c r="BS16" i="10" s="1"/>
  <c r="CY62" i="10"/>
  <c r="CY16" i="10" s="1"/>
  <c r="EE62" i="10"/>
  <c r="EE16" i="10" s="1"/>
  <c r="X62" i="10"/>
  <c r="X16" i="10" s="1"/>
  <c r="AN62" i="10"/>
  <c r="AN16" i="10" s="1"/>
  <c r="BD62" i="10"/>
  <c r="BD16" i="10" s="1"/>
  <c r="BT62" i="10"/>
  <c r="BT16" i="10" s="1"/>
  <c r="CJ62" i="10"/>
  <c r="CJ16" i="10" s="1"/>
  <c r="CZ62" i="10"/>
  <c r="CZ16" i="10" s="1"/>
  <c r="DP62" i="10"/>
  <c r="DP16" i="10" s="1"/>
  <c r="EF62" i="10"/>
  <c r="EF16" i="10" s="1"/>
  <c r="Q62" i="10"/>
  <c r="Q16" i="10" s="1"/>
  <c r="AG62" i="10"/>
  <c r="AG16" i="10" s="1"/>
  <c r="AW62" i="10"/>
  <c r="AW16" i="10" s="1"/>
  <c r="BM62" i="10"/>
  <c r="BM16" i="10" s="1"/>
  <c r="CC62" i="10"/>
  <c r="CC16" i="10" s="1"/>
  <c r="CS62" i="10"/>
  <c r="CS16" i="10" s="1"/>
  <c r="DI62" i="10"/>
  <c r="DI16" i="10" s="1"/>
  <c r="DY62" i="10"/>
  <c r="DY16" i="10" s="1"/>
  <c r="EO62" i="10"/>
  <c r="EO16" i="10" s="1"/>
  <c r="N62" i="10"/>
  <c r="N16" i="10" s="1"/>
  <c r="AT62" i="10"/>
  <c r="AT16" i="10" s="1"/>
  <c r="BZ62" i="10"/>
  <c r="BZ16" i="10" s="1"/>
  <c r="DF62" i="10"/>
  <c r="DF16" i="10" s="1"/>
  <c r="EL62" i="10"/>
  <c r="EL16" i="10" s="1"/>
  <c r="O62" i="10"/>
  <c r="O16" i="10" s="1"/>
  <c r="AU62" i="10"/>
  <c r="AU16" i="10" s="1"/>
  <c r="CA62" i="10"/>
  <c r="CA16" i="10" s="1"/>
  <c r="DG62" i="10"/>
  <c r="DG16" i="10" s="1"/>
  <c r="EM62" i="10"/>
  <c r="EM16" i="10" s="1"/>
  <c r="AB62" i="10"/>
  <c r="AB16" i="10" s="1"/>
  <c r="BH62" i="10"/>
  <c r="BH16" i="10" s="1"/>
  <c r="CN62" i="10"/>
  <c r="CN16" i="10" s="1"/>
  <c r="DT62" i="10"/>
  <c r="DT16" i="10" s="1"/>
  <c r="U62" i="10"/>
  <c r="U16" i="10" s="1"/>
  <c r="BA62" i="10"/>
  <c r="BA16" i="10" s="1"/>
  <c r="CG62" i="10"/>
  <c r="CG16" i="10" s="1"/>
  <c r="DM62" i="10"/>
  <c r="DM16" i="10" s="1"/>
  <c r="ES62" i="10"/>
  <c r="ES16" i="10" s="1"/>
  <c r="V62" i="10"/>
  <c r="V16" i="10" s="1"/>
  <c r="CH62" i="10"/>
  <c r="CH16" i="10" s="1"/>
  <c r="ET62" i="10"/>
  <c r="ET16" i="10" s="1"/>
  <c r="W62" i="10"/>
  <c r="W16" i="10" s="1"/>
  <c r="CI62" i="10"/>
  <c r="CI16" i="10" s="1"/>
  <c r="AH62" i="10"/>
  <c r="AH16" i="10" s="1"/>
  <c r="BN62" i="10"/>
  <c r="BN16" i="10" s="1"/>
  <c r="CT62" i="10"/>
  <c r="CT16" i="10" s="1"/>
  <c r="DZ62" i="10"/>
  <c r="DZ16" i="10" s="1"/>
  <c r="K62" i="10"/>
  <c r="K16" i="10" s="1"/>
  <c r="EI62" i="10"/>
  <c r="EI16" i="10" s="1"/>
  <c r="DK62" i="10"/>
  <c r="DK16" i="10" s="1"/>
  <c r="AF62" i="10"/>
  <c r="AF16" i="10" s="1"/>
  <c r="BL62" i="10"/>
  <c r="BL16" i="10" s="1"/>
  <c r="CR62" i="10"/>
  <c r="CR16" i="10" s="1"/>
  <c r="DX62" i="10"/>
  <c r="DX16" i="10" s="1"/>
  <c r="Y62" i="10"/>
  <c r="Y16" i="10" s="1"/>
  <c r="BE62" i="10"/>
  <c r="BE16" i="10" s="1"/>
  <c r="CK62" i="10"/>
  <c r="CK16" i="10" s="1"/>
  <c r="DQ62" i="10"/>
  <c r="DQ16" i="10" s="1"/>
  <c r="AD62" i="10"/>
  <c r="AD16" i="10" s="1"/>
  <c r="CP62" i="10"/>
  <c r="CP16" i="10" s="1"/>
  <c r="AE62" i="10"/>
  <c r="AE16" i="10" s="1"/>
  <c r="CQ62" i="10"/>
  <c r="CQ16" i="10" s="1"/>
  <c r="J62" i="10"/>
  <c r="J16" i="10" s="1"/>
  <c r="AP62" i="10"/>
  <c r="AP16" i="10" s="1"/>
  <c r="BV62" i="10"/>
  <c r="BV16" i="10" s="1"/>
  <c r="DB62" i="10"/>
  <c r="DB16" i="10" s="1"/>
  <c r="EH62" i="10"/>
  <c r="EH16" i="10" s="1"/>
  <c r="AQ62" i="10"/>
  <c r="AQ16" i="10" s="1"/>
  <c r="S62" i="10"/>
  <c r="S16" i="10" s="1"/>
  <c r="EQ62" i="10"/>
  <c r="EQ16" i="10" s="1"/>
  <c r="L62" i="10"/>
  <c r="L16" i="10" s="1"/>
  <c r="AR62" i="10"/>
  <c r="AR16" i="10" s="1"/>
  <c r="BX62" i="10"/>
  <c r="BX16" i="10" s="1"/>
  <c r="DD62" i="10"/>
  <c r="DD16" i="10" s="1"/>
  <c r="EJ62" i="10"/>
  <c r="EJ16" i="10" s="1"/>
  <c r="AK62" i="10"/>
  <c r="AK16" i="10" s="1"/>
  <c r="BQ62" i="10"/>
  <c r="BQ16" i="10" s="1"/>
  <c r="CW62" i="10"/>
  <c r="CW16" i="10" s="1"/>
  <c r="EC62" i="10"/>
  <c r="EC16" i="10" s="1"/>
  <c r="BB62" i="10"/>
  <c r="BB16" i="10" s="1"/>
  <c r="DN62" i="10"/>
  <c r="DN16" i="10" s="1"/>
  <c r="BC62" i="10"/>
  <c r="BC16" i="10" s="1"/>
  <c r="P62" i="10"/>
  <c r="P16" i="10" s="1"/>
  <c r="EN62" i="10"/>
  <c r="EN16" i="10" s="1"/>
  <c r="DA62" i="10"/>
  <c r="DA16" i="10" s="1"/>
  <c r="BJ62" i="10"/>
  <c r="BJ16" i="10" s="1"/>
  <c r="BK62" i="10"/>
  <c r="BK16" i="10" s="1"/>
  <c r="BF62" i="10"/>
  <c r="BF16" i="10" s="1"/>
  <c r="DR62" i="10"/>
  <c r="DR16" i="10" s="1"/>
  <c r="DC62" i="10"/>
  <c r="DC16" i="10" s="1"/>
  <c r="CE62" i="10"/>
  <c r="CE16" i="10" s="1"/>
  <c r="AA62" i="10"/>
  <c r="AA16" i="10" s="1"/>
  <c r="AI62" i="10"/>
  <c r="AI16" i="10" s="1"/>
  <c r="AV62" i="10"/>
  <c r="AV16" i="10" s="1"/>
  <c r="I62" i="10"/>
  <c r="I16" i="10" s="1"/>
  <c r="EG62" i="10"/>
  <c r="EG16" i="10" s="1"/>
  <c r="DV62" i="10"/>
  <c r="DV16" i="10" s="1"/>
  <c r="DO62" i="10"/>
  <c r="DO16" i="10" s="1"/>
  <c r="R62" i="10"/>
  <c r="R16" i="10" s="1"/>
  <c r="CD62" i="10"/>
  <c r="CD16" i="10" s="1"/>
  <c r="EP62" i="10"/>
  <c r="EP16" i="10" s="1"/>
  <c r="BG62" i="10"/>
  <c r="BG16" i="10" s="1"/>
  <c r="CB62" i="10"/>
  <c r="CB16" i="10" s="1"/>
  <c r="AO62" i="10"/>
  <c r="AO16" i="10" s="1"/>
  <c r="DW62" i="10"/>
  <c r="DW16" i="10" s="1"/>
  <c r="Z62" i="10"/>
  <c r="Z16" i="10" s="1"/>
  <c r="CL62" i="10"/>
  <c r="CL16" i="10" s="1"/>
  <c r="CM62" i="10"/>
  <c r="CM16" i="10" s="1"/>
  <c r="DH62" i="10"/>
  <c r="DH16" i="10" s="1"/>
  <c r="BU62" i="10"/>
  <c r="BU16" i="10" s="1"/>
  <c r="DJ62" i="10"/>
  <c r="DJ16" i="10" s="1"/>
  <c r="AY62" i="10"/>
  <c r="AY16" i="10" s="1"/>
  <c r="DS62" i="10"/>
  <c r="DS16" i="10" s="1"/>
  <c r="EA62" i="10"/>
  <c r="EA16" i="10" s="1"/>
  <c r="AX62" i="10"/>
  <c r="AX16" i="10" s="1"/>
  <c r="BW62" i="10"/>
  <c r="BW16" i="10" s="1"/>
  <c r="BO62" i="10"/>
  <c r="BO16" i="10" s="1"/>
  <c r="CU62" i="10"/>
  <c r="CU16" i="10" s="1"/>
  <c r="H62" i="10"/>
  <c r="H16" i="10" s="1"/>
  <c r="G62" i="10"/>
  <c r="G16" i="10" s="1"/>
  <c r="Q62" i="15"/>
  <c r="Q16" i="15" s="1"/>
  <c r="AG62" i="15"/>
  <c r="AG16" i="15" s="1"/>
  <c r="AW62" i="15"/>
  <c r="AW16" i="15" s="1"/>
  <c r="BM62" i="15"/>
  <c r="BM16" i="15" s="1"/>
  <c r="CC62" i="15"/>
  <c r="CC16" i="15" s="1"/>
  <c r="CS62" i="15"/>
  <c r="CS16" i="15" s="1"/>
  <c r="N62" i="15"/>
  <c r="N16" i="15" s="1"/>
  <c r="AD62" i="15"/>
  <c r="AD16" i="15" s="1"/>
  <c r="AT62" i="15"/>
  <c r="AT16" i="15" s="1"/>
  <c r="BJ62" i="15"/>
  <c r="BJ16" i="15" s="1"/>
  <c r="BZ62" i="15"/>
  <c r="BZ16" i="15" s="1"/>
  <c r="CP62" i="15"/>
  <c r="CP16" i="15" s="1"/>
  <c r="K62" i="15"/>
  <c r="K16" i="15" s="1"/>
  <c r="AA62" i="15"/>
  <c r="AA16" i="15" s="1"/>
  <c r="AQ62" i="15"/>
  <c r="AQ16" i="15" s="1"/>
  <c r="BG62" i="15"/>
  <c r="BG16" i="15" s="1"/>
  <c r="BW62" i="15"/>
  <c r="BW16" i="15" s="1"/>
  <c r="CM62" i="15"/>
  <c r="CM16" i="15" s="1"/>
  <c r="P62" i="15"/>
  <c r="P16" i="15" s="1"/>
  <c r="CB62" i="15"/>
  <c r="CB16" i="15" s="1"/>
  <c r="DG62" i="15"/>
  <c r="DG16" i="15" s="1"/>
  <c r="DW62" i="15"/>
  <c r="DW16" i="15" s="1"/>
  <c r="EM62" i="15"/>
  <c r="EM16" i="15" s="1"/>
  <c r="BD62" i="15"/>
  <c r="BD16" i="15" s="1"/>
  <c r="DA62" i="15"/>
  <c r="DA16" i="15" s="1"/>
  <c r="U62" i="15"/>
  <c r="U16" i="15" s="1"/>
  <c r="AK62" i="15"/>
  <c r="AK16" i="15" s="1"/>
  <c r="BA62" i="15"/>
  <c r="BA16" i="15" s="1"/>
  <c r="BQ62" i="15"/>
  <c r="BQ16" i="15" s="1"/>
  <c r="CG62" i="15"/>
  <c r="CG16" i="15" s="1"/>
  <c r="R62" i="15"/>
  <c r="R16" i="15" s="1"/>
  <c r="AH62" i="15"/>
  <c r="AH16" i="15" s="1"/>
  <c r="AX62" i="15"/>
  <c r="AX16" i="15" s="1"/>
  <c r="BN62" i="15"/>
  <c r="BN16" i="15" s="1"/>
  <c r="CD62" i="15"/>
  <c r="CD16" i="15" s="1"/>
  <c r="CT62" i="15"/>
  <c r="CT16" i="15" s="1"/>
  <c r="O62" i="15"/>
  <c r="O16" i="15" s="1"/>
  <c r="AE62" i="15"/>
  <c r="AE16" i="15" s="1"/>
  <c r="AU62" i="15"/>
  <c r="AU16" i="15" s="1"/>
  <c r="BK62" i="15"/>
  <c r="BK16" i="15" s="1"/>
  <c r="CA62" i="15"/>
  <c r="CA16" i="15" s="1"/>
  <c r="CQ62" i="15"/>
  <c r="CQ16" i="15" s="1"/>
  <c r="AF62" i="15"/>
  <c r="AF16" i="15" s="1"/>
  <c r="CR62" i="15"/>
  <c r="CR16" i="15" s="1"/>
  <c r="DK62" i="15"/>
  <c r="DK16" i="15" s="1"/>
  <c r="EA62" i="15"/>
  <c r="EA16" i="15" s="1"/>
  <c r="EQ62" i="15"/>
  <c r="EQ16" i="15" s="1"/>
  <c r="H62" i="15"/>
  <c r="H16" i="15" s="1"/>
  <c r="BT62" i="15"/>
  <c r="BT16" i="15" s="1"/>
  <c r="I62" i="15"/>
  <c r="I16" i="15" s="1"/>
  <c r="Y62" i="15"/>
  <c r="Y16" i="15" s="1"/>
  <c r="AO62" i="15"/>
  <c r="AO16" i="15" s="1"/>
  <c r="BE62" i="15"/>
  <c r="BE16" i="15" s="1"/>
  <c r="BU62" i="15"/>
  <c r="BU16" i="15" s="1"/>
  <c r="CK62" i="15"/>
  <c r="CK16" i="15" s="1"/>
  <c r="V62" i="15"/>
  <c r="V16" i="15" s="1"/>
  <c r="AL62" i="15"/>
  <c r="AL16" i="15" s="1"/>
  <c r="BB62" i="15"/>
  <c r="BB16" i="15" s="1"/>
  <c r="BR62" i="15"/>
  <c r="BR16" i="15" s="1"/>
  <c r="CH62" i="15"/>
  <c r="CH16" i="15" s="1"/>
  <c r="S62" i="15"/>
  <c r="S16" i="15" s="1"/>
  <c r="AI62" i="15"/>
  <c r="AI16" i="15" s="1"/>
  <c r="AY62" i="15"/>
  <c r="AY16" i="15" s="1"/>
  <c r="BO62" i="15"/>
  <c r="BO16" i="15" s="1"/>
  <c r="CE62" i="15"/>
  <c r="CE16" i="15" s="1"/>
  <c r="CU62" i="15"/>
  <c r="CU16" i="15" s="1"/>
  <c r="AV62" i="15"/>
  <c r="AV16" i="15" s="1"/>
  <c r="CY62" i="15"/>
  <c r="CY16" i="15" s="1"/>
  <c r="DO62" i="15"/>
  <c r="DO16" i="15" s="1"/>
  <c r="EE62" i="15"/>
  <c r="EE16" i="15" s="1"/>
  <c r="M62" i="15"/>
  <c r="M16" i="15" s="1"/>
  <c r="AC62" i="15"/>
  <c r="AC16" i="15" s="1"/>
  <c r="AS62" i="15"/>
  <c r="AS16" i="15" s="1"/>
  <c r="BI62" i="15"/>
  <c r="BI16" i="15" s="1"/>
  <c r="BY62" i="15"/>
  <c r="BY16" i="15" s="1"/>
  <c r="CO62" i="15"/>
  <c r="CO16" i="15" s="1"/>
  <c r="J62" i="15"/>
  <c r="J16" i="15" s="1"/>
  <c r="Z62" i="15"/>
  <c r="Z16" i="15" s="1"/>
  <c r="AP62" i="15"/>
  <c r="AP16" i="15" s="1"/>
  <c r="BF62" i="15"/>
  <c r="BF16" i="15" s="1"/>
  <c r="BV62" i="15"/>
  <c r="BV16" i="15" s="1"/>
  <c r="CL62" i="15"/>
  <c r="CL16" i="15" s="1"/>
  <c r="W62" i="15"/>
  <c r="W16" i="15" s="1"/>
  <c r="AM62" i="15"/>
  <c r="AM16" i="15" s="1"/>
  <c r="BC62" i="15"/>
  <c r="BC16" i="15" s="1"/>
  <c r="BS62" i="15"/>
  <c r="BS16" i="15" s="1"/>
  <c r="CI62" i="15"/>
  <c r="CI16" i="15" s="1"/>
  <c r="BL62" i="15"/>
  <c r="BL16" i="15" s="1"/>
  <c r="DC62" i="15"/>
  <c r="DC16" i="15" s="1"/>
  <c r="DS62" i="15"/>
  <c r="DS16" i="15" s="1"/>
  <c r="EI62" i="15"/>
  <c r="EI16" i="15" s="1"/>
  <c r="CJ62" i="15"/>
  <c r="CJ16" i="15" s="1"/>
  <c r="DM62" i="15"/>
  <c r="DM16" i="15" s="1"/>
  <c r="EC62" i="15"/>
  <c r="EC16" i="15" s="1"/>
  <c r="ES62" i="15"/>
  <c r="ES16" i="15" s="1"/>
  <c r="BH62" i="15"/>
  <c r="BH16" i="15" s="1"/>
  <c r="DB62" i="15"/>
  <c r="DB16" i="15" s="1"/>
  <c r="DR62" i="15"/>
  <c r="DR16" i="15" s="1"/>
  <c r="EH62" i="15"/>
  <c r="EH16" i="15" s="1"/>
  <c r="EJ62" i="15"/>
  <c r="EJ16" i="15" s="1"/>
  <c r="AJ62" i="15"/>
  <c r="AJ16" i="15" s="1"/>
  <c r="ER62" i="15"/>
  <c r="ER16" i="15" s="1"/>
  <c r="CW62" i="15"/>
  <c r="CW16" i="15" s="1"/>
  <c r="DQ62" i="15"/>
  <c r="DQ16" i="15" s="1"/>
  <c r="EG62" i="15"/>
  <c r="EG16" i="15" s="1"/>
  <c r="L62" i="15"/>
  <c r="L16" i="15" s="1"/>
  <c r="BX62" i="15"/>
  <c r="BX16" i="15" s="1"/>
  <c r="DF62" i="15"/>
  <c r="DF16" i="15" s="1"/>
  <c r="DV62" i="15"/>
  <c r="DV16" i="15" s="1"/>
  <c r="EL62" i="15"/>
  <c r="EL16" i="15" s="1"/>
  <c r="BP62" i="15"/>
  <c r="BP16" i="15" s="1"/>
  <c r="CV62" i="15"/>
  <c r="CV16" i="15" s="1"/>
  <c r="X62" i="15"/>
  <c r="X16" i="15" s="1"/>
  <c r="DE62" i="15"/>
  <c r="DE16" i="15" s="1"/>
  <c r="DU62" i="15"/>
  <c r="DU16" i="15" s="1"/>
  <c r="EK62" i="15"/>
  <c r="EK16" i="15" s="1"/>
  <c r="AB62" i="15"/>
  <c r="AB16" i="15" s="1"/>
  <c r="CN62" i="15"/>
  <c r="CN16" i="15" s="1"/>
  <c r="DJ62" i="15"/>
  <c r="DJ16" i="15" s="1"/>
  <c r="DZ62" i="15"/>
  <c r="DZ16" i="15" s="1"/>
  <c r="EP62" i="15"/>
  <c r="EP16" i="15" s="1"/>
  <c r="DD62" i="15"/>
  <c r="DD16" i="15" s="1"/>
  <c r="DL62" i="15"/>
  <c r="DL16" i="15" s="1"/>
  <c r="AN62" i="15"/>
  <c r="AN16" i="15" s="1"/>
  <c r="DI62" i="15"/>
  <c r="DI16" i="15" s="1"/>
  <c r="DY62" i="15"/>
  <c r="DY16" i="15" s="1"/>
  <c r="EO62" i="15"/>
  <c r="EO16" i="15" s="1"/>
  <c r="AR62" i="15"/>
  <c r="AR16" i="15" s="1"/>
  <c r="CX62" i="15"/>
  <c r="CX16" i="15" s="1"/>
  <c r="DN62" i="15"/>
  <c r="DN16" i="15" s="1"/>
  <c r="ED62" i="15"/>
  <c r="ED16" i="15" s="1"/>
  <c r="ET62" i="15"/>
  <c r="ET16" i="15" s="1"/>
  <c r="DT62" i="15"/>
  <c r="DT16" i="15" s="1"/>
  <c r="EB62" i="15"/>
  <c r="EB16" i="15" s="1"/>
  <c r="CZ62" i="15"/>
  <c r="CZ16" i="15" s="1"/>
  <c r="DX62" i="15"/>
  <c r="DX16" i="15" s="1"/>
  <c r="T62" i="15"/>
  <c r="T16" i="15" s="1"/>
  <c r="DP62" i="15"/>
  <c r="DP16" i="15" s="1"/>
  <c r="EN62" i="15"/>
  <c r="EN16" i="15" s="1"/>
  <c r="EF62" i="15"/>
  <c r="EF16" i="15" s="1"/>
  <c r="AZ62" i="15"/>
  <c r="AZ16" i="15" s="1"/>
  <c r="DH62" i="15"/>
  <c r="DH16" i="15" s="1"/>
  <c r="CF62" i="15"/>
  <c r="CF16" i="15" s="1"/>
  <c r="G62" i="15"/>
  <c r="G16" i="15" s="1"/>
  <c r="F17" i="15"/>
  <c r="F17" i="10"/>
  <c r="D68" i="2"/>
  <c r="AR29" i="5"/>
  <c r="C64" i="5" s="1"/>
  <c r="D64" i="5" l="1"/>
  <c r="T64" i="5"/>
  <c r="P64" i="5"/>
  <c r="L64" i="5"/>
  <c r="H64" i="5"/>
  <c r="S64" i="5"/>
  <c r="O64" i="5"/>
  <c r="K64" i="5"/>
  <c r="G64" i="5"/>
  <c r="R64" i="5"/>
  <c r="N64" i="5"/>
  <c r="J64" i="5"/>
  <c r="F64" i="5"/>
  <c r="Q64" i="5"/>
  <c r="E64" i="5"/>
  <c r="M64" i="5"/>
  <c r="I64" i="5"/>
  <c r="H68" i="2"/>
  <c r="L68" i="2"/>
  <c r="P68" i="2"/>
  <c r="T68" i="2"/>
  <c r="I68" i="2"/>
  <c r="M68" i="2"/>
  <c r="Q68" i="2"/>
  <c r="U68" i="2"/>
  <c r="J68" i="2"/>
  <c r="N68" i="2"/>
  <c r="R68" i="2"/>
  <c r="O68" i="2"/>
  <c r="S68" i="2"/>
  <c r="K68" i="2"/>
  <c r="D1727" i="12"/>
  <c r="E1726" i="12"/>
  <c r="F1726" i="12"/>
  <c r="EQ24" i="5"/>
  <c r="BF29" i="5"/>
  <c r="BC29" i="5"/>
  <c r="AR25" i="2"/>
  <c r="BB24" i="2"/>
  <c r="V63" i="10"/>
  <c r="V17" i="10" s="1"/>
  <c r="AL63" i="10"/>
  <c r="AL17" i="10" s="1"/>
  <c r="BB63" i="10"/>
  <c r="BB17" i="10" s="1"/>
  <c r="BR63" i="10"/>
  <c r="BR17" i="10" s="1"/>
  <c r="CH63" i="10"/>
  <c r="CH17" i="10" s="1"/>
  <c r="CX63" i="10"/>
  <c r="CX17" i="10" s="1"/>
  <c r="DN63" i="10"/>
  <c r="DN17" i="10" s="1"/>
  <c r="ED63" i="10"/>
  <c r="ED17" i="10" s="1"/>
  <c r="ET63" i="10"/>
  <c r="ET17" i="10" s="1"/>
  <c r="O63" i="10"/>
  <c r="O17" i="10" s="1"/>
  <c r="AE63" i="10"/>
  <c r="AE17" i="10" s="1"/>
  <c r="AU63" i="10"/>
  <c r="AU17" i="10" s="1"/>
  <c r="BK63" i="10"/>
  <c r="BK17" i="10" s="1"/>
  <c r="CA63" i="10"/>
  <c r="CA17" i="10" s="1"/>
  <c r="CQ63" i="10"/>
  <c r="CQ17" i="10" s="1"/>
  <c r="DG63" i="10"/>
  <c r="DG17" i="10" s="1"/>
  <c r="DW63" i="10"/>
  <c r="DW17" i="10" s="1"/>
  <c r="EM63" i="10"/>
  <c r="EM17" i="10" s="1"/>
  <c r="X63" i="10"/>
  <c r="X17" i="10" s="1"/>
  <c r="BD63" i="10"/>
  <c r="BD17" i="10" s="1"/>
  <c r="CJ63" i="10"/>
  <c r="CJ17" i="10" s="1"/>
  <c r="DP63" i="10"/>
  <c r="DP17" i="10" s="1"/>
  <c r="Y63" i="10"/>
  <c r="Y17" i="10" s="1"/>
  <c r="BE63" i="10"/>
  <c r="BE17" i="10" s="1"/>
  <c r="CK63" i="10"/>
  <c r="CK17" i="10" s="1"/>
  <c r="DQ63" i="10"/>
  <c r="DQ17" i="10" s="1"/>
  <c r="J63" i="10"/>
  <c r="J17" i="10" s="1"/>
  <c r="Z63" i="10"/>
  <c r="Z17" i="10" s="1"/>
  <c r="AP63" i="10"/>
  <c r="AP17" i="10" s="1"/>
  <c r="BF63" i="10"/>
  <c r="BF17" i="10" s="1"/>
  <c r="BV63" i="10"/>
  <c r="BV17" i="10" s="1"/>
  <c r="CL63" i="10"/>
  <c r="CL17" i="10" s="1"/>
  <c r="DB63" i="10"/>
  <c r="DB17" i="10" s="1"/>
  <c r="DR63" i="10"/>
  <c r="DR17" i="10" s="1"/>
  <c r="EH63" i="10"/>
  <c r="EH17" i="10" s="1"/>
  <c r="S63" i="10"/>
  <c r="S17" i="10" s="1"/>
  <c r="AI63" i="10"/>
  <c r="AI17" i="10" s="1"/>
  <c r="AY63" i="10"/>
  <c r="AY17" i="10" s="1"/>
  <c r="BO63" i="10"/>
  <c r="BO17" i="10" s="1"/>
  <c r="CE63" i="10"/>
  <c r="CE17" i="10" s="1"/>
  <c r="CU63" i="10"/>
  <c r="CU17" i="10" s="1"/>
  <c r="DK63" i="10"/>
  <c r="DK17" i="10" s="1"/>
  <c r="EA63" i="10"/>
  <c r="EA17" i="10" s="1"/>
  <c r="EQ63" i="10"/>
  <c r="EQ17" i="10" s="1"/>
  <c r="AF63" i="10"/>
  <c r="AF17" i="10" s="1"/>
  <c r="BL63" i="10"/>
  <c r="BL17" i="10" s="1"/>
  <c r="CR63" i="10"/>
  <c r="CR17" i="10" s="1"/>
  <c r="DX63" i="10"/>
  <c r="DX17" i="10" s="1"/>
  <c r="AG63" i="10"/>
  <c r="AG17" i="10" s="1"/>
  <c r="BM63" i="10"/>
  <c r="BM17" i="10" s="1"/>
  <c r="CS63" i="10"/>
  <c r="CS17" i="10" s="1"/>
  <c r="DY63" i="10"/>
  <c r="DY17" i="10" s="1"/>
  <c r="N63" i="10"/>
  <c r="N17" i="10" s="1"/>
  <c r="AT63" i="10"/>
  <c r="AT17" i="10" s="1"/>
  <c r="BZ63" i="10"/>
  <c r="BZ17" i="10" s="1"/>
  <c r="DF63" i="10"/>
  <c r="DF17" i="10" s="1"/>
  <c r="EL63" i="10"/>
  <c r="EL17" i="10" s="1"/>
  <c r="AM63" i="10"/>
  <c r="AM17" i="10" s="1"/>
  <c r="BS63" i="10"/>
  <c r="BS17" i="10" s="1"/>
  <c r="CY63" i="10"/>
  <c r="CY17" i="10" s="1"/>
  <c r="EE63" i="10"/>
  <c r="EE17" i="10" s="1"/>
  <c r="BT63" i="10"/>
  <c r="BT17" i="10" s="1"/>
  <c r="EF63" i="10"/>
  <c r="EF17" i="10" s="1"/>
  <c r="I63" i="10"/>
  <c r="I17" i="10" s="1"/>
  <c r="BU63" i="10"/>
  <c r="BU17" i="10" s="1"/>
  <c r="EG63" i="10"/>
  <c r="EG17" i="10" s="1"/>
  <c r="T63" i="10"/>
  <c r="T17" i="10" s="1"/>
  <c r="AZ63" i="10"/>
  <c r="AZ17" i="10" s="1"/>
  <c r="CF63" i="10"/>
  <c r="CF17" i="10" s="1"/>
  <c r="DL63" i="10"/>
  <c r="DL17" i="10" s="1"/>
  <c r="ER63" i="10"/>
  <c r="ER17" i="10" s="1"/>
  <c r="DU63" i="10"/>
  <c r="DU17" i="10" s="1"/>
  <c r="CW63" i="10"/>
  <c r="CW17" i="10" s="1"/>
  <c r="R63" i="10"/>
  <c r="R17" i="10" s="1"/>
  <c r="AX63" i="10"/>
  <c r="AX17" i="10" s="1"/>
  <c r="CD63" i="10"/>
  <c r="CD17" i="10" s="1"/>
  <c r="DJ63" i="10"/>
  <c r="DJ17" i="10" s="1"/>
  <c r="EP63" i="10"/>
  <c r="EP17" i="10" s="1"/>
  <c r="K63" i="10"/>
  <c r="K17" i="10" s="1"/>
  <c r="AQ63" i="10"/>
  <c r="AQ17" i="10" s="1"/>
  <c r="BW63" i="10"/>
  <c r="BW17" i="10" s="1"/>
  <c r="DC63" i="10"/>
  <c r="DC17" i="10" s="1"/>
  <c r="EI63" i="10"/>
  <c r="EI17" i="10" s="1"/>
  <c r="P63" i="10"/>
  <c r="P17" i="10" s="1"/>
  <c r="CB63" i="10"/>
  <c r="CB17" i="10" s="1"/>
  <c r="EN63" i="10"/>
  <c r="EN17" i="10" s="1"/>
  <c r="Q63" i="10"/>
  <c r="Q17" i="10" s="1"/>
  <c r="CC63" i="10"/>
  <c r="CC17" i="10" s="1"/>
  <c r="EO63" i="10"/>
  <c r="EO17" i="10" s="1"/>
  <c r="AB63" i="10"/>
  <c r="AB17" i="10" s="1"/>
  <c r="BH63" i="10"/>
  <c r="BH17" i="10" s="1"/>
  <c r="CN63" i="10"/>
  <c r="CN17" i="10" s="1"/>
  <c r="DT63" i="10"/>
  <c r="DT17" i="10" s="1"/>
  <c r="AC63" i="10"/>
  <c r="AC17" i="10" s="1"/>
  <c r="EC63" i="10"/>
  <c r="EC17" i="10" s="1"/>
  <c r="AD63" i="10"/>
  <c r="AD17" i="10" s="1"/>
  <c r="BJ63" i="10"/>
  <c r="BJ17" i="10" s="1"/>
  <c r="CP63" i="10"/>
  <c r="CP17" i="10" s="1"/>
  <c r="DV63" i="10"/>
  <c r="DV17" i="10" s="1"/>
  <c r="W63" i="10"/>
  <c r="W17" i="10" s="1"/>
  <c r="BC63" i="10"/>
  <c r="BC17" i="10" s="1"/>
  <c r="CI63" i="10"/>
  <c r="CI17" i="10" s="1"/>
  <c r="DO63" i="10"/>
  <c r="DO17" i="10" s="1"/>
  <c r="AN63" i="10"/>
  <c r="AN17" i="10" s="1"/>
  <c r="CZ63" i="10"/>
  <c r="CZ17" i="10" s="1"/>
  <c r="DZ63" i="10"/>
  <c r="DZ17" i="10" s="1"/>
  <c r="CM63" i="10"/>
  <c r="CM17" i="10" s="1"/>
  <c r="AW63" i="10"/>
  <c r="AW17" i="10" s="1"/>
  <c r="AR63" i="10"/>
  <c r="AR17" i="10" s="1"/>
  <c r="DD63" i="10"/>
  <c r="DD17" i="10" s="1"/>
  <c r="M63" i="10"/>
  <c r="M17" i="10" s="1"/>
  <c r="EK63" i="10"/>
  <c r="EK17" i="10" s="1"/>
  <c r="AH63" i="10"/>
  <c r="AH17" i="10" s="1"/>
  <c r="DS63" i="10"/>
  <c r="DS17" i="10" s="1"/>
  <c r="DA63" i="10"/>
  <c r="DA17" i="10" s="1"/>
  <c r="BP63" i="10"/>
  <c r="BP17" i="10" s="1"/>
  <c r="EB63" i="10"/>
  <c r="EB17" i="10" s="1"/>
  <c r="BI63" i="10"/>
  <c r="BI17" i="10" s="1"/>
  <c r="AK63" i="10"/>
  <c r="AK17" i="10" s="1"/>
  <c r="AS63" i="10"/>
  <c r="AS17" i="10" s="1"/>
  <c r="BN63" i="10"/>
  <c r="BN17" i="10" s="1"/>
  <c r="AA63" i="10"/>
  <c r="AA17" i="10" s="1"/>
  <c r="AV63" i="10"/>
  <c r="AV17" i="10" s="1"/>
  <c r="DI63" i="10"/>
  <c r="DI17" i="10" s="1"/>
  <c r="L63" i="10"/>
  <c r="L17" i="10" s="1"/>
  <c r="BX63" i="10"/>
  <c r="BX17" i="10" s="1"/>
  <c r="EJ63" i="10"/>
  <c r="EJ17" i="10" s="1"/>
  <c r="CO63" i="10"/>
  <c r="CO17" i="10" s="1"/>
  <c r="BQ63" i="10"/>
  <c r="BQ17" i="10" s="1"/>
  <c r="BY63" i="10"/>
  <c r="BY17" i="10" s="1"/>
  <c r="AO63" i="10"/>
  <c r="AO17" i="10" s="1"/>
  <c r="CV63" i="10"/>
  <c r="CV17" i="10" s="1"/>
  <c r="DM63" i="10"/>
  <c r="DM17" i="10" s="1"/>
  <c r="CT63" i="10"/>
  <c r="CT17" i="10" s="1"/>
  <c r="CG63" i="10"/>
  <c r="CG17" i="10" s="1"/>
  <c r="BG63" i="10"/>
  <c r="BG17" i="10" s="1"/>
  <c r="DH63" i="10"/>
  <c r="DH17" i="10" s="1"/>
  <c r="AJ63" i="10"/>
  <c r="AJ17" i="10" s="1"/>
  <c r="DE63" i="10"/>
  <c r="DE17" i="10" s="1"/>
  <c r="ES63" i="10"/>
  <c r="ES17" i="10" s="1"/>
  <c r="U63" i="10"/>
  <c r="U17" i="10" s="1"/>
  <c r="BA63" i="10"/>
  <c r="BA17" i="10" s="1"/>
  <c r="H63" i="10"/>
  <c r="H17" i="10" s="1"/>
  <c r="G63" i="10"/>
  <c r="G17" i="10" s="1"/>
  <c r="P63" i="15"/>
  <c r="P17" i="15" s="1"/>
  <c r="AF63" i="15"/>
  <c r="AF17" i="15" s="1"/>
  <c r="AV63" i="15"/>
  <c r="AV17" i="15" s="1"/>
  <c r="BL63" i="15"/>
  <c r="BL17" i="15" s="1"/>
  <c r="CB63" i="15"/>
  <c r="CB17" i="15" s="1"/>
  <c r="CR63" i="15"/>
  <c r="CR17" i="15" s="1"/>
  <c r="DH63" i="15"/>
  <c r="DH17" i="15" s="1"/>
  <c r="DX63" i="15"/>
  <c r="DX17" i="15" s="1"/>
  <c r="T63" i="15"/>
  <c r="T17" i="15" s="1"/>
  <c r="AJ63" i="15"/>
  <c r="AJ17" i="15" s="1"/>
  <c r="AZ63" i="15"/>
  <c r="AZ17" i="15" s="1"/>
  <c r="BP63" i="15"/>
  <c r="BP17" i="15" s="1"/>
  <c r="CF63" i="15"/>
  <c r="CF17" i="15" s="1"/>
  <c r="CV63" i="15"/>
  <c r="DL63" i="15"/>
  <c r="DL17" i="15" s="1"/>
  <c r="H63" i="15"/>
  <c r="H17" i="15" s="1"/>
  <c r="X63" i="15"/>
  <c r="X17" i="15" s="1"/>
  <c r="AN63" i="15"/>
  <c r="AN17" i="15" s="1"/>
  <c r="BD63" i="15"/>
  <c r="BD17" i="15" s="1"/>
  <c r="BT63" i="15"/>
  <c r="BT17" i="15" s="1"/>
  <c r="CJ63" i="15"/>
  <c r="CJ17" i="15" s="1"/>
  <c r="CZ63" i="15"/>
  <c r="CZ17" i="15" s="1"/>
  <c r="L63" i="15"/>
  <c r="L17" i="15" s="1"/>
  <c r="AB63" i="15"/>
  <c r="AB17" i="15" s="1"/>
  <c r="AR63" i="15"/>
  <c r="AR17" i="15" s="1"/>
  <c r="BH63" i="15"/>
  <c r="BH17" i="15" s="1"/>
  <c r="BX63" i="15"/>
  <c r="BX17" i="15" s="1"/>
  <c r="CN63" i="15"/>
  <c r="CN17" i="15" s="1"/>
  <c r="DD63" i="15"/>
  <c r="DD17" i="15" s="1"/>
  <c r="DP63" i="15"/>
  <c r="DP17" i="15" s="1"/>
  <c r="V63" i="15"/>
  <c r="V17" i="15" s="1"/>
  <c r="AL63" i="15"/>
  <c r="AL17" i="15" s="1"/>
  <c r="BB63" i="15"/>
  <c r="BB17" i="15" s="1"/>
  <c r="BR63" i="15"/>
  <c r="BR17" i="15" s="1"/>
  <c r="CH63" i="15"/>
  <c r="CH17" i="15" s="1"/>
  <c r="CX63" i="15"/>
  <c r="CX17" i="15" s="1"/>
  <c r="DN63" i="15"/>
  <c r="DN17" i="15" s="1"/>
  <c r="ED63" i="15"/>
  <c r="ED17" i="15" s="1"/>
  <c r="ET63" i="15"/>
  <c r="ET17" i="15" s="1"/>
  <c r="K63" i="15"/>
  <c r="K17" i="15" s="1"/>
  <c r="AA63" i="15"/>
  <c r="AA17" i="15" s="1"/>
  <c r="AQ63" i="15"/>
  <c r="AQ17" i="15" s="1"/>
  <c r="BG63" i="15"/>
  <c r="BG17" i="15" s="1"/>
  <c r="BW63" i="15"/>
  <c r="BW17" i="15" s="1"/>
  <c r="CM63" i="15"/>
  <c r="CM17" i="15" s="1"/>
  <c r="DC63" i="15"/>
  <c r="DC17" i="15" s="1"/>
  <c r="DS63" i="15"/>
  <c r="DS17" i="15" s="1"/>
  <c r="EI63" i="15"/>
  <c r="EI17" i="15" s="1"/>
  <c r="BI63" i="15"/>
  <c r="BI17" i="15" s="1"/>
  <c r="DU63" i="15"/>
  <c r="DU17" i="15" s="1"/>
  <c r="BQ63" i="15"/>
  <c r="BQ17" i="15" s="1"/>
  <c r="EB63" i="15"/>
  <c r="EB17" i="15" s="1"/>
  <c r="DT63" i="15"/>
  <c r="DT17" i="15" s="1"/>
  <c r="J63" i="15"/>
  <c r="J17" i="15" s="1"/>
  <c r="Z63" i="15"/>
  <c r="Z17" i="15" s="1"/>
  <c r="AP63" i="15"/>
  <c r="AP17" i="15" s="1"/>
  <c r="BF63" i="15"/>
  <c r="BF17" i="15" s="1"/>
  <c r="BV63" i="15"/>
  <c r="BV17" i="15" s="1"/>
  <c r="CL63" i="15"/>
  <c r="CL17" i="15" s="1"/>
  <c r="DB63" i="15"/>
  <c r="DB17" i="15" s="1"/>
  <c r="DR63" i="15"/>
  <c r="DR17" i="15" s="1"/>
  <c r="EH63" i="15"/>
  <c r="EH17" i="15" s="1"/>
  <c r="O63" i="15"/>
  <c r="O17" i="15" s="1"/>
  <c r="AE63" i="15"/>
  <c r="AE17" i="15" s="1"/>
  <c r="AU63" i="15"/>
  <c r="AU17" i="15" s="1"/>
  <c r="BK63" i="15"/>
  <c r="BK17" i="15" s="1"/>
  <c r="CA63" i="15"/>
  <c r="CA17" i="15" s="1"/>
  <c r="CQ63" i="15"/>
  <c r="CQ17" i="15" s="1"/>
  <c r="DG63" i="15"/>
  <c r="DG17" i="15" s="1"/>
  <c r="DW63" i="15"/>
  <c r="DW17" i="15" s="1"/>
  <c r="EM63" i="15"/>
  <c r="EM17" i="15" s="1"/>
  <c r="M63" i="15"/>
  <c r="M17" i="15" s="1"/>
  <c r="BY63" i="15"/>
  <c r="BY17" i="15" s="1"/>
  <c r="EF63" i="15"/>
  <c r="EF17" i="15" s="1"/>
  <c r="U63" i="15"/>
  <c r="U17" i="15" s="1"/>
  <c r="CG63" i="15"/>
  <c r="CG17" i="15" s="1"/>
  <c r="EJ63" i="15"/>
  <c r="EJ17" i="15" s="1"/>
  <c r="N63" i="15"/>
  <c r="N17" i="15" s="1"/>
  <c r="AD63" i="15"/>
  <c r="AD17" i="15" s="1"/>
  <c r="AT63" i="15"/>
  <c r="AT17" i="15" s="1"/>
  <c r="BJ63" i="15"/>
  <c r="BJ17" i="15" s="1"/>
  <c r="BZ63" i="15"/>
  <c r="BZ17" i="15" s="1"/>
  <c r="CP63" i="15"/>
  <c r="CP17" i="15" s="1"/>
  <c r="DF63" i="15"/>
  <c r="DF17" i="15" s="1"/>
  <c r="DV63" i="15"/>
  <c r="DV17" i="15" s="1"/>
  <c r="EL63" i="15"/>
  <c r="EL17" i="15" s="1"/>
  <c r="S63" i="15"/>
  <c r="S17" i="15" s="1"/>
  <c r="AI63" i="15"/>
  <c r="AI17" i="15" s="1"/>
  <c r="AY63" i="15"/>
  <c r="AY17" i="15" s="1"/>
  <c r="BO63" i="15"/>
  <c r="BO17" i="15" s="1"/>
  <c r="CE63" i="15"/>
  <c r="CE17" i="15" s="1"/>
  <c r="CU63" i="15"/>
  <c r="CU17" i="15" s="1"/>
  <c r="DK63" i="15"/>
  <c r="DK17" i="15" s="1"/>
  <c r="EA63" i="15"/>
  <c r="EA17" i="15" s="1"/>
  <c r="EQ63" i="15"/>
  <c r="EQ17" i="15" s="1"/>
  <c r="AC63" i="15"/>
  <c r="AC17" i="15" s="1"/>
  <c r="CO63" i="15"/>
  <c r="CO17" i="15" s="1"/>
  <c r="EN63" i="15"/>
  <c r="EN17" i="15" s="1"/>
  <c r="AK63" i="15"/>
  <c r="AK17" i="15" s="1"/>
  <c r="CW63" i="15"/>
  <c r="CW17" i="15" s="1"/>
  <c r="ER63" i="15"/>
  <c r="ER17" i="15" s="1"/>
  <c r="R63" i="15"/>
  <c r="R17" i="15" s="1"/>
  <c r="AH63" i="15"/>
  <c r="AH17" i="15" s="1"/>
  <c r="AX63" i="15"/>
  <c r="AX17" i="15" s="1"/>
  <c r="BN63" i="15"/>
  <c r="BN17" i="15" s="1"/>
  <c r="CD63" i="15"/>
  <c r="CD17" i="15" s="1"/>
  <c r="CT63" i="15"/>
  <c r="CT17" i="15" s="1"/>
  <c r="DJ63" i="15"/>
  <c r="DJ17" i="15" s="1"/>
  <c r="DZ63" i="15"/>
  <c r="DZ17" i="15" s="1"/>
  <c r="EP63" i="15"/>
  <c r="EP17" i="15" s="1"/>
  <c r="W63" i="15"/>
  <c r="W17" i="15" s="1"/>
  <c r="AM63" i="15"/>
  <c r="AM17" i="15" s="1"/>
  <c r="BC63" i="15"/>
  <c r="BC17" i="15" s="1"/>
  <c r="BS63" i="15"/>
  <c r="BS17" i="15" s="1"/>
  <c r="CI63" i="15"/>
  <c r="CI17" i="15" s="1"/>
  <c r="CY63" i="15"/>
  <c r="CY17" i="15" s="1"/>
  <c r="DO63" i="15"/>
  <c r="DO17" i="15" s="1"/>
  <c r="EE63" i="15"/>
  <c r="EE17" i="15" s="1"/>
  <c r="AS63" i="15"/>
  <c r="AS17" i="15" s="1"/>
  <c r="DE63" i="15"/>
  <c r="DE17" i="15" s="1"/>
  <c r="BA63" i="15"/>
  <c r="BA17" i="15" s="1"/>
  <c r="DM63" i="15"/>
  <c r="DM17" i="15" s="1"/>
  <c r="Y63" i="15"/>
  <c r="Y17" i="15" s="1"/>
  <c r="CK63" i="15"/>
  <c r="CK17" i="15" s="1"/>
  <c r="EK63" i="15"/>
  <c r="EK17" i="15" s="1"/>
  <c r="AG63" i="15"/>
  <c r="AG17" i="15" s="1"/>
  <c r="AO63" i="15"/>
  <c r="AO17" i="15" s="1"/>
  <c r="DA63" i="15"/>
  <c r="DA17" i="15" s="1"/>
  <c r="ES63" i="15"/>
  <c r="ES17" i="15" s="1"/>
  <c r="CS63" i="15"/>
  <c r="CS17" i="15" s="1"/>
  <c r="AW63" i="15"/>
  <c r="AW17" i="15" s="1"/>
  <c r="BE63" i="15"/>
  <c r="BE17" i="15" s="1"/>
  <c r="DQ63" i="15"/>
  <c r="DQ17" i="15" s="1"/>
  <c r="EO63" i="15"/>
  <c r="EO17" i="15" s="1"/>
  <c r="DI63" i="15"/>
  <c r="DI17" i="15" s="1"/>
  <c r="BM63" i="15"/>
  <c r="BM17" i="15" s="1"/>
  <c r="I63" i="15"/>
  <c r="I17" i="15" s="1"/>
  <c r="BU63" i="15"/>
  <c r="BU17" i="15" s="1"/>
  <c r="EC63" i="15"/>
  <c r="EC17" i="15" s="1"/>
  <c r="DY63" i="15"/>
  <c r="DY17" i="15" s="1"/>
  <c r="CC63" i="15"/>
  <c r="CC17" i="15" s="1"/>
  <c r="EG63" i="15"/>
  <c r="EG17" i="15" s="1"/>
  <c r="Q63" i="15"/>
  <c r="Q17" i="15" s="1"/>
  <c r="G63" i="15"/>
  <c r="G17" i="15" s="1"/>
  <c r="F18" i="15"/>
  <c r="CV17" i="15"/>
  <c r="F18" i="10"/>
  <c r="D69" i="2"/>
  <c r="AR30" i="5"/>
  <c r="C65" i="5" s="1"/>
  <c r="D65" i="5" l="1"/>
  <c r="S65" i="5"/>
  <c r="P65" i="5"/>
  <c r="L65" i="5"/>
  <c r="H65" i="5"/>
  <c r="T65" i="5"/>
  <c r="O65" i="5"/>
  <c r="K65" i="5"/>
  <c r="G65" i="5"/>
  <c r="R65" i="5"/>
  <c r="N65" i="5"/>
  <c r="J65" i="5"/>
  <c r="F65" i="5"/>
  <c r="Q65" i="5"/>
  <c r="E65" i="5"/>
  <c r="M65" i="5"/>
  <c r="I65" i="5"/>
  <c r="H69" i="2"/>
  <c r="K69" i="2"/>
  <c r="O69" i="2"/>
  <c r="S69" i="2"/>
  <c r="L69" i="2"/>
  <c r="P69" i="2"/>
  <c r="T69" i="2"/>
  <c r="I69" i="2"/>
  <c r="M69" i="2"/>
  <c r="Q69" i="2"/>
  <c r="U69" i="2"/>
  <c r="R69" i="2"/>
  <c r="J69" i="2"/>
  <c r="N69" i="2"/>
  <c r="D1728" i="12"/>
  <c r="F1727" i="12"/>
  <c r="E1727" i="12"/>
  <c r="EQ25" i="5"/>
  <c r="BF30" i="5"/>
  <c r="BC30" i="5"/>
  <c r="AR26" i="2"/>
  <c r="BB25" i="2"/>
  <c r="X64" i="10"/>
  <c r="X18" i="10" s="1"/>
  <c r="AN64" i="10"/>
  <c r="AN18" i="10" s="1"/>
  <c r="BD64" i="10"/>
  <c r="BD18" i="10" s="1"/>
  <c r="BT64" i="10"/>
  <c r="BT18" i="10" s="1"/>
  <c r="CJ64" i="10"/>
  <c r="CJ18" i="10" s="1"/>
  <c r="CZ64" i="10"/>
  <c r="CZ18" i="10" s="1"/>
  <c r="DP64" i="10"/>
  <c r="DP18" i="10" s="1"/>
  <c r="EF64" i="10"/>
  <c r="EF18" i="10" s="1"/>
  <c r="Q64" i="10"/>
  <c r="Q18" i="10" s="1"/>
  <c r="AG64" i="10"/>
  <c r="AG18" i="10" s="1"/>
  <c r="AW64" i="10"/>
  <c r="AW18" i="10" s="1"/>
  <c r="BM64" i="10"/>
  <c r="BM18" i="10" s="1"/>
  <c r="CC64" i="10"/>
  <c r="CC18" i="10" s="1"/>
  <c r="CS64" i="10"/>
  <c r="CS18" i="10" s="1"/>
  <c r="DI64" i="10"/>
  <c r="DI18" i="10" s="1"/>
  <c r="DY64" i="10"/>
  <c r="DY18" i="10" s="1"/>
  <c r="EO64" i="10"/>
  <c r="EO18" i="10" s="1"/>
  <c r="J64" i="10"/>
  <c r="J18" i="10" s="1"/>
  <c r="AP64" i="10"/>
  <c r="AP18" i="10" s="1"/>
  <c r="BV64" i="10"/>
  <c r="BV18" i="10" s="1"/>
  <c r="DB64" i="10"/>
  <c r="DB18" i="10" s="1"/>
  <c r="EH64" i="10"/>
  <c r="EH18" i="10" s="1"/>
  <c r="K64" i="10"/>
  <c r="K18" i="10" s="1"/>
  <c r="L64" i="10"/>
  <c r="L18" i="10" s="1"/>
  <c r="AB64" i="10"/>
  <c r="AB18" i="10" s="1"/>
  <c r="AR64" i="10"/>
  <c r="AR18" i="10" s="1"/>
  <c r="BH64" i="10"/>
  <c r="BH18" i="10" s="1"/>
  <c r="BX64" i="10"/>
  <c r="BX18" i="10" s="1"/>
  <c r="CN64" i="10"/>
  <c r="CN18" i="10" s="1"/>
  <c r="DD64" i="10"/>
  <c r="DD18" i="10" s="1"/>
  <c r="DT64" i="10"/>
  <c r="DT18" i="10" s="1"/>
  <c r="EJ64" i="10"/>
  <c r="EJ18" i="10" s="1"/>
  <c r="U64" i="10"/>
  <c r="U18" i="10" s="1"/>
  <c r="AK64" i="10"/>
  <c r="AK18" i="10" s="1"/>
  <c r="BA64" i="10"/>
  <c r="BA18" i="10" s="1"/>
  <c r="BQ64" i="10"/>
  <c r="BQ18" i="10" s="1"/>
  <c r="CG64" i="10"/>
  <c r="CG18" i="10" s="1"/>
  <c r="CW64" i="10"/>
  <c r="CW18" i="10" s="1"/>
  <c r="DM64" i="10"/>
  <c r="DM18" i="10" s="1"/>
  <c r="EC64" i="10"/>
  <c r="EC18" i="10" s="1"/>
  <c r="ES64" i="10"/>
  <c r="ES18" i="10" s="1"/>
  <c r="R64" i="10"/>
  <c r="R18" i="10" s="1"/>
  <c r="AX64" i="10"/>
  <c r="AX18" i="10" s="1"/>
  <c r="CD64" i="10"/>
  <c r="CD18" i="10" s="1"/>
  <c r="DJ64" i="10"/>
  <c r="DJ18" i="10" s="1"/>
  <c r="EP64" i="10"/>
  <c r="EP18" i="10" s="1"/>
  <c r="S64" i="10"/>
  <c r="S18" i="10" s="1"/>
  <c r="AF64" i="10"/>
  <c r="AF18" i="10" s="1"/>
  <c r="BL64" i="10"/>
  <c r="BL18" i="10" s="1"/>
  <c r="CR64" i="10"/>
  <c r="CR18" i="10" s="1"/>
  <c r="DX64" i="10"/>
  <c r="DX18" i="10" s="1"/>
  <c r="Y64" i="10"/>
  <c r="Y18" i="10" s="1"/>
  <c r="BE64" i="10"/>
  <c r="BE18" i="10" s="1"/>
  <c r="CK64" i="10"/>
  <c r="CK18" i="10" s="1"/>
  <c r="DQ64" i="10"/>
  <c r="DQ18" i="10" s="1"/>
  <c r="BF64" i="10"/>
  <c r="BF18" i="10" s="1"/>
  <c r="DR64" i="10"/>
  <c r="DR18" i="10" s="1"/>
  <c r="AQ64" i="10"/>
  <c r="AQ18" i="10" s="1"/>
  <c r="BW64" i="10"/>
  <c r="BW18" i="10" s="1"/>
  <c r="DC64" i="10"/>
  <c r="DC18" i="10" s="1"/>
  <c r="EI64" i="10"/>
  <c r="EI18" i="10" s="1"/>
  <c r="AL64" i="10"/>
  <c r="AL18" i="10" s="1"/>
  <c r="BR64" i="10"/>
  <c r="BR18" i="10" s="1"/>
  <c r="CX64" i="10"/>
  <c r="CX18" i="10" s="1"/>
  <c r="ED64" i="10"/>
  <c r="ED18" i="10" s="1"/>
  <c r="DG64" i="10"/>
  <c r="DG18" i="10" s="1"/>
  <c r="CI64" i="10"/>
  <c r="CI18" i="10" s="1"/>
  <c r="AJ64" i="10"/>
  <c r="AJ18" i="10" s="1"/>
  <c r="BP64" i="10"/>
  <c r="BP18" i="10" s="1"/>
  <c r="CV64" i="10"/>
  <c r="CV18" i="10" s="1"/>
  <c r="EB64" i="10"/>
  <c r="EB18" i="10" s="1"/>
  <c r="AC64" i="10"/>
  <c r="AC18" i="10" s="1"/>
  <c r="BI64" i="10"/>
  <c r="BI18" i="10" s="1"/>
  <c r="CO64" i="10"/>
  <c r="CO18" i="10" s="1"/>
  <c r="DU64" i="10"/>
  <c r="DU18" i="10" s="1"/>
  <c r="BN64" i="10"/>
  <c r="BN18" i="10" s="1"/>
  <c r="DZ64" i="10"/>
  <c r="DZ18" i="10" s="1"/>
  <c r="AY64" i="10"/>
  <c r="AY18" i="10" s="1"/>
  <c r="CE64" i="10"/>
  <c r="CE18" i="10" s="1"/>
  <c r="DK64" i="10"/>
  <c r="DK18" i="10" s="1"/>
  <c r="EQ64" i="10"/>
  <c r="EQ18" i="10" s="1"/>
  <c r="N64" i="10"/>
  <c r="N18" i="10" s="1"/>
  <c r="AT64" i="10"/>
  <c r="AT18" i="10" s="1"/>
  <c r="BZ64" i="10"/>
  <c r="BZ18" i="10" s="1"/>
  <c r="DF64" i="10"/>
  <c r="DF18" i="10" s="1"/>
  <c r="EL64" i="10"/>
  <c r="EL18" i="10" s="1"/>
  <c r="O64" i="10"/>
  <c r="O18" i="10" s="1"/>
  <c r="EM64" i="10"/>
  <c r="EM18" i="10" s="1"/>
  <c r="DO64" i="10"/>
  <c r="DO18" i="10" s="1"/>
  <c r="P64" i="10"/>
  <c r="P18" i="10" s="1"/>
  <c r="AV64" i="10"/>
  <c r="AV18" i="10" s="1"/>
  <c r="CB64" i="10"/>
  <c r="CB18" i="10" s="1"/>
  <c r="DH64" i="10"/>
  <c r="DH18" i="10" s="1"/>
  <c r="EN64" i="10"/>
  <c r="EN18" i="10" s="1"/>
  <c r="I64" i="10"/>
  <c r="I18" i="10" s="1"/>
  <c r="AO64" i="10"/>
  <c r="AO18" i="10" s="1"/>
  <c r="BU64" i="10"/>
  <c r="BU18" i="10" s="1"/>
  <c r="DA64" i="10"/>
  <c r="DA18" i="10" s="1"/>
  <c r="EG64" i="10"/>
  <c r="EG18" i="10" s="1"/>
  <c r="Z64" i="10"/>
  <c r="Z18" i="10" s="1"/>
  <c r="CL64" i="10"/>
  <c r="CL18" i="10" s="1"/>
  <c r="DL64" i="10"/>
  <c r="DL18" i="10" s="1"/>
  <c r="BY64" i="10"/>
  <c r="BY18" i="10" s="1"/>
  <c r="AH64" i="10"/>
  <c r="AH18" i="10" s="1"/>
  <c r="AI64" i="10"/>
  <c r="AI18" i="10" s="1"/>
  <c r="CU64" i="10"/>
  <c r="CU18" i="10" s="1"/>
  <c r="AD64" i="10"/>
  <c r="AD18" i="10" s="1"/>
  <c r="CP64" i="10"/>
  <c r="CP18" i="10" s="1"/>
  <c r="CA64" i="10"/>
  <c r="CA18" i="10" s="1"/>
  <c r="BC64" i="10"/>
  <c r="BC18" i="10" s="1"/>
  <c r="DW64" i="10"/>
  <c r="DW18" i="10" s="1"/>
  <c r="BS64" i="10"/>
  <c r="BS18" i="10" s="1"/>
  <c r="CY64" i="10"/>
  <c r="CY18" i="10" s="1"/>
  <c r="T64" i="10"/>
  <c r="T18" i="10" s="1"/>
  <c r="ER64" i="10"/>
  <c r="ER18" i="10" s="1"/>
  <c r="DE64" i="10"/>
  <c r="DE18" i="10" s="1"/>
  <c r="CT64" i="10"/>
  <c r="CT18" i="10" s="1"/>
  <c r="BG64" i="10"/>
  <c r="BG18" i="10" s="1"/>
  <c r="DS64" i="10"/>
  <c r="DS18" i="10" s="1"/>
  <c r="BB64" i="10"/>
  <c r="BB18" i="10" s="1"/>
  <c r="DN64" i="10"/>
  <c r="DN18" i="10" s="1"/>
  <c r="AE64" i="10"/>
  <c r="AE18" i="10" s="1"/>
  <c r="AZ64" i="10"/>
  <c r="AZ18" i="10" s="1"/>
  <c r="M64" i="10"/>
  <c r="M18" i="10" s="1"/>
  <c r="EK64" i="10"/>
  <c r="EK18" i="10" s="1"/>
  <c r="BO64" i="10"/>
  <c r="BO18" i="10" s="1"/>
  <c r="EA64" i="10"/>
  <c r="EA18" i="10" s="1"/>
  <c r="BJ64" i="10"/>
  <c r="BJ18" i="10" s="1"/>
  <c r="DV64" i="10"/>
  <c r="DV18" i="10" s="1"/>
  <c r="BK64" i="10"/>
  <c r="BK18" i="10" s="1"/>
  <c r="AS64" i="10"/>
  <c r="AS18" i="10" s="1"/>
  <c r="CQ64" i="10"/>
  <c r="CQ18" i="10" s="1"/>
  <c r="AA64" i="10"/>
  <c r="AA18" i="10" s="1"/>
  <c r="CM64" i="10"/>
  <c r="CM18" i="10" s="1"/>
  <c r="CH64" i="10"/>
  <c r="CH18" i="10" s="1"/>
  <c r="AU64" i="10"/>
  <c r="AU18" i="10" s="1"/>
  <c r="CF64" i="10"/>
  <c r="CF18" i="10" s="1"/>
  <c r="ET64" i="10"/>
  <c r="ET18" i="10" s="1"/>
  <c r="W64" i="10"/>
  <c r="W18" i="10" s="1"/>
  <c r="V64" i="10"/>
  <c r="V18" i="10" s="1"/>
  <c r="EE64" i="10"/>
  <c r="EE18" i="10" s="1"/>
  <c r="AM64" i="10"/>
  <c r="AM18" i="10" s="1"/>
  <c r="H64" i="10"/>
  <c r="H18" i="10" s="1"/>
  <c r="G64" i="10"/>
  <c r="G18" i="10" s="1"/>
  <c r="W64" i="15"/>
  <c r="W18" i="15" s="1"/>
  <c r="AM64" i="15"/>
  <c r="AM18" i="15" s="1"/>
  <c r="BC64" i="15"/>
  <c r="BC18" i="15" s="1"/>
  <c r="L64" i="15"/>
  <c r="L18" i="15" s="1"/>
  <c r="AB64" i="15"/>
  <c r="AB18" i="15" s="1"/>
  <c r="AR64" i="15"/>
  <c r="AR18" i="15" s="1"/>
  <c r="BH64" i="15"/>
  <c r="BH18" i="15" s="1"/>
  <c r="BX64" i="15"/>
  <c r="BX18" i="15" s="1"/>
  <c r="CN64" i="15"/>
  <c r="CN18" i="15" s="1"/>
  <c r="Q64" i="15"/>
  <c r="Q18" i="15" s="1"/>
  <c r="AW64" i="15"/>
  <c r="AW18" i="15" s="1"/>
  <c r="BU64" i="15"/>
  <c r="BU18" i="15" s="1"/>
  <c r="CP64" i="15"/>
  <c r="CP18" i="15" s="1"/>
  <c r="DG64" i="15"/>
  <c r="DG18" i="15" s="1"/>
  <c r="U64" i="15"/>
  <c r="U18" i="15" s="1"/>
  <c r="BA64" i="15"/>
  <c r="BA18" i="15" s="1"/>
  <c r="BW64" i="15"/>
  <c r="BW18" i="15" s="1"/>
  <c r="CS64" i="15"/>
  <c r="CS18" i="15" s="1"/>
  <c r="DI64" i="15"/>
  <c r="DI18" i="15" s="1"/>
  <c r="DY64" i="15"/>
  <c r="DY18" i="15" s="1"/>
  <c r="EO64" i="15"/>
  <c r="EO18" i="15" s="1"/>
  <c r="K64" i="15"/>
  <c r="K18" i="15" s="1"/>
  <c r="AA64" i="15"/>
  <c r="AA18" i="15" s="1"/>
  <c r="AQ64" i="15"/>
  <c r="AQ18" i="15" s="1"/>
  <c r="P64" i="15"/>
  <c r="P18" i="15" s="1"/>
  <c r="AF64" i="15"/>
  <c r="AF18" i="15" s="1"/>
  <c r="AV64" i="15"/>
  <c r="AV18" i="15" s="1"/>
  <c r="BL64" i="15"/>
  <c r="BL18" i="15" s="1"/>
  <c r="CB64" i="15"/>
  <c r="CB18" i="15" s="1"/>
  <c r="CR64" i="15"/>
  <c r="CR18" i="15" s="1"/>
  <c r="Y64" i="15"/>
  <c r="Y18" i="15" s="1"/>
  <c r="BE64" i="15"/>
  <c r="BE18" i="15" s="1"/>
  <c r="BZ64" i="15"/>
  <c r="BZ18" i="15" s="1"/>
  <c r="CU64" i="15"/>
  <c r="CU18" i="15" s="1"/>
  <c r="DK64" i="15"/>
  <c r="DK18" i="15" s="1"/>
  <c r="AC64" i="15"/>
  <c r="AC18" i="15" s="1"/>
  <c r="BG64" i="15"/>
  <c r="BG18" i="15" s="1"/>
  <c r="CC64" i="15"/>
  <c r="CC18" i="15" s="1"/>
  <c r="CW64" i="15"/>
  <c r="CW18" i="15" s="1"/>
  <c r="DM64" i="15"/>
  <c r="DM18" i="15" s="1"/>
  <c r="EC64" i="15"/>
  <c r="EC18" i="15" s="1"/>
  <c r="ES64" i="15"/>
  <c r="ES18" i="15" s="1"/>
  <c r="O64" i="15"/>
  <c r="O18" i="15" s="1"/>
  <c r="AE64" i="15"/>
  <c r="AE18" i="15" s="1"/>
  <c r="AU64" i="15"/>
  <c r="AU18" i="15" s="1"/>
  <c r="T64" i="15"/>
  <c r="T18" i="15" s="1"/>
  <c r="AJ64" i="15"/>
  <c r="AJ18" i="15" s="1"/>
  <c r="AZ64" i="15"/>
  <c r="AZ18" i="15" s="1"/>
  <c r="BP64" i="15"/>
  <c r="BP18" i="15" s="1"/>
  <c r="CF64" i="15"/>
  <c r="CF18" i="15" s="1"/>
  <c r="AG64" i="15"/>
  <c r="AG18" i="15" s="1"/>
  <c r="BJ64" i="15"/>
  <c r="BJ18" i="15" s="1"/>
  <c r="CE64" i="15"/>
  <c r="CE18" i="15" s="1"/>
  <c r="CY64" i="15"/>
  <c r="CY18" i="15" s="1"/>
  <c r="AK64" i="15"/>
  <c r="AK18" i="15" s="1"/>
  <c r="BM64" i="15"/>
  <c r="BM18" i="15" s="1"/>
  <c r="CH64" i="15"/>
  <c r="CH18" i="15" s="1"/>
  <c r="DA64" i="15"/>
  <c r="DA18" i="15" s="1"/>
  <c r="DQ64" i="15"/>
  <c r="DQ18" i="15" s="1"/>
  <c r="EG64" i="15"/>
  <c r="EG18" i="15" s="1"/>
  <c r="S64" i="15"/>
  <c r="S18" i="15" s="1"/>
  <c r="AI64" i="15"/>
  <c r="AI18" i="15" s="1"/>
  <c r="AY64" i="15"/>
  <c r="AY18" i="15" s="1"/>
  <c r="H64" i="15"/>
  <c r="H18" i="15" s="1"/>
  <c r="X64" i="15"/>
  <c r="X18" i="15" s="1"/>
  <c r="AN64" i="15"/>
  <c r="AN18" i="15" s="1"/>
  <c r="BD64" i="15"/>
  <c r="BD18" i="15" s="1"/>
  <c r="BT64" i="15"/>
  <c r="BT18" i="15" s="1"/>
  <c r="CJ64" i="15"/>
  <c r="CJ18" i="15" s="1"/>
  <c r="I64" i="15"/>
  <c r="I18" i="15" s="1"/>
  <c r="AO64" i="15"/>
  <c r="AO18" i="15" s="1"/>
  <c r="BO64" i="15"/>
  <c r="BO18" i="15" s="1"/>
  <c r="CK64" i="15"/>
  <c r="CK18" i="15" s="1"/>
  <c r="DC64" i="15"/>
  <c r="DC18" i="15" s="1"/>
  <c r="M64" i="15"/>
  <c r="M18" i="15" s="1"/>
  <c r="AS64" i="15"/>
  <c r="AS18" i="15" s="1"/>
  <c r="BR64" i="15"/>
  <c r="BR18" i="15" s="1"/>
  <c r="CM64" i="15"/>
  <c r="CM18" i="15" s="1"/>
  <c r="DE64" i="15"/>
  <c r="DE18" i="15" s="1"/>
  <c r="DU64" i="15"/>
  <c r="DU18" i="15" s="1"/>
  <c r="EK64" i="15"/>
  <c r="EK18" i="15" s="1"/>
  <c r="AD64" i="15"/>
  <c r="AD18" i="15" s="1"/>
  <c r="BI64" i="15"/>
  <c r="BI18" i="15" s="1"/>
  <c r="CD64" i="15"/>
  <c r="CD18" i="15" s="1"/>
  <c r="CX64" i="15"/>
  <c r="CX18" i="15" s="1"/>
  <c r="DN64" i="15"/>
  <c r="DN18" i="15" s="1"/>
  <c r="ED64" i="15"/>
  <c r="ED18" i="15" s="1"/>
  <c r="ET64" i="15"/>
  <c r="ET18" i="15" s="1"/>
  <c r="BK64" i="15"/>
  <c r="BK18" i="15" s="1"/>
  <c r="DW64" i="15"/>
  <c r="DW18" i="15" s="1"/>
  <c r="AP64" i="15"/>
  <c r="AP18" i="15" s="1"/>
  <c r="DP64" i="15"/>
  <c r="DP18" i="15" s="1"/>
  <c r="R64" i="15"/>
  <c r="R18" i="15" s="1"/>
  <c r="DH64" i="15"/>
  <c r="DH18" i="15" s="1"/>
  <c r="EQ64" i="15"/>
  <c r="EQ18" i="15" s="1"/>
  <c r="AL64" i="15"/>
  <c r="AL18" i="15" s="1"/>
  <c r="BN64" i="15"/>
  <c r="BN18" i="15" s="1"/>
  <c r="CI64" i="15"/>
  <c r="CI18" i="15" s="1"/>
  <c r="DB64" i="15"/>
  <c r="DB18" i="15" s="1"/>
  <c r="DR64" i="15"/>
  <c r="DR18" i="15" s="1"/>
  <c r="EH64" i="15"/>
  <c r="EH18" i="15" s="1"/>
  <c r="CG64" i="15"/>
  <c r="CG18" i="15" s="1"/>
  <c r="EE64" i="15"/>
  <c r="EE18" i="15" s="1"/>
  <c r="BQ64" i="15"/>
  <c r="BQ18" i="15" s="1"/>
  <c r="DX64" i="15"/>
  <c r="DX18" i="15" s="1"/>
  <c r="AX64" i="15"/>
  <c r="AX18" i="15" s="1"/>
  <c r="DS64" i="15"/>
  <c r="DS18" i="15" s="1"/>
  <c r="N64" i="15"/>
  <c r="N18" i="15" s="1"/>
  <c r="AT64" i="15"/>
  <c r="AT18" i="15" s="1"/>
  <c r="BS64" i="15"/>
  <c r="BS18" i="15" s="1"/>
  <c r="CO64" i="15"/>
  <c r="CO18" i="15" s="1"/>
  <c r="DF64" i="15"/>
  <c r="DF18" i="15" s="1"/>
  <c r="DV64" i="15"/>
  <c r="DV18" i="15" s="1"/>
  <c r="EL64" i="15"/>
  <c r="EL18" i="15" s="1"/>
  <c r="CZ64" i="15"/>
  <c r="CZ18" i="15" s="1"/>
  <c r="EM64" i="15"/>
  <c r="EM18" i="15" s="1"/>
  <c r="CL64" i="15"/>
  <c r="CL18" i="15" s="1"/>
  <c r="EF64" i="15"/>
  <c r="EF18" i="15" s="1"/>
  <c r="BV64" i="15"/>
  <c r="BV18" i="15" s="1"/>
  <c r="EA64" i="15"/>
  <c r="EA18" i="15" s="1"/>
  <c r="V64" i="15"/>
  <c r="V18" i="15" s="1"/>
  <c r="BB64" i="15"/>
  <c r="BB18" i="15" s="1"/>
  <c r="BY64" i="15"/>
  <c r="BY18" i="15" s="1"/>
  <c r="CT64" i="15"/>
  <c r="CT18" i="15" s="1"/>
  <c r="DJ64" i="15"/>
  <c r="DJ18" i="15" s="1"/>
  <c r="DZ64" i="15"/>
  <c r="DZ18" i="15" s="1"/>
  <c r="EP64" i="15"/>
  <c r="EP18" i="15" s="1"/>
  <c r="AH64" i="15"/>
  <c r="AH18" i="15" s="1"/>
  <c r="DO64" i="15"/>
  <c r="DO18" i="15" s="1"/>
  <c r="J64" i="15"/>
  <c r="J18" i="15" s="1"/>
  <c r="DD64" i="15"/>
  <c r="DD18" i="15" s="1"/>
  <c r="EN64" i="15"/>
  <c r="EN18" i="15" s="1"/>
  <c r="CQ64" i="15"/>
  <c r="CQ18" i="15" s="1"/>
  <c r="EI64" i="15"/>
  <c r="EI18" i="15" s="1"/>
  <c r="CA64" i="15"/>
  <c r="CA18" i="15" s="1"/>
  <c r="EB64" i="15"/>
  <c r="EB18" i="15" s="1"/>
  <c r="CV64" i="15"/>
  <c r="CV18" i="15" s="1"/>
  <c r="EJ64" i="15"/>
  <c r="EJ18" i="15" s="1"/>
  <c r="Z64" i="15"/>
  <c r="Z18" i="15" s="1"/>
  <c r="DL64" i="15"/>
  <c r="DL18" i="15" s="1"/>
  <c r="ER64" i="15"/>
  <c r="ER18" i="15" s="1"/>
  <c r="BF64" i="15"/>
  <c r="BF18" i="15" s="1"/>
  <c r="DT64" i="15"/>
  <c r="DT18" i="15" s="1"/>
  <c r="G64" i="15"/>
  <c r="G18" i="15" s="1"/>
  <c r="F19" i="15"/>
  <c r="F19" i="10"/>
  <c r="D70" i="2"/>
  <c r="AR31" i="5"/>
  <c r="C66" i="5" s="1"/>
  <c r="D66" i="5" l="1"/>
  <c r="S66" i="5"/>
  <c r="O66" i="5"/>
  <c r="K66" i="5"/>
  <c r="G66" i="5"/>
  <c r="P66" i="5"/>
  <c r="J66" i="5"/>
  <c r="E66" i="5"/>
  <c r="T66" i="5"/>
  <c r="N66" i="5"/>
  <c r="I66" i="5"/>
  <c r="R66" i="5"/>
  <c r="M66" i="5"/>
  <c r="H66" i="5"/>
  <c r="F66" i="5"/>
  <c r="Q66" i="5"/>
  <c r="L66" i="5"/>
  <c r="H70" i="2"/>
  <c r="J70" i="2"/>
  <c r="N70" i="2"/>
  <c r="R70" i="2"/>
  <c r="K70" i="2"/>
  <c r="O70" i="2"/>
  <c r="S70" i="2"/>
  <c r="L70" i="2"/>
  <c r="P70" i="2"/>
  <c r="T70" i="2"/>
  <c r="U70" i="2"/>
  <c r="I70" i="2"/>
  <c r="M70" i="2"/>
  <c r="Q70" i="2"/>
  <c r="D1729" i="12"/>
  <c r="F1728" i="12"/>
  <c r="E1728" i="12"/>
  <c r="EQ26" i="5"/>
  <c r="BF31" i="5"/>
  <c r="BC31" i="5"/>
  <c r="AR27" i="2"/>
  <c r="BB26" i="2"/>
  <c r="J65" i="10"/>
  <c r="J19" i="10" s="1"/>
  <c r="Z65" i="10"/>
  <c r="Z19" i="10" s="1"/>
  <c r="AP65" i="10"/>
  <c r="AP19" i="10" s="1"/>
  <c r="BF65" i="10"/>
  <c r="BF19" i="10" s="1"/>
  <c r="S65" i="10"/>
  <c r="S19" i="10" s="1"/>
  <c r="AI65" i="10"/>
  <c r="AI19" i="10" s="1"/>
  <c r="AY65" i="10"/>
  <c r="AY19" i="10" s="1"/>
  <c r="AB65" i="10"/>
  <c r="AB19" i="10" s="1"/>
  <c r="BH65" i="10"/>
  <c r="BH19" i="10" s="1"/>
  <c r="BZ65" i="10"/>
  <c r="BZ19" i="10" s="1"/>
  <c r="CP65" i="10"/>
  <c r="CP19" i="10" s="1"/>
  <c r="DF65" i="10"/>
  <c r="DF19" i="10" s="1"/>
  <c r="DV65" i="10"/>
  <c r="DV19" i="10" s="1"/>
  <c r="EL65" i="10"/>
  <c r="EL19" i="10" s="1"/>
  <c r="N65" i="10"/>
  <c r="N19" i="10" s="1"/>
  <c r="AD65" i="10"/>
  <c r="AD19" i="10" s="1"/>
  <c r="AT65" i="10"/>
  <c r="AT19" i="10" s="1"/>
  <c r="BJ65" i="10"/>
  <c r="BJ19" i="10" s="1"/>
  <c r="W65" i="10"/>
  <c r="W19" i="10" s="1"/>
  <c r="AM65" i="10"/>
  <c r="AM19" i="10" s="1"/>
  <c r="BC65" i="10"/>
  <c r="BC19" i="10" s="1"/>
  <c r="AJ65" i="10"/>
  <c r="AJ19" i="10" s="1"/>
  <c r="BN65" i="10"/>
  <c r="BN19" i="10" s="1"/>
  <c r="CD65" i="10"/>
  <c r="CD19" i="10" s="1"/>
  <c r="CT65" i="10"/>
  <c r="CT19" i="10" s="1"/>
  <c r="DJ65" i="10"/>
  <c r="DJ19" i="10" s="1"/>
  <c r="DZ65" i="10"/>
  <c r="DZ19" i="10" s="1"/>
  <c r="EP65" i="10"/>
  <c r="EP19" i="10" s="1"/>
  <c r="R65" i="10"/>
  <c r="R19" i="10" s="1"/>
  <c r="AX65" i="10"/>
  <c r="AX19" i="10" s="1"/>
  <c r="K65" i="10"/>
  <c r="K19" i="10" s="1"/>
  <c r="AQ65" i="10"/>
  <c r="AQ19" i="10" s="1"/>
  <c r="AR65" i="10"/>
  <c r="AR19" i="10" s="1"/>
  <c r="CH65" i="10"/>
  <c r="CH19" i="10" s="1"/>
  <c r="DN65" i="10"/>
  <c r="DN19" i="10" s="1"/>
  <c r="ET65" i="10"/>
  <c r="ET19" i="10" s="1"/>
  <c r="AC65" i="10"/>
  <c r="AC19" i="10" s="1"/>
  <c r="BI65" i="10"/>
  <c r="BI19" i="10" s="1"/>
  <c r="CA65" i="10"/>
  <c r="CA19" i="10" s="1"/>
  <c r="CQ65" i="10"/>
  <c r="CQ19" i="10" s="1"/>
  <c r="DG65" i="10"/>
  <c r="DG19" i="10" s="1"/>
  <c r="DW65" i="10"/>
  <c r="DW19" i="10" s="1"/>
  <c r="EM65" i="10"/>
  <c r="EM19" i="10" s="1"/>
  <c r="X65" i="10"/>
  <c r="X19" i="10" s="1"/>
  <c r="BD65" i="10"/>
  <c r="BD19" i="10" s="1"/>
  <c r="BU65" i="10"/>
  <c r="BU19" i="10" s="1"/>
  <c r="DA65" i="10"/>
  <c r="DA19" i="10" s="1"/>
  <c r="EG65" i="10"/>
  <c r="EG19" i="10" s="1"/>
  <c r="BP65" i="10"/>
  <c r="BP19" i="10" s="1"/>
  <c r="CV65" i="10"/>
  <c r="CV19" i="10" s="1"/>
  <c r="EB65" i="10"/>
  <c r="EB19" i="10" s="1"/>
  <c r="V65" i="10"/>
  <c r="V19" i="10" s="1"/>
  <c r="BB65" i="10"/>
  <c r="BB19" i="10" s="1"/>
  <c r="O65" i="10"/>
  <c r="O19" i="10" s="1"/>
  <c r="AU65" i="10"/>
  <c r="AU19" i="10" s="1"/>
  <c r="AZ65" i="10"/>
  <c r="AZ19" i="10" s="1"/>
  <c r="CL65" i="10"/>
  <c r="CL19" i="10" s="1"/>
  <c r="DR65" i="10"/>
  <c r="DR19" i="10" s="1"/>
  <c r="AK65" i="10"/>
  <c r="AK19" i="10" s="1"/>
  <c r="BO65" i="10"/>
  <c r="BO19" i="10" s="1"/>
  <c r="CE65" i="10"/>
  <c r="CE19" i="10" s="1"/>
  <c r="CU65" i="10"/>
  <c r="CU19" i="10" s="1"/>
  <c r="DK65" i="10"/>
  <c r="DK19" i="10" s="1"/>
  <c r="EA65" i="10"/>
  <c r="EA19" i="10" s="1"/>
  <c r="EQ65" i="10"/>
  <c r="EQ19" i="10" s="1"/>
  <c r="AF65" i="10"/>
  <c r="AF19" i="10" s="1"/>
  <c r="BL65" i="10"/>
  <c r="BL19" i="10" s="1"/>
  <c r="CC65" i="10"/>
  <c r="CC19" i="10" s="1"/>
  <c r="DI65" i="10"/>
  <c r="DI19" i="10" s="1"/>
  <c r="EO65" i="10"/>
  <c r="EO19" i="10" s="1"/>
  <c r="BX65" i="10"/>
  <c r="BX19" i="10" s="1"/>
  <c r="DD65" i="10"/>
  <c r="DD19" i="10" s="1"/>
  <c r="EJ65" i="10"/>
  <c r="EJ19" i="10" s="1"/>
  <c r="AH65" i="10"/>
  <c r="AH19" i="10" s="1"/>
  <c r="AA65" i="10"/>
  <c r="AA19" i="10" s="1"/>
  <c r="BG65" i="10"/>
  <c r="BG19" i="10" s="1"/>
  <c r="L65" i="10"/>
  <c r="L19" i="10" s="1"/>
  <c r="BR65" i="10"/>
  <c r="BR19" i="10" s="1"/>
  <c r="CX65" i="10"/>
  <c r="CX19" i="10" s="1"/>
  <c r="ED65" i="10"/>
  <c r="ED19" i="10" s="1"/>
  <c r="BK65" i="10"/>
  <c r="BK19" i="10" s="1"/>
  <c r="DB65" i="10"/>
  <c r="DB19" i="10" s="1"/>
  <c r="U65" i="10"/>
  <c r="U19" i="10" s="1"/>
  <c r="BW65" i="10"/>
  <c r="BW19" i="10" s="1"/>
  <c r="DC65" i="10"/>
  <c r="DC19" i="10" s="1"/>
  <c r="EI65" i="10"/>
  <c r="EI19" i="10" s="1"/>
  <c r="P65" i="10"/>
  <c r="P19" i="10" s="1"/>
  <c r="CS65" i="10"/>
  <c r="CS19" i="10" s="1"/>
  <c r="CN65" i="10"/>
  <c r="CN19" i="10" s="1"/>
  <c r="BY65" i="10"/>
  <c r="BY19" i="10" s="1"/>
  <c r="DE65" i="10"/>
  <c r="DE19" i="10" s="1"/>
  <c r="EK65" i="10"/>
  <c r="EK19" i="10" s="1"/>
  <c r="CB65" i="10"/>
  <c r="CB19" i="10" s="1"/>
  <c r="EH65" i="10"/>
  <c r="EH19" i="10" s="1"/>
  <c r="AS65" i="10"/>
  <c r="AS19" i="10" s="1"/>
  <c r="CI65" i="10"/>
  <c r="CI19" i="10" s="1"/>
  <c r="DO65" i="10"/>
  <c r="DO19" i="10" s="1"/>
  <c r="AN65" i="10"/>
  <c r="AN19" i="10" s="1"/>
  <c r="AG65" i="10"/>
  <c r="AG19" i="10" s="1"/>
  <c r="DQ65" i="10"/>
  <c r="DQ19" i="10" s="1"/>
  <c r="I65" i="10"/>
  <c r="I19" i="10" s="1"/>
  <c r="DL65" i="10"/>
  <c r="DL19" i="10" s="1"/>
  <c r="Q65" i="10"/>
  <c r="Q19" i="10" s="1"/>
  <c r="CG65" i="10"/>
  <c r="CG19" i="10" s="1"/>
  <c r="DM65" i="10"/>
  <c r="DM19" i="10" s="1"/>
  <c r="ES65" i="10"/>
  <c r="ES19" i="10" s="1"/>
  <c r="BE65" i="10"/>
  <c r="BE19" i="10" s="1"/>
  <c r="BT65" i="10"/>
  <c r="BT19" i="10" s="1"/>
  <c r="AL65" i="10"/>
  <c r="AL19" i="10" s="1"/>
  <c r="T65" i="10"/>
  <c r="T19" i="10" s="1"/>
  <c r="BA65" i="10"/>
  <c r="BA19" i="10" s="1"/>
  <c r="CM65" i="10"/>
  <c r="CM19" i="10" s="1"/>
  <c r="DS65" i="10"/>
  <c r="DS19" i="10" s="1"/>
  <c r="AV65" i="10"/>
  <c r="AV19" i="10" s="1"/>
  <c r="BM65" i="10"/>
  <c r="BM19" i="10" s="1"/>
  <c r="DY65" i="10"/>
  <c r="DY19" i="10" s="1"/>
  <c r="AO65" i="10"/>
  <c r="AO19" i="10" s="1"/>
  <c r="DT65" i="10"/>
  <c r="DT19" i="10" s="1"/>
  <c r="AW65" i="10"/>
  <c r="AW19" i="10" s="1"/>
  <c r="CO65" i="10"/>
  <c r="CO19" i="10" s="1"/>
  <c r="DU65" i="10"/>
  <c r="DU19" i="10" s="1"/>
  <c r="BV65" i="10"/>
  <c r="BV19" i="10" s="1"/>
  <c r="BS65" i="10"/>
  <c r="BS19" i="10" s="1"/>
  <c r="CF65" i="10"/>
  <c r="CF19" i="10" s="1"/>
  <c r="DX65" i="10"/>
  <c r="DX19" i="10" s="1"/>
  <c r="AE65" i="10"/>
  <c r="AE19" i="10" s="1"/>
  <c r="CY65" i="10"/>
  <c r="CY19" i="10" s="1"/>
  <c r="EE65" i="10"/>
  <c r="EE19" i="10" s="1"/>
  <c r="CW65" i="10"/>
  <c r="CW19" i="10" s="1"/>
  <c r="EF65" i="10"/>
  <c r="EF19" i="10" s="1"/>
  <c r="M65" i="10"/>
  <c r="M19" i="10" s="1"/>
  <c r="CK65" i="10"/>
  <c r="CK19" i="10" s="1"/>
  <c r="EC65" i="10"/>
  <c r="EC19" i="10" s="1"/>
  <c r="CR65" i="10"/>
  <c r="CR19" i="10" s="1"/>
  <c r="ER65" i="10"/>
  <c r="ER19" i="10" s="1"/>
  <c r="BQ65" i="10"/>
  <c r="BQ19" i="10" s="1"/>
  <c r="CZ65" i="10"/>
  <c r="CZ19" i="10" s="1"/>
  <c r="DH65" i="10"/>
  <c r="DH19" i="10" s="1"/>
  <c r="Y65" i="10"/>
  <c r="Y19" i="10" s="1"/>
  <c r="CJ65" i="10"/>
  <c r="CJ19" i="10" s="1"/>
  <c r="EN65" i="10"/>
  <c r="EN19" i="10" s="1"/>
  <c r="DP65" i="10"/>
  <c r="DP19" i="10" s="1"/>
  <c r="H65" i="10"/>
  <c r="H19" i="10" s="1"/>
  <c r="G65" i="10"/>
  <c r="G19" i="10" s="1"/>
  <c r="R65" i="15"/>
  <c r="R19" i="15" s="1"/>
  <c r="AH65" i="15"/>
  <c r="AH19" i="15" s="1"/>
  <c r="AX65" i="15"/>
  <c r="AX19" i="15" s="1"/>
  <c r="BN65" i="15"/>
  <c r="BN19" i="15" s="1"/>
  <c r="CD65" i="15"/>
  <c r="CD19" i="15" s="1"/>
  <c r="CT65" i="15"/>
  <c r="CT19" i="15" s="1"/>
  <c r="DJ65" i="15"/>
  <c r="DJ19" i="15" s="1"/>
  <c r="DZ65" i="15"/>
  <c r="DZ19" i="15" s="1"/>
  <c r="EP65" i="15"/>
  <c r="EP19" i="15" s="1"/>
  <c r="V65" i="15"/>
  <c r="V19" i="15" s="1"/>
  <c r="AL65" i="15"/>
  <c r="AL19" i="15" s="1"/>
  <c r="BB65" i="15"/>
  <c r="BB19" i="15" s="1"/>
  <c r="BR65" i="15"/>
  <c r="BR19" i="15" s="1"/>
  <c r="CH65" i="15"/>
  <c r="CH19" i="15" s="1"/>
  <c r="CX65" i="15"/>
  <c r="CX19" i="15" s="1"/>
  <c r="DN65" i="15"/>
  <c r="DN19" i="15" s="1"/>
  <c r="ED65" i="15"/>
  <c r="ED19" i="15" s="1"/>
  <c r="ET65" i="15"/>
  <c r="ET19" i="15" s="1"/>
  <c r="J65" i="15"/>
  <c r="J19" i="15" s="1"/>
  <c r="Z65" i="15"/>
  <c r="Z19" i="15" s="1"/>
  <c r="AP65" i="15"/>
  <c r="AP19" i="15" s="1"/>
  <c r="BF65" i="15"/>
  <c r="BF19" i="15" s="1"/>
  <c r="BV65" i="15"/>
  <c r="BV19" i="15" s="1"/>
  <c r="CL65" i="15"/>
  <c r="CL19" i="15" s="1"/>
  <c r="DB65" i="15"/>
  <c r="DB19" i="15" s="1"/>
  <c r="DR65" i="15"/>
  <c r="DR19" i="15" s="1"/>
  <c r="EH65" i="15"/>
  <c r="EH19" i="15" s="1"/>
  <c r="N65" i="15"/>
  <c r="N19" i="15" s="1"/>
  <c r="AD65" i="15"/>
  <c r="AD19" i="15" s="1"/>
  <c r="AT65" i="15"/>
  <c r="AT19" i="15" s="1"/>
  <c r="BJ65" i="15"/>
  <c r="BJ19" i="15" s="1"/>
  <c r="BZ65" i="15"/>
  <c r="BZ19" i="15" s="1"/>
  <c r="CP65" i="15"/>
  <c r="CP19" i="15" s="1"/>
  <c r="DF65" i="15"/>
  <c r="DF19" i="15" s="1"/>
  <c r="DV65" i="15"/>
  <c r="DV19" i="15" s="1"/>
  <c r="EL65" i="15"/>
  <c r="EL19" i="15" s="1"/>
  <c r="W65" i="15"/>
  <c r="W19" i="15" s="1"/>
  <c r="AM65" i="15"/>
  <c r="AM19" i="15" s="1"/>
  <c r="BC65" i="15"/>
  <c r="BC19" i="15" s="1"/>
  <c r="BS65" i="15"/>
  <c r="BS19" i="15" s="1"/>
  <c r="CI65" i="15"/>
  <c r="CI19" i="15" s="1"/>
  <c r="CY65" i="15"/>
  <c r="CY19" i="15" s="1"/>
  <c r="DO65" i="15"/>
  <c r="DO19" i="15" s="1"/>
  <c r="EE65" i="15"/>
  <c r="EE19" i="15" s="1"/>
  <c r="P65" i="15"/>
  <c r="P19" i="15" s="1"/>
  <c r="AV65" i="15"/>
  <c r="AV19" i="15" s="1"/>
  <c r="CB65" i="15"/>
  <c r="CB19" i="15" s="1"/>
  <c r="DH65" i="15"/>
  <c r="DH19" i="15" s="1"/>
  <c r="EN65" i="15"/>
  <c r="EN19" i="15" s="1"/>
  <c r="I65" i="15"/>
  <c r="I19" i="15" s="1"/>
  <c r="AO65" i="15"/>
  <c r="AO19" i="15" s="1"/>
  <c r="BU65" i="15"/>
  <c r="BU19" i="15" s="1"/>
  <c r="AJ65" i="15"/>
  <c r="AJ19" i="15" s="1"/>
  <c r="BP65" i="15"/>
  <c r="BP19" i="15" s="1"/>
  <c r="CV65" i="15"/>
  <c r="CV19" i="15" s="1"/>
  <c r="EB65" i="15"/>
  <c r="EB19" i="15" s="1"/>
  <c r="K65" i="15"/>
  <c r="K19" i="15" s="1"/>
  <c r="AA65" i="15"/>
  <c r="AA19" i="15" s="1"/>
  <c r="AQ65" i="15"/>
  <c r="AQ19" i="15" s="1"/>
  <c r="BG65" i="15"/>
  <c r="BG19" i="15" s="1"/>
  <c r="BW65" i="15"/>
  <c r="BW19" i="15" s="1"/>
  <c r="CM65" i="15"/>
  <c r="CM19" i="15" s="1"/>
  <c r="DC65" i="15"/>
  <c r="DC19" i="15" s="1"/>
  <c r="DS65" i="15"/>
  <c r="DS19" i="15" s="1"/>
  <c r="EI65" i="15"/>
  <c r="EI19" i="15" s="1"/>
  <c r="X65" i="15"/>
  <c r="X19" i="15" s="1"/>
  <c r="BD65" i="15"/>
  <c r="BD19" i="15" s="1"/>
  <c r="CJ65" i="15"/>
  <c r="CJ19" i="15" s="1"/>
  <c r="DP65" i="15"/>
  <c r="DP19" i="15" s="1"/>
  <c r="Q65" i="15"/>
  <c r="Q19" i="15" s="1"/>
  <c r="AW65" i="15"/>
  <c r="AW19" i="15" s="1"/>
  <c r="CC65" i="15"/>
  <c r="CC19" i="15" s="1"/>
  <c r="L65" i="15"/>
  <c r="L19" i="15" s="1"/>
  <c r="AR65" i="15"/>
  <c r="AR19" i="15" s="1"/>
  <c r="BX65" i="15"/>
  <c r="BX19" i="15" s="1"/>
  <c r="DD65" i="15"/>
  <c r="DD19" i="15" s="1"/>
  <c r="EJ65" i="15"/>
  <c r="EJ19" i="15" s="1"/>
  <c r="O65" i="15"/>
  <c r="O19" i="15" s="1"/>
  <c r="AE65" i="15"/>
  <c r="AE19" i="15" s="1"/>
  <c r="AU65" i="15"/>
  <c r="AU19" i="15" s="1"/>
  <c r="BK65" i="15"/>
  <c r="BK19" i="15" s="1"/>
  <c r="CA65" i="15"/>
  <c r="CA19" i="15" s="1"/>
  <c r="CQ65" i="15"/>
  <c r="CQ19" i="15" s="1"/>
  <c r="DG65" i="15"/>
  <c r="DG19" i="15" s="1"/>
  <c r="DW65" i="15"/>
  <c r="DW19" i="15" s="1"/>
  <c r="EM65" i="15"/>
  <c r="EM19" i="15" s="1"/>
  <c r="AF65" i="15"/>
  <c r="AF19" i="15" s="1"/>
  <c r="BL65" i="15"/>
  <c r="BL19" i="15" s="1"/>
  <c r="CR65" i="15"/>
  <c r="CR19" i="15" s="1"/>
  <c r="DX65" i="15"/>
  <c r="DX19" i="15" s="1"/>
  <c r="Y65" i="15"/>
  <c r="Y19" i="15" s="1"/>
  <c r="BE65" i="15"/>
  <c r="BE19" i="15" s="1"/>
  <c r="CK65" i="15"/>
  <c r="CK19" i="15" s="1"/>
  <c r="T65" i="15"/>
  <c r="T19" i="15" s="1"/>
  <c r="AZ65" i="15"/>
  <c r="AZ19" i="15" s="1"/>
  <c r="CF65" i="15"/>
  <c r="CF19" i="15" s="1"/>
  <c r="DL65" i="15"/>
  <c r="DL19" i="15" s="1"/>
  <c r="ER65" i="15"/>
  <c r="ER19" i="15" s="1"/>
  <c r="S65" i="15"/>
  <c r="S19" i="15" s="1"/>
  <c r="AI65" i="15"/>
  <c r="AI19" i="15" s="1"/>
  <c r="AY65" i="15"/>
  <c r="AY19" i="15" s="1"/>
  <c r="BO65" i="15"/>
  <c r="BO19" i="15" s="1"/>
  <c r="CE65" i="15"/>
  <c r="CE19" i="15" s="1"/>
  <c r="CU65" i="15"/>
  <c r="CU19" i="15" s="1"/>
  <c r="DK65" i="15"/>
  <c r="DK19" i="15" s="1"/>
  <c r="EA65" i="15"/>
  <c r="EA19" i="15" s="1"/>
  <c r="EQ65" i="15"/>
  <c r="EQ19" i="15" s="1"/>
  <c r="H65" i="15"/>
  <c r="H19" i="15" s="1"/>
  <c r="AN65" i="15"/>
  <c r="AN19" i="15" s="1"/>
  <c r="BT65" i="15"/>
  <c r="BT19" i="15" s="1"/>
  <c r="CZ65" i="15"/>
  <c r="CZ19" i="15" s="1"/>
  <c r="EF65" i="15"/>
  <c r="EF19" i="15" s="1"/>
  <c r="AG65" i="15"/>
  <c r="AG19" i="15" s="1"/>
  <c r="BM65" i="15"/>
  <c r="BM19" i="15" s="1"/>
  <c r="CS65" i="15"/>
  <c r="CS19" i="15" s="1"/>
  <c r="AB65" i="15"/>
  <c r="AB19" i="15" s="1"/>
  <c r="BH65" i="15"/>
  <c r="BH19" i="15" s="1"/>
  <c r="CN65" i="15"/>
  <c r="CN19" i="15" s="1"/>
  <c r="DT65" i="15"/>
  <c r="DT19" i="15" s="1"/>
  <c r="U65" i="15"/>
  <c r="U19" i="15" s="1"/>
  <c r="BA65" i="15"/>
  <c r="BA19" i="15" s="1"/>
  <c r="CG65" i="15"/>
  <c r="CG19" i="15" s="1"/>
  <c r="DM65" i="15"/>
  <c r="DM19" i="15" s="1"/>
  <c r="ES65" i="15"/>
  <c r="ES19" i="15" s="1"/>
  <c r="DI65" i="15"/>
  <c r="DI19" i="15" s="1"/>
  <c r="AC65" i="15"/>
  <c r="AC19" i="15" s="1"/>
  <c r="BI65" i="15"/>
  <c r="BI19" i="15" s="1"/>
  <c r="CO65" i="15"/>
  <c r="CO19" i="15" s="1"/>
  <c r="DU65" i="15"/>
  <c r="DU19" i="15" s="1"/>
  <c r="EO65" i="15"/>
  <c r="EO19" i="15" s="1"/>
  <c r="AK65" i="15"/>
  <c r="AK19" i="15" s="1"/>
  <c r="BQ65" i="15"/>
  <c r="BQ19" i="15" s="1"/>
  <c r="CW65" i="15"/>
  <c r="CW19" i="15" s="1"/>
  <c r="EC65" i="15"/>
  <c r="EC19" i="15" s="1"/>
  <c r="DA65" i="15"/>
  <c r="DA19" i="15" s="1"/>
  <c r="DQ65" i="15"/>
  <c r="DQ19" i="15" s="1"/>
  <c r="DY65" i="15"/>
  <c r="DY19" i="15" s="1"/>
  <c r="M65" i="15"/>
  <c r="M19" i="15" s="1"/>
  <c r="AS65" i="15"/>
  <c r="AS19" i="15" s="1"/>
  <c r="BY65" i="15"/>
  <c r="BY19" i="15" s="1"/>
  <c r="DE65" i="15"/>
  <c r="DE19" i="15" s="1"/>
  <c r="EK65" i="15"/>
  <c r="EK19" i="15" s="1"/>
  <c r="EG65" i="15"/>
  <c r="EG19" i="15" s="1"/>
  <c r="G65" i="15"/>
  <c r="G19" i="15" s="1"/>
  <c r="F20" i="15"/>
  <c r="F20" i="10"/>
  <c r="AR32" i="5"/>
  <c r="C67" i="5" s="1"/>
  <c r="D71" i="2"/>
  <c r="D67" i="5" l="1"/>
  <c r="S67" i="5"/>
  <c r="O67" i="5"/>
  <c r="K67" i="5"/>
  <c r="G67" i="5"/>
  <c r="P67" i="5"/>
  <c r="J67" i="5"/>
  <c r="E67" i="5"/>
  <c r="Q67" i="5"/>
  <c r="F67" i="5"/>
  <c r="T67" i="5"/>
  <c r="N67" i="5"/>
  <c r="I67" i="5"/>
  <c r="R67" i="5"/>
  <c r="M67" i="5"/>
  <c r="H67" i="5"/>
  <c r="L67" i="5"/>
  <c r="H71" i="2"/>
  <c r="I71" i="2"/>
  <c r="M71" i="2"/>
  <c r="Q71" i="2"/>
  <c r="U71" i="2"/>
  <c r="J71" i="2"/>
  <c r="N71" i="2"/>
  <c r="R71" i="2"/>
  <c r="K71" i="2"/>
  <c r="O71" i="2"/>
  <c r="S71" i="2"/>
  <c r="L71" i="2"/>
  <c r="P71" i="2"/>
  <c r="T71" i="2"/>
  <c r="D1730" i="12"/>
  <c r="F1729" i="12"/>
  <c r="E1729" i="12"/>
  <c r="EQ27" i="5"/>
  <c r="BF32" i="5"/>
  <c r="BC32" i="5"/>
  <c r="AR28" i="2"/>
  <c r="BB27" i="2"/>
  <c r="P66" i="10"/>
  <c r="P20" i="10" s="1"/>
  <c r="AF66" i="10"/>
  <c r="AF20" i="10" s="1"/>
  <c r="AV66" i="10"/>
  <c r="AV20" i="10" s="1"/>
  <c r="BL66" i="10"/>
  <c r="BL20" i="10" s="1"/>
  <c r="CB66" i="10"/>
  <c r="CB20" i="10" s="1"/>
  <c r="CR66" i="10"/>
  <c r="CR20" i="10" s="1"/>
  <c r="DH66" i="10"/>
  <c r="DH20" i="10" s="1"/>
  <c r="DX66" i="10"/>
  <c r="DX20" i="10" s="1"/>
  <c r="EN66" i="10"/>
  <c r="EN20" i="10" s="1"/>
  <c r="T66" i="10"/>
  <c r="T20" i="10" s="1"/>
  <c r="AJ66" i="10"/>
  <c r="AJ20" i="10" s="1"/>
  <c r="AZ66" i="10"/>
  <c r="AZ20" i="10" s="1"/>
  <c r="BP66" i="10"/>
  <c r="BP20" i="10" s="1"/>
  <c r="CF66" i="10"/>
  <c r="CF20" i="10" s="1"/>
  <c r="CV66" i="10"/>
  <c r="CV20" i="10" s="1"/>
  <c r="DL66" i="10"/>
  <c r="DL20" i="10" s="1"/>
  <c r="EB66" i="10"/>
  <c r="EB20" i="10" s="1"/>
  <c r="ER66" i="10"/>
  <c r="ER20" i="10" s="1"/>
  <c r="AN66" i="10"/>
  <c r="AN20" i="10" s="1"/>
  <c r="BT66" i="10"/>
  <c r="BT20" i="10" s="1"/>
  <c r="CZ66" i="10"/>
  <c r="CZ20" i="10" s="1"/>
  <c r="EF66" i="10"/>
  <c r="EF20" i="10" s="1"/>
  <c r="Q66" i="10"/>
  <c r="Q20" i="10" s="1"/>
  <c r="AG66" i="10"/>
  <c r="AG20" i="10" s="1"/>
  <c r="AW66" i="10"/>
  <c r="AW20" i="10" s="1"/>
  <c r="BM66" i="10"/>
  <c r="BM20" i="10" s="1"/>
  <c r="CC66" i="10"/>
  <c r="CC20" i="10" s="1"/>
  <c r="CS66" i="10"/>
  <c r="CS20" i="10" s="1"/>
  <c r="AA66" i="10"/>
  <c r="AA20" i="10" s="1"/>
  <c r="BG66" i="10"/>
  <c r="BG20" i="10" s="1"/>
  <c r="V66" i="10"/>
  <c r="V20" i="10" s="1"/>
  <c r="BB66" i="10"/>
  <c r="BB20" i="10" s="1"/>
  <c r="CH66" i="10"/>
  <c r="CH20" i="10" s="1"/>
  <c r="DG66" i="10"/>
  <c r="DG20" i="10" s="1"/>
  <c r="EC66" i="10"/>
  <c r="EC20" i="10" s="1"/>
  <c r="L66" i="10"/>
  <c r="L20" i="10" s="1"/>
  <c r="AR66" i="10"/>
  <c r="AR20" i="10" s="1"/>
  <c r="BX66" i="10"/>
  <c r="BX20" i="10" s="1"/>
  <c r="DD66" i="10"/>
  <c r="DD20" i="10" s="1"/>
  <c r="EJ66" i="10"/>
  <c r="EJ20" i="10" s="1"/>
  <c r="U66" i="10"/>
  <c r="U20" i="10" s="1"/>
  <c r="AK66" i="10"/>
  <c r="AK20" i="10" s="1"/>
  <c r="BA66" i="10"/>
  <c r="BA20" i="10" s="1"/>
  <c r="BQ66" i="10"/>
  <c r="BQ20" i="10" s="1"/>
  <c r="CG66" i="10"/>
  <c r="CG20" i="10" s="1"/>
  <c r="AI66" i="10"/>
  <c r="AI20" i="10" s="1"/>
  <c r="BO66" i="10"/>
  <c r="BO20" i="10" s="1"/>
  <c r="AD66" i="10"/>
  <c r="AD20" i="10" s="1"/>
  <c r="BJ66" i="10"/>
  <c r="BJ20" i="10" s="1"/>
  <c r="CP66" i="10"/>
  <c r="CP20" i="10" s="1"/>
  <c r="X66" i="10"/>
  <c r="X20" i="10" s="1"/>
  <c r="BD66" i="10"/>
  <c r="BD20" i="10" s="1"/>
  <c r="CJ66" i="10"/>
  <c r="CJ20" i="10" s="1"/>
  <c r="DP66" i="10"/>
  <c r="DP20" i="10" s="1"/>
  <c r="CN66" i="10"/>
  <c r="CN20" i="10" s="1"/>
  <c r="AC66" i="10"/>
  <c r="AC20" i="10" s="1"/>
  <c r="BI66" i="10"/>
  <c r="BI20" i="10" s="1"/>
  <c r="CO66" i="10"/>
  <c r="CO20" i="10" s="1"/>
  <c r="S66" i="10"/>
  <c r="S20" i="10" s="1"/>
  <c r="N66" i="10"/>
  <c r="N20" i="10" s="1"/>
  <c r="BZ66" i="10"/>
  <c r="BZ20" i="10" s="1"/>
  <c r="DR66" i="10"/>
  <c r="DR20" i="10" s="1"/>
  <c r="ES66" i="10"/>
  <c r="ES20" i="10" s="1"/>
  <c r="AE66" i="10"/>
  <c r="AE20" i="10" s="1"/>
  <c r="BK66" i="10"/>
  <c r="BK20" i="10" s="1"/>
  <c r="CQ66" i="10"/>
  <c r="CQ20" i="10" s="1"/>
  <c r="DN66" i="10"/>
  <c r="DN20" i="10" s="1"/>
  <c r="EI66" i="10"/>
  <c r="EI20" i="10" s="1"/>
  <c r="R66" i="10"/>
  <c r="R20" i="10" s="1"/>
  <c r="DE66" i="10"/>
  <c r="DE20" i="10" s="1"/>
  <c r="Z66" i="10"/>
  <c r="Z20" i="10" s="1"/>
  <c r="DF66" i="10"/>
  <c r="DF20" i="10" s="1"/>
  <c r="BN66" i="10"/>
  <c r="BN20" i="10" s="1"/>
  <c r="DU66" i="10"/>
  <c r="DU20" i="10" s="1"/>
  <c r="DK66" i="10"/>
  <c r="DK20" i="10" s="1"/>
  <c r="DT66" i="10"/>
  <c r="DT20" i="10" s="1"/>
  <c r="I66" i="10"/>
  <c r="I20" i="10" s="1"/>
  <c r="AO66" i="10"/>
  <c r="AO20" i="10" s="1"/>
  <c r="BU66" i="10"/>
  <c r="BU20" i="10" s="1"/>
  <c r="AQ66" i="10"/>
  <c r="AQ20" i="10" s="1"/>
  <c r="AL66" i="10"/>
  <c r="AL20" i="10" s="1"/>
  <c r="CW66" i="10"/>
  <c r="CW20" i="10" s="1"/>
  <c r="DW66" i="10"/>
  <c r="DW20" i="10" s="1"/>
  <c r="AM66" i="10"/>
  <c r="AM20" i="10" s="1"/>
  <c r="BS66" i="10"/>
  <c r="BS20" i="10" s="1"/>
  <c r="CX66" i="10"/>
  <c r="CX20" i="10" s="1"/>
  <c r="DS66" i="10"/>
  <c r="DS20" i="10" s="1"/>
  <c r="EO66" i="10"/>
  <c r="EO20" i="10" s="1"/>
  <c r="AX66" i="10"/>
  <c r="AX20" i="10" s="1"/>
  <c r="DO66" i="10"/>
  <c r="DO20" i="10" s="1"/>
  <c r="BF66" i="10"/>
  <c r="BF20" i="10" s="1"/>
  <c r="DQ66" i="10"/>
  <c r="DQ20" i="10" s="1"/>
  <c r="AB66" i="10"/>
  <c r="AB20" i="10" s="1"/>
  <c r="M66" i="10"/>
  <c r="M20" i="10" s="1"/>
  <c r="AS66" i="10"/>
  <c r="AS20" i="10" s="1"/>
  <c r="BY66" i="10"/>
  <c r="BY20" i="10" s="1"/>
  <c r="AY66" i="10"/>
  <c r="AY20" i="10" s="1"/>
  <c r="AT66" i="10"/>
  <c r="AT20" i="10" s="1"/>
  <c r="DB66" i="10"/>
  <c r="DB20" i="10" s="1"/>
  <c r="EH66" i="10"/>
  <c r="EH20" i="10" s="1"/>
  <c r="O66" i="10"/>
  <c r="O20" i="10" s="1"/>
  <c r="BE66" i="10"/>
  <c r="BE20" i="10" s="1"/>
  <c r="K66" i="10"/>
  <c r="K20" i="10" s="1"/>
  <c r="EM66" i="10"/>
  <c r="EM20" i="10" s="1"/>
  <c r="W66" i="10"/>
  <c r="W20" i="10" s="1"/>
  <c r="CI66" i="10"/>
  <c r="CI20" i="10" s="1"/>
  <c r="ED66" i="10"/>
  <c r="ED20" i="10" s="1"/>
  <c r="EK66" i="10"/>
  <c r="EK20" i="10" s="1"/>
  <c r="CU66" i="10"/>
  <c r="CU20" i="10" s="1"/>
  <c r="BH66" i="10"/>
  <c r="BH20" i="10" s="1"/>
  <c r="CK66" i="10"/>
  <c r="CK20" i="10" s="1"/>
  <c r="BR66" i="10"/>
  <c r="BR20" i="10" s="1"/>
  <c r="BC66" i="10"/>
  <c r="BC20" i="10" s="1"/>
  <c r="DI66" i="10"/>
  <c r="DI20" i="10" s="1"/>
  <c r="CT66" i="10"/>
  <c r="CT20" i="10" s="1"/>
  <c r="EL66" i="10"/>
  <c r="EL20" i="10" s="1"/>
  <c r="Y66" i="10"/>
  <c r="Y20" i="10" s="1"/>
  <c r="DM66" i="10"/>
  <c r="DM20" i="10" s="1"/>
  <c r="CA66" i="10"/>
  <c r="CA20" i="10" s="1"/>
  <c r="DY66" i="10"/>
  <c r="DY20" i="10" s="1"/>
  <c r="DZ66" i="10"/>
  <c r="DZ20" i="10" s="1"/>
  <c r="CE66" i="10"/>
  <c r="CE20" i="10" s="1"/>
  <c r="AH66" i="10"/>
  <c r="AH20" i="10" s="1"/>
  <c r="EE66" i="10"/>
  <c r="EE20" i="10" s="1"/>
  <c r="DV66" i="10"/>
  <c r="DV20" i="10" s="1"/>
  <c r="DC66" i="10"/>
  <c r="DC20" i="10" s="1"/>
  <c r="CD66" i="10"/>
  <c r="CD20" i="10" s="1"/>
  <c r="CY66" i="10"/>
  <c r="CY20" i="10" s="1"/>
  <c r="BW66" i="10"/>
  <c r="BW20" i="10" s="1"/>
  <c r="ET66" i="10"/>
  <c r="ET20" i="10" s="1"/>
  <c r="DJ66" i="10"/>
  <c r="DJ20" i="10" s="1"/>
  <c r="AP66" i="10"/>
  <c r="AP20" i="10" s="1"/>
  <c r="BV66" i="10"/>
  <c r="BV20" i="10" s="1"/>
  <c r="EG66" i="10"/>
  <c r="EG20" i="10" s="1"/>
  <c r="DA66" i="10"/>
  <c r="DA20" i="10" s="1"/>
  <c r="EA66" i="10"/>
  <c r="EA20" i="10" s="1"/>
  <c r="CL66" i="10"/>
  <c r="CL20" i="10" s="1"/>
  <c r="AU66" i="10"/>
  <c r="AU20" i="10" s="1"/>
  <c r="EP66" i="10"/>
  <c r="EP20" i="10" s="1"/>
  <c r="CM66" i="10"/>
  <c r="CM20" i="10" s="1"/>
  <c r="J66" i="10"/>
  <c r="J20" i="10" s="1"/>
  <c r="EQ66" i="10"/>
  <c r="EQ20" i="10" s="1"/>
  <c r="H66" i="10"/>
  <c r="H20" i="10" s="1"/>
  <c r="G66" i="10"/>
  <c r="G20" i="10" s="1"/>
  <c r="S66" i="15"/>
  <c r="S20" i="15" s="1"/>
  <c r="AI66" i="15"/>
  <c r="AI20" i="15" s="1"/>
  <c r="AY66" i="15"/>
  <c r="AY20" i="15" s="1"/>
  <c r="BO66" i="15"/>
  <c r="BO20" i="15" s="1"/>
  <c r="CE66" i="15"/>
  <c r="CE20" i="15" s="1"/>
  <c r="CU66" i="15"/>
  <c r="CU20" i="15" s="1"/>
  <c r="DK66" i="15"/>
  <c r="DK20" i="15" s="1"/>
  <c r="EA66" i="15"/>
  <c r="EA20" i="15" s="1"/>
  <c r="EQ66" i="15"/>
  <c r="EQ20" i="15" s="1"/>
  <c r="W66" i="15"/>
  <c r="W20" i="15" s="1"/>
  <c r="AM66" i="15"/>
  <c r="AM20" i="15" s="1"/>
  <c r="BC66" i="15"/>
  <c r="BC20" i="15" s="1"/>
  <c r="BS66" i="15"/>
  <c r="BS20" i="15" s="1"/>
  <c r="CI66" i="15"/>
  <c r="CI20" i="15" s="1"/>
  <c r="CY66" i="15"/>
  <c r="CY20" i="15" s="1"/>
  <c r="DO66" i="15"/>
  <c r="DO20" i="15" s="1"/>
  <c r="EE66" i="15"/>
  <c r="EE20" i="15" s="1"/>
  <c r="K66" i="15"/>
  <c r="K20" i="15" s="1"/>
  <c r="AA66" i="15"/>
  <c r="AA20" i="15" s="1"/>
  <c r="AQ66" i="15"/>
  <c r="AQ20" i="15" s="1"/>
  <c r="BG66" i="15"/>
  <c r="BG20" i="15" s="1"/>
  <c r="BW66" i="15"/>
  <c r="BW20" i="15" s="1"/>
  <c r="CM66" i="15"/>
  <c r="CM20" i="15" s="1"/>
  <c r="DC66" i="15"/>
  <c r="DC20" i="15" s="1"/>
  <c r="DS66" i="15"/>
  <c r="DS20" i="15" s="1"/>
  <c r="EI66" i="15"/>
  <c r="EI20" i="15" s="1"/>
  <c r="O66" i="15"/>
  <c r="O20" i="15" s="1"/>
  <c r="AE66" i="15"/>
  <c r="AE20" i="15" s="1"/>
  <c r="AU66" i="15"/>
  <c r="AU20" i="15" s="1"/>
  <c r="BK66" i="15"/>
  <c r="BK20" i="15" s="1"/>
  <c r="CA66" i="15"/>
  <c r="CA20" i="15" s="1"/>
  <c r="CQ66" i="15"/>
  <c r="CQ20" i="15" s="1"/>
  <c r="DG66" i="15"/>
  <c r="DG20" i="15" s="1"/>
  <c r="DW66" i="15"/>
  <c r="DW20" i="15" s="1"/>
  <c r="EM66" i="15"/>
  <c r="EM20" i="15" s="1"/>
  <c r="H66" i="15"/>
  <c r="H20" i="15" s="1"/>
  <c r="X66" i="15"/>
  <c r="X20" i="15" s="1"/>
  <c r="AN66" i="15"/>
  <c r="AN20" i="15" s="1"/>
  <c r="BD66" i="15"/>
  <c r="BD20" i="15" s="1"/>
  <c r="BT66" i="15"/>
  <c r="BT20" i="15" s="1"/>
  <c r="CJ66" i="15"/>
  <c r="CJ20" i="15" s="1"/>
  <c r="CZ66" i="15"/>
  <c r="CZ20" i="15" s="1"/>
  <c r="DP66" i="15"/>
  <c r="DP20" i="15" s="1"/>
  <c r="EF66" i="15"/>
  <c r="EF20" i="15" s="1"/>
  <c r="AG66" i="15"/>
  <c r="AG20" i="15" s="1"/>
  <c r="BM66" i="15"/>
  <c r="BM20" i="15" s="1"/>
  <c r="CS66" i="15"/>
  <c r="CS20" i="15" s="1"/>
  <c r="DY66" i="15"/>
  <c r="DY20" i="15" s="1"/>
  <c r="U66" i="15"/>
  <c r="U20" i="15" s="1"/>
  <c r="BA66" i="15"/>
  <c r="BA20" i="15" s="1"/>
  <c r="CG66" i="15"/>
  <c r="CG20" i="15" s="1"/>
  <c r="DM66" i="15"/>
  <c r="DM20" i="15" s="1"/>
  <c r="ES66" i="15"/>
  <c r="ES20" i="15" s="1"/>
  <c r="L66" i="15"/>
  <c r="L20" i="15" s="1"/>
  <c r="AB66" i="15"/>
  <c r="AB20" i="15" s="1"/>
  <c r="AR66" i="15"/>
  <c r="AR20" i="15" s="1"/>
  <c r="BH66" i="15"/>
  <c r="BH20" i="15" s="1"/>
  <c r="BX66" i="15"/>
  <c r="BX20" i="15" s="1"/>
  <c r="CN66" i="15"/>
  <c r="CN20" i="15" s="1"/>
  <c r="DD66" i="15"/>
  <c r="DD20" i="15" s="1"/>
  <c r="DT66" i="15"/>
  <c r="DT20" i="15" s="1"/>
  <c r="EJ66" i="15"/>
  <c r="EJ20" i="15" s="1"/>
  <c r="I66" i="15"/>
  <c r="I20" i="15" s="1"/>
  <c r="AO66" i="15"/>
  <c r="AO20" i="15" s="1"/>
  <c r="BU66" i="15"/>
  <c r="BU20" i="15" s="1"/>
  <c r="DA66" i="15"/>
  <c r="DA20" i="15" s="1"/>
  <c r="EG66" i="15"/>
  <c r="EG20" i="15" s="1"/>
  <c r="AC66" i="15"/>
  <c r="AC20" i="15" s="1"/>
  <c r="BI66" i="15"/>
  <c r="BI20" i="15" s="1"/>
  <c r="CO66" i="15"/>
  <c r="CO20" i="15" s="1"/>
  <c r="DU66" i="15"/>
  <c r="DU20" i="15" s="1"/>
  <c r="P66" i="15"/>
  <c r="P20" i="15" s="1"/>
  <c r="AF66" i="15"/>
  <c r="AF20" i="15" s="1"/>
  <c r="AV66" i="15"/>
  <c r="AV20" i="15" s="1"/>
  <c r="BL66" i="15"/>
  <c r="BL20" i="15" s="1"/>
  <c r="CB66" i="15"/>
  <c r="CB20" i="15" s="1"/>
  <c r="CR66" i="15"/>
  <c r="CR20" i="15" s="1"/>
  <c r="DH66" i="15"/>
  <c r="DH20" i="15" s="1"/>
  <c r="DX66" i="15"/>
  <c r="DX20" i="15" s="1"/>
  <c r="EN66" i="15"/>
  <c r="EN20" i="15" s="1"/>
  <c r="Q66" i="15"/>
  <c r="Q20" i="15" s="1"/>
  <c r="AW66" i="15"/>
  <c r="AW20" i="15" s="1"/>
  <c r="CC66" i="15"/>
  <c r="CC20" i="15" s="1"/>
  <c r="DI66" i="15"/>
  <c r="DI20" i="15" s="1"/>
  <c r="EO66" i="15"/>
  <c r="EO20" i="15" s="1"/>
  <c r="T66" i="15"/>
  <c r="T20" i="15" s="1"/>
  <c r="AJ66" i="15"/>
  <c r="AJ20" i="15" s="1"/>
  <c r="AZ66" i="15"/>
  <c r="AZ20" i="15" s="1"/>
  <c r="BP66" i="15"/>
  <c r="BP20" i="15" s="1"/>
  <c r="CF66" i="15"/>
  <c r="CF20" i="15" s="1"/>
  <c r="CV66" i="15"/>
  <c r="CV20" i="15" s="1"/>
  <c r="DL66" i="15"/>
  <c r="DL20" i="15" s="1"/>
  <c r="EB66" i="15"/>
  <c r="EB20" i="15" s="1"/>
  <c r="ER66" i="15"/>
  <c r="ER20" i="15" s="1"/>
  <c r="Y66" i="15"/>
  <c r="Y20" i="15" s="1"/>
  <c r="BE66" i="15"/>
  <c r="BE20" i="15" s="1"/>
  <c r="CK66" i="15"/>
  <c r="CK20" i="15" s="1"/>
  <c r="DQ66" i="15"/>
  <c r="DQ20" i="15" s="1"/>
  <c r="M66" i="15"/>
  <c r="M20" i="15" s="1"/>
  <c r="AS66" i="15"/>
  <c r="AS20" i="15" s="1"/>
  <c r="BY66" i="15"/>
  <c r="BY20" i="15" s="1"/>
  <c r="DE66" i="15"/>
  <c r="DE20" i="15" s="1"/>
  <c r="EK66" i="15"/>
  <c r="EK20" i="15" s="1"/>
  <c r="AK66" i="15"/>
  <c r="AK20" i="15" s="1"/>
  <c r="AL66" i="15"/>
  <c r="AL20" i="15" s="1"/>
  <c r="BR66" i="15"/>
  <c r="BR20" i="15" s="1"/>
  <c r="CX66" i="15"/>
  <c r="CX20" i="15" s="1"/>
  <c r="ED66" i="15"/>
  <c r="ED20" i="15" s="1"/>
  <c r="Z66" i="15"/>
  <c r="Z20" i="15" s="1"/>
  <c r="CT66" i="15"/>
  <c r="CT20" i="15" s="1"/>
  <c r="AP66" i="15"/>
  <c r="AP20" i="15" s="1"/>
  <c r="AX66" i="15"/>
  <c r="AX20" i="15" s="1"/>
  <c r="BQ66" i="15"/>
  <c r="BQ20" i="15" s="1"/>
  <c r="N66" i="15"/>
  <c r="N20" i="15" s="1"/>
  <c r="AT66" i="15"/>
  <c r="AT20" i="15" s="1"/>
  <c r="BZ66" i="15"/>
  <c r="BZ20" i="15" s="1"/>
  <c r="DF66" i="15"/>
  <c r="DF20" i="15" s="1"/>
  <c r="EL66" i="15"/>
  <c r="EL20" i="15" s="1"/>
  <c r="BF66" i="15"/>
  <c r="BF20" i="15" s="1"/>
  <c r="DZ66" i="15"/>
  <c r="DZ20" i="15" s="1"/>
  <c r="BV66" i="15"/>
  <c r="BV20" i="15" s="1"/>
  <c r="CD66" i="15"/>
  <c r="CD20" i="15" s="1"/>
  <c r="CW66" i="15"/>
  <c r="CW20" i="15" s="1"/>
  <c r="V66" i="15"/>
  <c r="V20" i="15" s="1"/>
  <c r="BB66" i="15"/>
  <c r="BB20" i="15" s="1"/>
  <c r="CH66" i="15"/>
  <c r="CH20" i="15" s="1"/>
  <c r="DN66" i="15"/>
  <c r="DN20" i="15" s="1"/>
  <c r="ET66" i="15"/>
  <c r="ET20" i="15" s="1"/>
  <c r="CL66" i="15"/>
  <c r="CL20" i="15" s="1"/>
  <c r="AH66" i="15"/>
  <c r="AH20" i="15" s="1"/>
  <c r="DB66" i="15"/>
  <c r="DB20" i="15" s="1"/>
  <c r="DJ66" i="15"/>
  <c r="DJ20" i="15" s="1"/>
  <c r="EC66" i="15"/>
  <c r="EC20" i="15" s="1"/>
  <c r="AD66" i="15"/>
  <c r="AD20" i="15" s="1"/>
  <c r="BJ66" i="15"/>
  <c r="BJ20" i="15" s="1"/>
  <c r="CP66" i="15"/>
  <c r="CP20" i="15" s="1"/>
  <c r="DV66" i="15"/>
  <c r="DV20" i="15" s="1"/>
  <c r="DR66" i="15"/>
  <c r="DR20" i="15" s="1"/>
  <c r="BN66" i="15"/>
  <c r="BN20" i="15" s="1"/>
  <c r="J66" i="15"/>
  <c r="J20" i="15" s="1"/>
  <c r="EH66" i="15"/>
  <c r="EH20" i="15" s="1"/>
  <c r="R66" i="15"/>
  <c r="R20" i="15" s="1"/>
  <c r="EP66" i="15"/>
  <c r="EP20" i="15" s="1"/>
  <c r="G66" i="15"/>
  <c r="G20" i="15" s="1"/>
  <c r="F21" i="15"/>
  <c r="F21" i="10"/>
  <c r="D72" i="2"/>
  <c r="AR33" i="5"/>
  <c r="C68" i="5" s="1"/>
  <c r="D68" i="5" l="1"/>
  <c r="S68" i="5"/>
  <c r="O68" i="5"/>
  <c r="K68" i="5"/>
  <c r="G68" i="5"/>
  <c r="P68" i="5"/>
  <c r="J68" i="5"/>
  <c r="E68" i="5"/>
  <c r="L68" i="5"/>
  <c r="T68" i="5"/>
  <c r="N68" i="5"/>
  <c r="I68" i="5"/>
  <c r="R68" i="5"/>
  <c r="M68" i="5"/>
  <c r="H68" i="5"/>
  <c r="Q68" i="5"/>
  <c r="F68" i="5"/>
  <c r="H72" i="2"/>
  <c r="L72" i="2"/>
  <c r="P72" i="2"/>
  <c r="T72" i="2"/>
  <c r="I72" i="2"/>
  <c r="M72" i="2"/>
  <c r="Q72" i="2"/>
  <c r="U72" i="2"/>
  <c r="J72" i="2"/>
  <c r="N72" i="2"/>
  <c r="R72" i="2"/>
  <c r="K72" i="2"/>
  <c r="O72" i="2"/>
  <c r="S72" i="2"/>
  <c r="D1731" i="12"/>
  <c r="F1730" i="12"/>
  <c r="E1730" i="12"/>
  <c r="EQ28" i="5"/>
  <c r="BF33" i="5"/>
  <c r="BC33" i="5"/>
  <c r="AR29" i="2"/>
  <c r="BB28" i="2"/>
  <c r="R67" i="10"/>
  <c r="R21" i="10" s="1"/>
  <c r="AH67" i="10"/>
  <c r="AH21" i="10" s="1"/>
  <c r="AX67" i="10"/>
  <c r="AX21" i="10" s="1"/>
  <c r="BN67" i="10"/>
  <c r="BN21" i="10" s="1"/>
  <c r="V67" i="10"/>
  <c r="V21" i="10" s="1"/>
  <c r="AL67" i="10"/>
  <c r="AL21" i="10" s="1"/>
  <c r="BB67" i="10"/>
  <c r="BB21" i="10" s="1"/>
  <c r="BR67" i="10"/>
  <c r="BR21" i="10" s="1"/>
  <c r="Z67" i="10"/>
  <c r="Z21" i="10" s="1"/>
  <c r="BF67" i="10"/>
  <c r="BF21" i="10" s="1"/>
  <c r="L67" i="10"/>
  <c r="L21" i="10" s="1"/>
  <c r="AG67" i="10"/>
  <c r="AG21" i="10" s="1"/>
  <c r="BC67" i="10"/>
  <c r="BC21" i="10" s="1"/>
  <c r="BX67" i="10"/>
  <c r="BX21" i="10" s="1"/>
  <c r="CO67" i="10"/>
  <c r="CO21" i="10" s="1"/>
  <c r="DE67" i="10"/>
  <c r="DE21" i="10" s="1"/>
  <c r="DU67" i="10"/>
  <c r="DU21" i="10" s="1"/>
  <c r="EK67" i="10"/>
  <c r="EK21" i="10" s="1"/>
  <c r="AD67" i="10"/>
  <c r="AD21" i="10" s="1"/>
  <c r="BJ67" i="10"/>
  <c r="BJ21" i="10" s="1"/>
  <c r="J67" i="10"/>
  <c r="J21" i="10" s="1"/>
  <c r="AP67" i="10"/>
  <c r="AP21" i="10" s="1"/>
  <c r="BV67" i="10"/>
  <c r="BV21" i="10" s="1"/>
  <c r="BZ67" i="10"/>
  <c r="BZ21" i="10" s="1"/>
  <c r="AM67" i="10"/>
  <c r="AM21" i="10" s="1"/>
  <c r="BM67" i="10"/>
  <c r="BM21" i="10" s="1"/>
  <c r="CK67" i="10"/>
  <c r="CK21" i="10" s="1"/>
  <c r="DI67" i="10"/>
  <c r="DI21" i="10" s="1"/>
  <c r="EC67" i="10"/>
  <c r="EC21" i="10" s="1"/>
  <c r="S67" i="10"/>
  <c r="S21" i="10" s="1"/>
  <c r="AN67" i="10"/>
  <c r="AN21" i="10" s="1"/>
  <c r="BI67" i="10"/>
  <c r="BI21" i="10" s="1"/>
  <c r="CD67" i="10"/>
  <c r="CD21" i="10" s="1"/>
  <c r="CT67" i="10"/>
  <c r="CT21" i="10" s="1"/>
  <c r="DJ67" i="10"/>
  <c r="DJ21" i="10" s="1"/>
  <c r="DZ67" i="10"/>
  <c r="DZ21" i="10" s="1"/>
  <c r="EP67" i="10"/>
  <c r="EP21" i="10" s="1"/>
  <c r="I67" i="10"/>
  <c r="I21" i="10" s="1"/>
  <c r="AZ67" i="10"/>
  <c r="AZ21" i="10" s="1"/>
  <c r="CM67" i="10"/>
  <c r="CM21" i="10" s="1"/>
  <c r="DS67" i="10"/>
  <c r="DS21" i="10" s="1"/>
  <c r="K67" i="10"/>
  <c r="K21" i="10" s="1"/>
  <c r="BA67" i="10"/>
  <c r="BA21" i="10" s="1"/>
  <c r="CN67" i="10"/>
  <c r="CN21" i="10" s="1"/>
  <c r="DT67" i="10"/>
  <c r="DT21" i="10" s="1"/>
  <c r="Y67" i="10"/>
  <c r="Y21" i="10" s="1"/>
  <c r="BP67" i="10"/>
  <c r="BP21" i="10" s="1"/>
  <c r="CY67" i="10"/>
  <c r="CY21" i="10" s="1"/>
  <c r="EE67" i="10"/>
  <c r="EE21" i="10" s="1"/>
  <c r="DX67" i="10"/>
  <c r="DX21" i="10" s="1"/>
  <c r="Q67" i="10"/>
  <c r="Q21" i="10" s="1"/>
  <c r="AR67" i="10"/>
  <c r="AR21" i="10" s="1"/>
  <c r="BS67" i="10"/>
  <c r="BS21" i="10" s="1"/>
  <c r="CS67" i="10"/>
  <c r="CS21" i="10" s="1"/>
  <c r="DM67" i="10"/>
  <c r="DM21" i="10" s="1"/>
  <c r="EG67" i="10"/>
  <c r="EG21" i="10" s="1"/>
  <c r="X67" i="10"/>
  <c r="X21" i="10" s="1"/>
  <c r="AS67" i="10"/>
  <c r="AS21" i="10" s="1"/>
  <c r="BO67" i="10"/>
  <c r="BO21" i="10" s="1"/>
  <c r="CH67" i="10"/>
  <c r="CH21" i="10" s="1"/>
  <c r="CX67" i="10"/>
  <c r="CX21" i="10" s="1"/>
  <c r="DN67" i="10"/>
  <c r="DN21" i="10" s="1"/>
  <c r="ED67" i="10"/>
  <c r="ED21" i="10" s="1"/>
  <c r="ET67" i="10"/>
  <c r="ET21" i="10" s="1"/>
  <c r="T67" i="10"/>
  <c r="T21" i="10" s="1"/>
  <c r="BK67" i="10"/>
  <c r="BK21" i="10" s="1"/>
  <c r="CU67" i="10"/>
  <c r="CU21" i="10" s="1"/>
  <c r="EA67" i="10"/>
  <c r="EA21" i="10" s="1"/>
  <c r="U67" i="10"/>
  <c r="U21" i="10" s="1"/>
  <c r="BL67" i="10"/>
  <c r="BL21" i="10" s="1"/>
  <c r="CV67" i="10"/>
  <c r="CV21" i="10" s="1"/>
  <c r="EB67" i="10"/>
  <c r="EB21" i="10" s="1"/>
  <c r="N67" i="10"/>
  <c r="N21" i="10" s="1"/>
  <c r="W67" i="10"/>
  <c r="W21" i="10" s="1"/>
  <c r="AW67" i="10"/>
  <c r="AW21" i="10" s="1"/>
  <c r="CC67" i="10"/>
  <c r="CC21" i="10" s="1"/>
  <c r="CW67" i="10"/>
  <c r="CW21" i="10" s="1"/>
  <c r="DQ67" i="10"/>
  <c r="DQ21" i="10" s="1"/>
  <c r="EO67" i="10"/>
  <c r="EO21" i="10" s="1"/>
  <c r="DA67" i="10"/>
  <c r="DA21" i="10" s="1"/>
  <c r="AI67" i="10"/>
  <c r="AI21" i="10" s="1"/>
  <c r="BY67" i="10"/>
  <c r="BY21" i="10" s="1"/>
  <c r="DF67" i="10"/>
  <c r="DF21" i="10" s="1"/>
  <c r="EL67" i="10"/>
  <c r="EL21" i="10" s="1"/>
  <c r="CE67" i="10"/>
  <c r="CE21" i="10" s="1"/>
  <c r="EQ67" i="10"/>
  <c r="EQ21" i="10" s="1"/>
  <c r="AQ67" i="10"/>
  <c r="AQ21" i="10" s="1"/>
  <c r="DL67" i="10"/>
  <c r="DL21" i="10" s="1"/>
  <c r="AT67" i="10"/>
  <c r="AT21" i="10" s="1"/>
  <c r="BH67" i="10"/>
  <c r="BH21" i="10" s="1"/>
  <c r="ES67" i="10"/>
  <c r="ES21" i="10" s="1"/>
  <c r="M67" i="10"/>
  <c r="M21" i="10" s="1"/>
  <c r="BD67" i="10"/>
  <c r="BD21" i="10" s="1"/>
  <c r="CP67" i="10"/>
  <c r="CP21" i="10" s="1"/>
  <c r="DV67" i="10"/>
  <c r="DV21" i="10" s="1"/>
  <c r="AO67" i="10"/>
  <c r="AO21" i="10" s="1"/>
  <c r="DK67" i="10"/>
  <c r="DK21" i="10" s="1"/>
  <c r="CF67" i="10"/>
  <c r="CF21" i="10" s="1"/>
  <c r="ER67" i="10"/>
  <c r="ER21" i="10" s="1"/>
  <c r="CG67" i="10"/>
  <c r="CG21" i="10" s="1"/>
  <c r="AC67" i="10"/>
  <c r="AC21" i="10" s="1"/>
  <c r="BT67" i="10"/>
  <c r="BT21" i="10" s="1"/>
  <c r="DB67" i="10"/>
  <c r="DB21" i="10" s="1"/>
  <c r="EH67" i="10"/>
  <c r="EH21" i="10" s="1"/>
  <c r="BU67" i="10"/>
  <c r="BU21" i="10" s="1"/>
  <c r="EI67" i="10"/>
  <c r="EI21" i="10" s="1"/>
  <c r="AF67" i="10"/>
  <c r="AF21" i="10" s="1"/>
  <c r="DD67" i="10"/>
  <c r="DD21" i="10" s="1"/>
  <c r="AY67" i="10"/>
  <c r="AY21" i="10" s="1"/>
  <c r="DC67" i="10"/>
  <c r="DC21" i="10" s="1"/>
  <c r="AU67" i="10"/>
  <c r="AU21" i="10" s="1"/>
  <c r="CQ67" i="10"/>
  <c r="CQ21" i="10" s="1"/>
  <c r="EM67" i="10"/>
  <c r="EM21" i="10" s="1"/>
  <c r="P67" i="10"/>
  <c r="P21" i="10" s="1"/>
  <c r="EF67" i="10"/>
  <c r="EF21" i="10" s="1"/>
  <c r="DY67" i="10"/>
  <c r="DY21" i="10" s="1"/>
  <c r="DR67" i="10"/>
  <c r="DR21" i="10" s="1"/>
  <c r="BW67" i="10"/>
  <c r="BW21" i="10" s="1"/>
  <c r="O67" i="10"/>
  <c r="O21" i="10" s="1"/>
  <c r="CA67" i="10"/>
  <c r="CA21" i="10" s="1"/>
  <c r="DO67" i="10"/>
  <c r="DO21" i="10" s="1"/>
  <c r="CR67" i="10"/>
  <c r="CR21" i="10" s="1"/>
  <c r="BQ67" i="10"/>
  <c r="BQ21" i="10" s="1"/>
  <c r="AE67" i="10"/>
  <c r="AE21" i="10" s="1"/>
  <c r="EJ67" i="10"/>
  <c r="EJ21" i="10" s="1"/>
  <c r="AJ67" i="10"/>
  <c r="AJ21" i="10" s="1"/>
  <c r="CI67" i="10"/>
  <c r="CI21" i="10" s="1"/>
  <c r="DW67" i="10"/>
  <c r="DW21" i="10" s="1"/>
  <c r="CZ67" i="10"/>
  <c r="CZ21" i="10" s="1"/>
  <c r="CL67" i="10"/>
  <c r="CL21" i="10" s="1"/>
  <c r="BE67" i="10"/>
  <c r="BE21" i="10" s="1"/>
  <c r="EN67" i="10"/>
  <c r="EN21" i="10" s="1"/>
  <c r="CJ67" i="10"/>
  <c r="CJ21" i="10" s="1"/>
  <c r="AB67" i="10"/>
  <c r="AB21" i="10" s="1"/>
  <c r="DG67" i="10"/>
  <c r="DG21" i="10" s="1"/>
  <c r="BG67" i="10"/>
  <c r="BG21" i="10" s="1"/>
  <c r="AK67" i="10"/>
  <c r="AK21" i="10" s="1"/>
  <c r="CB67" i="10"/>
  <c r="CB21" i="10" s="1"/>
  <c r="AA67" i="10"/>
  <c r="AA21" i="10" s="1"/>
  <c r="DH67" i="10"/>
  <c r="DH21" i="10" s="1"/>
  <c r="AV67" i="10"/>
  <c r="AV21" i="10" s="1"/>
  <c r="DP67" i="10"/>
  <c r="DP21" i="10" s="1"/>
  <c r="H67" i="10"/>
  <c r="H21" i="10" s="1"/>
  <c r="G67" i="10"/>
  <c r="G21" i="10" s="1"/>
  <c r="T67" i="15"/>
  <c r="T21" i="15" s="1"/>
  <c r="AJ67" i="15"/>
  <c r="AJ21" i="15" s="1"/>
  <c r="AZ67" i="15"/>
  <c r="AZ21" i="15" s="1"/>
  <c r="BP67" i="15"/>
  <c r="BP21" i="15" s="1"/>
  <c r="CF67" i="15"/>
  <c r="CF21" i="15" s="1"/>
  <c r="CV67" i="15"/>
  <c r="CV21" i="15" s="1"/>
  <c r="DL67" i="15"/>
  <c r="DL21" i="15" s="1"/>
  <c r="EB67" i="15"/>
  <c r="EB21" i="15" s="1"/>
  <c r="ER67" i="15"/>
  <c r="ER21" i="15" s="1"/>
  <c r="H67" i="15"/>
  <c r="H21" i="15" s="1"/>
  <c r="X67" i="15"/>
  <c r="X21" i="15" s="1"/>
  <c r="AN67" i="15"/>
  <c r="AN21" i="15" s="1"/>
  <c r="BD67" i="15"/>
  <c r="BD21" i="15" s="1"/>
  <c r="BT67" i="15"/>
  <c r="BT21" i="15" s="1"/>
  <c r="CJ67" i="15"/>
  <c r="CJ21" i="15" s="1"/>
  <c r="CZ67" i="15"/>
  <c r="CZ21" i="15" s="1"/>
  <c r="DP67" i="15"/>
  <c r="DP21" i="15" s="1"/>
  <c r="EF67" i="15"/>
  <c r="EF21" i="15" s="1"/>
  <c r="L67" i="15"/>
  <c r="L21" i="15" s="1"/>
  <c r="AB67" i="15"/>
  <c r="AB21" i="15" s="1"/>
  <c r="AR67" i="15"/>
  <c r="AR21" i="15" s="1"/>
  <c r="BH67" i="15"/>
  <c r="BH21" i="15" s="1"/>
  <c r="BX67" i="15"/>
  <c r="BX21" i="15" s="1"/>
  <c r="CN67" i="15"/>
  <c r="CN21" i="15" s="1"/>
  <c r="DD67" i="15"/>
  <c r="DD21" i="15" s="1"/>
  <c r="DT67" i="15"/>
  <c r="DT21" i="15" s="1"/>
  <c r="EJ67" i="15"/>
  <c r="EJ21" i="15" s="1"/>
  <c r="P67" i="15"/>
  <c r="P21" i="15" s="1"/>
  <c r="AF67" i="15"/>
  <c r="AF21" i="15" s="1"/>
  <c r="AV67" i="15"/>
  <c r="AV21" i="15" s="1"/>
  <c r="BL67" i="15"/>
  <c r="BL21" i="15" s="1"/>
  <c r="CB67" i="15"/>
  <c r="CB21" i="15" s="1"/>
  <c r="CR67" i="15"/>
  <c r="CR21" i="15" s="1"/>
  <c r="DH67" i="15"/>
  <c r="DH21" i="15" s="1"/>
  <c r="DX67" i="15"/>
  <c r="DX21" i="15" s="1"/>
  <c r="EN67" i="15"/>
  <c r="EN21" i="15" s="1"/>
  <c r="I67" i="15"/>
  <c r="I21" i="15" s="1"/>
  <c r="Y67" i="15"/>
  <c r="Y21" i="15" s="1"/>
  <c r="AO67" i="15"/>
  <c r="AO21" i="15" s="1"/>
  <c r="BE67" i="15"/>
  <c r="BE21" i="15" s="1"/>
  <c r="BU67" i="15"/>
  <c r="BU21" i="15" s="1"/>
  <c r="CK67" i="15"/>
  <c r="CK21" i="15" s="1"/>
  <c r="DA67" i="15"/>
  <c r="DA21" i="15" s="1"/>
  <c r="DQ67" i="15"/>
  <c r="DQ21" i="15" s="1"/>
  <c r="EG67" i="15"/>
  <c r="EG21" i="15" s="1"/>
  <c r="R67" i="15"/>
  <c r="R21" i="15" s="1"/>
  <c r="AX67" i="15"/>
  <c r="AX21" i="15" s="1"/>
  <c r="CD67" i="15"/>
  <c r="CD21" i="15" s="1"/>
  <c r="DJ67" i="15"/>
  <c r="DJ21" i="15" s="1"/>
  <c r="EP67" i="15"/>
  <c r="EP21" i="15" s="1"/>
  <c r="AL67" i="15"/>
  <c r="AL21" i="15" s="1"/>
  <c r="BR67" i="15"/>
  <c r="BR21" i="15" s="1"/>
  <c r="CX67" i="15"/>
  <c r="CX21" i="15" s="1"/>
  <c r="ED67" i="15"/>
  <c r="ED21" i="15" s="1"/>
  <c r="M67" i="15"/>
  <c r="M21" i="15" s="1"/>
  <c r="AC67" i="15"/>
  <c r="AC21" i="15" s="1"/>
  <c r="AS67" i="15"/>
  <c r="AS21" i="15" s="1"/>
  <c r="BI67" i="15"/>
  <c r="BI21" i="15" s="1"/>
  <c r="BY67" i="15"/>
  <c r="BY21" i="15" s="1"/>
  <c r="CO67" i="15"/>
  <c r="CO21" i="15" s="1"/>
  <c r="DE67" i="15"/>
  <c r="DE21" i="15" s="1"/>
  <c r="DU67" i="15"/>
  <c r="DU21" i="15" s="1"/>
  <c r="EK67" i="15"/>
  <c r="EK21" i="15" s="1"/>
  <c r="Z67" i="15"/>
  <c r="Z21" i="15" s="1"/>
  <c r="BF67" i="15"/>
  <c r="BF21" i="15" s="1"/>
  <c r="CL67" i="15"/>
  <c r="CL21" i="15" s="1"/>
  <c r="DR67" i="15"/>
  <c r="DR21" i="15" s="1"/>
  <c r="N67" i="15"/>
  <c r="N21" i="15" s="1"/>
  <c r="AT67" i="15"/>
  <c r="AT21" i="15" s="1"/>
  <c r="BZ67" i="15"/>
  <c r="BZ21" i="15" s="1"/>
  <c r="DF67" i="15"/>
  <c r="DF21" i="15" s="1"/>
  <c r="EL67" i="15"/>
  <c r="EL21" i="15" s="1"/>
  <c r="Q67" i="15"/>
  <c r="Q21" i="15" s="1"/>
  <c r="AG67" i="15"/>
  <c r="AG21" i="15" s="1"/>
  <c r="AW67" i="15"/>
  <c r="AW21" i="15" s="1"/>
  <c r="BM67" i="15"/>
  <c r="BM21" i="15" s="1"/>
  <c r="CC67" i="15"/>
  <c r="CC21" i="15" s="1"/>
  <c r="CS67" i="15"/>
  <c r="CS21" i="15" s="1"/>
  <c r="DI67" i="15"/>
  <c r="DI21" i="15" s="1"/>
  <c r="DY67" i="15"/>
  <c r="DY21" i="15" s="1"/>
  <c r="EO67" i="15"/>
  <c r="EO21" i="15" s="1"/>
  <c r="AH67" i="15"/>
  <c r="AH21" i="15" s="1"/>
  <c r="BN67" i="15"/>
  <c r="BN21" i="15" s="1"/>
  <c r="CT67" i="15"/>
  <c r="CT21" i="15" s="1"/>
  <c r="DZ67" i="15"/>
  <c r="DZ21" i="15" s="1"/>
  <c r="U67" i="15"/>
  <c r="U21" i="15" s="1"/>
  <c r="AK67" i="15"/>
  <c r="AK21" i="15" s="1"/>
  <c r="BA67" i="15"/>
  <c r="BA21" i="15" s="1"/>
  <c r="BQ67" i="15"/>
  <c r="BQ21" i="15" s="1"/>
  <c r="CG67" i="15"/>
  <c r="CG21" i="15" s="1"/>
  <c r="CW67" i="15"/>
  <c r="CW21" i="15" s="1"/>
  <c r="DM67" i="15"/>
  <c r="DM21" i="15" s="1"/>
  <c r="EC67" i="15"/>
  <c r="EC21" i="15" s="1"/>
  <c r="ES67" i="15"/>
  <c r="ES21" i="15" s="1"/>
  <c r="J67" i="15"/>
  <c r="J21" i="15" s="1"/>
  <c r="AP67" i="15"/>
  <c r="AP21" i="15" s="1"/>
  <c r="BV67" i="15"/>
  <c r="BV21" i="15" s="1"/>
  <c r="DB67" i="15"/>
  <c r="DB21" i="15" s="1"/>
  <c r="EH67" i="15"/>
  <c r="EH21" i="15" s="1"/>
  <c r="AD67" i="15"/>
  <c r="AD21" i="15" s="1"/>
  <c r="BJ67" i="15"/>
  <c r="BJ21" i="15" s="1"/>
  <c r="V67" i="15"/>
  <c r="V21" i="15" s="1"/>
  <c r="DN67" i="15"/>
  <c r="DN21" i="15" s="1"/>
  <c r="W67" i="15"/>
  <c r="W21" i="15" s="1"/>
  <c r="BC67" i="15"/>
  <c r="BC21" i="15" s="1"/>
  <c r="CI67" i="15"/>
  <c r="CI21" i="15" s="1"/>
  <c r="DO67" i="15"/>
  <c r="DO21" i="15" s="1"/>
  <c r="K67" i="15"/>
  <c r="K21" i="15" s="1"/>
  <c r="EI67" i="15"/>
  <c r="EI21" i="15" s="1"/>
  <c r="CE67" i="15"/>
  <c r="CE21" i="15" s="1"/>
  <c r="AA67" i="15"/>
  <c r="AA21" i="15" s="1"/>
  <c r="AI67" i="15"/>
  <c r="AI21" i="15" s="1"/>
  <c r="BB67" i="15"/>
  <c r="BB21" i="15" s="1"/>
  <c r="DV67" i="15"/>
  <c r="DV21" i="15" s="1"/>
  <c r="AE67" i="15"/>
  <c r="AE21" i="15" s="1"/>
  <c r="BK67" i="15"/>
  <c r="BK21" i="15" s="1"/>
  <c r="CQ67" i="15"/>
  <c r="CQ21" i="15" s="1"/>
  <c r="DW67" i="15"/>
  <c r="DW21" i="15" s="1"/>
  <c r="AQ67" i="15"/>
  <c r="AQ21" i="15" s="1"/>
  <c r="DK67" i="15"/>
  <c r="DK21" i="15" s="1"/>
  <c r="BG67" i="15"/>
  <c r="BG21" i="15" s="1"/>
  <c r="BO67" i="15"/>
  <c r="BO21" i="15" s="1"/>
  <c r="CH67" i="15"/>
  <c r="CH21" i="15" s="1"/>
  <c r="ET67" i="15"/>
  <c r="ET21" i="15" s="1"/>
  <c r="AM67" i="15"/>
  <c r="AM21" i="15" s="1"/>
  <c r="BS67" i="15"/>
  <c r="BS21" i="15" s="1"/>
  <c r="CY67" i="15"/>
  <c r="CY21" i="15" s="1"/>
  <c r="EE67" i="15"/>
  <c r="EE21" i="15" s="1"/>
  <c r="BW67" i="15"/>
  <c r="BW21" i="15" s="1"/>
  <c r="S67" i="15"/>
  <c r="S21" i="15" s="1"/>
  <c r="EQ67" i="15"/>
  <c r="EQ21" i="15" s="1"/>
  <c r="CM67" i="15"/>
  <c r="CM21" i="15" s="1"/>
  <c r="CU67" i="15"/>
  <c r="CU21" i="15" s="1"/>
  <c r="CP67" i="15"/>
  <c r="CP21" i="15" s="1"/>
  <c r="O67" i="15"/>
  <c r="O21" i="15" s="1"/>
  <c r="AU67" i="15"/>
  <c r="AU21" i="15" s="1"/>
  <c r="CA67" i="15"/>
  <c r="CA21" i="15" s="1"/>
  <c r="DG67" i="15"/>
  <c r="DG21" i="15" s="1"/>
  <c r="EM67" i="15"/>
  <c r="EM21" i="15" s="1"/>
  <c r="DC67" i="15"/>
  <c r="DC21" i="15" s="1"/>
  <c r="AY67" i="15"/>
  <c r="AY21" i="15" s="1"/>
  <c r="DS67" i="15"/>
  <c r="DS21" i="15" s="1"/>
  <c r="EA67" i="15"/>
  <c r="EA21" i="15" s="1"/>
  <c r="G67" i="15"/>
  <c r="G21" i="15" s="1"/>
  <c r="F22" i="15"/>
  <c r="F22" i="10"/>
  <c r="AR34" i="5"/>
  <c r="C69" i="5" s="1"/>
  <c r="D73" i="2"/>
  <c r="D69" i="5" l="1"/>
  <c r="S69" i="5"/>
  <c r="O69" i="5"/>
  <c r="K69" i="5"/>
  <c r="G69" i="5"/>
  <c r="P69" i="5"/>
  <c r="J69" i="5"/>
  <c r="E69" i="5"/>
  <c r="Q69" i="5"/>
  <c r="F69" i="5"/>
  <c r="T69" i="5"/>
  <c r="N69" i="5"/>
  <c r="I69" i="5"/>
  <c r="R69" i="5"/>
  <c r="M69" i="5"/>
  <c r="H69" i="5"/>
  <c r="L69" i="5"/>
  <c r="H73" i="2"/>
  <c r="K73" i="2"/>
  <c r="O73" i="2"/>
  <c r="S73" i="2"/>
  <c r="L73" i="2"/>
  <c r="P73" i="2"/>
  <c r="T73" i="2"/>
  <c r="I73" i="2"/>
  <c r="M73" i="2"/>
  <c r="Q73" i="2"/>
  <c r="U73" i="2"/>
  <c r="N73" i="2"/>
  <c r="R73" i="2"/>
  <c r="J73" i="2"/>
  <c r="D1732" i="12"/>
  <c r="F1731" i="12"/>
  <c r="E1731" i="12"/>
  <c r="EQ29" i="5"/>
  <c r="BF34" i="5"/>
  <c r="BC34" i="5"/>
  <c r="AR30" i="2"/>
  <c r="BB29" i="2"/>
  <c r="O68" i="10"/>
  <c r="O22" i="10" s="1"/>
  <c r="AE68" i="10"/>
  <c r="AE22" i="10" s="1"/>
  <c r="AU68" i="10"/>
  <c r="AU22" i="10" s="1"/>
  <c r="BK68" i="10"/>
  <c r="BK22" i="10" s="1"/>
  <c r="CA68" i="10"/>
  <c r="CA22" i="10" s="1"/>
  <c r="CQ68" i="10"/>
  <c r="CQ22" i="10" s="1"/>
  <c r="DG68" i="10"/>
  <c r="DG22" i="10" s="1"/>
  <c r="DW68" i="10"/>
  <c r="DW22" i="10" s="1"/>
  <c r="EM68" i="10"/>
  <c r="EM22" i="10" s="1"/>
  <c r="K68" i="10"/>
  <c r="K22" i="10" s="1"/>
  <c r="AI68" i="10"/>
  <c r="AI22" i="10" s="1"/>
  <c r="BC68" i="10"/>
  <c r="BC22" i="10" s="1"/>
  <c r="BW68" i="10"/>
  <c r="BW22" i="10" s="1"/>
  <c r="CU68" i="10"/>
  <c r="CU22" i="10" s="1"/>
  <c r="DO68" i="10"/>
  <c r="DO22" i="10" s="1"/>
  <c r="EI68" i="10"/>
  <c r="EI22" i="10" s="1"/>
  <c r="T68" i="10"/>
  <c r="T22" i="10" s="1"/>
  <c r="AJ68" i="10"/>
  <c r="AJ22" i="10" s="1"/>
  <c r="AZ68" i="10"/>
  <c r="AZ22" i="10" s="1"/>
  <c r="BP68" i="10"/>
  <c r="BP22" i="10" s="1"/>
  <c r="CF68" i="10"/>
  <c r="CF22" i="10" s="1"/>
  <c r="CV68" i="10"/>
  <c r="CV22" i="10" s="1"/>
  <c r="DL68" i="10"/>
  <c r="DL22" i="10" s="1"/>
  <c r="EB68" i="10"/>
  <c r="EB22" i="10" s="1"/>
  <c r="ER68" i="10"/>
  <c r="ER22" i="10" s="1"/>
  <c r="M68" i="10"/>
  <c r="M22" i="10" s="1"/>
  <c r="AS68" i="10"/>
  <c r="AS22" i="10" s="1"/>
  <c r="BY68" i="10"/>
  <c r="BY22" i="10" s="1"/>
  <c r="DE68" i="10"/>
  <c r="DE22" i="10" s="1"/>
  <c r="EK68" i="10"/>
  <c r="EK22" i="10" s="1"/>
  <c r="N68" i="10"/>
  <c r="N22" i="10" s="1"/>
  <c r="AT68" i="10"/>
  <c r="AT22" i="10" s="1"/>
  <c r="BZ68" i="10"/>
  <c r="BZ22" i="10" s="1"/>
  <c r="DF68" i="10"/>
  <c r="DF22" i="10" s="1"/>
  <c r="EL68" i="10"/>
  <c r="EL22" i="10" s="1"/>
  <c r="Y68" i="10"/>
  <c r="Y22" i="10" s="1"/>
  <c r="BE68" i="10"/>
  <c r="BE22" i="10" s="1"/>
  <c r="CK68" i="10"/>
  <c r="CK22" i="10" s="1"/>
  <c r="DQ68" i="10"/>
  <c r="DQ22" i="10" s="1"/>
  <c r="DJ68" i="10"/>
  <c r="DJ22" i="10" s="1"/>
  <c r="S68" i="10"/>
  <c r="S22" i="10" s="1"/>
  <c r="AM68" i="10"/>
  <c r="AM22" i="10" s="1"/>
  <c r="BG68" i="10"/>
  <c r="BG22" i="10" s="1"/>
  <c r="CE68" i="10"/>
  <c r="CE22" i="10" s="1"/>
  <c r="CY68" i="10"/>
  <c r="CY22" i="10" s="1"/>
  <c r="DS68" i="10"/>
  <c r="DS22" i="10" s="1"/>
  <c r="EQ68" i="10"/>
  <c r="EQ22" i="10" s="1"/>
  <c r="X68" i="10"/>
  <c r="X22" i="10" s="1"/>
  <c r="AN68" i="10"/>
  <c r="AN22" i="10" s="1"/>
  <c r="BD68" i="10"/>
  <c r="BD22" i="10" s="1"/>
  <c r="BT68" i="10"/>
  <c r="BT22" i="10" s="1"/>
  <c r="CJ68" i="10"/>
  <c r="CJ22" i="10" s="1"/>
  <c r="CZ68" i="10"/>
  <c r="CZ22" i="10" s="1"/>
  <c r="DP68" i="10"/>
  <c r="DP22" i="10" s="1"/>
  <c r="EF68" i="10"/>
  <c r="EF22" i="10" s="1"/>
  <c r="U68" i="10"/>
  <c r="U22" i="10" s="1"/>
  <c r="BA68" i="10"/>
  <c r="BA22" i="10" s="1"/>
  <c r="CG68" i="10"/>
  <c r="CG22" i="10" s="1"/>
  <c r="DM68" i="10"/>
  <c r="DM22" i="10" s="1"/>
  <c r="ES68" i="10"/>
  <c r="ES22" i="10" s="1"/>
  <c r="V68" i="10"/>
  <c r="V22" i="10" s="1"/>
  <c r="BB68" i="10"/>
  <c r="BB22" i="10" s="1"/>
  <c r="CH68" i="10"/>
  <c r="CH22" i="10" s="1"/>
  <c r="DN68" i="10"/>
  <c r="DN22" i="10" s="1"/>
  <c r="ET68" i="10"/>
  <c r="ET22" i="10" s="1"/>
  <c r="W68" i="10"/>
  <c r="W22" i="10" s="1"/>
  <c r="AQ68" i="10"/>
  <c r="AQ22" i="10" s="1"/>
  <c r="BO68" i="10"/>
  <c r="BO22" i="10" s="1"/>
  <c r="CI68" i="10"/>
  <c r="CI22" i="10" s="1"/>
  <c r="DC68" i="10"/>
  <c r="DC22" i="10" s="1"/>
  <c r="EA68" i="10"/>
  <c r="EA22" i="10" s="1"/>
  <c r="AY68" i="10"/>
  <c r="AY22" i="10" s="1"/>
  <c r="EE68" i="10"/>
  <c r="EE22" i="10" s="1"/>
  <c r="AF68" i="10"/>
  <c r="AF22" i="10" s="1"/>
  <c r="BL68" i="10"/>
  <c r="BL22" i="10" s="1"/>
  <c r="CR68" i="10"/>
  <c r="CR22" i="10" s="1"/>
  <c r="DX68" i="10"/>
  <c r="DX22" i="10" s="1"/>
  <c r="BQ68" i="10"/>
  <c r="BQ22" i="10" s="1"/>
  <c r="EC68" i="10"/>
  <c r="EC22" i="10" s="1"/>
  <c r="AL68" i="10"/>
  <c r="AL22" i="10" s="1"/>
  <c r="CX68" i="10"/>
  <c r="CX22" i="10" s="1"/>
  <c r="CM68" i="10"/>
  <c r="CM22" i="10" s="1"/>
  <c r="P68" i="10"/>
  <c r="P22" i="10" s="1"/>
  <c r="AV68" i="10"/>
  <c r="AV22" i="10" s="1"/>
  <c r="CB68" i="10"/>
  <c r="CB22" i="10" s="1"/>
  <c r="DH68" i="10"/>
  <c r="DH22" i="10" s="1"/>
  <c r="EN68" i="10"/>
  <c r="EN22" i="10" s="1"/>
  <c r="AK68" i="10"/>
  <c r="AK22" i="10" s="1"/>
  <c r="CW68" i="10"/>
  <c r="CW22" i="10" s="1"/>
  <c r="BR68" i="10"/>
  <c r="BR22" i="10" s="1"/>
  <c r="ED68" i="10"/>
  <c r="ED22" i="10" s="1"/>
  <c r="AA68" i="10"/>
  <c r="AA22" i="10" s="1"/>
  <c r="DK68" i="10"/>
  <c r="DK22" i="10" s="1"/>
  <c r="AB68" i="10"/>
  <c r="AB22" i="10" s="1"/>
  <c r="BH68" i="10"/>
  <c r="BH22" i="10" s="1"/>
  <c r="CN68" i="10"/>
  <c r="CN22" i="10" s="1"/>
  <c r="DT68" i="10"/>
  <c r="DT22" i="10" s="1"/>
  <c r="BI68" i="10"/>
  <c r="BI22" i="10" s="1"/>
  <c r="DU68" i="10"/>
  <c r="DU22" i="10" s="1"/>
  <c r="AD68" i="10"/>
  <c r="AD22" i="10" s="1"/>
  <c r="CP68" i="10"/>
  <c r="CP22" i="10" s="1"/>
  <c r="AR68" i="10"/>
  <c r="AR22" i="10" s="1"/>
  <c r="BJ68" i="10"/>
  <c r="BJ22" i="10" s="1"/>
  <c r="AO68" i="10"/>
  <c r="AO22" i="10" s="1"/>
  <c r="CC68" i="10"/>
  <c r="CC22" i="10" s="1"/>
  <c r="DY68" i="10"/>
  <c r="DY22" i="10" s="1"/>
  <c r="AX68" i="10"/>
  <c r="AX22" i="10" s="1"/>
  <c r="DR68" i="10"/>
  <c r="DR22" i="10" s="1"/>
  <c r="DD68" i="10"/>
  <c r="DD22" i="10" s="1"/>
  <c r="CO68" i="10"/>
  <c r="CO22" i="10" s="1"/>
  <c r="Q68" i="10"/>
  <c r="Q22" i="10" s="1"/>
  <c r="BM68" i="10"/>
  <c r="BM22" i="10" s="1"/>
  <c r="DA68" i="10"/>
  <c r="DA22" i="10" s="1"/>
  <c r="EO68" i="10"/>
  <c r="EO22" i="10" s="1"/>
  <c r="EP68" i="10"/>
  <c r="EP22" i="10" s="1"/>
  <c r="BF68" i="10"/>
  <c r="BF22" i="10" s="1"/>
  <c r="BS68" i="10"/>
  <c r="BS22" i="10" s="1"/>
  <c r="L68" i="10"/>
  <c r="L22" i="10" s="1"/>
  <c r="EJ68" i="10"/>
  <c r="EJ22" i="10" s="1"/>
  <c r="AG68" i="10"/>
  <c r="AG22" i="10" s="1"/>
  <c r="BU68" i="10"/>
  <c r="BU22" i="10" s="1"/>
  <c r="DI68" i="10"/>
  <c r="DI22" i="10" s="1"/>
  <c r="R68" i="10"/>
  <c r="R22" i="10" s="1"/>
  <c r="CL68" i="10"/>
  <c r="CL22" i="10" s="1"/>
  <c r="AC68" i="10"/>
  <c r="AC22" i="10" s="1"/>
  <c r="CS68" i="10"/>
  <c r="CS22" i="10" s="1"/>
  <c r="Z68" i="10"/>
  <c r="Z22" i="10" s="1"/>
  <c r="DZ68" i="10"/>
  <c r="DZ22" i="10" s="1"/>
  <c r="AP68" i="10"/>
  <c r="AP22" i="10" s="1"/>
  <c r="BX68" i="10"/>
  <c r="BX22" i="10" s="1"/>
  <c r="EG68" i="10"/>
  <c r="EG22" i="10" s="1"/>
  <c r="AH68" i="10"/>
  <c r="AH22" i="10" s="1"/>
  <c r="BV68" i="10"/>
  <c r="BV22" i="10" s="1"/>
  <c r="DV68" i="10"/>
  <c r="DV22" i="10" s="1"/>
  <c r="I68" i="10"/>
  <c r="I22" i="10" s="1"/>
  <c r="CD68" i="10"/>
  <c r="CD22" i="10" s="1"/>
  <c r="BN68" i="10"/>
  <c r="BN22" i="10" s="1"/>
  <c r="AW68" i="10"/>
  <c r="AW22" i="10" s="1"/>
  <c r="CT68" i="10"/>
  <c r="CT22" i="10" s="1"/>
  <c r="DB68" i="10"/>
  <c r="DB22" i="10" s="1"/>
  <c r="EH68" i="10"/>
  <c r="EH22" i="10" s="1"/>
  <c r="J68" i="10"/>
  <c r="J22" i="10" s="1"/>
  <c r="G68" i="10"/>
  <c r="G22" i="10" s="1"/>
  <c r="H68" i="10"/>
  <c r="H22" i="10" s="1"/>
  <c r="U68" i="15"/>
  <c r="U22" i="15" s="1"/>
  <c r="I68" i="15"/>
  <c r="I22" i="15" s="1"/>
  <c r="M68" i="15"/>
  <c r="M22" i="15" s="1"/>
  <c r="AG68" i="15"/>
  <c r="AG22" i="15" s="1"/>
  <c r="AW68" i="15"/>
  <c r="AW22" i="15" s="1"/>
  <c r="BM68" i="15"/>
  <c r="BM22" i="15" s="1"/>
  <c r="CC68" i="15"/>
  <c r="CC22" i="15" s="1"/>
  <c r="J68" i="15"/>
  <c r="J22" i="15" s="1"/>
  <c r="Z68" i="15"/>
  <c r="Z22" i="15" s="1"/>
  <c r="AH68" i="15"/>
  <c r="AH22" i="15" s="1"/>
  <c r="BC68" i="15"/>
  <c r="BC22" i="15" s="1"/>
  <c r="BX68" i="15"/>
  <c r="BX22" i="15" s="1"/>
  <c r="CP68" i="15"/>
  <c r="CP22" i="15" s="1"/>
  <c r="W68" i="15"/>
  <c r="W22" i="15" s="1"/>
  <c r="AU68" i="15"/>
  <c r="AU22" i="15" s="1"/>
  <c r="BP68" i="15"/>
  <c r="BP22" i="15" s="1"/>
  <c r="Q68" i="15"/>
  <c r="Q22" i="15" s="1"/>
  <c r="AK68" i="15"/>
  <c r="AK22" i="15" s="1"/>
  <c r="BA68" i="15"/>
  <c r="BA22" i="15" s="1"/>
  <c r="BQ68" i="15"/>
  <c r="BQ22" i="15" s="1"/>
  <c r="N68" i="15"/>
  <c r="N22" i="15" s="1"/>
  <c r="AD68" i="15"/>
  <c r="AD22" i="15" s="1"/>
  <c r="K68" i="15"/>
  <c r="K22" i="15" s="1"/>
  <c r="AM68" i="15"/>
  <c r="AM22" i="15" s="1"/>
  <c r="BH68" i="15"/>
  <c r="BH22" i="15" s="1"/>
  <c r="CD68" i="15"/>
  <c r="CD22" i="15" s="1"/>
  <c r="CT68" i="15"/>
  <c r="CT22" i="15" s="1"/>
  <c r="AE68" i="15"/>
  <c r="AE22" i="15" s="1"/>
  <c r="AZ68" i="15"/>
  <c r="AZ22" i="15" s="1"/>
  <c r="Y68" i="15"/>
  <c r="Y22" i="15" s="1"/>
  <c r="AO68" i="15"/>
  <c r="AO22" i="15" s="1"/>
  <c r="BE68" i="15"/>
  <c r="BE22" i="15" s="1"/>
  <c r="BU68" i="15"/>
  <c r="BU22" i="15" s="1"/>
  <c r="R68" i="15"/>
  <c r="R22" i="15" s="1"/>
  <c r="S68" i="15"/>
  <c r="S22" i="15" s="1"/>
  <c r="AR68" i="15"/>
  <c r="AR22" i="15" s="1"/>
  <c r="BN68" i="15"/>
  <c r="BN22" i="15" s="1"/>
  <c r="CH68" i="15"/>
  <c r="CH22" i="15" s="1"/>
  <c r="CX68" i="15"/>
  <c r="CX22" i="15" s="1"/>
  <c r="AC68" i="15"/>
  <c r="AC22" i="15" s="1"/>
  <c r="AS68" i="15"/>
  <c r="AS22" i="15" s="1"/>
  <c r="BI68" i="15"/>
  <c r="BI22" i="15" s="1"/>
  <c r="BY68" i="15"/>
  <c r="BY22" i="15" s="1"/>
  <c r="V68" i="15"/>
  <c r="V22" i="15" s="1"/>
  <c r="AA68" i="15"/>
  <c r="AA22" i="15" s="1"/>
  <c r="AX68" i="15"/>
  <c r="AX22" i="15" s="1"/>
  <c r="BS68" i="15"/>
  <c r="BS22" i="15" s="1"/>
  <c r="CL68" i="15"/>
  <c r="CL22" i="15" s="1"/>
  <c r="AJ68" i="15"/>
  <c r="AJ22" i="15" s="1"/>
  <c r="BV68" i="15"/>
  <c r="BV22" i="15" s="1"/>
  <c r="CN68" i="15"/>
  <c r="CN22" i="15" s="1"/>
  <c r="DD68" i="15"/>
  <c r="DD22" i="15" s="1"/>
  <c r="DT68" i="15"/>
  <c r="DT22" i="15" s="1"/>
  <c r="EJ68" i="15"/>
  <c r="EJ22" i="15" s="1"/>
  <c r="H68" i="15"/>
  <c r="H22" i="15" s="1"/>
  <c r="AL68" i="15"/>
  <c r="AL22" i="15" s="1"/>
  <c r="BG68" i="15"/>
  <c r="BG22" i="15" s="1"/>
  <c r="CB68" i="15"/>
  <c r="CB22" i="15" s="1"/>
  <c r="CS68" i="15"/>
  <c r="CS22" i="15" s="1"/>
  <c r="DI68" i="15"/>
  <c r="DI22" i="15" s="1"/>
  <c r="DY68" i="15"/>
  <c r="DY22" i="15" s="1"/>
  <c r="EO68" i="15"/>
  <c r="EO22" i="15" s="1"/>
  <c r="CM68" i="15"/>
  <c r="CM22" i="15" s="1"/>
  <c r="DZ68" i="15"/>
  <c r="DZ22" i="15" s="1"/>
  <c r="BD68" i="15"/>
  <c r="BD22" i="15" s="1"/>
  <c r="DK68" i="15"/>
  <c r="DK22" i="15" s="1"/>
  <c r="EQ68" i="15"/>
  <c r="EQ22" i="15" s="1"/>
  <c r="L68" i="15"/>
  <c r="L22" i="15" s="1"/>
  <c r="CU68" i="15"/>
  <c r="CU22" i="15" s="1"/>
  <c r="ED68" i="15"/>
  <c r="ED22" i="15" s="1"/>
  <c r="T68" i="15"/>
  <c r="T22" i="15" s="1"/>
  <c r="CY68" i="15"/>
  <c r="CY22" i="15" s="1"/>
  <c r="EE68" i="15"/>
  <c r="EE22" i="15" s="1"/>
  <c r="AP68" i="15"/>
  <c r="AP22" i="15" s="1"/>
  <c r="CA68" i="15"/>
  <c r="CA22" i="15" s="1"/>
  <c r="CR68" i="15"/>
  <c r="CR22" i="15" s="1"/>
  <c r="DH68" i="15"/>
  <c r="DH22" i="15" s="1"/>
  <c r="DX68" i="15"/>
  <c r="DX22" i="15" s="1"/>
  <c r="EN68" i="15"/>
  <c r="EN22" i="15" s="1"/>
  <c r="P68" i="15"/>
  <c r="P22" i="15" s="1"/>
  <c r="AQ68" i="15"/>
  <c r="AQ22" i="15" s="1"/>
  <c r="BL68" i="15"/>
  <c r="BL22" i="15" s="1"/>
  <c r="CG68" i="15"/>
  <c r="CG22" i="15" s="1"/>
  <c r="CW68" i="15"/>
  <c r="CW22" i="15" s="1"/>
  <c r="DM68" i="15"/>
  <c r="DM22" i="15" s="1"/>
  <c r="EC68" i="15"/>
  <c r="EC22" i="15" s="1"/>
  <c r="ES68" i="15"/>
  <c r="ES22" i="15" s="1"/>
  <c r="AB68" i="15"/>
  <c r="AB22" i="15" s="1"/>
  <c r="DB68" i="15"/>
  <c r="DB22" i="15" s="1"/>
  <c r="EH68" i="15"/>
  <c r="EH22" i="15" s="1"/>
  <c r="BZ68" i="15"/>
  <c r="BZ22" i="15" s="1"/>
  <c r="DS68" i="15"/>
  <c r="DS22" i="15" s="1"/>
  <c r="AN68" i="15"/>
  <c r="AN22" i="15" s="1"/>
  <c r="DF68" i="15"/>
  <c r="DF22" i="15" s="1"/>
  <c r="EL68" i="15"/>
  <c r="EL22" i="15" s="1"/>
  <c r="AT68" i="15"/>
  <c r="AT22" i="15" s="1"/>
  <c r="DG68" i="15"/>
  <c r="DG22" i="15" s="1"/>
  <c r="EM68" i="15"/>
  <c r="EM22" i="15" s="1"/>
  <c r="BF68" i="15"/>
  <c r="BF22" i="15" s="1"/>
  <c r="CF68" i="15"/>
  <c r="CF22" i="15" s="1"/>
  <c r="CV68" i="15"/>
  <c r="CV22" i="15" s="1"/>
  <c r="DL68" i="15"/>
  <c r="DL22" i="15" s="1"/>
  <c r="EB68" i="15"/>
  <c r="EB22" i="15" s="1"/>
  <c r="ER68" i="15"/>
  <c r="ER22" i="15" s="1"/>
  <c r="X68" i="15"/>
  <c r="X22" i="15" s="1"/>
  <c r="AV68" i="15"/>
  <c r="AV22" i="15" s="1"/>
  <c r="BR68" i="15"/>
  <c r="BR22" i="15" s="1"/>
  <c r="CK68" i="15"/>
  <c r="CK22" i="15" s="1"/>
  <c r="DA68" i="15"/>
  <c r="DA22" i="15" s="1"/>
  <c r="DQ68" i="15"/>
  <c r="DQ22" i="15" s="1"/>
  <c r="EG68" i="15"/>
  <c r="EG22" i="15" s="1"/>
  <c r="AY68" i="15"/>
  <c r="AY22" i="15" s="1"/>
  <c r="DJ68" i="15"/>
  <c r="DJ22" i="15" s="1"/>
  <c r="EP68" i="15"/>
  <c r="EP22" i="15" s="1"/>
  <c r="CQ68" i="15"/>
  <c r="CQ22" i="15" s="1"/>
  <c r="EA68" i="15"/>
  <c r="EA22" i="15" s="1"/>
  <c r="BJ68" i="15"/>
  <c r="BJ22" i="15" s="1"/>
  <c r="DN68" i="15"/>
  <c r="DN22" i="15" s="1"/>
  <c r="ET68" i="15"/>
  <c r="ET22" i="15" s="1"/>
  <c r="BO68" i="15"/>
  <c r="BO22" i="15" s="1"/>
  <c r="DO68" i="15"/>
  <c r="DO22" i="15" s="1"/>
  <c r="O68" i="15"/>
  <c r="O22" i="15" s="1"/>
  <c r="BK68" i="15"/>
  <c r="BK22" i="15" s="1"/>
  <c r="CJ68" i="15"/>
  <c r="CJ22" i="15" s="1"/>
  <c r="CZ68" i="15"/>
  <c r="CZ22" i="15" s="1"/>
  <c r="DP68" i="15"/>
  <c r="DP22" i="15" s="1"/>
  <c r="EF68" i="15"/>
  <c r="EF22" i="15" s="1"/>
  <c r="AF68" i="15"/>
  <c r="AF22" i="15" s="1"/>
  <c r="BB68" i="15"/>
  <c r="BB22" i="15" s="1"/>
  <c r="BW68" i="15"/>
  <c r="BW22" i="15" s="1"/>
  <c r="CO68" i="15"/>
  <c r="CO22" i="15" s="1"/>
  <c r="DE68" i="15"/>
  <c r="DE22" i="15" s="1"/>
  <c r="DU68" i="15"/>
  <c r="DU22" i="15" s="1"/>
  <c r="EK68" i="15"/>
  <c r="EK22" i="15" s="1"/>
  <c r="BT68" i="15"/>
  <c r="BT22" i="15" s="1"/>
  <c r="DR68" i="15"/>
  <c r="DR22" i="15" s="1"/>
  <c r="AI68" i="15"/>
  <c r="AI22" i="15" s="1"/>
  <c r="DC68" i="15"/>
  <c r="DC22" i="15" s="1"/>
  <c r="EI68" i="15"/>
  <c r="EI22" i="15" s="1"/>
  <c r="CE68" i="15"/>
  <c r="CE22" i="15" s="1"/>
  <c r="DV68" i="15"/>
  <c r="DV22" i="15" s="1"/>
  <c r="CI68" i="15"/>
  <c r="CI22" i="15" s="1"/>
  <c r="DW68" i="15"/>
  <c r="DW22" i="15" s="1"/>
  <c r="G68" i="15"/>
  <c r="G22" i="15" s="1"/>
  <c r="F23" i="15"/>
  <c r="F23" i="10"/>
  <c r="D74" i="2"/>
  <c r="AR35" i="5"/>
  <c r="C70" i="5" s="1"/>
  <c r="D70" i="5" l="1"/>
  <c r="S70" i="5"/>
  <c r="O70" i="5"/>
  <c r="K70" i="5"/>
  <c r="G70" i="5"/>
  <c r="P70" i="5"/>
  <c r="J70" i="5"/>
  <c r="E70" i="5"/>
  <c r="L70" i="5"/>
  <c r="T70" i="5"/>
  <c r="N70" i="5"/>
  <c r="I70" i="5"/>
  <c r="R70" i="5"/>
  <c r="M70" i="5"/>
  <c r="H70" i="5"/>
  <c r="Q70" i="5"/>
  <c r="F70" i="5"/>
  <c r="H74" i="2"/>
  <c r="J74" i="2"/>
  <c r="N74" i="2"/>
  <c r="R74" i="2"/>
  <c r="K74" i="2"/>
  <c r="O74" i="2"/>
  <c r="S74" i="2"/>
  <c r="L74" i="2"/>
  <c r="P74" i="2"/>
  <c r="T74" i="2"/>
  <c r="Q74" i="2"/>
  <c r="U74" i="2"/>
  <c r="I74" i="2"/>
  <c r="M74" i="2"/>
  <c r="D1733" i="12"/>
  <c r="E1732" i="12"/>
  <c r="F1732" i="12"/>
  <c r="EQ30" i="5"/>
  <c r="BF35" i="5"/>
  <c r="BC35" i="5"/>
  <c r="AR31" i="2"/>
  <c r="BB30" i="2"/>
  <c r="Q69" i="10"/>
  <c r="Q23" i="10" s="1"/>
  <c r="AG69" i="10"/>
  <c r="AG23" i="10" s="1"/>
  <c r="AW69" i="10"/>
  <c r="AW23" i="10" s="1"/>
  <c r="BM69" i="10"/>
  <c r="BM23" i="10" s="1"/>
  <c r="CC69" i="10"/>
  <c r="CC23" i="10" s="1"/>
  <c r="CS69" i="10"/>
  <c r="CS23" i="10" s="1"/>
  <c r="DI69" i="10"/>
  <c r="DI23" i="10" s="1"/>
  <c r="U69" i="10"/>
  <c r="U23" i="10" s="1"/>
  <c r="AO69" i="10"/>
  <c r="AO23" i="10" s="1"/>
  <c r="BI69" i="10"/>
  <c r="BI23" i="10" s="1"/>
  <c r="CG69" i="10"/>
  <c r="CG23" i="10" s="1"/>
  <c r="DA69" i="10"/>
  <c r="DA23" i="10" s="1"/>
  <c r="DU69" i="10"/>
  <c r="DU23" i="10" s="1"/>
  <c r="EK69" i="10"/>
  <c r="EK23" i="10" s="1"/>
  <c r="V69" i="10"/>
  <c r="V23" i="10" s="1"/>
  <c r="AL69" i="10"/>
  <c r="AL23" i="10" s="1"/>
  <c r="BB69" i="10"/>
  <c r="BB23" i="10" s="1"/>
  <c r="BR69" i="10"/>
  <c r="BR23" i="10" s="1"/>
  <c r="CH69" i="10"/>
  <c r="CH23" i="10" s="1"/>
  <c r="CX69" i="10"/>
  <c r="CX23" i="10" s="1"/>
  <c r="DN69" i="10"/>
  <c r="DN23" i="10" s="1"/>
  <c r="ED69" i="10"/>
  <c r="ED23" i="10" s="1"/>
  <c r="ET69" i="10"/>
  <c r="ET23" i="10" s="1"/>
  <c r="AE69" i="10"/>
  <c r="AE23" i="10" s="1"/>
  <c r="BK69" i="10"/>
  <c r="BK23" i="10" s="1"/>
  <c r="CQ69" i="10"/>
  <c r="CQ23" i="10" s="1"/>
  <c r="DW69" i="10"/>
  <c r="DW23" i="10" s="1"/>
  <c r="AF69" i="10"/>
  <c r="AF23" i="10" s="1"/>
  <c r="BL69" i="10"/>
  <c r="BL23" i="10" s="1"/>
  <c r="CR69" i="10"/>
  <c r="CR23" i="10" s="1"/>
  <c r="DX69" i="10"/>
  <c r="DX23" i="10" s="1"/>
  <c r="K69" i="10"/>
  <c r="K23" i="10" s="1"/>
  <c r="AQ69" i="10"/>
  <c r="AQ23" i="10" s="1"/>
  <c r="BW69" i="10"/>
  <c r="BW23" i="10" s="1"/>
  <c r="DC69" i="10"/>
  <c r="DC23" i="10" s="1"/>
  <c r="EI69" i="10"/>
  <c r="EI23" i="10" s="1"/>
  <c r="CV69" i="10"/>
  <c r="CV23" i="10" s="1"/>
  <c r="Y69" i="10"/>
  <c r="Y23" i="10" s="1"/>
  <c r="AS69" i="10"/>
  <c r="AS23" i="10" s="1"/>
  <c r="BQ69" i="10"/>
  <c r="BQ23" i="10" s="1"/>
  <c r="CK69" i="10"/>
  <c r="CK23" i="10" s="1"/>
  <c r="DE69" i="10"/>
  <c r="DE23" i="10" s="1"/>
  <c r="DY69" i="10"/>
  <c r="DY23" i="10" s="1"/>
  <c r="EO69" i="10"/>
  <c r="EO23" i="10" s="1"/>
  <c r="J69" i="10"/>
  <c r="J23" i="10" s="1"/>
  <c r="Z69" i="10"/>
  <c r="Z23" i="10" s="1"/>
  <c r="AP69" i="10"/>
  <c r="AP23" i="10" s="1"/>
  <c r="BF69" i="10"/>
  <c r="BF23" i="10" s="1"/>
  <c r="BV69" i="10"/>
  <c r="BV23" i="10" s="1"/>
  <c r="CL69" i="10"/>
  <c r="CL23" i="10" s="1"/>
  <c r="DB69" i="10"/>
  <c r="DB23" i="10" s="1"/>
  <c r="DR69" i="10"/>
  <c r="DR23" i="10" s="1"/>
  <c r="EH69" i="10"/>
  <c r="EH23" i="10" s="1"/>
  <c r="AM69" i="10"/>
  <c r="AM23" i="10" s="1"/>
  <c r="BS69" i="10"/>
  <c r="BS23" i="10" s="1"/>
  <c r="CY69" i="10"/>
  <c r="CY23" i="10" s="1"/>
  <c r="EE69" i="10"/>
  <c r="EE23" i="10" s="1"/>
  <c r="AN69" i="10"/>
  <c r="AN23" i="10" s="1"/>
  <c r="BT69" i="10"/>
  <c r="BT23" i="10" s="1"/>
  <c r="CZ69" i="10"/>
  <c r="CZ23" i="10" s="1"/>
  <c r="EF69" i="10"/>
  <c r="EF23" i="10" s="1"/>
  <c r="I69" i="10"/>
  <c r="I23" i="10" s="1"/>
  <c r="AC69" i="10"/>
  <c r="AC23" i="10" s="1"/>
  <c r="BA69" i="10"/>
  <c r="BA23" i="10" s="1"/>
  <c r="BU69" i="10"/>
  <c r="BU23" i="10" s="1"/>
  <c r="CO69" i="10"/>
  <c r="CO23" i="10" s="1"/>
  <c r="DM69" i="10"/>
  <c r="DM23" i="10" s="1"/>
  <c r="EC69" i="10"/>
  <c r="EC23" i="10" s="1"/>
  <c r="ES69" i="10"/>
  <c r="ES23" i="10" s="1"/>
  <c r="BY69" i="10"/>
  <c r="BY23" i="10" s="1"/>
  <c r="R69" i="10"/>
  <c r="R23" i="10" s="1"/>
  <c r="AX69" i="10"/>
  <c r="AX23" i="10" s="1"/>
  <c r="CD69" i="10"/>
  <c r="CD23" i="10" s="1"/>
  <c r="DJ69" i="10"/>
  <c r="DJ23" i="10" s="1"/>
  <c r="EP69" i="10"/>
  <c r="EP23" i="10" s="1"/>
  <c r="BC69" i="10"/>
  <c r="BC23" i="10" s="1"/>
  <c r="DO69" i="10"/>
  <c r="DO23" i="10" s="1"/>
  <c r="X69" i="10"/>
  <c r="X23" i="10" s="1"/>
  <c r="CJ69" i="10"/>
  <c r="CJ23" i="10" s="1"/>
  <c r="AK69" i="10"/>
  <c r="AK23" i="10" s="1"/>
  <c r="DQ69" i="10"/>
  <c r="DQ23" i="10" s="1"/>
  <c r="AH69" i="10"/>
  <c r="AH23" i="10" s="1"/>
  <c r="BN69" i="10"/>
  <c r="BN23" i="10" s="1"/>
  <c r="CT69" i="10"/>
  <c r="CT23" i="10" s="1"/>
  <c r="DZ69" i="10"/>
  <c r="DZ23" i="10" s="1"/>
  <c r="W69" i="10"/>
  <c r="W23" i="10" s="1"/>
  <c r="CI69" i="10"/>
  <c r="CI23" i="10" s="1"/>
  <c r="BD69" i="10"/>
  <c r="BD23" i="10" s="1"/>
  <c r="DP69" i="10"/>
  <c r="DP23" i="10" s="1"/>
  <c r="BE69" i="10"/>
  <c r="BE23" i="10" s="1"/>
  <c r="EG69" i="10"/>
  <c r="EG23" i="10" s="1"/>
  <c r="N69" i="10"/>
  <c r="N23" i="10" s="1"/>
  <c r="AT69" i="10"/>
  <c r="AT23" i="10" s="1"/>
  <c r="BZ69" i="10"/>
  <c r="BZ23" i="10" s="1"/>
  <c r="DF69" i="10"/>
  <c r="DF23" i="10" s="1"/>
  <c r="EL69" i="10"/>
  <c r="EL23" i="10" s="1"/>
  <c r="AU69" i="10"/>
  <c r="AU23" i="10" s="1"/>
  <c r="DG69" i="10"/>
  <c r="DG23" i="10" s="1"/>
  <c r="P69" i="10"/>
  <c r="P23" i="10" s="1"/>
  <c r="CB69" i="10"/>
  <c r="CB23" i="10" s="1"/>
  <c r="EN69" i="10"/>
  <c r="EN23" i="10" s="1"/>
  <c r="M69" i="10"/>
  <c r="M23" i="10" s="1"/>
  <c r="AD69" i="10"/>
  <c r="AD23" i="10" s="1"/>
  <c r="CA69" i="10"/>
  <c r="CA23" i="10" s="1"/>
  <c r="AA69" i="10"/>
  <c r="AA23" i="10" s="1"/>
  <c r="BO69" i="10"/>
  <c r="BO23" i="10" s="1"/>
  <c r="DK69" i="10"/>
  <c r="DK23" i="10" s="1"/>
  <c r="BP69" i="10"/>
  <c r="BP23" i="10" s="1"/>
  <c r="DD69" i="10"/>
  <c r="DD23" i="10" s="1"/>
  <c r="CP69" i="10"/>
  <c r="CP23" i="10" s="1"/>
  <c r="AV69" i="10"/>
  <c r="AV23" i="10" s="1"/>
  <c r="AY69" i="10"/>
  <c r="AY23" i="10" s="1"/>
  <c r="CM69" i="10"/>
  <c r="CM23" i="10" s="1"/>
  <c r="EA69" i="10"/>
  <c r="EA23" i="10" s="1"/>
  <c r="AR69" i="10"/>
  <c r="AR23" i="10" s="1"/>
  <c r="DV69" i="10"/>
  <c r="DV23" i="10" s="1"/>
  <c r="O69" i="10"/>
  <c r="O23" i="10" s="1"/>
  <c r="DH69" i="10"/>
  <c r="DH23" i="10" s="1"/>
  <c r="S69" i="10"/>
  <c r="S23" i="10" s="1"/>
  <c r="BG69" i="10"/>
  <c r="BG23" i="10" s="1"/>
  <c r="CU69" i="10"/>
  <c r="CU23" i="10" s="1"/>
  <c r="EQ69" i="10"/>
  <c r="EQ23" i="10" s="1"/>
  <c r="AJ69" i="10"/>
  <c r="AJ23" i="10" s="1"/>
  <c r="BX69" i="10"/>
  <c r="BX23" i="10" s="1"/>
  <c r="DS69" i="10"/>
  <c r="DS23" i="10" s="1"/>
  <c r="DL69" i="10"/>
  <c r="DL23" i="10" s="1"/>
  <c r="EM69" i="10"/>
  <c r="EM23" i="10" s="1"/>
  <c r="L69" i="10"/>
  <c r="L23" i="10" s="1"/>
  <c r="T69" i="10"/>
  <c r="T23" i="10" s="1"/>
  <c r="ER69" i="10"/>
  <c r="ER23" i="10" s="1"/>
  <c r="AB69" i="10"/>
  <c r="AB23" i="10" s="1"/>
  <c r="CW69" i="10"/>
  <c r="CW23" i="10" s="1"/>
  <c r="BJ69" i="10"/>
  <c r="BJ23" i="10" s="1"/>
  <c r="AI69" i="10"/>
  <c r="AI23" i="10" s="1"/>
  <c r="EJ69" i="10"/>
  <c r="EJ23" i="10" s="1"/>
  <c r="AZ69" i="10"/>
  <c r="AZ23" i="10" s="1"/>
  <c r="BH69" i="10"/>
  <c r="BH23" i="10" s="1"/>
  <c r="CE69" i="10"/>
  <c r="CE23" i="10" s="1"/>
  <c r="EB69" i="10"/>
  <c r="EB23" i="10" s="1"/>
  <c r="CF69" i="10"/>
  <c r="CF23" i="10" s="1"/>
  <c r="CN69" i="10"/>
  <c r="CN23" i="10" s="1"/>
  <c r="DT69" i="10"/>
  <c r="DT23" i="10" s="1"/>
  <c r="H69" i="10"/>
  <c r="H23" i="10" s="1"/>
  <c r="G69" i="10"/>
  <c r="G23" i="10" s="1"/>
  <c r="M69" i="15"/>
  <c r="M23" i="15" s="1"/>
  <c r="AC69" i="15"/>
  <c r="AC23" i="15" s="1"/>
  <c r="AS69" i="15"/>
  <c r="AS23" i="15" s="1"/>
  <c r="BI69" i="15"/>
  <c r="BI23" i="15" s="1"/>
  <c r="BY69" i="15"/>
  <c r="BY23" i="15" s="1"/>
  <c r="CO69" i="15"/>
  <c r="CO23" i="15" s="1"/>
  <c r="DE69" i="15"/>
  <c r="DE23" i="15" s="1"/>
  <c r="DU69" i="15"/>
  <c r="DU23" i="15" s="1"/>
  <c r="EK69" i="15"/>
  <c r="EK23" i="15" s="1"/>
  <c r="R69" i="15"/>
  <c r="R23" i="15" s="1"/>
  <c r="AH69" i="15"/>
  <c r="AH23" i="15" s="1"/>
  <c r="AX69" i="15"/>
  <c r="AX23" i="15" s="1"/>
  <c r="BN69" i="15"/>
  <c r="BN23" i="15" s="1"/>
  <c r="CD69" i="15"/>
  <c r="CD23" i="15" s="1"/>
  <c r="CT69" i="15"/>
  <c r="CT23" i="15" s="1"/>
  <c r="DJ69" i="15"/>
  <c r="DJ23" i="15" s="1"/>
  <c r="DZ69" i="15"/>
  <c r="DZ23" i="15" s="1"/>
  <c r="EP69" i="15"/>
  <c r="EP23" i="15" s="1"/>
  <c r="S69" i="15"/>
  <c r="S23" i="15" s="1"/>
  <c r="AY69" i="15"/>
  <c r="AY23" i="15" s="1"/>
  <c r="CE69" i="15"/>
  <c r="CE23" i="15" s="1"/>
  <c r="DK69" i="15"/>
  <c r="DK23" i="15" s="1"/>
  <c r="EQ69" i="15"/>
  <c r="EQ23" i="15" s="1"/>
  <c r="AJ69" i="15"/>
  <c r="AJ23" i="15" s="1"/>
  <c r="BP69" i="15"/>
  <c r="BP23" i="15" s="1"/>
  <c r="CV69" i="15"/>
  <c r="CV23" i="15" s="1"/>
  <c r="EB69" i="15"/>
  <c r="EB23" i="15" s="1"/>
  <c r="W69" i="15"/>
  <c r="W23" i="15" s="1"/>
  <c r="BC69" i="15"/>
  <c r="BC23" i="15" s="1"/>
  <c r="CI69" i="15"/>
  <c r="CI23" i="15" s="1"/>
  <c r="DO69" i="15"/>
  <c r="DO23" i="15" s="1"/>
  <c r="X69" i="15"/>
  <c r="X23" i="15" s="1"/>
  <c r="BD69" i="15"/>
  <c r="BD23" i="15" s="1"/>
  <c r="CJ69" i="15"/>
  <c r="CJ23" i="15" s="1"/>
  <c r="DP69" i="15"/>
  <c r="DP23" i="15" s="1"/>
  <c r="Q69" i="15"/>
  <c r="Q23" i="15" s="1"/>
  <c r="AG69" i="15"/>
  <c r="AG23" i="15" s="1"/>
  <c r="AW69" i="15"/>
  <c r="AW23" i="15" s="1"/>
  <c r="BM69" i="15"/>
  <c r="BM23" i="15" s="1"/>
  <c r="CC69" i="15"/>
  <c r="CC23" i="15" s="1"/>
  <c r="CS69" i="15"/>
  <c r="CS23" i="15" s="1"/>
  <c r="DI69" i="15"/>
  <c r="DI23" i="15" s="1"/>
  <c r="DY69" i="15"/>
  <c r="DY23" i="15" s="1"/>
  <c r="EO69" i="15"/>
  <c r="EO23" i="15" s="1"/>
  <c r="V69" i="15"/>
  <c r="V23" i="15" s="1"/>
  <c r="AL69" i="15"/>
  <c r="AL23" i="15" s="1"/>
  <c r="BB69" i="15"/>
  <c r="BB23" i="15" s="1"/>
  <c r="BR69" i="15"/>
  <c r="BR23" i="15" s="1"/>
  <c r="CH69" i="15"/>
  <c r="CH23" i="15" s="1"/>
  <c r="CX69" i="15"/>
  <c r="CX23" i="15" s="1"/>
  <c r="DN69" i="15"/>
  <c r="DN23" i="15" s="1"/>
  <c r="ED69" i="15"/>
  <c r="ED23" i="15" s="1"/>
  <c r="ET69" i="15"/>
  <c r="ET23" i="15" s="1"/>
  <c r="AA69" i="15"/>
  <c r="AA23" i="15" s="1"/>
  <c r="BG69" i="15"/>
  <c r="BG23" i="15" s="1"/>
  <c r="CM69" i="15"/>
  <c r="CM23" i="15" s="1"/>
  <c r="DS69" i="15"/>
  <c r="DS23" i="15" s="1"/>
  <c r="L69" i="15"/>
  <c r="L23" i="15" s="1"/>
  <c r="AR69" i="15"/>
  <c r="AR23" i="15" s="1"/>
  <c r="BX69" i="15"/>
  <c r="BX23" i="15" s="1"/>
  <c r="DD69" i="15"/>
  <c r="DD23" i="15" s="1"/>
  <c r="EJ69" i="15"/>
  <c r="EJ23" i="15" s="1"/>
  <c r="AE69" i="15"/>
  <c r="AE23" i="15" s="1"/>
  <c r="BK69" i="15"/>
  <c r="BK23" i="15" s="1"/>
  <c r="CQ69" i="15"/>
  <c r="CQ23" i="15" s="1"/>
  <c r="DW69" i="15"/>
  <c r="DW23" i="15" s="1"/>
  <c r="AF69" i="15"/>
  <c r="AF23" i="15" s="1"/>
  <c r="BL69" i="15"/>
  <c r="BL23" i="15" s="1"/>
  <c r="CR69" i="15"/>
  <c r="CR23" i="15" s="1"/>
  <c r="DX69" i="15"/>
  <c r="DX23" i="15" s="1"/>
  <c r="U69" i="15"/>
  <c r="U23" i="15" s="1"/>
  <c r="AK69" i="15"/>
  <c r="AK23" i="15" s="1"/>
  <c r="BA69" i="15"/>
  <c r="BA23" i="15" s="1"/>
  <c r="BQ69" i="15"/>
  <c r="BQ23" i="15" s="1"/>
  <c r="CG69" i="15"/>
  <c r="CG23" i="15" s="1"/>
  <c r="CW69" i="15"/>
  <c r="CW23" i="15" s="1"/>
  <c r="DM69" i="15"/>
  <c r="DM23" i="15" s="1"/>
  <c r="EC69" i="15"/>
  <c r="EC23" i="15" s="1"/>
  <c r="ES69" i="15"/>
  <c r="ES23" i="15" s="1"/>
  <c r="J69" i="15"/>
  <c r="J23" i="15" s="1"/>
  <c r="Z69" i="15"/>
  <c r="Z23" i="15" s="1"/>
  <c r="AP69" i="15"/>
  <c r="AP23" i="15" s="1"/>
  <c r="BF69" i="15"/>
  <c r="BF23" i="15" s="1"/>
  <c r="BV69" i="15"/>
  <c r="BV23" i="15" s="1"/>
  <c r="CL69" i="15"/>
  <c r="CL23" i="15" s="1"/>
  <c r="DB69" i="15"/>
  <c r="DB23" i="15" s="1"/>
  <c r="DR69" i="15"/>
  <c r="DR23" i="15" s="1"/>
  <c r="EH69" i="15"/>
  <c r="EH23" i="15" s="1"/>
  <c r="AI69" i="15"/>
  <c r="AI23" i="15" s="1"/>
  <c r="BO69" i="15"/>
  <c r="BO23" i="15" s="1"/>
  <c r="CU69" i="15"/>
  <c r="CU23" i="15" s="1"/>
  <c r="EA69" i="15"/>
  <c r="EA23" i="15" s="1"/>
  <c r="T69" i="15"/>
  <c r="T23" i="15" s="1"/>
  <c r="AZ69" i="15"/>
  <c r="AZ23" i="15" s="1"/>
  <c r="CF69" i="15"/>
  <c r="CF23" i="15" s="1"/>
  <c r="DL69" i="15"/>
  <c r="DL23" i="15" s="1"/>
  <c r="ER69" i="15"/>
  <c r="ER23" i="15" s="1"/>
  <c r="AM69" i="15"/>
  <c r="AM23" i="15" s="1"/>
  <c r="BS69" i="15"/>
  <c r="BS23" i="15" s="1"/>
  <c r="CY69" i="15"/>
  <c r="CY23" i="15" s="1"/>
  <c r="EE69" i="15"/>
  <c r="EE23" i="15" s="1"/>
  <c r="H69" i="15"/>
  <c r="H23" i="15" s="1"/>
  <c r="AN69" i="15"/>
  <c r="AN23" i="15" s="1"/>
  <c r="BT69" i="15"/>
  <c r="BT23" i="15" s="1"/>
  <c r="CZ69" i="15"/>
  <c r="CZ23" i="15" s="1"/>
  <c r="EF69" i="15"/>
  <c r="EF23" i="15" s="1"/>
  <c r="I69" i="15"/>
  <c r="I23" i="15" s="1"/>
  <c r="Y69" i="15"/>
  <c r="Y23" i="15" s="1"/>
  <c r="AO69" i="15"/>
  <c r="AO23" i="15" s="1"/>
  <c r="BE69" i="15"/>
  <c r="BE23" i="15" s="1"/>
  <c r="BU69" i="15"/>
  <c r="BU23" i="15" s="1"/>
  <c r="CK69" i="15"/>
  <c r="CK23" i="15" s="1"/>
  <c r="DA69" i="15"/>
  <c r="DA23" i="15" s="1"/>
  <c r="DQ69" i="15"/>
  <c r="DQ23" i="15" s="1"/>
  <c r="EG69" i="15"/>
  <c r="EG23" i="15" s="1"/>
  <c r="N69" i="15"/>
  <c r="N23" i="15" s="1"/>
  <c r="AD69" i="15"/>
  <c r="AD23" i="15" s="1"/>
  <c r="AT69" i="15"/>
  <c r="AT23" i="15" s="1"/>
  <c r="BJ69" i="15"/>
  <c r="BJ23" i="15" s="1"/>
  <c r="BZ69" i="15"/>
  <c r="BZ23" i="15" s="1"/>
  <c r="CP69" i="15"/>
  <c r="CP23" i="15" s="1"/>
  <c r="DF69" i="15"/>
  <c r="DF23" i="15" s="1"/>
  <c r="DV69" i="15"/>
  <c r="DV23" i="15" s="1"/>
  <c r="EL69" i="15"/>
  <c r="EL23" i="15" s="1"/>
  <c r="K69" i="15"/>
  <c r="K23" i="15" s="1"/>
  <c r="AQ69" i="15"/>
  <c r="AQ23" i="15" s="1"/>
  <c r="BW69" i="15"/>
  <c r="BW23" i="15" s="1"/>
  <c r="DC69" i="15"/>
  <c r="DC23" i="15" s="1"/>
  <c r="EI69" i="15"/>
  <c r="EI23" i="15" s="1"/>
  <c r="AB69" i="15"/>
  <c r="AB23" i="15" s="1"/>
  <c r="BH69" i="15"/>
  <c r="BH23" i="15" s="1"/>
  <c r="CN69" i="15"/>
  <c r="CN23" i="15" s="1"/>
  <c r="DT69" i="15"/>
  <c r="DT23" i="15" s="1"/>
  <c r="O69" i="15"/>
  <c r="O23" i="15" s="1"/>
  <c r="AU69" i="15"/>
  <c r="AU23" i="15" s="1"/>
  <c r="CA69" i="15"/>
  <c r="CA23" i="15" s="1"/>
  <c r="DG69" i="15"/>
  <c r="DG23" i="15" s="1"/>
  <c r="EM69" i="15"/>
  <c r="EM23" i="15" s="1"/>
  <c r="P69" i="15"/>
  <c r="P23" i="15" s="1"/>
  <c r="AV69" i="15"/>
  <c r="AV23" i="15" s="1"/>
  <c r="CB69" i="15"/>
  <c r="CB23" i="15" s="1"/>
  <c r="DH69" i="15"/>
  <c r="DH23" i="15" s="1"/>
  <c r="EN69" i="15"/>
  <c r="EN23" i="15" s="1"/>
  <c r="G69" i="15"/>
  <c r="G23" i="15" s="1"/>
  <c r="F24" i="15"/>
  <c r="F24" i="10"/>
  <c r="AR36" i="5"/>
  <c r="C71" i="5" s="1"/>
  <c r="D75" i="2"/>
  <c r="D71" i="5" l="1"/>
  <c r="S71" i="5"/>
  <c r="O71" i="5"/>
  <c r="K71" i="5"/>
  <c r="G71" i="5"/>
  <c r="P71" i="5"/>
  <c r="J71" i="5"/>
  <c r="E71" i="5"/>
  <c r="Q71" i="5"/>
  <c r="F71" i="5"/>
  <c r="T71" i="5"/>
  <c r="N71" i="5"/>
  <c r="I71" i="5"/>
  <c r="R71" i="5"/>
  <c r="M71" i="5"/>
  <c r="H71" i="5"/>
  <c r="L71" i="5"/>
  <c r="H75" i="2"/>
  <c r="I75" i="2"/>
  <c r="M75" i="2"/>
  <c r="Q75" i="2"/>
  <c r="U75" i="2"/>
  <c r="J75" i="2"/>
  <c r="N75" i="2"/>
  <c r="R75" i="2"/>
  <c r="K75" i="2"/>
  <c r="O75" i="2"/>
  <c r="S75" i="2"/>
  <c r="T75" i="2"/>
  <c r="L75" i="2"/>
  <c r="P75" i="2"/>
  <c r="D1734" i="12"/>
  <c r="E1733" i="12"/>
  <c r="F1733" i="12"/>
  <c r="EQ31" i="5"/>
  <c r="BF36" i="5"/>
  <c r="BC36" i="5"/>
  <c r="AR32" i="2"/>
  <c r="BB31" i="2"/>
  <c r="O70" i="10"/>
  <c r="O24" i="10" s="1"/>
  <c r="AE70" i="10"/>
  <c r="AE24" i="10" s="1"/>
  <c r="AU70" i="10"/>
  <c r="AU24" i="10" s="1"/>
  <c r="BK70" i="10"/>
  <c r="BK24" i="10" s="1"/>
  <c r="X70" i="10"/>
  <c r="X24" i="10" s="1"/>
  <c r="Q70" i="10"/>
  <c r="Q24" i="10" s="1"/>
  <c r="AS70" i="10"/>
  <c r="AS24" i="10" s="1"/>
  <c r="BN70" i="10"/>
  <c r="BN24" i="10" s="1"/>
  <c r="CE70" i="10"/>
  <c r="CE24" i="10" s="1"/>
  <c r="CU70" i="10"/>
  <c r="CU24" i="10" s="1"/>
  <c r="DK70" i="10"/>
  <c r="DK24" i="10" s="1"/>
  <c r="EA70" i="10"/>
  <c r="EA24" i="10" s="1"/>
  <c r="EQ70" i="10"/>
  <c r="EQ24" i="10" s="1"/>
  <c r="R70" i="10"/>
  <c r="R24" i="10" s="1"/>
  <c r="AT70" i="10"/>
  <c r="AT24" i="10" s="1"/>
  <c r="BP70" i="10"/>
  <c r="BP24" i="10" s="1"/>
  <c r="CF70" i="10"/>
  <c r="CF24" i="10" s="1"/>
  <c r="CV70" i="10"/>
  <c r="CV24" i="10" s="1"/>
  <c r="DL70" i="10"/>
  <c r="DL24" i="10" s="1"/>
  <c r="EB70" i="10"/>
  <c r="EB24" i="10" s="1"/>
  <c r="ER70" i="10"/>
  <c r="ER24" i="10" s="1"/>
  <c r="AC70" i="10"/>
  <c r="AC24" i="10" s="1"/>
  <c r="BA70" i="10"/>
  <c r="BA24" i="10" s="1"/>
  <c r="BU70" i="10"/>
  <c r="BU24" i="10" s="1"/>
  <c r="CK70" i="10"/>
  <c r="CK24" i="10" s="1"/>
  <c r="DA70" i="10"/>
  <c r="DA24" i="10" s="1"/>
  <c r="DQ70" i="10"/>
  <c r="DQ24" i="10" s="1"/>
  <c r="EG70" i="10"/>
  <c r="EG24" i="10" s="1"/>
  <c r="BR70" i="10"/>
  <c r="BR24" i="10" s="1"/>
  <c r="ED70" i="10"/>
  <c r="ED24" i="10" s="1"/>
  <c r="S70" i="10"/>
  <c r="S24" i="10" s="1"/>
  <c r="AI70" i="10"/>
  <c r="AI24" i="10" s="1"/>
  <c r="AY70" i="10"/>
  <c r="AY24" i="10" s="1"/>
  <c r="BO70" i="10"/>
  <c r="BO24" i="10" s="1"/>
  <c r="L70" i="10"/>
  <c r="L24" i="10" s="1"/>
  <c r="AB70" i="10"/>
  <c r="AB24" i="10" s="1"/>
  <c r="Y70" i="10"/>
  <c r="Y24" i="10" s="1"/>
  <c r="AX70" i="10"/>
  <c r="AX24" i="10" s="1"/>
  <c r="BS70" i="10"/>
  <c r="BS24" i="10" s="1"/>
  <c r="CI70" i="10"/>
  <c r="CI24" i="10" s="1"/>
  <c r="CY70" i="10"/>
  <c r="CY24" i="10" s="1"/>
  <c r="DO70" i="10"/>
  <c r="DO24" i="10" s="1"/>
  <c r="EE70" i="10"/>
  <c r="EE24" i="10" s="1"/>
  <c r="Z70" i="10"/>
  <c r="Z24" i="10" s="1"/>
  <c r="AZ70" i="10"/>
  <c r="AZ24" i="10" s="1"/>
  <c r="BT70" i="10"/>
  <c r="BT24" i="10" s="1"/>
  <c r="CJ70" i="10"/>
  <c r="CJ24" i="10" s="1"/>
  <c r="CZ70" i="10"/>
  <c r="CZ24" i="10" s="1"/>
  <c r="DP70" i="10"/>
  <c r="DP24" i="10" s="1"/>
  <c r="EF70" i="10"/>
  <c r="EF24" i="10" s="1"/>
  <c r="W70" i="10"/>
  <c r="W24" i="10" s="1"/>
  <c r="AM70" i="10"/>
  <c r="AM24" i="10" s="1"/>
  <c r="BC70" i="10"/>
  <c r="BC24" i="10" s="1"/>
  <c r="K70" i="10"/>
  <c r="K24" i="10" s="1"/>
  <c r="AJ70" i="10"/>
  <c r="AJ24" i="10" s="1"/>
  <c r="AN70" i="10"/>
  <c r="AN24" i="10" s="1"/>
  <c r="CA70" i="10"/>
  <c r="CA24" i="10" s="1"/>
  <c r="DG70" i="10"/>
  <c r="DG24" i="10" s="1"/>
  <c r="EM70" i="10"/>
  <c r="EM24" i="10" s="1"/>
  <c r="J70" i="10"/>
  <c r="J24" i="10" s="1"/>
  <c r="BJ70" i="10"/>
  <c r="BJ24" i="10" s="1"/>
  <c r="CR70" i="10"/>
  <c r="CR24" i="10" s="1"/>
  <c r="DX70" i="10"/>
  <c r="DX24" i="10" s="1"/>
  <c r="AQ70" i="10"/>
  <c r="AQ24" i="10" s="1"/>
  <c r="T70" i="10"/>
  <c r="T24" i="10" s="1"/>
  <c r="I70" i="10"/>
  <c r="I24" i="10" s="1"/>
  <c r="BI70" i="10"/>
  <c r="BI24" i="10" s="1"/>
  <c r="CQ70" i="10"/>
  <c r="CQ24" i="10" s="1"/>
  <c r="DW70" i="10"/>
  <c r="DW24" i="10" s="1"/>
  <c r="AO70" i="10"/>
  <c r="AO24" i="10" s="1"/>
  <c r="CB70" i="10"/>
  <c r="CB24" i="10" s="1"/>
  <c r="DH70" i="10"/>
  <c r="DH24" i="10" s="1"/>
  <c r="EN70" i="10"/>
  <c r="EN24" i="10" s="1"/>
  <c r="BG70" i="10"/>
  <c r="BG24" i="10" s="1"/>
  <c r="AF70" i="10"/>
  <c r="AF24" i="10" s="1"/>
  <c r="AG70" i="10"/>
  <c r="AG24" i="10" s="1"/>
  <c r="BW70" i="10"/>
  <c r="BW24" i="10" s="1"/>
  <c r="DC70" i="10"/>
  <c r="DC24" i="10" s="1"/>
  <c r="EI70" i="10"/>
  <c r="EI24" i="10" s="1"/>
  <c r="BE70" i="10"/>
  <c r="BE24" i="10" s="1"/>
  <c r="CN70" i="10"/>
  <c r="CN24" i="10" s="1"/>
  <c r="DT70" i="10"/>
  <c r="DT24" i="10" s="1"/>
  <c r="P70" i="10"/>
  <c r="P24" i="10" s="1"/>
  <c r="DS70" i="10"/>
  <c r="DS24" i="10" s="1"/>
  <c r="AH70" i="10"/>
  <c r="AH24" i="10" s="1"/>
  <c r="M70" i="10"/>
  <c r="M24" i="10" s="1"/>
  <c r="AV70" i="10"/>
  <c r="AV24" i="10" s="1"/>
  <c r="BY70" i="10"/>
  <c r="BY24" i="10" s="1"/>
  <c r="CS70" i="10"/>
  <c r="CS24" i="10" s="1"/>
  <c r="DM70" i="10"/>
  <c r="DM24" i="10" s="1"/>
  <c r="EK70" i="10"/>
  <c r="EK24" i="10" s="1"/>
  <c r="CH70" i="10"/>
  <c r="CH24" i="10" s="1"/>
  <c r="BV70" i="10"/>
  <c r="BV24" i="10" s="1"/>
  <c r="EH70" i="10"/>
  <c r="EH24" i="10" s="1"/>
  <c r="AA70" i="10"/>
  <c r="AA24" i="10" s="1"/>
  <c r="BD70" i="10"/>
  <c r="BD24" i="10" s="1"/>
  <c r="DD70" i="10"/>
  <c r="DD24" i="10" s="1"/>
  <c r="AK70" i="10"/>
  <c r="AK24" i="10" s="1"/>
  <c r="BL70" i="10"/>
  <c r="BL24" i="10" s="1"/>
  <c r="CG70" i="10"/>
  <c r="CG24" i="10" s="1"/>
  <c r="DE70" i="10"/>
  <c r="DE24" i="10" s="1"/>
  <c r="DY70" i="10"/>
  <c r="DY24" i="10" s="1"/>
  <c r="ES70" i="10"/>
  <c r="ES24" i="10" s="1"/>
  <c r="V70" i="10"/>
  <c r="V24" i="10" s="1"/>
  <c r="DN70" i="10"/>
  <c r="DN24" i="10" s="1"/>
  <c r="AD70" i="10"/>
  <c r="AD24" i="10" s="1"/>
  <c r="DB70" i="10"/>
  <c r="DB24" i="10" s="1"/>
  <c r="CM70" i="10"/>
  <c r="CM24" i="10" s="1"/>
  <c r="EJ70" i="10"/>
  <c r="EJ24" i="10" s="1"/>
  <c r="AP70" i="10"/>
  <c r="AP24" i="10" s="1"/>
  <c r="BQ70" i="10"/>
  <c r="BQ24" i="10" s="1"/>
  <c r="CO70" i="10"/>
  <c r="CO24" i="10" s="1"/>
  <c r="DI70" i="10"/>
  <c r="DI24" i="10" s="1"/>
  <c r="EC70" i="10"/>
  <c r="EC24" i="10" s="1"/>
  <c r="AW70" i="10"/>
  <c r="AW24" i="10" s="1"/>
  <c r="ET70" i="10"/>
  <c r="ET24" i="10" s="1"/>
  <c r="BB70" i="10"/>
  <c r="BB24" i="10" s="1"/>
  <c r="DR70" i="10"/>
  <c r="DR24" i="10" s="1"/>
  <c r="CW70" i="10"/>
  <c r="CW24" i="10" s="1"/>
  <c r="CX70" i="10"/>
  <c r="CX24" i="10" s="1"/>
  <c r="BZ70" i="10"/>
  <c r="BZ24" i="10" s="1"/>
  <c r="EL70" i="10"/>
  <c r="EL24" i="10" s="1"/>
  <c r="DJ70" i="10"/>
  <c r="DJ24" i="10" s="1"/>
  <c r="U70" i="10"/>
  <c r="U24" i="10" s="1"/>
  <c r="DU70" i="10"/>
  <c r="DU24" i="10" s="1"/>
  <c r="CP70" i="10"/>
  <c r="CP24" i="10" s="1"/>
  <c r="BF70" i="10"/>
  <c r="BF24" i="10" s="1"/>
  <c r="EO70" i="10"/>
  <c r="EO24" i="10" s="1"/>
  <c r="AL70" i="10"/>
  <c r="AL24" i="10" s="1"/>
  <c r="DF70" i="10"/>
  <c r="DF24" i="10" s="1"/>
  <c r="N70" i="10"/>
  <c r="N24" i="10" s="1"/>
  <c r="BM70" i="10"/>
  <c r="BM24" i="10" s="1"/>
  <c r="BX70" i="10"/>
  <c r="BX24" i="10" s="1"/>
  <c r="CC70" i="10"/>
  <c r="CC24" i="10" s="1"/>
  <c r="CL70" i="10"/>
  <c r="CL24" i="10" s="1"/>
  <c r="BH70" i="10"/>
  <c r="BH24" i="10" s="1"/>
  <c r="DV70" i="10"/>
  <c r="DV24" i="10" s="1"/>
  <c r="CT70" i="10"/>
  <c r="CT24" i="10" s="1"/>
  <c r="AR70" i="10"/>
  <c r="AR24" i="10" s="1"/>
  <c r="DZ70" i="10"/>
  <c r="DZ24" i="10" s="1"/>
  <c r="CD70" i="10"/>
  <c r="CD24" i="10" s="1"/>
  <c r="EP70" i="10"/>
  <c r="EP24" i="10" s="1"/>
  <c r="G70" i="10"/>
  <c r="G24" i="10" s="1"/>
  <c r="H70" i="10"/>
  <c r="H24" i="10" s="1"/>
  <c r="N70" i="15"/>
  <c r="N24" i="15" s="1"/>
  <c r="AD70" i="15"/>
  <c r="AD24" i="15" s="1"/>
  <c r="AT70" i="15"/>
  <c r="AT24" i="15" s="1"/>
  <c r="S70" i="15"/>
  <c r="S24" i="15" s="1"/>
  <c r="AI70" i="15"/>
  <c r="AI24" i="15" s="1"/>
  <c r="AY70" i="15"/>
  <c r="AY24" i="15" s="1"/>
  <c r="AJ70" i="15"/>
  <c r="AJ24" i="15" s="1"/>
  <c r="BI70" i="15"/>
  <c r="BI24" i="15" s="1"/>
  <c r="BY70" i="15"/>
  <c r="BY24" i="15" s="1"/>
  <c r="CO70" i="15"/>
  <c r="CO24" i="15" s="1"/>
  <c r="DE70" i="15"/>
  <c r="DE24" i="15" s="1"/>
  <c r="DU70" i="15"/>
  <c r="DU24" i="15" s="1"/>
  <c r="EK70" i="15"/>
  <c r="EK24" i="15" s="1"/>
  <c r="U70" i="15"/>
  <c r="BA70" i="15"/>
  <c r="BA24" i="15" s="1"/>
  <c r="BR70" i="15"/>
  <c r="BR24" i="15" s="1"/>
  <c r="CH70" i="15"/>
  <c r="CH24" i="15" s="1"/>
  <c r="CX70" i="15"/>
  <c r="CX24" i="15" s="1"/>
  <c r="DN70" i="15"/>
  <c r="DN24" i="15" s="1"/>
  <c r="ED70" i="15"/>
  <c r="ED24" i="15" s="1"/>
  <c r="H70" i="15"/>
  <c r="H24" i="15" s="1"/>
  <c r="AN70" i="15"/>
  <c r="AN24" i="15" s="1"/>
  <c r="BK70" i="15"/>
  <c r="BK24" i="15" s="1"/>
  <c r="CA70" i="15"/>
  <c r="CA24" i="15" s="1"/>
  <c r="CQ70" i="15"/>
  <c r="CQ24" i="15" s="1"/>
  <c r="DG70" i="15"/>
  <c r="DG24" i="15" s="1"/>
  <c r="DW70" i="15"/>
  <c r="DW24" i="15" s="1"/>
  <c r="EM70" i="15"/>
  <c r="EM24" i="15" s="1"/>
  <c r="I70" i="15"/>
  <c r="I24" i="15" s="1"/>
  <c r="AO70" i="15"/>
  <c r="AO24" i="15" s="1"/>
  <c r="BL70" i="15"/>
  <c r="BL24" i="15" s="1"/>
  <c r="CB70" i="15"/>
  <c r="CB24" i="15" s="1"/>
  <c r="CR70" i="15"/>
  <c r="CR24" i="15" s="1"/>
  <c r="DH70" i="15"/>
  <c r="DH24" i="15" s="1"/>
  <c r="DX70" i="15"/>
  <c r="DX24" i="15" s="1"/>
  <c r="EN70" i="15"/>
  <c r="EN24" i="15" s="1"/>
  <c r="R70" i="15"/>
  <c r="R24" i="15" s="1"/>
  <c r="AH70" i="15"/>
  <c r="AH24" i="15" s="1"/>
  <c r="AX70" i="15"/>
  <c r="AX24" i="15" s="1"/>
  <c r="W70" i="15"/>
  <c r="W24" i="15" s="1"/>
  <c r="AM70" i="15"/>
  <c r="AM24" i="15" s="1"/>
  <c r="BC70" i="15"/>
  <c r="BC24" i="15" s="1"/>
  <c r="L70" i="15"/>
  <c r="L24" i="15" s="1"/>
  <c r="AR70" i="15"/>
  <c r="AR24" i="15" s="1"/>
  <c r="BM70" i="15"/>
  <c r="BM24" i="15" s="1"/>
  <c r="CC70" i="15"/>
  <c r="CC24" i="15" s="1"/>
  <c r="CS70" i="15"/>
  <c r="CS24" i="15" s="1"/>
  <c r="DI70" i="15"/>
  <c r="DI24" i="15" s="1"/>
  <c r="DY70" i="15"/>
  <c r="DY24" i="15" s="1"/>
  <c r="EO70" i="15"/>
  <c r="EO24" i="15" s="1"/>
  <c r="AC70" i="15"/>
  <c r="AC24" i="15" s="1"/>
  <c r="BF70" i="15"/>
  <c r="BF24" i="15" s="1"/>
  <c r="BV70" i="15"/>
  <c r="BV24" i="15" s="1"/>
  <c r="CL70" i="15"/>
  <c r="CL24" i="15" s="1"/>
  <c r="DB70" i="15"/>
  <c r="DB24" i="15" s="1"/>
  <c r="DR70" i="15"/>
  <c r="DR24" i="15" s="1"/>
  <c r="EH70" i="15"/>
  <c r="EH24" i="15" s="1"/>
  <c r="P70" i="15"/>
  <c r="P24" i="15" s="1"/>
  <c r="AV70" i="15"/>
  <c r="AV24" i="15" s="1"/>
  <c r="BO70" i="15"/>
  <c r="BO24" i="15" s="1"/>
  <c r="CE70" i="15"/>
  <c r="CE24" i="15" s="1"/>
  <c r="CU70" i="15"/>
  <c r="CU24" i="15" s="1"/>
  <c r="DK70" i="15"/>
  <c r="DK24" i="15" s="1"/>
  <c r="EA70" i="15"/>
  <c r="EA24" i="15" s="1"/>
  <c r="EQ70" i="15"/>
  <c r="EQ24" i="15" s="1"/>
  <c r="Q70" i="15"/>
  <c r="Q24" i="15" s="1"/>
  <c r="AW70" i="15"/>
  <c r="AW24" i="15" s="1"/>
  <c r="BP70" i="15"/>
  <c r="BP24" i="15" s="1"/>
  <c r="CF70" i="15"/>
  <c r="CF24" i="15" s="1"/>
  <c r="CV70" i="15"/>
  <c r="CV24" i="15" s="1"/>
  <c r="DL70" i="15"/>
  <c r="DL24" i="15" s="1"/>
  <c r="EB70" i="15"/>
  <c r="EB24" i="15" s="1"/>
  <c r="ER70" i="15"/>
  <c r="ER24" i="15" s="1"/>
  <c r="V70" i="15"/>
  <c r="V24" i="15" s="1"/>
  <c r="AL70" i="15"/>
  <c r="AL24" i="15" s="1"/>
  <c r="K70" i="15"/>
  <c r="K24" i="15" s="1"/>
  <c r="AA70" i="15"/>
  <c r="AA24" i="15" s="1"/>
  <c r="AQ70" i="15"/>
  <c r="AQ24" i="15" s="1"/>
  <c r="T70" i="15"/>
  <c r="T24" i="15" s="1"/>
  <c r="AZ70" i="15"/>
  <c r="AZ24" i="15" s="1"/>
  <c r="BQ70" i="15"/>
  <c r="BQ24" i="15" s="1"/>
  <c r="CG70" i="15"/>
  <c r="CG24" i="15" s="1"/>
  <c r="CW70" i="15"/>
  <c r="CW24" i="15" s="1"/>
  <c r="DM70" i="15"/>
  <c r="DM24" i="15" s="1"/>
  <c r="EC70" i="15"/>
  <c r="EC24" i="15" s="1"/>
  <c r="ES70" i="15"/>
  <c r="ES24" i="15" s="1"/>
  <c r="AK70" i="15"/>
  <c r="AK24" i="15" s="1"/>
  <c r="BJ70" i="15"/>
  <c r="BJ24" i="15" s="1"/>
  <c r="BZ70" i="15"/>
  <c r="BZ24" i="15" s="1"/>
  <c r="CP70" i="15"/>
  <c r="CP24" i="15" s="1"/>
  <c r="DF70" i="15"/>
  <c r="DF24" i="15" s="1"/>
  <c r="DV70" i="15"/>
  <c r="DV24" i="15" s="1"/>
  <c r="X70" i="15"/>
  <c r="X24" i="15" s="1"/>
  <c r="BB70" i="15"/>
  <c r="BB24" i="15" s="1"/>
  <c r="BS70" i="15"/>
  <c r="BS24" i="15" s="1"/>
  <c r="CI70" i="15"/>
  <c r="CI24" i="15" s="1"/>
  <c r="CY70" i="15"/>
  <c r="CY24" i="15" s="1"/>
  <c r="DO70" i="15"/>
  <c r="DO24" i="15" s="1"/>
  <c r="EE70" i="15"/>
  <c r="EE24" i="15" s="1"/>
  <c r="Y70" i="15"/>
  <c r="Y24" i="15" s="1"/>
  <c r="BD70" i="15"/>
  <c r="BD24" i="15" s="1"/>
  <c r="BT70" i="15"/>
  <c r="BT24" i="15" s="1"/>
  <c r="CJ70" i="15"/>
  <c r="CJ24" i="15" s="1"/>
  <c r="CZ70" i="15"/>
  <c r="CZ24" i="15" s="1"/>
  <c r="DP70" i="15"/>
  <c r="DP24" i="15" s="1"/>
  <c r="EF70" i="15"/>
  <c r="EF24" i="15" s="1"/>
  <c r="J70" i="15"/>
  <c r="J24" i="15" s="1"/>
  <c r="Z70" i="15"/>
  <c r="Z24" i="15" s="1"/>
  <c r="AP70" i="15"/>
  <c r="AP24" i="15" s="1"/>
  <c r="O70" i="15"/>
  <c r="O24" i="15" s="1"/>
  <c r="AE70" i="15"/>
  <c r="AE24" i="15" s="1"/>
  <c r="AU70" i="15"/>
  <c r="AU24" i="15" s="1"/>
  <c r="AB70" i="15"/>
  <c r="AB24" i="15" s="1"/>
  <c r="BE70" i="15"/>
  <c r="BE24" i="15" s="1"/>
  <c r="BU70" i="15"/>
  <c r="BU24" i="15" s="1"/>
  <c r="CK70" i="15"/>
  <c r="CK24" i="15" s="1"/>
  <c r="DA70" i="15"/>
  <c r="DA24" i="15" s="1"/>
  <c r="DQ70" i="15"/>
  <c r="DQ24" i="15" s="1"/>
  <c r="EG70" i="15"/>
  <c r="EG24" i="15" s="1"/>
  <c r="M70" i="15"/>
  <c r="M24" i="15" s="1"/>
  <c r="AS70" i="15"/>
  <c r="AS24" i="15" s="1"/>
  <c r="BN70" i="15"/>
  <c r="BN24" i="15" s="1"/>
  <c r="CD70" i="15"/>
  <c r="CD24" i="15" s="1"/>
  <c r="CT70" i="15"/>
  <c r="CT24" i="15" s="1"/>
  <c r="DJ70" i="15"/>
  <c r="DJ24" i="15" s="1"/>
  <c r="DZ70" i="15"/>
  <c r="DZ24" i="15" s="1"/>
  <c r="AF70" i="15"/>
  <c r="AF24" i="15" s="1"/>
  <c r="BG70" i="15"/>
  <c r="BG24" i="15" s="1"/>
  <c r="BW70" i="15"/>
  <c r="BW24" i="15" s="1"/>
  <c r="CM70" i="15"/>
  <c r="CM24" i="15" s="1"/>
  <c r="DC70" i="15"/>
  <c r="DC24" i="15" s="1"/>
  <c r="DS70" i="15"/>
  <c r="DS24" i="15" s="1"/>
  <c r="EI70" i="15"/>
  <c r="EI24" i="15" s="1"/>
  <c r="AG70" i="15"/>
  <c r="AG24" i="15" s="1"/>
  <c r="BH70" i="15"/>
  <c r="BH24" i="15" s="1"/>
  <c r="BX70" i="15"/>
  <c r="BX24" i="15" s="1"/>
  <c r="CN70" i="15"/>
  <c r="CN24" i="15" s="1"/>
  <c r="DD70" i="15"/>
  <c r="DD24" i="15" s="1"/>
  <c r="DT70" i="15"/>
  <c r="DT24" i="15" s="1"/>
  <c r="EJ70" i="15"/>
  <c r="EJ24" i="15" s="1"/>
  <c r="EP70" i="15"/>
  <c r="EP24" i="15" s="1"/>
  <c r="ET70" i="15"/>
  <c r="ET24" i="15" s="1"/>
  <c r="EL70" i="15"/>
  <c r="EL24" i="15" s="1"/>
  <c r="G70" i="15"/>
  <c r="G24" i="15" s="1"/>
  <c r="F25" i="15"/>
  <c r="U24" i="15"/>
  <c r="F25" i="10"/>
  <c r="D76" i="2"/>
  <c r="AR37" i="5"/>
  <c r="C72" i="5" s="1"/>
  <c r="D72" i="5" l="1"/>
  <c r="S72" i="5"/>
  <c r="O72" i="5"/>
  <c r="K72" i="5"/>
  <c r="G72" i="5"/>
  <c r="P72" i="5"/>
  <c r="J72" i="5"/>
  <c r="E72" i="5"/>
  <c r="L72" i="5"/>
  <c r="T72" i="5"/>
  <c r="N72" i="5"/>
  <c r="I72" i="5"/>
  <c r="R72" i="5"/>
  <c r="M72" i="5"/>
  <c r="H72" i="5"/>
  <c r="Q72" i="5"/>
  <c r="F72" i="5"/>
  <c r="H76" i="2"/>
  <c r="L76" i="2"/>
  <c r="P76" i="2"/>
  <c r="T76" i="2"/>
  <c r="I76" i="2"/>
  <c r="M76" i="2"/>
  <c r="Q76" i="2"/>
  <c r="U76" i="2"/>
  <c r="J76" i="2"/>
  <c r="N76" i="2"/>
  <c r="R76" i="2"/>
  <c r="K76" i="2"/>
  <c r="O76" i="2"/>
  <c r="S76" i="2"/>
  <c r="D1735" i="12"/>
  <c r="F1734" i="12"/>
  <c r="E1734" i="12"/>
  <c r="EQ32" i="5"/>
  <c r="BF37" i="5"/>
  <c r="BC37" i="5"/>
  <c r="AR33" i="2"/>
  <c r="BB32" i="2"/>
  <c r="U71" i="10"/>
  <c r="U25" i="10" s="1"/>
  <c r="AK71" i="10"/>
  <c r="AK25" i="10" s="1"/>
  <c r="BA71" i="10"/>
  <c r="BA25" i="10" s="1"/>
  <c r="BQ71" i="10"/>
  <c r="BQ25" i="10" s="1"/>
  <c r="CG71" i="10"/>
  <c r="CG25" i="10" s="1"/>
  <c r="CW71" i="10"/>
  <c r="CW25" i="10" s="1"/>
  <c r="DM71" i="10"/>
  <c r="DM25" i="10" s="1"/>
  <c r="EC71" i="10"/>
  <c r="EC25" i="10" s="1"/>
  <c r="ES71" i="10"/>
  <c r="ES25" i="10" s="1"/>
  <c r="V71" i="10"/>
  <c r="V25" i="10" s="1"/>
  <c r="AL71" i="10"/>
  <c r="AL25" i="10" s="1"/>
  <c r="BB71" i="10"/>
  <c r="BB25" i="10" s="1"/>
  <c r="BR71" i="10"/>
  <c r="BR25" i="10" s="1"/>
  <c r="CH71" i="10"/>
  <c r="CH25" i="10" s="1"/>
  <c r="CX71" i="10"/>
  <c r="CX25" i="10" s="1"/>
  <c r="DN71" i="10"/>
  <c r="DN25" i="10" s="1"/>
  <c r="ED71" i="10"/>
  <c r="ED25" i="10" s="1"/>
  <c r="ET71" i="10"/>
  <c r="ET25" i="10" s="1"/>
  <c r="K71" i="10"/>
  <c r="K25" i="10" s="1"/>
  <c r="AA71" i="10"/>
  <c r="AA25" i="10" s="1"/>
  <c r="AQ71" i="10"/>
  <c r="AQ25" i="10" s="1"/>
  <c r="BG71" i="10"/>
  <c r="BG25" i="10" s="1"/>
  <c r="BW71" i="10"/>
  <c r="BW25" i="10" s="1"/>
  <c r="CM71" i="10"/>
  <c r="CM25" i="10" s="1"/>
  <c r="DC71" i="10"/>
  <c r="DC25" i="10" s="1"/>
  <c r="DS71" i="10"/>
  <c r="DS25" i="10" s="1"/>
  <c r="EI71" i="10"/>
  <c r="EI25" i="10" s="1"/>
  <c r="BD71" i="10"/>
  <c r="BD25" i="10" s="1"/>
  <c r="DP71" i="10"/>
  <c r="DP25" i="10" s="1"/>
  <c r="I71" i="10"/>
  <c r="I25" i="10" s="1"/>
  <c r="Y71" i="10"/>
  <c r="Y25" i="10" s="1"/>
  <c r="AO71" i="10"/>
  <c r="AO25" i="10" s="1"/>
  <c r="BE71" i="10"/>
  <c r="BE25" i="10" s="1"/>
  <c r="BU71" i="10"/>
  <c r="BU25" i="10" s="1"/>
  <c r="CK71" i="10"/>
  <c r="CK25" i="10" s="1"/>
  <c r="DA71" i="10"/>
  <c r="DA25" i="10" s="1"/>
  <c r="DQ71" i="10"/>
  <c r="DQ25" i="10" s="1"/>
  <c r="EG71" i="10"/>
  <c r="EG25" i="10" s="1"/>
  <c r="J71" i="10"/>
  <c r="J25" i="10" s="1"/>
  <c r="Z71" i="10"/>
  <c r="Z25" i="10" s="1"/>
  <c r="AP71" i="10"/>
  <c r="AP25" i="10" s="1"/>
  <c r="BF71" i="10"/>
  <c r="BF25" i="10" s="1"/>
  <c r="AG71" i="10"/>
  <c r="AG25" i="10" s="1"/>
  <c r="BM71" i="10"/>
  <c r="BM25" i="10" s="1"/>
  <c r="CS71" i="10"/>
  <c r="CS25" i="10" s="1"/>
  <c r="DY71" i="10"/>
  <c r="DY25" i="10" s="1"/>
  <c r="R71" i="10"/>
  <c r="R25" i="10" s="1"/>
  <c r="AX71" i="10"/>
  <c r="AX25" i="10" s="1"/>
  <c r="BZ71" i="10"/>
  <c r="BZ25" i="10" s="1"/>
  <c r="CT71" i="10"/>
  <c r="CT25" i="10" s="1"/>
  <c r="DR71" i="10"/>
  <c r="DR25" i="10" s="1"/>
  <c r="EL71" i="10"/>
  <c r="EL25" i="10" s="1"/>
  <c r="Q71" i="10"/>
  <c r="Q25" i="10" s="1"/>
  <c r="AW71" i="10"/>
  <c r="AW25" i="10" s="1"/>
  <c r="CC71" i="10"/>
  <c r="CC25" i="10" s="1"/>
  <c r="DI71" i="10"/>
  <c r="DI25" i="10" s="1"/>
  <c r="EO71" i="10"/>
  <c r="EO25" i="10" s="1"/>
  <c r="AH71" i="10"/>
  <c r="AH25" i="10" s="1"/>
  <c r="BN71" i="10"/>
  <c r="BN25" i="10" s="1"/>
  <c r="CL71" i="10"/>
  <c r="CL25" i="10" s="1"/>
  <c r="DF71" i="10"/>
  <c r="DF25" i="10" s="1"/>
  <c r="DZ71" i="10"/>
  <c r="DZ25" i="10" s="1"/>
  <c r="AC71" i="10"/>
  <c r="AC25" i="10" s="1"/>
  <c r="BI71" i="10"/>
  <c r="BI25" i="10" s="1"/>
  <c r="CO71" i="10"/>
  <c r="CO25" i="10" s="1"/>
  <c r="DU71" i="10"/>
  <c r="DU25" i="10" s="1"/>
  <c r="N71" i="10"/>
  <c r="N25" i="10" s="1"/>
  <c r="AT71" i="10"/>
  <c r="AT25" i="10" s="1"/>
  <c r="BV71" i="10"/>
  <c r="BV25" i="10" s="1"/>
  <c r="CP71" i="10"/>
  <c r="CP25" i="10" s="1"/>
  <c r="DJ71" i="10"/>
  <c r="DJ25" i="10" s="1"/>
  <c r="EH71" i="10"/>
  <c r="EH25" i="10" s="1"/>
  <c r="DE71" i="10"/>
  <c r="DE25" i="10" s="1"/>
  <c r="AD71" i="10"/>
  <c r="AD25" i="10" s="1"/>
  <c r="DV71" i="10"/>
  <c r="DV25" i="10" s="1"/>
  <c r="S71" i="10"/>
  <c r="S25" i="10" s="1"/>
  <c r="AM71" i="10"/>
  <c r="AM25" i="10" s="1"/>
  <c r="BK71" i="10"/>
  <c r="BK25" i="10" s="1"/>
  <c r="CE71" i="10"/>
  <c r="CE25" i="10" s="1"/>
  <c r="CY71" i="10"/>
  <c r="CY25" i="10" s="1"/>
  <c r="DW71" i="10"/>
  <c r="DW25" i="10" s="1"/>
  <c r="EQ71" i="10"/>
  <c r="EQ25" i="10" s="1"/>
  <c r="X71" i="10"/>
  <c r="X25" i="10" s="1"/>
  <c r="CZ71" i="10"/>
  <c r="CZ25" i="10" s="1"/>
  <c r="BH71" i="10"/>
  <c r="BH25" i="10" s="1"/>
  <c r="DT71" i="10"/>
  <c r="DT25" i="10" s="1"/>
  <c r="AS71" i="10"/>
  <c r="AS25" i="10" s="1"/>
  <c r="CD71" i="10"/>
  <c r="CD25" i="10" s="1"/>
  <c r="AE71" i="10"/>
  <c r="AE25" i="10" s="1"/>
  <c r="AY71" i="10"/>
  <c r="AY25" i="10" s="1"/>
  <c r="BS71" i="10"/>
  <c r="BS25" i="10" s="1"/>
  <c r="CQ71" i="10"/>
  <c r="CQ25" i="10" s="1"/>
  <c r="DK71" i="10"/>
  <c r="DK25" i="10" s="1"/>
  <c r="EE71" i="10"/>
  <c r="EE25" i="10" s="1"/>
  <c r="BT71" i="10"/>
  <c r="BT25" i="10" s="1"/>
  <c r="AB71" i="10"/>
  <c r="AB25" i="10" s="1"/>
  <c r="CN71" i="10"/>
  <c r="CN25" i="10" s="1"/>
  <c r="BY71" i="10"/>
  <c r="BY25" i="10" s="1"/>
  <c r="DB71" i="10"/>
  <c r="DB25" i="10" s="1"/>
  <c r="O71" i="10"/>
  <c r="O25" i="10" s="1"/>
  <c r="AI71" i="10"/>
  <c r="AI25" i="10" s="1"/>
  <c r="BC71" i="10"/>
  <c r="BC25" i="10" s="1"/>
  <c r="CA71" i="10"/>
  <c r="CA25" i="10" s="1"/>
  <c r="CU71" i="10"/>
  <c r="CU25" i="10" s="1"/>
  <c r="DO71" i="10"/>
  <c r="DO25" i="10" s="1"/>
  <c r="EM71" i="10"/>
  <c r="EM25" i="10" s="1"/>
  <c r="CJ71" i="10"/>
  <c r="CJ25" i="10" s="1"/>
  <c r="AR71" i="10"/>
  <c r="AR25" i="10" s="1"/>
  <c r="DD71" i="10"/>
  <c r="DD25" i="10" s="1"/>
  <c r="BJ71" i="10"/>
  <c r="BJ25" i="10" s="1"/>
  <c r="AU71" i="10"/>
  <c r="AU25" i="10" s="1"/>
  <c r="EA71" i="10"/>
  <c r="EA25" i="10" s="1"/>
  <c r="L71" i="10"/>
  <c r="L25" i="10" s="1"/>
  <c r="BL71" i="10"/>
  <c r="BL25" i="10" s="1"/>
  <c r="DX71" i="10"/>
  <c r="DX25" i="10" s="1"/>
  <c r="T71" i="10"/>
  <c r="T25" i="10" s="1"/>
  <c r="EP71" i="10"/>
  <c r="EP25" i="10" s="1"/>
  <c r="BO71" i="10"/>
  <c r="BO25" i="10" s="1"/>
  <c r="AN71" i="10"/>
  <c r="AN25" i="10" s="1"/>
  <c r="BX71" i="10"/>
  <c r="BX25" i="10" s="1"/>
  <c r="P71" i="10"/>
  <c r="P25" i="10" s="1"/>
  <c r="CB71" i="10"/>
  <c r="CB25" i="10" s="1"/>
  <c r="EN71" i="10"/>
  <c r="EN25" i="10" s="1"/>
  <c r="CF71" i="10"/>
  <c r="CF25" i="10" s="1"/>
  <c r="AJ71" i="10"/>
  <c r="AJ25" i="10" s="1"/>
  <c r="M71" i="10"/>
  <c r="M25" i="10" s="1"/>
  <c r="CI71" i="10"/>
  <c r="CI25" i="10" s="1"/>
  <c r="EF71" i="10"/>
  <c r="EF25" i="10" s="1"/>
  <c r="EJ71" i="10"/>
  <c r="EJ25" i="10" s="1"/>
  <c r="AF71" i="10"/>
  <c r="AF25" i="10" s="1"/>
  <c r="CR71" i="10"/>
  <c r="CR25" i="10" s="1"/>
  <c r="ER71" i="10"/>
  <c r="ER25" i="10" s="1"/>
  <c r="CV71" i="10"/>
  <c r="CV25" i="10" s="1"/>
  <c r="EK71" i="10"/>
  <c r="EK25" i="10" s="1"/>
  <c r="W71" i="10"/>
  <c r="W25" i="10" s="1"/>
  <c r="DG71" i="10"/>
  <c r="DG25" i="10" s="1"/>
  <c r="AV71" i="10"/>
  <c r="AV25" i="10" s="1"/>
  <c r="DH71" i="10"/>
  <c r="DH25" i="10" s="1"/>
  <c r="AZ71" i="10"/>
  <c r="AZ25" i="10" s="1"/>
  <c r="DL71" i="10"/>
  <c r="DL25" i="10" s="1"/>
  <c r="BP71" i="10"/>
  <c r="BP25" i="10" s="1"/>
  <c r="EB71" i="10"/>
  <c r="EB25" i="10" s="1"/>
  <c r="H71" i="10"/>
  <c r="H25" i="10" s="1"/>
  <c r="G71" i="10"/>
  <c r="G25" i="10" s="1"/>
  <c r="N71" i="15"/>
  <c r="N25" i="15" s="1"/>
  <c r="AD71" i="15"/>
  <c r="AD25" i="15" s="1"/>
  <c r="AT71" i="15"/>
  <c r="AT25" i="15" s="1"/>
  <c r="BJ71" i="15"/>
  <c r="BJ25" i="15" s="1"/>
  <c r="BZ71" i="15"/>
  <c r="BZ25" i="15" s="1"/>
  <c r="CP71" i="15"/>
  <c r="CP25" i="15" s="1"/>
  <c r="DF71" i="15"/>
  <c r="DF25" i="15" s="1"/>
  <c r="DV71" i="15"/>
  <c r="DV25" i="15" s="1"/>
  <c r="EL71" i="15"/>
  <c r="EL25" i="15" s="1"/>
  <c r="P71" i="15"/>
  <c r="P25" i="15" s="1"/>
  <c r="AF71" i="15"/>
  <c r="AF25" i="15" s="1"/>
  <c r="AV71" i="15"/>
  <c r="AV25" i="15" s="1"/>
  <c r="BL71" i="15"/>
  <c r="BL25" i="15" s="1"/>
  <c r="CB71" i="15"/>
  <c r="CB25" i="15" s="1"/>
  <c r="CR71" i="15"/>
  <c r="CR25" i="15" s="1"/>
  <c r="DH71" i="15"/>
  <c r="DH25" i="15" s="1"/>
  <c r="DX71" i="15"/>
  <c r="DX25" i="15" s="1"/>
  <c r="EN71" i="15"/>
  <c r="EN25" i="15" s="1"/>
  <c r="Q71" i="15"/>
  <c r="Q25" i="15" s="1"/>
  <c r="AG71" i="15"/>
  <c r="AG25" i="15" s="1"/>
  <c r="AW71" i="15"/>
  <c r="AW25" i="15" s="1"/>
  <c r="R71" i="15"/>
  <c r="R25" i="15" s="1"/>
  <c r="AH71" i="15"/>
  <c r="AH25" i="15" s="1"/>
  <c r="AX71" i="15"/>
  <c r="AX25" i="15" s="1"/>
  <c r="BN71" i="15"/>
  <c r="BN25" i="15" s="1"/>
  <c r="CD71" i="15"/>
  <c r="CD25" i="15" s="1"/>
  <c r="CT71" i="15"/>
  <c r="CT25" i="15" s="1"/>
  <c r="DJ71" i="15"/>
  <c r="DJ25" i="15" s="1"/>
  <c r="DZ71" i="15"/>
  <c r="DZ25" i="15" s="1"/>
  <c r="EP71" i="15"/>
  <c r="EP25" i="15" s="1"/>
  <c r="T71" i="15"/>
  <c r="T25" i="15" s="1"/>
  <c r="AJ71" i="15"/>
  <c r="AJ25" i="15" s="1"/>
  <c r="AZ71" i="15"/>
  <c r="AZ25" i="15" s="1"/>
  <c r="BP71" i="15"/>
  <c r="BP25" i="15" s="1"/>
  <c r="CF71" i="15"/>
  <c r="CF25" i="15" s="1"/>
  <c r="CV71" i="15"/>
  <c r="CV25" i="15" s="1"/>
  <c r="DL71" i="15"/>
  <c r="DL25" i="15" s="1"/>
  <c r="EB71" i="15"/>
  <c r="EB25" i="15" s="1"/>
  <c r="ER71" i="15"/>
  <c r="ER25" i="15" s="1"/>
  <c r="U71" i="15"/>
  <c r="U25" i="15" s="1"/>
  <c r="AK71" i="15"/>
  <c r="AK25" i="15" s="1"/>
  <c r="BA71" i="15"/>
  <c r="BA25" i="15" s="1"/>
  <c r="BQ71" i="15"/>
  <c r="BQ25" i="15" s="1"/>
  <c r="CG71" i="15"/>
  <c r="CG25" i="15" s="1"/>
  <c r="CW71" i="15"/>
  <c r="CW25" i="15" s="1"/>
  <c r="DM71" i="15"/>
  <c r="DM25" i="15" s="1"/>
  <c r="V71" i="15"/>
  <c r="V25" i="15" s="1"/>
  <c r="AL71" i="15"/>
  <c r="AL25" i="15" s="1"/>
  <c r="BB71" i="15"/>
  <c r="BB25" i="15" s="1"/>
  <c r="BR71" i="15"/>
  <c r="BR25" i="15" s="1"/>
  <c r="CH71" i="15"/>
  <c r="CH25" i="15" s="1"/>
  <c r="CX71" i="15"/>
  <c r="CX25" i="15" s="1"/>
  <c r="DN71" i="15"/>
  <c r="DN25" i="15" s="1"/>
  <c r="ED71" i="15"/>
  <c r="ED25" i="15" s="1"/>
  <c r="ET71" i="15"/>
  <c r="ET25" i="15" s="1"/>
  <c r="H71" i="15"/>
  <c r="H25" i="15" s="1"/>
  <c r="X71" i="15"/>
  <c r="X25" i="15" s="1"/>
  <c r="AN71" i="15"/>
  <c r="AN25" i="15" s="1"/>
  <c r="BD71" i="15"/>
  <c r="BD25" i="15" s="1"/>
  <c r="BT71" i="15"/>
  <c r="BT25" i="15" s="1"/>
  <c r="CJ71" i="15"/>
  <c r="CJ25" i="15" s="1"/>
  <c r="CZ71" i="15"/>
  <c r="CZ25" i="15" s="1"/>
  <c r="DP71" i="15"/>
  <c r="DP25" i="15" s="1"/>
  <c r="EF71" i="15"/>
  <c r="EF25" i="15" s="1"/>
  <c r="I71" i="15"/>
  <c r="I25" i="15" s="1"/>
  <c r="Y71" i="15"/>
  <c r="Y25" i="15" s="1"/>
  <c r="AO71" i="15"/>
  <c r="AO25" i="15" s="1"/>
  <c r="BE71" i="15"/>
  <c r="BE25" i="15" s="1"/>
  <c r="BU71" i="15"/>
  <c r="BU25" i="15" s="1"/>
  <c r="J71" i="15"/>
  <c r="J25" i="15" s="1"/>
  <c r="Z71" i="15"/>
  <c r="Z25" i="15" s="1"/>
  <c r="AP71" i="15"/>
  <c r="AP25" i="15" s="1"/>
  <c r="BF71" i="15"/>
  <c r="BF25" i="15" s="1"/>
  <c r="BV71" i="15"/>
  <c r="BV25" i="15" s="1"/>
  <c r="CL71" i="15"/>
  <c r="CL25" i="15" s="1"/>
  <c r="DB71" i="15"/>
  <c r="DB25" i="15" s="1"/>
  <c r="DR71" i="15"/>
  <c r="DR25" i="15" s="1"/>
  <c r="EH71" i="15"/>
  <c r="EH25" i="15" s="1"/>
  <c r="L71" i="15"/>
  <c r="L25" i="15" s="1"/>
  <c r="AB71" i="15"/>
  <c r="AB25" i="15" s="1"/>
  <c r="AR71" i="15"/>
  <c r="AR25" i="15" s="1"/>
  <c r="BH71" i="15"/>
  <c r="BH25" i="15" s="1"/>
  <c r="BX71" i="15"/>
  <c r="BX25" i="15" s="1"/>
  <c r="CN71" i="15"/>
  <c r="CN25" i="15" s="1"/>
  <c r="DD71" i="15"/>
  <c r="DD25" i="15" s="1"/>
  <c r="DT71" i="15"/>
  <c r="DT25" i="15" s="1"/>
  <c r="EJ71" i="15"/>
  <c r="EJ25" i="15" s="1"/>
  <c r="M71" i="15"/>
  <c r="M25" i="15" s="1"/>
  <c r="AC71" i="15"/>
  <c r="AC25" i="15" s="1"/>
  <c r="AS71" i="15"/>
  <c r="AS25" i="15" s="1"/>
  <c r="BI71" i="15"/>
  <c r="BI25" i="15" s="1"/>
  <c r="BY71" i="15"/>
  <c r="BY25" i="15" s="1"/>
  <c r="BM71" i="15"/>
  <c r="BM25" i="15" s="1"/>
  <c r="CS71" i="15"/>
  <c r="CS25" i="15" s="1"/>
  <c r="DQ71" i="15"/>
  <c r="DQ25" i="15" s="1"/>
  <c r="EG71" i="15"/>
  <c r="EG25" i="15" s="1"/>
  <c r="AE71" i="15"/>
  <c r="AE25" i="15" s="1"/>
  <c r="CQ71" i="15"/>
  <c r="CQ25" i="15" s="1"/>
  <c r="BO71" i="15"/>
  <c r="BO25" i="15" s="1"/>
  <c r="EA71" i="15"/>
  <c r="EA25" i="15" s="1"/>
  <c r="BS71" i="15"/>
  <c r="BS25" i="15" s="1"/>
  <c r="EE71" i="15"/>
  <c r="EE25" i="15" s="1"/>
  <c r="AQ71" i="15"/>
  <c r="AQ25" i="15" s="1"/>
  <c r="DC71" i="15"/>
  <c r="DC25" i="15" s="1"/>
  <c r="CC71" i="15"/>
  <c r="CC25" i="15" s="1"/>
  <c r="DA71" i="15"/>
  <c r="DA25" i="15" s="1"/>
  <c r="DU71" i="15"/>
  <c r="DU25" i="15" s="1"/>
  <c r="EK71" i="15"/>
  <c r="EK25" i="15" s="1"/>
  <c r="AU71" i="15"/>
  <c r="AU25" i="15" s="1"/>
  <c r="DG71" i="15"/>
  <c r="DG25" i="15" s="1"/>
  <c r="S71" i="15"/>
  <c r="S25" i="15" s="1"/>
  <c r="CE71" i="15"/>
  <c r="CE25" i="15" s="1"/>
  <c r="EQ71" i="15"/>
  <c r="EQ25" i="15" s="1"/>
  <c r="W71" i="15"/>
  <c r="W25" i="15" s="1"/>
  <c r="CI71" i="15"/>
  <c r="CI25" i="15" s="1"/>
  <c r="BG71" i="15"/>
  <c r="BG25" i="15" s="1"/>
  <c r="DS71" i="15"/>
  <c r="DS25" i="15" s="1"/>
  <c r="CK71" i="15"/>
  <c r="CK25" i="15" s="1"/>
  <c r="DE71" i="15"/>
  <c r="DE25" i="15" s="1"/>
  <c r="DY71" i="15"/>
  <c r="DY25" i="15" s="1"/>
  <c r="EO71" i="15"/>
  <c r="EO25" i="15" s="1"/>
  <c r="BK71" i="15"/>
  <c r="BK25" i="15" s="1"/>
  <c r="DW71" i="15"/>
  <c r="DW25" i="15" s="1"/>
  <c r="AI71" i="15"/>
  <c r="AI25" i="15" s="1"/>
  <c r="CU71" i="15"/>
  <c r="CU25" i="15" s="1"/>
  <c r="AM71" i="15"/>
  <c r="AM25" i="15" s="1"/>
  <c r="CY71" i="15"/>
  <c r="CY25" i="15" s="1"/>
  <c r="K71" i="15"/>
  <c r="K25" i="15" s="1"/>
  <c r="BW71" i="15"/>
  <c r="BW25" i="15" s="1"/>
  <c r="EI71" i="15"/>
  <c r="EI25" i="15" s="1"/>
  <c r="CO71" i="15"/>
  <c r="CO25" i="15" s="1"/>
  <c r="DI71" i="15"/>
  <c r="DI25" i="15" s="1"/>
  <c r="EC71" i="15"/>
  <c r="EC25" i="15" s="1"/>
  <c r="ES71" i="15"/>
  <c r="ES25" i="15" s="1"/>
  <c r="O71" i="15"/>
  <c r="O25" i="15" s="1"/>
  <c r="CA71" i="15"/>
  <c r="CA25" i="15" s="1"/>
  <c r="EM71" i="15"/>
  <c r="EM25" i="15" s="1"/>
  <c r="AY71" i="15"/>
  <c r="AY25" i="15" s="1"/>
  <c r="DK71" i="15"/>
  <c r="DK25" i="15" s="1"/>
  <c r="BC71" i="15"/>
  <c r="BC25" i="15" s="1"/>
  <c r="DO71" i="15"/>
  <c r="DO25" i="15" s="1"/>
  <c r="AA71" i="15"/>
  <c r="AA25" i="15" s="1"/>
  <c r="CM71" i="15"/>
  <c r="CM25" i="15" s="1"/>
  <c r="G71" i="15"/>
  <c r="G25" i="15" s="1"/>
  <c r="F26" i="15"/>
  <c r="F26" i="10"/>
  <c r="D77" i="2"/>
  <c r="AR38" i="5"/>
  <c r="C73" i="5" s="1"/>
  <c r="D73" i="5" l="1"/>
  <c r="S73" i="5"/>
  <c r="O73" i="5"/>
  <c r="K73" i="5"/>
  <c r="G73" i="5"/>
  <c r="P73" i="5"/>
  <c r="J73" i="5"/>
  <c r="E73" i="5"/>
  <c r="Q73" i="5"/>
  <c r="F73" i="5"/>
  <c r="T73" i="5"/>
  <c r="N73" i="5"/>
  <c r="I73" i="5"/>
  <c r="M73" i="5"/>
  <c r="H73" i="5"/>
  <c r="L73" i="5"/>
  <c r="R73" i="5"/>
  <c r="H77" i="2"/>
  <c r="K77" i="2"/>
  <c r="O77" i="2"/>
  <c r="S77" i="2"/>
  <c r="L77" i="2"/>
  <c r="P77" i="2"/>
  <c r="T77" i="2"/>
  <c r="I77" i="2"/>
  <c r="M77" i="2"/>
  <c r="Q77" i="2"/>
  <c r="U77" i="2"/>
  <c r="J77" i="2"/>
  <c r="N77" i="2"/>
  <c r="R77" i="2"/>
  <c r="D1736" i="12"/>
  <c r="F1735" i="12"/>
  <c r="E1735" i="12"/>
  <c r="EQ33" i="5"/>
  <c r="BF38" i="5"/>
  <c r="BC38" i="5"/>
  <c r="AR34" i="2"/>
  <c r="BB33" i="2"/>
  <c r="W72" i="10"/>
  <c r="W26" i="10" s="1"/>
  <c r="AM72" i="10"/>
  <c r="AM26" i="10" s="1"/>
  <c r="BC72" i="10"/>
  <c r="BC26" i="10" s="1"/>
  <c r="BS72" i="10"/>
  <c r="BS26" i="10" s="1"/>
  <c r="CI72" i="10"/>
  <c r="CI26" i="10" s="1"/>
  <c r="CY72" i="10"/>
  <c r="CY26" i="10" s="1"/>
  <c r="DO72" i="10"/>
  <c r="DO26" i="10" s="1"/>
  <c r="EE72" i="10"/>
  <c r="EE26" i="10" s="1"/>
  <c r="X72" i="10"/>
  <c r="X26" i="10" s="1"/>
  <c r="AN72" i="10"/>
  <c r="AN26" i="10" s="1"/>
  <c r="BD72" i="10"/>
  <c r="BD26" i="10" s="1"/>
  <c r="BT72" i="10"/>
  <c r="BT26" i="10" s="1"/>
  <c r="CJ72" i="10"/>
  <c r="CJ26" i="10" s="1"/>
  <c r="CZ72" i="10"/>
  <c r="CZ26" i="10" s="1"/>
  <c r="DP72" i="10"/>
  <c r="DP26" i="10" s="1"/>
  <c r="EF72" i="10"/>
  <c r="EF26" i="10" s="1"/>
  <c r="M72" i="10"/>
  <c r="M26" i="10" s="1"/>
  <c r="AC72" i="10"/>
  <c r="AC26" i="10" s="1"/>
  <c r="AS72" i="10"/>
  <c r="AS26" i="10" s="1"/>
  <c r="BI72" i="10"/>
  <c r="BI26" i="10" s="1"/>
  <c r="BY72" i="10"/>
  <c r="BY26" i="10" s="1"/>
  <c r="CO72" i="10"/>
  <c r="CO26" i="10" s="1"/>
  <c r="DE72" i="10"/>
  <c r="DE26" i="10" s="1"/>
  <c r="DU72" i="10"/>
  <c r="DU26" i="10" s="1"/>
  <c r="EK72" i="10"/>
  <c r="EK26" i="10" s="1"/>
  <c r="AP72" i="10"/>
  <c r="AP26" i="10" s="1"/>
  <c r="DB72" i="10"/>
  <c r="DB26" i="10" s="1"/>
  <c r="K72" i="10"/>
  <c r="K26" i="10" s="1"/>
  <c r="AA72" i="10"/>
  <c r="AA26" i="10" s="1"/>
  <c r="AQ72" i="10"/>
  <c r="AQ26" i="10" s="1"/>
  <c r="BG72" i="10"/>
  <c r="BG26" i="10" s="1"/>
  <c r="BW72" i="10"/>
  <c r="BW26" i="10" s="1"/>
  <c r="CM72" i="10"/>
  <c r="CM26" i="10" s="1"/>
  <c r="DC72" i="10"/>
  <c r="DC26" i="10" s="1"/>
  <c r="DS72" i="10"/>
  <c r="DS26" i="10" s="1"/>
  <c r="EI72" i="10"/>
  <c r="EI26" i="10" s="1"/>
  <c r="S72" i="10"/>
  <c r="S26" i="10" s="1"/>
  <c r="AY72" i="10"/>
  <c r="AY26" i="10" s="1"/>
  <c r="CE72" i="10"/>
  <c r="CE26" i="10" s="1"/>
  <c r="DK72" i="10"/>
  <c r="DK26" i="10" s="1"/>
  <c r="EQ72" i="10"/>
  <c r="EQ26" i="10" s="1"/>
  <c r="T72" i="10"/>
  <c r="T26" i="10" s="1"/>
  <c r="AI72" i="10"/>
  <c r="AI26" i="10" s="1"/>
  <c r="BO72" i="10"/>
  <c r="BO26" i="10" s="1"/>
  <c r="CU72" i="10"/>
  <c r="CU26" i="10" s="1"/>
  <c r="EA72" i="10"/>
  <c r="EA26" i="10" s="1"/>
  <c r="L72" i="10"/>
  <c r="L26" i="10" s="1"/>
  <c r="AF72" i="10"/>
  <c r="AF26" i="10" s="1"/>
  <c r="AZ72" i="10"/>
  <c r="AZ26" i="10" s="1"/>
  <c r="BX72" i="10"/>
  <c r="BX26" i="10" s="1"/>
  <c r="CR72" i="10"/>
  <c r="CR26" i="10" s="1"/>
  <c r="DL72" i="10"/>
  <c r="DL26" i="10" s="1"/>
  <c r="EJ72" i="10"/>
  <c r="EJ26" i="10" s="1"/>
  <c r="O72" i="10"/>
  <c r="O26" i="10" s="1"/>
  <c r="AU72" i="10"/>
  <c r="AU26" i="10" s="1"/>
  <c r="CA72" i="10"/>
  <c r="CA26" i="10" s="1"/>
  <c r="DG72" i="10"/>
  <c r="DG26" i="10" s="1"/>
  <c r="EM72" i="10"/>
  <c r="EM26" i="10" s="1"/>
  <c r="P72" i="10"/>
  <c r="P26" i="10" s="1"/>
  <c r="AJ72" i="10"/>
  <c r="AJ26" i="10" s="1"/>
  <c r="BH72" i="10"/>
  <c r="BH26" i="10" s="1"/>
  <c r="CB72" i="10"/>
  <c r="CB26" i="10" s="1"/>
  <c r="CV72" i="10"/>
  <c r="CV26" i="10" s="1"/>
  <c r="DT72" i="10"/>
  <c r="DT26" i="10" s="1"/>
  <c r="EN72" i="10"/>
  <c r="EN26" i="10" s="1"/>
  <c r="CQ72" i="10"/>
  <c r="CQ26" i="10" s="1"/>
  <c r="AV72" i="10"/>
  <c r="AV26" i="10" s="1"/>
  <c r="CN72" i="10"/>
  <c r="CN26" i="10" s="1"/>
  <c r="EB72" i="10"/>
  <c r="EB26" i="10" s="1"/>
  <c r="Y72" i="10"/>
  <c r="Y26" i="10" s="1"/>
  <c r="AW72" i="10"/>
  <c r="AW26" i="10" s="1"/>
  <c r="BQ72" i="10"/>
  <c r="BQ26" i="10" s="1"/>
  <c r="CK72" i="10"/>
  <c r="CK26" i="10" s="1"/>
  <c r="DI72" i="10"/>
  <c r="DI26" i="10" s="1"/>
  <c r="EC72" i="10"/>
  <c r="EC26" i="10" s="1"/>
  <c r="BF72" i="10"/>
  <c r="BF26" i="10" s="1"/>
  <c r="EH72" i="10"/>
  <c r="EH26" i="10" s="1"/>
  <c r="AT72" i="10"/>
  <c r="AT26" i="10" s="1"/>
  <c r="DF72" i="10"/>
  <c r="DF26" i="10" s="1"/>
  <c r="AE72" i="10"/>
  <c r="AE26" i="10" s="1"/>
  <c r="AB72" i="10"/>
  <c r="AB26" i="10" s="1"/>
  <c r="BP72" i="10"/>
  <c r="BP26" i="10" s="1"/>
  <c r="DH72" i="10"/>
  <c r="DH26" i="10" s="1"/>
  <c r="Q72" i="10"/>
  <c r="Q26" i="10" s="1"/>
  <c r="AK72" i="10"/>
  <c r="AK26" i="10" s="1"/>
  <c r="BE72" i="10"/>
  <c r="BE26" i="10" s="1"/>
  <c r="CC72" i="10"/>
  <c r="CC26" i="10" s="1"/>
  <c r="CW72" i="10"/>
  <c r="CW26" i="10" s="1"/>
  <c r="DQ72" i="10"/>
  <c r="DQ26" i="10" s="1"/>
  <c r="EO72" i="10"/>
  <c r="EO26" i="10" s="1"/>
  <c r="J72" i="10"/>
  <c r="J26" i="10" s="1"/>
  <c r="CL72" i="10"/>
  <c r="CL26" i="10" s="1"/>
  <c r="N72" i="10"/>
  <c r="N26" i="10" s="1"/>
  <c r="BZ72" i="10"/>
  <c r="BZ26" i="10" s="1"/>
  <c r="EL72" i="10"/>
  <c r="EL26" i="10" s="1"/>
  <c r="BK72" i="10"/>
  <c r="BK26" i="10" s="1"/>
  <c r="AR72" i="10"/>
  <c r="AR26" i="10" s="1"/>
  <c r="CF72" i="10"/>
  <c r="CF26" i="10" s="1"/>
  <c r="DX72" i="10"/>
  <c r="DX26" i="10" s="1"/>
  <c r="U72" i="10"/>
  <c r="U26" i="10" s="1"/>
  <c r="AO72" i="10"/>
  <c r="AO26" i="10" s="1"/>
  <c r="BM72" i="10"/>
  <c r="BM26" i="10" s="1"/>
  <c r="CG72" i="10"/>
  <c r="CG26" i="10" s="1"/>
  <c r="DA72" i="10"/>
  <c r="DA26" i="10" s="1"/>
  <c r="DY72" i="10"/>
  <c r="DY26" i="10" s="1"/>
  <c r="ES72" i="10"/>
  <c r="ES26" i="10" s="1"/>
  <c r="Z72" i="10"/>
  <c r="Z26" i="10" s="1"/>
  <c r="DR72" i="10"/>
  <c r="DR26" i="10" s="1"/>
  <c r="AD72" i="10"/>
  <c r="AD26" i="10" s="1"/>
  <c r="CP72" i="10"/>
  <c r="CP26" i="10" s="1"/>
  <c r="DW72" i="10"/>
  <c r="DW26" i="10" s="1"/>
  <c r="ER72" i="10"/>
  <c r="ER26" i="10" s="1"/>
  <c r="BU72" i="10"/>
  <c r="BU26" i="10" s="1"/>
  <c r="DV72" i="10"/>
  <c r="DV26" i="10" s="1"/>
  <c r="AX72" i="10"/>
  <c r="AX26" i="10" s="1"/>
  <c r="DJ72" i="10"/>
  <c r="DJ26" i="10" s="1"/>
  <c r="ED72" i="10"/>
  <c r="ED26" i="10" s="1"/>
  <c r="CH72" i="10"/>
  <c r="CH26" i="10" s="1"/>
  <c r="AL72" i="10"/>
  <c r="AL26" i="10" s="1"/>
  <c r="I72" i="10"/>
  <c r="I26" i="10" s="1"/>
  <c r="CS72" i="10"/>
  <c r="CS26" i="10" s="1"/>
  <c r="BN72" i="10"/>
  <c r="BN26" i="10" s="1"/>
  <c r="DZ72" i="10"/>
  <c r="DZ26" i="10" s="1"/>
  <c r="ET72" i="10"/>
  <c r="ET26" i="10" s="1"/>
  <c r="BL72" i="10"/>
  <c r="BL26" i="10" s="1"/>
  <c r="AG72" i="10"/>
  <c r="AG26" i="10" s="1"/>
  <c r="DM72" i="10"/>
  <c r="DM26" i="10" s="1"/>
  <c r="R72" i="10"/>
  <c r="R26" i="10" s="1"/>
  <c r="CD72" i="10"/>
  <c r="CD26" i="10" s="1"/>
  <c r="EP72" i="10"/>
  <c r="EP26" i="10" s="1"/>
  <c r="DD72" i="10"/>
  <c r="DD26" i="10" s="1"/>
  <c r="BA72" i="10"/>
  <c r="BA26" i="10" s="1"/>
  <c r="EG72" i="10"/>
  <c r="EG26" i="10" s="1"/>
  <c r="BV72" i="10"/>
  <c r="BV26" i="10" s="1"/>
  <c r="BJ72" i="10"/>
  <c r="BJ26" i="10" s="1"/>
  <c r="AH72" i="10"/>
  <c r="AH26" i="10" s="1"/>
  <c r="CT72" i="10"/>
  <c r="CT26" i="10" s="1"/>
  <c r="BR72" i="10"/>
  <c r="BR26" i="10" s="1"/>
  <c r="V72" i="10"/>
  <c r="V26" i="10" s="1"/>
  <c r="BB72" i="10"/>
  <c r="BB26" i="10" s="1"/>
  <c r="CX72" i="10"/>
  <c r="CX26" i="10" s="1"/>
  <c r="DN72" i="10"/>
  <c r="DN26" i="10" s="1"/>
  <c r="G72" i="10"/>
  <c r="G26" i="10" s="1"/>
  <c r="H72" i="10"/>
  <c r="H26" i="10" s="1"/>
  <c r="O72" i="15"/>
  <c r="O26" i="15" s="1"/>
  <c r="AE72" i="15"/>
  <c r="AE26" i="15" s="1"/>
  <c r="AU72" i="15"/>
  <c r="AU26" i="15" s="1"/>
  <c r="BK72" i="15"/>
  <c r="BK26" i="15" s="1"/>
  <c r="Q72" i="15"/>
  <c r="Q26" i="15" s="1"/>
  <c r="AG72" i="15"/>
  <c r="AG26" i="15" s="1"/>
  <c r="AW72" i="15"/>
  <c r="AW26" i="15" s="1"/>
  <c r="BM72" i="15"/>
  <c r="BM26" i="15" s="1"/>
  <c r="CC72" i="15"/>
  <c r="CC26" i="15" s="1"/>
  <c r="CS72" i="15"/>
  <c r="CS26" i="15" s="1"/>
  <c r="DI72" i="15"/>
  <c r="DI26" i="15" s="1"/>
  <c r="DY72" i="15"/>
  <c r="DY26" i="15" s="1"/>
  <c r="EO72" i="15"/>
  <c r="EO26" i="15" s="1"/>
  <c r="S72" i="15"/>
  <c r="S26" i="15" s="1"/>
  <c r="AI72" i="15"/>
  <c r="AI26" i="15" s="1"/>
  <c r="AY72" i="15"/>
  <c r="AY26" i="15" s="1"/>
  <c r="BO72" i="15"/>
  <c r="BO26" i="15" s="1"/>
  <c r="U72" i="15"/>
  <c r="U26" i="15" s="1"/>
  <c r="AK72" i="15"/>
  <c r="AK26" i="15" s="1"/>
  <c r="BA72" i="15"/>
  <c r="BA26" i="15" s="1"/>
  <c r="BQ72" i="15"/>
  <c r="BQ26" i="15" s="1"/>
  <c r="CG72" i="15"/>
  <c r="CG26" i="15" s="1"/>
  <c r="CW72" i="15"/>
  <c r="CW26" i="15" s="1"/>
  <c r="DM72" i="15"/>
  <c r="DM26" i="15" s="1"/>
  <c r="EC72" i="15"/>
  <c r="EC26" i="15" s="1"/>
  <c r="ES72" i="15"/>
  <c r="ES26" i="15" s="1"/>
  <c r="W72" i="15"/>
  <c r="W26" i="15" s="1"/>
  <c r="AM72" i="15"/>
  <c r="AM26" i="15" s="1"/>
  <c r="BC72" i="15"/>
  <c r="BC26" i="15" s="1"/>
  <c r="BS72" i="15"/>
  <c r="BS26" i="15" s="1"/>
  <c r="I72" i="15"/>
  <c r="I26" i="15" s="1"/>
  <c r="Y72" i="15"/>
  <c r="Y26" i="15" s="1"/>
  <c r="AO72" i="15"/>
  <c r="AO26" i="15" s="1"/>
  <c r="BE72" i="15"/>
  <c r="BE26" i="15" s="1"/>
  <c r="BU72" i="15"/>
  <c r="BU26" i="15" s="1"/>
  <c r="CK72" i="15"/>
  <c r="CK26" i="15" s="1"/>
  <c r="DA72" i="15"/>
  <c r="DA26" i="15" s="1"/>
  <c r="DQ72" i="15"/>
  <c r="DQ26" i="15" s="1"/>
  <c r="EG72" i="15"/>
  <c r="EG26" i="15" s="1"/>
  <c r="K72" i="15"/>
  <c r="K26" i="15" s="1"/>
  <c r="AA72" i="15"/>
  <c r="AA26" i="15" s="1"/>
  <c r="AQ72" i="15"/>
  <c r="AQ26" i="15" s="1"/>
  <c r="BG72" i="15"/>
  <c r="BG26" i="15" s="1"/>
  <c r="BW72" i="15"/>
  <c r="BW26" i="15" s="1"/>
  <c r="M72" i="15"/>
  <c r="M26" i="15" s="1"/>
  <c r="AC72" i="15"/>
  <c r="AC26" i="15" s="1"/>
  <c r="AS72" i="15"/>
  <c r="AS26" i="15" s="1"/>
  <c r="BI72" i="15"/>
  <c r="BI26" i="15" s="1"/>
  <c r="BY72" i="15"/>
  <c r="BY26" i="15" s="1"/>
  <c r="CO72" i="15"/>
  <c r="DE72" i="15"/>
  <c r="DE26" i="15" s="1"/>
  <c r="DU72" i="15"/>
  <c r="DU26" i="15" s="1"/>
  <c r="EK72" i="15"/>
  <c r="EK26" i="15" s="1"/>
  <c r="J72" i="15"/>
  <c r="J26" i="15" s="1"/>
  <c r="Z72" i="15"/>
  <c r="Z26" i="15" s="1"/>
  <c r="AP72" i="15"/>
  <c r="AP26" i="15" s="1"/>
  <c r="BF72" i="15"/>
  <c r="BF26" i="15" s="1"/>
  <c r="BV72" i="15"/>
  <c r="BV26" i="15" s="1"/>
  <c r="CL72" i="15"/>
  <c r="CL26" i="15" s="1"/>
  <c r="DB72" i="15"/>
  <c r="DB26" i="15" s="1"/>
  <c r="DR72" i="15"/>
  <c r="DR26" i="15" s="1"/>
  <c r="EH72" i="15"/>
  <c r="EH26" i="15" s="1"/>
  <c r="P72" i="15"/>
  <c r="P26" i="15" s="1"/>
  <c r="CA72" i="15"/>
  <c r="CA26" i="15" s="1"/>
  <c r="DG72" i="15"/>
  <c r="DG26" i="15" s="1"/>
  <c r="EM72" i="15"/>
  <c r="EM26" i="15" s="1"/>
  <c r="AZ72" i="15"/>
  <c r="AZ26" i="15" s="1"/>
  <c r="CR72" i="15"/>
  <c r="CR26" i="15" s="1"/>
  <c r="DX72" i="15"/>
  <c r="DX26" i="15" s="1"/>
  <c r="BD72" i="15"/>
  <c r="BD26" i="15" s="1"/>
  <c r="CU72" i="15"/>
  <c r="CU26" i="15" s="1"/>
  <c r="EA72" i="15"/>
  <c r="EA26" i="15" s="1"/>
  <c r="AB72" i="15"/>
  <c r="AB26" i="15" s="1"/>
  <c r="N72" i="15"/>
  <c r="N26" i="15" s="1"/>
  <c r="AD72" i="15"/>
  <c r="AD26" i="15" s="1"/>
  <c r="AT72" i="15"/>
  <c r="AT26" i="15" s="1"/>
  <c r="BJ72" i="15"/>
  <c r="BJ26" i="15" s="1"/>
  <c r="BZ72" i="15"/>
  <c r="BZ26" i="15" s="1"/>
  <c r="CP72" i="15"/>
  <c r="CP26" i="15" s="1"/>
  <c r="DF72" i="15"/>
  <c r="DF26" i="15" s="1"/>
  <c r="DV72" i="15"/>
  <c r="DV26" i="15" s="1"/>
  <c r="EL72" i="15"/>
  <c r="EL26" i="15" s="1"/>
  <c r="AF72" i="15"/>
  <c r="AF26" i="15" s="1"/>
  <c r="CI72" i="15"/>
  <c r="CI26" i="15" s="1"/>
  <c r="DO72" i="15"/>
  <c r="DO26" i="15" s="1"/>
  <c r="BP72" i="15"/>
  <c r="BP26" i="15" s="1"/>
  <c r="CZ72" i="15"/>
  <c r="CZ26" i="15" s="1"/>
  <c r="EF72" i="15"/>
  <c r="EF26" i="15" s="1"/>
  <c r="H72" i="15"/>
  <c r="H26" i="15" s="1"/>
  <c r="BT72" i="15"/>
  <c r="BT26" i="15" s="1"/>
  <c r="DC72" i="15"/>
  <c r="DC26" i="15" s="1"/>
  <c r="EI72" i="15"/>
  <c r="EI26" i="15" s="1"/>
  <c r="AR72" i="15"/>
  <c r="AR26" i="15" s="1"/>
  <c r="CN72" i="15"/>
  <c r="CN26" i="15" s="1"/>
  <c r="R72" i="15"/>
  <c r="R26" i="15" s="1"/>
  <c r="AH72" i="15"/>
  <c r="AH26" i="15" s="1"/>
  <c r="AX72" i="15"/>
  <c r="AX26" i="15" s="1"/>
  <c r="BN72" i="15"/>
  <c r="BN26" i="15" s="1"/>
  <c r="CD72" i="15"/>
  <c r="CD26" i="15" s="1"/>
  <c r="CT72" i="15"/>
  <c r="CT26" i="15" s="1"/>
  <c r="DJ72" i="15"/>
  <c r="DJ26" i="15" s="1"/>
  <c r="DZ72" i="15"/>
  <c r="DZ26" i="15" s="1"/>
  <c r="EP72" i="15"/>
  <c r="EP26" i="15" s="1"/>
  <c r="AV72" i="15"/>
  <c r="AV26" i="15" s="1"/>
  <c r="CQ72" i="15"/>
  <c r="CQ26" i="15" s="1"/>
  <c r="DW72" i="15"/>
  <c r="DW26" i="15" s="1"/>
  <c r="T72" i="15"/>
  <c r="T26" i="15" s="1"/>
  <c r="CB72" i="15"/>
  <c r="CB26" i="15" s="1"/>
  <c r="DH72" i="15"/>
  <c r="DH26" i="15" s="1"/>
  <c r="EN72" i="15"/>
  <c r="EN26" i="15" s="1"/>
  <c r="X72" i="15"/>
  <c r="X26" i="15" s="1"/>
  <c r="CE72" i="15"/>
  <c r="CE26" i="15" s="1"/>
  <c r="DK72" i="15"/>
  <c r="DK26" i="15" s="1"/>
  <c r="EQ72" i="15"/>
  <c r="EQ26" i="15" s="1"/>
  <c r="BH72" i="15"/>
  <c r="BH26" i="15" s="1"/>
  <c r="V72" i="15"/>
  <c r="V26" i="15" s="1"/>
  <c r="AL72" i="15"/>
  <c r="AL26" i="15" s="1"/>
  <c r="BB72" i="15"/>
  <c r="BB26" i="15" s="1"/>
  <c r="BR72" i="15"/>
  <c r="BR26" i="15" s="1"/>
  <c r="CH72" i="15"/>
  <c r="CH26" i="15" s="1"/>
  <c r="CX72" i="15"/>
  <c r="CX26" i="15" s="1"/>
  <c r="DN72" i="15"/>
  <c r="DN26" i="15" s="1"/>
  <c r="ED72" i="15"/>
  <c r="ED26" i="15" s="1"/>
  <c r="ET72" i="15"/>
  <c r="ET26" i="15" s="1"/>
  <c r="BL72" i="15"/>
  <c r="BL26" i="15" s="1"/>
  <c r="CY72" i="15"/>
  <c r="CY26" i="15" s="1"/>
  <c r="EE72" i="15"/>
  <c r="EE26" i="15" s="1"/>
  <c r="AJ72" i="15"/>
  <c r="AJ26" i="15" s="1"/>
  <c r="CJ72" i="15"/>
  <c r="CJ26" i="15" s="1"/>
  <c r="DP72" i="15"/>
  <c r="DP26" i="15" s="1"/>
  <c r="AN72" i="15"/>
  <c r="AN26" i="15" s="1"/>
  <c r="CM72" i="15"/>
  <c r="CM26" i="15" s="1"/>
  <c r="DS72" i="15"/>
  <c r="DS26" i="15" s="1"/>
  <c r="L72" i="15"/>
  <c r="L26" i="15" s="1"/>
  <c r="BX72" i="15"/>
  <c r="BX26" i="15" s="1"/>
  <c r="CF72" i="15"/>
  <c r="CF26" i="15" s="1"/>
  <c r="DT72" i="15"/>
  <c r="DT26" i="15" s="1"/>
  <c r="CV72" i="15"/>
  <c r="CV26" i="15" s="1"/>
  <c r="EB72" i="15"/>
  <c r="EB26" i="15" s="1"/>
  <c r="DD72" i="15"/>
  <c r="DD26" i="15" s="1"/>
  <c r="EJ72" i="15"/>
  <c r="EJ26" i="15" s="1"/>
  <c r="DL72" i="15"/>
  <c r="DL26" i="15" s="1"/>
  <c r="ER72" i="15"/>
  <c r="ER26" i="15" s="1"/>
  <c r="G72" i="15"/>
  <c r="G26" i="15" s="1"/>
  <c r="F27" i="15"/>
  <c r="CO26" i="15"/>
  <c r="F27" i="10"/>
  <c r="AR39" i="5"/>
  <c r="C74" i="5" s="1"/>
  <c r="D78" i="2"/>
  <c r="D74" i="5" l="1"/>
  <c r="S74" i="5"/>
  <c r="O74" i="5"/>
  <c r="K74" i="5"/>
  <c r="G74" i="5"/>
  <c r="R74" i="5"/>
  <c r="M74" i="5"/>
  <c r="H74" i="5"/>
  <c r="T74" i="5"/>
  <c r="L74" i="5"/>
  <c r="E74" i="5"/>
  <c r="N74" i="5"/>
  <c r="Q74" i="5"/>
  <c r="J74" i="5"/>
  <c r="F74" i="5"/>
  <c r="P74" i="5"/>
  <c r="I74" i="5"/>
  <c r="H78" i="2"/>
  <c r="J78" i="2"/>
  <c r="N78" i="2"/>
  <c r="R78" i="2"/>
  <c r="K78" i="2"/>
  <c r="O78" i="2"/>
  <c r="S78" i="2"/>
  <c r="L78" i="2"/>
  <c r="P78" i="2"/>
  <c r="T78" i="2"/>
  <c r="M78" i="2"/>
  <c r="Q78" i="2"/>
  <c r="U78" i="2"/>
  <c r="I78" i="2"/>
  <c r="D1737" i="12"/>
  <c r="F1736" i="12"/>
  <c r="E1736" i="12"/>
  <c r="EQ34" i="5"/>
  <c r="BF39" i="5"/>
  <c r="BC39" i="5"/>
  <c r="AR35" i="2"/>
  <c r="BB34" i="2"/>
  <c r="I73" i="10"/>
  <c r="I27" i="10" s="1"/>
  <c r="Y73" i="10"/>
  <c r="Y27" i="10" s="1"/>
  <c r="AO73" i="10"/>
  <c r="AO27" i="10" s="1"/>
  <c r="J73" i="10"/>
  <c r="J27" i="10" s="1"/>
  <c r="O73" i="10"/>
  <c r="O27" i="10" s="1"/>
  <c r="V73" i="10"/>
  <c r="V27" i="10" s="1"/>
  <c r="AQ73" i="10"/>
  <c r="AQ27" i="10" s="1"/>
  <c r="BJ73" i="10"/>
  <c r="BJ27" i="10" s="1"/>
  <c r="BZ73" i="10"/>
  <c r="BZ27" i="10" s="1"/>
  <c r="CP73" i="10"/>
  <c r="CP27" i="10" s="1"/>
  <c r="DF73" i="10"/>
  <c r="DF27" i="10" s="1"/>
  <c r="M73" i="10"/>
  <c r="M27" i="10" s="1"/>
  <c r="AC73" i="10"/>
  <c r="AC27" i="10" s="1"/>
  <c r="AS73" i="10"/>
  <c r="AS27" i="10" s="1"/>
  <c r="AK73" i="10"/>
  <c r="AK27" i="10" s="1"/>
  <c r="U73" i="10"/>
  <c r="U27" i="10" s="1"/>
  <c r="BA73" i="10"/>
  <c r="BA27" i="10" s="1"/>
  <c r="R73" i="10"/>
  <c r="R27" i="10" s="1"/>
  <c r="AG73" i="10"/>
  <c r="AG27" i="10" s="1"/>
  <c r="K73" i="10"/>
  <c r="K27" i="10" s="1"/>
  <c r="AL73" i="10"/>
  <c r="AL27" i="10" s="1"/>
  <c r="BN73" i="10"/>
  <c r="BN27" i="10" s="1"/>
  <c r="CH73" i="10"/>
  <c r="CH27" i="10" s="1"/>
  <c r="DB73" i="10"/>
  <c r="DB27" i="10" s="1"/>
  <c r="DV73" i="10"/>
  <c r="DV27" i="10" s="1"/>
  <c r="EL73" i="10"/>
  <c r="EL27" i="10" s="1"/>
  <c r="W73" i="10"/>
  <c r="W27" i="10" s="1"/>
  <c r="AR73" i="10"/>
  <c r="AR27" i="10" s="1"/>
  <c r="BK73" i="10"/>
  <c r="BK27" i="10" s="1"/>
  <c r="CA73" i="10"/>
  <c r="CA27" i="10" s="1"/>
  <c r="CQ73" i="10"/>
  <c r="CQ27" i="10" s="1"/>
  <c r="DG73" i="10"/>
  <c r="DG27" i="10" s="1"/>
  <c r="DW73" i="10"/>
  <c r="DW27" i="10" s="1"/>
  <c r="EM73" i="10"/>
  <c r="EM27" i="10" s="1"/>
  <c r="Q73" i="10"/>
  <c r="Q27" i="10" s="1"/>
  <c r="N73" i="10"/>
  <c r="N27" i="10" s="1"/>
  <c r="AA73" i="10"/>
  <c r="AA27" i="10" s="1"/>
  <c r="BB73" i="10"/>
  <c r="BB27" i="10" s="1"/>
  <c r="BV73" i="10"/>
  <c r="BV27" i="10" s="1"/>
  <c r="CT73" i="10"/>
  <c r="CT27" i="10" s="1"/>
  <c r="DN73" i="10"/>
  <c r="DN27" i="10" s="1"/>
  <c r="ED73" i="10"/>
  <c r="ED27" i="10" s="1"/>
  <c r="ET73" i="10"/>
  <c r="ET27" i="10" s="1"/>
  <c r="AH73" i="10"/>
  <c r="AH27" i="10" s="1"/>
  <c r="BC73" i="10"/>
  <c r="BC27" i="10" s="1"/>
  <c r="BS73" i="10"/>
  <c r="BS27" i="10" s="1"/>
  <c r="CI73" i="10"/>
  <c r="CI27" i="10" s="1"/>
  <c r="CY73" i="10"/>
  <c r="CY27" i="10" s="1"/>
  <c r="DO73" i="10"/>
  <c r="DO27" i="10" s="1"/>
  <c r="EE73" i="10"/>
  <c r="EE27" i="10" s="1"/>
  <c r="AW73" i="10"/>
  <c r="AW27" i="10" s="1"/>
  <c r="AF73" i="10"/>
  <c r="AF27" i="10" s="1"/>
  <c r="BF73" i="10"/>
  <c r="BF27" i="10" s="1"/>
  <c r="CD73" i="10"/>
  <c r="CD27" i="10" s="1"/>
  <c r="CX73" i="10"/>
  <c r="CX27" i="10" s="1"/>
  <c r="DR73" i="10"/>
  <c r="DR27" i="10" s="1"/>
  <c r="EH73" i="10"/>
  <c r="EH27" i="10" s="1"/>
  <c r="P73" i="10"/>
  <c r="P27" i="10" s="1"/>
  <c r="AM73" i="10"/>
  <c r="AM27" i="10" s="1"/>
  <c r="BG73" i="10"/>
  <c r="BG27" i="10" s="1"/>
  <c r="BW73" i="10"/>
  <c r="BW27" i="10" s="1"/>
  <c r="CM73" i="10"/>
  <c r="CM27" i="10" s="1"/>
  <c r="DC73" i="10"/>
  <c r="DC27" i="10" s="1"/>
  <c r="DS73" i="10"/>
  <c r="DS27" i="10" s="1"/>
  <c r="EI73" i="10"/>
  <c r="EI27" i="10" s="1"/>
  <c r="L73" i="10"/>
  <c r="L27" i="10" s="1"/>
  <c r="DJ73" i="10"/>
  <c r="DJ27" i="10" s="1"/>
  <c r="CE73" i="10"/>
  <c r="CE27" i="10" s="1"/>
  <c r="EQ73" i="10"/>
  <c r="EQ27" i="10" s="1"/>
  <c r="X73" i="10"/>
  <c r="X27" i="10" s="1"/>
  <c r="AT73" i="10"/>
  <c r="AT27" i="10" s="1"/>
  <c r="BL73" i="10"/>
  <c r="BL27" i="10" s="1"/>
  <c r="CB73" i="10"/>
  <c r="CB27" i="10" s="1"/>
  <c r="CR73" i="10"/>
  <c r="CR27" i="10" s="1"/>
  <c r="DH73" i="10"/>
  <c r="DH27" i="10" s="1"/>
  <c r="DX73" i="10"/>
  <c r="DX27" i="10" s="1"/>
  <c r="EN73" i="10"/>
  <c r="EN27" i="10" s="1"/>
  <c r="CG73" i="10"/>
  <c r="CG27" i="10" s="1"/>
  <c r="ES73" i="10"/>
  <c r="ES27" i="10" s="1"/>
  <c r="BU73" i="10"/>
  <c r="BU27" i="10" s="1"/>
  <c r="EG73" i="10"/>
  <c r="EG27" i="10" s="1"/>
  <c r="DU73" i="10"/>
  <c r="DU27" i="10" s="1"/>
  <c r="AV73" i="10"/>
  <c r="AV27" i="10" s="1"/>
  <c r="DZ73" i="10"/>
  <c r="DZ27" i="10" s="1"/>
  <c r="AB73" i="10"/>
  <c r="AB27" i="10" s="1"/>
  <c r="CU73" i="10"/>
  <c r="CU27" i="10" s="1"/>
  <c r="AD73" i="10"/>
  <c r="AD27" i="10" s="1"/>
  <c r="AY73" i="10"/>
  <c r="AY27" i="10" s="1"/>
  <c r="BP73" i="10"/>
  <c r="BP27" i="10" s="1"/>
  <c r="CF73" i="10"/>
  <c r="CF27" i="10" s="1"/>
  <c r="CV73" i="10"/>
  <c r="CV27" i="10" s="1"/>
  <c r="DL73" i="10"/>
  <c r="DL27" i="10" s="1"/>
  <c r="EB73" i="10"/>
  <c r="EB27" i="10" s="1"/>
  <c r="ER73" i="10"/>
  <c r="ER27" i="10" s="1"/>
  <c r="AE73" i="10"/>
  <c r="AE27" i="10" s="1"/>
  <c r="CW73" i="10"/>
  <c r="CW27" i="10" s="1"/>
  <c r="CK73" i="10"/>
  <c r="CK27" i="10" s="1"/>
  <c r="BR73" i="10"/>
  <c r="BR27" i="10" s="1"/>
  <c r="EP73" i="10"/>
  <c r="EP27" i="10" s="1"/>
  <c r="AX73" i="10"/>
  <c r="AX27" i="10" s="1"/>
  <c r="DK73" i="10"/>
  <c r="DK27" i="10" s="1"/>
  <c r="AI73" i="10"/>
  <c r="AI27" i="10" s="1"/>
  <c r="BD73" i="10"/>
  <c r="BD27" i="10" s="1"/>
  <c r="BT73" i="10"/>
  <c r="BT27" i="10" s="1"/>
  <c r="CJ73" i="10"/>
  <c r="CJ27" i="10" s="1"/>
  <c r="CZ73" i="10"/>
  <c r="CZ27" i="10" s="1"/>
  <c r="DP73" i="10"/>
  <c r="DP27" i="10" s="1"/>
  <c r="EF73" i="10"/>
  <c r="EF27" i="10" s="1"/>
  <c r="AZ73" i="10"/>
  <c r="AZ27" i="10" s="1"/>
  <c r="DM73" i="10"/>
  <c r="DM27" i="10" s="1"/>
  <c r="AJ73" i="10"/>
  <c r="AJ27" i="10" s="1"/>
  <c r="DA73" i="10"/>
  <c r="DA27" i="10" s="1"/>
  <c r="BI73" i="10"/>
  <c r="BI27" i="10" s="1"/>
  <c r="CL73" i="10"/>
  <c r="CL27" i="10" s="1"/>
  <c r="BO73" i="10"/>
  <c r="BO27" i="10" s="1"/>
  <c r="EA73" i="10"/>
  <c r="EA27" i="10" s="1"/>
  <c r="S73" i="10"/>
  <c r="S27" i="10" s="1"/>
  <c r="AN73" i="10"/>
  <c r="AN27" i="10" s="1"/>
  <c r="BH73" i="10"/>
  <c r="BH27" i="10" s="1"/>
  <c r="BX73" i="10"/>
  <c r="BX27" i="10" s="1"/>
  <c r="CN73" i="10"/>
  <c r="CN27" i="10" s="1"/>
  <c r="DD73" i="10"/>
  <c r="DD27" i="10" s="1"/>
  <c r="DT73" i="10"/>
  <c r="DT27" i="10" s="1"/>
  <c r="EJ73" i="10"/>
  <c r="EJ27" i="10" s="1"/>
  <c r="BQ73" i="10"/>
  <c r="BQ27" i="10" s="1"/>
  <c r="EC73" i="10"/>
  <c r="EC27" i="10" s="1"/>
  <c r="BE73" i="10"/>
  <c r="BE27" i="10" s="1"/>
  <c r="DQ73" i="10"/>
  <c r="DQ27" i="10" s="1"/>
  <c r="CO73" i="10"/>
  <c r="CO27" i="10" s="1"/>
  <c r="DY73" i="10"/>
  <c r="DY27" i="10" s="1"/>
  <c r="BY73" i="10"/>
  <c r="BY27" i="10" s="1"/>
  <c r="Z73" i="10"/>
  <c r="Z27" i="10" s="1"/>
  <c r="DE73" i="10"/>
  <c r="DE27" i="10" s="1"/>
  <c r="T73" i="10"/>
  <c r="T27" i="10" s="1"/>
  <c r="BM73" i="10"/>
  <c r="BM27" i="10" s="1"/>
  <c r="EK73" i="10"/>
  <c r="EK27" i="10" s="1"/>
  <c r="CS73" i="10"/>
  <c r="CS27" i="10" s="1"/>
  <c r="AP73" i="10"/>
  <c r="AP27" i="10" s="1"/>
  <c r="EO73" i="10"/>
  <c r="EO27" i="10" s="1"/>
  <c r="CC73" i="10"/>
  <c r="CC27" i="10" s="1"/>
  <c r="AU73" i="10"/>
  <c r="AU27" i="10" s="1"/>
  <c r="DI73" i="10"/>
  <c r="DI27" i="10" s="1"/>
  <c r="H73" i="10"/>
  <c r="H27" i="10" s="1"/>
  <c r="G73" i="10"/>
  <c r="G27" i="10" s="1"/>
  <c r="R73" i="15"/>
  <c r="R27" i="15" s="1"/>
  <c r="AH73" i="15"/>
  <c r="AH27" i="15" s="1"/>
  <c r="AX73" i="15"/>
  <c r="AX27" i="15" s="1"/>
  <c r="BN73" i="15"/>
  <c r="BN27" i="15" s="1"/>
  <c r="CD73" i="15"/>
  <c r="CD27" i="15" s="1"/>
  <c r="CT73" i="15"/>
  <c r="CT27" i="15" s="1"/>
  <c r="DJ73" i="15"/>
  <c r="DJ27" i="15" s="1"/>
  <c r="V73" i="15"/>
  <c r="V27" i="15" s="1"/>
  <c r="AL73" i="15"/>
  <c r="AL27" i="15" s="1"/>
  <c r="BB73" i="15"/>
  <c r="BB27" i="15" s="1"/>
  <c r="BR73" i="15"/>
  <c r="BR27" i="15" s="1"/>
  <c r="CH73" i="15"/>
  <c r="CH27" i="15" s="1"/>
  <c r="CX73" i="15"/>
  <c r="CX27" i="15" s="1"/>
  <c r="DN73" i="15"/>
  <c r="DN27" i="15" s="1"/>
  <c r="J73" i="15"/>
  <c r="J27" i="15" s="1"/>
  <c r="Z73" i="15"/>
  <c r="Z27" i="15" s="1"/>
  <c r="AP73" i="15"/>
  <c r="AP27" i="15" s="1"/>
  <c r="BF73" i="15"/>
  <c r="BF27" i="15" s="1"/>
  <c r="BV73" i="15"/>
  <c r="BV27" i="15" s="1"/>
  <c r="CL73" i="15"/>
  <c r="CL27" i="15" s="1"/>
  <c r="DB73" i="15"/>
  <c r="DB27" i="15" s="1"/>
  <c r="N73" i="15"/>
  <c r="N27" i="15" s="1"/>
  <c r="AD73" i="15"/>
  <c r="AD27" i="15" s="1"/>
  <c r="AT73" i="15"/>
  <c r="AT27" i="15" s="1"/>
  <c r="BJ73" i="15"/>
  <c r="BJ27" i="15" s="1"/>
  <c r="BZ73" i="15"/>
  <c r="BZ27" i="15" s="1"/>
  <c r="CP73" i="15"/>
  <c r="CP27" i="15" s="1"/>
  <c r="DF73" i="15"/>
  <c r="DF27" i="15" s="1"/>
  <c r="K73" i="15"/>
  <c r="K27" i="15" s="1"/>
  <c r="AA73" i="15"/>
  <c r="AA27" i="15" s="1"/>
  <c r="AQ73" i="15"/>
  <c r="AQ27" i="15" s="1"/>
  <c r="BG73" i="15"/>
  <c r="BG27" i="15" s="1"/>
  <c r="BW73" i="15"/>
  <c r="BW27" i="15" s="1"/>
  <c r="CM73" i="15"/>
  <c r="CM27" i="15" s="1"/>
  <c r="DC73" i="15"/>
  <c r="DC27" i="15" s="1"/>
  <c r="DS73" i="15"/>
  <c r="DS27" i="15" s="1"/>
  <c r="AF73" i="15"/>
  <c r="AF27" i="15" s="1"/>
  <c r="BL73" i="15"/>
  <c r="BL27" i="15" s="1"/>
  <c r="CR73" i="15"/>
  <c r="CR27" i="15" s="1"/>
  <c r="DU73" i="15"/>
  <c r="DU27" i="15" s="1"/>
  <c r="EL73" i="15"/>
  <c r="EL27" i="15" s="1"/>
  <c r="Q73" i="15"/>
  <c r="Q27" i="15" s="1"/>
  <c r="AW73" i="15"/>
  <c r="AW27" i="15" s="1"/>
  <c r="CC73" i="15"/>
  <c r="CC27" i="15" s="1"/>
  <c r="DI73" i="15"/>
  <c r="DI27" i="15" s="1"/>
  <c r="EE73" i="15"/>
  <c r="EE27" i="15" s="1"/>
  <c r="T73" i="15"/>
  <c r="T27" i="15" s="1"/>
  <c r="AZ73" i="15"/>
  <c r="AZ27" i="15" s="1"/>
  <c r="CF73" i="15"/>
  <c r="CF27" i="15" s="1"/>
  <c r="DL73" i="15"/>
  <c r="DL27" i="15" s="1"/>
  <c r="EF73" i="15"/>
  <c r="EF27" i="15" s="1"/>
  <c r="O73" i="15"/>
  <c r="O27" i="15" s="1"/>
  <c r="AE73" i="15"/>
  <c r="AE27" i="15" s="1"/>
  <c r="AU73" i="15"/>
  <c r="AU27" i="15" s="1"/>
  <c r="BK73" i="15"/>
  <c r="BK27" i="15" s="1"/>
  <c r="CA73" i="15"/>
  <c r="CA27" i="15" s="1"/>
  <c r="CQ73" i="15"/>
  <c r="CQ27" i="15" s="1"/>
  <c r="DG73" i="15"/>
  <c r="DG27" i="15" s="1"/>
  <c r="DW73" i="15"/>
  <c r="DW27" i="15" s="1"/>
  <c r="H73" i="15"/>
  <c r="H27" i="15" s="1"/>
  <c r="AN73" i="15"/>
  <c r="AN27" i="15" s="1"/>
  <c r="BT73" i="15"/>
  <c r="BT27" i="15" s="1"/>
  <c r="CZ73" i="15"/>
  <c r="CZ27" i="15" s="1"/>
  <c r="DZ73" i="15"/>
  <c r="DZ27" i="15" s="1"/>
  <c r="EP73" i="15"/>
  <c r="EP27" i="15" s="1"/>
  <c r="Y73" i="15"/>
  <c r="Y27" i="15" s="1"/>
  <c r="BE73" i="15"/>
  <c r="BE27" i="15" s="1"/>
  <c r="CK73" i="15"/>
  <c r="CK27" i="15" s="1"/>
  <c r="DQ73" i="15"/>
  <c r="DQ27" i="15" s="1"/>
  <c r="EI73" i="15"/>
  <c r="EI27" i="15" s="1"/>
  <c r="AB73" i="15"/>
  <c r="AB27" i="15" s="1"/>
  <c r="BH73" i="15"/>
  <c r="BH27" i="15" s="1"/>
  <c r="CN73" i="15"/>
  <c r="CN27" i="15" s="1"/>
  <c r="DR73" i="15"/>
  <c r="DR27" i="15" s="1"/>
  <c r="EJ73" i="15"/>
  <c r="EJ27" i="15" s="1"/>
  <c r="S73" i="15"/>
  <c r="S27" i="15" s="1"/>
  <c r="AI73" i="15"/>
  <c r="AI27" i="15" s="1"/>
  <c r="AY73" i="15"/>
  <c r="AY27" i="15" s="1"/>
  <c r="BO73" i="15"/>
  <c r="BO27" i="15" s="1"/>
  <c r="CE73" i="15"/>
  <c r="CE27" i="15" s="1"/>
  <c r="CU73" i="15"/>
  <c r="CU27" i="15" s="1"/>
  <c r="DK73" i="15"/>
  <c r="DK27" i="15" s="1"/>
  <c r="P73" i="15"/>
  <c r="P27" i="15" s="1"/>
  <c r="AV73" i="15"/>
  <c r="AV27" i="15" s="1"/>
  <c r="CB73" i="15"/>
  <c r="CB27" i="15" s="1"/>
  <c r="DH73" i="15"/>
  <c r="DH27" i="15" s="1"/>
  <c r="ED73" i="15"/>
  <c r="ED27" i="15" s="1"/>
  <c r="ET73" i="15"/>
  <c r="ET27" i="15" s="1"/>
  <c r="AG73" i="15"/>
  <c r="AG27" i="15" s="1"/>
  <c r="BM73" i="15"/>
  <c r="BM27" i="15" s="1"/>
  <c r="CS73" i="15"/>
  <c r="CS27" i="15" s="1"/>
  <c r="DV73" i="15"/>
  <c r="DV27" i="15" s="1"/>
  <c r="EM73" i="15"/>
  <c r="EM27" i="15" s="1"/>
  <c r="AJ73" i="15"/>
  <c r="AJ27" i="15" s="1"/>
  <c r="BP73" i="15"/>
  <c r="BP27" i="15" s="1"/>
  <c r="CV73" i="15"/>
  <c r="CV27" i="15" s="1"/>
  <c r="DX73" i="15"/>
  <c r="DX27" i="15" s="1"/>
  <c r="EN73" i="15"/>
  <c r="EN27" i="15" s="1"/>
  <c r="W73" i="15"/>
  <c r="W27" i="15" s="1"/>
  <c r="AM73" i="15"/>
  <c r="AM27" i="15" s="1"/>
  <c r="BC73" i="15"/>
  <c r="BC27" i="15" s="1"/>
  <c r="BS73" i="15"/>
  <c r="BS27" i="15" s="1"/>
  <c r="CI73" i="15"/>
  <c r="CI27" i="15" s="1"/>
  <c r="CY73" i="15"/>
  <c r="CY27" i="15" s="1"/>
  <c r="DO73" i="15"/>
  <c r="DO27" i="15" s="1"/>
  <c r="X73" i="15"/>
  <c r="X27" i="15" s="1"/>
  <c r="BD73" i="15"/>
  <c r="BD27" i="15" s="1"/>
  <c r="CJ73" i="15"/>
  <c r="CJ27" i="15" s="1"/>
  <c r="DP73" i="15"/>
  <c r="DP27" i="15" s="1"/>
  <c r="EH73" i="15"/>
  <c r="EH27" i="15" s="1"/>
  <c r="I73" i="15"/>
  <c r="I27" i="15" s="1"/>
  <c r="AO73" i="15"/>
  <c r="AO27" i="15" s="1"/>
  <c r="BU73" i="15"/>
  <c r="BU27" i="15" s="1"/>
  <c r="DA73" i="15"/>
  <c r="DA27" i="15" s="1"/>
  <c r="EA73" i="15"/>
  <c r="EA27" i="15" s="1"/>
  <c r="EQ73" i="15"/>
  <c r="EQ27" i="15" s="1"/>
  <c r="L73" i="15"/>
  <c r="L27" i="15" s="1"/>
  <c r="AR73" i="15"/>
  <c r="AR27" i="15" s="1"/>
  <c r="BX73" i="15"/>
  <c r="BX27" i="15" s="1"/>
  <c r="DD73" i="15"/>
  <c r="DD27" i="15" s="1"/>
  <c r="EB73" i="15"/>
  <c r="EB27" i="15" s="1"/>
  <c r="ER73" i="15"/>
  <c r="ER27" i="15" s="1"/>
  <c r="M73" i="15"/>
  <c r="M27" i="15" s="1"/>
  <c r="AS73" i="15"/>
  <c r="AS27" i="15" s="1"/>
  <c r="BY73" i="15"/>
  <c r="BY27" i="15" s="1"/>
  <c r="DE73" i="15"/>
  <c r="DE27" i="15" s="1"/>
  <c r="EC73" i="15"/>
  <c r="EC27" i="15" s="1"/>
  <c r="ES73" i="15"/>
  <c r="ES27" i="15" s="1"/>
  <c r="U73" i="15"/>
  <c r="U27" i="15" s="1"/>
  <c r="BA73" i="15"/>
  <c r="BA27" i="15" s="1"/>
  <c r="CG73" i="15"/>
  <c r="CG27" i="15" s="1"/>
  <c r="DM73" i="15"/>
  <c r="DM27" i="15" s="1"/>
  <c r="EG73" i="15"/>
  <c r="EG27" i="15" s="1"/>
  <c r="AC73" i="15"/>
  <c r="AC27" i="15" s="1"/>
  <c r="BI73" i="15"/>
  <c r="BI27" i="15" s="1"/>
  <c r="CO73" i="15"/>
  <c r="CO27" i="15" s="1"/>
  <c r="DT73" i="15"/>
  <c r="DT27" i="15" s="1"/>
  <c r="EK73" i="15"/>
  <c r="EK27" i="15" s="1"/>
  <c r="AK73" i="15"/>
  <c r="AK27" i="15" s="1"/>
  <c r="BQ73" i="15"/>
  <c r="BQ27" i="15" s="1"/>
  <c r="CW73" i="15"/>
  <c r="CW27" i="15" s="1"/>
  <c r="DY73" i="15"/>
  <c r="DY27" i="15" s="1"/>
  <c r="EO73" i="15"/>
  <c r="EO27" i="15" s="1"/>
  <c r="G73" i="15"/>
  <c r="G27" i="15" s="1"/>
  <c r="F28" i="15"/>
  <c r="F28" i="10"/>
  <c r="AR40" i="5"/>
  <c r="C75" i="5" s="1"/>
  <c r="D79" i="2"/>
  <c r="D75" i="5" l="1"/>
  <c r="S75" i="5"/>
  <c r="O75" i="5"/>
  <c r="K75" i="5"/>
  <c r="G75" i="5"/>
  <c r="R75" i="5"/>
  <c r="M75" i="5"/>
  <c r="H75" i="5"/>
  <c r="Q75" i="5"/>
  <c r="J75" i="5"/>
  <c r="L75" i="5"/>
  <c r="P75" i="5"/>
  <c r="I75" i="5"/>
  <c r="T75" i="5"/>
  <c r="E75" i="5"/>
  <c r="N75" i="5"/>
  <c r="F75" i="5"/>
  <c r="H79" i="2"/>
  <c r="I79" i="2"/>
  <c r="M79" i="2"/>
  <c r="Q79" i="2"/>
  <c r="U79" i="2"/>
  <c r="J79" i="2"/>
  <c r="N79" i="2"/>
  <c r="R79" i="2"/>
  <c r="K79" i="2"/>
  <c r="O79" i="2"/>
  <c r="S79" i="2"/>
  <c r="P79" i="2"/>
  <c r="T79" i="2"/>
  <c r="L79" i="2"/>
  <c r="D1738" i="12"/>
  <c r="F1737" i="12"/>
  <c r="E1737" i="12"/>
  <c r="EQ35" i="5"/>
  <c r="BF40" i="5"/>
  <c r="BC40" i="5"/>
  <c r="AR36" i="2"/>
  <c r="BB35" i="2"/>
  <c r="P74" i="10"/>
  <c r="P28" i="10" s="1"/>
  <c r="AF74" i="10"/>
  <c r="AF28" i="10" s="1"/>
  <c r="AV74" i="10"/>
  <c r="AV28" i="10" s="1"/>
  <c r="BL74" i="10"/>
  <c r="BL28" i="10" s="1"/>
  <c r="CB74" i="10"/>
  <c r="CB28" i="10" s="1"/>
  <c r="CR74" i="10"/>
  <c r="CR28" i="10" s="1"/>
  <c r="DH74" i="10"/>
  <c r="DH28" i="10" s="1"/>
  <c r="DX74" i="10"/>
  <c r="DX28" i="10" s="1"/>
  <c r="EN74" i="10"/>
  <c r="EN28" i="10" s="1"/>
  <c r="Q74" i="10"/>
  <c r="Q28" i="10" s="1"/>
  <c r="AG74" i="10"/>
  <c r="AG28" i="10" s="1"/>
  <c r="AW74" i="10"/>
  <c r="AW28" i="10" s="1"/>
  <c r="BM74" i="10"/>
  <c r="BM28" i="10" s="1"/>
  <c r="CC74" i="10"/>
  <c r="CC28" i="10" s="1"/>
  <c r="CS74" i="10"/>
  <c r="CS28" i="10" s="1"/>
  <c r="DI74" i="10"/>
  <c r="DI28" i="10" s="1"/>
  <c r="DY74" i="10"/>
  <c r="DY28" i="10" s="1"/>
  <c r="EO74" i="10"/>
  <c r="EO28" i="10" s="1"/>
  <c r="X74" i="10"/>
  <c r="X28" i="10" s="1"/>
  <c r="AN74" i="10"/>
  <c r="AN28" i="10" s="1"/>
  <c r="BD74" i="10"/>
  <c r="BD28" i="10" s="1"/>
  <c r="BT74" i="10"/>
  <c r="BT28" i="10" s="1"/>
  <c r="CJ74" i="10"/>
  <c r="CJ28" i="10" s="1"/>
  <c r="CZ74" i="10"/>
  <c r="CZ28" i="10" s="1"/>
  <c r="DP74" i="10"/>
  <c r="DP28" i="10" s="1"/>
  <c r="EF74" i="10"/>
  <c r="EF28" i="10" s="1"/>
  <c r="I74" i="10"/>
  <c r="I28" i="10" s="1"/>
  <c r="Y74" i="10"/>
  <c r="Y28" i="10" s="1"/>
  <c r="AO74" i="10"/>
  <c r="AO28" i="10" s="1"/>
  <c r="BE74" i="10"/>
  <c r="BE28" i="10" s="1"/>
  <c r="BU74" i="10"/>
  <c r="BU28" i="10" s="1"/>
  <c r="CK74" i="10"/>
  <c r="CK28" i="10" s="1"/>
  <c r="DA74" i="10"/>
  <c r="DA28" i="10" s="1"/>
  <c r="DQ74" i="10"/>
  <c r="DQ28" i="10" s="1"/>
  <c r="EG74" i="10"/>
  <c r="EG28" i="10" s="1"/>
  <c r="L74" i="10"/>
  <c r="L28" i="10" s="1"/>
  <c r="AB74" i="10"/>
  <c r="AB28" i="10" s="1"/>
  <c r="AR74" i="10"/>
  <c r="AR28" i="10" s="1"/>
  <c r="BH74" i="10"/>
  <c r="BH28" i="10" s="1"/>
  <c r="BX74" i="10"/>
  <c r="BX28" i="10" s="1"/>
  <c r="CN74" i="10"/>
  <c r="CN28" i="10" s="1"/>
  <c r="DD74" i="10"/>
  <c r="DD28" i="10" s="1"/>
  <c r="DT74" i="10"/>
  <c r="DT28" i="10" s="1"/>
  <c r="EJ74" i="10"/>
  <c r="EJ28" i="10" s="1"/>
  <c r="M74" i="10"/>
  <c r="M28" i="10" s="1"/>
  <c r="AC74" i="10"/>
  <c r="AC28" i="10" s="1"/>
  <c r="AS74" i="10"/>
  <c r="AS28" i="10" s="1"/>
  <c r="BI74" i="10"/>
  <c r="BI28" i="10" s="1"/>
  <c r="BY74" i="10"/>
  <c r="BY28" i="10" s="1"/>
  <c r="CO74" i="10"/>
  <c r="CO28" i="10" s="1"/>
  <c r="DE74" i="10"/>
  <c r="DU74" i="10"/>
  <c r="DU28" i="10" s="1"/>
  <c r="EK74" i="10"/>
  <c r="EK28" i="10" s="1"/>
  <c r="AJ74" i="10"/>
  <c r="AJ28" i="10" s="1"/>
  <c r="CV74" i="10"/>
  <c r="CV28" i="10" s="1"/>
  <c r="BQ74" i="10"/>
  <c r="BQ28" i="10" s="1"/>
  <c r="EC74" i="10"/>
  <c r="EC28" i="10" s="1"/>
  <c r="R74" i="10"/>
  <c r="R28" i="10" s="1"/>
  <c r="AH74" i="10"/>
  <c r="AH28" i="10" s="1"/>
  <c r="AX74" i="10"/>
  <c r="AX28" i="10" s="1"/>
  <c r="BN74" i="10"/>
  <c r="BN28" i="10" s="1"/>
  <c r="CD74" i="10"/>
  <c r="CD28" i="10" s="1"/>
  <c r="CT74" i="10"/>
  <c r="CT28" i="10" s="1"/>
  <c r="DJ74" i="10"/>
  <c r="DJ28" i="10" s="1"/>
  <c r="DZ74" i="10"/>
  <c r="DZ28" i="10" s="1"/>
  <c r="EP74" i="10"/>
  <c r="EP28" i="10" s="1"/>
  <c r="BS74" i="10"/>
  <c r="BS28" i="10" s="1"/>
  <c r="EE74" i="10"/>
  <c r="EE28" i="10" s="1"/>
  <c r="BG74" i="10"/>
  <c r="BG28" i="10" s="1"/>
  <c r="DS74" i="10"/>
  <c r="DS28" i="10" s="1"/>
  <c r="DG74" i="10"/>
  <c r="DG28" i="10" s="1"/>
  <c r="AZ74" i="10"/>
  <c r="AZ28" i="10" s="1"/>
  <c r="DL74" i="10"/>
  <c r="DL28" i="10" s="1"/>
  <c r="U74" i="10"/>
  <c r="U28" i="10" s="1"/>
  <c r="CG74" i="10"/>
  <c r="CG28" i="10" s="1"/>
  <c r="ES74" i="10"/>
  <c r="ES28" i="10" s="1"/>
  <c r="V74" i="10"/>
  <c r="V28" i="10" s="1"/>
  <c r="AL74" i="10"/>
  <c r="AL28" i="10" s="1"/>
  <c r="BB74" i="10"/>
  <c r="BB28" i="10" s="1"/>
  <c r="BR74" i="10"/>
  <c r="BR28" i="10" s="1"/>
  <c r="CH74" i="10"/>
  <c r="CH28" i="10" s="1"/>
  <c r="CX74" i="10"/>
  <c r="CX28" i="10" s="1"/>
  <c r="DN74" i="10"/>
  <c r="DN28" i="10" s="1"/>
  <c r="ED74" i="10"/>
  <c r="ED28" i="10" s="1"/>
  <c r="ET74" i="10"/>
  <c r="ET28" i="10" s="1"/>
  <c r="W74" i="10"/>
  <c r="W28" i="10" s="1"/>
  <c r="CI74" i="10"/>
  <c r="CI28" i="10" s="1"/>
  <c r="K74" i="10"/>
  <c r="K28" i="10" s="1"/>
  <c r="BW74" i="10"/>
  <c r="BW28" i="10" s="1"/>
  <c r="EI74" i="10"/>
  <c r="EI28" i="10" s="1"/>
  <c r="BP74" i="10"/>
  <c r="BP28" i="10" s="1"/>
  <c r="EB74" i="10"/>
  <c r="EB28" i="10" s="1"/>
  <c r="AK74" i="10"/>
  <c r="AK28" i="10" s="1"/>
  <c r="CW74" i="10"/>
  <c r="CW28" i="10" s="1"/>
  <c r="J74" i="10"/>
  <c r="J28" i="10" s="1"/>
  <c r="Z74" i="10"/>
  <c r="Z28" i="10" s="1"/>
  <c r="AP74" i="10"/>
  <c r="AP28" i="10" s="1"/>
  <c r="BF74" i="10"/>
  <c r="BF28" i="10" s="1"/>
  <c r="BV74" i="10"/>
  <c r="BV28" i="10" s="1"/>
  <c r="CL74" i="10"/>
  <c r="CL28" i="10" s="1"/>
  <c r="DB74" i="10"/>
  <c r="DB28" i="10" s="1"/>
  <c r="DR74" i="10"/>
  <c r="DR28" i="10" s="1"/>
  <c r="EH74" i="10"/>
  <c r="EH28" i="10" s="1"/>
  <c r="AM74" i="10"/>
  <c r="AM28" i="10" s="1"/>
  <c r="CY74" i="10"/>
  <c r="CY28" i="10" s="1"/>
  <c r="AA74" i="10"/>
  <c r="AA28" i="10" s="1"/>
  <c r="CM74" i="10"/>
  <c r="CM28" i="10" s="1"/>
  <c r="AU74" i="10"/>
  <c r="AU28" i="10" s="1"/>
  <c r="T74" i="10"/>
  <c r="T28" i="10" s="1"/>
  <c r="CF74" i="10"/>
  <c r="CF28" i="10" s="1"/>
  <c r="ER74" i="10"/>
  <c r="ER28" i="10" s="1"/>
  <c r="BA74" i="10"/>
  <c r="BA28" i="10" s="1"/>
  <c r="DM74" i="10"/>
  <c r="DM28" i="10" s="1"/>
  <c r="N74" i="10"/>
  <c r="N28" i="10" s="1"/>
  <c r="AD74" i="10"/>
  <c r="AD28" i="10" s="1"/>
  <c r="AT74" i="10"/>
  <c r="AT28" i="10" s="1"/>
  <c r="BJ74" i="10"/>
  <c r="BJ28" i="10" s="1"/>
  <c r="BZ74" i="10"/>
  <c r="BZ28" i="10" s="1"/>
  <c r="CP74" i="10"/>
  <c r="CP28" i="10" s="1"/>
  <c r="DF74" i="10"/>
  <c r="DF28" i="10" s="1"/>
  <c r="DV74" i="10"/>
  <c r="DV28" i="10" s="1"/>
  <c r="EL74" i="10"/>
  <c r="EL28" i="10" s="1"/>
  <c r="BC74" i="10"/>
  <c r="BC28" i="10" s="1"/>
  <c r="DO74" i="10"/>
  <c r="DO28" i="10" s="1"/>
  <c r="AQ74" i="10"/>
  <c r="AQ28" i="10" s="1"/>
  <c r="DC74" i="10"/>
  <c r="DC28" i="10" s="1"/>
  <c r="CA74" i="10"/>
  <c r="CA28" i="10" s="1"/>
  <c r="EM74" i="10"/>
  <c r="EM28" i="10" s="1"/>
  <c r="DK74" i="10"/>
  <c r="DK28" i="10" s="1"/>
  <c r="BK74" i="10"/>
  <c r="BK28" i="10" s="1"/>
  <c r="EA74" i="10"/>
  <c r="EA28" i="10" s="1"/>
  <c r="S74" i="10"/>
  <c r="S28" i="10" s="1"/>
  <c r="EQ74" i="10"/>
  <c r="EQ28" i="10" s="1"/>
  <c r="CQ74" i="10"/>
  <c r="CQ28" i="10" s="1"/>
  <c r="AY74" i="10"/>
  <c r="AY28" i="10" s="1"/>
  <c r="DW74" i="10"/>
  <c r="DW28" i="10" s="1"/>
  <c r="O74" i="10"/>
  <c r="O28" i="10" s="1"/>
  <c r="CE74" i="10"/>
  <c r="CE28" i="10" s="1"/>
  <c r="AE74" i="10"/>
  <c r="AE28" i="10" s="1"/>
  <c r="BO74" i="10"/>
  <c r="BO28" i="10" s="1"/>
  <c r="AI74" i="10"/>
  <c r="AI28" i="10" s="1"/>
  <c r="CU74" i="10"/>
  <c r="CU28" i="10" s="1"/>
  <c r="H74" i="10"/>
  <c r="H28" i="10" s="1"/>
  <c r="G74" i="10"/>
  <c r="G28" i="10" s="1"/>
  <c r="O74" i="15"/>
  <c r="O28" i="15" s="1"/>
  <c r="AE74" i="15"/>
  <c r="AE28" i="15" s="1"/>
  <c r="AU74" i="15"/>
  <c r="AU28" i="15" s="1"/>
  <c r="BK74" i="15"/>
  <c r="BK28" i="15" s="1"/>
  <c r="CA74" i="15"/>
  <c r="CA28" i="15" s="1"/>
  <c r="CQ74" i="15"/>
  <c r="CQ28" i="15" s="1"/>
  <c r="DG74" i="15"/>
  <c r="DG28" i="15" s="1"/>
  <c r="DW74" i="15"/>
  <c r="DW28" i="15" s="1"/>
  <c r="EM74" i="15"/>
  <c r="EM28" i="15" s="1"/>
  <c r="H74" i="15"/>
  <c r="H28" i="15" s="1"/>
  <c r="X74" i="15"/>
  <c r="X28" i="15" s="1"/>
  <c r="AN74" i="15"/>
  <c r="AN28" i="15" s="1"/>
  <c r="BD74" i="15"/>
  <c r="BD28" i="15" s="1"/>
  <c r="BT74" i="15"/>
  <c r="BT28" i="15" s="1"/>
  <c r="CJ74" i="15"/>
  <c r="CJ28" i="15" s="1"/>
  <c r="CZ74" i="15"/>
  <c r="CZ28" i="15" s="1"/>
  <c r="DP74" i="15"/>
  <c r="DP28" i="15" s="1"/>
  <c r="EF74" i="15"/>
  <c r="EF28" i="15" s="1"/>
  <c r="I74" i="15"/>
  <c r="I28" i="15" s="1"/>
  <c r="Y74" i="15"/>
  <c r="Y28" i="15" s="1"/>
  <c r="AO74" i="15"/>
  <c r="AO28" i="15" s="1"/>
  <c r="BE74" i="15"/>
  <c r="BE28" i="15" s="1"/>
  <c r="BU74" i="15"/>
  <c r="BU28" i="15" s="1"/>
  <c r="CK74" i="15"/>
  <c r="CK28" i="15" s="1"/>
  <c r="DA74" i="15"/>
  <c r="DA28" i="15" s="1"/>
  <c r="DQ74" i="15"/>
  <c r="DQ28" i="15" s="1"/>
  <c r="EG74" i="15"/>
  <c r="EG28" i="15" s="1"/>
  <c r="S74" i="15"/>
  <c r="S28" i="15" s="1"/>
  <c r="AI74" i="15"/>
  <c r="AI28" i="15" s="1"/>
  <c r="AY74" i="15"/>
  <c r="AY28" i="15" s="1"/>
  <c r="BO74" i="15"/>
  <c r="BO28" i="15" s="1"/>
  <c r="CE74" i="15"/>
  <c r="CE28" i="15" s="1"/>
  <c r="CU74" i="15"/>
  <c r="CU28" i="15" s="1"/>
  <c r="DK74" i="15"/>
  <c r="DK28" i="15" s="1"/>
  <c r="EA74" i="15"/>
  <c r="EA28" i="15" s="1"/>
  <c r="EQ74" i="15"/>
  <c r="EQ28" i="15" s="1"/>
  <c r="L74" i="15"/>
  <c r="L28" i="15" s="1"/>
  <c r="AB74" i="15"/>
  <c r="AB28" i="15" s="1"/>
  <c r="AR74" i="15"/>
  <c r="AR28" i="15" s="1"/>
  <c r="BH74" i="15"/>
  <c r="BH28" i="15" s="1"/>
  <c r="BX74" i="15"/>
  <c r="BX28" i="15" s="1"/>
  <c r="CN74" i="15"/>
  <c r="CN28" i="15" s="1"/>
  <c r="DD74" i="15"/>
  <c r="DD28" i="15" s="1"/>
  <c r="DT74" i="15"/>
  <c r="DT28" i="15" s="1"/>
  <c r="EJ74" i="15"/>
  <c r="EJ28" i="15" s="1"/>
  <c r="M74" i="15"/>
  <c r="M28" i="15" s="1"/>
  <c r="AC74" i="15"/>
  <c r="AC28" i="15" s="1"/>
  <c r="AS74" i="15"/>
  <c r="AS28" i="15" s="1"/>
  <c r="BI74" i="15"/>
  <c r="BI28" i="15" s="1"/>
  <c r="BY74" i="15"/>
  <c r="BY28" i="15" s="1"/>
  <c r="CO74" i="15"/>
  <c r="CO28" i="15" s="1"/>
  <c r="DE74" i="15"/>
  <c r="DE28" i="15" s="1"/>
  <c r="DU74" i="15"/>
  <c r="DU28" i="15" s="1"/>
  <c r="EK74" i="15"/>
  <c r="EK28" i="15" s="1"/>
  <c r="W74" i="15"/>
  <c r="W28" i="15" s="1"/>
  <c r="AM74" i="15"/>
  <c r="AM28" i="15" s="1"/>
  <c r="BC74" i="15"/>
  <c r="BC28" i="15" s="1"/>
  <c r="BS74" i="15"/>
  <c r="BS28" i="15" s="1"/>
  <c r="CI74" i="15"/>
  <c r="CI28" i="15" s="1"/>
  <c r="CY74" i="15"/>
  <c r="CY28" i="15" s="1"/>
  <c r="DO74" i="15"/>
  <c r="DO28" i="15" s="1"/>
  <c r="EE74" i="15"/>
  <c r="EE28" i="15" s="1"/>
  <c r="P74" i="15"/>
  <c r="P28" i="15" s="1"/>
  <c r="AF74" i="15"/>
  <c r="AF28" i="15" s="1"/>
  <c r="AV74" i="15"/>
  <c r="AV28" i="15" s="1"/>
  <c r="BL74" i="15"/>
  <c r="BL28" i="15" s="1"/>
  <c r="CB74" i="15"/>
  <c r="CB28" i="15" s="1"/>
  <c r="CR74" i="15"/>
  <c r="CR28" i="15" s="1"/>
  <c r="DH74" i="15"/>
  <c r="DH28" i="15" s="1"/>
  <c r="DX74" i="15"/>
  <c r="DX28" i="15" s="1"/>
  <c r="EN74" i="15"/>
  <c r="EN28" i="15" s="1"/>
  <c r="Q74" i="15"/>
  <c r="Q28" i="15" s="1"/>
  <c r="AG74" i="15"/>
  <c r="AG28" i="15" s="1"/>
  <c r="AW74" i="15"/>
  <c r="AW28" i="15" s="1"/>
  <c r="BM74" i="15"/>
  <c r="BM28" i="15" s="1"/>
  <c r="CC74" i="15"/>
  <c r="CC28" i="15" s="1"/>
  <c r="CS74" i="15"/>
  <c r="CS28" i="15" s="1"/>
  <c r="DI74" i="15"/>
  <c r="DI28" i="15" s="1"/>
  <c r="DY74" i="15"/>
  <c r="DY28" i="15" s="1"/>
  <c r="EO74" i="15"/>
  <c r="EO28" i="15" s="1"/>
  <c r="K74" i="15"/>
  <c r="K28" i="15" s="1"/>
  <c r="AA74" i="15"/>
  <c r="AA28" i="15" s="1"/>
  <c r="AQ74" i="15"/>
  <c r="AQ28" i="15" s="1"/>
  <c r="BG74" i="15"/>
  <c r="BG28" i="15" s="1"/>
  <c r="BW74" i="15"/>
  <c r="BW28" i="15" s="1"/>
  <c r="CM74" i="15"/>
  <c r="CM28" i="15" s="1"/>
  <c r="DC74" i="15"/>
  <c r="DC28" i="15" s="1"/>
  <c r="DS74" i="15"/>
  <c r="DS28" i="15" s="1"/>
  <c r="EI74" i="15"/>
  <c r="EI28" i="15" s="1"/>
  <c r="T74" i="15"/>
  <c r="T28" i="15" s="1"/>
  <c r="AJ74" i="15"/>
  <c r="AJ28" i="15" s="1"/>
  <c r="AZ74" i="15"/>
  <c r="AZ28" i="15" s="1"/>
  <c r="BP74" i="15"/>
  <c r="BP28" i="15" s="1"/>
  <c r="CF74" i="15"/>
  <c r="CF28" i="15" s="1"/>
  <c r="CV74" i="15"/>
  <c r="CV28" i="15" s="1"/>
  <c r="DL74" i="15"/>
  <c r="DL28" i="15" s="1"/>
  <c r="EB74" i="15"/>
  <c r="EB28" i="15" s="1"/>
  <c r="ER74" i="15"/>
  <c r="ER28" i="15" s="1"/>
  <c r="U74" i="15"/>
  <c r="U28" i="15" s="1"/>
  <c r="AK74" i="15"/>
  <c r="AK28" i="15" s="1"/>
  <c r="BA74" i="15"/>
  <c r="BA28" i="15" s="1"/>
  <c r="BQ74" i="15"/>
  <c r="BQ28" i="15" s="1"/>
  <c r="CG74" i="15"/>
  <c r="CG28" i="15" s="1"/>
  <c r="CW74" i="15"/>
  <c r="CW28" i="15" s="1"/>
  <c r="DM74" i="15"/>
  <c r="DM28" i="15" s="1"/>
  <c r="EC74" i="15"/>
  <c r="EC28" i="15" s="1"/>
  <c r="ES74" i="15"/>
  <c r="ES28" i="15" s="1"/>
  <c r="V74" i="15"/>
  <c r="V28" i="15" s="1"/>
  <c r="AL74" i="15"/>
  <c r="AL28" i="15" s="1"/>
  <c r="BB74" i="15"/>
  <c r="BB28" i="15" s="1"/>
  <c r="BR74" i="15"/>
  <c r="BR28" i="15" s="1"/>
  <c r="CH74" i="15"/>
  <c r="CH28" i="15" s="1"/>
  <c r="CX74" i="15"/>
  <c r="CX28" i="15" s="1"/>
  <c r="DN74" i="15"/>
  <c r="DN28" i="15" s="1"/>
  <c r="ED74" i="15"/>
  <c r="ED28" i="15" s="1"/>
  <c r="ET74" i="15"/>
  <c r="ET28" i="15" s="1"/>
  <c r="J74" i="15"/>
  <c r="J28" i="15" s="1"/>
  <c r="Z74" i="15"/>
  <c r="Z28" i="15" s="1"/>
  <c r="AP74" i="15"/>
  <c r="AP28" i="15" s="1"/>
  <c r="BF74" i="15"/>
  <c r="BF28" i="15" s="1"/>
  <c r="BV74" i="15"/>
  <c r="BV28" i="15" s="1"/>
  <c r="CL74" i="15"/>
  <c r="CL28" i="15" s="1"/>
  <c r="DB74" i="15"/>
  <c r="DB28" i="15" s="1"/>
  <c r="DR74" i="15"/>
  <c r="DR28" i="15" s="1"/>
  <c r="EH74" i="15"/>
  <c r="EH28" i="15" s="1"/>
  <c r="N74" i="15"/>
  <c r="N28" i="15" s="1"/>
  <c r="AD74" i="15"/>
  <c r="AD28" i="15" s="1"/>
  <c r="AT74" i="15"/>
  <c r="AT28" i="15" s="1"/>
  <c r="BJ74" i="15"/>
  <c r="BJ28" i="15" s="1"/>
  <c r="BZ74" i="15"/>
  <c r="BZ28" i="15" s="1"/>
  <c r="CP74" i="15"/>
  <c r="CP28" i="15" s="1"/>
  <c r="DF74" i="15"/>
  <c r="DF28" i="15" s="1"/>
  <c r="DV74" i="15"/>
  <c r="DV28" i="15" s="1"/>
  <c r="EL74" i="15"/>
  <c r="EL28" i="15" s="1"/>
  <c r="R74" i="15"/>
  <c r="R28" i="15" s="1"/>
  <c r="AH74" i="15"/>
  <c r="AH28" i="15" s="1"/>
  <c r="AX74" i="15"/>
  <c r="AX28" i="15" s="1"/>
  <c r="BN74" i="15"/>
  <c r="BN28" i="15" s="1"/>
  <c r="CD74" i="15"/>
  <c r="CD28" i="15" s="1"/>
  <c r="CT74" i="15"/>
  <c r="CT28" i="15" s="1"/>
  <c r="DJ74" i="15"/>
  <c r="DJ28" i="15" s="1"/>
  <c r="DZ74" i="15"/>
  <c r="DZ28" i="15" s="1"/>
  <c r="EP74" i="15"/>
  <c r="EP28" i="15" s="1"/>
  <c r="G74" i="15"/>
  <c r="G28" i="15" s="1"/>
  <c r="F29" i="15"/>
  <c r="F29" i="10"/>
  <c r="DE28" i="10"/>
  <c r="D80" i="2"/>
  <c r="AR41" i="5"/>
  <c r="C76" i="5" s="1"/>
  <c r="D76" i="5" l="1"/>
  <c r="S76" i="5"/>
  <c r="O76" i="5"/>
  <c r="K76" i="5"/>
  <c r="G76" i="5"/>
  <c r="R76" i="5"/>
  <c r="M76" i="5"/>
  <c r="H76" i="5"/>
  <c r="P76" i="5"/>
  <c r="I76" i="5"/>
  <c r="J76" i="5"/>
  <c r="N76" i="5"/>
  <c r="F76" i="5"/>
  <c r="Q76" i="5"/>
  <c r="T76" i="5"/>
  <c r="L76" i="5"/>
  <c r="E76" i="5"/>
  <c r="H80" i="2"/>
  <c r="L80" i="2"/>
  <c r="P80" i="2"/>
  <c r="T80" i="2"/>
  <c r="I80" i="2"/>
  <c r="M80" i="2"/>
  <c r="Q80" i="2"/>
  <c r="U80" i="2"/>
  <c r="J80" i="2"/>
  <c r="N80" i="2"/>
  <c r="R80" i="2"/>
  <c r="S80" i="2"/>
  <c r="K80" i="2"/>
  <c r="O80" i="2"/>
  <c r="D1739" i="12"/>
  <c r="E1738" i="12"/>
  <c r="F1738" i="12"/>
  <c r="EQ36" i="5"/>
  <c r="BF41" i="5"/>
  <c r="BC41" i="5"/>
  <c r="AR37" i="2"/>
  <c r="BB36" i="2"/>
  <c r="R75" i="10"/>
  <c r="R29" i="10" s="1"/>
  <c r="AH75" i="10"/>
  <c r="AH29" i="10" s="1"/>
  <c r="AX75" i="10"/>
  <c r="AX29" i="10" s="1"/>
  <c r="BN75" i="10"/>
  <c r="BN29" i="10" s="1"/>
  <c r="CD75" i="10"/>
  <c r="CD29" i="10" s="1"/>
  <c r="CT75" i="10"/>
  <c r="CT29" i="10" s="1"/>
  <c r="DJ75" i="10"/>
  <c r="DJ29" i="10" s="1"/>
  <c r="DZ75" i="10"/>
  <c r="DZ29" i="10" s="1"/>
  <c r="EP75" i="10"/>
  <c r="EP29" i="10" s="1"/>
  <c r="S75" i="10"/>
  <c r="S29" i="10" s="1"/>
  <c r="AI75" i="10"/>
  <c r="AI29" i="10" s="1"/>
  <c r="AY75" i="10"/>
  <c r="AY29" i="10" s="1"/>
  <c r="BO75" i="10"/>
  <c r="BO29" i="10" s="1"/>
  <c r="CE75" i="10"/>
  <c r="CE29" i="10" s="1"/>
  <c r="CU75" i="10"/>
  <c r="CU29" i="10" s="1"/>
  <c r="DK75" i="10"/>
  <c r="DK29" i="10" s="1"/>
  <c r="EA75" i="10"/>
  <c r="EA29" i="10" s="1"/>
  <c r="EQ75" i="10"/>
  <c r="EQ29" i="10" s="1"/>
  <c r="J75" i="10"/>
  <c r="J29" i="10" s="1"/>
  <c r="Z75" i="10"/>
  <c r="Z29" i="10" s="1"/>
  <c r="AP75" i="10"/>
  <c r="AP29" i="10" s="1"/>
  <c r="BF75" i="10"/>
  <c r="BF29" i="10" s="1"/>
  <c r="BV75" i="10"/>
  <c r="BV29" i="10" s="1"/>
  <c r="CL75" i="10"/>
  <c r="CL29" i="10" s="1"/>
  <c r="DB75" i="10"/>
  <c r="DB29" i="10" s="1"/>
  <c r="DR75" i="10"/>
  <c r="DR29" i="10" s="1"/>
  <c r="EH75" i="10"/>
  <c r="EH29" i="10" s="1"/>
  <c r="K75" i="10"/>
  <c r="K29" i="10" s="1"/>
  <c r="AA75" i="10"/>
  <c r="AA29" i="10" s="1"/>
  <c r="AQ75" i="10"/>
  <c r="AQ29" i="10" s="1"/>
  <c r="BG75" i="10"/>
  <c r="BG29" i="10" s="1"/>
  <c r="BW75" i="10"/>
  <c r="BW29" i="10" s="1"/>
  <c r="CM75" i="10"/>
  <c r="CM29" i="10" s="1"/>
  <c r="DC75" i="10"/>
  <c r="DC29" i="10" s="1"/>
  <c r="DS75" i="10"/>
  <c r="DS29" i="10" s="1"/>
  <c r="EI75" i="10"/>
  <c r="EI29" i="10" s="1"/>
  <c r="N75" i="10"/>
  <c r="N29" i="10" s="1"/>
  <c r="AD75" i="10"/>
  <c r="AD29" i="10" s="1"/>
  <c r="AT75" i="10"/>
  <c r="AT29" i="10" s="1"/>
  <c r="BJ75" i="10"/>
  <c r="BJ29" i="10" s="1"/>
  <c r="BZ75" i="10"/>
  <c r="BZ29" i="10" s="1"/>
  <c r="CP75" i="10"/>
  <c r="CP29" i="10" s="1"/>
  <c r="DF75" i="10"/>
  <c r="DF29" i="10" s="1"/>
  <c r="DV75" i="10"/>
  <c r="DV29" i="10" s="1"/>
  <c r="EL75" i="10"/>
  <c r="EL29" i="10" s="1"/>
  <c r="O75" i="10"/>
  <c r="O29" i="10" s="1"/>
  <c r="AE75" i="10"/>
  <c r="AE29" i="10" s="1"/>
  <c r="AU75" i="10"/>
  <c r="AU29" i="10" s="1"/>
  <c r="BK75" i="10"/>
  <c r="BK29" i="10" s="1"/>
  <c r="CA75" i="10"/>
  <c r="CA29" i="10" s="1"/>
  <c r="CQ75" i="10"/>
  <c r="CQ29" i="10" s="1"/>
  <c r="DG75" i="10"/>
  <c r="DG29" i="10" s="1"/>
  <c r="DW75" i="10"/>
  <c r="DW29" i="10" s="1"/>
  <c r="EM75" i="10"/>
  <c r="EM29" i="10" s="1"/>
  <c r="V75" i="10"/>
  <c r="V29" i="10" s="1"/>
  <c r="CH75" i="10"/>
  <c r="CH29" i="10" s="1"/>
  <c r="ET75" i="10"/>
  <c r="ET29" i="10" s="1"/>
  <c r="BC75" i="10"/>
  <c r="BC29" i="10" s="1"/>
  <c r="DO75" i="10"/>
  <c r="DO29" i="10" s="1"/>
  <c r="T75" i="10"/>
  <c r="T29" i="10" s="1"/>
  <c r="AJ75" i="10"/>
  <c r="AJ29" i="10" s="1"/>
  <c r="AZ75" i="10"/>
  <c r="AZ29" i="10" s="1"/>
  <c r="BP75" i="10"/>
  <c r="BP29" i="10" s="1"/>
  <c r="CF75" i="10"/>
  <c r="CF29" i="10" s="1"/>
  <c r="CV75" i="10"/>
  <c r="CV29" i="10" s="1"/>
  <c r="DL75" i="10"/>
  <c r="DL29" i="10" s="1"/>
  <c r="EB75" i="10"/>
  <c r="EB29" i="10" s="1"/>
  <c r="ER75" i="10"/>
  <c r="ER29" i="10" s="1"/>
  <c r="BE75" i="10"/>
  <c r="BE29" i="10" s="1"/>
  <c r="DQ75" i="10"/>
  <c r="DQ29" i="10" s="1"/>
  <c r="AS75" i="10"/>
  <c r="AS29" i="10" s="1"/>
  <c r="DE75" i="10"/>
  <c r="DE29" i="10" s="1"/>
  <c r="CS75" i="10"/>
  <c r="CS29" i="10" s="1"/>
  <c r="AL75" i="10"/>
  <c r="AL29" i="10" s="1"/>
  <c r="CX75" i="10"/>
  <c r="CX29" i="10" s="1"/>
  <c r="BS75" i="10"/>
  <c r="BS29" i="10" s="1"/>
  <c r="EE75" i="10"/>
  <c r="EE29" i="10" s="1"/>
  <c r="X75" i="10"/>
  <c r="X29" i="10" s="1"/>
  <c r="AN75" i="10"/>
  <c r="AN29" i="10" s="1"/>
  <c r="BD75" i="10"/>
  <c r="BD29" i="10" s="1"/>
  <c r="BT75" i="10"/>
  <c r="BT29" i="10" s="1"/>
  <c r="CJ75" i="10"/>
  <c r="CJ29" i="10" s="1"/>
  <c r="CZ75" i="10"/>
  <c r="CZ29" i="10" s="1"/>
  <c r="DP75" i="10"/>
  <c r="DP29" i="10" s="1"/>
  <c r="EF75" i="10"/>
  <c r="EF29" i="10" s="1"/>
  <c r="I75" i="10"/>
  <c r="I29" i="10" s="1"/>
  <c r="BU75" i="10"/>
  <c r="BU29" i="10" s="1"/>
  <c r="EG75" i="10"/>
  <c r="EG29" i="10" s="1"/>
  <c r="BI75" i="10"/>
  <c r="BI29" i="10" s="1"/>
  <c r="DU75" i="10"/>
  <c r="DU29" i="10" s="1"/>
  <c r="BB75" i="10"/>
  <c r="BB29" i="10" s="1"/>
  <c r="DN75" i="10"/>
  <c r="DN29" i="10" s="1"/>
  <c r="W75" i="10"/>
  <c r="W29" i="10" s="1"/>
  <c r="CI75" i="10"/>
  <c r="CI29" i="10" s="1"/>
  <c r="L75" i="10"/>
  <c r="L29" i="10" s="1"/>
  <c r="AB75" i="10"/>
  <c r="AB29" i="10" s="1"/>
  <c r="AR75" i="10"/>
  <c r="AR29" i="10" s="1"/>
  <c r="BH75" i="10"/>
  <c r="BH29" i="10" s="1"/>
  <c r="BX75" i="10"/>
  <c r="BX29" i="10" s="1"/>
  <c r="CN75" i="10"/>
  <c r="CN29" i="10" s="1"/>
  <c r="DD75" i="10"/>
  <c r="DD29" i="10" s="1"/>
  <c r="DT75" i="10"/>
  <c r="DT29" i="10" s="1"/>
  <c r="EJ75" i="10"/>
  <c r="EJ29" i="10" s="1"/>
  <c r="Y75" i="10"/>
  <c r="Y29" i="10" s="1"/>
  <c r="CK75" i="10"/>
  <c r="CK29" i="10" s="1"/>
  <c r="M75" i="10"/>
  <c r="M29" i="10" s="1"/>
  <c r="BY75" i="10"/>
  <c r="BY29" i="10" s="1"/>
  <c r="EK75" i="10"/>
  <c r="EK29" i="10" s="1"/>
  <c r="AG75" i="10"/>
  <c r="AG29" i="10" s="1"/>
  <c r="BR75" i="10"/>
  <c r="BR29" i="10" s="1"/>
  <c r="ED75" i="10"/>
  <c r="ED29" i="10" s="1"/>
  <c r="AM75" i="10"/>
  <c r="AM29" i="10" s="1"/>
  <c r="CY75" i="10"/>
  <c r="CY29" i="10" s="1"/>
  <c r="P75" i="10"/>
  <c r="P29" i="10" s="1"/>
  <c r="AF75" i="10"/>
  <c r="AF29" i="10" s="1"/>
  <c r="AV75" i="10"/>
  <c r="AV29" i="10" s="1"/>
  <c r="BL75" i="10"/>
  <c r="BL29" i="10" s="1"/>
  <c r="CB75" i="10"/>
  <c r="CB29" i="10" s="1"/>
  <c r="CR75" i="10"/>
  <c r="CR29" i="10" s="1"/>
  <c r="DH75" i="10"/>
  <c r="DH29" i="10" s="1"/>
  <c r="DX75" i="10"/>
  <c r="DX29" i="10" s="1"/>
  <c r="EN75" i="10"/>
  <c r="EN29" i="10" s="1"/>
  <c r="AO75" i="10"/>
  <c r="AO29" i="10" s="1"/>
  <c r="DA75" i="10"/>
  <c r="DA29" i="10" s="1"/>
  <c r="AC75" i="10"/>
  <c r="AC29" i="10" s="1"/>
  <c r="CO75" i="10"/>
  <c r="CO29" i="10" s="1"/>
  <c r="BM75" i="10"/>
  <c r="BM29" i="10" s="1"/>
  <c r="CW75" i="10"/>
  <c r="CW29" i="10" s="1"/>
  <c r="AW75" i="10"/>
  <c r="AW29" i="10" s="1"/>
  <c r="DY75" i="10"/>
  <c r="DY29" i="10" s="1"/>
  <c r="EC75" i="10"/>
  <c r="EC29" i="10" s="1"/>
  <c r="CC75" i="10"/>
  <c r="CC29" i="10" s="1"/>
  <c r="DM75" i="10"/>
  <c r="DM29" i="10" s="1"/>
  <c r="AK75" i="10"/>
  <c r="AK29" i="10" s="1"/>
  <c r="DI75" i="10"/>
  <c r="DI29" i="10" s="1"/>
  <c r="BQ75" i="10"/>
  <c r="BQ29" i="10" s="1"/>
  <c r="Q75" i="10"/>
  <c r="Q29" i="10" s="1"/>
  <c r="EO75" i="10"/>
  <c r="EO29" i="10" s="1"/>
  <c r="U75" i="10"/>
  <c r="U29" i="10" s="1"/>
  <c r="ES75" i="10"/>
  <c r="ES29" i="10" s="1"/>
  <c r="BA75" i="10"/>
  <c r="BA29" i="10" s="1"/>
  <c r="CG75" i="10"/>
  <c r="CG29" i="10" s="1"/>
  <c r="H75" i="10"/>
  <c r="H29" i="10" s="1"/>
  <c r="G75" i="10"/>
  <c r="G29" i="10" s="1"/>
  <c r="P75" i="15"/>
  <c r="P29" i="15" s="1"/>
  <c r="AF75" i="15"/>
  <c r="AF29" i="15" s="1"/>
  <c r="AV75" i="15"/>
  <c r="AV29" i="15" s="1"/>
  <c r="BL75" i="15"/>
  <c r="BL29" i="15" s="1"/>
  <c r="CB75" i="15"/>
  <c r="CB29" i="15" s="1"/>
  <c r="CR75" i="15"/>
  <c r="CR29" i="15" s="1"/>
  <c r="DH75" i="15"/>
  <c r="DH29" i="15" s="1"/>
  <c r="DX75" i="15"/>
  <c r="DX29" i="15" s="1"/>
  <c r="EN75" i="15"/>
  <c r="EN29" i="15" s="1"/>
  <c r="I75" i="15"/>
  <c r="I29" i="15" s="1"/>
  <c r="Y75" i="15"/>
  <c r="Y29" i="15" s="1"/>
  <c r="AO75" i="15"/>
  <c r="AO29" i="15" s="1"/>
  <c r="BE75" i="15"/>
  <c r="BE29" i="15" s="1"/>
  <c r="BU75" i="15"/>
  <c r="BU29" i="15" s="1"/>
  <c r="CK75" i="15"/>
  <c r="CK29" i="15" s="1"/>
  <c r="DA75" i="15"/>
  <c r="DA29" i="15" s="1"/>
  <c r="DQ75" i="15"/>
  <c r="DQ29" i="15" s="1"/>
  <c r="EG75" i="15"/>
  <c r="EG29" i="15" s="1"/>
  <c r="J75" i="15"/>
  <c r="J29" i="15" s="1"/>
  <c r="Z75" i="15"/>
  <c r="Z29" i="15" s="1"/>
  <c r="AP75" i="15"/>
  <c r="AP29" i="15" s="1"/>
  <c r="BF75" i="15"/>
  <c r="BF29" i="15" s="1"/>
  <c r="BV75" i="15"/>
  <c r="BV29" i="15" s="1"/>
  <c r="CL75" i="15"/>
  <c r="CL29" i="15" s="1"/>
  <c r="DB75" i="15"/>
  <c r="DB29" i="15" s="1"/>
  <c r="DR75" i="15"/>
  <c r="DR29" i="15" s="1"/>
  <c r="EH75" i="15"/>
  <c r="EH29" i="15" s="1"/>
  <c r="T75" i="15"/>
  <c r="T29" i="15" s="1"/>
  <c r="AJ75" i="15"/>
  <c r="AJ29" i="15" s="1"/>
  <c r="AZ75" i="15"/>
  <c r="AZ29" i="15" s="1"/>
  <c r="BP75" i="15"/>
  <c r="BP29" i="15" s="1"/>
  <c r="CF75" i="15"/>
  <c r="CF29" i="15" s="1"/>
  <c r="CV75" i="15"/>
  <c r="CV29" i="15" s="1"/>
  <c r="DL75" i="15"/>
  <c r="DL29" i="15" s="1"/>
  <c r="EB75" i="15"/>
  <c r="EB29" i="15" s="1"/>
  <c r="ER75" i="15"/>
  <c r="ER29" i="15" s="1"/>
  <c r="M75" i="15"/>
  <c r="M29" i="15" s="1"/>
  <c r="AC75" i="15"/>
  <c r="AC29" i="15" s="1"/>
  <c r="AS75" i="15"/>
  <c r="AS29" i="15" s="1"/>
  <c r="BI75" i="15"/>
  <c r="BI29" i="15" s="1"/>
  <c r="BY75" i="15"/>
  <c r="BY29" i="15" s="1"/>
  <c r="CO75" i="15"/>
  <c r="CO29" i="15" s="1"/>
  <c r="DE75" i="15"/>
  <c r="DE29" i="15" s="1"/>
  <c r="DU75" i="15"/>
  <c r="DU29" i="15" s="1"/>
  <c r="EK75" i="15"/>
  <c r="EK29" i="15" s="1"/>
  <c r="N75" i="15"/>
  <c r="N29" i="15" s="1"/>
  <c r="AD75" i="15"/>
  <c r="AD29" i="15" s="1"/>
  <c r="AT75" i="15"/>
  <c r="AT29" i="15" s="1"/>
  <c r="BJ75" i="15"/>
  <c r="BJ29" i="15" s="1"/>
  <c r="BZ75" i="15"/>
  <c r="BZ29" i="15" s="1"/>
  <c r="CP75" i="15"/>
  <c r="CP29" i="15" s="1"/>
  <c r="DF75" i="15"/>
  <c r="DF29" i="15" s="1"/>
  <c r="DV75" i="15"/>
  <c r="DV29" i="15" s="1"/>
  <c r="EL75" i="15"/>
  <c r="EL29" i="15" s="1"/>
  <c r="H75" i="15"/>
  <c r="H29" i="15" s="1"/>
  <c r="X75" i="15"/>
  <c r="X29" i="15" s="1"/>
  <c r="AN75" i="15"/>
  <c r="AN29" i="15" s="1"/>
  <c r="BD75" i="15"/>
  <c r="BD29" i="15" s="1"/>
  <c r="BT75" i="15"/>
  <c r="BT29" i="15" s="1"/>
  <c r="CJ75" i="15"/>
  <c r="CJ29" i="15" s="1"/>
  <c r="CZ75" i="15"/>
  <c r="CZ29" i="15" s="1"/>
  <c r="DP75" i="15"/>
  <c r="DP29" i="15" s="1"/>
  <c r="EF75" i="15"/>
  <c r="EF29" i="15" s="1"/>
  <c r="Q75" i="15"/>
  <c r="Q29" i="15" s="1"/>
  <c r="AG75" i="15"/>
  <c r="AG29" i="15" s="1"/>
  <c r="AW75" i="15"/>
  <c r="AW29" i="15" s="1"/>
  <c r="BM75" i="15"/>
  <c r="BM29" i="15" s="1"/>
  <c r="CC75" i="15"/>
  <c r="CC29" i="15" s="1"/>
  <c r="CS75" i="15"/>
  <c r="CS29" i="15" s="1"/>
  <c r="DI75" i="15"/>
  <c r="DI29" i="15" s="1"/>
  <c r="DY75" i="15"/>
  <c r="DY29" i="15" s="1"/>
  <c r="EO75" i="15"/>
  <c r="EO29" i="15" s="1"/>
  <c r="R75" i="15"/>
  <c r="R29" i="15" s="1"/>
  <c r="AH75" i="15"/>
  <c r="AH29" i="15" s="1"/>
  <c r="AX75" i="15"/>
  <c r="AX29" i="15" s="1"/>
  <c r="BN75" i="15"/>
  <c r="BN29" i="15" s="1"/>
  <c r="CD75" i="15"/>
  <c r="CD29" i="15" s="1"/>
  <c r="CT75" i="15"/>
  <c r="CT29" i="15" s="1"/>
  <c r="DJ75" i="15"/>
  <c r="DJ29" i="15" s="1"/>
  <c r="DZ75" i="15"/>
  <c r="DZ29" i="15" s="1"/>
  <c r="EP75" i="15"/>
  <c r="EP29" i="15" s="1"/>
  <c r="L75" i="15"/>
  <c r="L29" i="15" s="1"/>
  <c r="AB75" i="15"/>
  <c r="AB29" i="15" s="1"/>
  <c r="AR75" i="15"/>
  <c r="AR29" i="15" s="1"/>
  <c r="BH75" i="15"/>
  <c r="BH29" i="15" s="1"/>
  <c r="BX75" i="15"/>
  <c r="BX29" i="15" s="1"/>
  <c r="CN75" i="15"/>
  <c r="CN29" i="15" s="1"/>
  <c r="DD75" i="15"/>
  <c r="DD29" i="15" s="1"/>
  <c r="DT75" i="15"/>
  <c r="DT29" i="15" s="1"/>
  <c r="EJ75" i="15"/>
  <c r="EJ29" i="15" s="1"/>
  <c r="U75" i="15"/>
  <c r="U29" i="15" s="1"/>
  <c r="AK75" i="15"/>
  <c r="AK29" i="15" s="1"/>
  <c r="BA75" i="15"/>
  <c r="BA29" i="15" s="1"/>
  <c r="BQ75" i="15"/>
  <c r="BQ29" i="15" s="1"/>
  <c r="CG75" i="15"/>
  <c r="CG29" i="15" s="1"/>
  <c r="CW75" i="15"/>
  <c r="CW29" i="15" s="1"/>
  <c r="DM75" i="15"/>
  <c r="DM29" i="15" s="1"/>
  <c r="EC75" i="15"/>
  <c r="EC29" i="15" s="1"/>
  <c r="ES75" i="15"/>
  <c r="ES29" i="15" s="1"/>
  <c r="V75" i="15"/>
  <c r="V29" i="15" s="1"/>
  <c r="AL75" i="15"/>
  <c r="AL29" i="15" s="1"/>
  <c r="BB75" i="15"/>
  <c r="BB29" i="15" s="1"/>
  <c r="BR75" i="15"/>
  <c r="BR29" i="15" s="1"/>
  <c r="CH75" i="15"/>
  <c r="CH29" i="15" s="1"/>
  <c r="CX75" i="15"/>
  <c r="CX29" i="15" s="1"/>
  <c r="DN75" i="15"/>
  <c r="DN29" i="15" s="1"/>
  <c r="ED75" i="15"/>
  <c r="ED29" i="15" s="1"/>
  <c r="ET75" i="15"/>
  <c r="ET29" i="15" s="1"/>
  <c r="W75" i="15"/>
  <c r="W29" i="15" s="1"/>
  <c r="AM75" i="15"/>
  <c r="AM29" i="15" s="1"/>
  <c r="BC75" i="15"/>
  <c r="BC29" i="15" s="1"/>
  <c r="BS75" i="15"/>
  <c r="BS29" i="15" s="1"/>
  <c r="CI75" i="15"/>
  <c r="CI29" i="15" s="1"/>
  <c r="CY75" i="15"/>
  <c r="CY29" i="15" s="1"/>
  <c r="DO75" i="15"/>
  <c r="DO29" i="15" s="1"/>
  <c r="EE75" i="15"/>
  <c r="EE29" i="15" s="1"/>
  <c r="K75" i="15"/>
  <c r="K29" i="15" s="1"/>
  <c r="AA75" i="15"/>
  <c r="AA29" i="15" s="1"/>
  <c r="AQ75" i="15"/>
  <c r="AQ29" i="15" s="1"/>
  <c r="BG75" i="15"/>
  <c r="BG29" i="15" s="1"/>
  <c r="BW75" i="15"/>
  <c r="BW29" i="15" s="1"/>
  <c r="CM75" i="15"/>
  <c r="CM29" i="15" s="1"/>
  <c r="DC75" i="15"/>
  <c r="DC29" i="15" s="1"/>
  <c r="DS75" i="15"/>
  <c r="DS29" i="15" s="1"/>
  <c r="EI75" i="15"/>
  <c r="EI29" i="15" s="1"/>
  <c r="O75" i="15"/>
  <c r="O29" i="15" s="1"/>
  <c r="AE75" i="15"/>
  <c r="AE29" i="15" s="1"/>
  <c r="AU75" i="15"/>
  <c r="AU29" i="15" s="1"/>
  <c r="BK75" i="15"/>
  <c r="BK29" i="15" s="1"/>
  <c r="CA75" i="15"/>
  <c r="CA29" i="15" s="1"/>
  <c r="CQ75" i="15"/>
  <c r="CQ29" i="15" s="1"/>
  <c r="DG75" i="15"/>
  <c r="DG29" i="15" s="1"/>
  <c r="DW75" i="15"/>
  <c r="DW29" i="15" s="1"/>
  <c r="EM75" i="15"/>
  <c r="EM29" i="15" s="1"/>
  <c r="S75" i="15"/>
  <c r="S29" i="15" s="1"/>
  <c r="AI75" i="15"/>
  <c r="AI29" i="15" s="1"/>
  <c r="AY75" i="15"/>
  <c r="AY29" i="15" s="1"/>
  <c r="BO75" i="15"/>
  <c r="BO29" i="15" s="1"/>
  <c r="CE75" i="15"/>
  <c r="CE29" i="15" s="1"/>
  <c r="CU75" i="15"/>
  <c r="CU29" i="15" s="1"/>
  <c r="DK75" i="15"/>
  <c r="DK29" i="15" s="1"/>
  <c r="EA75" i="15"/>
  <c r="EA29" i="15" s="1"/>
  <c r="EQ75" i="15"/>
  <c r="EQ29" i="15" s="1"/>
  <c r="G75" i="15"/>
  <c r="G29" i="15" s="1"/>
  <c r="F30" i="15"/>
  <c r="F30" i="10"/>
  <c r="AR42" i="5"/>
  <c r="C77" i="5" s="1"/>
  <c r="D81" i="2"/>
  <c r="D77" i="5" l="1"/>
  <c r="S77" i="5"/>
  <c r="O77" i="5"/>
  <c r="K77" i="5"/>
  <c r="G77" i="5"/>
  <c r="R77" i="5"/>
  <c r="M77" i="5"/>
  <c r="H77" i="5"/>
  <c r="N77" i="5"/>
  <c r="F77" i="5"/>
  <c r="P77" i="5"/>
  <c r="T77" i="5"/>
  <c r="L77" i="5"/>
  <c r="E77" i="5"/>
  <c r="I77" i="5"/>
  <c r="Q77" i="5"/>
  <c r="J77" i="5"/>
  <c r="H81" i="2"/>
  <c r="K81" i="2"/>
  <c r="O81" i="2"/>
  <c r="S81" i="2"/>
  <c r="L81" i="2"/>
  <c r="P81" i="2"/>
  <c r="T81" i="2"/>
  <c r="I81" i="2"/>
  <c r="M81" i="2"/>
  <c r="Q81" i="2"/>
  <c r="U81" i="2"/>
  <c r="J81" i="2"/>
  <c r="N81" i="2"/>
  <c r="R81" i="2"/>
  <c r="D1740" i="12"/>
  <c r="E1739" i="12"/>
  <c r="F1739" i="12"/>
  <c r="EQ37" i="5"/>
  <c r="BF42" i="5"/>
  <c r="BC42" i="5"/>
  <c r="AR38" i="2"/>
  <c r="BB37" i="2"/>
  <c r="T76" i="10"/>
  <c r="T30" i="10" s="1"/>
  <c r="AJ76" i="10"/>
  <c r="AJ30" i="10" s="1"/>
  <c r="AZ76" i="10"/>
  <c r="AZ30" i="10" s="1"/>
  <c r="BP76" i="10"/>
  <c r="BP30" i="10" s="1"/>
  <c r="CF76" i="10"/>
  <c r="CF30" i="10" s="1"/>
  <c r="CV76" i="10"/>
  <c r="CV30" i="10" s="1"/>
  <c r="DL76" i="10"/>
  <c r="DL30" i="10" s="1"/>
  <c r="EB76" i="10"/>
  <c r="EB30" i="10" s="1"/>
  <c r="ER76" i="10"/>
  <c r="ER30" i="10" s="1"/>
  <c r="U76" i="10"/>
  <c r="U30" i="10" s="1"/>
  <c r="AK76" i="10"/>
  <c r="AK30" i="10" s="1"/>
  <c r="BA76" i="10"/>
  <c r="BA30" i="10" s="1"/>
  <c r="BQ76" i="10"/>
  <c r="BQ30" i="10" s="1"/>
  <c r="CG76" i="10"/>
  <c r="CG30" i="10" s="1"/>
  <c r="CW76" i="10"/>
  <c r="CW30" i="10" s="1"/>
  <c r="DM76" i="10"/>
  <c r="DM30" i="10" s="1"/>
  <c r="EC76" i="10"/>
  <c r="EC30" i="10" s="1"/>
  <c r="ES76" i="10"/>
  <c r="ES30" i="10" s="1"/>
  <c r="L76" i="10"/>
  <c r="L30" i="10" s="1"/>
  <c r="AB76" i="10"/>
  <c r="AB30" i="10" s="1"/>
  <c r="AR76" i="10"/>
  <c r="AR30" i="10" s="1"/>
  <c r="BH76" i="10"/>
  <c r="BH30" i="10" s="1"/>
  <c r="BX76" i="10"/>
  <c r="BX30" i="10" s="1"/>
  <c r="CN76" i="10"/>
  <c r="CN30" i="10" s="1"/>
  <c r="DD76" i="10"/>
  <c r="DD30" i="10" s="1"/>
  <c r="DT76" i="10"/>
  <c r="DT30" i="10" s="1"/>
  <c r="EJ76" i="10"/>
  <c r="EJ30" i="10" s="1"/>
  <c r="M76" i="10"/>
  <c r="M30" i="10" s="1"/>
  <c r="AC76" i="10"/>
  <c r="AC30" i="10" s="1"/>
  <c r="AS76" i="10"/>
  <c r="AS30" i="10" s="1"/>
  <c r="BI76" i="10"/>
  <c r="BI30" i="10" s="1"/>
  <c r="BY76" i="10"/>
  <c r="BY30" i="10" s="1"/>
  <c r="CO76" i="10"/>
  <c r="CO30" i="10" s="1"/>
  <c r="DE76" i="10"/>
  <c r="DE30" i="10" s="1"/>
  <c r="DU76" i="10"/>
  <c r="DU30" i="10" s="1"/>
  <c r="EK76" i="10"/>
  <c r="EK30" i="10" s="1"/>
  <c r="P76" i="10"/>
  <c r="P30" i="10" s="1"/>
  <c r="AF76" i="10"/>
  <c r="AF30" i="10" s="1"/>
  <c r="AV76" i="10"/>
  <c r="AV30" i="10" s="1"/>
  <c r="BL76" i="10"/>
  <c r="BL30" i="10" s="1"/>
  <c r="CB76" i="10"/>
  <c r="CB30" i="10" s="1"/>
  <c r="CR76" i="10"/>
  <c r="CR30" i="10" s="1"/>
  <c r="DH76" i="10"/>
  <c r="DH30" i="10" s="1"/>
  <c r="DX76" i="10"/>
  <c r="DX30" i="10" s="1"/>
  <c r="EN76" i="10"/>
  <c r="EN30" i="10" s="1"/>
  <c r="Q76" i="10"/>
  <c r="Q30" i="10" s="1"/>
  <c r="AG76" i="10"/>
  <c r="AG30" i="10" s="1"/>
  <c r="AW76" i="10"/>
  <c r="AW30" i="10" s="1"/>
  <c r="BM76" i="10"/>
  <c r="BM30" i="10" s="1"/>
  <c r="CC76" i="10"/>
  <c r="CC30" i="10" s="1"/>
  <c r="CS76" i="10"/>
  <c r="CS30" i="10" s="1"/>
  <c r="DI76" i="10"/>
  <c r="DI30" i="10" s="1"/>
  <c r="DY76" i="10"/>
  <c r="DY30" i="10" s="1"/>
  <c r="EO76" i="10"/>
  <c r="EO30" i="10" s="1"/>
  <c r="BT76" i="10"/>
  <c r="BT30" i="10" s="1"/>
  <c r="EF76" i="10"/>
  <c r="EF30" i="10" s="1"/>
  <c r="AO76" i="10"/>
  <c r="AO30" i="10" s="1"/>
  <c r="DA76" i="10"/>
  <c r="DA30" i="10" s="1"/>
  <c r="V76" i="10"/>
  <c r="V30" i="10" s="1"/>
  <c r="AL76" i="10"/>
  <c r="AL30" i="10" s="1"/>
  <c r="BB76" i="10"/>
  <c r="BB30" i="10" s="1"/>
  <c r="BR76" i="10"/>
  <c r="BR30" i="10" s="1"/>
  <c r="CH76" i="10"/>
  <c r="CH30" i="10" s="1"/>
  <c r="CX76" i="10"/>
  <c r="CX30" i="10" s="1"/>
  <c r="DN76" i="10"/>
  <c r="DN30" i="10" s="1"/>
  <c r="ED76" i="10"/>
  <c r="ED30" i="10" s="1"/>
  <c r="ET76" i="10"/>
  <c r="ET30" i="10" s="1"/>
  <c r="AQ76" i="10"/>
  <c r="AQ30" i="10" s="1"/>
  <c r="DC76" i="10"/>
  <c r="DC30" i="10" s="1"/>
  <c r="AE76" i="10"/>
  <c r="AE30" i="10" s="1"/>
  <c r="CQ76" i="10"/>
  <c r="CQ30" i="10" s="1"/>
  <c r="CE76" i="10"/>
  <c r="CE30" i="10" s="1"/>
  <c r="X76" i="10"/>
  <c r="X30" i="10" s="1"/>
  <c r="CJ76" i="10"/>
  <c r="CJ30" i="10" s="1"/>
  <c r="BE76" i="10"/>
  <c r="BE30" i="10" s="1"/>
  <c r="DQ76" i="10"/>
  <c r="DQ30" i="10" s="1"/>
  <c r="J76" i="10"/>
  <c r="J30" i="10" s="1"/>
  <c r="Z76" i="10"/>
  <c r="Z30" i="10" s="1"/>
  <c r="AP76" i="10"/>
  <c r="AP30" i="10" s="1"/>
  <c r="BF76" i="10"/>
  <c r="BF30" i="10" s="1"/>
  <c r="BV76" i="10"/>
  <c r="BV30" i="10" s="1"/>
  <c r="CL76" i="10"/>
  <c r="CL30" i="10" s="1"/>
  <c r="DB76" i="10"/>
  <c r="DB30" i="10" s="1"/>
  <c r="DR76" i="10"/>
  <c r="DR30" i="10" s="1"/>
  <c r="EH76" i="10"/>
  <c r="EH30" i="10" s="1"/>
  <c r="BG76" i="10"/>
  <c r="BG30" i="10" s="1"/>
  <c r="DS76" i="10"/>
  <c r="DS30" i="10" s="1"/>
  <c r="AU76" i="10"/>
  <c r="AU30" i="10" s="1"/>
  <c r="DG76" i="10"/>
  <c r="DG30" i="10" s="1"/>
  <c r="AN76" i="10"/>
  <c r="AN30" i="10" s="1"/>
  <c r="CZ76" i="10"/>
  <c r="CZ30" i="10" s="1"/>
  <c r="I76" i="10"/>
  <c r="I30" i="10" s="1"/>
  <c r="BU76" i="10"/>
  <c r="BU30" i="10" s="1"/>
  <c r="EG76" i="10"/>
  <c r="EG30" i="10" s="1"/>
  <c r="N76" i="10"/>
  <c r="N30" i="10" s="1"/>
  <c r="AD76" i="10"/>
  <c r="AD30" i="10" s="1"/>
  <c r="AT76" i="10"/>
  <c r="AT30" i="10" s="1"/>
  <c r="BJ76" i="10"/>
  <c r="BJ30" i="10" s="1"/>
  <c r="BZ76" i="10"/>
  <c r="BZ30" i="10" s="1"/>
  <c r="CP76" i="10"/>
  <c r="CP30" i="10" s="1"/>
  <c r="DF76" i="10"/>
  <c r="DF30" i="10" s="1"/>
  <c r="DV76" i="10"/>
  <c r="DV30" i="10" s="1"/>
  <c r="EL76" i="10"/>
  <c r="EL30" i="10" s="1"/>
  <c r="K76" i="10"/>
  <c r="K30" i="10" s="1"/>
  <c r="BW76" i="10"/>
  <c r="BW30" i="10" s="1"/>
  <c r="EI76" i="10"/>
  <c r="EI30" i="10" s="1"/>
  <c r="BK76" i="10"/>
  <c r="BK30" i="10" s="1"/>
  <c r="DW76" i="10"/>
  <c r="DW30" i="10" s="1"/>
  <c r="S76" i="10"/>
  <c r="S30" i="10" s="1"/>
  <c r="EQ76" i="10"/>
  <c r="EQ30" i="10" s="1"/>
  <c r="BD76" i="10"/>
  <c r="BD30" i="10" s="1"/>
  <c r="DP76" i="10"/>
  <c r="DP30" i="10" s="1"/>
  <c r="Y76" i="10"/>
  <c r="Y30" i="10" s="1"/>
  <c r="CK76" i="10"/>
  <c r="CK30" i="10" s="1"/>
  <c r="R76" i="10"/>
  <c r="R30" i="10" s="1"/>
  <c r="AH76" i="10"/>
  <c r="AH30" i="10" s="1"/>
  <c r="AX76" i="10"/>
  <c r="AX30" i="10" s="1"/>
  <c r="BN76" i="10"/>
  <c r="BN30" i="10" s="1"/>
  <c r="CD76" i="10"/>
  <c r="CD30" i="10" s="1"/>
  <c r="CT76" i="10"/>
  <c r="CT30" i="10" s="1"/>
  <c r="DJ76" i="10"/>
  <c r="DJ30" i="10" s="1"/>
  <c r="DZ76" i="10"/>
  <c r="DZ30" i="10" s="1"/>
  <c r="EP76" i="10"/>
  <c r="EP30" i="10" s="1"/>
  <c r="AA76" i="10"/>
  <c r="AA30" i="10" s="1"/>
  <c r="CM76" i="10"/>
  <c r="CM30" i="10" s="1"/>
  <c r="O76" i="10"/>
  <c r="O30" i="10" s="1"/>
  <c r="CA76" i="10"/>
  <c r="CA30" i="10" s="1"/>
  <c r="EM76" i="10"/>
  <c r="EM30" i="10" s="1"/>
  <c r="AY76" i="10"/>
  <c r="AY30" i="10" s="1"/>
  <c r="CI76" i="10"/>
  <c r="CI30" i="10" s="1"/>
  <c r="AI76" i="10"/>
  <c r="AI30" i="10" s="1"/>
  <c r="DO76" i="10"/>
  <c r="DO30" i="10" s="1"/>
  <c r="BO76" i="10"/>
  <c r="BO30" i="10" s="1"/>
  <c r="DK76" i="10"/>
  <c r="DK30" i="10" s="1"/>
  <c r="W76" i="10"/>
  <c r="W30" i="10" s="1"/>
  <c r="CU76" i="10"/>
  <c r="CU30" i="10" s="1"/>
  <c r="CY76" i="10"/>
  <c r="CY30" i="10" s="1"/>
  <c r="BC76" i="10"/>
  <c r="BC30" i="10" s="1"/>
  <c r="EA76" i="10"/>
  <c r="EA30" i="10" s="1"/>
  <c r="AM76" i="10"/>
  <c r="AM30" i="10" s="1"/>
  <c r="EE76" i="10"/>
  <c r="EE30" i="10" s="1"/>
  <c r="BS76" i="10"/>
  <c r="BS30" i="10" s="1"/>
  <c r="G76" i="10"/>
  <c r="G30" i="10" s="1"/>
  <c r="H76" i="10"/>
  <c r="H30" i="10" s="1"/>
  <c r="Q76" i="15"/>
  <c r="Q30" i="15" s="1"/>
  <c r="AG76" i="15"/>
  <c r="AG30" i="15" s="1"/>
  <c r="AW76" i="15"/>
  <c r="AW30" i="15" s="1"/>
  <c r="BM76" i="15"/>
  <c r="BM30" i="15" s="1"/>
  <c r="CC76" i="15"/>
  <c r="CC30" i="15" s="1"/>
  <c r="CS76" i="15"/>
  <c r="CS30" i="15" s="1"/>
  <c r="DI76" i="15"/>
  <c r="DI30" i="15" s="1"/>
  <c r="DY76" i="15"/>
  <c r="DY30" i="15" s="1"/>
  <c r="EO76" i="15"/>
  <c r="EO30" i="15" s="1"/>
  <c r="J76" i="15"/>
  <c r="J30" i="15" s="1"/>
  <c r="Z76" i="15"/>
  <c r="Z30" i="15" s="1"/>
  <c r="AP76" i="15"/>
  <c r="AP30" i="15" s="1"/>
  <c r="BF76" i="15"/>
  <c r="BF30" i="15" s="1"/>
  <c r="BV76" i="15"/>
  <c r="BV30" i="15" s="1"/>
  <c r="K76" i="15"/>
  <c r="K30" i="15" s="1"/>
  <c r="AA76" i="15"/>
  <c r="AA30" i="15" s="1"/>
  <c r="AQ76" i="15"/>
  <c r="AQ30" i="15" s="1"/>
  <c r="BG76" i="15"/>
  <c r="BG30" i="15" s="1"/>
  <c r="BW76" i="15"/>
  <c r="BW30" i="15" s="1"/>
  <c r="CM76" i="15"/>
  <c r="CM30" i="15" s="1"/>
  <c r="DC76" i="15"/>
  <c r="DC30" i="15" s="1"/>
  <c r="DS76" i="15"/>
  <c r="DS30" i="15" s="1"/>
  <c r="EI76" i="15"/>
  <c r="EI30" i="15" s="1"/>
  <c r="U76" i="15"/>
  <c r="U30" i="15" s="1"/>
  <c r="AK76" i="15"/>
  <c r="AK30" i="15" s="1"/>
  <c r="BA76" i="15"/>
  <c r="BA30" i="15" s="1"/>
  <c r="BQ76" i="15"/>
  <c r="BQ30" i="15" s="1"/>
  <c r="CG76" i="15"/>
  <c r="CG30" i="15" s="1"/>
  <c r="CW76" i="15"/>
  <c r="CW30" i="15" s="1"/>
  <c r="DM76" i="15"/>
  <c r="DM30" i="15" s="1"/>
  <c r="EC76" i="15"/>
  <c r="EC30" i="15" s="1"/>
  <c r="ES76" i="15"/>
  <c r="ES30" i="15" s="1"/>
  <c r="N76" i="15"/>
  <c r="N30" i="15" s="1"/>
  <c r="AD76" i="15"/>
  <c r="AD30" i="15" s="1"/>
  <c r="AT76" i="15"/>
  <c r="AT30" i="15" s="1"/>
  <c r="BJ76" i="15"/>
  <c r="BJ30" i="15" s="1"/>
  <c r="BZ76" i="15"/>
  <c r="BZ30" i="15" s="1"/>
  <c r="O76" i="15"/>
  <c r="O30" i="15" s="1"/>
  <c r="AE76" i="15"/>
  <c r="AE30" i="15" s="1"/>
  <c r="AU76" i="15"/>
  <c r="AU30" i="15" s="1"/>
  <c r="BK76" i="15"/>
  <c r="BK30" i="15" s="1"/>
  <c r="CA76" i="15"/>
  <c r="CA30" i="15" s="1"/>
  <c r="CQ76" i="15"/>
  <c r="CQ30" i="15" s="1"/>
  <c r="DG76" i="15"/>
  <c r="DG30" i="15" s="1"/>
  <c r="DW76" i="15"/>
  <c r="DW30" i="15" s="1"/>
  <c r="EM76" i="15"/>
  <c r="EM30" i="15" s="1"/>
  <c r="I76" i="15"/>
  <c r="I30" i="15" s="1"/>
  <c r="Y76" i="15"/>
  <c r="Y30" i="15" s="1"/>
  <c r="AO76" i="15"/>
  <c r="AO30" i="15" s="1"/>
  <c r="BE76" i="15"/>
  <c r="BE30" i="15" s="1"/>
  <c r="BU76" i="15"/>
  <c r="BU30" i="15" s="1"/>
  <c r="CK76" i="15"/>
  <c r="CK30" i="15" s="1"/>
  <c r="DA76" i="15"/>
  <c r="DA30" i="15" s="1"/>
  <c r="DQ76" i="15"/>
  <c r="DQ30" i="15" s="1"/>
  <c r="EG76" i="15"/>
  <c r="EG30" i="15" s="1"/>
  <c r="R76" i="15"/>
  <c r="R30" i="15" s="1"/>
  <c r="AH76" i="15"/>
  <c r="AH30" i="15" s="1"/>
  <c r="AX76" i="15"/>
  <c r="AX30" i="15" s="1"/>
  <c r="BN76" i="15"/>
  <c r="BN30" i="15" s="1"/>
  <c r="CD76" i="15"/>
  <c r="CD30" i="15" s="1"/>
  <c r="S76" i="15"/>
  <c r="S30" i="15" s="1"/>
  <c r="AI76" i="15"/>
  <c r="AI30" i="15" s="1"/>
  <c r="AY76" i="15"/>
  <c r="AY30" i="15" s="1"/>
  <c r="BO76" i="15"/>
  <c r="BO30" i="15" s="1"/>
  <c r="CE76" i="15"/>
  <c r="CE30" i="15" s="1"/>
  <c r="CU76" i="15"/>
  <c r="CU30" i="15" s="1"/>
  <c r="DK76" i="15"/>
  <c r="DK30" i="15" s="1"/>
  <c r="EA76" i="15"/>
  <c r="EA30" i="15" s="1"/>
  <c r="EQ76" i="15"/>
  <c r="EQ30" i="15" s="1"/>
  <c r="M76" i="15"/>
  <c r="M30" i="15" s="1"/>
  <c r="AC76" i="15"/>
  <c r="AC30" i="15" s="1"/>
  <c r="AS76" i="15"/>
  <c r="AS30" i="15" s="1"/>
  <c r="BI76" i="15"/>
  <c r="BI30" i="15" s="1"/>
  <c r="BY76" i="15"/>
  <c r="BY30" i="15" s="1"/>
  <c r="CO76" i="15"/>
  <c r="CO30" i="15" s="1"/>
  <c r="DE76" i="15"/>
  <c r="DE30" i="15" s="1"/>
  <c r="DU76" i="15"/>
  <c r="DU30" i="15" s="1"/>
  <c r="EK76" i="15"/>
  <c r="EK30" i="15" s="1"/>
  <c r="V76" i="15"/>
  <c r="V30" i="15" s="1"/>
  <c r="AL76" i="15"/>
  <c r="AL30" i="15" s="1"/>
  <c r="BB76" i="15"/>
  <c r="BB30" i="15" s="1"/>
  <c r="BR76" i="15"/>
  <c r="BR30" i="15" s="1"/>
  <c r="CH76" i="15"/>
  <c r="CH30" i="15" s="1"/>
  <c r="W76" i="15"/>
  <c r="W30" i="15" s="1"/>
  <c r="AM76" i="15"/>
  <c r="AM30" i="15" s="1"/>
  <c r="BC76" i="15"/>
  <c r="BC30" i="15" s="1"/>
  <c r="BS76" i="15"/>
  <c r="BS30" i="15" s="1"/>
  <c r="CI76" i="15"/>
  <c r="CI30" i="15" s="1"/>
  <c r="CY76" i="15"/>
  <c r="CY30" i="15" s="1"/>
  <c r="DO76" i="15"/>
  <c r="DO30" i="15" s="1"/>
  <c r="EE76" i="15"/>
  <c r="EE30" i="15" s="1"/>
  <c r="H76" i="15"/>
  <c r="H30" i="15" s="1"/>
  <c r="X76" i="15"/>
  <c r="X30" i="15" s="1"/>
  <c r="AN76" i="15"/>
  <c r="AN30" i="15" s="1"/>
  <c r="BD76" i="15"/>
  <c r="BD30" i="15" s="1"/>
  <c r="BT76" i="15"/>
  <c r="BT30" i="15" s="1"/>
  <c r="CJ76" i="15"/>
  <c r="CJ30" i="15" s="1"/>
  <c r="CZ76" i="15"/>
  <c r="CZ30" i="15" s="1"/>
  <c r="DP76" i="15"/>
  <c r="DP30" i="15" s="1"/>
  <c r="EF76" i="15"/>
  <c r="EF30" i="15" s="1"/>
  <c r="DB76" i="15"/>
  <c r="DB30" i="15" s="1"/>
  <c r="CP76" i="15"/>
  <c r="CP30" i="15" s="1"/>
  <c r="DZ76" i="15"/>
  <c r="DZ30" i="15" s="1"/>
  <c r="L76" i="15"/>
  <c r="L30" i="15" s="1"/>
  <c r="AB76" i="15"/>
  <c r="AB30" i="15" s="1"/>
  <c r="AR76" i="15"/>
  <c r="AR30" i="15" s="1"/>
  <c r="BH76" i="15"/>
  <c r="BH30" i="15" s="1"/>
  <c r="BX76" i="15"/>
  <c r="BX30" i="15" s="1"/>
  <c r="CN76" i="15"/>
  <c r="CN30" i="15" s="1"/>
  <c r="DD76" i="15"/>
  <c r="DD30" i="15" s="1"/>
  <c r="DT76" i="15"/>
  <c r="DT30" i="15" s="1"/>
  <c r="EJ76" i="15"/>
  <c r="EJ30" i="15" s="1"/>
  <c r="DR76" i="15"/>
  <c r="DR30" i="15" s="1"/>
  <c r="DF76" i="15"/>
  <c r="DF30" i="15" s="1"/>
  <c r="EP76" i="15"/>
  <c r="EP30" i="15" s="1"/>
  <c r="P76" i="15"/>
  <c r="P30" i="15" s="1"/>
  <c r="AF76" i="15"/>
  <c r="AF30" i="15" s="1"/>
  <c r="AV76" i="15"/>
  <c r="AV30" i="15" s="1"/>
  <c r="BL76" i="15"/>
  <c r="BL30" i="15" s="1"/>
  <c r="CB76" i="15"/>
  <c r="CB30" i="15" s="1"/>
  <c r="CR76" i="15"/>
  <c r="CR30" i="15" s="1"/>
  <c r="DH76" i="15"/>
  <c r="DH30" i="15" s="1"/>
  <c r="DX76" i="15"/>
  <c r="DX30" i="15" s="1"/>
  <c r="EN76" i="15"/>
  <c r="EN30" i="15" s="1"/>
  <c r="EH76" i="15"/>
  <c r="EH30" i="15" s="1"/>
  <c r="DV76" i="15"/>
  <c r="DV30" i="15" s="1"/>
  <c r="CT76" i="15"/>
  <c r="CT30" i="15" s="1"/>
  <c r="T76" i="15"/>
  <c r="T30" i="15" s="1"/>
  <c r="AJ76" i="15"/>
  <c r="AJ30" i="15" s="1"/>
  <c r="AZ76" i="15"/>
  <c r="AZ30" i="15" s="1"/>
  <c r="BP76" i="15"/>
  <c r="BP30" i="15" s="1"/>
  <c r="CF76" i="15"/>
  <c r="CF30" i="15" s="1"/>
  <c r="CV76" i="15"/>
  <c r="CV30" i="15" s="1"/>
  <c r="DL76" i="15"/>
  <c r="DL30" i="15" s="1"/>
  <c r="EB76" i="15"/>
  <c r="EB30" i="15" s="1"/>
  <c r="ER76" i="15"/>
  <c r="ER30" i="15" s="1"/>
  <c r="CL76" i="15"/>
  <c r="CL30" i="15" s="1"/>
  <c r="EL76" i="15"/>
  <c r="EL30" i="15" s="1"/>
  <c r="DJ76" i="15"/>
  <c r="DJ30" i="15" s="1"/>
  <c r="ED76" i="15"/>
  <c r="ED30" i="15" s="1"/>
  <c r="ET76" i="15"/>
  <c r="ET30" i="15" s="1"/>
  <c r="CX76" i="15"/>
  <c r="CX30" i="15" s="1"/>
  <c r="DN76" i="15"/>
  <c r="DN30" i="15" s="1"/>
  <c r="G76" i="15"/>
  <c r="G30" i="15" s="1"/>
  <c r="F31" i="15"/>
  <c r="F31" i="10"/>
  <c r="D82" i="2"/>
  <c r="AR43" i="5"/>
  <c r="C78" i="5" s="1"/>
  <c r="D78" i="5" l="1"/>
  <c r="S78" i="5"/>
  <c r="O78" i="5"/>
  <c r="K78" i="5"/>
  <c r="G78" i="5"/>
  <c r="R78" i="5"/>
  <c r="M78" i="5"/>
  <c r="H78" i="5"/>
  <c r="Q78" i="5"/>
  <c r="L78" i="5"/>
  <c r="N78" i="5"/>
  <c r="E78" i="5"/>
  <c r="P78" i="5"/>
  <c r="J78" i="5"/>
  <c r="F78" i="5"/>
  <c r="T78" i="5"/>
  <c r="I78" i="5"/>
  <c r="H82" i="2"/>
  <c r="J82" i="2"/>
  <c r="N82" i="2"/>
  <c r="R82" i="2"/>
  <c r="K82" i="2"/>
  <c r="O82" i="2"/>
  <c r="S82" i="2"/>
  <c r="L82" i="2"/>
  <c r="P82" i="2"/>
  <c r="T82" i="2"/>
  <c r="I82" i="2"/>
  <c r="M82" i="2"/>
  <c r="Q82" i="2"/>
  <c r="U82" i="2"/>
  <c r="D1741" i="12"/>
  <c r="E1740" i="12"/>
  <c r="F1740" i="12"/>
  <c r="EQ38" i="5"/>
  <c r="BF43" i="5"/>
  <c r="BC43" i="5"/>
  <c r="AR39" i="2"/>
  <c r="BB38" i="2"/>
  <c r="V77" i="10"/>
  <c r="V31" i="10" s="1"/>
  <c r="AL77" i="10"/>
  <c r="AL31" i="10" s="1"/>
  <c r="BB77" i="10"/>
  <c r="BB31" i="10" s="1"/>
  <c r="BR77" i="10"/>
  <c r="BR31" i="10" s="1"/>
  <c r="CH77" i="10"/>
  <c r="CH31" i="10" s="1"/>
  <c r="CX77" i="10"/>
  <c r="CX31" i="10" s="1"/>
  <c r="DN77" i="10"/>
  <c r="DN31" i="10" s="1"/>
  <c r="ED77" i="10"/>
  <c r="ED31" i="10" s="1"/>
  <c r="ET77" i="10"/>
  <c r="ET31" i="10" s="1"/>
  <c r="W77" i="10"/>
  <c r="W31" i="10" s="1"/>
  <c r="AM77" i="10"/>
  <c r="AM31" i="10" s="1"/>
  <c r="BC77" i="10"/>
  <c r="BC31" i="10" s="1"/>
  <c r="BS77" i="10"/>
  <c r="BS31" i="10" s="1"/>
  <c r="CI77" i="10"/>
  <c r="CI31" i="10" s="1"/>
  <c r="CY77" i="10"/>
  <c r="CY31" i="10" s="1"/>
  <c r="DO77" i="10"/>
  <c r="DO31" i="10" s="1"/>
  <c r="EE77" i="10"/>
  <c r="EE31" i="10" s="1"/>
  <c r="N77" i="10"/>
  <c r="N31" i="10" s="1"/>
  <c r="AD77" i="10"/>
  <c r="AD31" i="10" s="1"/>
  <c r="AT77" i="10"/>
  <c r="AT31" i="10" s="1"/>
  <c r="BJ77" i="10"/>
  <c r="BJ31" i="10" s="1"/>
  <c r="BZ77" i="10"/>
  <c r="BZ31" i="10" s="1"/>
  <c r="CP77" i="10"/>
  <c r="CP31" i="10" s="1"/>
  <c r="DF77" i="10"/>
  <c r="DF31" i="10" s="1"/>
  <c r="DV77" i="10"/>
  <c r="DV31" i="10" s="1"/>
  <c r="EL77" i="10"/>
  <c r="EL31" i="10" s="1"/>
  <c r="O77" i="10"/>
  <c r="O31" i="10" s="1"/>
  <c r="AE77" i="10"/>
  <c r="AE31" i="10" s="1"/>
  <c r="AU77" i="10"/>
  <c r="AU31" i="10" s="1"/>
  <c r="BK77" i="10"/>
  <c r="BK31" i="10" s="1"/>
  <c r="CA77" i="10"/>
  <c r="CA31" i="10" s="1"/>
  <c r="CQ77" i="10"/>
  <c r="CQ31" i="10" s="1"/>
  <c r="DG77" i="10"/>
  <c r="DG31" i="10" s="1"/>
  <c r="DW77" i="10"/>
  <c r="DW31" i="10" s="1"/>
  <c r="EM77" i="10"/>
  <c r="EM31" i="10" s="1"/>
  <c r="R77" i="10"/>
  <c r="R31" i="10" s="1"/>
  <c r="AH77" i="10"/>
  <c r="AH31" i="10" s="1"/>
  <c r="AX77" i="10"/>
  <c r="AX31" i="10" s="1"/>
  <c r="BN77" i="10"/>
  <c r="BN31" i="10" s="1"/>
  <c r="CD77" i="10"/>
  <c r="CD31" i="10" s="1"/>
  <c r="CT77" i="10"/>
  <c r="CT31" i="10" s="1"/>
  <c r="DJ77" i="10"/>
  <c r="DJ31" i="10" s="1"/>
  <c r="DZ77" i="10"/>
  <c r="DZ31" i="10" s="1"/>
  <c r="EP77" i="10"/>
  <c r="EP31" i="10" s="1"/>
  <c r="S77" i="10"/>
  <c r="S31" i="10" s="1"/>
  <c r="AI77" i="10"/>
  <c r="AI31" i="10" s="1"/>
  <c r="AY77" i="10"/>
  <c r="AY31" i="10" s="1"/>
  <c r="BO77" i="10"/>
  <c r="BO31" i="10" s="1"/>
  <c r="CE77" i="10"/>
  <c r="CE31" i="10" s="1"/>
  <c r="CU77" i="10"/>
  <c r="CU31" i="10" s="1"/>
  <c r="DK77" i="10"/>
  <c r="DK31" i="10" s="1"/>
  <c r="EA77" i="10"/>
  <c r="EA31" i="10" s="1"/>
  <c r="EQ77" i="10"/>
  <c r="EQ31" i="10" s="1"/>
  <c r="BF77" i="10"/>
  <c r="BF31" i="10" s="1"/>
  <c r="DR77" i="10"/>
  <c r="DR31" i="10" s="1"/>
  <c r="AA77" i="10"/>
  <c r="AA31" i="10" s="1"/>
  <c r="CM77" i="10"/>
  <c r="CM31" i="10" s="1"/>
  <c r="X77" i="10"/>
  <c r="X31" i="10" s="1"/>
  <c r="AN77" i="10"/>
  <c r="AN31" i="10" s="1"/>
  <c r="BD77" i="10"/>
  <c r="BD31" i="10" s="1"/>
  <c r="BT77" i="10"/>
  <c r="BT31" i="10" s="1"/>
  <c r="CJ77" i="10"/>
  <c r="CJ31" i="10" s="1"/>
  <c r="CZ77" i="10"/>
  <c r="CZ31" i="10" s="1"/>
  <c r="DP77" i="10"/>
  <c r="DP31" i="10" s="1"/>
  <c r="EF77" i="10"/>
  <c r="EF31" i="10" s="1"/>
  <c r="AC77" i="10"/>
  <c r="AC31" i="10" s="1"/>
  <c r="CO77" i="10"/>
  <c r="CO31" i="10" s="1"/>
  <c r="Q77" i="10"/>
  <c r="Q31" i="10" s="1"/>
  <c r="CC77" i="10"/>
  <c r="CC31" i="10" s="1"/>
  <c r="EO77" i="10"/>
  <c r="EO31" i="10" s="1"/>
  <c r="BQ77" i="10"/>
  <c r="BQ31" i="10" s="1"/>
  <c r="J77" i="10"/>
  <c r="J31" i="10" s="1"/>
  <c r="BV77" i="10"/>
  <c r="BV31" i="10" s="1"/>
  <c r="EH77" i="10"/>
  <c r="EH31" i="10" s="1"/>
  <c r="AQ77" i="10"/>
  <c r="AQ31" i="10" s="1"/>
  <c r="DC77" i="10"/>
  <c r="DC31" i="10" s="1"/>
  <c r="L77" i="10"/>
  <c r="L31" i="10" s="1"/>
  <c r="AB77" i="10"/>
  <c r="AB31" i="10" s="1"/>
  <c r="AR77" i="10"/>
  <c r="AR31" i="10" s="1"/>
  <c r="BH77" i="10"/>
  <c r="BH31" i="10" s="1"/>
  <c r="BX77" i="10"/>
  <c r="BX31" i="10" s="1"/>
  <c r="CN77" i="10"/>
  <c r="CN31" i="10" s="1"/>
  <c r="DD77" i="10"/>
  <c r="DD31" i="10" s="1"/>
  <c r="DT77" i="10"/>
  <c r="DT31" i="10" s="1"/>
  <c r="EJ77" i="10"/>
  <c r="EJ31" i="10" s="1"/>
  <c r="AS77" i="10"/>
  <c r="AS31" i="10" s="1"/>
  <c r="DE77" i="10"/>
  <c r="DE31" i="10" s="1"/>
  <c r="AG77" i="10"/>
  <c r="AG31" i="10" s="1"/>
  <c r="CS77" i="10"/>
  <c r="CS31" i="10" s="1"/>
  <c r="Z77" i="10"/>
  <c r="Z31" i="10" s="1"/>
  <c r="CL77" i="10"/>
  <c r="CL31" i="10" s="1"/>
  <c r="BG77" i="10"/>
  <c r="BG31" i="10" s="1"/>
  <c r="DS77" i="10"/>
  <c r="DS31" i="10" s="1"/>
  <c r="P77" i="10"/>
  <c r="P31" i="10" s="1"/>
  <c r="AF77" i="10"/>
  <c r="AF31" i="10" s="1"/>
  <c r="AV77" i="10"/>
  <c r="AV31" i="10" s="1"/>
  <c r="BL77" i="10"/>
  <c r="BL31" i="10" s="1"/>
  <c r="CB77" i="10"/>
  <c r="CB31" i="10" s="1"/>
  <c r="CR77" i="10"/>
  <c r="CR31" i="10" s="1"/>
  <c r="DH77" i="10"/>
  <c r="DH31" i="10" s="1"/>
  <c r="DX77" i="10"/>
  <c r="DX31" i="10" s="1"/>
  <c r="EN77" i="10"/>
  <c r="EN31" i="10" s="1"/>
  <c r="BI77" i="10"/>
  <c r="BI31" i="10" s="1"/>
  <c r="DU77" i="10"/>
  <c r="DU31" i="10" s="1"/>
  <c r="AW77" i="10"/>
  <c r="AW31" i="10" s="1"/>
  <c r="DI77" i="10"/>
  <c r="DI31" i="10" s="1"/>
  <c r="EC77" i="10"/>
  <c r="EC31" i="10" s="1"/>
  <c r="AP77" i="10"/>
  <c r="AP31" i="10" s="1"/>
  <c r="DB77" i="10"/>
  <c r="DB31" i="10" s="1"/>
  <c r="K77" i="10"/>
  <c r="K31" i="10" s="1"/>
  <c r="BW77" i="10"/>
  <c r="BW31" i="10" s="1"/>
  <c r="EI77" i="10"/>
  <c r="EI31" i="10" s="1"/>
  <c r="T77" i="10"/>
  <c r="T31" i="10" s="1"/>
  <c r="AJ77" i="10"/>
  <c r="AJ31" i="10" s="1"/>
  <c r="AZ77" i="10"/>
  <c r="AZ31" i="10" s="1"/>
  <c r="BP77" i="10"/>
  <c r="BP31" i="10" s="1"/>
  <c r="CF77" i="10"/>
  <c r="CF31" i="10" s="1"/>
  <c r="CV77" i="10"/>
  <c r="CV31" i="10" s="1"/>
  <c r="DL77" i="10"/>
  <c r="DL31" i="10" s="1"/>
  <c r="EB77" i="10"/>
  <c r="EB31" i="10" s="1"/>
  <c r="ER77" i="10"/>
  <c r="ER31" i="10" s="1"/>
  <c r="M77" i="10"/>
  <c r="M31" i="10" s="1"/>
  <c r="BY77" i="10"/>
  <c r="BY31" i="10" s="1"/>
  <c r="EK77" i="10"/>
  <c r="EK31" i="10" s="1"/>
  <c r="BM77" i="10"/>
  <c r="BM31" i="10" s="1"/>
  <c r="DY77" i="10"/>
  <c r="DY31" i="10" s="1"/>
  <c r="AK77" i="10"/>
  <c r="AK31" i="10" s="1"/>
  <c r="BU77" i="10"/>
  <c r="BU31" i="10" s="1"/>
  <c r="U77" i="10"/>
  <c r="U31" i="10" s="1"/>
  <c r="ES77" i="10"/>
  <c r="ES31" i="10" s="1"/>
  <c r="DA77" i="10"/>
  <c r="DA31" i="10" s="1"/>
  <c r="BA77" i="10"/>
  <c r="BA31" i="10" s="1"/>
  <c r="I77" i="10"/>
  <c r="I31" i="10" s="1"/>
  <c r="EG77" i="10"/>
  <c r="EG31" i="10" s="1"/>
  <c r="CG77" i="10"/>
  <c r="CG31" i="10" s="1"/>
  <c r="CW77" i="10"/>
  <c r="CW31" i="10" s="1"/>
  <c r="AO77" i="10"/>
  <c r="AO31" i="10" s="1"/>
  <c r="DM77" i="10"/>
  <c r="DM31" i="10" s="1"/>
  <c r="CK77" i="10"/>
  <c r="CK31" i="10" s="1"/>
  <c r="Y77" i="10"/>
  <c r="Y31" i="10" s="1"/>
  <c r="DQ77" i="10"/>
  <c r="DQ31" i="10" s="1"/>
  <c r="BE77" i="10"/>
  <c r="BE31" i="10" s="1"/>
  <c r="G77" i="10"/>
  <c r="G31" i="10" s="1"/>
  <c r="H77" i="10"/>
  <c r="H31" i="10" s="1"/>
  <c r="R77" i="15"/>
  <c r="R31" i="15" s="1"/>
  <c r="AH77" i="15"/>
  <c r="AH31" i="15" s="1"/>
  <c r="AX77" i="15"/>
  <c r="AX31" i="15" s="1"/>
  <c r="BN77" i="15"/>
  <c r="BN31" i="15" s="1"/>
  <c r="L77" i="15"/>
  <c r="L31" i="15" s="1"/>
  <c r="AB77" i="15"/>
  <c r="AB31" i="15" s="1"/>
  <c r="AR77" i="15"/>
  <c r="AR31" i="15" s="1"/>
  <c r="BH77" i="15"/>
  <c r="BH31" i="15" s="1"/>
  <c r="BX77" i="15"/>
  <c r="BX31" i="15" s="1"/>
  <c r="CN77" i="15"/>
  <c r="CN31" i="15" s="1"/>
  <c r="DD77" i="15"/>
  <c r="DD31" i="15" s="1"/>
  <c r="DT77" i="15"/>
  <c r="DT31" i="15" s="1"/>
  <c r="EJ77" i="15"/>
  <c r="EJ31" i="15" s="1"/>
  <c r="V77" i="15"/>
  <c r="V31" i="15" s="1"/>
  <c r="AL77" i="15"/>
  <c r="AL31" i="15" s="1"/>
  <c r="BB77" i="15"/>
  <c r="BB31" i="15" s="1"/>
  <c r="BR77" i="15"/>
  <c r="BR31" i="15" s="1"/>
  <c r="P77" i="15"/>
  <c r="P31" i="15" s="1"/>
  <c r="AF77" i="15"/>
  <c r="AF31" i="15" s="1"/>
  <c r="AV77" i="15"/>
  <c r="AV31" i="15" s="1"/>
  <c r="BL77" i="15"/>
  <c r="BL31" i="15" s="1"/>
  <c r="CB77" i="15"/>
  <c r="CB31" i="15" s="1"/>
  <c r="CR77" i="15"/>
  <c r="CR31" i="15" s="1"/>
  <c r="DH77" i="15"/>
  <c r="DH31" i="15" s="1"/>
  <c r="DX77" i="15"/>
  <c r="DX31" i="15" s="1"/>
  <c r="EN77" i="15"/>
  <c r="EN31" i="15" s="1"/>
  <c r="J77" i="15"/>
  <c r="J31" i="15" s="1"/>
  <c r="Z77" i="15"/>
  <c r="Z31" i="15" s="1"/>
  <c r="AP77" i="15"/>
  <c r="AP31" i="15" s="1"/>
  <c r="BF77" i="15"/>
  <c r="BF31" i="15" s="1"/>
  <c r="BV77" i="15"/>
  <c r="BV31" i="15" s="1"/>
  <c r="T77" i="15"/>
  <c r="T31" i="15" s="1"/>
  <c r="AJ77" i="15"/>
  <c r="AJ31" i="15" s="1"/>
  <c r="AZ77" i="15"/>
  <c r="AZ31" i="15" s="1"/>
  <c r="BP77" i="15"/>
  <c r="BP31" i="15" s="1"/>
  <c r="CF77" i="15"/>
  <c r="CF31" i="15" s="1"/>
  <c r="CV77" i="15"/>
  <c r="CV31" i="15" s="1"/>
  <c r="DL77" i="15"/>
  <c r="DL31" i="15" s="1"/>
  <c r="EB77" i="15"/>
  <c r="EB31" i="15" s="1"/>
  <c r="ER77" i="15"/>
  <c r="ER31" i="15" s="1"/>
  <c r="N77" i="15"/>
  <c r="N31" i="15" s="1"/>
  <c r="AD77" i="15"/>
  <c r="AD31" i="15" s="1"/>
  <c r="AT77" i="15"/>
  <c r="AT31" i="15" s="1"/>
  <c r="BJ77" i="15"/>
  <c r="BJ31" i="15" s="1"/>
  <c r="BZ77" i="15"/>
  <c r="BZ31" i="15" s="1"/>
  <c r="H77" i="15"/>
  <c r="H31" i="15" s="1"/>
  <c r="X77" i="15"/>
  <c r="X31" i="15" s="1"/>
  <c r="AN77" i="15"/>
  <c r="AN31" i="15" s="1"/>
  <c r="BD77" i="15"/>
  <c r="BD31" i="15" s="1"/>
  <c r="BT77" i="15"/>
  <c r="BT31" i="15" s="1"/>
  <c r="CJ77" i="15"/>
  <c r="CJ31" i="15" s="1"/>
  <c r="CZ77" i="15"/>
  <c r="CZ31" i="15" s="1"/>
  <c r="DP77" i="15"/>
  <c r="DP31" i="15" s="1"/>
  <c r="EF77" i="15"/>
  <c r="EF31" i="15" s="1"/>
  <c r="I77" i="15"/>
  <c r="I31" i="15" s="1"/>
  <c r="Y77" i="15"/>
  <c r="Y31" i="15" s="1"/>
  <c r="AO77" i="15"/>
  <c r="AO31" i="15" s="1"/>
  <c r="BE77" i="15"/>
  <c r="BE31" i="15" s="1"/>
  <c r="BU77" i="15"/>
  <c r="BU31" i="15" s="1"/>
  <c r="CK77" i="15"/>
  <c r="CK31" i="15" s="1"/>
  <c r="DA77" i="15"/>
  <c r="DA31" i="15" s="1"/>
  <c r="DQ77" i="15"/>
  <c r="DQ31" i="15" s="1"/>
  <c r="EG77" i="15"/>
  <c r="EG31" i="15" s="1"/>
  <c r="AA77" i="15"/>
  <c r="AA31" i="15" s="1"/>
  <c r="CH77" i="15"/>
  <c r="CH31" i="15" s="1"/>
  <c r="DN77" i="15"/>
  <c r="DN31" i="15" s="1"/>
  <c r="ET77" i="15"/>
  <c r="ET31" i="15" s="1"/>
  <c r="O77" i="15"/>
  <c r="O31" i="15" s="1"/>
  <c r="CA77" i="15"/>
  <c r="CA31" i="15" s="1"/>
  <c r="DG77" i="15"/>
  <c r="DG31" i="15" s="1"/>
  <c r="EM77" i="15"/>
  <c r="EM31" i="15" s="1"/>
  <c r="AY77" i="15"/>
  <c r="AY31" i="15" s="1"/>
  <c r="CT77" i="15"/>
  <c r="CT31" i="15" s="1"/>
  <c r="DZ77" i="15"/>
  <c r="DZ31" i="15" s="1"/>
  <c r="M77" i="15"/>
  <c r="M31" i="15" s="1"/>
  <c r="AC77" i="15"/>
  <c r="AC31" i="15" s="1"/>
  <c r="AS77" i="15"/>
  <c r="AS31" i="15" s="1"/>
  <c r="BI77" i="15"/>
  <c r="BI31" i="15" s="1"/>
  <c r="BY77" i="15"/>
  <c r="BY31" i="15" s="1"/>
  <c r="CO77" i="15"/>
  <c r="CO31" i="15" s="1"/>
  <c r="DE77" i="15"/>
  <c r="DE31" i="15" s="1"/>
  <c r="DU77" i="15"/>
  <c r="DU31" i="15" s="1"/>
  <c r="EK77" i="15"/>
  <c r="EK31" i="15" s="1"/>
  <c r="AQ77" i="15"/>
  <c r="AQ31" i="15" s="1"/>
  <c r="CP77" i="15"/>
  <c r="CP31" i="15" s="1"/>
  <c r="DV77" i="15"/>
  <c r="DV31" i="15" s="1"/>
  <c r="AE77" i="15"/>
  <c r="AE31" i="15" s="1"/>
  <c r="CI77" i="15"/>
  <c r="CI31" i="15" s="1"/>
  <c r="DO77" i="15"/>
  <c r="DO31" i="15" s="1"/>
  <c r="BO77" i="15"/>
  <c r="BO31" i="15" s="1"/>
  <c r="DB77" i="15"/>
  <c r="DB31" i="15" s="1"/>
  <c r="EH77" i="15"/>
  <c r="EH31" i="15" s="1"/>
  <c r="Q77" i="15"/>
  <c r="Q31" i="15" s="1"/>
  <c r="AG77" i="15"/>
  <c r="AG31" i="15" s="1"/>
  <c r="AW77" i="15"/>
  <c r="AW31" i="15" s="1"/>
  <c r="BM77" i="15"/>
  <c r="BM31" i="15" s="1"/>
  <c r="CC77" i="15"/>
  <c r="CC31" i="15" s="1"/>
  <c r="CS77" i="15"/>
  <c r="CS31" i="15" s="1"/>
  <c r="DI77" i="15"/>
  <c r="DI31" i="15" s="1"/>
  <c r="DY77" i="15"/>
  <c r="DY31" i="15" s="1"/>
  <c r="EO77" i="15"/>
  <c r="EO31" i="15" s="1"/>
  <c r="BG77" i="15"/>
  <c r="BG31" i="15" s="1"/>
  <c r="CX77" i="15"/>
  <c r="CX31" i="15" s="1"/>
  <c r="ED77" i="15"/>
  <c r="ED31" i="15" s="1"/>
  <c r="AU77" i="15"/>
  <c r="AU31" i="15" s="1"/>
  <c r="CQ77" i="15"/>
  <c r="CQ31" i="15" s="1"/>
  <c r="DW77" i="15"/>
  <c r="DW31" i="15" s="1"/>
  <c r="S77" i="15"/>
  <c r="S31" i="15" s="1"/>
  <c r="CD77" i="15"/>
  <c r="CD31" i="15" s="1"/>
  <c r="DJ77" i="15"/>
  <c r="DJ31" i="15" s="1"/>
  <c r="EP77" i="15"/>
  <c r="EP31" i="15" s="1"/>
  <c r="U77" i="15"/>
  <c r="U31" i="15" s="1"/>
  <c r="AK77" i="15"/>
  <c r="AK31" i="15" s="1"/>
  <c r="BA77" i="15"/>
  <c r="BA31" i="15" s="1"/>
  <c r="BQ77" i="15"/>
  <c r="BQ31" i="15" s="1"/>
  <c r="CG77" i="15"/>
  <c r="CG31" i="15" s="1"/>
  <c r="CW77" i="15"/>
  <c r="CW31" i="15" s="1"/>
  <c r="DM77" i="15"/>
  <c r="DM31" i="15" s="1"/>
  <c r="EC77" i="15"/>
  <c r="EC31" i="15" s="1"/>
  <c r="ES77" i="15"/>
  <c r="ES31" i="15" s="1"/>
  <c r="K77" i="15"/>
  <c r="K31" i="15" s="1"/>
  <c r="BW77" i="15"/>
  <c r="BW31" i="15" s="1"/>
  <c r="DF77" i="15"/>
  <c r="DF31" i="15" s="1"/>
  <c r="EL77" i="15"/>
  <c r="EL31" i="15" s="1"/>
  <c r="BK77" i="15"/>
  <c r="BK31" i="15" s="1"/>
  <c r="CY77" i="15"/>
  <c r="CY31" i="15" s="1"/>
  <c r="EE77" i="15"/>
  <c r="EE31" i="15" s="1"/>
  <c r="AI77" i="15"/>
  <c r="AI31" i="15" s="1"/>
  <c r="CL77" i="15"/>
  <c r="CL31" i="15" s="1"/>
  <c r="DR77" i="15"/>
  <c r="DR31" i="15" s="1"/>
  <c r="BC77" i="15"/>
  <c r="BC31" i="15" s="1"/>
  <c r="CU77" i="15"/>
  <c r="CU31" i="15" s="1"/>
  <c r="EA77" i="15"/>
  <c r="EA31" i="15" s="1"/>
  <c r="BS77" i="15"/>
  <c r="BS31" i="15" s="1"/>
  <c r="DC77" i="15"/>
  <c r="DC31" i="15" s="1"/>
  <c r="EI77" i="15"/>
  <c r="EI31" i="15" s="1"/>
  <c r="W77" i="15"/>
  <c r="W31" i="15" s="1"/>
  <c r="CE77" i="15"/>
  <c r="CE31" i="15" s="1"/>
  <c r="DK77" i="15"/>
  <c r="DK31" i="15" s="1"/>
  <c r="EQ77" i="15"/>
  <c r="EQ31" i="15" s="1"/>
  <c r="AM77" i="15"/>
  <c r="AM31" i="15" s="1"/>
  <c r="CM77" i="15"/>
  <c r="CM31" i="15" s="1"/>
  <c r="DS77" i="15"/>
  <c r="DS31" i="15" s="1"/>
  <c r="G77" i="15"/>
  <c r="G31" i="15" s="1"/>
  <c r="F32" i="15"/>
  <c r="F32" i="10"/>
  <c r="AR44" i="5"/>
  <c r="C79" i="5" s="1"/>
  <c r="D83" i="2"/>
  <c r="D79" i="5" l="1"/>
  <c r="S79" i="5"/>
  <c r="O79" i="5"/>
  <c r="K79" i="5"/>
  <c r="G79" i="5"/>
  <c r="R79" i="5"/>
  <c r="M79" i="5"/>
  <c r="H79" i="5"/>
  <c r="Q79" i="5"/>
  <c r="L79" i="5"/>
  <c r="F79" i="5"/>
  <c r="T79" i="5"/>
  <c r="I79" i="5"/>
  <c r="P79" i="5"/>
  <c r="E79" i="5"/>
  <c r="J79" i="5"/>
  <c r="N79" i="5"/>
  <c r="H83" i="2"/>
  <c r="I83" i="2"/>
  <c r="M83" i="2"/>
  <c r="Q83" i="2"/>
  <c r="U83" i="2"/>
  <c r="J83" i="2"/>
  <c r="N83" i="2"/>
  <c r="R83" i="2"/>
  <c r="K83" i="2"/>
  <c r="O83" i="2"/>
  <c r="S83" i="2"/>
  <c r="L83" i="2"/>
  <c r="P83" i="2"/>
  <c r="T83" i="2"/>
  <c r="D1742" i="12"/>
  <c r="F1741" i="12"/>
  <c r="E1741" i="12"/>
  <c r="EQ39" i="5"/>
  <c r="BF44" i="5"/>
  <c r="BC44" i="5"/>
  <c r="AR40" i="2"/>
  <c r="BB39" i="2"/>
  <c r="X78" i="10"/>
  <c r="X32" i="10" s="1"/>
  <c r="AN78" i="10"/>
  <c r="AN32" i="10" s="1"/>
  <c r="BD78" i="10"/>
  <c r="BD32" i="10" s="1"/>
  <c r="BT78" i="10"/>
  <c r="BT32" i="10" s="1"/>
  <c r="CJ78" i="10"/>
  <c r="CJ32" i="10" s="1"/>
  <c r="CZ78" i="10"/>
  <c r="CZ32" i="10" s="1"/>
  <c r="DP78" i="10"/>
  <c r="DP32" i="10" s="1"/>
  <c r="EF78" i="10"/>
  <c r="EF32" i="10" s="1"/>
  <c r="I78" i="10"/>
  <c r="I32" i="10" s="1"/>
  <c r="Y78" i="10"/>
  <c r="Y32" i="10" s="1"/>
  <c r="AO78" i="10"/>
  <c r="AO32" i="10" s="1"/>
  <c r="BE78" i="10"/>
  <c r="BE32" i="10" s="1"/>
  <c r="BU78" i="10"/>
  <c r="BU32" i="10" s="1"/>
  <c r="CK78" i="10"/>
  <c r="CK32" i="10" s="1"/>
  <c r="DA78" i="10"/>
  <c r="DA32" i="10" s="1"/>
  <c r="P78" i="10"/>
  <c r="P32" i="10" s="1"/>
  <c r="AF78" i="10"/>
  <c r="AF32" i="10" s="1"/>
  <c r="AV78" i="10"/>
  <c r="AV32" i="10" s="1"/>
  <c r="BL78" i="10"/>
  <c r="BL32" i="10" s="1"/>
  <c r="CB78" i="10"/>
  <c r="CB32" i="10" s="1"/>
  <c r="CR78" i="10"/>
  <c r="CR32" i="10" s="1"/>
  <c r="DH78" i="10"/>
  <c r="DH32" i="10" s="1"/>
  <c r="DX78" i="10"/>
  <c r="DX32" i="10" s="1"/>
  <c r="Q78" i="10"/>
  <c r="Q32" i="10" s="1"/>
  <c r="AG78" i="10"/>
  <c r="AG32" i="10" s="1"/>
  <c r="AW78" i="10"/>
  <c r="AW32" i="10" s="1"/>
  <c r="BM78" i="10"/>
  <c r="BM32" i="10" s="1"/>
  <c r="CC78" i="10"/>
  <c r="CC32" i="10" s="1"/>
  <c r="CS78" i="10"/>
  <c r="CS32" i="10" s="1"/>
  <c r="T78" i="10"/>
  <c r="T32" i="10" s="1"/>
  <c r="AJ78" i="10"/>
  <c r="AJ32" i="10" s="1"/>
  <c r="AZ78" i="10"/>
  <c r="AZ32" i="10" s="1"/>
  <c r="BP78" i="10"/>
  <c r="BP32" i="10" s="1"/>
  <c r="CF78" i="10"/>
  <c r="CF32" i="10" s="1"/>
  <c r="CV78" i="10"/>
  <c r="CV32" i="10" s="1"/>
  <c r="DL78" i="10"/>
  <c r="DL32" i="10" s="1"/>
  <c r="EB78" i="10"/>
  <c r="EB32" i="10" s="1"/>
  <c r="U78" i="10"/>
  <c r="U32" i="10" s="1"/>
  <c r="AK78" i="10"/>
  <c r="AK32" i="10" s="1"/>
  <c r="BA78" i="10"/>
  <c r="BA32" i="10" s="1"/>
  <c r="BQ78" i="10"/>
  <c r="BQ32" i="10" s="1"/>
  <c r="CG78" i="10"/>
  <c r="CG32" i="10" s="1"/>
  <c r="CW78" i="10"/>
  <c r="CW32" i="10" s="1"/>
  <c r="AR78" i="10"/>
  <c r="AR32" i="10" s="1"/>
  <c r="DD78" i="10"/>
  <c r="DD32" i="10" s="1"/>
  <c r="M78" i="10"/>
  <c r="M32" i="10" s="1"/>
  <c r="BY78" i="10"/>
  <c r="BY32" i="10" s="1"/>
  <c r="DM78" i="10"/>
  <c r="DM32" i="10" s="1"/>
  <c r="EC78" i="10"/>
  <c r="EC32" i="10" s="1"/>
  <c r="ES78" i="10"/>
  <c r="ES32" i="10" s="1"/>
  <c r="J78" i="10"/>
  <c r="J32" i="10" s="1"/>
  <c r="Z78" i="10"/>
  <c r="Z32" i="10" s="1"/>
  <c r="AP78" i="10"/>
  <c r="AP32" i="10" s="1"/>
  <c r="BF78" i="10"/>
  <c r="BF32" i="10" s="1"/>
  <c r="BV78" i="10"/>
  <c r="BV32" i="10" s="1"/>
  <c r="CL78" i="10"/>
  <c r="CL32" i="10" s="1"/>
  <c r="DB78" i="10"/>
  <c r="DB32" i="10" s="1"/>
  <c r="DR78" i="10"/>
  <c r="DR32" i="10" s="1"/>
  <c r="EH78" i="10"/>
  <c r="EH32" i="10" s="1"/>
  <c r="O78" i="10"/>
  <c r="O32" i="10" s="1"/>
  <c r="CA78" i="10"/>
  <c r="CA32" i="10" s="1"/>
  <c r="EJ78" i="10"/>
  <c r="EJ32" i="10" s="1"/>
  <c r="BO78" i="10"/>
  <c r="BO32" i="10" s="1"/>
  <c r="EA78" i="10"/>
  <c r="EA32" i="10" s="1"/>
  <c r="BC78" i="10"/>
  <c r="BC32" i="10" s="1"/>
  <c r="BH78" i="10"/>
  <c r="BH32" i="10" s="1"/>
  <c r="DT78" i="10"/>
  <c r="DT32" i="10" s="1"/>
  <c r="AC78" i="10"/>
  <c r="AC32" i="10" s="1"/>
  <c r="CO78" i="10"/>
  <c r="CO32" i="10" s="1"/>
  <c r="DQ78" i="10"/>
  <c r="DQ32" i="10" s="1"/>
  <c r="EG78" i="10"/>
  <c r="EG32" i="10" s="1"/>
  <c r="N78" i="10"/>
  <c r="N32" i="10" s="1"/>
  <c r="AD78" i="10"/>
  <c r="AD32" i="10" s="1"/>
  <c r="AT78" i="10"/>
  <c r="AT32" i="10" s="1"/>
  <c r="BJ78" i="10"/>
  <c r="BJ32" i="10" s="1"/>
  <c r="BZ78" i="10"/>
  <c r="BZ32" i="10" s="1"/>
  <c r="CP78" i="10"/>
  <c r="CP32" i="10" s="1"/>
  <c r="DF78" i="10"/>
  <c r="DF32" i="10" s="1"/>
  <c r="DV78" i="10"/>
  <c r="DV32" i="10" s="1"/>
  <c r="EL78" i="10"/>
  <c r="EL32" i="10" s="1"/>
  <c r="AE78" i="10"/>
  <c r="AE32" i="10" s="1"/>
  <c r="CQ78" i="10"/>
  <c r="CQ32" i="10" s="1"/>
  <c r="ER78" i="10"/>
  <c r="ER32" i="10" s="1"/>
  <c r="S78" i="10"/>
  <c r="S32" i="10" s="1"/>
  <c r="CE78" i="10"/>
  <c r="CE32" i="10" s="1"/>
  <c r="EM78" i="10"/>
  <c r="EM32" i="10" s="1"/>
  <c r="L78" i="10"/>
  <c r="L32" i="10" s="1"/>
  <c r="BX78" i="10"/>
  <c r="BX32" i="10" s="1"/>
  <c r="AS78" i="10"/>
  <c r="AS32" i="10" s="1"/>
  <c r="DE78" i="10"/>
  <c r="DE32" i="10" s="1"/>
  <c r="DU78" i="10"/>
  <c r="DU32" i="10" s="1"/>
  <c r="EK78" i="10"/>
  <c r="EK32" i="10" s="1"/>
  <c r="R78" i="10"/>
  <c r="R32" i="10" s="1"/>
  <c r="AH78" i="10"/>
  <c r="AH32" i="10" s="1"/>
  <c r="AX78" i="10"/>
  <c r="AX32" i="10" s="1"/>
  <c r="BN78" i="10"/>
  <c r="BN32" i="10" s="1"/>
  <c r="CD78" i="10"/>
  <c r="CD32" i="10" s="1"/>
  <c r="CT78" i="10"/>
  <c r="CT32" i="10" s="1"/>
  <c r="DJ78" i="10"/>
  <c r="DJ32" i="10" s="1"/>
  <c r="DZ78" i="10"/>
  <c r="DZ32" i="10" s="1"/>
  <c r="EP78" i="10"/>
  <c r="EP32" i="10" s="1"/>
  <c r="AU78" i="10"/>
  <c r="AU32" i="10" s="1"/>
  <c r="DG78" i="10"/>
  <c r="DG32" i="10" s="1"/>
  <c r="AI78" i="10"/>
  <c r="AI32" i="10" s="1"/>
  <c r="CU78" i="10"/>
  <c r="CU32" i="10" s="1"/>
  <c r="DO78" i="10"/>
  <c r="DO32" i="10" s="1"/>
  <c r="AB78" i="10"/>
  <c r="AB32" i="10" s="1"/>
  <c r="CN78" i="10"/>
  <c r="CN32" i="10" s="1"/>
  <c r="BI78" i="10"/>
  <c r="BI32" i="10" s="1"/>
  <c r="DI78" i="10"/>
  <c r="DI32" i="10" s="1"/>
  <c r="DY78" i="10"/>
  <c r="DY32" i="10" s="1"/>
  <c r="EO78" i="10"/>
  <c r="EO32" i="10" s="1"/>
  <c r="V78" i="10"/>
  <c r="V32" i="10" s="1"/>
  <c r="AL78" i="10"/>
  <c r="AL32" i="10" s="1"/>
  <c r="BB78" i="10"/>
  <c r="BB32" i="10" s="1"/>
  <c r="BR78" i="10"/>
  <c r="BR32" i="10" s="1"/>
  <c r="CH78" i="10"/>
  <c r="CH32" i="10" s="1"/>
  <c r="CX78" i="10"/>
  <c r="CX32" i="10" s="1"/>
  <c r="DN78" i="10"/>
  <c r="DN32" i="10" s="1"/>
  <c r="ED78" i="10"/>
  <c r="ED32" i="10" s="1"/>
  <c r="ET78" i="10"/>
  <c r="ET32" i="10" s="1"/>
  <c r="BK78" i="10"/>
  <c r="BK32" i="10" s="1"/>
  <c r="DW78" i="10"/>
  <c r="DW32" i="10" s="1"/>
  <c r="AY78" i="10"/>
  <c r="AY32" i="10" s="1"/>
  <c r="DK78" i="10"/>
  <c r="DK32" i="10" s="1"/>
  <c r="W78" i="10"/>
  <c r="W32" i="10" s="1"/>
  <c r="EN78" i="10"/>
  <c r="EN32" i="10" s="1"/>
  <c r="CI78" i="10"/>
  <c r="CI32" i="10" s="1"/>
  <c r="BG78" i="10"/>
  <c r="BG32" i="10" s="1"/>
  <c r="EE78" i="10"/>
  <c r="EE32" i="10" s="1"/>
  <c r="BW78" i="10"/>
  <c r="BW32" i="10" s="1"/>
  <c r="CM78" i="10"/>
  <c r="CM32" i="10" s="1"/>
  <c r="AM78" i="10"/>
  <c r="AM32" i="10" s="1"/>
  <c r="DS78" i="10"/>
  <c r="DS32" i="10" s="1"/>
  <c r="BS78" i="10"/>
  <c r="BS32" i="10" s="1"/>
  <c r="AA78" i="10"/>
  <c r="AA32" i="10" s="1"/>
  <c r="EQ78" i="10"/>
  <c r="EQ32" i="10" s="1"/>
  <c r="CY78" i="10"/>
  <c r="CY32" i="10" s="1"/>
  <c r="DC78" i="10"/>
  <c r="DC32" i="10" s="1"/>
  <c r="K78" i="10"/>
  <c r="K32" i="10" s="1"/>
  <c r="EI78" i="10"/>
  <c r="EI32" i="10" s="1"/>
  <c r="AQ78" i="10"/>
  <c r="AQ32" i="10" s="1"/>
  <c r="H78" i="10"/>
  <c r="H32" i="10" s="1"/>
  <c r="G78" i="10"/>
  <c r="G32" i="10" s="1"/>
  <c r="M78" i="15"/>
  <c r="M32" i="15" s="1"/>
  <c r="AC78" i="15"/>
  <c r="AC32" i="15" s="1"/>
  <c r="AS78" i="15"/>
  <c r="AS32" i="15" s="1"/>
  <c r="BI78" i="15"/>
  <c r="BI32" i="15" s="1"/>
  <c r="BY78" i="15"/>
  <c r="BY32" i="15" s="1"/>
  <c r="CO78" i="15"/>
  <c r="CO32" i="15" s="1"/>
  <c r="DE78" i="15"/>
  <c r="DE32" i="15" s="1"/>
  <c r="DU78" i="15"/>
  <c r="DU32" i="15" s="1"/>
  <c r="EK78" i="15"/>
  <c r="EK32" i="15" s="1"/>
  <c r="Q78" i="15"/>
  <c r="Q32" i="15" s="1"/>
  <c r="AG78" i="15"/>
  <c r="AG32" i="15" s="1"/>
  <c r="AW78" i="15"/>
  <c r="AW32" i="15" s="1"/>
  <c r="BM78" i="15"/>
  <c r="BM32" i="15" s="1"/>
  <c r="CC78" i="15"/>
  <c r="CC32" i="15" s="1"/>
  <c r="CS78" i="15"/>
  <c r="CS32" i="15" s="1"/>
  <c r="DI78" i="15"/>
  <c r="DI32" i="15" s="1"/>
  <c r="DY78" i="15"/>
  <c r="DY32" i="15" s="1"/>
  <c r="EO78" i="15"/>
  <c r="EO32" i="15" s="1"/>
  <c r="U78" i="15"/>
  <c r="U32" i="15" s="1"/>
  <c r="AK78" i="15"/>
  <c r="AK32" i="15" s="1"/>
  <c r="BA78" i="15"/>
  <c r="BA32" i="15" s="1"/>
  <c r="BQ78" i="15"/>
  <c r="BQ32" i="15" s="1"/>
  <c r="CG78" i="15"/>
  <c r="CG32" i="15" s="1"/>
  <c r="CW78" i="15"/>
  <c r="CW32" i="15" s="1"/>
  <c r="DM78" i="15"/>
  <c r="DM32" i="15" s="1"/>
  <c r="EC78" i="15"/>
  <c r="EC32" i="15" s="1"/>
  <c r="ES78" i="15"/>
  <c r="ES32" i="15" s="1"/>
  <c r="I78" i="15"/>
  <c r="I32" i="15" s="1"/>
  <c r="Y78" i="15"/>
  <c r="Y32" i="15" s="1"/>
  <c r="AO78" i="15"/>
  <c r="AO32" i="15" s="1"/>
  <c r="BE78" i="15"/>
  <c r="BE32" i="15" s="1"/>
  <c r="BU78" i="15"/>
  <c r="BU32" i="15" s="1"/>
  <c r="CK78" i="15"/>
  <c r="CK32" i="15" s="1"/>
  <c r="DA78" i="15"/>
  <c r="DA32" i="15" s="1"/>
  <c r="DQ78" i="15"/>
  <c r="DQ32" i="15" s="1"/>
  <c r="EG78" i="15"/>
  <c r="EG32" i="15" s="1"/>
  <c r="J78" i="15"/>
  <c r="J32" i="15" s="1"/>
  <c r="Z78" i="15"/>
  <c r="Z32" i="15" s="1"/>
  <c r="AP78" i="15"/>
  <c r="AP32" i="15" s="1"/>
  <c r="BF78" i="15"/>
  <c r="BF32" i="15" s="1"/>
  <c r="BV78" i="15"/>
  <c r="BV32" i="15" s="1"/>
  <c r="CL78" i="15"/>
  <c r="CL32" i="15" s="1"/>
  <c r="DB78" i="15"/>
  <c r="DB32" i="15" s="1"/>
  <c r="DR78" i="15"/>
  <c r="DR32" i="15" s="1"/>
  <c r="EH78" i="15"/>
  <c r="EH32" i="15" s="1"/>
  <c r="AM78" i="15"/>
  <c r="AM32" i="15" s="1"/>
  <c r="BS78" i="15"/>
  <c r="BS32" i="15" s="1"/>
  <c r="CY78" i="15"/>
  <c r="CY32" i="15" s="1"/>
  <c r="EE78" i="15"/>
  <c r="EE32" i="15" s="1"/>
  <c r="AF78" i="15"/>
  <c r="AF32" i="15" s="1"/>
  <c r="BL78" i="15"/>
  <c r="BL32" i="15" s="1"/>
  <c r="CR78" i="15"/>
  <c r="CR32" i="15" s="1"/>
  <c r="DX78" i="15"/>
  <c r="DX32" i="15" s="1"/>
  <c r="S78" i="15"/>
  <c r="S32" i="15" s="1"/>
  <c r="AY78" i="15"/>
  <c r="AY32" i="15" s="1"/>
  <c r="CE78" i="15"/>
  <c r="CE32" i="15" s="1"/>
  <c r="DK78" i="15"/>
  <c r="DK32" i="15" s="1"/>
  <c r="EQ78" i="15"/>
  <c r="EQ32" i="15" s="1"/>
  <c r="N78" i="15"/>
  <c r="N32" i="15" s="1"/>
  <c r="AD78" i="15"/>
  <c r="AD32" i="15" s="1"/>
  <c r="AT78" i="15"/>
  <c r="AT32" i="15" s="1"/>
  <c r="BJ78" i="15"/>
  <c r="BJ32" i="15" s="1"/>
  <c r="BZ78" i="15"/>
  <c r="BZ32" i="15" s="1"/>
  <c r="CP78" i="15"/>
  <c r="CP32" i="15" s="1"/>
  <c r="DF78" i="15"/>
  <c r="DF32" i="15" s="1"/>
  <c r="DV78" i="15"/>
  <c r="DV32" i="15" s="1"/>
  <c r="EL78" i="15"/>
  <c r="EL32" i="15" s="1"/>
  <c r="O78" i="15"/>
  <c r="O32" i="15" s="1"/>
  <c r="AU78" i="15"/>
  <c r="AU32" i="15" s="1"/>
  <c r="CA78" i="15"/>
  <c r="CA32" i="15" s="1"/>
  <c r="DG78" i="15"/>
  <c r="DG32" i="15" s="1"/>
  <c r="EM78" i="15"/>
  <c r="EM32" i="15" s="1"/>
  <c r="H78" i="15"/>
  <c r="H32" i="15" s="1"/>
  <c r="AN78" i="15"/>
  <c r="AN32" i="15" s="1"/>
  <c r="BT78" i="15"/>
  <c r="BT32" i="15" s="1"/>
  <c r="CZ78" i="15"/>
  <c r="CZ32" i="15" s="1"/>
  <c r="EF78" i="15"/>
  <c r="EF32" i="15" s="1"/>
  <c r="AA78" i="15"/>
  <c r="AA32" i="15" s="1"/>
  <c r="BG78" i="15"/>
  <c r="BG32" i="15" s="1"/>
  <c r="CM78" i="15"/>
  <c r="CM32" i="15" s="1"/>
  <c r="DS78" i="15"/>
  <c r="DS32" i="15" s="1"/>
  <c r="R78" i="15"/>
  <c r="R32" i="15" s="1"/>
  <c r="AH78" i="15"/>
  <c r="AH32" i="15" s="1"/>
  <c r="AX78" i="15"/>
  <c r="AX32" i="15" s="1"/>
  <c r="BN78" i="15"/>
  <c r="BN32" i="15" s="1"/>
  <c r="CD78" i="15"/>
  <c r="CD32" i="15" s="1"/>
  <c r="CT78" i="15"/>
  <c r="CT32" i="15" s="1"/>
  <c r="DJ78" i="15"/>
  <c r="DJ32" i="15" s="1"/>
  <c r="DZ78" i="15"/>
  <c r="DZ32" i="15" s="1"/>
  <c r="EP78" i="15"/>
  <c r="EP32" i="15" s="1"/>
  <c r="W78" i="15"/>
  <c r="W32" i="15" s="1"/>
  <c r="BC78" i="15"/>
  <c r="BC32" i="15" s="1"/>
  <c r="CI78" i="15"/>
  <c r="CI32" i="15" s="1"/>
  <c r="DO78" i="15"/>
  <c r="DO32" i="15" s="1"/>
  <c r="P78" i="15"/>
  <c r="P32" i="15" s="1"/>
  <c r="AV78" i="15"/>
  <c r="AV32" i="15" s="1"/>
  <c r="CB78" i="15"/>
  <c r="CB32" i="15" s="1"/>
  <c r="DH78" i="15"/>
  <c r="DH32" i="15" s="1"/>
  <c r="EN78" i="15"/>
  <c r="EN32" i="15" s="1"/>
  <c r="AI78" i="15"/>
  <c r="AI32" i="15" s="1"/>
  <c r="BO78" i="15"/>
  <c r="BO32" i="15" s="1"/>
  <c r="CU78" i="15"/>
  <c r="CU32" i="15" s="1"/>
  <c r="EA78" i="15"/>
  <c r="EA32" i="15" s="1"/>
  <c r="V78" i="15"/>
  <c r="V32" i="15" s="1"/>
  <c r="AL78" i="15"/>
  <c r="AL32" i="15" s="1"/>
  <c r="BB78" i="15"/>
  <c r="BB32" i="15" s="1"/>
  <c r="BR78" i="15"/>
  <c r="BR32" i="15" s="1"/>
  <c r="CH78" i="15"/>
  <c r="CH32" i="15" s="1"/>
  <c r="CX78" i="15"/>
  <c r="CX32" i="15" s="1"/>
  <c r="DN78" i="15"/>
  <c r="DN32" i="15" s="1"/>
  <c r="ED78" i="15"/>
  <c r="ED32" i="15" s="1"/>
  <c r="ET78" i="15"/>
  <c r="ET32" i="15" s="1"/>
  <c r="AE78" i="15"/>
  <c r="AE32" i="15" s="1"/>
  <c r="BK78" i="15"/>
  <c r="BK32" i="15" s="1"/>
  <c r="CQ78" i="15"/>
  <c r="CQ32" i="15" s="1"/>
  <c r="DW78" i="15"/>
  <c r="DW32" i="15" s="1"/>
  <c r="X78" i="15"/>
  <c r="X32" i="15" s="1"/>
  <c r="BD78" i="15"/>
  <c r="BD32" i="15" s="1"/>
  <c r="CJ78" i="15"/>
  <c r="CJ32" i="15" s="1"/>
  <c r="DP78" i="15"/>
  <c r="DP32" i="15" s="1"/>
  <c r="K78" i="15"/>
  <c r="K32" i="15" s="1"/>
  <c r="AQ78" i="15"/>
  <c r="AQ32" i="15" s="1"/>
  <c r="BW78" i="15"/>
  <c r="BW32" i="15" s="1"/>
  <c r="DC78" i="15"/>
  <c r="DC32" i="15" s="1"/>
  <c r="EI78" i="15"/>
  <c r="EI32" i="15" s="1"/>
  <c r="T78" i="15"/>
  <c r="T32" i="15" s="1"/>
  <c r="AZ78" i="15"/>
  <c r="AZ32" i="15" s="1"/>
  <c r="CF78" i="15"/>
  <c r="CF32" i="15" s="1"/>
  <c r="DL78" i="15"/>
  <c r="DL32" i="15" s="1"/>
  <c r="ER78" i="15"/>
  <c r="ER32" i="15" s="1"/>
  <c r="AB78" i="15"/>
  <c r="AB32" i="15" s="1"/>
  <c r="BH78" i="15"/>
  <c r="BH32" i="15" s="1"/>
  <c r="CN78" i="15"/>
  <c r="CN32" i="15" s="1"/>
  <c r="DT78" i="15"/>
  <c r="DT32" i="15" s="1"/>
  <c r="AJ78" i="15"/>
  <c r="AJ32" i="15" s="1"/>
  <c r="BP78" i="15"/>
  <c r="BP32" i="15" s="1"/>
  <c r="CV78" i="15"/>
  <c r="CV32" i="15" s="1"/>
  <c r="EB78" i="15"/>
  <c r="EB32" i="15" s="1"/>
  <c r="L78" i="15"/>
  <c r="L32" i="15" s="1"/>
  <c r="AR78" i="15"/>
  <c r="AR32" i="15" s="1"/>
  <c r="BX78" i="15"/>
  <c r="BX32" i="15" s="1"/>
  <c r="DD78" i="15"/>
  <c r="DD32" i="15" s="1"/>
  <c r="EJ78" i="15"/>
  <c r="EJ32" i="15" s="1"/>
  <c r="G78" i="15"/>
  <c r="G32" i="15" s="1"/>
  <c r="F33" i="15"/>
  <c r="F33" i="10"/>
  <c r="D84" i="2"/>
  <c r="AR45" i="5"/>
  <c r="C80" i="5" s="1"/>
  <c r="D80" i="5" l="1"/>
  <c r="S80" i="5"/>
  <c r="O80" i="5"/>
  <c r="K80" i="5"/>
  <c r="G80" i="5"/>
  <c r="R80" i="5"/>
  <c r="M80" i="5"/>
  <c r="H80" i="5"/>
  <c r="Q80" i="5"/>
  <c r="L80" i="5"/>
  <c r="F80" i="5"/>
  <c r="N80" i="5"/>
  <c r="E80" i="5"/>
  <c r="J80" i="5"/>
  <c r="P80" i="5"/>
  <c r="T80" i="5"/>
  <c r="I80" i="5"/>
  <c r="H84" i="2"/>
  <c r="L84" i="2"/>
  <c r="P84" i="2"/>
  <c r="T84" i="2"/>
  <c r="I84" i="2"/>
  <c r="M84" i="2"/>
  <c r="Q84" i="2"/>
  <c r="U84" i="2"/>
  <c r="J84" i="2"/>
  <c r="N84" i="2"/>
  <c r="R84" i="2"/>
  <c r="O84" i="2"/>
  <c r="S84" i="2"/>
  <c r="K84" i="2"/>
  <c r="D1743" i="12"/>
  <c r="F1742" i="12"/>
  <c r="E1742" i="12"/>
  <c r="EQ40" i="5"/>
  <c r="BF45" i="5"/>
  <c r="BC45" i="5"/>
  <c r="AR41" i="2"/>
  <c r="BB40" i="2"/>
  <c r="W79" i="10"/>
  <c r="W33" i="10" s="1"/>
  <c r="AM79" i="10"/>
  <c r="AM33" i="10" s="1"/>
  <c r="BC79" i="10"/>
  <c r="BC33" i="10" s="1"/>
  <c r="BS79" i="10"/>
  <c r="BS33" i="10" s="1"/>
  <c r="CI79" i="10"/>
  <c r="CI33" i="10" s="1"/>
  <c r="CY79" i="10"/>
  <c r="CY33" i="10" s="1"/>
  <c r="DO79" i="10"/>
  <c r="DO33" i="10" s="1"/>
  <c r="EE79" i="10"/>
  <c r="EE33" i="10" s="1"/>
  <c r="L79" i="10"/>
  <c r="L33" i="10" s="1"/>
  <c r="AB79" i="10"/>
  <c r="AB33" i="10" s="1"/>
  <c r="AR79" i="10"/>
  <c r="AR33" i="10" s="1"/>
  <c r="BH79" i="10"/>
  <c r="BH33" i="10" s="1"/>
  <c r="BX79" i="10"/>
  <c r="BX33" i="10" s="1"/>
  <c r="CN79" i="10"/>
  <c r="CN33" i="10" s="1"/>
  <c r="DD79" i="10"/>
  <c r="DD33" i="10" s="1"/>
  <c r="DT79" i="10"/>
  <c r="DT33" i="10" s="1"/>
  <c r="EJ79" i="10"/>
  <c r="EJ33" i="10" s="1"/>
  <c r="AD79" i="10"/>
  <c r="AD33" i="10" s="1"/>
  <c r="BJ79" i="10"/>
  <c r="BJ33" i="10" s="1"/>
  <c r="CP79" i="10"/>
  <c r="CP33" i="10" s="1"/>
  <c r="DV79" i="10"/>
  <c r="DV33" i="10" s="1"/>
  <c r="Y79" i="10"/>
  <c r="Y33" i="10" s="1"/>
  <c r="BE79" i="10"/>
  <c r="BE33" i="10" s="1"/>
  <c r="CK79" i="10"/>
  <c r="CK33" i="10" s="1"/>
  <c r="DQ79" i="10"/>
  <c r="DQ33" i="10" s="1"/>
  <c r="R79" i="10"/>
  <c r="R33" i="10" s="1"/>
  <c r="CD79" i="10"/>
  <c r="CD33" i="10" s="1"/>
  <c r="EP79" i="10"/>
  <c r="EP33" i="10" s="1"/>
  <c r="K79" i="10"/>
  <c r="K33" i="10" s="1"/>
  <c r="AA79" i="10"/>
  <c r="AA33" i="10" s="1"/>
  <c r="AQ79" i="10"/>
  <c r="AQ33" i="10" s="1"/>
  <c r="BG79" i="10"/>
  <c r="BG33" i="10" s="1"/>
  <c r="BW79" i="10"/>
  <c r="BW33" i="10" s="1"/>
  <c r="CM79" i="10"/>
  <c r="CM33" i="10" s="1"/>
  <c r="DC79" i="10"/>
  <c r="DC33" i="10" s="1"/>
  <c r="DS79" i="10"/>
  <c r="DS33" i="10" s="1"/>
  <c r="EI79" i="10"/>
  <c r="EI33" i="10" s="1"/>
  <c r="P79" i="10"/>
  <c r="P33" i="10" s="1"/>
  <c r="AF79" i="10"/>
  <c r="AF33" i="10" s="1"/>
  <c r="AV79" i="10"/>
  <c r="AV33" i="10" s="1"/>
  <c r="BL79" i="10"/>
  <c r="BL33" i="10" s="1"/>
  <c r="CB79" i="10"/>
  <c r="CB33" i="10" s="1"/>
  <c r="CR79" i="10"/>
  <c r="CR33" i="10" s="1"/>
  <c r="DH79" i="10"/>
  <c r="DH33" i="10" s="1"/>
  <c r="DX79" i="10"/>
  <c r="DX33" i="10" s="1"/>
  <c r="EN79" i="10"/>
  <c r="EN33" i="10" s="1"/>
  <c r="AL79" i="10"/>
  <c r="AL33" i="10" s="1"/>
  <c r="BR79" i="10"/>
  <c r="BR33" i="10" s="1"/>
  <c r="CX79" i="10"/>
  <c r="CX33" i="10" s="1"/>
  <c r="ED79" i="10"/>
  <c r="ED33" i="10" s="1"/>
  <c r="AG79" i="10"/>
  <c r="AG33" i="10" s="1"/>
  <c r="BM79" i="10"/>
  <c r="BM33" i="10" s="1"/>
  <c r="CS79" i="10"/>
  <c r="CS33" i="10" s="1"/>
  <c r="DY79" i="10"/>
  <c r="DY33" i="10" s="1"/>
  <c r="O79" i="10"/>
  <c r="O33" i="10" s="1"/>
  <c r="AE79" i="10"/>
  <c r="AE33" i="10" s="1"/>
  <c r="AU79" i="10"/>
  <c r="AU33" i="10" s="1"/>
  <c r="BK79" i="10"/>
  <c r="BK33" i="10" s="1"/>
  <c r="CA79" i="10"/>
  <c r="CA33" i="10" s="1"/>
  <c r="CQ79" i="10"/>
  <c r="CQ33" i="10" s="1"/>
  <c r="DG79" i="10"/>
  <c r="DG33" i="10" s="1"/>
  <c r="DW79" i="10"/>
  <c r="DW33" i="10" s="1"/>
  <c r="EM79" i="10"/>
  <c r="EM33" i="10" s="1"/>
  <c r="T79" i="10"/>
  <c r="T33" i="10" s="1"/>
  <c r="AJ79" i="10"/>
  <c r="AJ33" i="10" s="1"/>
  <c r="AZ79" i="10"/>
  <c r="AZ33" i="10" s="1"/>
  <c r="BP79" i="10"/>
  <c r="BP33" i="10" s="1"/>
  <c r="CF79" i="10"/>
  <c r="CF33" i="10" s="1"/>
  <c r="CV79" i="10"/>
  <c r="CV33" i="10" s="1"/>
  <c r="DL79" i="10"/>
  <c r="DL33" i="10" s="1"/>
  <c r="EB79" i="10"/>
  <c r="EB33" i="10" s="1"/>
  <c r="ER79" i="10"/>
  <c r="ER33" i="10" s="1"/>
  <c r="N79" i="10"/>
  <c r="N33" i="10" s="1"/>
  <c r="AT79" i="10"/>
  <c r="AT33" i="10" s="1"/>
  <c r="BZ79" i="10"/>
  <c r="BZ33" i="10" s="1"/>
  <c r="DF79" i="10"/>
  <c r="DF33" i="10" s="1"/>
  <c r="EL79" i="10"/>
  <c r="EL33" i="10" s="1"/>
  <c r="I79" i="10"/>
  <c r="I33" i="10" s="1"/>
  <c r="AO79" i="10"/>
  <c r="AO33" i="10" s="1"/>
  <c r="BU79" i="10"/>
  <c r="BU33" i="10" s="1"/>
  <c r="DA79" i="10"/>
  <c r="DA33" i="10" s="1"/>
  <c r="EG79" i="10"/>
  <c r="EG33" i="10" s="1"/>
  <c r="AX79" i="10"/>
  <c r="AX33" i="10" s="1"/>
  <c r="DJ79" i="10"/>
  <c r="DJ33" i="10" s="1"/>
  <c r="S79" i="10"/>
  <c r="S33" i="10" s="1"/>
  <c r="AI79" i="10"/>
  <c r="AI33" i="10" s="1"/>
  <c r="AY79" i="10"/>
  <c r="AY33" i="10" s="1"/>
  <c r="BO79" i="10"/>
  <c r="BO33" i="10" s="1"/>
  <c r="CE79" i="10"/>
  <c r="CE33" i="10" s="1"/>
  <c r="CU79" i="10"/>
  <c r="CU33" i="10" s="1"/>
  <c r="DK79" i="10"/>
  <c r="DK33" i="10" s="1"/>
  <c r="EA79" i="10"/>
  <c r="EA33" i="10" s="1"/>
  <c r="EQ79" i="10"/>
  <c r="EQ33" i="10" s="1"/>
  <c r="X79" i="10"/>
  <c r="X33" i="10" s="1"/>
  <c r="AN79" i="10"/>
  <c r="AN33" i="10" s="1"/>
  <c r="BD79" i="10"/>
  <c r="BD33" i="10" s="1"/>
  <c r="BT79" i="10"/>
  <c r="BT33" i="10" s="1"/>
  <c r="CJ79" i="10"/>
  <c r="CJ33" i="10" s="1"/>
  <c r="CZ79" i="10"/>
  <c r="CZ33" i="10" s="1"/>
  <c r="DP79" i="10"/>
  <c r="DP33" i="10" s="1"/>
  <c r="EF79" i="10"/>
  <c r="EF33" i="10" s="1"/>
  <c r="V79" i="10"/>
  <c r="V33" i="10" s="1"/>
  <c r="BB79" i="10"/>
  <c r="BB33" i="10" s="1"/>
  <c r="CH79" i="10"/>
  <c r="CH33" i="10" s="1"/>
  <c r="DN79" i="10"/>
  <c r="DN33" i="10" s="1"/>
  <c r="ET79" i="10"/>
  <c r="ET33" i="10" s="1"/>
  <c r="Q79" i="10"/>
  <c r="Q33" i="10" s="1"/>
  <c r="AW79" i="10"/>
  <c r="AW33" i="10" s="1"/>
  <c r="CC79" i="10"/>
  <c r="CC33" i="10" s="1"/>
  <c r="DI79" i="10"/>
  <c r="DI33" i="10" s="1"/>
  <c r="EO79" i="10"/>
  <c r="EO33" i="10" s="1"/>
  <c r="BN79" i="10"/>
  <c r="BN33" i="10" s="1"/>
  <c r="DZ79" i="10"/>
  <c r="DZ33" i="10" s="1"/>
  <c r="U79" i="10"/>
  <c r="U33" i="10" s="1"/>
  <c r="CG79" i="10"/>
  <c r="CG33" i="10" s="1"/>
  <c r="ES79" i="10"/>
  <c r="ES33" i="10" s="1"/>
  <c r="BF79" i="10"/>
  <c r="BF33" i="10" s="1"/>
  <c r="DR79" i="10"/>
  <c r="DR33" i="10" s="1"/>
  <c r="AH79" i="10"/>
  <c r="AH33" i="10" s="1"/>
  <c r="AK79" i="10"/>
  <c r="AK33" i="10" s="1"/>
  <c r="CW79" i="10"/>
  <c r="CW33" i="10" s="1"/>
  <c r="J79" i="10"/>
  <c r="J33" i="10" s="1"/>
  <c r="BV79" i="10"/>
  <c r="BV33" i="10" s="1"/>
  <c r="EH79" i="10"/>
  <c r="EH33" i="10" s="1"/>
  <c r="AC79" i="10"/>
  <c r="AC33" i="10" s="1"/>
  <c r="CT79" i="10"/>
  <c r="CT33" i="10" s="1"/>
  <c r="BA79" i="10"/>
  <c r="BA33" i="10" s="1"/>
  <c r="DM79" i="10"/>
  <c r="DM33" i="10" s="1"/>
  <c r="Z79" i="10"/>
  <c r="Z33" i="10" s="1"/>
  <c r="CL79" i="10"/>
  <c r="CL33" i="10" s="1"/>
  <c r="CO79" i="10"/>
  <c r="CO33" i="10" s="1"/>
  <c r="BQ79" i="10"/>
  <c r="BQ33" i="10" s="1"/>
  <c r="EC79" i="10"/>
  <c r="EC33" i="10" s="1"/>
  <c r="AP79" i="10"/>
  <c r="AP33" i="10" s="1"/>
  <c r="DB79" i="10"/>
  <c r="DB33" i="10" s="1"/>
  <c r="BI79" i="10"/>
  <c r="BI33" i="10" s="1"/>
  <c r="BY79" i="10"/>
  <c r="BY33" i="10" s="1"/>
  <c r="AS79" i="10"/>
  <c r="AS33" i="10" s="1"/>
  <c r="DU79" i="10"/>
  <c r="DU33" i="10" s="1"/>
  <c r="DE79" i="10"/>
  <c r="DE33" i="10" s="1"/>
  <c r="EK79" i="10"/>
  <c r="EK33" i="10" s="1"/>
  <c r="M79" i="10"/>
  <c r="M33" i="10" s="1"/>
  <c r="H79" i="10"/>
  <c r="H33" i="10" s="1"/>
  <c r="G79" i="10"/>
  <c r="G33" i="10" s="1"/>
  <c r="N79" i="15"/>
  <c r="N33" i="15" s="1"/>
  <c r="AD79" i="15"/>
  <c r="AD33" i="15" s="1"/>
  <c r="AT79" i="15"/>
  <c r="AT33" i="15" s="1"/>
  <c r="BJ79" i="15"/>
  <c r="BJ33" i="15" s="1"/>
  <c r="BZ79" i="15"/>
  <c r="BZ33" i="15" s="1"/>
  <c r="CP79" i="15"/>
  <c r="CP33" i="15" s="1"/>
  <c r="DF79" i="15"/>
  <c r="DF33" i="15" s="1"/>
  <c r="DV79" i="15"/>
  <c r="DV33" i="15" s="1"/>
  <c r="EL79" i="15"/>
  <c r="EL33" i="15" s="1"/>
  <c r="R79" i="15"/>
  <c r="R33" i="15" s="1"/>
  <c r="AH79" i="15"/>
  <c r="AH33" i="15" s="1"/>
  <c r="AX79" i="15"/>
  <c r="AX33" i="15" s="1"/>
  <c r="BN79" i="15"/>
  <c r="BN33" i="15" s="1"/>
  <c r="CD79" i="15"/>
  <c r="CD33" i="15" s="1"/>
  <c r="CT79" i="15"/>
  <c r="CT33" i="15" s="1"/>
  <c r="DJ79" i="15"/>
  <c r="DJ33" i="15" s="1"/>
  <c r="DZ79" i="15"/>
  <c r="DZ33" i="15" s="1"/>
  <c r="EP79" i="15"/>
  <c r="EP33" i="15" s="1"/>
  <c r="V79" i="15"/>
  <c r="V33" i="15" s="1"/>
  <c r="AL79" i="15"/>
  <c r="AL33" i="15" s="1"/>
  <c r="BB79" i="15"/>
  <c r="BB33" i="15" s="1"/>
  <c r="BR79" i="15"/>
  <c r="BR33" i="15" s="1"/>
  <c r="CH79" i="15"/>
  <c r="CH33" i="15" s="1"/>
  <c r="CX79" i="15"/>
  <c r="CX33" i="15" s="1"/>
  <c r="DN79" i="15"/>
  <c r="DN33" i="15" s="1"/>
  <c r="ED79" i="15"/>
  <c r="ED33" i="15" s="1"/>
  <c r="ET79" i="15"/>
  <c r="ET33" i="15" s="1"/>
  <c r="J79" i="15"/>
  <c r="J33" i="15" s="1"/>
  <c r="Z79" i="15"/>
  <c r="Z33" i="15" s="1"/>
  <c r="AP79" i="15"/>
  <c r="AP33" i="15" s="1"/>
  <c r="BF79" i="15"/>
  <c r="BF33" i="15" s="1"/>
  <c r="BV79" i="15"/>
  <c r="BV33" i="15" s="1"/>
  <c r="CL79" i="15"/>
  <c r="CL33" i="15" s="1"/>
  <c r="DB79" i="15"/>
  <c r="DB33" i="15" s="1"/>
  <c r="DR79" i="15"/>
  <c r="DR33" i="15" s="1"/>
  <c r="EH79" i="15"/>
  <c r="EH33" i="15" s="1"/>
  <c r="K79" i="15"/>
  <c r="K33" i="15" s="1"/>
  <c r="AA79" i="15"/>
  <c r="AA33" i="15" s="1"/>
  <c r="AQ79" i="15"/>
  <c r="AQ33" i="15" s="1"/>
  <c r="BG79" i="15"/>
  <c r="BG33" i="15" s="1"/>
  <c r="BW79" i="15"/>
  <c r="BW33" i="15" s="1"/>
  <c r="CM79" i="15"/>
  <c r="CM33" i="15" s="1"/>
  <c r="DC79" i="15"/>
  <c r="DC33" i="15" s="1"/>
  <c r="DS79" i="15"/>
  <c r="DS33" i="15" s="1"/>
  <c r="EI79" i="15"/>
  <c r="EI33" i="15" s="1"/>
  <c r="X79" i="15"/>
  <c r="X33" i="15" s="1"/>
  <c r="BD79" i="15"/>
  <c r="BD33" i="15" s="1"/>
  <c r="CJ79" i="15"/>
  <c r="CJ33" i="15" s="1"/>
  <c r="DP79" i="15"/>
  <c r="DP33" i="15" s="1"/>
  <c r="Q79" i="15"/>
  <c r="Q33" i="15" s="1"/>
  <c r="AW79" i="15"/>
  <c r="AW33" i="15" s="1"/>
  <c r="CC79" i="15"/>
  <c r="CC33" i="15" s="1"/>
  <c r="DI79" i="15"/>
  <c r="DI33" i="15" s="1"/>
  <c r="EO79" i="15"/>
  <c r="EO33" i="15" s="1"/>
  <c r="AJ79" i="15"/>
  <c r="AJ33" i="15" s="1"/>
  <c r="BP79" i="15"/>
  <c r="BP33" i="15" s="1"/>
  <c r="O79" i="15"/>
  <c r="O33" i="15" s="1"/>
  <c r="AE79" i="15"/>
  <c r="AE33" i="15" s="1"/>
  <c r="AU79" i="15"/>
  <c r="AU33" i="15" s="1"/>
  <c r="BK79" i="15"/>
  <c r="BK33" i="15" s="1"/>
  <c r="CA79" i="15"/>
  <c r="CA33" i="15" s="1"/>
  <c r="CQ79" i="15"/>
  <c r="CQ33" i="15" s="1"/>
  <c r="DG79" i="15"/>
  <c r="DG33" i="15" s="1"/>
  <c r="DW79" i="15"/>
  <c r="DW33" i="15" s="1"/>
  <c r="EM79" i="15"/>
  <c r="EM33" i="15" s="1"/>
  <c r="AF79" i="15"/>
  <c r="AF33" i="15" s="1"/>
  <c r="BL79" i="15"/>
  <c r="BL33" i="15" s="1"/>
  <c r="CR79" i="15"/>
  <c r="CR33" i="15" s="1"/>
  <c r="DX79" i="15"/>
  <c r="DX33" i="15" s="1"/>
  <c r="Y79" i="15"/>
  <c r="Y33" i="15" s="1"/>
  <c r="BE79" i="15"/>
  <c r="BE33" i="15" s="1"/>
  <c r="CK79" i="15"/>
  <c r="CK33" i="15" s="1"/>
  <c r="DQ79" i="15"/>
  <c r="DQ33" i="15" s="1"/>
  <c r="L79" i="15"/>
  <c r="L33" i="15" s="1"/>
  <c r="AR79" i="15"/>
  <c r="AR33" i="15" s="1"/>
  <c r="BX79" i="15"/>
  <c r="BX33" i="15" s="1"/>
  <c r="DD79" i="15"/>
  <c r="DD33" i="15" s="1"/>
  <c r="EJ79" i="15"/>
  <c r="EJ33" i="15" s="1"/>
  <c r="S79" i="15"/>
  <c r="S33" i="15" s="1"/>
  <c r="AI79" i="15"/>
  <c r="AI33" i="15" s="1"/>
  <c r="AY79" i="15"/>
  <c r="AY33" i="15" s="1"/>
  <c r="BO79" i="15"/>
  <c r="BO33" i="15" s="1"/>
  <c r="CE79" i="15"/>
  <c r="CE33" i="15" s="1"/>
  <c r="CU79" i="15"/>
  <c r="CU33" i="15" s="1"/>
  <c r="DK79" i="15"/>
  <c r="DK33" i="15" s="1"/>
  <c r="EA79" i="15"/>
  <c r="EA33" i="15" s="1"/>
  <c r="EQ79" i="15"/>
  <c r="EQ33" i="15" s="1"/>
  <c r="H79" i="15"/>
  <c r="H33" i="15" s="1"/>
  <c r="AN79" i="15"/>
  <c r="AN33" i="15" s="1"/>
  <c r="BT79" i="15"/>
  <c r="BT33" i="15" s="1"/>
  <c r="CZ79" i="15"/>
  <c r="CZ33" i="15" s="1"/>
  <c r="EF79" i="15"/>
  <c r="EF33" i="15" s="1"/>
  <c r="AG79" i="15"/>
  <c r="AG33" i="15" s="1"/>
  <c r="BM79" i="15"/>
  <c r="BM33" i="15" s="1"/>
  <c r="CS79" i="15"/>
  <c r="CS33" i="15" s="1"/>
  <c r="DY79" i="15"/>
  <c r="DY33" i="15" s="1"/>
  <c r="T79" i="15"/>
  <c r="T33" i="15" s="1"/>
  <c r="AZ79" i="15"/>
  <c r="AZ33" i="15" s="1"/>
  <c r="CF79" i="15"/>
  <c r="CF33" i="15" s="1"/>
  <c r="DL79" i="15"/>
  <c r="DL33" i="15" s="1"/>
  <c r="ER79" i="15"/>
  <c r="ER33" i="15" s="1"/>
  <c r="W79" i="15"/>
  <c r="W33" i="15" s="1"/>
  <c r="AM79" i="15"/>
  <c r="AM33" i="15" s="1"/>
  <c r="BC79" i="15"/>
  <c r="BC33" i="15" s="1"/>
  <c r="BS79" i="15"/>
  <c r="BS33" i="15" s="1"/>
  <c r="CI79" i="15"/>
  <c r="CI33" i="15" s="1"/>
  <c r="CY79" i="15"/>
  <c r="CY33" i="15" s="1"/>
  <c r="DO79" i="15"/>
  <c r="DO33" i="15" s="1"/>
  <c r="EE79" i="15"/>
  <c r="EE33" i="15" s="1"/>
  <c r="P79" i="15"/>
  <c r="P33" i="15" s="1"/>
  <c r="AV79" i="15"/>
  <c r="AV33" i="15" s="1"/>
  <c r="CB79" i="15"/>
  <c r="CB33" i="15" s="1"/>
  <c r="DH79" i="15"/>
  <c r="DH33" i="15" s="1"/>
  <c r="EN79" i="15"/>
  <c r="EN33" i="15" s="1"/>
  <c r="I79" i="15"/>
  <c r="I33" i="15" s="1"/>
  <c r="AO79" i="15"/>
  <c r="AO33" i="15" s="1"/>
  <c r="BU79" i="15"/>
  <c r="BU33" i="15" s="1"/>
  <c r="DA79" i="15"/>
  <c r="DA33" i="15" s="1"/>
  <c r="EG79" i="15"/>
  <c r="EG33" i="15" s="1"/>
  <c r="AB79" i="15"/>
  <c r="AB33" i="15" s="1"/>
  <c r="BH79" i="15"/>
  <c r="BH33" i="15" s="1"/>
  <c r="CN79" i="15"/>
  <c r="CN33" i="15" s="1"/>
  <c r="CV79" i="15"/>
  <c r="CV33" i="15" s="1"/>
  <c r="AK79" i="15"/>
  <c r="AK33" i="15" s="1"/>
  <c r="BQ79" i="15"/>
  <c r="BQ33" i="15" s="1"/>
  <c r="CW79" i="15"/>
  <c r="CW33" i="15" s="1"/>
  <c r="EC79" i="15"/>
  <c r="EC33" i="15" s="1"/>
  <c r="DT79" i="15"/>
  <c r="DT33" i="15" s="1"/>
  <c r="M79" i="15"/>
  <c r="M33" i="15" s="1"/>
  <c r="AS79" i="15"/>
  <c r="AS33" i="15" s="1"/>
  <c r="BY79" i="15"/>
  <c r="BY33" i="15" s="1"/>
  <c r="DE79" i="15"/>
  <c r="DE33" i="15" s="1"/>
  <c r="EK79" i="15"/>
  <c r="EK33" i="15" s="1"/>
  <c r="EB79" i="15"/>
  <c r="EB33" i="15" s="1"/>
  <c r="U79" i="15"/>
  <c r="U33" i="15" s="1"/>
  <c r="BA79" i="15"/>
  <c r="BA33" i="15" s="1"/>
  <c r="CG79" i="15"/>
  <c r="CG33" i="15" s="1"/>
  <c r="DM79" i="15"/>
  <c r="DM33" i="15" s="1"/>
  <c r="ES79" i="15"/>
  <c r="ES33" i="15" s="1"/>
  <c r="AC79" i="15"/>
  <c r="AC33" i="15" s="1"/>
  <c r="BI79" i="15"/>
  <c r="BI33" i="15" s="1"/>
  <c r="CO79" i="15"/>
  <c r="CO33" i="15" s="1"/>
  <c r="DU79" i="15"/>
  <c r="DU33" i="15" s="1"/>
  <c r="G79" i="15"/>
  <c r="G33" i="15" s="1"/>
  <c r="F34" i="15"/>
  <c r="F34" i="10"/>
  <c r="D85" i="2"/>
  <c r="AR46" i="5"/>
  <c r="C81" i="5" s="1"/>
  <c r="D81" i="5" l="1"/>
  <c r="S81" i="5"/>
  <c r="O81" i="5"/>
  <c r="K81" i="5"/>
  <c r="G81" i="5"/>
  <c r="R81" i="5"/>
  <c r="M81" i="5"/>
  <c r="H81" i="5"/>
  <c r="Q81" i="5"/>
  <c r="L81" i="5"/>
  <c r="F81" i="5"/>
  <c r="T81" i="5"/>
  <c r="I81" i="5"/>
  <c r="J81" i="5"/>
  <c r="P81" i="5"/>
  <c r="E81" i="5"/>
  <c r="N81" i="5"/>
  <c r="H85" i="2"/>
  <c r="K85" i="2"/>
  <c r="O85" i="2"/>
  <c r="S85" i="2"/>
  <c r="L85" i="2"/>
  <c r="P85" i="2"/>
  <c r="T85" i="2"/>
  <c r="I85" i="2"/>
  <c r="M85" i="2"/>
  <c r="Q85" i="2"/>
  <c r="U85" i="2"/>
  <c r="R85" i="2"/>
  <c r="J85" i="2"/>
  <c r="N85" i="2"/>
  <c r="D1744" i="12"/>
  <c r="F1743" i="12"/>
  <c r="E1743" i="12"/>
  <c r="EQ41" i="5"/>
  <c r="BF46" i="5"/>
  <c r="BC46" i="5"/>
  <c r="AR42" i="2"/>
  <c r="BB41" i="2"/>
  <c r="I80" i="10"/>
  <c r="I34" i="10" s="1"/>
  <c r="Y80" i="10"/>
  <c r="Y34" i="10" s="1"/>
  <c r="AO80" i="10"/>
  <c r="AO34" i="10" s="1"/>
  <c r="BE80" i="10"/>
  <c r="BE34" i="10" s="1"/>
  <c r="BU80" i="10"/>
  <c r="BU34" i="10" s="1"/>
  <c r="CK80" i="10"/>
  <c r="CK34" i="10" s="1"/>
  <c r="DA80" i="10"/>
  <c r="DA34" i="10" s="1"/>
  <c r="DQ80" i="10"/>
  <c r="DQ34" i="10" s="1"/>
  <c r="EG80" i="10"/>
  <c r="EG34" i="10" s="1"/>
  <c r="N80" i="10"/>
  <c r="N34" i="10" s="1"/>
  <c r="AD80" i="10"/>
  <c r="AD34" i="10" s="1"/>
  <c r="AT80" i="10"/>
  <c r="AT34" i="10" s="1"/>
  <c r="BJ80" i="10"/>
  <c r="BJ34" i="10" s="1"/>
  <c r="BZ80" i="10"/>
  <c r="BZ34" i="10" s="1"/>
  <c r="CP80" i="10"/>
  <c r="CP34" i="10" s="1"/>
  <c r="DF80" i="10"/>
  <c r="DF34" i="10" s="1"/>
  <c r="DV80" i="10"/>
  <c r="DV34" i="10" s="1"/>
  <c r="EL80" i="10"/>
  <c r="EL34" i="10" s="1"/>
  <c r="P80" i="10"/>
  <c r="P34" i="10" s="1"/>
  <c r="AV80" i="10"/>
  <c r="AV34" i="10" s="1"/>
  <c r="CB80" i="10"/>
  <c r="CB34" i="10" s="1"/>
  <c r="DH80" i="10"/>
  <c r="DH34" i="10" s="1"/>
  <c r="EM80" i="10"/>
  <c r="EM34" i="10" s="1"/>
  <c r="K80" i="10"/>
  <c r="K34" i="10" s="1"/>
  <c r="AQ80" i="10"/>
  <c r="AQ34" i="10" s="1"/>
  <c r="BW80" i="10"/>
  <c r="BW34" i="10" s="1"/>
  <c r="DC80" i="10"/>
  <c r="DC34" i="10" s="1"/>
  <c r="EI80" i="10"/>
  <c r="EI34" i="10" s="1"/>
  <c r="BP80" i="10"/>
  <c r="BP34" i="10" s="1"/>
  <c r="EB80" i="10"/>
  <c r="EB34" i="10" s="1"/>
  <c r="M80" i="10"/>
  <c r="M34" i="10" s="1"/>
  <c r="AC80" i="10"/>
  <c r="AC34" i="10" s="1"/>
  <c r="AS80" i="10"/>
  <c r="AS34" i="10" s="1"/>
  <c r="BI80" i="10"/>
  <c r="BI34" i="10" s="1"/>
  <c r="BY80" i="10"/>
  <c r="BY34" i="10" s="1"/>
  <c r="CO80" i="10"/>
  <c r="CO34" i="10" s="1"/>
  <c r="DE80" i="10"/>
  <c r="DE34" i="10" s="1"/>
  <c r="DU80" i="10"/>
  <c r="DU34" i="10" s="1"/>
  <c r="R80" i="10"/>
  <c r="R34" i="10" s="1"/>
  <c r="AH80" i="10"/>
  <c r="AH34" i="10" s="1"/>
  <c r="AX80" i="10"/>
  <c r="AX34" i="10" s="1"/>
  <c r="BN80" i="10"/>
  <c r="BN34" i="10" s="1"/>
  <c r="CD80" i="10"/>
  <c r="CD34" i="10" s="1"/>
  <c r="CT80" i="10"/>
  <c r="CT34" i="10" s="1"/>
  <c r="DJ80" i="10"/>
  <c r="DJ34" i="10" s="1"/>
  <c r="DZ80" i="10"/>
  <c r="DZ34" i="10" s="1"/>
  <c r="EP80" i="10"/>
  <c r="EP34" i="10" s="1"/>
  <c r="X80" i="10"/>
  <c r="X34" i="10" s="1"/>
  <c r="BD80" i="10"/>
  <c r="BD34" i="10" s="1"/>
  <c r="CJ80" i="10"/>
  <c r="CJ34" i="10" s="1"/>
  <c r="DP80" i="10"/>
  <c r="DP34" i="10" s="1"/>
  <c r="ER80" i="10"/>
  <c r="ER34" i="10" s="1"/>
  <c r="S80" i="10"/>
  <c r="S34" i="10" s="1"/>
  <c r="AY80" i="10"/>
  <c r="AY34" i="10" s="1"/>
  <c r="CE80" i="10"/>
  <c r="CE34" i="10" s="1"/>
  <c r="DK80" i="10"/>
  <c r="DK34" i="10" s="1"/>
  <c r="EN80" i="10"/>
  <c r="EN34" i="10" s="1"/>
  <c r="Q80" i="10"/>
  <c r="Q34" i="10" s="1"/>
  <c r="AG80" i="10"/>
  <c r="AG34" i="10" s="1"/>
  <c r="AW80" i="10"/>
  <c r="AW34" i="10" s="1"/>
  <c r="BM80" i="10"/>
  <c r="BM34" i="10" s="1"/>
  <c r="CC80" i="10"/>
  <c r="CC34" i="10" s="1"/>
  <c r="CS80" i="10"/>
  <c r="CS34" i="10" s="1"/>
  <c r="DI80" i="10"/>
  <c r="DI34" i="10" s="1"/>
  <c r="DY80" i="10"/>
  <c r="DY34" i="10" s="1"/>
  <c r="V80" i="10"/>
  <c r="V34" i="10" s="1"/>
  <c r="AL80" i="10"/>
  <c r="AL34" i="10" s="1"/>
  <c r="BB80" i="10"/>
  <c r="BB34" i="10" s="1"/>
  <c r="BR80" i="10"/>
  <c r="BR34" i="10" s="1"/>
  <c r="CH80" i="10"/>
  <c r="CH34" i="10" s="1"/>
  <c r="CX80" i="10"/>
  <c r="CX34" i="10" s="1"/>
  <c r="DN80" i="10"/>
  <c r="DN34" i="10" s="1"/>
  <c r="ED80" i="10"/>
  <c r="ED34" i="10" s="1"/>
  <c r="ET80" i="10"/>
  <c r="ET34" i="10" s="1"/>
  <c r="AF80" i="10"/>
  <c r="AF34" i="10" s="1"/>
  <c r="BL80" i="10"/>
  <c r="BL34" i="10" s="1"/>
  <c r="CR80" i="10"/>
  <c r="CR34" i="10" s="1"/>
  <c r="DX80" i="10"/>
  <c r="DX34" i="10" s="1"/>
  <c r="AA80" i="10"/>
  <c r="AA34" i="10" s="1"/>
  <c r="BG80" i="10"/>
  <c r="BG34" i="10" s="1"/>
  <c r="CM80" i="10"/>
  <c r="CM34" i="10" s="1"/>
  <c r="DS80" i="10"/>
  <c r="DS34" i="10" s="1"/>
  <c r="ES80" i="10"/>
  <c r="ES34" i="10" s="1"/>
  <c r="AJ80" i="10"/>
  <c r="AJ34" i="10" s="1"/>
  <c r="CV80" i="10"/>
  <c r="CV34" i="10" s="1"/>
  <c r="U80" i="10"/>
  <c r="U34" i="10" s="1"/>
  <c r="AK80" i="10"/>
  <c r="AK34" i="10" s="1"/>
  <c r="BA80" i="10"/>
  <c r="BA34" i="10" s="1"/>
  <c r="BQ80" i="10"/>
  <c r="BQ34" i="10" s="1"/>
  <c r="CG80" i="10"/>
  <c r="CG34" i="10" s="1"/>
  <c r="CW80" i="10"/>
  <c r="CW34" i="10" s="1"/>
  <c r="DM80" i="10"/>
  <c r="DM34" i="10" s="1"/>
  <c r="EC80" i="10"/>
  <c r="EC34" i="10" s="1"/>
  <c r="J80" i="10"/>
  <c r="J34" i="10" s="1"/>
  <c r="Z80" i="10"/>
  <c r="Z34" i="10" s="1"/>
  <c r="AP80" i="10"/>
  <c r="AP34" i="10" s="1"/>
  <c r="BF80" i="10"/>
  <c r="BF34" i="10" s="1"/>
  <c r="BV80" i="10"/>
  <c r="BV34" i="10" s="1"/>
  <c r="CL80" i="10"/>
  <c r="CL34" i="10" s="1"/>
  <c r="DB80" i="10"/>
  <c r="DB34" i="10" s="1"/>
  <c r="DR80" i="10"/>
  <c r="DR34" i="10" s="1"/>
  <c r="EH80" i="10"/>
  <c r="EH34" i="10" s="1"/>
  <c r="AN80" i="10"/>
  <c r="AN34" i="10" s="1"/>
  <c r="BT80" i="10"/>
  <c r="BT34" i="10" s="1"/>
  <c r="CZ80" i="10"/>
  <c r="CZ34" i="10" s="1"/>
  <c r="EF80" i="10"/>
  <c r="EF34" i="10" s="1"/>
  <c r="AI80" i="10"/>
  <c r="AI34" i="10" s="1"/>
  <c r="BO80" i="10"/>
  <c r="BO34" i="10" s="1"/>
  <c r="CU80" i="10"/>
  <c r="CU34" i="10" s="1"/>
  <c r="EA80" i="10"/>
  <c r="EA34" i="10" s="1"/>
  <c r="AZ80" i="10"/>
  <c r="AZ34" i="10" s="1"/>
  <c r="DL80" i="10"/>
  <c r="DL34" i="10" s="1"/>
  <c r="CF80" i="10"/>
  <c r="CF34" i="10" s="1"/>
  <c r="BS80" i="10"/>
  <c r="BS34" i="10" s="1"/>
  <c r="EE80" i="10"/>
  <c r="EE34" i="10" s="1"/>
  <c r="AR80" i="10"/>
  <c r="AR34" i="10" s="1"/>
  <c r="DD80" i="10"/>
  <c r="DD34" i="10" s="1"/>
  <c r="CA80" i="10"/>
  <c r="CA34" i="10" s="1"/>
  <c r="EO80" i="10"/>
  <c r="EO34" i="10" s="1"/>
  <c r="W80" i="10"/>
  <c r="W34" i="10" s="1"/>
  <c r="CI80" i="10"/>
  <c r="CI34" i="10" s="1"/>
  <c r="EQ80" i="10"/>
  <c r="EQ34" i="10" s="1"/>
  <c r="BH80" i="10"/>
  <c r="BH34" i="10" s="1"/>
  <c r="DT80" i="10"/>
  <c r="DT34" i="10" s="1"/>
  <c r="EK80" i="10"/>
  <c r="EK34" i="10" s="1"/>
  <c r="AM80" i="10"/>
  <c r="AM34" i="10" s="1"/>
  <c r="CY80" i="10"/>
  <c r="CY34" i="10" s="1"/>
  <c r="L80" i="10"/>
  <c r="L34" i="10" s="1"/>
  <c r="BX80" i="10"/>
  <c r="BX34" i="10" s="1"/>
  <c r="EJ80" i="10"/>
  <c r="EJ34" i="10" s="1"/>
  <c r="T80" i="10"/>
  <c r="T34" i="10" s="1"/>
  <c r="BC80" i="10"/>
  <c r="BC34" i="10" s="1"/>
  <c r="DO80" i="10"/>
  <c r="DO34" i="10" s="1"/>
  <c r="AB80" i="10"/>
  <c r="AB34" i="10" s="1"/>
  <c r="CN80" i="10"/>
  <c r="CN34" i="10" s="1"/>
  <c r="O80" i="10"/>
  <c r="O34" i="10" s="1"/>
  <c r="CQ80" i="10"/>
  <c r="CQ34" i="10" s="1"/>
  <c r="AU80" i="10"/>
  <c r="AU34" i="10" s="1"/>
  <c r="AE80" i="10"/>
  <c r="AE34" i="10" s="1"/>
  <c r="DG80" i="10"/>
  <c r="DG34" i="10" s="1"/>
  <c r="BK80" i="10"/>
  <c r="BK34" i="10" s="1"/>
  <c r="DW80" i="10"/>
  <c r="DW34" i="10" s="1"/>
  <c r="H80" i="10"/>
  <c r="H34" i="10" s="1"/>
  <c r="G80" i="10"/>
  <c r="G34" i="10" s="1"/>
  <c r="O80" i="15"/>
  <c r="O34" i="15" s="1"/>
  <c r="AE80" i="15"/>
  <c r="AE34" i="15" s="1"/>
  <c r="AU80" i="15"/>
  <c r="AU34" i="15" s="1"/>
  <c r="BK80" i="15"/>
  <c r="BK34" i="15" s="1"/>
  <c r="CA80" i="15"/>
  <c r="CA34" i="15" s="1"/>
  <c r="S80" i="15"/>
  <c r="S34" i="15" s="1"/>
  <c r="AI80" i="15"/>
  <c r="AI34" i="15" s="1"/>
  <c r="AY80" i="15"/>
  <c r="AY34" i="15" s="1"/>
  <c r="BO80" i="15"/>
  <c r="BO34" i="15" s="1"/>
  <c r="CE80" i="15"/>
  <c r="CE34" i="15" s="1"/>
  <c r="W80" i="15"/>
  <c r="W34" i="15" s="1"/>
  <c r="AM80" i="15"/>
  <c r="AM34" i="15" s="1"/>
  <c r="BC80" i="15"/>
  <c r="BC34" i="15" s="1"/>
  <c r="BS80" i="15"/>
  <c r="BS34" i="15" s="1"/>
  <c r="K80" i="15"/>
  <c r="K34" i="15" s="1"/>
  <c r="AA80" i="15"/>
  <c r="AA34" i="15" s="1"/>
  <c r="AQ80" i="15"/>
  <c r="AQ34" i="15" s="1"/>
  <c r="BG80" i="15"/>
  <c r="BG34" i="15" s="1"/>
  <c r="BW80" i="15"/>
  <c r="BW34" i="15" s="1"/>
  <c r="L80" i="15"/>
  <c r="L34" i="15" s="1"/>
  <c r="AB80" i="15"/>
  <c r="AB34" i="15" s="1"/>
  <c r="AR80" i="15"/>
  <c r="AR34" i="15" s="1"/>
  <c r="BH80" i="15"/>
  <c r="BH34" i="15" s="1"/>
  <c r="BX80" i="15"/>
  <c r="BX34" i="15" s="1"/>
  <c r="I80" i="15"/>
  <c r="I34" i="15" s="1"/>
  <c r="AO80" i="15"/>
  <c r="AO34" i="15" s="1"/>
  <c r="BU80" i="15"/>
  <c r="BU34" i="15" s="1"/>
  <c r="CQ80" i="15"/>
  <c r="CQ34" i="15" s="1"/>
  <c r="DG80" i="15"/>
  <c r="DG34" i="15" s="1"/>
  <c r="DW80" i="15"/>
  <c r="DW34" i="15" s="1"/>
  <c r="EM80" i="15"/>
  <c r="EM34" i="15" s="1"/>
  <c r="AH80" i="15"/>
  <c r="AH34" i="15" s="1"/>
  <c r="BN80" i="15"/>
  <c r="BN34" i="15" s="1"/>
  <c r="CN80" i="15"/>
  <c r="CN34" i="15" s="1"/>
  <c r="DD80" i="15"/>
  <c r="DD34" i="15" s="1"/>
  <c r="DT80" i="15"/>
  <c r="DT34" i="15" s="1"/>
  <c r="EJ80" i="15"/>
  <c r="EJ34" i="15" s="1"/>
  <c r="P80" i="15"/>
  <c r="P34" i="15" s="1"/>
  <c r="AF80" i="15"/>
  <c r="AF34" i="15" s="1"/>
  <c r="AV80" i="15"/>
  <c r="AV34" i="15" s="1"/>
  <c r="BL80" i="15"/>
  <c r="BL34" i="15" s="1"/>
  <c r="CB80" i="15"/>
  <c r="CB34" i="15" s="1"/>
  <c r="Q80" i="15"/>
  <c r="Q34" i="15" s="1"/>
  <c r="AW80" i="15"/>
  <c r="AW34" i="15" s="1"/>
  <c r="CC80" i="15"/>
  <c r="CC34" i="15" s="1"/>
  <c r="CU80" i="15"/>
  <c r="CU34" i="15" s="1"/>
  <c r="DK80" i="15"/>
  <c r="DK34" i="15" s="1"/>
  <c r="EA80" i="15"/>
  <c r="EA34" i="15" s="1"/>
  <c r="EQ80" i="15"/>
  <c r="EQ34" i="15" s="1"/>
  <c r="J80" i="15"/>
  <c r="J34" i="15" s="1"/>
  <c r="AP80" i="15"/>
  <c r="AP34" i="15" s="1"/>
  <c r="BV80" i="15"/>
  <c r="BV34" i="15" s="1"/>
  <c r="CR80" i="15"/>
  <c r="CR34" i="15" s="1"/>
  <c r="DH80" i="15"/>
  <c r="DH34" i="15" s="1"/>
  <c r="DX80" i="15"/>
  <c r="DX34" i="15" s="1"/>
  <c r="EN80" i="15"/>
  <c r="EN34" i="15" s="1"/>
  <c r="AC80" i="15"/>
  <c r="AC34" i="15" s="1"/>
  <c r="BI80" i="15"/>
  <c r="BI34" i="15" s="1"/>
  <c r="CK80" i="15"/>
  <c r="CK34" i="15" s="1"/>
  <c r="DA80" i="15"/>
  <c r="DA34" i="15" s="1"/>
  <c r="DQ80" i="15"/>
  <c r="DQ34" i="15" s="1"/>
  <c r="EG80" i="15"/>
  <c r="EG34" i="15" s="1"/>
  <c r="T80" i="15"/>
  <c r="T34" i="15" s="1"/>
  <c r="AJ80" i="15"/>
  <c r="AJ34" i="15" s="1"/>
  <c r="AZ80" i="15"/>
  <c r="AZ34" i="15" s="1"/>
  <c r="BP80" i="15"/>
  <c r="BP34" i="15" s="1"/>
  <c r="CF80" i="15"/>
  <c r="CF34" i="15" s="1"/>
  <c r="Y80" i="15"/>
  <c r="Y34" i="15" s="1"/>
  <c r="BE80" i="15"/>
  <c r="BE34" i="15" s="1"/>
  <c r="CI80" i="15"/>
  <c r="CI34" i="15" s="1"/>
  <c r="CY80" i="15"/>
  <c r="CY34" i="15" s="1"/>
  <c r="DO80" i="15"/>
  <c r="DO34" i="15" s="1"/>
  <c r="EE80" i="15"/>
  <c r="EE34" i="15" s="1"/>
  <c r="R80" i="15"/>
  <c r="R34" i="15" s="1"/>
  <c r="AX80" i="15"/>
  <c r="AX34" i="15" s="1"/>
  <c r="CD80" i="15"/>
  <c r="CD34" i="15" s="1"/>
  <c r="CV80" i="15"/>
  <c r="CV34" i="15" s="1"/>
  <c r="DL80" i="15"/>
  <c r="DL34" i="15" s="1"/>
  <c r="EB80" i="15"/>
  <c r="EB34" i="15" s="1"/>
  <c r="ER80" i="15"/>
  <c r="ER34" i="15" s="1"/>
  <c r="AK80" i="15"/>
  <c r="AK34" i="15" s="1"/>
  <c r="BQ80" i="15"/>
  <c r="BQ34" i="15" s="1"/>
  <c r="CO80" i="15"/>
  <c r="CO34" i="15" s="1"/>
  <c r="DE80" i="15"/>
  <c r="DE34" i="15" s="1"/>
  <c r="DU80" i="15"/>
  <c r="DU34" i="15" s="1"/>
  <c r="EK80" i="15"/>
  <c r="EK34" i="15" s="1"/>
  <c r="H80" i="15"/>
  <c r="H34" i="15" s="1"/>
  <c r="X80" i="15"/>
  <c r="X34" i="15" s="1"/>
  <c r="AN80" i="15"/>
  <c r="AN34" i="15" s="1"/>
  <c r="BD80" i="15"/>
  <c r="BD34" i="15" s="1"/>
  <c r="BT80" i="15"/>
  <c r="BT34" i="15" s="1"/>
  <c r="AG80" i="15"/>
  <c r="AG34" i="15" s="1"/>
  <c r="BM80" i="15"/>
  <c r="BM34" i="15" s="1"/>
  <c r="CM80" i="15"/>
  <c r="CM34" i="15" s="1"/>
  <c r="DC80" i="15"/>
  <c r="DC34" i="15" s="1"/>
  <c r="DS80" i="15"/>
  <c r="DS34" i="15" s="1"/>
  <c r="EI80" i="15"/>
  <c r="EI34" i="15" s="1"/>
  <c r="Z80" i="15"/>
  <c r="Z34" i="15" s="1"/>
  <c r="BF80" i="15"/>
  <c r="BF34" i="15" s="1"/>
  <c r="CJ80" i="15"/>
  <c r="CJ34" i="15" s="1"/>
  <c r="CZ80" i="15"/>
  <c r="CZ34" i="15" s="1"/>
  <c r="DP80" i="15"/>
  <c r="DP34" i="15" s="1"/>
  <c r="EF80" i="15"/>
  <c r="EF34" i="15" s="1"/>
  <c r="U80" i="15"/>
  <c r="U34" i="15" s="1"/>
  <c r="CG80" i="15"/>
  <c r="CG34" i="15" s="1"/>
  <c r="DM80" i="15"/>
  <c r="DM34" i="15" s="1"/>
  <c r="ES80" i="15"/>
  <c r="ES34" i="15" s="1"/>
  <c r="V80" i="15"/>
  <c r="V34" i="15" s="1"/>
  <c r="BB80" i="15"/>
  <c r="BB34" i="15" s="1"/>
  <c r="CH80" i="15"/>
  <c r="CH34" i="15" s="1"/>
  <c r="CX80" i="15"/>
  <c r="CX34" i="15" s="1"/>
  <c r="DN80" i="15"/>
  <c r="DN34" i="15" s="1"/>
  <c r="ED80" i="15"/>
  <c r="ED34" i="15" s="1"/>
  <c r="ET80" i="15"/>
  <c r="ET34" i="15" s="1"/>
  <c r="AS80" i="15"/>
  <c r="AS34" i="15" s="1"/>
  <c r="CS80" i="15"/>
  <c r="CS34" i="15" s="1"/>
  <c r="DY80" i="15"/>
  <c r="DY34" i="15" s="1"/>
  <c r="AD80" i="15"/>
  <c r="AD34" i="15" s="1"/>
  <c r="BJ80" i="15"/>
  <c r="BJ34" i="15" s="1"/>
  <c r="CL80" i="15"/>
  <c r="CL34" i="15" s="1"/>
  <c r="DB80" i="15"/>
  <c r="DB34" i="15" s="1"/>
  <c r="DR80" i="15"/>
  <c r="DR34" i="15" s="1"/>
  <c r="EH80" i="15"/>
  <c r="EH34" i="15" s="1"/>
  <c r="BA80" i="15"/>
  <c r="BA34" i="15" s="1"/>
  <c r="CW80" i="15"/>
  <c r="CW34" i="15" s="1"/>
  <c r="EC80" i="15"/>
  <c r="EC34" i="15" s="1"/>
  <c r="AL80" i="15"/>
  <c r="AL34" i="15" s="1"/>
  <c r="BR80" i="15"/>
  <c r="BR34" i="15" s="1"/>
  <c r="CP80" i="15"/>
  <c r="CP34" i="15" s="1"/>
  <c r="DF80" i="15"/>
  <c r="DF34" i="15" s="1"/>
  <c r="DV80" i="15"/>
  <c r="DV34" i="15" s="1"/>
  <c r="EL80" i="15"/>
  <c r="EL34" i="15" s="1"/>
  <c r="M80" i="15"/>
  <c r="M34" i="15" s="1"/>
  <c r="BY80" i="15"/>
  <c r="BY34" i="15" s="1"/>
  <c r="DI80" i="15"/>
  <c r="DI34" i="15" s="1"/>
  <c r="EO80" i="15"/>
  <c r="EO34" i="15" s="1"/>
  <c r="N80" i="15"/>
  <c r="N34" i="15" s="1"/>
  <c r="AT80" i="15"/>
  <c r="AT34" i="15" s="1"/>
  <c r="BZ80" i="15"/>
  <c r="BZ34" i="15" s="1"/>
  <c r="CT80" i="15"/>
  <c r="CT34" i="15" s="1"/>
  <c r="DJ80" i="15"/>
  <c r="DJ34" i="15" s="1"/>
  <c r="DZ80" i="15"/>
  <c r="DZ34" i="15" s="1"/>
  <c r="EP80" i="15"/>
  <c r="EP34" i="15" s="1"/>
  <c r="G80" i="15"/>
  <c r="G34" i="15" s="1"/>
  <c r="F35" i="15"/>
  <c r="F35" i="10"/>
  <c r="AR47" i="5"/>
  <c r="C82" i="5" s="1"/>
  <c r="D86" i="2"/>
  <c r="D82" i="5" l="1"/>
  <c r="S82" i="5"/>
  <c r="O82" i="5"/>
  <c r="K82" i="5"/>
  <c r="G82" i="5"/>
  <c r="R82" i="5"/>
  <c r="M82" i="5"/>
  <c r="H82" i="5"/>
  <c r="Q82" i="5"/>
  <c r="L82" i="5"/>
  <c r="F82" i="5"/>
  <c r="N82" i="5"/>
  <c r="T82" i="5"/>
  <c r="P82" i="5"/>
  <c r="J82" i="5"/>
  <c r="E82" i="5"/>
  <c r="I82" i="5"/>
  <c r="H86" i="2"/>
  <c r="J86" i="2"/>
  <c r="N86" i="2"/>
  <c r="R86" i="2"/>
  <c r="K86" i="2"/>
  <c r="O86" i="2"/>
  <c r="S86" i="2"/>
  <c r="L86" i="2"/>
  <c r="P86" i="2"/>
  <c r="T86" i="2"/>
  <c r="U86" i="2"/>
  <c r="I86" i="2"/>
  <c r="M86" i="2"/>
  <c r="Q86" i="2"/>
  <c r="D1745" i="12"/>
  <c r="E1744" i="12"/>
  <c r="F1744" i="12"/>
  <c r="EQ42" i="5"/>
  <c r="BF47" i="5"/>
  <c r="BC47" i="5"/>
  <c r="AR43" i="2"/>
  <c r="BB42" i="2"/>
  <c r="P81" i="10"/>
  <c r="P35" i="10" s="1"/>
  <c r="AF81" i="10"/>
  <c r="AF35" i="10" s="1"/>
  <c r="AV81" i="10"/>
  <c r="AV35" i="10" s="1"/>
  <c r="BL81" i="10"/>
  <c r="BL35" i="10" s="1"/>
  <c r="CB81" i="10"/>
  <c r="CB35" i="10" s="1"/>
  <c r="V81" i="10"/>
  <c r="V35" i="10" s="1"/>
  <c r="AQ81" i="10"/>
  <c r="AQ35" i="10" s="1"/>
  <c r="BM81" i="10"/>
  <c r="BM35" i="10" s="1"/>
  <c r="CH81" i="10"/>
  <c r="CH35" i="10" s="1"/>
  <c r="CX81" i="10"/>
  <c r="CX35" i="10" s="1"/>
  <c r="DN81" i="10"/>
  <c r="DN35" i="10" s="1"/>
  <c r="ED81" i="10"/>
  <c r="ED35" i="10" s="1"/>
  <c r="ET81" i="10"/>
  <c r="ET35" i="10" s="1"/>
  <c r="R81" i="10"/>
  <c r="R35" i="10" s="1"/>
  <c r="AM81" i="10"/>
  <c r="AM35" i="10" s="1"/>
  <c r="BI81" i="10"/>
  <c r="BI35" i="10" s="1"/>
  <c r="CD81" i="10"/>
  <c r="CD35" i="10" s="1"/>
  <c r="CU81" i="10"/>
  <c r="CU35" i="10" s="1"/>
  <c r="DK81" i="10"/>
  <c r="DK35" i="10" s="1"/>
  <c r="EA81" i="10"/>
  <c r="EA35" i="10" s="1"/>
  <c r="EQ81" i="10"/>
  <c r="EQ35" i="10" s="1"/>
  <c r="AI81" i="10"/>
  <c r="AI35" i="10" s="1"/>
  <c r="BZ81" i="10"/>
  <c r="BZ35" i="10" s="1"/>
  <c r="DH81" i="10"/>
  <c r="DH35" i="10" s="1"/>
  <c r="EN81" i="10"/>
  <c r="EN35" i="10" s="1"/>
  <c r="T81" i="10"/>
  <c r="T35" i="10" s="1"/>
  <c r="AJ81" i="10"/>
  <c r="AJ35" i="10" s="1"/>
  <c r="AZ81" i="10"/>
  <c r="AZ35" i="10" s="1"/>
  <c r="BP81" i="10"/>
  <c r="BP35" i="10" s="1"/>
  <c r="CF81" i="10"/>
  <c r="CF35" i="10" s="1"/>
  <c r="AA81" i="10"/>
  <c r="AA35" i="10" s="1"/>
  <c r="AW81" i="10"/>
  <c r="AW35" i="10" s="1"/>
  <c r="BR81" i="10"/>
  <c r="BR35" i="10" s="1"/>
  <c r="CL81" i="10"/>
  <c r="CL35" i="10" s="1"/>
  <c r="DB81" i="10"/>
  <c r="DB35" i="10" s="1"/>
  <c r="DR81" i="10"/>
  <c r="DR35" i="10" s="1"/>
  <c r="EH81" i="10"/>
  <c r="EH35" i="10" s="1"/>
  <c r="W81" i="10"/>
  <c r="W35" i="10" s="1"/>
  <c r="AS81" i="10"/>
  <c r="AS35" i="10" s="1"/>
  <c r="BN81" i="10"/>
  <c r="BN35" i="10" s="1"/>
  <c r="CI81" i="10"/>
  <c r="CI35" i="10" s="1"/>
  <c r="CY81" i="10"/>
  <c r="CY35" i="10" s="1"/>
  <c r="DO81" i="10"/>
  <c r="DO35" i="10" s="1"/>
  <c r="EE81" i="10"/>
  <c r="EE35" i="10" s="1"/>
  <c r="X81" i="10"/>
  <c r="X35" i="10" s="1"/>
  <c r="AN81" i="10"/>
  <c r="AN35" i="10" s="1"/>
  <c r="BD81" i="10"/>
  <c r="BD35" i="10" s="1"/>
  <c r="BT81" i="10"/>
  <c r="BT35" i="10" s="1"/>
  <c r="K81" i="10"/>
  <c r="K35" i="10" s="1"/>
  <c r="AG81" i="10"/>
  <c r="AG35" i="10" s="1"/>
  <c r="BB81" i="10"/>
  <c r="BB35" i="10" s="1"/>
  <c r="BW81" i="10"/>
  <c r="BW35" i="10" s="1"/>
  <c r="CP81" i="10"/>
  <c r="CP35" i="10" s="1"/>
  <c r="DF81" i="10"/>
  <c r="DF35" i="10" s="1"/>
  <c r="DV81" i="10"/>
  <c r="DV35" i="10" s="1"/>
  <c r="EL81" i="10"/>
  <c r="EL35" i="10" s="1"/>
  <c r="AC81" i="10"/>
  <c r="AC35" i="10" s="1"/>
  <c r="AX81" i="10"/>
  <c r="AX35" i="10" s="1"/>
  <c r="BS81" i="10"/>
  <c r="BS35" i="10" s="1"/>
  <c r="CM81" i="10"/>
  <c r="CM35" i="10" s="1"/>
  <c r="DC81" i="10"/>
  <c r="DC35" i="10" s="1"/>
  <c r="DS81" i="10"/>
  <c r="DS35" i="10" s="1"/>
  <c r="EI81" i="10"/>
  <c r="EI35" i="10" s="1"/>
  <c r="N81" i="10"/>
  <c r="N35" i="10" s="1"/>
  <c r="BE81" i="10"/>
  <c r="BE35" i="10" s="1"/>
  <c r="L81" i="10"/>
  <c r="L35" i="10" s="1"/>
  <c r="AB81" i="10"/>
  <c r="AB35" i="10" s="1"/>
  <c r="AR81" i="10"/>
  <c r="AR35" i="10" s="1"/>
  <c r="BH81" i="10"/>
  <c r="BH35" i="10" s="1"/>
  <c r="BX81" i="10"/>
  <c r="BX35" i="10" s="1"/>
  <c r="Q81" i="10"/>
  <c r="Q35" i="10" s="1"/>
  <c r="AL81" i="10"/>
  <c r="AL35" i="10" s="1"/>
  <c r="BG81" i="10"/>
  <c r="BG35" i="10" s="1"/>
  <c r="CC81" i="10"/>
  <c r="CC35" i="10" s="1"/>
  <c r="CT81" i="10"/>
  <c r="CT35" i="10" s="1"/>
  <c r="DJ81" i="10"/>
  <c r="DJ35" i="10" s="1"/>
  <c r="DZ81" i="10"/>
  <c r="DZ35" i="10" s="1"/>
  <c r="EP81" i="10"/>
  <c r="EP35" i="10" s="1"/>
  <c r="M81" i="10"/>
  <c r="M35" i="10" s="1"/>
  <c r="AH81" i="10"/>
  <c r="AH35" i="10" s="1"/>
  <c r="BC81" i="10"/>
  <c r="BC35" i="10" s="1"/>
  <c r="BY81" i="10"/>
  <c r="BY35" i="10" s="1"/>
  <c r="CQ81" i="10"/>
  <c r="CQ35" i="10" s="1"/>
  <c r="DG81" i="10"/>
  <c r="DG35" i="10" s="1"/>
  <c r="DW81" i="10"/>
  <c r="DW35" i="10" s="1"/>
  <c r="EM81" i="10"/>
  <c r="EM35" i="10" s="1"/>
  <c r="Y81" i="10"/>
  <c r="Y35" i="10" s="1"/>
  <c r="BO81" i="10"/>
  <c r="BO35" i="10" s="1"/>
  <c r="CZ81" i="10"/>
  <c r="CZ35" i="10" s="1"/>
  <c r="EF81" i="10"/>
  <c r="EF35" i="10" s="1"/>
  <c r="CR81" i="10"/>
  <c r="CR35" i="10" s="1"/>
  <c r="AK81" i="10"/>
  <c r="AK35" i="10" s="1"/>
  <c r="CA81" i="10"/>
  <c r="CA35" i="10" s="1"/>
  <c r="DI81" i="10"/>
  <c r="DI35" i="10" s="1"/>
  <c r="EO81" i="10"/>
  <c r="EO35" i="10" s="1"/>
  <c r="S81" i="10"/>
  <c r="S35" i="10" s="1"/>
  <c r="BJ81" i="10"/>
  <c r="BJ35" i="10" s="1"/>
  <c r="CV81" i="10"/>
  <c r="CV35" i="10" s="1"/>
  <c r="EB81" i="10"/>
  <c r="EB35" i="10" s="1"/>
  <c r="DM81" i="10"/>
  <c r="DM35" i="10" s="1"/>
  <c r="DP81" i="10"/>
  <c r="DP35" i="10" s="1"/>
  <c r="AU81" i="10"/>
  <c r="AU35" i="10" s="1"/>
  <c r="CK81" i="10"/>
  <c r="CK35" i="10" s="1"/>
  <c r="DQ81" i="10"/>
  <c r="DQ35" i="10" s="1"/>
  <c r="AD81" i="10"/>
  <c r="AD35" i="10" s="1"/>
  <c r="BU81" i="10"/>
  <c r="BU35" i="10" s="1"/>
  <c r="DD81" i="10"/>
  <c r="DD35" i="10" s="1"/>
  <c r="EJ81" i="10"/>
  <c r="EJ35" i="10" s="1"/>
  <c r="ES81" i="10"/>
  <c r="ES35" i="10" s="1"/>
  <c r="AT81" i="10"/>
  <c r="AT35" i="10" s="1"/>
  <c r="DX81" i="10"/>
  <c r="DX35" i="10" s="1"/>
  <c r="O81" i="10"/>
  <c r="O35" i="10" s="1"/>
  <c r="BF81" i="10"/>
  <c r="BF35" i="10" s="1"/>
  <c r="CS81" i="10"/>
  <c r="CS35" i="10" s="1"/>
  <c r="DY81" i="10"/>
  <c r="DY35" i="10" s="1"/>
  <c r="AO81" i="10"/>
  <c r="AO35" i="10" s="1"/>
  <c r="CE81" i="10"/>
  <c r="CE35" i="10" s="1"/>
  <c r="DL81" i="10"/>
  <c r="DL35" i="10" s="1"/>
  <c r="ER81" i="10"/>
  <c r="ER35" i="10" s="1"/>
  <c r="AP81" i="10"/>
  <c r="AP35" i="10" s="1"/>
  <c r="CJ81" i="10"/>
  <c r="CJ35" i="10" s="1"/>
  <c r="Z81" i="10"/>
  <c r="Z35" i="10" s="1"/>
  <c r="BQ81" i="10"/>
  <c r="BQ35" i="10" s="1"/>
  <c r="DA81" i="10"/>
  <c r="DA35" i="10" s="1"/>
  <c r="EG81" i="10"/>
  <c r="EG35" i="10" s="1"/>
  <c r="I81" i="10"/>
  <c r="I35" i="10" s="1"/>
  <c r="AY81" i="10"/>
  <c r="AY35" i="10" s="1"/>
  <c r="CN81" i="10"/>
  <c r="CN35" i="10" s="1"/>
  <c r="DT81" i="10"/>
  <c r="DT35" i="10" s="1"/>
  <c r="CG81" i="10"/>
  <c r="CG35" i="10" s="1"/>
  <c r="DU81" i="10"/>
  <c r="DU35" i="10" s="1"/>
  <c r="U81" i="10"/>
  <c r="U35" i="10" s="1"/>
  <c r="J81" i="10"/>
  <c r="J35" i="10" s="1"/>
  <c r="BK81" i="10"/>
  <c r="BK35" i="10" s="1"/>
  <c r="AE81" i="10"/>
  <c r="AE35" i="10" s="1"/>
  <c r="BA81" i="10"/>
  <c r="BA35" i="10" s="1"/>
  <c r="CW81" i="10"/>
  <c r="CW35" i="10" s="1"/>
  <c r="CO81" i="10"/>
  <c r="CO35" i="10" s="1"/>
  <c r="EC81" i="10"/>
  <c r="EC35" i="10" s="1"/>
  <c r="BV81" i="10"/>
  <c r="BV35" i="10" s="1"/>
  <c r="DE81" i="10"/>
  <c r="DE35" i="10" s="1"/>
  <c r="EK81" i="10"/>
  <c r="EK35" i="10" s="1"/>
  <c r="H81" i="10"/>
  <c r="H35" i="10" s="1"/>
  <c r="G81" i="10"/>
  <c r="G35" i="10" s="1"/>
  <c r="P81" i="15"/>
  <c r="P35" i="15" s="1"/>
  <c r="AF81" i="15"/>
  <c r="AF35" i="15" s="1"/>
  <c r="AV81" i="15"/>
  <c r="AV35" i="15" s="1"/>
  <c r="BL81" i="15"/>
  <c r="BL35" i="15" s="1"/>
  <c r="CB81" i="15"/>
  <c r="CB35" i="15" s="1"/>
  <c r="CR81" i="15"/>
  <c r="CR35" i="15" s="1"/>
  <c r="DH81" i="15"/>
  <c r="DH35" i="15" s="1"/>
  <c r="DX81" i="15"/>
  <c r="DX35" i="15" s="1"/>
  <c r="EN81" i="15"/>
  <c r="EN35" i="15" s="1"/>
  <c r="M81" i="15"/>
  <c r="M35" i="15" s="1"/>
  <c r="AC81" i="15"/>
  <c r="AC35" i="15" s="1"/>
  <c r="AS81" i="15"/>
  <c r="AS35" i="15" s="1"/>
  <c r="BI81" i="15"/>
  <c r="BI35" i="15" s="1"/>
  <c r="BY81" i="15"/>
  <c r="BY35" i="15" s="1"/>
  <c r="CO81" i="15"/>
  <c r="CO35" i="15" s="1"/>
  <c r="DE81" i="15"/>
  <c r="DE35" i="15" s="1"/>
  <c r="DU81" i="15"/>
  <c r="DU35" i="15" s="1"/>
  <c r="EK81" i="15"/>
  <c r="EK35" i="15" s="1"/>
  <c r="T81" i="15"/>
  <c r="T35" i="15" s="1"/>
  <c r="AJ81" i="15"/>
  <c r="AJ35" i="15" s="1"/>
  <c r="AZ81" i="15"/>
  <c r="AZ35" i="15" s="1"/>
  <c r="BP81" i="15"/>
  <c r="BP35" i="15" s="1"/>
  <c r="CF81" i="15"/>
  <c r="CF35" i="15" s="1"/>
  <c r="CV81" i="15"/>
  <c r="CV35" i="15" s="1"/>
  <c r="DL81" i="15"/>
  <c r="DL35" i="15" s="1"/>
  <c r="EB81" i="15"/>
  <c r="EB35" i="15" s="1"/>
  <c r="ER81" i="15"/>
  <c r="ER35" i="15" s="1"/>
  <c r="Q81" i="15"/>
  <c r="Q35" i="15" s="1"/>
  <c r="AG81" i="15"/>
  <c r="AG35" i="15" s="1"/>
  <c r="AW81" i="15"/>
  <c r="AW35" i="15" s="1"/>
  <c r="BM81" i="15"/>
  <c r="BM35" i="15" s="1"/>
  <c r="CC81" i="15"/>
  <c r="CC35" i="15" s="1"/>
  <c r="CS81" i="15"/>
  <c r="CS35" i="15" s="1"/>
  <c r="DI81" i="15"/>
  <c r="DI35" i="15" s="1"/>
  <c r="DY81" i="15"/>
  <c r="DY35" i="15" s="1"/>
  <c r="EO81" i="15"/>
  <c r="EO35" i="15" s="1"/>
  <c r="J81" i="15"/>
  <c r="J35" i="15" s="1"/>
  <c r="H81" i="15"/>
  <c r="H35" i="15" s="1"/>
  <c r="X81" i="15"/>
  <c r="X35" i="15" s="1"/>
  <c r="AN81" i="15"/>
  <c r="AN35" i="15" s="1"/>
  <c r="BD81" i="15"/>
  <c r="BD35" i="15" s="1"/>
  <c r="BT81" i="15"/>
  <c r="BT35" i="15" s="1"/>
  <c r="CJ81" i="15"/>
  <c r="CJ35" i="15" s="1"/>
  <c r="CZ81" i="15"/>
  <c r="CZ35" i="15" s="1"/>
  <c r="DP81" i="15"/>
  <c r="DP35" i="15" s="1"/>
  <c r="EF81" i="15"/>
  <c r="EF35" i="15" s="1"/>
  <c r="U81" i="15"/>
  <c r="U35" i="15" s="1"/>
  <c r="AK81" i="15"/>
  <c r="AK35" i="15" s="1"/>
  <c r="BA81" i="15"/>
  <c r="BA35" i="15" s="1"/>
  <c r="BQ81" i="15"/>
  <c r="BQ35" i="15" s="1"/>
  <c r="CG81" i="15"/>
  <c r="CG35" i="15" s="1"/>
  <c r="CW81" i="15"/>
  <c r="CW35" i="15" s="1"/>
  <c r="DM81" i="15"/>
  <c r="DM35" i="15" s="1"/>
  <c r="EC81" i="15"/>
  <c r="EC35" i="15" s="1"/>
  <c r="ES81" i="15"/>
  <c r="ES35" i="15" s="1"/>
  <c r="N81" i="15"/>
  <c r="N35" i="15" s="1"/>
  <c r="AD81" i="15"/>
  <c r="AD35" i="15" s="1"/>
  <c r="AT81" i="15"/>
  <c r="AT35" i="15" s="1"/>
  <c r="BJ81" i="15"/>
  <c r="BJ35" i="15" s="1"/>
  <c r="BZ81" i="15"/>
  <c r="BZ35" i="15" s="1"/>
  <c r="CP81" i="15"/>
  <c r="CP35" i="15" s="1"/>
  <c r="DF81" i="15"/>
  <c r="DF35" i="15" s="1"/>
  <c r="L81" i="15"/>
  <c r="L35" i="15" s="1"/>
  <c r="AB81" i="15"/>
  <c r="AB35" i="15" s="1"/>
  <c r="AR81" i="15"/>
  <c r="AR35" i="15" s="1"/>
  <c r="BH81" i="15"/>
  <c r="BH35" i="15" s="1"/>
  <c r="BX81" i="15"/>
  <c r="BX35" i="15" s="1"/>
  <c r="CN81" i="15"/>
  <c r="CN35" i="15" s="1"/>
  <c r="DD81" i="15"/>
  <c r="DD35" i="15" s="1"/>
  <c r="DT81" i="15"/>
  <c r="DT35" i="15" s="1"/>
  <c r="EJ81" i="15"/>
  <c r="EJ35" i="15" s="1"/>
  <c r="I81" i="15"/>
  <c r="I35" i="15" s="1"/>
  <c r="Y81" i="15"/>
  <c r="Y35" i="15" s="1"/>
  <c r="AO81" i="15"/>
  <c r="AO35" i="15" s="1"/>
  <c r="BE81" i="15"/>
  <c r="BE35" i="15" s="1"/>
  <c r="BU81" i="15"/>
  <c r="BU35" i="15" s="1"/>
  <c r="CK81" i="15"/>
  <c r="CK35" i="15" s="1"/>
  <c r="DA81" i="15"/>
  <c r="DA35" i="15" s="1"/>
  <c r="DQ81" i="15"/>
  <c r="DQ35" i="15" s="1"/>
  <c r="EG81" i="15"/>
  <c r="EG35" i="15" s="1"/>
  <c r="AH81" i="15"/>
  <c r="AH35" i="15" s="1"/>
  <c r="BB81" i="15"/>
  <c r="BB35" i="15" s="1"/>
  <c r="BV81" i="15"/>
  <c r="BV35" i="15" s="1"/>
  <c r="CT81" i="15"/>
  <c r="CT35" i="15" s="1"/>
  <c r="DN81" i="15"/>
  <c r="DN35" i="15" s="1"/>
  <c r="ED81" i="15"/>
  <c r="ED35" i="15" s="1"/>
  <c r="ET81" i="15"/>
  <c r="ET35" i="15" s="1"/>
  <c r="W81" i="15"/>
  <c r="W35" i="15" s="1"/>
  <c r="AM81" i="15"/>
  <c r="AM35" i="15" s="1"/>
  <c r="BC81" i="15"/>
  <c r="BC35" i="15" s="1"/>
  <c r="BS81" i="15"/>
  <c r="BS35" i="15" s="1"/>
  <c r="CI81" i="15"/>
  <c r="CI35" i="15" s="1"/>
  <c r="CY81" i="15"/>
  <c r="CY35" i="15" s="1"/>
  <c r="DO81" i="15"/>
  <c r="DO35" i="15" s="1"/>
  <c r="EE81" i="15"/>
  <c r="EE35" i="15" s="1"/>
  <c r="R81" i="15"/>
  <c r="R35" i="15" s="1"/>
  <c r="AL81" i="15"/>
  <c r="AL35" i="15" s="1"/>
  <c r="BF81" i="15"/>
  <c r="BF35" i="15" s="1"/>
  <c r="CD81" i="15"/>
  <c r="CD35" i="15" s="1"/>
  <c r="CX81" i="15"/>
  <c r="CX35" i="15" s="1"/>
  <c r="DR81" i="15"/>
  <c r="DR35" i="15" s="1"/>
  <c r="EH81" i="15"/>
  <c r="EH35" i="15" s="1"/>
  <c r="K81" i="15"/>
  <c r="K35" i="15" s="1"/>
  <c r="AA81" i="15"/>
  <c r="AA35" i="15" s="1"/>
  <c r="AQ81" i="15"/>
  <c r="AQ35" i="15" s="1"/>
  <c r="BG81" i="15"/>
  <c r="BG35" i="15" s="1"/>
  <c r="BW81" i="15"/>
  <c r="BW35" i="15" s="1"/>
  <c r="CM81" i="15"/>
  <c r="CM35" i="15" s="1"/>
  <c r="DC81" i="15"/>
  <c r="DC35" i="15" s="1"/>
  <c r="DS81" i="15"/>
  <c r="DS35" i="15" s="1"/>
  <c r="EI81" i="15"/>
  <c r="EI35" i="15" s="1"/>
  <c r="V81" i="15"/>
  <c r="V35" i="15" s="1"/>
  <c r="AP81" i="15"/>
  <c r="AP35" i="15" s="1"/>
  <c r="BN81" i="15"/>
  <c r="BN35" i="15" s="1"/>
  <c r="CH81" i="15"/>
  <c r="CH35" i="15" s="1"/>
  <c r="DB81" i="15"/>
  <c r="DB35" i="15" s="1"/>
  <c r="DV81" i="15"/>
  <c r="DV35" i="15" s="1"/>
  <c r="EL81" i="15"/>
  <c r="EL35" i="15" s="1"/>
  <c r="O81" i="15"/>
  <c r="O35" i="15" s="1"/>
  <c r="AE81" i="15"/>
  <c r="AE35" i="15" s="1"/>
  <c r="AU81" i="15"/>
  <c r="AU35" i="15" s="1"/>
  <c r="BK81" i="15"/>
  <c r="BK35" i="15" s="1"/>
  <c r="CA81" i="15"/>
  <c r="CA35" i="15" s="1"/>
  <c r="CQ81" i="15"/>
  <c r="CQ35" i="15" s="1"/>
  <c r="DG81" i="15"/>
  <c r="DG35" i="15" s="1"/>
  <c r="DW81" i="15"/>
  <c r="DW35" i="15" s="1"/>
  <c r="EM81" i="15"/>
  <c r="EM35" i="15" s="1"/>
  <c r="Z81" i="15"/>
  <c r="Z35" i="15" s="1"/>
  <c r="AX81" i="15"/>
  <c r="AX35" i="15" s="1"/>
  <c r="BR81" i="15"/>
  <c r="BR35" i="15" s="1"/>
  <c r="CL81" i="15"/>
  <c r="CL35" i="15" s="1"/>
  <c r="DJ81" i="15"/>
  <c r="DJ35" i="15" s="1"/>
  <c r="DZ81" i="15"/>
  <c r="DZ35" i="15" s="1"/>
  <c r="EP81" i="15"/>
  <c r="EP35" i="15" s="1"/>
  <c r="S81" i="15"/>
  <c r="S35" i="15" s="1"/>
  <c r="AI81" i="15"/>
  <c r="AI35" i="15" s="1"/>
  <c r="AY81" i="15"/>
  <c r="AY35" i="15" s="1"/>
  <c r="BO81" i="15"/>
  <c r="BO35" i="15" s="1"/>
  <c r="CE81" i="15"/>
  <c r="CE35" i="15" s="1"/>
  <c r="CU81" i="15"/>
  <c r="CU35" i="15" s="1"/>
  <c r="DK81" i="15"/>
  <c r="DK35" i="15" s="1"/>
  <c r="EA81" i="15"/>
  <c r="EA35" i="15" s="1"/>
  <c r="EQ81" i="15"/>
  <c r="EQ35" i="15" s="1"/>
  <c r="G81" i="15"/>
  <c r="G35" i="15" s="1"/>
  <c r="F36" i="15"/>
  <c r="F36" i="10"/>
  <c r="D87" i="2"/>
  <c r="AR48" i="5"/>
  <c r="C83" i="5" s="1"/>
  <c r="D83" i="5" l="1"/>
  <c r="S83" i="5"/>
  <c r="O83" i="5"/>
  <c r="K83" i="5"/>
  <c r="G83" i="5"/>
  <c r="R83" i="5"/>
  <c r="M83" i="5"/>
  <c r="H83" i="5"/>
  <c r="Q83" i="5"/>
  <c r="L83" i="5"/>
  <c r="F83" i="5"/>
  <c r="T83" i="5"/>
  <c r="I83" i="5"/>
  <c r="P83" i="5"/>
  <c r="E83" i="5"/>
  <c r="N83" i="5"/>
  <c r="J83" i="5"/>
  <c r="H87" i="2"/>
  <c r="I87" i="2"/>
  <c r="M87" i="2"/>
  <c r="Q87" i="2"/>
  <c r="U87" i="2"/>
  <c r="J87" i="2"/>
  <c r="N87" i="2"/>
  <c r="R87" i="2"/>
  <c r="K87" i="2"/>
  <c r="O87" i="2"/>
  <c r="S87" i="2"/>
  <c r="L87" i="2"/>
  <c r="P87" i="2"/>
  <c r="T87" i="2"/>
  <c r="D1746" i="12"/>
  <c r="E1745" i="12"/>
  <c r="F1745" i="12"/>
  <c r="EQ43" i="5"/>
  <c r="BF48" i="5"/>
  <c r="BC48" i="5"/>
  <c r="AR44" i="2"/>
  <c r="BB43" i="2"/>
  <c r="X82" i="10"/>
  <c r="X36" i="10" s="1"/>
  <c r="AN82" i="10"/>
  <c r="AN36" i="10" s="1"/>
  <c r="BD82" i="10"/>
  <c r="BD36" i="10" s="1"/>
  <c r="BT82" i="10"/>
  <c r="BT36" i="10" s="1"/>
  <c r="CJ82" i="10"/>
  <c r="CJ36" i="10" s="1"/>
  <c r="CZ82" i="10"/>
  <c r="CZ36" i="10" s="1"/>
  <c r="DP82" i="10"/>
  <c r="DP36" i="10" s="1"/>
  <c r="EF82" i="10"/>
  <c r="EF36" i="10" s="1"/>
  <c r="U82" i="10"/>
  <c r="U36" i="10" s="1"/>
  <c r="AK82" i="10"/>
  <c r="AK36" i="10" s="1"/>
  <c r="BA82" i="10"/>
  <c r="BA36" i="10" s="1"/>
  <c r="BQ82" i="10"/>
  <c r="BQ36" i="10" s="1"/>
  <c r="CG82" i="10"/>
  <c r="CG36" i="10" s="1"/>
  <c r="CW82" i="10"/>
  <c r="CW36" i="10" s="1"/>
  <c r="DM82" i="10"/>
  <c r="DM36" i="10" s="1"/>
  <c r="EC82" i="10"/>
  <c r="EC36" i="10" s="1"/>
  <c r="ES82" i="10"/>
  <c r="ES36" i="10" s="1"/>
  <c r="AH82" i="10"/>
  <c r="AH36" i="10" s="1"/>
  <c r="BN82" i="10"/>
  <c r="BN36" i="10" s="1"/>
  <c r="CT82" i="10"/>
  <c r="CT36" i="10" s="1"/>
  <c r="DZ82" i="10"/>
  <c r="DZ36" i="10" s="1"/>
  <c r="L82" i="10"/>
  <c r="L36" i="10" s="1"/>
  <c r="AB82" i="10"/>
  <c r="AB36" i="10" s="1"/>
  <c r="AR82" i="10"/>
  <c r="AR36" i="10" s="1"/>
  <c r="BH82" i="10"/>
  <c r="BH36" i="10" s="1"/>
  <c r="BX82" i="10"/>
  <c r="BX36" i="10" s="1"/>
  <c r="CN82" i="10"/>
  <c r="CN36" i="10" s="1"/>
  <c r="DD82" i="10"/>
  <c r="DD36" i="10" s="1"/>
  <c r="DT82" i="10"/>
  <c r="DT36" i="10" s="1"/>
  <c r="EJ82" i="10"/>
  <c r="EJ36" i="10" s="1"/>
  <c r="I82" i="10"/>
  <c r="I36" i="10" s="1"/>
  <c r="Y82" i="10"/>
  <c r="Y36" i="10" s="1"/>
  <c r="AO82" i="10"/>
  <c r="AO36" i="10" s="1"/>
  <c r="BE82" i="10"/>
  <c r="BE36" i="10" s="1"/>
  <c r="BU82" i="10"/>
  <c r="BU36" i="10" s="1"/>
  <c r="CK82" i="10"/>
  <c r="CK36" i="10" s="1"/>
  <c r="DA82" i="10"/>
  <c r="DA36" i="10" s="1"/>
  <c r="DQ82" i="10"/>
  <c r="DQ36" i="10" s="1"/>
  <c r="EG82" i="10"/>
  <c r="EG36" i="10" s="1"/>
  <c r="P82" i="10"/>
  <c r="P36" i="10" s="1"/>
  <c r="AF82" i="10"/>
  <c r="AF36" i="10" s="1"/>
  <c r="AV82" i="10"/>
  <c r="AV36" i="10" s="1"/>
  <c r="BL82" i="10"/>
  <c r="BL36" i="10" s="1"/>
  <c r="CB82" i="10"/>
  <c r="CB36" i="10" s="1"/>
  <c r="CR82" i="10"/>
  <c r="CR36" i="10" s="1"/>
  <c r="DH82" i="10"/>
  <c r="DH36" i="10" s="1"/>
  <c r="DX82" i="10"/>
  <c r="DX36" i="10" s="1"/>
  <c r="EN82" i="10"/>
  <c r="EN36" i="10" s="1"/>
  <c r="M82" i="10"/>
  <c r="M36" i="10" s="1"/>
  <c r="AC82" i="10"/>
  <c r="AC36" i="10" s="1"/>
  <c r="AS82" i="10"/>
  <c r="AS36" i="10" s="1"/>
  <c r="BI82" i="10"/>
  <c r="BI36" i="10" s="1"/>
  <c r="BY82" i="10"/>
  <c r="BY36" i="10" s="1"/>
  <c r="CO82" i="10"/>
  <c r="CO36" i="10" s="1"/>
  <c r="DE82" i="10"/>
  <c r="DE36" i="10" s="1"/>
  <c r="DU82" i="10"/>
  <c r="DU36" i="10" s="1"/>
  <c r="EK82" i="10"/>
  <c r="EK36" i="10" s="1"/>
  <c r="T82" i="10"/>
  <c r="T36" i="10" s="1"/>
  <c r="AJ82" i="10"/>
  <c r="AJ36" i="10" s="1"/>
  <c r="AZ82" i="10"/>
  <c r="AZ36" i="10" s="1"/>
  <c r="BP82" i="10"/>
  <c r="BP36" i="10" s="1"/>
  <c r="CF82" i="10"/>
  <c r="CF36" i="10" s="1"/>
  <c r="CV82" i="10"/>
  <c r="CV36" i="10" s="1"/>
  <c r="DL82" i="10"/>
  <c r="DL36" i="10" s="1"/>
  <c r="EB82" i="10"/>
  <c r="EB36" i="10" s="1"/>
  <c r="ER82" i="10"/>
  <c r="ER36" i="10" s="1"/>
  <c r="Q82" i="10"/>
  <c r="Q36" i="10" s="1"/>
  <c r="AG82" i="10"/>
  <c r="AG36" i="10" s="1"/>
  <c r="AW82" i="10"/>
  <c r="AW36" i="10" s="1"/>
  <c r="BM82" i="10"/>
  <c r="BM36" i="10" s="1"/>
  <c r="CC82" i="10"/>
  <c r="CC36" i="10" s="1"/>
  <c r="CS82" i="10"/>
  <c r="CS36" i="10" s="1"/>
  <c r="DI82" i="10"/>
  <c r="DI36" i="10" s="1"/>
  <c r="DY82" i="10"/>
  <c r="DY36" i="10" s="1"/>
  <c r="EO82" i="10"/>
  <c r="EO36" i="10" s="1"/>
  <c r="Z82" i="10"/>
  <c r="Z36" i="10" s="1"/>
  <c r="BF82" i="10"/>
  <c r="BF36" i="10" s="1"/>
  <c r="CL82" i="10"/>
  <c r="CL36" i="10" s="1"/>
  <c r="DR82" i="10"/>
  <c r="DR36" i="10" s="1"/>
  <c r="R82" i="10"/>
  <c r="R36" i="10" s="1"/>
  <c r="CD82" i="10"/>
  <c r="CD36" i="10" s="1"/>
  <c r="EP82" i="10"/>
  <c r="EP36" i="10" s="1"/>
  <c r="AI82" i="10"/>
  <c r="AI36" i="10" s="1"/>
  <c r="BO82" i="10"/>
  <c r="BO36" i="10" s="1"/>
  <c r="CU82" i="10"/>
  <c r="CU36" i="10" s="1"/>
  <c r="EA82" i="10"/>
  <c r="EA36" i="10" s="1"/>
  <c r="V82" i="10"/>
  <c r="V36" i="10" s="1"/>
  <c r="BB82" i="10"/>
  <c r="BB36" i="10" s="1"/>
  <c r="CH82" i="10"/>
  <c r="CH36" i="10" s="1"/>
  <c r="DN82" i="10"/>
  <c r="DN36" i="10" s="1"/>
  <c r="ET82" i="10"/>
  <c r="ET36" i="10" s="1"/>
  <c r="CY82" i="10"/>
  <c r="CY36" i="10" s="1"/>
  <c r="AP82" i="10"/>
  <c r="AP36" i="10" s="1"/>
  <c r="DB82" i="10"/>
  <c r="DB36" i="10" s="1"/>
  <c r="K82" i="10"/>
  <c r="K36" i="10" s="1"/>
  <c r="AQ82" i="10"/>
  <c r="AQ36" i="10" s="1"/>
  <c r="BW82" i="10"/>
  <c r="BW36" i="10" s="1"/>
  <c r="DC82" i="10"/>
  <c r="DC36" i="10" s="1"/>
  <c r="EI82" i="10"/>
  <c r="EI36" i="10" s="1"/>
  <c r="AD82" i="10"/>
  <c r="AD36" i="10" s="1"/>
  <c r="BJ82" i="10"/>
  <c r="BJ36" i="10" s="1"/>
  <c r="CP82" i="10"/>
  <c r="CP36" i="10" s="1"/>
  <c r="DV82" i="10"/>
  <c r="DV36" i="10" s="1"/>
  <c r="EE82" i="10"/>
  <c r="EE36" i="10" s="1"/>
  <c r="AX82" i="10"/>
  <c r="AX36" i="10" s="1"/>
  <c r="DJ82" i="10"/>
  <c r="DJ36" i="10" s="1"/>
  <c r="S82" i="10"/>
  <c r="S36" i="10" s="1"/>
  <c r="AY82" i="10"/>
  <c r="AY36" i="10" s="1"/>
  <c r="CE82" i="10"/>
  <c r="CE36" i="10" s="1"/>
  <c r="DK82" i="10"/>
  <c r="DK36" i="10" s="1"/>
  <c r="EQ82" i="10"/>
  <c r="EQ36" i="10" s="1"/>
  <c r="AL82" i="10"/>
  <c r="AL36" i="10" s="1"/>
  <c r="BR82" i="10"/>
  <c r="BR36" i="10" s="1"/>
  <c r="CX82" i="10"/>
  <c r="CX36" i="10" s="1"/>
  <c r="ED82" i="10"/>
  <c r="ED36" i="10" s="1"/>
  <c r="AM82" i="10"/>
  <c r="AM36" i="10" s="1"/>
  <c r="J82" i="10"/>
  <c r="J36" i="10" s="1"/>
  <c r="BV82" i="10"/>
  <c r="BV36" i="10" s="1"/>
  <c r="EH82" i="10"/>
  <c r="EH36" i="10" s="1"/>
  <c r="AA82" i="10"/>
  <c r="AA36" i="10" s="1"/>
  <c r="BG82" i="10"/>
  <c r="BG36" i="10" s="1"/>
  <c r="CM82" i="10"/>
  <c r="CM36" i="10" s="1"/>
  <c r="DS82" i="10"/>
  <c r="DS36" i="10" s="1"/>
  <c r="N82" i="10"/>
  <c r="N36" i="10" s="1"/>
  <c r="AT82" i="10"/>
  <c r="AT36" i="10" s="1"/>
  <c r="BZ82" i="10"/>
  <c r="BZ36" i="10" s="1"/>
  <c r="DF82" i="10"/>
  <c r="DF36" i="10" s="1"/>
  <c r="EL82" i="10"/>
  <c r="EL36" i="10" s="1"/>
  <c r="BS82" i="10"/>
  <c r="BS36" i="10" s="1"/>
  <c r="DG82" i="10"/>
  <c r="DG36" i="10" s="1"/>
  <c r="W82" i="10"/>
  <c r="W36" i="10" s="1"/>
  <c r="O82" i="10"/>
  <c r="O36" i="10" s="1"/>
  <c r="EM82" i="10"/>
  <c r="EM36" i="10" s="1"/>
  <c r="BC82" i="10"/>
  <c r="BC36" i="10" s="1"/>
  <c r="AU82" i="10"/>
  <c r="AU36" i="10" s="1"/>
  <c r="CI82" i="10"/>
  <c r="CI36" i="10" s="1"/>
  <c r="AE82" i="10"/>
  <c r="AE36" i="10" s="1"/>
  <c r="CA82" i="10"/>
  <c r="CA36" i="10" s="1"/>
  <c r="DO82" i="10"/>
  <c r="DO36" i="10" s="1"/>
  <c r="CQ82" i="10"/>
  <c r="CQ36" i="10" s="1"/>
  <c r="DW82" i="10"/>
  <c r="DW36" i="10" s="1"/>
  <c r="BK82" i="10"/>
  <c r="BK36" i="10" s="1"/>
  <c r="G82" i="10"/>
  <c r="G36" i="10" s="1"/>
  <c r="H82" i="10"/>
  <c r="H36" i="10" s="1"/>
  <c r="Q82" i="15"/>
  <c r="Q36" i="15" s="1"/>
  <c r="AG82" i="15"/>
  <c r="AG36" i="15" s="1"/>
  <c r="AW82" i="15"/>
  <c r="AW36" i="15" s="1"/>
  <c r="BM82" i="15"/>
  <c r="BM36" i="15" s="1"/>
  <c r="CC82" i="15"/>
  <c r="CC36" i="15" s="1"/>
  <c r="CS82" i="15"/>
  <c r="CS36" i="15" s="1"/>
  <c r="DI82" i="15"/>
  <c r="DI36" i="15" s="1"/>
  <c r="DY82" i="15"/>
  <c r="DY36" i="15" s="1"/>
  <c r="EO82" i="15"/>
  <c r="EO36" i="15" s="1"/>
  <c r="N82" i="15"/>
  <c r="N36" i="15" s="1"/>
  <c r="AD82" i="15"/>
  <c r="AD36" i="15" s="1"/>
  <c r="AT82" i="15"/>
  <c r="AT36" i="15" s="1"/>
  <c r="BJ82" i="15"/>
  <c r="BJ36" i="15" s="1"/>
  <c r="BZ82" i="15"/>
  <c r="BZ36" i="15" s="1"/>
  <c r="CP82" i="15"/>
  <c r="CP36" i="15" s="1"/>
  <c r="DF82" i="15"/>
  <c r="DF36" i="15" s="1"/>
  <c r="DV82" i="15"/>
  <c r="DV36" i="15" s="1"/>
  <c r="EL82" i="15"/>
  <c r="EL36" i="15" s="1"/>
  <c r="U82" i="15"/>
  <c r="U36" i="15" s="1"/>
  <c r="AK82" i="15"/>
  <c r="AK36" i="15" s="1"/>
  <c r="BA82" i="15"/>
  <c r="BA36" i="15" s="1"/>
  <c r="BQ82" i="15"/>
  <c r="BQ36" i="15" s="1"/>
  <c r="CG82" i="15"/>
  <c r="CG36" i="15" s="1"/>
  <c r="CW82" i="15"/>
  <c r="CW36" i="15" s="1"/>
  <c r="DM82" i="15"/>
  <c r="DM36" i="15" s="1"/>
  <c r="EC82" i="15"/>
  <c r="EC36" i="15" s="1"/>
  <c r="ES82" i="15"/>
  <c r="ES36" i="15" s="1"/>
  <c r="R82" i="15"/>
  <c r="R36" i="15" s="1"/>
  <c r="AH82" i="15"/>
  <c r="AH36" i="15" s="1"/>
  <c r="AX82" i="15"/>
  <c r="AX36" i="15" s="1"/>
  <c r="BN82" i="15"/>
  <c r="BN36" i="15" s="1"/>
  <c r="CD82" i="15"/>
  <c r="CD36" i="15" s="1"/>
  <c r="CT82" i="15"/>
  <c r="CT36" i="15" s="1"/>
  <c r="DJ82" i="15"/>
  <c r="DJ36" i="15" s="1"/>
  <c r="DZ82" i="15"/>
  <c r="DZ36" i="15" s="1"/>
  <c r="EP82" i="15"/>
  <c r="EP36" i="15" s="1"/>
  <c r="I82" i="15"/>
  <c r="I36" i="15" s="1"/>
  <c r="Y82" i="15"/>
  <c r="Y36" i="15" s="1"/>
  <c r="AO82" i="15"/>
  <c r="AO36" i="15" s="1"/>
  <c r="BE82" i="15"/>
  <c r="BE36" i="15" s="1"/>
  <c r="BU82" i="15"/>
  <c r="BU36" i="15" s="1"/>
  <c r="CK82" i="15"/>
  <c r="CK36" i="15" s="1"/>
  <c r="DA82" i="15"/>
  <c r="DA36" i="15" s="1"/>
  <c r="DQ82" i="15"/>
  <c r="DQ36" i="15" s="1"/>
  <c r="EG82" i="15"/>
  <c r="EG36" i="15" s="1"/>
  <c r="V82" i="15"/>
  <c r="V36" i="15" s="1"/>
  <c r="AL82" i="15"/>
  <c r="AL36" i="15" s="1"/>
  <c r="BB82" i="15"/>
  <c r="BB36" i="15" s="1"/>
  <c r="BR82" i="15"/>
  <c r="BR36" i="15" s="1"/>
  <c r="CH82" i="15"/>
  <c r="CH36" i="15" s="1"/>
  <c r="CX82" i="15"/>
  <c r="CX36" i="15" s="1"/>
  <c r="DN82" i="15"/>
  <c r="DN36" i="15" s="1"/>
  <c r="ED82" i="15"/>
  <c r="ED36" i="15" s="1"/>
  <c r="ET82" i="15"/>
  <c r="ET36" i="15" s="1"/>
  <c r="M82" i="15"/>
  <c r="M36" i="15" s="1"/>
  <c r="AC82" i="15"/>
  <c r="AC36" i="15" s="1"/>
  <c r="AS82" i="15"/>
  <c r="AS36" i="15" s="1"/>
  <c r="BI82" i="15"/>
  <c r="BI36" i="15" s="1"/>
  <c r="BY82" i="15"/>
  <c r="BY36" i="15" s="1"/>
  <c r="CO82" i="15"/>
  <c r="CO36" i="15" s="1"/>
  <c r="DE82" i="15"/>
  <c r="DE36" i="15" s="1"/>
  <c r="DU82" i="15"/>
  <c r="DU36" i="15" s="1"/>
  <c r="EK82" i="15"/>
  <c r="EK36" i="15" s="1"/>
  <c r="J82" i="15"/>
  <c r="J36" i="15" s="1"/>
  <c r="Z82" i="15"/>
  <c r="Z36" i="15" s="1"/>
  <c r="AP82" i="15"/>
  <c r="AP36" i="15" s="1"/>
  <c r="BF82" i="15"/>
  <c r="BF36" i="15" s="1"/>
  <c r="BV82" i="15"/>
  <c r="BV36" i="15" s="1"/>
  <c r="CL82" i="15"/>
  <c r="CL36" i="15" s="1"/>
  <c r="DB82" i="15"/>
  <c r="DB36" i="15" s="1"/>
  <c r="DR82" i="15"/>
  <c r="DR36" i="15" s="1"/>
  <c r="EH82" i="15"/>
  <c r="EH36" i="15" s="1"/>
  <c r="W82" i="15"/>
  <c r="W36" i="15" s="1"/>
  <c r="AM82" i="15"/>
  <c r="AM36" i="15" s="1"/>
  <c r="BC82" i="15"/>
  <c r="BC36" i="15" s="1"/>
  <c r="BS82" i="15"/>
  <c r="BS36" i="15" s="1"/>
  <c r="CI82" i="15"/>
  <c r="CI36" i="15" s="1"/>
  <c r="CY82" i="15"/>
  <c r="CY36" i="15" s="1"/>
  <c r="DO82" i="15"/>
  <c r="DO36" i="15" s="1"/>
  <c r="EE82" i="15"/>
  <c r="EE36" i="15" s="1"/>
  <c r="H82" i="15"/>
  <c r="H36" i="15" s="1"/>
  <c r="X82" i="15"/>
  <c r="X36" i="15" s="1"/>
  <c r="AN82" i="15"/>
  <c r="AN36" i="15" s="1"/>
  <c r="BD82" i="15"/>
  <c r="BD36" i="15" s="1"/>
  <c r="BT82" i="15"/>
  <c r="BT36" i="15" s="1"/>
  <c r="CJ82" i="15"/>
  <c r="CJ36" i="15" s="1"/>
  <c r="CZ82" i="15"/>
  <c r="CZ36" i="15" s="1"/>
  <c r="DP82" i="15"/>
  <c r="DP36" i="15" s="1"/>
  <c r="EF82" i="15"/>
  <c r="EF36" i="15" s="1"/>
  <c r="K82" i="15"/>
  <c r="K36" i="15" s="1"/>
  <c r="AA82" i="15"/>
  <c r="AA36" i="15" s="1"/>
  <c r="AQ82" i="15"/>
  <c r="AQ36" i="15" s="1"/>
  <c r="BG82" i="15"/>
  <c r="BG36" i="15" s="1"/>
  <c r="BW82" i="15"/>
  <c r="BW36" i="15" s="1"/>
  <c r="CM82" i="15"/>
  <c r="CM36" i="15" s="1"/>
  <c r="DC82" i="15"/>
  <c r="DC36" i="15" s="1"/>
  <c r="DS82" i="15"/>
  <c r="DS36" i="15" s="1"/>
  <c r="EI82" i="15"/>
  <c r="EI36" i="15" s="1"/>
  <c r="L82" i="15"/>
  <c r="L36" i="15" s="1"/>
  <c r="AB82" i="15"/>
  <c r="AB36" i="15" s="1"/>
  <c r="AR82" i="15"/>
  <c r="AR36" i="15" s="1"/>
  <c r="BH82" i="15"/>
  <c r="BH36" i="15" s="1"/>
  <c r="BX82" i="15"/>
  <c r="BX36" i="15" s="1"/>
  <c r="CN82" i="15"/>
  <c r="CN36" i="15" s="1"/>
  <c r="DD82" i="15"/>
  <c r="DD36" i="15" s="1"/>
  <c r="DT82" i="15"/>
  <c r="DT36" i="15" s="1"/>
  <c r="EJ82" i="15"/>
  <c r="EJ36" i="15" s="1"/>
  <c r="O82" i="15"/>
  <c r="O36" i="15" s="1"/>
  <c r="AE82" i="15"/>
  <c r="AE36" i="15" s="1"/>
  <c r="AU82" i="15"/>
  <c r="AU36" i="15" s="1"/>
  <c r="BK82" i="15"/>
  <c r="BK36" i="15" s="1"/>
  <c r="CA82" i="15"/>
  <c r="CA36" i="15" s="1"/>
  <c r="CQ82" i="15"/>
  <c r="CQ36" i="15" s="1"/>
  <c r="DG82" i="15"/>
  <c r="DG36" i="15" s="1"/>
  <c r="DW82" i="15"/>
  <c r="DW36" i="15" s="1"/>
  <c r="EM82" i="15"/>
  <c r="EM36" i="15" s="1"/>
  <c r="P82" i="15"/>
  <c r="P36" i="15" s="1"/>
  <c r="AF82" i="15"/>
  <c r="AF36" i="15" s="1"/>
  <c r="AV82" i="15"/>
  <c r="AV36" i="15" s="1"/>
  <c r="BL82" i="15"/>
  <c r="BL36" i="15" s="1"/>
  <c r="CB82" i="15"/>
  <c r="CB36" i="15" s="1"/>
  <c r="CR82" i="15"/>
  <c r="CR36" i="15" s="1"/>
  <c r="DH82" i="15"/>
  <c r="DH36" i="15" s="1"/>
  <c r="DX82" i="15"/>
  <c r="DX36" i="15" s="1"/>
  <c r="EN82" i="15"/>
  <c r="EN36" i="15" s="1"/>
  <c r="S82" i="15"/>
  <c r="S36" i="15" s="1"/>
  <c r="AI82" i="15"/>
  <c r="AI36" i="15" s="1"/>
  <c r="AY82" i="15"/>
  <c r="AY36" i="15" s="1"/>
  <c r="BO82" i="15"/>
  <c r="BO36" i="15" s="1"/>
  <c r="CE82" i="15"/>
  <c r="CE36" i="15" s="1"/>
  <c r="CU82" i="15"/>
  <c r="CU36" i="15" s="1"/>
  <c r="DK82" i="15"/>
  <c r="DK36" i="15" s="1"/>
  <c r="EA82" i="15"/>
  <c r="EA36" i="15" s="1"/>
  <c r="EQ82" i="15"/>
  <c r="EQ36" i="15" s="1"/>
  <c r="T82" i="15"/>
  <c r="T36" i="15" s="1"/>
  <c r="AJ82" i="15"/>
  <c r="AJ36" i="15" s="1"/>
  <c r="AZ82" i="15"/>
  <c r="AZ36" i="15" s="1"/>
  <c r="BP82" i="15"/>
  <c r="BP36" i="15" s="1"/>
  <c r="CF82" i="15"/>
  <c r="CF36" i="15" s="1"/>
  <c r="CV82" i="15"/>
  <c r="CV36" i="15" s="1"/>
  <c r="DL82" i="15"/>
  <c r="DL36" i="15" s="1"/>
  <c r="EB82" i="15"/>
  <c r="EB36" i="15" s="1"/>
  <c r="ER82" i="15"/>
  <c r="ER36" i="15" s="1"/>
  <c r="G82" i="15"/>
  <c r="G36" i="15" s="1"/>
  <c r="F37" i="15"/>
  <c r="F37" i="10"/>
  <c r="AR49" i="5"/>
  <c r="C84" i="5" s="1"/>
  <c r="D88" i="2"/>
  <c r="D84" i="5" l="1"/>
  <c r="S84" i="5"/>
  <c r="O84" i="5"/>
  <c r="K84" i="5"/>
  <c r="G84" i="5"/>
  <c r="R84" i="5"/>
  <c r="M84" i="5"/>
  <c r="H84" i="5"/>
  <c r="Q84" i="5"/>
  <c r="L84" i="5"/>
  <c r="F84" i="5"/>
  <c r="N84" i="5"/>
  <c r="E84" i="5"/>
  <c r="J84" i="5"/>
  <c r="P84" i="5"/>
  <c r="T84" i="5"/>
  <c r="I84" i="5"/>
  <c r="H88" i="2"/>
  <c r="L88" i="2"/>
  <c r="P88" i="2"/>
  <c r="T88" i="2"/>
  <c r="I88" i="2"/>
  <c r="M88" i="2"/>
  <c r="Q88" i="2"/>
  <c r="U88" i="2"/>
  <c r="J88" i="2"/>
  <c r="N88" i="2"/>
  <c r="R88" i="2"/>
  <c r="K88" i="2"/>
  <c r="O88" i="2"/>
  <c r="S88" i="2"/>
  <c r="D1747" i="12"/>
  <c r="E1746" i="12"/>
  <c r="F1746" i="12"/>
  <c r="EQ44" i="5"/>
  <c r="BF49" i="5"/>
  <c r="BC49" i="5"/>
  <c r="AR45" i="2"/>
  <c r="BB44" i="2"/>
  <c r="J83" i="10"/>
  <c r="J37" i="10" s="1"/>
  <c r="Z83" i="10"/>
  <c r="Z37" i="10" s="1"/>
  <c r="AP83" i="10"/>
  <c r="AP37" i="10" s="1"/>
  <c r="BF83" i="10"/>
  <c r="BF37" i="10" s="1"/>
  <c r="BV83" i="10"/>
  <c r="BV37" i="10" s="1"/>
  <c r="CL83" i="10"/>
  <c r="CL37" i="10" s="1"/>
  <c r="DB83" i="10"/>
  <c r="DB37" i="10" s="1"/>
  <c r="DR83" i="10"/>
  <c r="DR37" i="10" s="1"/>
  <c r="EH83" i="10"/>
  <c r="EH37" i="10" s="1"/>
  <c r="W83" i="10"/>
  <c r="W37" i="10" s="1"/>
  <c r="AM83" i="10"/>
  <c r="AM37" i="10" s="1"/>
  <c r="BC83" i="10"/>
  <c r="BC37" i="10" s="1"/>
  <c r="BS83" i="10"/>
  <c r="BS37" i="10" s="1"/>
  <c r="CI83" i="10"/>
  <c r="CI37" i="10" s="1"/>
  <c r="CY83" i="10"/>
  <c r="CY37" i="10" s="1"/>
  <c r="DO83" i="10"/>
  <c r="DO37" i="10" s="1"/>
  <c r="EE83" i="10"/>
  <c r="EE37" i="10" s="1"/>
  <c r="N83" i="10"/>
  <c r="N37" i="10" s="1"/>
  <c r="AD83" i="10"/>
  <c r="AD37" i="10" s="1"/>
  <c r="AT83" i="10"/>
  <c r="AT37" i="10" s="1"/>
  <c r="BJ83" i="10"/>
  <c r="BJ37" i="10" s="1"/>
  <c r="BZ83" i="10"/>
  <c r="BZ37" i="10" s="1"/>
  <c r="CP83" i="10"/>
  <c r="CP37" i="10" s="1"/>
  <c r="DF83" i="10"/>
  <c r="DF37" i="10" s="1"/>
  <c r="DV83" i="10"/>
  <c r="DV37" i="10" s="1"/>
  <c r="EL83" i="10"/>
  <c r="EL37" i="10" s="1"/>
  <c r="K83" i="10"/>
  <c r="K37" i="10" s="1"/>
  <c r="AA83" i="10"/>
  <c r="AA37" i="10" s="1"/>
  <c r="AQ83" i="10"/>
  <c r="AQ37" i="10" s="1"/>
  <c r="BG83" i="10"/>
  <c r="BG37" i="10" s="1"/>
  <c r="BW83" i="10"/>
  <c r="BW37" i="10" s="1"/>
  <c r="CM83" i="10"/>
  <c r="CM37" i="10" s="1"/>
  <c r="DC83" i="10"/>
  <c r="DC37" i="10" s="1"/>
  <c r="DS83" i="10"/>
  <c r="DS37" i="10" s="1"/>
  <c r="EI83" i="10"/>
  <c r="EI37" i="10" s="1"/>
  <c r="R83" i="10"/>
  <c r="R37" i="10" s="1"/>
  <c r="AH83" i="10"/>
  <c r="AH37" i="10" s="1"/>
  <c r="AX83" i="10"/>
  <c r="AX37" i="10" s="1"/>
  <c r="BN83" i="10"/>
  <c r="BN37" i="10" s="1"/>
  <c r="CD83" i="10"/>
  <c r="CD37" i="10" s="1"/>
  <c r="CT83" i="10"/>
  <c r="CT37" i="10" s="1"/>
  <c r="DJ83" i="10"/>
  <c r="DJ37" i="10" s="1"/>
  <c r="DZ83" i="10"/>
  <c r="DZ37" i="10" s="1"/>
  <c r="EP83" i="10"/>
  <c r="EP37" i="10" s="1"/>
  <c r="O83" i="10"/>
  <c r="O37" i="10" s="1"/>
  <c r="AE83" i="10"/>
  <c r="AE37" i="10" s="1"/>
  <c r="AU83" i="10"/>
  <c r="AU37" i="10" s="1"/>
  <c r="BK83" i="10"/>
  <c r="BK37" i="10" s="1"/>
  <c r="CA83" i="10"/>
  <c r="CA37" i="10" s="1"/>
  <c r="CQ83" i="10"/>
  <c r="CQ37" i="10" s="1"/>
  <c r="DG83" i="10"/>
  <c r="DG37" i="10" s="1"/>
  <c r="DW83" i="10"/>
  <c r="DW37" i="10" s="1"/>
  <c r="EM83" i="10"/>
  <c r="EM37" i="10" s="1"/>
  <c r="V83" i="10"/>
  <c r="V37" i="10" s="1"/>
  <c r="AL83" i="10"/>
  <c r="AL37" i="10" s="1"/>
  <c r="BB83" i="10"/>
  <c r="BB37" i="10" s="1"/>
  <c r="BR83" i="10"/>
  <c r="BR37" i="10" s="1"/>
  <c r="CH83" i="10"/>
  <c r="CH37" i="10" s="1"/>
  <c r="CX83" i="10"/>
  <c r="CX37" i="10" s="1"/>
  <c r="DN83" i="10"/>
  <c r="DN37" i="10" s="1"/>
  <c r="ED83" i="10"/>
  <c r="ED37" i="10" s="1"/>
  <c r="ET83" i="10"/>
  <c r="ET37" i="10" s="1"/>
  <c r="S83" i="10"/>
  <c r="S37" i="10" s="1"/>
  <c r="AI83" i="10"/>
  <c r="AI37" i="10" s="1"/>
  <c r="AY83" i="10"/>
  <c r="AY37" i="10" s="1"/>
  <c r="BO83" i="10"/>
  <c r="BO37" i="10" s="1"/>
  <c r="CE83" i="10"/>
  <c r="CE37" i="10" s="1"/>
  <c r="CU83" i="10"/>
  <c r="CU37" i="10" s="1"/>
  <c r="DK83" i="10"/>
  <c r="DK37" i="10" s="1"/>
  <c r="EA83" i="10"/>
  <c r="EA37" i="10" s="1"/>
  <c r="EQ83" i="10"/>
  <c r="EQ37" i="10" s="1"/>
  <c r="L83" i="10"/>
  <c r="L37" i="10" s="1"/>
  <c r="AR83" i="10"/>
  <c r="AR37" i="10" s="1"/>
  <c r="BX83" i="10"/>
  <c r="AZ83" i="10"/>
  <c r="AZ37" i="10" s="1"/>
  <c r="CN83" i="10"/>
  <c r="CN37" i="10" s="1"/>
  <c r="DT83" i="10"/>
  <c r="DT37" i="10" s="1"/>
  <c r="U83" i="10"/>
  <c r="U37" i="10" s="1"/>
  <c r="BA83" i="10"/>
  <c r="BA37" i="10" s="1"/>
  <c r="CG83" i="10"/>
  <c r="CG37" i="10" s="1"/>
  <c r="DM83" i="10"/>
  <c r="DM37" i="10" s="1"/>
  <c r="ES83" i="10"/>
  <c r="ES37" i="10" s="1"/>
  <c r="AN83" i="10"/>
  <c r="AN37" i="10" s="1"/>
  <c r="BT83" i="10"/>
  <c r="BT37" i="10" s="1"/>
  <c r="CZ83" i="10"/>
  <c r="CZ37" i="10" s="1"/>
  <c r="EF83" i="10"/>
  <c r="EF37" i="10" s="1"/>
  <c r="CK83" i="10"/>
  <c r="CK37" i="10" s="1"/>
  <c r="T83" i="10"/>
  <c r="T37" i="10" s="1"/>
  <c r="BH83" i="10"/>
  <c r="BH37" i="10" s="1"/>
  <c r="CV83" i="10"/>
  <c r="CV37" i="10" s="1"/>
  <c r="EB83" i="10"/>
  <c r="EB37" i="10" s="1"/>
  <c r="AC83" i="10"/>
  <c r="AC37" i="10" s="1"/>
  <c r="BI83" i="10"/>
  <c r="BI37" i="10" s="1"/>
  <c r="CO83" i="10"/>
  <c r="CO37" i="10" s="1"/>
  <c r="DU83" i="10"/>
  <c r="DU37" i="10" s="1"/>
  <c r="P83" i="10"/>
  <c r="P37" i="10" s="1"/>
  <c r="AV83" i="10"/>
  <c r="AV37" i="10" s="1"/>
  <c r="CB83" i="10"/>
  <c r="CB37" i="10" s="1"/>
  <c r="DH83" i="10"/>
  <c r="DH37" i="10" s="1"/>
  <c r="EN83" i="10"/>
  <c r="EN37" i="10" s="1"/>
  <c r="DQ83" i="10"/>
  <c r="DQ37" i="10" s="1"/>
  <c r="AB83" i="10"/>
  <c r="AB37" i="10" s="1"/>
  <c r="BP83" i="10"/>
  <c r="BP37" i="10" s="1"/>
  <c r="DD83" i="10"/>
  <c r="DD37" i="10" s="1"/>
  <c r="EJ83" i="10"/>
  <c r="EJ37" i="10" s="1"/>
  <c r="AK83" i="10"/>
  <c r="AK37" i="10" s="1"/>
  <c r="BQ83" i="10"/>
  <c r="BQ37" i="10" s="1"/>
  <c r="CW83" i="10"/>
  <c r="CW37" i="10" s="1"/>
  <c r="EC83" i="10"/>
  <c r="EC37" i="10" s="1"/>
  <c r="X83" i="10"/>
  <c r="X37" i="10" s="1"/>
  <c r="BD83" i="10"/>
  <c r="BD37" i="10" s="1"/>
  <c r="CJ83" i="10"/>
  <c r="CJ37" i="10" s="1"/>
  <c r="DP83" i="10"/>
  <c r="DP37" i="10" s="1"/>
  <c r="Y83" i="10"/>
  <c r="Y37" i="10" s="1"/>
  <c r="AJ83" i="10"/>
  <c r="AJ37" i="10" s="1"/>
  <c r="CF83" i="10"/>
  <c r="CF37" i="10" s="1"/>
  <c r="DL83" i="10"/>
  <c r="DL37" i="10" s="1"/>
  <c r="ER83" i="10"/>
  <c r="ER37" i="10" s="1"/>
  <c r="M83" i="10"/>
  <c r="M37" i="10" s="1"/>
  <c r="AS83" i="10"/>
  <c r="AS37" i="10" s="1"/>
  <c r="BY83" i="10"/>
  <c r="BY37" i="10" s="1"/>
  <c r="DE83" i="10"/>
  <c r="DE37" i="10" s="1"/>
  <c r="EK83" i="10"/>
  <c r="EK37" i="10" s="1"/>
  <c r="AF83" i="10"/>
  <c r="AF37" i="10" s="1"/>
  <c r="BL83" i="10"/>
  <c r="BL37" i="10" s="1"/>
  <c r="CR83" i="10"/>
  <c r="CR37" i="10" s="1"/>
  <c r="DX83" i="10"/>
  <c r="DX37" i="10" s="1"/>
  <c r="BE83" i="10"/>
  <c r="BE37" i="10" s="1"/>
  <c r="CS83" i="10"/>
  <c r="CS37" i="10" s="1"/>
  <c r="I83" i="10"/>
  <c r="I37" i="10" s="1"/>
  <c r="EG83" i="10"/>
  <c r="EG37" i="10" s="1"/>
  <c r="EO83" i="10"/>
  <c r="EO37" i="10" s="1"/>
  <c r="DY83" i="10"/>
  <c r="DY37" i="10" s="1"/>
  <c r="AO83" i="10"/>
  <c r="AO37" i="10" s="1"/>
  <c r="AG83" i="10"/>
  <c r="AG37" i="10" s="1"/>
  <c r="BU83" i="10"/>
  <c r="BU37" i="10" s="1"/>
  <c r="BM83" i="10"/>
  <c r="BM37" i="10" s="1"/>
  <c r="DA83" i="10"/>
  <c r="DA37" i="10" s="1"/>
  <c r="Q83" i="10"/>
  <c r="Q37" i="10" s="1"/>
  <c r="CC83" i="10"/>
  <c r="CC37" i="10" s="1"/>
  <c r="DI83" i="10"/>
  <c r="DI37" i="10" s="1"/>
  <c r="AW83" i="10"/>
  <c r="AW37" i="10" s="1"/>
  <c r="G83" i="10"/>
  <c r="G37" i="10" s="1"/>
  <c r="H83" i="10"/>
  <c r="H37" i="10" s="1"/>
  <c r="R83" i="15"/>
  <c r="R37" i="15" s="1"/>
  <c r="AH83" i="15"/>
  <c r="AH37" i="15" s="1"/>
  <c r="AX83" i="15"/>
  <c r="AX37" i="15" s="1"/>
  <c r="BN83" i="15"/>
  <c r="BN37" i="15" s="1"/>
  <c r="CD83" i="15"/>
  <c r="CD37" i="15" s="1"/>
  <c r="CT83" i="15"/>
  <c r="CT37" i="15" s="1"/>
  <c r="DJ83" i="15"/>
  <c r="DJ37" i="15" s="1"/>
  <c r="DZ83" i="15"/>
  <c r="DZ37" i="15" s="1"/>
  <c r="EP83" i="15"/>
  <c r="EP37" i="15" s="1"/>
  <c r="O83" i="15"/>
  <c r="O37" i="15" s="1"/>
  <c r="AE83" i="15"/>
  <c r="AE37" i="15" s="1"/>
  <c r="AU83" i="15"/>
  <c r="AU37" i="15" s="1"/>
  <c r="BK83" i="15"/>
  <c r="BK37" i="15" s="1"/>
  <c r="CA83" i="15"/>
  <c r="CA37" i="15" s="1"/>
  <c r="V83" i="15"/>
  <c r="V37" i="15" s="1"/>
  <c r="AL83" i="15"/>
  <c r="AL37" i="15" s="1"/>
  <c r="BB83" i="15"/>
  <c r="BB37" i="15" s="1"/>
  <c r="BR83" i="15"/>
  <c r="BR37" i="15" s="1"/>
  <c r="CH83" i="15"/>
  <c r="CH37" i="15" s="1"/>
  <c r="CX83" i="15"/>
  <c r="CX37" i="15" s="1"/>
  <c r="DN83" i="15"/>
  <c r="DN37" i="15" s="1"/>
  <c r="ED83" i="15"/>
  <c r="ED37" i="15" s="1"/>
  <c r="ET83" i="15"/>
  <c r="ET37" i="15" s="1"/>
  <c r="S83" i="15"/>
  <c r="S37" i="15" s="1"/>
  <c r="AI83" i="15"/>
  <c r="AI37" i="15" s="1"/>
  <c r="AY83" i="15"/>
  <c r="AY37" i="15" s="1"/>
  <c r="BO83" i="15"/>
  <c r="BO37" i="15" s="1"/>
  <c r="CE83" i="15"/>
  <c r="CE37" i="15" s="1"/>
  <c r="J83" i="15"/>
  <c r="J37" i="15" s="1"/>
  <c r="Z83" i="15"/>
  <c r="Z37" i="15" s="1"/>
  <c r="AP83" i="15"/>
  <c r="AP37" i="15" s="1"/>
  <c r="BF83" i="15"/>
  <c r="BF37" i="15" s="1"/>
  <c r="BV83" i="15"/>
  <c r="BV37" i="15" s="1"/>
  <c r="CL83" i="15"/>
  <c r="CL37" i="15" s="1"/>
  <c r="DB83" i="15"/>
  <c r="DB37" i="15" s="1"/>
  <c r="DR83" i="15"/>
  <c r="DR37" i="15" s="1"/>
  <c r="EH83" i="15"/>
  <c r="EH37" i="15" s="1"/>
  <c r="W83" i="15"/>
  <c r="W37" i="15" s="1"/>
  <c r="AM83" i="15"/>
  <c r="AM37" i="15" s="1"/>
  <c r="BC83" i="15"/>
  <c r="BC37" i="15" s="1"/>
  <c r="BS83" i="15"/>
  <c r="BS37" i="15" s="1"/>
  <c r="N83" i="15"/>
  <c r="N37" i="15" s="1"/>
  <c r="AD83" i="15"/>
  <c r="AD37" i="15" s="1"/>
  <c r="AT83" i="15"/>
  <c r="AT37" i="15" s="1"/>
  <c r="BJ83" i="15"/>
  <c r="BJ37" i="15" s="1"/>
  <c r="BZ83" i="15"/>
  <c r="BZ37" i="15" s="1"/>
  <c r="CP83" i="15"/>
  <c r="CP37" i="15" s="1"/>
  <c r="DF83" i="15"/>
  <c r="DF37" i="15" s="1"/>
  <c r="DV83" i="15"/>
  <c r="DV37" i="15" s="1"/>
  <c r="EL83" i="15"/>
  <c r="EL37" i="15" s="1"/>
  <c r="K83" i="15"/>
  <c r="K37" i="15" s="1"/>
  <c r="AA83" i="15"/>
  <c r="AA37" i="15" s="1"/>
  <c r="AQ83" i="15"/>
  <c r="AQ37" i="15" s="1"/>
  <c r="BG83" i="15"/>
  <c r="BG37" i="15" s="1"/>
  <c r="BW83" i="15"/>
  <c r="BW37" i="15" s="1"/>
  <c r="H83" i="15"/>
  <c r="H37" i="15" s="1"/>
  <c r="X83" i="15"/>
  <c r="X37" i="15" s="1"/>
  <c r="AN83" i="15"/>
  <c r="AN37" i="15" s="1"/>
  <c r="BD83" i="15"/>
  <c r="BD37" i="15" s="1"/>
  <c r="BT83" i="15"/>
  <c r="BT37" i="15" s="1"/>
  <c r="CJ83" i="15"/>
  <c r="CJ37" i="15" s="1"/>
  <c r="CZ83" i="15"/>
  <c r="CZ37" i="15" s="1"/>
  <c r="DP83" i="15"/>
  <c r="DP37" i="15" s="1"/>
  <c r="EF83" i="15"/>
  <c r="EF37" i="15" s="1"/>
  <c r="I83" i="15"/>
  <c r="I37" i="15" s="1"/>
  <c r="Y83" i="15"/>
  <c r="Y37" i="15" s="1"/>
  <c r="AO83" i="15"/>
  <c r="AO37" i="15" s="1"/>
  <c r="BE83" i="15"/>
  <c r="BE37" i="15" s="1"/>
  <c r="BU83" i="15"/>
  <c r="BU37" i="15" s="1"/>
  <c r="CK83" i="15"/>
  <c r="CK37" i="15" s="1"/>
  <c r="DA83" i="15"/>
  <c r="DA37" i="15" s="1"/>
  <c r="DQ83" i="15"/>
  <c r="DQ37" i="15" s="1"/>
  <c r="EG83" i="15"/>
  <c r="EG37" i="15" s="1"/>
  <c r="DO83" i="15"/>
  <c r="DO37" i="15" s="1"/>
  <c r="L83" i="15"/>
  <c r="L37" i="15" s="1"/>
  <c r="AB83" i="15"/>
  <c r="AB37" i="15" s="1"/>
  <c r="AR83" i="15"/>
  <c r="AR37" i="15" s="1"/>
  <c r="BH83" i="15"/>
  <c r="BH37" i="15" s="1"/>
  <c r="BX83" i="15"/>
  <c r="BX37" i="15" s="1"/>
  <c r="CN83" i="15"/>
  <c r="CN37" i="15" s="1"/>
  <c r="DD83" i="15"/>
  <c r="DD37" i="15" s="1"/>
  <c r="DT83" i="15"/>
  <c r="DT37" i="15" s="1"/>
  <c r="EJ83" i="15"/>
  <c r="EJ37" i="15" s="1"/>
  <c r="M83" i="15"/>
  <c r="M37" i="15" s="1"/>
  <c r="AC83" i="15"/>
  <c r="AC37" i="15" s="1"/>
  <c r="AS83" i="15"/>
  <c r="AS37" i="15" s="1"/>
  <c r="BI83" i="15"/>
  <c r="BI37" i="15" s="1"/>
  <c r="BY83" i="15"/>
  <c r="BY37" i="15" s="1"/>
  <c r="CO83" i="15"/>
  <c r="CO37" i="15" s="1"/>
  <c r="DE83" i="15"/>
  <c r="DE37" i="15" s="1"/>
  <c r="DU83" i="15"/>
  <c r="DU37" i="15" s="1"/>
  <c r="EK83" i="15"/>
  <c r="EK37" i="15" s="1"/>
  <c r="EE83" i="15"/>
  <c r="EE37" i="15" s="1"/>
  <c r="P83" i="15"/>
  <c r="P37" i="15" s="1"/>
  <c r="AF83" i="15"/>
  <c r="AF37" i="15" s="1"/>
  <c r="AV83" i="15"/>
  <c r="AV37" i="15" s="1"/>
  <c r="BL83" i="15"/>
  <c r="BL37" i="15" s="1"/>
  <c r="CB83" i="15"/>
  <c r="CB37" i="15" s="1"/>
  <c r="CR83" i="15"/>
  <c r="CR37" i="15" s="1"/>
  <c r="DH83" i="15"/>
  <c r="DH37" i="15" s="1"/>
  <c r="DX83" i="15"/>
  <c r="DX37" i="15" s="1"/>
  <c r="EN83" i="15"/>
  <c r="EN37" i="15" s="1"/>
  <c r="Q83" i="15"/>
  <c r="Q37" i="15" s="1"/>
  <c r="AG83" i="15"/>
  <c r="AG37" i="15" s="1"/>
  <c r="AW83" i="15"/>
  <c r="AW37" i="15" s="1"/>
  <c r="BM83" i="15"/>
  <c r="BM37" i="15" s="1"/>
  <c r="CC83" i="15"/>
  <c r="CC37" i="15" s="1"/>
  <c r="CS83" i="15"/>
  <c r="CS37" i="15" s="1"/>
  <c r="DI83" i="15"/>
  <c r="DI37" i="15" s="1"/>
  <c r="DY83" i="15"/>
  <c r="DY37" i="15" s="1"/>
  <c r="EO83" i="15"/>
  <c r="EO37" i="15" s="1"/>
  <c r="CI83" i="15"/>
  <c r="CI37" i="15" s="1"/>
  <c r="T83" i="15"/>
  <c r="T37" i="15" s="1"/>
  <c r="AJ83" i="15"/>
  <c r="AJ37" i="15" s="1"/>
  <c r="AZ83" i="15"/>
  <c r="AZ37" i="15" s="1"/>
  <c r="BP83" i="15"/>
  <c r="BP37" i="15" s="1"/>
  <c r="CF83" i="15"/>
  <c r="CF37" i="15" s="1"/>
  <c r="CV83" i="15"/>
  <c r="CV37" i="15" s="1"/>
  <c r="DL83" i="15"/>
  <c r="DL37" i="15" s="1"/>
  <c r="EB83" i="15"/>
  <c r="EB37" i="15" s="1"/>
  <c r="ER83" i="15"/>
  <c r="ER37" i="15" s="1"/>
  <c r="U83" i="15"/>
  <c r="U37" i="15" s="1"/>
  <c r="AK83" i="15"/>
  <c r="AK37" i="15" s="1"/>
  <c r="BA83" i="15"/>
  <c r="BA37" i="15" s="1"/>
  <c r="BQ83" i="15"/>
  <c r="BQ37" i="15" s="1"/>
  <c r="CG83" i="15"/>
  <c r="CG37" i="15" s="1"/>
  <c r="CW83" i="15"/>
  <c r="CW37" i="15" s="1"/>
  <c r="DM83" i="15"/>
  <c r="DM37" i="15" s="1"/>
  <c r="EC83" i="15"/>
  <c r="EC37" i="15" s="1"/>
  <c r="ES83" i="15"/>
  <c r="ES37" i="15" s="1"/>
  <c r="CY83" i="15"/>
  <c r="CY37" i="15" s="1"/>
  <c r="EI83" i="15"/>
  <c r="EI37" i="15" s="1"/>
  <c r="DG83" i="15"/>
  <c r="DG37" i="15" s="1"/>
  <c r="EA83" i="15"/>
  <c r="EA37" i="15" s="1"/>
  <c r="CM83" i="15"/>
  <c r="CM37" i="15" s="1"/>
  <c r="DW83" i="15"/>
  <c r="DW37" i="15" s="1"/>
  <c r="EQ83" i="15"/>
  <c r="EQ37" i="15" s="1"/>
  <c r="DC83" i="15"/>
  <c r="DC37" i="15" s="1"/>
  <c r="EM83" i="15"/>
  <c r="EM37" i="15" s="1"/>
  <c r="CU83" i="15"/>
  <c r="CU37" i="15" s="1"/>
  <c r="DS83" i="15"/>
  <c r="DS37" i="15" s="1"/>
  <c r="CQ83" i="15"/>
  <c r="CQ37" i="15" s="1"/>
  <c r="DK83" i="15"/>
  <c r="DK37" i="15" s="1"/>
  <c r="G83" i="15"/>
  <c r="G37" i="15" s="1"/>
  <c r="F38" i="15"/>
  <c r="BX37" i="10"/>
  <c r="F38" i="10"/>
  <c r="AR50" i="5"/>
  <c r="C85" i="5" s="1"/>
  <c r="D89" i="2"/>
  <c r="D85" i="5" l="1"/>
  <c r="S85" i="5"/>
  <c r="O85" i="5"/>
  <c r="K85" i="5"/>
  <c r="G85" i="5"/>
  <c r="R85" i="5"/>
  <c r="M85" i="5"/>
  <c r="H85" i="5"/>
  <c r="Q85" i="5"/>
  <c r="L85" i="5"/>
  <c r="F85" i="5"/>
  <c r="T85" i="5"/>
  <c r="I85" i="5"/>
  <c r="J85" i="5"/>
  <c r="P85" i="5"/>
  <c r="E85" i="5"/>
  <c r="N85" i="5"/>
  <c r="H89" i="2"/>
  <c r="K89" i="2"/>
  <c r="O89" i="2"/>
  <c r="S89" i="2"/>
  <c r="L89" i="2"/>
  <c r="P89" i="2"/>
  <c r="T89" i="2"/>
  <c r="I89" i="2"/>
  <c r="M89" i="2"/>
  <c r="Q89" i="2"/>
  <c r="U89" i="2"/>
  <c r="N89" i="2"/>
  <c r="R89" i="2"/>
  <c r="J89" i="2"/>
  <c r="D1748" i="12"/>
  <c r="F1747" i="12"/>
  <c r="E1747" i="12"/>
  <c r="EQ45" i="5"/>
  <c r="BF50" i="5"/>
  <c r="BC50" i="5"/>
  <c r="AR46" i="2"/>
  <c r="BB45" i="2"/>
  <c r="L84" i="10"/>
  <c r="L38" i="10" s="1"/>
  <c r="AB84" i="10"/>
  <c r="AB38" i="10" s="1"/>
  <c r="AR84" i="10"/>
  <c r="AR38" i="10" s="1"/>
  <c r="BH84" i="10"/>
  <c r="BH38" i="10" s="1"/>
  <c r="BX84" i="10"/>
  <c r="BX38" i="10" s="1"/>
  <c r="CN84" i="10"/>
  <c r="CN38" i="10" s="1"/>
  <c r="DD84" i="10"/>
  <c r="DD38" i="10" s="1"/>
  <c r="DT84" i="10"/>
  <c r="DT38" i="10" s="1"/>
  <c r="EJ84" i="10"/>
  <c r="EJ38" i="10" s="1"/>
  <c r="I84" i="10"/>
  <c r="I38" i="10" s="1"/>
  <c r="Y84" i="10"/>
  <c r="Y38" i="10" s="1"/>
  <c r="AO84" i="10"/>
  <c r="AO38" i="10" s="1"/>
  <c r="BE84" i="10"/>
  <c r="BE38" i="10" s="1"/>
  <c r="BU84" i="10"/>
  <c r="BU38" i="10" s="1"/>
  <c r="CK84" i="10"/>
  <c r="CK38" i="10" s="1"/>
  <c r="DA84" i="10"/>
  <c r="DA38" i="10" s="1"/>
  <c r="DQ84" i="10"/>
  <c r="DQ38" i="10" s="1"/>
  <c r="EG84" i="10"/>
  <c r="EG38" i="10" s="1"/>
  <c r="P84" i="10"/>
  <c r="P38" i="10" s="1"/>
  <c r="AF84" i="10"/>
  <c r="AF38" i="10" s="1"/>
  <c r="AV84" i="10"/>
  <c r="AV38" i="10" s="1"/>
  <c r="BL84" i="10"/>
  <c r="BL38" i="10" s="1"/>
  <c r="CB84" i="10"/>
  <c r="CB38" i="10" s="1"/>
  <c r="CR84" i="10"/>
  <c r="CR38" i="10" s="1"/>
  <c r="DH84" i="10"/>
  <c r="DH38" i="10" s="1"/>
  <c r="DX84" i="10"/>
  <c r="DX38" i="10" s="1"/>
  <c r="EN84" i="10"/>
  <c r="EN38" i="10" s="1"/>
  <c r="M84" i="10"/>
  <c r="M38" i="10" s="1"/>
  <c r="AC84" i="10"/>
  <c r="AC38" i="10" s="1"/>
  <c r="AS84" i="10"/>
  <c r="AS38" i="10" s="1"/>
  <c r="BI84" i="10"/>
  <c r="BI38" i="10" s="1"/>
  <c r="BY84" i="10"/>
  <c r="BY38" i="10" s="1"/>
  <c r="CO84" i="10"/>
  <c r="CO38" i="10" s="1"/>
  <c r="DE84" i="10"/>
  <c r="DE38" i="10" s="1"/>
  <c r="DU84" i="10"/>
  <c r="DU38" i="10" s="1"/>
  <c r="EK84" i="10"/>
  <c r="EK38" i="10" s="1"/>
  <c r="T84" i="10"/>
  <c r="T38" i="10" s="1"/>
  <c r="AJ84" i="10"/>
  <c r="AJ38" i="10" s="1"/>
  <c r="AZ84" i="10"/>
  <c r="AZ38" i="10" s="1"/>
  <c r="BP84" i="10"/>
  <c r="BP38" i="10" s="1"/>
  <c r="CF84" i="10"/>
  <c r="CF38" i="10" s="1"/>
  <c r="CV84" i="10"/>
  <c r="CV38" i="10" s="1"/>
  <c r="DL84" i="10"/>
  <c r="DL38" i="10" s="1"/>
  <c r="EB84" i="10"/>
  <c r="EB38" i="10" s="1"/>
  <c r="ER84" i="10"/>
  <c r="ER38" i="10" s="1"/>
  <c r="Q84" i="10"/>
  <c r="Q38" i="10" s="1"/>
  <c r="AG84" i="10"/>
  <c r="AG38" i="10" s="1"/>
  <c r="AW84" i="10"/>
  <c r="AW38" i="10" s="1"/>
  <c r="BM84" i="10"/>
  <c r="BM38" i="10" s="1"/>
  <c r="CC84" i="10"/>
  <c r="CC38" i="10" s="1"/>
  <c r="CS84" i="10"/>
  <c r="CS38" i="10" s="1"/>
  <c r="DI84" i="10"/>
  <c r="DI38" i="10" s="1"/>
  <c r="DY84" i="10"/>
  <c r="DY38" i="10" s="1"/>
  <c r="EO84" i="10"/>
  <c r="EO38" i="10" s="1"/>
  <c r="X84" i="10"/>
  <c r="X38" i="10" s="1"/>
  <c r="AN84" i="10"/>
  <c r="AN38" i="10" s="1"/>
  <c r="BD84" i="10"/>
  <c r="BD38" i="10" s="1"/>
  <c r="BT84" i="10"/>
  <c r="BT38" i="10" s="1"/>
  <c r="CJ84" i="10"/>
  <c r="CJ38" i="10" s="1"/>
  <c r="CZ84" i="10"/>
  <c r="CZ38" i="10" s="1"/>
  <c r="DP84" i="10"/>
  <c r="DP38" i="10" s="1"/>
  <c r="EF84" i="10"/>
  <c r="EF38" i="10" s="1"/>
  <c r="U84" i="10"/>
  <c r="U38" i="10" s="1"/>
  <c r="AK84" i="10"/>
  <c r="AK38" i="10" s="1"/>
  <c r="BA84" i="10"/>
  <c r="BA38" i="10" s="1"/>
  <c r="BQ84" i="10"/>
  <c r="BQ38" i="10" s="1"/>
  <c r="CG84" i="10"/>
  <c r="CG38" i="10" s="1"/>
  <c r="CW84" i="10"/>
  <c r="CW38" i="10" s="1"/>
  <c r="DM84" i="10"/>
  <c r="DM38" i="10" s="1"/>
  <c r="EC84" i="10"/>
  <c r="EC38" i="10" s="1"/>
  <c r="ES84" i="10"/>
  <c r="ES38" i="10" s="1"/>
  <c r="N84" i="10"/>
  <c r="N38" i="10" s="1"/>
  <c r="AT84" i="10"/>
  <c r="AT38" i="10" s="1"/>
  <c r="BZ84" i="10"/>
  <c r="BZ38" i="10" s="1"/>
  <c r="DF84" i="10"/>
  <c r="DF38" i="10" s="1"/>
  <c r="EL84" i="10"/>
  <c r="EL38" i="10" s="1"/>
  <c r="AM84" i="10"/>
  <c r="AM38" i="10" s="1"/>
  <c r="BS84" i="10"/>
  <c r="BS38" i="10" s="1"/>
  <c r="CY84" i="10"/>
  <c r="CY38" i="10" s="1"/>
  <c r="EE84" i="10"/>
  <c r="EE38" i="10" s="1"/>
  <c r="Z84" i="10"/>
  <c r="Z38" i="10" s="1"/>
  <c r="BF84" i="10"/>
  <c r="BF38" i="10" s="1"/>
  <c r="CL84" i="10"/>
  <c r="CL38" i="10" s="1"/>
  <c r="DR84" i="10"/>
  <c r="DR38" i="10" s="1"/>
  <c r="BW84" i="10"/>
  <c r="BW38" i="10" s="1"/>
  <c r="V84" i="10"/>
  <c r="V38" i="10" s="1"/>
  <c r="BB84" i="10"/>
  <c r="BB38" i="10" s="1"/>
  <c r="CH84" i="10"/>
  <c r="CH38" i="10" s="1"/>
  <c r="DN84" i="10"/>
  <c r="DN38" i="10" s="1"/>
  <c r="ET84" i="10"/>
  <c r="ET38" i="10" s="1"/>
  <c r="O84" i="10"/>
  <c r="O38" i="10" s="1"/>
  <c r="AU84" i="10"/>
  <c r="AU38" i="10" s="1"/>
  <c r="CA84" i="10"/>
  <c r="CA38" i="10" s="1"/>
  <c r="DG84" i="10"/>
  <c r="DG38" i="10" s="1"/>
  <c r="EM84" i="10"/>
  <c r="EM38" i="10" s="1"/>
  <c r="AH84" i="10"/>
  <c r="AH38" i="10" s="1"/>
  <c r="BN84" i="10"/>
  <c r="BN38" i="10" s="1"/>
  <c r="CT84" i="10"/>
  <c r="CT38" i="10" s="1"/>
  <c r="DZ84" i="10"/>
  <c r="DZ38" i="10" s="1"/>
  <c r="DC84" i="10"/>
  <c r="DC38" i="10" s="1"/>
  <c r="AD84" i="10"/>
  <c r="AD38" i="10" s="1"/>
  <c r="BJ84" i="10"/>
  <c r="BJ38" i="10" s="1"/>
  <c r="CP84" i="10"/>
  <c r="CP38" i="10" s="1"/>
  <c r="DV84" i="10"/>
  <c r="DV38" i="10" s="1"/>
  <c r="W84" i="10"/>
  <c r="W38" i="10" s="1"/>
  <c r="BC84" i="10"/>
  <c r="BC38" i="10" s="1"/>
  <c r="CI84" i="10"/>
  <c r="CI38" i="10" s="1"/>
  <c r="DO84" i="10"/>
  <c r="DO38" i="10" s="1"/>
  <c r="J84" i="10"/>
  <c r="J38" i="10" s="1"/>
  <c r="AP84" i="10"/>
  <c r="AP38" i="10" s="1"/>
  <c r="BV84" i="10"/>
  <c r="BV38" i="10" s="1"/>
  <c r="DB84" i="10"/>
  <c r="DB38" i="10" s="1"/>
  <c r="EH84" i="10"/>
  <c r="EH38" i="10" s="1"/>
  <c r="K84" i="10"/>
  <c r="K38" i="10" s="1"/>
  <c r="EI84" i="10"/>
  <c r="EI38" i="10" s="1"/>
  <c r="AL84" i="10"/>
  <c r="AL38" i="10" s="1"/>
  <c r="BR84" i="10"/>
  <c r="BR38" i="10" s="1"/>
  <c r="CX84" i="10"/>
  <c r="CX38" i="10" s="1"/>
  <c r="ED84" i="10"/>
  <c r="ED38" i="10" s="1"/>
  <c r="AE84" i="10"/>
  <c r="AE38" i="10" s="1"/>
  <c r="BK84" i="10"/>
  <c r="BK38" i="10" s="1"/>
  <c r="CQ84" i="10"/>
  <c r="CQ38" i="10" s="1"/>
  <c r="DW84" i="10"/>
  <c r="DW38" i="10" s="1"/>
  <c r="R84" i="10"/>
  <c r="R38" i="10" s="1"/>
  <c r="AX84" i="10"/>
  <c r="AX38" i="10" s="1"/>
  <c r="CD84" i="10"/>
  <c r="CD38" i="10" s="1"/>
  <c r="DJ84" i="10"/>
  <c r="DJ38" i="10" s="1"/>
  <c r="EP84" i="10"/>
  <c r="EP38" i="10" s="1"/>
  <c r="AQ84" i="10"/>
  <c r="AQ38" i="10" s="1"/>
  <c r="CE84" i="10"/>
  <c r="CE38" i="10" s="1"/>
  <c r="DS84" i="10"/>
  <c r="DS38" i="10" s="1"/>
  <c r="DK84" i="10"/>
  <c r="DK38" i="10" s="1"/>
  <c r="AA84" i="10"/>
  <c r="AA38" i="10" s="1"/>
  <c r="EA84" i="10"/>
  <c r="EA38" i="10" s="1"/>
  <c r="S84" i="10"/>
  <c r="S38" i="10" s="1"/>
  <c r="EQ84" i="10"/>
  <c r="EQ38" i="10" s="1"/>
  <c r="BG84" i="10"/>
  <c r="BG38" i="10" s="1"/>
  <c r="AY84" i="10"/>
  <c r="AY38" i="10" s="1"/>
  <c r="CM84" i="10"/>
  <c r="CM38" i="10" s="1"/>
  <c r="AI84" i="10"/>
  <c r="AI38" i="10" s="1"/>
  <c r="BO84" i="10"/>
  <c r="BO38" i="10" s="1"/>
  <c r="CU84" i="10"/>
  <c r="CU38" i="10" s="1"/>
  <c r="H84" i="10"/>
  <c r="H38" i="10" s="1"/>
  <c r="G84" i="10"/>
  <c r="G38" i="10" s="1"/>
  <c r="S84" i="15"/>
  <c r="S38" i="15" s="1"/>
  <c r="AI84" i="15"/>
  <c r="AI38" i="15" s="1"/>
  <c r="AY84" i="15"/>
  <c r="AY38" i="15" s="1"/>
  <c r="W84" i="15"/>
  <c r="W38" i="15" s="1"/>
  <c r="AM84" i="15"/>
  <c r="AM38" i="15" s="1"/>
  <c r="BC84" i="15"/>
  <c r="BC38" i="15" s="1"/>
  <c r="K84" i="15"/>
  <c r="K38" i="15" s="1"/>
  <c r="AA84" i="15"/>
  <c r="AA38" i="15" s="1"/>
  <c r="AQ84" i="15"/>
  <c r="AQ38" i="15" s="1"/>
  <c r="BG84" i="15"/>
  <c r="BG38" i="15" s="1"/>
  <c r="O84" i="15"/>
  <c r="O38" i="15" s="1"/>
  <c r="AE84" i="15"/>
  <c r="AE38" i="15" s="1"/>
  <c r="AU84" i="15"/>
  <c r="AU38" i="15" s="1"/>
  <c r="BK84" i="15"/>
  <c r="BK38" i="15" s="1"/>
  <c r="I84" i="15"/>
  <c r="I38" i="15" s="1"/>
  <c r="Y84" i="15"/>
  <c r="Y38" i="15" s="1"/>
  <c r="AO84" i="15"/>
  <c r="AO38" i="15" s="1"/>
  <c r="BE84" i="15"/>
  <c r="BE38" i="15" s="1"/>
  <c r="BU84" i="15"/>
  <c r="BU38" i="15" s="1"/>
  <c r="CK84" i="15"/>
  <c r="CK38" i="15" s="1"/>
  <c r="DA84" i="15"/>
  <c r="DA38" i="15" s="1"/>
  <c r="DQ84" i="15"/>
  <c r="DQ38" i="15" s="1"/>
  <c r="EG84" i="15"/>
  <c r="EG38" i="15" s="1"/>
  <c r="J84" i="15"/>
  <c r="J38" i="15" s="1"/>
  <c r="Z84" i="15"/>
  <c r="Z38" i="15" s="1"/>
  <c r="AP84" i="15"/>
  <c r="AP38" i="15" s="1"/>
  <c r="BF84" i="15"/>
  <c r="BF38" i="15" s="1"/>
  <c r="BV84" i="15"/>
  <c r="BV38" i="15" s="1"/>
  <c r="CL84" i="15"/>
  <c r="CL38" i="15" s="1"/>
  <c r="DB84" i="15"/>
  <c r="DB38" i="15" s="1"/>
  <c r="DR84" i="15"/>
  <c r="DR38" i="15" s="1"/>
  <c r="EH84" i="15"/>
  <c r="EH38" i="15" s="1"/>
  <c r="AN84" i="15"/>
  <c r="AN38" i="15" s="1"/>
  <c r="CF84" i="15"/>
  <c r="CF38" i="15" s="1"/>
  <c r="DL84" i="15"/>
  <c r="DL38" i="15" s="1"/>
  <c r="ER84" i="15"/>
  <c r="ER38" i="15" s="1"/>
  <c r="M84" i="15"/>
  <c r="M38" i="15" s="1"/>
  <c r="AC84" i="15"/>
  <c r="AC38" i="15" s="1"/>
  <c r="AS84" i="15"/>
  <c r="AS38" i="15" s="1"/>
  <c r="BI84" i="15"/>
  <c r="BI38" i="15" s="1"/>
  <c r="BY84" i="15"/>
  <c r="BY38" i="15" s="1"/>
  <c r="CO84" i="15"/>
  <c r="CO38" i="15" s="1"/>
  <c r="DE84" i="15"/>
  <c r="DE38" i="15" s="1"/>
  <c r="DU84" i="15"/>
  <c r="DU38" i="15" s="1"/>
  <c r="EK84" i="15"/>
  <c r="EK38" i="15" s="1"/>
  <c r="N84" i="15"/>
  <c r="N38" i="15" s="1"/>
  <c r="AD84" i="15"/>
  <c r="AD38" i="15" s="1"/>
  <c r="AT84" i="15"/>
  <c r="AT38" i="15" s="1"/>
  <c r="BJ84" i="15"/>
  <c r="BJ38" i="15" s="1"/>
  <c r="BZ84" i="15"/>
  <c r="BZ38" i="15" s="1"/>
  <c r="CP84" i="15"/>
  <c r="CP38" i="15" s="1"/>
  <c r="DF84" i="15"/>
  <c r="DF38" i="15" s="1"/>
  <c r="DV84" i="15"/>
  <c r="DV38" i="15" s="1"/>
  <c r="EL84" i="15"/>
  <c r="EL38" i="15" s="1"/>
  <c r="BD84" i="15"/>
  <c r="BD38" i="15" s="1"/>
  <c r="CN84" i="15"/>
  <c r="CN38" i="15" s="1"/>
  <c r="DT84" i="15"/>
  <c r="DT38" i="15" s="1"/>
  <c r="Q84" i="15"/>
  <c r="Q38" i="15" s="1"/>
  <c r="AG84" i="15"/>
  <c r="AG38" i="15" s="1"/>
  <c r="AW84" i="15"/>
  <c r="AW38" i="15" s="1"/>
  <c r="BM84" i="15"/>
  <c r="BM38" i="15" s="1"/>
  <c r="CC84" i="15"/>
  <c r="CC38" i="15" s="1"/>
  <c r="CS84" i="15"/>
  <c r="CS38" i="15" s="1"/>
  <c r="DI84" i="15"/>
  <c r="DI38" i="15" s="1"/>
  <c r="DY84" i="15"/>
  <c r="DY38" i="15" s="1"/>
  <c r="EO84" i="15"/>
  <c r="EO38" i="15" s="1"/>
  <c r="R84" i="15"/>
  <c r="R38" i="15" s="1"/>
  <c r="AH84" i="15"/>
  <c r="AH38" i="15" s="1"/>
  <c r="AX84" i="15"/>
  <c r="AX38" i="15" s="1"/>
  <c r="BN84" i="15"/>
  <c r="BN38" i="15" s="1"/>
  <c r="CD84" i="15"/>
  <c r="CD38" i="15" s="1"/>
  <c r="CT84" i="15"/>
  <c r="CT38" i="15" s="1"/>
  <c r="DJ84" i="15"/>
  <c r="DJ38" i="15" s="1"/>
  <c r="DZ84" i="15"/>
  <c r="DZ38" i="15" s="1"/>
  <c r="EP84" i="15"/>
  <c r="EP38" i="15" s="1"/>
  <c r="H84" i="15"/>
  <c r="H38" i="15" s="1"/>
  <c r="BP84" i="15"/>
  <c r="BP38" i="15" s="1"/>
  <c r="CV84" i="15"/>
  <c r="CV38" i="15" s="1"/>
  <c r="EB84" i="15"/>
  <c r="EB38" i="15" s="1"/>
  <c r="U84" i="15"/>
  <c r="U38" i="15" s="1"/>
  <c r="AK84" i="15"/>
  <c r="AK38" i="15" s="1"/>
  <c r="BA84" i="15"/>
  <c r="BA38" i="15" s="1"/>
  <c r="BQ84" i="15"/>
  <c r="BQ38" i="15" s="1"/>
  <c r="CG84" i="15"/>
  <c r="CG38" i="15" s="1"/>
  <c r="CW84" i="15"/>
  <c r="CW38" i="15" s="1"/>
  <c r="DM84" i="15"/>
  <c r="DM38" i="15" s="1"/>
  <c r="EC84" i="15"/>
  <c r="EC38" i="15" s="1"/>
  <c r="ES84" i="15"/>
  <c r="ES38" i="15" s="1"/>
  <c r="V84" i="15"/>
  <c r="V38" i="15" s="1"/>
  <c r="AL84" i="15"/>
  <c r="AL38" i="15" s="1"/>
  <c r="BB84" i="15"/>
  <c r="BB38" i="15" s="1"/>
  <c r="BR84" i="15"/>
  <c r="BR38" i="15" s="1"/>
  <c r="CH84" i="15"/>
  <c r="CH38" i="15" s="1"/>
  <c r="CX84" i="15"/>
  <c r="CX38" i="15" s="1"/>
  <c r="DN84" i="15"/>
  <c r="DN38" i="15" s="1"/>
  <c r="ED84" i="15"/>
  <c r="ED38" i="15" s="1"/>
  <c r="ET84" i="15"/>
  <c r="ET38" i="15" s="1"/>
  <c r="X84" i="15"/>
  <c r="X38" i="15" s="1"/>
  <c r="BX84" i="15"/>
  <c r="BX38" i="15" s="1"/>
  <c r="DD84" i="15"/>
  <c r="DD38" i="15" s="1"/>
  <c r="EJ84" i="15"/>
  <c r="EJ38" i="15" s="1"/>
  <c r="BH84" i="15"/>
  <c r="BH38" i="15" s="1"/>
  <c r="CQ84" i="15"/>
  <c r="CQ38" i="15" s="1"/>
  <c r="DW84" i="15"/>
  <c r="DW38" i="15" s="1"/>
  <c r="AF84" i="15"/>
  <c r="AF38" i="15" s="1"/>
  <c r="CB84" i="15"/>
  <c r="CB38" i="15" s="1"/>
  <c r="DH84" i="15"/>
  <c r="DH38" i="15" s="1"/>
  <c r="EN84" i="15"/>
  <c r="EN38" i="15" s="1"/>
  <c r="AZ84" i="15"/>
  <c r="AZ38" i="15" s="1"/>
  <c r="CM84" i="15"/>
  <c r="CM38" i="15" s="1"/>
  <c r="DS84" i="15"/>
  <c r="DS38" i="15" s="1"/>
  <c r="L84" i="15"/>
  <c r="L38" i="15" s="1"/>
  <c r="BS84" i="15"/>
  <c r="BS38" i="15" s="1"/>
  <c r="CY84" i="15"/>
  <c r="CY38" i="15" s="1"/>
  <c r="EE84" i="15"/>
  <c r="EE38" i="15" s="1"/>
  <c r="AV84" i="15"/>
  <c r="AV38" i="15" s="1"/>
  <c r="CJ84" i="15"/>
  <c r="CJ38" i="15" s="1"/>
  <c r="DP84" i="15"/>
  <c r="DP38" i="15" s="1"/>
  <c r="BO84" i="15"/>
  <c r="BO38" i="15" s="1"/>
  <c r="CU84" i="15"/>
  <c r="CU38" i="15" s="1"/>
  <c r="EA84" i="15"/>
  <c r="EA38" i="15" s="1"/>
  <c r="AB84" i="15"/>
  <c r="AB38" i="15" s="1"/>
  <c r="CA84" i="15"/>
  <c r="CA38" i="15" s="1"/>
  <c r="DG84" i="15"/>
  <c r="DG38" i="15" s="1"/>
  <c r="EM84" i="15"/>
  <c r="EM38" i="15" s="1"/>
  <c r="BL84" i="15"/>
  <c r="BL38" i="15" s="1"/>
  <c r="CR84" i="15"/>
  <c r="CR38" i="15" s="1"/>
  <c r="DX84" i="15"/>
  <c r="DX38" i="15" s="1"/>
  <c r="T84" i="15"/>
  <c r="T38" i="15" s="1"/>
  <c r="BW84" i="15"/>
  <c r="BW38" i="15" s="1"/>
  <c r="DC84" i="15"/>
  <c r="DC38" i="15" s="1"/>
  <c r="EI84" i="15"/>
  <c r="EI38" i="15" s="1"/>
  <c r="AR84" i="15"/>
  <c r="AR38" i="15" s="1"/>
  <c r="CI84" i="15"/>
  <c r="CI38" i="15" s="1"/>
  <c r="DO84" i="15"/>
  <c r="DO38" i="15" s="1"/>
  <c r="P84" i="15"/>
  <c r="P38" i="15" s="1"/>
  <c r="BT84" i="15"/>
  <c r="BT38" i="15" s="1"/>
  <c r="CZ84" i="15"/>
  <c r="CZ38" i="15" s="1"/>
  <c r="EF84" i="15"/>
  <c r="EF38" i="15" s="1"/>
  <c r="AJ84" i="15"/>
  <c r="AJ38" i="15" s="1"/>
  <c r="CE84" i="15"/>
  <c r="CE38" i="15" s="1"/>
  <c r="DK84" i="15"/>
  <c r="DK38" i="15" s="1"/>
  <c r="EQ84" i="15"/>
  <c r="EQ38" i="15" s="1"/>
  <c r="G84" i="15"/>
  <c r="G38" i="15" s="1"/>
  <c r="F39" i="15"/>
  <c r="F39" i="10"/>
  <c r="AR51" i="5"/>
  <c r="C86" i="5" s="1"/>
  <c r="D90" i="2"/>
  <c r="D86" i="5" l="1"/>
  <c r="S86" i="5"/>
  <c r="O86" i="5"/>
  <c r="K86" i="5"/>
  <c r="G86" i="5"/>
  <c r="R86" i="5"/>
  <c r="M86" i="5"/>
  <c r="H86" i="5"/>
  <c r="Q86" i="5"/>
  <c r="L86" i="5"/>
  <c r="F86" i="5"/>
  <c r="N86" i="5"/>
  <c r="P86" i="5"/>
  <c r="J86" i="5"/>
  <c r="E86" i="5"/>
  <c r="T86" i="5"/>
  <c r="I86" i="5"/>
  <c r="H90" i="2"/>
  <c r="J90" i="2"/>
  <c r="N90" i="2"/>
  <c r="R90" i="2"/>
  <c r="K90" i="2"/>
  <c r="O90" i="2"/>
  <c r="S90" i="2"/>
  <c r="L90" i="2"/>
  <c r="P90" i="2"/>
  <c r="T90" i="2"/>
  <c r="Q90" i="2"/>
  <c r="U90" i="2"/>
  <c r="I90" i="2"/>
  <c r="M90" i="2"/>
  <c r="F1748" i="12"/>
  <c r="D1749" i="12"/>
  <c r="E1748" i="12"/>
  <c r="EQ46" i="5"/>
  <c r="BF51" i="5"/>
  <c r="BC51" i="5"/>
  <c r="AR47" i="2"/>
  <c r="BB46" i="2"/>
  <c r="N85" i="10"/>
  <c r="N39" i="10" s="1"/>
  <c r="AD85" i="10"/>
  <c r="AD39" i="10" s="1"/>
  <c r="AT85" i="10"/>
  <c r="AT39" i="10" s="1"/>
  <c r="BJ85" i="10"/>
  <c r="BJ39" i="10" s="1"/>
  <c r="BZ85" i="10"/>
  <c r="BZ39" i="10" s="1"/>
  <c r="CP85" i="10"/>
  <c r="CP39" i="10" s="1"/>
  <c r="DF85" i="10"/>
  <c r="DF39" i="10" s="1"/>
  <c r="DV85" i="10"/>
  <c r="DV39" i="10" s="1"/>
  <c r="EL85" i="10"/>
  <c r="EL39" i="10" s="1"/>
  <c r="K85" i="10"/>
  <c r="K39" i="10" s="1"/>
  <c r="AA85" i="10"/>
  <c r="AA39" i="10" s="1"/>
  <c r="AQ85" i="10"/>
  <c r="AQ39" i="10" s="1"/>
  <c r="BG85" i="10"/>
  <c r="BG39" i="10" s="1"/>
  <c r="BW85" i="10"/>
  <c r="BW39" i="10" s="1"/>
  <c r="CM85" i="10"/>
  <c r="CM39" i="10" s="1"/>
  <c r="DC85" i="10"/>
  <c r="DC39" i="10" s="1"/>
  <c r="DS85" i="10"/>
  <c r="DS39" i="10" s="1"/>
  <c r="EI85" i="10"/>
  <c r="EI39" i="10" s="1"/>
  <c r="R85" i="10"/>
  <c r="R39" i="10" s="1"/>
  <c r="AH85" i="10"/>
  <c r="AH39" i="10" s="1"/>
  <c r="AX85" i="10"/>
  <c r="AX39" i="10" s="1"/>
  <c r="BN85" i="10"/>
  <c r="BN39" i="10" s="1"/>
  <c r="CD85" i="10"/>
  <c r="CD39" i="10" s="1"/>
  <c r="CT85" i="10"/>
  <c r="CT39" i="10" s="1"/>
  <c r="DJ85" i="10"/>
  <c r="DJ39" i="10" s="1"/>
  <c r="DZ85" i="10"/>
  <c r="DZ39" i="10" s="1"/>
  <c r="EP85" i="10"/>
  <c r="EP39" i="10" s="1"/>
  <c r="O85" i="10"/>
  <c r="O39" i="10" s="1"/>
  <c r="AE85" i="10"/>
  <c r="AE39" i="10" s="1"/>
  <c r="AU85" i="10"/>
  <c r="AU39" i="10" s="1"/>
  <c r="BK85" i="10"/>
  <c r="BK39" i="10" s="1"/>
  <c r="CA85" i="10"/>
  <c r="CA39" i="10" s="1"/>
  <c r="CQ85" i="10"/>
  <c r="CQ39" i="10" s="1"/>
  <c r="DG85" i="10"/>
  <c r="DG39" i="10" s="1"/>
  <c r="DW85" i="10"/>
  <c r="DW39" i="10" s="1"/>
  <c r="EM85" i="10"/>
  <c r="EM39" i="10" s="1"/>
  <c r="V85" i="10"/>
  <c r="V39" i="10" s="1"/>
  <c r="AL85" i="10"/>
  <c r="AL39" i="10" s="1"/>
  <c r="BB85" i="10"/>
  <c r="BB39" i="10" s="1"/>
  <c r="BR85" i="10"/>
  <c r="BR39" i="10" s="1"/>
  <c r="CH85" i="10"/>
  <c r="CH39" i="10" s="1"/>
  <c r="CX85" i="10"/>
  <c r="CX39" i="10" s="1"/>
  <c r="DN85" i="10"/>
  <c r="DN39" i="10" s="1"/>
  <c r="ED85" i="10"/>
  <c r="ED39" i="10" s="1"/>
  <c r="ET85" i="10"/>
  <c r="ET39" i="10" s="1"/>
  <c r="S85" i="10"/>
  <c r="S39" i="10" s="1"/>
  <c r="AI85" i="10"/>
  <c r="AI39" i="10" s="1"/>
  <c r="AY85" i="10"/>
  <c r="AY39" i="10" s="1"/>
  <c r="BO85" i="10"/>
  <c r="BO39" i="10" s="1"/>
  <c r="CE85" i="10"/>
  <c r="CE39" i="10" s="1"/>
  <c r="CU85" i="10"/>
  <c r="CU39" i="10" s="1"/>
  <c r="DK85" i="10"/>
  <c r="DK39" i="10" s="1"/>
  <c r="EA85" i="10"/>
  <c r="EA39" i="10" s="1"/>
  <c r="EQ85" i="10"/>
  <c r="EQ39" i="10" s="1"/>
  <c r="J85" i="10"/>
  <c r="J39" i="10" s="1"/>
  <c r="Z85" i="10"/>
  <c r="Z39" i="10" s="1"/>
  <c r="AP85" i="10"/>
  <c r="AP39" i="10" s="1"/>
  <c r="BF85" i="10"/>
  <c r="BF39" i="10" s="1"/>
  <c r="BV85" i="10"/>
  <c r="BV39" i="10" s="1"/>
  <c r="CL85" i="10"/>
  <c r="CL39" i="10" s="1"/>
  <c r="DB85" i="10"/>
  <c r="DB39" i="10" s="1"/>
  <c r="DR85" i="10"/>
  <c r="DR39" i="10" s="1"/>
  <c r="EH85" i="10"/>
  <c r="EH39" i="10" s="1"/>
  <c r="W85" i="10"/>
  <c r="W39" i="10" s="1"/>
  <c r="AM85" i="10"/>
  <c r="AM39" i="10" s="1"/>
  <c r="BC85" i="10"/>
  <c r="BC39" i="10" s="1"/>
  <c r="BS85" i="10"/>
  <c r="BS39" i="10" s="1"/>
  <c r="CI85" i="10"/>
  <c r="CI39" i="10" s="1"/>
  <c r="CY85" i="10"/>
  <c r="CY39" i="10" s="1"/>
  <c r="DO85" i="10"/>
  <c r="DO39" i="10" s="1"/>
  <c r="EE85" i="10"/>
  <c r="EE39" i="10" s="1"/>
  <c r="AF85" i="10"/>
  <c r="AF39" i="10" s="1"/>
  <c r="BL85" i="10"/>
  <c r="BL39" i="10" s="1"/>
  <c r="CR85" i="10"/>
  <c r="CR39" i="10" s="1"/>
  <c r="DX85" i="10"/>
  <c r="DX39" i="10" s="1"/>
  <c r="Y85" i="10"/>
  <c r="Y39" i="10" s="1"/>
  <c r="BE85" i="10"/>
  <c r="BE39" i="10" s="1"/>
  <c r="CK85" i="10"/>
  <c r="CK39" i="10" s="1"/>
  <c r="DQ85" i="10"/>
  <c r="DQ39" i="10" s="1"/>
  <c r="L85" i="10"/>
  <c r="L39" i="10" s="1"/>
  <c r="AR85" i="10"/>
  <c r="AR39" i="10" s="1"/>
  <c r="BX85" i="10"/>
  <c r="BX39" i="10" s="1"/>
  <c r="DD85" i="10"/>
  <c r="DD39" i="10" s="1"/>
  <c r="EJ85" i="10"/>
  <c r="EJ39" i="10" s="1"/>
  <c r="BI85" i="10"/>
  <c r="BI39" i="10" s="1"/>
  <c r="AN85" i="10"/>
  <c r="AN39" i="10" s="1"/>
  <c r="BT85" i="10"/>
  <c r="BT39" i="10" s="1"/>
  <c r="CZ85" i="10"/>
  <c r="CZ39" i="10" s="1"/>
  <c r="EF85" i="10"/>
  <c r="EF39" i="10" s="1"/>
  <c r="AG85" i="10"/>
  <c r="AG39" i="10" s="1"/>
  <c r="BM85" i="10"/>
  <c r="BM39" i="10" s="1"/>
  <c r="CS85" i="10"/>
  <c r="CS39" i="10" s="1"/>
  <c r="DY85" i="10"/>
  <c r="DY39" i="10" s="1"/>
  <c r="T85" i="10"/>
  <c r="T39" i="10" s="1"/>
  <c r="AZ85" i="10"/>
  <c r="AZ39" i="10" s="1"/>
  <c r="CF85" i="10"/>
  <c r="CF39" i="10" s="1"/>
  <c r="DL85" i="10"/>
  <c r="DL39" i="10" s="1"/>
  <c r="ER85" i="10"/>
  <c r="ER39" i="10" s="1"/>
  <c r="CO85" i="10"/>
  <c r="CO39" i="10" s="1"/>
  <c r="P85" i="10"/>
  <c r="P39" i="10" s="1"/>
  <c r="AV85" i="10"/>
  <c r="AV39" i="10" s="1"/>
  <c r="CB85" i="10"/>
  <c r="CB39" i="10" s="1"/>
  <c r="DH85" i="10"/>
  <c r="DH39" i="10" s="1"/>
  <c r="EN85" i="10"/>
  <c r="EN39" i="10" s="1"/>
  <c r="I85" i="10"/>
  <c r="I39" i="10" s="1"/>
  <c r="AO85" i="10"/>
  <c r="AO39" i="10" s="1"/>
  <c r="BU85" i="10"/>
  <c r="BU39" i="10" s="1"/>
  <c r="DA85" i="10"/>
  <c r="DA39" i="10" s="1"/>
  <c r="EG85" i="10"/>
  <c r="EG39" i="10" s="1"/>
  <c r="AB85" i="10"/>
  <c r="AB39" i="10" s="1"/>
  <c r="BH85" i="10"/>
  <c r="BH39" i="10" s="1"/>
  <c r="CN85" i="10"/>
  <c r="CN39" i="10" s="1"/>
  <c r="DT85" i="10"/>
  <c r="DT39" i="10" s="1"/>
  <c r="DU85" i="10"/>
  <c r="DU39" i="10" s="1"/>
  <c r="X85" i="10"/>
  <c r="X39" i="10" s="1"/>
  <c r="BD85" i="10"/>
  <c r="BD39" i="10" s="1"/>
  <c r="CJ85" i="10"/>
  <c r="CJ39" i="10" s="1"/>
  <c r="DP85" i="10"/>
  <c r="DP39" i="10" s="1"/>
  <c r="Q85" i="10"/>
  <c r="Q39" i="10" s="1"/>
  <c r="AW85" i="10"/>
  <c r="AW39" i="10" s="1"/>
  <c r="CC85" i="10"/>
  <c r="CC39" i="10" s="1"/>
  <c r="DI85" i="10"/>
  <c r="DI39" i="10" s="1"/>
  <c r="EO85" i="10"/>
  <c r="EO39" i="10" s="1"/>
  <c r="AJ85" i="10"/>
  <c r="AJ39" i="10" s="1"/>
  <c r="BP85" i="10"/>
  <c r="BP39" i="10" s="1"/>
  <c r="CV85" i="10"/>
  <c r="CV39" i="10" s="1"/>
  <c r="EB85" i="10"/>
  <c r="EB39" i="10" s="1"/>
  <c r="AC85" i="10"/>
  <c r="AC39" i="10" s="1"/>
  <c r="BQ85" i="10"/>
  <c r="BQ39" i="10" s="1"/>
  <c r="DE85" i="10"/>
  <c r="DE39" i="10" s="1"/>
  <c r="CW85" i="10"/>
  <c r="CW39" i="10" s="1"/>
  <c r="M85" i="10"/>
  <c r="M39" i="10" s="1"/>
  <c r="EK85" i="10"/>
  <c r="EK39" i="10" s="1"/>
  <c r="EC85" i="10"/>
  <c r="EC39" i="10" s="1"/>
  <c r="AS85" i="10"/>
  <c r="AS39" i="10" s="1"/>
  <c r="DM85" i="10"/>
  <c r="DM39" i="10" s="1"/>
  <c r="AK85" i="10"/>
  <c r="AK39" i="10" s="1"/>
  <c r="BY85" i="10"/>
  <c r="BY39" i="10" s="1"/>
  <c r="U85" i="10"/>
  <c r="U39" i="10" s="1"/>
  <c r="ES85" i="10"/>
  <c r="ES39" i="10" s="1"/>
  <c r="BA85" i="10"/>
  <c r="BA39" i="10" s="1"/>
  <c r="CG85" i="10"/>
  <c r="CG39" i="10" s="1"/>
  <c r="H85" i="10"/>
  <c r="H39" i="10" s="1"/>
  <c r="G85" i="10"/>
  <c r="G39" i="10" s="1"/>
  <c r="J85" i="15"/>
  <c r="J39" i="15" s="1"/>
  <c r="Z85" i="15"/>
  <c r="Z39" i="15" s="1"/>
  <c r="AP85" i="15"/>
  <c r="AP39" i="15" s="1"/>
  <c r="BF85" i="15"/>
  <c r="BF39" i="15" s="1"/>
  <c r="BV85" i="15"/>
  <c r="BV39" i="15" s="1"/>
  <c r="CL85" i="15"/>
  <c r="CL39" i="15" s="1"/>
  <c r="DB85" i="15"/>
  <c r="DB39" i="15" s="1"/>
  <c r="DR85" i="15"/>
  <c r="DR39" i="15" s="1"/>
  <c r="EH85" i="15"/>
  <c r="EH39" i="15" s="1"/>
  <c r="K85" i="15"/>
  <c r="K39" i="15" s="1"/>
  <c r="AA85" i="15"/>
  <c r="AA39" i="15" s="1"/>
  <c r="AQ85" i="15"/>
  <c r="AQ39" i="15" s="1"/>
  <c r="BG85" i="15"/>
  <c r="BG39" i="15" s="1"/>
  <c r="BW85" i="15"/>
  <c r="BW39" i="15" s="1"/>
  <c r="CM85" i="15"/>
  <c r="CM39" i="15" s="1"/>
  <c r="DC85" i="15"/>
  <c r="DC39" i="15" s="1"/>
  <c r="DS85" i="15"/>
  <c r="DS39" i="15" s="1"/>
  <c r="EI85" i="15"/>
  <c r="EI39" i="15" s="1"/>
  <c r="AK85" i="15"/>
  <c r="AK39" i="15" s="1"/>
  <c r="BQ85" i="15"/>
  <c r="BQ39" i="15" s="1"/>
  <c r="CW85" i="15"/>
  <c r="CW39" i="15" s="1"/>
  <c r="EC85" i="15"/>
  <c r="EC39" i="15" s="1"/>
  <c r="N85" i="15"/>
  <c r="N39" i="15" s="1"/>
  <c r="AD85" i="15"/>
  <c r="AD39" i="15" s="1"/>
  <c r="AT85" i="15"/>
  <c r="AT39" i="15" s="1"/>
  <c r="BJ85" i="15"/>
  <c r="BJ39" i="15" s="1"/>
  <c r="BZ85" i="15"/>
  <c r="BZ39" i="15" s="1"/>
  <c r="CP85" i="15"/>
  <c r="CP39" i="15" s="1"/>
  <c r="DF85" i="15"/>
  <c r="DF39" i="15" s="1"/>
  <c r="DV85" i="15"/>
  <c r="DV39" i="15" s="1"/>
  <c r="EL85" i="15"/>
  <c r="EL39" i="15" s="1"/>
  <c r="O85" i="15"/>
  <c r="O39" i="15" s="1"/>
  <c r="AE85" i="15"/>
  <c r="AE39" i="15" s="1"/>
  <c r="AU85" i="15"/>
  <c r="AU39" i="15" s="1"/>
  <c r="BK85" i="15"/>
  <c r="BK39" i="15" s="1"/>
  <c r="CA85" i="15"/>
  <c r="CA39" i="15" s="1"/>
  <c r="CQ85" i="15"/>
  <c r="CQ39" i="15" s="1"/>
  <c r="DG85" i="15"/>
  <c r="DG39" i="15" s="1"/>
  <c r="DW85" i="15"/>
  <c r="DW39" i="15" s="1"/>
  <c r="EM85" i="15"/>
  <c r="EM39" i="15" s="1"/>
  <c r="M85" i="15"/>
  <c r="M39" i="15" s="1"/>
  <c r="AS85" i="15"/>
  <c r="AS39" i="15" s="1"/>
  <c r="BY85" i="15"/>
  <c r="BY39" i="15" s="1"/>
  <c r="DE85" i="15"/>
  <c r="DE39" i="15" s="1"/>
  <c r="EK85" i="15"/>
  <c r="EK39" i="15" s="1"/>
  <c r="R85" i="15"/>
  <c r="R39" i="15" s="1"/>
  <c r="AH85" i="15"/>
  <c r="AH39" i="15" s="1"/>
  <c r="AX85" i="15"/>
  <c r="AX39" i="15" s="1"/>
  <c r="BN85" i="15"/>
  <c r="BN39" i="15" s="1"/>
  <c r="CD85" i="15"/>
  <c r="CD39" i="15" s="1"/>
  <c r="CT85" i="15"/>
  <c r="CT39" i="15" s="1"/>
  <c r="DJ85" i="15"/>
  <c r="DJ39" i="15" s="1"/>
  <c r="DZ85" i="15"/>
  <c r="DZ39" i="15" s="1"/>
  <c r="EP85" i="15"/>
  <c r="EP39" i="15" s="1"/>
  <c r="S85" i="15"/>
  <c r="S39" i="15" s="1"/>
  <c r="AI85" i="15"/>
  <c r="AI39" i="15" s="1"/>
  <c r="AY85" i="15"/>
  <c r="AY39" i="15" s="1"/>
  <c r="BO85" i="15"/>
  <c r="BO39" i="15" s="1"/>
  <c r="CE85" i="15"/>
  <c r="CE39" i="15" s="1"/>
  <c r="CU85" i="15"/>
  <c r="CU39" i="15" s="1"/>
  <c r="DK85" i="15"/>
  <c r="DK39" i="15" s="1"/>
  <c r="EA85" i="15"/>
  <c r="EA39" i="15" s="1"/>
  <c r="EQ85" i="15"/>
  <c r="EQ39" i="15" s="1"/>
  <c r="U85" i="15"/>
  <c r="U39" i="15" s="1"/>
  <c r="BA85" i="15"/>
  <c r="BA39" i="15" s="1"/>
  <c r="CG85" i="15"/>
  <c r="CG39" i="15" s="1"/>
  <c r="DM85" i="15"/>
  <c r="DM39" i="15" s="1"/>
  <c r="ES85" i="15"/>
  <c r="ES39" i="15" s="1"/>
  <c r="V85" i="15"/>
  <c r="V39" i="15" s="1"/>
  <c r="AL85" i="15"/>
  <c r="AL39" i="15" s="1"/>
  <c r="BB85" i="15"/>
  <c r="BB39" i="15" s="1"/>
  <c r="BR85" i="15"/>
  <c r="BR39" i="15" s="1"/>
  <c r="CH85" i="15"/>
  <c r="CH39" i="15" s="1"/>
  <c r="CX85" i="15"/>
  <c r="CX39" i="15" s="1"/>
  <c r="DN85" i="15"/>
  <c r="DN39" i="15" s="1"/>
  <c r="ED85" i="15"/>
  <c r="ED39" i="15" s="1"/>
  <c r="ET85" i="15"/>
  <c r="ET39" i="15" s="1"/>
  <c r="W85" i="15"/>
  <c r="W39" i="15" s="1"/>
  <c r="AM85" i="15"/>
  <c r="AM39" i="15" s="1"/>
  <c r="BC85" i="15"/>
  <c r="BC39" i="15" s="1"/>
  <c r="BS85" i="15"/>
  <c r="BS39" i="15" s="1"/>
  <c r="CI85" i="15"/>
  <c r="CI39" i="15" s="1"/>
  <c r="CY85" i="15"/>
  <c r="CY39" i="15" s="1"/>
  <c r="DO85" i="15"/>
  <c r="DO39" i="15" s="1"/>
  <c r="EE85" i="15"/>
  <c r="EE39" i="15" s="1"/>
  <c r="AC85" i="15"/>
  <c r="AC39" i="15" s="1"/>
  <c r="BI85" i="15"/>
  <c r="BI39" i="15" s="1"/>
  <c r="CO85" i="15"/>
  <c r="CO39" i="15" s="1"/>
  <c r="DU85" i="15"/>
  <c r="DU39" i="15" s="1"/>
  <c r="P85" i="15"/>
  <c r="P39" i="15" s="1"/>
  <c r="AV85" i="15"/>
  <c r="AV39" i="15" s="1"/>
  <c r="CB85" i="15"/>
  <c r="CB39" i="15" s="1"/>
  <c r="DH85" i="15"/>
  <c r="DH39" i="15" s="1"/>
  <c r="EN85" i="15"/>
  <c r="EN39" i="15" s="1"/>
  <c r="AG85" i="15"/>
  <c r="AG39" i="15" s="1"/>
  <c r="BM85" i="15"/>
  <c r="BM39" i="15" s="1"/>
  <c r="CS85" i="15"/>
  <c r="CS39" i="15" s="1"/>
  <c r="DY85" i="15"/>
  <c r="DY39" i="15" s="1"/>
  <c r="L85" i="15"/>
  <c r="L39" i="15" s="1"/>
  <c r="AR85" i="15"/>
  <c r="AR39" i="15" s="1"/>
  <c r="BX85" i="15"/>
  <c r="BX39" i="15" s="1"/>
  <c r="DD85" i="15"/>
  <c r="DD39" i="15" s="1"/>
  <c r="EJ85" i="15"/>
  <c r="EJ39" i="15" s="1"/>
  <c r="X85" i="15"/>
  <c r="X39" i="15" s="1"/>
  <c r="BD85" i="15"/>
  <c r="BD39" i="15" s="1"/>
  <c r="CJ85" i="15"/>
  <c r="CJ39" i="15" s="1"/>
  <c r="DP85" i="15"/>
  <c r="DP39" i="15" s="1"/>
  <c r="I85" i="15"/>
  <c r="I39" i="15" s="1"/>
  <c r="AO85" i="15"/>
  <c r="AO39" i="15" s="1"/>
  <c r="BU85" i="15"/>
  <c r="BU39" i="15" s="1"/>
  <c r="DA85" i="15"/>
  <c r="DA39" i="15" s="1"/>
  <c r="EG85" i="15"/>
  <c r="EG39" i="15" s="1"/>
  <c r="T85" i="15"/>
  <c r="T39" i="15" s="1"/>
  <c r="AZ85" i="15"/>
  <c r="AZ39" i="15" s="1"/>
  <c r="CF85" i="15"/>
  <c r="CF39" i="15" s="1"/>
  <c r="DL85" i="15"/>
  <c r="DL39" i="15" s="1"/>
  <c r="ER85" i="15"/>
  <c r="ER39" i="15" s="1"/>
  <c r="AF85" i="15"/>
  <c r="AF39" i="15" s="1"/>
  <c r="BL85" i="15"/>
  <c r="BL39" i="15" s="1"/>
  <c r="CR85" i="15"/>
  <c r="CR39" i="15" s="1"/>
  <c r="DX85" i="15"/>
  <c r="DX39" i="15" s="1"/>
  <c r="Q85" i="15"/>
  <c r="Q39" i="15" s="1"/>
  <c r="AW85" i="15"/>
  <c r="AW39" i="15" s="1"/>
  <c r="CC85" i="15"/>
  <c r="CC39" i="15" s="1"/>
  <c r="DI85" i="15"/>
  <c r="DI39" i="15" s="1"/>
  <c r="EO85" i="15"/>
  <c r="EO39" i="15" s="1"/>
  <c r="AB85" i="15"/>
  <c r="AB39" i="15" s="1"/>
  <c r="BH85" i="15"/>
  <c r="BH39" i="15" s="1"/>
  <c r="CN85" i="15"/>
  <c r="CN39" i="15" s="1"/>
  <c r="DT85" i="15"/>
  <c r="DT39" i="15" s="1"/>
  <c r="H85" i="15"/>
  <c r="H39" i="15" s="1"/>
  <c r="AN85" i="15"/>
  <c r="AN39" i="15" s="1"/>
  <c r="BT85" i="15"/>
  <c r="BT39" i="15" s="1"/>
  <c r="CZ85" i="15"/>
  <c r="CZ39" i="15" s="1"/>
  <c r="EF85" i="15"/>
  <c r="EF39" i="15" s="1"/>
  <c r="Y85" i="15"/>
  <c r="Y39" i="15" s="1"/>
  <c r="BE85" i="15"/>
  <c r="BE39" i="15" s="1"/>
  <c r="CK85" i="15"/>
  <c r="CK39" i="15" s="1"/>
  <c r="DQ85" i="15"/>
  <c r="DQ39" i="15" s="1"/>
  <c r="AJ85" i="15"/>
  <c r="AJ39" i="15" s="1"/>
  <c r="BP85" i="15"/>
  <c r="BP39" i="15" s="1"/>
  <c r="CV85" i="15"/>
  <c r="CV39" i="15" s="1"/>
  <c r="EB85" i="15"/>
  <c r="EB39" i="15" s="1"/>
  <c r="G85" i="15"/>
  <c r="G39" i="15" s="1"/>
  <c r="F40" i="15"/>
  <c r="F40" i="10"/>
  <c r="AR52" i="5"/>
  <c r="C87" i="5" s="1"/>
  <c r="D91" i="2"/>
  <c r="D87" i="5" l="1"/>
  <c r="S87" i="5"/>
  <c r="O87" i="5"/>
  <c r="K87" i="5"/>
  <c r="G87" i="5"/>
  <c r="R87" i="5"/>
  <c r="M87" i="5"/>
  <c r="H87" i="5"/>
  <c r="Q87" i="5"/>
  <c r="L87" i="5"/>
  <c r="F87" i="5"/>
  <c r="T87" i="5"/>
  <c r="I87" i="5"/>
  <c r="P87" i="5"/>
  <c r="E87" i="5"/>
  <c r="J87" i="5"/>
  <c r="N87" i="5"/>
  <c r="H91" i="2"/>
  <c r="I91" i="2"/>
  <c r="M91" i="2"/>
  <c r="Q91" i="2"/>
  <c r="U91" i="2"/>
  <c r="J91" i="2"/>
  <c r="N91" i="2"/>
  <c r="R91" i="2"/>
  <c r="K91" i="2"/>
  <c r="O91" i="2"/>
  <c r="S91" i="2"/>
  <c r="T91" i="2"/>
  <c r="L91" i="2"/>
  <c r="P91" i="2"/>
  <c r="D1750" i="12"/>
  <c r="E1749" i="12"/>
  <c r="F1749" i="12"/>
  <c r="EQ47" i="5"/>
  <c r="BF52" i="5"/>
  <c r="BC52" i="5"/>
  <c r="AR48" i="2"/>
  <c r="BB47" i="2"/>
  <c r="P86" i="10"/>
  <c r="P40" i="10" s="1"/>
  <c r="AF86" i="10"/>
  <c r="AF40" i="10" s="1"/>
  <c r="AV86" i="10"/>
  <c r="AV40" i="10" s="1"/>
  <c r="BL86" i="10"/>
  <c r="BL40" i="10" s="1"/>
  <c r="CB86" i="10"/>
  <c r="CB40" i="10" s="1"/>
  <c r="CR86" i="10"/>
  <c r="CR40" i="10" s="1"/>
  <c r="DH86" i="10"/>
  <c r="DH40" i="10" s="1"/>
  <c r="DX86" i="10"/>
  <c r="DX40" i="10" s="1"/>
  <c r="EN86" i="10"/>
  <c r="EN40" i="10" s="1"/>
  <c r="M86" i="10"/>
  <c r="M40" i="10" s="1"/>
  <c r="AC86" i="10"/>
  <c r="AC40" i="10" s="1"/>
  <c r="AS86" i="10"/>
  <c r="AS40" i="10" s="1"/>
  <c r="BI86" i="10"/>
  <c r="BI40" i="10" s="1"/>
  <c r="BY86" i="10"/>
  <c r="BY40" i="10" s="1"/>
  <c r="CO86" i="10"/>
  <c r="CO40" i="10" s="1"/>
  <c r="DE86" i="10"/>
  <c r="DE40" i="10" s="1"/>
  <c r="DU86" i="10"/>
  <c r="DU40" i="10" s="1"/>
  <c r="EK86" i="10"/>
  <c r="EK40" i="10" s="1"/>
  <c r="T86" i="10"/>
  <c r="T40" i="10" s="1"/>
  <c r="AJ86" i="10"/>
  <c r="AJ40" i="10" s="1"/>
  <c r="AZ86" i="10"/>
  <c r="AZ40" i="10" s="1"/>
  <c r="BP86" i="10"/>
  <c r="BP40" i="10" s="1"/>
  <c r="CF86" i="10"/>
  <c r="CF40" i="10" s="1"/>
  <c r="CV86" i="10"/>
  <c r="CV40" i="10" s="1"/>
  <c r="DL86" i="10"/>
  <c r="DL40" i="10" s="1"/>
  <c r="EB86" i="10"/>
  <c r="EB40" i="10" s="1"/>
  <c r="ER86" i="10"/>
  <c r="ER40" i="10" s="1"/>
  <c r="Q86" i="10"/>
  <c r="Q40" i="10" s="1"/>
  <c r="AG86" i="10"/>
  <c r="AG40" i="10" s="1"/>
  <c r="AW86" i="10"/>
  <c r="AW40" i="10" s="1"/>
  <c r="BM86" i="10"/>
  <c r="BM40" i="10" s="1"/>
  <c r="CC86" i="10"/>
  <c r="CC40" i="10" s="1"/>
  <c r="CS86" i="10"/>
  <c r="CS40" i="10" s="1"/>
  <c r="DI86" i="10"/>
  <c r="DI40" i="10" s="1"/>
  <c r="DY86" i="10"/>
  <c r="DY40" i="10" s="1"/>
  <c r="X86" i="10"/>
  <c r="X40" i="10" s="1"/>
  <c r="AN86" i="10"/>
  <c r="AN40" i="10" s="1"/>
  <c r="BD86" i="10"/>
  <c r="BD40" i="10" s="1"/>
  <c r="BT86" i="10"/>
  <c r="BT40" i="10" s="1"/>
  <c r="CJ86" i="10"/>
  <c r="CJ40" i="10" s="1"/>
  <c r="CZ86" i="10"/>
  <c r="CZ40" i="10" s="1"/>
  <c r="DP86" i="10"/>
  <c r="DP40" i="10" s="1"/>
  <c r="EF86" i="10"/>
  <c r="EF40" i="10" s="1"/>
  <c r="U86" i="10"/>
  <c r="U40" i="10" s="1"/>
  <c r="AK86" i="10"/>
  <c r="AK40" i="10" s="1"/>
  <c r="BA86" i="10"/>
  <c r="BA40" i="10" s="1"/>
  <c r="BQ86" i="10"/>
  <c r="BQ40" i="10" s="1"/>
  <c r="CG86" i="10"/>
  <c r="CG40" i="10" s="1"/>
  <c r="CW86" i="10"/>
  <c r="CW40" i="10" s="1"/>
  <c r="DM86" i="10"/>
  <c r="DM40" i="10" s="1"/>
  <c r="EC86" i="10"/>
  <c r="EC40" i="10" s="1"/>
  <c r="ES86" i="10"/>
  <c r="ES40" i="10" s="1"/>
  <c r="L86" i="10"/>
  <c r="L40" i="10" s="1"/>
  <c r="AB86" i="10"/>
  <c r="AB40" i="10" s="1"/>
  <c r="AR86" i="10"/>
  <c r="AR40" i="10" s="1"/>
  <c r="BH86" i="10"/>
  <c r="BH40" i="10" s="1"/>
  <c r="BX86" i="10"/>
  <c r="BX40" i="10" s="1"/>
  <c r="CN86" i="10"/>
  <c r="CN40" i="10" s="1"/>
  <c r="DD86" i="10"/>
  <c r="DD40" i="10" s="1"/>
  <c r="DT86" i="10"/>
  <c r="DT40" i="10" s="1"/>
  <c r="EJ86" i="10"/>
  <c r="EJ40" i="10" s="1"/>
  <c r="I86" i="10"/>
  <c r="I40" i="10" s="1"/>
  <c r="Y86" i="10"/>
  <c r="Y40" i="10" s="1"/>
  <c r="AO86" i="10"/>
  <c r="AO40" i="10" s="1"/>
  <c r="BE86" i="10"/>
  <c r="BE40" i="10" s="1"/>
  <c r="BU86" i="10"/>
  <c r="BU40" i="10" s="1"/>
  <c r="CK86" i="10"/>
  <c r="CK40" i="10" s="1"/>
  <c r="DA86" i="10"/>
  <c r="DA40" i="10" s="1"/>
  <c r="DQ86" i="10"/>
  <c r="DQ40" i="10" s="1"/>
  <c r="EG86" i="10"/>
  <c r="EG40" i="10" s="1"/>
  <c r="EO86" i="10"/>
  <c r="EO40" i="10" s="1"/>
  <c r="R86" i="10"/>
  <c r="R40" i="10" s="1"/>
  <c r="AX86" i="10"/>
  <c r="AX40" i="10" s="1"/>
  <c r="CD86" i="10"/>
  <c r="CD40" i="10" s="1"/>
  <c r="DJ86" i="10"/>
  <c r="DJ40" i="10" s="1"/>
  <c r="EP86" i="10"/>
  <c r="EP40" i="10" s="1"/>
  <c r="K86" i="10"/>
  <c r="K40" i="10" s="1"/>
  <c r="AQ86" i="10"/>
  <c r="AQ40" i="10" s="1"/>
  <c r="BW86" i="10"/>
  <c r="BW40" i="10" s="1"/>
  <c r="DC86" i="10"/>
  <c r="DC40" i="10" s="1"/>
  <c r="EI86" i="10"/>
  <c r="EI40" i="10" s="1"/>
  <c r="AD86" i="10"/>
  <c r="AD40" i="10" s="1"/>
  <c r="BJ86" i="10"/>
  <c r="BJ40" i="10" s="1"/>
  <c r="CP86" i="10"/>
  <c r="CP40" i="10" s="1"/>
  <c r="DV86" i="10"/>
  <c r="DV40" i="10" s="1"/>
  <c r="AU86" i="10"/>
  <c r="AU40" i="10" s="1"/>
  <c r="Z86" i="10"/>
  <c r="Z40" i="10" s="1"/>
  <c r="BF86" i="10"/>
  <c r="BF40" i="10" s="1"/>
  <c r="CL86" i="10"/>
  <c r="CL40" i="10" s="1"/>
  <c r="DR86" i="10"/>
  <c r="DR40" i="10" s="1"/>
  <c r="S86" i="10"/>
  <c r="S40" i="10" s="1"/>
  <c r="AY86" i="10"/>
  <c r="AY40" i="10" s="1"/>
  <c r="CE86" i="10"/>
  <c r="CE40" i="10" s="1"/>
  <c r="DK86" i="10"/>
  <c r="DK40" i="10" s="1"/>
  <c r="EQ86" i="10"/>
  <c r="EQ40" i="10" s="1"/>
  <c r="AL86" i="10"/>
  <c r="AL40" i="10" s="1"/>
  <c r="BR86" i="10"/>
  <c r="BR40" i="10" s="1"/>
  <c r="CX86" i="10"/>
  <c r="CX40" i="10" s="1"/>
  <c r="ED86" i="10"/>
  <c r="ED40" i="10" s="1"/>
  <c r="CA86" i="10"/>
  <c r="CA40" i="10" s="1"/>
  <c r="AH86" i="10"/>
  <c r="AH40" i="10" s="1"/>
  <c r="BN86" i="10"/>
  <c r="BN40" i="10" s="1"/>
  <c r="CT86" i="10"/>
  <c r="CT40" i="10" s="1"/>
  <c r="DZ86" i="10"/>
  <c r="DZ40" i="10" s="1"/>
  <c r="AA86" i="10"/>
  <c r="AA40" i="10" s="1"/>
  <c r="BG86" i="10"/>
  <c r="BG40" i="10" s="1"/>
  <c r="CM86" i="10"/>
  <c r="CM40" i="10" s="1"/>
  <c r="DS86" i="10"/>
  <c r="DS40" i="10" s="1"/>
  <c r="N86" i="10"/>
  <c r="N40" i="10" s="1"/>
  <c r="AT86" i="10"/>
  <c r="AT40" i="10" s="1"/>
  <c r="BZ86" i="10"/>
  <c r="BZ40" i="10" s="1"/>
  <c r="DF86" i="10"/>
  <c r="DF40" i="10" s="1"/>
  <c r="EL86" i="10"/>
  <c r="EL40" i="10" s="1"/>
  <c r="DG86" i="10"/>
  <c r="DG40" i="10" s="1"/>
  <c r="J86" i="10"/>
  <c r="J40" i="10" s="1"/>
  <c r="AP86" i="10"/>
  <c r="AP40" i="10" s="1"/>
  <c r="BV86" i="10"/>
  <c r="BV40" i="10" s="1"/>
  <c r="DB86" i="10"/>
  <c r="DB40" i="10" s="1"/>
  <c r="EH86" i="10"/>
  <c r="EH40" i="10" s="1"/>
  <c r="AI86" i="10"/>
  <c r="AI40" i="10" s="1"/>
  <c r="BO86" i="10"/>
  <c r="BO40" i="10" s="1"/>
  <c r="CU86" i="10"/>
  <c r="CU40" i="10" s="1"/>
  <c r="EA86" i="10"/>
  <c r="EA40" i="10" s="1"/>
  <c r="V86" i="10"/>
  <c r="V40" i="10" s="1"/>
  <c r="BB86" i="10"/>
  <c r="BB40" i="10" s="1"/>
  <c r="CH86" i="10"/>
  <c r="CH40" i="10" s="1"/>
  <c r="DN86" i="10"/>
  <c r="DN40" i="10" s="1"/>
  <c r="ET86" i="10"/>
  <c r="ET40" i="10" s="1"/>
  <c r="O86" i="10"/>
  <c r="O40" i="10" s="1"/>
  <c r="EM86" i="10"/>
  <c r="EM40" i="10" s="1"/>
  <c r="BC86" i="10"/>
  <c r="BC40" i="10" s="1"/>
  <c r="CQ86" i="10"/>
  <c r="CQ40" i="10" s="1"/>
  <c r="CI86" i="10"/>
  <c r="CI40" i="10" s="1"/>
  <c r="DW86" i="10"/>
  <c r="DW40" i="10" s="1"/>
  <c r="DO86" i="10"/>
  <c r="DO40" i="10" s="1"/>
  <c r="AE86" i="10"/>
  <c r="AE40" i="10" s="1"/>
  <c r="W86" i="10"/>
  <c r="W40" i="10" s="1"/>
  <c r="BK86" i="10"/>
  <c r="BK40" i="10" s="1"/>
  <c r="CY86" i="10"/>
  <c r="CY40" i="10" s="1"/>
  <c r="AM86" i="10"/>
  <c r="AM40" i="10" s="1"/>
  <c r="BS86" i="10"/>
  <c r="BS40" i="10" s="1"/>
  <c r="EE86" i="10"/>
  <c r="EE40" i="10" s="1"/>
  <c r="H86" i="10"/>
  <c r="H40" i="10" s="1"/>
  <c r="G86" i="10"/>
  <c r="G40" i="10" s="1"/>
  <c r="K86" i="15"/>
  <c r="K40" i="15" s="1"/>
  <c r="AA86" i="15"/>
  <c r="AA40" i="15" s="1"/>
  <c r="AQ86" i="15"/>
  <c r="AQ40" i="15" s="1"/>
  <c r="BG86" i="15"/>
  <c r="BG40" i="15" s="1"/>
  <c r="BW86" i="15"/>
  <c r="BW40" i="15" s="1"/>
  <c r="CM86" i="15"/>
  <c r="CM40" i="15" s="1"/>
  <c r="DC86" i="15"/>
  <c r="DC40" i="15" s="1"/>
  <c r="DS86" i="15"/>
  <c r="DS40" i="15" s="1"/>
  <c r="EI86" i="15"/>
  <c r="EI40" i="15" s="1"/>
  <c r="L86" i="15"/>
  <c r="L40" i="15" s="1"/>
  <c r="AB86" i="15"/>
  <c r="AB40" i="15" s="1"/>
  <c r="AR86" i="15"/>
  <c r="AR40" i="15" s="1"/>
  <c r="BH86" i="15"/>
  <c r="BH40" i="15" s="1"/>
  <c r="BX86" i="15"/>
  <c r="BX40" i="15" s="1"/>
  <c r="CN86" i="15"/>
  <c r="CN40" i="15" s="1"/>
  <c r="DD86" i="15"/>
  <c r="DD40" i="15" s="1"/>
  <c r="DT86" i="15"/>
  <c r="DT40" i="15" s="1"/>
  <c r="EJ86" i="15"/>
  <c r="EJ40" i="15" s="1"/>
  <c r="V86" i="15"/>
  <c r="V40" i="15" s="1"/>
  <c r="BB86" i="15"/>
  <c r="BB40" i="15" s="1"/>
  <c r="CH86" i="15"/>
  <c r="CH40" i="15" s="1"/>
  <c r="DN86" i="15"/>
  <c r="DN40" i="15" s="1"/>
  <c r="ET86" i="15"/>
  <c r="ET40" i="15" s="1"/>
  <c r="O86" i="15"/>
  <c r="O40" i="15" s="1"/>
  <c r="AE86" i="15"/>
  <c r="AE40" i="15" s="1"/>
  <c r="AU86" i="15"/>
  <c r="AU40" i="15" s="1"/>
  <c r="BK86" i="15"/>
  <c r="BK40" i="15" s="1"/>
  <c r="CA86" i="15"/>
  <c r="CA40" i="15" s="1"/>
  <c r="CQ86" i="15"/>
  <c r="CQ40" i="15" s="1"/>
  <c r="DG86" i="15"/>
  <c r="DG40" i="15" s="1"/>
  <c r="DW86" i="15"/>
  <c r="DW40" i="15" s="1"/>
  <c r="EM86" i="15"/>
  <c r="EM40" i="15" s="1"/>
  <c r="P86" i="15"/>
  <c r="P40" i="15" s="1"/>
  <c r="AF86" i="15"/>
  <c r="AF40" i="15" s="1"/>
  <c r="AV86" i="15"/>
  <c r="AV40" i="15" s="1"/>
  <c r="BL86" i="15"/>
  <c r="BL40" i="15" s="1"/>
  <c r="CB86" i="15"/>
  <c r="CB40" i="15" s="1"/>
  <c r="CR86" i="15"/>
  <c r="CR40" i="15" s="1"/>
  <c r="DH86" i="15"/>
  <c r="DH40" i="15" s="1"/>
  <c r="DX86" i="15"/>
  <c r="DX40" i="15" s="1"/>
  <c r="EN86" i="15"/>
  <c r="EN40" i="15" s="1"/>
  <c r="AD86" i="15"/>
  <c r="AD40" i="15" s="1"/>
  <c r="BJ86" i="15"/>
  <c r="BJ40" i="15" s="1"/>
  <c r="CP86" i="15"/>
  <c r="CP40" i="15" s="1"/>
  <c r="DV86" i="15"/>
  <c r="DV40" i="15" s="1"/>
  <c r="S86" i="15"/>
  <c r="S40" i="15" s="1"/>
  <c r="AI86" i="15"/>
  <c r="AI40" i="15" s="1"/>
  <c r="AY86" i="15"/>
  <c r="AY40" i="15" s="1"/>
  <c r="BO86" i="15"/>
  <c r="BO40" i="15" s="1"/>
  <c r="CE86" i="15"/>
  <c r="CE40" i="15" s="1"/>
  <c r="CU86" i="15"/>
  <c r="CU40" i="15" s="1"/>
  <c r="DK86" i="15"/>
  <c r="DK40" i="15" s="1"/>
  <c r="EA86" i="15"/>
  <c r="EA40" i="15" s="1"/>
  <c r="EQ86" i="15"/>
  <c r="EQ40" i="15" s="1"/>
  <c r="T86" i="15"/>
  <c r="T40" i="15" s="1"/>
  <c r="AJ86" i="15"/>
  <c r="AJ40" i="15" s="1"/>
  <c r="AZ86" i="15"/>
  <c r="AZ40" i="15" s="1"/>
  <c r="BP86" i="15"/>
  <c r="BP40" i="15" s="1"/>
  <c r="CF86" i="15"/>
  <c r="CF40" i="15" s="1"/>
  <c r="CV86" i="15"/>
  <c r="CV40" i="15" s="1"/>
  <c r="DL86" i="15"/>
  <c r="DL40" i="15" s="1"/>
  <c r="EB86" i="15"/>
  <c r="EB40" i="15" s="1"/>
  <c r="ER86" i="15"/>
  <c r="ER40" i="15" s="1"/>
  <c r="AL86" i="15"/>
  <c r="AL40" i="15" s="1"/>
  <c r="BR86" i="15"/>
  <c r="BR40" i="15" s="1"/>
  <c r="CX86" i="15"/>
  <c r="CX40" i="15" s="1"/>
  <c r="ED86" i="15"/>
  <c r="ED40" i="15" s="1"/>
  <c r="W86" i="15"/>
  <c r="W40" i="15" s="1"/>
  <c r="AM86" i="15"/>
  <c r="AM40" i="15" s="1"/>
  <c r="BC86" i="15"/>
  <c r="BC40" i="15" s="1"/>
  <c r="BS86" i="15"/>
  <c r="BS40" i="15" s="1"/>
  <c r="CI86" i="15"/>
  <c r="CI40" i="15" s="1"/>
  <c r="CY86" i="15"/>
  <c r="CY40" i="15" s="1"/>
  <c r="DO86" i="15"/>
  <c r="DO40" i="15" s="1"/>
  <c r="EE86" i="15"/>
  <c r="EE40" i="15" s="1"/>
  <c r="H86" i="15"/>
  <c r="H40" i="15" s="1"/>
  <c r="X86" i="15"/>
  <c r="X40" i="15" s="1"/>
  <c r="AN86" i="15"/>
  <c r="AN40" i="15" s="1"/>
  <c r="BD86" i="15"/>
  <c r="BD40" i="15" s="1"/>
  <c r="BT86" i="15"/>
  <c r="BT40" i="15" s="1"/>
  <c r="CJ86" i="15"/>
  <c r="CJ40" i="15" s="1"/>
  <c r="CZ86" i="15"/>
  <c r="CZ40" i="15" s="1"/>
  <c r="DP86" i="15"/>
  <c r="DP40" i="15" s="1"/>
  <c r="EF86" i="15"/>
  <c r="EF40" i="15" s="1"/>
  <c r="N86" i="15"/>
  <c r="N40" i="15" s="1"/>
  <c r="AT86" i="15"/>
  <c r="AT40" i="15" s="1"/>
  <c r="BZ86" i="15"/>
  <c r="BZ40" i="15" s="1"/>
  <c r="DF86" i="15"/>
  <c r="DF40" i="15" s="1"/>
  <c r="EL86" i="15"/>
  <c r="EL40" i="15" s="1"/>
  <c r="AG86" i="15"/>
  <c r="AG40" i="15" s="1"/>
  <c r="BM86" i="15"/>
  <c r="BM40" i="15" s="1"/>
  <c r="CS86" i="15"/>
  <c r="CS40" i="15" s="1"/>
  <c r="DY86" i="15"/>
  <c r="DY40" i="15" s="1"/>
  <c r="R86" i="15"/>
  <c r="R40" i="15" s="1"/>
  <c r="AX86" i="15"/>
  <c r="AX40" i="15" s="1"/>
  <c r="CD86" i="15"/>
  <c r="CD40" i="15" s="1"/>
  <c r="DJ86" i="15"/>
  <c r="DJ40" i="15" s="1"/>
  <c r="EP86" i="15"/>
  <c r="EP40" i="15" s="1"/>
  <c r="AC86" i="15"/>
  <c r="AC40" i="15" s="1"/>
  <c r="BI86" i="15"/>
  <c r="BI40" i="15" s="1"/>
  <c r="CO86" i="15"/>
  <c r="CO40" i="15" s="1"/>
  <c r="DU86" i="15"/>
  <c r="DU40" i="15" s="1"/>
  <c r="I86" i="15"/>
  <c r="I40" i="15" s="1"/>
  <c r="AO86" i="15"/>
  <c r="AO40" i="15" s="1"/>
  <c r="BU86" i="15"/>
  <c r="BU40" i="15" s="1"/>
  <c r="DA86" i="15"/>
  <c r="DA40" i="15" s="1"/>
  <c r="EG86" i="15"/>
  <c r="EG40" i="15" s="1"/>
  <c r="Z86" i="15"/>
  <c r="Z40" i="15" s="1"/>
  <c r="BF86" i="15"/>
  <c r="BF40" i="15" s="1"/>
  <c r="CL86" i="15"/>
  <c r="CL40" i="15" s="1"/>
  <c r="DR86" i="15"/>
  <c r="DR40" i="15" s="1"/>
  <c r="AK86" i="15"/>
  <c r="AK40" i="15" s="1"/>
  <c r="BQ86" i="15"/>
  <c r="BQ40" i="15" s="1"/>
  <c r="CW86" i="15"/>
  <c r="CW40" i="15" s="1"/>
  <c r="EC86" i="15"/>
  <c r="EC40" i="15" s="1"/>
  <c r="Q86" i="15"/>
  <c r="Q40" i="15" s="1"/>
  <c r="AW86" i="15"/>
  <c r="AW40" i="15" s="1"/>
  <c r="CC86" i="15"/>
  <c r="CC40" i="15" s="1"/>
  <c r="DI86" i="15"/>
  <c r="DI40" i="15" s="1"/>
  <c r="EO86" i="15"/>
  <c r="EO40" i="15" s="1"/>
  <c r="AH86" i="15"/>
  <c r="AH40" i="15" s="1"/>
  <c r="BN86" i="15"/>
  <c r="BN40" i="15" s="1"/>
  <c r="CT86" i="15"/>
  <c r="CT40" i="15" s="1"/>
  <c r="DZ86" i="15"/>
  <c r="DZ40" i="15" s="1"/>
  <c r="M86" i="15"/>
  <c r="M40" i="15" s="1"/>
  <c r="AS86" i="15"/>
  <c r="AS40" i="15" s="1"/>
  <c r="BY86" i="15"/>
  <c r="BY40" i="15" s="1"/>
  <c r="DE86" i="15"/>
  <c r="DE40" i="15" s="1"/>
  <c r="EK86" i="15"/>
  <c r="EK40" i="15" s="1"/>
  <c r="Y86" i="15"/>
  <c r="Y40" i="15" s="1"/>
  <c r="BE86" i="15"/>
  <c r="BE40" i="15" s="1"/>
  <c r="CK86" i="15"/>
  <c r="CK40" i="15" s="1"/>
  <c r="DQ86" i="15"/>
  <c r="DQ40" i="15" s="1"/>
  <c r="J86" i="15"/>
  <c r="J40" i="15" s="1"/>
  <c r="AP86" i="15"/>
  <c r="AP40" i="15" s="1"/>
  <c r="BV86" i="15"/>
  <c r="BV40" i="15" s="1"/>
  <c r="DB86" i="15"/>
  <c r="DB40" i="15" s="1"/>
  <c r="EH86" i="15"/>
  <c r="EH40" i="15" s="1"/>
  <c r="U86" i="15"/>
  <c r="U40" i="15" s="1"/>
  <c r="BA86" i="15"/>
  <c r="BA40" i="15" s="1"/>
  <c r="CG86" i="15"/>
  <c r="CG40" i="15" s="1"/>
  <c r="DM86" i="15"/>
  <c r="DM40" i="15" s="1"/>
  <c r="ES86" i="15"/>
  <c r="ES40" i="15" s="1"/>
  <c r="G86" i="15"/>
  <c r="G40" i="15" s="1"/>
  <c r="F41" i="15"/>
  <c r="F41" i="10"/>
  <c r="D92" i="2"/>
  <c r="AR53" i="5"/>
  <c r="C88" i="5" s="1"/>
  <c r="D88" i="5" l="1"/>
  <c r="S88" i="5"/>
  <c r="O88" i="5"/>
  <c r="K88" i="5"/>
  <c r="G88" i="5"/>
  <c r="R88" i="5"/>
  <c r="M88" i="5"/>
  <c r="H88" i="5"/>
  <c r="Q88" i="5"/>
  <c r="L88" i="5"/>
  <c r="F88" i="5"/>
  <c r="N88" i="5"/>
  <c r="E88" i="5"/>
  <c r="J88" i="5"/>
  <c r="P88" i="5"/>
  <c r="T88" i="5"/>
  <c r="I88" i="5"/>
  <c r="H92" i="2"/>
  <c r="L92" i="2"/>
  <c r="P92" i="2"/>
  <c r="T92" i="2"/>
  <c r="I92" i="2"/>
  <c r="M92" i="2"/>
  <c r="Q92" i="2"/>
  <c r="U92" i="2"/>
  <c r="J92" i="2"/>
  <c r="N92" i="2"/>
  <c r="R92" i="2"/>
  <c r="K92" i="2"/>
  <c r="O92" i="2"/>
  <c r="S92" i="2"/>
  <c r="D1751" i="12"/>
  <c r="F1750" i="12"/>
  <c r="E1750" i="12"/>
  <c r="EQ48" i="5"/>
  <c r="BF53" i="5"/>
  <c r="BC53" i="5"/>
  <c r="AR49" i="2"/>
  <c r="BB48" i="2"/>
  <c r="R87" i="10"/>
  <c r="R41" i="10" s="1"/>
  <c r="AH87" i="10"/>
  <c r="AH41" i="10" s="1"/>
  <c r="AX87" i="10"/>
  <c r="AX41" i="10" s="1"/>
  <c r="BN87" i="10"/>
  <c r="BN41" i="10" s="1"/>
  <c r="CD87" i="10"/>
  <c r="CD41" i="10" s="1"/>
  <c r="CT87" i="10"/>
  <c r="CT41" i="10" s="1"/>
  <c r="DJ87" i="10"/>
  <c r="DJ41" i="10" s="1"/>
  <c r="DZ87" i="10"/>
  <c r="DZ41" i="10" s="1"/>
  <c r="O87" i="10"/>
  <c r="O41" i="10" s="1"/>
  <c r="AE87" i="10"/>
  <c r="AE41" i="10" s="1"/>
  <c r="AU87" i="10"/>
  <c r="AU41" i="10" s="1"/>
  <c r="BK87" i="10"/>
  <c r="BK41" i="10" s="1"/>
  <c r="CA87" i="10"/>
  <c r="CA41" i="10" s="1"/>
  <c r="CQ87" i="10"/>
  <c r="CQ41" i="10" s="1"/>
  <c r="DG87" i="10"/>
  <c r="DG41" i="10" s="1"/>
  <c r="DW87" i="10"/>
  <c r="DW41" i="10" s="1"/>
  <c r="V87" i="10"/>
  <c r="V41" i="10" s="1"/>
  <c r="AL87" i="10"/>
  <c r="AL41" i="10" s="1"/>
  <c r="BB87" i="10"/>
  <c r="BB41" i="10" s="1"/>
  <c r="BR87" i="10"/>
  <c r="BR41" i="10" s="1"/>
  <c r="CH87" i="10"/>
  <c r="CH41" i="10" s="1"/>
  <c r="CX87" i="10"/>
  <c r="CX41" i="10" s="1"/>
  <c r="DN87" i="10"/>
  <c r="DN41" i="10" s="1"/>
  <c r="ED87" i="10"/>
  <c r="ED41" i="10" s="1"/>
  <c r="J87" i="10"/>
  <c r="J41" i="10" s="1"/>
  <c r="Z87" i="10"/>
  <c r="Z41" i="10" s="1"/>
  <c r="AP87" i="10"/>
  <c r="AP41" i="10" s="1"/>
  <c r="BF87" i="10"/>
  <c r="BF41" i="10" s="1"/>
  <c r="BV87" i="10"/>
  <c r="BV41" i="10" s="1"/>
  <c r="CL87" i="10"/>
  <c r="CL41" i="10" s="1"/>
  <c r="DB87" i="10"/>
  <c r="DB41" i="10" s="1"/>
  <c r="DR87" i="10"/>
  <c r="DR41" i="10" s="1"/>
  <c r="EH87" i="10"/>
  <c r="EH41" i="10" s="1"/>
  <c r="W87" i="10"/>
  <c r="AM87" i="10"/>
  <c r="AM41" i="10" s="1"/>
  <c r="BC87" i="10"/>
  <c r="BC41" i="10" s="1"/>
  <c r="BS87" i="10"/>
  <c r="BS41" i="10" s="1"/>
  <c r="CI87" i="10"/>
  <c r="CI41" i="10" s="1"/>
  <c r="CY87" i="10"/>
  <c r="CY41" i="10" s="1"/>
  <c r="DO87" i="10"/>
  <c r="DO41" i="10" s="1"/>
  <c r="EE87" i="10"/>
  <c r="EE41" i="10" s="1"/>
  <c r="N87" i="10"/>
  <c r="N41" i="10" s="1"/>
  <c r="AD87" i="10"/>
  <c r="AD41" i="10" s="1"/>
  <c r="AT87" i="10"/>
  <c r="AT41" i="10" s="1"/>
  <c r="BJ87" i="10"/>
  <c r="BJ41" i="10" s="1"/>
  <c r="BZ87" i="10"/>
  <c r="BZ41" i="10" s="1"/>
  <c r="CP87" i="10"/>
  <c r="CP41" i="10" s="1"/>
  <c r="DF87" i="10"/>
  <c r="DF41" i="10" s="1"/>
  <c r="DV87" i="10"/>
  <c r="DV41" i="10" s="1"/>
  <c r="K87" i="10"/>
  <c r="K41" i="10" s="1"/>
  <c r="AA87" i="10"/>
  <c r="AA41" i="10" s="1"/>
  <c r="AQ87" i="10"/>
  <c r="AQ41" i="10" s="1"/>
  <c r="BG87" i="10"/>
  <c r="BG41" i="10" s="1"/>
  <c r="BW87" i="10"/>
  <c r="BW41" i="10" s="1"/>
  <c r="CM87" i="10"/>
  <c r="CM41" i="10" s="1"/>
  <c r="DC87" i="10"/>
  <c r="DC41" i="10" s="1"/>
  <c r="DS87" i="10"/>
  <c r="DS41" i="10" s="1"/>
  <c r="EI87" i="10"/>
  <c r="EI41" i="10" s="1"/>
  <c r="BO87" i="10"/>
  <c r="BO41" i="10" s="1"/>
  <c r="EA87" i="10"/>
  <c r="EA41" i="10" s="1"/>
  <c r="AJ87" i="10"/>
  <c r="AJ41" i="10" s="1"/>
  <c r="BP87" i="10"/>
  <c r="BP41" i="10" s="1"/>
  <c r="CV87" i="10"/>
  <c r="CV41" i="10" s="1"/>
  <c r="EB87" i="10"/>
  <c r="EB41" i="10" s="1"/>
  <c r="AC87" i="10"/>
  <c r="AC41" i="10" s="1"/>
  <c r="BI87" i="10"/>
  <c r="BI41" i="10" s="1"/>
  <c r="CO87" i="10"/>
  <c r="CO41" i="10" s="1"/>
  <c r="DU87" i="10"/>
  <c r="DU41" i="10" s="1"/>
  <c r="ES87" i="10"/>
  <c r="ES41" i="10" s="1"/>
  <c r="P87" i="10"/>
  <c r="P41" i="10" s="1"/>
  <c r="AV87" i="10"/>
  <c r="AV41" i="10" s="1"/>
  <c r="CB87" i="10"/>
  <c r="CB41" i="10" s="1"/>
  <c r="DH87" i="10"/>
  <c r="DH41" i="10" s="1"/>
  <c r="EL87" i="10"/>
  <c r="EL41" i="10" s="1"/>
  <c r="AG87" i="10"/>
  <c r="AG41" i="10" s="1"/>
  <c r="S87" i="10"/>
  <c r="S41" i="10" s="1"/>
  <c r="CE87" i="10"/>
  <c r="CE41" i="10" s="1"/>
  <c r="L87" i="10"/>
  <c r="L41" i="10" s="1"/>
  <c r="AR87" i="10"/>
  <c r="AR41" i="10" s="1"/>
  <c r="BX87" i="10"/>
  <c r="BX41" i="10" s="1"/>
  <c r="DD87" i="10"/>
  <c r="DD41" i="10" s="1"/>
  <c r="EJ87" i="10"/>
  <c r="EJ41" i="10" s="1"/>
  <c r="AK87" i="10"/>
  <c r="AK41" i="10" s="1"/>
  <c r="BQ87" i="10"/>
  <c r="BQ41" i="10" s="1"/>
  <c r="CW87" i="10"/>
  <c r="CW41" i="10" s="1"/>
  <c r="EC87" i="10"/>
  <c r="EC41" i="10" s="1"/>
  <c r="X87" i="10"/>
  <c r="X41" i="10" s="1"/>
  <c r="BD87" i="10"/>
  <c r="BD41" i="10" s="1"/>
  <c r="CJ87" i="10"/>
  <c r="CJ41" i="10" s="1"/>
  <c r="DP87" i="10"/>
  <c r="DP41" i="10" s="1"/>
  <c r="EP87" i="10"/>
  <c r="EP41" i="10" s="1"/>
  <c r="BM87" i="10"/>
  <c r="BM41" i="10" s="1"/>
  <c r="AI87" i="10"/>
  <c r="AI41" i="10" s="1"/>
  <c r="CU87" i="10"/>
  <c r="CU41" i="10" s="1"/>
  <c r="T87" i="10"/>
  <c r="T41" i="10" s="1"/>
  <c r="AZ87" i="10"/>
  <c r="AZ41" i="10" s="1"/>
  <c r="CF87" i="10"/>
  <c r="CF41" i="10" s="1"/>
  <c r="DL87" i="10"/>
  <c r="DL41" i="10" s="1"/>
  <c r="EN87" i="10"/>
  <c r="EN41" i="10" s="1"/>
  <c r="M87" i="10"/>
  <c r="M41" i="10" s="1"/>
  <c r="AS87" i="10"/>
  <c r="AS41" i="10" s="1"/>
  <c r="BY87" i="10"/>
  <c r="BY41" i="10" s="1"/>
  <c r="DE87" i="10"/>
  <c r="DE41" i="10" s="1"/>
  <c r="EK87" i="10"/>
  <c r="EK41" i="10" s="1"/>
  <c r="AF87" i="10"/>
  <c r="AF41" i="10" s="1"/>
  <c r="BL87" i="10"/>
  <c r="BL41" i="10" s="1"/>
  <c r="CR87" i="10"/>
  <c r="CR41" i="10" s="1"/>
  <c r="DX87" i="10"/>
  <c r="DX41" i="10" s="1"/>
  <c r="ET87" i="10"/>
  <c r="ET41" i="10" s="1"/>
  <c r="CS87" i="10"/>
  <c r="CS41" i="10" s="1"/>
  <c r="AY87" i="10"/>
  <c r="AY41" i="10" s="1"/>
  <c r="DK87" i="10"/>
  <c r="DK41" i="10" s="1"/>
  <c r="AB87" i="10"/>
  <c r="AB41" i="10" s="1"/>
  <c r="BH87" i="10"/>
  <c r="BH41" i="10" s="1"/>
  <c r="CN87" i="10"/>
  <c r="CN41" i="10" s="1"/>
  <c r="DT87" i="10"/>
  <c r="DT41" i="10" s="1"/>
  <c r="ER87" i="10"/>
  <c r="ER41" i="10" s="1"/>
  <c r="U87" i="10"/>
  <c r="U41" i="10" s="1"/>
  <c r="BA87" i="10"/>
  <c r="BA41" i="10" s="1"/>
  <c r="CG87" i="10"/>
  <c r="CG41" i="10" s="1"/>
  <c r="DM87" i="10"/>
  <c r="DM41" i="10" s="1"/>
  <c r="EO87" i="10"/>
  <c r="EO41" i="10" s="1"/>
  <c r="AN87" i="10"/>
  <c r="AN41" i="10" s="1"/>
  <c r="BT87" i="10"/>
  <c r="BT41" i="10" s="1"/>
  <c r="CZ87" i="10"/>
  <c r="CZ41" i="10" s="1"/>
  <c r="EF87" i="10"/>
  <c r="EF41" i="10" s="1"/>
  <c r="DY87" i="10"/>
  <c r="DY41" i="10" s="1"/>
  <c r="AO87" i="10"/>
  <c r="AO41" i="10" s="1"/>
  <c r="CC87" i="10"/>
  <c r="CC41" i="10" s="1"/>
  <c r="CK87" i="10"/>
  <c r="CK41" i="10" s="1"/>
  <c r="BU87" i="10"/>
  <c r="BU41" i="10" s="1"/>
  <c r="DI87" i="10"/>
  <c r="DI41" i="10" s="1"/>
  <c r="DA87" i="10"/>
  <c r="DA41" i="10" s="1"/>
  <c r="Q87" i="10"/>
  <c r="Q41" i="10" s="1"/>
  <c r="EM87" i="10"/>
  <c r="EM41" i="10" s="1"/>
  <c r="I87" i="10"/>
  <c r="I41" i="10" s="1"/>
  <c r="EG87" i="10"/>
  <c r="EG41" i="10" s="1"/>
  <c r="AW87" i="10"/>
  <c r="AW41" i="10" s="1"/>
  <c r="DQ87" i="10"/>
  <c r="DQ41" i="10" s="1"/>
  <c r="Y87" i="10"/>
  <c r="Y41" i="10" s="1"/>
  <c r="EQ87" i="10"/>
  <c r="EQ41" i="10" s="1"/>
  <c r="BE87" i="10"/>
  <c r="BE41" i="10" s="1"/>
  <c r="G87" i="10"/>
  <c r="G41" i="10" s="1"/>
  <c r="H87" i="10"/>
  <c r="H41" i="10" s="1"/>
  <c r="L87" i="15"/>
  <c r="L41" i="15" s="1"/>
  <c r="AB87" i="15"/>
  <c r="AB41" i="15" s="1"/>
  <c r="AR87" i="15"/>
  <c r="AR41" i="15" s="1"/>
  <c r="BH87" i="15"/>
  <c r="BH41" i="15" s="1"/>
  <c r="BX87" i="15"/>
  <c r="BX41" i="15" s="1"/>
  <c r="CN87" i="15"/>
  <c r="CN41" i="15" s="1"/>
  <c r="DD87" i="15"/>
  <c r="DD41" i="15" s="1"/>
  <c r="DT87" i="15"/>
  <c r="DT41" i="15" s="1"/>
  <c r="EJ87" i="15"/>
  <c r="EJ41" i="15" s="1"/>
  <c r="M87" i="15"/>
  <c r="M41" i="15" s="1"/>
  <c r="AC87" i="15"/>
  <c r="AC41" i="15" s="1"/>
  <c r="AS87" i="15"/>
  <c r="AS41" i="15" s="1"/>
  <c r="BI87" i="15"/>
  <c r="BI41" i="15" s="1"/>
  <c r="BY87" i="15"/>
  <c r="BY41" i="15" s="1"/>
  <c r="CO87" i="15"/>
  <c r="CO41" i="15" s="1"/>
  <c r="DE87" i="15"/>
  <c r="DE41" i="15" s="1"/>
  <c r="DU87" i="15"/>
  <c r="DU41" i="15" s="1"/>
  <c r="EK87" i="15"/>
  <c r="EK41" i="15" s="1"/>
  <c r="AM87" i="15"/>
  <c r="AM41" i="15" s="1"/>
  <c r="BS87" i="15"/>
  <c r="BS41" i="15" s="1"/>
  <c r="CY87" i="15"/>
  <c r="CY41" i="15" s="1"/>
  <c r="EE87" i="15"/>
  <c r="EE41" i="15" s="1"/>
  <c r="P87" i="15"/>
  <c r="P41" i="15" s="1"/>
  <c r="AF87" i="15"/>
  <c r="AF41" i="15" s="1"/>
  <c r="AV87" i="15"/>
  <c r="AV41" i="15" s="1"/>
  <c r="BL87" i="15"/>
  <c r="BL41" i="15" s="1"/>
  <c r="CB87" i="15"/>
  <c r="CB41" i="15" s="1"/>
  <c r="CR87" i="15"/>
  <c r="CR41" i="15" s="1"/>
  <c r="DH87" i="15"/>
  <c r="DH41" i="15" s="1"/>
  <c r="DX87" i="15"/>
  <c r="DX41" i="15" s="1"/>
  <c r="EN87" i="15"/>
  <c r="EN41" i="15" s="1"/>
  <c r="Q87" i="15"/>
  <c r="Q41" i="15" s="1"/>
  <c r="AG87" i="15"/>
  <c r="AG41" i="15" s="1"/>
  <c r="AW87" i="15"/>
  <c r="AW41" i="15" s="1"/>
  <c r="BM87" i="15"/>
  <c r="BM41" i="15" s="1"/>
  <c r="CC87" i="15"/>
  <c r="CC41" i="15" s="1"/>
  <c r="CS87" i="15"/>
  <c r="CS41" i="15" s="1"/>
  <c r="DI87" i="15"/>
  <c r="DI41" i="15" s="1"/>
  <c r="DY87" i="15"/>
  <c r="DY41" i="15" s="1"/>
  <c r="EO87" i="15"/>
  <c r="EO41" i="15" s="1"/>
  <c r="O87" i="15"/>
  <c r="O41" i="15" s="1"/>
  <c r="AU87" i="15"/>
  <c r="AU41" i="15" s="1"/>
  <c r="CA87" i="15"/>
  <c r="CA41" i="15" s="1"/>
  <c r="DG87" i="15"/>
  <c r="DG41" i="15" s="1"/>
  <c r="EM87" i="15"/>
  <c r="EM41" i="15" s="1"/>
  <c r="T87" i="15"/>
  <c r="T41" i="15" s="1"/>
  <c r="AJ87" i="15"/>
  <c r="AJ41" i="15" s="1"/>
  <c r="AZ87" i="15"/>
  <c r="AZ41" i="15" s="1"/>
  <c r="BP87" i="15"/>
  <c r="BP41" i="15" s="1"/>
  <c r="CF87" i="15"/>
  <c r="CF41" i="15" s="1"/>
  <c r="CV87" i="15"/>
  <c r="CV41" i="15" s="1"/>
  <c r="DL87" i="15"/>
  <c r="DL41" i="15" s="1"/>
  <c r="EB87" i="15"/>
  <c r="EB41" i="15" s="1"/>
  <c r="ER87" i="15"/>
  <c r="ER41" i="15" s="1"/>
  <c r="U87" i="15"/>
  <c r="U41" i="15" s="1"/>
  <c r="AK87" i="15"/>
  <c r="AK41" i="15" s="1"/>
  <c r="BA87" i="15"/>
  <c r="BA41" i="15" s="1"/>
  <c r="BQ87" i="15"/>
  <c r="BQ41" i="15" s="1"/>
  <c r="CG87" i="15"/>
  <c r="CG41" i="15" s="1"/>
  <c r="CW87" i="15"/>
  <c r="CW41" i="15" s="1"/>
  <c r="DM87" i="15"/>
  <c r="DM41" i="15" s="1"/>
  <c r="EC87" i="15"/>
  <c r="EC41" i="15" s="1"/>
  <c r="ES87" i="15"/>
  <c r="ES41" i="15" s="1"/>
  <c r="W87" i="15"/>
  <c r="W41" i="15" s="1"/>
  <c r="BC87" i="15"/>
  <c r="BC41" i="15" s="1"/>
  <c r="CI87" i="15"/>
  <c r="CI41" i="15" s="1"/>
  <c r="DO87" i="15"/>
  <c r="DO41" i="15" s="1"/>
  <c r="H87" i="15"/>
  <c r="H41" i="15" s="1"/>
  <c r="X87" i="15"/>
  <c r="X41" i="15" s="1"/>
  <c r="AN87" i="15"/>
  <c r="AN41" i="15" s="1"/>
  <c r="BD87" i="15"/>
  <c r="BD41" i="15" s="1"/>
  <c r="BT87" i="15"/>
  <c r="BT41" i="15" s="1"/>
  <c r="CJ87" i="15"/>
  <c r="CJ41" i="15" s="1"/>
  <c r="CZ87" i="15"/>
  <c r="CZ41" i="15" s="1"/>
  <c r="DP87" i="15"/>
  <c r="DP41" i="15" s="1"/>
  <c r="EF87" i="15"/>
  <c r="EF41" i="15" s="1"/>
  <c r="I87" i="15"/>
  <c r="I41" i="15" s="1"/>
  <c r="Y87" i="15"/>
  <c r="Y41" i="15" s="1"/>
  <c r="AO87" i="15"/>
  <c r="AO41" i="15" s="1"/>
  <c r="BE87" i="15"/>
  <c r="BE41" i="15" s="1"/>
  <c r="BU87" i="15"/>
  <c r="BU41" i="15" s="1"/>
  <c r="CK87" i="15"/>
  <c r="CK41" i="15" s="1"/>
  <c r="DA87" i="15"/>
  <c r="DA41" i="15" s="1"/>
  <c r="DQ87" i="15"/>
  <c r="DQ41" i="15" s="1"/>
  <c r="EG87" i="15"/>
  <c r="EG41" i="15" s="1"/>
  <c r="AE87" i="15"/>
  <c r="AE41" i="15" s="1"/>
  <c r="BK87" i="15"/>
  <c r="BK41" i="15" s="1"/>
  <c r="CQ87" i="15"/>
  <c r="CQ41" i="15" s="1"/>
  <c r="DW87" i="15"/>
  <c r="DW41" i="15" s="1"/>
  <c r="R87" i="15"/>
  <c r="R41" i="15" s="1"/>
  <c r="AX87" i="15"/>
  <c r="AX41" i="15" s="1"/>
  <c r="CD87" i="15"/>
  <c r="CD41" i="15" s="1"/>
  <c r="DJ87" i="15"/>
  <c r="DJ41" i="15" s="1"/>
  <c r="EP87" i="15"/>
  <c r="EP41" i="15" s="1"/>
  <c r="AI87" i="15"/>
  <c r="AI41" i="15" s="1"/>
  <c r="BO87" i="15"/>
  <c r="BO41" i="15" s="1"/>
  <c r="CU87" i="15"/>
  <c r="CU41" i="15" s="1"/>
  <c r="EA87" i="15"/>
  <c r="EA41" i="15" s="1"/>
  <c r="N87" i="15"/>
  <c r="N41" i="15" s="1"/>
  <c r="AT87" i="15"/>
  <c r="AT41" i="15" s="1"/>
  <c r="BZ87" i="15"/>
  <c r="BZ41" i="15" s="1"/>
  <c r="DF87" i="15"/>
  <c r="DF41" i="15" s="1"/>
  <c r="EL87" i="15"/>
  <c r="EL41" i="15" s="1"/>
  <c r="Z87" i="15"/>
  <c r="Z41" i="15" s="1"/>
  <c r="BF87" i="15"/>
  <c r="BF41" i="15" s="1"/>
  <c r="CL87" i="15"/>
  <c r="CL41" i="15" s="1"/>
  <c r="DR87" i="15"/>
  <c r="DR41" i="15" s="1"/>
  <c r="K87" i="15"/>
  <c r="K41" i="15" s="1"/>
  <c r="AQ87" i="15"/>
  <c r="AQ41" i="15" s="1"/>
  <c r="BW87" i="15"/>
  <c r="BW41" i="15" s="1"/>
  <c r="DC87" i="15"/>
  <c r="DC41" i="15" s="1"/>
  <c r="EI87" i="15"/>
  <c r="EI41" i="15" s="1"/>
  <c r="V87" i="15"/>
  <c r="V41" i="15" s="1"/>
  <c r="BB87" i="15"/>
  <c r="BB41" i="15" s="1"/>
  <c r="CH87" i="15"/>
  <c r="CH41" i="15" s="1"/>
  <c r="DN87" i="15"/>
  <c r="DN41" i="15" s="1"/>
  <c r="ET87" i="15"/>
  <c r="ET41" i="15" s="1"/>
  <c r="AH87" i="15"/>
  <c r="AH41" i="15" s="1"/>
  <c r="BN87" i="15"/>
  <c r="BN41" i="15" s="1"/>
  <c r="CT87" i="15"/>
  <c r="CT41" i="15" s="1"/>
  <c r="DZ87" i="15"/>
  <c r="DZ41" i="15" s="1"/>
  <c r="S87" i="15"/>
  <c r="S41" i="15" s="1"/>
  <c r="AY87" i="15"/>
  <c r="AY41" i="15" s="1"/>
  <c r="CE87" i="15"/>
  <c r="CE41" i="15" s="1"/>
  <c r="DK87" i="15"/>
  <c r="DK41" i="15" s="1"/>
  <c r="EQ87" i="15"/>
  <c r="EQ41" i="15" s="1"/>
  <c r="AD87" i="15"/>
  <c r="AD41" i="15" s="1"/>
  <c r="BJ87" i="15"/>
  <c r="BJ41" i="15" s="1"/>
  <c r="CP87" i="15"/>
  <c r="CP41" i="15" s="1"/>
  <c r="DV87" i="15"/>
  <c r="DV41" i="15" s="1"/>
  <c r="J87" i="15"/>
  <c r="J41" i="15" s="1"/>
  <c r="AP87" i="15"/>
  <c r="AP41" i="15" s="1"/>
  <c r="BV87" i="15"/>
  <c r="BV41" i="15" s="1"/>
  <c r="DB87" i="15"/>
  <c r="DB41" i="15" s="1"/>
  <c r="EH87" i="15"/>
  <c r="EH41" i="15" s="1"/>
  <c r="AA87" i="15"/>
  <c r="AA41" i="15" s="1"/>
  <c r="BG87" i="15"/>
  <c r="BG41" i="15" s="1"/>
  <c r="CM87" i="15"/>
  <c r="CM41" i="15" s="1"/>
  <c r="DS87" i="15"/>
  <c r="DS41" i="15" s="1"/>
  <c r="AL87" i="15"/>
  <c r="AL41" i="15" s="1"/>
  <c r="BR87" i="15"/>
  <c r="BR41" i="15" s="1"/>
  <c r="CX87" i="15"/>
  <c r="CX41" i="15" s="1"/>
  <c r="ED87" i="15"/>
  <c r="ED41" i="15" s="1"/>
  <c r="G87" i="15"/>
  <c r="G41" i="15" s="1"/>
  <c r="F42" i="15"/>
  <c r="W41" i="10"/>
  <c r="F42" i="10"/>
  <c r="D93" i="2"/>
  <c r="AR54" i="5"/>
  <c r="C89" i="5" s="1"/>
  <c r="D89" i="5" l="1"/>
  <c r="S89" i="5"/>
  <c r="O89" i="5"/>
  <c r="K89" i="5"/>
  <c r="G89" i="5"/>
  <c r="R89" i="5"/>
  <c r="M89" i="5"/>
  <c r="H89" i="5"/>
  <c r="Q89" i="5"/>
  <c r="L89" i="5"/>
  <c r="F89" i="5"/>
  <c r="T89" i="5"/>
  <c r="I89" i="5"/>
  <c r="J89" i="5"/>
  <c r="P89" i="5"/>
  <c r="E89" i="5"/>
  <c r="N89" i="5"/>
  <c r="H93" i="2"/>
  <c r="K93" i="2"/>
  <c r="O93" i="2"/>
  <c r="S93" i="2"/>
  <c r="L93" i="2"/>
  <c r="P93" i="2"/>
  <c r="T93" i="2"/>
  <c r="I93" i="2"/>
  <c r="M93" i="2"/>
  <c r="Q93" i="2"/>
  <c r="U93" i="2"/>
  <c r="J93" i="2"/>
  <c r="N93" i="2"/>
  <c r="R93" i="2"/>
  <c r="D1752" i="12"/>
  <c r="E1751" i="12"/>
  <c r="F1751" i="12"/>
  <c r="EQ49" i="5"/>
  <c r="BF54" i="5"/>
  <c r="BC54" i="5"/>
  <c r="AR50" i="2"/>
  <c r="BB49" i="2"/>
  <c r="J88" i="10"/>
  <c r="J42" i="10" s="1"/>
  <c r="Z88" i="10"/>
  <c r="Z42" i="10" s="1"/>
  <c r="AP88" i="10"/>
  <c r="AP42" i="10" s="1"/>
  <c r="BF88" i="10"/>
  <c r="BF42" i="10" s="1"/>
  <c r="BV88" i="10"/>
  <c r="BV42" i="10" s="1"/>
  <c r="CL88" i="10"/>
  <c r="CL42" i="10" s="1"/>
  <c r="DB88" i="10"/>
  <c r="DB42" i="10" s="1"/>
  <c r="DR88" i="10"/>
  <c r="DR42" i="10" s="1"/>
  <c r="EH88" i="10"/>
  <c r="EH42" i="10" s="1"/>
  <c r="W88" i="10"/>
  <c r="W42" i="10" s="1"/>
  <c r="AM88" i="10"/>
  <c r="AM42" i="10" s="1"/>
  <c r="BC88" i="10"/>
  <c r="BC42" i="10" s="1"/>
  <c r="BS88" i="10"/>
  <c r="BS42" i="10" s="1"/>
  <c r="CI88" i="10"/>
  <c r="CI42" i="10" s="1"/>
  <c r="CY88" i="10"/>
  <c r="CY42" i="10" s="1"/>
  <c r="DO88" i="10"/>
  <c r="DO42" i="10" s="1"/>
  <c r="EE88" i="10"/>
  <c r="EE42" i="10" s="1"/>
  <c r="P88" i="10"/>
  <c r="P42" i="10" s="1"/>
  <c r="AF88" i="10"/>
  <c r="AF42" i="10" s="1"/>
  <c r="AV88" i="10"/>
  <c r="AV42" i="10" s="1"/>
  <c r="BL88" i="10"/>
  <c r="BL42" i="10" s="1"/>
  <c r="CB88" i="10"/>
  <c r="CB42" i="10" s="1"/>
  <c r="CR88" i="10"/>
  <c r="CR42" i="10" s="1"/>
  <c r="DH88" i="10"/>
  <c r="DH42" i="10" s="1"/>
  <c r="DX88" i="10"/>
  <c r="DX42" i="10" s="1"/>
  <c r="EN88" i="10"/>
  <c r="EN42" i="10" s="1"/>
  <c r="I88" i="10"/>
  <c r="I42" i="10" s="1"/>
  <c r="BU88" i="10"/>
  <c r="BU42" i="10" s="1"/>
  <c r="EG88" i="10"/>
  <c r="EG42" i="10" s="1"/>
  <c r="N88" i="10"/>
  <c r="N42" i="10" s="1"/>
  <c r="AD88" i="10"/>
  <c r="AD42" i="10" s="1"/>
  <c r="AT88" i="10"/>
  <c r="AT42" i="10" s="1"/>
  <c r="BJ88" i="10"/>
  <c r="BJ42" i="10" s="1"/>
  <c r="BZ88" i="10"/>
  <c r="BZ42" i="10" s="1"/>
  <c r="CP88" i="10"/>
  <c r="CP42" i="10" s="1"/>
  <c r="DF88" i="10"/>
  <c r="DF42" i="10" s="1"/>
  <c r="DV88" i="10"/>
  <c r="DV42" i="10" s="1"/>
  <c r="EL88" i="10"/>
  <c r="EL42" i="10" s="1"/>
  <c r="K88" i="10"/>
  <c r="K42" i="10" s="1"/>
  <c r="AA88" i="10"/>
  <c r="AA42" i="10" s="1"/>
  <c r="AQ88" i="10"/>
  <c r="AQ42" i="10" s="1"/>
  <c r="BG88" i="10"/>
  <c r="BG42" i="10" s="1"/>
  <c r="BW88" i="10"/>
  <c r="BW42" i="10" s="1"/>
  <c r="CM88" i="10"/>
  <c r="CM42" i="10" s="1"/>
  <c r="DC88" i="10"/>
  <c r="DC42" i="10" s="1"/>
  <c r="DS88" i="10"/>
  <c r="DS42" i="10" s="1"/>
  <c r="EI88" i="10"/>
  <c r="EI42" i="10" s="1"/>
  <c r="T88" i="10"/>
  <c r="T42" i="10" s="1"/>
  <c r="AJ88" i="10"/>
  <c r="AJ42" i="10" s="1"/>
  <c r="AZ88" i="10"/>
  <c r="AZ42" i="10" s="1"/>
  <c r="BP88" i="10"/>
  <c r="BP42" i="10" s="1"/>
  <c r="CF88" i="10"/>
  <c r="CF42" i="10" s="1"/>
  <c r="CV88" i="10"/>
  <c r="CV42" i="10" s="1"/>
  <c r="DL88" i="10"/>
  <c r="DL42" i="10" s="1"/>
  <c r="EB88" i="10"/>
  <c r="EB42" i="10" s="1"/>
  <c r="ER88" i="10"/>
  <c r="ER42" i="10" s="1"/>
  <c r="Y88" i="10"/>
  <c r="Y42" i="10" s="1"/>
  <c r="CK88" i="10"/>
  <c r="CK42" i="10" s="1"/>
  <c r="R88" i="10"/>
  <c r="R42" i="10" s="1"/>
  <c r="AH88" i="10"/>
  <c r="AH42" i="10" s="1"/>
  <c r="AX88" i="10"/>
  <c r="AX42" i="10" s="1"/>
  <c r="BN88" i="10"/>
  <c r="BN42" i="10" s="1"/>
  <c r="CD88" i="10"/>
  <c r="CD42" i="10" s="1"/>
  <c r="CT88" i="10"/>
  <c r="CT42" i="10" s="1"/>
  <c r="DJ88" i="10"/>
  <c r="DJ42" i="10" s="1"/>
  <c r="DZ88" i="10"/>
  <c r="DZ42" i="10" s="1"/>
  <c r="EP88" i="10"/>
  <c r="EP42" i="10" s="1"/>
  <c r="O88" i="10"/>
  <c r="O42" i="10" s="1"/>
  <c r="AE88" i="10"/>
  <c r="AE42" i="10" s="1"/>
  <c r="AU88" i="10"/>
  <c r="AU42" i="10" s="1"/>
  <c r="BK88" i="10"/>
  <c r="BK42" i="10" s="1"/>
  <c r="CA88" i="10"/>
  <c r="CA42" i="10" s="1"/>
  <c r="CQ88" i="10"/>
  <c r="CQ42" i="10" s="1"/>
  <c r="DG88" i="10"/>
  <c r="DG42" i="10" s="1"/>
  <c r="DW88" i="10"/>
  <c r="DW42" i="10" s="1"/>
  <c r="EM88" i="10"/>
  <c r="EM42" i="10" s="1"/>
  <c r="X88" i="10"/>
  <c r="X42" i="10" s="1"/>
  <c r="AN88" i="10"/>
  <c r="AN42" i="10" s="1"/>
  <c r="BD88" i="10"/>
  <c r="BD42" i="10" s="1"/>
  <c r="BT88" i="10"/>
  <c r="BT42" i="10" s="1"/>
  <c r="CJ88" i="10"/>
  <c r="CJ42" i="10" s="1"/>
  <c r="CZ88" i="10"/>
  <c r="CZ42" i="10" s="1"/>
  <c r="DP88" i="10"/>
  <c r="DP42" i="10" s="1"/>
  <c r="EF88" i="10"/>
  <c r="EF42" i="10" s="1"/>
  <c r="AO88" i="10"/>
  <c r="AO42" i="10" s="1"/>
  <c r="DA88" i="10"/>
  <c r="DA42" i="10" s="1"/>
  <c r="V88" i="10"/>
  <c r="V42" i="10" s="1"/>
  <c r="AL88" i="10"/>
  <c r="AL42" i="10" s="1"/>
  <c r="BB88" i="10"/>
  <c r="BB42" i="10" s="1"/>
  <c r="BR88" i="10"/>
  <c r="BR42" i="10" s="1"/>
  <c r="CH88" i="10"/>
  <c r="CH42" i="10" s="1"/>
  <c r="CX88" i="10"/>
  <c r="CX42" i="10" s="1"/>
  <c r="DN88" i="10"/>
  <c r="DN42" i="10" s="1"/>
  <c r="ED88" i="10"/>
  <c r="ED42" i="10" s="1"/>
  <c r="ET88" i="10"/>
  <c r="ET42" i="10" s="1"/>
  <c r="S88" i="10"/>
  <c r="S42" i="10" s="1"/>
  <c r="AI88" i="10"/>
  <c r="AI42" i="10" s="1"/>
  <c r="AY88" i="10"/>
  <c r="AY42" i="10" s="1"/>
  <c r="BO88" i="10"/>
  <c r="BO42" i="10" s="1"/>
  <c r="CE88" i="10"/>
  <c r="CE42" i="10" s="1"/>
  <c r="CU88" i="10"/>
  <c r="CU42" i="10" s="1"/>
  <c r="DK88" i="10"/>
  <c r="DK42" i="10" s="1"/>
  <c r="EA88" i="10"/>
  <c r="EA42" i="10" s="1"/>
  <c r="EQ88" i="10"/>
  <c r="EQ42" i="10" s="1"/>
  <c r="L88" i="10"/>
  <c r="L42" i="10" s="1"/>
  <c r="AB88" i="10"/>
  <c r="AB42" i="10" s="1"/>
  <c r="AR88" i="10"/>
  <c r="AR42" i="10" s="1"/>
  <c r="BH88" i="10"/>
  <c r="BH42" i="10" s="1"/>
  <c r="BX88" i="10"/>
  <c r="BX42" i="10" s="1"/>
  <c r="CN88" i="10"/>
  <c r="CN42" i="10" s="1"/>
  <c r="DD88" i="10"/>
  <c r="DD42" i="10" s="1"/>
  <c r="DT88" i="10"/>
  <c r="DT42" i="10" s="1"/>
  <c r="EJ88" i="10"/>
  <c r="EJ42" i="10" s="1"/>
  <c r="BE88" i="10"/>
  <c r="BE42" i="10" s="1"/>
  <c r="DQ88" i="10"/>
  <c r="DQ42" i="10" s="1"/>
  <c r="M88" i="10"/>
  <c r="M42" i="10" s="1"/>
  <c r="BY88" i="10"/>
  <c r="BY42" i="10" s="1"/>
  <c r="EK88" i="10"/>
  <c r="EK42" i="10" s="1"/>
  <c r="AG88" i="10"/>
  <c r="AG42" i="10" s="1"/>
  <c r="CS88" i="10"/>
  <c r="CS42" i="10" s="1"/>
  <c r="AC88" i="10"/>
  <c r="AC42" i="10" s="1"/>
  <c r="CO88" i="10"/>
  <c r="CO42" i="10" s="1"/>
  <c r="AW88" i="10"/>
  <c r="AW42" i="10" s="1"/>
  <c r="DI88" i="10"/>
  <c r="DI42" i="10" s="1"/>
  <c r="AK88" i="10"/>
  <c r="AK42" i="10" s="1"/>
  <c r="AS88" i="10"/>
  <c r="AS42" i="10" s="1"/>
  <c r="DE88" i="10"/>
  <c r="DE42" i="10" s="1"/>
  <c r="BM88" i="10"/>
  <c r="BM42" i="10" s="1"/>
  <c r="DY88" i="10"/>
  <c r="DY42" i="10" s="1"/>
  <c r="CW88" i="10"/>
  <c r="CW42" i="10" s="1"/>
  <c r="BI88" i="10"/>
  <c r="BI42" i="10" s="1"/>
  <c r="DU88" i="10"/>
  <c r="DU42" i="10" s="1"/>
  <c r="Q88" i="10"/>
  <c r="Q42" i="10" s="1"/>
  <c r="CC88" i="10"/>
  <c r="CC42" i="10" s="1"/>
  <c r="EO88" i="10"/>
  <c r="EO42" i="10" s="1"/>
  <c r="EC88" i="10"/>
  <c r="EC42" i="10" s="1"/>
  <c r="BA88" i="10"/>
  <c r="BA42" i="10" s="1"/>
  <c r="DM88" i="10"/>
  <c r="DM42" i="10" s="1"/>
  <c r="ES88" i="10"/>
  <c r="ES42" i="10" s="1"/>
  <c r="BQ88" i="10"/>
  <c r="BQ42" i="10" s="1"/>
  <c r="CG88" i="10"/>
  <c r="CG42" i="10" s="1"/>
  <c r="U88" i="10"/>
  <c r="U42" i="10" s="1"/>
  <c r="G88" i="10"/>
  <c r="G42" i="10" s="1"/>
  <c r="H88" i="10"/>
  <c r="H42" i="10" s="1"/>
  <c r="M88" i="15"/>
  <c r="M42" i="15" s="1"/>
  <c r="AC88" i="15"/>
  <c r="AC42" i="15" s="1"/>
  <c r="N88" i="15"/>
  <c r="N42" i="15" s="1"/>
  <c r="AD88" i="15"/>
  <c r="AD42" i="15" s="1"/>
  <c r="X88" i="15"/>
  <c r="X42" i="15" s="1"/>
  <c r="Q88" i="15"/>
  <c r="Q42" i="15" s="1"/>
  <c r="AG88" i="15"/>
  <c r="AG42" i="15" s="1"/>
  <c r="R88" i="15"/>
  <c r="R42" i="15" s="1"/>
  <c r="AH88" i="15"/>
  <c r="AH42" i="15" s="1"/>
  <c r="AF88" i="15"/>
  <c r="AF42" i="15" s="1"/>
  <c r="AX88" i="15"/>
  <c r="AX42" i="15" s="1"/>
  <c r="BN88" i="15"/>
  <c r="BN42" i="15" s="1"/>
  <c r="CD88" i="15"/>
  <c r="CD42" i="15" s="1"/>
  <c r="U88" i="15"/>
  <c r="U42" i="15" s="1"/>
  <c r="V88" i="15"/>
  <c r="V42" i="15" s="1"/>
  <c r="H88" i="15"/>
  <c r="H42" i="15" s="1"/>
  <c r="AL88" i="15"/>
  <c r="AL42" i="15" s="1"/>
  <c r="BB88" i="15"/>
  <c r="BB42" i="15" s="1"/>
  <c r="BR88" i="15"/>
  <c r="BR42" i="15" s="1"/>
  <c r="CH88" i="15"/>
  <c r="CH42" i="15" s="1"/>
  <c r="CX88" i="15"/>
  <c r="CX42" i="15" s="1"/>
  <c r="DN88" i="15"/>
  <c r="DN42" i="15" s="1"/>
  <c r="ED88" i="15"/>
  <c r="ED42" i="15" s="1"/>
  <c r="ET88" i="15"/>
  <c r="ET42" i="15" s="1"/>
  <c r="I88" i="15"/>
  <c r="I42" i="15" s="1"/>
  <c r="Y88" i="15"/>
  <c r="Y42" i="15" s="1"/>
  <c r="J88" i="15"/>
  <c r="J42" i="15" s="1"/>
  <c r="Z88" i="15"/>
  <c r="Z42" i="15" s="1"/>
  <c r="P88" i="15"/>
  <c r="P42" i="15" s="1"/>
  <c r="AP88" i="15"/>
  <c r="AP42" i="15" s="1"/>
  <c r="AT88" i="15"/>
  <c r="AT42" i="15" s="1"/>
  <c r="BZ88" i="15"/>
  <c r="BZ42" i="15" s="1"/>
  <c r="DB88" i="15"/>
  <c r="DB42" i="15" s="1"/>
  <c r="DV88" i="15"/>
  <c r="DV42" i="15" s="1"/>
  <c r="EP88" i="15"/>
  <c r="EP42" i="15" s="1"/>
  <c r="AI88" i="15"/>
  <c r="AI42" i="15" s="1"/>
  <c r="AY88" i="15"/>
  <c r="AY42" i="15" s="1"/>
  <c r="BO88" i="15"/>
  <c r="BO42" i="15" s="1"/>
  <c r="CE88" i="15"/>
  <c r="CE42" i="15" s="1"/>
  <c r="CU88" i="15"/>
  <c r="CU42" i="15" s="1"/>
  <c r="DK88" i="15"/>
  <c r="DK42" i="15" s="1"/>
  <c r="EA88" i="15"/>
  <c r="EA42" i="15" s="1"/>
  <c r="EQ88" i="15"/>
  <c r="EQ42" i="15" s="1"/>
  <c r="T88" i="15"/>
  <c r="T42" i="15" s="1"/>
  <c r="AR88" i="15"/>
  <c r="AR42" i="15" s="1"/>
  <c r="BH88" i="15"/>
  <c r="BH42" i="15" s="1"/>
  <c r="BX88" i="15"/>
  <c r="BX42" i="15" s="1"/>
  <c r="CN88" i="15"/>
  <c r="CN42" i="15" s="1"/>
  <c r="DD88" i="15"/>
  <c r="DD42" i="15" s="1"/>
  <c r="DT88" i="15"/>
  <c r="DT42" i="15" s="1"/>
  <c r="EJ88" i="15"/>
  <c r="EJ42" i="15" s="1"/>
  <c r="AE88" i="15"/>
  <c r="AE42" i="15" s="1"/>
  <c r="AW88" i="15"/>
  <c r="AW42" i="15" s="1"/>
  <c r="BM88" i="15"/>
  <c r="BM42" i="15" s="1"/>
  <c r="CC88" i="15"/>
  <c r="CC42" i="15" s="1"/>
  <c r="CS88" i="15"/>
  <c r="CS42" i="15" s="1"/>
  <c r="DI88" i="15"/>
  <c r="DI42" i="15" s="1"/>
  <c r="DY88" i="15"/>
  <c r="DY42" i="15" s="1"/>
  <c r="EO88" i="15"/>
  <c r="EO42" i="15" s="1"/>
  <c r="BF88" i="15"/>
  <c r="BF42" i="15" s="1"/>
  <c r="CL88" i="15"/>
  <c r="CL42" i="15" s="1"/>
  <c r="DF88" i="15"/>
  <c r="DF42" i="15" s="1"/>
  <c r="DZ88" i="15"/>
  <c r="DZ42" i="15" s="1"/>
  <c r="K88" i="15"/>
  <c r="K42" i="15" s="1"/>
  <c r="AM88" i="15"/>
  <c r="AM42" i="15" s="1"/>
  <c r="BC88" i="15"/>
  <c r="BC42" i="15" s="1"/>
  <c r="BS88" i="15"/>
  <c r="BS42" i="15" s="1"/>
  <c r="CI88" i="15"/>
  <c r="CI42" i="15" s="1"/>
  <c r="CY88" i="15"/>
  <c r="CY42" i="15" s="1"/>
  <c r="DO88" i="15"/>
  <c r="DO42" i="15" s="1"/>
  <c r="EE88" i="15"/>
  <c r="EE42" i="15" s="1"/>
  <c r="AB88" i="15"/>
  <c r="AB42" i="15" s="1"/>
  <c r="AV88" i="15"/>
  <c r="AV42" i="15" s="1"/>
  <c r="BL88" i="15"/>
  <c r="BL42" i="15" s="1"/>
  <c r="CB88" i="15"/>
  <c r="CB42" i="15" s="1"/>
  <c r="CR88" i="15"/>
  <c r="CR42" i="15" s="1"/>
  <c r="DH88" i="15"/>
  <c r="DH42" i="15" s="1"/>
  <c r="DX88" i="15"/>
  <c r="DX42" i="15" s="1"/>
  <c r="EN88" i="15"/>
  <c r="EN42" i="15" s="1"/>
  <c r="AK88" i="15"/>
  <c r="AK42" i="15" s="1"/>
  <c r="BA88" i="15"/>
  <c r="BA42" i="15" s="1"/>
  <c r="BQ88" i="15"/>
  <c r="BQ42" i="15" s="1"/>
  <c r="CG88" i="15"/>
  <c r="CG42" i="15" s="1"/>
  <c r="CW88" i="15"/>
  <c r="CW42" i="15" s="1"/>
  <c r="DM88" i="15"/>
  <c r="DM42" i="15" s="1"/>
  <c r="EC88" i="15"/>
  <c r="EC42" i="15" s="1"/>
  <c r="ES88" i="15"/>
  <c r="ES42" i="15" s="1"/>
  <c r="BJ88" i="15"/>
  <c r="BJ42" i="15" s="1"/>
  <c r="CP88" i="15"/>
  <c r="CP42" i="15" s="1"/>
  <c r="DJ88" i="15"/>
  <c r="DJ42" i="15" s="1"/>
  <c r="EH88" i="15"/>
  <c r="EH42" i="15" s="1"/>
  <c r="S88" i="15"/>
  <c r="S42" i="15" s="1"/>
  <c r="AQ88" i="15"/>
  <c r="AQ42" i="15" s="1"/>
  <c r="BG88" i="15"/>
  <c r="BG42" i="15" s="1"/>
  <c r="BW88" i="15"/>
  <c r="BW42" i="15" s="1"/>
  <c r="CM88" i="15"/>
  <c r="CM42" i="15" s="1"/>
  <c r="DC88" i="15"/>
  <c r="DC42" i="15" s="1"/>
  <c r="DS88" i="15"/>
  <c r="DS42" i="15" s="1"/>
  <c r="EI88" i="15"/>
  <c r="EI42" i="15" s="1"/>
  <c r="AJ88" i="15"/>
  <c r="AJ42" i="15" s="1"/>
  <c r="AZ88" i="15"/>
  <c r="AZ42" i="15" s="1"/>
  <c r="BP88" i="15"/>
  <c r="BP42" i="15" s="1"/>
  <c r="CF88" i="15"/>
  <c r="CF42" i="15" s="1"/>
  <c r="CV88" i="15"/>
  <c r="CV42" i="15" s="1"/>
  <c r="DL88" i="15"/>
  <c r="DL42" i="15" s="1"/>
  <c r="EB88" i="15"/>
  <c r="EB42" i="15" s="1"/>
  <c r="ER88" i="15"/>
  <c r="ER42" i="15" s="1"/>
  <c r="O88" i="15"/>
  <c r="O42" i="15" s="1"/>
  <c r="AO88" i="15"/>
  <c r="AO42" i="15" s="1"/>
  <c r="BE88" i="15"/>
  <c r="BE42" i="15" s="1"/>
  <c r="BU88" i="15"/>
  <c r="BU42" i="15" s="1"/>
  <c r="CK88" i="15"/>
  <c r="CK42" i="15" s="1"/>
  <c r="DA88" i="15"/>
  <c r="DA42" i="15" s="1"/>
  <c r="DQ88" i="15"/>
  <c r="DQ42" i="15" s="1"/>
  <c r="EG88" i="15"/>
  <c r="EG42" i="15" s="1"/>
  <c r="BV88" i="15"/>
  <c r="BV42" i="15" s="1"/>
  <c r="CT88" i="15"/>
  <c r="CT42" i="15" s="1"/>
  <c r="DR88" i="15"/>
  <c r="DR42" i="15" s="1"/>
  <c r="EL88" i="15"/>
  <c r="EL42" i="15" s="1"/>
  <c r="AA88" i="15"/>
  <c r="AA42" i="15" s="1"/>
  <c r="AU88" i="15"/>
  <c r="AU42" i="15" s="1"/>
  <c r="BK88" i="15"/>
  <c r="BK42" i="15" s="1"/>
  <c r="CA88" i="15"/>
  <c r="CA42" i="15" s="1"/>
  <c r="CQ88" i="15"/>
  <c r="CQ42" i="15" s="1"/>
  <c r="DG88" i="15"/>
  <c r="DG42" i="15" s="1"/>
  <c r="DW88" i="15"/>
  <c r="DW42" i="15" s="1"/>
  <c r="EM88" i="15"/>
  <c r="EM42" i="15" s="1"/>
  <c r="L88" i="15"/>
  <c r="L42" i="15" s="1"/>
  <c r="AN88" i="15"/>
  <c r="AN42" i="15" s="1"/>
  <c r="BD88" i="15"/>
  <c r="BD42" i="15" s="1"/>
  <c r="BT88" i="15"/>
  <c r="BT42" i="15" s="1"/>
  <c r="CJ88" i="15"/>
  <c r="CJ42" i="15" s="1"/>
  <c r="CZ88" i="15"/>
  <c r="CZ42" i="15" s="1"/>
  <c r="DP88" i="15"/>
  <c r="DP42" i="15" s="1"/>
  <c r="EF88" i="15"/>
  <c r="EF42" i="15" s="1"/>
  <c r="W88" i="15"/>
  <c r="W42" i="15" s="1"/>
  <c r="AS88" i="15"/>
  <c r="AS42" i="15" s="1"/>
  <c r="BI88" i="15"/>
  <c r="BI42" i="15" s="1"/>
  <c r="BY88" i="15"/>
  <c r="BY42" i="15" s="1"/>
  <c r="CO88" i="15"/>
  <c r="CO42" i="15" s="1"/>
  <c r="DE88" i="15"/>
  <c r="DE42" i="15" s="1"/>
  <c r="DU88" i="15"/>
  <c r="DU42" i="15" s="1"/>
  <c r="EK88" i="15"/>
  <c r="EK42" i="15" s="1"/>
  <c r="G88" i="15"/>
  <c r="G42" i="15" s="1"/>
  <c r="F43" i="15"/>
  <c r="F43" i="10"/>
  <c r="D94" i="2"/>
  <c r="AR55" i="5"/>
  <c r="C90" i="5" s="1"/>
  <c r="D90" i="5" l="1"/>
  <c r="S90" i="5"/>
  <c r="O90" i="5"/>
  <c r="K90" i="5"/>
  <c r="G90" i="5"/>
  <c r="R90" i="5"/>
  <c r="M90" i="5"/>
  <c r="H90" i="5"/>
  <c r="Q90" i="5"/>
  <c r="L90" i="5"/>
  <c r="F90" i="5"/>
  <c r="N90" i="5"/>
  <c r="P90" i="5"/>
  <c r="J90" i="5"/>
  <c r="E90" i="5"/>
  <c r="T90" i="5"/>
  <c r="I90" i="5"/>
  <c r="H94" i="2"/>
  <c r="J94" i="2"/>
  <c r="N94" i="2"/>
  <c r="R94" i="2"/>
  <c r="K94" i="2"/>
  <c r="O94" i="2"/>
  <c r="S94" i="2"/>
  <c r="L94" i="2"/>
  <c r="P94" i="2"/>
  <c r="T94" i="2"/>
  <c r="M94" i="2"/>
  <c r="Q94" i="2"/>
  <c r="U94" i="2"/>
  <c r="I94" i="2"/>
  <c r="D1753" i="12"/>
  <c r="E1752" i="12"/>
  <c r="F1752" i="12"/>
  <c r="EQ50" i="5"/>
  <c r="BF55" i="5"/>
  <c r="BC55" i="5"/>
  <c r="AR51" i="2"/>
  <c r="BB50" i="2"/>
  <c r="L89" i="10"/>
  <c r="L43" i="10" s="1"/>
  <c r="AB89" i="10"/>
  <c r="AB43" i="10" s="1"/>
  <c r="AR89" i="10"/>
  <c r="AR43" i="10" s="1"/>
  <c r="BH89" i="10"/>
  <c r="BH43" i="10" s="1"/>
  <c r="BX89" i="10"/>
  <c r="BX43" i="10" s="1"/>
  <c r="CN89" i="10"/>
  <c r="CN43" i="10" s="1"/>
  <c r="DD89" i="10"/>
  <c r="DD43" i="10" s="1"/>
  <c r="DT89" i="10"/>
  <c r="DT43" i="10" s="1"/>
  <c r="EJ89" i="10"/>
  <c r="EJ43" i="10" s="1"/>
  <c r="I89" i="10"/>
  <c r="I43" i="10" s="1"/>
  <c r="Y89" i="10"/>
  <c r="Y43" i="10" s="1"/>
  <c r="AO89" i="10"/>
  <c r="AO43" i="10" s="1"/>
  <c r="BE89" i="10"/>
  <c r="BE43" i="10" s="1"/>
  <c r="BU89" i="10"/>
  <c r="BU43" i="10" s="1"/>
  <c r="CK89" i="10"/>
  <c r="CK43" i="10" s="1"/>
  <c r="DA89" i="10"/>
  <c r="DA43" i="10" s="1"/>
  <c r="DQ89" i="10"/>
  <c r="DQ43" i="10" s="1"/>
  <c r="EG89" i="10"/>
  <c r="EG43" i="10" s="1"/>
  <c r="R89" i="10"/>
  <c r="R43" i="10" s="1"/>
  <c r="AH89" i="10"/>
  <c r="AH43" i="10" s="1"/>
  <c r="AX89" i="10"/>
  <c r="AX43" i="10" s="1"/>
  <c r="BN89" i="10"/>
  <c r="BN43" i="10" s="1"/>
  <c r="CD89" i="10"/>
  <c r="CD43" i="10" s="1"/>
  <c r="CT89" i="10"/>
  <c r="CT43" i="10" s="1"/>
  <c r="DJ89" i="10"/>
  <c r="DJ43" i="10" s="1"/>
  <c r="DZ89" i="10"/>
  <c r="DZ43" i="10" s="1"/>
  <c r="EP89" i="10"/>
  <c r="EP43" i="10" s="1"/>
  <c r="BG89" i="10"/>
  <c r="BG43" i="10" s="1"/>
  <c r="DS89" i="10"/>
  <c r="DS43" i="10" s="1"/>
  <c r="P89" i="10"/>
  <c r="P43" i="10" s="1"/>
  <c r="AF89" i="10"/>
  <c r="AF43" i="10" s="1"/>
  <c r="AV89" i="10"/>
  <c r="AV43" i="10" s="1"/>
  <c r="BL89" i="10"/>
  <c r="BL43" i="10" s="1"/>
  <c r="CB89" i="10"/>
  <c r="CB43" i="10" s="1"/>
  <c r="CR89" i="10"/>
  <c r="CR43" i="10" s="1"/>
  <c r="DH89" i="10"/>
  <c r="DH43" i="10" s="1"/>
  <c r="DX89" i="10"/>
  <c r="DX43" i="10" s="1"/>
  <c r="EN89" i="10"/>
  <c r="EN43" i="10" s="1"/>
  <c r="M89" i="10"/>
  <c r="M43" i="10" s="1"/>
  <c r="AC89" i="10"/>
  <c r="AC43" i="10" s="1"/>
  <c r="AS89" i="10"/>
  <c r="AS43" i="10" s="1"/>
  <c r="BI89" i="10"/>
  <c r="BI43" i="10" s="1"/>
  <c r="BY89" i="10"/>
  <c r="BY43" i="10" s="1"/>
  <c r="CO89" i="10"/>
  <c r="CO43" i="10" s="1"/>
  <c r="DE89" i="10"/>
  <c r="DE43" i="10" s="1"/>
  <c r="DU89" i="10"/>
  <c r="DU43" i="10" s="1"/>
  <c r="EK89" i="10"/>
  <c r="EK43" i="10" s="1"/>
  <c r="V89" i="10"/>
  <c r="V43" i="10" s="1"/>
  <c r="AL89" i="10"/>
  <c r="AL43" i="10" s="1"/>
  <c r="BB89" i="10"/>
  <c r="BB43" i="10" s="1"/>
  <c r="BR89" i="10"/>
  <c r="BR43" i="10" s="1"/>
  <c r="CH89" i="10"/>
  <c r="CH43" i="10" s="1"/>
  <c r="CX89" i="10"/>
  <c r="CX43" i="10" s="1"/>
  <c r="DN89" i="10"/>
  <c r="DN43" i="10" s="1"/>
  <c r="ED89" i="10"/>
  <c r="ED43" i="10" s="1"/>
  <c r="ET89" i="10"/>
  <c r="ET43" i="10" s="1"/>
  <c r="K89" i="10"/>
  <c r="K43" i="10" s="1"/>
  <c r="BW89" i="10"/>
  <c r="BW43" i="10" s="1"/>
  <c r="EI89" i="10"/>
  <c r="EI43" i="10" s="1"/>
  <c r="T89" i="10"/>
  <c r="T43" i="10" s="1"/>
  <c r="AJ89" i="10"/>
  <c r="AJ43" i="10" s="1"/>
  <c r="AZ89" i="10"/>
  <c r="AZ43" i="10" s="1"/>
  <c r="BP89" i="10"/>
  <c r="BP43" i="10" s="1"/>
  <c r="CF89" i="10"/>
  <c r="CF43" i="10" s="1"/>
  <c r="CV89" i="10"/>
  <c r="CV43" i="10" s="1"/>
  <c r="DL89" i="10"/>
  <c r="DL43" i="10" s="1"/>
  <c r="EB89" i="10"/>
  <c r="EB43" i="10" s="1"/>
  <c r="ER89" i="10"/>
  <c r="ER43" i="10" s="1"/>
  <c r="Q89" i="10"/>
  <c r="Q43" i="10" s="1"/>
  <c r="AG89" i="10"/>
  <c r="AG43" i="10" s="1"/>
  <c r="AW89" i="10"/>
  <c r="AW43" i="10" s="1"/>
  <c r="BM89" i="10"/>
  <c r="BM43" i="10" s="1"/>
  <c r="CC89" i="10"/>
  <c r="CC43" i="10" s="1"/>
  <c r="CS89" i="10"/>
  <c r="CS43" i="10" s="1"/>
  <c r="DI89" i="10"/>
  <c r="DI43" i="10" s="1"/>
  <c r="DY89" i="10"/>
  <c r="DY43" i="10" s="1"/>
  <c r="EO89" i="10"/>
  <c r="EO43" i="10" s="1"/>
  <c r="J89" i="10"/>
  <c r="J43" i="10" s="1"/>
  <c r="Z89" i="10"/>
  <c r="Z43" i="10" s="1"/>
  <c r="AP89" i="10"/>
  <c r="AP43" i="10" s="1"/>
  <c r="BF89" i="10"/>
  <c r="BF43" i="10" s="1"/>
  <c r="BV89" i="10"/>
  <c r="BV43" i="10" s="1"/>
  <c r="CL89" i="10"/>
  <c r="CL43" i="10" s="1"/>
  <c r="DB89" i="10"/>
  <c r="DB43" i="10" s="1"/>
  <c r="DR89" i="10"/>
  <c r="DR43" i="10" s="1"/>
  <c r="EH89" i="10"/>
  <c r="EH43" i="10" s="1"/>
  <c r="AA89" i="10"/>
  <c r="AA43" i="10" s="1"/>
  <c r="CM89" i="10"/>
  <c r="CM43" i="10" s="1"/>
  <c r="X89" i="10"/>
  <c r="X43" i="10" s="1"/>
  <c r="AN89" i="10"/>
  <c r="AN43" i="10" s="1"/>
  <c r="BD89" i="10"/>
  <c r="BD43" i="10" s="1"/>
  <c r="BT89" i="10"/>
  <c r="BT43" i="10" s="1"/>
  <c r="CJ89" i="10"/>
  <c r="CJ43" i="10" s="1"/>
  <c r="CZ89" i="10"/>
  <c r="CZ43" i="10" s="1"/>
  <c r="DP89" i="10"/>
  <c r="DP43" i="10" s="1"/>
  <c r="EF89" i="10"/>
  <c r="EF43" i="10" s="1"/>
  <c r="U89" i="10"/>
  <c r="U43" i="10" s="1"/>
  <c r="AK89" i="10"/>
  <c r="AK43" i="10" s="1"/>
  <c r="BA89" i="10"/>
  <c r="BA43" i="10" s="1"/>
  <c r="BQ89" i="10"/>
  <c r="BQ43" i="10" s="1"/>
  <c r="CG89" i="10"/>
  <c r="CG43" i="10" s="1"/>
  <c r="CW89" i="10"/>
  <c r="CW43" i="10" s="1"/>
  <c r="DM89" i="10"/>
  <c r="DM43" i="10" s="1"/>
  <c r="EC89" i="10"/>
  <c r="EC43" i="10" s="1"/>
  <c r="ES89" i="10"/>
  <c r="ES43" i="10" s="1"/>
  <c r="N89" i="10"/>
  <c r="N43" i="10" s="1"/>
  <c r="AD89" i="10"/>
  <c r="AD43" i="10" s="1"/>
  <c r="AT89" i="10"/>
  <c r="AT43" i="10" s="1"/>
  <c r="BJ89" i="10"/>
  <c r="BJ43" i="10" s="1"/>
  <c r="BZ89" i="10"/>
  <c r="BZ43" i="10" s="1"/>
  <c r="CP89" i="10"/>
  <c r="CP43" i="10" s="1"/>
  <c r="DF89" i="10"/>
  <c r="DF43" i="10" s="1"/>
  <c r="DV89" i="10"/>
  <c r="DV43" i="10" s="1"/>
  <c r="EL89" i="10"/>
  <c r="EL43" i="10" s="1"/>
  <c r="AQ89" i="10"/>
  <c r="AQ43" i="10" s="1"/>
  <c r="DC89" i="10"/>
  <c r="DC43" i="10" s="1"/>
  <c r="BK89" i="10"/>
  <c r="BK43" i="10" s="1"/>
  <c r="DW89" i="10"/>
  <c r="DW43" i="10" s="1"/>
  <c r="S89" i="10"/>
  <c r="S43" i="10" s="1"/>
  <c r="CE89" i="10"/>
  <c r="CE43" i="10" s="1"/>
  <c r="EQ89" i="10"/>
  <c r="EQ43" i="10" s="1"/>
  <c r="CI89" i="10"/>
  <c r="CI43" i="10" s="1"/>
  <c r="O89" i="10"/>
  <c r="O43" i="10" s="1"/>
  <c r="CA89" i="10"/>
  <c r="CA43" i="10" s="1"/>
  <c r="EM89" i="10"/>
  <c r="EM43" i="10" s="1"/>
  <c r="AI89" i="10"/>
  <c r="AI43" i="10" s="1"/>
  <c r="CU89" i="10"/>
  <c r="CU43" i="10" s="1"/>
  <c r="AE89" i="10"/>
  <c r="AE43" i="10" s="1"/>
  <c r="CQ89" i="10"/>
  <c r="CQ43" i="10" s="1"/>
  <c r="AY89" i="10"/>
  <c r="AY43" i="10" s="1"/>
  <c r="DK89" i="10"/>
  <c r="DK43" i="10" s="1"/>
  <c r="AU89" i="10"/>
  <c r="AU43" i="10" s="1"/>
  <c r="DG89" i="10"/>
  <c r="DG43" i="10" s="1"/>
  <c r="BO89" i="10"/>
  <c r="BO43" i="10" s="1"/>
  <c r="EA89" i="10"/>
  <c r="EA43" i="10" s="1"/>
  <c r="W89" i="10"/>
  <c r="W43" i="10" s="1"/>
  <c r="CY89" i="10"/>
  <c r="CY43" i="10" s="1"/>
  <c r="BC89" i="10"/>
  <c r="BC43" i="10" s="1"/>
  <c r="DO89" i="10"/>
  <c r="DO43" i="10" s="1"/>
  <c r="AM89" i="10"/>
  <c r="AM43" i="10" s="1"/>
  <c r="BS89" i="10"/>
  <c r="BS43" i="10" s="1"/>
  <c r="EE89" i="10"/>
  <c r="EE43" i="10" s="1"/>
  <c r="H89" i="10"/>
  <c r="H43" i="10" s="1"/>
  <c r="G89" i="10"/>
  <c r="G43" i="10" s="1"/>
  <c r="W89" i="15"/>
  <c r="W43" i="15" s="1"/>
  <c r="AM89" i="15"/>
  <c r="AM43" i="15" s="1"/>
  <c r="BC89" i="15"/>
  <c r="BC43" i="15" s="1"/>
  <c r="BS89" i="15"/>
  <c r="BS43" i="15" s="1"/>
  <c r="CI89" i="15"/>
  <c r="CI43" i="15" s="1"/>
  <c r="CY89" i="15"/>
  <c r="CY43" i="15" s="1"/>
  <c r="DO89" i="15"/>
  <c r="DO43" i="15" s="1"/>
  <c r="EE89" i="15"/>
  <c r="EE43" i="15" s="1"/>
  <c r="AA89" i="15"/>
  <c r="AA43" i="15" s="1"/>
  <c r="AU89" i="15"/>
  <c r="AU43" i="15" s="1"/>
  <c r="BO89" i="15"/>
  <c r="BO43" i="15" s="1"/>
  <c r="CM89" i="15"/>
  <c r="CM43" i="15" s="1"/>
  <c r="DG89" i="15"/>
  <c r="DG43" i="15" s="1"/>
  <c r="EA89" i="15"/>
  <c r="EA43" i="15" s="1"/>
  <c r="T89" i="15"/>
  <c r="T43" i="15" s="1"/>
  <c r="AJ89" i="15"/>
  <c r="AJ43" i="15" s="1"/>
  <c r="AZ89" i="15"/>
  <c r="AZ43" i="15" s="1"/>
  <c r="BP89" i="15"/>
  <c r="BP43" i="15" s="1"/>
  <c r="CF89" i="15"/>
  <c r="CF43" i="15" s="1"/>
  <c r="CV89" i="15"/>
  <c r="CV43" i="15" s="1"/>
  <c r="DL89" i="15"/>
  <c r="DL43" i="15" s="1"/>
  <c r="EB89" i="15"/>
  <c r="EB43" i="15" s="1"/>
  <c r="ER89" i="15"/>
  <c r="ER43" i="15" s="1"/>
  <c r="M89" i="15"/>
  <c r="M43" i="15" s="1"/>
  <c r="AC89" i="15"/>
  <c r="AC43" i="15" s="1"/>
  <c r="AS89" i="15"/>
  <c r="AS43" i="15" s="1"/>
  <c r="BI89" i="15"/>
  <c r="BI43" i="15" s="1"/>
  <c r="BY89" i="15"/>
  <c r="BY43" i="15" s="1"/>
  <c r="CO89" i="15"/>
  <c r="CO43" i="15" s="1"/>
  <c r="DE89" i="15"/>
  <c r="DE43" i="15" s="1"/>
  <c r="DU89" i="15"/>
  <c r="DU43" i="15" s="1"/>
  <c r="EK89" i="15"/>
  <c r="EK43" i="15" s="1"/>
  <c r="R89" i="15"/>
  <c r="R43" i="15" s="1"/>
  <c r="AH89" i="15"/>
  <c r="AH43" i="15" s="1"/>
  <c r="AX89" i="15"/>
  <c r="AX43" i="15" s="1"/>
  <c r="BN89" i="15"/>
  <c r="BN43" i="15" s="1"/>
  <c r="CD89" i="15"/>
  <c r="CD43" i="15" s="1"/>
  <c r="CT89" i="15"/>
  <c r="CT43" i="15" s="1"/>
  <c r="DJ89" i="15"/>
  <c r="DJ43" i="15" s="1"/>
  <c r="DZ89" i="15"/>
  <c r="DZ43" i="15" s="1"/>
  <c r="EP89" i="15"/>
  <c r="EP43" i="15" s="1"/>
  <c r="K89" i="15"/>
  <c r="K43" i="15" s="1"/>
  <c r="AE89" i="15"/>
  <c r="AE43" i="15" s="1"/>
  <c r="AY89" i="15"/>
  <c r="AY43" i="15" s="1"/>
  <c r="BW89" i="15"/>
  <c r="BW43" i="15" s="1"/>
  <c r="CQ89" i="15"/>
  <c r="CQ43" i="15" s="1"/>
  <c r="DK89" i="15"/>
  <c r="DK43" i="15" s="1"/>
  <c r="EI89" i="15"/>
  <c r="EI43" i="15" s="1"/>
  <c r="H89" i="15"/>
  <c r="H43" i="15" s="1"/>
  <c r="X89" i="15"/>
  <c r="X43" i="15" s="1"/>
  <c r="AN89" i="15"/>
  <c r="AN43" i="15" s="1"/>
  <c r="BD89" i="15"/>
  <c r="BD43" i="15" s="1"/>
  <c r="BT89" i="15"/>
  <c r="BT43" i="15" s="1"/>
  <c r="CJ89" i="15"/>
  <c r="CJ43" i="15" s="1"/>
  <c r="CZ89" i="15"/>
  <c r="CZ43" i="15" s="1"/>
  <c r="DP89" i="15"/>
  <c r="DP43" i="15" s="1"/>
  <c r="EF89" i="15"/>
  <c r="EF43" i="15" s="1"/>
  <c r="Q89" i="15"/>
  <c r="Q43" i="15" s="1"/>
  <c r="AG89" i="15"/>
  <c r="AG43" i="15" s="1"/>
  <c r="AW89" i="15"/>
  <c r="AW43" i="15" s="1"/>
  <c r="BM89" i="15"/>
  <c r="BM43" i="15" s="1"/>
  <c r="CC89" i="15"/>
  <c r="CC43" i="15" s="1"/>
  <c r="CS89" i="15"/>
  <c r="CS43" i="15" s="1"/>
  <c r="DI89" i="15"/>
  <c r="DI43" i="15" s="1"/>
  <c r="DY89" i="15"/>
  <c r="DY43" i="15" s="1"/>
  <c r="EO89" i="15"/>
  <c r="EO43" i="15" s="1"/>
  <c r="V89" i="15"/>
  <c r="V43" i="15" s="1"/>
  <c r="AL89" i="15"/>
  <c r="AL43" i="15" s="1"/>
  <c r="BB89" i="15"/>
  <c r="BB43" i="15" s="1"/>
  <c r="BR89" i="15"/>
  <c r="BR43" i="15" s="1"/>
  <c r="CH89" i="15"/>
  <c r="CH43" i="15" s="1"/>
  <c r="CX89" i="15"/>
  <c r="CX43" i="15" s="1"/>
  <c r="DN89" i="15"/>
  <c r="DN43" i="15" s="1"/>
  <c r="ED89" i="15"/>
  <c r="ED43" i="15" s="1"/>
  <c r="ET89" i="15"/>
  <c r="ET43" i="15" s="1"/>
  <c r="O89" i="15"/>
  <c r="O43" i="15" s="1"/>
  <c r="AI89" i="15"/>
  <c r="AI43" i="15" s="1"/>
  <c r="BG89" i="15"/>
  <c r="BG43" i="15" s="1"/>
  <c r="CA89" i="15"/>
  <c r="CA43" i="15" s="1"/>
  <c r="CU89" i="15"/>
  <c r="CU43" i="15" s="1"/>
  <c r="DS89" i="15"/>
  <c r="DS43" i="15" s="1"/>
  <c r="EM89" i="15"/>
  <c r="EM43" i="15" s="1"/>
  <c r="L89" i="15"/>
  <c r="L43" i="15" s="1"/>
  <c r="AB89" i="15"/>
  <c r="AB43" i="15" s="1"/>
  <c r="AR89" i="15"/>
  <c r="AR43" i="15" s="1"/>
  <c r="BH89" i="15"/>
  <c r="BH43" i="15" s="1"/>
  <c r="BX89" i="15"/>
  <c r="BX43" i="15" s="1"/>
  <c r="CN89" i="15"/>
  <c r="CN43" i="15" s="1"/>
  <c r="DD89" i="15"/>
  <c r="DD43" i="15" s="1"/>
  <c r="DT89" i="15"/>
  <c r="DT43" i="15" s="1"/>
  <c r="EJ89" i="15"/>
  <c r="EJ43" i="15" s="1"/>
  <c r="U89" i="15"/>
  <c r="U43" i="15" s="1"/>
  <c r="AK89" i="15"/>
  <c r="AK43" i="15" s="1"/>
  <c r="BA89" i="15"/>
  <c r="BA43" i="15" s="1"/>
  <c r="BQ89" i="15"/>
  <c r="BQ43" i="15" s="1"/>
  <c r="CG89" i="15"/>
  <c r="CG43" i="15" s="1"/>
  <c r="CW89" i="15"/>
  <c r="CW43" i="15" s="1"/>
  <c r="DM89" i="15"/>
  <c r="DM43" i="15" s="1"/>
  <c r="EC89" i="15"/>
  <c r="EC43" i="15" s="1"/>
  <c r="ES89" i="15"/>
  <c r="ES43" i="15" s="1"/>
  <c r="J89" i="15"/>
  <c r="J43" i="15" s="1"/>
  <c r="Z89" i="15"/>
  <c r="Z43" i="15" s="1"/>
  <c r="AP89" i="15"/>
  <c r="AP43" i="15" s="1"/>
  <c r="BF89" i="15"/>
  <c r="BF43" i="15" s="1"/>
  <c r="BV89" i="15"/>
  <c r="BV43" i="15" s="1"/>
  <c r="CL89" i="15"/>
  <c r="CL43" i="15" s="1"/>
  <c r="DB89" i="15"/>
  <c r="DB43" i="15" s="1"/>
  <c r="DR89" i="15"/>
  <c r="DR43" i="15" s="1"/>
  <c r="EH89" i="15"/>
  <c r="EH43" i="15" s="1"/>
  <c r="S89" i="15"/>
  <c r="S43" i="15" s="1"/>
  <c r="AQ89" i="15"/>
  <c r="AQ43" i="15" s="1"/>
  <c r="BK89" i="15"/>
  <c r="BK43" i="15" s="1"/>
  <c r="CE89" i="15"/>
  <c r="CE43" i="15" s="1"/>
  <c r="DC89" i="15"/>
  <c r="DC43" i="15" s="1"/>
  <c r="DW89" i="15"/>
  <c r="DW43" i="15" s="1"/>
  <c r="EQ89" i="15"/>
  <c r="EQ43" i="15" s="1"/>
  <c r="P89" i="15"/>
  <c r="P43" i="15" s="1"/>
  <c r="AF89" i="15"/>
  <c r="AF43" i="15" s="1"/>
  <c r="AV89" i="15"/>
  <c r="AV43" i="15" s="1"/>
  <c r="BL89" i="15"/>
  <c r="BL43" i="15" s="1"/>
  <c r="CB89" i="15"/>
  <c r="CB43" i="15" s="1"/>
  <c r="CR89" i="15"/>
  <c r="CR43" i="15" s="1"/>
  <c r="DH89" i="15"/>
  <c r="DH43" i="15" s="1"/>
  <c r="DX89" i="15"/>
  <c r="DX43" i="15" s="1"/>
  <c r="EN89" i="15"/>
  <c r="EN43" i="15" s="1"/>
  <c r="I89" i="15"/>
  <c r="I43" i="15" s="1"/>
  <c r="Y89" i="15"/>
  <c r="Y43" i="15" s="1"/>
  <c r="AO89" i="15"/>
  <c r="AO43" i="15" s="1"/>
  <c r="BE89" i="15"/>
  <c r="BE43" i="15" s="1"/>
  <c r="BU89" i="15"/>
  <c r="BU43" i="15" s="1"/>
  <c r="CK89" i="15"/>
  <c r="CK43" i="15" s="1"/>
  <c r="DA89" i="15"/>
  <c r="DA43" i="15" s="1"/>
  <c r="DQ89" i="15"/>
  <c r="DQ43" i="15" s="1"/>
  <c r="EG89" i="15"/>
  <c r="EG43" i="15" s="1"/>
  <c r="N89" i="15"/>
  <c r="N43" i="15" s="1"/>
  <c r="AD89" i="15"/>
  <c r="AD43" i="15" s="1"/>
  <c r="AT89" i="15"/>
  <c r="AT43" i="15" s="1"/>
  <c r="BJ89" i="15"/>
  <c r="BJ43" i="15" s="1"/>
  <c r="BZ89" i="15"/>
  <c r="BZ43" i="15" s="1"/>
  <c r="CP89" i="15"/>
  <c r="CP43" i="15" s="1"/>
  <c r="DF89" i="15"/>
  <c r="DF43" i="15" s="1"/>
  <c r="DV89" i="15"/>
  <c r="DV43" i="15" s="1"/>
  <c r="EL89" i="15"/>
  <c r="EL43" i="15" s="1"/>
  <c r="G89" i="15"/>
  <c r="G43" i="15" s="1"/>
  <c r="F44" i="15"/>
  <c r="F44" i="10"/>
  <c r="D95" i="2"/>
  <c r="AR56" i="5"/>
  <c r="C91" i="5" s="1"/>
  <c r="D91" i="5" l="1"/>
  <c r="S91" i="5"/>
  <c r="O91" i="5"/>
  <c r="K91" i="5"/>
  <c r="G91" i="5"/>
  <c r="R91" i="5"/>
  <c r="M91" i="5"/>
  <c r="H91" i="5"/>
  <c r="Q91" i="5"/>
  <c r="L91" i="5"/>
  <c r="F91" i="5"/>
  <c r="T91" i="5"/>
  <c r="I91" i="5"/>
  <c r="P91" i="5"/>
  <c r="E91" i="5"/>
  <c r="J91" i="5"/>
  <c r="N91" i="5"/>
  <c r="H95" i="2"/>
  <c r="I95" i="2"/>
  <c r="M95" i="2"/>
  <c r="Q95" i="2"/>
  <c r="U95" i="2"/>
  <c r="J95" i="2"/>
  <c r="N95" i="2"/>
  <c r="R95" i="2"/>
  <c r="K95" i="2"/>
  <c r="O95" i="2"/>
  <c r="S95" i="2"/>
  <c r="P95" i="2"/>
  <c r="T95" i="2"/>
  <c r="L95" i="2"/>
  <c r="D1754" i="12"/>
  <c r="F1753" i="12"/>
  <c r="E1753" i="12"/>
  <c r="EQ51" i="5"/>
  <c r="BF56" i="5"/>
  <c r="BC56" i="5"/>
  <c r="AR52" i="2"/>
  <c r="BB51" i="2"/>
  <c r="N90" i="10"/>
  <c r="N44" i="10" s="1"/>
  <c r="AD90" i="10"/>
  <c r="AD44" i="10" s="1"/>
  <c r="AT90" i="10"/>
  <c r="AT44" i="10" s="1"/>
  <c r="BJ90" i="10"/>
  <c r="BJ44" i="10" s="1"/>
  <c r="BZ90" i="10"/>
  <c r="BZ44" i="10" s="1"/>
  <c r="CP90" i="10"/>
  <c r="CP44" i="10" s="1"/>
  <c r="DF90" i="10"/>
  <c r="DF44" i="10" s="1"/>
  <c r="DV90" i="10"/>
  <c r="DV44" i="10" s="1"/>
  <c r="EL90" i="10"/>
  <c r="EL44" i="10" s="1"/>
  <c r="K90" i="10"/>
  <c r="K44" i="10" s="1"/>
  <c r="AA90" i="10"/>
  <c r="AA44" i="10" s="1"/>
  <c r="AQ90" i="10"/>
  <c r="AQ44" i="10" s="1"/>
  <c r="BG90" i="10"/>
  <c r="BG44" i="10" s="1"/>
  <c r="BW90" i="10"/>
  <c r="BW44" i="10" s="1"/>
  <c r="CM90" i="10"/>
  <c r="CM44" i="10" s="1"/>
  <c r="DC90" i="10"/>
  <c r="DC44" i="10" s="1"/>
  <c r="DS90" i="10"/>
  <c r="DS44" i="10" s="1"/>
  <c r="EI90" i="10"/>
  <c r="EI44" i="10" s="1"/>
  <c r="T90" i="10"/>
  <c r="T44" i="10" s="1"/>
  <c r="AJ90" i="10"/>
  <c r="AJ44" i="10" s="1"/>
  <c r="AZ90" i="10"/>
  <c r="AZ44" i="10" s="1"/>
  <c r="BP90" i="10"/>
  <c r="BP44" i="10" s="1"/>
  <c r="CF90" i="10"/>
  <c r="CF44" i="10" s="1"/>
  <c r="CV90" i="10"/>
  <c r="CV44" i="10" s="1"/>
  <c r="DL90" i="10"/>
  <c r="DL44" i="10" s="1"/>
  <c r="EB90" i="10"/>
  <c r="EB44" i="10" s="1"/>
  <c r="ER90" i="10"/>
  <c r="ER44" i="10" s="1"/>
  <c r="AS90" i="10"/>
  <c r="AS44" i="10" s="1"/>
  <c r="DE90" i="10"/>
  <c r="DE44" i="10" s="1"/>
  <c r="R90" i="10"/>
  <c r="R44" i="10" s="1"/>
  <c r="AH90" i="10"/>
  <c r="AH44" i="10" s="1"/>
  <c r="AX90" i="10"/>
  <c r="AX44" i="10" s="1"/>
  <c r="BN90" i="10"/>
  <c r="BN44" i="10" s="1"/>
  <c r="CD90" i="10"/>
  <c r="CD44" i="10" s="1"/>
  <c r="CT90" i="10"/>
  <c r="CT44" i="10" s="1"/>
  <c r="DJ90" i="10"/>
  <c r="DJ44" i="10" s="1"/>
  <c r="DZ90" i="10"/>
  <c r="DZ44" i="10" s="1"/>
  <c r="EP90" i="10"/>
  <c r="EP44" i="10" s="1"/>
  <c r="O90" i="10"/>
  <c r="O44" i="10" s="1"/>
  <c r="AE90" i="10"/>
  <c r="AE44" i="10" s="1"/>
  <c r="AU90" i="10"/>
  <c r="AU44" i="10" s="1"/>
  <c r="BK90" i="10"/>
  <c r="BK44" i="10" s="1"/>
  <c r="CA90" i="10"/>
  <c r="CA44" i="10" s="1"/>
  <c r="CQ90" i="10"/>
  <c r="CQ44" i="10" s="1"/>
  <c r="DG90" i="10"/>
  <c r="DG44" i="10" s="1"/>
  <c r="DW90" i="10"/>
  <c r="DW44" i="10" s="1"/>
  <c r="EM90" i="10"/>
  <c r="EM44" i="10" s="1"/>
  <c r="X90" i="10"/>
  <c r="X44" i="10" s="1"/>
  <c r="AN90" i="10"/>
  <c r="AN44" i="10" s="1"/>
  <c r="BD90" i="10"/>
  <c r="BD44" i="10" s="1"/>
  <c r="BT90" i="10"/>
  <c r="BT44" i="10" s="1"/>
  <c r="CJ90" i="10"/>
  <c r="CJ44" i="10" s="1"/>
  <c r="CZ90" i="10"/>
  <c r="CZ44" i="10" s="1"/>
  <c r="DP90" i="10"/>
  <c r="DP44" i="10" s="1"/>
  <c r="EF90" i="10"/>
  <c r="EF44" i="10" s="1"/>
  <c r="BI90" i="10"/>
  <c r="BI44" i="10" s="1"/>
  <c r="DU90" i="10"/>
  <c r="DU44" i="10" s="1"/>
  <c r="V90" i="10"/>
  <c r="V44" i="10" s="1"/>
  <c r="AL90" i="10"/>
  <c r="AL44" i="10" s="1"/>
  <c r="BB90" i="10"/>
  <c r="BB44" i="10" s="1"/>
  <c r="BR90" i="10"/>
  <c r="BR44" i="10" s="1"/>
  <c r="CH90" i="10"/>
  <c r="CH44" i="10" s="1"/>
  <c r="CX90" i="10"/>
  <c r="CX44" i="10" s="1"/>
  <c r="DN90" i="10"/>
  <c r="DN44" i="10" s="1"/>
  <c r="ED90" i="10"/>
  <c r="ED44" i="10" s="1"/>
  <c r="ET90" i="10"/>
  <c r="ET44" i="10" s="1"/>
  <c r="S90" i="10"/>
  <c r="S44" i="10" s="1"/>
  <c r="AI90" i="10"/>
  <c r="AI44" i="10" s="1"/>
  <c r="AY90" i="10"/>
  <c r="AY44" i="10" s="1"/>
  <c r="BO90" i="10"/>
  <c r="BO44" i="10" s="1"/>
  <c r="CE90" i="10"/>
  <c r="CE44" i="10" s="1"/>
  <c r="CU90" i="10"/>
  <c r="CU44" i="10" s="1"/>
  <c r="DK90" i="10"/>
  <c r="DK44" i="10" s="1"/>
  <c r="EA90" i="10"/>
  <c r="EA44" i="10" s="1"/>
  <c r="EQ90" i="10"/>
  <c r="EQ44" i="10" s="1"/>
  <c r="L90" i="10"/>
  <c r="L44" i="10" s="1"/>
  <c r="AB90" i="10"/>
  <c r="AB44" i="10" s="1"/>
  <c r="AR90" i="10"/>
  <c r="AR44" i="10" s="1"/>
  <c r="BH90" i="10"/>
  <c r="BH44" i="10" s="1"/>
  <c r="BX90" i="10"/>
  <c r="BX44" i="10" s="1"/>
  <c r="CN90" i="10"/>
  <c r="CN44" i="10" s="1"/>
  <c r="DD90" i="10"/>
  <c r="DD44" i="10" s="1"/>
  <c r="DT90" i="10"/>
  <c r="DT44" i="10" s="1"/>
  <c r="EJ90" i="10"/>
  <c r="EJ44" i="10" s="1"/>
  <c r="M90" i="10"/>
  <c r="M44" i="10" s="1"/>
  <c r="BY90" i="10"/>
  <c r="BY44" i="10" s="1"/>
  <c r="EK90" i="10"/>
  <c r="EK44" i="10" s="1"/>
  <c r="J90" i="10"/>
  <c r="J44" i="10" s="1"/>
  <c r="Z90" i="10"/>
  <c r="Z44" i="10" s="1"/>
  <c r="AP90" i="10"/>
  <c r="AP44" i="10" s="1"/>
  <c r="BF90" i="10"/>
  <c r="BF44" i="10" s="1"/>
  <c r="BV90" i="10"/>
  <c r="BV44" i="10" s="1"/>
  <c r="CL90" i="10"/>
  <c r="CL44" i="10" s="1"/>
  <c r="DB90" i="10"/>
  <c r="DB44" i="10" s="1"/>
  <c r="DR90" i="10"/>
  <c r="DR44" i="10" s="1"/>
  <c r="EH90" i="10"/>
  <c r="EH44" i="10" s="1"/>
  <c r="W90" i="10"/>
  <c r="W44" i="10" s="1"/>
  <c r="AM90" i="10"/>
  <c r="AM44" i="10" s="1"/>
  <c r="BC90" i="10"/>
  <c r="BC44" i="10" s="1"/>
  <c r="BS90" i="10"/>
  <c r="BS44" i="10" s="1"/>
  <c r="CI90" i="10"/>
  <c r="CI44" i="10" s="1"/>
  <c r="CY90" i="10"/>
  <c r="CY44" i="10" s="1"/>
  <c r="DO90" i="10"/>
  <c r="DO44" i="10" s="1"/>
  <c r="EE90" i="10"/>
  <c r="EE44" i="10" s="1"/>
  <c r="P90" i="10"/>
  <c r="P44" i="10" s="1"/>
  <c r="AF90" i="10"/>
  <c r="AF44" i="10" s="1"/>
  <c r="AV90" i="10"/>
  <c r="AV44" i="10" s="1"/>
  <c r="BL90" i="10"/>
  <c r="BL44" i="10" s="1"/>
  <c r="CB90" i="10"/>
  <c r="CB44" i="10" s="1"/>
  <c r="CR90" i="10"/>
  <c r="CR44" i="10" s="1"/>
  <c r="DH90" i="10"/>
  <c r="DH44" i="10" s="1"/>
  <c r="DX90" i="10"/>
  <c r="DX44" i="10" s="1"/>
  <c r="EN90" i="10"/>
  <c r="EN44" i="10" s="1"/>
  <c r="AC90" i="10"/>
  <c r="AC44" i="10" s="1"/>
  <c r="CO90" i="10"/>
  <c r="CO44" i="10" s="1"/>
  <c r="AW90" i="10"/>
  <c r="AW44" i="10" s="1"/>
  <c r="DI90" i="10"/>
  <c r="DI44" i="10" s="1"/>
  <c r="BQ90" i="10"/>
  <c r="BQ44" i="10" s="1"/>
  <c r="EC90" i="10"/>
  <c r="EC44" i="10" s="1"/>
  <c r="BM90" i="10"/>
  <c r="BM44" i="10" s="1"/>
  <c r="DY90" i="10"/>
  <c r="DY44" i="10" s="1"/>
  <c r="U90" i="10"/>
  <c r="U44" i="10" s="1"/>
  <c r="CG90" i="10"/>
  <c r="CG44" i="10" s="1"/>
  <c r="ES90" i="10"/>
  <c r="ES44" i="10" s="1"/>
  <c r="I90" i="10"/>
  <c r="I44" i="10" s="1"/>
  <c r="Q90" i="10"/>
  <c r="Q44" i="10" s="1"/>
  <c r="CC90" i="10"/>
  <c r="CC44" i="10" s="1"/>
  <c r="EO90" i="10"/>
  <c r="EO44" i="10" s="1"/>
  <c r="AK90" i="10"/>
  <c r="AK44" i="10" s="1"/>
  <c r="CW90" i="10"/>
  <c r="CW44" i="10" s="1"/>
  <c r="BU90" i="10"/>
  <c r="BU44" i="10" s="1"/>
  <c r="AG90" i="10"/>
  <c r="AG44" i="10" s="1"/>
  <c r="CS90" i="10"/>
  <c r="CS44" i="10" s="1"/>
  <c r="BA90" i="10"/>
  <c r="BA44" i="10" s="1"/>
  <c r="DM90" i="10"/>
  <c r="DM44" i="10" s="1"/>
  <c r="EG90" i="10"/>
  <c r="EG44" i="10" s="1"/>
  <c r="DA90" i="10"/>
  <c r="DA44" i="10" s="1"/>
  <c r="Y90" i="10"/>
  <c r="Y44" i="10" s="1"/>
  <c r="CK90" i="10"/>
  <c r="CK44" i="10" s="1"/>
  <c r="AO90" i="10"/>
  <c r="AO44" i="10" s="1"/>
  <c r="DQ90" i="10"/>
  <c r="DQ44" i="10" s="1"/>
  <c r="BE90" i="10"/>
  <c r="BE44" i="10" s="1"/>
  <c r="H90" i="10"/>
  <c r="H44" i="10" s="1"/>
  <c r="G90" i="10"/>
  <c r="G44" i="10" s="1"/>
  <c r="H90" i="15"/>
  <c r="H44" i="15" s="1"/>
  <c r="L90" i="15"/>
  <c r="L44" i="15" s="1"/>
  <c r="AB90" i="15"/>
  <c r="AB44" i="15" s="1"/>
  <c r="AR90" i="15"/>
  <c r="AR44" i="15" s="1"/>
  <c r="BH90" i="15"/>
  <c r="BH44" i="15" s="1"/>
  <c r="BX90" i="15"/>
  <c r="BX44" i="15" s="1"/>
  <c r="CN90" i="15"/>
  <c r="CN44" i="15" s="1"/>
  <c r="DD90" i="15"/>
  <c r="DD44" i="15" s="1"/>
  <c r="DT90" i="15"/>
  <c r="DT44" i="15" s="1"/>
  <c r="EJ90" i="15"/>
  <c r="EJ44" i="15" s="1"/>
  <c r="U90" i="15"/>
  <c r="U44" i="15" s="1"/>
  <c r="AK90" i="15"/>
  <c r="AK44" i="15" s="1"/>
  <c r="N90" i="15"/>
  <c r="N44" i="15" s="1"/>
  <c r="AD90" i="15"/>
  <c r="AD44" i="15" s="1"/>
  <c r="AT90" i="15"/>
  <c r="AT44" i="15" s="1"/>
  <c r="BJ90" i="15"/>
  <c r="BJ44" i="15" s="1"/>
  <c r="BZ90" i="15"/>
  <c r="BZ44" i="15" s="1"/>
  <c r="CP90" i="15"/>
  <c r="CP44" i="15" s="1"/>
  <c r="DF90" i="15"/>
  <c r="DF44" i="15" s="1"/>
  <c r="DV90" i="15"/>
  <c r="DV44" i="15" s="1"/>
  <c r="EL90" i="15"/>
  <c r="EL44" i="15" s="1"/>
  <c r="S90" i="15"/>
  <c r="S44" i="15" s="1"/>
  <c r="AI90" i="15"/>
  <c r="AI44" i="15" s="1"/>
  <c r="AY90" i="15"/>
  <c r="AY44" i="15" s="1"/>
  <c r="BO90" i="15"/>
  <c r="BO44" i="15" s="1"/>
  <c r="CE90" i="15"/>
  <c r="CE44" i="15" s="1"/>
  <c r="CU90" i="15"/>
  <c r="CU44" i="15" s="1"/>
  <c r="DK90" i="15"/>
  <c r="DK44" i="15" s="1"/>
  <c r="EA90" i="15"/>
  <c r="EA44" i="15" s="1"/>
  <c r="EQ90" i="15"/>
  <c r="EQ44" i="15" s="1"/>
  <c r="BM90" i="15"/>
  <c r="BM44" i="15" s="1"/>
  <c r="DY90" i="15"/>
  <c r="DY44" i="15" s="1"/>
  <c r="BA90" i="15"/>
  <c r="BA44" i="15" s="1"/>
  <c r="DM90" i="15"/>
  <c r="DM44" i="15" s="1"/>
  <c r="CK90" i="15"/>
  <c r="CK44" i="15" s="1"/>
  <c r="P90" i="15"/>
  <c r="P44" i="15" s="1"/>
  <c r="AF90" i="15"/>
  <c r="AF44" i="15" s="1"/>
  <c r="AV90" i="15"/>
  <c r="AV44" i="15" s="1"/>
  <c r="BL90" i="15"/>
  <c r="BL44" i="15" s="1"/>
  <c r="CB90" i="15"/>
  <c r="CB44" i="15" s="1"/>
  <c r="CR90" i="15"/>
  <c r="CR44" i="15" s="1"/>
  <c r="DH90" i="15"/>
  <c r="DH44" i="15" s="1"/>
  <c r="DX90" i="15"/>
  <c r="DX44" i="15" s="1"/>
  <c r="EN90" i="15"/>
  <c r="EN44" i="15" s="1"/>
  <c r="I90" i="15"/>
  <c r="I44" i="15" s="1"/>
  <c r="Y90" i="15"/>
  <c r="Y44" i="15" s="1"/>
  <c r="AO90" i="15"/>
  <c r="AO44" i="15" s="1"/>
  <c r="R90" i="15"/>
  <c r="R44" i="15" s="1"/>
  <c r="AH90" i="15"/>
  <c r="AH44" i="15" s="1"/>
  <c r="AX90" i="15"/>
  <c r="AX44" i="15" s="1"/>
  <c r="BN90" i="15"/>
  <c r="BN44" i="15" s="1"/>
  <c r="CD90" i="15"/>
  <c r="CD44" i="15" s="1"/>
  <c r="CT90" i="15"/>
  <c r="CT44" i="15" s="1"/>
  <c r="DJ90" i="15"/>
  <c r="DJ44" i="15" s="1"/>
  <c r="DZ90" i="15"/>
  <c r="DZ44" i="15" s="1"/>
  <c r="EP90" i="15"/>
  <c r="EP44" i="15" s="1"/>
  <c r="W90" i="15"/>
  <c r="W44" i="15" s="1"/>
  <c r="AM90" i="15"/>
  <c r="AM44" i="15" s="1"/>
  <c r="BC90" i="15"/>
  <c r="BC44" i="15" s="1"/>
  <c r="BS90" i="15"/>
  <c r="BS44" i="15" s="1"/>
  <c r="CI90" i="15"/>
  <c r="CI44" i="15" s="1"/>
  <c r="CY90" i="15"/>
  <c r="CY44" i="15" s="1"/>
  <c r="DO90" i="15"/>
  <c r="DO44" i="15" s="1"/>
  <c r="EE90" i="15"/>
  <c r="EE44" i="15" s="1"/>
  <c r="CC90" i="15"/>
  <c r="CC44" i="15" s="1"/>
  <c r="EO90" i="15"/>
  <c r="EO44" i="15" s="1"/>
  <c r="BQ90" i="15"/>
  <c r="BQ44" i="15" s="1"/>
  <c r="EC90" i="15"/>
  <c r="EC44" i="15" s="1"/>
  <c r="DA90" i="15"/>
  <c r="DA44" i="15" s="1"/>
  <c r="T90" i="15"/>
  <c r="T44" i="15" s="1"/>
  <c r="AJ90" i="15"/>
  <c r="AJ44" i="15" s="1"/>
  <c r="AZ90" i="15"/>
  <c r="AZ44" i="15" s="1"/>
  <c r="BP90" i="15"/>
  <c r="BP44" i="15" s="1"/>
  <c r="CF90" i="15"/>
  <c r="CF44" i="15" s="1"/>
  <c r="CV90" i="15"/>
  <c r="CV44" i="15" s="1"/>
  <c r="DL90" i="15"/>
  <c r="DL44" i="15" s="1"/>
  <c r="EB90" i="15"/>
  <c r="EB44" i="15" s="1"/>
  <c r="ER90" i="15"/>
  <c r="ER44" i="15" s="1"/>
  <c r="M90" i="15"/>
  <c r="M44" i="15" s="1"/>
  <c r="AC90" i="15"/>
  <c r="AC44" i="15" s="1"/>
  <c r="AS90" i="15"/>
  <c r="AS44" i="15" s="1"/>
  <c r="V90" i="15"/>
  <c r="V44" i="15" s="1"/>
  <c r="AL90" i="15"/>
  <c r="AL44" i="15" s="1"/>
  <c r="BB90" i="15"/>
  <c r="BB44" i="15" s="1"/>
  <c r="BR90" i="15"/>
  <c r="BR44" i="15" s="1"/>
  <c r="CH90" i="15"/>
  <c r="CH44" i="15" s="1"/>
  <c r="CX90" i="15"/>
  <c r="CX44" i="15" s="1"/>
  <c r="DN90" i="15"/>
  <c r="DN44" i="15" s="1"/>
  <c r="ED90" i="15"/>
  <c r="ED44" i="15" s="1"/>
  <c r="ET90" i="15"/>
  <c r="ET44" i="15" s="1"/>
  <c r="K90" i="15"/>
  <c r="K44" i="15" s="1"/>
  <c r="AA90" i="15"/>
  <c r="AA44" i="15" s="1"/>
  <c r="AQ90" i="15"/>
  <c r="AQ44" i="15" s="1"/>
  <c r="BG90" i="15"/>
  <c r="BG44" i="15" s="1"/>
  <c r="BW90" i="15"/>
  <c r="BW44" i="15" s="1"/>
  <c r="CM90" i="15"/>
  <c r="CM44" i="15" s="1"/>
  <c r="DC90" i="15"/>
  <c r="DC44" i="15" s="1"/>
  <c r="DS90" i="15"/>
  <c r="DS44" i="15" s="1"/>
  <c r="EI90" i="15"/>
  <c r="EI44" i="15" s="1"/>
  <c r="CS90" i="15"/>
  <c r="CS44" i="15" s="1"/>
  <c r="CG90" i="15"/>
  <c r="CG44" i="15" s="1"/>
  <c r="ES90" i="15"/>
  <c r="ES44" i="15" s="1"/>
  <c r="BE90" i="15"/>
  <c r="BE44" i="15" s="1"/>
  <c r="DQ90" i="15"/>
  <c r="DQ44" i="15" s="1"/>
  <c r="X90" i="15"/>
  <c r="X44" i="15" s="1"/>
  <c r="AN90" i="15"/>
  <c r="AN44" i="15" s="1"/>
  <c r="BD90" i="15"/>
  <c r="BD44" i="15" s="1"/>
  <c r="BT90" i="15"/>
  <c r="BT44" i="15" s="1"/>
  <c r="CJ90" i="15"/>
  <c r="CJ44" i="15" s="1"/>
  <c r="CZ90" i="15"/>
  <c r="CZ44" i="15" s="1"/>
  <c r="DP90" i="15"/>
  <c r="DP44" i="15" s="1"/>
  <c r="EF90" i="15"/>
  <c r="EF44" i="15" s="1"/>
  <c r="Q90" i="15"/>
  <c r="Q44" i="15" s="1"/>
  <c r="AG90" i="15"/>
  <c r="AG44" i="15" s="1"/>
  <c r="J90" i="15"/>
  <c r="J44" i="15" s="1"/>
  <c r="Z90" i="15"/>
  <c r="Z44" i="15" s="1"/>
  <c r="AP90" i="15"/>
  <c r="AP44" i="15" s="1"/>
  <c r="BF90" i="15"/>
  <c r="BF44" i="15" s="1"/>
  <c r="BV90" i="15"/>
  <c r="BV44" i="15" s="1"/>
  <c r="CL90" i="15"/>
  <c r="CL44" i="15" s="1"/>
  <c r="DB90" i="15"/>
  <c r="DB44" i="15" s="1"/>
  <c r="DR90" i="15"/>
  <c r="DR44" i="15" s="1"/>
  <c r="EH90" i="15"/>
  <c r="EH44" i="15" s="1"/>
  <c r="O90" i="15"/>
  <c r="O44" i="15" s="1"/>
  <c r="AE90" i="15"/>
  <c r="AE44" i="15" s="1"/>
  <c r="AU90" i="15"/>
  <c r="AU44" i="15" s="1"/>
  <c r="BK90" i="15"/>
  <c r="BK44" i="15" s="1"/>
  <c r="CA90" i="15"/>
  <c r="CA44" i="15" s="1"/>
  <c r="CQ90" i="15"/>
  <c r="CQ44" i="15" s="1"/>
  <c r="DG90" i="15"/>
  <c r="DG44" i="15" s="1"/>
  <c r="DW90" i="15"/>
  <c r="DW44" i="15" s="1"/>
  <c r="EM90" i="15"/>
  <c r="EM44" i="15" s="1"/>
  <c r="AW90" i="15"/>
  <c r="AW44" i="15" s="1"/>
  <c r="DI90" i="15"/>
  <c r="DI44" i="15" s="1"/>
  <c r="CW90" i="15"/>
  <c r="CW44" i="15" s="1"/>
  <c r="BU90" i="15"/>
  <c r="BU44" i="15" s="1"/>
  <c r="EG90" i="15"/>
  <c r="EG44" i="15" s="1"/>
  <c r="BY90" i="15"/>
  <c r="BY44" i="15" s="1"/>
  <c r="EK90" i="15"/>
  <c r="EK44" i="15" s="1"/>
  <c r="CO90" i="15"/>
  <c r="CO44" i="15" s="1"/>
  <c r="DE90" i="15"/>
  <c r="DE44" i="15" s="1"/>
  <c r="BI90" i="15"/>
  <c r="BI44" i="15" s="1"/>
  <c r="DU90" i="15"/>
  <c r="DU44" i="15" s="1"/>
  <c r="G90" i="15"/>
  <c r="G44" i="15" s="1"/>
  <c r="F45" i="15"/>
  <c r="F45" i="10"/>
  <c r="AR57" i="5"/>
  <c r="C92" i="5" s="1"/>
  <c r="D96" i="2"/>
  <c r="D92" i="5" l="1"/>
  <c r="S92" i="5"/>
  <c r="O92" i="5"/>
  <c r="K92" i="5"/>
  <c r="G92" i="5"/>
  <c r="R92" i="5"/>
  <c r="M92" i="5"/>
  <c r="H92" i="5"/>
  <c r="Q92" i="5"/>
  <c r="L92" i="5"/>
  <c r="F92" i="5"/>
  <c r="N92" i="5"/>
  <c r="E92" i="5"/>
  <c r="J92" i="5"/>
  <c r="P92" i="5"/>
  <c r="T92" i="5"/>
  <c r="I92" i="5"/>
  <c r="H96" i="2"/>
  <c r="L96" i="2"/>
  <c r="P96" i="2"/>
  <c r="T96" i="2"/>
  <c r="I96" i="2"/>
  <c r="M96" i="2"/>
  <c r="Q96" i="2"/>
  <c r="U96" i="2"/>
  <c r="J96" i="2"/>
  <c r="N96" i="2"/>
  <c r="R96" i="2"/>
  <c r="S96" i="2"/>
  <c r="K96" i="2"/>
  <c r="O96" i="2"/>
  <c r="D1755" i="12"/>
  <c r="F1754" i="12"/>
  <c r="E1754" i="12"/>
  <c r="EQ52" i="5"/>
  <c r="BF57" i="5"/>
  <c r="BC57" i="5"/>
  <c r="AR53" i="2"/>
  <c r="BB52" i="2"/>
  <c r="P91" i="10"/>
  <c r="P45" i="10" s="1"/>
  <c r="AF91" i="10"/>
  <c r="AF45" i="10" s="1"/>
  <c r="AV91" i="10"/>
  <c r="AV45" i="10" s="1"/>
  <c r="BL91" i="10"/>
  <c r="BL45" i="10" s="1"/>
  <c r="CB91" i="10"/>
  <c r="CB45" i="10" s="1"/>
  <c r="CR91" i="10"/>
  <c r="CR45" i="10" s="1"/>
  <c r="DH91" i="10"/>
  <c r="DH45" i="10" s="1"/>
  <c r="DX91" i="10"/>
  <c r="DX45" i="10" s="1"/>
  <c r="EN91" i="10"/>
  <c r="EN45" i="10" s="1"/>
  <c r="M91" i="10"/>
  <c r="M45" i="10" s="1"/>
  <c r="AC91" i="10"/>
  <c r="AC45" i="10" s="1"/>
  <c r="AS91" i="10"/>
  <c r="AS45" i="10" s="1"/>
  <c r="BI91" i="10"/>
  <c r="BI45" i="10" s="1"/>
  <c r="BY91" i="10"/>
  <c r="BY45" i="10" s="1"/>
  <c r="CO91" i="10"/>
  <c r="CO45" i="10" s="1"/>
  <c r="DE91" i="10"/>
  <c r="DE45" i="10" s="1"/>
  <c r="DU91" i="10"/>
  <c r="DU45" i="10" s="1"/>
  <c r="EK91" i="10"/>
  <c r="EK45" i="10" s="1"/>
  <c r="V91" i="10"/>
  <c r="V45" i="10" s="1"/>
  <c r="AL91" i="10"/>
  <c r="AL45" i="10" s="1"/>
  <c r="BB91" i="10"/>
  <c r="BB45" i="10" s="1"/>
  <c r="BR91" i="10"/>
  <c r="BR45" i="10" s="1"/>
  <c r="CH91" i="10"/>
  <c r="CH45" i="10" s="1"/>
  <c r="CX91" i="10"/>
  <c r="CX45" i="10" s="1"/>
  <c r="DN91" i="10"/>
  <c r="DN45" i="10" s="1"/>
  <c r="ED91" i="10"/>
  <c r="ED45" i="10" s="1"/>
  <c r="ET91" i="10"/>
  <c r="ET45" i="10" s="1"/>
  <c r="AE91" i="10"/>
  <c r="AE45" i="10" s="1"/>
  <c r="CQ91" i="10"/>
  <c r="CQ45" i="10" s="1"/>
  <c r="T91" i="10"/>
  <c r="T45" i="10" s="1"/>
  <c r="AJ91" i="10"/>
  <c r="AJ45" i="10" s="1"/>
  <c r="AZ91" i="10"/>
  <c r="AZ45" i="10" s="1"/>
  <c r="BP91" i="10"/>
  <c r="BP45" i="10" s="1"/>
  <c r="CF91" i="10"/>
  <c r="CF45" i="10" s="1"/>
  <c r="CV91" i="10"/>
  <c r="CV45" i="10" s="1"/>
  <c r="DL91" i="10"/>
  <c r="DL45" i="10" s="1"/>
  <c r="EB91" i="10"/>
  <c r="EB45" i="10" s="1"/>
  <c r="ER91" i="10"/>
  <c r="ER45" i="10" s="1"/>
  <c r="Q91" i="10"/>
  <c r="Q45" i="10" s="1"/>
  <c r="AG91" i="10"/>
  <c r="AG45" i="10" s="1"/>
  <c r="AW91" i="10"/>
  <c r="AW45" i="10" s="1"/>
  <c r="BM91" i="10"/>
  <c r="BM45" i="10" s="1"/>
  <c r="CC91" i="10"/>
  <c r="CC45" i="10" s="1"/>
  <c r="CS91" i="10"/>
  <c r="CS45" i="10" s="1"/>
  <c r="DI91" i="10"/>
  <c r="DI45" i="10" s="1"/>
  <c r="DY91" i="10"/>
  <c r="DY45" i="10" s="1"/>
  <c r="EO91" i="10"/>
  <c r="EO45" i="10" s="1"/>
  <c r="J91" i="10"/>
  <c r="J45" i="10" s="1"/>
  <c r="Z91" i="10"/>
  <c r="Z45" i="10" s="1"/>
  <c r="AP91" i="10"/>
  <c r="AP45" i="10" s="1"/>
  <c r="BF91" i="10"/>
  <c r="BF45" i="10" s="1"/>
  <c r="BV91" i="10"/>
  <c r="BV45" i="10" s="1"/>
  <c r="CL91" i="10"/>
  <c r="CL45" i="10" s="1"/>
  <c r="DB91" i="10"/>
  <c r="DB45" i="10" s="1"/>
  <c r="DR91" i="10"/>
  <c r="DR45" i="10" s="1"/>
  <c r="EH91" i="10"/>
  <c r="EH45" i="10" s="1"/>
  <c r="AU91" i="10"/>
  <c r="AU45" i="10" s="1"/>
  <c r="DG91" i="10"/>
  <c r="DG45" i="10" s="1"/>
  <c r="X91" i="10"/>
  <c r="X45" i="10" s="1"/>
  <c r="AN91" i="10"/>
  <c r="AN45" i="10" s="1"/>
  <c r="BD91" i="10"/>
  <c r="BD45" i="10" s="1"/>
  <c r="BT91" i="10"/>
  <c r="BT45" i="10" s="1"/>
  <c r="CJ91" i="10"/>
  <c r="CJ45" i="10" s="1"/>
  <c r="CZ91" i="10"/>
  <c r="CZ45" i="10" s="1"/>
  <c r="DP91" i="10"/>
  <c r="DP45" i="10" s="1"/>
  <c r="EF91" i="10"/>
  <c r="EF45" i="10" s="1"/>
  <c r="U91" i="10"/>
  <c r="U45" i="10" s="1"/>
  <c r="AK91" i="10"/>
  <c r="AK45" i="10" s="1"/>
  <c r="BA91" i="10"/>
  <c r="BA45" i="10" s="1"/>
  <c r="BQ91" i="10"/>
  <c r="BQ45" i="10" s="1"/>
  <c r="CG91" i="10"/>
  <c r="CG45" i="10" s="1"/>
  <c r="CW91" i="10"/>
  <c r="CW45" i="10" s="1"/>
  <c r="DM91" i="10"/>
  <c r="DM45" i="10" s="1"/>
  <c r="EC91" i="10"/>
  <c r="EC45" i="10" s="1"/>
  <c r="ES91" i="10"/>
  <c r="ES45" i="10" s="1"/>
  <c r="N91" i="10"/>
  <c r="N45" i="10" s="1"/>
  <c r="AD91" i="10"/>
  <c r="AD45" i="10" s="1"/>
  <c r="AT91" i="10"/>
  <c r="AT45" i="10" s="1"/>
  <c r="BJ91" i="10"/>
  <c r="BJ45" i="10" s="1"/>
  <c r="BZ91" i="10"/>
  <c r="BZ45" i="10" s="1"/>
  <c r="CP91" i="10"/>
  <c r="CP45" i="10" s="1"/>
  <c r="DF91" i="10"/>
  <c r="DF45" i="10" s="1"/>
  <c r="DV91" i="10"/>
  <c r="DV45" i="10" s="1"/>
  <c r="EL91" i="10"/>
  <c r="EL45" i="10" s="1"/>
  <c r="BK91" i="10"/>
  <c r="BK45" i="10" s="1"/>
  <c r="DW91" i="10"/>
  <c r="DW45" i="10" s="1"/>
  <c r="L91" i="10"/>
  <c r="L45" i="10" s="1"/>
  <c r="AB91" i="10"/>
  <c r="AB45" i="10" s="1"/>
  <c r="AR91" i="10"/>
  <c r="AR45" i="10" s="1"/>
  <c r="BH91" i="10"/>
  <c r="BH45" i="10" s="1"/>
  <c r="BX91" i="10"/>
  <c r="BX45" i="10" s="1"/>
  <c r="CN91" i="10"/>
  <c r="CN45" i="10" s="1"/>
  <c r="DD91" i="10"/>
  <c r="DD45" i="10" s="1"/>
  <c r="DT91" i="10"/>
  <c r="DT45" i="10" s="1"/>
  <c r="EJ91" i="10"/>
  <c r="EJ45" i="10" s="1"/>
  <c r="I91" i="10"/>
  <c r="I45" i="10" s="1"/>
  <c r="Y91" i="10"/>
  <c r="Y45" i="10" s="1"/>
  <c r="AO91" i="10"/>
  <c r="AO45" i="10" s="1"/>
  <c r="BE91" i="10"/>
  <c r="BE45" i="10" s="1"/>
  <c r="BU91" i="10"/>
  <c r="BU45" i="10" s="1"/>
  <c r="CK91" i="10"/>
  <c r="CK45" i="10" s="1"/>
  <c r="DA91" i="10"/>
  <c r="DA45" i="10" s="1"/>
  <c r="DQ91" i="10"/>
  <c r="DQ45" i="10" s="1"/>
  <c r="EG91" i="10"/>
  <c r="EG45" i="10" s="1"/>
  <c r="R91" i="10"/>
  <c r="R45" i="10" s="1"/>
  <c r="AH91" i="10"/>
  <c r="AH45" i="10" s="1"/>
  <c r="AX91" i="10"/>
  <c r="AX45" i="10" s="1"/>
  <c r="BN91" i="10"/>
  <c r="BN45" i="10" s="1"/>
  <c r="CD91" i="10"/>
  <c r="CD45" i="10" s="1"/>
  <c r="CT91" i="10"/>
  <c r="CT45" i="10" s="1"/>
  <c r="DJ91" i="10"/>
  <c r="DJ45" i="10" s="1"/>
  <c r="DZ91" i="10"/>
  <c r="DZ45" i="10" s="1"/>
  <c r="EP91" i="10"/>
  <c r="EP45" i="10" s="1"/>
  <c r="O91" i="10"/>
  <c r="O45" i="10" s="1"/>
  <c r="CA91" i="10"/>
  <c r="CA45" i="10" s="1"/>
  <c r="EM91" i="10"/>
  <c r="EM45" i="10" s="1"/>
  <c r="AI91" i="10"/>
  <c r="AI45" i="10" s="1"/>
  <c r="CU91" i="10"/>
  <c r="CU45" i="10" s="1"/>
  <c r="BC91" i="10"/>
  <c r="BC45" i="10" s="1"/>
  <c r="DO91" i="10"/>
  <c r="DO45" i="10" s="1"/>
  <c r="BG91" i="10"/>
  <c r="BG45" i="10" s="1"/>
  <c r="AY91" i="10"/>
  <c r="AY45" i="10" s="1"/>
  <c r="DK91" i="10"/>
  <c r="DK45" i="10" s="1"/>
  <c r="BS91" i="10"/>
  <c r="BS45" i="10" s="1"/>
  <c r="EE91" i="10"/>
  <c r="EE45" i="10" s="1"/>
  <c r="BO91" i="10"/>
  <c r="BO45" i="10" s="1"/>
  <c r="EA91" i="10"/>
  <c r="EA45" i="10" s="1"/>
  <c r="W91" i="10"/>
  <c r="W45" i="10" s="1"/>
  <c r="CI91" i="10"/>
  <c r="CI45" i="10" s="1"/>
  <c r="S91" i="10"/>
  <c r="S45" i="10" s="1"/>
  <c r="CE91" i="10"/>
  <c r="CE45" i="10" s="1"/>
  <c r="EQ91" i="10"/>
  <c r="EQ45" i="10" s="1"/>
  <c r="AM91" i="10"/>
  <c r="AM45" i="10" s="1"/>
  <c r="CY91" i="10"/>
  <c r="CY45" i="10" s="1"/>
  <c r="DS91" i="10"/>
  <c r="DS45" i="10" s="1"/>
  <c r="BW91" i="10"/>
  <c r="BW45" i="10" s="1"/>
  <c r="EI91" i="10"/>
  <c r="EI45" i="10" s="1"/>
  <c r="AA91" i="10"/>
  <c r="AA45" i="10" s="1"/>
  <c r="CM91" i="10"/>
  <c r="CM45" i="10" s="1"/>
  <c r="K91" i="10"/>
  <c r="K45" i="10" s="1"/>
  <c r="AQ91" i="10"/>
  <c r="AQ45" i="10" s="1"/>
  <c r="DC91" i="10"/>
  <c r="DC45" i="10" s="1"/>
  <c r="H91" i="10"/>
  <c r="H45" i="10" s="1"/>
  <c r="G91" i="10"/>
  <c r="G45" i="10" s="1"/>
  <c r="M91" i="15"/>
  <c r="M45" i="15" s="1"/>
  <c r="O91" i="15"/>
  <c r="O45" i="15" s="1"/>
  <c r="AE91" i="15"/>
  <c r="AE45" i="15" s="1"/>
  <c r="AU91" i="15"/>
  <c r="AU45" i="15" s="1"/>
  <c r="BK91" i="15"/>
  <c r="BK45" i="15" s="1"/>
  <c r="CA91" i="15"/>
  <c r="CA45" i="15" s="1"/>
  <c r="CQ91" i="15"/>
  <c r="CQ45" i="15" s="1"/>
  <c r="DG91" i="15"/>
  <c r="DG45" i="15" s="1"/>
  <c r="DW91" i="15"/>
  <c r="DW45" i="15" s="1"/>
  <c r="EM91" i="15"/>
  <c r="EM45" i="15" s="1"/>
  <c r="T91" i="15"/>
  <c r="T45" i="15" s="1"/>
  <c r="AJ91" i="15"/>
  <c r="AJ45" i="15" s="1"/>
  <c r="AZ91" i="15"/>
  <c r="AZ45" i="15" s="1"/>
  <c r="BP91" i="15"/>
  <c r="BP45" i="15" s="1"/>
  <c r="CF91" i="15"/>
  <c r="CF45" i="15" s="1"/>
  <c r="CV91" i="15"/>
  <c r="CV45" i="15" s="1"/>
  <c r="DL91" i="15"/>
  <c r="DL45" i="15" s="1"/>
  <c r="EB91" i="15"/>
  <c r="EB45" i="15" s="1"/>
  <c r="ER91" i="15"/>
  <c r="ER45" i="15" s="1"/>
  <c r="AG91" i="15"/>
  <c r="AG45" i="15" s="1"/>
  <c r="BM91" i="15"/>
  <c r="BM45" i="15" s="1"/>
  <c r="CS91" i="15"/>
  <c r="CS45" i="15" s="1"/>
  <c r="DY91" i="15"/>
  <c r="DY45" i="15" s="1"/>
  <c r="Z91" i="15"/>
  <c r="Z45" i="15" s="1"/>
  <c r="BF91" i="15"/>
  <c r="BF45" i="15" s="1"/>
  <c r="CL91" i="15"/>
  <c r="CL45" i="15" s="1"/>
  <c r="DR91" i="15"/>
  <c r="DR45" i="15" s="1"/>
  <c r="J91" i="15"/>
  <c r="J45" i="15" s="1"/>
  <c r="AS91" i="15"/>
  <c r="AS45" i="15" s="1"/>
  <c r="BY91" i="15"/>
  <c r="BY45" i="15" s="1"/>
  <c r="DE91" i="15"/>
  <c r="DE45" i="15" s="1"/>
  <c r="EK91" i="15"/>
  <c r="EK45" i="15" s="1"/>
  <c r="S91" i="15"/>
  <c r="S45" i="15" s="1"/>
  <c r="AI91" i="15"/>
  <c r="AI45" i="15" s="1"/>
  <c r="AY91" i="15"/>
  <c r="AY45" i="15" s="1"/>
  <c r="BO91" i="15"/>
  <c r="BO45" i="15" s="1"/>
  <c r="CE91" i="15"/>
  <c r="CE45" i="15" s="1"/>
  <c r="CU91" i="15"/>
  <c r="CU45" i="15" s="1"/>
  <c r="DK91" i="15"/>
  <c r="DK45" i="15" s="1"/>
  <c r="EA91" i="15"/>
  <c r="EA45" i="15" s="1"/>
  <c r="EQ91" i="15"/>
  <c r="EQ45" i="15" s="1"/>
  <c r="H91" i="15"/>
  <c r="H45" i="15" s="1"/>
  <c r="X91" i="15"/>
  <c r="X45" i="15" s="1"/>
  <c r="AN91" i="15"/>
  <c r="AN45" i="15" s="1"/>
  <c r="BD91" i="15"/>
  <c r="BD45" i="15" s="1"/>
  <c r="BT91" i="15"/>
  <c r="BT45" i="15" s="1"/>
  <c r="CJ91" i="15"/>
  <c r="CJ45" i="15" s="1"/>
  <c r="CZ91" i="15"/>
  <c r="CZ45" i="15" s="1"/>
  <c r="DP91" i="15"/>
  <c r="DP45" i="15" s="1"/>
  <c r="EF91" i="15"/>
  <c r="EF45" i="15" s="1"/>
  <c r="AO91" i="15"/>
  <c r="AO45" i="15" s="1"/>
  <c r="BU91" i="15"/>
  <c r="BU45" i="15" s="1"/>
  <c r="DA91" i="15"/>
  <c r="DA45" i="15" s="1"/>
  <c r="EG91" i="15"/>
  <c r="EG45" i="15" s="1"/>
  <c r="AH91" i="15"/>
  <c r="AH45" i="15" s="1"/>
  <c r="BN91" i="15"/>
  <c r="BN45" i="15" s="1"/>
  <c r="CT91" i="15"/>
  <c r="CT45" i="15" s="1"/>
  <c r="DZ91" i="15"/>
  <c r="DZ45" i="15" s="1"/>
  <c r="U91" i="15"/>
  <c r="U45" i="15" s="1"/>
  <c r="BA91" i="15"/>
  <c r="BA45" i="15" s="1"/>
  <c r="CG91" i="15"/>
  <c r="CG45" i="15" s="1"/>
  <c r="DM91" i="15"/>
  <c r="DM45" i="15" s="1"/>
  <c r="ES91" i="15"/>
  <c r="ES45" i="15" s="1"/>
  <c r="W91" i="15"/>
  <c r="W45" i="15" s="1"/>
  <c r="AM91" i="15"/>
  <c r="AM45" i="15" s="1"/>
  <c r="BC91" i="15"/>
  <c r="BC45" i="15" s="1"/>
  <c r="BS91" i="15"/>
  <c r="BS45" i="15" s="1"/>
  <c r="CI91" i="15"/>
  <c r="CI45" i="15" s="1"/>
  <c r="CY91" i="15"/>
  <c r="CY45" i="15" s="1"/>
  <c r="DO91" i="15"/>
  <c r="DO45" i="15" s="1"/>
  <c r="EE91" i="15"/>
  <c r="EE45" i="15" s="1"/>
  <c r="L91" i="15"/>
  <c r="L45" i="15" s="1"/>
  <c r="AB91" i="15"/>
  <c r="AB45" i="15" s="1"/>
  <c r="AR91" i="15"/>
  <c r="AR45" i="15" s="1"/>
  <c r="BH91" i="15"/>
  <c r="BH45" i="15" s="1"/>
  <c r="BX91" i="15"/>
  <c r="BX45" i="15" s="1"/>
  <c r="CN91" i="15"/>
  <c r="CN45" i="15" s="1"/>
  <c r="DD91" i="15"/>
  <c r="DD45" i="15" s="1"/>
  <c r="DT91" i="15"/>
  <c r="DT45" i="15" s="1"/>
  <c r="EJ91" i="15"/>
  <c r="EJ45" i="15" s="1"/>
  <c r="Q91" i="15"/>
  <c r="Q45" i="15" s="1"/>
  <c r="AW91" i="15"/>
  <c r="AW45" i="15" s="1"/>
  <c r="CC91" i="15"/>
  <c r="CC45" i="15" s="1"/>
  <c r="DI91" i="15"/>
  <c r="DI45" i="15" s="1"/>
  <c r="EO91" i="15"/>
  <c r="EO45" i="15" s="1"/>
  <c r="AP91" i="15"/>
  <c r="AP45" i="15" s="1"/>
  <c r="BV91" i="15"/>
  <c r="BV45" i="15" s="1"/>
  <c r="DB91" i="15"/>
  <c r="DB45" i="15" s="1"/>
  <c r="EH91" i="15"/>
  <c r="EH45" i="15" s="1"/>
  <c r="AC91" i="15"/>
  <c r="AC45" i="15" s="1"/>
  <c r="BI91" i="15"/>
  <c r="BI45" i="15" s="1"/>
  <c r="CO91" i="15"/>
  <c r="CO45" i="15" s="1"/>
  <c r="DU91" i="15"/>
  <c r="DU45" i="15" s="1"/>
  <c r="I91" i="15"/>
  <c r="I45" i="15" s="1"/>
  <c r="K91" i="15"/>
  <c r="K45" i="15" s="1"/>
  <c r="AA91" i="15"/>
  <c r="AA45" i="15" s="1"/>
  <c r="AQ91" i="15"/>
  <c r="AQ45" i="15" s="1"/>
  <c r="BG91" i="15"/>
  <c r="BG45" i="15" s="1"/>
  <c r="BW91" i="15"/>
  <c r="BW45" i="15" s="1"/>
  <c r="CM91" i="15"/>
  <c r="CM45" i="15" s="1"/>
  <c r="DC91" i="15"/>
  <c r="DC45" i="15" s="1"/>
  <c r="DS91" i="15"/>
  <c r="DS45" i="15" s="1"/>
  <c r="EI91" i="15"/>
  <c r="EI45" i="15" s="1"/>
  <c r="P91" i="15"/>
  <c r="P45" i="15" s="1"/>
  <c r="AF91" i="15"/>
  <c r="AF45" i="15" s="1"/>
  <c r="AV91" i="15"/>
  <c r="AV45" i="15" s="1"/>
  <c r="BL91" i="15"/>
  <c r="BL45" i="15" s="1"/>
  <c r="CB91" i="15"/>
  <c r="CB45" i="15" s="1"/>
  <c r="CR91" i="15"/>
  <c r="CR45" i="15" s="1"/>
  <c r="DH91" i="15"/>
  <c r="DH45" i="15" s="1"/>
  <c r="DX91" i="15"/>
  <c r="DX45" i="15" s="1"/>
  <c r="EN91" i="15"/>
  <c r="EN45" i="15" s="1"/>
  <c r="Y91" i="15"/>
  <c r="Y45" i="15" s="1"/>
  <c r="BE91" i="15"/>
  <c r="BE45" i="15" s="1"/>
  <c r="CK91" i="15"/>
  <c r="CK45" i="15" s="1"/>
  <c r="DQ91" i="15"/>
  <c r="DQ45" i="15" s="1"/>
  <c r="R91" i="15"/>
  <c r="R45" i="15" s="1"/>
  <c r="AX91" i="15"/>
  <c r="AX45" i="15" s="1"/>
  <c r="CD91" i="15"/>
  <c r="CD45" i="15" s="1"/>
  <c r="DJ91" i="15"/>
  <c r="DJ45" i="15" s="1"/>
  <c r="EP91" i="15"/>
  <c r="EP45" i="15" s="1"/>
  <c r="AK91" i="15"/>
  <c r="AK45" i="15" s="1"/>
  <c r="BQ91" i="15"/>
  <c r="BQ45" i="15" s="1"/>
  <c r="CW91" i="15"/>
  <c r="CW45" i="15" s="1"/>
  <c r="EC91" i="15"/>
  <c r="EC45" i="15" s="1"/>
  <c r="AL91" i="15"/>
  <c r="AL45" i="15" s="1"/>
  <c r="BR91" i="15"/>
  <c r="BR45" i="15" s="1"/>
  <c r="CX91" i="15"/>
  <c r="CX45" i="15" s="1"/>
  <c r="ED91" i="15"/>
  <c r="ED45" i="15" s="1"/>
  <c r="N91" i="15"/>
  <c r="N45" i="15" s="1"/>
  <c r="AT91" i="15"/>
  <c r="AT45" i="15" s="1"/>
  <c r="BZ91" i="15"/>
  <c r="BZ45" i="15" s="1"/>
  <c r="DF91" i="15"/>
  <c r="DF45" i="15" s="1"/>
  <c r="EL91" i="15"/>
  <c r="EL45" i="15" s="1"/>
  <c r="V91" i="15"/>
  <c r="V45" i="15" s="1"/>
  <c r="BB91" i="15"/>
  <c r="BB45" i="15" s="1"/>
  <c r="CH91" i="15"/>
  <c r="CH45" i="15" s="1"/>
  <c r="DN91" i="15"/>
  <c r="DN45" i="15" s="1"/>
  <c r="ET91" i="15"/>
  <c r="ET45" i="15" s="1"/>
  <c r="AD91" i="15"/>
  <c r="AD45" i="15" s="1"/>
  <c r="BJ91" i="15"/>
  <c r="BJ45" i="15" s="1"/>
  <c r="CP91" i="15"/>
  <c r="CP45" i="15" s="1"/>
  <c r="DV91" i="15"/>
  <c r="DV45" i="15" s="1"/>
  <c r="G91" i="15"/>
  <c r="G45" i="15" s="1"/>
  <c r="F46" i="15"/>
  <c r="F46" i="10"/>
  <c r="D97" i="2"/>
  <c r="AR58" i="5"/>
  <c r="C93" i="5" s="1"/>
  <c r="D93" i="5" l="1"/>
  <c r="S93" i="5"/>
  <c r="O93" i="5"/>
  <c r="K93" i="5"/>
  <c r="G93" i="5"/>
  <c r="R93" i="5"/>
  <c r="M93" i="5"/>
  <c r="H93" i="5"/>
  <c r="Q93" i="5"/>
  <c r="L93" i="5"/>
  <c r="F93" i="5"/>
  <c r="T93" i="5"/>
  <c r="I93" i="5"/>
  <c r="J93" i="5"/>
  <c r="P93" i="5"/>
  <c r="E93" i="5"/>
  <c r="N93" i="5"/>
  <c r="H97" i="2"/>
  <c r="K97" i="2"/>
  <c r="O97" i="2"/>
  <c r="S97" i="2"/>
  <c r="L97" i="2"/>
  <c r="P97" i="2"/>
  <c r="T97" i="2"/>
  <c r="I97" i="2"/>
  <c r="M97" i="2"/>
  <c r="Q97" i="2"/>
  <c r="U97" i="2"/>
  <c r="J97" i="2"/>
  <c r="N97" i="2"/>
  <c r="R97" i="2"/>
  <c r="D1756" i="12"/>
  <c r="E1755" i="12"/>
  <c r="F1755" i="12"/>
  <c r="EQ53" i="5"/>
  <c r="BF58" i="5"/>
  <c r="BC58" i="5"/>
  <c r="AR54" i="2"/>
  <c r="BB53" i="2"/>
  <c r="R92" i="10"/>
  <c r="R46" i="10" s="1"/>
  <c r="AH92" i="10"/>
  <c r="AH46" i="10" s="1"/>
  <c r="AX92" i="10"/>
  <c r="AX46" i="10" s="1"/>
  <c r="BN92" i="10"/>
  <c r="BN46" i="10" s="1"/>
  <c r="CD92" i="10"/>
  <c r="CD46" i="10" s="1"/>
  <c r="CT92" i="10"/>
  <c r="CT46" i="10" s="1"/>
  <c r="O92" i="10"/>
  <c r="O46" i="10" s="1"/>
  <c r="AE92" i="10"/>
  <c r="AE46" i="10" s="1"/>
  <c r="AU92" i="10"/>
  <c r="AU46" i="10" s="1"/>
  <c r="X92" i="10"/>
  <c r="X46" i="10" s="1"/>
  <c r="AN92" i="10"/>
  <c r="AN46" i="10" s="1"/>
  <c r="BD92" i="10"/>
  <c r="BD46" i="10" s="1"/>
  <c r="BT92" i="10"/>
  <c r="BT46" i="10" s="1"/>
  <c r="CJ92" i="10"/>
  <c r="CJ46" i="10" s="1"/>
  <c r="CZ92" i="10"/>
  <c r="CZ46" i="10" s="1"/>
  <c r="DP92" i="10"/>
  <c r="DP46" i="10" s="1"/>
  <c r="EF92" i="10"/>
  <c r="EF46" i="10" s="1"/>
  <c r="Q92" i="10"/>
  <c r="Q46" i="10" s="1"/>
  <c r="BO92" i="10"/>
  <c r="BO46" i="10" s="1"/>
  <c r="CU92" i="10"/>
  <c r="CU46" i="10" s="1"/>
  <c r="DU92" i="10"/>
  <c r="DU46" i="10" s="1"/>
  <c r="EP92" i="10"/>
  <c r="EP46" i="10" s="1"/>
  <c r="V92" i="10"/>
  <c r="V46" i="10" s="1"/>
  <c r="AL92" i="10"/>
  <c r="AL46" i="10" s="1"/>
  <c r="BB92" i="10"/>
  <c r="BB46" i="10" s="1"/>
  <c r="BR92" i="10"/>
  <c r="BR46" i="10" s="1"/>
  <c r="CH92" i="10"/>
  <c r="CH46" i="10" s="1"/>
  <c r="CX92" i="10"/>
  <c r="CX46" i="10" s="1"/>
  <c r="S92" i="10"/>
  <c r="S46" i="10" s="1"/>
  <c r="AI92" i="10"/>
  <c r="AI46" i="10" s="1"/>
  <c r="AY92" i="10"/>
  <c r="AY46" i="10" s="1"/>
  <c r="L92" i="10"/>
  <c r="L46" i="10" s="1"/>
  <c r="AB92" i="10"/>
  <c r="AB46" i="10" s="1"/>
  <c r="AR92" i="10"/>
  <c r="AR46" i="10" s="1"/>
  <c r="BH92" i="10"/>
  <c r="BH46" i="10" s="1"/>
  <c r="BX92" i="10"/>
  <c r="BX46" i="10" s="1"/>
  <c r="CN92" i="10"/>
  <c r="CN46" i="10" s="1"/>
  <c r="DD92" i="10"/>
  <c r="DD46" i="10" s="1"/>
  <c r="DT92" i="10"/>
  <c r="DT46" i="10" s="1"/>
  <c r="EJ92" i="10"/>
  <c r="EJ46" i="10" s="1"/>
  <c r="AG92" i="10"/>
  <c r="AG46" i="10" s="1"/>
  <c r="BW92" i="10"/>
  <c r="BW46" i="10" s="1"/>
  <c r="DC92" i="10"/>
  <c r="DC46" i="10" s="1"/>
  <c r="DZ92" i="10"/>
  <c r="DZ46" i="10" s="1"/>
  <c r="J92" i="10"/>
  <c r="J46" i="10" s="1"/>
  <c r="Z92" i="10"/>
  <c r="Z46" i="10" s="1"/>
  <c r="AP92" i="10"/>
  <c r="AP46" i="10" s="1"/>
  <c r="BF92" i="10"/>
  <c r="BF46" i="10" s="1"/>
  <c r="BV92" i="10"/>
  <c r="BV46" i="10" s="1"/>
  <c r="CL92" i="10"/>
  <c r="CL46" i="10" s="1"/>
  <c r="DB92" i="10"/>
  <c r="DB46" i="10" s="1"/>
  <c r="W92" i="10"/>
  <c r="W46" i="10" s="1"/>
  <c r="AM92" i="10"/>
  <c r="AM46" i="10" s="1"/>
  <c r="P92" i="10"/>
  <c r="P46" i="10" s="1"/>
  <c r="AF92" i="10"/>
  <c r="AF46" i="10" s="1"/>
  <c r="AV92" i="10"/>
  <c r="AV46" i="10" s="1"/>
  <c r="BL92" i="10"/>
  <c r="BL46" i="10" s="1"/>
  <c r="CB92" i="10"/>
  <c r="CB46" i="10" s="1"/>
  <c r="CR92" i="10"/>
  <c r="CR46" i="10" s="1"/>
  <c r="DH92" i="10"/>
  <c r="DH46" i="10" s="1"/>
  <c r="DX92" i="10"/>
  <c r="DX46" i="10" s="1"/>
  <c r="EN92" i="10"/>
  <c r="EN46" i="10" s="1"/>
  <c r="AW92" i="10"/>
  <c r="AW46" i="10" s="1"/>
  <c r="CE92" i="10"/>
  <c r="CE46" i="10" s="1"/>
  <c r="DJ92" i="10"/>
  <c r="DJ46" i="10" s="1"/>
  <c r="EE92" i="10"/>
  <c r="EE46" i="10" s="1"/>
  <c r="N92" i="10"/>
  <c r="N46" i="10" s="1"/>
  <c r="AD92" i="10"/>
  <c r="AD46" i="10" s="1"/>
  <c r="AT92" i="10"/>
  <c r="AT46" i="10" s="1"/>
  <c r="BJ92" i="10"/>
  <c r="BJ46" i="10" s="1"/>
  <c r="BZ92" i="10"/>
  <c r="BZ46" i="10" s="1"/>
  <c r="CP92" i="10"/>
  <c r="CP46" i="10" s="1"/>
  <c r="DF92" i="10"/>
  <c r="DF46" i="10" s="1"/>
  <c r="K92" i="10"/>
  <c r="K46" i="10" s="1"/>
  <c r="AA92" i="10"/>
  <c r="AA46" i="10" s="1"/>
  <c r="AQ92" i="10"/>
  <c r="AQ46" i="10" s="1"/>
  <c r="T92" i="10"/>
  <c r="T46" i="10" s="1"/>
  <c r="AJ92" i="10"/>
  <c r="AJ46" i="10" s="1"/>
  <c r="AZ92" i="10"/>
  <c r="AZ46" i="10" s="1"/>
  <c r="BP92" i="10"/>
  <c r="BP46" i="10" s="1"/>
  <c r="CF92" i="10"/>
  <c r="CF46" i="10" s="1"/>
  <c r="CV92" i="10"/>
  <c r="CV46" i="10" s="1"/>
  <c r="DL92" i="10"/>
  <c r="DL46" i="10" s="1"/>
  <c r="EB92" i="10"/>
  <c r="EB46" i="10" s="1"/>
  <c r="ER92" i="10"/>
  <c r="ER46" i="10" s="1"/>
  <c r="BG92" i="10"/>
  <c r="BG46" i="10" s="1"/>
  <c r="CM92" i="10"/>
  <c r="CM46" i="10" s="1"/>
  <c r="DO92" i="10"/>
  <c r="DO46" i="10" s="1"/>
  <c r="EK92" i="10"/>
  <c r="EK46" i="10" s="1"/>
  <c r="U92" i="10"/>
  <c r="U46" i="10" s="1"/>
  <c r="BQ92" i="10"/>
  <c r="BQ46" i="10" s="1"/>
  <c r="CW92" i="10"/>
  <c r="CW46" i="10" s="1"/>
  <c r="DV92" i="10"/>
  <c r="DV46" i="10" s="1"/>
  <c r="EQ92" i="10"/>
  <c r="EQ46" i="10" s="1"/>
  <c r="AO92" i="10"/>
  <c r="AO46" i="10" s="1"/>
  <c r="CA92" i="10"/>
  <c r="CA46" i="10" s="1"/>
  <c r="DG92" i="10"/>
  <c r="DG46" i="10" s="1"/>
  <c r="EC92" i="10"/>
  <c r="EC46" i="10" s="1"/>
  <c r="AK92" i="10"/>
  <c r="AK46" i="10" s="1"/>
  <c r="BY92" i="10"/>
  <c r="BY46" i="10" s="1"/>
  <c r="DE92" i="10"/>
  <c r="DE46" i="10" s="1"/>
  <c r="EA92" i="10"/>
  <c r="EA46" i="10" s="1"/>
  <c r="BC92" i="10"/>
  <c r="BC46" i="10" s="1"/>
  <c r="CI92" i="10"/>
  <c r="CI46" i="10" s="1"/>
  <c r="DM92" i="10"/>
  <c r="DM46" i="10" s="1"/>
  <c r="EH92" i="10"/>
  <c r="EH46" i="10" s="1"/>
  <c r="BA92" i="10"/>
  <c r="BA46" i="10" s="1"/>
  <c r="CG92" i="10"/>
  <c r="CG46" i="10" s="1"/>
  <c r="DK92" i="10"/>
  <c r="DK46" i="10" s="1"/>
  <c r="EG92" i="10"/>
  <c r="EG46" i="10" s="1"/>
  <c r="I92" i="10"/>
  <c r="I46" i="10" s="1"/>
  <c r="BK92" i="10"/>
  <c r="BK46" i="10" s="1"/>
  <c r="CQ92" i="10"/>
  <c r="CQ46" i="10" s="1"/>
  <c r="DR92" i="10"/>
  <c r="DR46" i="10" s="1"/>
  <c r="EM92" i="10"/>
  <c r="EM46" i="10" s="1"/>
  <c r="BI92" i="10"/>
  <c r="BI46" i="10" s="1"/>
  <c r="CO92" i="10"/>
  <c r="CO46" i="10" s="1"/>
  <c r="DQ92" i="10"/>
  <c r="DQ46" i="10" s="1"/>
  <c r="EL92" i="10"/>
  <c r="EL46" i="10" s="1"/>
  <c r="Y92" i="10"/>
  <c r="Y46" i="10" s="1"/>
  <c r="BS92" i="10"/>
  <c r="BS46" i="10" s="1"/>
  <c r="CY92" i="10"/>
  <c r="CY46" i="10" s="1"/>
  <c r="DW92" i="10"/>
  <c r="DW46" i="10" s="1"/>
  <c r="ES92" i="10"/>
  <c r="ES46" i="10" s="1"/>
  <c r="CC92" i="10"/>
  <c r="CC46" i="10" s="1"/>
  <c r="DN92" i="10"/>
  <c r="DN46" i="10" s="1"/>
  <c r="BM92" i="10"/>
  <c r="BM46" i="10" s="1"/>
  <c r="BU92" i="10"/>
  <c r="BU46" i="10" s="1"/>
  <c r="AS92" i="10"/>
  <c r="AS46" i="10" s="1"/>
  <c r="EI92" i="10"/>
  <c r="EI46" i="10" s="1"/>
  <c r="CS92" i="10"/>
  <c r="CS46" i="10" s="1"/>
  <c r="DI92" i="10"/>
  <c r="DI46" i="10" s="1"/>
  <c r="BE92" i="10"/>
  <c r="BE46" i="10" s="1"/>
  <c r="DS92" i="10"/>
  <c r="DS46" i="10" s="1"/>
  <c r="ED92" i="10"/>
  <c r="ED46" i="10" s="1"/>
  <c r="CK92" i="10"/>
  <c r="CK46" i="10" s="1"/>
  <c r="M92" i="10"/>
  <c r="M46" i="10" s="1"/>
  <c r="EO92" i="10"/>
  <c r="EO46" i="10" s="1"/>
  <c r="ET92" i="10"/>
  <c r="ET46" i="10" s="1"/>
  <c r="AC92" i="10"/>
  <c r="AC46" i="10" s="1"/>
  <c r="DA92" i="10"/>
  <c r="DA46" i="10" s="1"/>
  <c r="DY92" i="10"/>
  <c r="DY46" i="10" s="1"/>
  <c r="H92" i="10"/>
  <c r="H46" i="10" s="1"/>
  <c r="G92" i="10"/>
  <c r="G46" i="10" s="1"/>
  <c r="P92" i="15"/>
  <c r="P46" i="15" s="1"/>
  <c r="AF92" i="15"/>
  <c r="AF46" i="15" s="1"/>
  <c r="AV92" i="15"/>
  <c r="AV46" i="15" s="1"/>
  <c r="BL92" i="15"/>
  <c r="BL46" i="15" s="1"/>
  <c r="CB92" i="15"/>
  <c r="CB46" i="15" s="1"/>
  <c r="CR92" i="15"/>
  <c r="CR46" i="15" s="1"/>
  <c r="DH92" i="15"/>
  <c r="DH46" i="15" s="1"/>
  <c r="DX92" i="15"/>
  <c r="DX46" i="15" s="1"/>
  <c r="EN92" i="15"/>
  <c r="EN46" i="15" s="1"/>
  <c r="U92" i="15"/>
  <c r="U46" i="15" s="1"/>
  <c r="AK92" i="15"/>
  <c r="AK46" i="15" s="1"/>
  <c r="BA92" i="15"/>
  <c r="BA46" i="15" s="1"/>
  <c r="BQ92" i="15"/>
  <c r="BQ46" i="15" s="1"/>
  <c r="CG92" i="15"/>
  <c r="CG46" i="15" s="1"/>
  <c r="CW92" i="15"/>
  <c r="CW46" i="15" s="1"/>
  <c r="DM92" i="15"/>
  <c r="DM46" i="15" s="1"/>
  <c r="EC92" i="15"/>
  <c r="EC46" i="15" s="1"/>
  <c r="ES92" i="15"/>
  <c r="ES46" i="15" s="1"/>
  <c r="R92" i="15"/>
  <c r="R46" i="15" s="1"/>
  <c r="AX92" i="15"/>
  <c r="AX46" i="15" s="1"/>
  <c r="CD92" i="15"/>
  <c r="CD46" i="15" s="1"/>
  <c r="DJ92" i="15"/>
  <c r="DJ46" i="15" s="1"/>
  <c r="EP92" i="15"/>
  <c r="EP46" i="15" s="1"/>
  <c r="K92" i="15"/>
  <c r="K46" i="15" s="1"/>
  <c r="AQ92" i="15"/>
  <c r="AQ46" i="15" s="1"/>
  <c r="BW92" i="15"/>
  <c r="BW46" i="15" s="1"/>
  <c r="DC92" i="15"/>
  <c r="DC46" i="15" s="1"/>
  <c r="EI92" i="15"/>
  <c r="EI46" i="15" s="1"/>
  <c r="AD92" i="15"/>
  <c r="AD46" i="15" s="1"/>
  <c r="BJ92" i="15"/>
  <c r="BJ46" i="15" s="1"/>
  <c r="CP92" i="15"/>
  <c r="CP46" i="15" s="1"/>
  <c r="DV92" i="15"/>
  <c r="DV46" i="15" s="1"/>
  <c r="T92" i="15"/>
  <c r="T46" i="15" s="1"/>
  <c r="AJ92" i="15"/>
  <c r="AJ46" i="15" s="1"/>
  <c r="AZ92" i="15"/>
  <c r="AZ46" i="15" s="1"/>
  <c r="BP92" i="15"/>
  <c r="BP46" i="15" s="1"/>
  <c r="CF92" i="15"/>
  <c r="CF46" i="15" s="1"/>
  <c r="CV92" i="15"/>
  <c r="CV46" i="15" s="1"/>
  <c r="DL92" i="15"/>
  <c r="DL46" i="15" s="1"/>
  <c r="EB92" i="15"/>
  <c r="EB46" i="15" s="1"/>
  <c r="ER92" i="15"/>
  <c r="ER46" i="15" s="1"/>
  <c r="I92" i="15"/>
  <c r="I46" i="15" s="1"/>
  <c r="Y92" i="15"/>
  <c r="Y46" i="15" s="1"/>
  <c r="AO92" i="15"/>
  <c r="AO46" i="15" s="1"/>
  <c r="BE92" i="15"/>
  <c r="BE46" i="15" s="1"/>
  <c r="BU92" i="15"/>
  <c r="BU46" i="15" s="1"/>
  <c r="CK92" i="15"/>
  <c r="CK46" i="15" s="1"/>
  <c r="DA92" i="15"/>
  <c r="DA46" i="15" s="1"/>
  <c r="DQ92" i="15"/>
  <c r="DQ46" i="15" s="1"/>
  <c r="EG92" i="15"/>
  <c r="EG46" i="15" s="1"/>
  <c r="Z92" i="15"/>
  <c r="Z46" i="15" s="1"/>
  <c r="BF92" i="15"/>
  <c r="BF46" i="15" s="1"/>
  <c r="CL92" i="15"/>
  <c r="CL46" i="15" s="1"/>
  <c r="DR92" i="15"/>
  <c r="DR46" i="15" s="1"/>
  <c r="S92" i="15"/>
  <c r="S46" i="15" s="1"/>
  <c r="AY92" i="15"/>
  <c r="AY46" i="15" s="1"/>
  <c r="CE92" i="15"/>
  <c r="CE46" i="15" s="1"/>
  <c r="DK92" i="15"/>
  <c r="DK46" i="15" s="1"/>
  <c r="EQ92" i="15"/>
  <c r="EQ46" i="15" s="1"/>
  <c r="AL92" i="15"/>
  <c r="AL46" i="15" s="1"/>
  <c r="BR92" i="15"/>
  <c r="BR46" i="15" s="1"/>
  <c r="CX92" i="15"/>
  <c r="CX46" i="15" s="1"/>
  <c r="ED92" i="15"/>
  <c r="ED46" i="15" s="1"/>
  <c r="H92" i="15"/>
  <c r="H46" i="15" s="1"/>
  <c r="X92" i="15"/>
  <c r="X46" i="15" s="1"/>
  <c r="AN92" i="15"/>
  <c r="AN46" i="15" s="1"/>
  <c r="BD92" i="15"/>
  <c r="BD46" i="15" s="1"/>
  <c r="BT92" i="15"/>
  <c r="BT46" i="15" s="1"/>
  <c r="CJ92" i="15"/>
  <c r="CJ46" i="15" s="1"/>
  <c r="CZ92" i="15"/>
  <c r="CZ46" i="15" s="1"/>
  <c r="DP92" i="15"/>
  <c r="DP46" i="15" s="1"/>
  <c r="EF92" i="15"/>
  <c r="EF46" i="15" s="1"/>
  <c r="M92" i="15"/>
  <c r="M46" i="15" s="1"/>
  <c r="AC92" i="15"/>
  <c r="AC46" i="15" s="1"/>
  <c r="AS92" i="15"/>
  <c r="AS46" i="15" s="1"/>
  <c r="BI92" i="15"/>
  <c r="BI46" i="15" s="1"/>
  <c r="BY92" i="15"/>
  <c r="BY46" i="15" s="1"/>
  <c r="CO92" i="15"/>
  <c r="CO46" i="15" s="1"/>
  <c r="DE92" i="15"/>
  <c r="DE46" i="15" s="1"/>
  <c r="DU92" i="15"/>
  <c r="DU46" i="15" s="1"/>
  <c r="EK92" i="15"/>
  <c r="EK46" i="15" s="1"/>
  <c r="AH92" i="15"/>
  <c r="AH46" i="15" s="1"/>
  <c r="BN92" i="15"/>
  <c r="BN46" i="15" s="1"/>
  <c r="CT92" i="15"/>
  <c r="CT46" i="15" s="1"/>
  <c r="DZ92" i="15"/>
  <c r="DZ46" i="15" s="1"/>
  <c r="AA92" i="15"/>
  <c r="AA46" i="15" s="1"/>
  <c r="BG92" i="15"/>
  <c r="BG46" i="15" s="1"/>
  <c r="CM92" i="15"/>
  <c r="CM46" i="15" s="1"/>
  <c r="DS92" i="15"/>
  <c r="DS46" i="15" s="1"/>
  <c r="N92" i="15"/>
  <c r="N46" i="15" s="1"/>
  <c r="AT92" i="15"/>
  <c r="AT46" i="15" s="1"/>
  <c r="BZ92" i="15"/>
  <c r="BZ46" i="15" s="1"/>
  <c r="DF92" i="15"/>
  <c r="DF46" i="15" s="1"/>
  <c r="EL92" i="15"/>
  <c r="EL46" i="15" s="1"/>
  <c r="L92" i="15"/>
  <c r="L46" i="15" s="1"/>
  <c r="AB92" i="15"/>
  <c r="AB46" i="15" s="1"/>
  <c r="AR92" i="15"/>
  <c r="AR46" i="15" s="1"/>
  <c r="BH92" i="15"/>
  <c r="BH46" i="15" s="1"/>
  <c r="BX92" i="15"/>
  <c r="BX46" i="15" s="1"/>
  <c r="CN92" i="15"/>
  <c r="CN46" i="15" s="1"/>
  <c r="DD92" i="15"/>
  <c r="DD46" i="15" s="1"/>
  <c r="DT92" i="15"/>
  <c r="DT46" i="15" s="1"/>
  <c r="EJ92" i="15"/>
  <c r="EJ46" i="15" s="1"/>
  <c r="Q92" i="15"/>
  <c r="Q46" i="15" s="1"/>
  <c r="AG92" i="15"/>
  <c r="AG46" i="15" s="1"/>
  <c r="AW92" i="15"/>
  <c r="AW46" i="15" s="1"/>
  <c r="BM92" i="15"/>
  <c r="BM46" i="15" s="1"/>
  <c r="CC92" i="15"/>
  <c r="CC46" i="15" s="1"/>
  <c r="CS92" i="15"/>
  <c r="CS46" i="15" s="1"/>
  <c r="DI92" i="15"/>
  <c r="DI46" i="15" s="1"/>
  <c r="DY92" i="15"/>
  <c r="DY46" i="15" s="1"/>
  <c r="EO92" i="15"/>
  <c r="EO46" i="15" s="1"/>
  <c r="J92" i="15"/>
  <c r="J46" i="15" s="1"/>
  <c r="AP92" i="15"/>
  <c r="AP46" i="15" s="1"/>
  <c r="BV92" i="15"/>
  <c r="BV46" i="15" s="1"/>
  <c r="DB92" i="15"/>
  <c r="DB46" i="15" s="1"/>
  <c r="EH92" i="15"/>
  <c r="EH46" i="15" s="1"/>
  <c r="AI92" i="15"/>
  <c r="AI46" i="15" s="1"/>
  <c r="BO92" i="15"/>
  <c r="BO46" i="15" s="1"/>
  <c r="CU92" i="15"/>
  <c r="CU46" i="15" s="1"/>
  <c r="EA92" i="15"/>
  <c r="EA46" i="15" s="1"/>
  <c r="V92" i="15"/>
  <c r="V46" i="15" s="1"/>
  <c r="BB92" i="15"/>
  <c r="BB46" i="15" s="1"/>
  <c r="CH92" i="15"/>
  <c r="CH46" i="15" s="1"/>
  <c r="DN92" i="15"/>
  <c r="DN46" i="15" s="1"/>
  <c r="ET92" i="15"/>
  <c r="ET46" i="15" s="1"/>
  <c r="W92" i="15"/>
  <c r="W46" i="15" s="1"/>
  <c r="BC92" i="15"/>
  <c r="BC46" i="15" s="1"/>
  <c r="CI92" i="15"/>
  <c r="CI46" i="15" s="1"/>
  <c r="DO92" i="15"/>
  <c r="DO46" i="15" s="1"/>
  <c r="AE92" i="15"/>
  <c r="AE46" i="15" s="1"/>
  <c r="BK92" i="15"/>
  <c r="BK46" i="15" s="1"/>
  <c r="CQ92" i="15"/>
  <c r="CQ46" i="15" s="1"/>
  <c r="DW92" i="15"/>
  <c r="DW46" i="15" s="1"/>
  <c r="AM92" i="15"/>
  <c r="AM46" i="15" s="1"/>
  <c r="BS92" i="15"/>
  <c r="BS46" i="15" s="1"/>
  <c r="CY92" i="15"/>
  <c r="CY46" i="15" s="1"/>
  <c r="EE92" i="15"/>
  <c r="EE46" i="15" s="1"/>
  <c r="O92" i="15"/>
  <c r="O46" i="15" s="1"/>
  <c r="AU92" i="15"/>
  <c r="AU46" i="15" s="1"/>
  <c r="CA92" i="15"/>
  <c r="CA46" i="15" s="1"/>
  <c r="DG92" i="15"/>
  <c r="DG46" i="15" s="1"/>
  <c r="EM92" i="15"/>
  <c r="EM46" i="15" s="1"/>
  <c r="G92" i="15"/>
  <c r="G46" i="15" s="1"/>
  <c r="F47" i="15"/>
  <c r="F47" i="10"/>
  <c r="D98" i="2"/>
  <c r="AR59" i="5"/>
  <c r="C94" i="5" s="1"/>
  <c r="D94" i="5" l="1"/>
  <c r="S94" i="5"/>
  <c r="O94" i="5"/>
  <c r="K94" i="5"/>
  <c r="G94" i="5"/>
  <c r="R94" i="5"/>
  <c r="M94" i="5"/>
  <c r="H94" i="5"/>
  <c r="Q94" i="5"/>
  <c r="L94" i="5"/>
  <c r="F94" i="5"/>
  <c r="N94" i="5"/>
  <c r="P94" i="5"/>
  <c r="J94" i="5"/>
  <c r="E94" i="5"/>
  <c r="T94" i="5"/>
  <c r="I94" i="5"/>
  <c r="H98" i="2"/>
  <c r="J98" i="2"/>
  <c r="N98" i="2"/>
  <c r="R98" i="2"/>
  <c r="K98" i="2"/>
  <c r="O98" i="2"/>
  <c r="S98" i="2"/>
  <c r="L98" i="2"/>
  <c r="P98" i="2"/>
  <c r="T98" i="2"/>
  <c r="I98" i="2"/>
  <c r="M98" i="2"/>
  <c r="U98" i="2"/>
  <c r="Q98" i="2"/>
  <c r="D1757" i="12"/>
  <c r="E1756" i="12"/>
  <c r="F1756" i="12"/>
  <c r="EQ54" i="5"/>
  <c r="BF59" i="5"/>
  <c r="BC59" i="5"/>
  <c r="AR55" i="2"/>
  <c r="BB54" i="2"/>
  <c r="J93" i="10"/>
  <c r="J47" i="10" s="1"/>
  <c r="V93" i="10"/>
  <c r="V47" i="10" s="1"/>
  <c r="AL93" i="10"/>
  <c r="AL47" i="10" s="1"/>
  <c r="BB93" i="10"/>
  <c r="BB47" i="10" s="1"/>
  <c r="BR93" i="10"/>
  <c r="BR47" i="10" s="1"/>
  <c r="CH93" i="10"/>
  <c r="CH47" i="10" s="1"/>
  <c r="CX93" i="10"/>
  <c r="CX47" i="10" s="1"/>
  <c r="DN93" i="10"/>
  <c r="DN47" i="10" s="1"/>
  <c r="ED93" i="10"/>
  <c r="ED47" i="10" s="1"/>
  <c r="ET93" i="10"/>
  <c r="ET47" i="10" s="1"/>
  <c r="I93" i="10"/>
  <c r="I47" i="10" s="1"/>
  <c r="Z93" i="10"/>
  <c r="Z47" i="10" s="1"/>
  <c r="AP93" i="10"/>
  <c r="AP47" i="10" s="1"/>
  <c r="BF93" i="10"/>
  <c r="BF47" i="10" s="1"/>
  <c r="BV93" i="10"/>
  <c r="BV47" i="10" s="1"/>
  <c r="CL93" i="10"/>
  <c r="CL47" i="10" s="1"/>
  <c r="DB93" i="10"/>
  <c r="DB47" i="10" s="1"/>
  <c r="DR93" i="10"/>
  <c r="DR47" i="10" s="1"/>
  <c r="EH93" i="10"/>
  <c r="EH47" i="10" s="1"/>
  <c r="N93" i="10"/>
  <c r="N47" i="10" s="1"/>
  <c r="AD93" i="10"/>
  <c r="AD47" i="10" s="1"/>
  <c r="AT93" i="10"/>
  <c r="AT47" i="10" s="1"/>
  <c r="BJ93" i="10"/>
  <c r="BJ47" i="10" s="1"/>
  <c r="BZ93" i="10"/>
  <c r="BZ47" i="10" s="1"/>
  <c r="CP93" i="10"/>
  <c r="CP47" i="10" s="1"/>
  <c r="DF93" i="10"/>
  <c r="DF47" i="10" s="1"/>
  <c r="DV93" i="10"/>
  <c r="DV47" i="10" s="1"/>
  <c r="EL93" i="10"/>
  <c r="EL47" i="10" s="1"/>
  <c r="R93" i="10"/>
  <c r="R47" i="10" s="1"/>
  <c r="AH93" i="10"/>
  <c r="AH47" i="10" s="1"/>
  <c r="AX93" i="10"/>
  <c r="AX47" i="10" s="1"/>
  <c r="BN93" i="10"/>
  <c r="BN47" i="10" s="1"/>
  <c r="CD93" i="10"/>
  <c r="CD47" i="10" s="1"/>
  <c r="CT93" i="10"/>
  <c r="CT47" i="10" s="1"/>
  <c r="DJ93" i="10"/>
  <c r="DJ47" i="10" s="1"/>
  <c r="DZ93" i="10"/>
  <c r="DZ47" i="10" s="1"/>
  <c r="EP93" i="10"/>
  <c r="EP47" i="10" s="1"/>
  <c r="W93" i="10"/>
  <c r="W47" i="10" s="1"/>
  <c r="AM93" i="10"/>
  <c r="AM47" i="10" s="1"/>
  <c r="BC93" i="10"/>
  <c r="BC47" i="10" s="1"/>
  <c r="BS93" i="10"/>
  <c r="BS47" i="10" s="1"/>
  <c r="CI93" i="10"/>
  <c r="CI47" i="10" s="1"/>
  <c r="CY93" i="10"/>
  <c r="CY47" i="10" s="1"/>
  <c r="DO93" i="10"/>
  <c r="DO47" i="10" s="1"/>
  <c r="EE93" i="10"/>
  <c r="EE47" i="10" s="1"/>
  <c r="L93" i="10"/>
  <c r="L47" i="10" s="1"/>
  <c r="AB93" i="10"/>
  <c r="AB47" i="10" s="1"/>
  <c r="AR93" i="10"/>
  <c r="AR47" i="10" s="1"/>
  <c r="BH93" i="10"/>
  <c r="BH47" i="10" s="1"/>
  <c r="BX93" i="10"/>
  <c r="BX47" i="10" s="1"/>
  <c r="CN93" i="10"/>
  <c r="CN47" i="10" s="1"/>
  <c r="DD93" i="10"/>
  <c r="DD47" i="10" s="1"/>
  <c r="DT93" i="10"/>
  <c r="DT47" i="10" s="1"/>
  <c r="EJ93" i="10"/>
  <c r="EJ47" i="10" s="1"/>
  <c r="K93" i="10"/>
  <c r="K47" i="10" s="1"/>
  <c r="AA93" i="10"/>
  <c r="AA47" i="10" s="1"/>
  <c r="AQ93" i="10"/>
  <c r="AQ47" i="10" s="1"/>
  <c r="BG93" i="10"/>
  <c r="BG47" i="10" s="1"/>
  <c r="BW93" i="10"/>
  <c r="BW47" i="10" s="1"/>
  <c r="CM93" i="10"/>
  <c r="CM47" i="10" s="1"/>
  <c r="DC93" i="10"/>
  <c r="DC47" i="10" s="1"/>
  <c r="DS93" i="10"/>
  <c r="DS47" i="10" s="1"/>
  <c r="EI93" i="10"/>
  <c r="EI47" i="10" s="1"/>
  <c r="P93" i="10"/>
  <c r="P47" i="10" s="1"/>
  <c r="AF93" i="10"/>
  <c r="AF47" i="10" s="1"/>
  <c r="AV93" i="10"/>
  <c r="AV47" i="10" s="1"/>
  <c r="BL93" i="10"/>
  <c r="BL47" i="10" s="1"/>
  <c r="CB93" i="10"/>
  <c r="CB47" i="10" s="1"/>
  <c r="CR93" i="10"/>
  <c r="CR47" i="10" s="1"/>
  <c r="DH93" i="10"/>
  <c r="DH47" i="10" s="1"/>
  <c r="DX93" i="10"/>
  <c r="DX47" i="10" s="1"/>
  <c r="EN93" i="10"/>
  <c r="EN47" i="10" s="1"/>
  <c r="O93" i="10"/>
  <c r="O47" i="10" s="1"/>
  <c r="AE93" i="10"/>
  <c r="AE47" i="10" s="1"/>
  <c r="AU93" i="10"/>
  <c r="AU47" i="10" s="1"/>
  <c r="BK93" i="10"/>
  <c r="BK47" i="10" s="1"/>
  <c r="CA93" i="10"/>
  <c r="CA47" i="10" s="1"/>
  <c r="CQ93" i="10"/>
  <c r="CQ47" i="10" s="1"/>
  <c r="DG93" i="10"/>
  <c r="DG47" i="10" s="1"/>
  <c r="DW93" i="10"/>
  <c r="DW47" i="10" s="1"/>
  <c r="EM93" i="10"/>
  <c r="EM47" i="10" s="1"/>
  <c r="T93" i="10"/>
  <c r="T47" i="10" s="1"/>
  <c r="AJ93" i="10"/>
  <c r="AJ47" i="10" s="1"/>
  <c r="AZ93" i="10"/>
  <c r="AZ47" i="10" s="1"/>
  <c r="BP93" i="10"/>
  <c r="BP47" i="10" s="1"/>
  <c r="CF93" i="10"/>
  <c r="CF47" i="10" s="1"/>
  <c r="CV93" i="10"/>
  <c r="CV47" i="10" s="1"/>
  <c r="DL93" i="10"/>
  <c r="DL47" i="10" s="1"/>
  <c r="EB93" i="10"/>
  <c r="EB47" i="10" s="1"/>
  <c r="ER93" i="10"/>
  <c r="ER47" i="10" s="1"/>
  <c r="S93" i="10"/>
  <c r="S47" i="10" s="1"/>
  <c r="AI93" i="10"/>
  <c r="AI47" i="10" s="1"/>
  <c r="AY93" i="10"/>
  <c r="AY47" i="10" s="1"/>
  <c r="BO93" i="10"/>
  <c r="BO47" i="10" s="1"/>
  <c r="CE93" i="10"/>
  <c r="CE47" i="10" s="1"/>
  <c r="CU93" i="10"/>
  <c r="CU47" i="10" s="1"/>
  <c r="DK93" i="10"/>
  <c r="DK47" i="10" s="1"/>
  <c r="EA93" i="10"/>
  <c r="EA47" i="10" s="1"/>
  <c r="EQ93" i="10"/>
  <c r="EQ47" i="10" s="1"/>
  <c r="X93" i="10"/>
  <c r="X47" i="10" s="1"/>
  <c r="AN93" i="10"/>
  <c r="AN47" i="10" s="1"/>
  <c r="BD93" i="10"/>
  <c r="BD47" i="10" s="1"/>
  <c r="BT93" i="10"/>
  <c r="BT47" i="10" s="1"/>
  <c r="CJ93" i="10"/>
  <c r="CJ47" i="10" s="1"/>
  <c r="CZ93" i="10"/>
  <c r="CZ47" i="10" s="1"/>
  <c r="DP93" i="10"/>
  <c r="DP47" i="10" s="1"/>
  <c r="EF93" i="10"/>
  <c r="EF47" i="10" s="1"/>
  <c r="M93" i="10"/>
  <c r="M47" i="10" s="1"/>
  <c r="BY93" i="10"/>
  <c r="BY47" i="10" s="1"/>
  <c r="EK93" i="10"/>
  <c r="EK47" i="10" s="1"/>
  <c r="AW93" i="10"/>
  <c r="AW47" i="10" s="1"/>
  <c r="DI93" i="10"/>
  <c r="DI47" i="10" s="1"/>
  <c r="U93" i="10"/>
  <c r="U47" i="10" s="1"/>
  <c r="CG93" i="10"/>
  <c r="CG47" i="10" s="1"/>
  <c r="ES93" i="10"/>
  <c r="ES47" i="10" s="1"/>
  <c r="AC93" i="10"/>
  <c r="AC47" i="10" s="1"/>
  <c r="CO93" i="10"/>
  <c r="CO47" i="10" s="1"/>
  <c r="BM93" i="10"/>
  <c r="BM47" i="10" s="1"/>
  <c r="DY93" i="10"/>
  <c r="DY47" i="10" s="1"/>
  <c r="AK93" i="10"/>
  <c r="AK47" i="10" s="1"/>
  <c r="CW93" i="10"/>
  <c r="CW47" i="10" s="1"/>
  <c r="Y93" i="10"/>
  <c r="Y47" i="10" s="1"/>
  <c r="AS93" i="10"/>
  <c r="AS47" i="10" s="1"/>
  <c r="DE93" i="10"/>
  <c r="DE47" i="10" s="1"/>
  <c r="Q93" i="10"/>
  <c r="Q47" i="10" s="1"/>
  <c r="CC93" i="10"/>
  <c r="CC47" i="10" s="1"/>
  <c r="EO93" i="10"/>
  <c r="EO47" i="10" s="1"/>
  <c r="BA93" i="10"/>
  <c r="BA47" i="10" s="1"/>
  <c r="DM93" i="10"/>
  <c r="DM47" i="10" s="1"/>
  <c r="CK93" i="10"/>
  <c r="CK47" i="10" s="1"/>
  <c r="BI93" i="10"/>
  <c r="BI47" i="10" s="1"/>
  <c r="DU93" i="10"/>
  <c r="DU47" i="10" s="1"/>
  <c r="AG93" i="10"/>
  <c r="AG47" i="10" s="1"/>
  <c r="CS93" i="10"/>
  <c r="CS47" i="10" s="1"/>
  <c r="BQ93" i="10"/>
  <c r="BQ47" i="10" s="1"/>
  <c r="EC93" i="10"/>
  <c r="EC47" i="10" s="1"/>
  <c r="DA93" i="10"/>
  <c r="DA47" i="10" s="1"/>
  <c r="DQ93" i="10"/>
  <c r="DQ47" i="10" s="1"/>
  <c r="AO93" i="10"/>
  <c r="AO47" i="10" s="1"/>
  <c r="BE93" i="10"/>
  <c r="BE47" i="10" s="1"/>
  <c r="BU93" i="10"/>
  <c r="BU47" i="10" s="1"/>
  <c r="G93" i="10"/>
  <c r="G47" i="10" s="1"/>
  <c r="EG93" i="10"/>
  <c r="EG47" i="10" s="1"/>
  <c r="H93" i="10"/>
  <c r="H47" i="10" s="1"/>
  <c r="Q93" i="15"/>
  <c r="Q47" i="15" s="1"/>
  <c r="AG93" i="15"/>
  <c r="AG47" i="15" s="1"/>
  <c r="AW93" i="15"/>
  <c r="AW47" i="15" s="1"/>
  <c r="BM93" i="15"/>
  <c r="BM47" i="15" s="1"/>
  <c r="CC93" i="15"/>
  <c r="CC47" i="15" s="1"/>
  <c r="CS93" i="15"/>
  <c r="CS47" i="15" s="1"/>
  <c r="DI93" i="15"/>
  <c r="DI47" i="15" s="1"/>
  <c r="DY93" i="15"/>
  <c r="DY47" i="15" s="1"/>
  <c r="EO93" i="15"/>
  <c r="EO47" i="15" s="1"/>
  <c r="V93" i="15"/>
  <c r="V47" i="15" s="1"/>
  <c r="AL93" i="15"/>
  <c r="AL47" i="15" s="1"/>
  <c r="BB93" i="15"/>
  <c r="BB47" i="15" s="1"/>
  <c r="BR93" i="15"/>
  <c r="BR47" i="15" s="1"/>
  <c r="CH93" i="15"/>
  <c r="CH47" i="15" s="1"/>
  <c r="CX93" i="15"/>
  <c r="CX47" i="15" s="1"/>
  <c r="DN93" i="15"/>
  <c r="DN47" i="15" s="1"/>
  <c r="ED93" i="15"/>
  <c r="ED47" i="15" s="1"/>
  <c r="ET93" i="15"/>
  <c r="ET47" i="15" s="1"/>
  <c r="AI93" i="15"/>
  <c r="AI47" i="15" s="1"/>
  <c r="BO93" i="15"/>
  <c r="BO47" i="15" s="1"/>
  <c r="CU93" i="15"/>
  <c r="CU47" i="15" s="1"/>
  <c r="EA93" i="15"/>
  <c r="EA47" i="15" s="1"/>
  <c r="AB93" i="15"/>
  <c r="AB47" i="15" s="1"/>
  <c r="BH93" i="15"/>
  <c r="BH47" i="15" s="1"/>
  <c r="CN93" i="15"/>
  <c r="CN47" i="15" s="1"/>
  <c r="DT93" i="15"/>
  <c r="DT47" i="15" s="1"/>
  <c r="O93" i="15"/>
  <c r="O47" i="15" s="1"/>
  <c r="AU93" i="15"/>
  <c r="AU47" i="15" s="1"/>
  <c r="CA93" i="15"/>
  <c r="CA47" i="15" s="1"/>
  <c r="DG93" i="15"/>
  <c r="DG47" i="15" s="1"/>
  <c r="EM93" i="15"/>
  <c r="EM47" i="15" s="1"/>
  <c r="U93" i="15"/>
  <c r="U47" i="15" s="1"/>
  <c r="AK93" i="15"/>
  <c r="AK47" i="15" s="1"/>
  <c r="BA93" i="15"/>
  <c r="BA47" i="15" s="1"/>
  <c r="BQ93" i="15"/>
  <c r="BQ47" i="15" s="1"/>
  <c r="CG93" i="15"/>
  <c r="CG47" i="15" s="1"/>
  <c r="CW93" i="15"/>
  <c r="CW47" i="15" s="1"/>
  <c r="DM93" i="15"/>
  <c r="DM47" i="15" s="1"/>
  <c r="EC93" i="15"/>
  <c r="EC47" i="15" s="1"/>
  <c r="ES93" i="15"/>
  <c r="ES47" i="15" s="1"/>
  <c r="J93" i="15"/>
  <c r="J47" i="15" s="1"/>
  <c r="Z93" i="15"/>
  <c r="Z47" i="15" s="1"/>
  <c r="AP93" i="15"/>
  <c r="AP47" i="15" s="1"/>
  <c r="BF93" i="15"/>
  <c r="BF47" i="15" s="1"/>
  <c r="BV93" i="15"/>
  <c r="BV47" i="15" s="1"/>
  <c r="CL93" i="15"/>
  <c r="CL47" i="15" s="1"/>
  <c r="DB93" i="15"/>
  <c r="DB47" i="15" s="1"/>
  <c r="DR93" i="15"/>
  <c r="DR47" i="15" s="1"/>
  <c r="EH93" i="15"/>
  <c r="EH47" i="15" s="1"/>
  <c r="K93" i="15"/>
  <c r="K47" i="15" s="1"/>
  <c r="AQ93" i="15"/>
  <c r="AQ47" i="15" s="1"/>
  <c r="BW93" i="15"/>
  <c r="BW47" i="15" s="1"/>
  <c r="DC93" i="15"/>
  <c r="DC47" i="15" s="1"/>
  <c r="EI93" i="15"/>
  <c r="EI47" i="15" s="1"/>
  <c r="AJ93" i="15"/>
  <c r="AJ47" i="15" s="1"/>
  <c r="BP93" i="15"/>
  <c r="BP47" i="15" s="1"/>
  <c r="CV93" i="15"/>
  <c r="CV47" i="15" s="1"/>
  <c r="EB93" i="15"/>
  <c r="EB47" i="15" s="1"/>
  <c r="W93" i="15"/>
  <c r="W47" i="15" s="1"/>
  <c r="BC93" i="15"/>
  <c r="BC47" i="15" s="1"/>
  <c r="CI93" i="15"/>
  <c r="CI47" i="15" s="1"/>
  <c r="DO93" i="15"/>
  <c r="DO47" i="15" s="1"/>
  <c r="I93" i="15"/>
  <c r="I47" i="15" s="1"/>
  <c r="Y93" i="15"/>
  <c r="Y47" i="15" s="1"/>
  <c r="AO93" i="15"/>
  <c r="AO47" i="15" s="1"/>
  <c r="BE93" i="15"/>
  <c r="BE47" i="15" s="1"/>
  <c r="BU93" i="15"/>
  <c r="BU47" i="15" s="1"/>
  <c r="CK93" i="15"/>
  <c r="CK47" i="15" s="1"/>
  <c r="DA93" i="15"/>
  <c r="DA47" i="15" s="1"/>
  <c r="DQ93" i="15"/>
  <c r="DQ47" i="15" s="1"/>
  <c r="EG93" i="15"/>
  <c r="EG47" i="15" s="1"/>
  <c r="N93" i="15"/>
  <c r="N47" i="15" s="1"/>
  <c r="AD93" i="15"/>
  <c r="AD47" i="15" s="1"/>
  <c r="AT93" i="15"/>
  <c r="AT47" i="15" s="1"/>
  <c r="BJ93" i="15"/>
  <c r="BJ47" i="15" s="1"/>
  <c r="BZ93" i="15"/>
  <c r="BZ47" i="15" s="1"/>
  <c r="CP93" i="15"/>
  <c r="CP47" i="15" s="1"/>
  <c r="DF93" i="15"/>
  <c r="DF47" i="15" s="1"/>
  <c r="DV93" i="15"/>
  <c r="DV47" i="15" s="1"/>
  <c r="EL93" i="15"/>
  <c r="EL47" i="15" s="1"/>
  <c r="S93" i="15"/>
  <c r="S47" i="15" s="1"/>
  <c r="AY93" i="15"/>
  <c r="AY47" i="15" s="1"/>
  <c r="CE93" i="15"/>
  <c r="CE47" i="15" s="1"/>
  <c r="DK93" i="15"/>
  <c r="DK47" i="15" s="1"/>
  <c r="EQ93" i="15"/>
  <c r="EQ47" i="15" s="1"/>
  <c r="L93" i="15"/>
  <c r="L47" i="15" s="1"/>
  <c r="AR93" i="15"/>
  <c r="AR47" i="15" s="1"/>
  <c r="BX93" i="15"/>
  <c r="BX47" i="15" s="1"/>
  <c r="DD93" i="15"/>
  <c r="DD47" i="15" s="1"/>
  <c r="EJ93" i="15"/>
  <c r="EJ47" i="15" s="1"/>
  <c r="AE93" i="15"/>
  <c r="AE47" i="15" s="1"/>
  <c r="BK93" i="15"/>
  <c r="BK47" i="15" s="1"/>
  <c r="CQ93" i="15"/>
  <c r="CQ47" i="15" s="1"/>
  <c r="DW93" i="15"/>
  <c r="DW47" i="15" s="1"/>
  <c r="M93" i="15"/>
  <c r="M47" i="15" s="1"/>
  <c r="AC93" i="15"/>
  <c r="AC47" i="15" s="1"/>
  <c r="AS93" i="15"/>
  <c r="AS47" i="15" s="1"/>
  <c r="BI93" i="15"/>
  <c r="BI47" i="15" s="1"/>
  <c r="BY93" i="15"/>
  <c r="BY47" i="15" s="1"/>
  <c r="CO93" i="15"/>
  <c r="CO47" i="15" s="1"/>
  <c r="DE93" i="15"/>
  <c r="DE47" i="15" s="1"/>
  <c r="DU93" i="15"/>
  <c r="DU47" i="15" s="1"/>
  <c r="EK93" i="15"/>
  <c r="EK47" i="15" s="1"/>
  <c r="R93" i="15"/>
  <c r="R47" i="15" s="1"/>
  <c r="AH93" i="15"/>
  <c r="AH47" i="15" s="1"/>
  <c r="AX93" i="15"/>
  <c r="AX47" i="15" s="1"/>
  <c r="BN93" i="15"/>
  <c r="BN47" i="15" s="1"/>
  <c r="CD93" i="15"/>
  <c r="CD47" i="15" s="1"/>
  <c r="CT93" i="15"/>
  <c r="CT47" i="15" s="1"/>
  <c r="DJ93" i="15"/>
  <c r="DJ47" i="15" s="1"/>
  <c r="DZ93" i="15"/>
  <c r="DZ47" i="15" s="1"/>
  <c r="EP93" i="15"/>
  <c r="EP47" i="15" s="1"/>
  <c r="AA93" i="15"/>
  <c r="AA47" i="15" s="1"/>
  <c r="BG93" i="15"/>
  <c r="BG47" i="15" s="1"/>
  <c r="CM93" i="15"/>
  <c r="CM47" i="15" s="1"/>
  <c r="DS93" i="15"/>
  <c r="DS47" i="15" s="1"/>
  <c r="T93" i="15"/>
  <c r="T47" i="15" s="1"/>
  <c r="AZ93" i="15"/>
  <c r="AZ47" i="15" s="1"/>
  <c r="CF93" i="15"/>
  <c r="CF47" i="15" s="1"/>
  <c r="DL93" i="15"/>
  <c r="DL47" i="15" s="1"/>
  <c r="ER93" i="15"/>
  <c r="ER47" i="15" s="1"/>
  <c r="AM93" i="15"/>
  <c r="AM47" i="15" s="1"/>
  <c r="BS93" i="15"/>
  <c r="BS47" i="15" s="1"/>
  <c r="CY93" i="15"/>
  <c r="CY47" i="15" s="1"/>
  <c r="EE93" i="15"/>
  <c r="EE47" i="15" s="1"/>
  <c r="H93" i="15"/>
  <c r="H47" i="15" s="1"/>
  <c r="AN93" i="15"/>
  <c r="AN47" i="15" s="1"/>
  <c r="BT93" i="15"/>
  <c r="BT47" i="15" s="1"/>
  <c r="CZ93" i="15"/>
  <c r="CZ47" i="15" s="1"/>
  <c r="EF93" i="15"/>
  <c r="EF47" i="15" s="1"/>
  <c r="P93" i="15"/>
  <c r="P47" i="15" s="1"/>
  <c r="AV93" i="15"/>
  <c r="AV47" i="15" s="1"/>
  <c r="CB93" i="15"/>
  <c r="CB47" i="15" s="1"/>
  <c r="DH93" i="15"/>
  <c r="DH47" i="15" s="1"/>
  <c r="EN93" i="15"/>
  <c r="EN47" i="15" s="1"/>
  <c r="X93" i="15"/>
  <c r="X47" i="15" s="1"/>
  <c r="BD93" i="15"/>
  <c r="BD47" i="15" s="1"/>
  <c r="CJ93" i="15"/>
  <c r="CJ47" i="15" s="1"/>
  <c r="DP93" i="15"/>
  <c r="DP47" i="15" s="1"/>
  <c r="AF93" i="15"/>
  <c r="AF47" i="15" s="1"/>
  <c r="BL93" i="15"/>
  <c r="BL47" i="15" s="1"/>
  <c r="CR93" i="15"/>
  <c r="CR47" i="15" s="1"/>
  <c r="DX93" i="15"/>
  <c r="DX47" i="15" s="1"/>
  <c r="G93" i="15"/>
  <c r="G47" i="15" s="1"/>
  <c r="F48" i="15"/>
  <c r="F48" i="10"/>
  <c r="AR60" i="5"/>
  <c r="C95" i="5" s="1"/>
  <c r="D99" i="2"/>
  <c r="D95" i="5" l="1"/>
  <c r="S95" i="5"/>
  <c r="O95" i="5"/>
  <c r="K95" i="5"/>
  <c r="G95" i="5"/>
  <c r="R95" i="5"/>
  <c r="M95" i="5"/>
  <c r="H95" i="5"/>
  <c r="Q95" i="5"/>
  <c r="L95" i="5"/>
  <c r="F95" i="5"/>
  <c r="T95" i="5"/>
  <c r="I95" i="5"/>
  <c r="P95" i="5"/>
  <c r="E95" i="5"/>
  <c r="J95" i="5"/>
  <c r="N95" i="5"/>
  <c r="H99" i="2"/>
  <c r="I99" i="2"/>
  <c r="M99" i="2"/>
  <c r="Q99" i="2"/>
  <c r="U99" i="2"/>
  <c r="J99" i="2"/>
  <c r="N99" i="2"/>
  <c r="R99" i="2"/>
  <c r="K99" i="2"/>
  <c r="O99" i="2"/>
  <c r="S99" i="2"/>
  <c r="L99" i="2"/>
  <c r="P99" i="2"/>
  <c r="T99" i="2"/>
  <c r="D1758" i="12"/>
  <c r="F1757" i="12"/>
  <c r="E1757" i="12"/>
  <c r="EQ55" i="5"/>
  <c r="BF60" i="5"/>
  <c r="BC60" i="5"/>
  <c r="AR56" i="2"/>
  <c r="BB55" i="2"/>
  <c r="X94" i="10"/>
  <c r="X48" i="10" s="1"/>
  <c r="AN94" i="10"/>
  <c r="AN48" i="10" s="1"/>
  <c r="BD94" i="10"/>
  <c r="BD48" i="10" s="1"/>
  <c r="BT94" i="10"/>
  <c r="BT48" i="10" s="1"/>
  <c r="CJ94" i="10"/>
  <c r="CJ48" i="10" s="1"/>
  <c r="CZ94" i="10"/>
  <c r="CZ48" i="10" s="1"/>
  <c r="DP94" i="10"/>
  <c r="DP48" i="10" s="1"/>
  <c r="EF94" i="10"/>
  <c r="EF48" i="10" s="1"/>
  <c r="L94" i="10"/>
  <c r="L48" i="10" s="1"/>
  <c r="AB94" i="10"/>
  <c r="AB48" i="10" s="1"/>
  <c r="AR94" i="10"/>
  <c r="AR48" i="10" s="1"/>
  <c r="BH94" i="10"/>
  <c r="BH48" i="10" s="1"/>
  <c r="BX94" i="10"/>
  <c r="BX48" i="10" s="1"/>
  <c r="CN94" i="10"/>
  <c r="CN48" i="10" s="1"/>
  <c r="DD94" i="10"/>
  <c r="DD48" i="10" s="1"/>
  <c r="DT94" i="10"/>
  <c r="DT48" i="10" s="1"/>
  <c r="EJ94" i="10"/>
  <c r="EJ48" i="10" s="1"/>
  <c r="P94" i="10"/>
  <c r="P48" i="10" s="1"/>
  <c r="AF94" i="10"/>
  <c r="AF48" i="10" s="1"/>
  <c r="AV94" i="10"/>
  <c r="AV48" i="10" s="1"/>
  <c r="BL94" i="10"/>
  <c r="BL48" i="10" s="1"/>
  <c r="CB94" i="10"/>
  <c r="CB48" i="10" s="1"/>
  <c r="CR94" i="10"/>
  <c r="CR48" i="10" s="1"/>
  <c r="DH94" i="10"/>
  <c r="DH48" i="10" s="1"/>
  <c r="DX94" i="10"/>
  <c r="DX48" i="10" s="1"/>
  <c r="EN94" i="10"/>
  <c r="EN48" i="10" s="1"/>
  <c r="T94" i="10"/>
  <c r="T48" i="10" s="1"/>
  <c r="AJ94" i="10"/>
  <c r="AJ48" i="10" s="1"/>
  <c r="AZ94" i="10"/>
  <c r="AZ48" i="10" s="1"/>
  <c r="BP94" i="10"/>
  <c r="BP48" i="10" s="1"/>
  <c r="CF94" i="10"/>
  <c r="CF48" i="10" s="1"/>
  <c r="CV94" i="10"/>
  <c r="CV48" i="10" s="1"/>
  <c r="DL94" i="10"/>
  <c r="DL48" i="10" s="1"/>
  <c r="EB94" i="10"/>
  <c r="EB48" i="10" s="1"/>
  <c r="ER94" i="10"/>
  <c r="ER48" i="10" s="1"/>
  <c r="I94" i="10"/>
  <c r="I48" i="10" s="1"/>
  <c r="Y94" i="10"/>
  <c r="Y48" i="10" s="1"/>
  <c r="AO94" i="10"/>
  <c r="AO48" i="10" s="1"/>
  <c r="BE94" i="10"/>
  <c r="BE48" i="10" s="1"/>
  <c r="BU94" i="10"/>
  <c r="BU48" i="10" s="1"/>
  <c r="CK94" i="10"/>
  <c r="CK48" i="10" s="1"/>
  <c r="DA94" i="10"/>
  <c r="DA48" i="10" s="1"/>
  <c r="DQ94" i="10"/>
  <c r="DQ48" i="10" s="1"/>
  <c r="EG94" i="10"/>
  <c r="EG48" i="10" s="1"/>
  <c r="N94" i="10"/>
  <c r="N48" i="10" s="1"/>
  <c r="AD94" i="10"/>
  <c r="AD48" i="10" s="1"/>
  <c r="AT94" i="10"/>
  <c r="AT48" i="10" s="1"/>
  <c r="BJ94" i="10"/>
  <c r="BJ48" i="10" s="1"/>
  <c r="BZ94" i="10"/>
  <c r="BZ48" i="10" s="1"/>
  <c r="CP94" i="10"/>
  <c r="CP48" i="10" s="1"/>
  <c r="DF94" i="10"/>
  <c r="DF48" i="10" s="1"/>
  <c r="DV94" i="10"/>
  <c r="DV48" i="10" s="1"/>
  <c r="EL94" i="10"/>
  <c r="EL48" i="10" s="1"/>
  <c r="M94" i="10"/>
  <c r="M48" i="10" s="1"/>
  <c r="AC94" i="10"/>
  <c r="AC48" i="10" s="1"/>
  <c r="AS94" i="10"/>
  <c r="AS48" i="10" s="1"/>
  <c r="BI94" i="10"/>
  <c r="BI48" i="10" s="1"/>
  <c r="BY94" i="10"/>
  <c r="BY48" i="10" s="1"/>
  <c r="CO94" i="10"/>
  <c r="CO48" i="10" s="1"/>
  <c r="DE94" i="10"/>
  <c r="DE48" i="10" s="1"/>
  <c r="DU94" i="10"/>
  <c r="DU48" i="10" s="1"/>
  <c r="EK94" i="10"/>
  <c r="EK48" i="10" s="1"/>
  <c r="R94" i="10"/>
  <c r="R48" i="10" s="1"/>
  <c r="AH94" i="10"/>
  <c r="AH48" i="10" s="1"/>
  <c r="AX94" i="10"/>
  <c r="AX48" i="10" s="1"/>
  <c r="BN94" i="10"/>
  <c r="BN48" i="10" s="1"/>
  <c r="CD94" i="10"/>
  <c r="CD48" i="10" s="1"/>
  <c r="CT94" i="10"/>
  <c r="CT48" i="10" s="1"/>
  <c r="DJ94" i="10"/>
  <c r="DJ48" i="10" s="1"/>
  <c r="DZ94" i="10"/>
  <c r="DZ48" i="10" s="1"/>
  <c r="EP94" i="10"/>
  <c r="EP48" i="10" s="1"/>
  <c r="Q94" i="10"/>
  <c r="Q48" i="10" s="1"/>
  <c r="AG94" i="10"/>
  <c r="AG48" i="10" s="1"/>
  <c r="AW94" i="10"/>
  <c r="AW48" i="10" s="1"/>
  <c r="BM94" i="10"/>
  <c r="BM48" i="10" s="1"/>
  <c r="CC94" i="10"/>
  <c r="CC48" i="10" s="1"/>
  <c r="CS94" i="10"/>
  <c r="CS48" i="10" s="1"/>
  <c r="DI94" i="10"/>
  <c r="DI48" i="10" s="1"/>
  <c r="DY94" i="10"/>
  <c r="DY48" i="10" s="1"/>
  <c r="EO94" i="10"/>
  <c r="EO48" i="10" s="1"/>
  <c r="V94" i="10"/>
  <c r="V48" i="10" s="1"/>
  <c r="AL94" i="10"/>
  <c r="AL48" i="10" s="1"/>
  <c r="BB94" i="10"/>
  <c r="BB48" i="10" s="1"/>
  <c r="BR94" i="10"/>
  <c r="BR48" i="10" s="1"/>
  <c r="CH94" i="10"/>
  <c r="CH48" i="10" s="1"/>
  <c r="CX94" i="10"/>
  <c r="CX48" i="10" s="1"/>
  <c r="DN94" i="10"/>
  <c r="DN48" i="10" s="1"/>
  <c r="ED94" i="10"/>
  <c r="ED48" i="10" s="1"/>
  <c r="ET94" i="10"/>
  <c r="ET48" i="10" s="1"/>
  <c r="U94" i="10"/>
  <c r="U48" i="10" s="1"/>
  <c r="AK94" i="10"/>
  <c r="AK48" i="10" s="1"/>
  <c r="BA94" i="10"/>
  <c r="BA48" i="10" s="1"/>
  <c r="BQ94" i="10"/>
  <c r="BQ48" i="10" s="1"/>
  <c r="CG94" i="10"/>
  <c r="CG48" i="10" s="1"/>
  <c r="CW94" i="10"/>
  <c r="CW48" i="10" s="1"/>
  <c r="DM94" i="10"/>
  <c r="DM48" i="10" s="1"/>
  <c r="EC94" i="10"/>
  <c r="EC48" i="10" s="1"/>
  <c r="ES94" i="10"/>
  <c r="ES48" i="10" s="1"/>
  <c r="J94" i="10"/>
  <c r="J48" i="10" s="1"/>
  <c r="Z94" i="10"/>
  <c r="Z48" i="10" s="1"/>
  <c r="AP94" i="10"/>
  <c r="AP48" i="10" s="1"/>
  <c r="BF94" i="10"/>
  <c r="BF48" i="10" s="1"/>
  <c r="BV94" i="10"/>
  <c r="BV48" i="10" s="1"/>
  <c r="CL94" i="10"/>
  <c r="CL48" i="10" s="1"/>
  <c r="DB94" i="10"/>
  <c r="DB48" i="10" s="1"/>
  <c r="DR94" i="10"/>
  <c r="DR48" i="10" s="1"/>
  <c r="EH94" i="10"/>
  <c r="EH48" i="10" s="1"/>
  <c r="BK94" i="10"/>
  <c r="BK48" i="10" s="1"/>
  <c r="DW94" i="10"/>
  <c r="DW48" i="10" s="1"/>
  <c r="AI94" i="10"/>
  <c r="AI48" i="10" s="1"/>
  <c r="CU94" i="10"/>
  <c r="CU48" i="10" s="1"/>
  <c r="BS94" i="10"/>
  <c r="BS48" i="10" s="1"/>
  <c r="EE94" i="10"/>
  <c r="EE48" i="10" s="1"/>
  <c r="BW94" i="10"/>
  <c r="BW48" i="10" s="1"/>
  <c r="O94" i="10"/>
  <c r="O48" i="10" s="1"/>
  <c r="CA94" i="10"/>
  <c r="CA48" i="10" s="1"/>
  <c r="EM94" i="10"/>
  <c r="EM48" i="10" s="1"/>
  <c r="AY94" i="10"/>
  <c r="AY48" i="10" s="1"/>
  <c r="DK94" i="10"/>
  <c r="DK48" i="10" s="1"/>
  <c r="W94" i="10"/>
  <c r="W48" i="10" s="1"/>
  <c r="CI94" i="10"/>
  <c r="CI48" i="10" s="1"/>
  <c r="EI94" i="10"/>
  <c r="EI48" i="10" s="1"/>
  <c r="AE94" i="10"/>
  <c r="AE48" i="10" s="1"/>
  <c r="CQ94" i="10"/>
  <c r="CQ48" i="10" s="1"/>
  <c r="BO94" i="10"/>
  <c r="BO48" i="10" s="1"/>
  <c r="EA94" i="10"/>
  <c r="EA48" i="10" s="1"/>
  <c r="AM94" i="10"/>
  <c r="AM48" i="10" s="1"/>
  <c r="CY94" i="10"/>
  <c r="CY48" i="10" s="1"/>
  <c r="AU94" i="10"/>
  <c r="AU48" i="10" s="1"/>
  <c r="DG94" i="10"/>
  <c r="DG48" i="10" s="1"/>
  <c r="S94" i="10"/>
  <c r="S48" i="10" s="1"/>
  <c r="CE94" i="10"/>
  <c r="CE48" i="10" s="1"/>
  <c r="EQ94" i="10"/>
  <c r="EQ48" i="10" s="1"/>
  <c r="BC94" i="10"/>
  <c r="BC48" i="10" s="1"/>
  <c r="DO94" i="10"/>
  <c r="DO48" i="10" s="1"/>
  <c r="K94" i="10"/>
  <c r="K48" i="10" s="1"/>
  <c r="AA94" i="10"/>
  <c r="AA48" i="10" s="1"/>
  <c r="AQ94" i="10"/>
  <c r="AQ48" i="10" s="1"/>
  <c r="DS94" i="10"/>
  <c r="DS48" i="10" s="1"/>
  <c r="CM94" i="10"/>
  <c r="CM48" i="10" s="1"/>
  <c r="DC94" i="10"/>
  <c r="DC48" i="10" s="1"/>
  <c r="BG94" i="10"/>
  <c r="BG48" i="10" s="1"/>
  <c r="H94" i="10"/>
  <c r="H48" i="10" s="1"/>
  <c r="G94" i="10"/>
  <c r="G48" i="10" s="1"/>
  <c r="R94" i="15"/>
  <c r="R48" i="15" s="1"/>
  <c r="AH94" i="15"/>
  <c r="AH48" i="15" s="1"/>
  <c r="AX94" i="15"/>
  <c r="AX48" i="15" s="1"/>
  <c r="BN94" i="15"/>
  <c r="BN48" i="15" s="1"/>
  <c r="CD94" i="15"/>
  <c r="CD48" i="15" s="1"/>
  <c r="CT94" i="15"/>
  <c r="CT48" i="15" s="1"/>
  <c r="DJ94" i="15"/>
  <c r="DJ48" i="15" s="1"/>
  <c r="DZ94" i="15"/>
  <c r="DZ48" i="15" s="1"/>
  <c r="EP94" i="15"/>
  <c r="EP48" i="15" s="1"/>
  <c r="W94" i="15"/>
  <c r="W48" i="15" s="1"/>
  <c r="AM94" i="15"/>
  <c r="AM48" i="15" s="1"/>
  <c r="BC94" i="15"/>
  <c r="BC48" i="15" s="1"/>
  <c r="BS94" i="15"/>
  <c r="BS48" i="15" s="1"/>
  <c r="CI94" i="15"/>
  <c r="CI48" i="15" s="1"/>
  <c r="CY94" i="15"/>
  <c r="CY48" i="15" s="1"/>
  <c r="DO94" i="15"/>
  <c r="DO48" i="15" s="1"/>
  <c r="EE94" i="15"/>
  <c r="EE48" i="15" s="1"/>
  <c r="T94" i="15"/>
  <c r="T48" i="15" s="1"/>
  <c r="AZ94" i="15"/>
  <c r="AZ48" i="15" s="1"/>
  <c r="CF94" i="15"/>
  <c r="CF48" i="15" s="1"/>
  <c r="DL94" i="15"/>
  <c r="DL48" i="15" s="1"/>
  <c r="ER94" i="15"/>
  <c r="ER48" i="15" s="1"/>
  <c r="M94" i="15"/>
  <c r="M48" i="15" s="1"/>
  <c r="AS94" i="15"/>
  <c r="AS48" i="15" s="1"/>
  <c r="BY94" i="15"/>
  <c r="BY48" i="15" s="1"/>
  <c r="DE94" i="15"/>
  <c r="DE48" i="15" s="1"/>
  <c r="EK94" i="15"/>
  <c r="EK48" i="15" s="1"/>
  <c r="AF94" i="15"/>
  <c r="AF48" i="15" s="1"/>
  <c r="BL94" i="15"/>
  <c r="BL48" i="15" s="1"/>
  <c r="V94" i="15"/>
  <c r="V48" i="15" s="1"/>
  <c r="AL94" i="15"/>
  <c r="AL48" i="15" s="1"/>
  <c r="BB94" i="15"/>
  <c r="BB48" i="15" s="1"/>
  <c r="BR94" i="15"/>
  <c r="BR48" i="15" s="1"/>
  <c r="CH94" i="15"/>
  <c r="CH48" i="15" s="1"/>
  <c r="CX94" i="15"/>
  <c r="CX48" i="15" s="1"/>
  <c r="DN94" i="15"/>
  <c r="DN48" i="15" s="1"/>
  <c r="ED94" i="15"/>
  <c r="ED48" i="15" s="1"/>
  <c r="ET94" i="15"/>
  <c r="ET48" i="15" s="1"/>
  <c r="K94" i="15"/>
  <c r="K48" i="15" s="1"/>
  <c r="AA94" i="15"/>
  <c r="AA48" i="15" s="1"/>
  <c r="AQ94" i="15"/>
  <c r="AQ48" i="15" s="1"/>
  <c r="BG94" i="15"/>
  <c r="BG48" i="15" s="1"/>
  <c r="BW94" i="15"/>
  <c r="BW48" i="15" s="1"/>
  <c r="CM94" i="15"/>
  <c r="CM48" i="15" s="1"/>
  <c r="DC94" i="15"/>
  <c r="DC48" i="15" s="1"/>
  <c r="DS94" i="15"/>
  <c r="DS48" i="15" s="1"/>
  <c r="EI94" i="15"/>
  <c r="EI48" i="15" s="1"/>
  <c r="AB94" i="15"/>
  <c r="AB48" i="15" s="1"/>
  <c r="BH94" i="15"/>
  <c r="BH48" i="15" s="1"/>
  <c r="CN94" i="15"/>
  <c r="CN48" i="15" s="1"/>
  <c r="DT94" i="15"/>
  <c r="DT48" i="15" s="1"/>
  <c r="U94" i="15"/>
  <c r="U48" i="15" s="1"/>
  <c r="BA94" i="15"/>
  <c r="BA48" i="15" s="1"/>
  <c r="CG94" i="15"/>
  <c r="CG48" i="15" s="1"/>
  <c r="DM94" i="15"/>
  <c r="DM48" i="15" s="1"/>
  <c r="ES94" i="15"/>
  <c r="ES48" i="15" s="1"/>
  <c r="H94" i="15"/>
  <c r="H48" i="15" s="1"/>
  <c r="AN94" i="15"/>
  <c r="AN48" i="15" s="1"/>
  <c r="BT94" i="15"/>
  <c r="BT48" i="15" s="1"/>
  <c r="CZ94" i="15"/>
  <c r="CZ48" i="15" s="1"/>
  <c r="EF94" i="15"/>
  <c r="EF48" i="15" s="1"/>
  <c r="J94" i="15"/>
  <c r="J48" i="15" s="1"/>
  <c r="Z94" i="15"/>
  <c r="Z48" i="15" s="1"/>
  <c r="AP94" i="15"/>
  <c r="AP48" i="15" s="1"/>
  <c r="BF94" i="15"/>
  <c r="BF48" i="15" s="1"/>
  <c r="BV94" i="15"/>
  <c r="BV48" i="15" s="1"/>
  <c r="CL94" i="15"/>
  <c r="CL48" i="15" s="1"/>
  <c r="DB94" i="15"/>
  <c r="DB48" i="15" s="1"/>
  <c r="DR94" i="15"/>
  <c r="DR48" i="15" s="1"/>
  <c r="EH94" i="15"/>
  <c r="EH48" i="15" s="1"/>
  <c r="O94" i="15"/>
  <c r="O48" i="15" s="1"/>
  <c r="AE94" i="15"/>
  <c r="AE48" i="15" s="1"/>
  <c r="AU94" i="15"/>
  <c r="AU48" i="15" s="1"/>
  <c r="BK94" i="15"/>
  <c r="BK48" i="15" s="1"/>
  <c r="CA94" i="15"/>
  <c r="CA48" i="15" s="1"/>
  <c r="CQ94" i="15"/>
  <c r="CQ48" i="15" s="1"/>
  <c r="DG94" i="15"/>
  <c r="DG48" i="15" s="1"/>
  <c r="DW94" i="15"/>
  <c r="DW48" i="15" s="1"/>
  <c r="EM94" i="15"/>
  <c r="EM48" i="15" s="1"/>
  <c r="AJ94" i="15"/>
  <c r="AJ48" i="15" s="1"/>
  <c r="BP94" i="15"/>
  <c r="BP48" i="15" s="1"/>
  <c r="CV94" i="15"/>
  <c r="CV48" i="15" s="1"/>
  <c r="EB94" i="15"/>
  <c r="EB48" i="15" s="1"/>
  <c r="AC94" i="15"/>
  <c r="AC48" i="15" s="1"/>
  <c r="BI94" i="15"/>
  <c r="BI48" i="15" s="1"/>
  <c r="CO94" i="15"/>
  <c r="CO48" i="15" s="1"/>
  <c r="DU94" i="15"/>
  <c r="DU48" i="15" s="1"/>
  <c r="P94" i="15"/>
  <c r="P48" i="15" s="1"/>
  <c r="AV94" i="15"/>
  <c r="AV48" i="15" s="1"/>
  <c r="CB94" i="15"/>
  <c r="CB48" i="15" s="1"/>
  <c r="DH94" i="15"/>
  <c r="DH48" i="15" s="1"/>
  <c r="EN94" i="15"/>
  <c r="EN48" i="15" s="1"/>
  <c r="N94" i="15"/>
  <c r="N48" i="15" s="1"/>
  <c r="AD94" i="15"/>
  <c r="AD48" i="15" s="1"/>
  <c r="AT94" i="15"/>
  <c r="AT48" i="15" s="1"/>
  <c r="BJ94" i="15"/>
  <c r="BJ48" i="15" s="1"/>
  <c r="BZ94" i="15"/>
  <c r="BZ48" i="15" s="1"/>
  <c r="CP94" i="15"/>
  <c r="CP48" i="15" s="1"/>
  <c r="DF94" i="15"/>
  <c r="DF48" i="15" s="1"/>
  <c r="DV94" i="15"/>
  <c r="DV48" i="15" s="1"/>
  <c r="EL94" i="15"/>
  <c r="EL48" i="15" s="1"/>
  <c r="S94" i="15"/>
  <c r="S48" i="15" s="1"/>
  <c r="AI94" i="15"/>
  <c r="AI48" i="15" s="1"/>
  <c r="AY94" i="15"/>
  <c r="AY48" i="15" s="1"/>
  <c r="BO94" i="15"/>
  <c r="BO48" i="15" s="1"/>
  <c r="CE94" i="15"/>
  <c r="CE48" i="15" s="1"/>
  <c r="CU94" i="15"/>
  <c r="CU48" i="15" s="1"/>
  <c r="DK94" i="15"/>
  <c r="DK48" i="15" s="1"/>
  <c r="EA94" i="15"/>
  <c r="EA48" i="15" s="1"/>
  <c r="EQ94" i="15"/>
  <c r="EQ48" i="15" s="1"/>
  <c r="L94" i="15"/>
  <c r="L48" i="15" s="1"/>
  <c r="AR94" i="15"/>
  <c r="AR48" i="15" s="1"/>
  <c r="BX94" i="15"/>
  <c r="BX48" i="15" s="1"/>
  <c r="DD94" i="15"/>
  <c r="DD48" i="15" s="1"/>
  <c r="EJ94" i="15"/>
  <c r="EJ48" i="15" s="1"/>
  <c r="AK94" i="15"/>
  <c r="AK48" i="15" s="1"/>
  <c r="BQ94" i="15"/>
  <c r="BQ48" i="15" s="1"/>
  <c r="CW94" i="15"/>
  <c r="CW48" i="15" s="1"/>
  <c r="EC94" i="15"/>
  <c r="EC48" i="15" s="1"/>
  <c r="X94" i="15"/>
  <c r="X48" i="15" s="1"/>
  <c r="BD94" i="15"/>
  <c r="BD48" i="15" s="1"/>
  <c r="CJ94" i="15"/>
  <c r="CJ48" i="15" s="1"/>
  <c r="DP94" i="15"/>
  <c r="DP48" i="15" s="1"/>
  <c r="CR94" i="15"/>
  <c r="CR48" i="15" s="1"/>
  <c r="Y94" i="15"/>
  <c r="Y48" i="15" s="1"/>
  <c r="BE94" i="15"/>
  <c r="BE48" i="15" s="1"/>
  <c r="CK94" i="15"/>
  <c r="CK48" i="15" s="1"/>
  <c r="DQ94" i="15"/>
  <c r="DQ48" i="15" s="1"/>
  <c r="DX94" i="15"/>
  <c r="DX48" i="15" s="1"/>
  <c r="AG94" i="15"/>
  <c r="AG48" i="15" s="1"/>
  <c r="BM94" i="15"/>
  <c r="BM48" i="15" s="1"/>
  <c r="CS94" i="15"/>
  <c r="CS48" i="15" s="1"/>
  <c r="DY94" i="15"/>
  <c r="DY48" i="15" s="1"/>
  <c r="I94" i="15"/>
  <c r="I48" i="15" s="1"/>
  <c r="AO94" i="15"/>
  <c r="AO48" i="15" s="1"/>
  <c r="BU94" i="15"/>
  <c r="BU48" i="15" s="1"/>
  <c r="DA94" i="15"/>
  <c r="DA48" i="15" s="1"/>
  <c r="EG94" i="15"/>
  <c r="EG48" i="15" s="1"/>
  <c r="Q94" i="15"/>
  <c r="Q48" i="15" s="1"/>
  <c r="AW94" i="15"/>
  <c r="AW48" i="15" s="1"/>
  <c r="CC94" i="15"/>
  <c r="CC48" i="15" s="1"/>
  <c r="DI94" i="15"/>
  <c r="DI48" i="15" s="1"/>
  <c r="EO94" i="15"/>
  <c r="EO48" i="15" s="1"/>
  <c r="G94" i="15"/>
  <c r="G48" i="15" s="1"/>
  <c r="F49" i="15"/>
  <c r="F49" i="10"/>
  <c r="D100" i="2"/>
  <c r="AR61" i="5"/>
  <c r="C96" i="5" s="1"/>
  <c r="D96" i="5" l="1"/>
  <c r="S96" i="5"/>
  <c r="O96" i="5"/>
  <c r="K96" i="5"/>
  <c r="G96" i="5"/>
  <c r="R96" i="5"/>
  <c r="M96" i="5"/>
  <c r="H96" i="5"/>
  <c r="Q96" i="5"/>
  <c r="L96" i="5"/>
  <c r="F96" i="5"/>
  <c r="N96" i="5"/>
  <c r="E96" i="5"/>
  <c r="J96" i="5"/>
  <c r="P96" i="5"/>
  <c r="T96" i="5"/>
  <c r="I96" i="5"/>
  <c r="H100" i="2"/>
  <c r="L100" i="2"/>
  <c r="P100" i="2"/>
  <c r="T100" i="2"/>
  <c r="I100" i="2"/>
  <c r="M100" i="2"/>
  <c r="Q100" i="2"/>
  <c r="U100" i="2"/>
  <c r="J100" i="2"/>
  <c r="N100" i="2"/>
  <c r="R100" i="2"/>
  <c r="O100" i="2"/>
  <c r="S100" i="2"/>
  <c r="K100" i="2"/>
  <c r="D1759" i="12"/>
  <c r="E1758" i="12"/>
  <c r="F1758" i="12"/>
  <c r="EQ56" i="5"/>
  <c r="BF61" i="5"/>
  <c r="BC61" i="5"/>
  <c r="AR57" i="2"/>
  <c r="BB56" i="2"/>
  <c r="J95" i="10"/>
  <c r="J49" i="10" s="1"/>
  <c r="Z95" i="10"/>
  <c r="Z49" i="10" s="1"/>
  <c r="AP95" i="10"/>
  <c r="AP49" i="10" s="1"/>
  <c r="BF95" i="10"/>
  <c r="BF49" i="10" s="1"/>
  <c r="BV95" i="10"/>
  <c r="BV49" i="10" s="1"/>
  <c r="CL95" i="10"/>
  <c r="CL49" i="10" s="1"/>
  <c r="DB95" i="10"/>
  <c r="DB49" i="10" s="1"/>
  <c r="DR95" i="10"/>
  <c r="DR49" i="10" s="1"/>
  <c r="EH95" i="10"/>
  <c r="EH49" i="10" s="1"/>
  <c r="N95" i="10"/>
  <c r="N49" i="10" s="1"/>
  <c r="AD95" i="10"/>
  <c r="AD49" i="10" s="1"/>
  <c r="AT95" i="10"/>
  <c r="AT49" i="10" s="1"/>
  <c r="BJ95" i="10"/>
  <c r="BJ49" i="10" s="1"/>
  <c r="BZ95" i="10"/>
  <c r="BZ49" i="10" s="1"/>
  <c r="CP95" i="10"/>
  <c r="CP49" i="10" s="1"/>
  <c r="DF95" i="10"/>
  <c r="DF49" i="10" s="1"/>
  <c r="DV95" i="10"/>
  <c r="DV49" i="10" s="1"/>
  <c r="EL95" i="10"/>
  <c r="EL49" i="10" s="1"/>
  <c r="R95" i="10"/>
  <c r="R49" i="10" s="1"/>
  <c r="AH95" i="10"/>
  <c r="AH49" i="10" s="1"/>
  <c r="AX95" i="10"/>
  <c r="AX49" i="10" s="1"/>
  <c r="BN95" i="10"/>
  <c r="BN49" i="10" s="1"/>
  <c r="CD95" i="10"/>
  <c r="CD49" i="10" s="1"/>
  <c r="CT95" i="10"/>
  <c r="CT49" i="10" s="1"/>
  <c r="DJ95" i="10"/>
  <c r="DJ49" i="10" s="1"/>
  <c r="DZ95" i="10"/>
  <c r="DZ49" i="10" s="1"/>
  <c r="EP95" i="10"/>
  <c r="EP49" i="10" s="1"/>
  <c r="V95" i="10"/>
  <c r="V49" i="10" s="1"/>
  <c r="AL95" i="10"/>
  <c r="AL49" i="10" s="1"/>
  <c r="BB95" i="10"/>
  <c r="BB49" i="10" s="1"/>
  <c r="BR95" i="10"/>
  <c r="BR49" i="10" s="1"/>
  <c r="CH95" i="10"/>
  <c r="CH49" i="10" s="1"/>
  <c r="CX95" i="10"/>
  <c r="CX49" i="10" s="1"/>
  <c r="DN95" i="10"/>
  <c r="DN49" i="10" s="1"/>
  <c r="ED95" i="10"/>
  <c r="ED49" i="10" s="1"/>
  <c r="ET95" i="10"/>
  <c r="ET49" i="10" s="1"/>
  <c r="K95" i="10"/>
  <c r="K49" i="10" s="1"/>
  <c r="AA95" i="10"/>
  <c r="AQ95" i="10"/>
  <c r="AQ49" i="10" s="1"/>
  <c r="BG95" i="10"/>
  <c r="BG49" i="10" s="1"/>
  <c r="BW95" i="10"/>
  <c r="BW49" i="10" s="1"/>
  <c r="CM95" i="10"/>
  <c r="CM49" i="10" s="1"/>
  <c r="DC95" i="10"/>
  <c r="DC49" i="10" s="1"/>
  <c r="DS95" i="10"/>
  <c r="DS49" i="10" s="1"/>
  <c r="EI95" i="10"/>
  <c r="EI49" i="10" s="1"/>
  <c r="P95" i="10"/>
  <c r="P49" i="10" s="1"/>
  <c r="AF95" i="10"/>
  <c r="AF49" i="10" s="1"/>
  <c r="AV95" i="10"/>
  <c r="AV49" i="10" s="1"/>
  <c r="BL95" i="10"/>
  <c r="BL49" i="10" s="1"/>
  <c r="CB95" i="10"/>
  <c r="CB49" i="10" s="1"/>
  <c r="CR95" i="10"/>
  <c r="CR49" i="10" s="1"/>
  <c r="DH95" i="10"/>
  <c r="DH49" i="10" s="1"/>
  <c r="DX95" i="10"/>
  <c r="DX49" i="10" s="1"/>
  <c r="EN95" i="10"/>
  <c r="EN49" i="10" s="1"/>
  <c r="O95" i="10"/>
  <c r="O49" i="10" s="1"/>
  <c r="AE95" i="10"/>
  <c r="AE49" i="10" s="1"/>
  <c r="AU95" i="10"/>
  <c r="AU49" i="10" s="1"/>
  <c r="BK95" i="10"/>
  <c r="BK49" i="10" s="1"/>
  <c r="CA95" i="10"/>
  <c r="CA49" i="10" s="1"/>
  <c r="CQ95" i="10"/>
  <c r="CQ49" i="10" s="1"/>
  <c r="DG95" i="10"/>
  <c r="DG49" i="10" s="1"/>
  <c r="DW95" i="10"/>
  <c r="DW49" i="10" s="1"/>
  <c r="EM95" i="10"/>
  <c r="EM49" i="10" s="1"/>
  <c r="T95" i="10"/>
  <c r="T49" i="10" s="1"/>
  <c r="AJ95" i="10"/>
  <c r="AJ49" i="10" s="1"/>
  <c r="AZ95" i="10"/>
  <c r="AZ49" i="10" s="1"/>
  <c r="BP95" i="10"/>
  <c r="BP49" i="10" s="1"/>
  <c r="CF95" i="10"/>
  <c r="CF49" i="10" s="1"/>
  <c r="CV95" i="10"/>
  <c r="CV49" i="10" s="1"/>
  <c r="DL95" i="10"/>
  <c r="DL49" i="10" s="1"/>
  <c r="EB95" i="10"/>
  <c r="EB49" i="10" s="1"/>
  <c r="ER95" i="10"/>
  <c r="ER49" i="10" s="1"/>
  <c r="S95" i="10"/>
  <c r="S49" i="10" s="1"/>
  <c r="AI95" i="10"/>
  <c r="AI49" i="10" s="1"/>
  <c r="AY95" i="10"/>
  <c r="AY49" i="10" s="1"/>
  <c r="BO95" i="10"/>
  <c r="BO49" i="10" s="1"/>
  <c r="CE95" i="10"/>
  <c r="CE49" i="10" s="1"/>
  <c r="CU95" i="10"/>
  <c r="CU49" i="10" s="1"/>
  <c r="DK95" i="10"/>
  <c r="DK49" i="10" s="1"/>
  <c r="EA95" i="10"/>
  <c r="EA49" i="10" s="1"/>
  <c r="EQ95" i="10"/>
  <c r="EQ49" i="10" s="1"/>
  <c r="X95" i="10"/>
  <c r="X49" i="10" s="1"/>
  <c r="AN95" i="10"/>
  <c r="AN49" i="10" s="1"/>
  <c r="BD95" i="10"/>
  <c r="BD49" i="10" s="1"/>
  <c r="BT95" i="10"/>
  <c r="BT49" i="10" s="1"/>
  <c r="CJ95" i="10"/>
  <c r="CJ49" i="10" s="1"/>
  <c r="CZ95" i="10"/>
  <c r="CZ49" i="10" s="1"/>
  <c r="DP95" i="10"/>
  <c r="DP49" i="10" s="1"/>
  <c r="EF95" i="10"/>
  <c r="EF49" i="10" s="1"/>
  <c r="W95" i="10"/>
  <c r="W49" i="10" s="1"/>
  <c r="AM95" i="10"/>
  <c r="AM49" i="10" s="1"/>
  <c r="BC95" i="10"/>
  <c r="BC49" i="10" s="1"/>
  <c r="BS95" i="10"/>
  <c r="BS49" i="10" s="1"/>
  <c r="CI95" i="10"/>
  <c r="CI49" i="10" s="1"/>
  <c r="CY95" i="10"/>
  <c r="CY49" i="10" s="1"/>
  <c r="DO95" i="10"/>
  <c r="DO49" i="10" s="1"/>
  <c r="EE95" i="10"/>
  <c r="EE49" i="10" s="1"/>
  <c r="L95" i="10"/>
  <c r="L49" i="10" s="1"/>
  <c r="AB95" i="10"/>
  <c r="AB49" i="10" s="1"/>
  <c r="AR95" i="10"/>
  <c r="AR49" i="10" s="1"/>
  <c r="BH95" i="10"/>
  <c r="BH49" i="10" s="1"/>
  <c r="BX95" i="10"/>
  <c r="BX49" i="10" s="1"/>
  <c r="CN95" i="10"/>
  <c r="CN49" i="10" s="1"/>
  <c r="DD95" i="10"/>
  <c r="DD49" i="10" s="1"/>
  <c r="DT95" i="10"/>
  <c r="DT49" i="10" s="1"/>
  <c r="EJ95" i="10"/>
  <c r="EJ49" i="10" s="1"/>
  <c r="AW95" i="10"/>
  <c r="AW49" i="10" s="1"/>
  <c r="DI95" i="10"/>
  <c r="DI49" i="10" s="1"/>
  <c r="U95" i="10"/>
  <c r="U49" i="10" s="1"/>
  <c r="CG95" i="10"/>
  <c r="CG49" i="10" s="1"/>
  <c r="ES95" i="10"/>
  <c r="ES49" i="10" s="1"/>
  <c r="BE95" i="10"/>
  <c r="BE49" i="10" s="1"/>
  <c r="DQ95" i="10"/>
  <c r="DQ49" i="10" s="1"/>
  <c r="BM95" i="10"/>
  <c r="BM49" i="10" s="1"/>
  <c r="DY95" i="10"/>
  <c r="DY49" i="10" s="1"/>
  <c r="AK95" i="10"/>
  <c r="AK49" i="10" s="1"/>
  <c r="CW95" i="10"/>
  <c r="CW49" i="10" s="1"/>
  <c r="I95" i="10"/>
  <c r="I49" i="10" s="1"/>
  <c r="BU95" i="10"/>
  <c r="BU49" i="10" s="1"/>
  <c r="EG95" i="10"/>
  <c r="EG49" i="10" s="1"/>
  <c r="Q95" i="10"/>
  <c r="Q49" i="10" s="1"/>
  <c r="CC95" i="10"/>
  <c r="CC49" i="10" s="1"/>
  <c r="EO95" i="10"/>
  <c r="EO49" i="10" s="1"/>
  <c r="BA95" i="10"/>
  <c r="BA49" i="10" s="1"/>
  <c r="DM95" i="10"/>
  <c r="DM49" i="10" s="1"/>
  <c r="Y95" i="10"/>
  <c r="Y49" i="10" s="1"/>
  <c r="CK95" i="10"/>
  <c r="CK49" i="10" s="1"/>
  <c r="BI95" i="10"/>
  <c r="BI49" i="10" s="1"/>
  <c r="AG95" i="10"/>
  <c r="AG49" i="10" s="1"/>
  <c r="CS95" i="10"/>
  <c r="CS49" i="10" s="1"/>
  <c r="BQ95" i="10"/>
  <c r="BQ49" i="10" s="1"/>
  <c r="EC95" i="10"/>
  <c r="EC49" i="10" s="1"/>
  <c r="AO95" i="10"/>
  <c r="AO49" i="10" s="1"/>
  <c r="DA95" i="10"/>
  <c r="DA49" i="10" s="1"/>
  <c r="DU95" i="10"/>
  <c r="DU49" i="10" s="1"/>
  <c r="BY95" i="10"/>
  <c r="BY49" i="10" s="1"/>
  <c r="CO95" i="10"/>
  <c r="CO49" i="10" s="1"/>
  <c r="AS95" i="10"/>
  <c r="AS49" i="10" s="1"/>
  <c r="EK95" i="10"/>
  <c r="EK49" i="10" s="1"/>
  <c r="M95" i="10"/>
  <c r="M49" i="10" s="1"/>
  <c r="AC95" i="10"/>
  <c r="AC49" i="10" s="1"/>
  <c r="G95" i="10"/>
  <c r="G49" i="10" s="1"/>
  <c r="DE95" i="10"/>
  <c r="DE49" i="10" s="1"/>
  <c r="H95" i="10"/>
  <c r="H49" i="10" s="1"/>
  <c r="S95" i="15"/>
  <c r="S49" i="15" s="1"/>
  <c r="AI95" i="15"/>
  <c r="AI49" i="15" s="1"/>
  <c r="AY95" i="15"/>
  <c r="AY49" i="15" s="1"/>
  <c r="H95" i="15"/>
  <c r="H49" i="15" s="1"/>
  <c r="X95" i="15"/>
  <c r="X49" i="15" s="1"/>
  <c r="AN95" i="15"/>
  <c r="AN49" i="15" s="1"/>
  <c r="BD95" i="15"/>
  <c r="BD49" i="15" s="1"/>
  <c r="BT95" i="15"/>
  <c r="BT49" i="15" s="1"/>
  <c r="CJ95" i="15"/>
  <c r="CJ49" i="15" s="1"/>
  <c r="AK95" i="15"/>
  <c r="AK49" i="15" s="1"/>
  <c r="BM95" i="15"/>
  <c r="BM49" i="15" s="1"/>
  <c r="CH95" i="15"/>
  <c r="CH49" i="15" s="1"/>
  <c r="DA95" i="15"/>
  <c r="DA49" i="15" s="1"/>
  <c r="DQ95" i="15"/>
  <c r="DQ49" i="15" s="1"/>
  <c r="EG95" i="15"/>
  <c r="EG49" i="15" s="1"/>
  <c r="AD95" i="15"/>
  <c r="AD49" i="15" s="1"/>
  <c r="BI95" i="15"/>
  <c r="BI49" i="15" s="1"/>
  <c r="CD95" i="15"/>
  <c r="CD49" i="15" s="1"/>
  <c r="CX95" i="15"/>
  <c r="CX49" i="15" s="1"/>
  <c r="DN95" i="15"/>
  <c r="DN49" i="15" s="1"/>
  <c r="ED95" i="15"/>
  <c r="ED49" i="15" s="1"/>
  <c r="ET95" i="15"/>
  <c r="ET49" i="15" s="1"/>
  <c r="W95" i="15"/>
  <c r="W49" i="15" s="1"/>
  <c r="AM95" i="15"/>
  <c r="AM49" i="15" s="1"/>
  <c r="BC95" i="15"/>
  <c r="BC49" i="15" s="1"/>
  <c r="L95" i="15"/>
  <c r="L49" i="15" s="1"/>
  <c r="AB95" i="15"/>
  <c r="AB49" i="15" s="1"/>
  <c r="AR95" i="15"/>
  <c r="AR49" i="15" s="1"/>
  <c r="BH95" i="15"/>
  <c r="BH49" i="15" s="1"/>
  <c r="BX95" i="15"/>
  <c r="BX49" i="15" s="1"/>
  <c r="CN95" i="15"/>
  <c r="CN49" i="15" s="1"/>
  <c r="M95" i="15"/>
  <c r="M49" i="15" s="1"/>
  <c r="AS95" i="15"/>
  <c r="AS49" i="15" s="1"/>
  <c r="BR95" i="15"/>
  <c r="BR49" i="15" s="1"/>
  <c r="CM95" i="15"/>
  <c r="CM49" i="15" s="1"/>
  <c r="DE95" i="15"/>
  <c r="DE49" i="15" s="1"/>
  <c r="DU95" i="15"/>
  <c r="DU49" i="15" s="1"/>
  <c r="EK95" i="15"/>
  <c r="EK49" i="15" s="1"/>
  <c r="AL95" i="15"/>
  <c r="AL49" i="15" s="1"/>
  <c r="BN95" i="15"/>
  <c r="BN49" i="15" s="1"/>
  <c r="CI95" i="15"/>
  <c r="CI49" i="15" s="1"/>
  <c r="DB95" i="15"/>
  <c r="DB49" i="15" s="1"/>
  <c r="DR95" i="15"/>
  <c r="DR49" i="15" s="1"/>
  <c r="EH95" i="15"/>
  <c r="EH49" i="15" s="1"/>
  <c r="Y95" i="15"/>
  <c r="Y49" i="15" s="1"/>
  <c r="BE95" i="15"/>
  <c r="BE49" i="15" s="1"/>
  <c r="BZ95" i="15"/>
  <c r="BZ49" i="15" s="1"/>
  <c r="K95" i="15"/>
  <c r="K49" i="15" s="1"/>
  <c r="AA95" i="15"/>
  <c r="AA49" i="15" s="1"/>
  <c r="AQ95" i="15"/>
  <c r="AQ49" i="15" s="1"/>
  <c r="P95" i="15"/>
  <c r="P49" i="15" s="1"/>
  <c r="AF95" i="15"/>
  <c r="AF49" i="15" s="1"/>
  <c r="AV95" i="15"/>
  <c r="AV49" i="15" s="1"/>
  <c r="BL95" i="15"/>
  <c r="BL49" i="15" s="1"/>
  <c r="CB95" i="15"/>
  <c r="CB49" i="15" s="1"/>
  <c r="CR95" i="15"/>
  <c r="CR49" i="15" s="1"/>
  <c r="U95" i="15"/>
  <c r="U49" i="15" s="1"/>
  <c r="BA95" i="15"/>
  <c r="BA49" i="15" s="1"/>
  <c r="BW95" i="15"/>
  <c r="BW49" i="15" s="1"/>
  <c r="CS95" i="15"/>
  <c r="CS49" i="15" s="1"/>
  <c r="DI95" i="15"/>
  <c r="DI49" i="15" s="1"/>
  <c r="DY95" i="15"/>
  <c r="DY49" i="15" s="1"/>
  <c r="EO95" i="15"/>
  <c r="EO49" i="15" s="1"/>
  <c r="N95" i="15"/>
  <c r="N49" i="15" s="1"/>
  <c r="AT95" i="15"/>
  <c r="AT49" i="15" s="1"/>
  <c r="BS95" i="15"/>
  <c r="BS49" i="15" s="1"/>
  <c r="CO95" i="15"/>
  <c r="CO49" i="15" s="1"/>
  <c r="DF95" i="15"/>
  <c r="DF49" i="15" s="1"/>
  <c r="DV95" i="15"/>
  <c r="DV49" i="15" s="1"/>
  <c r="EL95" i="15"/>
  <c r="EL49" i="15" s="1"/>
  <c r="AG95" i="15"/>
  <c r="AG49" i="15" s="1"/>
  <c r="BJ95" i="15"/>
  <c r="BJ49" i="15" s="1"/>
  <c r="CE95" i="15"/>
  <c r="CE49" i="15" s="1"/>
  <c r="CY95" i="15"/>
  <c r="CY49" i="15" s="1"/>
  <c r="DO95" i="15"/>
  <c r="DO49" i="15" s="1"/>
  <c r="EE95" i="15"/>
  <c r="EE49" i="15" s="1"/>
  <c r="O95" i="15"/>
  <c r="O49" i="15" s="1"/>
  <c r="AE95" i="15"/>
  <c r="AE49" i="15" s="1"/>
  <c r="AU95" i="15"/>
  <c r="AU49" i="15" s="1"/>
  <c r="T95" i="15"/>
  <c r="T49" i="15" s="1"/>
  <c r="AJ95" i="15"/>
  <c r="AJ49" i="15" s="1"/>
  <c r="AZ95" i="15"/>
  <c r="AZ49" i="15" s="1"/>
  <c r="BP95" i="15"/>
  <c r="BP49" i="15" s="1"/>
  <c r="CF95" i="15"/>
  <c r="CF49" i="15" s="1"/>
  <c r="AC95" i="15"/>
  <c r="AC49" i="15" s="1"/>
  <c r="BG95" i="15"/>
  <c r="BG49" i="15" s="1"/>
  <c r="CC95" i="15"/>
  <c r="CC49" i="15" s="1"/>
  <c r="CW95" i="15"/>
  <c r="CW49" i="15" s="1"/>
  <c r="DM95" i="15"/>
  <c r="DM49" i="15" s="1"/>
  <c r="EC95" i="15"/>
  <c r="EC49" i="15" s="1"/>
  <c r="ES95" i="15"/>
  <c r="ES49" i="15" s="1"/>
  <c r="V95" i="15"/>
  <c r="V49" i="15" s="1"/>
  <c r="BB95" i="15"/>
  <c r="BB49" i="15" s="1"/>
  <c r="BY95" i="15"/>
  <c r="BY49" i="15" s="1"/>
  <c r="CT95" i="15"/>
  <c r="CT49" i="15" s="1"/>
  <c r="DJ95" i="15"/>
  <c r="DJ49" i="15" s="1"/>
  <c r="DZ95" i="15"/>
  <c r="DZ49" i="15" s="1"/>
  <c r="EP95" i="15"/>
  <c r="EP49" i="15" s="1"/>
  <c r="I95" i="15"/>
  <c r="I49" i="15" s="1"/>
  <c r="AW95" i="15"/>
  <c r="AW49" i="15" s="1"/>
  <c r="CP95" i="15"/>
  <c r="CP49" i="15" s="1"/>
  <c r="DK95" i="15"/>
  <c r="DK49" i="15" s="1"/>
  <c r="EI95" i="15"/>
  <c r="EI49" i="15" s="1"/>
  <c r="J95" i="15"/>
  <c r="J49" i="15" s="1"/>
  <c r="AP95" i="15"/>
  <c r="AP49" i="15" s="1"/>
  <c r="BQ95" i="15"/>
  <c r="BQ49" i="15" s="1"/>
  <c r="CL95" i="15"/>
  <c r="CL49" i="15" s="1"/>
  <c r="DD95" i="15"/>
  <c r="DD49" i="15" s="1"/>
  <c r="DT95" i="15"/>
  <c r="DT49" i="15" s="1"/>
  <c r="EJ95" i="15"/>
  <c r="EJ49" i="15" s="1"/>
  <c r="BO95" i="15"/>
  <c r="BO49" i="15" s="1"/>
  <c r="CU95" i="15"/>
  <c r="CU49" i="15" s="1"/>
  <c r="DS95" i="15"/>
  <c r="DS49" i="15" s="1"/>
  <c r="EM95" i="15"/>
  <c r="EM49" i="15" s="1"/>
  <c r="R95" i="15"/>
  <c r="R49" i="15" s="1"/>
  <c r="AX95" i="15"/>
  <c r="AX49" i="15" s="1"/>
  <c r="BV95" i="15"/>
  <c r="BV49" i="15" s="1"/>
  <c r="CQ95" i="15"/>
  <c r="CQ49" i="15" s="1"/>
  <c r="DH95" i="15"/>
  <c r="DH49" i="15" s="1"/>
  <c r="DX95" i="15"/>
  <c r="DX49" i="15" s="1"/>
  <c r="EN95" i="15"/>
  <c r="EN49" i="15" s="1"/>
  <c r="Q95" i="15"/>
  <c r="Q49" i="15" s="1"/>
  <c r="BU95" i="15"/>
  <c r="BU49" i="15" s="1"/>
  <c r="DC95" i="15"/>
  <c r="DC49" i="15" s="1"/>
  <c r="DW95" i="15"/>
  <c r="DW49" i="15" s="1"/>
  <c r="EQ95" i="15"/>
  <c r="EQ49" i="15" s="1"/>
  <c r="Z95" i="15"/>
  <c r="Z49" i="15" s="1"/>
  <c r="BF95" i="15"/>
  <c r="BF49" i="15" s="1"/>
  <c r="CA95" i="15"/>
  <c r="CA49" i="15" s="1"/>
  <c r="CV95" i="15"/>
  <c r="CV49" i="15" s="1"/>
  <c r="DL95" i="15"/>
  <c r="DL49" i="15" s="1"/>
  <c r="EB95" i="15"/>
  <c r="EB49" i="15" s="1"/>
  <c r="ER95" i="15"/>
  <c r="ER49" i="15" s="1"/>
  <c r="AO95" i="15"/>
  <c r="AO49" i="15" s="1"/>
  <c r="CK95" i="15"/>
  <c r="CK49" i="15" s="1"/>
  <c r="DG95" i="15"/>
  <c r="DG49" i="15" s="1"/>
  <c r="EA95" i="15"/>
  <c r="EA49" i="15" s="1"/>
  <c r="AH95" i="15"/>
  <c r="AH49" i="15" s="1"/>
  <c r="BK95" i="15"/>
  <c r="BK49" i="15" s="1"/>
  <c r="CG95" i="15"/>
  <c r="CG49" i="15" s="1"/>
  <c r="CZ95" i="15"/>
  <c r="CZ49" i="15" s="1"/>
  <c r="DP95" i="15"/>
  <c r="DP49" i="15" s="1"/>
  <c r="EF95" i="15"/>
  <c r="EF49" i="15" s="1"/>
  <c r="G95" i="15"/>
  <c r="G49" i="15" s="1"/>
  <c r="F50" i="15"/>
  <c r="AA49" i="10"/>
  <c r="F50" i="10"/>
  <c r="AR62" i="5"/>
  <c r="C97" i="5" s="1"/>
  <c r="D101" i="2"/>
  <c r="D97" i="5" l="1"/>
  <c r="Q97" i="5"/>
  <c r="S97" i="5"/>
  <c r="O97" i="5"/>
  <c r="K97" i="5"/>
  <c r="G97" i="5"/>
  <c r="T97" i="5"/>
  <c r="M97" i="5"/>
  <c r="H97" i="5"/>
  <c r="R97" i="5"/>
  <c r="L97" i="5"/>
  <c r="F97" i="5"/>
  <c r="I97" i="5"/>
  <c r="J97" i="5"/>
  <c r="P97" i="5"/>
  <c r="E97" i="5"/>
  <c r="N97" i="5"/>
  <c r="H101" i="2"/>
  <c r="K101" i="2"/>
  <c r="O101" i="2"/>
  <c r="S101" i="2"/>
  <c r="L101" i="2"/>
  <c r="P101" i="2"/>
  <c r="T101" i="2"/>
  <c r="I101" i="2"/>
  <c r="M101" i="2"/>
  <c r="Q101" i="2"/>
  <c r="U101" i="2"/>
  <c r="R101" i="2"/>
  <c r="J101" i="2"/>
  <c r="N101" i="2"/>
  <c r="D1760" i="12"/>
  <c r="F1759" i="12"/>
  <c r="E1759" i="12"/>
  <c r="EQ57" i="5"/>
  <c r="BF62" i="5"/>
  <c r="BC62" i="5"/>
  <c r="AR58" i="2"/>
  <c r="BB57" i="2"/>
  <c r="L96" i="10"/>
  <c r="L50" i="10" s="1"/>
  <c r="AB96" i="10"/>
  <c r="AB50" i="10" s="1"/>
  <c r="AR96" i="10"/>
  <c r="AR50" i="10" s="1"/>
  <c r="BH96" i="10"/>
  <c r="BH50" i="10" s="1"/>
  <c r="BX96" i="10"/>
  <c r="BX50" i="10" s="1"/>
  <c r="CN96" i="10"/>
  <c r="CN50" i="10" s="1"/>
  <c r="DD96" i="10"/>
  <c r="DD50" i="10" s="1"/>
  <c r="DT96" i="10"/>
  <c r="DT50" i="10" s="1"/>
  <c r="EJ96" i="10"/>
  <c r="EJ50" i="10" s="1"/>
  <c r="P96" i="10"/>
  <c r="P50" i="10" s="1"/>
  <c r="AF96" i="10"/>
  <c r="AF50" i="10" s="1"/>
  <c r="AV96" i="10"/>
  <c r="AV50" i="10" s="1"/>
  <c r="BL96" i="10"/>
  <c r="BL50" i="10" s="1"/>
  <c r="CB96" i="10"/>
  <c r="CB50" i="10" s="1"/>
  <c r="CR96" i="10"/>
  <c r="CR50" i="10" s="1"/>
  <c r="DH96" i="10"/>
  <c r="DH50" i="10" s="1"/>
  <c r="DX96" i="10"/>
  <c r="DX50" i="10" s="1"/>
  <c r="EN96" i="10"/>
  <c r="EN50" i="10" s="1"/>
  <c r="T96" i="10"/>
  <c r="T50" i="10" s="1"/>
  <c r="AJ96" i="10"/>
  <c r="AJ50" i="10" s="1"/>
  <c r="AZ96" i="10"/>
  <c r="AZ50" i="10" s="1"/>
  <c r="BP96" i="10"/>
  <c r="BP50" i="10" s="1"/>
  <c r="CF96" i="10"/>
  <c r="CF50" i="10" s="1"/>
  <c r="CV96" i="10"/>
  <c r="CV50" i="10" s="1"/>
  <c r="DL96" i="10"/>
  <c r="DL50" i="10" s="1"/>
  <c r="EB96" i="10"/>
  <c r="EB50" i="10" s="1"/>
  <c r="ER96" i="10"/>
  <c r="ER50" i="10" s="1"/>
  <c r="X96" i="10"/>
  <c r="X50" i="10" s="1"/>
  <c r="AN96" i="10"/>
  <c r="AN50" i="10" s="1"/>
  <c r="BD96" i="10"/>
  <c r="BD50" i="10" s="1"/>
  <c r="BT96" i="10"/>
  <c r="BT50" i="10" s="1"/>
  <c r="CJ96" i="10"/>
  <c r="CJ50" i="10" s="1"/>
  <c r="CZ96" i="10"/>
  <c r="CZ50" i="10" s="1"/>
  <c r="DP96" i="10"/>
  <c r="DP50" i="10" s="1"/>
  <c r="EF96" i="10"/>
  <c r="EF50" i="10" s="1"/>
  <c r="M96" i="10"/>
  <c r="M50" i="10" s="1"/>
  <c r="AC96" i="10"/>
  <c r="AC50" i="10" s="1"/>
  <c r="AS96" i="10"/>
  <c r="AS50" i="10" s="1"/>
  <c r="BI96" i="10"/>
  <c r="BI50" i="10" s="1"/>
  <c r="BY96" i="10"/>
  <c r="BY50" i="10" s="1"/>
  <c r="CO96" i="10"/>
  <c r="CO50" i="10" s="1"/>
  <c r="DE96" i="10"/>
  <c r="DE50" i="10" s="1"/>
  <c r="DU96" i="10"/>
  <c r="DU50" i="10" s="1"/>
  <c r="EK96" i="10"/>
  <c r="EK50" i="10" s="1"/>
  <c r="R96" i="10"/>
  <c r="R50" i="10" s="1"/>
  <c r="AH96" i="10"/>
  <c r="AH50" i="10" s="1"/>
  <c r="AX96" i="10"/>
  <c r="AX50" i="10" s="1"/>
  <c r="BN96" i="10"/>
  <c r="BN50" i="10" s="1"/>
  <c r="CD96" i="10"/>
  <c r="CD50" i="10" s="1"/>
  <c r="CT96" i="10"/>
  <c r="CT50" i="10" s="1"/>
  <c r="DJ96" i="10"/>
  <c r="DJ50" i="10" s="1"/>
  <c r="DZ96" i="10"/>
  <c r="DZ50" i="10" s="1"/>
  <c r="EP96" i="10"/>
  <c r="EP50" i="10" s="1"/>
  <c r="Q96" i="10"/>
  <c r="Q50" i="10" s="1"/>
  <c r="AG96" i="10"/>
  <c r="AG50" i="10" s="1"/>
  <c r="AW96" i="10"/>
  <c r="AW50" i="10" s="1"/>
  <c r="BM96" i="10"/>
  <c r="BM50" i="10" s="1"/>
  <c r="CC96" i="10"/>
  <c r="CC50" i="10" s="1"/>
  <c r="CS96" i="10"/>
  <c r="CS50" i="10" s="1"/>
  <c r="DI96" i="10"/>
  <c r="DI50" i="10" s="1"/>
  <c r="DY96" i="10"/>
  <c r="DY50" i="10" s="1"/>
  <c r="EO96" i="10"/>
  <c r="EO50" i="10" s="1"/>
  <c r="V96" i="10"/>
  <c r="V50" i="10" s="1"/>
  <c r="AL96" i="10"/>
  <c r="AL50" i="10" s="1"/>
  <c r="BB96" i="10"/>
  <c r="BB50" i="10" s="1"/>
  <c r="BR96" i="10"/>
  <c r="BR50" i="10" s="1"/>
  <c r="CH96" i="10"/>
  <c r="CH50" i="10" s="1"/>
  <c r="CX96" i="10"/>
  <c r="CX50" i="10" s="1"/>
  <c r="DN96" i="10"/>
  <c r="DN50" i="10" s="1"/>
  <c r="ED96" i="10"/>
  <c r="ED50" i="10" s="1"/>
  <c r="ET96" i="10"/>
  <c r="ET50" i="10" s="1"/>
  <c r="U96" i="10"/>
  <c r="U50" i="10" s="1"/>
  <c r="AK96" i="10"/>
  <c r="AK50" i="10" s="1"/>
  <c r="BA96" i="10"/>
  <c r="BA50" i="10" s="1"/>
  <c r="BQ96" i="10"/>
  <c r="BQ50" i="10" s="1"/>
  <c r="CG96" i="10"/>
  <c r="CG50" i="10" s="1"/>
  <c r="CW96" i="10"/>
  <c r="CW50" i="10" s="1"/>
  <c r="DM96" i="10"/>
  <c r="DM50" i="10" s="1"/>
  <c r="EC96" i="10"/>
  <c r="EC50" i="10" s="1"/>
  <c r="ES96" i="10"/>
  <c r="ES50" i="10" s="1"/>
  <c r="J96" i="10"/>
  <c r="J50" i="10" s="1"/>
  <c r="Z96" i="10"/>
  <c r="Z50" i="10" s="1"/>
  <c r="AP96" i="10"/>
  <c r="AP50" i="10" s="1"/>
  <c r="BF96" i="10"/>
  <c r="BF50" i="10" s="1"/>
  <c r="BV96" i="10"/>
  <c r="BV50" i="10" s="1"/>
  <c r="CL96" i="10"/>
  <c r="CL50" i="10" s="1"/>
  <c r="DB96" i="10"/>
  <c r="DB50" i="10" s="1"/>
  <c r="DR96" i="10"/>
  <c r="DR50" i="10" s="1"/>
  <c r="EH96" i="10"/>
  <c r="EH50" i="10" s="1"/>
  <c r="I96" i="10"/>
  <c r="I50" i="10" s="1"/>
  <c r="Y96" i="10"/>
  <c r="Y50" i="10" s="1"/>
  <c r="AO96" i="10"/>
  <c r="AO50" i="10" s="1"/>
  <c r="BE96" i="10"/>
  <c r="BE50" i="10" s="1"/>
  <c r="BU96" i="10"/>
  <c r="BU50" i="10" s="1"/>
  <c r="CK96" i="10"/>
  <c r="CK50" i="10" s="1"/>
  <c r="DA96" i="10"/>
  <c r="DA50" i="10" s="1"/>
  <c r="DQ96" i="10"/>
  <c r="DQ50" i="10" s="1"/>
  <c r="EG96" i="10"/>
  <c r="EG50" i="10" s="1"/>
  <c r="N96" i="10"/>
  <c r="N50" i="10" s="1"/>
  <c r="AD96" i="10"/>
  <c r="AD50" i="10" s="1"/>
  <c r="AT96" i="10"/>
  <c r="AT50" i="10" s="1"/>
  <c r="BJ96" i="10"/>
  <c r="BJ50" i="10" s="1"/>
  <c r="BZ96" i="10"/>
  <c r="BZ50" i="10" s="1"/>
  <c r="CP96" i="10"/>
  <c r="CP50" i="10" s="1"/>
  <c r="DF96" i="10"/>
  <c r="DF50" i="10" s="1"/>
  <c r="DV96" i="10"/>
  <c r="DV50" i="10" s="1"/>
  <c r="EL96" i="10"/>
  <c r="EL50" i="10" s="1"/>
  <c r="AI96" i="10"/>
  <c r="AI50" i="10" s="1"/>
  <c r="CU96" i="10"/>
  <c r="CU50" i="10" s="1"/>
  <c r="BS96" i="10"/>
  <c r="BS50" i="10" s="1"/>
  <c r="EE96" i="10"/>
  <c r="EE50" i="10" s="1"/>
  <c r="AQ96" i="10"/>
  <c r="AQ50" i="10" s="1"/>
  <c r="DC96" i="10"/>
  <c r="DC50" i="10" s="1"/>
  <c r="AU96" i="10"/>
  <c r="AU50" i="10" s="1"/>
  <c r="AY96" i="10"/>
  <c r="AY50" i="10" s="1"/>
  <c r="DK96" i="10"/>
  <c r="DK50" i="10" s="1"/>
  <c r="W96" i="10"/>
  <c r="W50" i="10" s="1"/>
  <c r="CI96" i="10"/>
  <c r="CI50" i="10" s="1"/>
  <c r="BG96" i="10"/>
  <c r="BG50" i="10" s="1"/>
  <c r="DS96" i="10"/>
  <c r="DS50" i="10" s="1"/>
  <c r="DG96" i="10"/>
  <c r="DG50" i="10" s="1"/>
  <c r="BO96" i="10"/>
  <c r="BO50" i="10" s="1"/>
  <c r="EA96" i="10"/>
  <c r="EA50" i="10" s="1"/>
  <c r="AM96" i="10"/>
  <c r="AM50" i="10" s="1"/>
  <c r="CY96" i="10"/>
  <c r="CY50" i="10" s="1"/>
  <c r="K96" i="10"/>
  <c r="K50" i="10" s="1"/>
  <c r="BW96" i="10"/>
  <c r="BW50" i="10" s="1"/>
  <c r="EI96" i="10"/>
  <c r="EI50" i="10" s="1"/>
  <c r="S96" i="10"/>
  <c r="S50" i="10" s="1"/>
  <c r="CE96" i="10"/>
  <c r="CE50" i="10" s="1"/>
  <c r="EQ96" i="10"/>
  <c r="EQ50" i="10" s="1"/>
  <c r="BC96" i="10"/>
  <c r="BC50" i="10" s="1"/>
  <c r="DO96" i="10"/>
  <c r="DO50" i="10" s="1"/>
  <c r="AA96" i="10"/>
  <c r="AA50" i="10" s="1"/>
  <c r="CM96" i="10"/>
  <c r="CM50" i="10" s="1"/>
  <c r="O96" i="10"/>
  <c r="O50" i="10" s="1"/>
  <c r="BK96" i="10"/>
  <c r="BK50" i="10" s="1"/>
  <c r="CA96" i="10"/>
  <c r="CA50" i="10" s="1"/>
  <c r="CQ96" i="10"/>
  <c r="CQ50" i="10" s="1"/>
  <c r="DW96" i="10"/>
  <c r="DW50" i="10" s="1"/>
  <c r="EM96" i="10"/>
  <c r="EM50" i="10" s="1"/>
  <c r="AE96" i="10"/>
  <c r="AE50" i="10" s="1"/>
  <c r="H96" i="10"/>
  <c r="H50" i="10" s="1"/>
  <c r="G96" i="10"/>
  <c r="G50" i="10" s="1"/>
  <c r="J96" i="15"/>
  <c r="J50" i="15" s="1"/>
  <c r="Z96" i="15"/>
  <c r="Z50" i="15" s="1"/>
  <c r="AP96" i="15"/>
  <c r="AP50" i="15" s="1"/>
  <c r="BF96" i="15"/>
  <c r="BF50" i="15" s="1"/>
  <c r="BV96" i="15"/>
  <c r="BV50" i="15" s="1"/>
  <c r="CL96" i="15"/>
  <c r="CL50" i="15" s="1"/>
  <c r="DB96" i="15"/>
  <c r="DB50" i="15" s="1"/>
  <c r="DR96" i="15"/>
  <c r="DR50" i="15" s="1"/>
  <c r="EH96" i="15"/>
  <c r="EH50" i="15" s="1"/>
  <c r="W96" i="15"/>
  <c r="W50" i="15" s="1"/>
  <c r="AM96" i="15"/>
  <c r="AM50" i="15" s="1"/>
  <c r="BC96" i="15"/>
  <c r="BC50" i="15" s="1"/>
  <c r="BS96" i="15"/>
  <c r="BS50" i="15" s="1"/>
  <c r="CI96" i="15"/>
  <c r="CI50" i="15" s="1"/>
  <c r="CY96" i="15"/>
  <c r="CY50" i="15" s="1"/>
  <c r="DO96" i="15"/>
  <c r="DO50" i="15" s="1"/>
  <c r="EE96" i="15"/>
  <c r="EE50" i="15" s="1"/>
  <c r="N96" i="15"/>
  <c r="N50" i="15" s="1"/>
  <c r="AD96" i="15"/>
  <c r="AD50" i="15" s="1"/>
  <c r="AT96" i="15"/>
  <c r="AT50" i="15" s="1"/>
  <c r="BJ96" i="15"/>
  <c r="BJ50" i="15" s="1"/>
  <c r="BZ96" i="15"/>
  <c r="BZ50" i="15" s="1"/>
  <c r="CP96" i="15"/>
  <c r="CP50" i="15" s="1"/>
  <c r="DF96" i="15"/>
  <c r="DF50" i="15" s="1"/>
  <c r="DV96" i="15"/>
  <c r="EL96" i="15"/>
  <c r="EL50" i="15" s="1"/>
  <c r="K96" i="15"/>
  <c r="K50" i="15" s="1"/>
  <c r="AA96" i="15"/>
  <c r="AA50" i="15" s="1"/>
  <c r="AQ96" i="15"/>
  <c r="AQ50" i="15" s="1"/>
  <c r="BG96" i="15"/>
  <c r="BG50" i="15" s="1"/>
  <c r="BW96" i="15"/>
  <c r="BW50" i="15" s="1"/>
  <c r="CM96" i="15"/>
  <c r="CM50" i="15" s="1"/>
  <c r="DC96" i="15"/>
  <c r="DC50" i="15" s="1"/>
  <c r="DS96" i="15"/>
  <c r="DS50" i="15" s="1"/>
  <c r="EI96" i="15"/>
  <c r="EI50" i="15" s="1"/>
  <c r="R96" i="15"/>
  <c r="R50" i="15" s="1"/>
  <c r="AH96" i="15"/>
  <c r="AH50" i="15" s="1"/>
  <c r="AX96" i="15"/>
  <c r="AX50" i="15" s="1"/>
  <c r="BN96" i="15"/>
  <c r="BN50" i="15" s="1"/>
  <c r="CD96" i="15"/>
  <c r="CD50" i="15" s="1"/>
  <c r="CT96" i="15"/>
  <c r="CT50" i="15" s="1"/>
  <c r="DJ96" i="15"/>
  <c r="DJ50" i="15" s="1"/>
  <c r="DZ96" i="15"/>
  <c r="DZ50" i="15" s="1"/>
  <c r="EP96" i="15"/>
  <c r="EP50" i="15" s="1"/>
  <c r="O96" i="15"/>
  <c r="O50" i="15" s="1"/>
  <c r="AE96" i="15"/>
  <c r="AE50" i="15" s="1"/>
  <c r="AU96" i="15"/>
  <c r="AU50" i="15" s="1"/>
  <c r="BK96" i="15"/>
  <c r="BK50" i="15" s="1"/>
  <c r="CA96" i="15"/>
  <c r="CA50" i="15" s="1"/>
  <c r="CQ96" i="15"/>
  <c r="CQ50" i="15" s="1"/>
  <c r="DG96" i="15"/>
  <c r="DG50" i="15" s="1"/>
  <c r="DW96" i="15"/>
  <c r="DW50" i="15" s="1"/>
  <c r="EM96" i="15"/>
  <c r="EM50" i="15" s="1"/>
  <c r="H96" i="15"/>
  <c r="H50" i="15" s="1"/>
  <c r="V96" i="15"/>
  <c r="V50" i="15" s="1"/>
  <c r="AL96" i="15"/>
  <c r="AL50" i="15" s="1"/>
  <c r="BB96" i="15"/>
  <c r="BB50" i="15" s="1"/>
  <c r="BR96" i="15"/>
  <c r="BR50" i="15" s="1"/>
  <c r="CH96" i="15"/>
  <c r="CH50" i="15" s="1"/>
  <c r="CX96" i="15"/>
  <c r="CX50" i="15" s="1"/>
  <c r="DN96" i="15"/>
  <c r="DN50" i="15" s="1"/>
  <c r="ED96" i="15"/>
  <c r="ED50" i="15" s="1"/>
  <c r="ET96" i="15"/>
  <c r="ET50" i="15" s="1"/>
  <c r="S96" i="15"/>
  <c r="S50" i="15" s="1"/>
  <c r="AI96" i="15"/>
  <c r="AI50" i="15" s="1"/>
  <c r="AY96" i="15"/>
  <c r="AY50" i="15" s="1"/>
  <c r="BO96" i="15"/>
  <c r="BO50" i="15" s="1"/>
  <c r="CE96" i="15"/>
  <c r="CE50" i="15" s="1"/>
  <c r="CU96" i="15"/>
  <c r="CU50" i="15" s="1"/>
  <c r="DK96" i="15"/>
  <c r="DK50" i="15" s="1"/>
  <c r="EA96" i="15"/>
  <c r="EA50" i="15" s="1"/>
  <c r="EQ96" i="15"/>
  <c r="EQ50" i="15" s="1"/>
  <c r="P96" i="15"/>
  <c r="P50" i="15" s="1"/>
  <c r="AF96" i="15"/>
  <c r="AF50" i="15" s="1"/>
  <c r="AV96" i="15"/>
  <c r="AV50" i="15" s="1"/>
  <c r="BL96" i="15"/>
  <c r="BL50" i="15" s="1"/>
  <c r="CB96" i="15"/>
  <c r="CB50" i="15" s="1"/>
  <c r="CR96" i="15"/>
  <c r="CR50" i="15" s="1"/>
  <c r="DH96" i="15"/>
  <c r="DH50" i="15" s="1"/>
  <c r="DX96" i="15"/>
  <c r="DX50" i="15" s="1"/>
  <c r="EN96" i="15"/>
  <c r="EN50" i="15" s="1"/>
  <c r="M96" i="15"/>
  <c r="M50" i="15" s="1"/>
  <c r="AC96" i="15"/>
  <c r="AC50" i="15" s="1"/>
  <c r="AS96" i="15"/>
  <c r="AS50" i="15" s="1"/>
  <c r="BI96" i="15"/>
  <c r="BI50" i="15" s="1"/>
  <c r="BY96" i="15"/>
  <c r="BY50" i="15" s="1"/>
  <c r="CO96" i="15"/>
  <c r="CO50" i="15" s="1"/>
  <c r="DE96" i="15"/>
  <c r="DE50" i="15" s="1"/>
  <c r="DU96" i="15"/>
  <c r="DU50" i="15" s="1"/>
  <c r="EK96" i="15"/>
  <c r="EK50" i="15" s="1"/>
  <c r="T96" i="15"/>
  <c r="T50" i="15" s="1"/>
  <c r="AJ96" i="15"/>
  <c r="AJ50" i="15" s="1"/>
  <c r="AZ96" i="15"/>
  <c r="AZ50" i="15" s="1"/>
  <c r="BP96" i="15"/>
  <c r="BP50" i="15" s="1"/>
  <c r="CF96" i="15"/>
  <c r="CF50" i="15" s="1"/>
  <c r="CV96" i="15"/>
  <c r="CV50" i="15" s="1"/>
  <c r="DL96" i="15"/>
  <c r="DL50" i="15" s="1"/>
  <c r="EB96" i="15"/>
  <c r="EB50" i="15" s="1"/>
  <c r="ER96" i="15"/>
  <c r="ER50" i="15" s="1"/>
  <c r="Q96" i="15"/>
  <c r="Q50" i="15" s="1"/>
  <c r="AG96" i="15"/>
  <c r="AG50" i="15" s="1"/>
  <c r="AW96" i="15"/>
  <c r="AW50" i="15" s="1"/>
  <c r="BM96" i="15"/>
  <c r="BM50" i="15" s="1"/>
  <c r="CC96" i="15"/>
  <c r="CC50" i="15" s="1"/>
  <c r="CS96" i="15"/>
  <c r="CS50" i="15" s="1"/>
  <c r="DI96" i="15"/>
  <c r="DI50" i="15" s="1"/>
  <c r="DY96" i="15"/>
  <c r="DY50" i="15" s="1"/>
  <c r="EO96" i="15"/>
  <c r="EO50" i="15" s="1"/>
  <c r="X96" i="15"/>
  <c r="X50" i="15" s="1"/>
  <c r="AN96" i="15"/>
  <c r="AN50" i="15" s="1"/>
  <c r="BD96" i="15"/>
  <c r="BD50" i="15" s="1"/>
  <c r="BT96" i="15"/>
  <c r="BT50" i="15" s="1"/>
  <c r="CJ96" i="15"/>
  <c r="CJ50" i="15" s="1"/>
  <c r="CZ96" i="15"/>
  <c r="CZ50" i="15" s="1"/>
  <c r="DP96" i="15"/>
  <c r="DP50" i="15" s="1"/>
  <c r="EF96" i="15"/>
  <c r="EF50" i="15" s="1"/>
  <c r="U96" i="15"/>
  <c r="U50" i="15" s="1"/>
  <c r="AK96" i="15"/>
  <c r="AK50" i="15" s="1"/>
  <c r="BA96" i="15"/>
  <c r="BA50" i="15" s="1"/>
  <c r="BQ96" i="15"/>
  <c r="BQ50" i="15" s="1"/>
  <c r="CG96" i="15"/>
  <c r="CG50" i="15" s="1"/>
  <c r="CW96" i="15"/>
  <c r="CW50" i="15" s="1"/>
  <c r="DM96" i="15"/>
  <c r="DM50" i="15" s="1"/>
  <c r="EC96" i="15"/>
  <c r="EC50" i="15" s="1"/>
  <c r="ES96" i="15"/>
  <c r="ES50" i="15" s="1"/>
  <c r="L96" i="15"/>
  <c r="L50" i="15" s="1"/>
  <c r="AB96" i="15"/>
  <c r="AB50" i="15" s="1"/>
  <c r="AR96" i="15"/>
  <c r="AR50" i="15" s="1"/>
  <c r="BH96" i="15"/>
  <c r="BH50" i="15" s="1"/>
  <c r="BX96" i="15"/>
  <c r="BX50" i="15" s="1"/>
  <c r="CN96" i="15"/>
  <c r="CN50" i="15" s="1"/>
  <c r="DD96" i="15"/>
  <c r="DD50" i="15" s="1"/>
  <c r="DT96" i="15"/>
  <c r="DT50" i="15" s="1"/>
  <c r="EJ96" i="15"/>
  <c r="EJ50" i="15" s="1"/>
  <c r="I96" i="15"/>
  <c r="I50" i="15" s="1"/>
  <c r="Y96" i="15"/>
  <c r="Y50" i="15" s="1"/>
  <c r="AO96" i="15"/>
  <c r="AO50" i="15" s="1"/>
  <c r="BE96" i="15"/>
  <c r="BE50" i="15" s="1"/>
  <c r="BU96" i="15"/>
  <c r="BU50" i="15" s="1"/>
  <c r="CK96" i="15"/>
  <c r="CK50" i="15" s="1"/>
  <c r="DA96" i="15"/>
  <c r="DA50" i="15" s="1"/>
  <c r="DQ96" i="15"/>
  <c r="DQ50" i="15" s="1"/>
  <c r="EG96" i="15"/>
  <c r="EG50" i="15" s="1"/>
  <c r="G96" i="15"/>
  <c r="G50" i="15" s="1"/>
  <c r="DV50" i="15"/>
  <c r="F51" i="15"/>
  <c r="F51" i="10"/>
  <c r="D102" i="2"/>
  <c r="AR63" i="5"/>
  <c r="C98" i="5" s="1"/>
  <c r="D98" i="5" l="1"/>
  <c r="Q98" i="5"/>
  <c r="M98" i="5"/>
  <c r="I98" i="5"/>
  <c r="E98" i="5"/>
  <c r="S98" i="5"/>
  <c r="O98" i="5"/>
  <c r="K98" i="5"/>
  <c r="G98" i="5"/>
  <c r="N98" i="5"/>
  <c r="F98" i="5"/>
  <c r="P98" i="5"/>
  <c r="L98" i="5"/>
  <c r="H98" i="5"/>
  <c r="T98" i="5"/>
  <c r="J98" i="5"/>
  <c r="R98" i="5"/>
  <c r="H102" i="2"/>
  <c r="J102" i="2"/>
  <c r="N102" i="2"/>
  <c r="R102" i="2"/>
  <c r="K102" i="2"/>
  <c r="O102" i="2"/>
  <c r="S102" i="2"/>
  <c r="L102" i="2"/>
  <c r="P102" i="2"/>
  <c r="T102" i="2"/>
  <c r="U102" i="2"/>
  <c r="I102" i="2"/>
  <c r="M102" i="2"/>
  <c r="Q102" i="2"/>
  <c r="D1761" i="12"/>
  <c r="E1760" i="12"/>
  <c r="F1760" i="12"/>
  <c r="EQ58" i="5"/>
  <c r="BF63" i="5"/>
  <c r="BC63" i="5"/>
  <c r="AR59" i="2"/>
  <c r="BB58" i="2"/>
  <c r="N97" i="10"/>
  <c r="N51" i="10" s="1"/>
  <c r="AD97" i="10"/>
  <c r="AD51" i="10" s="1"/>
  <c r="AT97" i="10"/>
  <c r="AT51" i="10" s="1"/>
  <c r="BJ97" i="10"/>
  <c r="BJ51" i="10" s="1"/>
  <c r="BZ97" i="10"/>
  <c r="BZ51" i="10" s="1"/>
  <c r="CP97" i="10"/>
  <c r="CP51" i="10" s="1"/>
  <c r="DF97" i="10"/>
  <c r="DF51" i="10" s="1"/>
  <c r="DV97" i="10"/>
  <c r="DV51" i="10" s="1"/>
  <c r="EL97" i="10"/>
  <c r="EL51" i="10" s="1"/>
  <c r="R97" i="10"/>
  <c r="R51" i="10" s="1"/>
  <c r="AH97" i="10"/>
  <c r="AH51" i="10" s="1"/>
  <c r="AX97" i="10"/>
  <c r="AX51" i="10" s="1"/>
  <c r="BN97" i="10"/>
  <c r="BN51" i="10" s="1"/>
  <c r="CD97" i="10"/>
  <c r="CD51" i="10" s="1"/>
  <c r="CT97" i="10"/>
  <c r="CT51" i="10" s="1"/>
  <c r="DJ97" i="10"/>
  <c r="DJ51" i="10" s="1"/>
  <c r="DZ97" i="10"/>
  <c r="DZ51" i="10" s="1"/>
  <c r="EP97" i="10"/>
  <c r="EP51" i="10" s="1"/>
  <c r="V97" i="10"/>
  <c r="V51" i="10" s="1"/>
  <c r="AL97" i="10"/>
  <c r="AL51" i="10" s="1"/>
  <c r="BB97" i="10"/>
  <c r="BB51" i="10" s="1"/>
  <c r="BR97" i="10"/>
  <c r="BR51" i="10" s="1"/>
  <c r="CH97" i="10"/>
  <c r="CH51" i="10" s="1"/>
  <c r="CX97" i="10"/>
  <c r="CX51" i="10" s="1"/>
  <c r="DN97" i="10"/>
  <c r="DN51" i="10" s="1"/>
  <c r="ED97" i="10"/>
  <c r="ED51" i="10" s="1"/>
  <c r="ET97" i="10"/>
  <c r="ET51" i="10" s="1"/>
  <c r="J97" i="10"/>
  <c r="J51" i="10" s="1"/>
  <c r="Z97" i="10"/>
  <c r="Z51" i="10" s="1"/>
  <c r="AP97" i="10"/>
  <c r="AP51" i="10" s="1"/>
  <c r="BF97" i="10"/>
  <c r="BF51" i="10" s="1"/>
  <c r="BV97" i="10"/>
  <c r="BV51" i="10" s="1"/>
  <c r="CL97" i="10"/>
  <c r="CL51" i="10" s="1"/>
  <c r="DB97" i="10"/>
  <c r="DB51" i="10" s="1"/>
  <c r="DR97" i="10"/>
  <c r="DR51" i="10" s="1"/>
  <c r="EH97" i="10"/>
  <c r="EH51" i="10" s="1"/>
  <c r="O97" i="10"/>
  <c r="O51" i="10" s="1"/>
  <c r="AE97" i="10"/>
  <c r="AE51" i="10" s="1"/>
  <c r="AU97" i="10"/>
  <c r="AU51" i="10" s="1"/>
  <c r="BK97" i="10"/>
  <c r="BK51" i="10" s="1"/>
  <c r="CA97" i="10"/>
  <c r="CA51" i="10" s="1"/>
  <c r="CQ97" i="10"/>
  <c r="CQ51" i="10" s="1"/>
  <c r="DG97" i="10"/>
  <c r="DG51" i="10" s="1"/>
  <c r="DW97" i="10"/>
  <c r="DW51" i="10" s="1"/>
  <c r="EM97" i="10"/>
  <c r="EM51" i="10" s="1"/>
  <c r="T97" i="10"/>
  <c r="T51" i="10" s="1"/>
  <c r="AJ97" i="10"/>
  <c r="AJ51" i="10" s="1"/>
  <c r="AZ97" i="10"/>
  <c r="AZ51" i="10" s="1"/>
  <c r="BP97" i="10"/>
  <c r="BP51" i="10" s="1"/>
  <c r="CF97" i="10"/>
  <c r="CF51" i="10" s="1"/>
  <c r="CV97" i="10"/>
  <c r="CV51" i="10" s="1"/>
  <c r="DL97" i="10"/>
  <c r="DL51" i="10" s="1"/>
  <c r="EB97" i="10"/>
  <c r="EB51" i="10" s="1"/>
  <c r="ER97" i="10"/>
  <c r="ER51" i="10" s="1"/>
  <c r="S97" i="10"/>
  <c r="S51" i="10" s="1"/>
  <c r="AI97" i="10"/>
  <c r="AI51" i="10" s="1"/>
  <c r="AY97" i="10"/>
  <c r="AY51" i="10" s="1"/>
  <c r="BO97" i="10"/>
  <c r="BO51" i="10" s="1"/>
  <c r="CE97" i="10"/>
  <c r="CE51" i="10" s="1"/>
  <c r="CU97" i="10"/>
  <c r="CU51" i="10" s="1"/>
  <c r="DK97" i="10"/>
  <c r="DK51" i="10" s="1"/>
  <c r="EA97" i="10"/>
  <c r="EA51" i="10" s="1"/>
  <c r="EQ97" i="10"/>
  <c r="EQ51" i="10" s="1"/>
  <c r="X97" i="10"/>
  <c r="X51" i="10" s="1"/>
  <c r="AN97" i="10"/>
  <c r="AN51" i="10" s="1"/>
  <c r="BD97" i="10"/>
  <c r="BD51" i="10" s="1"/>
  <c r="BT97" i="10"/>
  <c r="BT51" i="10" s="1"/>
  <c r="CJ97" i="10"/>
  <c r="CJ51" i="10" s="1"/>
  <c r="CZ97" i="10"/>
  <c r="CZ51" i="10" s="1"/>
  <c r="DP97" i="10"/>
  <c r="DP51" i="10" s="1"/>
  <c r="EF97" i="10"/>
  <c r="EF51" i="10" s="1"/>
  <c r="W97" i="10"/>
  <c r="W51" i="10" s="1"/>
  <c r="AM97" i="10"/>
  <c r="AM51" i="10" s="1"/>
  <c r="BC97" i="10"/>
  <c r="BC51" i="10" s="1"/>
  <c r="BS97" i="10"/>
  <c r="BS51" i="10" s="1"/>
  <c r="CI97" i="10"/>
  <c r="CI51" i="10" s="1"/>
  <c r="CY97" i="10"/>
  <c r="CY51" i="10" s="1"/>
  <c r="DO97" i="10"/>
  <c r="DO51" i="10" s="1"/>
  <c r="EE97" i="10"/>
  <c r="EE51" i="10" s="1"/>
  <c r="L97" i="10"/>
  <c r="L51" i="10" s="1"/>
  <c r="AB97" i="10"/>
  <c r="AB51" i="10" s="1"/>
  <c r="AR97" i="10"/>
  <c r="AR51" i="10" s="1"/>
  <c r="BH97" i="10"/>
  <c r="BH51" i="10" s="1"/>
  <c r="BX97" i="10"/>
  <c r="BX51" i="10" s="1"/>
  <c r="CN97" i="10"/>
  <c r="CN51" i="10" s="1"/>
  <c r="DD97" i="10"/>
  <c r="DD51" i="10" s="1"/>
  <c r="DT97" i="10"/>
  <c r="DT51" i="10" s="1"/>
  <c r="EJ97" i="10"/>
  <c r="EJ51" i="10" s="1"/>
  <c r="K97" i="10"/>
  <c r="K51" i="10" s="1"/>
  <c r="AA97" i="10"/>
  <c r="AA51" i="10" s="1"/>
  <c r="AQ97" i="10"/>
  <c r="AQ51" i="10" s="1"/>
  <c r="BG97" i="10"/>
  <c r="BG51" i="10" s="1"/>
  <c r="BW97" i="10"/>
  <c r="BW51" i="10" s="1"/>
  <c r="CM97" i="10"/>
  <c r="CM51" i="10" s="1"/>
  <c r="DC97" i="10"/>
  <c r="DC51" i="10" s="1"/>
  <c r="DS97" i="10"/>
  <c r="DS51" i="10" s="1"/>
  <c r="EI97" i="10"/>
  <c r="EI51" i="10" s="1"/>
  <c r="P97" i="10"/>
  <c r="P51" i="10" s="1"/>
  <c r="AF97" i="10"/>
  <c r="AF51" i="10" s="1"/>
  <c r="AV97" i="10"/>
  <c r="AV51" i="10" s="1"/>
  <c r="BL97" i="10"/>
  <c r="BL51" i="10" s="1"/>
  <c r="CB97" i="10"/>
  <c r="CB51" i="10" s="1"/>
  <c r="CR97" i="10"/>
  <c r="CR51" i="10" s="1"/>
  <c r="DH97" i="10"/>
  <c r="DH51" i="10" s="1"/>
  <c r="DX97" i="10"/>
  <c r="DX51" i="10" s="1"/>
  <c r="EN97" i="10"/>
  <c r="EN51" i="10" s="1"/>
  <c r="U97" i="10"/>
  <c r="U51" i="10" s="1"/>
  <c r="CG97" i="10"/>
  <c r="CG51" i="10" s="1"/>
  <c r="ES97" i="10"/>
  <c r="ES51" i="10" s="1"/>
  <c r="BE97" i="10"/>
  <c r="BE51" i="10" s="1"/>
  <c r="DQ97" i="10"/>
  <c r="DQ51" i="10" s="1"/>
  <c r="AC97" i="10"/>
  <c r="AC51" i="10" s="1"/>
  <c r="CO97" i="10"/>
  <c r="CO51" i="10" s="1"/>
  <c r="AK97" i="10"/>
  <c r="AK51" i="10" s="1"/>
  <c r="CW97" i="10"/>
  <c r="CW51" i="10" s="1"/>
  <c r="I97" i="10"/>
  <c r="I51" i="10" s="1"/>
  <c r="BU97" i="10"/>
  <c r="BU51" i="10" s="1"/>
  <c r="EG97" i="10"/>
  <c r="EG51" i="10" s="1"/>
  <c r="AS97" i="10"/>
  <c r="AS51" i="10" s="1"/>
  <c r="DE97" i="10"/>
  <c r="DE51" i="10" s="1"/>
  <c r="BA97" i="10"/>
  <c r="BA51" i="10" s="1"/>
  <c r="DM97" i="10"/>
  <c r="DM51" i="10" s="1"/>
  <c r="Y97" i="10"/>
  <c r="Y51" i="10" s="1"/>
  <c r="CK97" i="10"/>
  <c r="CK51" i="10" s="1"/>
  <c r="BI97" i="10"/>
  <c r="BI51" i="10" s="1"/>
  <c r="DU97" i="10"/>
  <c r="DU51" i="10" s="1"/>
  <c r="AG97" i="10"/>
  <c r="AG51" i="10" s="1"/>
  <c r="BQ97" i="10"/>
  <c r="BQ51" i="10" s="1"/>
  <c r="EC97" i="10"/>
  <c r="EC51" i="10" s="1"/>
  <c r="AO97" i="10"/>
  <c r="AO51" i="10" s="1"/>
  <c r="DA97" i="10"/>
  <c r="DA51" i="10" s="1"/>
  <c r="M97" i="10"/>
  <c r="M51" i="10" s="1"/>
  <c r="BY97" i="10"/>
  <c r="BY51" i="10" s="1"/>
  <c r="EK97" i="10"/>
  <c r="EK51" i="10" s="1"/>
  <c r="CS97" i="10"/>
  <c r="CS51" i="10" s="1"/>
  <c r="AW97" i="10"/>
  <c r="AW51" i="10" s="1"/>
  <c r="BM97" i="10"/>
  <c r="BM51" i="10" s="1"/>
  <c r="EO97" i="10"/>
  <c r="EO51" i="10" s="1"/>
  <c r="DI97" i="10"/>
  <c r="DI51" i="10" s="1"/>
  <c r="DY97" i="10"/>
  <c r="DY51" i="10" s="1"/>
  <c r="Q97" i="10"/>
  <c r="Q51" i="10" s="1"/>
  <c r="G97" i="10"/>
  <c r="G51" i="10" s="1"/>
  <c r="H97" i="10"/>
  <c r="H51" i="10" s="1"/>
  <c r="CC97" i="10"/>
  <c r="CC51" i="10" s="1"/>
  <c r="K97" i="15"/>
  <c r="K51" i="15" s="1"/>
  <c r="AA97" i="15"/>
  <c r="AA51" i="15" s="1"/>
  <c r="AQ97" i="15"/>
  <c r="AQ51" i="15" s="1"/>
  <c r="BG97" i="15"/>
  <c r="BG51" i="15" s="1"/>
  <c r="BW97" i="15"/>
  <c r="BW51" i="15" s="1"/>
  <c r="CM97" i="15"/>
  <c r="CM51" i="15" s="1"/>
  <c r="DC97" i="15"/>
  <c r="DC51" i="15" s="1"/>
  <c r="DS97" i="15"/>
  <c r="DS51" i="15" s="1"/>
  <c r="EI97" i="15"/>
  <c r="EI51" i="15" s="1"/>
  <c r="H97" i="15"/>
  <c r="H51" i="15" s="1"/>
  <c r="X97" i="15"/>
  <c r="X51" i="15" s="1"/>
  <c r="AN97" i="15"/>
  <c r="AN51" i="15" s="1"/>
  <c r="BD97" i="15"/>
  <c r="BD51" i="15" s="1"/>
  <c r="BT97" i="15"/>
  <c r="BT51" i="15" s="1"/>
  <c r="CJ97" i="15"/>
  <c r="CJ51" i="15" s="1"/>
  <c r="O97" i="15"/>
  <c r="O51" i="15" s="1"/>
  <c r="AE97" i="15"/>
  <c r="AE51" i="15" s="1"/>
  <c r="AU97" i="15"/>
  <c r="AU51" i="15" s="1"/>
  <c r="BK97" i="15"/>
  <c r="BK51" i="15" s="1"/>
  <c r="CA97" i="15"/>
  <c r="CA51" i="15" s="1"/>
  <c r="CQ97" i="15"/>
  <c r="CQ51" i="15" s="1"/>
  <c r="DG97" i="15"/>
  <c r="DG51" i="15" s="1"/>
  <c r="DW97" i="15"/>
  <c r="DW51" i="15" s="1"/>
  <c r="EM97" i="15"/>
  <c r="EM51" i="15" s="1"/>
  <c r="L97" i="15"/>
  <c r="L51" i="15" s="1"/>
  <c r="AB97" i="15"/>
  <c r="AB51" i="15" s="1"/>
  <c r="AR97" i="15"/>
  <c r="AR51" i="15" s="1"/>
  <c r="BH97" i="15"/>
  <c r="BH51" i="15" s="1"/>
  <c r="BX97" i="15"/>
  <c r="BX51" i="15" s="1"/>
  <c r="CN97" i="15"/>
  <c r="CN51" i="15" s="1"/>
  <c r="S97" i="15"/>
  <c r="S51" i="15" s="1"/>
  <c r="AI97" i="15"/>
  <c r="AI51" i="15" s="1"/>
  <c r="AY97" i="15"/>
  <c r="AY51" i="15" s="1"/>
  <c r="BO97" i="15"/>
  <c r="BO51" i="15" s="1"/>
  <c r="CE97" i="15"/>
  <c r="CE51" i="15" s="1"/>
  <c r="CU97" i="15"/>
  <c r="CU51" i="15" s="1"/>
  <c r="DK97" i="15"/>
  <c r="DK51" i="15" s="1"/>
  <c r="EA97" i="15"/>
  <c r="EA51" i="15" s="1"/>
  <c r="EQ97" i="15"/>
  <c r="EQ51" i="15" s="1"/>
  <c r="P97" i="15"/>
  <c r="P51" i="15" s="1"/>
  <c r="AF97" i="15"/>
  <c r="AF51" i="15" s="1"/>
  <c r="AV97" i="15"/>
  <c r="AV51" i="15" s="1"/>
  <c r="BL97" i="15"/>
  <c r="BL51" i="15" s="1"/>
  <c r="CB97" i="15"/>
  <c r="CB51" i="15" s="1"/>
  <c r="W97" i="15"/>
  <c r="W51" i="15" s="1"/>
  <c r="AM97" i="15"/>
  <c r="AM51" i="15" s="1"/>
  <c r="BC97" i="15"/>
  <c r="BC51" i="15" s="1"/>
  <c r="BS97" i="15"/>
  <c r="BS51" i="15" s="1"/>
  <c r="CI97" i="15"/>
  <c r="CI51" i="15" s="1"/>
  <c r="CY97" i="15"/>
  <c r="CY51" i="15" s="1"/>
  <c r="DO97" i="15"/>
  <c r="DO51" i="15" s="1"/>
  <c r="EE97" i="15"/>
  <c r="EE51" i="15" s="1"/>
  <c r="T97" i="15"/>
  <c r="T51" i="15" s="1"/>
  <c r="AJ97" i="15"/>
  <c r="AJ51" i="15" s="1"/>
  <c r="AZ97" i="15"/>
  <c r="AZ51" i="15" s="1"/>
  <c r="BP97" i="15"/>
  <c r="BP51" i="15" s="1"/>
  <c r="CF97" i="15"/>
  <c r="CF51" i="15" s="1"/>
  <c r="Q97" i="15"/>
  <c r="Q51" i="15" s="1"/>
  <c r="AG97" i="15"/>
  <c r="AG51" i="15" s="1"/>
  <c r="AW97" i="15"/>
  <c r="AW51" i="15" s="1"/>
  <c r="BM97" i="15"/>
  <c r="BM51" i="15" s="1"/>
  <c r="CC97" i="15"/>
  <c r="CC51" i="15" s="1"/>
  <c r="CS97" i="15"/>
  <c r="CS51" i="15" s="1"/>
  <c r="DI97" i="15"/>
  <c r="DI51" i="15" s="1"/>
  <c r="DY97" i="15"/>
  <c r="DY51" i="15" s="1"/>
  <c r="EO97" i="15"/>
  <c r="EO51" i="15" s="1"/>
  <c r="N97" i="15"/>
  <c r="N51" i="15" s="1"/>
  <c r="AD97" i="15"/>
  <c r="AD51" i="15" s="1"/>
  <c r="AT97" i="15"/>
  <c r="AT51" i="15" s="1"/>
  <c r="BJ97" i="15"/>
  <c r="BJ51" i="15" s="1"/>
  <c r="BZ97" i="15"/>
  <c r="BZ51" i="15" s="1"/>
  <c r="CP97" i="15"/>
  <c r="CP51" i="15" s="1"/>
  <c r="DF97" i="15"/>
  <c r="DF51" i="15" s="1"/>
  <c r="DV97" i="15"/>
  <c r="DV51" i="15" s="1"/>
  <c r="EL97" i="15"/>
  <c r="EL51" i="15" s="1"/>
  <c r="DX97" i="15"/>
  <c r="DX51" i="15" s="1"/>
  <c r="DL97" i="15"/>
  <c r="DL51" i="15" s="1"/>
  <c r="U97" i="15"/>
  <c r="U51" i="15" s="1"/>
  <c r="AK97" i="15"/>
  <c r="AK51" i="15" s="1"/>
  <c r="BA97" i="15"/>
  <c r="BA51" i="15" s="1"/>
  <c r="BQ97" i="15"/>
  <c r="BQ51" i="15" s="1"/>
  <c r="CG97" i="15"/>
  <c r="CG51" i="15" s="1"/>
  <c r="CW97" i="15"/>
  <c r="CW51" i="15" s="1"/>
  <c r="DM97" i="15"/>
  <c r="DM51" i="15" s="1"/>
  <c r="EC97" i="15"/>
  <c r="EC51" i="15" s="1"/>
  <c r="ES97" i="15"/>
  <c r="ES51" i="15" s="1"/>
  <c r="R97" i="15"/>
  <c r="R51" i="15" s="1"/>
  <c r="AH97" i="15"/>
  <c r="AH51" i="15" s="1"/>
  <c r="AX97" i="15"/>
  <c r="AX51" i="15" s="1"/>
  <c r="BN97" i="15"/>
  <c r="BN51" i="15" s="1"/>
  <c r="CD97" i="15"/>
  <c r="CD51" i="15" s="1"/>
  <c r="CT97" i="15"/>
  <c r="CT51" i="15" s="1"/>
  <c r="DJ97" i="15"/>
  <c r="DJ51" i="15" s="1"/>
  <c r="DZ97" i="15"/>
  <c r="DZ51" i="15" s="1"/>
  <c r="EP97" i="15"/>
  <c r="EP51" i="15" s="1"/>
  <c r="EN97" i="15"/>
  <c r="EN51" i="15" s="1"/>
  <c r="EB97" i="15"/>
  <c r="EB51" i="15" s="1"/>
  <c r="CZ97" i="15"/>
  <c r="CZ51" i="15" s="1"/>
  <c r="I97" i="15"/>
  <c r="I51" i="15" s="1"/>
  <c r="Y97" i="15"/>
  <c r="Y51" i="15" s="1"/>
  <c r="AO97" i="15"/>
  <c r="AO51" i="15" s="1"/>
  <c r="BE97" i="15"/>
  <c r="BE51" i="15" s="1"/>
  <c r="BU97" i="15"/>
  <c r="BU51" i="15" s="1"/>
  <c r="CK97" i="15"/>
  <c r="CK51" i="15" s="1"/>
  <c r="DA97" i="15"/>
  <c r="DA51" i="15" s="1"/>
  <c r="DQ97" i="15"/>
  <c r="DQ51" i="15" s="1"/>
  <c r="EG97" i="15"/>
  <c r="EG51" i="15" s="1"/>
  <c r="V97" i="15"/>
  <c r="V51" i="15" s="1"/>
  <c r="AL97" i="15"/>
  <c r="AL51" i="15" s="1"/>
  <c r="BB97" i="15"/>
  <c r="BB51" i="15" s="1"/>
  <c r="BR97" i="15"/>
  <c r="BR51" i="15" s="1"/>
  <c r="CH97" i="15"/>
  <c r="CH51" i="15" s="1"/>
  <c r="CX97" i="15"/>
  <c r="CX51" i="15" s="1"/>
  <c r="DN97" i="15"/>
  <c r="DN51" i="15" s="1"/>
  <c r="ED97" i="15"/>
  <c r="ED51" i="15" s="1"/>
  <c r="ET97" i="15"/>
  <c r="ET51" i="15" s="1"/>
  <c r="CR97" i="15"/>
  <c r="CR51" i="15" s="1"/>
  <c r="ER97" i="15"/>
  <c r="ER51" i="15" s="1"/>
  <c r="DP97" i="15"/>
  <c r="DP51" i="15" s="1"/>
  <c r="M97" i="15"/>
  <c r="M51" i="15" s="1"/>
  <c r="AC97" i="15"/>
  <c r="AC51" i="15" s="1"/>
  <c r="AS97" i="15"/>
  <c r="AS51" i="15" s="1"/>
  <c r="BI97" i="15"/>
  <c r="BI51" i="15" s="1"/>
  <c r="BY97" i="15"/>
  <c r="BY51" i="15" s="1"/>
  <c r="CO97" i="15"/>
  <c r="CO51" i="15" s="1"/>
  <c r="DE97" i="15"/>
  <c r="DE51" i="15" s="1"/>
  <c r="DU97" i="15"/>
  <c r="DU51" i="15" s="1"/>
  <c r="EK97" i="15"/>
  <c r="EK51" i="15" s="1"/>
  <c r="J97" i="15"/>
  <c r="J51" i="15" s="1"/>
  <c r="Z97" i="15"/>
  <c r="Z51" i="15" s="1"/>
  <c r="AP97" i="15"/>
  <c r="AP51" i="15" s="1"/>
  <c r="BF97" i="15"/>
  <c r="BF51" i="15" s="1"/>
  <c r="BV97" i="15"/>
  <c r="BV51" i="15" s="1"/>
  <c r="CL97" i="15"/>
  <c r="CL51" i="15" s="1"/>
  <c r="DB97" i="15"/>
  <c r="DB51" i="15" s="1"/>
  <c r="DR97" i="15"/>
  <c r="DR51" i="15" s="1"/>
  <c r="EH97" i="15"/>
  <c r="EH51" i="15" s="1"/>
  <c r="DH97" i="15"/>
  <c r="DH51" i="15" s="1"/>
  <c r="CV97" i="15"/>
  <c r="CV51" i="15" s="1"/>
  <c r="EF97" i="15"/>
  <c r="EF51" i="15" s="1"/>
  <c r="DD97" i="15"/>
  <c r="DD51" i="15" s="1"/>
  <c r="DT97" i="15"/>
  <c r="DT51" i="15" s="1"/>
  <c r="EJ97" i="15"/>
  <c r="EJ51" i="15" s="1"/>
  <c r="G97" i="15"/>
  <c r="G51" i="15" s="1"/>
  <c r="F52" i="15"/>
  <c r="F52" i="10"/>
  <c r="AR64" i="5"/>
  <c r="C99" i="5" s="1"/>
  <c r="D103" i="2"/>
  <c r="D99" i="5" l="1"/>
  <c r="Q99" i="5"/>
  <c r="M99" i="5"/>
  <c r="I99" i="5"/>
  <c r="E99" i="5"/>
  <c r="S99" i="5"/>
  <c r="O99" i="5"/>
  <c r="K99" i="5"/>
  <c r="G99" i="5"/>
  <c r="N99" i="5"/>
  <c r="F99" i="5"/>
  <c r="T99" i="5"/>
  <c r="J99" i="5"/>
  <c r="R99" i="5"/>
  <c r="H99" i="5"/>
  <c r="L99" i="5"/>
  <c r="P99" i="5"/>
  <c r="H103" i="2"/>
  <c r="I103" i="2"/>
  <c r="M103" i="2"/>
  <c r="Q103" i="2"/>
  <c r="U103" i="2"/>
  <c r="J103" i="2"/>
  <c r="N103" i="2"/>
  <c r="R103" i="2"/>
  <c r="K103" i="2"/>
  <c r="O103" i="2"/>
  <c r="S103" i="2"/>
  <c r="L103" i="2"/>
  <c r="P103" i="2"/>
  <c r="T103" i="2"/>
  <c r="D1762" i="12"/>
  <c r="F1761" i="12"/>
  <c r="E1761" i="12"/>
  <c r="EQ59" i="5"/>
  <c r="BF64" i="5"/>
  <c r="BC64" i="5"/>
  <c r="AR60" i="2"/>
  <c r="BB59" i="2"/>
  <c r="P98" i="10"/>
  <c r="P52" i="10" s="1"/>
  <c r="AF98" i="10"/>
  <c r="AF52" i="10" s="1"/>
  <c r="AV98" i="10"/>
  <c r="AV52" i="10" s="1"/>
  <c r="BL98" i="10"/>
  <c r="BL52" i="10" s="1"/>
  <c r="CB98" i="10"/>
  <c r="CB52" i="10" s="1"/>
  <c r="CR98" i="10"/>
  <c r="CR52" i="10" s="1"/>
  <c r="DH98" i="10"/>
  <c r="DH52" i="10" s="1"/>
  <c r="DX98" i="10"/>
  <c r="DX52" i="10" s="1"/>
  <c r="EN98" i="10"/>
  <c r="EN52" i="10" s="1"/>
  <c r="T98" i="10"/>
  <c r="T52" i="10" s="1"/>
  <c r="AJ98" i="10"/>
  <c r="AJ52" i="10" s="1"/>
  <c r="AZ98" i="10"/>
  <c r="AZ52" i="10" s="1"/>
  <c r="BP98" i="10"/>
  <c r="BP52" i="10" s="1"/>
  <c r="CF98" i="10"/>
  <c r="CF52" i="10" s="1"/>
  <c r="CV98" i="10"/>
  <c r="CV52" i="10" s="1"/>
  <c r="DL98" i="10"/>
  <c r="DL52" i="10" s="1"/>
  <c r="EB98" i="10"/>
  <c r="EB52" i="10" s="1"/>
  <c r="ER98" i="10"/>
  <c r="ER52" i="10" s="1"/>
  <c r="X98" i="10"/>
  <c r="X52" i="10" s="1"/>
  <c r="AN98" i="10"/>
  <c r="AN52" i="10" s="1"/>
  <c r="BD98" i="10"/>
  <c r="BD52" i="10" s="1"/>
  <c r="BT98" i="10"/>
  <c r="BT52" i="10" s="1"/>
  <c r="CJ98" i="10"/>
  <c r="CJ52" i="10" s="1"/>
  <c r="CZ98" i="10"/>
  <c r="CZ52" i="10" s="1"/>
  <c r="DP98" i="10"/>
  <c r="DP52" i="10" s="1"/>
  <c r="EF98" i="10"/>
  <c r="EF52" i="10" s="1"/>
  <c r="L98" i="10"/>
  <c r="L52" i="10" s="1"/>
  <c r="AB98" i="10"/>
  <c r="AB52" i="10" s="1"/>
  <c r="AR98" i="10"/>
  <c r="AR52" i="10" s="1"/>
  <c r="BH98" i="10"/>
  <c r="BH52" i="10" s="1"/>
  <c r="BX98" i="10"/>
  <c r="BX52" i="10" s="1"/>
  <c r="CN98" i="10"/>
  <c r="CN52" i="10" s="1"/>
  <c r="DD98" i="10"/>
  <c r="DD52" i="10" s="1"/>
  <c r="DT98" i="10"/>
  <c r="DT52" i="10" s="1"/>
  <c r="EJ98" i="10"/>
  <c r="EJ52" i="10" s="1"/>
  <c r="Q98" i="10"/>
  <c r="Q52" i="10" s="1"/>
  <c r="AG98" i="10"/>
  <c r="AG52" i="10" s="1"/>
  <c r="AW98" i="10"/>
  <c r="AW52" i="10" s="1"/>
  <c r="BM98" i="10"/>
  <c r="BM52" i="10" s="1"/>
  <c r="CC98" i="10"/>
  <c r="CC52" i="10" s="1"/>
  <c r="CS98" i="10"/>
  <c r="CS52" i="10" s="1"/>
  <c r="DI98" i="10"/>
  <c r="DI52" i="10" s="1"/>
  <c r="DY98" i="10"/>
  <c r="DY52" i="10" s="1"/>
  <c r="EO98" i="10"/>
  <c r="EO52" i="10" s="1"/>
  <c r="V98" i="10"/>
  <c r="V52" i="10" s="1"/>
  <c r="AL98" i="10"/>
  <c r="AL52" i="10" s="1"/>
  <c r="BB98" i="10"/>
  <c r="BB52" i="10" s="1"/>
  <c r="BR98" i="10"/>
  <c r="BR52" i="10" s="1"/>
  <c r="CH98" i="10"/>
  <c r="CH52" i="10" s="1"/>
  <c r="CX98" i="10"/>
  <c r="CX52" i="10" s="1"/>
  <c r="DN98" i="10"/>
  <c r="DN52" i="10" s="1"/>
  <c r="ED98" i="10"/>
  <c r="ED52" i="10" s="1"/>
  <c r="ET98" i="10"/>
  <c r="ET52" i="10" s="1"/>
  <c r="U98" i="10"/>
  <c r="U52" i="10" s="1"/>
  <c r="AK98" i="10"/>
  <c r="AK52" i="10" s="1"/>
  <c r="BA98" i="10"/>
  <c r="BA52" i="10" s="1"/>
  <c r="BQ98" i="10"/>
  <c r="BQ52" i="10" s="1"/>
  <c r="CG98" i="10"/>
  <c r="CG52" i="10" s="1"/>
  <c r="CW98" i="10"/>
  <c r="CW52" i="10" s="1"/>
  <c r="DM98" i="10"/>
  <c r="DM52" i="10" s="1"/>
  <c r="EC98" i="10"/>
  <c r="EC52" i="10" s="1"/>
  <c r="ES98" i="10"/>
  <c r="ES52" i="10" s="1"/>
  <c r="J98" i="10"/>
  <c r="J52" i="10" s="1"/>
  <c r="Z98" i="10"/>
  <c r="Z52" i="10" s="1"/>
  <c r="AP98" i="10"/>
  <c r="AP52" i="10" s="1"/>
  <c r="BF98" i="10"/>
  <c r="BF52" i="10" s="1"/>
  <c r="BV98" i="10"/>
  <c r="BV52" i="10" s="1"/>
  <c r="CL98" i="10"/>
  <c r="CL52" i="10" s="1"/>
  <c r="DB98" i="10"/>
  <c r="DB52" i="10" s="1"/>
  <c r="DR98" i="10"/>
  <c r="DR52" i="10" s="1"/>
  <c r="EH98" i="10"/>
  <c r="EH52" i="10" s="1"/>
  <c r="I98" i="10"/>
  <c r="I52" i="10" s="1"/>
  <c r="Y98" i="10"/>
  <c r="Y52" i="10" s="1"/>
  <c r="AO98" i="10"/>
  <c r="AO52" i="10" s="1"/>
  <c r="BE98" i="10"/>
  <c r="BE52" i="10" s="1"/>
  <c r="BU98" i="10"/>
  <c r="BU52" i="10" s="1"/>
  <c r="CK98" i="10"/>
  <c r="CK52" i="10" s="1"/>
  <c r="DA98" i="10"/>
  <c r="DA52" i="10" s="1"/>
  <c r="DQ98" i="10"/>
  <c r="DQ52" i="10" s="1"/>
  <c r="EG98" i="10"/>
  <c r="EG52" i="10" s="1"/>
  <c r="N98" i="10"/>
  <c r="N52" i="10" s="1"/>
  <c r="AD98" i="10"/>
  <c r="AD52" i="10" s="1"/>
  <c r="AT98" i="10"/>
  <c r="AT52" i="10" s="1"/>
  <c r="BJ98" i="10"/>
  <c r="BJ52" i="10" s="1"/>
  <c r="BZ98" i="10"/>
  <c r="BZ52" i="10" s="1"/>
  <c r="CP98" i="10"/>
  <c r="CP52" i="10" s="1"/>
  <c r="DF98" i="10"/>
  <c r="DF52" i="10" s="1"/>
  <c r="DV98" i="10"/>
  <c r="DV52" i="10" s="1"/>
  <c r="EL98" i="10"/>
  <c r="EL52" i="10" s="1"/>
  <c r="M98" i="10"/>
  <c r="M52" i="10" s="1"/>
  <c r="AC98" i="10"/>
  <c r="AC52" i="10" s="1"/>
  <c r="AS98" i="10"/>
  <c r="AS52" i="10" s="1"/>
  <c r="BI98" i="10"/>
  <c r="BI52" i="10" s="1"/>
  <c r="BY98" i="10"/>
  <c r="BY52" i="10" s="1"/>
  <c r="CO98" i="10"/>
  <c r="CO52" i="10" s="1"/>
  <c r="DE98" i="10"/>
  <c r="DE52" i="10" s="1"/>
  <c r="DU98" i="10"/>
  <c r="DU52" i="10" s="1"/>
  <c r="EK98" i="10"/>
  <c r="EK52" i="10" s="1"/>
  <c r="R98" i="10"/>
  <c r="R52" i="10" s="1"/>
  <c r="AH98" i="10"/>
  <c r="AH52" i="10" s="1"/>
  <c r="AX98" i="10"/>
  <c r="AX52" i="10" s="1"/>
  <c r="BN98" i="10"/>
  <c r="BN52" i="10" s="1"/>
  <c r="CD98" i="10"/>
  <c r="CD52" i="10" s="1"/>
  <c r="CT98" i="10"/>
  <c r="CT52" i="10" s="1"/>
  <c r="DJ98" i="10"/>
  <c r="DJ52" i="10" s="1"/>
  <c r="DZ98" i="10"/>
  <c r="DZ52" i="10" s="1"/>
  <c r="EP98" i="10"/>
  <c r="EP52" i="10" s="1"/>
  <c r="BS98" i="10"/>
  <c r="BS52" i="10" s="1"/>
  <c r="EE98" i="10"/>
  <c r="EE52" i="10" s="1"/>
  <c r="AQ98" i="10"/>
  <c r="AQ52" i="10" s="1"/>
  <c r="DC98" i="10"/>
  <c r="DC52" i="10" s="1"/>
  <c r="O98" i="10"/>
  <c r="O52" i="10" s="1"/>
  <c r="CA98" i="10"/>
  <c r="CA52" i="10" s="1"/>
  <c r="EM98" i="10"/>
  <c r="EM52" i="10" s="1"/>
  <c r="S98" i="10"/>
  <c r="S52" i="10" s="1"/>
  <c r="W98" i="10"/>
  <c r="W52" i="10" s="1"/>
  <c r="CI98" i="10"/>
  <c r="CI52" i="10" s="1"/>
  <c r="BG98" i="10"/>
  <c r="BG52" i="10" s="1"/>
  <c r="DS98" i="10"/>
  <c r="DS52" i="10" s="1"/>
  <c r="AE98" i="10"/>
  <c r="AE52" i="10" s="1"/>
  <c r="CQ98" i="10"/>
  <c r="CQ52" i="10" s="1"/>
  <c r="CE98" i="10"/>
  <c r="CE52" i="10" s="1"/>
  <c r="AM98" i="10"/>
  <c r="AM52" i="10" s="1"/>
  <c r="CY98" i="10"/>
  <c r="CY52" i="10" s="1"/>
  <c r="K98" i="10"/>
  <c r="K52" i="10" s="1"/>
  <c r="BW98" i="10"/>
  <c r="BW52" i="10" s="1"/>
  <c r="EI98" i="10"/>
  <c r="EI52" i="10" s="1"/>
  <c r="AU98" i="10"/>
  <c r="AU52" i="10" s="1"/>
  <c r="DG98" i="10"/>
  <c r="DG52" i="10" s="1"/>
  <c r="EQ98" i="10"/>
  <c r="EQ52" i="10" s="1"/>
  <c r="BC98" i="10"/>
  <c r="BC52" i="10" s="1"/>
  <c r="DO98" i="10"/>
  <c r="DO52" i="10" s="1"/>
  <c r="AA98" i="10"/>
  <c r="AA52" i="10" s="1"/>
  <c r="CM98" i="10"/>
  <c r="CM52" i="10" s="1"/>
  <c r="BK98" i="10"/>
  <c r="BK52" i="10" s="1"/>
  <c r="DW98" i="10"/>
  <c r="DW52" i="10" s="1"/>
  <c r="AI98" i="10"/>
  <c r="AI52" i="10" s="1"/>
  <c r="AY98" i="10"/>
  <c r="AY52" i="10" s="1"/>
  <c r="EA98" i="10"/>
  <c r="EA52" i="10" s="1"/>
  <c r="CU98" i="10"/>
  <c r="CU52" i="10" s="1"/>
  <c r="DK98" i="10"/>
  <c r="DK52" i="10" s="1"/>
  <c r="BO98" i="10"/>
  <c r="BO52" i="10" s="1"/>
  <c r="H98" i="10"/>
  <c r="H52" i="10" s="1"/>
  <c r="G98" i="10"/>
  <c r="G52" i="10" s="1"/>
  <c r="L98" i="15"/>
  <c r="L52" i="15" s="1"/>
  <c r="AB98" i="15"/>
  <c r="AB52" i="15" s="1"/>
  <c r="AR98" i="15"/>
  <c r="AR52" i="15" s="1"/>
  <c r="BH98" i="15"/>
  <c r="BH52" i="15" s="1"/>
  <c r="P98" i="15"/>
  <c r="P52" i="15" s="1"/>
  <c r="AF98" i="15"/>
  <c r="AF52" i="15" s="1"/>
  <c r="AV98" i="15"/>
  <c r="AV52" i="15" s="1"/>
  <c r="BL98" i="15"/>
  <c r="BL52" i="15" s="1"/>
  <c r="T98" i="15"/>
  <c r="T52" i="15" s="1"/>
  <c r="AJ98" i="15"/>
  <c r="AJ52" i="15" s="1"/>
  <c r="AZ98" i="15"/>
  <c r="AZ52" i="15" s="1"/>
  <c r="BP98" i="15"/>
  <c r="BP52" i="15" s="1"/>
  <c r="H98" i="15"/>
  <c r="H52" i="15" s="1"/>
  <c r="X98" i="15"/>
  <c r="X52" i="15" s="1"/>
  <c r="AN98" i="15"/>
  <c r="AN52" i="15" s="1"/>
  <c r="BD98" i="15"/>
  <c r="BD52" i="15" s="1"/>
  <c r="BT98" i="15"/>
  <c r="BT52" i="15" s="1"/>
  <c r="R98" i="15"/>
  <c r="R52" i="15" s="1"/>
  <c r="AH98" i="15"/>
  <c r="AH52" i="15" s="1"/>
  <c r="AX98" i="15"/>
  <c r="AX52" i="15" s="1"/>
  <c r="BN98" i="15"/>
  <c r="BN52" i="15" s="1"/>
  <c r="CD98" i="15"/>
  <c r="CD52" i="15" s="1"/>
  <c r="CT98" i="15"/>
  <c r="CT52" i="15" s="1"/>
  <c r="DJ98" i="15"/>
  <c r="DJ52" i="15" s="1"/>
  <c r="DZ98" i="15"/>
  <c r="DZ52" i="15" s="1"/>
  <c r="EP98" i="15"/>
  <c r="EP52" i="15" s="1"/>
  <c r="O98" i="15"/>
  <c r="O52" i="15" s="1"/>
  <c r="AE98" i="15"/>
  <c r="AE52" i="15" s="1"/>
  <c r="AU98" i="15"/>
  <c r="AU52" i="15" s="1"/>
  <c r="BK98" i="15"/>
  <c r="BK52" i="15" s="1"/>
  <c r="CA98" i="15"/>
  <c r="CA52" i="15" s="1"/>
  <c r="CQ98" i="15"/>
  <c r="CQ52" i="15" s="1"/>
  <c r="DG98" i="15"/>
  <c r="DG52" i="15" s="1"/>
  <c r="DW98" i="15"/>
  <c r="DW52" i="15" s="1"/>
  <c r="EM98" i="15"/>
  <c r="EM52" i="15" s="1"/>
  <c r="AW98" i="15"/>
  <c r="AW52" i="15" s="1"/>
  <c r="CO98" i="15"/>
  <c r="CO52" i="15" s="1"/>
  <c r="DU98" i="15"/>
  <c r="DU52" i="15" s="1"/>
  <c r="AK98" i="15"/>
  <c r="AK52" i="15" s="1"/>
  <c r="CJ98" i="15"/>
  <c r="CJ52" i="15" s="1"/>
  <c r="DP98" i="15"/>
  <c r="DP52" i="15" s="1"/>
  <c r="I98" i="15"/>
  <c r="I52" i="15" s="1"/>
  <c r="BU98" i="15"/>
  <c r="BU52" i="15" s="1"/>
  <c r="DA98" i="15"/>
  <c r="DA52" i="15" s="1"/>
  <c r="EG98" i="15"/>
  <c r="EG52" i="15" s="1"/>
  <c r="V98" i="15"/>
  <c r="V52" i="15" s="1"/>
  <c r="AL98" i="15"/>
  <c r="AL52" i="15" s="1"/>
  <c r="BB98" i="15"/>
  <c r="BB52" i="15" s="1"/>
  <c r="BR98" i="15"/>
  <c r="BR52" i="15" s="1"/>
  <c r="CH98" i="15"/>
  <c r="CH52" i="15" s="1"/>
  <c r="CX98" i="15"/>
  <c r="CX52" i="15" s="1"/>
  <c r="DN98" i="15"/>
  <c r="DN52" i="15" s="1"/>
  <c r="ED98" i="15"/>
  <c r="ED52" i="15" s="1"/>
  <c r="ET98" i="15"/>
  <c r="ET52" i="15" s="1"/>
  <c r="S98" i="15"/>
  <c r="S52" i="15" s="1"/>
  <c r="AI98" i="15"/>
  <c r="AI52" i="15" s="1"/>
  <c r="AY98" i="15"/>
  <c r="AY52" i="15" s="1"/>
  <c r="BO98" i="15"/>
  <c r="BO52" i="15" s="1"/>
  <c r="CE98" i="15"/>
  <c r="CE52" i="15" s="1"/>
  <c r="CU98" i="15"/>
  <c r="CU52" i="15" s="1"/>
  <c r="DK98" i="15"/>
  <c r="DK52" i="15" s="1"/>
  <c r="EA98" i="15"/>
  <c r="EA52" i="15" s="1"/>
  <c r="EQ98" i="15"/>
  <c r="EQ52" i="15" s="1"/>
  <c r="BM98" i="15"/>
  <c r="BM52" i="15" s="1"/>
  <c r="CW98" i="15"/>
  <c r="CW52" i="15" s="1"/>
  <c r="EC98" i="15"/>
  <c r="EC52" i="15" s="1"/>
  <c r="BA98" i="15"/>
  <c r="BA52" i="15" s="1"/>
  <c r="CR98" i="15"/>
  <c r="CR52" i="15" s="1"/>
  <c r="DX98" i="15"/>
  <c r="DX52" i="15" s="1"/>
  <c r="Y98" i="15"/>
  <c r="Y52" i="15" s="1"/>
  <c r="CC98" i="15"/>
  <c r="CC52" i="15" s="1"/>
  <c r="DI98" i="15"/>
  <c r="DI52" i="15" s="1"/>
  <c r="EO98" i="15"/>
  <c r="EO52" i="15" s="1"/>
  <c r="J98" i="15"/>
  <c r="J52" i="15" s="1"/>
  <c r="Z98" i="15"/>
  <c r="Z52" i="15" s="1"/>
  <c r="AP98" i="15"/>
  <c r="AP52" i="15" s="1"/>
  <c r="BF98" i="15"/>
  <c r="BF52" i="15" s="1"/>
  <c r="BV98" i="15"/>
  <c r="BV52" i="15" s="1"/>
  <c r="CL98" i="15"/>
  <c r="CL52" i="15" s="1"/>
  <c r="DB98" i="15"/>
  <c r="DB52" i="15" s="1"/>
  <c r="DR98" i="15"/>
  <c r="DR52" i="15" s="1"/>
  <c r="EH98" i="15"/>
  <c r="EH52" i="15" s="1"/>
  <c r="W98" i="15"/>
  <c r="W52" i="15" s="1"/>
  <c r="AM98" i="15"/>
  <c r="AM52" i="15" s="1"/>
  <c r="BC98" i="15"/>
  <c r="BC52" i="15" s="1"/>
  <c r="BS98" i="15"/>
  <c r="BS52" i="15" s="1"/>
  <c r="CI98" i="15"/>
  <c r="CI52" i="15" s="1"/>
  <c r="CY98" i="15"/>
  <c r="CY52" i="15" s="1"/>
  <c r="DO98" i="15"/>
  <c r="DO52" i="15" s="1"/>
  <c r="EE98" i="15"/>
  <c r="EE52" i="15" s="1"/>
  <c r="Q98" i="15"/>
  <c r="Q52" i="15" s="1"/>
  <c r="BY98" i="15"/>
  <c r="BY52" i="15" s="1"/>
  <c r="DE98" i="15"/>
  <c r="DE52" i="15" s="1"/>
  <c r="EK98" i="15"/>
  <c r="EK52" i="15" s="1"/>
  <c r="BQ98" i="15"/>
  <c r="BQ52" i="15" s="1"/>
  <c r="CZ98" i="15"/>
  <c r="CZ52" i="15" s="1"/>
  <c r="EF98" i="15"/>
  <c r="EF52" i="15" s="1"/>
  <c r="AO98" i="15"/>
  <c r="AO52" i="15" s="1"/>
  <c r="CK98" i="15"/>
  <c r="CK52" i="15" s="1"/>
  <c r="DQ98" i="15"/>
  <c r="DQ52" i="15" s="1"/>
  <c r="N98" i="15"/>
  <c r="N52" i="15" s="1"/>
  <c r="AD98" i="15"/>
  <c r="AD52" i="15" s="1"/>
  <c r="AT98" i="15"/>
  <c r="AT52" i="15" s="1"/>
  <c r="BJ98" i="15"/>
  <c r="BJ52" i="15" s="1"/>
  <c r="BZ98" i="15"/>
  <c r="BZ52" i="15" s="1"/>
  <c r="CP98" i="15"/>
  <c r="CP52" i="15" s="1"/>
  <c r="DF98" i="15"/>
  <c r="DF52" i="15" s="1"/>
  <c r="DV98" i="15"/>
  <c r="DV52" i="15" s="1"/>
  <c r="EL98" i="15"/>
  <c r="EL52" i="15" s="1"/>
  <c r="K98" i="15"/>
  <c r="K52" i="15" s="1"/>
  <c r="AA98" i="15"/>
  <c r="AA52" i="15" s="1"/>
  <c r="AQ98" i="15"/>
  <c r="AQ52" i="15" s="1"/>
  <c r="BG98" i="15"/>
  <c r="BG52" i="15" s="1"/>
  <c r="BW98" i="15"/>
  <c r="BW52" i="15" s="1"/>
  <c r="CM98" i="15"/>
  <c r="CM52" i="15" s="1"/>
  <c r="DC98" i="15"/>
  <c r="DC52" i="15" s="1"/>
  <c r="DS98" i="15"/>
  <c r="DS52" i="15" s="1"/>
  <c r="EI98" i="15"/>
  <c r="EI52" i="15" s="1"/>
  <c r="AG98" i="15"/>
  <c r="AG52" i="15" s="1"/>
  <c r="CG98" i="15"/>
  <c r="CG52" i="15" s="1"/>
  <c r="DM98" i="15"/>
  <c r="DM52" i="15" s="1"/>
  <c r="ES98" i="15"/>
  <c r="ES52" i="15" s="1"/>
  <c r="U98" i="15"/>
  <c r="U52" i="15" s="1"/>
  <c r="CB98" i="15"/>
  <c r="CB52" i="15" s="1"/>
  <c r="DH98" i="15"/>
  <c r="DH52" i="15" s="1"/>
  <c r="EN98" i="15"/>
  <c r="EN52" i="15" s="1"/>
  <c r="BE98" i="15"/>
  <c r="BE52" i="15" s="1"/>
  <c r="CS98" i="15"/>
  <c r="CS52" i="15" s="1"/>
  <c r="DY98" i="15"/>
  <c r="DY52" i="15" s="1"/>
  <c r="M98" i="15"/>
  <c r="M52" i="15" s="1"/>
  <c r="BX98" i="15"/>
  <c r="BX52" i="15" s="1"/>
  <c r="DD98" i="15"/>
  <c r="DD52" i="15" s="1"/>
  <c r="EJ98" i="15"/>
  <c r="EJ52" i="15" s="1"/>
  <c r="AC98" i="15"/>
  <c r="AC52" i="15" s="1"/>
  <c r="CF98" i="15"/>
  <c r="CF52" i="15" s="1"/>
  <c r="DL98" i="15"/>
  <c r="DL52" i="15" s="1"/>
  <c r="ER98" i="15"/>
  <c r="ER52" i="15" s="1"/>
  <c r="AS98" i="15"/>
  <c r="AS52" i="15" s="1"/>
  <c r="CN98" i="15"/>
  <c r="CN52" i="15" s="1"/>
  <c r="DT98" i="15"/>
  <c r="DT52" i="15" s="1"/>
  <c r="BI98" i="15"/>
  <c r="BI52" i="15" s="1"/>
  <c r="CV98" i="15"/>
  <c r="CV52" i="15" s="1"/>
  <c r="EB98" i="15"/>
  <c r="EB52" i="15" s="1"/>
  <c r="G98" i="15"/>
  <c r="G52" i="15" s="1"/>
  <c r="F53" i="15"/>
  <c r="F53" i="10"/>
  <c r="D104" i="2"/>
  <c r="AR65" i="5"/>
  <c r="C100" i="5" s="1"/>
  <c r="D100" i="5" l="1"/>
  <c r="Q100" i="5"/>
  <c r="M100" i="5"/>
  <c r="I100" i="5"/>
  <c r="E100" i="5"/>
  <c r="S100" i="5"/>
  <c r="O100" i="5"/>
  <c r="K100" i="5"/>
  <c r="G100" i="5"/>
  <c r="N100" i="5"/>
  <c r="F100" i="5"/>
  <c r="P100" i="5"/>
  <c r="L100" i="5"/>
  <c r="R100" i="5"/>
  <c r="J100" i="5"/>
  <c r="T100" i="5"/>
  <c r="H100" i="5"/>
  <c r="H104" i="2"/>
  <c r="L104" i="2"/>
  <c r="P104" i="2"/>
  <c r="T104" i="2"/>
  <c r="I104" i="2"/>
  <c r="M104" i="2"/>
  <c r="Q104" i="2"/>
  <c r="U104" i="2"/>
  <c r="J104" i="2"/>
  <c r="N104" i="2"/>
  <c r="R104" i="2"/>
  <c r="K104" i="2"/>
  <c r="O104" i="2"/>
  <c r="S104" i="2"/>
  <c r="D1763" i="12"/>
  <c r="F1762" i="12"/>
  <c r="E1762" i="12"/>
  <c r="EQ60" i="5"/>
  <c r="BF65" i="5"/>
  <c r="BC65" i="5"/>
  <c r="AR61" i="2"/>
  <c r="BB60" i="2"/>
  <c r="R99" i="10"/>
  <c r="R53" i="10" s="1"/>
  <c r="AH99" i="10"/>
  <c r="AH53" i="10" s="1"/>
  <c r="AX99" i="10"/>
  <c r="AX53" i="10" s="1"/>
  <c r="BN99" i="10"/>
  <c r="BN53" i="10" s="1"/>
  <c r="CD99" i="10"/>
  <c r="CD53" i="10" s="1"/>
  <c r="CT99" i="10"/>
  <c r="CT53" i="10" s="1"/>
  <c r="DJ99" i="10"/>
  <c r="DJ53" i="10" s="1"/>
  <c r="DZ99" i="10"/>
  <c r="DZ53" i="10" s="1"/>
  <c r="EP99" i="10"/>
  <c r="EP53" i="10" s="1"/>
  <c r="V99" i="10"/>
  <c r="V53" i="10" s="1"/>
  <c r="AL99" i="10"/>
  <c r="AL53" i="10" s="1"/>
  <c r="BB99" i="10"/>
  <c r="BB53" i="10" s="1"/>
  <c r="BR99" i="10"/>
  <c r="BR53" i="10" s="1"/>
  <c r="CH99" i="10"/>
  <c r="CH53" i="10" s="1"/>
  <c r="CX99" i="10"/>
  <c r="CX53" i="10" s="1"/>
  <c r="DN99" i="10"/>
  <c r="DN53" i="10" s="1"/>
  <c r="ED99" i="10"/>
  <c r="ED53" i="10" s="1"/>
  <c r="ET99" i="10"/>
  <c r="ET53" i="10" s="1"/>
  <c r="J99" i="10"/>
  <c r="J53" i="10" s="1"/>
  <c r="Z99" i="10"/>
  <c r="Z53" i="10" s="1"/>
  <c r="AP99" i="10"/>
  <c r="AP53" i="10" s="1"/>
  <c r="BF99" i="10"/>
  <c r="BF53" i="10" s="1"/>
  <c r="BV99" i="10"/>
  <c r="BV53" i="10" s="1"/>
  <c r="CL99" i="10"/>
  <c r="CL53" i="10" s="1"/>
  <c r="DB99" i="10"/>
  <c r="DB53" i="10" s="1"/>
  <c r="DR99" i="10"/>
  <c r="DR53" i="10" s="1"/>
  <c r="EH99" i="10"/>
  <c r="EH53" i="10" s="1"/>
  <c r="N99" i="10"/>
  <c r="N53" i="10" s="1"/>
  <c r="AD99" i="10"/>
  <c r="AD53" i="10" s="1"/>
  <c r="AT99" i="10"/>
  <c r="AT53" i="10" s="1"/>
  <c r="BJ99" i="10"/>
  <c r="BJ53" i="10" s="1"/>
  <c r="BZ99" i="10"/>
  <c r="BZ53" i="10" s="1"/>
  <c r="CP99" i="10"/>
  <c r="CP53" i="10" s="1"/>
  <c r="DF99" i="10"/>
  <c r="DF53" i="10" s="1"/>
  <c r="DV99" i="10"/>
  <c r="DV53" i="10" s="1"/>
  <c r="EL99" i="10"/>
  <c r="EL53" i="10" s="1"/>
  <c r="S99" i="10"/>
  <c r="S53" i="10" s="1"/>
  <c r="AI99" i="10"/>
  <c r="AI53" i="10" s="1"/>
  <c r="AY99" i="10"/>
  <c r="AY53" i="10" s="1"/>
  <c r="BO99" i="10"/>
  <c r="BO53" i="10" s="1"/>
  <c r="CE99" i="10"/>
  <c r="CE53" i="10" s="1"/>
  <c r="CU99" i="10"/>
  <c r="CU53" i="10" s="1"/>
  <c r="DK99" i="10"/>
  <c r="DK53" i="10" s="1"/>
  <c r="EA99" i="10"/>
  <c r="EA53" i="10" s="1"/>
  <c r="EQ99" i="10"/>
  <c r="EQ53" i="10" s="1"/>
  <c r="X99" i="10"/>
  <c r="X53" i="10" s="1"/>
  <c r="AN99" i="10"/>
  <c r="AN53" i="10" s="1"/>
  <c r="BD99" i="10"/>
  <c r="BD53" i="10" s="1"/>
  <c r="BT99" i="10"/>
  <c r="BT53" i="10" s="1"/>
  <c r="CJ99" i="10"/>
  <c r="CJ53" i="10" s="1"/>
  <c r="CZ99" i="10"/>
  <c r="CZ53" i="10" s="1"/>
  <c r="DP99" i="10"/>
  <c r="DP53" i="10" s="1"/>
  <c r="EF99" i="10"/>
  <c r="EF53" i="10" s="1"/>
  <c r="W99" i="10"/>
  <c r="W53" i="10" s="1"/>
  <c r="AM99" i="10"/>
  <c r="AM53" i="10" s="1"/>
  <c r="BC99" i="10"/>
  <c r="BC53" i="10" s="1"/>
  <c r="BS99" i="10"/>
  <c r="BS53" i="10" s="1"/>
  <c r="CI99" i="10"/>
  <c r="CI53" i="10" s="1"/>
  <c r="CY99" i="10"/>
  <c r="CY53" i="10" s="1"/>
  <c r="DO99" i="10"/>
  <c r="DO53" i="10" s="1"/>
  <c r="EE99" i="10"/>
  <c r="EE53" i="10" s="1"/>
  <c r="L99" i="10"/>
  <c r="L53" i="10" s="1"/>
  <c r="AB99" i="10"/>
  <c r="AB53" i="10" s="1"/>
  <c r="AR99" i="10"/>
  <c r="AR53" i="10" s="1"/>
  <c r="BH99" i="10"/>
  <c r="BH53" i="10" s="1"/>
  <c r="BX99" i="10"/>
  <c r="BX53" i="10" s="1"/>
  <c r="CN99" i="10"/>
  <c r="CN53" i="10" s="1"/>
  <c r="DD99" i="10"/>
  <c r="DD53" i="10" s="1"/>
  <c r="DT99" i="10"/>
  <c r="DT53" i="10" s="1"/>
  <c r="EJ99" i="10"/>
  <c r="EJ53" i="10" s="1"/>
  <c r="K99" i="10"/>
  <c r="K53" i="10" s="1"/>
  <c r="AA99" i="10"/>
  <c r="AA53" i="10" s="1"/>
  <c r="AQ99" i="10"/>
  <c r="AQ53" i="10" s="1"/>
  <c r="BG99" i="10"/>
  <c r="BG53" i="10" s="1"/>
  <c r="BW99" i="10"/>
  <c r="BW53" i="10" s="1"/>
  <c r="CM99" i="10"/>
  <c r="CM53" i="10" s="1"/>
  <c r="DC99" i="10"/>
  <c r="DC53" i="10" s="1"/>
  <c r="DS99" i="10"/>
  <c r="DS53" i="10" s="1"/>
  <c r="EI99" i="10"/>
  <c r="EI53" i="10" s="1"/>
  <c r="P99" i="10"/>
  <c r="P53" i="10" s="1"/>
  <c r="AF99" i="10"/>
  <c r="AF53" i="10" s="1"/>
  <c r="AV99" i="10"/>
  <c r="AV53" i="10" s="1"/>
  <c r="BL99" i="10"/>
  <c r="BL53" i="10" s="1"/>
  <c r="CB99" i="10"/>
  <c r="CB53" i="10" s="1"/>
  <c r="CR99" i="10"/>
  <c r="CR53" i="10" s="1"/>
  <c r="DH99" i="10"/>
  <c r="DH53" i="10" s="1"/>
  <c r="DX99" i="10"/>
  <c r="DX53" i="10" s="1"/>
  <c r="EN99" i="10"/>
  <c r="EN53" i="10" s="1"/>
  <c r="O99" i="10"/>
  <c r="O53" i="10" s="1"/>
  <c r="AE99" i="10"/>
  <c r="AE53" i="10" s="1"/>
  <c r="AU99" i="10"/>
  <c r="AU53" i="10" s="1"/>
  <c r="BK99" i="10"/>
  <c r="BK53" i="10" s="1"/>
  <c r="CA99" i="10"/>
  <c r="CA53" i="10" s="1"/>
  <c r="CQ99" i="10"/>
  <c r="CQ53" i="10" s="1"/>
  <c r="DG99" i="10"/>
  <c r="DG53" i="10" s="1"/>
  <c r="DW99" i="10"/>
  <c r="DW53" i="10" s="1"/>
  <c r="EM99" i="10"/>
  <c r="EM53" i="10" s="1"/>
  <c r="T99" i="10"/>
  <c r="T53" i="10" s="1"/>
  <c r="AJ99" i="10"/>
  <c r="AJ53" i="10" s="1"/>
  <c r="AZ99" i="10"/>
  <c r="AZ53" i="10" s="1"/>
  <c r="BP99" i="10"/>
  <c r="BP53" i="10" s="1"/>
  <c r="CF99" i="10"/>
  <c r="CF53" i="10" s="1"/>
  <c r="CV99" i="10"/>
  <c r="CV53" i="10" s="1"/>
  <c r="DL99" i="10"/>
  <c r="DL53" i="10" s="1"/>
  <c r="EB99" i="10"/>
  <c r="EB53" i="10" s="1"/>
  <c r="ER99" i="10"/>
  <c r="ER53" i="10" s="1"/>
  <c r="BE99" i="10"/>
  <c r="BE53" i="10" s="1"/>
  <c r="DQ99" i="10"/>
  <c r="DQ53" i="10" s="1"/>
  <c r="AC99" i="10"/>
  <c r="AC53" i="10" s="1"/>
  <c r="CO99" i="10"/>
  <c r="CO53" i="10" s="1"/>
  <c r="BM99" i="10"/>
  <c r="BM53" i="10" s="1"/>
  <c r="DY99" i="10"/>
  <c r="DY53" i="10" s="1"/>
  <c r="EC99" i="10"/>
  <c r="EC53" i="10" s="1"/>
  <c r="I99" i="10"/>
  <c r="I53" i="10" s="1"/>
  <c r="BU99" i="10"/>
  <c r="BU53" i="10" s="1"/>
  <c r="EG99" i="10"/>
  <c r="EG53" i="10" s="1"/>
  <c r="AS99" i="10"/>
  <c r="AS53" i="10" s="1"/>
  <c r="DE99" i="10"/>
  <c r="DE53" i="10" s="1"/>
  <c r="Q99" i="10"/>
  <c r="Q53" i="10" s="1"/>
  <c r="CC99" i="10"/>
  <c r="CC53" i="10" s="1"/>
  <c r="EO99" i="10"/>
  <c r="EO53" i="10" s="1"/>
  <c r="Y99" i="10"/>
  <c r="Y53" i="10" s="1"/>
  <c r="CK99" i="10"/>
  <c r="CK53" i="10" s="1"/>
  <c r="BI99" i="10"/>
  <c r="BI53" i="10" s="1"/>
  <c r="DU99" i="10"/>
  <c r="DU53" i="10" s="1"/>
  <c r="AG99" i="10"/>
  <c r="AG53" i="10" s="1"/>
  <c r="CS99" i="10"/>
  <c r="CS53" i="10" s="1"/>
  <c r="AO99" i="10"/>
  <c r="AO53" i="10" s="1"/>
  <c r="DA99" i="10"/>
  <c r="DA53" i="10" s="1"/>
  <c r="M99" i="10"/>
  <c r="M53" i="10" s="1"/>
  <c r="BY99" i="10"/>
  <c r="BY53" i="10" s="1"/>
  <c r="EK99" i="10"/>
  <c r="EK53" i="10" s="1"/>
  <c r="AW99" i="10"/>
  <c r="AW53" i="10" s="1"/>
  <c r="DI99" i="10"/>
  <c r="DI53" i="10" s="1"/>
  <c r="BQ99" i="10"/>
  <c r="BQ53" i="10" s="1"/>
  <c r="U99" i="10"/>
  <c r="U53" i="10" s="1"/>
  <c r="AK99" i="10"/>
  <c r="AK53" i="10" s="1"/>
  <c r="CG99" i="10"/>
  <c r="CG53" i="10" s="1"/>
  <c r="CW99" i="10"/>
  <c r="CW53" i="10" s="1"/>
  <c r="DM99" i="10"/>
  <c r="DM53" i="10" s="1"/>
  <c r="ES99" i="10"/>
  <c r="ES53" i="10" s="1"/>
  <c r="BA99" i="10"/>
  <c r="BA53" i="10" s="1"/>
  <c r="G99" i="10"/>
  <c r="G53" i="10" s="1"/>
  <c r="H99" i="10"/>
  <c r="H53" i="10" s="1"/>
  <c r="S99" i="15"/>
  <c r="S53" i="15" s="1"/>
  <c r="AI99" i="15"/>
  <c r="AI53" i="15" s="1"/>
  <c r="AY99" i="15"/>
  <c r="AY53" i="15" s="1"/>
  <c r="BO99" i="15"/>
  <c r="BO53" i="15" s="1"/>
  <c r="CE99" i="15"/>
  <c r="CE53" i="15" s="1"/>
  <c r="CU99" i="15"/>
  <c r="CU53" i="15" s="1"/>
  <c r="DK99" i="15"/>
  <c r="DK53" i="15" s="1"/>
  <c r="EA99" i="15"/>
  <c r="EA53" i="15" s="1"/>
  <c r="EQ99" i="15"/>
  <c r="EQ53" i="15" s="1"/>
  <c r="P99" i="15"/>
  <c r="P53" i="15" s="1"/>
  <c r="AF99" i="15"/>
  <c r="AF53" i="15" s="1"/>
  <c r="AV99" i="15"/>
  <c r="AV53" i="15" s="1"/>
  <c r="BL99" i="15"/>
  <c r="BL53" i="15" s="1"/>
  <c r="CB99" i="15"/>
  <c r="CB53" i="15" s="1"/>
  <c r="CR99" i="15"/>
  <c r="CR53" i="15" s="1"/>
  <c r="DH99" i="15"/>
  <c r="DH53" i="15" s="1"/>
  <c r="DX99" i="15"/>
  <c r="DX53" i="15" s="1"/>
  <c r="EN99" i="15"/>
  <c r="EN53" i="15" s="1"/>
  <c r="N99" i="15"/>
  <c r="N53" i="15" s="1"/>
  <c r="AT99" i="15"/>
  <c r="AT53" i="15" s="1"/>
  <c r="BZ99" i="15"/>
  <c r="BZ53" i="15" s="1"/>
  <c r="DF99" i="15"/>
  <c r="DF53" i="15" s="1"/>
  <c r="EL99" i="15"/>
  <c r="EL53" i="15" s="1"/>
  <c r="I99" i="15"/>
  <c r="I53" i="15" s="1"/>
  <c r="AO99" i="15"/>
  <c r="AO53" i="15" s="1"/>
  <c r="BU99" i="15"/>
  <c r="BU53" i="15" s="1"/>
  <c r="DA99" i="15"/>
  <c r="DA53" i="15" s="1"/>
  <c r="EG99" i="15"/>
  <c r="EG53" i="15" s="1"/>
  <c r="Z99" i="15"/>
  <c r="Z53" i="15" s="1"/>
  <c r="BF99" i="15"/>
  <c r="BF53" i="15" s="1"/>
  <c r="CL99" i="15"/>
  <c r="CL53" i="15" s="1"/>
  <c r="DR99" i="15"/>
  <c r="DR53" i="15" s="1"/>
  <c r="W99" i="15"/>
  <c r="W53" i="15" s="1"/>
  <c r="AM99" i="15"/>
  <c r="AM53" i="15" s="1"/>
  <c r="BC99" i="15"/>
  <c r="BC53" i="15" s="1"/>
  <c r="BS99" i="15"/>
  <c r="BS53" i="15" s="1"/>
  <c r="CI99" i="15"/>
  <c r="CI53" i="15" s="1"/>
  <c r="CY99" i="15"/>
  <c r="CY53" i="15" s="1"/>
  <c r="DO99" i="15"/>
  <c r="DO53" i="15" s="1"/>
  <c r="EE99" i="15"/>
  <c r="EE53" i="15" s="1"/>
  <c r="T99" i="15"/>
  <c r="T53" i="15" s="1"/>
  <c r="AJ99" i="15"/>
  <c r="AJ53" i="15" s="1"/>
  <c r="AZ99" i="15"/>
  <c r="AZ53" i="15" s="1"/>
  <c r="BP99" i="15"/>
  <c r="BP53" i="15" s="1"/>
  <c r="CF99" i="15"/>
  <c r="CF53" i="15" s="1"/>
  <c r="CV99" i="15"/>
  <c r="CV53" i="15" s="1"/>
  <c r="DL99" i="15"/>
  <c r="DL53" i="15" s="1"/>
  <c r="EB99" i="15"/>
  <c r="EB53" i="15" s="1"/>
  <c r="ER99" i="15"/>
  <c r="ER53" i="15" s="1"/>
  <c r="V99" i="15"/>
  <c r="V53" i="15" s="1"/>
  <c r="BB99" i="15"/>
  <c r="BB53" i="15" s="1"/>
  <c r="CH99" i="15"/>
  <c r="CH53" i="15" s="1"/>
  <c r="DN99" i="15"/>
  <c r="DN53" i="15" s="1"/>
  <c r="ET99" i="15"/>
  <c r="ET53" i="15" s="1"/>
  <c r="Q99" i="15"/>
  <c r="Q53" i="15" s="1"/>
  <c r="AW99" i="15"/>
  <c r="AW53" i="15" s="1"/>
  <c r="CC99" i="15"/>
  <c r="CC53" i="15" s="1"/>
  <c r="DI99" i="15"/>
  <c r="DI53" i="15" s="1"/>
  <c r="EO99" i="15"/>
  <c r="EO53" i="15" s="1"/>
  <c r="AH99" i="15"/>
  <c r="AH53" i="15" s="1"/>
  <c r="BN99" i="15"/>
  <c r="BN53" i="15" s="1"/>
  <c r="CT99" i="15"/>
  <c r="CT53" i="15" s="1"/>
  <c r="DZ99" i="15"/>
  <c r="DZ53" i="15" s="1"/>
  <c r="K99" i="15"/>
  <c r="K53" i="15" s="1"/>
  <c r="AA99" i="15"/>
  <c r="AA53" i="15" s="1"/>
  <c r="AQ99" i="15"/>
  <c r="AQ53" i="15" s="1"/>
  <c r="BG99" i="15"/>
  <c r="BG53" i="15" s="1"/>
  <c r="BW99" i="15"/>
  <c r="BW53" i="15" s="1"/>
  <c r="CM99" i="15"/>
  <c r="CM53" i="15" s="1"/>
  <c r="DC99" i="15"/>
  <c r="DC53" i="15" s="1"/>
  <c r="DS99" i="15"/>
  <c r="DS53" i="15" s="1"/>
  <c r="EI99" i="15"/>
  <c r="EI53" i="15" s="1"/>
  <c r="H99" i="15"/>
  <c r="H53" i="15" s="1"/>
  <c r="X99" i="15"/>
  <c r="X53" i="15" s="1"/>
  <c r="AN99" i="15"/>
  <c r="AN53" i="15" s="1"/>
  <c r="BD99" i="15"/>
  <c r="BD53" i="15" s="1"/>
  <c r="BT99" i="15"/>
  <c r="BT53" i="15" s="1"/>
  <c r="CJ99" i="15"/>
  <c r="CJ53" i="15" s="1"/>
  <c r="CZ99" i="15"/>
  <c r="CZ53" i="15" s="1"/>
  <c r="DP99" i="15"/>
  <c r="DP53" i="15" s="1"/>
  <c r="EF99" i="15"/>
  <c r="EF53" i="15" s="1"/>
  <c r="AD99" i="15"/>
  <c r="AD53" i="15" s="1"/>
  <c r="BJ99" i="15"/>
  <c r="BJ53" i="15" s="1"/>
  <c r="CP99" i="15"/>
  <c r="CP53" i="15" s="1"/>
  <c r="DV99" i="15"/>
  <c r="DV53" i="15" s="1"/>
  <c r="Y99" i="15"/>
  <c r="Y53" i="15" s="1"/>
  <c r="BE99" i="15"/>
  <c r="BE53" i="15" s="1"/>
  <c r="CK99" i="15"/>
  <c r="CK53" i="15" s="1"/>
  <c r="DQ99" i="15"/>
  <c r="DQ53" i="15" s="1"/>
  <c r="J99" i="15"/>
  <c r="J53" i="15" s="1"/>
  <c r="AP99" i="15"/>
  <c r="AP53" i="15" s="1"/>
  <c r="BV99" i="15"/>
  <c r="BV53" i="15" s="1"/>
  <c r="DB99" i="15"/>
  <c r="DB53" i="15" s="1"/>
  <c r="EH99" i="15"/>
  <c r="EH53" i="15" s="1"/>
  <c r="O99" i="15"/>
  <c r="O53" i="15" s="1"/>
  <c r="AE99" i="15"/>
  <c r="AE53" i="15" s="1"/>
  <c r="AU99" i="15"/>
  <c r="AU53" i="15" s="1"/>
  <c r="BK99" i="15"/>
  <c r="BK53" i="15" s="1"/>
  <c r="CA99" i="15"/>
  <c r="CA53" i="15" s="1"/>
  <c r="CQ99" i="15"/>
  <c r="CQ53" i="15" s="1"/>
  <c r="DG99" i="15"/>
  <c r="DG53" i="15" s="1"/>
  <c r="DW99" i="15"/>
  <c r="DW53" i="15" s="1"/>
  <c r="EM99" i="15"/>
  <c r="EM53" i="15" s="1"/>
  <c r="L99" i="15"/>
  <c r="L53" i="15" s="1"/>
  <c r="AB99" i="15"/>
  <c r="AB53" i="15" s="1"/>
  <c r="AR99" i="15"/>
  <c r="AR53" i="15" s="1"/>
  <c r="BH99" i="15"/>
  <c r="BH53" i="15" s="1"/>
  <c r="BX99" i="15"/>
  <c r="BX53" i="15" s="1"/>
  <c r="CN99" i="15"/>
  <c r="CN53" i="15" s="1"/>
  <c r="DD99" i="15"/>
  <c r="DD53" i="15" s="1"/>
  <c r="DT99" i="15"/>
  <c r="DT53" i="15" s="1"/>
  <c r="EJ99" i="15"/>
  <c r="EJ53" i="15" s="1"/>
  <c r="AL99" i="15"/>
  <c r="AL53" i="15" s="1"/>
  <c r="BR99" i="15"/>
  <c r="BR53" i="15" s="1"/>
  <c r="CX99" i="15"/>
  <c r="CX53" i="15" s="1"/>
  <c r="ED99" i="15"/>
  <c r="ED53" i="15" s="1"/>
  <c r="AG99" i="15"/>
  <c r="AG53" i="15" s="1"/>
  <c r="BM99" i="15"/>
  <c r="BM53" i="15" s="1"/>
  <c r="CS99" i="15"/>
  <c r="CS53" i="15" s="1"/>
  <c r="DY99" i="15"/>
  <c r="DY53" i="15" s="1"/>
  <c r="R99" i="15"/>
  <c r="R53" i="15" s="1"/>
  <c r="AX99" i="15"/>
  <c r="AX53" i="15" s="1"/>
  <c r="CD99" i="15"/>
  <c r="CD53" i="15" s="1"/>
  <c r="DJ99" i="15"/>
  <c r="DJ53" i="15" s="1"/>
  <c r="EP99" i="15"/>
  <c r="EP53" i="15" s="1"/>
  <c r="AC99" i="15"/>
  <c r="AC53" i="15" s="1"/>
  <c r="BI99" i="15"/>
  <c r="BI53" i="15" s="1"/>
  <c r="CO99" i="15"/>
  <c r="CO53" i="15" s="1"/>
  <c r="DU99" i="15"/>
  <c r="DU53" i="15" s="1"/>
  <c r="AK99" i="15"/>
  <c r="AK53" i="15" s="1"/>
  <c r="BQ99" i="15"/>
  <c r="BQ53" i="15" s="1"/>
  <c r="CW99" i="15"/>
  <c r="CW53" i="15" s="1"/>
  <c r="EC99" i="15"/>
  <c r="EC53" i="15" s="1"/>
  <c r="M99" i="15"/>
  <c r="M53" i="15" s="1"/>
  <c r="AS99" i="15"/>
  <c r="AS53" i="15" s="1"/>
  <c r="BY99" i="15"/>
  <c r="BY53" i="15" s="1"/>
  <c r="DE99" i="15"/>
  <c r="DE53" i="15" s="1"/>
  <c r="EK99" i="15"/>
  <c r="EK53" i="15" s="1"/>
  <c r="U99" i="15"/>
  <c r="U53" i="15" s="1"/>
  <c r="BA99" i="15"/>
  <c r="BA53" i="15" s="1"/>
  <c r="CG99" i="15"/>
  <c r="CG53" i="15" s="1"/>
  <c r="DM99" i="15"/>
  <c r="DM53" i="15" s="1"/>
  <c r="ES99" i="15"/>
  <c r="ES53" i="15" s="1"/>
  <c r="G99" i="15"/>
  <c r="G53" i="15" s="1"/>
  <c r="D105" i="2"/>
  <c r="AR66" i="5"/>
  <c r="C101" i="5" s="1"/>
  <c r="D101" i="5" l="1"/>
  <c r="Q101" i="5"/>
  <c r="M101" i="5"/>
  <c r="I101" i="5"/>
  <c r="E101" i="5"/>
  <c r="S101" i="5"/>
  <c r="O101" i="5"/>
  <c r="K101" i="5"/>
  <c r="G101" i="5"/>
  <c r="N101" i="5"/>
  <c r="F101" i="5"/>
  <c r="T101" i="5"/>
  <c r="J101" i="5"/>
  <c r="R101" i="5"/>
  <c r="H101" i="5"/>
  <c r="P101" i="5"/>
  <c r="L101" i="5"/>
  <c r="H105" i="2"/>
  <c r="K105" i="2"/>
  <c r="O105" i="2"/>
  <c r="S105" i="2"/>
  <c r="L105" i="2"/>
  <c r="P105" i="2"/>
  <c r="T105" i="2"/>
  <c r="I105" i="2"/>
  <c r="M105" i="2"/>
  <c r="Q105" i="2"/>
  <c r="U105" i="2"/>
  <c r="N105" i="2"/>
  <c r="R105" i="2"/>
  <c r="J105" i="2"/>
  <c r="D1764" i="12"/>
  <c r="E1763" i="12"/>
  <c r="F1763" i="12"/>
  <c r="EQ61" i="5"/>
  <c r="BF66" i="5"/>
  <c r="BC66" i="5"/>
  <c r="AR62" i="2"/>
  <c r="BB61" i="2"/>
  <c r="AR67" i="5"/>
  <c r="C102" i="5" s="1"/>
  <c r="D106" i="2"/>
  <c r="D102" i="5" l="1"/>
  <c r="Q102" i="5"/>
  <c r="M102" i="5"/>
  <c r="I102" i="5"/>
  <c r="E102" i="5"/>
  <c r="S102" i="5"/>
  <c r="O102" i="5"/>
  <c r="K102" i="5"/>
  <c r="G102" i="5"/>
  <c r="N102" i="5"/>
  <c r="F102" i="5"/>
  <c r="P102" i="5"/>
  <c r="L102" i="5"/>
  <c r="H102" i="5"/>
  <c r="J102" i="5"/>
  <c r="T102" i="5"/>
  <c r="R102" i="5"/>
  <c r="H106" i="2"/>
  <c r="J106" i="2"/>
  <c r="N106" i="2"/>
  <c r="R106" i="2"/>
  <c r="L106" i="2"/>
  <c r="P106" i="2"/>
  <c r="T106" i="2"/>
  <c r="M106" i="2"/>
  <c r="U106" i="2"/>
  <c r="O106" i="2"/>
  <c r="K106" i="2"/>
  <c r="I106" i="2"/>
  <c r="Q106" i="2"/>
  <c r="S106" i="2"/>
  <c r="D1765" i="12"/>
  <c r="E1764" i="12"/>
  <c r="F1764" i="12"/>
  <c r="EQ62" i="5"/>
  <c r="BF67" i="5"/>
  <c r="BC67" i="5"/>
  <c r="AR63" i="2"/>
  <c r="BB62" i="2"/>
  <c r="AR68" i="5"/>
  <c r="C103" i="5" s="1"/>
  <c r="D107" i="2"/>
  <c r="D103" i="5" l="1"/>
  <c r="Q103" i="5"/>
  <c r="M103" i="5"/>
  <c r="I103" i="5"/>
  <c r="E103" i="5"/>
  <c r="S103" i="5"/>
  <c r="O103" i="5"/>
  <c r="K103" i="5"/>
  <c r="G103" i="5"/>
  <c r="N103" i="5"/>
  <c r="F103" i="5"/>
  <c r="T103" i="5"/>
  <c r="J103" i="5"/>
  <c r="R103" i="5"/>
  <c r="H103" i="5"/>
  <c r="L103" i="5"/>
  <c r="P103" i="5"/>
  <c r="H107" i="2"/>
  <c r="I107" i="2"/>
  <c r="M107" i="2"/>
  <c r="Q107" i="2"/>
  <c r="U107" i="2"/>
  <c r="K107" i="2"/>
  <c r="O107" i="2"/>
  <c r="S107" i="2"/>
  <c r="P107" i="2"/>
  <c r="J107" i="2"/>
  <c r="R107" i="2"/>
  <c r="N107" i="2"/>
  <c r="L107" i="2"/>
  <c r="T107" i="2"/>
  <c r="D1766" i="12"/>
  <c r="F1765" i="12"/>
  <c r="E1765" i="12"/>
  <c r="EQ63" i="5"/>
  <c r="BF68" i="5"/>
  <c r="BC68" i="5"/>
  <c r="AR64" i="2"/>
  <c r="BB63" i="2"/>
  <c r="D108" i="2"/>
  <c r="AR69" i="5"/>
  <c r="C104" i="5" s="1"/>
  <c r="D104" i="5" l="1"/>
  <c r="Q104" i="5"/>
  <c r="M104" i="5"/>
  <c r="I104" i="5"/>
  <c r="E104" i="5"/>
  <c r="S104" i="5"/>
  <c r="O104" i="5"/>
  <c r="K104" i="5"/>
  <c r="G104" i="5"/>
  <c r="N104" i="5"/>
  <c r="F104" i="5"/>
  <c r="P104" i="5"/>
  <c r="L104" i="5"/>
  <c r="R104" i="5"/>
  <c r="J104" i="5"/>
  <c r="T104" i="5"/>
  <c r="H104" i="5"/>
  <c r="H108" i="2"/>
  <c r="L108" i="2"/>
  <c r="P108" i="2"/>
  <c r="T108" i="2"/>
  <c r="J108" i="2"/>
  <c r="N108" i="2"/>
  <c r="R108" i="2"/>
  <c r="K108" i="2"/>
  <c r="S108" i="2"/>
  <c r="M108" i="2"/>
  <c r="U108" i="2"/>
  <c r="Q108" i="2"/>
  <c r="O108" i="2"/>
  <c r="I108" i="2"/>
  <c r="D1767" i="12"/>
  <c r="E1766" i="12"/>
  <c r="F1766" i="12"/>
  <c r="EQ64" i="5"/>
  <c r="BF69" i="5"/>
  <c r="BC69" i="5"/>
  <c r="AR65" i="2"/>
  <c r="BB64" i="2"/>
  <c r="D109" i="2"/>
  <c r="AR70" i="5"/>
  <c r="C105" i="5" s="1"/>
  <c r="D105" i="5" l="1"/>
  <c r="Q105" i="5"/>
  <c r="M105" i="5"/>
  <c r="I105" i="5"/>
  <c r="E105" i="5"/>
  <c r="S105" i="5"/>
  <c r="O105" i="5"/>
  <c r="K105" i="5"/>
  <c r="G105" i="5"/>
  <c r="N105" i="5"/>
  <c r="F105" i="5"/>
  <c r="T105" i="5"/>
  <c r="J105" i="5"/>
  <c r="R105" i="5"/>
  <c r="H105" i="5"/>
  <c r="P105" i="5"/>
  <c r="L105" i="5"/>
  <c r="H109" i="2"/>
  <c r="K109" i="2"/>
  <c r="O109" i="2"/>
  <c r="S109" i="2"/>
  <c r="I109" i="2"/>
  <c r="M109" i="2"/>
  <c r="Q109" i="2"/>
  <c r="U109" i="2"/>
  <c r="N109" i="2"/>
  <c r="P109" i="2"/>
  <c r="T109" i="2"/>
  <c r="J109" i="2"/>
  <c r="R109" i="2"/>
  <c r="L109" i="2"/>
  <c r="D1768" i="12"/>
  <c r="E1767" i="12"/>
  <c r="F1767" i="12"/>
  <c r="EQ65" i="5"/>
  <c r="BF70" i="5"/>
  <c r="BC70" i="5"/>
  <c r="AR66" i="2"/>
  <c r="BB65" i="2"/>
  <c r="AR71" i="5"/>
  <c r="C106" i="5" s="1"/>
  <c r="D110" i="2"/>
  <c r="D106" i="5" l="1"/>
  <c r="Q106" i="5"/>
  <c r="M106" i="5"/>
  <c r="I106" i="5"/>
  <c r="E106" i="5"/>
  <c r="S106" i="5"/>
  <c r="O106" i="5"/>
  <c r="K106" i="5"/>
  <c r="G106" i="5"/>
  <c r="N106" i="5"/>
  <c r="F106" i="5"/>
  <c r="P106" i="5"/>
  <c r="L106" i="5"/>
  <c r="H106" i="5"/>
  <c r="J106" i="5"/>
  <c r="T106" i="5"/>
  <c r="R106" i="5"/>
  <c r="H110" i="2"/>
  <c r="J110" i="2"/>
  <c r="N110" i="2"/>
  <c r="R110" i="2"/>
  <c r="L110" i="2"/>
  <c r="P110" i="2"/>
  <c r="T110" i="2"/>
  <c r="I110" i="2"/>
  <c r="Q110" i="2"/>
  <c r="K110" i="2"/>
  <c r="S110" i="2"/>
  <c r="M110" i="2"/>
  <c r="U110" i="2"/>
  <c r="O110" i="2"/>
  <c r="D1769" i="12"/>
  <c r="E1768" i="12"/>
  <c r="F1768" i="12"/>
  <c r="EQ66" i="5"/>
  <c r="BF71" i="5"/>
  <c r="BC71" i="5"/>
  <c r="AR67" i="2"/>
  <c r="BB66" i="2"/>
  <c r="D111" i="2"/>
  <c r="AR72" i="5"/>
  <c r="C107" i="5" s="1"/>
  <c r="D107" i="5" l="1"/>
  <c r="Q107" i="5"/>
  <c r="M107" i="5"/>
  <c r="I107" i="5"/>
  <c r="E107" i="5"/>
  <c r="S107" i="5"/>
  <c r="O107" i="5"/>
  <c r="K107" i="5"/>
  <c r="G107" i="5"/>
  <c r="N107" i="5"/>
  <c r="F107" i="5"/>
  <c r="T107" i="5"/>
  <c r="J107" i="5"/>
  <c r="R107" i="5"/>
  <c r="H107" i="5"/>
  <c r="L107" i="5"/>
  <c r="P107" i="5"/>
  <c r="H111" i="2"/>
  <c r="I111" i="2"/>
  <c r="M111" i="2"/>
  <c r="Q111" i="2"/>
  <c r="U111" i="2"/>
  <c r="K111" i="2"/>
  <c r="O111" i="2"/>
  <c r="S111" i="2"/>
  <c r="L111" i="2"/>
  <c r="T111" i="2"/>
  <c r="N111" i="2"/>
  <c r="J111" i="2"/>
  <c r="P111" i="2"/>
  <c r="R111" i="2"/>
  <c r="D1770" i="12"/>
  <c r="F1769" i="12"/>
  <c r="E1769" i="12"/>
  <c r="EQ67" i="5"/>
  <c r="BF72" i="5"/>
  <c r="BC72" i="5"/>
  <c r="AR68" i="2"/>
  <c r="BB67" i="2"/>
  <c r="AR73" i="5"/>
  <c r="C108" i="5" s="1"/>
  <c r="D112" i="2"/>
  <c r="D108" i="5" l="1"/>
  <c r="Q108" i="5"/>
  <c r="M108" i="5"/>
  <c r="I108" i="5"/>
  <c r="E108" i="5"/>
  <c r="S108" i="5"/>
  <c r="O108" i="5"/>
  <c r="K108" i="5"/>
  <c r="G108" i="5"/>
  <c r="N108" i="5"/>
  <c r="F108" i="5"/>
  <c r="T108" i="5"/>
  <c r="L108" i="5"/>
  <c r="H108" i="5"/>
  <c r="R108" i="5"/>
  <c r="P108" i="5"/>
  <c r="J108" i="5"/>
  <c r="H112" i="2"/>
  <c r="L112" i="2"/>
  <c r="P112" i="2"/>
  <c r="T112" i="2"/>
  <c r="J112" i="2"/>
  <c r="N112" i="2"/>
  <c r="R112" i="2"/>
  <c r="O112" i="2"/>
  <c r="I112" i="2"/>
  <c r="Q112" i="2"/>
  <c r="M112" i="2"/>
  <c r="K112" i="2"/>
  <c r="S112" i="2"/>
  <c r="U112" i="2"/>
  <c r="D1771" i="12"/>
  <c r="E1770" i="12"/>
  <c r="F1770" i="12"/>
  <c r="EQ68" i="5"/>
  <c r="BF73" i="5"/>
  <c r="BC73" i="5"/>
  <c r="AR69" i="2"/>
  <c r="BB68" i="2"/>
  <c r="D113" i="2"/>
  <c r="AR74" i="5"/>
  <c r="C109" i="5" s="1"/>
  <c r="D109" i="5" l="1"/>
  <c r="Q109" i="5"/>
  <c r="M109" i="5"/>
  <c r="I109" i="5"/>
  <c r="E109" i="5"/>
  <c r="S109" i="5"/>
  <c r="O109" i="5"/>
  <c r="K109" i="5"/>
  <c r="G109" i="5"/>
  <c r="N109" i="5"/>
  <c r="F109" i="5"/>
  <c r="T109" i="5"/>
  <c r="L109" i="5"/>
  <c r="H109" i="5"/>
  <c r="R109" i="5"/>
  <c r="J109" i="5"/>
  <c r="P109" i="5"/>
  <c r="H113" i="2"/>
  <c r="K113" i="2"/>
  <c r="O113" i="2"/>
  <c r="S113" i="2"/>
  <c r="I113" i="2"/>
  <c r="M113" i="2"/>
  <c r="Q113" i="2"/>
  <c r="U113" i="2"/>
  <c r="J113" i="2"/>
  <c r="R113" i="2"/>
  <c r="L113" i="2"/>
  <c r="T113" i="2"/>
  <c r="P113" i="2"/>
  <c r="N113" i="2"/>
  <c r="D1772" i="12"/>
  <c r="F1771" i="12"/>
  <c r="E1771" i="12"/>
  <c r="EQ69" i="5"/>
  <c r="BF74" i="5"/>
  <c r="BC74" i="5"/>
  <c r="AR70" i="2"/>
  <c r="BB69" i="2"/>
  <c r="AR75" i="5"/>
  <c r="C110" i="5" s="1"/>
  <c r="D114" i="2"/>
  <c r="D110" i="5" l="1"/>
  <c r="Q110" i="5"/>
  <c r="M110" i="5"/>
  <c r="I110" i="5"/>
  <c r="E110" i="5"/>
  <c r="S110" i="5"/>
  <c r="O110" i="5"/>
  <c r="K110" i="5"/>
  <c r="G110" i="5"/>
  <c r="N110" i="5"/>
  <c r="F110" i="5"/>
  <c r="T110" i="5"/>
  <c r="L110" i="5"/>
  <c r="H110" i="5"/>
  <c r="R110" i="5"/>
  <c r="P110" i="5"/>
  <c r="J110" i="5"/>
  <c r="H114" i="2"/>
  <c r="J114" i="2"/>
  <c r="L114" i="2"/>
  <c r="M114" i="2"/>
  <c r="Q114" i="2"/>
  <c r="U114" i="2"/>
  <c r="N114" i="2"/>
  <c r="R114" i="2"/>
  <c r="P114" i="2"/>
  <c r="I114" i="2"/>
  <c r="O114" i="2"/>
  <c r="S114" i="2"/>
  <c r="K114" i="2"/>
  <c r="T114" i="2"/>
  <c r="D1773" i="12"/>
  <c r="F1772" i="12"/>
  <c r="E1772" i="12"/>
  <c r="EQ70" i="5"/>
  <c r="BF75" i="5"/>
  <c r="BC75" i="5"/>
  <c r="AR71" i="2"/>
  <c r="BB70" i="2"/>
  <c r="D115" i="2"/>
  <c r="AR76" i="5"/>
  <c r="C111" i="5" s="1"/>
  <c r="D111" i="5" l="1"/>
  <c r="Q111" i="5"/>
  <c r="M111" i="5"/>
  <c r="I111" i="5"/>
  <c r="E111" i="5"/>
  <c r="S111" i="5"/>
  <c r="O111" i="5"/>
  <c r="K111" i="5"/>
  <c r="G111" i="5"/>
  <c r="N111" i="5"/>
  <c r="F111" i="5"/>
  <c r="T111" i="5"/>
  <c r="L111" i="5"/>
  <c r="H111" i="5"/>
  <c r="R111" i="5"/>
  <c r="J111" i="5"/>
  <c r="P111" i="5"/>
  <c r="H115" i="2"/>
  <c r="L115" i="2"/>
  <c r="P115" i="2"/>
  <c r="T115" i="2"/>
  <c r="I115" i="2"/>
  <c r="M115" i="2"/>
  <c r="Q115" i="2"/>
  <c r="U115" i="2"/>
  <c r="K115" i="2"/>
  <c r="S115" i="2"/>
  <c r="J115" i="2"/>
  <c r="N115" i="2"/>
  <c r="R115" i="2"/>
  <c r="O115" i="2"/>
  <c r="D1774" i="12"/>
  <c r="E1773" i="12"/>
  <c r="F1773" i="12"/>
  <c r="EQ71" i="5"/>
  <c r="BF76" i="5"/>
  <c r="BC76" i="5"/>
  <c r="AR72" i="2"/>
  <c r="BB71" i="2"/>
  <c r="D116" i="2"/>
  <c r="AR77" i="5"/>
  <c r="C112" i="5" s="1"/>
  <c r="D112" i="5" l="1"/>
  <c r="Q112" i="5"/>
  <c r="M112" i="5"/>
  <c r="I112" i="5"/>
  <c r="E112" i="5"/>
  <c r="S112" i="5"/>
  <c r="O112" i="5"/>
  <c r="K112" i="5"/>
  <c r="G112" i="5"/>
  <c r="N112" i="5"/>
  <c r="F112" i="5"/>
  <c r="T112" i="5"/>
  <c r="L112" i="5"/>
  <c r="H112" i="5"/>
  <c r="R112" i="5"/>
  <c r="P112" i="5"/>
  <c r="J112" i="5"/>
  <c r="H116" i="2"/>
  <c r="K116" i="2"/>
  <c r="O116" i="2"/>
  <c r="S116" i="2"/>
  <c r="L116" i="2"/>
  <c r="P116" i="2"/>
  <c r="T116" i="2"/>
  <c r="N116" i="2"/>
  <c r="I116" i="2"/>
  <c r="M116" i="2"/>
  <c r="Q116" i="2"/>
  <c r="U116" i="2"/>
  <c r="J116" i="2"/>
  <c r="R116" i="2"/>
  <c r="D1775" i="12"/>
  <c r="E1774" i="12"/>
  <c r="F1774" i="12"/>
  <c r="EQ72" i="5"/>
  <c r="BF77" i="5"/>
  <c r="BC77" i="5"/>
  <c r="AR73" i="2"/>
  <c r="BB72" i="2"/>
  <c r="AR78" i="5"/>
  <c r="C113" i="5" s="1"/>
  <c r="D117" i="2"/>
  <c r="D113" i="5" l="1"/>
  <c r="Q113" i="5"/>
  <c r="M113" i="5"/>
  <c r="I113" i="5"/>
  <c r="E113" i="5"/>
  <c r="S113" i="5"/>
  <c r="O113" i="5"/>
  <c r="K113" i="5"/>
  <c r="G113" i="5"/>
  <c r="N113" i="5"/>
  <c r="F113" i="5"/>
  <c r="T113" i="5"/>
  <c r="L113" i="5"/>
  <c r="H113" i="5"/>
  <c r="R113" i="5"/>
  <c r="J113" i="5"/>
  <c r="P113" i="5"/>
  <c r="H117" i="2"/>
  <c r="J117" i="2"/>
  <c r="N117" i="2"/>
  <c r="R117" i="2"/>
  <c r="K117" i="2"/>
  <c r="O117" i="2"/>
  <c r="S117" i="2"/>
  <c r="I117" i="2"/>
  <c r="Q117" i="2"/>
  <c r="L117" i="2"/>
  <c r="P117" i="2"/>
  <c r="T117" i="2"/>
  <c r="M117" i="2"/>
  <c r="U117" i="2"/>
  <c r="D1776" i="12"/>
  <c r="E1775" i="12"/>
  <c r="F1775" i="12"/>
  <c r="EQ73" i="5"/>
  <c r="BF78" i="5"/>
  <c r="BC78" i="5"/>
  <c r="AR74" i="2"/>
  <c r="BB73" i="2"/>
  <c r="D118" i="2"/>
  <c r="AR79" i="5"/>
  <c r="C114" i="5" s="1"/>
  <c r="D114" i="5" l="1"/>
  <c r="Q114" i="5"/>
  <c r="M114" i="5"/>
  <c r="I114" i="5"/>
  <c r="E114" i="5"/>
  <c r="S114" i="5"/>
  <c r="O114" i="5"/>
  <c r="K114" i="5"/>
  <c r="G114" i="5"/>
  <c r="N114" i="5"/>
  <c r="F114" i="5"/>
  <c r="T114" i="5"/>
  <c r="L114" i="5"/>
  <c r="H114" i="5"/>
  <c r="R114" i="5"/>
  <c r="P114" i="5"/>
  <c r="J114" i="5"/>
  <c r="H118" i="2"/>
  <c r="I118" i="2"/>
  <c r="M118" i="2"/>
  <c r="Q118" i="2"/>
  <c r="U118" i="2"/>
  <c r="J118" i="2"/>
  <c r="N118" i="2"/>
  <c r="R118" i="2"/>
  <c r="L118" i="2"/>
  <c r="T118" i="2"/>
  <c r="K118" i="2"/>
  <c r="O118" i="2"/>
  <c r="S118" i="2"/>
  <c r="P118" i="2"/>
  <c r="D1777" i="12"/>
  <c r="E1776" i="12"/>
  <c r="F1776" i="12"/>
  <c r="EQ74" i="5"/>
  <c r="BF79" i="5"/>
  <c r="BC79" i="5"/>
  <c r="AR75" i="2"/>
  <c r="BB74" i="2"/>
  <c r="D119" i="2"/>
  <c r="AR80" i="5"/>
  <c r="C115" i="5" s="1"/>
  <c r="D115" i="5" l="1"/>
  <c r="Q115" i="5"/>
  <c r="M115" i="5"/>
  <c r="I115" i="5"/>
  <c r="E115" i="5"/>
  <c r="S115" i="5"/>
  <c r="O115" i="5"/>
  <c r="K115" i="5"/>
  <c r="G115" i="5"/>
  <c r="N115" i="5"/>
  <c r="F115" i="5"/>
  <c r="T115" i="5"/>
  <c r="L115" i="5"/>
  <c r="H115" i="5"/>
  <c r="R115" i="5"/>
  <c r="J115" i="5"/>
  <c r="P115" i="5"/>
  <c r="H119" i="2"/>
  <c r="L119" i="2"/>
  <c r="P119" i="2"/>
  <c r="T119" i="2"/>
  <c r="I119" i="2"/>
  <c r="M119" i="2"/>
  <c r="Q119" i="2"/>
  <c r="U119" i="2"/>
  <c r="O119" i="2"/>
  <c r="J119" i="2"/>
  <c r="N119" i="2"/>
  <c r="R119" i="2"/>
  <c r="K119" i="2"/>
  <c r="S119" i="2"/>
  <c r="D1778" i="12"/>
  <c r="F1777" i="12"/>
  <c r="E1777" i="12"/>
  <c r="EQ75" i="5"/>
  <c r="BF80" i="5"/>
  <c r="BC80" i="5"/>
  <c r="AR76" i="2"/>
  <c r="BB75" i="2"/>
  <c r="AR81" i="5"/>
  <c r="C116" i="5" s="1"/>
  <c r="D120" i="2"/>
  <c r="D116" i="5" l="1"/>
  <c r="Q116" i="5"/>
  <c r="M116" i="5"/>
  <c r="I116" i="5"/>
  <c r="E116" i="5"/>
  <c r="S116" i="5"/>
  <c r="O116" i="5"/>
  <c r="K116" i="5"/>
  <c r="G116" i="5"/>
  <c r="N116" i="5"/>
  <c r="F116" i="5"/>
  <c r="T116" i="5"/>
  <c r="L116" i="5"/>
  <c r="H116" i="5"/>
  <c r="R116" i="5"/>
  <c r="P116" i="5"/>
  <c r="J116" i="5"/>
  <c r="H120" i="2"/>
  <c r="K120" i="2"/>
  <c r="O120" i="2"/>
  <c r="S120" i="2"/>
  <c r="L120" i="2"/>
  <c r="P120" i="2"/>
  <c r="T120" i="2"/>
  <c r="J120" i="2"/>
  <c r="I120" i="2"/>
  <c r="M120" i="2"/>
  <c r="Q120" i="2"/>
  <c r="U120" i="2"/>
  <c r="N120" i="2"/>
  <c r="R120" i="2"/>
  <c r="D1779" i="12"/>
  <c r="E1778" i="12"/>
  <c r="F1778" i="12"/>
  <c r="EQ76" i="5"/>
  <c r="BF81" i="5"/>
  <c r="BC81" i="5"/>
  <c r="AR77" i="2"/>
  <c r="BB76" i="2"/>
  <c r="AR82" i="5"/>
  <c r="C117" i="5" s="1"/>
  <c r="D121" i="2"/>
  <c r="D117" i="5" l="1"/>
  <c r="Q117" i="5"/>
  <c r="M117" i="5"/>
  <c r="I117" i="5"/>
  <c r="E117" i="5"/>
  <c r="S117" i="5"/>
  <c r="O117" i="5"/>
  <c r="K117" i="5"/>
  <c r="G117" i="5"/>
  <c r="N117" i="5"/>
  <c r="F117" i="5"/>
  <c r="T117" i="5"/>
  <c r="L117" i="5"/>
  <c r="H117" i="5"/>
  <c r="R117" i="5"/>
  <c r="J117" i="5"/>
  <c r="P117" i="5"/>
  <c r="H121" i="2"/>
  <c r="J121" i="2"/>
  <c r="N121" i="2"/>
  <c r="R121" i="2"/>
  <c r="K121" i="2"/>
  <c r="O121" i="2"/>
  <c r="S121" i="2"/>
  <c r="I121" i="2"/>
  <c r="Q121" i="2"/>
  <c r="L121" i="2"/>
  <c r="P121" i="2"/>
  <c r="T121" i="2"/>
  <c r="M121" i="2"/>
  <c r="U121" i="2"/>
  <c r="D1780" i="12"/>
  <c r="F1779" i="12"/>
  <c r="E1779" i="12"/>
  <c r="EQ77" i="5"/>
  <c r="BF82" i="5"/>
  <c r="BC82" i="5"/>
  <c r="AR78" i="2"/>
  <c r="BB77" i="2"/>
  <c r="AR83" i="5"/>
  <c r="C118" i="5" s="1"/>
  <c r="D122" i="2"/>
  <c r="D118" i="5" l="1"/>
  <c r="Q118" i="5"/>
  <c r="M118" i="5"/>
  <c r="I118" i="5"/>
  <c r="E118" i="5"/>
  <c r="S118" i="5"/>
  <c r="O118" i="5"/>
  <c r="K118" i="5"/>
  <c r="G118" i="5"/>
  <c r="N118" i="5"/>
  <c r="F118" i="5"/>
  <c r="T118" i="5"/>
  <c r="L118" i="5"/>
  <c r="H118" i="5"/>
  <c r="R118" i="5"/>
  <c r="P118" i="5"/>
  <c r="J118" i="5"/>
  <c r="H122" i="2"/>
  <c r="I122" i="2"/>
  <c r="M122" i="2"/>
  <c r="Q122" i="2"/>
  <c r="U122" i="2"/>
  <c r="J122" i="2"/>
  <c r="N122" i="2"/>
  <c r="R122" i="2"/>
  <c r="L122" i="2"/>
  <c r="T122" i="2"/>
  <c r="K122" i="2"/>
  <c r="O122" i="2"/>
  <c r="S122" i="2"/>
  <c r="P122" i="2"/>
  <c r="D1781" i="12"/>
  <c r="F1780" i="12"/>
  <c r="E1780" i="12"/>
  <c r="EQ78" i="5"/>
  <c r="BF83" i="5"/>
  <c r="BC83" i="5"/>
  <c r="AR79" i="2"/>
  <c r="BB78" i="2"/>
  <c r="D123" i="2"/>
  <c r="AR84" i="5"/>
  <c r="C119" i="5" s="1"/>
  <c r="D119" i="5" s="1"/>
  <c r="H123" i="2" l="1"/>
  <c r="L123" i="2"/>
  <c r="P123" i="2"/>
  <c r="T123" i="2"/>
  <c r="I123" i="2"/>
  <c r="M123" i="2"/>
  <c r="Q123" i="2"/>
  <c r="U123" i="2"/>
  <c r="O123" i="2"/>
  <c r="J123" i="2"/>
  <c r="N123" i="2"/>
  <c r="R123" i="2"/>
  <c r="K123" i="2"/>
  <c r="S123" i="2"/>
  <c r="D1782" i="12"/>
  <c r="E1781" i="12"/>
  <c r="F1781" i="12"/>
  <c r="EQ79" i="5"/>
  <c r="BF84" i="5"/>
  <c r="BC84" i="5"/>
  <c r="AR80" i="2"/>
  <c r="BB79" i="2"/>
  <c r="D124" i="2"/>
  <c r="AR85" i="5"/>
  <c r="C120" i="5" s="1"/>
  <c r="D120" i="5" s="1"/>
  <c r="T124" i="2" l="1"/>
  <c r="U124" i="2"/>
  <c r="R124" i="2"/>
  <c r="S124" i="2"/>
  <c r="P124" i="2"/>
  <c r="Q124" i="2"/>
  <c r="N124" i="2"/>
  <c r="O124" i="2"/>
  <c r="L124" i="2"/>
  <c r="M124" i="2"/>
  <c r="J124" i="2"/>
  <c r="K124" i="2"/>
  <c r="H124" i="2"/>
  <c r="I124" i="2"/>
  <c r="D1783" i="12"/>
  <c r="E1782" i="12"/>
  <c r="F1782" i="12"/>
  <c r="EQ80" i="5"/>
  <c r="BF85" i="5"/>
  <c r="BC85" i="5"/>
  <c r="AR81" i="2"/>
  <c r="BB80" i="2"/>
  <c r="D125" i="2"/>
  <c r="AR86" i="5"/>
  <c r="C121" i="5" s="1"/>
  <c r="D121" i="5" s="1"/>
  <c r="T125" i="2" l="1"/>
  <c r="U125" i="2"/>
  <c r="R125" i="2"/>
  <c r="S125" i="2"/>
  <c r="P125" i="2"/>
  <c r="Q125" i="2"/>
  <c r="N125" i="2"/>
  <c r="O125" i="2"/>
  <c r="L125" i="2"/>
  <c r="M125" i="2"/>
  <c r="J125" i="2"/>
  <c r="K125" i="2"/>
  <c r="H125" i="2"/>
  <c r="I125" i="2"/>
  <c r="D1784" i="12"/>
  <c r="F1783" i="12"/>
  <c r="E1783" i="12"/>
  <c r="EQ81" i="5"/>
  <c r="BF86" i="5"/>
  <c r="BC86" i="5"/>
  <c r="AR82" i="2"/>
  <c r="BB81" i="2"/>
  <c r="D126" i="2"/>
  <c r="AR87" i="5"/>
  <c r="C122" i="5" s="1"/>
  <c r="D122" i="5" s="1"/>
  <c r="T126" i="2" l="1"/>
  <c r="T206" i="2" s="1"/>
  <c r="U126" i="2"/>
  <c r="U206" i="2" s="1"/>
  <c r="R126" i="2"/>
  <c r="R206" i="2" s="1"/>
  <c r="S126" i="2"/>
  <c r="S206" i="2" s="1"/>
  <c r="P126" i="2"/>
  <c r="P206" i="2" s="1"/>
  <c r="Q126" i="2"/>
  <c r="Q206" i="2" s="1"/>
  <c r="N126" i="2"/>
  <c r="N206" i="2" s="1"/>
  <c r="O126" i="2"/>
  <c r="O206" i="2" s="1"/>
  <c r="L126" i="2"/>
  <c r="L206" i="2" s="1"/>
  <c r="M126" i="2"/>
  <c r="M206" i="2" s="1"/>
  <c r="J126" i="2"/>
  <c r="K126" i="2"/>
  <c r="K206" i="2" s="1"/>
  <c r="H126" i="2"/>
  <c r="I126" i="2"/>
  <c r="I206" i="2" s="1"/>
  <c r="D1785" i="12"/>
  <c r="E1784" i="12"/>
  <c r="F1784" i="12"/>
  <c r="EQ82" i="5"/>
  <c r="BF87" i="5"/>
  <c r="BC87" i="5"/>
  <c r="AR83" i="2"/>
  <c r="BB82" i="2"/>
  <c r="D127" i="2"/>
  <c r="AR88" i="5"/>
  <c r="C123" i="5" s="1"/>
  <c r="D123" i="5" s="1"/>
  <c r="H127" i="2" l="1"/>
  <c r="J127" i="2"/>
  <c r="D1786" i="12"/>
  <c r="E1785" i="12"/>
  <c r="F1785" i="12"/>
  <c r="EQ83" i="5"/>
  <c r="BF88" i="5"/>
  <c r="BC88" i="5"/>
  <c r="AR84" i="2"/>
  <c r="BB83" i="2"/>
  <c r="D128" i="2"/>
  <c r="AR89" i="5"/>
  <c r="C124" i="5" s="1"/>
  <c r="D124" i="5" s="1"/>
  <c r="H128" i="2" l="1"/>
  <c r="J128" i="2"/>
  <c r="D1787" i="12"/>
  <c r="F1786" i="12"/>
  <c r="E1786" i="12"/>
  <c r="EQ84" i="5"/>
  <c r="BF89" i="5"/>
  <c r="BC89" i="5"/>
  <c r="AR85" i="2"/>
  <c r="BB84" i="2"/>
  <c r="D129" i="2"/>
  <c r="G129" i="2" s="1"/>
  <c r="AR90" i="5"/>
  <c r="C125" i="5" s="1"/>
  <c r="D125" i="5" s="1"/>
  <c r="H129" i="2" l="1"/>
  <c r="J129" i="2"/>
  <c r="J206" i="2" s="1"/>
  <c r="D1788" i="12"/>
  <c r="F1787" i="12"/>
  <c r="E1787" i="12"/>
  <c r="EQ85" i="5"/>
  <c r="BF90" i="5"/>
  <c r="BC90" i="5"/>
  <c r="AR86" i="2"/>
  <c r="BB85" i="2"/>
  <c r="D130" i="2"/>
  <c r="AR91" i="5"/>
  <c r="C126" i="5" s="1"/>
  <c r="D126" i="5" s="1"/>
  <c r="H130" i="2" l="1"/>
  <c r="G130" i="2"/>
  <c r="D1789" i="12"/>
  <c r="E1788" i="12"/>
  <c r="F1788" i="12"/>
  <c r="EQ86" i="5"/>
  <c r="BF91" i="5"/>
  <c r="BC91" i="5"/>
  <c r="AR87" i="2"/>
  <c r="BB86" i="2"/>
  <c r="D131" i="2"/>
  <c r="AR92" i="5"/>
  <c r="C127" i="5" s="1"/>
  <c r="D127" i="5" s="1"/>
  <c r="H131" i="2" l="1"/>
  <c r="G131" i="2"/>
  <c r="D1790" i="12"/>
  <c r="F1789" i="12"/>
  <c r="E1789" i="12"/>
  <c r="EQ87" i="5"/>
  <c r="BF92" i="5"/>
  <c r="BC92" i="5"/>
  <c r="AR88" i="2"/>
  <c r="BB87" i="2"/>
  <c r="D132" i="2"/>
  <c r="AR93" i="5"/>
  <c r="C128" i="5" s="1"/>
  <c r="H132" i="2" l="1"/>
  <c r="G132" i="2"/>
  <c r="D1791" i="12"/>
  <c r="E1790" i="12"/>
  <c r="F1790" i="12"/>
  <c r="EQ88" i="5"/>
  <c r="BF93" i="5"/>
  <c r="BC93" i="5"/>
  <c r="AR89" i="2"/>
  <c r="BB88" i="2"/>
  <c r="D133" i="2"/>
  <c r="AR94" i="5"/>
  <c r="C129" i="5" s="1"/>
  <c r="H133" i="2" l="1"/>
  <c r="G133" i="2"/>
  <c r="D1792" i="12"/>
  <c r="E1791" i="12"/>
  <c r="F1791" i="12"/>
  <c r="EQ89" i="5"/>
  <c r="BF94" i="5"/>
  <c r="BC94" i="5"/>
  <c r="AR90" i="2"/>
  <c r="BB89" i="2"/>
  <c r="D134" i="2"/>
  <c r="AR95" i="5"/>
  <c r="C130" i="5" s="1"/>
  <c r="E134" i="2" l="1"/>
  <c r="G134" i="2"/>
  <c r="D1793" i="12"/>
  <c r="E1792" i="12"/>
  <c r="F1792" i="12"/>
  <c r="F134" i="2"/>
  <c r="H134" i="2"/>
  <c r="EQ90" i="5"/>
  <c r="BF95" i="5"/>
  <c r="BC95" i="5"/>
  <c r="AR91" i="2"/>
  <c r="BB90" i="2"/>
  <c r="D135" i="2"/>
  <c r="AR96" i="5"/>
  <c r="C131" i="5" s="1"/>
  <c r="E135" i="2" l="1"/>
  <c r="G135" i="2"/>
  <c r="D1794" i="12"/>
  <c r="F1793" i="12"/>
  <c r="E1793" i="12"/>
  <c r="F135" i="2"/>
  <c r="H135" i="2"/>
  <c r="EQ91" i="5"/>
  <c r="BF96" i="5"/>
  <c r="BC96" i="5"/>
  <c r="AR92" i="2"/>
  <c r="BB91" i="2"/>
  <c r="D136" i="2"/>
  <c r="AR97" i="5"/>
  <c r="C132" i="5" s="1"/>
  <c r="G136" i="2" l="1"/>
  <c r="H136" i="2"/>
  <c r="D1795" i="12"/>
  <c r="E1794" i="12"/>
  <c r="F1794" i="12"/>
  <c r="F136" i="2"/>
  <c r="E136" i="2"/>
  <c r="EQ92" i="5"/>
  <c r="BF97" i="5"/>
  <c r="BC97" i="5"/>
  <c r="AR93" i="2"/>
  <c r="BB92" i="2"/>
  <c r="D137" i="2"/>
  <c r="AR98" i="5"/>
  <c r="C133" i="5" s="1"/>
  <c r="G137" i="2" l="1"/>
  <c r="H137" i="2"/>
  <c r="D1796" i="12"/>
  <c r="F1795" i="12"/>
  <c r="E1795" i="12"/>
  <c r="F137" i="2"/>
  <c r="E137" i="2"/>
  <c r="EQ93" i="5"/>
  <c r="BF98" i="5"/>
  <c r="BC98" i="5"/>
  <c r="AR94" i="2"/>
  <c r="BB93" i="2"/>
  <c r="D138" i="2"/>
  <c r="AR99" i="5"/>
  <c r="C134" i="5" s="1"/>
  <c r="G138" i="2" l="1"/>
  <c r="H138" i="2"/>
  <c r="D1797" i="12"/>
  <c r="F1796" i="12"/>
  <c r="E1796" i="12"/>
  <c r="F138" i="2"/>
  <c r="E138" i="2"/>
  <c r="EQ94" i="5"/>
  <c r="BF99" i="5"/>
  <c r="BC99" i="5"/>
  <c r="AR95" i="2"/>
  <c r="BB94" i="2"/>
  <c r="D139" i="2"/>
  <c r="AR100" i="5"/>
  <c r="C135" i="5" s="1"/>
  <c r="G139" i="2" l="1"/>
  <c r="H139" i="2"/>
  <c r="D1798" i="12"/>
  <c r="F1797" i="12"/>
  <c r="E1797" i="12"/>
  <c r="F139" i="2"/>
  <c r="E139" i="2"/>
  <c r="EQ95" i="5"/>
  <c r="BF100" i="5"/>
  <c r="BC100" i="5"/>
  <c r="AR96" i="2"/>
  <c r="BB95" i="2"/>
  <c r="D140" i="2"/>
  <c r="AR101" i="5"/>
  <c r="C136" i="5" s="1"/>
  <c r="G140" i="2" l="1"/>
  <c r="H140" i="2"/>
  <c r="D1799" i="12"/>
  <c r="E1798" i="12"/>
  <c r="F1798" i="12"/>
  <c r="F140" i="2"/>
  <c r="E140" i="2"/>
  <c r="EQ96" i="5"/>
  <c r="BF101" i="5"/>
  <c r="BC101" i="5"/>
  <c r="AR97" i="2"/>
  <c r="BB96" i="2"/>
  <c r="D141" i="2"/>
  <c r="AR102" i="5"/>
  <c r="C137" i="5" s="1"/>
  <c r="G141" i="2" l="1"/>
  <c r="H141" i="2"/>
  <c r="D1800" i="12"/>
  <c r="E1799" i="12"/>
  <c r="F1799" i="12"/>
  <c r="F141" i="2"/>
  <c r="E141" i="2"/>
  <c r="EQ97" i="5"/>
  <c r="BF102" i="5"/>
  <c r="BC102" i="5"/>
  <c r="AR98" i="2"/>
  <c r="BB97" i="2"/>
  <c r="D142" i="2"/>
  <c r="AR103" i="5"/>
  <c r="C138" i="5" s="1"/>
  <c r="G142" i="2" l="1"/>
  <c r="H142" i="2"/>
  <c r="D1801" i="12"/>
  <c r="E1800" i="12"/>
  <c r="F1800" i="12"/>
  <c r="F142" i="2"/>
  <c r="E142" i="2"/>
  <c r="EQ98" i="5"/>
  <c r="BF103" i="5"/>
  <c r="BC103" i="5"/>
  <c r="AR99" i="2"/>
  <c r="BB98" i="2"/>
  <c r="D143" i="2"/>
  <c r="AR104" i="5"/>
  <c r="C139" i="5" s="1"/>
  <c r="G143" i="2" l="1"/>
  <c r="H143" i="2"/>
  <c r="D1802" i="12"/>
  <c r="F1801" i="12"/>
  <c r="E1801" i="12"/>
  <c r="F143" i="2"/>
  <c r="E143" i="2"/>
  <c r="EQ99" i="5"/>
  <c r="BF104" i="5"/>
  <c r="BC104" i="5"/>
  <c r="AR100" i="2"/>
  <c r="BB99" i="2"/>
  <c r="D144" i="2"/>
  <c r="AR105" i="5"/>
  <c r="C140" i="5" s="1"/>
  <c r="G144" i="2" l="1"/>
  <c r="H144" i="2"/>
  <c r="D1803" i="12"/>
  <c r="E1802" i="12"/>
  <c r="F1802" i="12"/>
  <c r="F144" i="2"/>
  <c r="E144" i="2"/>
  <c r="EQ100" i="5"/>
  <c r="BF105" i="5"/>
  <c r="BC105" i="5"/>
  <c r="AR101" i="2"/>
  <c r="BB100" i="2"/>
  <c r="D145" i="2"/>
  <c r="AR106" i="5"/>
  <c r="C141" i="5" s="1"/>
  <c r="G145" i="2" l="1"/>
  <c r="H145" i="2"/>
  <c r="D1804" i="12"/>
  <c r="E1803" i="12"/>
  <c r="F1803" i="12"/>
  <c r="F145" i="2"/>
  <c r="E145" i="2"/>
  <c r="EQ101" i="5"/>
  <c r="BF106" i="5"/>
  <c r="BC106" i="5"/>
  <c r="AR102" i="2"/>
  <c r="BB101" i="2"/>
  <c r="D146" i="2"/>
  <c r="AR107" i="5"/>
  <c r="C142" i="5" s="1"/>
  <c r="G146" i="2" l="1"/>
  <c r="H146" i="2"/>
  <c r="D1805" i="12"/>
  <c r="E1804" i="12"/>
  <c r="F1804" i="12"/>
  <c r="F146" i="2"/>
  <c r="E146" i="2"/>
  <c r="EQ102" i="5"/>
  <c r="BF107" i="5"/>
  <c r="BC107" i="5"/>
  <c r="AR103" i="2"/>
  <c r="BB102" i="2"/>
  <c r="D147" i="2"/>
  <c r="AR108" i="5"/>
  <c r="C143" i="5" s="1"/>
  <c r="G147" i="2" l="1"/>
  <c r="H147" i="2"/>
  <c r="D1806" i="12"/>
  <c r="F1805" i="12"/>
  <c r="E1805" i="12"/>
  <c r="F147" i="2"/>
  <c r="E147" i="2"/>
  <c r="EQ103" i="5"/>
  <c r="BF108" i="5"/>
  <c r="BC108" i="5"/>
  <c r="AR104" i="2"/>
  <c r="BB103" i="2"/>
  <c r="D148" i="2"/>
  <c r="AR109" i="5"/>
  <c r="C144" i="5" s="1"/>
  <c r="G148" i="2" l="1"/>
  <c r="H148" i="2"/>
  <c r="F148" i="2"/>
  <c r="E148" i="2"/>
  <c r="D1807" i="12"/>
  <c r="E1806" i="12"/>
  <c r="F1806" i="12"/>
  <c r="EQ104" i="5"/>
  <c r="BF109" i="5"/>
  <c r="BC109" i="5"/>
  <c r="AR105" i="2"/>
  <c r="BB104" i="2"/>
  <c r="D149" i="2"/>
  <c r="AR110" i="5"/>
  <c r="C145" i="5" s="1"/>
  <c r="G149" i="2" l="1"/>
  <c r="H149" i="2"/>
  <c r="F149" i="2"/>
  <c r="E149" i="2"/>
  <c r="D1808" i="12"/>
  <c r="F1807" i="12"/>
  <c r="E1807" i="12"/>
  <c r="EQ105" i="5"/>
  <c r="BF110" i="5"/>
  <c r="BC110" i="5"/>
  <c r="AR106" i="2"/>
  <c r="BB105" i="2"/>
  <c r="D150" i="2"/>
  <c r="AR111" i="5"/>
  <c r="C146" i="5" s="1"/>
  <c r="G150" i="2" l="1"/>
  <c r="H150" i="2"/>
  <c r="F150" i="2"/>
  <c r="E150" i="2"/>
  <c r="D1809" i="12"/>
  <c r="F1808" i="12"/>
  <c r="E1808" i="12"/>
  <c r="EQ106" i="5"/>
  <c r="BF111" i="5"/>
  <c r="BC111" i="5"/>
  <c r="AR107" i="2"/>
  <c r="BB106" i="2"/>
  <c r="D151" i="2"/>
  <c r="AR112" i="5"/>
  <c r="C147" i="5" s="1"/>
  <c r="G151" i="2" l="1"/>
  <c r="H151" i="2"/>
  <c r="H206" i="2" s="1"/>
  <c r="F151" i="2"/>
  <c r="E151" i="2"/>
  <c r="D1810" i="12"/>
  <c r="E1809" i="12"/>
  <c r="F1809" i="12"/>
  <c r="EQ107" i="5"/>
  <c r="BF112" i="5"/>
  <c r="BC112" i="5"/>
  <c r="AR108" i="2"/>
  <c r="BB107" i="2"/>
  <c r="D152" i="2"/>
  <c r="AR113" i="5"/>
  <c r="C148" i="5" s="1"/>
  <c r="F152" i="2" l="1"/>
  <c r="E152" i="2"/>
  <c r="D1811" i="12"/>
  <c r="E1810" i="12"/>
  <c r="F1810" i="12"/>
  <c r="EQ108" i="5"/>
  <c r="BF113" i="5"/>
  <c r="BC113" i="5"/>
  <c r="AR109" i="2"/>
  <c r="BB108" i="2"/>
  <c r="D153" i="2"/>
  <c r="AR114" i="5"/>
  <c r="C149" i="5" s="1"/>
  <c r="F153" i="2" l="1"/>
  <c r="E153" i="2"/>
  <c r="D1812" i="12"/>
  <c r="E1811" i="12"/>
  <c r="F1811" i="12"/>
  <c r="EQ109" i="5"/>
  <c r="BF114" i="5"/>
  <c r="BC114" i="5"/>
  <c r="AR110" i="2"/>
  <c r="BB109" i="2"/>
  <c r="D154" i="2"/>
  <c r="AR115" i="5"/>
  <c r="C150" i="5" s="1"/>
  <c r="F154" i="2" l="1"/>
  <c r="E154" i="2"/>
  <c r="D1813" i="12"/>
  <c r="E1812" i="12"/>
  <c r="F1812" i="12"/>
  <c r="EQ110" i="5"/>
  <c r="BF115" i="5"/>
  <c r="BC115" i="5"/>
  <c r="AR111" i="2"/>
  <c r="BB110" i="2"/>
  <c r="D155" i="2"/>
  <c r="AR116" i="5"/>
  <c r="C151" i="5" s="1"/>
  <c r="F155" i="2" l="1"/>
  <c r="E155" i="2"/>
  <c r="D1814" i="12"/>
  <c r="F1813" i="12"/>
  <c r="E1813" i="12"/>
  <c r="EQ111" i="5"/>
  <c r="BF116" i="5"/>
  <c r="BC116" i="5"/>
  <c r="AR112" i="2"/>
  <c r="BB111" i="2"/>
  <c r="D156" i="2"/>
  <c r="AR117" i="5"/>
  <c r="C152" i="5" s="1"/>
  <c r="F156" i="2" l="1"/>
  <c r="E156" i="2"/>
  <c r="D1815" i="12"/>
  <c r="F1814" i="12"/>
  <c r="E1814" i="12"/>
  <c r="EQ112" i="5"/>
  <c r="BF117" i="5"/>
  <c r="BC117" i="5"/>
  <c r="AR113" i="2"/>
  <c r="BB112" i="2"/>
  <c r="D157" i="2"/>
  <c r="AR118" i="5"/>
  <c r="C153" i="5" s="1"/>
  <c r="F157" i="2" l="1"/>
  <c r="E157" i="2"/>
  <c r="D1816" i="12"/>
  <c r="F1815" i="12"/>
  <c r="E1815" i="12"/>
  <c r="EQ113" i="5"/>
  <c r="BF118" i="5"/>
  <c r="BC118" i="5"/>
  <c r="AR114" i="2"/>
  <c r="BB113" i="2"/>
  <c r="D158" i="2"/>
  <c r="AR119" i="5"/>
  <c r="C154" i="5" s="1"/>
  <c r="F158" i="2" l="1"/>
  <c r="E158" i="2"/>
  <c r="D1817" i="12"/>
  <c r="E1816" i="12"/>
  <c r="F1816" i="12"/>
  <c r="EQ114" i="5"/>
  <c r="BF119" i="5"/>
  <c r="BC119" i="5"/>
  <c r="AR115" i="2"/>
  <c r="BB114" i="2"/>
  <c r="D159" i="2"/>
  <c r="AR120" i="5"/>
  <c r="C155" i="5" s="1"/>
  <c r="F159" i="2" l="1"/>
  <c r="E159" i="2"/>
  <c r="D1818" i="12"/>
  <c r="E1817" i="12"/>
  <c r="F1817" i="12"/>
  <c r="EQ115" i="5"/>
  <c r="BF120" i="5"/>
  <c r="BC120" i="5"/>
  <c r="AR116" i="2"/>
  <c r="BB115" i="2"/>
  <c r="D160" i="2"/>
  <c r="AR121" i="5"/>
  <c r="C156" i="5" s="1"/>
  <c r="F160" i="2" l="1"/>
  <c r="E160" i="2"/>
  <c r="D1819" i="12"/>
  <c r="E1818" i="12"/>
  <c r="F1818" i="12"/>
  <c r="EQ116" i="5"/>
  <c r="BF121" i="5"/>
  <c r="BC121" i="5"/>
  <c r="AR117" i="2"/>
  <c r="BB116" i="2"/>
  <c r="D161" i="2"/>
  <c r="AR122" i="5"/>
  <c r="C157" i="5" s="1"/>
  <c r="F161" i="2" l="1"/>
  <c r="E161" i="2"/>
  <c r="D1820" i="12"/>
  <c r="F1819" i="12"/>
  <c r="E1819" i="12"/>
  <c r="EQ117" i="5"/>
  <c r="BF122" i="5"/>
  <c r="BC122" i="5"/>
  <c r="AR118" i="2"/>
  <c r="BB117" i="2"/>
  <c r="D162" i="2"/>
  <c r="E162" i="2" s="1"/>
  <c r="AR123" i="5"/>
  <c r="C158" i="5" s="1"/>
  <c r="D1821" i="12" l="1"/>
  <c r="E1820" i="12"/>
  <c r="F1820" i="12"/>
  <c r="EQ118" i="5"/>
  <c r="BF123" i="5"/>
  <c r="BC123" i="5"/>
  <c r="AR119" i="2"/>
  <c r="BB118" i="2"/>
  <c r="D163" i="2"/>
  <c r="E163" i="2" s="1"/>
  <c r="AR124" i="5"/>
  <c r="C159" i="5" s="1"/>
  <c r="D1822" i="12" l="1"/>
  <c r="F1821" i="12"/>
  <c r="E1821" i="12"/>
  <c r="EQ119" i="5"/>
  <c r="BF124" i="5"/>
  <c r="BC124" i="5"/>
  <c r="AR120" i="2"/>
  <c r="BB119" i="2"/>
  <c r="D164" i="2"/>
  <c r="E164" i="2" s="1"/>
  <c r="AR125" i="5"/>
  <c r="C160" i="5" s="1"/>
  <c r="D1823" i="12" l="1"/>
  <c r="F1822" i="12"/>
  <c r="E1822" i="12"/>
  <c r="EQ120" i="5"/>
  <c r="BF125" i="5"/>
  <c r="BC125" i="5"/>
  <c r="AR121" i="2"/>
  <c r="BB120" i="2"/>
  <c r="D165" i="2"/>
  <c r="E165" i="2" s="1"/>
  <c r="AR126" i="5"/>
  <c r="C161" i="5" s="1"/>
  <c r="D1824" i="12" l="1"/>
  <c r="F1823" i="12"/>
  <c r="E1823" i="12"/>
  <c r="EQ121" i="5"/>
  <c r="BF126" i="5"/>
  <c r="BC126" i="5"/>
  <c r="AR122" i="2"/>
  <c r="BB121" i="2"/>
  <c r="D166" i="2"/>
  <c r="E166" i="2" s="1"/>
  <c r="AR127" i="5"/>
  <c r="C162" i="5" s="1"/>
  <c r="D1825" i="12" l="1"/>
  <c r="E1824" i="12"/>
  <c r="F1824" i="12"/>
  <c r="EQ122" i="5"/>
  <c r="BF127" i="5"/>
  <c r="BC127" i="5"/>
  <c r="AR123" i="2"/>
  <c r="BB122" i="2"/>
  <c r="D167" i="2"/>
  <c r="E167" i="2" s="1"/>
  <c r="AR128" i="5"/>
  <c r="C163" i="5" s="1"/>
  <c r="D1826" i="12" l="1"/>
  <c r="F1825" i="12"/>
  <c r="E1825" i="12"/>
  <c r="EQ123" i="5"/>
  <c r="BF128" i="5"/>
  <c r="BC128" i="5"/>
  <c r="AR124" i="2"/>
  <c r="BB123" i="2"/>
  <c r="D168" i="2"/>
  <c r="E168" i="2" s="1"/>
  <c r="AR129" i="5"/>
  <c r="C164" i="5" s="1"/>
  <c r="D1827" i="12" l="1"/>
  <c r="E1826" i="12"/>
  <c r="F1826" i="12"/>
  <c r="EQ124" i="5"/>
  <c r="BF129" i="5"/>
  <c r="BC129" i="5"/>
  <c r="AR125" i="2"/>
  <c r="BB124" i="2"/>
  <c r="D169" i="2"/>
  <c r="E169" i="2" s="1"/>
  <c r="AR130" i="5"/>
  <c r="C165" i="5" s="1"/>
  <c r="D1828" i="12" l="1"/>
  <c r="E1827" i="12"/>
  <c r="F1827" i="12"/>
  <c r="EQ125" i="5"/>
  <c r="BF130" i="5"/>
  <c r="BC130" i="5"/>
  <c r="AR126" i="2"/>
  <c r="BB125" i="2"/>
  <c r="D170" i="2"/>
  <c r="E170" i="2" s="1"/>
  <c r="AR131" i="5"/>
  <c r="C166" i="5" s="1"/>
  <c r="D1829" i="12" l="1"/>
  <c r="E1828" i="12"/>
  <c r="F1828" i="12"/>
  <c r="EQ126" i="5"/>
  <c r="BF131" i="5"/>
  <c r="BC131" i="5"/>
  <c r="AR127" i="2"/>
  <c r="BB126" i="2"/>
  <c r="D171" i="2"/>
  <c r="E171" i="2" s="1"/>
  <c r="AR132" i="5"/>
  <c r="C167" i="5" s="1"/>
  <c r="D1830" i="12" l="1"/>
  <c r="F1829" i="12"/>
  <c r="E1829" i="12"/>
  <c r="EQ127" i="5"/>
  <c r="BF132" i="5"/>
  <c r="BC132" i="5"/>
  <c r="AR128" i="2"/>
  <c r="BB127" i="2"/>
  <c r="D172" i="2"/>
  <c r="E172" i="2" s="1"/>
  <c r="AR133" i="5"/>
  <c r="C168" i="5" s="1"/>
  <c r="D1831" i="12" l="1"/>
  <c r="E1830" i="12"/>
  <c r="F1830" i="12"/>
  <c r="EQ128" i="5"/>
  <c r="BF133" i="5"/>
  <c r="BC133" i="5"/>
  <c r="AR129" i="2"/>
  <c r="BB128" i="2"/>
  <c r="D173" i="2"/>
  <c r="E173" i="2" s="1"/>
  <c r="AR134" i="5"/>
  <c r="C169" i="5" s="1"/>
  <c r="D1832" i="12" l="1"/>
  <c r="F1831" i="12"/>
  <c r="E1831" i="12"/>
  <c r="EQ129" i="5"/>
  <c r="BF134" i="5"/>
  <c r="BC134" i="5"/>
  <c r="AR130" i="2"/>
  <c r="BB129" i="2"/>
  <c r="D174" i="2"/>
  <c r="E174" i="2" s="1"/>
  <c r="AR135" i="5"/>
  <c r="C170" i="5" s="1"/>
  <c r="D1833" i="12" l="1"/>
  <c r="F1832" i="12"/>
  <c r="E1832" i="12"/>
  <c r="EQ130" i="5"/>
  <c r="BF135" i="5"/>
  <c r="BC135" i="5"/>
  <c r="AR131" i="2"/>
  <c r="BB130" i="2"/>
  <c r="D175" i="2"/>
  <c r="E175" i="2" s="1"/>
  <c r="AR136" i="5"/>
  <c r="C171" i="5" s="1"/>
  <c r="D1834" i="12" l="1"/>
  <c r="E1833" i="12"/>
  <c r="F1833" i="12"/>
  <c r="EQ131" i="5"/>
  <c r="BF136" i="5"/>
  <c r="BC136" i="5"/>
  <c r="AR132" i="2"/>
  <c r="BB131" i="2"/>
  <c r="D176" i="2"/>
  <c r="E176" i="2" s="1"/>
  <c r="AR137" i="5"/>
  <c r="C172" i="5" s="1"/>
  <c r="D1835" i="12" l="1"/>
  <c r="E1834" i="12"/>
  <c r="F1834" i="12"/>
  <c r="EQ132" i="5"/>
  <c r="BF137" i="5"/>
  <c r="BC137" i="5"/>
  <c r="AR133" i="2"/>
  <c r="BB132" i="2"/>
  <c r="D177" i="2"/>
  <c r="E177" i="2" s="1"/>
  <c r="AR138" i="5"/>
  <c r="C173" i="5" s="1"/>
  <c r="D1836" i="12" l="1"/>
  <c r="E1835" i="12"/>
  <c r="F1835" i="12"/>
  <c r="EQ133" i="5"/>
  <c r="BF138" i="5"/>
  <c r="BC138" i="5"/>
  <c r="AR134" i="2"/>
  <c r="BB133" i="2"/>
  <c r="D178" i="2"/>
  <c r="E178" i="2" s="1"/>
  <c r="AR139" i="5"/>
  <c r="C174" i="5" s="1"/>
  <c r="D1837" i="12" l="1"/>
  <c r="E1836" i="12"/>
  <c r="F1836" i="12"/>
  <c r="EQ134" i="5"/>
  <c r="BF139" i="5"/>
  <c r="BC139" i="5"/>
  <c r="AR135" i="2"/>
  <c r="BB134" i="2"/>
  <c r="D179" i="2"/>
  <c r="E179" i="2" s="1"/>
  <c r="AR140" i="5"/>
  <c r="C175" i="5" s="1"/>
  <c r="D1838" i="12" l="1"/>
  <c r="F1837" i="12"/>
  <c r="E1837" i="12"/>
  <c r="EQ135" i="5"/>
  <c r="BF140" i="5"/>
  <c r="BC140" i="5"/>
  <c r="AR136" i="2"/>
  <c r="BB135" i="2"/>
  <c r="D180" i="2"/>
  <c r="E180" i="2" s="1"/>
  <c r="AR141" i="5"/>
  <c r="C176" i="5" s="1"/>
  <c r="D1839" i="12" l="1"/>
  <c r="E1838" i="12"/>
  <c r="F1838" i="12"/>
  <c r="EQ136" i="5"/>
  <c r="BF141" i="5"/>
  <c r="BC141" i="5"/>
  <c r="AR137" i="2"/>
  <c r="BB136" i="2"/>
  <c r="D181" i="2"/>
  <c r="E181" i="2" s="1"/>
  <c r="AR142" i="5"/>
  <c r="C177" i="5" s="1"/>
  <c r="D1840" i="12" l="1"/>
  <c r="F1839" i="12"/>
  <c r="E1839" i="12"/>
  <c r="EQ137" i="5"/>
  <c r="BF142" i="5"/>
  <c r="BC142" i="5"/>
  <c r="AR138" i="2"/>
  <c r="BB137" i="2"/>
  <c r="D182" i="2"/>
  <c r="AR143" i="5"/>
  <c r="C178" i="5" s="1"/>
  <c r="D1841" i="12" l="1"/>
  <c r="F1840" i="12"/>
  <c r="E1840" i="12"/>
  <c r="EQ138" i="5"/>
  <c r="BF143" i="5"/>
  <c r="BC143" i="5"/>
  <c r="AR139" i="2"/>
  <c r="BB138" i="2"/>
  <c r="D183" i="2"/>
  <c r="AR144" i="5"/>
  <c r="C179" i="5" s="1"/>
  <c r="D1842" i="12" l="1"/>
  <c r="E1841" i="12"/>
  <c r="F1841" i="12"/>
  <c r="EQ139" i="5"/>
  <c r="BF144" i="5"/>
  <c r="BC144" i="5"/>
  <c r="AR140" i="2"/>
  <c r="BB139" i="2"/>
  <c r="D184" i="2"/>
  <c r="AR145" i="5"/>
  <c r="C180" i="5" s="1"/>
  <c r="D1843" i="12" l="1"/>
  <c r="E1842" i="12"/>
  <c r="F1842" i="12"/>
  <c r="EQ140" i="5"/>
  <c r="BF145" i="5"/>
  <c r="BC145" i="5"/>
  <c r="AR141" i="2"/>
  <c r="BB140" i="2"/>
  <c r="D185" i="2"/>
  <c r="AR146" i="5"/>
  <c r="C181" i="5" s="1"/>
  <c r="D1844" i="12" l="1"/>
  <c r="F1843" i="12"/>
  <c r="E1843" i="12"/>
  <c r="EQ141" i="5"/>
  <c r="BF146" i="5"/>
  <c r="BC146" i="5"/>
  <c r="AR142" i="2"/>
  <c r="BB141" i="2"/>
  <c r="D186" i="2"/>
  <c r="AR147" i="5"/>
  <c r="C182" i="5" s="1"/>
  <c r="D1845" i="12" l="1"/>
  <c r="F1844" i="12"/>
  <c r="E1844" i="12"/>
  <c r="EQ142" i="5"/>
  <c r="BF147" i="5"/>
  <c r="BC147" i="5"/>
  <c r="AR143" i="2"/>
  <c r="BB142" i="2"/>
  <c r="D187" i="2"/>
  <c r="AR148" i="5"/>
  <c r="C183" i="5" s="1"/>
  <c r="D1846" i="12" l="1"/>
  <c r="E1845" i="12"/>
  <c r="F1845" i="12"/>
  <c r="EQ143" i="5"/>
  <c r="BF148" i="5"/>
  <c r="BC148" i="5"/>
  <c r="AR144" i="2"/>
  <c r="BB143" i="2"/>
  <c r="D188" i="2"/>
  <c r="AR149" i="5"/>
  <c r="C184" i="5" s="1"/>
  <c r="D1847" i="12" l="1"/>
  <c r="E1846" i="12"/>
  <c r="F1846" i="12"/>
  <c r="EQ144" i="5"/>
  <c r="BF149" i="5"/>
  <c r="BC149" i="5"/>
  <c r="AR145" i="2"/>
  <c r="BB144" i="2"/>
  <c r="D189" i="2"/>
  <c r="AR150" i="5"/>
  <c r="C185" i="5" s="1"/>
  <c r="D1848" i="12" l="1"/>
  <c r="F1847" i="12"/>
  <c r="E1847" i="12"/>
  <c r="EQ145" i="5"/>
  <c r="BF150" i="5"/>
  <c r="BC150" i="5"/>
  <c r="AR146" i="2"/>
  <c r="BB145" i="2"/>
  <c r="D190" i="2"/>
  <c r="AR151" i="5"/>
  <c r="C186" i="5" s="1"/>
  <c r="D1849" i="12" l="1"/>
  <c r="E1848" i="12"/>
  <c r="F1848" i="12"/>
  <c r="EQ146" i="5"/>
  <c r="BF151" i="5"/>
  <c r="BC151" i="5"/>
  <c r="AR147" i="2"/>
  <c r="BB146" i="2"/>
  <c r="D191" i="2"/>
  <c r="AR152" i="5"/>
  <c r="C187" i="5" s="1"/>
  <c r="D1850" i="12" l="1"/>
  <c r="F1849" i="12"/>
  <c r="E1849" i="12"/>
  <c r="EQ147" i="5"/>
  <c r="BF152" i="5"/>
  <c r="BC152" i="5"/>
  <c r="AR148" i="2"/>
  <c r="BB147" i="2"/>
  <c r="D192" i="2"/>
  <c r="AR153" i="5"/>
  <c r="C188" i="5" s="1"/>
  <c r="D1851" i="12" l="1"/>
  <c r="E1850" i="12"/>
  <c r="F1850" i="12"/>
  <c r="EQ148" i="5"/>
  <c r="BF153" i="5"/>
  <c r="BC153" i="5"/>
  <c r="AR149" i="2"/>
  <c r="BB148" i="2"/>
  <c r="D193" i="2"/>
  <c r="AR154" i="5"/>
  <c r="C189" i="5" s="1"/>
  <c r="D1852" i="12" l="1"/>
  <c r="F1851" i="12"/>
  <c r="E1851" i="12"/>
  <c r="EQ149" i="5"/>
  <c r="BF154" i="5"/>
  <c r="BC154" i="5"/>
  <c r="AR150" i="2"/>
  <c r="BB149" i="2"/>
  <c r="D194" i="2"/>
  <c r="AR155" i="5"/>
  <c r="C190" i="5" s="1"/>
  <c r="D1853" i="12" l="1"/>
  <c r="E1852" i="12"/>
  <c r="F1852" i="12"/>
  <c r="EQ150" i="5"/>
  <c r="BF155" i="5"/>
  <c r="BC155" i="5"/>
  <c r="AR151" i="2"/>
  <c r="BB150" i="2"/>
  <c r="D195" i="2"/>
  <c r="AR156" i="5"/>
  <c r="C191" i="5" s="1"/>
  <c r="D1854" i="12" l="1"/>
  <c r="E1853" i="12"/>
  <c r="F1853" i="12"/>
  <c r="EQ151" i="5"/>
  <c r="BF156" i="5"/>
  <c r="BC156" i="5"/>
  <c r="AR152" i="2"/>
  <c r="BB151" i="2"/>
  <c r="D196" i="2"/>
  <c r="AR157" i="5"/>
  <c r="C192" i="5" s="1"/>
  <c r="D1855" i="12" l="1"/>
  <c r="E1854" i="12"/>
  <c r="F1854" i="12"/>
  <c r="EQ152" i="5"/>
  <c r="BF157" i="5"/>
  <c r="BC157" i="5"/>
  <c r="AR153" i="2"/>
  <c r="BB152" i="2"/>
  <c r="D197" i="2"/>
  <c r="AR158" i="5"/>
  <c r="C193" i="5" s="1"/>
  <c r="D1856" i="12" l="1"/>
  <c r="F1855" i="12"/>
  <c r="E1855" i="12"/>
  <c r="EQ153" i="5"/>
  <c r="BF158" i="5"/>
  <c r="BC158" i="5"/>
  <c r="AR154" i="2"/>
  <c r="BB153" i="2"/>
  <c r="D198" i="2"/>
  <c r="AR159" i="5"/>
  <c r="C194" i="5" s="1"/>
  <c r="D1857" i="12" l="1"/>
  <c r="E1856" i="12"/>
  <c r="F1856" i="12"/>
  <c r="EQ154" i="5"/>
  <c r="BF159" i="5"/>
  <c r="BC159" i="5"/>
  <c r="AR155" i="2"/>
  <c r="BB154" i="2"/>
  <c r="D199" i="2"/>
  <c r="AR160" i="5"/>
  <c r="C195" i="5" s="1"/>
  <c r="D1858" i="12" l="1"/>
  <c r="F1857" i="12"/>
  <c r="E1857" i="12"/>
  <c r="EQ155" i="5"/>
  <c r="BF160" i="5"/>
  <c r="BC160" i="5"/>
  <c r="AR156" i="2"/>
  <c r="BB155" i="2"/>
  <c r="D200" i="2"/>
  <c r="AR161" i="5"/>
  <c r="C196" i="5" s="1"/>
  <c r="D1859" i="12" l="1"/>
  <c r="F1858" i="12"/>
  <c r="E1858" i="12"/>
  <c r="EQ156" i="5"/>
  <c r="BF161" i="5"/>
  <c r="BC161" i="5"/>
  <c r="AR157" i="2"/>
  <c r="BB156" i="2"/>
  <c r="D201" i="2"/>
  <c r="AR162" i="5"/>
  <c r="C197" i="5" s="1"/>
  <c r="D1860" i="12" l="1"/>
  <c r="E1859" i="12"/>
  <c r="F1859" i="12"/>
  <c r="EQ157" i="5"/>
  <c r="BF162" i="5"/>
  <c r="BC162" i="5"/>
  <c r="AR158" i="2"/>
  <c r="BB157" i="2"/>
  <c r="D202" i="2"/>
  <c r="AR163" i="5"/>
  <c r="C198" i="5" s="1"/>
  <c r="D1861" i="12" l="1"/>
  <c r="E1860" i="12"/>
  <c r="F1860" i="12"/>
  <c r="EQ158" i="5"/>
  <c r="BF163" i="5"/>
  <c r="BC163" i="5"/>
  <c r="AR159" i="2"/>
  <c r="BB158" i="2"/>
  <c r="D203" i="2"/>
  <c r="AR164" i="5"/>
  <c r="C199" i="5" s="1"/>
  <c r="D1862" i="12" l="1"/>
  <c r="F1861" i="12"/>
  <c r="E1861" i="12"/>
  <c r="EQ159" i="5"/>
  <c r="BF164" i="5"/>
  <c r="BC164" i="5"/>
  <c r="AR160" i="2"/>
  <c r="BB159" i="2"/>
  <c r="D204" i="2"/>
  <c r="AR165" i="5"/>
  <c r="C200" i="5" s="1"/>
  <c r="D1863" i="12" l="1"/>
  <c r="E1862" i="12"/>
  <c r="F1862" i="12"/>
  <c r="EQ160" i="5"/>
  <c r="BF165" i="5"/>
  <c r="BC165" i="5"/>
  <c r="AR161" i="2"/>
  <c r="BB160" i="2"/>
  <c r="D205" i="2"/>
  <c r="AR166" i="5"/>
  <c r="C201" i="5" s="1"/>
  <c r="D1864" i="12" l="1"/>
  <c r="E1863" i="12"/>
  <c r="F1863" i="12"/>
  <c r="EQ161" i="5"/>
  <c r="BF166" i="5"/>
  <c r="BC166" i="5"/>
  <c r="AR162" i="2"/>
  <c r="AR163" i="2" s="1"/>
  <c r="BB161" i="2"/>
  <c r="AR167" i="5"/>
  <c r="C202" i="5" s="1"/>
  <c r="D1865" i="12" l="1"/>
  <c r="F1864" i="12"/>
  <c r="E1864" i="12"/>
  <c r="EQ162" i="5"/>
  <c r="BF167" i="5"/>
  <c r="AR168" i="5"/>
  <c r="BC167" i="5"/>
  <c r="AR164" i="2"/>
  <c r="BB163" i="2"/>
  <c r="BB162" i="2"/>
  <c r="BP163" i="2"/>
  <c r="BK163" i="2"/>
  <c r="BM163" i="2"/>
  <c r="BT163" i="2"/>
  <c r="BG163" i="2"/>
  <c r="BL163" i="2"/>
  <c r="BO163" i="2"/>
  <c r="BN163" i="2"/>
  <c r="BD163" i="2"/>
  <c r="BI163" i="2"/>
  <c r="BS163" i="2"/>
  <c r="BQ163" i="2"/>
  <c r="BH163" i="2"/>
  <c r="BR163" i="2"/>
  <c r="BE163" i="2"/>
  <c r="BJ163" i="2"/>
  <c r="BF163" i="2"/>
  <c r="BF168" i="5" l="1"/>
  <c r="D1866" i="12"/>
  <c r="F1865" i="12"/>
  <c r="E1865" i="12"/>
  <c r="BD164" i="2"/>
  <c r="E19" i="2" s="1"/>
  <c r="E12" i="2" s="1"/>
  <c r="BH164" i="2"/>
  <c r="I19" i="2" s="1"/>
  <c r="BH165" i="2"/>
  <c r="BG164" i="2"/>
  <c r="H19" i="2" s="1"/>
  <c r="BG165" i="2"/>
  <c r="BP164" i="2"/>
  <c r="Q19" i="2" s="1"/>
  <c r="BP165" i="2"/>
  <c r="BF164" i="2"/>
  <c r="G19" i="2" s="1"/>
  <c r="BF165" i="2"/>
  <c r="BJ164" i="2"/>
  <c r="K19" i="2" s="1"/>
  <c r="BJ165" i="2"/>
  <c r="BQ164" i="2"/>
  <c r="R19" i="2" s="1"/>
  <c r="BQ165" i="2"/>
  <c r="BN164" i="2"/>
  <c r="O19" i="2" s="1"/>
  <c r="BN165" i="2"/>
  <c r="BT164" i="2"/>
  <c r="U19" i="2" s="1"/>
  <c r="BT165" i="2"/>
  <c r="BE164" i="2"/>
  <c r="F19" i="2" s="1"/>
  <c r="BE165" i="2"/>
  <c r="BS164" i="2"/>
  <c r="T19" i="2" s="1"/>
  <c r="BS165" i="2"/>
  <c r="BO164" i="2"/>
  <c r="P19" i="2" s="1"/>
  <c r="BO165" i="2"/>
  <c r="BM164" i="2"/>
  <c r="N19" i="2" s="1"/>
  <c r="BM165" i="2"/>
  <c r="BR164" i="2"/>
  <c r="S19" i="2" s="1"/>
  <c r="BR165" i="2"/>
  <c r="BI164" i="2"/>
  <c r="J19" i="2" s="1"/>
  <c r="BI165" i="2"/>
  <c r="BL164" i="2"/>
  <c r="M19" i="2" s="1"/>
  <c r="BL165" i="2"/>
  <c r="BK164" i="2"/>
  <c r="L19" i="2" s="1"/>
  <c r="BK165" i="2"/>
  <c r="BD165" i="2"/>
  <c r="BC168" i="5"/>
  <c r="EQ163" i="5"/>
  <c r="AR169" i="5"/>
  <c r="BB164" i="2"/>
  <c r="AR165" i="2"/>
  <c r="BF10" i="5"/>
  <c r="I50" i="5" s="1"/>
  <c r="I43" i="5" l="1"/>
  <c r="I45" i="5"/>
  <c r="I46" i="5"/>
  <c r="I47" i="5"/>
  <c r="I48" i="5"/>
  <c r="I49" i="5"/>
  <c r="I44" i="5"/>
  <c r="I41" i="5"/>
  <c r="I38" i="5"/>
  <c r="I42" i="5"/>
  <c r="I39" i="5"/>
  <c r="I40" i="5"/>
  <c r="I37" i="5"/>
  <c r="I36" i="5"/>
  <c r="I35" i="5"/>
  <c r="BF169" i="5"/>
  <c r="K12" i="2"/>
  <c r="S12" i="2"/>
  <c r="Q12" i="2"/>
  <c r="I12" i="2"/>
  <c r="G12" i="2"/>
  <c r="H12" i="2"/>
  <c r="L12" i="2"/>
  <c r="P12" i="2"/>
  <c r="F12" i="2"/>
  <c r="B34" i="2" s="1"/>
  <c r="O12" i="2"/>
  <c r="M12" i="2"/>
  <c r="T12" i="2"/>
  <c r="U12" i="2"/>
  <c r="R12" i="2"/>
  <c r="J12" i="2"/>
  <c r="D1867" i="12"/>
  <c r="E1866" i="12"/>
  <c r="F1866" i="12"/>
  <c r="N12" i="2"/>
  <c r="BD166" i="2"/>
  <c r="BD194" i="2" s="1"/>
  <c r="BB165" i="2"/>
  <c r="BB194" i="2" s="1"/>
  <c r="AR194" i="2"/>
  <c r="G127" i="2"/>
  <c r="G128" i="2"/>
  <c r="BK166" i="2"/>
  <c r="BK194" i="2" s="1"/>
  <c r="BI166" i="2"/>
  <c r="BI194" i="2" s="1"/>
  <c r="BM166" i="2"/>
  <c r="BM194" i="2" s="1"/>
  <c r="BS166" i="2"/>
  <c r="BS194" i="2" s="1"/>
  <c r="BF166" i="2"/>
  <c r="BF194" i="2" s="1"/>
  <c r="BG166" i="2"/>
  <c r="BG194" i="2" s="1"/>
  <c r="BL166" i="2"/>
  <c r="BL194" i="2" s="1"/>
  <c r="BR166" i="2"/>
  <c r="BR194" i="2" s="1"/>
  <c r="BO166" i="2"/>
  <c r="BO194" i="2" s="1"/>
  <c r="BE166" i="2"/>
  <c r="BE194" i="2" s="1"/>
  <c r="BN166" i="2"/>
  <c r="BN194" i="2" s="1"/>
  <c r="BJ166" i="2"/>
  <c r="BJ194" i="2" s="1"/>
  <c r="BP166" i="2"/>
  <c r="BP194" i="2" s="1"/>
  <c r="BH166" i="2"/>
  <c r="BH194" i="2" s="1"/>
  <c r="BT166" i="2"/>
  <c r="BT194" i="2" s="1"/>
  <c r="G62" i="2"/>
  <c r="F62" i="2"/>
  <c r="E62" i="2"/>
  <c r="G63" i="2"/>
  <c r="E63" i="2"/>
  <c r="F63" i="2"/>
  <c r="F64" i="2"/>
  <c r="G64" i="2"/>
  <c r="E64" i="2"/>
  <c r="F65" i="2"/>
  <c r="G65" i="2"/>
  <c r="E65" i="2"/>
  <c r="F66" i="2"/>
  <c r="G66" i="2"/>
  <c r="E66" i="2"/>
  <c r="F67" i="2"/>
  <c r="G67" i="2"/>
  <c r="E67" i="2"/>
  <c r="F68" i="2"/>
  <c r="G68" i="2"/>
  <c r="E68" i="2"/>
  <c r="F69" i="2"/>
  <c r="G69" i="2"/>
  <c r="E69" i="2"/>
  <c r="F70" i="2"/>
  <c r="G70" i="2"/>
  <c r="E70" i="2"/>
  <c r="F71" i="2"/>
  <c r="G71" i="2"/>
  <c r="E71" i="2"/>
  <c r="F72" i="2"/>
  <c r="G72" i="2"/>
  <c r="E72" i="2"/>
  <c r="F73" i="2"/>
  <c r="G73" i="2"/>
  <c r="E73" i="2"/>
  <c r="F74" i="2"/>
  <c r="G74" i="2"/>
  <c r="E74" i="2"/>
  <c r="F75" i="2"/>
  <c r="G75" i="2"/>
  <c r="E75" i="2"/>
  <c r="F76" i="2"/>
  <c r="G76" i="2"/>
  <c r="E76" i="2"/>
  <c r="F77" i="2"/>
  <c r="G77" i="2"/>
  <c r="E77" i="2"/>
  <c r="F78" i="2"/>
  <c r="G78" i="2"/>
  <c r="E78" i="2"/>
  <c r="F79" i="2"/>
  <c r="G79" i="2"/>
  <c r="E79" i="2"/>
  <c r="F80" i="2"/>
  <c r="G80" i="2"/>
  <c r="E80" i="2"/>
  <c r="F81" i="2"/>
  <c r="G81" i="2"/>
  <c r="E81" i="2"/>
  <c r="F82" i="2"/>
  <c r="G82" i="2"/>
  <c r="E82" i="2"/>
  <c r="F83" i="2"/>
  <c r="G83" i="2"/>
  <c r="E83" i="2"/>
  <c r="F84" i="2"/>
  <c r="G84" i="2"/>
  <c r="E84" i="2"/>
  <c r="F85" i="2"/>
  <c r="G85" i="2"/>
  <c r="E85" i="2"/>
  <c r="F86" i="2"/>
  <c r="G86" i="2"/>
  <c r="E86" i="2"/>
  <c r="F87" i="2"/>
  <c r="G87" i="2"/>
  <c r="E87" i="2"/>
  <c r="F88" i="2"/>
  <c r="G88" i="2"/>
  <c r="E88" i="2"/>
  <c r="F89" i="2"/>
  <c r="G89" i="2"/>
  <c r="E89" i="2"/>
  <c r="F90" i="2"/>
  <c r="G90" i="2"/>
  <c r="E90" i="2"/>
  <c r="F91" i="2"/>
  <c r="G91" i="2"/>
  <c r="E91" i="2"/>
  <c r="F92" i="2"/>
  <c r="G92" i="2"/>
  <c r="E92" i="2"/>
  <c r="F93" i="2"/>
  <c r="G93" i="2"/>
  <c r="E93" i="2"/>
  <c r="F94" i="2"/>
  <c r="G94" i="2"/>
  <c r="E94" i="2"/>
  <c r="F95" i="2"/>
  <c r="G95" i="2"/>
  <c r="E95" i="2"/>
  <c r="F96" i="2"/>
  <c r="G96" i="2"/>
  <c r="E96" i="2"/>
  <c r="F97" i="2"/>
  <c r="G97" i="2"/>
  <c r="E97" i="2"/>
  <c r="F98" i="2"/>
  <c r="G98" i="2"/>
  <c r="E98" i="2"/>
  <c r="F99" i="2"/>
  <c r="G99" i="2"/>
  <c r="E99" i="2"/>
  <c r="F100" i="2"/>
  <c r="G100" i="2"/>
  <c r="E100" i="2"/>
  <c r="F101" i="2"/>
  <c r="G101" i="2"/>
  <c r="E101" i="2"/>
  <c r="F102" i="2"/>
  <c r="G102" i="2"/>
  <c r="E102" i="2"/>
  <c r="F103" i="2"/>
  <c r="G103" i="2"/>
  <c r="E103" i="2"/>
  <c r="F104" i="2"/>
  <c r="G104" i="2"/>
  <c r="E104" i="2"/>
  <c r="F105" i="2"/>
  <c r="E105" i="2"/>
  <c r="G105" i="2"/>
  <c r="F106" i="2"/>
  <c r="G106" i="2"/>
  <c r="E106" i="2"/>
  <c r="F107" i="2"/>
  <c r="G107" i="2"/>
  <c r="E107" i="2"/>
  <c r="F108" i="2"/>
  <c r="G108" i="2"/>
  <c r="E108" i="2"/>
  <c r="F109" i="2"/>
  <c r="G109" i="2"/>
  <c r="E109" i="2"/>
  <c r="F110" i="2"/>
  <c r="G110" i="2"/>
  <c r="E110" i="2"/>
  <c r="F111" i="2"/>
  <c r="G111" i="2"/>
  <c r="E111" i="2"/>
  <c r="F112" i="2"/>
  <c r="E112" i="2"/>
  <c r="G112" i="2"/>
  <c r="F113" i="2"/>
  <c r="E113" i="2"/>
  <c r="G113" i="2"/>
  <c r="F114" i="2"/>
  <c r="G114" i="2"/>
  <c r="E114" i="2"/>
  <c r="F115" i="2"/>
  <c r="G115" i="2"/>
  <c r="E115" i="2"/>
  <c r="F116" i="2"/>
  <c r="G116" i="2"/>
  <c r="E116" i="2"/>
  <c r="F117" i="2"/>
  <c r="G117" i="2"/>
  <c r="E117" i="2"/>
  <c r="F118" i="2"/>
  <c r="G118" i="2"/>
  <c r="E118" i="2"/>
  <c r="F119" i="2"/>
  <c r="G119" i="2"/>
  <c r="E119" i="2"/>
  <c r="F120" i="2"/>
  <c r="G120" i="2"/>
  <c r="E120" i="2"/>
  <c r="G121" i="2"/>
  <c r="E121" i="2"/>
  <c r="F121" i="2"/>
  <c r="F122" i="2"/>
  <c r="E122" i="2"/>
  <c r="G122" i="2"/>
  <c r="F123" i="2"/>
  <c r="E123" i="2"/>
  <c r="G123" i="2"/>
  <c r="F124" i="2"/>
  <c r="E124" i="2"/>
  <c r="G124" i="2"/>
  <c r="G125" i="2"/>
  <c r="E125" i="2"/>
  <c r="F125" i="2"/>
  <c r="F126" i="2"/>
  <c r="G126" i="2"/>
  <c r="E126" i="2"/>
  <c r="F127" i="2"/>
  <c r="E127" i="2"/>
  <c r="F128" i="2"/>
  <c r="E128" i="2"/>
  <c r="F129" i="2"/>
  <c r="E129" i="2"/>
  <c r="F130" i="2"/>
  <c r="E130" i="2"/>
  <c r="F131" i="2"/>
  <c r="E131" i="2"/>
  <c r="F132" i="2"/>
  <c r="E132" i="2"/>
  <c r="F133" i="2"/>
  <c r="E133" i="2"/>
  <c r="BQ166" i="2"/>
  <c r="BQ194" i="2" s="1"/>
  <c r="O20" i="2"/>
  <c r="K20" i="2"/>
  <c r="Q20" i="2"/>
  <c r="L20" i="2"/>
  <c r="J20" i="2"/>
  <c r="I20" i="2"/>
  <c r="P20" i="2"/>
  <c r="U20" i="2"/>
  <c r="R20" i="2"/>
  <c r="H20" i="2"/>
  <c r="M20" i="2"/>
  <c r="S20" i="2"/>
  <c r="N20" i="2"/>
  <c r="T20" i="2"/>
  <c r="AR170" i="5"/>
  <c r="EQ164" i="5"/>
  <c r="BC169" i="5"/>
  <c r="BA16" i="5"/>
  <c r="L8" i="5" s="1"/>
  <c r="AW16" i="5"/>
  <c r="AW8" i="5"/>
  <c r="AB94" i="2" l="1"/>
  <c r="AB96" i="2"/>
  <c r="AB98" i="2"/>
  <c r="AB100" i="2"/>
  <c r="AB102" i="2"/>
  <c r="AB104" i="2"/>
  <c r="AB106" i="2"/>
  <c r="AB108" i="2"/>
  <c r="AB95" i="2"/>
  <c r="AB97" i="2"/>
  <c r="AB99" i="2"/>
  <c r="AB103" i="2"/>
  <c r="AB107" i="2"/>
  <c r="AB93" i="2"/>
  <c r="AB101" i="2"/>
  <c r="AB105" i="2"/>
  <c r="AD85" i="2"/>
  <c r="AD84" i="2"/>
  <c r="AD86" i="2"/>
  <c r="AO81" i="2"/>
  <c r="AO82" i="2"/>
  <c r="AO83" i="2"/>
  <c r="AN81" i="2"/>
  <c r="AN83" i="2"/>
  <c r="AN82" i="2"/>
  <c r="AM81" i="2"/>
  <c r="AM83" i="2"/>
  <c r="AM82" i="2"/>
  <c r="AL81" i="2"/>
  <c r="AL82" i="2"/>
  <c r="AL83" i="2"/>
  <c r="AK81" i="2"/>
  <c r="AK82" i="2"/>
  <c r="AK83" i="2"/>
  <c r="AJ81" i="2"/>
  <c r="AJ83" i="2"/>
  <c r="AJ82" i="2"/>
  <c r="AI81" i="2"/>
  <c r="AI83" i="2"/>
  <c r="AI82" i="2"/>
  <c r="AH81" i="2"/>
  <c r="AH82" i="2"/>
  <c r="AH83" i="2"/>
  <c r="AG81" i="2"/>
  <c r="AG82" i="2"/>
  <c r="AG83" i="2"/>
  <c r="AF81" i="2"/>
  <c r="AF83" i="2"/>
  <c r="AF82" i="2"/>
  <c r="AE81" i="2"/>
  <c r="AE82" i="2"/>
  <c r="AE83" i="2"/>
  <c r="AD81" i="2"/>
  <c r="AD82" i="2"/>
  <c r="AD83" i="2"/>
  <c r="AC81" i="2"/>
  <c r="AC82" i="2"/>
  <c r="AC83" i="2"/>
  <c r="AM20" i="2"/>
  <c r="AM24" i="2"/>
  <c r="AM28" i="2"/>
  <c r="AM32" i="2"/>
  <c r="AM36" i="2"/>
  <c r="AM40" i="2"/>
  <c r="AM44" i="2"/>
  <c r="AM21" i="2"/>
  <c r="AM25" i="2"/>
  <c r="AM29" i="2"/>
  <c r="AM33" i="2"/>
  <c r="AM37" i="2"/>
  <c r="AM41" i="2"/>
  <c r="AM45" i="2"/>
  <c r="AM22" i="2"/>
  <c r="AM26" i="2"/>
  <c r="AM30" i="2"/>
  <c r="AM34" i="2"/>
  <c r="AM38" i="2"/>
  <c r="AM42" i="2"/>
  <c r="AM31" i="2"/>
  <c r="AM47" i="2"/>
  <c r="AM51" i="2"/>
  <c r="AM55" i="2"/>
  <c r="AM59" i="2"/>
  <c r="AM63" i="2"/>
  <c r="AM35" i="2"/>
  <c r="AM48" i="2"/>
  <c r="AM52" i="2"/>
  <c r="AM56" i="2"/>
  <c r="AM60" i="2"/>
  <c r="AM64" i="2"/>
  <c r="AM68" i="2"/>
  <c r="AM72" i="2"/>
  <c r="AM76" i="2"/>
  <c r="AM80" i="2"/>
  <c r="AM19" i="2"/>
  <c r="AM23" i="2"/>
  <c r="AM39" i="2"/>
  <c r="AM49" i="2"/>
  <c r="AM53" i="2"/>
  <c r="AM57" i="2"/>
  <c r="AM61" i="2"/>
  <c r="AM65" i="2"/>
  <c r="AM69" i="2"/>
  <c r="AM73" i="2"/>
  <c r="AM77" i="2"/>
  <c r="AM27" i="2"/>
  <c r="AM43" i="2"/>
  <c r="AM46" i="2"/>
  <c r="AM58" i="2"/>
  <c r="AM66" i="2"/>
  <c r="AM74" i="2"/>
  <c r="AM62" i="2"/>
  <c r="AM71" i="2"/>
  <c r="AM79" i="2"/>
  <c r="AM50" i="2"/>
  <c r="AM70" i="2"/>
  <c r="AM78" i="2"/>
  <c r="AM54" i="2"/>
  <c r="AM67" i="2"/>
  <c r="AM75" i="2"/>
  <c r="AO22" i="2"/>
  <c r="AO26" i="2"/>
  <c r="AO30" i="2"/>
  <c r="AO34" i="2"/>
  <c r="AO38" i="2"/>
  <c r="AO42" i="2"/>
  <c r="AO23" i="2"/>
  <c r="AO27" i="2"/>
  <c r="AO31" i="2"/>
  <c r="AO35" i="2"/>
  <c r="AO39" i="2"/>
  <c r="AO43" i="2"/>
  <c r="AO20" i="2"/>
  <c r="AO24" i="2"/>
  <c r="AO28" i="2"/>
  <c r="AO32" i="2"/>
  <c r="AO36" i="2"/>
  <c r="AO40" i="2"/>
  <c r="AO44" i="2"/>
  <c r="AO21" i="2"/>
  <c r="AO37" i="2"/>
  <c r="AO49" i="2"/>
  <c r="AO53" i="2"/>
  <c r="AO57" i="2"/>
  <c r="AO61" i="2"/>
  <c r="AO65" i="2"/>
  <c r="AO25" i="2"/>
  <c r="AO41" i="2"/>
  <c r="AO46" i="2"/>
  <c r="AO50" i="2"/>
  <c r="AO54" i="2"/>
  <c r="AO58" i="2"/>
  <c r="AO62" i="2"/>
  <c r="AO66" i="2"/>
  <c r="AO70" i="2"/>
  <c r="AO74" i="2"/>
  <c r="AO78" i="2"/>
  <c r="AO29" i="2"/>
  <c r="AO45" i="2"/>
  <c r="AO47" i="2"/>
  <c r="AO51" i="2"/>
  <c r="AO55" i="2"/>
  <c r="AO59" i="2"/>
  <c r="AO63" i="2"/>
  <c r="AO67" i="2"/>
  <c r="AO71" i="2"/>
  <c r="AO75" i="2"/>
  <c r="AO79" i="2"/>
  <c r="AO33" i="2"/>
  <c r="AO48" i="2"/>
  <c r="AO64" i="2"/>
  <c r="AO72" i="2"/>
  <c r="AO80" i="2"/>
  <c r="AO52" i="2"/>
  <c r="AO69" i="2"/>
  <c r="AO77" i="2"/>
  <c r="AO56" i="2"/>
  <c r="AO68" i="2"/>
  <c r="AO76" i="2"/>
  <c r="AO19" i="2"/>
  <c r="AO60" i="2"/>
  <c r="AO73" i="2"/>
  <c r="AF23" i="2"/>
  <c r="AF27" i="2"/>
  <c r="AF31" i="2"/>
  <c r="AF35" i="2"/>
  <c r="AF39" i="2"/>
  <c r="AF43" i="2"/>
  <c r="AF20" i="2"/>
  <c r="AF24" i="2"/>
  <c r="AF28" i="2"/>
  <c r="AF32" i="2"/>
  <c r="AF36" i="2"/>
  <c r="AF40" i="2"/>
  <c r="AF44" i="2"/>
  <c r="AF21" i="2"/>
  <c r="AF25" i="2"/>
  <c r="AF29" i="2"/>
  <c r="AF33" i="2"/>
  <c r="AF37" i="2"/>
  <c r="AF41" i="2"/>
  <c r="AF45" i="2"/>
  <c r="AF34" i="2"/>
  <c r="AF46" i="2"/>
  <c r="AF50" i="2"/>
  <c r="AF54" i="2"/>
  <c r="AF58" i="2"/>
  <c r="AF62" i="2"/>
  <c r="AF22" i="2"/>
  <c r="AF38" i="2"/>
  <c r="AF47" i="2"/>
  <c r="AF51" i="2"/>
  <c r="AF55" i="2"/>
  <c r="AF59" i="2"/>
  <c r="AF63" i="2"/>
  <c r="AF67" i="2"/>
  <c r="AF71" i="2"/>
  <c r="AF75" i="2"/>
  <c r="AF79" i="2"/>
  <c r="AF26" i="2"/>
  <c r="AF42" i="2"/>
  <c r="AF48" i="2"/>
  <c r="AF52" i="2"/>
  <c r="AF56" i="2"/>
  <c r="AF60" i="2"/>
  <c r="AF64" i="2"/>
  <c r="AF68" i="2"/>
  <c r="AF72" i="2"/>
  <c r="AF76" i="2"/>
  <c r="AF80" i="2"/>
  <c r="AF19" i="2"/>
  <c r="AF30" i="2"/>
  <c r="AF49" i="2"/>
  <c r="AF61" i="2"/>
  <c r="AF69" i="2"/>
  <c r="AF77" i="2"/>
  <c r="AF65" i="2"/>
  <c r="AF66" i="2"/>
  <c r="AF74" i="2"/>
  <c r="AF53" i="2"/>
  <c r="AF73" i="2"/>
  <c r="AF57" i="2"/>
  <c r="AF70" i="2"/>
  <c r="AF78" i="2"/>
  <c r="AG22" i="2"/>
  <c r="AG26" i="2"/>
  <c r="AG30" i="2"/>
  <c r="AG34" i="2"/>
  <c r="AG38" i="2"/>
  <c r="AG42" i="2"/>
  <c r="AG23" i="2"/>
  <c r="AG27" i="2"/>
  <c r="AG31" i="2"/>
  <c r="AG35" i="2"/>
  <c r="AG39" i="2"/>
  <c r="AG43" i="2"/>
  <c r="AG20" i="2"/>
  <c r="AG24" i="2"/>
  <c r="AG28" i="2"/>
  <c r="AG32" i="2"/>
  <c r="AG36" i="2"/>
  <c r="AG40" i="2"/>
  <c r="AG44" i="2"/>
  <c r="AG29" i="2"/>
  <c r="AG45" i="2"/>
  <c r="AG49" i="2"/>
  <c r="AG53" i="2"/>
  <c r="AG57" i="2"/>
  <c r="AG61" i="2"/>
  <c r="AG65" i="2"/>
  <c r="AG33" i="2"/>
  <c r="AG46" i="2"/>
  <c r="AG50" i="2"/>
  <c r="AG54" i="2"/>
  <c r="AG58" i="2"/>
  <c r="AG62" i="2"/>
  <c r="AG66" i="2"/>
  <c r="AG70" i="2"/>
  <c r="AG74" i="2"/>
  <c r="AG78" i="2"/>
  <c r="AG21" i="2"/>
  <c r="AG37" i="2"/>
  <c r="AG47" i="2"/>
  <c r="AG51" i="2"/>
  <c r="AG55" i="2"/>
  <c r="AG59" i="2"/>
  <c r="AG63" i="2"/>
  <c r="AG67" i="2"/>
  <c r="AG71" i="2"/>
  <c r="AG75" i="2"/>
  <c r="AG79" i="2"/>
  <c r="AG25" i="2"/>
  <c r="AG41" i="2"/>
  <c r="AG48" i="2"/>
  <c r="AG56" i="2"/>
  <c r="AG72" i="2"/>
  <c r="AG80" i="2"/>
  <c r="AG60" i="2"/>
  <c r="AG69" i="2"/>
  <c r="AG77" i="2"/>
  <c r="AG64" i="2"/>
  <c r="AG68" i="2"/>
  <c r="AG76" i="2"/>
  <c r="AG19" i="2"/>
  <c r="AG52" i="2"/>
  <c r="AG73" i="2"/>
  <c r="AJ23" i="2"/>
  <c r="AJ27" i="2"/>
  <c r="AJ31" i="2"/>
  <c r="AJ35" i="2"/>
  <c r="AJ39" i="2"/>
  <c r="AJ43" i="2"/>
  <c r="AJ20" i="2"/>
  <c r="AJ24" i="2"/>
  <c r="AJ28" i="2"/>
  <c r="AJ32" i="2"/>
  <c r="AJ36" i="2"/>
  <c r="AJ40" i="2"/>
  <c r="AJ44" i="2"/>
  <c r="AJ21" i="2"/>
  <c r="AJ25" i="2"/>
  <c r="AJ29" i="2"/>
  <c r="AJ33" i="2"/>
  <c r="AJ37" i="2"/>
  <c r="AJ41" i="2"/>
  <c r="AJ45" i="2"/>
  <c r="AJ30" i="2"/>
  <c r="AJ46" i="2"/>
  <c r="AJ50" i="2"/>
  <c r="AJ54" i="2"/>
  <c r="AJ58" i="2"/>
  <c r="AJ62" i="2"/>
  <c r="AJ34" i="2"/>
  <c r="AJ47" i="2"/>
  <c r="AJ51" i="2"/>
  <c r="AJ55" i="2"/>
  <c r="AJ59" i="2"/>
  <c r="AJ63" i="2"/>
  <c r="AJ67" i="2"/>
  <c r="AJ71" i="2"/>
  <c r="AJ75" i="2"/>
  <c r="AJ79" i="2"/>
  <c r="AJ22" i="2"/>
  <c r="AJ38" i="2"/>
  <c r="AJ48" i="2"/>
  <c r="AJ52" i="2"/>
  <c r="AJ56" i="2"/>
  <c r="AJ60" i="2"/>
  <c r="AJ64" i="2"/>
  <c r="AJ68" i="2"/>
  <c r="AJ72" i="2"/>
  <c r="AJ76" i="2"/>
  <c r="AJ80" i="2"/>
  <c r="AJ19" i="2"/>
  <c r="AJ26" i="2"/>
  <c r="AJ42" i="2"/>
  <c r="AJ57" i="2"/>
  <c r="AJ73" i="2"/>
  <c r="AJ61" i="2"/>
  <c r="AJ70" i="2"/>
  <c r="AJ78" i="2"/>
  <c r="AJ49" i="2"/>
  <c r="AJ65" i="2"/>
  <c r="AJ69" i="2"/>
  <c r="AJ77" i="2"/>
  <c r="AJ53" i="2"/>
  <c r="AJ66" i="2"/>
  <c r="AJ74" i="2"/>
  <c r="AK22" i="2"/>
  <c r="AK26" i="2"/>
  <c r="AK30" i="2"/>
  <c r="AK34" i="2"/>
  <c r="AK38" i="2"/>
  <c r="AK42" i="2"/>
  <c r="AK23" i="2"/>
  <c r="AK27" i="2"/>
  <c r="AK31" i="2"/>
  <c r="AK35" i="2"/>
  <c r="AK39" i="2"/>
  <c r="AK43" i="2"/>
  <c r="AK20" i="2"/>
  <c r="AK24" i="2"/>
  <c r="AK28" i="2"/>
  <c r="AK32" i="2"/>
  <c r="AK36" i="2"/>
  <c r="AK40" i="2"/>
  <c r="AK44" i="2"/>
  <c r="AK25" i="2"/>
  <c r="AK41" i="2"/>
  <c r="AK49" i="2"/>
  <c r="AK53" i="2"/>
  <c r="AK57" i="2"/>
  <c r="AK61" i="2"/>
  <c r="AK65" i="2"/>
  <c r="AK29" i="2"/>
  <c r="AK45" i="2"/>
  <c r="AK46" i="2"/>
  <c r="AK50" i="2"/>
  <c r="AK54" i="2"/>
  <c r="AK58" i="2"/>
  <c r="AK62" i="2"/>
  <c r="AK66" i="2"/>
  <c r="AK70" i="2"/>
  <c r="AK74" i="2"/>
  <c r="AK78" i="2"/>
  <c r="AK33" i="2"/>
  <c r="AK47" i="2"/>
  <c r="AK51" i="2"/>
  <c r="AK55" i="2"/>
  <c r="AK59" i="2"/>
  <c r="AK63" i="2"/>
  <c r="AK67" i="2"/>
  <c r="AK71" i="2"/>
  <c r="AK75" i="2"/>
  <c r="AK79" i="2"/>
  <c r="AK21" i="2"/>
  <c r="AK37" i="2"/>
  <c r="AK48" i="2"/>
  <c r="AK52" i="2"/>
  <c r="AK68" i="2"/>
  <c r="AK76" i="2"/>
  <c r="AK56" i="2"/>
  <c r="AK73" i="2"/>
  <c r="AK60" i="2"/>
  <c r="AK72" i="2"/>
  <c r="AK80" i="2"/>
  <c r="AK64" i="2"/>
  <c r="AK69" i="2"/>
  <c r="AK77" i="2"/>
  <c r="AK19" i="2"/>
  <c r="AN23" i="2"/>
  <c r="AN27" i="2"/>
  <c r="AN31" i="2"/>
  <c r="AN35" i="2"/>
  <c r="AN39" i="2"/>
  <c r="AN43" i="2"/>
  <c r="AN20" i="2"/>
  <c r="AN24" i="2"/>
  <c r="AN28" i="2"/>
  <c r="AN32" i="2"/>
  <c r="AN36" i="2"/>
  <c r="AN40" i="2"/>
  <c r="AN44" i="2"/>
  <c r="AN21" i="2"/>
  <c r="AN25" i="2"/>
  <c r="AN29" i="2"/>
  <c r="AN33" i="2"/>
  <c r="AN37" i="2"/>
  <c r="AN41" i="2"/>
  <c r="AN45" i="2"/>
  <c r="AN26" i="2"/>
  <c r="AN42" i="2"/>
  <c r="AN46" i="2"/>
  <c r="AN50" i="2"/>
  <c r="AN54" i="2"/>
  <c r="AN58" i="2"/>
  <c r="AN62" i="2"/>
  <c r="AN30" i="2"/>
  <c r="AN47" i="2"/>
  <c r="AN51" i="2"/>
  <c r="AN55" i="2"/>
  <c r="AN59" i="2"/>
  <c r="AN63" i="2"/>
  <c r="AN67" i="2"/>
  <c r="AN71" i="2"/>
  <c r="AN75" i="2"/>
  <c r="AN79" i="2"/>
  <c r="AN34" i="2"/>
  <c r="AN48" i="2"/>
  <c r="AN52" i="2"/>
  <c r="AN56" i="2"/>
  <c r="AN60" i="2"/>
  <c r="AN64" i="2"/>
  <c r="AN68" i="2"/>
  <c r="AN72" i="2"/>
  <c r="AN76" i="2"/>
  <c r="AN80" i="2"/>
  <c r="AN19" i="2"/>
  <c r="AN22" i="2"/>
  <c r="AN38" i="2"/>
  <c r="AN53" i="2"/>
  <c r="AN69" i="2"/>
  <c r="AN77" i="2"/>
  <c r="AN57" i="2"/>
  <c r="AN66" i="2"/>
  <c r="AN74" i="2"/>
  <c r="AN61" i="2"/>
  <c r="AN73" i="2"/>
  <c r="AN49" i="2"/>
  <c r="AN65" i="2"/>
  <c r="AN70" i="2"/>
  <c r="AN78" i="2"/>
  <c r="AC22" i="2"/>
  <c r="AC26" i="2"/>
  <c r="AC30" i="2"/>
  <c r="AC34" i="2"/>
  <c r="AC38" i="2"/>
  <c r="AC42" i="2"/>
  <c r="AC46" i="2"/>
  <c r="AC23" i="2"/>
  <c r="AC27" i="2"/>
  <c r="AC31" i="2"/>
  <c r="AC35" i="2"/>
  <c r="AC39" i="2"/>
  <c r="AC43" i="2"/>
  <c r="AC20" i="2"/>
  <c r="AC24" i="2"/>
  <c r="AC28" i="2"/>
  <c r="AC32" i="2"/>
  <c r="AC36" i="2"/>
  <c r="AC40" i="2"/>
  <c r="AC44" i="2"/>
  <c r="AC33" i="2"/>
  <c r="AC49" i="2"/>
  <c r="AC53" i="2"/>
  <c r="AC57" i="2"/>
  <c r="AC61" i="2"/>
  <c r="AC65" i="2"/>
  <c r="AC21" i="2"/>
  <c r="AC37" i="2"/>
  <c r="AC50" i="2"/>
  <c r="AC54" i="2"/>
  <c r="AC58" i="2"/>
  <c r="AC62" i="2"/>
  <c r="AC66" i="2"/>
  <c r="AC70" i="2"/>
  <c r="AC74" i="2"/>
  <c r="AC78" i="2"/>
  <c r="AC25" i="2"/>
  <c r="AC41" i="2"/>
  <c r="AC47" i="2"/>
  <c r="AC51" i="2"/>
  <c r="AC55" i="2"/>
  <c r="AC59" i="2"/>
  <c r="AC63" i="2"/>
  <c r="AC67" i="2"/>
  <c r="AC71" i="2"/>
  <c r="AC75" i="2"/>
  <c r="AC79" i="2"/>
  <c r="AC29" i="2"/>
  <c r="AC45" i="2"/>
  <c r="AC48" i="2"/>
  <c r="AC60" i="2"/>
  <c r="AC68" i="2"/>
  <c r="AC76" i="2"/>
  <c r="AC19" i="2"/>
  <c r="AC64" i="2"/>
  <c r="AC73" i="2"/>
  <c r="AC52" i="2"/>
  <c r="AC72" i="2"/>
  <c r="AC80" i="2"/>
  <c r="AC56" i="2"/>
  <c r="AC69" i="2"/>
  <c r="AC77" i="2"/>
  <c r="AE20" i="2"/>
  <c r="AE24" i="2"/>
  <c r="AE28" i="2"/>
  <c r="AE32" i="2"/>
  <c r="AE36" i="2"/>
  <c r="AE40" i="2"/>
  <c r="AE44" i="2"/>
  <c r="AE21" i="2"/>
  <c r="AE25" i="2"/>
  <c r="AE29" i="2"/>
  <c r="AE33" i="2"/>
  <c r="AE37" i="2"/>
  <c r="AE41" i="2"/>
  <c r="AE45" i="2"/>
  <c r="AE22" i="2"/>
  <c r="AE26" i="2"/>
  <c r="AE30" i="2"/>
  <c r="AE34" i="2"/>
  <c r="AE38" i="2"/>
  <c r="AE42" i="2"/>
  <c r="AE23" i="2"/>
  <c r="AE39" i="2"/>
  <c r="AE47" i="2"/>
  <c r="AE51" i="2"/>
  <c r="AE55" i="2"/>
  <c r="AE59" i="2"/>
  <c r="AE63" i="2"/>
  <c r="AE27" i="2"/>
  <c r="AE43" i="2"/>
  <c r="AE48" i="2"/>
  <c r="AE52" i="2"/>
  <c r="AE56" i="2"/>
  <c r="AE60" i="2"/>
  <c r="AE64" i="2"/>
  <c r="AE68" i="2"/>
  <c r="AE72" i="2"/>
  <c r="AE76" i="2"/>
  <c r="AE80" i="2"/>
  <c r="AE19" i="2"/>
  <c r="AE31" i="2"/>
  <c r="AE49" i="2"/>
  <c r="AE53" i="2"/>
  <c r="AE57" i="2"/>
  <c r="AE61" i="2"/>
  <c r="AE65" i="2"/>
  <c r="AE69" i="2"/>
  <c r="AE73" i="2"/>
  <c r="AE77" i="2"/>
  <c r="AE35" i="2"/>
  <c r="AE46" i="2"/>
  <c r="AE50" i="2"/>
  <c r="AE66" i="2"/>
  <c r="AE74" i="2"/>
  <c r="AE54" i="2"/>
  <c r="AE71" i="2"/>
  <c r="AE79" i="2"/>
  <c r="AE58" i="2"/>
  <c r="AE70" i="2"/>
  <c r="AE78" i="2"/>
  <c r="AE62" i="2"/>
  <c r="AE67" i="2"/>
  <c r="AE75" i="2"/>
  <c r="AH21" i="2"/>
  <c r="AH25" i="2"/>
  <c r="AH29" i="2"/>
  <c r="AH33" i="2"/>
  <c r="AH37" i="2"/>
  <c r="AH41" i="2"/>
  <c r="AH45" i="2"/>
  <c r="AH22" i="2"/>
  <c r="AH26" i="2"/>
  <c r="AH30" i="2"/>
  <c r="AH34" i="2"/>
  <c r="AH38" i="2"/>
  <c r="AH42" i="2"/>
  <c r="AH23" i="2"/>
  <c r="AH27" i="2"/>
  <c r="AH31" i="2"/>
  <c r="AH35" i="2"/>
  <c r="AH39" i="2"/>
  <c r="AH43" i="2"/>
  <c r="AH24" i="2"/>
  <c r="AH40" i="2"/>
  <c r="AH48" i="2"/>
  <c r="AH52" i="2"/>
  <c r="AH56" i="2"/>
  <c r="AH60" i="2"/>
  <c r="AH64" i="2"/>
  <c r="AH28" i="2"/>
  <c r="AH44" i="2"/>
  <c r="AH49" i="2"/>
  <c r="AH53" i="2"/>
  <c r="AH57" i="2"/>
  <c r="AH61" i="2"/>
  <c r="AH65" i="2"/>
  <c r="AH69" i="2"/>
  <c r="AH73" i="2"/>
  <c r="AH77" i="2"/>
  <c r="AH32" i="2"/>
  <c r="AH46" i="2"/>
  <c r="AH50" i="2"/>
  <c r="AH54" i="2"/>
  <c r="AH58" i="2"/>
  <c r="AH62" i="2"/>
  <c r="AH66" i="2"/>
  <c r="AH70" i="2"/>
  <c r="AH74" i="2"/>
  <c r="AH78" i="2"/>
  <c r="AH20" i="2"/>
  <c r="AH36" i="2"/>
  <c r="AH47" i="2"/>
  <c r="AH51" i="2"/>
  <c r="AH67" i="2"/>
  <c r="AH75" i="2"/>
  <c r="AH55" i="2"/>
  <c r="AH72" i="2"/>
  <c r="AH80" i="2"/>
  <c r="AH59" i="2"/>
  <c r="AH71" i="2"/>
  <c r="AH79" i="2"/>
  <c r="AH63" i="2"/>
  <c r="AH68" i="2"/>
  <c r="AH76" i="2"/>
  <c r="AH19" i="2"/>
  <c r="AL21" i="2"/>
  <c r="AL25" i="2"/>
  <c r="AL29" i="2"/>
  <c r="AL33" i="2"/>
  <c r="AL37" i="2"/>
  <c r="AL41" i="2"/>
  <c r="AL45" i="2"/>
  <c r="AL22" i="2"/>
  <c r="AL26" i="2"/>
  <c r="AL30" i="2"/>
  <c r="AL34" i="2"/>
  <c r="AL38" i="2"/>
  <c r="AL42" i="2"/>
  <c r="AL23" i="2"/>
  <c r="AL27" i="2"/>
  <c r="AL31" i="2"/>
  <c r="AL35" i="2"/>
  <c r="AL39" i="2"/>
  <c r="AL43" i="2"/>
  <c r="AL20" i="2"/>
  <c r="AL36" i="2"/>
  <c r="AL48" i="2"/>
  <c r="AL52" i="2"/>
  <c r="AL56" i="2"/>
  <c r="AL60" i="2"/>
  <c r="AL64" i="2"/>
  <c r="AL24" i="2"/>
  <c r="AL40" i="2"/>
  <c r="AL49" i="2"/>
  <c r="AL53" i="2"/>
  <c r="AL57" i="2"/>
  <c r="AL61" i="2"/>
  <c r="AL65" i="2"/>
  <c r="AL69" i="2"/>
  <c r="AL73" i="2"/>
  <c r="AL77" i="2"/>
  <c r="AL28" i="2"/>
  <c r="AL44" i="2"/>
  <c r="AL46" i="2"/>
  <c r="AL50" i="2"/>
  <c r="AL54" i="2"/>
  <c r="AL58" i="2"/>
  <c r="AL62" i="2"/>
  <c r="AL66" i="2"/>
  <c r="AL70" i="2"/>
  <c r="AL74" i="2"/>
  <c r="AL78" i="2"/>
  <c r="AL32" i="2"/>
  <c r="AL47" i="2"/>
  <c r="AL63" i="2"/>
  <c r="AL71" i="2"/>
  <c r="AL79" i="2"/>
  <c r="AL19" i="2"/>
  <c r="AL51" i="2"/>
  <c r="AL68" i="2"/>
  <c r="AL76" i="2"/>
  <c r="AL55" i="2"/>
  <c r="AL67" i="2"/>
  <c r="AL75" i="2"/>
  <c r="AL59" i="2"/>
  <c r="AL72" i="2"/>
  <c r="AL80" i="2"/>
  <c r="AD21" i="2"/>
  <c r="AD25" i="2"/>
  <c r="AD29" i="2"/>
  <c r="AD33" i="2"/>
  <c r="AD37" i="2"/>
  <c r="AD41" i="2"/>
  <c r="AD45" i="2"/>
  <c r="AD22" i="2"/>
  <c r="AD26" i="2"/>
  <c r="AD30" i="2"/>
  <c r="AD34" i="2"/>
  <c r="AD38" i="2"/>
  <c r="AD42" i="2"/>
  <c r="AD46" i="2"/>
  <c r="AD23" i="2"/>
  <c r="AD27" i="2"/>
  <c r="AD31" i="2"/>
  <c r="AD35" i="2"/>
  <c r="AD39" i="2"/>
  <c r="AD43" i="2"/>
  <c r="AD28" i="2"/>
  <c r="AD44" i="2"/>
  <c r="AD48" i="2"/>
  <c r="AD52" i="2"/>
  <c r="AD56" i="2"/>
  <c r="AD60" i="2"/>
  <c r="AD64" i="2"/>
  <c r="AD32" i="2"/>
  <c r="AD49" i="2"/>
  <c r="AD53" i="2"/>
  <c r="AD57" i="2"/>
  <c r="AD61" i="2"/>
  <c r="AD65" i="2"/>
  <c r="AD69" i="2"/>
  <c r="AD73" i="2"/>
  <c r="AD77" i="2"/>
  <c r="AD20" i="2"/>
  <c r="AD36" i="2"/>
  <c r="AD50" i="2"/>
  <c r="AD54" i="2"/>
  <c r="AD58" i="2"/>
  <c r="AD62" i="2"/>
  <c r="AD66" i="2"/>
  <c r="AD70" i="2"/>
  <c r="AD74" i="2"/>
  <c r="AD78" i="2"/>
  <c r="AD24" i="2"/>
  <c r="AD40" i="2"/>
  <c r="AD47" i="2"/>
  <c r="AD55" i="2"/>
  <c r="AD71" i="2"/>
  <c r="AD79" i="2"/>
  <c r="AD59" i="2"/>
  <c r="AD68" i="2"/>
  <c r="AD76" i="2"/>
  <c r="AD19" i="2"/>
  <c r="AD63" i="2"/>
  <c r="AD67" i="2"/>
  <c r="AD75" i="2"/>
  <c r="AD51" i="2"/>
  <c r="AD72" i="2"/>
  <c r="AD80" i="2"/>
  <c r="AI20" i="2"/>
  <c r="AI24" i="2"/>
  <c r="AI28" i="2"/>
  <c r="AI32" i="2"/>
  <c r="AI36" i="2"/>
  <c r="AI40" i="2"/>
  <c r="AI44" i="2"/>
  <c r="AI21" i="2"/>
  <c r="AI25" i="2"/>
  <c r="AI29" i="2"/>
  <c r="AI33" i="2"/>
  <c r="AI37" i="2"/>
  <c r="AI41" i="2"/>
  <c r="AI45" i="2"/>
  <c r="AI22" i="2"/>
  <c r="AI26" i="2"/>
  <c r="AI30" i="2"/>
  <c r="AI34" i="2"/>
  <c r="AI38" i="2"/>
  <c r="AI42" i="2"/>
  <c r="AI35" i="2"/>
  <c r="AI47" i="2"/>
  <c r="AI51" i="2"/>
  <c r="AI55" i="2"/>
  <c r="AI59" i="2"/>
  <c r="AI63" i="2"/>
  <c r="AI23" i="2"/>
  <c r="AI39" i="2"/>
  <c r="AI48" i="2"/>
  <c r="AI52" i="2"/>
  <c r="AI56" i="2"/>
  <c r="AI60" i="2"/>
  <c r="AI64" i="2"/>
  <c r="AI68" i="2"/>
  <c r="AI72" i="2"/>
  <c r="AI76" i="2"/>
  <c r="AI80" i="2"/>
  <c r="AI19" i="2"/>
  <c r="AI27" i="2"/>
  <c r="AI43" i="2"/>
  <c r="AI49" i="2"/>
  <c r="AI53" i="2"/>
  <c r="AI57" i="2"/>
  <c r="AI61" i="2"/>
  <c r="AI65" i="2"/>
  <c r="AI69" i="2"/>
  <c r="AI73" i="2"/>
  <c r="AI77" i="2"/>
  <c r="AI31" i="2"/>
  <c r="AI46" i="2"/>
  <c r="AI62" i="2"/>
  <c r="AI70" i="2"/>
  <c r="AI78" i="2"/>
  <c r="AI50" i="2"/>
  <c r="AI67" i="2"/>
  <c r="AI75" i="2"/>
  <c r="AI54" i="2"/>
  <c r="AI66" i="2"/>
  <c r="AI74" i="2"/>
  <c r="AI58" i="2"/>
  <c r="AI71" i="2"/>
  <c r="AI79" i="2"/>
  <c r="V12" i="2"/>
  <c r="D1868" i="12"/>
  <c r="F1867" i="12"/>
  <c r="E1867" i="12"/>
  <c r="F206" i="2"/>
  <c r="F20" i="2" s="1"/>
  <c r="G206" i="2"/>
  <c r="G20" i="2" s="1"/>
  <c r="E206" i="2"/>
  <c r="E20" i="2" s="1"/>
  <c r="AB21" i="2"/>
  <c r="AB23" i="2"/>
  <c r="AB25" i="2"/>
  <c r="AB27" i="2"/>
  <c r="AB29" i="2"/>
  <c r="AB31" i="2"/>
  <c r="AB33" i="2"/>
  <c r="AB35" i="2"/>
  <c r="AB37" i="2"/>
  <c r="AB39" i="2"/>
  <c r="AB41" i="2"/>
  <c r="AB43" i="2"/>
  <c r="AB45" i="2"/>
  <c r="AB47" i="2"/>
  <c r="AB49" i="2"/>
  <c r="AB51" i="2"/>
  <c r="AB53" i="2"/>
  <c r="AB55" i="2"/>
  <c r="AB57" i="2"/>
  <c r="AB59" i="2"/>
  <c r="AB61" i="2"/>
  <c r="AB63" i="2"/>
  <c r="AB65" i="2"/>
  <c r="AB67" i="2"/>
  <c r="AB69" i="2"/>
  <c r="AB71" i="2"/>
  <c r="AB73" i="2"/>
  <c r="AB75" i="2"/>
  <c r="AB77" i="2"/>
  <c r="AB79" i="2"/>
  <c r="AB81" i="2"/>
  <c r="AB83" i="2"/>
  <c r="AB85" i="2"/>
  <c r="AB89" i="2"/>
  <c r="AB22" i="2"/>
  <c r="AB26" i="2"/>
  <c r="AB30" i="2"/>
  <c r="AB34" i="2"/>
  <c r="AB38" i="2"/>
  <c r="AB42" i="2"/>
  <c r="AB46" i="2"/>
  <c r="AB50" i="2"/>
  <c r="AB54" i="2"/>
  <c r="AB56" i="2"/>
  <c r="AB60" i="2"/>
  <c r="AB62" i="2"/>
  <c r="AB66" i="2"/>
  <c r="AB70" i="2"/>
  <c r="AB74" i="2"/>
  <c r="AB80" i="2"/>
  <c r="AB82" i="2"/>
  <c r="AB87" i="2"/>
  <c r="AB86" i="2"/>
  <c r="AB92" i="2"/>
  <c r="AB88" i="2"/>
  <c r="AB19" i="2"/>
  <c r="AB20" i="2"/>
  <c r="AB24" i="2"/>
  <c r="AB28" i="2"/>
  <c r="AB32" i="2"/>
  <c r="AB36" i="2"/>
  <c r="AB40" i="2"/>
  <c r="AB44" i="2"/>
  <c r="AB48" i="2"/>
  <c r="AB52" i="2"/>
  <c r="AB58" i="2"/>
  <c r="AB64" i="2"/>
  <c r="AB68" i="2"/>
  <c r="AB72" i="2"/>
  <c r="AB76" i="2"/>
  <c r="AB78" i="2"/>
  <c r="AB84" i="2"/>
  <c r="AB90" i="2"/>
  <c r="AB91" i="2"/>
  <c r="AL164" i="2"/>
  <c r="AL163" i="2"/>
  <c r="AN163" i="2"/>
  <c r="AN164" i="2"/>
  <c r="AM164" i="2"/>
  <c r="AM163" i="2"/>
  <c r="AB163" i="2"/>
  <c r="AB164" i="2"/>
  <c r="AC163" i="2"/>
  <c r="AC164" i="2"/>
  <c r="AF163" i="2"/>
  <c r="AF164" i="2"/>
  <c r="AE164" i="2"/>
  <c r="AE163" i="2"/>
  <c r="AO163" i="2"/>
  <c r="AO164" i="2"/>
  <c r="AH164" i="2"/>
  <c r="AH163" i="2"/>
  <c r="AG163" i="2"/>
  <c r="AG164" i="2"/>
  <c r="M14" i="2" s="1"/>
  <c r="AJ163" i="2"/>
  <c r="AJ164" i="2"/>
  <c r="AD164" i="2"/>
  <c r="AD163" i="2"/>
  <c r="AK163" i="2"/>
  <c r="AK164" i="2"/>
  <c r="AI164" i="2"/>
  <c r="AI163" i="2"/>
  <c r="BC170" i="5"/>
  <c r="BF170" i="5"/>
  <c r="AR171" i="5"/>
  <c r="EQ165" i="5"/>
  <c r="AV24" i="5"/>
  <c r="AA35" i="2" l="1"/>
  <c r="AA86" i="2"/>
  <c r="AA94" i="2"/>
  <c r="AA98" i="2"/>
  <c r="AA102" i="2"/>
  <c r="AA106" i="2"/>
  <c r="AA87" i="2"/>
  <c r="AA89" i="2"/>
  <c r="AA91" i="2"/>
  <c r="AA93" i="2"/>
  <c r="AA97" i="2"/>
  <c r="AA101" i="2"/>
  <c r="AA105" i="2"/>
  <c r="AA96" i="2"/>
  <c r="AA100" i="2"/>
  <c r="AA104" i="2"/>
  <c r="AA108" i="2"/>
  <c r="AA88" i="2"/>
  <c r="AA90" i="2"/>
  <c r="AA92" i="2"/>
  <c r="AA95" i="2"/>
  <c r="AA99" i="2"/>
  <c r="AA103" i="2"/>
  <c r="AA107" i="2"/>
  <c r="Y120" i="2"/>
  <c r="AS120" i="2" s="1"/>
  <c r="Y126" i="2"/>
  <c r="AS126" i="2" s="1"/>
  <c r="Y132" i="2"/>
  <c r="AS132" i="2" s="1"/>
  <c r="Y138" i="2"/>
  <c r="AS138" i="2" s="1"/>
  <c r="Y109" i="2"/>
  <c r="Y118" i="2"/>
  <c r="Y129" i="2"/>
  <c r="AS129" i="2" s="1"/>
  <c r="Y135" i="2"/>
  <c r="AS135" i="2" s="1"/>
  <c r="Y122" i="2"/>
  <c r="AS122" i="2" s="1"/>
  <c r="Y114" i="2"/>
  <c r="Y127" i="2"/>
  <c r="AS127" i="2" s="1"/>
  <c r="Y133" i="2"/>
  <c r="AS133" i="2" s="1"/>
  <c r="Y107" i="2"/>
  <c r="Y110" i="2"/>
  <c r="Y113" i="2"/>
  <c r="Y116" i="2"/>
  <c r="Y119" i="2"/>
  <c r="AS119" i="2" s="1"/>
  <c r="Y125" i="2"/>
  <c r="AS125" i="2" s="1"/>
  <c r="Y131" i="2"/>
  <c r="AS131" i="2" s="1"/>
  <c r="Y137" i="2"/>
  <c r="AS137" i="2" s="1"/>
  <c r="Y115" i="2"/>
  <c r="Y123" i="2"/>
  <c r="AS123" i="2" s="1"/>
  <c r="Y111" i="2"/>
  <c r="Y121" i="2"/>
  <c r="AS121" i="2" s="1"/>
  <c r="Y124" i="2"/>
  <c r="AS124" i="2" s="1"/>
  <c r="Y130" i="2"/>
  <c r="AS130" i="2" s="1"/>
  <c r="Y136" i="2"/>
  <c r="AS136" i="2" s="1"/>
  <c r="Y112" i="2"/>
  <c r="Y128" i="2"/>
  <c r="AS128" i="2" s="1"/>
  <c r="Y134" i="2"/>
  <c r="AS134" i="2" s="1"/>
  <c r="Y108" i="2"/>
  <c r="Y117" i="2"/>
  <c r="N52" i="2"/>
  <c r="N51" i="2"/>
  <c r="Y105" i="2"/>
  <c r="Y106" i="2"/>
  <c r="BF171" i="5"/>
  <c r="BG173" i="5" s="1"/>
  <c r="BG175" i="5" s="1"/>
  <c r="D1869" i="12"/>
  <c r="E1868" i="12"/>
  <c r="F1868" i="12"/>
  <c r="Y100" i="2"/>
  <c r="Y101" i="2"/>
  <c r="Y102" i="2"/>
  <c r="Y103" i="2"/>
  <c r="Y104" i="2"/>
  <c r="AF194" i="2"/>
  <c r="AN194" i="2"/>
  <c r="AG194" i="2"/>
  <c r="AO194" i="2"/>
  <c r="AH194" i="2"/>
  <c r="AE194" i="2"/>
  <c r="AM194" i="2"/>
  <c r="AL194" i="2"/>
  <c r="AI194" i="2"/>
  <c r="AK194" i="2"/>
  <c r="AJ194" i="2"/>
  <c r="AC194" i="2"/>
  <c r="AD194" i="2"/>
  <c r="AB194" i="2"/>
  <c r="Y97" i="2"/>
  <c r="Y98" i="2"/>
  <c r="Y99" i="2"/>
  <c r="Y96" i="2"/>
  <c r="Y95" i="2"/>
  <c r="Y32" i="2"/>
  <c r="Y93" i="2"/>
  <c r="Y94" i="2"/>
  <c r="Y92" i="2"/>
  <c r="Y91" i="2"/>
  <c r="Z27" i="2"/>
  <c r="Z93" i="2"/>
  <c r="Z97" i="2"/>
  <c r="Z101" i="2"/>
  <c r="Z105" i="2"/>
  <c r="Z109" i="2"/>
  <c r="Z113" i="2"/>
  <c r="Z117" i="2"/>
  <c r="Z95" i="2"/>
  <c r="Z99" i="2"/>
  <c r="Z103" i="2"/>
  <c r="Z107" i="2"/>
  <c r="Z115" i="2"/>
  <c r="Z92" i="2"/>
  <c r="Z112" i="2"/>
  <c r="AS112" i="2" s="1"/>
  <c r="Z94" i="2"/>
  <c r="Z98" i="2"/>
  <c r="Z102" i="2"/>
  <c r="Z106" i="2"/>
  <c r="Z110" i="2"/>
  <c r="AS110" i="2" s="1"/>
  <c r="Z114" i="2"/>
  <c r="AS114" i="2" s="1"/>
  <c r="Z118" i="2"/>
  <c r="AS118" i="2" s="1"/>
  <c r="Z91" i="2"/>
  <c r="Z111" i="2"/>
  <c r="Z96" i="2"/>
  <c r="Z100" i="2"/>
  <c r="Z104" i="2"/>
  <c r="Z108" i="2"/>
  <c r="Z116" i="2"/>
  <c r="M10" i="2"/>
  <c r="Z164" i="2"/>
  <c r="F10" i="2" s="1"/>
  <c r="B32" i="2" s="1"/>
  <c r="Z46" i="2"/>
  <c r="Z81" i="2"/>
  <c r="Z80" i="2"/>
  <c r="Y57" i="2"/>
  <c r="Z49" i="2"/>
  <c r="Z86" i="2"/>
  <c r="Z70" i="2"/>
  <c r="Z33" i="2"/>
  <c r="Z63" i="2"/>
  <c r="Y163" i="2"/>
  <c r="Z77" i="2"/>
  <c r="Z29" i="2"/>
  <c r="Z60" i="2"/>
  <c r="Z35" i="2"/>
  <c r="Z58" i="2"/>
  <c r="Z65" i="2"/>
  <c r="Z22" i="2"/>
  <c r="Z48" i="2"/>
  <c r="Z30" i="2"/>
  <c r="Y39" i="2"/>
  <c r="Z32" i="2"/>
  <c r="Z67" i="2"/>
  <c r="Z34" i="2"/>
  <c r="Z90" i="2"/>
  <c r="Z85" i="2"/>
  <c r="Z61" i="2"/>
  <c r="Z82" i="2"/>
  <c r="Z64" i="2"/>
  <c r="Z28" i="2"/>
  <c r="Z83" i="2"/>
  <c r="Z31" i="2"/>
  <c r="AA24" i="2"/>
  <c r="AA76" i="2"/>
  <c r="AA48" i="2"/>
  <c r="Y46" i="2"/>
  <c r="AA45" i="2"/>
  <c r="Z51" i="2"/>
  <c r="Y70" i="2"/>
  <c r="Y72" i="2"/>
  <c r="AA72" i="2"/>
  <c r="AA25" i="2"/>
  <c r="AA163" i="2"/>
  <c r="AA28" i="2"/>
  <c r="AA38" i="2"/>
  <c r="Y89" i="2"/>
  <c r="AA60" i="2"/>
  <c r="AA49" i="2"/>
  <c r="AA26" i="2"/>
  <c r="Y55" i="2"/>
  <c r="Y86" i="2"/>
  <c r="Y62" i="2"/>
  <c r="Y30" i="2"/>
  <c r="Y67" i="2"/>
  <c r="Y77" i="2"/>
  <c r="Y25" i="2"/>
  <c r="Y40" i="2"/>
  <c r="AA80" i="2"/>
  <c r="AA56" i="2"/>
  <c r="AA81" i="2"/>
  <c r="AA58" i="2"/>
  <c r="Y83" i="2"/>
  <c r="Y23" i="2"/>
  <c r="Y66" i="2"/>
  <c r="Y38" i="2"/>
  <c r="Y75" i="2"/>
  <c r="Y85" i="2"/>
  <c r="Y29" i="2"/>
  <c r="Y44" i="2"/>
  <c r="Y47" i="2"/>
  <c r="Y82" i="2"/>
  <c r="Y50" i="2"/>
  <c r="Y22" i="2"/>
  <c r="Y63" i="2"/>
  <c r="Y61" i="2"/>
  <c r="Y76" i="2"/>
  <c r="AA64" i="2"/>
  <c r="AA44" i="2"/>
  <c r="AA61" i="2"/>
  <c r="AA78" i="2"/>
  <c r="AA79" i="2"/>
  <c r="AA40" i="2"/>
  <c r="AA73" i="2"/>
  <c r="AA29" i="2"/>
  <c r="AA54" i="2"/>
  <c r="AA75" i="2"/>
  <c r="AA65" i="2"/>
  <c r="AA41" i="2"/>
  <c r="AA70" i="2"/>
  <c r="AA30" i="2"/>
  <c r="AA63" i="2"/>
  <c r="Y45" i="2"/>
  <c r="Y164" i="2"/>
  <c r="Y60" i="2"/>
  <c r="V20" i="2"/>
  <c r="Z74" i="2"/>
  <c r="Z42" i="2"/>
  <c r="Z69" i="2"/>
  <c r="Z45" i="2"/>
  <c r="Z54" i="2"/>
  <c r="Z76" i="2"/>
  <c r="Z44" i="2"/>
  <c r="Z78" i="2"/>
  <c r="Z79" i="2"/>
  <c r="Z47" i="2"/>
  <c r="Y59" i="2"/>
  <c r="Y31" i="2"/>
  <c r="Y78" i="2"/>
  <c r="Y54" i="2"/>
  <c r="Y34" i="2"/>
  <c r="Y87" i="2"/>
  <c r="Y27" i="2"/>
  <c r="Y73" i="2"/>
  <c r="Y41" i="2"/>
  <c r="Y88" i="2"/>
  <c r="Y56" i="2"/>
  <c r="Y24" i="2"/>
  <c r="AA164" i="2"/>
  <c r="AA68" i="2"/>
  <c r="AA52" i="2"/>
  <c r="AA32" i="2"/>
  <c r="AA77" i="2"/>
  <c r="AA57" i="2"/>
  <c r="AA33" i="2"/>
  <c r="AA74" i="2"/>
  <c r="AA46" i="2"/>
  <c r="AA83" i="2"/>
  <c r="AA59" i="2"/>
  <c r="Y28" i="2"/>
  <c r="AA51" i="2"/>
  <c r="AA31" i="2"/>
  <c r="AA36" i="2"/>
  <c r="AA20" i="2"/>
  <c r="AA69" i="2"/>
  <c r="AA53" i="2"/>
  <c r="AA37" i="2"/>
  <c r="AA21" i="2"/>
  <c r="AA62" i="2"/>
  <c r="AA42" i="2"/>
  <c r="AA22" i="2"/>
  <c r="AA67" i="2"/>
  <c r="AA47" i="2"/>
  <c r="AA27" i="2"/>
  <c r="AA43" i="2"/>
  <c r="AA84" i="2"/>
  <c r="AA85" i="2"/>
  <c r="Z66" i="2"/>
  <c r="Z89" i="2"/>
  <c r="Z73" i="2"/>
  <c r="Z57" i="2"/>
  <c r="Z41" i="2"/>
  <c r="Z25" i="2"/>
  <c r="Z38" i="2"/>
  <c r="Z88" i="2"/>
  <c r="Z72" i="2"/>
  <c r="Z56" i="2"/>
  <c r="Z40" i="2"/>
  <c r="Z24" i="2"/>
  <c r="Z62" i="2"/>
  <c r="Z163" i="2"/>
  <c r="Z75" i="2"/>
  <c r="Z59" i="2"/>
  <c r="Z43" i="2"/>
  <c r="Z23" i="2"/>
  <c r="AA82" i="2"/>
  <c r="AA66" i="2"/>
  <c r="AA50" i="2"/>
  <c r="AA34" i="2"/>
  <c r="AA19" i="2"/>
  <c r="AA71" i="2"/>
  <c r="AA55" i="2"/>
  <c r="AA39" i="2"/>
  <c r="AA23" i="2"/>
  <c r="Z53" i="2"/>
  <c r="Z37" i="2"/>
  <c r="Z21" i="2"/>
  <c r="Z26" i="2"/>
  <c r="Z84" i="2"/>
  <c r="Z68" i="2"/>
  <c r="Z52" i="2"/>
  <c r="Z36" i="2"/>
  <c r="Z20" i="2"/>
  <c r="Z50" i="2"/>
  <c r="Z87" i="2"/>
  <c r="Z71" i="2"/>
  <c r="Z55" i="2"/>
  <c r="Z39" i="2"/>
  <c r="Z19" i="2"/>
  <c r="Y69" i="2"/>
  <c r="Y53" i="2"/>
  <c r="Y37" i="2"/>
  <c r="Y21" i="2"/>
  <c r="Y84" i="2"/>
  <c r="Y68" i="2"/>
  <c r="Y52" i="2"/>
  <c r="Y36" i="2"/>
  <c r="Y20" i="2"/>
  <c r="Y19" i="2"/>
  <c r="Y71" i="2"/>
  <c r="Y43" i="2"/>
  <c r="Y90" i="2"/>
  <c r="Y74" i="2"/>
  <c r="Y58" i="2"/>
  <c r="Y42" i="2"/>
  <c r="Y26" i="2"/>
  <c r="Y79" i="2"/>
  <c r="Y35" i="2"/>
  <c r="Y81" i="2"/>
  <c r="Y65" i="2"/>
  <c r="Y49" i="2"/>
  <c r="Y33" i="2"/>
  <c r="Y51" i="2"/>
  <c r="Y80" i="2"/>
  <c r="Y64" i="2"/>
  <c r="Y48" i="2"/>
  <c r="U10" i="2"/>
  <c r="U14" i="2"/>
  <c r="L14" i="2"/>
  <c r="L10" i="2"/>
  <c r="H14" i="2"/>
  <c r="H10" i="2"/>
  <c r="T14" i="2"/>
  <c r="T10" i="2"/>
  <c r="O10" i="2"/>
  <c r="O14" i="2"/>
  <c r="J10" i="2"/>
  <c r="J14" i="2"/>
  <c r="Q10" i="2"/>
  <c r="Q14" i="2"/>
  <c r="P10" i="2"/>
  <c r="P14" i="2"/>
  <c r="I14" i="2"/>
  <c r="I10" i="2"/>
  <c r="N10" i="2"/>
  <c r="N14" i="2"/>
  <c r="K10" i="2"/>
  <c r="K14" i="2"/>
  <c r="S14" i="2"/>
  <c r="S10" i="2"/>
  <c r="R14" i="2"/>
  <c r="R10" i="2"/>
  <c r="AS18" i="2"/>
  <c r="AW13" i="2"/>
  <c r="BA13" i="2" s="1"/>
  <c r="AZ24" i="5"/>
  <c r="AV25" i="5"/>
  <c r="AS108" i="2" l="1"/>
  <c r="AS107" i="2"/>
  <c r="AS115" i="2"/>
  <c r="AS113" i="2"/>
  <c r="AS117" i="2"/>
  <c r="AS111" i="2"/>
  <c r="AS109" i="2"/>
  <c r="AS116" i="2"/>
  <c r="AS103" i="2"/>
  <c r="AS13" i="2"/>
  <c r="AS105" i="2"/>
  <c r="AS106" i="2"/>
  <c r="BH173" i="5"/>
  <c r="BH175" i="5" s="1"/>
  <c r="BO173" i="5"/>
  <c r="BO174" i="5" s="1"/>
  <c r="BN173" i="5"/>
  <c r="BN175" i="5" s="1"/>
  <c r="BS173" i="5"/>
  <c r="BS174" i="5" s="1"/>
  <c r="BQ173" i="5"/>
  <c r="BQ175" i="5" s="1"/>
  <c r="BU173" i="5"/>
  <c r="BU174" i="5" s="1"/>
  <c r="BL173" i="5"/>
  <c r="BL175" i="5" s="1"/>
  <c r="BW173" i="5"/>
  <c r="BW174" i="5" s="1"/>
  <c r="BP173" i="5"/>
  <c r="BP175" i="5" s="1"/>
  <c r="BJ173" i="5"/>
  <c r="BJ174" i="5" s="1"/>
  <c r="BR173" i="5"/>
  <c r="BR174" i="5" s="1"/>
  <c r="BV173" i="5"/>
  <c r="BV175" i="5" s="1"/>
  <c r="BK173" i="5"/>
  <c r="BK174" i="5" s="1"/>
  <c r="BT173" i="5"/>
  <c r="BT175" i="5" s="1"/>
  <c r="BM173" i="5"/>
  <c r="BM175" i="5" s="1"/>
  <c r="AS104" i="2"/>
  <c r="AS100" i="2"/>
  <c r="AS97" i="2"/>
  <c r="AS102" i="2"/>
  <c r="AS89" i="2"/>
  <c r="D1870" i="12"/>
  <c r="E1869" i="12"/>
  <c r="F1869" i="12"/>
  <c r="AS22" i="2"/>
  <c r="AS26" i="2"/>
  <c r="AS38" i="2"/>
  <c r="AS101" i="2"/>
  <c r="AS99" i="2"/>
  <c r="Z194" i="2"/>
  <c r="Y194" i="2"/>
  <c r="AA194" i="2"/>
  <c r="E14" i="2"/>
  <c r="E10" i="2"/>
  <c r="AS86" i="2"/>
  <c r="AS98" i="2"/>
  <c r="AS96" i="2"/>
  <c r="AS95" i="2"/>
  <c r="AS91" i="2"/>
  <c r="AS93" i="2"/>
  <c r="AS32" i="2"/>
  <c r="AS37" i="2"/>
  <c r="AS27" i="2"/>
  <c r="AS65" i="2"/>
  <c r="AS90" i="2"/>
  <c r="AS43" i="2"/>
  <c r="AS78" i="2"/>
  <c r="AS45" i="2"/>
  <c r="AS50" i="2"/>
  <c r="AS92" i="2"/>
  <c r="AS23" i="2"/>
  <c r="AS39" i="2"/>
  <c r="AS94" i="2"/>
  <c r="F14" i="2"/>
  <c r="AS85" i="2"/>
  <c r="BA122" i="2"/>
  <c r="AW122" i="2" s="1"/>
  <c r="BA129" i="2"/>
  <c r="AW129" i="2" s="1"/>
  <c r="BA135" i="2"/>
  <c r="AW135" i="2" s="1"/>
  <c r="BA132" i="2"/>
  <c r="AW132" i="2" s="1"/>
  <c r="BA134" i="2"/>
  <c r="AW134" i="2" s="1"/>
  <c r="BA118" i="2"/>
  <c r="AW118" i="2" s="1"/>
  <c r="BA119" i="2"/>
  <c r="AW119" i="2" s="1"/>
  <c r="BA126" i="2"/>
  <c r="AW126" i="2" s="1"/>
  <c r="BA114" i="2"/>
  <c r="AW114" i="2" s="1"/>
  <c r="BA103" i="2"/>
  <c r="BA120" i="2"/>
  <c r="AW120" i="2" s="1"/>
  <c r="BA113" i="2"/>
  <c r="BA110" i="2"/>
  <c r="AW110" i="2" s="1"/>
  <c r="BA131" i="2"/>
  <c r="AW131" i="2" s="1"/>
  <c r="BA104" i="2"/>
  <c r="BA130" i="2"/>
  <c r="AW130" i="2" s="1"/>
  <c r="BA138" i="2"/>
  <c r="AW138" i="2" s="1"/>
  <c r="BA133" i="2"/>
  <c r="AW133" i="2" s="1"/>
  <c r="BA106" i="2"/>
  <c r="BA127" i="2"/>
  <c r="AW127" i="2" s="1"/>
  <c r="BA107" i="2"/>
  <c r="BA128" i="2"/>
  <c r="AW128" i="2" s="1"/>
  <c r="BA105" i="2"/>
  <c r="AW105" i="2" s="1"/>
  <c r="BA115" i="2"/>
  <c r="AW115" i="2" s="1"/>
  <c r="BA112" i="2"/>
  <c r="AW112" i="2" s="1"/>
  <c r="BA137" i="2"/>
  <c r="AW137" i="2" s="1"/>
  <c r="BA117" i="2"/>
  <c r="AW117" i="2" s="1"/>
  <c r="BA125" i="2"/>
  <c r="AW125" i="2" s="1"/>
  <c r="BA116" i="2"/>
  <c r="AW116" i="2" s="1"/>
  <c r="BA136" i="2"/>
  <c r="AW136" i="2" s="1"/>
  <c r="BA108" i="2"/>
  <c r="AW108" i="2" s="1"/>
  <c r="BA109" i="2"/>
  <c r="BA111" i="2"/>
  <c r="BA123" i="2"/>
  <c r="AW123" i="2" s="1"/>
  <c r="BA121" i="2"/>
  <c r="AW121" i="2" s="1"/>
  <c r="BA124" i="2"/>
  <c r="AW124" i="2" s="1"/>
  <c r="AS54" i="2"/>
  <c r="AS87" i="2"/>
  <c r="AS52" i="2"/>
  <c r="AS33" i="2"/>
  <c r="AS35" i="2"/>
  <c r="AS57" i="2"/>
  <c r="AS55" i="2"/>
  <c r="AS31" i="2"/>
  <c r="AS77" i="2"/>
  <c r="AS48" i="2"/>
  <c r="AS81" i="2"/>
  <c r="AS49" i="2"/>
  <c r="AS60" i="2"/>
  <c r="AS61" i="2"/>
  <c r="AS53" i="2"/>
  <c r="AS83" i="2"/>
  <c r="AS72" i="2"/>
  <c r="AS46" i="2"/>
  <c r="AS80" i="2"/>
  <c r="AS20" i="2"/>
  <c r="AS84" i="2"/>
  <c r="AS69" i="2"/>
  <c r="AS71" i="2"/>
  <c r="AS19" i="2"/>
  <c r="AS82" i="2"/>
  <c r="AS75" i="2"/>
  <c r="AS67" i="2"/>
  <c r="AS28" i="2"/>
  <c r="AS74" i="2"/>
  <c r="AS24" i="2"/>
  <c r="AS47" i="2"/>
  <c r="AS70" i="2"/>
  <c r="AS79" i="2"/>
  <c r="AS64" i="2"/>
  <c r="AS44" i="2"/>
  <c r="AS58" i="2"/>
  <c r="AS30" i="2"/>
  <c r="AS51" i="2"/>
  <c r="AS34" i="2"/>
  <c r="AS59" i="2"/>
  <c r="AS41" i="2"/>
  <c r="AS66" i="2"/>
  <c r="AS62" i="2"/>
  <c r="AS68" i="2"/>
  <c r="AS88" i="2"/>
  <c r="AS63" i="2"/>
  <c r="AS29" i="2"/>
  <c r="AS73" i="2"/>
  <c r="AS40" i="2"/>
  <c r="AS42" i="2"/>
  <c r="AS56" i="2"/>
  <c r="AS76" i="2"/>
  <c r="AS25" i="2"/>
  <c r="G14" i="2"/>
  <c r="G10" i="2"/>
  <c r="AS36" i="2"/>
  <c r="AS21" i="2"/>
  <c r="BG174" i="5"/>
  <c r="BA19" i="2"/>
  <c r="BA22" i="2"/>
  <c r="BA90" i="2"/>
  <c r="BA63" i="2"/>
  <c r="BA32" i="2"/>
  <c r="BA28" i="2"/>
  <c r="BA92" i="2"/>
  <c r="BA94" i="2"/>
  <c r="BA101" i="2"/>
  <c r="BA75" i="2"/>
  <c r="BA68" i="2"/>
  <c r="BA66" i="2"/>
  <c r="BA99" i="2"/>
  <c r="BA36" i="2"/>
  <c r="BA97" i="2"/>
  <c r="BA34" i="2"/>
  <c r="BA67" i="2"/>
  <c r="BA81" i="2"/>
  <c r="BA58" i="2"/>
  <c r="BA87" i="2"/>
  <c r="BA53" i="2"/>
  <c r="BA76" i="2"/>
  <c r="BA20" i="2"/>
  <c r="BA21" i="2"/>
  <c r="BA46" i="2"/>
  <c r="BA26" i="2"/>
  <c r="BA71" i="2"/>
  <c r="BA78" i="2"/>
  <c r="BA49" i="2"/>
  <c r="BA31" i="2"/>
  <c r="BA85" i="2"/>
  <c r="BA82" i="2"/>
  <c r="BA96" i="2"/>
  <c r="BA43" i="2"/>
  <c r="BA89" i="2"/>
  <c r="BA62" i="2"/>
  <c r="BA69" i="2"/>
  <c r="BA38" i="2"/>
  <c r="BA88" i="2"/>
  <c r="BA77" i="2"/>
  <c r="BA47" i="2"/>
  <c r="BA42" i="2"/>
  <c r="BA73" i="2"/>
  <c r="BA79" i="2"/>
  <c r="BA64" i="2"/>
  <c r="BA48" i="2"/>
  <c r="BA51" i="2"/>
  <c r="BA74" i="2"/>
  <c r="BA95" i="2"/>
  <c r="BA72" i="2"/>
  <c r="BA91" i="2"/>
  <c r="BA93" i="2"/>
  <c r="BA25" i="2"/>
  <c r="BA44" i="2"/>
  <c r="BA29" i="2"/>
  <c r="BA39" i="2"/>
  <c r="BA52" i="2"/>
  <c r="BA57" i="2"/>
  <c r="BA33" i="2"/>
  <c r="BA102" i="2"/>
  <c r="BA37" i="2"/>
  <c r="BA27" i="2"/>
  <c r="BA56" i="2"/>
  <c r="BA80" i="2"/>
  <c r="BA50" i="2"/>
  <c r="BA84" i="2"/>
  <c r="BA45" i="2"/>
  <c r="BA70" i="2"/>
  <c r="BA23" i="2"/>
  <c r="BA35" i="2"/>
  <c r="BA55" i="2"/>
  <c r="BA24" i="2"/>
  <c r="BA83" i="2"/>
  <c r="BA41" i="2"/>
  <c r="BA86" i="2"/>
  <c r="BA59" i="2"/>
  <c r="BA100" i="2"/>
  <c r="BA65" i="2"/>
  <c r="BA61" i="2"/>
  <c r="BA60" i="2"/>
  <c r="BA98" i="2"/>
  <c r="BA40" i="2"/>
  <c r="BA54" i="2"/>
  <c r="BA30" i="2"/>
  <c r="CT19" i="5"/>
  <c r="AV26" i="5"/>
  <c r="AZ25" i="5"/>
  <c r="AW111" i="2" l="1"/>
  <c r="AW107" i="2"/>
  <c r="AW113" i="2"/>
  <c r="AW103" i="2"/>
  <c r="AW109" i="2"/>
  <c r="AW106" i="2"/>
  <c r="BO175" i="5"/>
  <c r="BO176" i="5" s="1"/>
  <c r="BH174" i="5"/>
  <c r="BH176" i="5" s="1"/>
  <c r="BS175" i="5"/>
  <c r="BS176" i="5" s="1"/>
  <c r="BQ174" i="5"/>
  <c r="BQ176" i="5" s="1"/>
  <c r="BN174" i="5"/>
  <c r="BN176" i="5" s="1"/>
  <c r="BL174" i="5"/>
  <c r="BL176" i="5" s="1"/>
  <c r="BU175" i="5"/>
  <c r="BU176" i="5" s="1"/>
  <c r="AW100" i="2"/>
  <c r="BP174" i="5"/>
  <c r="BP176" i="5" s="1"/>
  <c r="BW175" i="5"/>
  <c r="BW176" i="5" s="1"/>
  <c r="BV174" i="5"/>
  <c r="BV176" i="5" s="1"/>
  <c r="BT174" i="5"/>
  <c r="BT176" i="5" s="1"/>
  <c r="BA8" i="5" s="1"/>
  <c r="BK175" i="5"/>
  <c r="BK176" i="5" s="1"/>
  <c r="BJ175" i="5"/>
  <c r="BJ176" i="5" s="1"/>
  <c r="BR175" i="5"/>
  <c r="BR176" i="5" s="1"/>
  <c r="BM174" i="5"/>
  <c r="BM176" i="5" s="1"/>
  <c r="AW104" i="2"/>
  <c r="AW97" i="2"/>
  <c r="AW101" i="2"/>
  <c r="AW102" i="2"/>
  <c r="AW89" i="2"/>
  <c r="D1871" i="12"/>
  <c r="E1870" i="12"/>
  <c r="F1870" i="12"/>
  <c r="AW22" i="2"/>
  <c r="AW26" i="2"/>
  <c r="AW38" i="2"/>
  <c r="AW99" i="2"/>
  <c r="AW86" i="2"/>
  <c r="AW96" i="2"/>
  <c r="AW48" i="2"/>
  <c r="AW42" i="2"/>
  <c r="AW75" i="2"/>
  <c r="AW98" i="2"/>
  <c r="AW56" i="2"/>
  <c r="AW29" i="2"/>
  <c r="AW71" i="2"/>
  <c r="AW70" i="2"/>
  <c r="AW25" i="2"/>
  <c r="AW91" i="2"/>
  <c r="AW55" i="2"/>
  <c r="AW95" i="2"/>
  <c r="AW78" i="2"/>
  <c r="AW92" i="2"/>
  <c r="AW93" i="2"/>
  <c r="AW32" i="2"/>
  <c r="AW37" i="2"/>
  <c r="AW27" i="2"/>
  <c r="AW65" i="2"/>
  <c r="AW54" i="2"/>
  <c r="AW45" i="2"/>
  <c r="AW39" i="2"/>
  <c r="AW43" i="2"/>
  <c r="AW90" i="2"/>
  <c r="AW50" i="2"/>
  <c r="AW85" i="2"/>
  <c r="AW23" i="2"/>
  <c r="AW94" i="2"/>
  <c r="AW87" i="2"/>
  <c r="AW52" i="2"/>
  <c r="AW57" i="2"/>
  <c r="AW59" i="2"/>
  <c r="AW33" i="2"/>
  <c r="AW53" i="2"/>
  <c r="AW81" i="2"/>
  <c r="AW47" i="2"/>
  <c r="AW35" i="2"/>
  <c r="AW31" i="2"/>
  <c r="AW77" i="2"/>
  <c r="AW84" i="2"/>
  <c r="AW60" i="2"/>
  <c r="AW61" i="2"/>
  <c r="AW20" i="2"/>
  <c r="AW58" i="2"/>
  <c r="AW68" i="2"/>
  <c r="AW28" i="2"/>
  <c r="AW83" i="2"/>
  <c r="AW49" i="2"/>
  <c r="AW19" i="2"/>
  <c r="AW88" i="2"/>
  <c r="AW67" i="2"/>
  <c r="AW80" i="2"/>
  <c r="AW41" i="2"/>
  <c r="AW44" i="2"/>
  <c r="AW72" i="2"/>
  <c r="AW46" i="2"/>
  <c r="AW51" i="2"/>
  <c r="AW64" i="2"/>
  <c r="AW69" i="2"/>
  <c r="AW30" i="2"/>
  <c r="AW24" i="2"/>
  <c r="AW74" i="2"/>
  <c r="AW79" i="2"/>
  <c r="AW62" i="2"/>
  <c r="AW82" i="2"/>
  <c r="AW34" i="2"/>
  <c r="AW66" i="2"/>
  <c r="AW63" i="2"/>
  <c r="AW21" i="2"/>
  <c r="AW40" i="2"/>
  <c r="AW76" i="2"/>
  <c r="AW73" i="2"/>
  <c r="AS166" i="2"/>
  <c r="AS167" i="2" s="1"/>
  <c r="AS15" i="2" s="1"/>
  <c r="AW36" i="2"/>
  <c r="BG176" i="5"/>
  <c r="D21" i="5" s="1"/>
  <c r="CT20" i="5"/>
  <c r="AV27" i="5"/>
  <c r="AZ26" i="5"/>
  <c r="J21" i="5" l="1"/>
  <c r="N21" i="5"/>
  <c r="R21" i="5"/>
  <c r="O21" i="5"/>
  <c r="S21" i="5"/>
  <c r="L21" i="5"/>
  <c r="P21" i="5"/>
  <c r="M21" i="5"/>
  <c r="G21" i="5"/>
  <c r="K21" i="5"/>
  <c r="H21" i="5"/>
  <c r="T21" i="5"/>
  <c r="I21" i="5"/>
  <c r="Q21" i="5"/>
  <c r="D1872" i="12"/>
  <c r="E1871" i="12"/>
  <c r="F1871" i="12"/>
  <c r="AS194" i="2"/>
  <c r="Z158" i="5"/>
  <c r="Y159" i="5"/>
  <c r="Z151" i="5"/>
  <c r="Z159" i="5"/>
  <c r="Z152" i="5"/>
  <c r="Z139" i="5"/>
  <c r="Z141" i="5"/>
  <c r="Z105" i="5"/>
  <c r="Z148" i="5"/>
  <c r="Z145" i="5"/>
  <c r="Z154" i="5"/>
  <c r="Z137" i="5"/>
  <c r="Z146" i="5"/>
  <c r="Z135" i="5"/>
  <c r="Z121" i="5"/>
  <c r="Z133" i="5"/>
  <c r="Z92" i="5"/>
  <c r="Z122" i="5"/>
  <c r="Z90" i="5"/>
  <c r="Z108" i="5"/>
  <c r="CT21" i="5"/>
  <c r="AV28" i="5"/>
  <c r="AZ27" i="5"/>
  <c r="T58" i="5" l="1"/>
  <c r="T203" i="5" s="1"/>
  <c r="T22" i="5" s="1"/>
  <c r="AO161" i="5" s="1"/>
  <c r="AO15" i="5"/>
  <c r="O58" i="5"/>
  <c r="O203" i="5" s="1"/>
  <c r="O22" i="5" s="1"/>
  <c r="AJ160" i="5" s="1"/>
  <c r="AJ15" i="5"/>
  <c r="P58" i="5"/>
  <c r="P203" i="5" s="1"/>
  <c r="P22" i="5" s="1"/>
  <c r="AK160" i="5" s="1"/>
  <c r="AK15" i="5"/>
  <c r="Q58" i="5"/>
  <c r="Q203" i="5" s="1"/>
  <c r="Q22" i="5" s="1"/>
  <c r="AL160" i="5" s="1"/>
  <c r="AL15" i="5"/>
  <c r="K58" i="5"/>
  <c r="K203" i="5" s="1"/>
  <c r="K22" i="5" s="1"/>
  <c r="AF161" i="5" s="1"/>
  <c r="AF15" i="5"/>
  <c r="L58" i="5"/>
  <c r="L203" i="5" s="1"/>
  <c r="L22" i="5" s="1"/>
  <c r="AG160" i="5" s="1"/>
  <c r="AG15" i="5"/>
  <c r="N58" i="5"/>
  <c r="N203" i="5" s="1"/>
  <c r="N22" i="5" s="1"/>
  <c r="AI160" i="5" s="1"/>
  <c r="AI15" i="5"/>
  <c r="M58" i="5"/>
  <c r="M203" i="5" s="1"/>
  <c r="M22" i="5" s="1"/>
  <c r="AH161" i="5" s="1"/>
  <c r="AH15" i="5"/>
  <c r="H58" i="5"/>
  <c r="H203" i="5" s="1"/>
  <c r="H22" i="5" s="1"/>
  <c r="AC161" i="5" s="1"/>
  <c r="AC15" i="5"/>
  <c r="R58" i="5"/>
  <c r="R203" i="5" s="1"/>
  <c r="R22" i="5" s="1"/>
  <c r="AM160" i="5" s="1"/>
  <c r="AM15" i="5"/>
  <c r="I58" i="5"/>
  <c r="I203" i="5" s="1"/>
  <c r="I22" i="5" s="1"/>
  <c r="AD160" i="5" s="1"/>
  <c r="AD15" i="5"/>
  <c r="G58" i="5"/>
  <c r="G203" i="5" s="1"/>
  <c r="G22" i="5" s="1"/>
  <c r="AB160" i="5" s="1"/>
  <c r="AB15" i="5"/>
  <c r="S58" i="5"/>
  <c r="S203" i="5" s="1"/>
  <c r="S22" i="5" s="1"/>
  <c r="AN161" i="5" s="1"/>
  <c r="AN15" i="5"/>
  <c r="J58" i="5"/>
  <c r="J203" i="5" s="1"/>
  <c r="J22" i="5" s="1"/>
  <c r="AE160" i="5" s="1"/>
  <c r="AE15" i="5"/>
  <c r="D1873" i="12"/>
  <c r="E1872" i="12"/>
  <c r="F1872" i="12"/>
  <c r="D59" i="5"/>
  <c r="Z91" i="5"/>
  <c r="Z96" i="5"/>
  <c r="Z156" i="5"/>
  <c r="Z129" i="5"/>
  <c r="Z123" i="5"/>
  <c r="Z134" i="5"/>
  <c r="Z118" i="5"/>
  <c r="Z138" i="5"/>
  <c r="D60" i="5"/>
  <c r="Z126" i="5"/>
  <c r="Z136" i="5"/>
  <c r="Z157" i="5"/>
  <c r="Z117" i="5"/>
  <c r="Z89" i="5"/>
  <c r="Z116" i="5"/>
  <c r="Z115" i="5"/>
  <c r="Z131" i="5"/>
  <c r="E61" i="5"/>
  <c r="Y130" i="5"/>
  <c r="Y141" i="5"/>
  <c r="Y129" i="5"/>
  <c r="Y149" i="5"/>
  <c r="D10" i="5"/>
  <c r="Y134" i="5"/>
  <c r="Z144" i="5"/>
  <c r="Z113" i="5"/>
  <c r="Z150" i="5"/>
  <c r="Z99" i="5"/>
  <c r="Z124" i="5"/>
  <c r="Z110" i="5"/>
  <c r="Z109" i="5"/>
  <c r="Z149" i="5"/>
  <c r="E10" i="5"/>
  <c r="A29" i="5" s="1"/>
  <c r="Z153" i="5"/>
  <c r="Z93" i="5"/>
  <c r="Z111" i="5"/>
  <c r="Y145" i="5"/>
  <c r="Y144" i="5"/>
  <c r="Z97" i="5"/>
  <c r="Z128" i="5"/>
  <c r="Z95" i="5"/>
  <c r="Z143" i="5"/>
  <c r="Z114" i="5"/>
  <c r="Z142" i="5"/>
  <c r="Z155" i="5"/>
  <c r="Z100" i="5"/>
  <c r="Z120" i="5"/>
  <c r="Z106" i="5"/>
  <c r="Z119" i="5"/>
  <c r="Z140" i="5"/>
  <c r="Z130" i="5"/>
  <c r="Z112" i="5"/>
  <c r="Y142" i="5"/>
  <c r="Y136" i="5"/>
  <c r="E21" i="5"/>
  <c r="E58" i="5" s="1"/>
  <c r="Y131" i="5"/>
  <c r="Y153" i="5"/>
  <c r="Y151" i="5"/>
  <c r="Y150" i="5"/>
  <c r="Y147" i="5"/>
  <c r="Y154" i="5"/>
  <c r="Z132" i="5"/>
  <c r="Z103" i="5"/>
  <c r="Z147" i="5"/>
  <c r="Z102" i="5"/>
  <c r="Z88" i="5"/>
  <c r="Z127" i="5"/>
  <c r="Z98" i="5"/>
  <c r="Z125" i="5"/>
  <c r="Z101" i="5"/>
  <c r="Z104" i="5"/>
  <c r="Z94" i="5"/>
  <c r="Z107" i="5"/>
  <c r="Y148" i="5"/>
  <c r="Y156" i="5"/>
  <c r="Y155" i="5"/>
  <c r="E60" i="5"/>
  <c r="E59" i="5"/>
  <c r="Y143" i="5"/>
  <c r="Y138" i="5"/>
  <c r="Y140" i="5"/>
  <c r="Y137" i="5"/>
  <c r="Y152" i="5"/>
  <c r="Y139" i="5"/>
  <c r="Y146" i="5"/>
  <c r="Y132" i="5"/>
  <c r="Y135" i="5"/>
  <c r="Y157" i="5"/>
  <c r="Y133" i="5"/>
  <c r="Y128" i="5"/>
  <c r="Y158" i="5"/>
  <c r="AN77" i="5"/>
  <c r="AN82" i="5"/>
  <c r="AN87" i="5"/>
  <c r="AN92" i="5"/>
  <c r="AN94" i="5"/>
  <c r="AN97" i="5"/>
  <c r="AN99" i="5"/>
  <c r="AN104" i="5"/>
  <c r="AN109" i="5"/>
  <c r="AN114" i="5"/>
  <c r="AN119" i="5"/>
  <c r="AN124" i="5"/>
  <c r="AN126" i="5"/>
  <c r="AN133" i="5"/>
  <c r="AN136" i="5"/>
  <c r="AN76" i="5"/>
  <c r="AN81" i="5"/>
  <c r="AN78" i="5"/>
  <c r="AN83" i="5"/>
  <c r="AN88" i="5"/>
  <c r="AN93" i="5"/>
  <c r="AN98" i="5"/>
  <c r="AN103" i="5"/>
  <c r="AN79" i="5"/>
  <c r="AN84" i="5"/>
  <c r="AN89" i="5"/>
  <c r="AN80" i="5"/>
  <c r="AN85" i="5"/>
  <c r="AN86" i="5"/>
  <c r="AN90" i="5"/>
  <c r="AN91" i="5"/>
  <c r="AN95" i="5"/>
  <c r="AN96" i="5"/>
  <c r="AN100" i="5"/>
  <c r="AN101" i="5"/>
  <c r="AN105" i="5"/>
  <c r="AN106" i="5"/>
  <c r="AN111" i="5"/>
  <c r="AN116" i="5"/>
  <c r="AN121" i="5"/>
  <c r="AN130" i="5"/>
  <c r="AN134" i="5"/>
  <c r="AN137" i="5"/>
  <c r="AN138" i="5"/>
  <c r="AN141" i="5"/>
  <c r="AN144" i="5"/>
  <c r="AN147" i="5"/>
  <c r="AN150" i="5"/>
  <c r="AN157" i="5"/>
  <c r="AN110" i="5"/>
  <c r="AN118" i="5"/>
  <c r="AN120" i="5"/>
  <c r="AN131" i="5"/>
  <c r="AN132" i="5"/>
  <c r="AN140" i="5"/>
  <c r="AN151" i="5"/>
  <c r="AN155" i="5"/>
  <c r="AN159" i="5"/>
  <c r="AN107" i="5"/>
  <c r="AN108" i="5"/>
  <c r="AN117" i="5"/>
  <c r="AN127" i="5"/>
  <c r="AN128" i="5"/>
  <c r="AN129" i="5"/>
  <c r="AN148" i="5"/>
  <c r="AN152" i="5"/>
  <c r="AN156" i="5"/>
  <c r="AN115" i="5"/>
  <c r="AN123" i="5"/>
  <c r="AN125" i="5"/>
  <c r="AN142" i="5"/>
  <c r="AN145" i="5"/>
  <c r="AN146" i="5"/>
  <c r="AN149" i="5"/>
  <c r="AN153" i="5"/>
  <c r="AN102" i="5"/>
  <c r="AN112" i="5"/>
  <c r="AN113" i="5"/>
  <c r="AN122" i="5"/>
  <c r="AN135" i="5"/>
  <c r="AN139" i="5"/>
  <c r="AN143" i="5"/>
  <c r="AN154" i="5"/>
  <c r="AN158" i="5"/>
  <c r="S10" i="5"/>
  <c r="AO84" i="5"/>
  <c r="AO102" i="5"/>
  <c r="AO135" i="5"/>
  <c r="AO131" i="5"/>
  <c r="AO127" i="5"/>
  <c r="AO123" i="5"/>
  <c r="AO119" i="5"/>
  <c r="AO115" i="5"/>
  <c r="AO111" i="5"/>
  <c r="AO107" i="5"/>
  <c r="AO103" i="5"/>
  <c r="AO99" i="5"/>
  <c r="AO95" i="5"/>
  <c r="AO91" i="5"/>
  <c r="AO87" i="5"/>
  <c r="AO86" i="5"/>
  <c r="AO100" i="5"/>
  <c r="AO116" i="5"/>
  <c r="AO132" i="5"/>
  <c r="AO97" i="5"/>
  <c r="AO113" i="5"/>
  <c r="AO129" i="5"/>
  <c r="AO145" i="5"/>
  <c r="AO90" i="5"/>
  <c r="AO106" i="5"/>
  <c r="AO156" i="5"/>
  <c r="AO152" i="5"/>
  <c r="AO148" i="5"/>
  <c r="AO144" i="5"/>
  <c r="AO140" i="5"/>
  <c r="AO136" i="5"/>
  <c r="AO77" i="5"/>
  <c r="AO76" i="5"/>
  <c r="AO94" i="5"/>
  <c r="AO110" i="5"/>
  <c r="AO159" i="5"/>
  <c r="AO155" i="5"/>
  <c r="AO151" i="5"/>
  <c r="AO147" i="5"/>
  <c r="AO143" i="5"/>
  <c r="AO139" i="5"/>
  <c r="AO134" i="5"/>
  <c r="AO130" i="5"/>
  <c r="AO126" i="5"/>
  <c r="AO122" i="5"/>
  <c r="AO118" i="5"/>
  <c r="AO158" i="5"/>
  <c r="AO154" i="5"/>
  <c r="AO150" i="5"/>
  <c r="AO146" i="5"/>
  <c r="AO142" i="5"/>
  <c r="AO138" i="5"/>
  <c r="AO81" i="5"/>
  <c r="AO79" i="5"/>
  <c r="AO78" i="5"/>
  <c r="AO92" i="5"/>
  <c r="AO108" i="5"/>
  <c r="AO124" i="5"/>
  <c r="AO89" i="5"/>
  <c r="AO105" i="5"/>
  <c r="AO121" i="5"/>
  <c r="AO137" i="5"/>
  <c r="AO80" i="5"/>
  <c r="AO98" i="5"/>
  <c r="AO114" i="5"/>
  <c r="AO85" i="5"/>
  <c r="AO83" i="5"/>
  <c r="AO82" i="5"/>
  <c r="AO96" i="5"/>
  <c r="AO112" i="5"/>
  <c r="AO128" i="5"/>
  <c r="AO93" i="5"/>
  <c r="AO109" i="5"/>
  <c r="AO125" i="5"/>
  <c r="AO141" i="5"/>
  <c r="AO88" i="5"/>
  <c r="AO104" i="5"/>
  <c r="AO117" i="5"/>
  <c r="AO153" i="5"/>
  <c r="AO120" i="5"/>
  <c r="AO133" i="5"/>
  <c r="AO149" i="5"/>
  <c r="AO101" i="5"/>
  <c r="AO157" i="5"/>
  <c r="T10" i="5"/>
  <c r="AE76" i="5"/>
  <c r="AE79" i="5"/>
  <c r="AE81" i="5"/>
  <c r="AE86" i="5"/>
  <c r="AE91" i="5"/>
  <c r="AE96" i="5"/>
  <c r="AE101" i="5"/>
  <c r="AE106" i="5"/>
  <c r="AE108" i="5"/>
  <c r="AE111" i="5"/>
  <c r="AE113" i="5"/>
  <c r="AE118" i="5"/>
  <c r="AE123" i="5"/>
  <c r="AE128" i="5"/>
  <c r="AE135" i="5"/>
  <c r="AE138" i="5"/>
  <c r="AE77" i="5"/>
  <c r="AE78" i="5"/>
  <c r="AE82" i="5"/>
  <c r="AE83" i="5"/>
  <c r="AE87" i="5"/>
  <c r="AE88" i="5"/>
  <c r="AE93" i="5"/>
  <c r="AE98" i="5"/>
  <c r="AE103" i="5"/>
  <c r="AE84" i="5"/>
  <c r="AE89" i="5"/>
  <c r="AE94" i="5"/>
  <c r="AE99" i="5"/>
  <c r="AE100" i="5"/>
  <c r="AE104" i="5"/>
  <c r="AE80" i="5"/>
  <c r="AE85" i="5"/>
  <c r="AE90" i="5"/>
  <c r="AE95" i="5"/>
  <c r="AE116" i="5"/>
  <c r="AE121" i="5"/>
  <c r="AE126" i="5"/>
  <c r="AE130" i="5"/>
  <c r="AE134" i="5"/>
  <c r="AE143" i="5"/>
  <c r="AE146" i="5"/>
  <c r="AE149" i="5"/>
  <c r="AE152" i="5"/>
  <c r="AE159" i="5"/>
  <c r="AE97" i="5"/>
  <c r="AE112" i="5"/>
  <c r="AE114" i="5"/>
  <c r="AE122" i="5"/>
  <c r="AE136" i="5"/>
  <c r="AE137" i="5"/>
  <c r="AE139" i="5"/>
  <c r="AE140" i="5"/>
  <c r="AE144" i="5"/>
  <c r="AE147" i="5"/>
  <c r="AE148" i="5"/>
  <c r="AE151" i="5"/>
  <c r="AE155" i="5"/>
  <c r="AE110" i="5"/>
  <c r="AE120" i="5"/>
  <c r="AE131" i="5"/>
  <c r="AE132" i="5"/>
  <c r="AE133" i="5"/>
  <c r="AE141" i="5"/>
  <c r="AE145" i="5"/>
  <c r="AE156" i="5"/>
  <c r="AE92" i="5"/>
  <c r="AE102" i="5"/>
  <c r="AE107" i="5"/>
  <c r="AE109" i="5"/>
  <c r="AE117" i="5"/>
  <c r="AE119" i="5"/>
  <c r="AE127" i="5"/>
  <c r="AE129" i="5"/>
  <c r="AE142" i="5"/>
  <c r="AE153" i="5"/>
  <c r="AE157" i="5"/>
  <c r="AE105" i="5"/>
  <c r="AE115" i="5"/>
  <c r="AE124" i="5"/>
  <c r="AE125" i="5"/>
  <c r="AE150" i="5"/>
  <c r="AE154" i="5"/>
  <c r="AE158" i="5"/>
  <c r="J10" i="5"/>
  <c r="AH92" i="5"/>
  <c r="AH124" i="5"/>
  <c r="AH136" i="5"/>
  <c r="AH76" i="5"/>
  <c r="AH84" i="5"/>
  <c r="AH144" i="5"/>
  <c r="AH100" i="5"/>
  <c r="AH140" i="5"/>
  <c r="AH132" i="5"/>
  <c r="AH148" i="5"/>
  <c r="AH152" i="5"/>
  <c r="AH156" i="5"/>
  <c r="AH108" i="5"/>
  <c r="AH116" i="5"/>
  <c r="AH128" i="5"/>
  <c r="AH151" i="5"/>
  <c r="AH135" i="5"/>
  <c r="AH101" i="5"/>
  <c r="AH82" i="5"/>
  <c r="AH98" i="5"/>
  <c r="AH114" i="5"/>
  <c r="AH91" i="5"/>
  <c r="AH107" i="5"/>
  <c r="AH123" i="5"/>
  <c r="AH150" i="5"/>
  <c r="AH134" i="5"/>
  <c r="AH120" i="5"/>
  <c r="AH88" i="5"/>
  <c r="AH157" i="5"/>
  <c r="AH141" i="5"/>
  <c r="AH113" i="5"/>
  <c r="AH155" i="5"/>
  <c r="AH139" i="5"/>
  <c r="AH109" i="5"/>
  <c r="AH77" i="5"/>
  <c r="AH86" i="5"/>
  <c r="AH102" i="5"/>
  <c r="AH118" i="5"/>
  <c r="AH79" i="5"/>
  <c r="AH95" i="5"/>
  <c r="AH111" i="5"/>
  <c r="AH154" i="5"/>
  <c r="AH138" i="5"/>
  <c r="AH96" i="5"/>
  <c r="AH159" i="5"/>
  <c r="AH143" i="5"/>
  <c r="AH127" i="5"/>
  <c r="AH117" i="5"/>
  <c r="AH85" i="5"/>
  <c r="AH90" i="5"/>
  <c r="AH106" i="5"/>
  <c r="AH122" i="5"/>
  <c r="AH83" i="5"/>
  <c r="AH99" i="5"/>
  <c r="AH115" i="5"/>
  <c r="AH158" i="5"/>
  <c r="AH142" i="5"/>
  <c r="AH104" i="5"/>
  <c r="AH147" i="5"/>
  <c r="AH131" i="5"/>
  <c r="AH125" i="5"/>
  <c r="AH93" i="5"/>
  <c r="AH78" i="5"/>
  <c r="AH94" i="5"/>
  <c r="AH110" i="5"/>
  <c r="AH126" i="5"/>
  <c r="AH87" i="5"/>
  <c r="AH103" i="5"/>
  <c r="AH119" i="5"/>
  <c r="AH146" i="5"/>
  <c r="AH130" i="5"/>
  <c r="AH112" i="5"/>
  <c r="AH80" i="5"/>
  <c r="AH153" i="5"/>
  <c r="AH137" i="5"/>
  <c r="AH149" i="5"/>
  <c r="AH129" i="5"/>
  <c r="AH105" i="5"/>
  <c r="AH89" i="5"/>
  <c r="AH145" i="5"/>
  <c r="AH133" i="5"/>
  <c r="AH97" i="5"/>
  <c r="AH121" i="5"/>
  <c r="AH81" i="5"/>
  <c r="M10" i="5"/>
  <c r="AJ76" i="5"/>
  <c r="AJ78" i="5"/>
  <c r="AJ83" i="5"/>
  <c r="AJ88" i="5"/>
  <c r="AJ93" i="5"/>
  <c r="AJ98" i="5"/>
  <c r="AJ103" i="5"/>
  <c r="AJ105" i="5"/>
  <c r="AJ108" i="5"/>
  <c r="AJ110" i="5"/>
  <c r="AJ115" i="5"/>
  <c r="AJ120" i="5"/>
  <c r="AJ125" i="5"/>
  <c r="AJ128" i="5"/>
  <c r="AJ131" i="5"/>
  <c r="AJ134" i="5"/>
  <c r="AJ137" i="5"/>
  <c r="AJ79" i="5"/>
  <c r="AJ80" i="5"/>
  <c r="AJ84" i="5"/>
  <c r="AJ85" i="5"/>
  <c r="AJ90" i="5"/>
  <c r="AJ95" i="5"/>
  <c r="AJ100" i="5"/>
  <c r="AJ81" i="5"/>
  <c r="AJ86" i="5"/>
  <c r="AJ91" i="5"/>
  <c r="AJ96" i="5"/>
  <c r="AJ97" i="5"/>
  <c r="AJ101" i="5"/>
  <c r="AJ102" i="5"/>
  <c r="AJ77" i="5"/>
  <c r="AJ82" i="5"/>
  <c r="AJ87" i="5"/>
  <c r="AJ92" i="5"/>
  <c r="AJ113" i="5"/>
  <c r="AJ118" i="5"/>
  <c r="AJ123" i="5"/>
  <c r="AJ135" i="5"/>
  <c r="AJ139" i="5"/>
  <c r="AJ142" i="5"/>
  <c r="AJ145" i="5"/>
  <c r="AJ152" i="5"/>
  <c r="AJ155" i="5"/>
  <c r="AJ158" i="5"/>
  <c r="AJ107" i="5"/>
  <c r="AJ117" i="5"/>
  <c r="AJ126" i="5"/>
  <c r="AJ127" i="5"/>
  <c r="AJ149" i="5"/>
  <c r="AJ153" i="5"/>
  <c r="AJ156" i="5"/>
  <c r="AJ157" i="5"/>
  <c r="AJ94" i="5"/>
  <c r="AJ104" i="5"/>
  <c r="AJ106" i="5"/>
  <c r="AJ114" i="5"/>
  <c r="AJ116" i="5"/>
  <c r="AJ124" i="5"/>
  <c r="AJ146" i="5"/>
  <c r="AJ150" i="5"/>
  <c r="AJ154" i="5"/>
  <c r="AJ112" i="5"/>
  <c r="AJ121" i="5"/>
  <c r="AJ122" i="5"/>
  <c r="AJ133" i="5"/>
  <c r="AJ136" i="5"/>
  <c r="AJ138" i="5"/>
  <c r="AJ143" i="5"/>
  <c r="AJ147" i="5"/>
  <c r="AJ151" i="5"/>
  <c r="AJ89" i="5"/>
  <c r="AJ99" i="5"/>
  <c r="AJ109" i="5"/>
  <c r="AJ111" i="5"/>
  <c r="AJ119" i="5"/>
  <c r="AJ129" i="5"/>
  <c r="AJ130" i="5"/>
  <c r="AJ132" i="5"/>
  <c r="AJ140" i="5"/>
  <c r="AJ141" i="5"/>
  <c r="AJ144" i="5"/>
  <c r="AJ148" i="5"/>
  <c r="AJ159" i="5"/>
  <c r="O10" i="5"/>
  <c r="AG118" i="5"/>
  <c r="AG159" i="5"/>
  <c r="AG155" i="5"/>
  <c r="AG151" i="5"/>
  <c r="AG147" i="5"/>
  <c r="AG143" i="5"/>
  <c r="AG139" i="5"/>
  <c r="AG134" i="5"/>
  <c r="AG130" i="5"/>
  <c r="AG126" i="5"/>
  <c r="AG122" i="5"/>
  <c r="AG76" i="5"/>
  <c r="AG94" i="5"/>
  <c r="AG110" i="5"/>
  <c r="AG158" i="5"/>
  <c r="AG154" i="5"/>
  <c r="AG150" i="5"/>
  <c r="AG146" i="5"/>
  <c r="AG142" i="5"/>
  <c r="AG138" i="5"/>
  <c r="AG80" i="5"/>
  <c r="AG98" i="5"/>
  <c r="AG114" i="5"/>
  <c r="AG135" i="5"/>
  <c r="AG131" i="5"/>
  <c r="AG127" i="5"/>
  <c r="AG123" i="5"/>
  <c r="AG119" i="5"/>
  <c r="AG115" i="5"/>
  <c r="AG111" i="5"/>
  <c r="AG107" i="5"/>
  <c r="AG103" i="5"/>
  <c r="AG99" i="5"/>
  <c r="AG95" i="5"/>
  <c r="AG91" i="5"/>
  <c r="AG84" i="5"/>
  <c r="AG102" i="5"/>
  <c r="AG156" i="5"/>
  <c r="AG152" i="5"/>
  <c r="AG148" i="5"/>
  <c r="AG144" i="5"/>
  <c r="AG140" i="5"/>
  <c r="AG136" i="5"/>
  <c r="AG90" i="5"/>
  <c r="AG106" i="5"/>
  <c r="AG108" i="5"/>
  <c r="AG87" i="5"/>
  <c r="AG82" i="5"/>
  <c r="AG96" i="5"/>
  <c r="AG112" i="5"/>
  <c r="AG128" i="5"/>
  <c r="AG93" i="5"/>
  <c r="AG109" i="5"/>
  <c r="AG125" i="5"/>
  <c r="AG141" i="5"/>
  <c r="AG78" i="5"/>
  <c r="AG105" i="5"/>
  <c r="AG77" i="5"/>
  <c r="AG86" i="5"/>
  <c r="AG100" i="5"/>
  <c r="AG116" i="5"/>
  <c r="AG132" i="5"/>
  <c r="AG97" i="5"/>
  <c r="AG113" i="5"/>
  <c r="AG129" i="5"/>
  <c r="AG145" i="5"/>
  <c r="AG157" i="5"/>
  <c r="AG153" i="5"/>
  <c r="AG149" i="5"/>
  <c r="AG89" i="5"/>
  <c r="AG137" i="5"/>
  <c r="AG81" i="5"/>
  <c r="AG79" i="5"/>
  <c r="AG88" i="5"/>
  <c r="AG104" i="5"/>
  <c r="AG120" i="5"/>
  <c r="AG101" i="5"/>
  <c r="AG117" i="5"/>
  <c r="AG133" i="5"/>
  <c r="AG85" i="5"/>
  <c r="AG83" i="5"/>
  <c r="AG92" i="5"/>
  <c r="AG124" i="5"/>
  <c r="AG121" i="5"/>
  <c r="L10" i="5"/>
  <c r="AD103" i="5"/>
  <c r="AD131" i="5"/>
  <c r="AD87" i="5"/>
  <c r="AD79" i="5"/>
  <c r="AD95" i="5"/>
  <c r="AD111" i="5"/>
  <c r="AD127" i="5"/>
  <c r="AD155" i="5"/>
  <c r="AD135" i="5"/>
  <c r="AD159" i="5"/>
  <c r="AD119" i="5"/>
  <c r="AD139" i="5"/>
  <c r="AD143" i="5"/>
  <c r="AD147" i="5"/>
  <c r="AD151" i="5"/>
  <c r="AD146" i="5"/>
  <c r="AD130" i="5"/>
  <c r="AD112" i="5"/>
  <c r="AD80" i="5"/>
  <c r="AD145" i="5"/>
  <c r="AD129" i="5"/>
  <c r="AD99" i="5"/>
  <c r="AD89" i="5"/>
  <c r="AD105" i="5"/>
  <c r="AD121" i="5"/>
  <c r="AD90" i="5"/>
  <c r="AD106" i="5"/>
  <c r="AD122" i="5"/>
  <c r="AD152" i="5"/>
  <c r="AD136" i="5"/>
  <c r="AD124" i="5"/>
  <c r="AD92" i="5"/>
  <c r="AD150" i="5"/>
  <c r="AD134" i="5"/>
  <c r="AD120" i="5"/>
  <c r="AD88" i="5"/>
  <c r="AD149" i="5"/>
  <c r="AD133" i="5"/>
  <c r="AD107" i="5"/>
  <c r="AD77" i="5"/>
  <c r="AD93" i="5"/>
  <c r="AD109" i="5"/>
  <c r="AD125" i="5"/>
  <c r="AD78" i="5"/>
  <c r="AD94" i="5"/>
  <c r="AD110" i="5"/>
  <c r="AD154" i="5"/>
  <c r="AD138" i="5"/>
  <c r="AD96" i="5"/>
  <c r="AD153" i="5"/>
  <c r="AD137" i="5"/>
  <c r="AD115" i="5"/>
  <c r="AD83" i="5"/>
  <c r="AD81" i="5"/>
  <c r="AD97" i="5"/>
  <c r="AD113" i="5"/>
  <c r="AD158" i="5"/>
  <c r="AD142" i="5"/>
  <c r="AD104" i="5"/>
  <c r="AD157" i="5"/>
  <c r="AD141" i="5"/>
  <c r="AD123" i="5"/>
  <c r="AD91" i="5"/>
  <c r="AD85" i="5"/>
  <c r="AD101" i="5"/>
  <c r="AD117" i="5"/>
  <c r="AD86" i="5"/>
  <c r="AD102" i="5"/>
  <c r="AD118" i="5"/>
  <c r="AD148" i="5"/>
  <c r="AD82" i="5"/>
  <c r="AD98" i="5"/>
  <c r="AD156" i="5"/>
  <c r="AD128" i="5"/>
  <c r="AD116" i="5"/>
  <c r="AD100" i="5"/>
  <c r="AD76" i="5"/>
  <c r="AD114" i="5"/>
  <c r="AD144" i="5"/>
  <c r="AD84" i="5"/>
  <c r="AD126" i="5"/>
  <c r="AD140" i="5"/>
  <c r="AD132" i="5"/>
  <c r="AD108" i="5"/>
  <c r="I10" i="5"/>
  <c r="AF77" i="5"/>
  <c r="AF82" i="5"/>
  <c r="AF84" i="5"/>
  <c r="AF87" i="5"/>
  <c r="AF89" i="5"/>
  <c r="AF94" i="5"/>
  <c r="AF99" i="5"/>
  <c r="AF104" i="5"/>
  <c r="AF109" i="5"/>
  <c r="AF114" i="5"/>
  <c r="AF116" i="5"/>
  <c r="AF119" i="5"/>
  <c r="AF121" i="5"/>
  <c r="AF126" i="5"/>
  <c r="AF129" i="5"/>
  <c r="AF132" i="5"/>
  <c r="AF139" i="5"/>
  <c r="AF76" i="5"/>
  <c r="AF80" i="5"/>
  <c r="AF81" i="5"/>
  <c r="AF85" i="5"/>
  <c r="AF86" i="5"/>
  <c r="AF92" i="5"/>
  <c r="AF97" i="5"/>
  <c r="AF102" i="5"/>
  <c r="AF78" i="5"/>
  <c r="AF83" i="5"/>
  <c r="AF88" i="5"/>
  <c r="AF93" i="5"/>
  <c r="AF98" i="5"/>
  <c r="AF103" i="5"/>
  <c r="AF79" i="5"/>
  <c r="AF100" i="5"/>
  <c r="AF105" i="5"/>
  <c r="AF110" i="5"/>
  <c r="AF115" i="5"/>
  <c r="AF120" i="5"/>
  <c r="AF125" i="5"/>
  <c r="AF133" i="5"/>
  <c r="AF137" i="5"/>
  <c r="AF140" i="5"/>
  <c r="AF147" i="5"/>
  <c r="AF150" i="5"/>
  <c r="AF153" i="5"/>
  <c r="AF156" i="5"/>
  <c r="AF90" i="5"/>
  <c r="AF113" i="5"/>
  <c r="AF123" i="5"/>
  <c r="AF124" i="5"/>
  <c r="AF138" i="5"/>
  <c r="AF143" i="5"/>
  <c r="AF154" i="5"/>
  <c r="AF158" i="5"/>
  <c r="AF91" i="5"/>
  <c r="AF101" i="5"/>
  <c r="AF111" i="5"/>
  <c r="AF112" i="5"/>
  <c r="AF122" i="5"/>
  <c r="AF134" i="5"/>
  <c r="AF135" i="5"/>
  <c r="AF136" i="5"/>
  <c r="AF144" i="5"/>
  <c r="AF148" i="5"/>
  <c r="AF151" i="5"/>
  <c r="AF152" i="5"/>
  <c r="AF155" i="5"/>
  <c r="AF159" i="5"/>
  <c r="AF95" i="5"/>
  <c r="AF108" i="5"/>
  <c r="AF118" i="5"/>
  <c r="AF128" i="5"/>
  <c r="AF130" i="5"/>
  <c r="AF131" i="5"/>
  <c r="AF141" i="5"/>
  <c r="AF145" i="5"/>
  <c r="AF149" i="5"/>
  <c r="AF96" i="5"/>
  <c r="AF106" i="5"/>
  <c r="AF107" i="5"/>
  <c r="AF117" i="5"/>
  <c r="AF127" i="5"/>
  <c r="AF142" i="5"/>
  <c r="AF146" i="5"/>
  <c r="AF157" i="5"/>
  <c r="K10" i="5"/>
  <c r="AM79" i="5"/>
  <c r="AM84" i="5"/>
  <c r="AM86" i="5"/>
  <c r="AM89" i="5"/>
  <c r="AM91" i="5"/>
  <c r="AM96" i="5"/>
  <c r="AM101" i="5"/>
  <c r="AM106" i="5"/>
  <c r="AM111" i="5"/>
  <c r="AM116" i="5"/>
  <c r="AM118" i="5"/>
  <c r="AM121" i="5"/>
  <c r="AM123" i="5"/>
  <c r="AM129" i="5"/>
  <c r="AM132" i="5"/>
  <c r="AM135" i="5"/>
  <c r="AM138" i="5"/>
  <c r="AM77" i="5"/>
  <c r="AM78" i="5"/>
  <c r="AM82" i="5"/>
  <c r="AM83" i="5"/>
  <c r="AM87" i="5"/>
  <c r="AM94" i="5"/>
  <c r="AM99" i="5"/>
  <c r="AM80" i="5"/>
  <c r="AM85" i="5"/>
  <c r="AM90" i="5"/>
  <c r="AM95" i="5"/>
  <c r="AM100" i="5"/>
  <c r="AM76" i="5"/>
  <c r="AM81" i="5"/>
  <c r="AM102" i="5"/>
  <c r="AM107" i="5"/>
  <c r="AM112" i="5"/>
  <c r="AM117" i="5"/>
  <c r="AM122" i="5"/>
  <c r="AM127" i="5"/>
  <c r="AM131" i="5"/>
  <c r="AM140" i="5"/>
  <c r="AM143" i="5"/>
  <c r="AM146" i="5"/>
  <c r="AM153" i="5"/>
  <c r="AM156" i="5"/>
  <c r="AM159" i="5"/>
  <c r="AM93" i="5"/>
  <c r="AM103" i="5"/>
  <c r="AM108" i="5"/>
  <c r="AM109" i="5"/>
  <c r="AM119" i="5"/>
  <c r="AM128" i="5"/>
  <c r="AM130" i="5"/>
  <c r="AM133" i="5"/>
  <c r="AM144" i="5"/>
  <c r="AM148" i="5"/>
  <c r="AM152" i="5"/>
  <c r="AM97" i="5"/>
  <c r="AM115" i="5"/>
  <c r="AM125" i="5"/>
  <c r="AM126" i="5"/>
  <c r="AM141" i="5"/>
  <c r="AM142" i="5"/>
  <c r="AM145" i="5"/>
  <c r="AM149" i="5"/>
  <c r="AM88" i="5"/>
  <c r="AM98" i="5"/>
  <c r="AM104" i="5"/>
  <c r="AM105" i="5"/>
  <c r="AM113" i="5"/>
  <c r="AM114" i="5"/>
  <c r="AM124" i="5"/>
  <c r="AM139" i="5"/>
  <c r="AM150" i="5"/>
  <c r="AM154" i="5"/>
  <c r="AM157" i="5"/>
  <c r="AM158" i="5"/>
  <c r="AM92" i="5"/>
  <c r="AM110" i="5"/>
  <c r="AM120" i="5"/>
  <c r="AM134" i="5"/>
  <c r="AM136" i="5"/>
  <c r="AM137" i="5"/>
  <c r="AM147" i="5"/>
  <c r="AM151" i="5"/>
  <c r="AM155" i="5"/>
  <c r="R10" i="5"/>
  <c r="AK87" i="5"/>
  <c r="AK76" i="5"/>
  <c r="AK94" i="5"/>
  <c r="AK110" i="5"/>
  <c r="AK77" i="5"/>
  <c r="AK135" i="5"/>
  <c r="AK131" i="5"/>
  <c r="AK127" i="5"/>
  <c r="AK123" i="5"/>
  <c r="AK119" i="5"/>
  <c r="AK115" i="5"/>
  <c r="AK111" i="5"/>
  <c r="AK107" i="5"/>
  <c r="AK103" i="5"/>
  <c r="AK99" i="5"/>
  <c r="AK95" i="5"/>
  <c r="AK91" i="5"/>
  <c r="AK80" i="5"/>
  <c r="AK98" i="5"/>
  <c r="AK114" i="5"/>
  <c r="AK156" i="5"/>
  <c r="AK152" i="5"/>
  <c r="AK148" i="5"/>
  <c r="AK144" i="5"/>
  <c r="AK140" i="5"/>
  <c r="AK136" i="5"/>
  <c r="AK84" i="5"/>
  <c r="AK102" i="5"/>
  <c r="AK90" i="5"/>
  <c r="AK106" i="5"/>
  <c r="AK159" i="5"/>
  <c r="AK155" i="5"/>
  <c r="AK151" i="5"/>
  <c r="AK147" i="5"/>
  <c r="AK143" i="5"/>
  <c r="AK139" i="5"/>
  <c r="AK134" i="5"/>
  <c r="AK130" i="5"/>
  <c r="AK126" i="5"/>
  <c r="AK122" i="5"/>
  <c r="AK118" i="5"/>
  <c r="AK158" i="5"/>
  <c r="AK154" i="5"/>
  <c r="AK150" i="5"/>
  <c r="AK146" i="5"/>
  <c r="AK142" i="5"/>
  <c r="AK138" i="5"/>
  <c r="AK85" i="5"/>
  <c r="AK79" i="5"/>
  <c r="AK78" i="5"/>
  <c r="AK124" i="5"/>
  <c r="AK83" i="5"/>
  <c r="AK82" i="5"/>
  <c r="AK96" i="5"/>
  <c r="AK112" i="5"/>
  <c r="AK128" i="5"/>
  <c r="AK93" i="5"/>
  <c r="AK109" i="5"/>
  <c r="AK125" i="5"/>
  <c r="AK141" i="5"/>
  <c r="AK157" i="5"/>
  <c r="AK153" i="5"/>
  <c r="AK149" i="5"/>
  <c r="AK121" i="5"/>
  <c r="AK86" i="5"/>
  <c r="AK100" i="5"/>
  <c r="AK116" i="5"/>
  <c r="AK132" i="5"/>
  <c r="AK97" i="5"/>
  <c r="AK113" i="5"/>
  <c r="AK129" i="5"/>
  <c r="AK145" i="5"/>
  <c r="AK137" i="5"/>
  <c r="AK81" i="5"/>
  <c r="AK88" i="5"/>
  <c r="AK104" i="5"/>
  <c r="AK120" i="5"/>
  <c r="AK101" i="5"/>
  <c r="AK117" i="5"/>
  <c r="AK133" i="5"/>
  <c r="AK92" i="5"/>
  <c r="AK108" i="5"/>
  <c r="AK89" i="5"/>
  <c r="AK105" i="5"/>
  <c r="P10" i="5"/>
  <c r="AC80" i="5"/>
  <c r="AC98" i="5"/>
  <c r="AC114" i="5"/>
  <c r="AC156" i="5"/>
  <c r="AC152" i="5"/>
  <c r="AC148" i="5"/>
  <c r="AC144" i="5"/>
  <c r="AC140" i="5"/>
  <c r="AC118" i="5"/>
  <c r="AC84" i="5"/>
  <c r="AC102" i="5"/>
  <c r="AC159" i="5"/>
  <c r="AC155" i="5"/>
  <c r="AC151" i="5"/>
  <c r="AC147" i="5"/>
  <c r="AC143" i="5"/>
  <c r="AC139" i="5"/>
  <c r="AC134" i="5"/>
  <c r="AC130" i="5"/>
  <c r="AC126" i="5"/>
  <c r="AC122" i="5"/>
  <c r="AC158" i="5"/>
  <c r="AC154" i="5"/>
  <c r="AC150" i="5"/>
  <c r="AC146" i="5"/>
  <c r="AC142" i="5"/>
  <c r="AC138" i="5"/>
  <c r="AC90" i="5"/>
  <c r="AC106" i="5"/>
  <c r="AC76" i="5"/>
  <c r="AC94" i="5"/>
  <c r="AC110" i="5"/>
  <c r="AC135" i="5"/>
  <c r="AC131" i="5"/>
  <c r="AC127" i="5"/>
  <c r="AC123" i="5"/>
  <c r="AC119" i="5"/>
  <c r="AC115" i="5"/>
  <c r="AC111" i="5"/>
  <c r="AC107" i="5"/>
  <c r="AC103" i="5"/>
  <c r="AC99" i="5"/>
  <c r="AC95" i="5"/>
  <c r="AC91" i="5"/>
  <c r="AC87" i="5"/>
  <c r="AC82" i="5"/>
  <c r="AC96" i="5"/>
  <c r="AC112" i="5"/>
  <c r="AC128" i="5"/>
  <c r="AC89" i="5"/>
  <c r="AC105" i="5"/>
  <c r="AC121" i="5"/>
  <c r="AC137" i="5"/>
  <c r="AC85" i="5"/>
  <c r="AC83" i="5"/>
  <c r="AC78" i="5"/>
  <c r="AC124" i="5"/>
  <c r="AC133" i="5"/>
  <c r="AC77" i="5"/>
  <c r="AC86" i="5"/>
  <c r="AC100" i="5"/>
  <c r="AC116" i="5"/>
  <c r="AC132" i="5"/>
  <c r="AC93" i="5"/>
  <c r="AC109" i="5"/>
  <c r="AC125" i="5"/>
  <c r="AC141" i="5"/>
  <c r="AC92" i="5"/>
  <c r="AC117" i="5"/>
  <c r="AC81" i="5"/>
  <c r="AC79" i="5"/>
  <c r="AC88" i="5"/>
  <c r="AC104" i="5"/>
  <c r="AC120" i="5"/>
  <c r="AC136" i="5"/>
  <c r="AC97" i="5"/>
  <c r="AC113" i="5"/>
  <c r="AC129" i="5"/>
  <c r="AC145" i="5"/>
  <c r="AC157" i="5"/>
  <c r="AC153" i="5"/>
  <c r="AC149" i="5"/>
  <c r="AC108" i="5"/>
  <c r="AC101" i="5"/>
  <c r="H10" i="5"/>
  <c r="AB87" i="5"/>
  <c r="AB98" i="5"/>
  <c r="AB114" i="5"/>
  <c r="AB130" i="5"/>
  <c r="AB146" i="5"/>
  <c r="AB91" i="5"/>
  <c r="AB107" i="5"/>
  <c r="AB123" i="5"/>
  <c r="AB139" i="5"/>
  <c r="AB155" i="5"/>
  <c r="AB92" i="5"/>
  <c r="AB108" i="5"/>
  <c r="AB124" i="5"/>
  <c r="AB140" i="5"/>
  <c r="AB156" i="5"/>
  <c r="AB105" i="5"/>
  <c r="AB121" i="5"/>
  <c r="AB137" i="5"/>
  <c r="AB153" i="5"/>
  <c r="AB89" i="5"/>
  <c r="AB102" i="5"/>
  <c r="AB118" i="5"/>
  <c r="AB134" i="5"/>
  <c r="AB150" i="5"/>
  <c r="AB95" i="5"/>
  <c r="AB111" i="5"/>
  <c r="AB127" i="5"/>
  <c r="AB143" i="5"/>
  <c r="AB159" i="5"/>
  <c r="AB96" i="5"/>
  <c r="AB112" i="5"/>
  <c r="AB128" i="5"/>
  <c r="AB144" i="5"/>
  <c r="AB93" i="5"/>
  <c r="AB109" i="5"/>
  <c r="AB125" i="5"/>
  <c r="AB141" i="5"/>
  <c r="AB157" i="5"/>
  <c r="AB90" i="5"/>
  <c r="AB106" i="5"/>
  <c r="AB122" i="5"/>
  <c r="AB138" i="5"/>
  <c r="AB154" i="5"/>
  <c r="AB99" i="5"/>
  <c r="AB115" i="5"/>
  <c r="AB131" i="5"/>
  <c r="AB147" i="5"/>
  <c r="AB86" i="5"/>
  <c r="AB100" i="5"/>
  <c r="AB116" i="5"/>
  <c r="AB132" i="5"/>
  <c r="AB148" i="5"/>
  <c r="AB97" i="5"/>
  <c r="AB113" i="5"/>
  <c r="AB129" i="5"/>
  <c r="AB145" i="5"/>
  <c r="AB94" i="5"/>
  <c r="AB110" i="5"/>
  <c r="AB126" i="5"/>
  <c r="AB142" i="5"/>
  <c r="AB158" i="5"/>
  <c r="AB103" i="5"/>
  <c r="AB119" i="5"/>
  <c r="AB135" i="5"/>
  <c r="AB151" i="5"/>
  <c r="AB88" i="5"/>
  <c r="AB104" i="5"/>
  <c r="AB120" i="5"/>
  <c r="AB136" i="5"/>
  <c r="AB152" i="5"/>
  <c r="AB101" i="5"/>
  <c r="AB117" i="5"/>
  <c r="AB133" i="5"/>
  <c r="AB149" i="5"/>
  <c r="G10" i="5"/>
  <c r="AB83" i="5"/>
  <c r="AB82" i="5"/>
  <c r="AB79" i="5"/>
  <c r="AB76" i="5"/>
  <c r="AB84" i="5"/>
  <c r="AB77" i="5"/>
  <c r="AB81" i="5"/>
  <c r="AB78" i="5"/>
  <c r="AB80" i="5"/>
  <c r="AB85" i="5"/>
  <c r="AI80" i="5"/>
  <c r="AI85" i="5"/>
  <c r="AI90" i="5"/>
  <c r="AI95" i="5"/>
  <c r="AI97" i="5"/>
  <c r="AI100" i="5"/>
  <c r="AI102" i="5"/>
  <c r="AI107" i="5"/>
  <c r="AI112" i="5"/>
  <c r="AI117" i="5"/>
  <c r="AI122" i="5"/>
  <c r="AI127" i="5"/>
  <c r="AI130" i="5"/>
  <c r="AI133" i="5"/>
  <c r="AI79" i="5"/>
  <c r="AI84" i="5"/>
  <c r="AI81" i="5"/>
  <c r="AI86" i="5"/>
  <c r="AI91" i="5"/>
  <c r="AI96" i="5"/>
  <c r="AI101" i="5"/>
  <c r="AI76" i="5"/>
  <c r="AI77" i="5"/>
  <c r="AI82" i="5"/>
  <c r="AI87" i="5"/>
  <c r="AI92" i="5"/>
  <c r="AI78" i="5"/>
  <c r="AI83" i="5"/>
  <c r="AI88" i="5"/>
  <c r="AI89" i="5"/>
  <c r="AI93" i="5"/>
  <c r="AI94" i="5"/>
  <c r="AI98" i="5"/>
  <c r="AI99" i="5"/>
  <c r="AI103" i="5"/>
  <c r="AI104" i="5"/>
  <c r="AI108" i="5"/>
  <c r="AI109" i="5"/>
  <c r="AI114" i="5"/>
  <c r="AI119" i="5"/>
  <c r="AI124" i="5"/>
  <c r="AI128" i="5"/>
  <c r="AI129" i="5"/>
  <c r="AI132" i="5"/>
  <c r="AI136" i="5"/>
  <c r="AI141" i="5"/>
  <c r="AI148" i="5"/>
  <c r="AI151" i="5"/>
  <c r="AI154" i="5"/>
  <c r="AI157" i="5"/>
  <c r="AI105" i="5"/>
  <c r="AI106" i="5"/>
  <c r="AI115" i="5"/>
  <c r="AI116" i="5"/>
  <c r="AI125" i="5"/>
  <c r="AI142" i="5"/>
  <c r="AI146" i="5"/>
  <c r="AI150" i="5"/>
  <c r="AI113" i="5"/>
  <c r="AI121" i="5"/>
  <c r="AI123" i="5"/>
  <c r="AI137" i="5"/>
  <c r="AI138" i="5"/>
  <c r="AI139" i="5"/>
  <c r="AI143" i="5"/>
  <c r="AI147" i="5"/>
  <c r="AI158" i="5"/>
  <c r="AI110" i="5"/>
  <c r="AI111" i="5"/>
  <c r="AI120" i="5"/>
  <c r="AI134" i="5"/>
  <c r="AI135" i="5"/>
  <c r="AI140" i="5"/>
  <c r="AI144" i="5"/>
  <c r="AI155" i="5"/>
  <c r="AI159" i="5"/>
  <c r="AI118" i="5"/>
  <c r="AI126" i="5"/>
  <c r="AI131" i="5"/>
  <c r="AI145" i="5"/>
  <c r="AI149" i="5"/>
  <c r="AI152" i="5"/>
  <c r="AI153" i="5"/>
  <c r="AI156" i="5"/>
  <c r="N10" i="5"/>
  <c r="AL81" i="5"/>
  <c r="AL113" i="5"/>
  <c r="AL89" i="5"/>
  <c r="AL97" i="5"/>
  <c r="AL149" i="5"/>
  <c r="AL129" i="5"/>
  <c r="AL141" i="5"/>
  <c r="AL145" i="5"/>
  <c r="AL105" i="5"/>
  <c r="AL153" i="5"/>
  <c r="AL157" i="5"/>
  <c r="AL137" i="5"/>
  <c r="AL121" i="5"/>
  <c r="AL133" i="5"/>
  <c r="AL79" i="5"/>
  <c r="AL95" i="5"/>
  <c r="AL111" i="5"/>
  <c r="AL76" i="5"/>
  <c r="AL92" i="5"/>
  <c r="AL108" i="5"/>
  <c r="AL124" i="5"/>
  <c r="AL156" i="5"/>
  <c r="AL140" i="5"/>
  <c r="AL122" i="5"/>
  <c r="AL90" i="5"/>
  <c r="AL155" i="5"/>
  <c r="AL139" i="5"/>
  <c r="AL109" i="5"/>
  <c r="AL77" i="5"/>
  <c r="AL146" i="5"/>
  <c r="AL130" i="5"/>
  <c r="AL102" i="5"/>
  <c r="AL83" i="5"/>
  <c r="AL99" i="5"/>
  <c r="AL115" i="5"/>
  <c r="AL80" i="5"/>
  <c r="AL96" i="5"/>
  <c r="AL112" i="5"/>
  <c r="AL144" i="5"/>
  <c r="AL128" i="5"/>
  <c r="AL98" i="5"/>
  <c r="AL159" i="5"/>
  <c r="AL143" i="5"/>
  <c r="AL127" i="5"/>
  <c r="AL117" i="5"/>
  <c r="AL85" i="5"/>
  <c r="AL87" i="5"/>
  <c r="AL103" i="5"/>
  <c r="AL119" i="5"/>
  <c r="AL84" i="5"/>
  <c r="AL100" i="5"/>
  <c r="AL116" i="5"/>
  <c r="AL148" i="5"/>
  <c r="AL132" i="5"/>
  <c r="AL106" i="5"/>
  <c r="AL147" i="5"/>
  <c r="AL131" i="5"/>
  <c r="AL125" i="5"/>
  <c r="AL93" i="5"/>
  <c r="AL91" i="5"/>
  <c r="AL107" i="5"/>
  <c r="AL123" i="5"/>
  <c r="AL88" i="5"/>
  <c r="AL104" i="5"/>
  <c r="AL120" i="5"/>
  <c r="AL152" i="5"/>
  <c r="AL136" i="5"/>
  <c r="AL114" i="5"/>
  <c r="AL82" i="5"/>
  <c r="AL151" i="5"/>
  <c r="AL135" i="5"/>
  <c r="AL101" i="5"/>
  <c r="AL158" i="5"/>
  <c r="AL142" i="5"/>
  <c r="AL138" i="5"/>
  <c r="AL118" i="5"/>
  <c r="AL78" i="5"/>
  <c r="AL134" i="5"/>
  <c r="AL86" i="5"/>
  <c r="AL154" i="5"/>
  <c r="AL126" i="5"/>
  <c r="AL110" i="5"/>
  <c r="AL150" i="5"/>
  <c r="AL94" i="5"/>
  <c r="Q10" i="5"/>
  <c r="F61" i="5"/>
  <c r="F60" i="5"/>
  <c r="D61" i="5"/>
  <c r="F59" i="5"/>
  <c r="W27" i="5"/>
  <c r="CT22" i="5"/>
  <c r="AZ28" i="5"/>
  <c r="AV29" i="5"/>
  <c r="AB36" i="5" l="1"/>
  <c r="AB63" i="5"/>
  <c r="AB42" i="5"/>
  <c r="AB52" i="5"/>
  <c r="AB67" i="5"/>
  <c r="AB58" i="5"/>
  <c r="AB40" i="5"/>
  <c r="AB17" i="5"/>
  <c r="AB38" i="5"/>
  <c r="AB72" i="5"/>
  <c r="AB62" i="5"/>
  <c r="AB48" i="5"/>
  <c r="AB71" i="5"/>
  <c r="AB75" i="5"/>
  <c r="AB46" i="5"/>
  <c r="AB64" i="5"/>
  <c r="AB31" i="5"/>
  <c r="AB45" i="5"/>
  <c r="AB35" i="5"/>
  <c r="AB73" i="5"/>
  <c r="AB20" i="5"/>
  <c r="AB26" i="5"/>
  <c r="AB59" i="5"/>
  <c r="AB30" i="5"/>
  <c r="AB39" i="5"/>
  <c r="AB53" i="5"/>
  <c r="AB43" i="5"/>
  <c r="AB60" i="5"/>
  <c r="AB66" i="5"/>
  <c r="AB16" i="5"/>
  <c r="AB56" i="5"/>
  <c r="AB41" i="5"/>
  <c r="AB55" i="5"/>
  <c r="AB69" i="5"/>
  <c r="AB27" i="5"/>
  <c r="AB50" i="5"/>
  <c r="AB19" i="5"/>
  <c r="AB68" i="5"/>
  <c r="AB74" i="5"/>
  <c r="AB21" i="5"/>
  <c r="AB49" i="5"/>
  <c r="AB28" i="5"/>
  <c r="AB34" i="5"/>
  <c r="AB24" i="5"/>
  <c r="AB70" i="5"/>
  <c r="AB23" i="5"/>
  <c r="AB37" i="5"/>
  <c r="AB32" i="5"/>
  <c r="AB44" i="5"/>
  <c r="AB29" i="5"/>
  <c r="AB54" i="5"/>
  <c r="AO67" i="5"/>
  <c r="AO43" i="5"/>
  <c r="AO30" i="5"/>
  <c r="AO32" i="5"/>
  <c r="AO66" i="5"/>
  <c r="AO40" i="5"/>
  <c r="AO25" i="5"/>
  <c r="AO68" i="5"/>
  <c r="AL73" i="5"/>
  <c r="AB65" i="5"/>
  <c r="AB18" i="5"/>
  <c r="AB22" i="5"/>
  <c r="AO47" i="5"/>
  <c r="AL37" i="5"/>
  <c r="AB33" i="5"/>
  <c r="AB47" i="5"/>
  <c r="AB61" i="5"/>
  <c r="AB51" i="5"/>
  <c r="AB25" i="5"/>
  <c r="AL66" i="5"/>
  <c r="AL16" i="5"/>
  <c r="AL64" i="5"/>
  <c r="AH51" i="5"/>
  <c r="AO53" i="5"/>
  <c r="AO62" i="5"/>
  <c r="AO60" i="5"/>
  <c r="AO39" i="5"/>
  <c r="AL61" i="5"/>
  <c r="AK28" i="5"/>
  <c r="AK69" i="5"/>
  <c r="AH20" i="5"/>
  <c r="AH30" i="5"/>
  <c r="AO33" i="5"/>
  <c r="AO54" i="5"/>
  <c r="AO20" i="5"/>
  <c r="AL55" i="5"/>
  <c r="AL23" i="5"/>
  <c r="AL63" i="5"/>
  <c r="AL41" i="5"/>
  <c r="AK17" i="5"/>
  <c r="AK39" i="5"/>
  <c r="AO35" i="5"/>
  <c r="AO21" i="5"/>
  <c r="AO64" i="5"/>
  <c r="AO58" i="5"/>
  <c r="AO28" i="5"/>
  <c r="AO29" i="5"/>
  <c r="AO18" i="5"/>
  <c r="AL62" i="5"/>
  <c r="AL22" i="5"/>
  <c r="AL43" i="5"/>
  <c r="AL70" i="5"/>
  <c r="AL33" i="5"/>
  <c r="AL29" i="5"/>
  <c r="AL36" i="5"/>
  <c r="AL71" i="5"/>
  <c r="AL44" i="5"/>
  <c r="AB57" i="5"/>
  <c r="AK31" i="5"/>
  <c r="AK37" i="5"/>
  <c r="AK65" i="5"/>
  <c r="AK21" i="5"/>
  <c r="AK25" i="5"/>
  <c r="AK72" i="5"/>
  <c r="AK27" i="5"/>
  <c r="AK44" i="5"/>
  <c r="AF62" i="5"/>
  <c r="AF37" i="5"/>
  <c r="AF25" i="5"/>
  <c r="AF61" i="5"/>
  <c r="AF23" i="5"/>
  <c r="AF44" i="5"/>
  <c r="AF53" i="5"/>
  <c r="AG35" i="5"/>
  <c r="AG53" i="5"/>
  <c r="AG63" i="5"/>
  <c r="AG65" i="5"/>
  <c r="AG59" i="5"/>
  <c r="AG61" i="5"/>
  <c r="AG66" i="5"/>
  <c r="AG34" i="5"/>
  <c r="AG68" i="5"/>
  <c r="AH39" i="5"/>
  <c r="AH72" i="5"/>
  <c r="AH35" i="5"/>
  <c r="AH42" i="5"/>
  <c r="AH64" i="5"/>
  <c r="AH47" i="5"/>
  <c r="AH54" i="5"/>
  <c r="AH50" i="5"/>
  <c r="AH52" i="5"/>
  <c r="AH68" i="5"/>
  <c r="AO46" i="5"/>
  <c r="AO37" i="5"/>
  <c r="AO26" i="5"/>
  <c r="AO17" i="5"/>
  <c r="AO75" i="5"/>
  <c r="AO22" i="5"/>
  <c r="AO72" i="5"/>
  <c r="AO55" i="5"/>
  <c r="AO73" i="5"/>
  <c r="AK42" i="5"/>
  <c r="AK67" i="5"/>
  <c r="AK33" i="5"/>
  <c r="AK35" i="5"/>
  <c r="AK34" i="5"/>
  <c r="AK48" i="5"/>
  <c r="AK22" i="5"/>
  <c r="AF52" i="5"/>
  <c r="AF56" i="5"/>
  <c r="AF32" i="5"/>
  <c r="AF22" i="5"/>
  <c r="AF42" i="5"/>
  <c r="AF30" i="5"/>
  <c r="AF48" i="5"/>
  <c r="AG19" i="5"/>
  <c r="AG58" i="5"/>
  <c r="AG49" i="5"/>
  <c r="AG54" i="5"/>
  <c r="AG45" i="5"/>
  <c r="AG18" i="5"/>
  <c r="AG30" i="5"/>
  <c r="AG72" i="5"/>
  <c r="AG16" i="5"/>
  <c r="AG52" i="5"/>
  <c r="AG24" i="5"/>
  <c r="AH41" i="5"/>
  <c r="AH65" i="5"/>
  <c r="AH27" i="5"/>
  <c r="AH29" i="5"/>
  <c r="AH38" i="5"/>
  <c r="AH56" i="5"/>
  <c r="AH75" i="5"/>
  <c r="AH37" i="5"/>
  <c r="AH44" i="5"/>
  <c r="AL69" i="5"/>
  <c r="AL50" i="5"/>
  <c r="AL72" i="5"/>
  <c r="AL59" i="5"/>
  <c r="AL21" i="5"/>
  <c r="AL48" i="5"/>
  <c r="AL35" i="5"/>
  <c r="AL17" i="5"/>
  <c r="AL28" i="5"/>
  <c r="AL65" i="5"/>
  <c r="AK55" i="5"/>
  <c r="AK32" i="5"/>
  <c r="AK74" i="5"/>
  <c r="AK47" i="5"/>
  <c r="AK63" i="5"/>
  <c r="AK18" i="5"/>
  <c r="AK24" i="5"/>
  <c r="AF17" i="5"/>
  <c r="AF55" i="5"/>
  <c r="AF31" i="5"/>
  <c r="AF57" i="5"/>
  <c r="AF41" i="5"/>
  <c r="AF64" i="5"/>
  <c r="AF65" i="5"/>
  <c r="AF24" i="5"/>
  <c r="AG42" i="5"/>
  <c r="AG38" i="5"/>
  <c r="AG55" i="5"/>
  <c r="AG41" i="5"/>
  <c r="AG21" i="5"/>
  <c r="AG56" i="5"/>
  <c r="AH49" i="5"/>
  <c r="AH73" i="5"/>
  <c r="AH31" i="5"/>
  <c r="AH59" i="5"/>
  <c r="AH69" i="5"/>
  <c r="AO51" i="5"/>
  <c r="AO24" i="5"/>
  <c r="AO31" i="5"/>
  <c r="AO65" i="5"/>
  <c r="AO74" i="5"/>
  <c r="AO27" i="5"/>
  <c r="AO61" i="5"/>
  <c r="AO70" i="5"/>
  <c r="AO23" i="5"/>
  <c r="AO52" i="5"/>
  <c r="AL46" i="5"/>
  <c r="AL53" i="5"/>
  <c r="AL18" i="5"/>
  <c r="AL45" i="5"/>
  <c r="AL49" i="5"/>
  <c r="AK53" i="5"/>
  <c r="AK41" i="5"/>
  <c r="AK36" i="5"/>
  <c r="AK43" i="5"/>
  <c r="AK29" i="5"/>
  <c r="AK60" i="5"/>
  <c r="AF74" i="5"/>
  <c r="AF45" i="5"/>
  <c r="AF39" i="5"/>
  <c r="AF71" i="5"/>
  <c r="AF26" i="5"/>
  <c r="AF59" i="5"/>
  <c r="AF63" i="5"/>
  <c r="AF20" i="5"/>
  <c r="AG69" i="5"/>
  <c r="AG75" i="5"/>
  <c r="AG39" i="5"/>
  <c r="AG25" i="5"/>
  <c r="AH63" i="5"/>
  <c r="AH18" i="5"/>
  <c r="AH66" i="5"/>
  <c r="AH60" i="5"/>
  <c r="AI16" i="5"/>
  <c r="AI55" i="5"/>
  <c r="AI50" i="5"/>
  <c r="AI70" i="5"/>
  <c r="AI47" i="5"/>
  <c r="AI37" i="5"/>
  <c r="AI51" i="5"/>
  <c r="AI18" i="5"/>
  <c r="AC58" i="5"/>
  <c r="AC38" i="5"/>
  <c r="AC55" i="5"/>
  <c r="AC41" i="5"/>
  <c r="AC72" i="5"/>
  <c r="AC24" i="5"/>
  <c r="AM68" i="5"/>
  <c r="AM37" i="5"/>
  <c r="AM42" i="5"/>
  <c r="AM54" i="5"/>
  <c r="AM32" i="5"/>
  <c r="AM62" i="5"/>
  <c r="AM20" i="5"/>
  <c r="AD36" i="5"/>
  <c r="AD20" i="5"/>
  <c r="AD23" i="5"/>
  <c r="AD69" i="5"/>
  <c r="AD59" i="5"/>
  <c r="AD30" i="5"/>
  <c r="AD64" i="5"/>
  <c r="AD46" i="5"/>
  <c r="AD25" i="5"/>
  <c r="AD58" i="5"/>
  <c r="AD41" i="5"/>
  <c r="AD48" i="5"/>
  <c r="AD26" i="5"/>
  <c r="AJ16" i="5"/>
  <c r="AJ21" i="5"/>
  <c r="AJ38" i="5"/>
  <c r="AJ41" i="5"/>
  <c r="AJ43" i="5"/>
  <c r="AJ72" i="5"/>
  <c r="AJ59" i="5"/>
  <c r="AJ32" i="5"/>
  <c r="AE33" i="5"/>
  <c r="AE43" i="5"/>
  <c r="AE24" i="5"/>
  <c r="AE38" i="5"/>
  <c r="AE22" i="5"/>
  <c r="AE28" i="5"/>
  <c r="AE50" i="5"/>
  <c r="AN16" i="5"/>
  <c r="AN75" i="5"/>
  <c r="AN74" i="5"/>
  <c r="AN29" i="5"/>
  <c r="AN62" i="5"/>
  <c r="AN47" i="5"/>
  <c r="AN49" i="5"/>
  <c r="AN63" i="5"/>
  <c r="AN17" i="5"/>
  <c r="AM33" i="5"/>
  <c r="AM58" i="5"/>
  <c r="AM59" i="5"/>
  <c r="AM52" i="5"/>
  <c r="AM74" i="5"/>
  <c r="AM31" i="5"/>
  <c r="AM60" i="5"/>
  <c r="AM40" i="5"/>
  <c r="AD60" i="5"/>
  <c r="AD53" i="5"/>
  <c r="AD29" i="5"/>
  <c r="AD43" i="5"/>
  <c r="AJ18" i="5"/>
  <c r="AJ68" i="5"/>
  <c r="AJ28" i="5"/>
  <c r="AJ29" i="5"/>
  <c r="AJ35" i="5"/>
  <c r="AJ24" i="5"/>
  <c r="AJ42" i="5"/>
  <c r="AJ27" i="5"/>
  <c r="AE23" i="5"/>
  <c r="AE61" i="5"/>
  <c r="AE19" i="5"/>
  <c r="AE64" i="5"/>
  <c r="AE37" i="5"/>
  <c r="AE39" i="5"/>
  <c r="AE18" i="5"/>
  <c r="AE57" i="5"/>
  <c r="AE45" i="5"/>
  <c r="AN69" i="5"/>
  <c r="AN73" i="5"/>
  <c r="AN26" i="5"/>
  <c r="AN54" i="5"/>
  <c r="AN46" i="5"/>
  <c r="AN60" i="5"/>
  <c r="AN35" i="5"/>
  <c r="AN18" i="5"/>
  <c r="AN28" i="5"/>
  <c r="AL24" i="5"/>
  <c r="AL58" i="5"/>
  <c r="AL47" i="5"/>
  <c r="AL57" i="5"/>
  <c r="AI45" i="5"/>
  <c r="AI30" i="5"/>
  <c r="AI65" i="5"/>
  <c r="AI60" i="5"/>
  <c r="AI40" i="5"/>
  <c r="AI74" i="5"/>
  <c r="AI19" i="5"/>
  <c r="AI68" i="5"/>
  <c r="AI52" i="5"/>
  <c r="AI42" i="5"/>
  <c r="AI20" i="5"/>
  <c r="AI61" i="5"/>
  <c r="AI44" i="5"/>
  <c r="AI31" i="5"/>
  <c r="AC53" i="5"/>
  <c r="AC74" i="5"/>
  <c r="AC47" i="5"/>
  <c r="AC26" i="5"/>
  <c r="AC33" i="5"/>
  <c r="AC67" i="5"/>
  <c r="AC20" i="5"/>
  <c r="AC27" i="5"/>
  <c r="AC19" i="5"/>
  <c r="AC23" i="5"/>
  <c r="AC73" i="5"/>
  <c r="AC32" i="5"/>
  <c r="AC40" i="5"/>
  <c r="AC52" i="5"/>
  <c r="AC16" i="5"/>
  <c r="AC64" i="5"/>
  <c r="AK71" i="5"/>
  <c r="AK70" i="5"/>
  <c r="AK19" i="5"/>
  <c r="AK66" i="5"/>
  <c r="AK58" i="5"/>
  <c r="AK46" i="5"/>
  <c r="AK23" i="5"/>
  <c r="AK73" i="5"/>
  <c r="AK56" i="5"/>
  <c r="AK68" i="5"/>
  <c r="AK75" i="5"/>
  <c r="AK54" i="5"/>
  <c r="AK61" i="5"/>
  <c r="AM27" i="5"/>
  <c r="AM25" i="5"/>
  <c r="AM57" i="5"/>
  <c r="AM39" i="5"/>
  <c r="AM75" i="5"/>
  <c r="AM41" i="5"/>
  <c r="AM73" i="5"/>
  <c r="AM44" i="5"/>
  <c r="AM24" i="5"/>
  <c r="AM71" i="5"/>
  <c r="AM51" i="5"/>
  <c r="AM28" i="5"/>
  <c r="AM67" i="5"/>
  <c r="AM55" i="5"/>
  <c r="AM35" i="5"/>
  <c r="AF73" i="5"/>
  <c r="AF34" i="5"/>
  <c r="AF47" i="5"/>
  <c r="AF36" i="5"/>
  <c r="AF18" i="5"/>
  <c r="AF68" i="5"/>
  <c r="AF33" i="5"/>
  <c r="AF51" i="5"/>
  <c r="AF40" i="5"/>
  <c r="AF54" i="5"/>
  <c r="AF21" i="5"/>
  <c r="AF60" i="5"/>
  <c r="AF43" i="5"/>
  <c r="AF19" i="5"/>
  <c r="AD66" i="5"/>
  <c r="AD16" i="5"/>
  <c r="AD54" i="5"/>
  <c r="AD37" i="5"/>
  <c r="AD40" i="5"/>
  <c r="AD65" i="5"/>
  <c r="AD19" i="5"/>
  <c r="AD61" i="5"/>
  <c r="AD75" i="5"/>
  <c r="AD21" i="5"/>
  <c r="AD28" i="5"/>
  <c r="AD73" i="5"/>
  <c r="AD35" i="5"/>
  <c r="AD24" i="5"/>
  <c r="AD33" i="5"/>
  <c r="AD55" i="5"/>
  <c r="AG46" i="5"/>
  <c r="AG37" i="5"/>
  <c r="AG32" i="5"/>
  <c r="AG74" i="5"/>
  <c r="AG47" i="5"/>
  <c r="AG26" i="5"/>
  <c r="AG33" i="5"/>
  <c r="AG62" i="5"/>
  <c r="AG70" i="5"/>
  <c r="AG43" i="5"/>
  <c r="AG22" i="5"/>
  <c r="AG29" i="5"/>
  <c r="AG23" i="5"/>
  <c r="AG73" i="5"/>
  <c r="AG40" i="5"/>
  <c r="AG36" i="5"/>
  <c r="AG64" i="5"/>
  <c r="AG60" i="5"/>
  <c r="AJ46" i="5"/>
  <c r="AJ60" i="5"/>
  <c r="AJ40" i="5"/>
  <c r="AJ25" i="5"/>
  <c r="AJ75" i="5"/>
  <c r="AJ61" i="5"/>
  <c r="AJ19" i="5"/>
  <c r="AJ45" i="5"/>
  <c r="AJ34" i="5"/>
  <c r="AJ62" i="5"/>
  <c r="AJ69" i="5"/>
  <c r="AJ52" i="5"/>
  <c r="AJ37" i="5"/>
  <c r="AJ26" i="5"/>
  <c r="AH23" i="5"/>
  <c r="AH48" i="5"/>
  <c r="AH71" i="5"/>
  <c r="AH62" i="5"/>
  <c r="AH61" i="5"/>
  <c r="AH26" i="5"/>
  <c r="AH74" i="5"/>
  <c r="AH53" i="5"/>
  <c r="AH33" i="5"/>
  <c r="AH28" i="5"/>
  <c r="AH43" i="5"/>
  <c r="AH34" i="5"/>
  <c r="AH16" i="5"/>
  <c r="AH36" i="5"/>
  <c r="AE21" i="5"/>
  <c r="AE29" i="5"/>
  <c r="AE16" i="5"/>
  <c r="AE75" i="5"/>
  <c r="AE53" i="5"/>
  <c r="AE41" i="5"/>
  <c r="AE54" i="5"/>
  <c r="AE66" i="5"/>
  <c r="AE47" i="5"/>
  <c r="AE36" i="5"/>
  <c r="AE59" i="5"/>
  <c r="AE70" i="5"/>
  <c r="AE34" i="5"/>
  <c r="AE72" i="5"/>
  <c r="AE55" i="5"/>
  <c r="AE40" i="5"/>
  <c r="AO19" i="5"/>
  <c r="AO69" i="5"/>
  <c r="AO48" i="5"/>
  <c r="AO63" i="5"/>
  <c r="AO42" i="5"/>
  <c r="AO49" i="5"/>
  <c r="AO44" i="5"/>
  <c r="AO59" i="5"/>
  <c r="AO38" i="5"/>
  <c r="AO45" i="5"/>
  <c r="AO16" i="5"/>
  <c r="AO56" i="5"/>
  <c r="AO71" i="5"/>
  <c r="AO50" i="5"/>
  <c r="AO57" i="5"/>
  <c r="AO36" i="5"/>
  <c r="AN67" i="5"/>
  <c r="AN71" i="5"/>
  <c r="AN42" i="5"/>
  <c r="AN20" i="5"/>
  <c r="AN72" i="5"/>
  <c r="AN30" i="5"/>
  <c r="AN57" i="5"/>
  <c r="AN37" i="5"/>
  <c r="AN55" i="5"/>
  <c r="AN44" i="5"/>
  <c r="AN34" i="5"/>
  <c r="AN70" i="5"/>
  <c r="AN53" i="5"/>
  <c r="AN38" i="5"/>
  <c r="AN24" i="5"/>
  <c r="AI27" i="5"/>
  <c r="AI35" i="5"/>
  <c r="AI58" i="5"/>
  <c r="AI71" i="5"/>
  <c r="AI39" i="5"/>
  <c r="AC51" i="5"/>
  <c r="AC65" i="5"/>
  <c r="AC69" i="5"/>
  <c r="AC59" i="5"/>
  <c r="AC45" i="5"/>
  <c r="AC21" i="5"/>
  <c r="AC34" i="5"/>
  <c r="AC37" i="5"/>
  <c r="AC60" i="5"/>
  <c r="AM17" i="5"/>
  <c r="AM48" i="5"/>
  <c r="AM69" i="5"/>
  <c r="AM53" i="5"/>
  <c r="AM61" i="5"/>
  <c r="AM19" i="5"/>
  <c r="AM45" i="5"/>
  <c r="AD44" i="5"/>
  <c r="AJ65" i="5"/>
  <c r="AJ50" i="5"/>
  <c r="AJ71" i="5"/>
  <c r="AJ55" i="5"/>
  <c r="AJ20" i="5"/>
  <c r="AJ36" i="5"/>
  <c r="AJ47" i="5"/>
  <c r="AJ22" i="5"/>
  <c r="AE63" i="5"/>
  <c r="AE20" i="5"/>
  <c r="AE73" i="5"/>
  <c r="AE56" i="5"/>
  <c r="AE69" i="5"/>
  <c r="AE60" i="5"/>
  <c r="AE62" i="5"/>
  <c r="AE30" i="5"/>
  <c r="AN22" i="5"/>
  <c r="AN52" i="5"/>
  <c r="AN27" i="5"/>
  <c r="AN65" i="5"/>
  <c r="AN39" i="5"/>
  <c r="AN23" i="5"/>
  <c r="AN43" i="5"/>
  <c r="AN31" i="5"/>
  <c r="AI23" i="5"/>
  <c r="AI29" i="5"/>
  <c r="AI54" i="5"/>
  <c r="AI32" i="5"/>
  <c r="AI67" i="5"/>
  <c r="AI69" i="5"/>
  <c r="AI49" i="5"/>
  <c r="AI62" i="5"/>
  <c r="AI75" i="5"/>
  <c r="AI53" i="5"/>
  <c r="AI43" i="5"/>
  <c r="AI22" i="5"/>
  <c r="AI66" i="5"/>
  <c r="AI46" i="5"/>
  <c r="AI34" i="5"/>
  <c r="AC30" i="5"/>
  <c r="AC63" i="5"/>
  <c r="AC42" i="5"/>
  <c r="AC49" i="5"/>
  <c r="AC70" i="5"/>
  <c r="AC43" i="5"/>
  <c r="AC22" i="5"/>
  <c r="AC29" i="5"/>
  <c r="AC66" i="5"/>
  <c r="AC39" i="5"/>
  <c r="AC18" i="5"/>
  <c r="AC25" i="5"/>
  <c r="AC44" i="5"/>
  <c r="AC56" i="5"/>
  <c r="AC68" i="5"/>
  <c r="AM23" i="5"/>
  <c r="AM16" i="5"/>
  <c r="AM47" i="5"/>
  <c r="AM34" i="5"/>
  <c r="AM36" i="5"/>
  <c r="AM56" i="5"/>
  <c r="AM72" i="5"/>
  <c r="AD68" i="5"/>
  <c r="AD70" i="5"/>
  <c r="AD51" i="5"/>
  <c r="AD31" i="5"/>
  <c r="AD42" i="5"/>
  <c r="AD22" i="5"/>
  <c r="AD63" i="5"/>
  <c r="AD39" i="5"/>
  <c r="AD71" i="5"/>
  <c r="AJ56" i="5"/>
  <c r="AJ48" i="5"/>
  <c r="AJ70" i="5"/>
  <c r="AJ53" i="5"/>
  <c r="AJ17" i="5"/>
  <c r="AJ67" i="5"/>
  <c r="AJ54" i="5"/>
  <c r="AE27" i="5"/>
  <c r="AE42" i="5"/>
  <c r="AE48" i="5"/>
  <c r="AE68" i="5"/>
  <c r="AE74" i="5"/>
  <c r="AN51" i="5"/>
  <c r="AN66" i="5"/>
  <c r="AN45" i="5"/>
  <c r="AN58" i="5"/>
  <c r="AN41" i="5"/>
  <c r="AL54" i="5"/>
  <c r="AL56" i="5"/>
  <c r="AL26" i="5"/>
  <c r="AL42" i="5"/>
  <c r="AL68" i="5"/>
  <c r="AL39" i="5"/>
  <c r="AL67" i="5"/>
  <c r="AL31" i="5"/>
  <c r="AI25" i="5"/>
  <c r="AI17" i="5"/>
  <c r="AL38" i="5"/>
  <c r="AL30" i="5"/>
  <c r="AL27" i="5"/>
  <c r="AL40" i="5"/>
  <c r="AL75" i="5"/>
  <c r="AL19" i="5"/>
  <c r="AL74" i="5"/>
  <c r="AL52" i="5"/>
  <c r="AL25" i="5"/>
  <c r="AL34" i="5"/>
  <c r="AL51" i="5"/>
  <c r="AL60" i="5"/>
  <c r="AL32" i="5"/>
  <c r="AL20" i="5"/>
  <c r="AI21" i="5"/>
  <c r="AI33" i="5"/>
  <c r="AI64" i="5"/>
  <c r="AI36" i="5"/>
  <c r="AI24" i="5"/>
  <c r="AI57" i="5"/>
  <c r="AI59" i="5"/>
  <c r="AI26" i="5"/>
  <c r="AI72" i="5"/>
  <c r="AI63" i="5"/>
  <c r="AI48" i="5"/>
  <c r="AI38" i="5"/>
  <c r="AI73" i="5"/>
  <c r="AI56" i="5"/>
  <c r="AI41" i="5"/>
  <c r="AI28" i="5"/>
  <c r="AC62" i="5"/>
  <c r="AC28" i="5"/>
  <c r="AC31" i="5"/>
  <c r="AC17" i="5"/>
  <c r="AC46" i="5"/>
  <c r="AC75" i="5"/>
  <c r="AC54" i="5"/>
  <c r="AC61" i="5"/>
  <c r="AC71" i="5"/>
  <c r="AC50" i="5"/>
  <c r="AC57" i="5"/>
  <c r="AC35" i="5"/>
  <c r="AC36" i="5"/>
  <c r="AC48" i="5"/>
  <c r="AK62" i="5"/>
  <c r="AK51" i="5"/>
  <c r="AK49" i="5"/>
  <c r="AK20" i="5"/>
  <c r="AK30" i="5"/>
  <c r="AK26" i="5"/>
  <c r="AK50" i="5"/>
  <c r="AK57" i="5"/>
  <c r="AK40" i="5"/>
  <c r="AK52" i="5"/>
  <c r="AK16" i="5"/>
  <c r="AK64" i="5"/>
  <c r="AK59" i="5"/>
  <c r="AK38" i="5"/>
  <c r="AK45" i="5"/>
  <c r="AM29" i="5"/>
  <c r="AM21" i="5"/>
  <c r="AM49" i="5"/>
  <c r="AM38" i="5"/>
  <c r="AM70" i="5"/>
  <c r="AM22" i="5"/>
  <c r="AM63" i="5"/>
  <c r="AM43" i="5"/>
  <c r="AM64" i="5"/>
  <c r="AM18" i="5"/>
  <c r="AM66" i="5"/>
  <c r="AM46" i="5"/>
  <c r="AM26" i="5"/>
  <c r="AM65" i="5"/>
  <c r="AM50" i="5"/>
  <c r="AM30" i="5"/>
  <c r="AF16" i="5"/>
  <c r="AF72" i="5"/>
  <c r="AF27" i="5"/>
  <c r="AF66" i="5"/>
  <c r="AF46" i="5"/>
  <c r="AF35" i="5"/>
  <c r="AF67" i="5"/>
  <c r="AF28" i="5"/>
  <c r="AF75" i="5"/>
  <c r="AF50" i="5"/>
  <c r="AF29" i="5"/>
  <c r="AF69" i="5"/>
  <c r="AF49" i="5"/>
  <c r="AF70" i="5"/>
  <c r="AF58" i="5"/>
  <c r="AF38" i="5"/>
  <c r="AD52" i="5"/>
  <c r="AD50" i="5"/>
  <c r="AD34" i="5"/>
  <c r="AD38" i="5"/>
  <c r="AD17" i="5"/>
  <c r="AD72" i="5"/>
  <c r="AD49" i="5"/>
  <c r="AD32" i="5"/>
  <c r="AD62" i="5"/>
  <c r="AD45" i="5"/>
  <c r="AD56" i="5"/>
  <c r="AD74" i="5"/>
  <c r="AD57" i="5"/>
  <c r="AD67" i="5"/>
  <c r="AD27" i="5"/>
  <c r="AD18" i="5"/>
  <c r="AD47" i="5"/>
  <c r="AG67" i="5"/>
  <c r="AG28" i="5"/>
  <c r="AG31" i="5"/>
  <c r="AG17" i="5"/>
  <c r="AG20" i="5"/>
  <c r="AG27" i="5"/>
  <c r="AG71" i="5"/>
  <c r="AG50" i="5"/>
  <c r="AG57" i="5"/>
  <c r="AG51" i="5"/>
  <c r="AG48" i="5"/>
  <c r="AG44" i="5"/>
  <c r="AJ66" i="5"/>
  <c r="AJ31" i="5"/>
  <c r="AJ58" i="5"/>
  <c r="AJ39" i="5"/>
  <c r="AJ74" i="5"/>
  <c r="AJ51" i="5"/>
  <c r="AJ63" i="5"/>
  <c r="AJ44" i="5"/>
  <c r="AJ30" i="5"/>
  <c r="AJ73" i="5"/>
  <c r="AJ57" i="5"/>
  <c r="AJ64" i="5"/>
  <c r="AJ49" i="5"/>
  <c r="AJ33" i="5"/>
  <c r="AJ23" i="5"/>
  <c r="AH25" i="5"/>
  <c r="AH17" i="5"/>
  <c r="AH57" i="5"/>
  <c r="AH55" i="5"/>
  <c r="AH46" i="5"/>
  <c r="AH40" i="5"/>
  <c r="AH67" i="5"/>
  <c r="AH58" i="5"/>
  <c r="AH19" i="5"/>
  <c r="AH70" i="5"/>
  <c r="AH45" i="5"/>
  <c r="AH22" i="5"/>
  <c r="AH32" i="5"/>
  <c r="AH21" i="5"/>
  <c r="AH24" i="5"/>
  <c r="AE17" i="5"/>
  <c r="AE25" i="5"/>
  <c r="AE71" i="5"/>
  <c r="AE51" i="5"/>
  <c r="AE26" i="5"/>
  <c r="AE44" i="5"/>
  <c r="AE58" i="5"/>
  <c r="AE46" i="5"/>
  <c r="AE32" i="5"/>
  <c r="AE49" i="5"/>
  <c r="AE65" i="5"/>
  <c r="AE31" i="5"/>
  <c r="AE67" i="5"/>
  <c r="AE52" i="5"/>
  <c r="AE35" i="5"/>
  <c r="AO34" i="5"/>
  <c r="AO41" i="5"/>
  <c r="AN59" i="5"/>
  <c r="AN61" i="5"/>
  <c r="AN33" i="5"/>
  <c r="AN19" i="5"/>
  <c r="AN64" i="5"/>
  <c r="AN56" i="5"/>
  <c r="AN32" i="5"/>
  <c r="AN50" i="5"/>
  <c r="AN40" i="5"/>
  <c r="AN25" i="5"/>
  <c r="AN68" i="5"/>
  <c r="AN48" i="5"/>
  <c r="AN36" i="5"/>
  <c r="AN21" i="5"/>
  <c r="E203" i="5"/>
  <c r="E22" i="5" s="1"/>
  <c r="Z84" i="5" s="1"/>
  <c r="D1874" i="12"/>
  <c r="F1873" i="12"/>
  <c r="E1873" i="12"/>
  <c r="AG161" i="5"/>
  <c r="Z15" i="5"/>
  <c r="AN160" i="5"/>
  <c r="AE161" i="5"/>
  <c r="AC160" i="5"/>
  <c r="AK161" i="5"/>
  <c r="AJ161" i="5"/>
  <c r="AO160" i="5"/>
  <c r="AL161" i="5"/>
  <c r="AB161" i="5"/>
  <c r="AM161" i="5"/>
  <c r="AI161" i="5"/>
  <c r="AF160" i="5"/>
  <c r="AD161" i="5"/>
  <c r="AH160" i="5"/>
  <c r="CT23" i="5"/>
  <c r="AZ29" i="5"/>
  <c r="AV30" i="5"/>
  <c r="AZ30" i="5" l="1"/>
  <c r="CT25" i="5" s="1"/>
  <c r="D1875" i="12"/>
  <c r="F1874" i="12"/>
  <c r="E1874" i="12"/>
  <c r="Z36" i="5"/>
  <c r="Z40" i="5"/>
  <c r="Z49" i="5"/>
  <c r="Z80" i="5"/>
  <c r="Z81" i="5"/>
  <c r="Z78" i="5"/>
  <c r="Z79" i="5"/>
  <c r="Z76" i="5"/>
  <c r="Z71" i="5"/>
  <c r="Z30" i="5"/>
  <c r="Z24" i="5"/>
  <c r="Z37" i="5"/>
  <c r="Z16" i="5"/>
  <c r="Z64" i="5"/>
  <c r="Z46" i="5"/>
  <c r="Z75" i="5"/>
  <c r="Z161" i="5"/>
  <c r="Z26" i="5"/>
  <c r="Z42" i="5"/>
  <c r="Z59" i="5"/>
  <c r="Z25" i="5"/>
  <c r="Z52" i="5"/>
  <c r="Z45" i="5"/>
  <c r="Z38" i="5"/>
  <c r="Z18" i="5"/>
  <c r="Z85" i="5"/>
  <c r="Z44" i="5"/>
  <c r="Z28" i="5"/>
  <c r="Z20" i="5"/>
  <c r="Z53" i="5"/>
  <c r="Z72" i="5"/>
  <c r="Z86" i="5"/>
  <c r="Z56" i="5"/>
  <c r="Z23" i="5"/>
  <c r="Z43" i="5"/>
  <c r="Z83" i="5"/>
  <c r="Z41" i="5"/>
  <c r="Z60" i="5"/>
  <c r="Z21" i="5"/>
  <c r="Z66" i="5"/>
  <c r="Z22" i="5"/>
  <c r="Z54" i="5"/>
  <c r="Z35" i="5"/>
  <c r="Z55" i="5"/>
  <c r="Z87" i="5"/>
  <c r="Z48" i="5"/>
  <c r="Z39" i="5"/>
  <c r="Z29" i="5"/>
  <c r="Z34" i="5"/>
  <c r="Z62" i="5"/>
  <c r="Z17" i="5"/>
  <c r="Z32" i="5"/>
  <c r="Z74" i="5"/>
  <c r="Z51" i="5"/>
  <c r="Z31" i="5"/>
  <c r="Z27" i="5"/>
  <c r="Z160" i="5"/>
  <c r="Z68" i="5"/>
  <c r="Z70" i="5"/>
  <c r="Z57" i="5"/>
  <c r="Z82" i="5"/>
  <c r="Z65" i="5"/>
  <c r="Z67" i="5"/>
  <c r="Z19" i="5"/>
  <c r="Z47" i="5"/>
  <c r="Z61" i="5"/>
  <c r="Z77" i="5"/>
  <c r="Z69" i="5"/>
  <c r="Z73" i="5"/>
  <c r="Z58" i="5"/>
  <c r="Z33" i="5"/>
  <c r="Z63" i="5"/>
  <c r="Z50" i="5"/>
  <c r="CT24" i="5"/>
  <c r="AV31" i="5"/>
  <c r="AZ31" i="5" l="1"/>
  <c r="CT26" i="5" s="1"/>
  <c r="D1876" i="12"/>
  <c r="F1875" i="12"/>
  <c r="E1875" i="12"/>
  <c r="AV32" i="5"/>
  <c r="AZ32" i="5" l="1"/>
  <c r="CT27" i="5" s="1"/>
  <c r="D1877" i="12"/>
  <c r="E1876" i="12"/>
  <c r="F1876" i="12"/>
  <c r="AV33" i="5"/>
  <c r="AZ33" i="5" l="1"/>
  <c r="AZ34" i="5" s="1"/>
  <c r="D1878" i="12"/>
  <c r="E1877" i="12"/>
  <c r="F1877" i="12"/>
  <c r="AV34" i="5"/>
  <c r="CT28" i="5" l="1"/>
  <c r="D1879" i="12"/>
  <c r="E1878" i="12"/>
  <c r="F1878" i="12"/>
  <c r="CT29" i="5"/>
  <c r="AV35" i="5"/>
  <c r="AZ35" i="5"/>
  <c r="D1880" i="12" l="1"/>
  <c r="F1879" i="12"/>
  <c r="E1879" i="12"/>
  <c r="CT30" i="5"/>
  <c r="AV36" i="5"/>
  <c r="AZ36" i="5"/>
  <c r="D1881" i="12" l="1"/>
  <c r="F1880" i="12"/>
  <c r="E1880" i="12"/>
  <c r="CT31" i="5"/>
  <c r="AV37" i="5"/>
  <c r="AZ37" i="5"/>
  <c r="D1882" i="12" l="1"/>
  <c r="E1881" i="12"/>
  <c r="F1881" i="12"/>
  <c r="CT32" i="5"/>
  <c r="AV38" i="5"/>
  <c r="AZ38" i="5"/>
  <c r="D1883" i="12" l="1"/>
  <c r="E1882" i="12"/>
  <c r="F1882" i="12"/>
  <c r="CT33" i="5"/>
  <c r="AV39" i="5"/>
  <c r="AZ39" i="5"/>
  <c r="D1884" i="12" l="1"/>
  <c r="F1883" i="12"/>
  <c r="E1883" i="12"/>
  <c r="CT34" i="5"/>
  <c r="AV40" i="5"/>
  <c r="AZ40" i="5"/>
  <c r="D1885" i="12" l="1"/>
  <c r="E1884" i="12"/>
  <c r="F1884" i="12"/>
  <c r="CT35" i="5"/>
  <c r="AV41" i="5"/>
  <c r="AZ41" i="5"/>
  <c r="D1886" i="12" l="1"/>
  <c r="F1885" i="12"/>
  <c r="E1885" i="12"/>
  <c r="CT36" i="5"/>
  <c r="AV42" i="5"/>
  <c r="AZ42" i="5"/>
  <c r="D1887" i="12" l="1"/>
  <c r="E1886" i="12"/>
  <c r="F1886" i="12"/>
  <c r="CT37" i="5"/>
  <c r="AV43" i="5"/>
  <c r="AZ43" i="5"/>
  <c r="D1888" i="12" l="1"/>
  <c r="F1887" i="12"/>
  <c r="E1887" i="12"/>
  <c r="CT38" i="5"/>
  <c r="AV44" i="5"/>
  <c r="AZ44" i="5"/>
  <c r="D1889" i="12" l="1"/>
  <c r="E1888" i="12"/>
  <c r="F1888" i="12"/>
  <c r="CT39" i="5"/>
  <c r="AV45" i="5"/>
  <c r="AZ45" i="5"/>
  <c r="D1890" i="12" l="1"/>
  <c r="E1889" i="12"/>
  <c r="F1889" i="12"/>
  <c r="CT40" i="5"/>
  <c r="AV46" i="5"/>
  <c r="AZ46" i="5"/>
  <c r="D1891" i="12" l="1"/>
  <c r="E1890" i="12"/>
  <c r="F1890" i="12"/>
  <c r="CT41" i="5"/>
  <c r="AV47" i="5"/>
  <c r="AZ47" i="5"/>
  <c r="D1892" i="12" l="1"/>
  <c r="F1891" i="12"/>
  <c r="E1891" i="12"/>
  <c r="CT42" i="5"/>
  <c r="AV48" i="5"/>
  <c r="AZ48" i="5"/>
  <c r="D1893" i="12" l="1"/>
  <c r="F1892" i="12"/>
  <c r="E1892" i="12"/>
  <c r="CT43" i="5"/>
  <c r="AV49" i="5"/>
  <c r="AZ49" i="5"/>
  <c r="D1894" i="12" l="1"/>
  <c r="E1893" i="12"/>
  <c r="F1893" i="12"/>
  <c r="CT44" i="5"/>
  <c r="AV50" i="5"/>
  <c r="AZ50" i="5"/>
  <c r="D1895" i="12" l="1"/>
  <c r="F1894" i="12"/>
  <c r="E1894" i="12"/>
  <c r="CT45" i="5"/>
  <c r="AV51" i="5"/>
  <c r="AZ51" i="5"/>
  <c r="D1896" i="12" l="1"/>
  <c r="E1895" i="12"/>
  <c r="F1895" i="12"/>
  <c r="CT46" i="5"/>
  <c r="AV52" i="5"/>
  <c r="AZ52" i="5"/>
  <c r="D1897" i="12" l="1"/>
  <c r="E1896" i="12"/>
  <c r="F1896" i="12"/>
  <c r="CT47" i="5"/>
  <c r="AV53" i="5"/>
  <c r="AZ53" i="5"/>
  <c r="D1898" i="12" l="1"/>
  <c r="F1897" i="12"/>
  <c r="E1897" i="12"/>
  <c r="CT48" i="5"/>
  <c r="AV54" i="5"/>
  <c r="AZ54" i="5"/>
  <c r="D1899" i="12" l="1"/>
  <c r="E1898" i="12"/>
  <c r="F1898" i="12"/>
  <c r="CT49" i="5"/>
  <c r="AV55" i="5"/>
  <c r="AZ55" i="5"/>
  <c r="D1900" i="12" l="1"/>
  <c r="F1899" i="12"/>
  <c r="E1899" i="12"/>
  <c r="CT50" i="5"/>
  <c r="AV56" i="5"/>
  <c r="AZ56" i="5"/>
  <c r="D1901" i="12" l="1"/>
  <c r="F1900" i="12"/>
  <c r="E1900" i="12"/>
  <c r="CT51" i="5"/>
  <c r="AV57" i="5"/>
  <c r="AZ57" i="5"/>
  <c r="D1902" i="12" l="1"/>
  <c r="F1901" i="12"/>
  <c r="E1901" i="12"/>
  <c r="CT52" i="5"/>
  <c r="AV58" i="5"/>
  <c r="AZ58" i="5"/>
  <c r="D1903" i="12" l="1"/>
  <c r="E1902" i="12"/>
  <c r="F1902" i="12"/>
  <c r="CT53" i="5"/>
  <c r="AV59" i="5"/>
  <c r="AZ59" i="5"/>
  <c r="D1904" i="12" l="1"/>
  <c r="F1903" i="12"/>
  <c r="E1903" i="12"/>
  <c r="CT54" i="5"/>
  <c r="AV60" i="5"/>
  <c r="AZ60" i="5"/>
  <c r="D1905" i="12" l="1"/>
  <c r="E1904" i="12"/>
  <c r="F1904" i="12"/>
  <c r="CT55" i="5"/>
  <c r="AV61" i="5"/>
  <c r="AZ61" i="5"/>
  <c r="D1906" i="12" l="1"/>
  <c r="E1905" i="12"/>
  <c r="F1905" i="12"/>
  <c r="CT56" i="5"/>
  <c r="AV62" i="5"/>
  <c r="AZ62" i="5"/>
  <c r="D1907" i="12" l="1"/>
  <c r="E1906" i="12"/>
  <c r="F1906" i="12"/>
  <c r="CT57" i="5"/>
  <c r="AV63" i="5"/>
  <c r="AZ63" i="5"/>
  <c r="D1908" i="12" l="1"/>
  <c r="E1907" i="12"/>
  <c r="F1907" i="12"/>
  <c r="CT58" i="5"/>
  <c r="AV64" i="5"/>
  <c r="AZ64" i="5"/>
  <c r="D1909" i="12" l="1"/>
  <c r="E1908" i="12"/>
  <c r="F1908" i="12"/>
  <c r="CT59" i="5"/>
  <c r="AV65" i="5"/>
  <c r="AZ65" i="5"/>
  <c r="D1910" i="12" l="1"/>
  <c r="F1909" i="12"/>
  <c r="E1909" i="12"/>
  <c r="CT60" i="5"/>
  <c r="AV66" i="5"/>
  <c r="AZ66" i="5"/>
  <c r="D1911" i="12" l="1"/>
  <c r="F1910" i="12"/>
  <c r="E1910" i="12"/>
  <c r="CT61" i="5"/>
  <c r="AV67" i="5"/>
  <c r="AZ67" i="5"/>
  <c r="D1912" i="12" l="1"/>
  <c r="E1911" i="12"/>
  <c r="F1911" i="12"/>
  <c r="CT62" i="5"/>
  <c r="AV68" i="5"/>
  <c r="AZ68" i="5"/>
  <c r="D1913" i="12" l="1"/>
  <c r="E1912" i="12"/>
  <c r="F1912" i="12"/>
  <c r="CT63" i="5"/>
  <c r="AV69" i="5"/>
  <c r="AZ69" i="5"/>
  <c r="D1914" i="12" l="1"/>
  <c r="E1913" i="12"/>
  <c r="F1913" i="12"/>
  <c r="CT64" i="5"/>
  <c r="AV70" i="5"/>
  <c r="AZ70" i="5"/>
  <c r="D1915" i="12" l="1"/>
  <c r="E1914" i="12"/>
  <c r="F1914" i="12"/>
  <c r="CT65" i="5"/>
  <c r="AV71" i="5"/>
  <c r="AZ71" i="5"/>
  <c r="D1916" i="12" l="1"/>
  <c r="F1915" i="12"/>
  <c r="E1915" i="12"/>
  <c r="CT66" i="5"/>
  <c r="AV72" i="5"/>
  <c r="AZ72" i="5"/>
  <c r="D1917" i="12" l="1"/>
  <c r="F1916" i="12"/>
  <c r="E1916" i="12"/>
  <c r="CT67" i="5"/>
  <c r="AV73" i="5"/>
  <c r="AZ73" i="5"/>
  <c r="D1918" i="12" l="1"/>
  <c r="F1917" i="12"/>
  <c r="E1917" i="12"/>
  <c r="CT68" i="5"/>
  <c r="AV74" i="5"/>
  <c r="AZ74" i="5"/>
  <c r="D1919" i="12" l="1"/>
  <c r="F1918" i="12"/>
  <c r="E1918" i="12"/>
  <c r="CT69" i="5"/>
  <c r="AV75" i="5"/>
  <c r="AZ75" i="5"/>
  <c r="D1920" i="12" l="1"/>
  <c r="E1919" i="12"/>
  <c r="F1919" i="12"/>
  <c r="CT70" i="5"/>
  <c r="AV76" i="5"/>
  <c r="AZ76" i="5"/>
  <c r="D1921" i="12" l="1"/>
  <c r="E1920" i="12"/>
  <c r="F1920" i="12"/>
  <c r="CT71" i="5"/>
  <c r="AV77" i="5"/>
  <c r="AZ77" i="5"/>
  <c r="D1922" i="12" l="1"/>
  <c r="F1921" i="12"/>
  <c r="E1921" i="12"/>
  <c r="CT72" i="5"/>
  <c r="AV78" i="5"/>
  <c r="AZ78" i="5"/>
  <c r="D1923" i="12" l="1"/>
  <c r="E1922" i="12"/>
  <c r="F1922" i="12"/>
  <c r="CT73" i="5"/>
  <c r="AV79" i="5"/>
  <c r="AZ79" i="5"/>
  <c r="D1924" i="12" l="1"/>
  <c r="F1923" i="12"/>
  <c r="E1923" i="12"/>
  <c r="CT74" i="5"/>
  <c r="AV80" i="5"/>
  <c r="AZ80" i="5"/>
  <c r="D1925" i="12" l="1"/>
  <c r="E1924" i="12"/>
  <c r="F1924" i="12"/>
  <c r="CT75" i="5"/>
  <c r="AV81" i="5"/>
  <c r="AZ81" i="5"/>
  <c r="D1926" i="12" l="1"/>
  <c r="F1925" i="12"/>
  <c r="E1925" i="12"/>
  <c r="CT76" i="5"/>
  <c r="AV82" i="5"/>
  <c r="AZ82" i="5"/>
  <c r="D1927" i="12" l="1"/>
  <c r="E1926" i="12"/>
  <c r="F1926" i="12"/>
  <c r="CT77" i="5"/>
  <c r="AV83" i="5"/>
  <c r="AZ83" i="5"/>
  <c r="D1928" i="12" l="1"/>
  <c r="F1927" i="12"/>
  <c r="E1927" i="12"/>
  <c r="CT78" i="5"/>
  <c r="AV84" i="5"/>
  <c r="AZ84" i="5"/>
  <c r="D1929" i="12" l="1"/>
  <c r="E1928" i="12"/>
  <c r="F1928" i="12"/>
  <c r="CT79" i="5"/>
  <c r="AV85" i="5"/>
  <c r="AZ85" i="5"/>
  <c r="D1930" i="12" l="1"/>
  <c r="E1929" i="12"/>
  <c r="F1929" i="12"/>
  <c r="CT80" i="5"/>
  <c r="AV86" i="5"/>
  <c r="AZ86" i="5"/>
  <c r="D1931" i="12" l="1"/>
  <c r="F1930" i="12"/>
  <c r="E1930" i="12"/>
  <c r="CT81" i="5"/>
  <c r="AV87" i="5"/>
  <c r="AZ87" i="5"/>
  <c r="D1932" i="12" l="1"/>
  <c r="E1931" i="12"/>
  <c r="F1931" i="12"/>
  <c r="CT82" i="5"/>
  <c r="AV88" i="5"/>
  <c r="AZ88" i="5"/>
  <c r="D1933" i="12" l="1"/>
  <c r="E1932" i="12"/>
  <c r="F1932" i="12"/>
  <c r="CT83" i="5"/>
  <c r="AV89" i="5"/>
  <c r="AZ89" i="5"/>
  <c r="D1934" i="12" l="1"/>
  <c r="F1933" i="12"/>
  <c r="E1933" i="12"/>
  <c r="CT84" i="5"/>
  <c r="AV90" i="5"/>
  <c r="AZ90" i="5"/>
  <c r="D1935" i="12" l="1"/>
  <c r="E1934" i="12"/>
  <c r="F1934" i="12"/>
  <c r="CT85" i="5"/>
  <c r="AV91" i="5"/>
  <c r="AZ91" i="5"/>
  <c r="D1936" i="12" l="1"/>
  <c r="F1935" i="12"/>
  <c r="E1935" i="12"/>
  <c r="CT86" i="5"/>
  <c r="AV92" i="5"/>
  <c r="AZ92" i="5"/>
  <c r="D1937" i="12" l="1"/>
  <c r="E1936" i="12"/>
  <c r="F1936" i="12"/>
  <c r="CT87" i="5"/>
  <c r="AV93" i="5"/>
  <c r="AZ93" i="5"/>
  <c r="D1938" i="12" l="1"/>
  <c r="F1937" i="12"/>
  <c r="E1937" i="12"/>
  <c r="CT88" i="5"/>
  <c r="AV94" i="5"/>
  <c r="AZ94" i="5"/>
  <c r="D1939" i="12" l="1"/>
  <c r="E1938" i="12"/>
  <c r="F1938" i="12"/>
  <c r="CT89" i="5"/>
  <c r="AV95" i="5"/>
  <c r="AZ95" i="5"/>
  <c r="D1940" i="12" l="1"/>
  <c r="F1939" i="12"/>
  <c r="E1939" i="12"/>
  <c r="CT90" i="5"/>
  <c r="AV96" i="5"/>
  <c r="AZ96" i="5"/>
  <c r="D1941" i="12" l="1"/>
  <c r="E1940" i="12"/>
  <c r="F1940" i="12"/>
  <c r="CT91" i="5"/>
  <c r="AV97" i="5"/>
  <c r="AZ97" i="5"/>
  <c r="D1942" i="12" l="1"/>
  <c r="E1941" i="12"/>
  <c r="F1941" i="12"/>
  <c r="CT92" i="5"/>
  <c r="AV98" i="5"/>
  <c r="AZ98" i="5"/>
  <c r="D1943" i="12" l="1"/>
  <c r="F1942" i="12"/>
  <c r="E1942" i="12"/>
  <c r="CT93" i="5"/>
  <c r="AV99" i="5"/>
  <c r="AZ99" i="5"/>
  <c r="D1944" i="12" l="1"/>
  <c r="F1943" i="12"/>
  <c r="E1943" i="12"/>
  <c r="CT94" i="5"/>
  <c r="AV100" i="5"/>
  <c r="AZ100" i="5"/>
  <c r="D1945" i="12" l="1"/>
  <c r="E1944" i="12"/>
  <c r="F1944" i="12"/>
  <c r="CT95" i="5"/>
  <c r="AV101" i="5"/>
  <c r="AZ101" i="5"/>
  <c r="D1946" i="12" l="1"/>
  <c r="F1945" i="12"/>
  <c r="E1945" i="12"/>
  <c r="CT96" i="5"/>
  <c r="AV102" i="5"/>
  <c r="AZ102" i="5"/>
  <c r="D1947" i="12" l="1"/>
  <c r="E1946" i="12"/>
  <c r="F1946" i="12"/>
  <c r="CT97" i="5"/>
  <c r="AV103" i="5"/>
  <c r="AZ103" i="5"/>
  <c r="D1948" i="12" l="1"/>
  <c r="E1947" i="12"/>
  <c r="F1947" i="12"/>
  <c r="CT98" i="5"/>
  <c r="AV104" i="5"/>
  <c r="AZ104" i="5"/>
  <c r="D1949" i="12" l="1"/>
  <c r="E1948" i="12"/>
  <c r="F1948" i="12"/>
  <c r="CT99" i="5"/>
  <c r="AV105" i="5"/>
  <c r="AZ105" i="5"/>
  <c r="D1950" i="12" l="1"/>
  <c r="E1949" i="12"/>
  <c r="F1949" i="12"/>
  <c r="CT100" i="5"/>
  <c r="AV106" i="5"/>
  <c r="AZ106" i="5"/>
  <c r="D1951" i="12" l="1"/>
  <c r="E1950" i="12"/>
  <c r="F1950" i="12"/>
  <c r="CT101" i="5"/>
  <c r="AV107" i="5"/>
  <c r="AZ107" i="5"/>
  <c r="D1952" i="12" l="1"/>
  <c r="F1951" i="12"/>
  <c r="E1951" i="12"/>
  <c r="CT102" i="5"/>
  <c r="AV108" i="5"/>
  <c r="AZ108" i="5"/>
  <c r="D1953" i="12" l="1"/>
  <c r="F1952" i="12"/>
  <c r="E1952" i="12"/>
  <c r="CT103" i="5"/>
  <c r="AV109" i="5"/>
  <c r="AZ109" i="5"/>
  <c r="D1954" i="12" l="1"/>
  <c r="F1953" i="12"/>
  <c r="E1953" i="12"/>
  <c r="CT104" i="5"/>
  <c r="AV110" i="5"/>
  <c r="AZ110" i="5"/>
  <c r="D1955" i="12" l="1"/>
  <c r="E1954" i="12"/>
  <c r="F1954" i="12"/>
  <c r="CT105" i="5"/>
  <c r="AV111" i="5"/>
  <c r="AZ111" i="5"/>
  <c r="D1956" i="12" l="1"/>
  <c r="E1955" i="12"/>
  <c r="F1955" i="12"/>
  <c r="CT106" i="5"/>
  <c r="AV112" i="5"/>
  <c r="AZ112" i="5"/>
  <c r="D1957" i="12" l="1"/>
  <c r="E1956" i="12"/>
  <c r="F1956" i="12"/>
  <c r="CT107" i="5"/>
  <c r="AV113" i="5"/>
  <c r="AZ113" i="5"/>
  <c r="D1958" i="12" l="1"/>
  <c r="F1957" i="12"/>
  <c r="E1957" i="12"/>
  <c r="CT108" i="5"/>
  <c r="AV114" i="5"/>
  <c r="AZ114" i="5"/>
  <c r="D1959" i="12" l="1"/>
  <c r="E1958" i="12"/>
  <c r="F1958" i="12"/>
  <c r="CT109" i="5"/>
  <c r="AV115" i="5"/>
  <c r="AZ115" i="5"/>
  <c r="D1960" i="12" l="1"/>
  <c r="F1959" i="12"/>
  <c r="E1959" i="12"/>
  <c r="CT110" i="5"/>
  <c r="AV116" i="5"/>
  <c r="AZ116" i="5"/>
  <c r="D1961" i="12" l="1"/>
  <c r="E1960" i="12"/>
  <c r="F1960" i="12"/>
  <c r="CT111" i="5"/>
  <c r="AV117" i="5"/>
  <c r="AZ117" i="5"/>
  <c r="D1962" i="12" l="1"/>
  <c r="F1961" i="12"/>
  <c r="E1961" i="12"/>
  <c r="CT112" i="5"/>
  <c r="AV118" i="5"/>
  <c r="AZ118" i="5"/>
  <c r="D1963" i="12" l="1"/>
  <c r="E1962" i="12"/>
  <c r="F1962" i="12"/>
  <c r="CT113" i="5"/>
  <c r="AV119" i="5"/>
  <c r="AZ119" i="5"/>
  <c r="D1964" i="12" l="1"/>
  <c r="F1963" i="12"/>
  <c r="E1963" i="12"/>
  <c r="CT114" i="5"/>
  <c r="AV120" i="5"/>
  <c r="AZ120" i="5"/>
  <c r="D1965" i="12" l="1"/>
  <c r="E1964" i="12"/>
  <c r="F1964" i="12"/>
  <c r="CT115" i="5"/>
  <c r="AV121" i="5"/>
  <c r="AZ121" i="5"/>
  <c r="D1966" i="12" l="1"/>
  <c r="E1965" i="12"/>
  <c r="F1965" i="12"/>
  <c r="CT116" i="5"/>
  <c r="AV122" i="5"/>
  <c r="AZ122" i="5"/>
  <c r="D1967" i="12" l="1"/>
  <c r="F1966" i="12"/>
  <c r="E1966" i="12"/>
  <c r="CT117" i="5"/>
  <c r="AV123" i="5"/>
  <c r="AZ123" i="5"/>
  <c r="D1968" i="12" l="1"/>
  <c r="E1967" i="12"/>
  <c r="F1967" i="12"/>
  <c r="CT118" i="5"/>
  <c r="AV124" i="5"/>
  <c r="AZ124" i="5"/>
  <c r="D1969" i="12" l="1"/>
  <c r="E1968" i="12"/>
  <c r="F1968" i="12"/>
  <c r="CT119" i="5"/>
  <c r="AZ125" i="5"/>
  <c r="AV125" i="5"/>
  <c r="D1970" i="12" l="1"/>
  <c r="F1969" i="12"/>
  <c r="E1969" i="12"/>
  <c r="CT120" i="5"/>
  <c r="AZ126" i="5"/>
  <c r="AV126" i="5"/>
  <c r="D1971" i="12" l="1"/>
  <c r="F1970" i="12"/>
  <c r="E1970" i="12"/>
  <c r="CT121" i="5"/>
  <c r="AZ127" i="5"/>
  <c r="AV127" i="5"/>
  <c r="E1971" i="12" l="1"/>
  <c r="F1971" i="12"/>
  <c r="CT122" i="5"/>
  <c r="AZ128" i="5"/>
  <c r="AV128" i="5"/>
  <c r="CT123" i="5" l="1"/>
  <c r="AZ129" i="5"/>
  <c r="AV129" i="5"/>
  <c r="CT124" i="5" l="1"/>
  <c r="AZ130" i="5"/>
  <c r="AV130" i="5"/>
  <c r="CT125" i="5" l="1"/>
  <c r="AZ131" i="5"/>
  <c r="AV131" i="5"/>
  <c r="CT126" i="5" l="1"/>
  <c r="AZ132" i="5"/>
  <c r="AV132" i="5"/>
  <c r="CT127" i="5" l="1"/>
  <c r="AZ133" i="5"/>
  <c r="AV133" i="5"/>
  <c r="CT128" i="5" l="1"/>
  <c r="AZ134" i="5"/>
  <c r="AV134" i="5"/>
  <c r="CT129" i="5" l="1"/>
  <c r="AZ135" i="5"/>
  <c r="AV135" i="5"/>
  <c r="CT130" i="5" l="1"/>
  <c r="AZ136" i="5"/>
  <c r="AV136" i="5"/>
  <c r="CT131" i="5" l="1"/>
  <c r="AZ137" i="5"/>
  <c r="AV137" i="5"/>
  <c r="CT132" i="5" l="1"/>
  <c r="AZ138" i="5"/>
  <c r="AV138" i="5"/>
  <c r="CT133" i="5" l="1"/>
  <c r="AZ139" i="5"/>
  <c r="AV139" i="5"/>
  <c r="CT134" i="5" l="1"/>
  <c r="AZ140" i="5"/>
  <c r="AV140" i="5"/>
  <c r="CT135" i="5" l="1"/>
  <c r="AZ141" i="5"/>
  <c r="AV141" i="5"/>
  <c r="CT136" i="5" l="1"/>
  <c r="AZ142" i="5"/>
  <c r="AV142" i="5"/>
  <c r="CT137" i="5" l="1"/>
  <c r="AZ143" i="5"/>
  <c r="AV143" i="5"/>
  <c r="CT138" i="5" l="1"/>
  <c r="AZ144" i="5"/>
  <c r="AV144" i="5"/>
  <c r="CT139" i="5" l="1"/>
  <c r="AZ145" i="5"/>
  <c r="AX144" i="5"/>
  <c r="AV145" i="5"/>
  <c r="CT140" i="5" l="1"/>
  <c r="AZ146" i="5"/>
  <c r="AX145" i="5"/>
  <c r="AV146" i="5"/>
  <c r="CT141" i="5" l="1"/>
  <c r="AZ147" i="5"/>
  <c r="AX146" i="5"/>
  <c r="AV147" i="5"/>
  <c r="CT142" i="5" l="1"/>
  <c r="AZ148" i="5"/>
  <c r="AX147" i="5"/>
  <c r="AV148" i="5"/>
  <c r="CT143" i="5" l="1"/>
  <c r="AZ149" i="5"/>
  <c r="AX148" i="5"/>
  <c r="AV149" i="5"/>
  <c r="CT144" i="5" l="1"/>
  <c r="AZ150" i="5"/>
  <c r="AX149" i="5"/>
  <c r="AV150" i="5"/>
  <c r="CT145" i="5" l="1"/>
  <c r="AZ151" i="5"/>
  <c r="AX150" i="5"/>
  <c r="AV151" i="5"/>
  <c r="CT146" i="5" l="1"/>
  <c r="AZ152" i="5"/>
  <c r="AX151" i="5"/>
  <c r="AV152" i="5"/>
  <c r="CT147" i="5" l="1"/>
  <c r="AZ153" i="5"/>
  <c r="AX152" i="5"/>
  <c r="AV153" i="5"/>
  <c r="CT148" i="5" l="1"/>
  <c r="AZ154" i="5"/>
  <c r="AX153" i="5"/>
  <c r="AV154" i="5"/>
  <c r="CT149" i="5" l="1"/>
  <c r="AZ155" i="5"/>
  <c r="AX154" i="5"/>
  <c r="AV155" i="5"/>
  <c r="CT150" i="5" l="1"/>
  <c r="AZ156" i="5"/>
  <c r="AX155" i="5"/>
  <c r="AV156" i="5"/>
  <c r="CT151" i="5" l="1"/>
  <c r="AZ157" i="5"/>
  <c r="AX156" i="5"/>
  <c r="AV157" i="5"/>
  <c r="CT152" i="5" l="1"/>
  <c r="AZ158" i="5"/>
  <c r="AX157" i="5"/>
  <c r="AV158" i="5"/>
  <c r="CT153" i="5" l="1"/>
  <c r="AZ159" i="5"/>
  <c r="AX158" i="5"/>
  <c r="AV159" i="5"/>
  <c r="CT154" i="5" l="1"/>
  <c r="AZ160" i="5"/>
  <c r="AX159" i="5"/>
  <c r="AV160" i="5"/>
  <c r="CT155" i="5" l="1"/>
  <c r="AZ161" i="5"/>
  <c r="AX160" i="5"/>
  <c r="AV161" i="5"/>
  <c r="CT156" i="5" l="1"/>
  <c r="AZ162" i="5"/>
  <c r="AX161" i="5"/>
  <c r="AV162" i="5"/>
  <c r="CT157" i="5" l="1"/>
  <c r="AZ163" i="5"/>
  <c r="AX162" i="5"/>
  <c r="AV163" i="5"/>
  <c r="CT158" i="5" l="1"/>
  <c r="AZ164" i="5"/>
  <c r="AX163" i="5"/>
  <c r="AV164" i="5"/>
  <c r="CT159" i="5" l="1"/>
  <c r="AZ165" i="5"/>
  <c r="AX164" i="5"/>
  <c r="AV165" i="5"/>
  <c r="CT160" i="5" l="1"/>
  <c r="AZ166" i="5"/>
  <c r="AX165" i="5"/>
  <c r="AV166" i="5"/>
  <c r="CT161" i="5" l="1"/>
  <c r="AZ167" i="5"/>
  <c r="AX166" i="5"/>
  <c r="AV167" i="5"/>
  <c r="AX167" i="5" s="1"/>
  <c r="AV19" i="2"/>
  <c r="AX19" i="2" s="1"/>
  <c r="FP164" i="5" l="1"/>
  <c r="FP165" i="5"/>
  <c r="FP163" i="5"/>
  <c r="FM165" i="5"/>
  <c r="FI165" i="5"/>
  <c r="FM164" i="5"/>
  <c r="FK165" i="5"/>
  <c r="FJ163" i="5"/>
  <c r="FL165" i="5"/>
  <c r="FL163" i="5"/>
  <c r="FL164" i="5"/>
  <c r="FH164" i="5"/>
  <c r="FN165" i="5"/>
  <c r="FG165" i="5"/>
  <c r="FI164" i="5"/>
  <c r="FN163" i="5"/>
  <c r="FH163" i="5"/>
  <c r="FG163" i="5"/>
  <c r="FM163" i="5"/>
  <c r="FI163" i="5"/>
  <c r="FO165" i="5"/>
  <c r="FN164" i="5"/>
  <c r="FG164" i="5"/>
  <c r="FO164" i="5"/>
  <c r="FH165" i="5"/>
  <c r="FJ165" i="5"/>
  <c r="FO163" i="5"/>
  <c r="FK163" i="5"/>
  <c r="FJ164" i="5"/>
  <c r="FK164" i="5"/>
  <c r="FF165" i="5"/>
  <c r="FF164" i="5"/>
  <c r="FE165" i="5"/>
  <c r="FB164" i="5"/>
  <c r="FB165" i="5"/>
  <c r="FE163" i="5"/>
  <c r="FE164" i="5"/>
  <c r="FC164" i="5"/>
  <c r="FD165" i="5"/>
  <c r="FD163" i="5"/>
  <c r="FB163" i="5"/>
  <c r="FC163" i="5"/>
  <c r="FC165" i="5"/>
  <c r="FF163" i="5"/>
  <c r="FD164" i="5"/>
  <c r="AZ168" i="5"/>
  <c r="AZ169" i="5" s="1"/>
  <c r="AZ170" i="5" s="1"/>
  <c r="AZ171" i="5" s="1"/>
  <c r="EX165" i="5"/>
  <c r="EY165" i="5"/>
  <c r="ER165" i="5"/>
  <c r="EZ165" i="5"/>
  <c r="EV165" i="5"/>
  <c r="EU165" i="5"/>
  <c r="ES165" i="5"/>
  <c r="ET165" i="5"/>
  <c r="FA165" i="5"/>
  <c r="EW165" i="5"/>
  <c r="ER163" i="5"/>
  <c r="EX164" i="5"/>
  <c r="EY163" i="5"/>
  <c r="FA164" i="5"/>
  <c r="ES163" i="5"/>
  <c r="ET164" i="5"/>
  <c r="EW163" i="5"/>
  <c r="EY164" i="5"/>
  <c r="EX163" i="5"/>
  <c r="EV163" i="5"/>
  <c r="EZ164" i="5"/>
  <c r="FA163" i="5"/>
  <c r="EW164" i="5"/>
  <c r="ET163" i="5"/>
  <c r="ER164" i="5"/>
  <c r="EU163" i="5"/>
  <c r="EU164" i="5"/>
  <c r="EZ163" i="5"/>
  <c r="ES164" i="5"/>
  <c r="EV164" i="5"/>
  <c r="CT162" i="5"/>
  <c r="AV20" i="2"/>
  <c r="AX20" i="2" s="1"/>
  <c r="AZ19" i="2"/>
  <c r="DJ19" i="2" l="1"/>
  <c r="DK19" i="2"/>
  <c r="DM19" i="2"/>
  <c r="DO19" i="2"/>
  <c r="DQ19" i="2"/>
  <c r="DL19" i="2"/>
  <c r="DN19" i="2"/>
  <c r="DP19" i="2"/>
  <c r="DH19" i="2"/>
  <c r="DG19" i="2"/>
  <c r="DI19" i="2"/>
  <c r="DE19" i="2"/>
  <c r="DF19" i="2"/>
  <c r="CT19" i="2"/>
  <c r="AZ20" i="2"/>
  <c r="AV21" i="2"/>
  <c r="AX21" i="2" s="1"/>
  <c r="DW21" i="2" l="1"/>
  <c r="DT21" i="2"/>
  <c r="EB21" i="2"/>
  <c r="DU21" i="2"/>
  <c r="DX21" i="2"/>
  <c r="EK21" i="2"/>
  <c r="DZ21" i="2"/>
  <c r="EF21" i="2"/>
  <c r="EJ21" i="2"/>
  <c r="EH21" i="2"/>
  <c r="DY21" i="2"/>
  <c r="ED21" i="2"/>
  <c r="EM21" i="2"/>
  <c r="EO21" i="2"/>
  <c r="EE21" i="2"/>
  <c r="EC21" i="2"/>
  <c r="EI21" i="2"/>
  <c r="EL21" i="2"/>
  <c r="DV21" i="2"/>
  <c r="EP21" i="2"/>
  <c r="EN21" i="2"/>
  <c r="EA21" i="2"/>
  <c r="EG21" i="2"/>
  <c r="DJ20" i="2"/>
  <c r="DK20" i="2"/>
  <c r="DO20" i="2"/>
  <c r="DN20" i="2"/>
  <c r="DM20" i="2"/>
  <c r="DL20" i="2"/>
  <c r="DQ20" i="2"/>
  <c r="DP20" i="2"/>
  <c r="DI20" i="2"/>
  <c r="DG20" i="2"/>
  <c r="DF20" i="2"/>
  <c r="DH20" i="2"/>
  <c r="DE20" i="2"/>
  <c r="BD168" i="5"/>
  <c r="BD169" i="5"/>
  <c r="CT20" i="2"/>
  <c r="AZ21" i="2"/>
  <c r="AV22" i="2"/>
  <c r="AX22" i="2" s="1"/>
  <c r="DT22" i="2" l="1"/>
  <c r="DW22" i="2"/>
  <c r="DZ22" i="2"/>
  <c r="EP22" i="2"/>
  <c r="EA22" i="2"/>
  <c r="EC22" i="2"/>
  <c r="EK22" i="2"/>
  <c r="ED22" i="2"/>
  <c r="EI22" i="2"/>
  <c r="EO22" i="2"/>
  <c r="EN22" i="2"/>
  <c r="EH22" i="2"/>
  <c r="EE22" i="2"/>
  <c r="DV22" i="2"/>
  <c r="DU22" i="2"/>
  <c r="EL22" i="2"/>
  <c r="EJ22" i="2"/>
  <c r="DY22" i="2"/>
  <c r="EB22" i="2"/>
  <c r="DX22" i="2"/>
  <c r="EM22" i="2"/>
  <c r="EF22" i="2"/>
  <c r="EG22" i="2"/>
  <c r="DJ21" i="2"/>
  <c r="DK21" i="2"/>
  <c r="DN21" i="2"/>
  <c r="DM21" i="2"/>
  <c r="DL21" i="2"/>
  <c r="DO21" i="2"/>
  <c r="DQ21" i="2"/>
  <c r="DP21" i="2"/>
  <c r="DF21" i="2"/>
  <c r="DE21" i="2"/>
  <c r="DH21" i="2"/>
  <c r="DG21" i="2"/>
  <c r="DI21" i="2"/>
  <c r="AV23" i="2"/>
  <c r="AX23" i="2" s="1"/>
  <c r="CT21" i="2"/>
  <c r="AZ22" i="2"/>
  <c r="EE23" i="2" l="1"/>
  <c r="EP23" i="2"/>
  <c r="EL23" i="2"/>
  <c r="DW23" i="2"/>
  <c r="EA23" i="2"/>
  <c r="DY23" i="2"/>
  <c r="EN23" i="2"/>
  <c r="EF23" i="2"/>
  <c r="DZ23" i="2"/>
  <c r="EC23" i="2"/>
  <c r="EI23" i="2"/>
  <c r="EK23" i="2"/>
  <c r="EO23" i="2"/>
  <c r="EG23" i="2"/>
  <c r="EM23" i="2"/>
  <c r="EB23" i="2"/>
  <c r="DU23" i="2"/>
  <c r="DT23" i="2"/>
  <c r="EH23" i="2"/>
  <c r="DV23" i="2"/>
  <c r="ED23" i="2"/>
  <c r="DX23" i="2"/>
  <c r="EJ23" i="2"/>
  <c r="DJ22" i="2"/>
  <c r="DM22" i="2"/>
  <c r="DN22" i="2"/>
  <c r="DK22" i="2"/>
  <c r="DL22" i="2"/>
  <c r="DP22" i="2"/>
  <c r="DO22" i="2"/>
  <c r="DQ22" i="2"/>
  <c r="DF22" i="2"/>
  <c r="DH22" i="2"/>
  <c r="DG22" i="2"/>
  <c r="DE22" i="2"/>
  <c r="DI22" i="2"/>
  <c r="AV24" i="2"/>
  <c r="AX24" i="2" s="1"/>
  <c r="CT22" i="2"/>
  <c r="AZ23" i="2"/>
  <c r="DJ23" i="2" l="1"/>
  <c r="DM23" i="2"/>
  <c r="DQ23" i="2"/>
  <c r="DN23" i="2"/>
  <c r="DO23" i="2"/>
  <c r="DL23" i="2"/>
  <c r="DK23" i="2"/>
  <c r="DP23" i="2"/>
  <c r="DH23" i="2"/>
  <c r="DG23" i="2"/>
  <c r="DE23" i="2"/>
  <c r="DI23" i="2"/>
  <c r="DF23" i="2"/>
  <c r="AV25" i="2"/>
  <c r="AX25" i="2" s="1"/>
  <c r="CT23" i="2"/>
  <c r="AZ24" i="2"/>
  <c r="DJ24" i="2" l="1"/>
  <c r="DM24" i="2"/>
  <c r="DN24" i="2"/>
  <c r="DQ24" i="2"/>
  <c r="DL24" i="2"/>
  <c r="DK24" i="2"/>
  <c r="DP24" i="2"/>
  <c r="DO24" i="2"/>
  <c r="DI24" i="2"/>
  <c r="DG24" i="2"/>
  <c r="DF24" i="2"/>
  <c r="DH24" i="2"/>
  <c r="DE24" i="2"/>
  <c r="AV26" i="2"/>
  <c r="AX26" i="2" s="1"/>
  <c r="CT24" i="2"/>
  <c r="AZ25" i="2"/>
  <c r="DJ25" i="2" l="1"/>
  <c r="DM25" i="2"/>
  <c r="DQ25" i="2"/>
  <c r="DN25" i="2"/>
  <c r="DK25" i="2"/>
  <c r="DL25" i="2"/>
  <c r="DP25" i="2"/>
  <c r="DO25" i="2"/>
  <c r="DE25" i="2"/>
  <c r="DF25" i="2"/>
  <c r="DI25" i="2"/>
  <c r="DG25" i="2"/>
  <c r="DH25" i="2"/>
  <c r="AV27" i="2"/>
  <c r="AX27" i="2" s="1"/>
  <c r="CT25" i="2"/>
  <c r="AZ26" i="2"/>
  <c r="DJ26" i="2" l="1"/>
  <c r="DM26" i="2"/>
  <c r="DL26" i="2"/>
  <c r="DN26" i="2"/>
  <c r="DK26" i="2"/>
  <c r="DO26" i="2"/>
  <c r="DQ26" i="2"/>
  <c r="DP26" i="2"/>
  <c r="DF26" i="2"/>
  <c r="DE26" i="2"/>
  <c r="DI26" i="2"/>
  <c r="DG26" i="2"/>
  <c r="DH26" i="2"/>
  <c r="AV28" i="2"/>
  <c r="AX28" i="2" s="1"/>
  <c r="CT26" i="2"/>
  <c r="AZ27" i="2"/>
  <c r="DJ27" i="2" l="1"/>
  <c r="DM27" i="2"/>
  <c r="DN27" i="2"/>
  <c r="DO27" i="2"/>
  <c r="DL27" i="2"/>
  <c r="DQ27" i="2"/>
  <c r="DP27" i="2"/>
  <c r="DK27" i="2"/>
  <c r="DE27" i="2"/>
  <c r="DF27" i="2"/>
  <c r="DH27" i="2"/>
  <c r="DI27" i="2"/>
  <c r="DG27" i="2"/>
  <c r="AV29" i="2"/>
  <c r="AX29" i="2" s="1"/>
  <c r="CT27" i="2"/>
  <c r="AZ28" i="2"/>
  <c r="DJ28" i="2" l="1"/>
  <c r="DM28" i="2"/>
  <c r="DN28" i="2"/>
  <c r="DQ28" i="2"/>
  <c r="DL28" i="2"/>
  <c r="DK28" i="2"/>
  <c r="DP28" i="2"/>
  <c r="DO28" i="2"/>
  <c r="DI28" i="2"/>
  <c r="DH28" i="2"/>
  <c r="DG28" i="2"/>
  <c r="DF28" i="2"/>
  <c r="DE28" i="2"/>
  <c r="AV30" i="2"/>
  <c r="AX30" i="2" s="1"/>
  <c r="CT28" i="2"/>
  <c r="AZ29" i="2"/>
  <c r="DJ29" i="2" l="1"/>
  <c r="DM29" i="2"/>
  <c r="DN29" i="2"/>
  <c r="DK29" i="2"/>
  <c r="DL29" i="2"/>
  <c r="DO29" i="2"/>
  <c r="DP29" i="2"/>
  <c r="DQ29" i="2"/>
  <c r="DF29" i="2"/>
  <c r="DI29" i="2"/>
  <c r="DE29" i="2"/>
  <c r="DG29" i="2"/>
  <c r="DH29" i="2"/>
  <c r="AV31" i="2"/>
  <c r="AX31" i="2" s="1"/>
  <c r="CT29" i="2"/>
  <c r="AZ30" i="2"/>
  <c r="DJ30" i="2" l="1"/>
  <c r="DM30" i="2"/>
  <c r="DL30" i="2"/>
  <c r="DN30" i="2"/>
  <c r="DK30" i="2"/>
  <c r="DO30" i="2"/>
  <c r="DP30" i="2"/>
  <c r="DQ30" i="2"/>
  <c r="DE30" i="2"/>
  <c r="DF30" i="2"/>
  <c r="DG30" i="2"/>
  <c r="DI30" i="2"/>
  <c r="DH30" i="2"/>
  <c r="AV32" i="2"/>
  <c r="AX32" i="2" s="1"/>
  <c r="CT30" i="2"/>
  <c r="AZ31" i="2"/>
  <c r="DJ31" i="2" l="1"/>
  <c r="DN31" i="2"/>
  <c r="DL31" i="2"/>
  <c r="DO31" i="2"/>
  <c r="DP31" i="2"/>
  <c r="DQ31" i="2"/>
  <c r="DM31" i="2"/>
  <c r="DK31" i="2"/>
  <c r="DF31" i="2"/>
  <c r="DI31" i="2"/>
  <c r="DE31" i="2"/>
  <c r="DG31" i="2"/>
  <c r="DH31" i="2"/>
  <c r="AV33" i="2"/>
  <c r="AX33" i="2" s="1"/>
  <c r="CT31" i="2"/>
  <c r="AZ32" i="2"/>
  <c r="DL32" i="2" l="1"/>
  <c r="DM32" i="2"/>
  <c r="DJ32" i="2"/>
  <c r="DP32" i="2"/>
  <c r="DN32" i="2"/>
  <c r="DK32" i="2"/>
  <c r="DO32" i="2"/>
  <c r="DQ32" i="2"/>
  <c r="DG32" i="2"/>
  <c r="DH32" i="2"/>
  <c r="DI32" i="2"/>
  <c r="DF32" i="2"/>
  <c r="DE32" i="2"/>
  <c r="AV34" i="2"/>
  <c r="AX34" i="2" s="1"/>
  <c r="CT32" i="2"/>
  <c r="AZ33" i="2"/>
  <c r="DL33" i="2" l="1"/>
  <c r="DN33" i="2"/>
  <c r="DQ33" i="2"/>
  <c r="DP33" i="2"/>
  <c r="DO33" i="2"/>
  <c r="DM33" i="2"/>
  <c r="DK33" i="2"/>
  <c r="DJ33" i="2"/>
  <c r="DF33" i="2"/>
  <c r="DG33" i="2"/>
  <c r="DI33" i="2"/>
  <c r="DH33" i="2"/>
  <c r="DE33" i="2"/>
  <c r="AV35" i="2"/>
  <c r="AX35" i="2" s="1"/>
  <c r="CT33" i="2"/>
  <c r="AZ34" i="2"/>
  <c r="DL34" i="2" l="1"/>
  <c r="DK34" i="2"/>
  <c r="DP34" i="2"/>
  <c r="DM34" i="2"/>
  <c r="DJ34" i="2"/>
  <c r="DN34" i="2"/>
  <c r="DO34" i="2"/>
  <c r="DQ34" i="2"/>
  <c r="DF34" i="2"/>
  <c r="DE34" i="2"/>
  <c r="DH34" i="2"/>
  <c r="DI34" i="2"/>
  <c r="DG34" i="2"/>
  <c r="AV36" i="2"/>
  <c r="AX36" i="2" s="1"/>
  <c r="CT34" i="2"/>
  <c r="AZ35" i="2"/>
  <c r="DL35" i="2" l="1"/>
  <c r="DQ35" i="2"/>
  <c r="DM35" i="2"/>
  <c r="DP35" i="2"/>
  <c r="DK35" i="2"/>
  <c r="DN35" i="2"/>
  <c r="DJ35" i="2"/>
  <c r="DO35" i="2"/>
  <c r="DF35" i="2"/>
  <c r="DI35" i="2"/>
  <c r="DH35" i="2"/>
  <c r="DG35" i="2"/>
  <c r="DE35" i="2"/>
  <c r="AV37" i="2"/>
  <c r="AX37" i="2" s="1"/>
  <c r="CT35" i="2"/>
  <c r="AZ36" i="2"/>
  <c r="DL36" i="2" l="1"/>
  <c r="DQ36" i="2"/>
  <c r="DP36" i="2"/>
  <c r="DK36" i="2"/>
  <c r="DJ36" i="2"/>
  <c r="DM36" i="2"/>
  <c r="DO36" i="2"/>
  <c r="DN36" i="2"/>
  <c r="DE36" i="2"/>
  <c r="DG36" i="2"/>
  <c r="DI36" i="2"/>
  <c r="DF36" i="2"/>
  <c r="DH36" i="2"/>
  <c r="AV38" i="2"/>
  <c r="AX38" i="2" s="1"/>
  <c r="CT36" i="2"/>
  <c r="AZ37" i="2"/>
  <c r="DL37" i="2" l="1"/>
  <c r="DJ37" i="2"/>
  <c r="DK37" i="2"/>
  <c r="DP37" i="2"/>
  <c r="DQ37" i="2"/>
  <c r="DM37" i="2"/>
  <c r="DO37" i="2"/>
  <c r="DN37" i="2"/>
  <c r="DH37" i="2"/>
  <c r="DG37" i="2"/>
  <c r="DE37" i="2"/>
  <c r="DF37" i="2"/>
  <c r="DI37" i="2"/>
  <c r="AV39" i="2"/>
  <c r="AX39" i="2" s="1"/>
  <c r="CT37" i="2"/>
  <c r="AZ38" i="2"/>
  <c r="DL38" i="2" l="1"/>
  <c r="DN38" i="2"/>
  <c r="DJ38" i="2"/>
  <c r="DP38" i="2"/>
  <c r="DQ38" i="2"/>
  <c r="DM38" i="2"/>
  <c r="DO38" i="2"/>
  <c r="DK38" i="2"/>
  <c r="DE38" i="2"/>
  <c r="DF38" i="2"/>
  <c r="DI38" i="2"/>
  <c r="DG38" i="2"/>
  <c r="DH38" i="2"/>
  <c r="AV40" i="2"/>
  <c r="AX40" i="2" s="1"/>
  <c r="CT38" i="2"/>
  <c r="AZ39" i="2"/>
  <c r="DL39" i="2" l="1"/>
  <c r="DO39" i="2"/>
  <c r="DP39" i="2"/>
  <c r="DJ39" i="2"/>
  <c r="DM39" i="2"/>
  <c r="DK39" i="2"/>
  <c r="DQ39" i="2"/>
  <c r="DN39" i="2"/>
  <c r="DE39" i="2"/>
  <c r="DH39" i="2"/>
  <c r="DG39" i="2"/>
  <c r="DI39" i="2"/>
  <c r="DF39" i="2"/>
  <c r="AV41" i="2"/>
  <c r="AX41" i="2" s="1"/>
  <c r="CT39" i="2"/>
  <c r="AZ40" i="2"/>
  <c r="DL40" i="2" l="1"/>
  <c r="DM40" i="2"/>
  <c r="DP40" i="2"/>
  <c r="DN40" i="2"/>
  <c r="DJ40" i="2"/>
  <c r="DQ40" i="2"/>
  <c r="DO40" i="2"/>
  <c r="DK40" i="2"/>
  <c r="DG40" i="2"/>
  <c r="DH40" i="2"/>
  <c r="DI40" i="2"/>
  <c r="DF40" i="2"/>
  <c r="DE40" i="2"/>
  <c r="AV42" i="2"/>
  <c r="AX42" i="2" s="1"/>
  <c r="CT40" i="2"/>
  <c r="AZ41" i="2"/>
  <c r="DL41" i="2" l="1"/>
  <c r="DN41" i="2"/>
  <c r="DP41" i="2"/>
  <c r="DJ41" i="2"/>
  <c r="DM41" i="2"/>
  <c r="DO41" i="2"/>
  <c r="DK41" i="2"/>
  <c r="DQ41" i="2"/>
  <c r="DH41" i="2"/>
  <c r="DE41" i="2"/>
  <c r="DI41" i="2"/>
  <c r="DF41" i="2"/>
  <c r="DG41" i="2"/>
  <c r="AV43" i="2"/>
  <c r="AX43" i="2" s="1"/>
  <c r="CT41" i="2"/>
  <c r="AZ42" i="2"/>
  <c r="DL42" i="2" l="1"/>
  <c r="DK42" i="2"/>
  <c r="DP42" i="2"/>
  <c r="DM42" i="2"/>
  <c r="DJ42" i="2"/>
  <c r="DN42" i="2"/>
  <c r="DO42" i="2"/>
  <c r="DQ42" i="2"/>
  <c r="DF42" i="2"/>
  <c r="DI42" i="2"/>
  <c r="DE42" i="2"/>
  <c r="DH42" i="2"/>
  <c r="DG42" i="2"/>
  <c r="AV44" i="2"/>
  <c r="AX44" i="2" s="1"/>
  <c r="CT42" i="2"/>
  <c r="AZ43" i="2"/>
  <c r="DL43" i="2" l="1"/>
  <c r="DQ43" i="2"/>
  <c r="DK43" i="2"/>
  <c r="DN43" i="2"/>
  <c r="DP43" i="2"/>
  <c r="DM43" i="2"/>
  <c r="DJ43" i="2"/>
  <c r="DO43" i="2"/>
  <c r="DI43" i="2"/>
  <c r="DF43" i="2"/>
  <c r="DH43" i="2"/>
  <c r="DE43" i="2"/>
  <c r="DG43" i="2"/>
  <c r="AV45" i="2"/>
  <c r="AX45" i="2" s="1"/>
  <c r="CT43" i="2"/>
  <c r="AZ44" i="2"/>
  <c r="DL44" i="2" l="1"/>
  <c r="DQ44" i="2"/>
  <c r="DP44" i="2"/>
  <c r="DK44" i="2"/>
  <c r="DJ44" i="2"/>
  <c r="DM44" i="2"/>
  <c r="DN44" i="2"/>
  <c r="DO44" i="2"/>
  <c r="DG44" i="2"/>
  <c r="DH44" i="2"/>
  <c r="DE44" i="2"/>
  <c r="DI44" i="2"/>
  <c r="DF44" i="2"/>
  <c r="AV46" i="2"/>
  <c r="AX46" i="2" s="1"/>
  <c r="CT44" i="2"/>
  <c r="AZ45" i="2"/>
  <c r="DL45" i="2" l="1"/>
  <c r="DJ45" i="2"/>
  <c r="DK45" i="2"/>
  <c r="DP45" i="2"/>
  <c r="DQ45" i="2"/>
  <c r="DM45" i="2"/>
  <c r="DN45" i="2"/>
  <c r="DO45" i="2"/>
  <c r="DE45" i="2"/>
  <c r="DI45" i="2"/>
  <c r="DG45" i="2"/>
  <c r="DF45" i="2"/>
  <c r="DH45" i="2"/>
  <c r="AV47" i="2"/>
  <c r="AX47" i="2" s="1"/>
  <c r="CT45" i="2"/>
  <c r="AZ46" i="2"/>
  <c r="DL46" i="2" l="1"/>
  <c r="DN46" i="2"/>
  <c r="DJ46" i="2"/>
  <c r="DP46" i="2"/>
  <c r="DQ46" i="2"/>
  <c r="DK46" i="2"/>
  <c r="DO46" i="2"/>
  <c r="DM46" i="2"/>
  <c r="DH46" i="2"/>
  <c r="DE46" i="2"/>
  <c r="DF46" i="2"/>
  <c r="DI46" i="2"/>
  <c r="DG46" i="2"/>
  <c r="AV48" i="2"/>
  <c r="AX48" i="2" s="1"/>
  <c r="CT46" i="2"/>
  <c r="AZ47" i="2"/>
  <c r="DL47" i="2" l="1"/>
  <c r="DO47" i="2"/>
  <c r="DJ47" i="2"/>
  <c r="DP47" i="2"/>
  <c r="DQ47" i="2"/>
  <c r="DM47" i="2"/>
  <c r="DN47" i="2"/>
  <c r="DK47" i="2"/>
  <c r="DG47" i="2"/>
  <c r="DF47" i="2"/>
  <c r="DE47" i="2"/>
  <c r="DH47" i="2"/>
  <c r="DI47" i="2"/>
  <c r="AV49" i="2"/>
  <c r="CT47" i="2"/>
  <c r="AZ48" i="2"/>
  <c r="DL48" i="2" l="1"/>
  <c r="DM48" i="2"/>
  <c r="DJ48" i="2"/>
  <c r="DP48" i="2"/>
  <c r="DN48" i="2"/>
  <c r="DK48" i="2"/>
  <c r="DO48" i="2"/>
  <c r="DQ48" i="2"/>
  <c r="DE48" i="2"/>
  <c r="DF48" i="2"/>
  <c r="DI48" i="2"/>
  <c r="DG48" i="2"/>
  <c r="DH48" i="2"/>
  <c r="AX49" i="2"/>
  <c r="AV50" i="2"/>
  <c r="AX50" i="2" s="1"/>
  <c r="CT48" i="2"/>
  <c r="AZ49" i="2"/>
  <c r="DL49" i="2" l="1"/>
  <c r="DN49" i="2"/>
  <c r="DQ49" i="2"/>
  <c r="DP49" i="2"/>
  <c r="DO49" i="2"/>
  <c r="DM49" i="2"/>
  <c r="DK49" i="2"/>
  <c r="DJ49" i="2"/>
  <c r="DH49" i="2"/>
  <c r="DE49" i="2"/>
  <c r="DG49" i="2"/>
  <c r="DI49" i="2"/>
  <c r="DF49" i="2"/>
  <c r="AV51" i="2"/>
  <c r="AX51" i="2" s="1"/>
  <c r="CT49" i="2"/>
  <c r="AZ50" i="2"/>
  <c r="DL50" i="2" l="1"/>
  <c r="DK50" i="2"/>
  <c r="DN50" i="2"/>
  <c r="DP50" i="2"/>
  <c r="DM50" i="2"/>
  <c r="DJ50" i="2"/>
  <c r="DO50" i="2"/>
  <c r="DQ50" i="2"/>
  <c r="DF50" i="2"/>
  <c r="DI50" i="2"/>
  <c r="DE50" i="2"/>
  <c r="DH50" i="2"/>
  <c r="DG50" i="2"/>
  <c r="AV52" i="2"/>
  <c r="AX52" i="2" s="1"/>
  <c r="CT50" i="2"/>
  <c r="AZ51" i="2"/>
  <c r="DL51" i="2" l="1"/>
  <c r="DQ51" i="2"/>
  <c r="DP51" i="2"/>
  <c r="DK51" i="2"/>
  <c r="DM51" i="2"/>
  <c r="DN51" i="2"/>
  <c r="DJ51" i="2"/>
  <c r="DO51" i="2"/>
  <c r="DG51" i="2"/>
  <c r="DH51" i="2"/>
  <c r="DE51" i="2"/>
  <c r="DI51" i="2"/>
  <c r="DF51" i="2"/>
  <c r="AV53" i="2"/>
  <c r="CT51" i="2"/>
  <c r="AZ52" i="2"/>
  <c r="DL52" i="2" l="1"/>
  <c r="DQ52" i="2"/>
  <c r="DP52" i="2"/>
  <c r="DK52" i="2"/>
  <c r="DJ52" i="2"/>
  <c r="DM52" i="2"/>
  <c r="DO52" i="2"/>
  <c r="DN52" i="2"/>
  <c r="DF52" i="2"/>
  <c r="DI52" i="2"/>
  <c r="DG52" i="2"/>
  <c r="DH52" i="2"/>
  <c r="DE52" i="2"/>
  <c r="AX53" i="2"/>
  <c r="AV54" i="2"/>
  <c r="AX54" i="2" s="1"/>
  <c r="CT52" i="2"/>
  <c r="AZ53" i="2"/>
  <c r="DL53" i="2" l="1"/>
  <c r="DJ53" i="2"/>
  <c r="DP53" i="2"/>
  <c r="DQ53" i="2"/>
  <c r="DM53" i="2"/>
  <c r="DK53" i="2"/>
  <c r="DN53" i="2"/>
  <c r="DO53" i="2"/>
  <c r="DF53" i="2"/>
  <c r="DI53" i="2"/>
  <c r="DE53" i="2"/>
  <c r="DH53" i="2"/>
  <c r="DG53" i="2"/>
  <c r="AV55" i="2"/>
  <c r="AX55" i="2" s="1"/>
  <c r="CT53" i="2"/>
  <c r="AZ54" i="2"/>
  <c r="DL54" i="2" l="1"/>
  <c r="DN54" i="2"/>
  <c r="DJ54" i="2"/>
  <c r="DP54" i="2"/>
  <c r="DQ54" i="2"/>
  <c r="DK54" i="2"/>
  <c r="DO54" i="2"/>
  <c r="DM54" i="2"/>
  <c r="DI54" i="2"/>
  <c r="DE54" i="2"/>
  <c r="DG54" i="2"/>
  <c r="DH54" i="2"/>
  <c r="DF54" i="2"/>
  <c r="AV56" i="2"/>
  <c r="AX56" i="2" s="1"/>
  <c r="CT54" i="2"/>
  <c r="AZ55" i="2"/>
  <c r="DL55" i="2" l="1"/>
  <c r="DO55" i="2"/>
  <c r="DK55" i="2"/>
  <c r="DP55" i="2"/>
  <c r="DJ55" i="2"/>
  <c r="DM55" i="2"/>
  <c r="DN55" i="2"/>
  <c r="DQ55" i="2"/>
  <c r="DF55" i="2"/>
  <c r="DG55" i="2"/>
  <c r="DI55" i="2"/>
  <c r="DE55" i="2"/>
  <c r="DH55" i="2"/>
  <c r="AV57" i="2"/>
  <c r="AX57" i="2" s="1"/>
  <c r="CT55" i="2"/>
  <c r="AZ56" i="2"/>
  <c r="DL56" i="2" l="1"/>
  <c r="DM56" i="2"/>
  <c r="DP56" i="2"/>
  <c r="DN56" i="2"/>
  <c r="DJ56" i="2"/>
  <c r="DQ56" i="2"/>
  <c r="DK56" i="2"/>
  <c r="DO56" i="2"/>
  <c r="DI56" i="2"/>
  <c r="DG56" i="2"/>
  <c r="DF56" i="2"/>
  <c r="DH56" i="2"/>
  <c r="DE56" i="2"/>
  <c r="AV58" i="2"/>
  <c r="AX58" i="2" s="1"/>
  <c r="CT56" i="2"/>
  <c r="AZ57" i="2"/>
  <c r="DL57" i="2" l="1"/>
  <c r="DN57" i="2"/>
  <c r="DO57" i="2"/>
  <c r="DP57" i="2"/>
  <c r="DJ57" i="2"/>
  <c r="DM57" i="2"/>
  <c r="DK57" i="2"/>
  <c r="DQ57" i="2"/>
  <c r="DH57" i="2"/>
  <c r="DE57" i="2"/>
  <c r="DG57" i="2"/>
  <c r="DI57" i="2"/>
  <c r="DF57" i="2"/>
  <c r="AV59" i="2"/>
  <c r="AX59" i="2" s="1"/>
  <c r="CT57" i="2"/>
  <c r="AZ58" i="2"/>
  <c r="DL58" i="2" l="1"/>
  <c r="DK58" i="2"/>
  <c r="DN58" i="2"/>
  <c r="DP58" i="2"/>
  <c r="DM58" i="2"/>
  <c r="DJ58" i="2"/>
  <c r="DO58" i="2"/>
  <c r="DQ58" i="2"/>
  <c r="DE58" i="2"/>
  <c r="DH58" i="2"/>
  <c r="DI58" i="2"/>
  <c r="DG58" i="2"/>
  <c r="DF58" i="2"/>
  <c r="AV60" i="2"/>
  <c r="AX60" i="2" s="1"/>
  <c r="CT58" i="2"/>
  <c r="AZ59" i="2"/>
  <c r="DL59" i="2" l="1"/>
  <c r="DQ59" i="2"/>
  <c r="DP59" i="2"/>
  <c r="DK59" i="2"/>
  <c r="DM59" i="2"/>
  <c r="DN59" i="2"/>
  <c r="DO59" i="2"/>
  <c r="DJ59" i="2"/>
  <c r="DG59" i="2"/>
  <c r="DE59" i="2"/>
  <c r="DI59" i="2"/>
  <c r="DH59" i="2"/>
  <c r="DF59" i="2"/>
  <c r="AV61" i="2"/>
  <c r="AX61" i="2" s="1"/>
  <c r="CT59" i="2"/>
  <c r="AZ60" i="2"/>
  <c r="DL60" i="2" l="1"/>
  <c r="DQ60" i="2"/>
  <c r="DP60" i="2"/>
  <c r="DK60" i="2"/>
  <c r="DJ60" i="2"/>
  <c r="DM60" i="2"/>
  <c r="DN60" i="2"/>
  <c r="DO60" i="2"/>
  <c r="DI60" i="2"/>
  <c r="DG60" i="2"/>
  <c r="DH60" i="2"/>
  <c r="DF60" i="2"/>
  <c r="DE60" i="2"/>
  <c r="AV62" i="2"/>
  <c r="AX62" i="2" s="1"/>
  <c r="CT60" i="2"/>
  <c r="AZ61" i="2"/>
  <c r="DL61" i="2" l="1"/>
  <c r="DJ61" i="2"/>
  <c r="DM61" i="2"/>
  <c r="DP61" i="2"/>
  <c r="DQ61" i="2"/>
  <c r="DK61" i="2"/>
  <c r="DO61" i="2"/>
  <c r="DN61" i="2"/>
  <c r="DE61" i="2"/>
  <c r="DI61" i="2"/>
  <c r="DH61" i="2"/>
  <c r="DG61" i="2"/>
  <c r="DF61" i="2"/>
  <c r="AV63" i="2"/>
  <c r="AX63" i="2" s="1"/>
  <c r="CT61" i="2"/>
  <c r="AZ62" i="2"/>
  <c r="DL62" i="2" l="1"/>
  <c r="DP62" i="2"/>
  <c r="DO62" i="2"/>
  <c r="DJ62" i="2"/>
  <c r="DK62" i="2"/>
  <c r="DM62" i="2"/>
  <c r="DN62" i="2"/>
  <c r="DQ62" i="2"/>
  <c r="DI62" i="2"/>
  <c r="DE62" i="2"/>
  <c r="DG62" i="2"/>
  <c r="DH62" i="2"/>
  <c r="DF62" i="2"/>
  <c r="AV64" i="2"/>
  <c r="AX64" i="2" s="1"/>
  <c r="CT62" i="2"/>
  <c r="AZ63" i="2"/>
  <c r="DK63" i="2" l="1"/>
  <c r="DM63" i="2"/>
  <c r="DL63" i="2"/>
  <c r="DO63" i="2"/>
  <c r="DN63" i="2"/>
  <c r="DP63" i="2"/>
  <c r="DJ63" i="2"/>
  <c r="DQ63" i="2"/>
  <c r="DE63" i="2"/>
  <c r="DI63" i="2"/>
  <c r="DG63" i="2"/>
  <c r="DH63" i="2"/>
  <c r="DF63" i="2"/>
  <c r="AV65" i="2"/>
  <c r="AX65" i="2" s="1"/>
  <c r="CT63" i="2"/>
  <c r="AZ64" i="2"/>
  <c r="DK64" i="2" l="1"/>
  <c r="DP64" i="2"/>
  <c r="DO64" i="2"/>
  <c r="DQ64" i="2"/>
  <c r="DN64" i="2"/>
  <c r="DL64" i="2"/>
  <c r="DJ64" i="2"/>
  <c r="DM64" i="2"/>
  <c r="DE64" i="2"/>
  <c r="DF64" i="2"/>
  <c r="DH64" i="2"/>
  <c r="DI64" i="2"/>
  <c r="DG64" i="2"/>
  <c r="AV66" i="2"/>
  <c r="AX66" i="2" s="1"/>
  <c r="CT64" i="2"/>
  <c r="AZ65" i="2"/>
  <c r="DK65" i="2" l="1"/>
  <c r="DM65" i="2"/>
  <c r="DP65" i="2"/>
  <c r="DO65" i="2"/>
  <c r="DJ65" i="2"/>
  <c r="DL65" i="2"/>
  <c r="DQ65" i="2"/>
  <c r="DN65" i="2"/>
  <c r="DI65" i="2"/>
  <c r="DG65" i="2"/>
  <c r="DH65" i="2"/>
  <c r="DE65" i="2"/>
  <c r="DF65" i="2"/>
  <c r="AV67" i="2"/>
  <c r="AX67" i="2" s="1"/>
  <c r="CT65" i="2"/>
  <c r="AZ66" i="2"/>
  <c r="DK66" i="2" l="1"/>
  <c r="DP66" i="2"/>
  <c r="DN66" i="2"/>
  <c r="DO66" i="2"/>
  <c r="DL66" i="2"/>
  <c r="DM66" i="2"/>
  <c r="DJ66" i="2"/>
  <c r="DQ66" i="2"/>
  <c r="DE66" i="2"/>
  <c r="DI66" i="2"/>
  <c r="DG66" i="2"/>
  <c r="DF66" i="2"/>
  <c r="DH66" i="2"/>
  <c r="AV68" i="2"/>
  <c r="AX68" i="2" s="1"/>
  <c r="CT66" i="2"/>
  <c r="AZ67" i="2"/>
  <c r="DK67" i="2" l="1"/>
  <c r="DM67" i="2"/>
  <c r="DL67" i="2"/>
  <c r="DO67" i="2"/>
  <c r="DN67" i="2"/>
  <c r="DP67" i="2"/>
  <c r="DQ67" i="2"/>
  <c r="DJ67" i="2"/>
  <c r="DF67" i="2"/>
  <c r="DI67" i="2"/>
  <c r="DG67" i="2"/>
  <c r="DH67" i="2"/>
  <c r="DE67" i="2"/>
  <c r="AV69" i="2"/>
  <c r="AX69" i="2" s="1"/>
  <c r="CT67" i="2"/>
  <c r="AZ68" i="2"/>
  <c r="DK68" i="2" l="1"/>
  <c r="DP68" i="2"/>
  <c r="DN68" i="2"/>
  <c r="DO68" i="2"/>
  <c r="DQ68" i="2"/>
  <c r="DL68" i="2"/>
  <c r="DJ68" i="2"/>
  <c r="DM68" i="2"/>
  <c r="DG68" i="2"/>
  <c r="DI68" i="2"/>
  <c r="DE68" i="2"/>
  <c r="DH68" i="2"/>
  <c r="DF68" i="2"/>
  <c r="AV70" i="2"/>
  <c r="AX70" i="2" s="1"/>
  <c r="CT68" i="2"/>
  <c r="AZ69" i="2"/>
  <c r="DK69" i="2" l="1"/>
  <c r="DM69" i="2"/>
  <c r="DL69" i="2"/>
  <c r="DO69" i="2"/>
  <c r="DJ69" i="2"/>
  <c r="DN69" i="2"/>
  <c r="DP69" i="2"/>
  <c r="DQ69" i="2"/>
  <c r="DG69" i="2"/>
  <c r="DE69" i="2"/>
  <c r="DI69" i="2"/>
  <c r="DH69" i="2"/>
  <c r="DF69" i="2"/>
  <c r="AV71" i="2"/>
  <c r="AX71" i="2" s="1"/>
  <c r="CT69" i="2"/>
  <c r="AZ70" i="2"/>
  <c r="DK70" i="2" l="1"/>
  <c r="DP70" i="2"/>
  <c r="DN70" i="2"/>
  <c r="DO70" i="2"/>
  <c r="DL70" i="2"/>
  <c r="DM70" i="2"/>
  <c r="DJ70" i="2"/>
  <c r="DQ70" i="2"/>
  <c r="DI70" i="2"/>
  <c r="DG70" i="2"/>
  <c r="DE70" i="2"/>
  <c r="DF70" i="2"/>
  <c r="DH70" i="2"/>
  <c r="AV72" i="2"/>
  <c r="AX72" i="2" s="1"/>
  <c r="CT70" i="2"/>
  <c r="AZ71" i="2"/>
  <c r="DK71" i="2" l="1"/>
  <c r="DM71" i="2"/>
  <c r="DN71" i="2"/>
  <c r="DO71" i="2"/>
  <c r="DL71" i="2"/>
  <c r="DJ71" i="2"/>
  <c r="DP71" i="2"/>
  <c r="DQ71" i="2"/>
  <c r="DF71" i="2"/>
  <c r="DE71" i="2"/>
  <c r="DG71" i="2"/>
  <c r="DH71" i="2"/>
  <c r="DI71" i="2"/>
  <c r="AV73" i="2"/>
  <c r="AX73" i="2" s="1"/>
  <c r="CT71" i="2"/>
  <c r="AZ72" i="2"/>
  <c r="DK72" i="2" l="1"/>
  <c r="DP72" i="2"/>
  <c r="DN72" i="2"/>
  <c r="DO72" i="2"/>
  <c r="DQ72" i="2"/>
  <c r="DL72" i="2"/>
  <c r="DJ72" i="2"/>
  <c r="DM72" i="2"/>
  <c r="DI72" i="2"/>
  <c r="DE72" i="2"/>
  <c r="DG72" i="2"/>
  <c r="DH72" i="2"/>
  <c r="DF72" i="2"/>
  <c r="AV74" i="2"/>
  <c r="AX74" i="2" s="1"/>
  <c r="CT72" i="2"/>
  <c r="AZ73" i="2"/>
  <c r="DK73" i="2" l="1"/>
  <c r="DM73" i="2"/>
  <c r="DL73" i="2"/>
  <c r="DO73" i="2"/>
  <c r="DJ73" i="2"/>
  <c r="DN73" i="2"/>
  <c r="DQ73" i="2"/>
  <c r="DP73" i="2"/>
  <c r="DE73" i="2"/>
  <c r="DG73" i="2"/>
  <c r="DH73" i="2"/>
  <c r="DF73" i="2"/>
  <c r="DI73" i="2"/>
  <c r="AV75" i="2"/>
  <c r="AX75" i="2" s="1"/>
  <c r="CT73" i="2"/>
  <c r="AZ74" i="2"/>
  <c r="DK74" i="2" l="1"/>
  <c r="DP74" i="2"/>
  <c r="DO74" i="2"/>
  <c r="DL74" i="2"/>
  <c r="DN74" i="2"/>
  <c r="DM74" i="2"/>
  <c r="DQ74" i="2"/>
  <c r="DJ74" i="2"/>
  <c r="DI74" i="2"/>
  <c r="DG74" i="2"/>
  <c r="DH74" i="2"/>
  <c r="DE74" i="2"/>
  <c r="DF74" i="2"/>
  <c r="AV76" i="2"/>
  <c r="AX76" i="2" s="1"/>
  <c r="CT74" i="2"/>
  <c r="AZ75" i="2"/>
  <c r="DK75" i="2" l="1"/>
  <c r="DM75" i="2"/>
  <c r="DO75" i="2"/>
  <c r="DN75" i="2"/>
  <c r="DL75" i="2"/>
  <c r="DQ75" i="2"/>
  <c r="DP75" i="2"/>
  <c r="DJ75" i="2"/>
  <c r="DE75" i="2"/>
  <c r="DH75" i="2"/>
  <c r="DI75" i="2"/>
  <c r="DF75" i="2"/>
  <c r="DG75" i="2"/>
  <c r="AV77" i="2"/>
  <c r="AX77" i="2" s="1"/>
  <c r="CT75" i="2"/>
  <c r="AZ76" i="2"/>
  <c r="DM76" i="2" l="1"/>
  <c r="DO76" i="2"/>
  <c r="DJ76" i="2"/>
  <c r="DQ76" i="2"/>
  <c r="DP76" i="2"/>
  <c r="DL76" i="2"/>
  <c r="DN76" i="2"/>
  <c r="DK76" i="2"/>
  <c r="DI76" i="2"/>
  <c r="DF76" i="2"/>
  <c r="DG76" i="2"/>
  <c r="DH76" i="2"/>
  <c r="DE76" i="2"/>
  <c r="AV78" i="2"/>
  <c r="AX78" i="2" s="1"/>
  <c r="CT76" i="2"/>
  <c r="AZ77" i="2"/>
  <c r="DM77" i="2" l="1"/>
  <c r="DO77" i="2"/>
  <c r="DK77" i="2"/>
  <c r="DQ77" i="2"/>
  <c r="DP77" i="2"/>
  <c r="DJ77" i="2"/>
  <c r="DN77" i="2"/>
  <c r="DL77" i="2"/>
  <c r="DE77" i="2"/>
  <c r="DH77" i="2"/>
  <c r="DI77" i="2"/>
  <c r="DF77" i="2"/>
  <c r="DG77" i="2"/>
  <c r="AV79" i="2"/>
  <c r="AX79" i="2" s="1"/>
  <c r="CT77" i="2"/>
  <c r="AZ78" i="2"/>
  <c r="DM78" i="2" l="1"/>
  <c r="DO78" i="2"/>
  <c r="DK78" i="2"/>
  <c r="DQ78" i="2"/>
  <c r="DP78" i="2"/>
  <c r="DJ78" i="2"/>
  <c r="DN78" i="2"/>
  <c r="DL78" i="2"/>
  <c r="DG78" i="2"/>
  <c r="DH78" i="2"/>
  <c r="DE78" i="2"/>
  <c r="DI78" i="2"/>
  <c r="DF78" i="2"/>
  <c r="AV80" i="2"/>
  <c r="AX80" i="2" s="1"/>
  <c r="CT78" i="2"/>
  <c r="AZ79" i="2"/>
  <c r="DM79" i="2" l="1"/>
  <c r="DO79" i="2"/>
  <c r="DJ79" i="2"/>
  <c r="DQ79" i="2"/>
  <c r="DP79" i="2"/>
  <c r="DK79" i="2"/>
  <c r="DN79" i="2"/>
  <c r="DL79" i="2"/>
  <c r="DG79" i="2"/>
  <c r="DI79" i="2"/>
  <c r="DE79" i="2"/>
  <c r="DF79" i="2"/>
  <c r="DH79" i="2"/>
  <c r="AV81" i="2"/>
  <c r="AX81" i="2" s="1"/>
  <c r="CT79" i="2"/>
  <c r="AZ80" i="2"/>
  <c r="DM80" i="2" l="1"/>
  <c r="DO80" i="2"/>
  <c r="DL80" i="2"/>
  <c r="DQ80" i="2"/>
  <c r="DP80" i="2"/>
  <c r="DJ80" i="2"/>
  <c r="DK80" i="2"/>
  <c r="DN80" i="2"/>
  <c r="DF80" i="2"/>
  <c r="DE80" i="2"/>
  <c r="DI80" i="2"/>
  <c r="DG80" i="2"/>
  <c r="DH80" i="2"/>
  <c r="AV82" i="2"/>
  <c r="AX82" i="2" s="1"/>
  <c r="CT80" i="2"/>
  <c r="AZ81" i="2"/>
  <c r="DM81" i="2" l="1"/>
  <c r="DO81" i="2"/>
  <c r="DK81" i="2"/>
  <c r="DQ81" i="2"/>
  <c r="DP81" i="2"/>
  <c r="DJ81" i="2"/>
  <c r="DN81" i="2"/>
  <c r="DL81" i="2"/>
  <c r="DE81" i="2"/>
  <c r="DF81" i="2"/>
  <c r="DG81" i="2"/>
  <c r="DI81" i="2"/>
  <c r="DH81" i="2"/>
  <c r="AV83" i="2"/>
  <c r="AX83" i="2" s="1"/>
  <c r="CT81" i="2"/>
  <c r="AZ82" i="2"/>
  <c r="DM82" i="2" l="1"/>
  <c r="DO82" i="2"/>
  <c r="DQ82" i="2"/>
  <c r="DP82" i="2"/>
  <c r="DJ82" i="2"/>
  <c r="DK82" i="2"/>
  <c r="DN82" i="2"/>
  <c r="DL82" i="2"/>
  <c r="DG82" i="2"/>
  <c r="DE82" i="2"/>
  <c r="DF82" i="2"/>
  <c r="DI82" i="2"/>
  <c r="DH82" i="2"/>
  <c r="AV84" i="2"/>
  <c r="AX84" i="2" s="1"/>
  <c r="CT82" i="2"/>
  <c r="AZ83" i="2"/>
  <c r="DM83" i="2" l="1"/>
  <c r="DO83" i="2"/>
  <c r="DK83" i="2"/>
  <c r="DQ83" i="2"/>
  <c r="DP83" i="2"/>
  <c r="DJ83" i="2"/>
  <c r="DN83" i="2"/>
  <c r="DL83" i="2"/>
  <c r="DF83" i="2"/>
  <c r="DE83" i="2"/>
  <c r="DG83" i="2"/>
  <c r="DI83" i="2"/>
  <c r="DH83" i="2"/>
  <c r="AV85" i="2"/>
  <c r="AX85" i="2" s="1"/>
  <c r="CT83" i="2"/>
  <c r="AZ84" i="2"/>
  <c r="DM84" i="2" l="1"/>
  <c r="DQ84" i="2"/>
  <c r="DJ84" i="2"/>
  <c r="DN84" i="2"/>
  <c r="DO84" i="2"/>
  <c r="DP84" i="2"/>
  <c r="DL84" i="2"/>
  <c r="DK84" i="2"/>
  <c r="DE84" i="2"/>
  <c r="DI84" i="2"/>
  <c r="DF84" i="2"/>
  <c r="DG84" i="2"/>
  <c r="DH84" i="2"/>
  <c r="AV86" i="2"/>
  <c r="AX86" i="2" s="1"/>
  <c r="CT84" i="2"/>
  <c r="AZ85" i="2"/>
  <c r="DM85" i="2" l="1"/>
  <c r="DQ85" i="2"/>
  <c r="DL85" i="2"/>
  <c r="DN85" i="2"/>
  <c r="DJ85" i="2"/>
  <c r="DK85" i="2"/>
  <c r="DO85" i="2"/>
  <c r="DP85" i="2"/>
  <c r="DF85" i="2"/>
  <c r="DG85" i="2"/>
  <c r="DI85" i="2"/>
  <c r="DE85" i="2"/>
  <c r="DH85" i="2"/>
  <c r="AV87" i="2"/>
  <c r="AX87" i="2" s="1"/>
  <c r="CT85" i="2"/>
  <c r="AZ86" i="2"/>
  <c r="DM86" i="2" l="1"/>
  <c r="DJ86" i="2"/>
  <c r="DO86" i="2"/>
  <c r="DK86" i="2"/>
  <c r="DP86" i="2"/>
  <c r="DL86" i="2"/>
  <c r="DN86" i="2"/>
  <c r="DQ86" i="2"/>
  <c r="DG86" i="2"/>
  <c r="DF86" i="2"/>
  <c r="DI86" i="2"/>
  <c r="DE86" i="2"/>
  <c r="DH86" i="2"/>
  <c r="AV88" i="2"/>
  <c r="AX88" i="2" s="1"/>
  <c r="CT86" i="2"/>
  <c r="AZ87" i="2"/>
  <c r="DK87" i="2" l="1"/>
  <c r="DO87" i="2"/>
  <c r="DL87" i="2"/>
  <c r="DP87" i="2"/>
  <c r="DM87" i="2"/>
  <c r="DN87" i="2"/>
  <c r="DJ87" i="2"/>
  <c r="DQ87" i="2"/>
  <c r="DF87" i="2"/>
  <c r="DG87" i="2"/>
  <c r="DI87" i="2"/>
  <c r="DE87" i="2"/>
  <c r="DH87" i="2"/>
  <c r="AV89" i="2"/>
  <c r="AX89" i="2" s="1"/>
  <c r="CT87" i="2"/>
  <c r="AZ88" i="2"/>
  <c r="DK88" i="2" l="1"/>
  <c r="DO88" i="2"/>
  <c r="DL88" i="2"/>
  <c r="DP88" i="2"/>
  <c r="DM88" i="2"/>
  <c r="DJ88" i="2"/>
  <c r="DN88" i="2"/>
  <c r="DQ88" i="2"/>
  <c r="DE88" i="2"/>
  <c r="DI88" i="2"/>
  <c r="DF88" i="2"/>
  <c r="DG88" i="2"/>
  <c r="DH88" i="2"/>
  <c r="AV90" i="2"/>
  <c r="AX90" i="2" s="1"/>
  <c r="CT88" i="2"/>
  <c r="AZ89" i="2"/>
  <c r="DK89" i="2" l="1"/>
  <c r="DO89" i="2"/>
  <c r="DL89" i="2"/>
  <c r="DP89" i="2"/>
  <c r="DM89" i="2"/>
  <c r="DN89" i="2"/>
  <c r="DQ89" i="2"/>
  <c r="DJ89" i="2"/>
  <c r="DE89" i="2"/>
  <c r="DI89" i="2"/>
  <c r="DF89" i="2"/>
  <c r="DG89" i="2"/>
  <c r="DH89" i="2"/>
  <c r="AV91" i="2"/>
  <c r="AX91" i="2" s="1"/>
  <c r="CT89" i="2"/>
  <c r="AZ90" i="2"/>
  <c r="DK90" i="2" l="1"/>
  <c r="DO90" i="2"/>
  <c r="DL90" i="2"/>
  <c r="DP90" i="2"/>
  <c r="DM90" i="2"/>
  <c r="DJ90" i="2"/>
  <c r="DN90" i="2"/>
  <c r="DQ90" i="2"/>
  <c r="DG90" i="2"/>
  <c r="DE90" i="2"/>
  <c r="DI90" i="2"/>
  <c r="DF90" i="2"/>
  <c r="DH90" i="2"/>
  <c r="AV92" i="2"/>
  <c r="AX92" i="2" s="1"/>
  <c r="CT90" i="2"/>
  <c r="AZ91" i="2"/>
  <c r="DK91" i="2" l="1"/>
  <c r="DO91" i="2"/>
  <c r="DL91" i="2"/>
  <c r="DP91" i="2"/>
  <c r="DM91" i="2"/>
  <c r="DN91" i="2"/>
  <c r="DQ91" i="2"/>
  <c r="DJ91" i="2"/>
  <c r="DF91" i="2"/>
  <c r="DG91" i="2"/>
  <c r="DI91" i="2"/>
  <c r="DE91" i="2"/>
  <c r="DH91" i="2"/>
  <c r="AV93" i="2"/>
  <c r="AX93" i="2" s="1"/>
  <c r="CT91" i="2"/>
  <c r="AZ92" i="2"/>
  <c r="DK92" i="2" l="1"/>
  <c r="DO92" i="2"/>
  <c r="DL92" i="2"/>
  <c r="DP92" i="2"/>
  <c r="DM92" i="2"/>
  <c r="DN92" i="2"/>
  <c r="DJ92" i="2"/>
  <c r="DQ92" i="2"/>
  <c r="DE92" i="2"/>
  <c r="DI92" i="2"/>
  <c r="DF92" i="2"/>
  <c r="DG92" i="2"/>
  <c r="DH92" i="2"/>
  <c r="AV94" i="2"/>
  <c r="AX94" i="2" s="1"/>
  <c r="CT92" i="2"/>
  <c r="AZ93" i="2"/>
  <c r="DK93" i="2" l="1"/>
  <c r="DO93" i="2"/>
  <c r="DL93" i="2"/>
  <c r="DP93" i="2"/>
  <c r="DM93" i="2"/>
  <c r="DJ93" i="2"/>
  <c r="DN93" i="2"/>
  <c r="DQ93" i="2"/>
  <c r="DF93" i="2"/>
  <c r="DI93" i="2"/>
  <c r="DG93" i="2"/>
  <c r="DE93" i="2"/>
  <c r="DH93" i="2"/>
  <c r="AV95" i="2"/>
  <c r="AX95" i="2" s="1"/>
  <c r="CT93" i="2"/>
  <c r="AZ94" i="2"/>
  <c r="DK94" i="2" l="1"/>
  <c r="DO94" i="2"/>
  <c r="DL94" i="2"/>
  <c r="DP94" i="2"/>
  <c r="DM94" i="2"/>
  <c r="DN94" i="2"/>
  <c r="DQ94" i="2"/>
  <c r="DJ94" i="2"/>
  <c r="DG94" i="2"/>
  <c r="DE94" i="2"/>
  <c r="DI94" i="2"/>
  <c r="DF94" i="2"/>
  <c r="DH94" i="2"/>
  <c r="AV96" i="2"/>
  <c r="AX96" i="2" s="1"/>
  <c r="CT94" i="2"/>
  <c r="AZ95" i="2"/>
  <c r="DK95" i="2" l="1"/>
  <c r="DO95" i="2"/>
  <c r="DL95" i="2"/>
  <c r="DP95" i="2"/>
  <c r="DM95" i="2"/>
  <c r="DN95" i="2"/>
  <c r="DJ95" i="2"/>
  <c r="DQ95" i="2"/>
  <c r="DF95" i="2"/>
  <c r="DG95" i="2"/>
  <c r="DI95" i="2"/>
  <c r="DE95" i="2"/>
  <c r="DH95" i="2"/>
  <c r="AV97" i="2"/>
  <c r="AX97" i="2" s="1"/>
  <c r="CT95" i="2"/>
  <c r="AZ96" i="2"/>
  <c r="DK96" i="2" l="1"/>
  <c r="DO96" i="2"/>
  <c r="DL96" i="2"/>
  <c r="DP96" i="2"/>
  <c r="DM96" i="2"/>
  <c r="DJ96" i="2"/>
  <c r="DN96" i="2"/>
  <c r="DQ96" i="2"/>
  <c r="DE96" i="2"/>
  <c r="DI96" i="2"/>
  <c r="DG96" i="2"/>
  <c r="DF96" i="2"/>
  <c r="DH96" i="2"/>
  <c r="AV98" i="2"/>
  <c r="AX98" i="2" s="1"/>
  <c r="CT96" i="2"/>
  <c r="AZ97" i="2"/>
  <c r="DK97" i="2" l="1"/>
  <c r="DO97" i="2"/>
  <c r="DL97" i="2"/>
  <c r="DP97" i="2"/>
  <c r="DM97" i="2"/>
  <c r="DN97" i="2"/>
  <c r="DQ97" i="2"/>
  <c r="DJ97" i="2"/>
  <c r="DF97" i="2"/>
  <c r="DE97" i="2"/>
  <c r="DG97" i="2"/>
  <c r="DI97" i="2"/>
  <c r="DH97" i="2"/>
  <c r="AV99" i="2"/>
  <c r="AX99" i="2" s="1"/>
  <c r="CT97" i="2"/>
  <c r="AZ98" i="2"/>
  <c r="DK98" i="2" l="1"/>
  <c r="DO98" i="2"/>
  <c r="DL98" i="2"/>
  <c r="DP98" i="2"/>
  <c r="DM98" i="2"/>
  <c r="DN98" i="2"/>
  <c r="DJ98" i="2"/>
  <c r="DQ98" i="2"/>
  <c r="DG98" i="2"/>
  <c r="DE98" i="2"/>
  <c r="DI98" i="2"/>
  <c r="DF98" i="2"/>
  <c r="DH98" i="2"/>
  <c r="AV100" i="2"/>
  <c r="AX100" i="2" s="1"/>
  <c r="CT98" i="2"/>
  <c r="AZ99" i="2"/>
  <c r="DK99" i="2" l="1"/>
  <c r="DO99" i="2"/>
  <c r="DL99" i="2"/>
  <c r="DP99" i="2"/>
  <c r="DM99" i="2"/>
  <c r="DN99" i="2"/>
  <c r="DQ99" i="2"/>
  <c r="DJ99" i="2"/>
  <c r="DF99" i="2"/>
  <c r="DE99" i="2"/>
  <c r="DG99" i="2"/>
  <c r="DI99" i="2"/>
  <c r="DH99" i="2"/>
  <c r="AV101" i="2"/>
  <c r="AX101" i="2" s="1"/>
  <c r="CT99" i="2"/>
  <c r="AZ100" i="2"/>
  <c r="DK100" i="2" l="1"/>
  <c r="DO100" i="2"/>
  <c r="DL100" i="2"/>
  <c r="DP100" i="2"/>
  <c r="DM100" i="2"/>
  <c r="DJ100" i="2"/>
  <c r="DN100" i="2"/>
  <c r="DQ100" i="2"/>
  <c r="DE100" i="2"/>
  <c r="DI100" i="2"/>
  <c r="DG100" i="2"/>
  <c r="DF100" i="2"/>
  <c r="DH100" i="2"/>
  <c r="AV102" i="2"/>
  <c r="AX102" i="2" s="1"/>
  <c r="CT100" i="2"/>
  <c r="AZ101" i="2"/>
  <c r="DK101" i="2" l="1"/>
  <c r="DO101" i="2"/>
  <c r="DL101" i="2"/>
  <c r="DP101" i="2"/>
  <c r="DM101" i="2"/>
  <c r="DN101" i="2"/>
  <c r="DJ101" i="2"/>
  <c r="DQ101" i="2"/>
  <c r="DF101" i="2"/>
  <c r="DI101" i="2"/>
  <c r="DE101" i="2"/>
  <c r="DG101" i="2"/>
  <c r="DH101" i="2"/>
  <c r="AV103" i="2"/>
  <c r="AX103" i="2" s="1"/>
  <c r="CT101" i="2"/>
  <c r="AZ102" i="2"/>
  <c r="DK102" i="2" l="1"/>
  <c r="DO102" i="2"/>
  <c r="DL102" i="2"/>
  <c r="DP102" i="2"/>
  <c r="DM102" i="2"/>
  <c r="DN102" i="2"/>
  <c r="DQ102" i="2"/>
  <c r="DJ102" i="2"/>
  <c r="DG102" i="2"/>
  <c r="DE102" i="2"/>
  <c r="DI102" i="2"/>
  <c r="DF102" i="2"/>
  <c r="DH102" i="2"/>
  <c r="AV104" i="2"/>
  <c r="AX104" i="2" s="1"/>
  <c r="CT102" i="2"/>
  <c r="AZ103" i="2"/>
  <c r="DK103" i="2" l="1"/>
  <c r="DO103" i="2"/>
  <c r="DL103" i="2"/>
  <c r="DP103" i="2"/>
  <c r="DM103" i="2"/>
  <c r="DJ103" i="2"/>
  <c r="DN103" i="2"/>
  <c r="DQ103" i="2"/>
  <c r="DF103" i="2"/>
  <c r="DG103" i="2"/>
  <c r="DI103" i="2"/>
  <c r="DE103" i="2"/>
  <c r="DH103" i="2"/>
  <c r="AV105" i="2"/>
  <c r="AX105" i="2" s="1"/>
  <c r="CT103" i="2"/>
  <c r="AZ104" i="2"/>
  <c r="DK104" i="2" l="1"/>
  <c r="DO104" i="2"/>
  <c r="DL104" i="2"/>
  <c r="DP104" i="2"/>
  <c r="DM104" i="2"/>
  <c r="DN104" i="2"/>
  <c r="DJ104" i="2"/>
  <c r="DQ104" i="2"/>
  <c r="DE104" i="2"/>
  <c r="DI104" i="2"/>
  <c r="DG104" i="2"/>
  <c r="DF104" i="2"/>
  <c r="DH104" i="2"/>
  <c r="AV106" i="2"/>
  <c r="AX106" i="2" s="1"/>
  <c r="CT104" i="2"/>
  <c r="AZ105" i="2"/>
  <c r="DK105" i="2" l="1"/>
  <c r="DO105" i="2"/>
  <c r="DL105" i="2"/>
  <c r="DP105" i="2"/>
  <c r="DM105" i="2"/>
  <c r="DN105" i="2"/>
  <c r="DQ105" i="2"/>
  <c r="DJ105" i="2"/>
  <c r="DF105" i="2"/>
  <c r="DE105" i="2"/>
  <c r="DG105" i="2"/>
  <c r="DI105" i="2"/>
  <c r="DH105" i="2"/>
  <c r="AV107" i="2"/>
  <c r="AX107" i="2" s="1"/>
  <c r="CT105" i="2"/>
  <c r="AZ106" i="2"/>
  <c r="DK106" i="2" l="1"/>
  <c r="DO106" i="2"/>
  <c r="DL106" i="2"/>
  <c r="DP106" i="2"/>
  <c r="DM106" i="2"/>
  <c r="DJ106" i="2"/>
  <c r="DN106" i="2"/>
  <c r="DQ106" i="2"/>
  <c r="DG106" i="2"/>
  <c r="DE106" i="2"/>
  <c r="DI106" i="2"/>
  <c r="DF106" i="2"/>
  <c r="DH106" i="2"/>
  <c r="AV108" i="2"/>
  <c r="AX108" i="2" s="1"/>
  <c r="CT106" i="2"/>
  <c r="AZ107" i="2"/>
  <c r="DK107" i="2" l="1"/>
  <c r="DO107" i="2"/>
  <c r="DL107" i="2"/>
  <c r="DP107" i="2"/>
  <c r="DM107" i="2"/>
  <c r="DN107" i="2"/>
  <c r="DJ107" i="2"/>
  <c r="DQ107" i="2"/>
  <c r="DF107" i="2"/>
  <c r="DE107" i="2"/>
  <c r="DG107" i="2"/>
  <c r="DI107" i="2"/>
  <c r="DH107" i="2"/>
  <c r="AV109" i="2"/>
  <c r="AX109" i="2" s="1"/>
  <c r="CT107" i="2"/>
  <c r="AZ108" i="2"/>
  <c r="DK108" i="2" l="1"/>
  <c r="DO108" i="2"/>
  <c r="DL108" i="2"/>
  <c r="DP108" i="2"/>
  <c r="DM108" i="2"/>
  <c r="DN108" i="2"/>
  <c r="DQ108" i="2"/>
  <c r="DJ108" i="2"/>
  <c r="DE108" i="2"/>
  <c r="DI108" i="2"/>
  <c r="DG108" i="2"/>
  <c r="DF108" i="2"/>
  <c r="DH108" i="2"/>
  <c r="AV110" i="2"/>
  <c r="AX110" i="2" s="1"/>
  <c r="CT108" i="2"/>
  <c r="AZ109" i="2"/>
  <c r="DK109" i="2" l="1"/>
  <c r="DL109" i="2"/>
  <c r="DP109" i="2"/>
  <c r="DM109" i="2"/>
  <c r="DJ109" i="2"/>
  <c r="DN109" i="2"/>
  <c r="DQ109" i="2"/>
  <c r="DO109" i="2"/>
  <c r="DF109" i="2"/>
  <c r="DI109" i="2"/>
  <c r="DE109" i="2"/>
  <c r="DG109" i="2"/>
  <c r="DH109" i="2"/>
  <c r="AV111" i="2"/>
  <c r="AX111" i="2" s="1"/>
  <c r="CT109" i="2"/>
  <c r="AZ110" i="2"/>
  <c r="DL110" i="2" l="1"/>
  <c r="DP110" i="2"/>
  <c r="DJ110" i="2"/>
  <c r="DO110" i="2"/>
  <c r="DK110" i="2"/>
  <c r="DQ110" i="2"/>
  <c r="DM110" i="2"/>
  <c r="DN110" i="2"/>
  <c r="DG110" i="2"/>
  <c r="DE110" i="2"/>
  <c r="DI110" i="2"/>
  <c r="DF110" i="2"/>
  <c r="DH110" i="2"/>
  <c r="AV112" i="2"/>
  <c r="AX112" i="2" s="1"/>
  <c r="CT110" i="2"/>
  <c r="AZ111" i="2"/>
  <c r="DL111" i="2" l="1"/>
  <c r="DP111" i="2"/>
  <c r="DM111" i="2"/>
  <c r="DQ111" i="2"/>
  <c r="DN111" i="2"/>
  <c r="DK111" i="2"/>
  <c r="DJ111" i="2"/>
  <c r="DO111" i="2"/>
  <c r="DF111" i="2"/>
  <c r="DG111" i="2"/>
  <c r="DI111" i="2"/>
  <c r="DE111" i="2"/>
  <c r="DH111" i="2"/>
  <c r="AV113" i="2"/>
  <c r="AX113" i="2" s="1"/>
  <c r="CT111" i="2"/>
  <c r="AZ112" i="2"/>
  <c r="DL112" i="2" l="1"/>
  <c r="DP112" i="2"/>
  <c r="DJ112" i="2"/>
  <c r="DO112" i="2"/>
  <c r="DK112" i="2"/>
  <c r="DQ112" i="2"/>
  <c r="DM112" i="2"/>
  <c r="DN112" i="2"/>
  <c r="DE112" i="2"/>
  <c r="DI112" i="2"/>
  <c r="DG112" i="2"/>
  <c r="DF112" i="2"/>
  <c r="DH112" i="2"/>
  <c r="AV114" i="2"/>
  <c r="AX114" i="2" s="1"/>
  <c r="CT112" i="2"/>
  <c r="AZ113" i="2"/>
  <c r="DL113" i="2" l="1"/>
  <c r="DP113" i="2"/>
  <c r="DM113" i="2"/>
  <c r="DQ113" i="2"/>
  <c r="DN113" i="2"/>
  <c r="DK113" i="2"/>
  <c r="DJ113" i="2"/>
  <c r="DO113" i="2"/>
  <c r="DF113" i="2"/>
  <c r="DE113" i="2"/>
  <c r="DG113" i="2"/>
  <c r="DI113" i="2"/>
  <c r="DH113" i="2"/>
  <c r="AV115" i="2"/>
  <c r="AX115" i="2" s="1"/>
  <c r="CT113" i="2"/>
  <c r="AZ114" i="2"/>
  <c r="DL114" i="2" l="1"/>
  <c r="DP114" i="2"/>
  <c r="DJ114" i="2"/>
  <c r="DO114" i="2"/>
  <c r="DK114" i="2"/>
  <c r="DQ114" i="2"/>
  <c r="DM114" i="2"/>
  <c r="DN114" i="2"/>
  <c r="DG114" i="2"/>
  <c r="DE114" i="2"/>
  <c r="DI114" i="2"/>
  <c r="DF114" i="2"/>
  <c r="DH114" i="2"/>
  <c r="AV116" i="2"/>
  <c r="AX116" i="2" s="1"/>
  <c r="CT114" i="2"/>
  <c r="AZ115" i="2"/>
  <c r="DL115" i="2" l="1"/>
  <c r="DP115" i="2"/>
  <c r="DM115" i="2"/>
  <c r="DQ115" i="2"/>
  <c r="DN115" i="2"/>
  <c r="DK115" i="2"/>
  <c r="DJ115" i="2"/>
  <c r="DO115" i="2"/>
  <c r="DF115" i="2"/>
  <c r="DE115" i="2"/>
  <c r="DG115" i="2"/>
  <c r="DI115" i="2"/>
  <c r="DH115" i="2"/>
  <c r="AV117" i="2"/>
  <c r="AX117" i="2" s="1"/>
  <c r="CT115" i="2"/>
  <c r="AZ116" i="2"/>
  <c r="DL116" i="2" l="1"/>
  <c r="DP116" i="2"/>
  <c r="DJ116" i="2"/>
  <c r="DO116" i="2"/>
  <c r="DK116" i="2"/>
  <c r="DQ116" i="2"/>
  <c r="DM116" i="2"/>
  <c r="DN116" i="2"/>
  <c r="DE116" i="2"/>
  <c r="DI116" i="2"/>
  <c r="DG116" i="2"/>
  <c r="DF116" i="2"/>
  <c r="DH116" i="2"/>
  <c r="AV118" i="2"/>
  <c r="AX118" i="2" s="1"/>
  <c r="CT116" i="2"/>
  <c r="AZ117" i="2"/>
  <c r="DL117" i="2" l="1"/>
  <c r="DP117" i="2"/>
  <c r="DM117" i="2"/>
  <c r="DN117" i="2"/>
  <c r="DK117" i="2"/>
  <c r="DJ117" i="2"/>
  <c r="DO117" i="2"/>
  <c r="DQ117" i="2"/>
  <c r="DF117" i="2"/>
  <c r="DI117" i="2"/>
  <c r="DE117" i="2"/>
  <c r="DG117" i="2"/>
  <c r="DH117" i="2"/>
  <c r="AV119" i="2"/>
  <c r="AX119" i="2" s="1"/>
  <c r="CT117" i="2"/>
  <c r="AZ118" i="2"/>
  <c r="DL118" i="2" l="1"/>
  <c r="DP118" i="2"/>
  <c r="DJ118" i="2"/>
  <c r="DO118" i="2"/>
  <c r="DN118" i="2"/>
  <c r="DK118" i="2"/>
  <c r="DQ118" i="2"/>
  <c r="DM118" i="2"/>
  <c r="DG118" i="2"/>
  <c r="DE118" i="2"/>
  <c r="DI118" i="2"/>
  <c r="DF118" i="2"/>
  <c r="DH118" i="2"/>
  <c r="AV120" i="2"/>
  <c r="AX120" i="2" s="1"/>
  <c r="CT118" i="2"/>
  <c r="AZ119" i="2"/>
  <c r="DL119" i="2" l="1"/>
  <c r="DP119" i="2"/>
  <c r="DM119" i="2"/>
  <c r="DQ119" i="2"/>
  <c r="DN119" i="2"/>
  <c r="DK119" i="2"/>
  <c r="DJ119" i="2"/>
  <c r="DO119" i="2"/>
  <c r="DF119" i="2"/>
  <c r="DG119" i="2"/>
  <c r="DI119" i="2"/>
  <c r="DE119" i="2"/>
  <c r="DH119" i="2"/>
  <c r="AV121" i="2"/>
  <c r="AX121" i="2" s="1"/>
  <c r="CT119" i="2"/>
  <c r="AZ120" i="2"/>
  <c r="DL120" i="2" l="1"/>
  <c r="DP120" i="2"/>
  <c r="DJ120" i="2"/>
  <c r="DO120" i="2"/>
  <c r="DK120" i="2"/>
  <c r="DQ120" i="2"/>
  <c r="DM120" i="2"/>
  <c r="DN120" i="2"/>
  <c r="DG120" i="2"/>
  <c r="DF120" i="2"/>
  <c r="DI120" i="2"/>
  <c r="DE120" i="2"/>
  <c r="DH120" i="2"/>
  <c r="AV122" i="2"/>
  <c r="AX122" i="2" s="1"/>
  <c r="CT120" i="2"/>
  <c r="AZ121" i="2"/>
  <c r="DL121" i="2" l="1"/>
  <c r="DP121" i="2"/>
  <c r="DM121" i="2"/>
  <c r="DQ121" i="2"/>
  <c r="DN121" i="2"/>
  <c r="DK121" i="2"/>
  <c r="DJ121" i="2"/>
  <c r="DO121" i="2"/>
  <c r="DF121" i="2"/>
  <c r="DG121" i="2"/>
  <c r="DI121" i="2"/>
  <c r="DE121" i="2"/>
  <c r="DH121" i="2"/>
  <c r="AV123" i="2"/>
  <c r="AX123" i="2" s="1"/>
  <c r="CT121" i="2"/>
  <c r="AZ122" i="2"/>
  <c r="DL122" i="2" l="1"/>
  <c r="DP122" i="2"/>
  <c r="DJ122" i="2"/>
  <c r="DO122" i="2"/>
  <c r="DK122" i="2"/>
  <c r="DQ122" i="2"/>
  <c r="DM122" i="2"/>
  <c r="DN122" i="2"/>
  <c r="DE122" i="2"/>
  <c r="DI122" i="2"/>
  <c r="DG122" i="2"/>
  <c r="DF122" i="2"/>
  <c r="DH122" i="2"/>
  <c r="AV124" i="2"/>
  <c r="AX124" i="2" s="1"/>
  <c r="CT122" i="2"/>
  <c r="AZ123" i="2"/>
  <c r="DL123" i="2" l="1"/>
  <c r="DP123" i="2"/>
  <c r="DM123" i="2"/>
  <c r="DQ123" i="2"/>
  <c r="DN123" i="2"/>
  <c r="DK123" i="2"/>
  <c r="DJ123" i="2"/>
  <c r="DO123" i="2"/>
  <c r="DG123" i="2"/>
  <c r="DI123" i="2"/>
  <c r="DE123" i="2"/>
  <c r="DF123" i="2"/>
  <c r="DH123" i="2"/>
  <c r="AV125" i="2"/>
  <c r="AX125" i="2" s="1"/>
  <c r="CT123" i="2"/>
  <c r="AZ124" i="2"/>
  <c r="DL124" i="2" l="1"/>
  <c r="DP124" i="2"/>
  <c r="DJ124" i="2"/>
  <c r="DO124" i="2"/>
  <c r="DK124" i="2"/>
  <c r="DQ124" i="2"/>
  <c r="DM124" i="2"/>
  <c r="DN124" i="2"/>
  <c r="DG124" i="2"/>
  <c r="DI124" i="2"/>
  <c r="DE124" i="2"/>
  <c r="DF124" i="2"/>
  <c r="DH124" i="2"/>
  <c r="AV126" i="2"/>
  <c r="AX126" i="2" s="1"/>
  <c r="CT124" i="2"/>
  <c r="AZ125" i="2"/>
  <c r="DL125" i="2" l="1"/>
  <c r="DP125" i="2"/>
  <c r="DM125" i="2"/>
  <c r="DQ125" i="2"/>
  <c r="DN125" i="2"/>
  <c r="DK125" i="2"/>
  <c r="DJ125" i="2"/>
  <c r="DO125" i="2"/>
  <c r="DF125" i="2"/>
  <c r="DI125" i="2"/>
  <c r="DE125" i="2"/>
  <c r="DG125" i="2"/>
  <c r="DH125" i="2"/>
  <c r="AV127" i="2"/>
  <c r="AX127" i="2" s="1"/>
  <c r="CT125" i="2"/>
  <c r="AZ126" i="2"/>
  <c r="DL126" i="2" l="1"/>
  <c r="DP126" i="2"/>
  <c r="DJ126" i="2"/>
  <c r="DO126" i="2"/>
  <c r="DK126" i="2"/>
  <c r="DQ126" i="2"/>
  <c r="DM126" i="2"/>
  <c r="DN126" i="2"/>
  <c r="DE126" i="2"/>
  <c r="DI126" i="2"/>
  <c r="DF126" i="2"/>
  <c r="DG126" i="2"/>
  <c r="DH126" i="2"/>
  <c r="AV128" i="2"/>
  <c r="AX128" i="2" s="1"/>
  <c r="CT126" i="2"/>
  <c r="AZ127" i="2"/>
  <c r="DL127" i="2" l="1"/>
  <c r="DP127" i="2"/>
  <c r="DM127" i="2"/>
  <c r="DN127" i="2"/>
  <c r="DK127" i="2"/>
  <c r="DJ127" i="2"/>
  <c r="DO127" i="2"/>
  <c r="DQ127" i="2"/>
  <c r="DI127" i="2"/>
  <c r="DE127" i="2"/>
  <c r="DF127" i="2"/>
  <c r="DG127" i="2"/>
  <c r="DH127" i="2"/>
  <c r="AV129" i="2"/>
  <c r="AX129" i="2" s="1"/>
  <c r="CT127" i="2"/>
  <c r="AZ128" i="2"/>
  <c r="DL128" i="2" l="1"/>
  <c r="DP128" i="2"/>
  <c r="DJ128" i="2"/>
  <c r="DO128" i="2"/>
  <c r="DN128" i="2"/>
  <c r="DK128" i="2"/>
  <c r="DQ128" i="2"/>
  <c r="DM128" i="2"/>
  <c r="DG128" i="2"/>
  <c r="DI128" i="2"/>
  <c r="DE128" i="2"/>
  <c r="DF128" i="2"/>
  <c r="DH128" i="2"/>
  <c r="AV130" i="2"/>
  <c r="AX130" i="2" s="1"/>
  <c r="CT128" i="2"/>
  <c r="AZ129" i="2"/>
  <c r="DL129" i="2" l="1"/>
  <c r="DP129" i="2"/>
  <c r="DM129" i="2"/>
  <c r="DN129" i="2"/>
  <c r="DK129" i="2"/>
  <c r="DJ129" i="2"/>
  <c r="DO129" i="2"/>
  <c r="DQ129" i="2"/>
  <c r="DF129" i="2"/>
  <c r="DI129" i="2"/>
  <c r="DE129" i="2"/>
  <c r="DG129" i="2"/>
  <c r="DH129" i="2"/>
  <c r="AV131" i="2"/>
  <c r="AX131" i="2" s="1"/>
  <c r="CT129" i="2"/>
  <c r="AZ130" i="2"/>
  <c r="DL130" i="2" l="1"/>
  <c r="DP130" i="2"/>
  <c r="DJ130" i="2"/>
  <c r="DO130" i="2"/>
  <c r="DN130" i="2"/>
  <c r="DK130" i="2"/>
  <c r="DQ130" i="2"/>
  <c r="DM130" i="2"/>
  <c r="DE130" i="2"/>
  <c r="DI130" i="2"/>
  <c r="DF130" i="2"/>
  <c r="DG130" i="2"/>
  <c r="DH130" i="2"/>
  <c r="AV132" i="2"/>
  <c r="AX132" i="2" s="1"/>
  <c r="CT130" i="2"/>
  <c r="AZ131" i="2"/>
  <c r="DL131" i="2" l="1"/>
  <c r="DP131" i="2"/>
  <c r="DM131" i="2"/>
  <c r="DN131" i="2"/>
  <c r="DK131" i="2"/>
  <c r="DJ131" i="2"/>
  <c r="DO131" i="2"/>
  <c r="DQ131" i="2"/>
  <c r="DE131" i="2"/>
  <c r="DF131" i="2"/>
  <c r="DG131" i="2"/>
  <c r="DI131" i="2"/>
  <c r="DH131" i="2"/>
  <c r="AV133" i="2"/>
  <c r="AX133" i="2" s="1"/>
  <c r="CT131" i="2"/>
  <c r="AZ132" i="2"/>
  <c r="DL132" i="2" l="1"/>
  <c r="DP132" i="2"/>
  <c r="DJ132" i="2"/>
  <c r="DO132" i="2"/>
  <c r="DN132" i="2"/>
  <c r="DK132" i="2"/>
  <c r="DQ132" i="2"/>
  <c r="DM132" i="2"/>
  <c r="DG132" i="2"/>
  <c r="DE132" i="2"/>
  <c r="DF132" i="2"/>
  <c r="DI132" i="2"/>
  <c r="DH132" i="2"/>
  <c r="AV134" i="2"/>
  <c r="AX134" i="2" s="1"/>
  <c r="CT132" i="2"/>
  <c r="AZ133" i="2"/>
  <c r="DL133" i="2" l="1"/>
  <c r="DP133" i="2"/>
  <c r="DM133" i="2"/>
  <c r="DN133" i="2"/>
  <c r="DK133" i="2"/>
  <c r="DJ133" i="2"/>
  <c r="DO133" i="2"/>
  <c r="DQ133" i="2"/>
  <c r="DF133" i="2"/>
  <c r="DE133" i="2"/>
  <c r="DG133" i="2"/>
  <c r="DI133" i="2"/>
  <c r="DH133" i="2"/>
  <c r="AV135" i="2"/>
  <c r="AX135" i="2" s="1"/>
  <c r="CT133" i="2"/>
  <c r="AZ134" i="2"/>
  <c r="DL134" i="2" l="1"/>
  <c r="DP134" i="2"/>
  <c r="DJ134" i="2"/>
  <c r="DO134" i="2"/>
  <c r="DN134" i="2"/>
  <c r="DK134" i="2"/>
  <c r="DQ134" i="2"/>
  <c r="DM134" i="2"/>
  <c r="DE134" i="2"/>
  <c r="DI134" i="2"/>
  <c r="DF134" i="2"/>
  <c r="DG134" i="2"/>
  <c r="DH134" i="2"/>
  <c r="AV136" i="2"/>
  <c r="AX136" i="2" s="1"/>
  <c r="CT134" i="2"/>
  <c r="AZ135" i="2"/>
  <c r="DL135" i="2" l="1"/>
  <c r="DP135" i="2"/>
  <c r="DM135" i="2"/>
  <c r="DN135" i="2"/>
  <c r="DK135" i="2"/>
  <c r="DJ135" i="2"/>
  <c r="DO135" i="2"/>
  <c r="DQ135" i="2"/>
  <c r="DF135" i="2"/>
  <c r="DG135" i="2"/>
  <c r="DI135" i="2"/>
  <c r="DE135" i="2"/>
  <c r="DH135" i="2"/>
  <c r="AV137" i="2"/>
  <c r="AX137" i="2" s="1"/>
  <c r="CT135" i="2"/>
  <c r="AZ136" i="2"/>
  <c r="DL136" i="2" l="1"/>
  <c r="DP136" i="2"/>
  <c r="DJ136" i="2"/>
  <c r="DO136" i="2"/>
  <c r="DN136" i="2"/>
  <c r="DK136" i="2"/>
  <c r="DQ136" i="2"/>
  <c r="DM136" i="2"/>
  <c r="DG136" i="2"/>
  <c r="DF136" i="2"/>
  <c r="DI136" i="2"/>
  <c r="DE136" i="2"/>
  <c r="DH136" i="2"/>
  <c r="AV138" i="2"/>
  <c r="AX138" i="2" s="1"/>
  <c r="CT136" i="2"/>
  <c r="AZ137" i="2"/>
  <c r="DL137" i="2" l="1"/>
  <c r="DP137" i="2"/>
  <c r="DM137" i="2"/>
  <c r="DN137" i="2"/>
  <c r="DK137" i="2"/>
  <c r="DJ137" i="2"/>
  <c r="DO137" i="2"/>
  <c r="DQ137" i="2"/>
  <c r="DF137" i="2"/>
  <c r="DG137" i="2"/>
  <c r="DI137" i="2"/>
  <c r="DE137" i="2"/>
  <c r="DH137" i="2"/>
  <c r="AV139" i="2"/>
  <c r="AX139" i="2" s="1"/>
  <c r="CT137" i="2"/>
  <c r="AZ138" i="2"/>
  <c r="DL138" i="2" l="1"/>
  <c r="DP138" i="2"/>
  <c r="DJ138" i="2"/>
  <c r="DO138" i="2"/>
  <c r="DN138" i="2"/>
  <c r="DK138" i="2"/>
  <c r="DQ138" i="2"/>
  <c r="DM138" i="2"/>
  <c r="DE138" i="2"/>
  <c r="DI138" i="2"/>
  <c r="DG138" i="2"/>
  <c r="DF138" i="2"/>
  <c r="DH138" i="2"/>
  <c r="AV140" i="2"/>
  <c r="AX140" i="2" s="1"/>
  <c r="CT138" i="2"/>
  <c r="AZ139" i="2"/>
  <c r="DL139" i="2" l="1"/>
  <c r="DP139" i="2"/>
  <c r="DM139" i="2"/>
  <c r="DQ139" i="2"/>
  <c r="DN139" i="2"/>
  <c r="DK139" i="2"/>
  <c r="DJ139" i="2"/>
  <c r="DO139" i="2"/>
  <c r="DG139" i="2"/>
  <c r="DI139" i="2"/>
  <c r="DE139" i="2"/>
  <c r="DF139" i="2"/>
  <c r="DH139" i="2"/>
  <c r="AV141" i="2"/>
  <c r="AX141" i="2" s="1"/>
  <c r="CT139" i="2"/>
  <c r="AZ140" i="2"/>
  <c r="DL140" i="2" l="1"/>
  <c r="DP140" i="2"/>
  <c r="DJ140" i="2"/>
  <c r="DO140" i="2"/>
  <c r="DK140" i="2"/>
  <c r="DQ140" i="2"/>
  <c r="DM140" i="2"/>
  <c r="DN140" i="2"/>
  <c r="DG140" i="2"/>
  <c r="DI140" i="2"/>
  <c r="DE140" i="2"/>
  <c r="DF140" i="2"/>
  <c r="DH140" i="2"/>
  <c r="AV142" i="2"/>
  <c r="AX142" i="2" s="1"/>
  <c r="CT140" i="2"/>
  <c r="AZ141" i="2"/>
  <c r="DL141" i="2" l="1"/>
  <c r="DP141" i="2"/>
  <c r="DM141" i="2"/>
  <c r="DQ141" i="2"/>
  <c r="DN141" i="2"/>
  <c r="DK141" i="2"/>
  <c r="DJ141" i="2"/>
  <c r="DO141" i="2"/>
  <c r="DF141" i="2"/>
  <c r="DI141" i="2"/>
  <c r="DE141" i="2"/>
  <c r="DG141" i="2"/>
  <c r="DH141" i="2"/>
  <c r="AV143" i="2"/>
  <c r="AX143" i="2" s="1"/>
  <c r="CT141" i="2"/>
  <c r="AZ142" i="2"/>
  <c r="DL142" i="2" l="1"/>
  <c r="DP142" i="2"/>
  <c r="DJ142" i="2"/>
  <c r="DO142" i="2"/>
  <c r="DK142" i="2"/>
  <c r="DQ142" i="2"/>
  <c r="DM142" i="2"/>
  <c r="DN142" i="2"/>
  <c r="DE142" i="2"/>
  <c r="DI142" i="2"/>
  <c r="DF142" i="2"/>
  <c r="DG142" i="2"/>
  <c r="DH142" i="2"/>
  <c r="AV144" i="2"/>
  <c r="AX144" i="2" s="1"/>
  <c r="CT142" i="2"/>
  <c r="AZ143" i="2"/>
  <c r="DL143" i="2" l="1"/>
  <c r="DP143" i="2"/>
  <c r="DM143" i="2"/>
  <c r="DQ143" i="2"/>
  <c r="DN143" i="2"/>
  <c r="DK143" i="2"/>
  <c r="DJ143" i="2"/>
  <c r="DO143" i="2"/>
  <c r="DI143" i="2"/>
  <c r="DE143" i="2"/>
  <c r="DF143" i="2"/>
  <c r="DG143" i="2"/>
  <c r="DH143" i="2"/>
  <c r="AV145" i="2"/>
  <c r="AX145" i="2" s="1"/>
  <c r="CT143" i="2"/>
  <c r="AZ144" i="2"/>
  <c r="DL144" i="2" l="1"/>
  <c r="DP144" i="2"/>
  <c r="DJ144" i="2"/>
  <c r="DO144" i="2"/>
  <c r="DK144" i="2"/>
  <c r="DQ144" i="2"/>
  <c r="DN144" i="2"/>
  <c r="DM144" i="2"/>
  <c r="DG144" i="2"/>
  <c r="DI144" i="2"/>
  <c r="DE144" i="2"/>
  <c r="DF144" i="2"/>
  <c r="DH144" i="2"/>
  <c r="AV146" i="2"/>
  <c r="AX146" i="2" s="1"/>
  <c r="CT144" i="2"/>
  <c r="AZ145" i="2"/>
  <c r="DL145" i="2" l="1"/>
  <c r="DP145" i="2"/>
  <c r="DM145" i="2"/>
  <c r="DQ145" i="2"/>
  <c r="DN145" i="2"/>
  <c r="DJ145" i="2"/>
  <c r="DO145" i="2"/>
  <c r="DK145" i="2"/>
  <c r="DF145" i="2"/>
  <c r="DI145" i="2"/>
  <c r="DE145" i="2"/>
  <c r="DG145" i="2"/>
  <c r="DH145" i="2"/>
  <c r="AV147" i="2"/>
  <c r="AX147" i="2" s="1"/>
  <c r="CT145" i="2"/>
  <c r="AZ146" i="2"/>
  <c r="DL146" i="2" l="1"/>
  <c r="DP146" i="2"/>
  <c r="DJ146" i="2"/>
  <c r="DO146" i="2"/>
  <c r="DK146" i="2"/>
  <c r="DQ146" i="2"/>
  <c r="DM146" i="2"/>
  <c r="DN146" i="2"/>
  <c r="DE146" i="2"/>
  <c r="DI146" i="2"/>
  <c r="DF146" i="2"/>
  <c r="DG146" i="2"/>
  <c r="DH146" i="2"/>
  <c r="AV148" i="2"/>
  <c r="AX148" i="2" s="1"/>
  <c r="CT146" i="2"/>
  <c r="AZ147" i="2"/>
  <c r="DL147" i="2" l="1"/>
  <c r="DP147" i="2"/>
  <c r="DM147" i="2"/>
  <c r="DQ147" i="2"/>
  <c r="DN147" i="2"/>
  <c r="DK147" i="2"/>
  <c r="DJ147" i="2"/>
  <c r="DO147" i="2"/>
  <c r="DE147" i="2"/>
  <c r="DF147" i="2"/>
  <c r="DG147" i="2"/>
  <c r="DI147" i="2"/>
  <c r="DH147" i="2"/>
  <c r="AV149" i="2"/>
  <c r="AX149" i="2" s="1"/>
  <c r="CT147" i="2"/>
  <c r="AZ148" i="2"/>
  <c r="DL148" i="2" l="1"/>
  <c r="DP148" i="2"/>
  <c r="DJ148" i="2"/>
  <c r="DO148" i="2"/>
  <c r="DK148" i="2"/>
  <c r="DQ148" i="2"/>
  <c r="DM148" i="2"/>
  <c r="DN148" i="2"/>
  <c r="DG148" i="2"/>
  <c r="DE148" i="2"/>
  <c r="DF148" i="2"/>
  <c r="DI148" i="2"/>
  <c r="DH148" i="2"/>
  <c r="AV150" i="2"/>
  <c r="AX150" i="2" s="1"/>
  <c r="CT148" i="2"/>
  <c r="AZ149" i="2"/>
  <c r="DL149" i="2" l="1"/>
  <c r="DP149" i="2"/>
  <c r="DM149" i="2"/>
  <c r="DQ149" i="2"/>
  <c r="DN149" i="2"/>
  <c r="DK149" i="2"/>
  <c r="DJ149" i="2"/>
  <c r="DO149" i="2"/>
  <c r="DF149" i="2"/>
  <c r="DE149" i="2"/>
  <c r="DG149" i="2"/>
  <c r="DI149" i="2"/>
  <c r="DH149" i="2"/>
  <c r="AV151" i="2"/>
  <c r="AX151" i="2" s="1"/>
  <c r="CT149" i="2"/>
  <c r="AZ150" i="2"/>
  <c r="DJ150" i="2" l="1"/>
  <c r="DN150" i="2"/>
  <c r="DK150" i="2"/>
  <c r="DO150" i="2"/>
  <c r="DM150" i="2"/>
  <c r="DL150" i="2"/>
  <c r="DP150" i="2"/>
  <c r="DQ150" i="2"/>
  <c r="DE150" i="2"/>
  <c r="DI150" i="2"/>
  <c r="DF150" i="2"/>
  <c r="DG150" i="2"/>
  <c r="DH150" i="2"/>
  <c r="AV152" i="2"/>
  <c r="AX152" i="2" s="1"/>
  <c r="CT150" i="2"/>
  <c r="AZ151" i="2"/>
  <c r="DJ151" i="2" l="1"/>
  <c r="DN151" i="2"/>
  <c r="DM151" i="2"/>
  <c r="DK151" i="2"/>
  <c r="DO151" i="2"/>
  <c r="DQ151" i="2"/>
  <c r="DL151" i="2"/>
  <c r="DP151" i="2"/>
  <c r="DF151" i="2"/>
  <c r="DG151" i="2"/>
  <c r="DI151" i="2"/>
  <c r="DE151" i="2"/>
  <c r="DH151" i="2"/>
  <c r="AV153" i="2"/>
  <c r="AX153" i="2" s="1"/>
  <c r="CT151" i="2"/>
  <c r="AZ152" i="2"/>
  <c r="DJ152" i="2" l="1"/>
  <c r="DN152" i="2"/>
  <c r="DK152" i="2"/>
  <c r="DO152" i="2"/>
  <c r="DL152" i="2"/>
  <c r="DP152" i="2"/>
  <c r="DM152" i="2"/>
  <c r="DQ152" i="2"/>
  <c r="DG152" i="2"/>
  <c r="DF152" i="2"/>
  <c r="DI152" i="2"/>
  <c r="DE152" i="2"/>
  <c r="DH152" i="2"/>
  <c r="AV154" i="2"/>
  <c r="AX154" i="2" s="1"/>
  <c r="CT152" i="2"/>
  <c r="AZ153" i="2"/>
  <c r="DJ153" i="2" l="1"/>
  <c r="DN153" i="2"/>
  <c r="DK153" i="2"/>
  <c r="DO153" i="2"/>
  <c r="DL153" i="2"/>
  <c r="DP153" i="2"/>
  <c r="DM153" i="2"/>
  <c r="DQ153" i="2"/>
  <c r="DF153" i="2"/>
  <c r="DG153" i="2"/>
  <c r="DI153" i="2"/>
  <c r="DE153" i="2"/>
  <c r="DH153" i="2"/>
  <c r="CX18" i="2"/>
  <c r="CX153" i="2" s="1"/>
  <c r="AV155" i="2"/>
  <c r="AX155" i="2" s="1"/>
  <c r="CT153" i="2"/>
  <c r="AZ154" i="2"/>
  <c r="DJ154" i="2" l="1"/>
  <c r="DN154" i="2"/>
  <c r="DK154" i="2"/>
  <c r="DO154" i="2"/>
  <c r="DL154" i="2"/>
  <c r="DP154" i="2"/>
  <c r="DM154" i="2"/>
  <c r="DQ154" i="2"/>
  <c r="DE154" i="2"/>
  <c r="DI154" i="2"/>
  <c r="DG154" i="2"/>
  <c r="DF154" i="2"/>
  <c r="DH154" i="2"/>
  <c r="B32" i="5"/>
  <c r="CX19" i="2"/>
  <c r="CX20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53" i="2"/>
  <c r="CX54" i="2"/>
  <c r="CX55" i="2"/>
  <c r="CX56" i="2"/>
  <c r="CX57" i="2"/>
  <c r="CX58" i="2"/>
  <c r="CX59" i="2"/>
  <c r="CX60" i="2"/>
  <c r="CX61" i="2"/>
  <c r="CX62" i="2"/>
  <c r="CX63" i="2"/>
  <c r="CX64" i="2"/>
  <c r="CX65" i="2"/>
  <c r="CX66" i="2"/>
  <c r="CX67" i="2"/>
  <c r="CX68" i="2"/>
  <c r="CX69" i="2"/>
  <c r="CX70" i="2"/>
  <c r="CX71" i="2"/>
  <c r="CX72" i="2"/>
  <c r="CX73" i="2"/>
  <c r="CX74" i="2"/>
  <c r="CX75" i="2"/>
  <c r="CX76" i="2"/>
  <c r="CX77" i="2"/>
  <c r="CX78" i="2"/>
  <c r="CX79" i="2"/>
  <c r="CX80" i="2"/>
  <c r="CX81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99" i="2"/>
  <c r="CX100" i="2"/>
  <c r="CX101" i="2"/>
  <c r="CX102" i="2"/>
  <c r="CX103" i="2"/>
  <c r="CX104" i="2"/>
  <c r="CX105" i="2"/>
  <c r="CX106" i="2"/>
  <c r="CX107" i="2"/>
  <c r="CX108" i="2"/>
  <c r="CX109" i="2"/>
  <c r="CX110" i="2"/>
  <c r="CX111" i="2"/>
  <c r="CX112" i="2"/>
  <c r="CX113" i="2"/>
  <c r="CX114" i="2"/>
  <c r="CX115" i="2"/>
  <c r="CX116" i="2"/>
  <c r="CX117" i="2"/>
  <c r="CX118" i="2"/>
  <c r="CX119" i="2"/>
  <c r="CX120" i="2"/>
  <c r="CX121" i="2"/>
  <c r="CX122" i="2"/>
  <c r="CX123" i="2"/>
  <c r="CX124" i="2"/>
  <c r="CX125" i="2"/>
  <c r="CX126" i="2"/>
  <c r="CX127" i="2"/>
  <c r="CX128" i="2"/>
  <c r="CX129" i="2"/>
  <c r="CX130" i="2"/>
  <c r="CX131" i="2"/>
  <c r="CX132" i="2"/>
  <c r="CX133" i="2"/>
  <c r="CX134" i="2"/>
  <c r="CX135" i="2"/>
  <c r="CX136" i="2"/>
  <c r="CX137" i="2"/>
  <c r="CX138" i="2"/>
  <c r="CX139" i="2"/>
  <c r="CX140" i="2"/>
  <c r="CX141" i="2"/>
  <c r="CX142" i="2"/>
  <c r="CX143" i="2"/>
  <c r="CX144" i="2"/>
  <c r="CX145" i="2"/>
  <c r="CX146" i="2"/>
  <c r="CX147" i="2"/>
  <c r="CX148" i="2"/>
  <c r="CX149" i="2"/>
  <c r="CX150" i="2"/>
  <c r="CX151" i="2"/>
  <c r="CX152" i="2"/>
  <c r="C29" i="2"/>
  <c r="DC18" i="2"/>
  <c r="DC154" i="2" s="1"/>
  <c r="B28" i="5"/>
  <c r="B34" i="5"/>
  <c r="B29" i="5"/>
  <c r="CZ18" i="2"/>
  <c r="CZ154" i="2" s="1"/>
  <c r="C33" i="2"/>
  <c r="DB18" i="2"/>
  <c r="DB154" i="2" s="1"/>
  <c r="C35" i="2"/>
  <c r="DD18" i="2"/>
  <c r="DD154" i="2" s="1"/>
  <c r="B30" i="5"/>
  <c r="CY18" i="2"/>
  <c r="CY154" i="2" s="1"/>
  <c r="C32" i="2"/>
  <c r="DA18" i="2"/>
  <c r="DA154" i="2" s="1"/>
  <c r="C34" i="2"/>
  <c r="CX18" i="5"/>
  <c r="I31" i="5"/>
  <c r="B33" i="5"/>
  <c r="CW18" i="2"/>
  <c r="CW154" i="2" s="1"/>
  <c r="C30" i="2"/>
  <c r="CU18" i="2"/>
  <c r="CU154" i="2" s="1"/>
  <c r="C28" i="2"/>
  <c r="AV156" i="2"/>
  <c r="AX156" i="2" s="1"/>
  <c r="CX154" i="2"/>
  <c r="CT154" i="2"/>
  <c r="AZ155" i="2"/>
  <c r="DJ155" i="2" l="1"/>
  <c r="DN155" i="2"/>
  <c r="DK155" i="2"/>
  <c r="DO155" i="2"/>
  <c r="DL155" i="2"/>
  <c r="DP155" i="2"/>
  <c r="DQ155" i="2"/>
  <c r="DM155" i="2"/>
  <c r="DG155" i="2"/>
  <c r="DI155" i="2"/>
  <c r="DE155" i="2"/>
  <c r="DF155" i="2"/>
  <c r="DH155" i="2"/>
  <c r="CW19" i="2"/>
  <c r="CW20" i="2"/>
  <c r="CW21" i="2"/>
  <c r="CW22" i="2"/>
  <c r="CW23" i="2"/>
  <c r="CW24" i="2"/>
  <c r="CW25" i="2"/>
  <c r="CW26" i="2"/>
  <c r="CW27" i="2"/>
  <c r="CW28" i="2"/>
  <c r="CW29" i="2"/>
  <c r="CW30" i="2"/>
  <c r="CW31" i="2"/>
  <c r="CW32" i="2"/>
  <c r="CW33" i="2"/>
  <c r="CW34" i="2"/>
  <c r="CW35" i="2"/>
  <c r="CW36" i="2"/>
  <c r="CW37" i="2"/>
  <c r="CW38" i="2"/>
  <c r="CW39" i="2"/>
  <c r="CW40" i="2"/>
  <c r="CW41" i="2"/>
  <c r="CW42" i="2"/>
  <c r="CW43" i="2"/>
  <c r="CW44" i="2"/>
  <c r="CW45" i="2"/>
  <c r="CW46" i="2"/>
  <c r="CW47" i="2"/>
  <c r="CW48" i="2"/>
  <c r="CW49" i="2"/>
  <c r="CW50" i="2"/>
  <c r="CW51" i="2"/>
  <c r="CW52" i="2"/>
  <c r="CW53" i="2"/>
  <c r="CW54" i="2"/>
  <c r="CW55" i="2"/>
  <c r="CW56" i="2"/>
  <c r="CW57" i="2"/>
  <c r="CW58" i="2"/>
  <c r="CW59" i="2"/>
  <c r="CW60" i="2"/>
  <c r="CW61" i="2"/>
  <c r="CW62" i="2"/>
  <c r="CW63" i="2"/>
  <c r="CW64" i="2"/>
  <c r="CW65" i="2"/>
  <c r="CW66" i="2"/>
  <c r="CW67" i="2"/>
  <c r="CW68" i="2"/>
  <c r="CW69" i="2"/>
  <c r="CW70" i="2"/>
  <c r="CW71" i="2"/>
  <c r="CW72" i="2"/>
  <c r="CW73" i="2"/>
  <c r="CW74" i="2"/>
  <c r="CW75" i="2"/>
  <c r="CW76" i="2"/>
  <c r="CW77" i="2"/>
  <c r="CW78" i="2"/>
  <c r="CW79" i="2"/>
  <c r="CW80" i="2"/>
  <c r="CW81" i="2"/>
  <c r="CW82" i="2"/>
  <c r="CW83" i="2"/>
  <c r="CW84" i="2"/>
  <c r="CW85" i="2"/>
  <c r="CW86" i="2"/>
  <c r="CW87" i="2"/>
  <c r="CW88" i="2"/>
  <c r="CW89" i="2"/>
  <c r="CW90" i="2"/>
  <c r="CW91" i="2"/>
  <c r="CW92" i="2"/>
  <c r="CW93" i="2"/>
  <c r="CW94" i="2"/>
  <c r="CW95" i="2"/>
  <c r="CW96" i="2"/>
  <c r="CW97" i="2"/>
  <c r="CW98" i="2"/>
  <c r="CW99" i="2"/>
  <c r="CW100" i="2"/>
  <c r="CW101" i="2"/>
  <c r="CW102" i="2"/>
  <c r="CW103" i="2"/>
  <c r="CW104" i="2"/>
  <c r="CW105" i="2"/>
  <c r="CW106" i="2"/>
  <c r="CW107" i="2"/>
  <c r="CW108" i="2"/>
  <c r="CW109" i="2"/>
  <c r="CW110" i="2"/>
  <c r="CW111" i="2"/>
  <c r="CW112" i="2"/>
  <c r="CW113" i="2"/>
  <c r="CW114" i="2"/>
  <c r="CW115" i="2"/>
  <c r="CW116" i="2"/>
  <c r="CW117" i="2"/>
  <c r="CW118" i="2"/>
  <c r="CW119" i="2"/>
  <c r="CW120" i="2"/>
  <c r="CW121" i="2"/>
  <c r="CW122" i="2"/>
  <c r="CW123" i="2"/>
  <c r="CW124" i="2"/>
  <c r="CW125" i="2"/>
  <c r="CW126" i="2"/>
  <c r="CW127" i="2"/>
  <c r="CW128" i="2"/>
  <c r="CW129" i="2"/>
  <c r="CW130" i="2"/>
  <c r="CW131" i="2"/>
  <c r="CW132" i="2"/>
  <c r="CW133" i="2"/>
  <c r="CW134" i="2"/>
  <c r="CW135" i="2"/>
  <c r="CW136" i="2"/>
  <c r="CW137" i="2"/>
  <c r="CW138" i="2"/>
  <c r="CW139" i="2"/>
  <c r="CW140" i="2"/>
  <c r="CW141" i="2"/>
  <c r="CW142" i="2"/>
  <c r="CW143" i="2"/>
  <c r="CW144" i="2"/>
  <c r="CW145" i="2"/>
  <c r="CW146" i="2"/>
  <c r="CW147" i="2"/>
  <c r="CW148" i="2"/>
  <c r="CW149" i="2"/>
  <c r="CW150" i="2"/>
  <c r="CW151" i="2"/>
  <c r="CW152" i="2"/>
  <c r="CW153" i="2"/>
  <c r="DB18" i="5"/>
  <c r="CZ19" i="2"/>
  <c r="CZ20" i="2"/>
  <c r="CZ21" i="2"/>
  <c r="CZ22" i="2"/>
  <c r="CZ23" i="2"/>
  <c r="CZ24" i="2"/>
  <c r="CZ25" i="2"/>
  <c r="CZ26" i="2"/>
  <c r="CZ27" i="2"/>
  <c r="CZ28" i="2"/>
  <c r="CZ29" i="2"/>
  <c r="CZ30" i="2"/>
  <c r="CZ31" i="2"/>
  <c r="CZ32" i="2"/>
  <c r="CZ33" i="2"/>
  <c r="CZ34" i="2"/>
  <c r="CZ35" i="2"/>
  <c r="CZ36" i="2"/>
  <c r="CZ37" i="2"/>
  <c r="CZ38" i="2"/>
  <c r="CZ39" i="2"/>
  <c r="CZ40" i="2"/>
  <c r="CZ41" i="2"/>
  <c r="CZ42" i="2"/>
  <c r="CZ43" i="2"/>
  <c r="CZ44" i="2"/>
  <c r="CZ45" i="2"/>
  <c r="CZ46" i="2"/>
  <c r="CZ47" i="2"/>
  <c r="CZ48" i="2"/>
  <c r="CZ49" i="2"/>
  <c r="CZ50" i="2"/>
  <c r="CZ51" i="2"/>
  <c r="CZ52" i="2"/>
  <c r="CZ53" i="2"/>
  <c r="CZ54" i="2"/>
  <c r="CZ55" i="2"/>
  <c r="CZ56" i="2"/>
  <c r="CZ57" i="2"/>
  <c r="CZ58" i="2"/>
  <c r="CZ59" i="2"/>
  <c r="CZ60" i="2"/>
  <c r="CZ61" i="2"/>
  <c r="CZ62" i="2"/>
  <c r="CZ63" i="2"/>
  <c r="CZ64" i="2"/>
  <c r="CZ65" i="2"/>
  <c r="CZ66" i="2"/>
  <c r="CZ67" i="2"/>
  <c r="CZ68" i="2"/>
  <c r="CZ69" i="2"/>
  <c r="CZ70" i="2"/>
  <c r="CZ71" i="2"/>
  <c r="CZ72" i="2"/>
  <c r="CZ73" i="2"/>
  <c r="CZ74" i="2"/>
  <c r="CZ75" i="2"/>
  <c r="CZ76" i="2"/>
  <c r="CZ77" i="2"/>
  <c r="CZ78" i="2"/>
  <c r="CZ79" i="2"/>
  <c r="CZ80" i="2"/>
  <c r="CZ81" i="2"/>
  <c r="CZ82" i="2"/>
  <c r="CZ83" i="2"/>
  <c r="CZ84" i="2"/>
  <c r="CZ85" i="2"/>
  <c r="CZ86" i="2"/>
  <c r="CZ87" i="2"/>
  <c r="CZ88" i="2"/>
  <c r="CZ89" i="2"/>
  <c r="CZ90" i="2"/>
  <c r="CZ91" i="2"/>
  <c r="CZ92" i="2"/>
  <c r="CZ93" i="2"/>
  <c r="CZ94" i="2"/>
  <c r="CZ95" i="2"/>
  <c r="CZ96" i="2"/>
  <c r="CZ97" i="2"/>
  <c r="CZ98" i="2"/>
  <c r="CZ99" i="2"/>
  <c r="CZ100" i="2"/>
  <c r="CZ101" i="2"/>
  <c r="CZ102" i="2"/>
  <c r="CZ103" i="2"/>
  <c r="CZ104" i="2"/>
  <c r="CZ105" i="2"/>
  <c r="CZ106" i="2"/>
  <c r="CZ107" i="2"/>
  <c r="CZ108" i="2"/>
  <c r="CZ109" i="2"/>
  <c r="CZ110" i="2"/>
  <c r="CZ111" i="2"/>
  <c r="CZ112" i="2"/>
  <c r="CZ113" i="2"/>
  <c r="CZ114" i="2"/>
  <c r="CZ115" i="2"/>
  <c r="CZ116" i="2"/>
  <c r="CZ117" i="2"/>
  <c r="CZ118" i="2"/>
  <c r="CZ119" i="2"/>
  <c r="CZ120" i="2"/>
  <c r="CZ121" i="2"/>
  <c r="CZ122" i="2"/>
  <c r="CZ123" i="2"/>
  <c r="CZ124" i="2"/>
  <c r="CZ125" i="2"/>
  <c r="CZ126" i="2"/>
  <c r="CZ127" i="2"/>
  <c r="CZ128" i="2"/>
  <c r="CZ129" i="2"/>
  <c r="CZ130" i="2"/>
  <c r="CZ131" i="2"/>
  <c r="CZ132" i="2"/>
  <c r="CZ133" i="2"/>
  <c r="CZ134" i="2"/>
  <c r="CZ135" i="2"/>
  <c r="CZ136" i="2"/>
  <c r="CZ137" i="2"/>
  <c r="CZ138" i="2"/>
  <c r="CZ139" i="2"/>
  <c r="CZ140" i="2"/>
  <c r="CZ141" i="2"/>
  <c r="CZ142" i="2"/>
  <c r="CZ143" i="2"/>
  <c r="CZ144" i="2"/>
  <c r="CZ145" i="2"/>
  <c r="CZ146" i="2"/>
  <c r="CZ147" i="2"/>
  <c r="CZ148" i="2"/>
  <c r="CZ149" i="2"/>
  <c r="CZ150" i="2"/>
  <c r="CZ151" i="2"/>
  <c r="CZ152" i="2"/>
  <c r="CZ153" i="2"/>
  <c r="DA18" i="5"/>
  <c r="I34" i="5"/>
  <c r="DD18" i="5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40" i="2"/>
  <c r="CY41" i="2"/>
  <c r="CY42" i="2"/>
  <c r="CY43" i="2"/>
  <c r="CY44" i="2"/>
  <c r="CY45" i="2"/>
  <c r="CY46" i="2"/>
  <c r="CY47" i="2"/>
  <c r="CY48" i="2"/>
  <c r="CY49" i="2"/>
  <c r="CY50" i="2"/>
  <c r="CY51" i="2"/>
  <c r="CY52" i="2"/>
  <c r="CY53" i="2"/>
  <c r="CY54" i="2"/>
  <c r="CY55" i="2"/>
  <c r="CY56" i="2"/>
  <c r="CY57" i="2"/>
  <c r="CY58" i="2"/>
  <c r="CY59" i="2"/>
  <c r="CY60" i="2"/>
  <c r="CY61" i="2"/>
  <c r="CY62" i="2"/>
  <c r="CY63" i="2"/>
  <c r="CY64" i="2"/>
  <c r="CY65" i="2"/>
  <c r="CY66" i="2"/>
  <c r="CY67" i="2"/>
  <c r="CY68" i="2"/>
  <c r="CY69" i="2"/>
  <c r="CY70" i="2"/>
  <c r="CY71" i="2"/>
  <c r="CY72" i="2"/>
  <c r="CY73" i="2"/>
  <c r="CY74" i="2"/>
  <c r="CY75" i="2"/>
  <c r="CY76" i="2"/>
  <c r="CY77" i="2"/>
  <c r="CY78" i="2"/>
  <c r="CY79" i="2"/>
  <c r="CY80" i="2"/>
  <c r="CY81" i="2"/>
  <c r="CY82" i="2"/>
  <c r="CY83" i="2"/>
  <c r="CY84" i="2"/>
  <c r="CY85" i="2"/>
  <c r="CY86" i="2"/>
  <c r="CY87" i="2"/>
  <c r="CY88" i="2"/>
  <c r="CY89" i="2"/>
  <c r="CY90" i="2"/>
  <c r="CY91" i="2"/>
  <c r="CY92" i="2"/>
  <c r="CY93" i="2"/>
  <c r="CY94" i="2"/>
  <c r="CY95" i="2"/>
  <c r="CY96" i="2"/>
  <c r="CY97" i="2"/>
  <c r="CY98" i="2"/>
  <c r="CY99" i="2"/>
  <c r="CY100" i="2"/>
  <c r="CY101" i="2"/>
  <c r="CY102" i="2"/>
  <c r="CY103" i="2"/>
  <c r="CY104" i="2"/>
  <c r="CY105" i="2"/>
  <c r="CY106" i="2"/>
  <c r="CY107" i="2"/>
  <c r="CY108" i="2"/>
  <c r="CY109" i="2"/>
  <c r="CY110" i="2"/>
  <c r="CY111" i="2"/>
  <c r="CY112" i="2"/>
  <c r="CY113" i="2"/>
  <c r="CY114" i="2"/>
  <c r="CY115" i="2"/>
  <c r="CY116" i="2"/>
  <c r="CY117" i="2"/>
  <c r="CY118" i="2"/>
  <c r="CY119" i="2"/>
  <c r="CY120" i="2"/>
  <c r="CY121" i="2"/>
  <c r="CY122" i="2"/>
  <c r="CY123" i="2"/>
  <c r="CY124" i="2"/>
  <c r="CY125" i="2"/>
  <c r="CY126" i="2"/>
  <c r="CY127" i="2"/>
  <c r="CY128" i="2"/>
  <c r="CY129" i="2"/>
  <c r="CY130" i="2"/>
  <c r="CY131" i="2"/>
  <c r="CY132" i="2"/>
  <c r="CY133" i="2"/>
  <c r="CY134" i="2"/>
  <c r="CY135" i="2"/>
  <c r="CY136" i="2"/>
  <c r="CY137" i="2"/>
  <c r="CY138" i="2"/>
  <c r="CY139" i="2"/>
  <c r="CY140" i="2"/>
  <c r="CY141" i="2"/>
  <c r="CY142" i="2"/>
  <c r="CY143" i="2"/>
  <c r="CY144" i="2"/>
  <c r="CY145" i="2"/>
  <c r="CY146" i="2"/>
  <c r="CY147" i="2"/>
  <c r="CY148" i="2"/>
  <c r="CY149" i="2"/>
  <c r="CY150" i="2"/>
  <c r="CY151" i="2"/>
  <c r="CY152" i="2"/>
  <c r="CY153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/>
  <c r="DB108" i="2"/>
  <c r="DB109" i="2"/>
  <c r="DB110" i="2"/>
  <c r="DB111" i="2"/>
  <c r="DB112" i="2"/>
  <c r="DB113" i="2"/>
  <c r="DB114" i="2"/>
  <c r="DB115" i="2"/>
  <c r="DB116" i="2"/>
  <c r="DB117" i="2"/>
  <c r="DB118" i="2"/>
  <c r="DB119" i="2"/>
  <c r="DB120" i="2"/>
  <c r="DB121" i="2"/>
  <c r="DB122" i="2"/>
  <c r="DB123" i="2"/>
  <c r="DB124" i="2"/>
  <c r="DB125" i="2"/>
  <c r="DB126" i="2"/>
  <c r="DB127" i="2"/>
  <c r="DB128" i="2"/>
  <c r="DB129" i="2"/>
  <c r="DB130" i="2"/>
  <c r="DB131" i="2"/>
  <c r="DB132" i="2"/>
  <c r="DB133" i="2"/>
  <c r="DB134" i="2"/>
  <c r="DB135" i="2"/>
  <c r="DB136" i="2"/>
  <c r="DB137" i="2"/>
  <c r="DB138" i="2"/>
  <c r="DB139" i="2"/>
  <c r="DB140" i="2"/>
  <c r="DB141" i="2"/>
  <c r="DB142" i="2"/>
  <c r="DB143" i="2"/>
  <c r="DB144" i="2"/>
  <c r="DB145" i="2"/>
  <c r="DB146" i="2"/>
  <c r="DB147" i="2"/>
  <c r="DB148" i="2"/>
  <c r="DB149" i="2"/>
  <c r="DB150" i="2"/>
  <c r="DB151" i="2"/>
  <c r="DB152" i="2"/>
  <c r="DB153" i="2"/>
  <c r="DC18" i="5"/>
  <c r="CU19" i="2"/>
  <c r="CU20" i="2"/>
  <c r="CU21" i="2"/>
  <c r="CU22" i="2"/>
  <c r="CU23" i="2"/>
  <c r="CU24" i="2"/>
  <c r="CU25" i="2"/>
  <c r="CU26" i="2"/>
  <c r="CU27" i="2"/>
  <c r="CU28" i="2"/>
  <c r="CU29" i="2"/>
  <c r="CU30" i="2"/>
  <c r="CU31" i="2"/>
  <c r="CU32" i="2"/>
  <c r="CU33" i="2"/>
  <c r="CU34" i="2"/>
  <c r="CU35" i="2"/>
  <c r="CU36" i="2"/>
  <c r="CU37" i="2"/>
  <c r="CU38" i="2"/>
  <c r="CU39" i="2"/>
  <c r="CU40" i="2"/>
  <c r="CU41" i="2"/>
  <c r="CU42" i="2"/>
  <c r="CU43" i="2"/>
  <c r="CU44" i="2"/>
  <c r="CU45" i="2"/>
  <c r="CU46" i="2"/>
  <c r="CU47" i="2"/>
  <c r="CU48" i="2"/>
  <c r="CU49" i="2"/>
  <c r="CU50" i="2"/>
  <c r="CU51" i="2"/>
  <c r="CU52" i="2"/>
  <c r="CU53" i="2"/>
  <c r="CU54" i="2"/>
  <c r="CU55" i="2"/>
  <c r="CU56" i="2"/>
  <c r="CU57" i="2"/>
  <c r="CU58" i="2"/>
  <c r="CU59" i="2"/>
  <c r="CU60" i="2"/>
  <c r="CU61" i="2"/>
  <c r="CU62" i="2"/>
  <c r="CU63" i="2"/>
  <c r="CU64" i="2"/>
  <c r="CU65" i="2"/>
  <c r="CU66" i="2"/>
  <c r="CU67" i="2"/>
  <c r="CU68" i="2"/>
  <c r="CU69" i="2"/>
  <c r="CU70" i="2"/>
  <c r="CU71" i="2"/>
  <c r="CU72" i="2"/>
  <c r="CU73" i="2"/>
  <c r="CU74" i="2"/>
  <c r="CU75" i="2"/>
  <c r="CU76" i="2"/>
  <c r="CU77" i="2"/>
  <c r="CU78" i="2"/>
  <c r="CU79" i="2"/>
  <c r="CU80" i="2"/>
  <c r="CU81" i="2"/>
  <c r="CU82" i="2"/>
  <c r="CU83" i="2"/>
  <c r="CU84" i="2"/>
  <c r="CU85" i="2"/>
  <c r="CU86" i="2"/>
  <c r="CU87" i="2"/>
  <c r="CU88" i="2"/>
  <c r="CU89" i="2"/>
  <c r="CU90" i="2"/>
  <c r="CU91" i="2"/>
  <c r="CU92" i="2"/>
  <c r="CU93" i="2"/>
  <c r="CU94" i="2"/>
  <c r="CU95" i="2"/>
  <c r="CU96" i="2"/>
  <c r="CU97" i="2"/>
  <c r="CU98" i="2"/>
  <c r="CU99" i="2"/>
  <c r="CU100" i="2"/>
  <c r="CU101" i="2"/>
  <c r="CU102" i="2"/>
  <c r="CU103" i="2"/>
  <c r="CU104" i="2"/>
  <c r="CU105" i="2"/>
  <c r="CU106" i="2"/>
  <c r="CU107" i="2"/>
  <c r="CU108" i="2"/>
  <c r="CU109" i="2"/>
  <c r="CU110" i="2"/>
  <c r="CU111" i="2"/>
  <c r="CU112" i="2"/>
  <c r="CU113" i="2"/>
  <c r="CU114" i="2"/>
  <c r="CU115" i="2"/>
  <c r="CU116" i="2"/>
  <c r="CU117" i="2"/>
  <c r="CU118" i="2"/>
  <c r="CU119" i="2"/>
  <c r="CU120" i="2"/>
  <c r="CU121" i="2"/>
  <c r="CU122" i="2"/>
  <c r="CU123" i="2"/>
  <c r="CU124" i="2"/>
  <c r="CU125" i="2"/>
  <c r="CU126" i="2"/>
  <c r="CU127" i="2"/>
  <c r="CU128" i="2"/>
  <c r="CU129" i="2"/>
  <c r="CU130" i="2"/>
  <c r="CU131" i="2"/>
  <c r="CU132" i="2"/>
  <c r="CU133" i="2"/>
  <c r="CU134" i="2"/>
  <c r="CU135" i="2"/>
  <c r="CU136" i="2"/>
  <c r="CU137" i="2"/>
  <c r="CU138" i="2"/>
  <c r="CU139" i="2"/>
  <c r="CU140" i="2"/>
  <c r="CU141" i="2"/>
  <c r="CU142" i="2"/>
  <c r="CU143" i="2"/>
  <c r="CU144" i="2"/>
  <c r="CU145" i="2"/>
  <c r="CU146" i="2"/>
  <c r="CU147" i="2"/>
  <c r="CU148" i="2"/>
  <c r="CU149" i="2"/>
  <c r="CU150" i="2"/>
  <c r="CU151" i="2"/>
  <c r="CU152" i="2"/>
  <c r="CU153" i="2"/>
  <c r="CZ18" i="5"/>
  <c r="I33" i="5"/>
  <c r="CV18" i="5"/>
  <c r="I29" i="5"/>
  <c r="CU18" i="5"/>
  <c r="I28" i="5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/>
  <c r="DA108" i="2"/>
  <c r="DA109" i="2"/>
  <c r="DA110" i="2"/>
  <c r="DA111" i="2"/>
  <c r="DA112" i="2"/>
  <c r="DA113" i="2"/>
  <c r="DA114" i="2"/>
  <c r="DA115" i="2"/>
  <c r="DA116" i="2"/>
  <c r="DA117" i="2"/>
  <c r="DA118" i="2"/>
  <c r="DA119" i="2"/>
  <c r="DA120" i="2"/>
  <c r="DA121" i="2"/>
  <c r="DA122" i="2"/>
  <c r="DA123" i="2"/>
  <c r="DA124" i="2"/>
  <c r="DA125" i="2"/>
  <c r="DA126" i="2"/>
  <c r="DA127" i="2"/>
  <c r="DA128" i="2"/>
  <c r="DA129" i="2"/>
  <c r="DA130" i="2"/>
  <c r="DA131" i="2"/>
  <c r="DA132" i="2"/>
  <c r="DA133" i="2"/>
  <c r="DA134" i="2"/>
  <c r="DA135" i="2"/>
  <c r="DA136" i="2"/>
  <c r="DA137" i="2"/>
  <c r="DA138" i="2"/>
  <c r="DA139" i="2"/>
  <c r="DA140" i="2"/>
  <c r="DA141" i="2"/>
  <c r="DA142" i="2"/>
  <c r="DA143" i="2"/>
  <c r="DA144" i="2"/>
  <c r="DA145" i="2"/>
  <c r="DA146" i="2"/>
  <c r="DA147" i="2"/>
  <c r="DA148" i="2"/>
  <c r="DA149" i="2"/>
  <c r="DA150" i="2"/>
  <c r="DA151" i="2"/>
  <c r="DA152" i="2"/>
  <c r="DA153" i="2"/>
  <c r="CW18" i="5"/>
  <c r="I30" i="5"/>
  <c r="DC19" i="2"/>
  <c r="DC20" i="2"/>
  <c r="DC21" i="2"/>
  <c r="DC22" i="2"/>
  <c r="DC23" i="2"/>
  <c r="DC24" i="2"/>
  <c r="DC25" i="2"/>
  <c r="DC26" i="2"/>
  <c r="DC27" i="2"/>
  <c r="DC28" i="2"/>
  <c r="DC29" i="2"/>
  <c r="DC30" i="2"/>
  <c r="DC31" i="2"/>
  <c r="DC32" i="2"/>
  <c r="DC33" i="2"/>
  <c r="DC34" i="2"/>
  <c r="DC35" i="2"/>
  <c r="DC36" i="2"/>
  <c r="DC37" i="2"/>
  <c r="DC38" i="2"/>
  <c r="DC39" i="2"/>
  <c r="DC40" i="2"/>
  <c r="DC41" i="2"/>
  <c r="DC42" i="2"/>
  <c r="DC43" i="2"/>
  <c r="DC44" i="2"/>
  <c r="DC45" i="2"/>
  <c r="DC46" i="2"/>
  <c r="DC47" i="2"/>
  <c r="DC48" i="2"/>
  <c r="DC49" i="2"/>
  <c r="DC50" i="2"/>
  <c r="DC51" i="2"/>
  <c r="DC52" i="2"/>
  <c r="DC53" i="2"/>
  <c r="DC54" i="2"/>
  <c r="DC55" i="2"/>
  <c r="DC56" i="2"/>
  <c r="DC57" i="2"/>
  <c r="DC58" i="2"/>
  <c r="DC59" i="2"/>
  <c r="DC60" i="2"/>
  <c r="DC61" i="2"/>
  <c r="DC62" i="2"/>
  <c r="DC63" i="2"/>
  <c r="DC64" i="2"/>
  <c r="DC65" i="2"/>
  <c r="DC66" i="2"/>
  <c r="DC67" i="2"/>
  <c r="DC68" i="2"/>
  <c r="DC69" i="2"/>
  <c r="DC70" i="2"/>
  <c r="DC71" i="2"/>
  <c r="DC72" i="2"/>
  <c r="DC73" i="2"/>
  <c r="DC74" i="2"/>
  <c r="DC75" i="2"/>
  <c r="DC76" i="2"/>
  <c r="DC77" i="2"/>
  <c r="DC78" i="2"/>
  <c r="DC79" i="2"/>
  <c r="DC80" i="2"/>
  <c r="DC81" i="2"/>
  <c r="DC82" i="2"/>
  <c r="DC83" i="2"/>
  <c r="DC84" i="2"/>
  <c r="DC85" i="2"/>
  <c r="DC86" i="2"/>
  <c r="DC87" i="2"/>
  <c r="DC88" i="2"/>
  <c r="DC89" i="2"/>
  <c r="DC90" i="2"/>
  <c r="DC91" i="2"/>
  <c r="DC92" i="2"/>
  <c r="DC93" i="2"/>
  <c r="DC94" i="2"/>
  <c r="DC95" i="2"/>
  <c r="DC96" i="2"/>
  <c r="DC97" i="2"/>
  <c r="DC98" i="2"/>
  <c r="DC99" i="2"/>
  <c r="DC100" i="2"/>
  <c r="DC101" i="2"/>
  <c r="DC102" i="2"/>
  <c r="DC103" i="2"/>
  <c r="DC104" i="2"/>
  <c r="DC105" i="2"/>
  <c r="DC106" i="2"/>
  <c r="DC107" i="2"/>
  <c r="DC108" i="2"/>
  <c r="DC109" i="2"/>
  <c r="DC110" i="2"/>
  <c r="DC111" i="2"/>
  <c r="DC112" i="2"/>
  <c r="DC113" i="2"/>
  <c r="DC114" i="2"/>
  <c r="DC115" i="2"/>
  <c r="DC116" i="2"/>
  <c r="DC117" i="2"/>
  <c r="DC118" i="2"/>
  <c r="DC119" i="2"/>
  <c r="DC120" i="2"/>
  <c r="DC121" i="2"/>
  <c r="DC122" i="2"/>
  <c r="DC123" i="2"/>
  <c r="DC124" i="2"/>
  <c r="DC125" i="2"/>
  <c r="DC126" i="2"/>
  <c r="DC127" i="2"/>
  <c r="DC128" i="2"/>
  <c r="DC129" i="2"/>
  <c r="DC130" i="2"/>
  <c r="DC131" i="2"/>
  <c r="DC132" i="2"/>
  <c r="DC133" i="2"/>
  <c r="DC134" i="2"/>
  <c r="DC135" i="2"/>
  <c r="DC136" i="2"/>
  <c r="DC137" i="2"/>
  <c r="DC138" i="2"/>
  <c r="DC139" i="2"/>
  <c r="DC140" i="2"/>
  <c r="DC141" i="2"/>
  <c r="DC142" i="2"/>
  <c r="DC143" i="2"/>
  <c r="DC144" i="2"/>
  <c r="DC145" i="2"/>
  <c r="DC146" i="2"/>
  <c r="DC147" i="2"/>
  <c r="DC148" i="2"/>
  <c r="DC149" i="2"/>
  <c r="DC150" i="2"/>
  <c r="DC151" i="2"/>
  <c r="DC152" i="2"/>
  <c r="DC153" i="2"/>
  <c r="CV18" i="2"/>
  <c r="CV155" i="2" s="1"/>
  <c r="V24" i="2"/>
  <c r="CY18" i="5"/>
  <c r="I32" i="5"/>
  <c r="AV157" i="2"/>
  <c r="AX157" i="2" s="1"/>
  <c r="CY155" i="2"/>
  <c r="DC155" i="2"/>
  <c r="CZ155" i="2"/>
  <c r="CW155" i="2"/>
  <c r="DD155" i="2"/>
  <c r="DA155" i="2"/>
  <c r="CX155" i="2"/>
  <c r="DB155" i="2"/>
  <c r="CU155" i="2"/>
  <c r="CT155" i="2"/>
  <c r="AZ156" i="2"/>
  <c r="DJ156" i="2" l="1"/>
  <c r="DN156" i="2"/>
  <c r="DK156" i="2"/>
  <c r="DO156" i="2"/>
  <c r="DL156" i="2"/>
  <c r="DP156" i="2"/>
  <c r="DM156" i="2"/>
  <c r="DQ156" i="2"/>
  <c r="DG156" i="2"/>
  <c r="DI156" i="2"/>
  <c r="DE156" i="2"/>
  <c r="DF156" i="2"/>
  <c r="DH156" i="2"/>
  <c r="CV19" i="2"/>
  <c r="CV20" i="2"/>
  <c r="CV21" i="2"/>
  <c r="CV22" i="2"/>
  <c r="CV23" i="2"/>
  <c r="CV24" i="2"/>
  <c r="CV25" i="2"/>
  <c r="CV26" i="2"/>
  <c r="CV27" i="2"/>
  <c r="CV28" i="2"/>
  <c r="CV29" i="2"/>
  <c r="CV30" i="2"/>
  <c r="CV31" i="2"/>
  <c r="CV32" i="2"/>
  <c r="CV33" i="2"/>
  <c r="CV34" i="2"/>
  <c r="CV35" i="2"/>
  <c r="CV36" i="2"/>
  <c r="CV37" i="2"/>
  <c r="CV38" i="2"/>
  <c r="CV39" i="2"/>
  <c r="CV40" i="2"/>
  <c r="CV41" i="2"/>
  <c r="CV42" i="2"/>
  <c r="CV43" i="2"/>
  <c r="CV44" i="2"/>
  <c r="CV45" i="2"/>
  <c r="CV46" i="2"/>
  <c r="CV47" i="2"/>
  <c r="CV48" i="2"/>
  <c r="CV49" i="2"/>
  <c r="CV50" i="2"/>
  <c r="CV51" i="2"/>
  <c r="CV52" i="2"/>
  <c r="CV53" i="2"/>
  <c r="CV54" i="2"/>
  <c r="CV55" i="2"/>
  <c r="CV56" i="2"/>
  <c r="CV57" i="2"/>
  <c r="CV58" i="2"/>
  <c r="CV59" i="2"/>
  <c r="CV60" i="2"/>
  <c r="CV61" i="2"/>
  <c r="CV62" i="2"/>
  <c r="CV63" i="2"/>
  <c r="CV64" i="2"/>
  <c r="CV65" i="2"/>
  <c r="CV66" i="2"/>
  <c r="CV67" i="2"/>
  <c r="CV68" i="2"/>
  <c r="CV69" i="2"/>
  <c r="CV70" i="2"/>
  <c r="CV71" i="2"/>
  <c r="CV72" i="2"/>
  <c r="CV73" i="2"/>
  <c r="CV74" i="2"/>
  <c r="CV75" i="2"/>
  <c r="CV76" i="2"/>
  <c r="CV77" i="2"/>
  <c r="CV78" i="2"/>
  <c r="CV79" i="2"/>
  <c r="CV80" i="2"/>
  <c r="CV81" i="2"/>
  <c r="CV82" i="2"/>
  <c r="CV83" i="2"/>
  <c r="CV84" i="2"/>
  <c r="CV85" i="2"/>
  <c r="CV86" i="2"/>
  <c r="CV87" i="2"/>
  <c r="CV88" i="2"/>
  <c r="CV89" i="2"/>
  <c r="CV90" i="2"/>
  <c r="CV91" i="2"/>
  <c r="CV92" i="2"/>
  <c r="CV93" i="2"/>
  <c r="CV94" i="2"/>
  <c r="CV95" i="2"/>
  <c r="CV96" i="2"/>
  <c r="CV97" i="2"/>
  <c r="CV98" i="2"/>
  <c r="CV99" i="2"/>
  <c r="CV100" i="2"/>
  <c r="CV101" i="2"/>
  <c r="CV102" i="2"/>
  <c r="CV103" i="2"/>
  <c r="CV104" i="2"/>
  <c r="CV105" i="2"/>
  <c r="CV106" i="2"/>
  <c r="CV107" i="2"/>
  <c r="CV108" i="2"/>
  <c r="CV109" i="2"/>
  <c r="CV110" i="2"/>
  <c r="CV111" i="2"/>
  <c r="CV112" i="2"/>
  <c r="CV113" i="2"/>
  <c r="CV114" i="2"/>
  <c r="CV115" i="2"/>
  <c r="CV116" i="2"/>
  <c r="CV117" i="2"/>
  <c r="CV118" i="2"/>
  <c r="CV119" i="2"/>
  <c r="CV120" i="2"/>
  <c r="CV121" i="2"/>
  <c r="CV122" i="2"/>
  <c r="CV123" i="2"/>
  <c r="CV124" i="2"/>
  <c r="CV125" i="2"/>
  <c r="CV126" i="2"/>
  <c r="CV127" i="2"/>
  <c r="CV128" i="2"/>
  <c r="CV129" i="2"/>
  <c r="CV130" i="2"/>
  <c r="CV131" i="2"/>
  <c r="CV132" i="2"/>
  <c r="CV133" i="2"/>
  <c r="CV134" i="2"/>
  <c r="CV135" i="2"/>
  <c r="CV136" i="2"/>
  <c r="CV137" i="2"/>
  <c r="CV138" i="2"/>
  <c r="CV139" i="2"/>
  <c r="CV140" i="2"/>
  <c r="CV141" i="2"/>
  <c r="CV142" i="2"/>
  <c r="CV143" i="2"/>
  <c r="CV144" i="2"/>
  <c r="CV145" i="2"/>
  <c r="CV146" i="2"/>
  <c r="CV147" i="2"/>
  <c r="CV148" i="2"/>
  <c r="CV149" i="2"/>
  <c r="CV150" i="2"/>
  <c r="CV151" i="2"/>
  <c r="CV152" i="2"/>
  <c r="CV153" i="2"/>
  <c r="CV154" i="2"/>
  <c r="AV158" i="2"/>
  <c r="AX158" i="2" s="1"/>
  <c r="DB156" i="2"/>
  <c r="DC156" i="2"/>
  <c r="CV156" i="2"/>
  <c r="CY156" i="2"/>
  <c r="CZ156" i="2"/>
  <c r="CW156" i="2"/>
  <c r="DD156" i="2"/>
  <c r="DA156" i="2"/>
  <c r="CX156" i="2"/>
  <c r="CU156" i="2"/>
  <c r="CT156" i="2"/>
  <c r="AZ157" i="2"/>
  <c r="DJ157" i="2" l="1"/>
  <c r="DN157" i="2"/>
  <c r="DK157" i="2"/>
  <c r="DO157" i="2"/>
  <c r="DL157" i="2"/>
  <c r="DP157" i="2"/>
  <c r="DQ157" i="2"/>
  <c r="DM157" i="2"/>
  <c r="DF157" i="2"/>
  <c r="DI157" i="2"/>
  <c r="DE157" i="2"/>
  <c r="DG157" i="2"/>
  <c r="DH157" i="2"/>
  <c r="AV159" i="2"/>
  <c r="AX159" i="2" s="1"/>
  <c r="CY157" i="2"/>
  <c r="CV157" i="2"/>
  <c r="DD157" i="2"/>
  <c r="CZ157" i="2"/>
  <c r="CW157" i="2"/>
  <c r="CX157" i="2"/>
  <c r="CU157" i="2"/>
  <c r="DB157" i="2"/>
  <c r="DA157" i="2"/>
  <c r="DC157" i="2"/>
  <c r="CT157" i="2"/>
  <c r="AZ158" i="2"/>
  <c r="DJ158" i="2" l="1"/>
  <c r="DN158" i="2"/>
  <c r="DK158" i="2"/>
  <c r="DO158" i="2"/>
  <c r="DL158" i="2"/>
  <c r="DP158" i="2"/>
  <c r="DM158" i="2"/>
  <c r="DQ158" i="2"/>
  <c r="DE158" i="2"/>
  <c r="DI158" i="2"/>
  <c r="DF158" i="2"/>
  <c r="DG158" i="2"/>
  <c r="DH158" i="2"/>
  <c r="AV160" i="2"/>
  <c r="AX160" i="2" s="1"/>
  <c r="DB158" i="2"/>
  <c r="DC158" i="2"/>
  <c r="CV158" i="2"/>
  <c r="CU158" i="2"/>
  <c r="CZ158" i="2"/>
  <c r="DA158" i="2"/>
  <c r="DD158" i="2"/>
  <c r="CW158" i="2"/>
  <c r="CX158" i="2"/>
  <c r="CY158" i="2"/>
  <c r="CT158" i="2"/>
  <c r="AZ159" i="2"/>
  <c r="DJ159" i="2" l="1"/>
  <c r="DN159" i="2"/>
  <c r="DK159" i="2"/>
  <c r="DO159" i="2"/>
  <c r="DL159" i="2"/>
  <c r="DP159" i="2"/>
  <c r="DM159" i="2"/>
  <c r="DQ159" i="2"/>
  <c r="DI159" i="2"/>
  <c r="DE159" i="2"/>
  <c r="DF159" i="2"/>
  <c r="DG159" i="2"/>
  <c r="DH159" i="2"/>
  <c r="AV161" i="2"/>
  <c r="AX161" i="2" s="1"/>
  <c r="DA159" i="2"/>
  <c r="CX159" i="2"/>
  <c r="DB159" i="2"/>
  <c r="CU159" i="2"/>
  <c r="CY159" i="2"/>
  <c r="CV159" i="2"/>
  <c r="DC159" i="2"/>
  <c r="CZ159" i="2"/>
  <c r="CW159" i="2"/>
  <c r="DD159" i="2"/>
  <c r="CT159" i="2"/>
  <c r="AZ160" i="2"/>
  <c r="DJ160" i="2" l="1"/>
  <c r="DN160" i="2"/>
  <c r="DK160" i="2"/>
  <c r="DO160" i="2"/>
  <c r="DL160" i="2"/>
  <c r="DP160" i="2"/>
  <c r="DM160" i="2"/>
  <c r="DQ160" i="2"/>
  <c r="DG160" i="2"/>
  <c r="DI160" i="2"/>
  <c r="DE160" i="2"/>
  <c r="DF160" i="2"/>
  <c r="DH160" i="2"/>
  <c r="AV162" i="2"/>
  <c r="CU160" i="2"/>
  <c r="DC160" i="2"/>
  <c r="CV160" i="2"/>
  <c r="DD160" i="2"/>
  <c r="CZ160" i="2"/>
  <c r="CW160" i="2"/>
  <c r="CX160" i="2"/>
  <c r="DA160" i="2"/>
  <c r="DB160" i="2"/>
  <c r="CY160" i="2"/>
  <c r="CT160" i="2"/>
  <c r="AZ161" i="2"/>
  <c r="DJ161" i="2" l="1"/>
  <c r="DN161" i="2"/>
  <c r="DK161" i="2"/>
  <c r="DO161" i="2"/>
  <c r="DL161" i="2"/>
  <c r="DP161" i="2"/>
  <c r="DM161" i="2"/>
  <c r="DQ161" i="2"/>
  <c r="DF161" i="2"/>
  <c r="DI161" i="2"/>
  <c r="DE161" i="2"/>
  <c r="DG161" i="2"/>
  <c r="DH161" i="2"/>
  <c r="AX162" i="2"/>
  <c r="AV194" i="2"/>
  <c r="CW161" i="2"/>
  <c r="CX161" i="2"/>
  <c r="DA161" i="2"/>
  <c r="DB161" i="2"/>
  <c r="CY161" i="2"/>
  <c r="CV161" i="2"/>
  <c r="DC161" i="2"/>
  <c r="CZ161" i="2"/>
  <c r="DD161" i="2"/>
  <c r="CU161" i="2"/>
  <c r="CT161" i="2"/>
  <c r="AZ162" i="2"/>
  <c r="DV20" i="2" l="1"/>
  <c r="EA20" i="2"/>
  <c r="DX20" i="2"/>
  <c r="EI20" i="2"/>
  <c r="EK20" i="2"/>
  <c r="EC20" i="2"/>
  <c r="ED20" i="2"/>
  <c r="EO20" i="2"/>
  <c r="EB20" i="2"/>
  <c r="EJ20" i="2"/>
  <c r="EL20" i="2"/>
  <c r="EM20" i="2"/>
  <c r="EG20" i="2"/>
  <c r="EF20" i="2"/>
  <c r="EE20" i="2"/>
  <c r="EH20" i="2"/>
  <c r="EN20" i="2"/>
  <c r="DU20" i="2"/>
  <c r="DY20" i="2"/>
  <c r="DZ20" i="2"/>
  <c r="DW20" i="2"/>
  <c r="DT20" i="2"/>
  <c r="EP20" i="2"/>
  <c r="EH129" i="2"/>
  <c r="EN55" i="2"/>
  <c r="EI137" i="2"/>
  <c r="EG112" i="2"/>
  <c r="DY158" i="2"/>
  <c r="EL124" i="2"/>
  <c r="DV81" i="2"/>
  <c r="EB74" i="2"/>
  <c r="EN98" i="2"/>
  <c r="EM125" i="2"/>
  <c r="DY122" i="2"/>
  <c r="ED38" i="2"/>
  <c r="EJ92" i="2"/>
  <c r="EP62" i="2"/>
  <c r="EA32" i="2"/>
  <c r="ED101" i="2"/>
  <c r="EG104" i="2"/>
  <c r="DU149" i="2"/>
  <c r="DU81" i="2"/>
  <c r="DU90" i="2"/>
  <c r="EC146" i="2"/>
  <c r="EM145" i="2"/>
  <c r="EM127" i="2"/>
  <c r="EM37" i="2"/>
  <c r="ED76" i="2"/>
  <c r="EP109" i="2"/>
  <c r="DU57" i="2"/>
  <c r="EK109" i="2"/>
  <c r="EO57" i="2"/>
  <c r="DY63" i="2"/>
  <c r="EE155" i="2"/>
  <c r="DW98" i="2"/>
  <c r="EI164" i="2"/>
  <c r="EJ137" i="2"/>
  <c r="EO107" i="2"/>
  <c r="EL126" i="2"/>
  <c r="ED163" i="2"/>
  <c r="EK98" i="2"/>
  <c r="EE119" i="2"/>
  <c r="EC132" i="2"/>
  <c r="EL101" i="2"/>
  <c r="EF113" i="2"/>
  <c r="EM141" i="2"/>
  <c r="DU66" i="2"/>
  <c r="DV144" i="2"/>
  <c r="EB144" i="2"/>
  <c r="DU144" i="2"/>
  <c r="EO164" i="2"/>
  <c r="EM82" i="2"/>
  <c r="EG150" i="2"/>
  <c r="DT158" i="2"/>
  <c r="EM90" i="2"/>
  <c r="EH59" i="2"/>
  <c r="EA143" i="2"/>
  <c r="EB85" i="2"/>
  <c r="EN147" i="2"/>
  <c r="EI163" i="2"/>
  <c r="EL27" i="2"/>
  <c r="ED122" i="2"/>
  <c r="DU87" i="2"/>
  <c r="EK40" i="2"/>
  <c r="EF159" i="2"/>
  <c r="DX80" i="2"/>
  <c r="DY129" i="2"/>
  <c r="DX44" i="2"/>
  <c r="EM136" i="2"/>
  <c r="DZ35" i="2"/>
  <c r="DX136" i="2"/>
  <c r="DW156" i="2"/>
  <c r="EJ27" i="2"/>
  <c r="EN122" i="2"/>
  <c r="EK115" i="2"/>
  <c r="DW111" i="2"/>
  <c r="EP112" i="2"/>
  <c r="EP158" i="2"/>
  <c r="EJ124" i="2"/>
  <c r="EH85" i="2"/>
  <c r="EC79" i="2"/>
  <c r="EJ33" i="2"/>
  <c r="EK79" i="2"/>
  <c r="EN33" i="2"/>
  <c r="EL96" i="2"/>
  <c r="DZ42" i="2"/>
  <c r="ED134" i="2"/>
  <c r="EL140" i="2"/>
  <c r="DV157" i="2"/>
  <c r="ED160" i="2"/>
  <c r="EI127" i="2"/>
  <c r="DU145" i="2"/>
  <c r="DZ82" i="2"/>
  <c r="EL161" i="2"/>
  <c r="DX39" i="2"/>
  <c r="EI84" i="2"/>
  <c r="DU61" i="2"/>
  <c r="EF144" i="2"/>
  <c r="DU135" i="2"/>
  <c r="EO148" i="2"/>
  <c r="DU67" i="2"/>
  <c r="EP130" i="2"/>
  <c r="EE146" i="2"/>
  <c r="DT130" i="2"/>
  <c r="DZ51" i="2"/>
  <c r="EM103" i="2"/>
  <c r="EA31" i="2"/>
  <c r="EF88" i="2"/>
  <c r="EJ118" i="2"/>
  <c r="EC95" i="2"/>
  <c r="DU56" i="2"/>
  <c r="EA107" i="2"/>
  <c r="EG137" i="2"/>
  <c r="EI93" i="2"/>
  <c r="EL58" i="2"/>
  <c r="EJ82" i="2"/>
  <c r="DV105" i="2"/>
  <c r="EF148" i="2"/>
  <c r="DT137" i="2"/>
  <c r="DY107" i="2"/>
  <c r="DY163" i="2"/>
  <c r="DZ26" i="2"/>
  <c r="EH118" i="2"/>
  <c r="EB44" i="2"/>
  <c r="DW125" i="2"/>
  <c r="ED37" i="2"/>
  <c r="DY99" i="2"/>
  <c r="DU156" i="2"/>
  <c r="EI91" i="2"/>
  <c r="EE63" i="2"/>
  <c r="EH155" i="2"/>
  <c r="EF35" i="2"/>
  <c r="EN128" i="2"/>
  <c r="DT70" i="2"/>
  <c r="DW76" i="2"/>
  <c r="EA109" i="2"/>
  <c r="DT131" i="2"/>
  <c r="EK47" i="2"/>
  <c r="DW118" i="2"/>
  <c r="EC139" i="2"/>
  <c r="EJ140" i="2"/>
  <c r="EA159" i="2"/>
  <c r="DZ40" i="2"/>
  <c r="DU127" i="2"/>
  <c r="EN41" i="2"/>
  <c r="DX118" i="2"/>
  <c r="EP42" i="2"/>
  <c r="DW150" i="2"/>
  <c r="EP110" i="2"/>
  <c r="DZ74" i="2"/>
  <c r="EN149" i="2"/>
  <c r="EH100" i="2"/>
  <c r="EO117" i="2"/>
  <c r="EF146" i="2"/>
  <c r="EN96" i="2"/>
  <c r="EI46" i="2"/>
  <c r="EB52" i="2"/>
  <c r="DW66" i="2"/>
  <c r="EL36" i="2"/>
  <c r="EE51" i="2"/>
  <c r="DU30" i="2"/>
  <c r="DV141" i="2"/>
  <c r="EL146" i="2"/>
  <c r="EL25" i="2"/>
  <c r="EE77" i="2"/>
  <c r="DZ95" i="2"/>
  <c r="EC64" i="2"/>
  <c r="DU110" i="2"/>
  <c r="EM108" i="2"/>
  <c r="EI102" i="2"/>
  <c r="EB93" i="2"/>
  <c r="EI101" i="2"/>
  <c r="EO139" i="2"/>
  <c r="EC47" i="2"/>
  <c r="EI125" i="2"/>
  <c r="EP97" i="2"/>
  <c r="DX72" i="2"/>
  <c r="EA103" i="2"/>
  <c r="EO111" i="2"/>
  <c r="EG59" i="2"/>
  <c r="DW74" i="2"/>
  <c r="EB29" i="2"/>
  <c r="EP111" i="2"/>
  <c r="EP79" i="2"/>
  <c r="EG30" i="2"/>
  <c r="EA82" i="2"/>
  <c r="DV51" i="2"/>
  <c r="EK30" i="2"/>
  <c r="EK65" i="2"/>
  <c r="DT162" i="2"/>
  <c r="EM94" i="2"/>
  <c r="EE116" i="2"/>
  <c r="EM119" i="2"/>
  <c r="EI68" i="2"/>
  <c r="EN113" i="2"/>
  <c r="EC73" i="2"/>
  <c r="EM131" i="2"/>
  <c r="ED120" i="2"/>
  <c r="DW28" i="2"/>
  <c r="EB86" i="2"/>
  <c r="DX49" i="2"/>
  <c r="EL153" i="2"/>
  <c r="EK59" i="2"/>
  <c r="EI154" i="2"/>
  <c r="EL65" i="2"/>
  <c r="EI72" i="2"/>
  <c r="EE97" i="2"/>
  <c r="EG153" i="2"/>
  <c r="DX62" i="2"/>
  <c r="EL49" i="2"/>
  <c r="EA108" i="2"/>
  <c r="EA149" i="2"/>
  <c r="EH104" i="2"/>
  <c r="EK132" i="2"/>
  <c r="EO149" i="2"/>
  <c r="DX33" i="2"/>
  <c r="DT106" i="2"/>
  <c r="DV121" i="2"/>
  <c r="EO90" i="2"/>
  <c r="EL85" i="2"/>
  <c r="EA76" i="2"/>
  <c r="EE109" i="2"/>
  <c r="EB131" i="2"/>
  <c r="EJ135" i="2"/>
  <c r="DV98" i="2"/>
  <c r="EO101" i="2"/>
  <c r="DY132" i="2"/>
  <c r="EM87" i="2"/>
  <c r="DV130" i="2"/>
  <c r="EG133" i="2"/>
  <c r="EF78" i="2"/>
  <c r="DU55" i="2"/>
  <c r="DX66" i="2"/>
  <c r="EE36" i="2"/>
  <c r="DY144" i="2"/>
  <c r="DX35" i="2"/>
  <c r="DT52" i="2"/>
  <c r="EF118" i="2"/>
  <c r="DY26" i="2"/>
  <c r="DX67" i="2"/>
  <c r="EM77" i="2"/>
  <c r="DT95" i="2"/>
  <c r="DW83" i="2"/>
  <c r="EP136" i="2"/>
  <c r="EL44" i="2"/>
  <c r="EF93" i="2"/>
  <c r="EP51" i="2"/>
  <c r="DW97" i="2"/>
  <c r="DV44" i="2"/>
  <c r="EF136" i="2"/>
  <c r="ED35" i="2"/>
  <c r="EO156" i="2"/>
  <c r="DV88" i="2"/>
  <c r="EN138" i="2"/>
  <c r="EC43" i="2"/>
  <c r="DV58" i="2"/>
  <c r="DU160" i="2"/>
  <c r="EO60" i="2"/>
  <c r="DW152" i="2"/>
  <c r="EF83" i="2"/>
  <c r="EP151" i="2"/>
  <c r="DX98" i="2"/>
  <c r="DV163" i="2"/>
  <c r="EO81" i="2"/>
  <c r="EP90" i="2"/>
  <c r="EK75" i="2"/>
  <c r="EB127" i="2"/>
  <c r="DT50" i="2"/>
  <c r="EI42" i="2"/>
  <c r="EO134" i="2"/>
  <c r="DX76" i="2"/>
  <c r="EO109" i="2"/>
  <c r="EH57" i="2"/>
  <c r="EO127" i="2"/>
  <c r="EL145" i="2"/>
  <c r="EH98" i="2"/>
  <c r="EP26" i="2"/>
  <c r="EA39" i="2"/>
  <c r="EN120" i="2"/>
  <c r="EG28" i="2"/>
  <c r="EP41" i="2"/>
  <c r="EF157" i="2"/>
  <c r="EC45" i="2"/>
  <c r="DT69" i="2"/>
  <c r="DX106" i="2"/>
  <c r="DU121" i="2"/>
  <c r="DY162" i="2"/>
  <c r="EP105" i="2"/>
  <c r="EI30" i="2"/>
  <c r="DT156" i="2"/>
  <c r="EP156" i="2"/>
  <c r="EF104" i="2"/>
  <c r="EB138" i="2"/>
  <c r="EE43" i="2"/>
  <c r="EG89" i="2"/>
  <c r="EG102" i="2"/>
  <c r="EF108" i="2"/>
  <c r="EL110" i="2"/>
  <c r="EP64" i="2"/>
  <c r="ED90" i="2"/>
  <c r="EP93" i="2"/>
  <c r="EK137" i="2"/>
  <c r="DW107" i="2"/>
  <c r="DV48" i="2"/>
  <c r="EF126" i="2"/>
  <c r="EN141" i="2"/>
  <c r="DW162" i="2"/>
  <c r="ED144" i="2"/>
  <c r="EM84" i="2"/>
  <c r="ED87" i="2"/>
  <c r="EI144" i="2"/>
  <c r="DZ53" i="2"/>
  <c r="DZ36" i="2"/>
  <c r="DV66" i="2"/>
  <c r="DW163" i="2"/>
  <c r="DT126" i="2"/>
  <c r="EC117" i="2"/>
  <c r="EH113" i="2"/>
  <c r="EE153" i="2"/>
  <c r="EF62" i="2"/>
  <c r="EI92" i="2"/>
  <c r="EF150" i="2"/>
  <c r="DY58" i="2"/>
  <c r="EE50" i="2"/>
  <c r="EG123" i="2"/>
  <c r="DY31" i="2"/>
  <c r="EO35" i="2"/>
  <c r="EB136" i="2"/>
  <c r="DX37" i="2"/>
  <c r="EN145" i="2"/>
  <c r="EB158" i="2"/>
  <c r="EJ41" i="2"/>
  <c r="DV127" i="2"/>
  <c r="DT43" i="2"/>
  <c r="DY140" i="2"/>
  <c r="EB157" i="2"/>
  <c r="EG160" i="2"/>
  <c r="EF60" i="2"/>
  <c r="EK138" i="2"/>
  <c r="DZ47" i="2"/>
  <c r="EF139" i="2"/>
  <c r="EF163" i="2"/>
  <c r="EI53" i="2"/>
  <c r="DZ65" i="2"/>
  <c r="EE130" i="2"/>
  <c r="EL163" i="2"/>
  <c r="EO126" i="2"/>
  <c r="EO141" i="2"/>
  <c r="EC113" i="2"/>
  <c r="EI51" i="2"/>
  <c r="DX164" i="2"/>
  <c r="EK151" i="2"/>
  <c r="EF25" i="2"/>
  <c r="EE101" i="2"/>
  <c r="EA100" i="2"/>
  <c r="EA55" i="2"/>
  <c r="DY50" i="2"/>
  <c r="EB133" i="2"/>
  <c r="EO125" i="2"/>
  <c r="DT111" i="2"/>
  <c r="DW112" i="2"/>
  <c r="EH124" i="2"/>
  <c r="EC118" i="2"/>
  <c r="DU26" i="2"/>
  <c r="EE67" i="2"/>
  <c r="DY155" i="2"/>
  <c r="EJ63" i="2"/>
  <c r="EG56" i="2"/>
  <c r="EP76" i="2"/>
  <c r="EP125" i="2"/>
  <c r="EO140" i="2"/>
  <c r="EA160" i="2"/>
  <c r="EM45" i="2"/>
  <c r="EK106" i="2"/>
  <c r="DY47" i="2"/>
  <c r="DU139" i="2"/>
  <c r="EN160" i="2"/>
  <c r="EL127" i="2"/>
  <c r="EC28" i="2"/>
  <c r="EL120" i="2"/>
  <c r="EM67" i="2"/>
  <c r="DZ148" i="2"/>
  <c r="EE103" i="2"/>
  <c r="EI50" i="2"/>
  <c r="DX142" i="2"/>
  <c r="DT148" i="2"/>
  <c r="DT151" i="2"/>
  <c r="ED130" i="2"/>
  <c r="EI69" i="2"/>
  <c r="DT100" i="2"/>
  <c r="DZ87" i="2"/>
  <c r="EI35" i="2"/>
  <c r="EP36" i="2"/>
  <c r="EB162" i="2"/>
  <c r="EN144" i="2"/>
  <c r="DY35" i="2"/>
  <c r="EH139" i="2"/>
  <c r="EB47" i="2"/>
  <c r="EA153" i="2"/>
  <c r="EE62" i="2"/>
  <c r="EM92" i="2"/>
  <c r="EN86" i="2"/>
  <c r="DT49" i="2"/>
  <c r="DW153" i="2"/>
  <c r="EK123" i="2"/>
  <c r="EH31" i="2"/>
  <c r="EG117" i="2"/>
  <c r="DW129" i="2"/>
  <c r="EM122" i="2"/>
  <c r="EH47" i="2"/>
  <c r="EM139" i="2"/>
  <c r="EM156" i="2"/>
  <c r="EK72" i="2"/>
  <c r="EB66" i="2"/>
  <c r="EH105" i="2"/>
  <c r="ED78" i="2"/>
  <c r="EO45" i="2"/>
  <c r="DW123" i="2"/>
  <c r="EN90" i="2"/>
  <c r="EI81" i="2"/>
  <c r="EJ144" i="2"/>
  <c r="EF61" i="2"/>
  <c r="EF100" i="2"/>
  <c r="EE55" i="2"/>
  <c r="EK50" i="2"/>
  <c r="DY51" i="2"/>
  <c r="EO54" i="2"/>
  <c r="EK80" i="2"/>
  <c r="EI117" i="2"/>
  <c r="DY54" i="2"/>
  <c r="EB41" i="2"/>
  <c r="EH75" i="2"/>
  <c r="EH87" i="2"/>
  <c r="DW32" i="2"/>
  <c r="EM38" i="2"/>
  <c r="EE44" i="2"/>
  <c r="EG136" i="2"/>
  <c r="EP89" i="2"/>
  <c r="EB54" i="2"/>
  <c r="DZ43" i="2"/>
  <c r="EG138" i="2"/>
  <c r="DZ124" i="2"/>
  <c r="DZ101" i="2"/>
  <c r="EB49" i="2"/>
  <c r="EO86" i="2"/>
  <c r="EJ129" i="2"/>
  <c r="EN88" i="2"/>
  <c r="DY36" i="2"/>
  <c r="ED31" i="2"/>
  <c r="DX131" i="2"/>
  <c r="EF99" i="2"/>
  <c r="EN97" i="2"/>
  <c r="DW139" i="2"/>
  <c r="EI106" i="2"/>
  <c r="EE121" i="2"/>
  <c r="EB26" i="2"/>
  <c r="ED64" i="2"/>
  <c r="EK60" i="2"/>
  <c r="DX152" i="2"/>
  <c r="EL131" i="2"/>
  <c r="EK155" i="2"/>
  <c r="EH154" i="2"/>
  <c r="EJ59" i="2"/>
  <c r="EK61" i="2"/>
  <c r="EK52" i="2"/>
  <c r="DT113" i="2"/>
  <c r="EN161" i="2"/>
  <c r="DU142" i="2"/>
  <c r="EF119" i="2"/>
  <c r="EA73" i="2"/>
  <c r="DV94" i="2"/>
  <c r="EP68" i="2"/>
  <c r="DT98" i="2"/>
  <c r="EF96" i="2"/>
  <c r="DY83" i="2"/>
  <c r="EH52" i="2"/>
  <c r="EO55" i="2"/>
  <c r="EL160" i="2"/>
  <c r="ED157" i="2"/>
  <c r="EA140" i="2"/>
  <c r="DZ121" i="2"/>
  <c r="EC106" i="2"/>
  <c r="EA120" i="2"/>
  <c r="DX86" i="2"/>
  <c r="DY49" i="2"/>
  <c r="DV61" i="2"/>
  <c r="DU102" i="2"/>
  <c r="EC110" i="2"/>
  <c r="EB84" i="2"/>
  <c r="DU128" i="2"/>
  <c r="DY70" i="2"/>
  <c r="EK43" i="2"/>
  <c r="EJ76" i="2"/>
  <c r="DT143" i="2"/>
  <c r="EA24" i="2"/>
  <c r="EG122" i="2"/>
  <c r="DW70" i="2"/>
  <c r="EE26" i="2"/>
  <c r="EN118" i="2"/>
  <c r="EH114" i="2"/>
  <c r="EF133" i="2"/>
  <c r="EC30" i="2"/>
  <c r="EA135" i="2"/>
  <c r="DY98" i="2"/>
  <c r="EO96" i="2"/>
  <c r="EM53" i="2"/>
  <c r="EC66" i="2"/>
  <c r="DV115" i="2"/>
  <c r="EA164" i="2"/>
  <c r="DZ113" i="2"/>
  <c r="EI34" i="2"/>
  <c r="DV46" i="2"/>
  <c r="EO68" i="2"/>
  <c r="ED55" i="2"/>
  <c r="EB110" i="2"/>
  <c r="EG108" i="2"/>
  <c r="DT29" i="2"/>
  <c r="EN74" i="2"/>
  <c r="EA98" i="2"/>
  <c r="DX139" i="2"/>
  <c r="EJ83" i="2"/>
  <c r="DV152" i="2"/>
  <c r="EN60" i="2"/>
  <c r="EC147" i="2"/>
  <c r="EK145" i="2"/>
  <c r="EI75" i="2"/>
  <c r="EJ143" i="2"/>
  <c r="DW24" i="2"/>
  <c r="EC58" i="2"/>
  <c r="DT90" i="2"/>
  <c r="EF38" i="2"/>
  <c r="EA26" i="2"/>
  <c r="ED118" i="2"/>
  <c r="EC120" i="2"/>
  <c r="ED62" i="2"/>
  <c r="EC97" i="2"/>
  <c r="EJ72" i="2"/>
  <c r="EP141" i="2"/>
  <c r="EE141" i="2"/>
  <c r="EH69" i="2"/>
  <c r="DW133" i="2"/>
  <c r="EM126" i="2"/>
  <c r="EA141" i="2"/>
  <c r="DY73" i="2"/>
  <c r="EG131" i="2"/>
  <c r="EH135" i="2"/>
  <c r="EJ146" i="2"/>
  <c r="EM116" i="2"/>
  <c r="EP103" i="2"/>
  <c r="ED50" i="2"/>
  <c r="EG132" i="2"/>
  <c r="EP121" i="2"/>
  <c r="DU106" i="2"/>
  <c r="EK113" i="2"/>
  <c r="EA56" i="2"/>
  <c r="EE75" i="2"/>
  <c r="EF41" i="2"/>
  <c r="EJ62" i="2"/>
  <c r="EA123" i="2"/>
  <c r="EP83" i="2"/>
  <c r="EB80" i="2"/>
  <c r="EG54" i="2"/>
  <c r="EA129" i="2"/>
  <c r="DY88" i="2"/>
  <c r="DU47" i="2"/>
  <c r="EB139" i="2"/>
  <c r="EP153" i="2"/>
  <c r="EK28" i="2"/>
  <c r="DT40" i="2"/>
  <c r="EP159" i="2"/>
  <c r="EM140" i="2"/>
  <c r="DX107" i="2"/>
  <c r="EH44" i="2"/>
  <c r="DT136" i="2"/>
  <c r="DU83" i="2"/>
  <c r="EL89" i="2"/>
  <c r="EP91" i="2"/>
  <c r="EN67" i="2"/>
  <c r="EL93" i="2"/>
  <c r="EN102" i="2"/>
  <c r="DV125" i="2"/>
  <c r="EM88" i="2"/>
  <c r="DX120" i="2"/>
  <c r="DU88" i="2"/>
  <c r="EM65" i="2"/>
  <c r="EE143" i="2"/>
  <c r="EB91" i="2"/>
  <c r="EJ90" i="2"/>
  <c r="EJ81" i="2"/>
  <c r="DY102" i="2"/>
  <c r="DW159" i="2"/>
  <c r="EH95" i="2"/>
  <c r="EG51" i="2"/>
  <c r="EM132" i="2"/>
  <c r="EJ87" i="2"/>
  <c r="DZ66" i="2"/>
  <c r="EL115" i="2"/>
  <c r="DT164" i="2"/>
  <c r="EB141" i="2"/>
  <c r="EM113" i="2"/>
  <c r="DT115" i="2"/>
  <c r="EH148" i="2"/>
  <c r="DX151" i="2"/>
  <c r="EK25" i="2"/>
  <c r="EO142" i="2"/>
  <c r="EP132" i="2"/>
  <c r="DX87" i="2"/>
  <c r="EO114" i="2"/>
  <c r="DZ132" i="2"/>
  <c r="DY104" i="2"/>
  <c r="DZ70" i="2"/>
  <c r="DZ128" i="2"/>
  <c r="EP131" i="2"/>
  <c r="EM43" i="2"/>
  <c r="EO138" i="2"/>
  <c r="EI135" i="2"/>
  <c r="ED56" i="2"/>
  <c r="DY45" i="2"/>
  <c r="EN57" i="2"/>
  <c r="EH112" i="2"/>
  <c r="DU137" i="2"/>
  <c r="EL63" i="2"/>
  <c r="EI128" i="2"/>
  <c r="EO44" i="2"/>
  <c r="EH136" i="2"/>
  <c r="EC83" i="2"/>
  <c r="EC27" i="2"/>
  <c r="EN152" i="2"/>
  <c r="DW59" i="2"/>
  <c r="DX25" i="2"/>
  <c r="EB46" i="2"/>
  <c r="EA68" i="2"/>
  <c r="EB25" i="2"/>
  <c r="DV142" i="2"/>
  <c r="DZ100" i="2"/>
  <c r="DU48" i="2"/>
  <c r="EE61" i="2"/>
  <c r="EE66" i="2"/>
  <c r="EN133" i="2"/>
  <c r="EM30" i="2"/>
  <c r="DT135" i="2"/>
  <c r="EM130" i="2"/>
  <c r="DW141" i="2"/>
  <c r="EH72" i="2"/>
  <c r="EB97" i="2"/>
  <c r="DZ60" i="2"/>
  <c r="EM134" i="2"/>
  <c r="EG42" i="2"/>
  <c r="EC96" i="2"/>
  <c r="DU155" i="2"/>
  <c r="EM76" i="2"/>
  <c r="EG27" i="2"/>
  <c r="DY60" i="2"/>
  <c r="DY124" i="2"/>
  <c r="DT41" i="2"/>
  <c r="EA148" i="2"/>
  <c r="EE105" i="2"/>
  <c r="EL50" i="2"/>
  <c r="EC155" i="2"/>
  <c r="EK63" i="2"/>
  <c r="DV57" i="2"/>
  <c r="EJ109" i="2"/>
  <c r="DU76" i="2"/>
  <c r="EH29" i="2"/>
  <c r="DY149" i="2"/>
  <c r="DY127" i="2"/>
  <c r="DZ145" i="2"/>
  <c r="DT127" i="2"/>
  <c r="DV145" i="2"/>
  <c r="EA130" i="2"/>
  <c r="EC90" i="2"/>
  <c r="EA81" i="2"/>
  <c r="EH28" i="2"/>
  <c r="EK120" i="2"/>
  <c r="EB163" i="2"/>
  <c r="DW26" i="2"/>
  <c r="EG118" i="2"/>
  <c r="EN126" i="2"/>
  <c r="EI48" i="2"/>
  <c r="DY146" i="2"/>
  <c r="EN151" i="2"/>
  <c r="EJ61" i="2"/>
  <c r="EM34" i="2"/>
  <c r="DU126" i="2"/>
  <c r="EN35" i="2"/>
  <c r="DT35" i="2"/>
  <c r="ED126" i="2"/>
  <c r="EN69" i="2"/>
  <c r="DV151" i="2"/>
  <c r="EP137" i="2"/>
  <c r="DT58" i="2"/>
  <c r="EM124" i="2"/>
  <c r="EN81" i="2"/>
  <c r="EK45" i="2"/>
  <c r="EP72" i="2"/>
  <c r="DX108" i="2"/>
  <c r="EL29" i="2"/>
  <c r="EF74" i="2"/>
  <c r="DW114" i="2"/>
  <c r="EB77" i="2"/>
  <c r="EN95" i="2"/>
  <c r="EJ64" i="2"/>
  <c r="EA110" i="2"/>
  <c r="EP108" i="2"/>
  <c r="EC54" i="2"/>
  <c r="DY111" i="2"/>
  <c r="EL95" i="2"/>
  <c r="DU77" i="2"/>
  <c r="EH163" i="2"/>
  <c r="EH93" i="2"/>
  <c r="DT161" i="2"/>
  <c r="EJ125" i="2"/>
  <c r="EG111" i="2"/>
  <c r="EA131" i="2"/>
  <c r="EM152" i="2"/>
  <c r="EA60" i="2"/>
  <c r="DT118" i="2"/>
  <c r="DV26" i="2"/>
  <c r="EG96" i="2"/>
  <c r="EP129" i="2"/>
  <c r="EN155" i="2"/>
  <c r="EF106" i="2"/>
  <c r="EC121" i="2"/>
  <c r="EA106" i="2"/>
  <c r="DW121" i="2"/>
  <c r="EG157" i="2"/>
  <c r="DW160" i="2"/>
  <c r="EK97" i="2"/>
  <c r="DZ141" i="2"/>
  <c r="EB154" i="2"/>
  <c r="EE59" i="2"/>
  <c r="DZ30" i="2"/>
  <c r="EJ51" i="2"/>
  <c r="EO50" i="2"/>
  <c r="EM71" i="2"/>
  <c r="EE84" i="2"/>
  <c r="DY94" i="2"/>
  <c r="EO162" i="2"/>
  <c r="ED65" i="2"/>
  <c r="EI115" i="2"/>
  <c r="EM48" i="2"/>
  <c r="EB48" i="2"/>
  <c r="EJ36" i="2"/>
  <c r="EK144" i="2"/>
  <c r="EF58" i="2"/>
  <c r="EB129" i="2"/>
  <c r="EC26" i="2"/>
  <c r="EJ130" i="2"/>
  <c r="EM72" i="2"/>
  <c r="EI97" i="2"/>
  <c r="EL107" i="2"/>
  <c r="EF24" i="2"/>
  <c r="EM149" i="2"/>
  <c r="DU120" i="2"/>
  <c r="EM115" i="2"/>
  <c r="EL26" i="2"/>
  <c r="DV118" i="2"/>
  <c r="EO124" i="2"/>
  <c r="DU158" i="2"/>
  <c r="DU112" i="2"/>
  <c r="EC150" i="2"/>
  <c r="EA58" i="2"/>
  <c r="EG134" i="2"/>
  <c r="DU89" i="2"/>
  <c r="DV97" i="2"/>
  <c r="EM74" i="2"/>
  <c r="EB76" i="2"/>
  <c r="EH109" i="2"/>
  <c r="EI57" i="2"/>
  <c r="DV111" i="2"/>
  <c r="DU125" i="2"/>
  <c r="EC50" i="2"/>
  <c r="DV93" i="2"/>
  <c r="EF66" i="2"/>
  <c r="EE120" i="2"/>
  <c r="EF147" i="2"/>
  <c r="DX89" i="2"/>
  <c r="EA91" i="2"/>
  <c r="DX159" i="2"/>
  <c r="DW75" i="2"/>
  <c r="EH140" i="2"/>
  <c r="EP157" i="2"/>
  <c r="EE160" i="2"/>
  <c r="DW64" i="2"/>
  <c r="DW89" i="2"/>
  <c r="ED47" i="2"/>
  <c r="DV155" i="2"/>
  <c r="EN115" i="2"/>
  <c r="EN164" i="2"/>
  <c r="ED135" i="2"/>
  <c r="EA114" i="2"/>
  <c r="EE48" i="2"/>
  <c r="EH126" i="2"/>
  <c r="DU52" i="2"/>
  <c r="DV39" i="2"/>
  <c r="EP133" i="2"/>
  <c r="EP78" i="2"/>
  <c r="EA161" i="2"/>
  <c r="DT67" i="2"/>
  <c r="EJ30" i="2"/>
  <c r="EN119" i="2"/>
  <c r="EE162" i="2"/>
  <c r="EB83" i="2"/>
  <c r="EO152" i="2"/>
  <c r="EJ60" i="2"/>
  <c r="EJ26" i="2"/>
  <c r="ED115" i="2"/>
  <c r="EC91" i="2"/>
  <c r="EA89" i="2"/>
  <c r="EB100" i="2"/>
  <c r="DX104" i="2"/>
  <c r="DT149" i="2"/>
  <c r="EK112" i="2"/>
  <c r="DZ138" i="2"/>
  <c r="DY42" i="2"/>
  <c r="EL31" i="2"/>
  <c r="DU123" i="2"/>
  <c r="DV76" i="2"/>
  <c r="DV101" i="2"/>
  <c r="EE147" i="2"/>
  <c r="EC85" i="2"/>
  <c r="EN44" i="2"/>
  <c r="EE125" i="2"/>
  <c r="EM106" i="2"/>
  <c r="EO121" i="2"/>
  <c r="DT34" i="2"/>
  <c r="DW101" i="2"/>
  <c r="EP100" i="2"/>
  <c r="DZ55" i="2"/>
  <c r="DZ161" i="2"/>
  <c r="DY67" i="2"/>
  <c r="DY148" i="2"/>
  <c r="DY135" i="2"/>
  <c r="DU25" i="2"/>
  <c r="DW94" i="2"/>
  <c r="EN84" i="2"/>
  <c r="EG114" i="2"/>
  <c r="EP96" i="2"/>
  <c r="EL53" i="2"/>
  <c r="DU65" i="2"/>
  <c r="EH162" i="2"/>
  <c r="DX30" i="2"/>
  <c r="ED105" i="2"/>
  <c r="EA50" i="2"/>
  <c r="EI59" i="2"/>
  <c r="EC154" i="2"/>
  <c r="EE133" i="2"/>
  <c r="EH145" i="2"/>
  <c r="EJ127" i="2"/>
  <c r="EI157" i="2"/>
  <c r="EE140" i="2"/>
  <c r="EJ86" i="2"/>
  <c r="DU49" i="2"/>
  <c r="EP86" i="2"/>
  <c r="EF127" i="2"/>
  <c r="DX63" i="2"/>
  <c r="EF155" i="2"/>
  <c r="EB37" i="2"/>
  <c r="DV104" i="2"/>
  <c r="EP113" i="2"/>
  <c r="EK32" i="2"/>
  <c r="DX38" i="2"/>
  <c r="EM28" i="2"/>
  <c r="EJ111" i="2"/>
  <c r="EH125" i="2"/>
  <c r="EJ142" i="2"/>
  <c r="EB116" i="2"/>
  <c r="DX161" i="2"/>
  <c r="EG46" i="2"/>
  <c r="EC100" i="2"/>
  <c r="DW103" i="2"/>
  <c r="DW82" i="2"/>
  <c r="EG161" i="2"/>
  <c r="EP52" i="2"/>
  <c r="EL39" i="2"/>
  <c r="ED133" i="2"/>
  <c r="EM78" i="2"/>
  <c r="DT117" i="2"/>
  <c r="DY130" i="2"/>
  <c r="DW48" i="2"/>
  <c r="DX126" i="2"/>
  <c r="EL91" i="2"/>
  <c r="EH89" i="2"/>
  <c r="DZ83" i="2"/>
  <c r="EC152" i="2"/>
  <c r="DX60" i="2"/>
  <c r="DV54" i="2"/>
  <c r="EM32" i="2"/>
  <c r="EL151" i="2"/>
  <c r="EL75" i="2"/>
  <c r="EE41" i="2"/>
  <c r="EE38" i="2"/>
  <c r="EO95" i="2"/>
  <c r="DX77" i="2"/>
  <c r="EK121" i="2"/>
  <c r="DU157" i="2"/>
  <c r="EH164" i="2"/>
  <c r="ED128" i="2"/>
  <c r="EI70" i="2"/>
  <c r="EA150" i="2"/>
  <c r="EK111" i="2"/>
  <c r="EN125" i="2"/>
  <c r="EB101" i="2"/>
  <c r="EI116" i="2"/>
  <c r="EC71" i="2"/>
  <c r="EO66" i="2"/>
  <c r="EG155" i="2"/>
  <c r="EN63" i="2"/>
  <c r="EK41" i="2"/>
  <c r="EP140" i="2"/>
  <c r="DX140" i="2"/>
  <c r="EH157" i="2"/>
  <c r="DT160" i="2"/>
  <c r="EN127" i="2"/>
  <c r="EC145" i="2"/>
  <c r="EG50" i="2"/>
  <c r="EM154" i="2"/>
  <c r="EO59" i="2"/>
  <c r="EH115" i="2"/>
  <c r="EM109" i="2"/>
  <c r="EE30" i="2"/>
  <c r="EO105" i="2"/>
  <c r="DZ73" i="2"/>
  <c r="EB56" i="2"/>
  <c r="EC140" i="2"/>
  <c r="EC137" i="2"/>
  <c r="EM107" i="2"/>
  <c r="EH146" i="2"/>
  <c r="DV32" i="2"/>
  <c r="DY38" i="2"/>
  <c r="DX28" i="2"/>
  <c r="EF120" i="2"/>
  <c r="EE115" i="2"/>
  <c r="EJ80" i="2"/>
  <c r="ED43" i="2"/>
  <c r="DW99" i="2"/>
  <c r="EK78" i="2"/>
  <c r="EJ128" i="2"/>
  <c r="EE70" i="2"/>
  <c r="EJ91" i="2"/>
  <c r="EG124" i="2"/>
  <c r="DY24" i="2"/>
  <c r="EE95" i="2"/>
  <c r="DZ154" i="2"/>
  <c r="EK102" i="2"/>
  <c r="EK42" i="2"/>
  <c r="EB98" i="2"/>
  <c r="EB51" i="2"/>
  <c r="EB30" i="2"/>
  <c r="DW135" i="2"/>
  <c r="EK130" i="2"/>
  <c r="DZ48" i="2"/>
  <c r="EL61" i="2"/>
  <c r="EI100" i="2"/>
  <c r="EM133" i="2"/>
  <c r="DZ78" i="2"/>
  <c r="EO39" i="2"/>
  <c r="EN66" i="2"/>
  <c r="EA51" i="2"/>
  <c r="EP30" i="2"/>
  <c r="EL141" i="2"/>
  <c r="DZ102" i="2"/>
  <c r="DW93" i="2"/>
  <c r="DT61" i="2"/>
  <c r="DV139" i="2"/>
  <c r="EP31" i="2"/>
  <c r="DT65" i="2"/>
  <c r="DY72" i="2"/>
  <c r="EH97" i="2"/>
  <c r="EP38" i="2"/>
  <c r="EN32" i="2"/>
  <c r="EA65" i="2"/>
  <c r="DW110" i="2"/>
  <c r="EM112" i="2"/>
  <c r="EO93" i="2"/>
  <c r="EO102" i="2"/>
  <c r="DX145" i="2"/>
  <c r="EL43" i="2"/>
  <c r="EJ45" i="2"/>
  <c r="DZ56" i="2"/>
  <c r="EM95" i="2"/>
  <c r="EG43" i="2"/>
  <c r="EC74" i="2"/>
  <c r="EG29" i="2"/>
  <c r="EH66" i="2"/>
  <c r="EO67" i="2"/>
  <c r="EK148" i="2"/>
  <c r="EI103" i="2"/>
  <c r="EL66" i="2"/>
  <c r="DT133" i="2"/>
  <c r="EL30" i="2"/>
  <c r="DY65" i="2"/>
  <c r="DY161" i="2"/>
  <c r="EO51" i="2"/>
  <c r="EL116" i="2"/>
  <c r="EA162" i="2"/>
  <c r="EG73" i="2"/>
  <c r="DX83" i="2"/>
  <c r="EI141" i="2"/>
  <c r="EC131" i="2"/>
  <c r="EP152" i="2"/>
  <c r="DV60" i="2"/>
  <c r="EA48" i="2"/>
  <c r="EH91" i="2"/>
  <c r="ED89" i="2"/>
  <c r="DV132" i="2"/>
  <c r="EI104" i="2"/>
  <c r="DW149" i="2"/>
  <c r="DY160" i="2"/>
  <c r="DT157" i="2"/>
  <c r="DY109" i="2"/>
  <c r="DU93" i="2"/>
  <c r="DX45" i="2"/>
  <c r="DW72" i="2"/>
  <c r="EN162" i="2"/>
  <c r="DZ63" i="2"/>
  <c r="EH121" i="2"/>
  <c r="DX74" i="2"/>
  <c r="ED29" i="2"/>
  <c r="EG105" i="2"/>
  <c r="EF79" i="2"/>
  <c r="EK33" i="2"/>
  <c r="DW34" i="2"/>
  <c r="ED94" i="2"/>
  <c r="EB68" i="2"/>
  <c r="DX101" i="2"/>
  <c r="EF116" i="2"/>
  <c r="EB96" i="2"/>
  <c r="DY61" i="2"/>
  <c r="EC84" i="2"/>
  <c r="EI130" i="2"/>
  <c r="DU133" i="2"/>
  <c r="DW78" i="2"/>
  <c r="ED151" i="2"/>
  <c r="EF130" i="2"/>
  <c r="EE52" i="2"/>
  <c r="EE88" i="2"/>
  <c r="EC129" i="2"/>
  <c r="EK86" i="2"/>
  <c r="DW49" i="2"/>
  <c r="EJ94" i="2"/>
  <c r="EL154" i="2"/>
  <c r="EK141" i="2"/>
  <c r="EN72" i="2"/>
  <c r="EG97" i="2"/>
  <c r="DV79" i="2"/>
  <c r="DT74" i="2"/>
  <c r="DZ29" i="2"/>
  <c r="DX47" i="2"/>
  <c r="DY28" i="2"/>
  <c r="EF140" i="2"/>
  <c r="DV56" i="2"/>
  <c r="EA163" i="2"/>
  <c r="EI105" i="2"/>
  <c r="EI65" i="2"/>
  <c r="EP48" i="2"/>
  <c r="EH61" i="2"/>
  <c r="EN39" i="2"/>
  <c r="DW161" i="2"/>
  <c r="DY27" i="2"/>
  <c r="EH122" i="2"/>
  <c r="DX24" i="2"/>
  <c r="EC76" i="2"/>
  <c r="DV67" i="2"/>
  <c r="EN93" i="2"/>
  <c r="EK44" i="2"/>
  <c r="DV136" i="2"/>
  <c r="DU35" i="2"/>
  <c r="EE79" i="2"/>
  <c r="DZ33" i="2"/>
  <c r="EH133" i="2"/>
  <c r="EL55" i="2"/>
  <c r="EK125" i="2"/>
  <c r="EH111" i="2"/>
  <c r="EM97" i="2"/>
  <c r="EP134" i="2"/>
  <c r="EC62" i="2"/>
  <c r="EO153" i="2"/>
  <c r="DZ31" i="2"/>
  <c r="EE123" i="2"/>
  <c r="EK34" i="2"/>
  <c r="EO150" i="2"/>
  <c r="EN76" i="2"/>
  <c r="EC40" i="2"/>
  <c r="DX112" i="2"/>
  <c r="DT88" i="2"/>
  <c r="ED114" i="2"/>
  <c r="ED32" i="2"/>
  <c r="EG38" i="2"/>
  <c r="EI118" i="2"/>
  <c r="EC159" i="2"/>
  <c r="EI111" i="2"/>
  <c r="EG125" i="2"/>
  <c r="EL136" i="2"/>
  <c r="EO49" i="2"/>
  <c r="EN64" i="2"/>
  <c r="EG49" i="2"/>
  <c r="DY86" i="2"/>
  <c r="EA146" i="2"/>
  <c r="EE163" i="2"/>
  <c r="EG126" i="2"/>
  <c r="ED141" i="2"/>
  <c r="DW69" i="2"/>
  <c r="ED25" i="2"/>
  <c r="EI142" i="2"/>
  <c r="ED132" i="2"/>
  <c r="EL69" i="2"/>
  <c r="DW144" i="2"/>
  <c r="EK53" i="2"/>
  <c r="EC87" i="2"/>
  <c r="EN114" i="2"/>
  <c r="EP163" i="2"/>
  <c r="DW53" i="2"/>
  <c r="DY68" i="2"/>
  <c r="DY134" i="2"/>
  <c r="EJ96" i="2"/>
  <c r="ED33" i="2"/>
  <c r="ED79" i="2"/>
  <c r="DW30" i="2"/>
  <c r="EF105" i="2"/>
  <c r="EE82" i="2"/>
  <c r="EP59" i="2"/>
  <c r="EP154" i="2"/>
  <c r="EM36" i="2"/>
  <c r="EG26" i="2"/>
  <c r="DT64" i="2"/>
  <c r="EC60" i="2"/>
  <c r="EB152" i="2"/>
  <c r="EK131" i="2"/>
  <c r="DT59" i="2"/>
  <c r="EB109" i="2"/>
  <c r="DV41" i="2"/>
  <c r="DX75" i="2"/>
  <c r="EN111" i="2"/>
  <c r="EK27" i="2"/>
  <c r="DT124" i="2"/>
  <c r="DZ158" i="2"/>
  <c r="DZ112" i="2"/>
  <c r="EN87" i="2"/>
  <c r="ED82" i="2"/>
  <c r="EM101" i="2"/>
  <c r="EH116" i="2"/>
  <c r="EO87" i="2"/>
  <c r="EF114" i="2"/>
  <c r="EC163" i="2"/>
  <c r="EG78" i="2"/>
  <c r="EH39" i="2"/>
  <c r="DT66" i="2"/>
  <c r="EH141" i="2"/>
  <c r="EM96" i="2"/>
  <c r="DY53" i="2"/>
  <c r="EI36" i="2"/>
  <c r="EF102" i="2"/>
  <c r="DZ93" i="2"/>
  <c r="DZ142" i="2"/>
  <c r="EA139" i="2"/>
  <c r="EA47" i="2"/>
  <c r="DW68" i="2"/>
  <c r="EA88" i="2"/>
  <c r="DZ129" i="2"/>
  <c r="EJ54" i="2"/>
  <c r="EF80" i="2"/>
  <c r="DX116" i="2"/>
  <c r="DW29" i="2"/>
  <c r="EH74" i="2"/>
  <c r="EM49" i="2"/>
  <c r="EL41" i="2"/>
  <c r="EN75" i="2"/>
  <c r="EM81" i="2"/>
  <c r="EP124" i="2"/>
  <c r="DV158" i="2"/>
  <c r="EA112" i="2"/>
  <c r="EN143" i="2"/>
  <c r="DW90" i="2"/>
  <c r="EJ31" i="2"/>
  <c r="DY123" i="2"/>
  <c r="EN163" i="2"/>
  <c r="EO78" i="2"/>
  <c r="EE151" i="2"/>
  <c r="EL98" i="2"/>
  <c r="DY78" i="2"/>
  <c r="EG162" i="2"/>
  <c r="EK142" i="2"/>
  <c r="EJ132" i="2"/>
  <c r="DV135" i="2"/>
  <c r="DX73" i="2"/>
  <c r="EL94" i="2"/>
  <c r="EL68" i="2"/>
  <c r="EF161" i="2"/>
  <c r="EJ57" i="2"/>
  <c r="EE33" i="2"/>
  <c r="DZ79" i="2"/>
  <c r="DV160" i="2"/>
  <c r="EN157" i="2"/>
  <c r="EG143" i="2"/>
  <c r="DU92" i="2"/>
  <c r="EB75" i="2"/>
  <c r="EE60" i="2"/>
  <c r="EH131" i="2"/>
  <c r="EM47" i="2"/>
  <c r="EK139" i="2"/>
  <c r="DT82" i="2"/>
  <c r="DY74" i="2"/>
  <c r="EC29" i="2"/>
  <c r="EL92" i="2"/>
  <c r="EF56" i="2"/>
  <c r="EF64" i="2"/>
  <c r="EM110" i="2"/>
  <c r="EB118" i="2"/>
  <c r="EM137" i="2"/>
  <c r="DX95" i="2"/>
  <c r="DT51" i="2"/>
  <c r="EF26" i="2"/>
  <c r="EM118" i="2"/>
  <c r="EI108" i="2"/>
  <c r="EI110" i="2"/>
  <c r="EG64" i="2"/>
  <c r="DW79" i="2"/>
  <c r="EO29" i="2"/>
  <c r="EO79" i="2"/>
  <c r="DV74" i="2"/>
  <c r="DT47" i="2"/>
  <c r="DZ139" i="2"/>
  <c r="EK108" i="2"/>
  <c r="EJ24" i="2"/>
  <c r="EB105" i="2"/>
  <c r="EC164" i="2"/>
  <c r="EG92" i="2"/>
  <c r="DY40" i="2"/>
  <c r="EB122" i="2"/>
  <c r="EF27" i="2"/>
  <c r="EH161" i="2"/>
  <c r="EC61" i="2"/>
  <c r="DW84" i="2"/>
  <c r="EG55" i="2"/>
  <c r="EJ50" i="2"/>
  <c r="EM51" i="2"/>
  <c r="EK117" i="2"/>
  <c r="EC101" i="2"/>
  <c r="DV116" i="2"/>
  <c r="EK146" i="2"/>
  <c r="EE25" i="2"/>
  <c r="EG57" i="2"/>
  <c r="ED100" i="2"/>
  <c r="ED85" i="2"/>
  <c r="EM147" i="2"/>
  <c r="EO48" i="2"/>
  <c r="DW43" i="2"/>
  <c r="EH101" i="2"/>
  <c r="EC125" i="2"/>
  <c r="EF111" i="2"/>
  <c r="EI112" i="2"/>
  <c r="ED158" i="2"/>
  <c r="EN124" i="2"/>
  <c r="ED86" i="2"/>
  <c r="EE107" i="2"/>
  <c r="EF90" i="2"/>
  <c r="EL81" i="2"/>
  <c r="EN70" i="2"/>
  <c r="EE127" i="2"/>
  <c r="ED95" i="2"/>
  <c r="DY77" i="2"/>
  <c r="EI145" i="2"/>
  <c r="EE80" i="2"/>
  <c r="DY57" i="2"/>
  <c r="EH128" i="2"/>
  <c r="DV86" i="2"/>
  <c r="EE96" i="2"/>
  <c r="EL84" i="2"/>
  <c r="EP107" i="2"/>
  <c r="EE137" i="2"/>
  <c r="EC116" i="2"/>
  <c r="DW104" i="2"/>
  <c r="EL149" i="2"/>
  <c r="ED70" i="2"/>
  <c r="DX128" i="2"/>
  <c r="EF153" i="2"/>
  <c r="DX81" i="2"/>
  <c r="EF152" i="2"/>
  <c r="DX154" i="2"/>
  <c r="DV59" i="2"/>
  <c r="EC75" i="2"/>
  <c r="DY159" i="2"/>
  <c r="EE81" i="2"/>
  <c r="EI90" i="2"/>
  <c r="EI162" i="2"/>
  <c r="EG120" i="2"/>
  <c r="ED28" i="2"/>
  <c r="EH86" i="2"/>
  <c r="ED49" i="2"/>
  <c r="DZ46" i="2"/>
  <c r="EL112" i="2"/>
  <c r="EO104" i="2"/>
  <c r="EA154" i="2"/>
  <c r="EC59" i="2"/>
  <c r="DW154" i="2"/>
  <c r="DY59" i="2"/>
  <c r="EH144" i="2"/>
  <c r="EA105" i="2"/>
  <c r="EG148" i="2"/>
  <c r="ED63" i="2"/>
  <c r="EJ155" i="2"/>
  <c r="ED124" i="2"/>
  <c r="DX158" i="2"/>
  <c r="DV112" i="2"/>
  <c r="DU39" i="2"/>
  <c r="EF52" i="2"/>
  <c r="DY25" i="2"/>
  <c r="EF69" i="2"/>
  <c r="EC148" i="2"/>
  <c r="ED67" i="2"/>
  <c r="EH82" i="2"/>
  <c r="EJ52" i="2"/>
  <c r="EG36" i="2"/>
  <c r="DX65" i="2"/>
  <c r="EO119" i="2"/>
  <c r="ED51" i="2"/>
  <c r="EL134" i="2"/>
  <c r="EI149" i="2"/>
  <c r="EO47" i="2"/>
  <c r="EH77" i="2"/>
  <c r="DX124" i="2"/>
  <c r="ED106" i="2"/>
  <c r="DX105" i="2"/>
  <c r="EP94" i="2"/>
  <c r="DW47" i="2"/>
  <c r="EK83" i="2"/>
  <c r="DY152" i="2"/>
  <c r="DT60" i="2"/>
  <c r="EA118" i="2"/>
  <c r="DT26" i="2"/>
  <c r="EO133" i="2"/>
  <c r="EM44" i="2"/>
  <c r="EB125" i="2"/>
  <c r="EI122" i="2"/>
  <c r="EM27" i="2"/>
  <c r="EM102" i="2"/>
  <c r="EF31" i="2"/>
  <c r="EN83" i="2"/>
  <c r="EI60" i="2"/>
  <c r="DW54" i="2"/>
  <c r="DT80" i="2"/>
  <c r="DU116" i="2"/>
  <c r="EN91" i="2"/>
  <c r="EF89" i="2"/>
  <c r="EF160" i="2"/>
  <c r="DW146" i="2"/>
  <c r="DT32" i="2"/>
  <c r="EA38" i="2"/>
  <c r="EP32" i="2"/>
  <c r="DV38" i="2"/>
  <c r="DU72" i="2"/>
  <c r="DY151" i="2"/>
  <c r="EG31" i="2"/>
  <c r="EN123" i="2"/>
  <c r="EC57" i="2"/>
  <c r="EN49" i="2"/>
  <c r="EH117" i="2"/>
  <c r="DZ164" i="2"/>
  <c r="EI98" i="2"/>
  <c r="DV119" i="2"/>
  <c r="DV83" i="2"/>
  <c r="EL73" i="2"/>
  <c r="EE164" i="2"/>
  <c r="EI78" i="2"/>
  <c r="EG164" i="2"/>
  <c r="DY66" i="2"/>
  <c r="DZ64" i="2"/>
  <c r="DZ88" i="2"/>
  <c r="EB38" i="2"/>
  <c r="EJ105" i="2"/>
  <c r="EO157" i="2"/>
  <c r="EI140" i="2"/>
  <c r="EB59" i="2"/>
  <c r="DX143" i="2"/>
  <c r="EP63" i="2"/>
  <c r="DX155" i="2"/>
  <c r="EB124" i="2"/>
  <c r="EJ158" i="2"/>
  <c r="EO112" i="2"/>
  <c r="DT56" i="2"/>
  <c r="EI71" i="2"/>
  <c r="DY90" i="2"/>
  <c r="DW71" i="2"/>
  <c r="EN31" i="2"/>
  <c r="EL42" i="2"/>
  <c r="ED96" i="2"/>
  <c r="EK147" i="2"/>
  <c r="DX85" i="2"/>
  <c r="DZ127" i="2"/>
  <c r="EB145" i="2"/>
  <c r="EA144" i="2"/>
  <c r="DU138" i="2"/>
  <c r="DU43" i="2"/>
  <c r="DZ156" i="2"/>
  <c r="EJ152" i="2"/>
  <c r="DY128" i="2"/>
  <c r="EB58" i="2"/>
  <c r="EP85" i="2"/>
  <c r="EN26" i="2"/>
  <c r="DU118" i="2"/>
  <c r="DX40" i="2"/>
  <c r="DT33" i="2"/>
  <c r="DU97" i="2"/>
  <c r="EB72" i="2"/>
  <c r="EB87" i="2"/>
  <c r="EH143" i="2"/>
  <c r="DY91" i="2"/>
  <c r="EL74" i="2"/>
  <c r="EF50" i="2"/>
  <c r="EG142" i="2"/>
  <c r="EE132" i="2"/>
  <c r="EF87" i="2"/>
  <c r="EF98" i="2"/>
  <c r="EK163" i="2"/>
  <c r="EK126" i="2"/>
  <c r="EM52" i="2"/>
  <c r="DZ98" i="2"/>
  <c r="EG115" i="2"/>
  <c r="ED148" i="2"/>
  <c r="DY69" i="2"/>
  <c r="EE142" i="2"/>
  <c r="EL132" i="2"/>
  <c r="EG135" i="2"/>
  <c r="EE54" i="2"/>
  <c r="DZ80" i="2"/>
  <c r="EK36" i="2"/>
  <c r="DV91" i="2"/>
  <c r="ED69" i="2"/>
  <c r="ED40" i="2"/>
  <c r="EB159" i="2"/>
  <c r="EF85" i="2"/>
  <c r="DX147" i="2"/>
  <c r="EH67" i="2"/>
  <c r="EI159" i="2"/>
  <c r="EM89" i="2"/>
  <c r="EE134" i="2"/>
  <c r="EH58" i="2"/>
  <c r="EM150" i="2"/>
  <c r="EC109" i="2"/>
  <c r="EB128" i="2"/>
  <c r="ED149" i="2"/>
  <c r="EK104" i="2"/>
  <c r="DW116" i="2"/>
  <c r="EL162" i="2"/>
  <c r="EO32" i="2"/>
  <c r="DW38" i="2"/>
  <c r="DV113" i="2"/>
  <c r="DW73" i="2"/>
  <c r="EK46" i="2"/>
  <c r="EA36" i="2"/>
  <c r="EE113" i="2"/>
  <c r="EE34" i="2"/>
  <c r="ED142" i="2"/>
  <c r="DT116" i="2"/>
  <c r="DU146" i="2"/>
  <c r="EL144" i="2"/>
  <c r="EL87" i="2"/>
  <c r="DW130" i="2"/>
  <c r="DW67" i="2"/>
  <c r="EB148" i="2"/>
  <c r="EC135" i="2"/>
  <c r="EF81" i="2"/>
  <c r="EN146" i="2"/>
  <c r="EO145" i="2"/>
  <c r="DX127" i="2"/>
  <c r="EK57" i="2"/>
  <c r="EL109" i="2"/>
  <c r="EO76" i="2"/>
  <c r="EJ134" i="2"/>
  <c r="DX42" i="2"/>
  <c r="DW25" i="2"/>
  <c r="EL59" i="2"/>
  <c r="EG154" i="2"/>
  <c r="EE76" i="2"/>
  <c r="DV24" i="2"/>
  <c r="DZ90" i="2"/>
  <c r="DY81" i="2"/>
  <c r="EN105" i="2"/>
  <c r="ED159" i="2"/>
  <c r="DZ44" i="2"/>
  <c r="EI136" i="2"/>
  <c r="DV102" i="2"/>
  <c r="DV120" i="2"/>
  <c r="ED138" i="2"/>
  <c r="EA43" i="2"/>
  <c r="ED73" i="2"/>
  <c r="EL46" i="2"/>
  <c r="EH36" i="2"/>
  <c r="EA69" i="2"/>
  <c r="EH96" i="2"/>
  <c r="EA46" i="2"/>
  <c r="EK68" i="2"/>
  <c r="DT71" i="2"/>
  <c r="EO163" i="2"/>
  <c r="DZ52" i="2"/>
  <c r="EI82" i="2"/>
  <c r="DZ115" i="2"/>
  <c r="DV148" i="2"/>
  <c r="EL103" i="2"/>
  <c r="DU98" i="2"/>
  <c r="EG103" i="2"/>
  <c r="EN40" i="2"/>
  <c r="EO159" i="2"/>
  <c r="EN54" i="2"/>
  <c r="EH80" i="2"/>
  <c r="DZ68" i="2"/>
  <c r="DU27" i="2"/>
  <c r="EI55" i="2"/>
  <c r="EL159" i="2"/>
  <c r="EH64" i="2"/>
  <c r="EI28" i="2"/>
  <c r="EA77" i="2"/>
  <c r="EE106" i="2"/>
  <c r="DW27" i="2"/>
  <c r="DX58" i="2"/>
  <c r="EM160" i="2"/>
  <c r="DX109" i="2"/>
  <c r="DW57" i="2"/>
  <c r="DV124" i="2"/>
  <c r="EO72" i="2"/>
  <c r="EC122" i="2"/>
  <c r="EO27" i="2"/>
  <c r="EJ73" i="2"/>
  <c r="EM61" i="2"/>
  <c r="DY84" i="2"/>
  <c r="EG39" i="2"/>
  <c r="ED104" i="2"/>
  <c r="EG149" i="2"/>
  <c r="EJ42" i="2"/>
  <c r="EN62" i="2"/>
  <c r="EO97" i="2"/>
  <c r="DV72" i="2"/>
  <c r="EE117" i="2"/>
  <c r="DV154" i="2"/>
  <c r="ED59" i="2"/>
  <c r="DZ57" i="2"/>
  <c r="DT128" i="2"/>
  <c r="DV149" i="2"/>
  <c r="EO155" i="2"/>
  <c r="DZ81" i="2"/>
  <c r="EB90" i="2"/>
  <c r="EF107" i="2"/>
  <c r="DZ45" i="2"/>
  <c r="EI73" i="2"/>
  <c r="EB42" i="2"/>
  <c r="EF134" i="2"/>
  <c r="EJ28" i="2"/>
  <c r="EP120" i="2"/>
  <c r="EA78" i="2"/>
  <c r="EN79" i="2"/>
  <c r="EF33" i="2"/>
  <c r="EE124" i="2"/>
  <c r="DW88" i="2"/>
  <c r="ED74" i="2"/>
  <c r="DY37" i="2"/>
  <c r="EL76" i="2"/>
  <c r="DU109" i="2"/>
  <c r="DT57" i="2"/>
  <c r="EC77" i="2"/>
  <c r="EM158" i="2"/>
  <c r="EI41" i="2"/>
  <c r="EM75" i="2"/>
  <c r="EC143" i="2"/>
  <c r="EA59" i="2"/>
  <c r="EF124" i="2"/>
  <c r="EG158" i="2"/>
  <c r="EC112" i="2"/>
  <c r="EG71" i="2"/>
  <c r="EJ34" i="2"/>
  <c r="EH142" i="2"/>
  <c r="EE148" i="2"/>
  <c r="EH119" i="2"/>
  <c r="EL114" i="2"/>
  <c r="EN48" i="2"/>
  <c r="DT83" i="2"/>
  <c r="EJ103" i="2"/>
  <c r="EO82" i="2"/>
  <c r="EN25" i="2"/>
  <c r="EL52" i="2"/>
  <c r="DY55" i="2"/>
  <c r="EE161" i="2"/>
  <c r="EJ67" i="2"/>
  <c r="DY30" i="2"/>
  <c r="DU75" i="2"/>
  <c r="DU41" i="2"/>
  <c r="DT36" i="2"/>
  <c r="EN129" i="2"/>
  <c r="EL37" i="2"/>
  <c r="EG99" i="2"/>
  <c r="EC156" i="2"/>
  <c r="EI27" i="2"/>
  <c r="EE122" i="2"/>
  <c r="EK87" i="2"/>
  <c r="EK89" i="2"/>
  <c r="EC102" i="2"/>
  <c r="DV108" i="2"/>
  <c r="EE110" i="2"/>
  <c r="EI64" i="2"/>
  <c r="EI49" i="2"/>
  <c r="EE128" i="2"/>
  <c r="EH137" i="2"/>
  <c r="EP60" i="2"/>
  <c r="DW77" i="2"/>
  <c r="EA156" i="2"/>
  <c r="EL99" i="2"/>
  <c r="EF37" i="2"/>
  <c r="EK39" i="2"/>
  <c r="EE46" i="2"/>
  <c r="EH68" i="2"/>
  <c r="EI39" i="2"/>
  <c r="EC67" i="2"/>
  <c r="EJ148" i="2"/>
  <c r="EE69" i="2"/>
  <c r="DV161" i="2"/>
  <c r="EA57" i="2"/>
  <c r="EB135" i="2"/>
  <c r="EF162" i="2"/>
  <c r="DX163" i="2"/>
  <c r="EC78" i="2"/>
  <c r="EE65" i="2"/>
  <c r="EG70" i="2"/>
  <c r="EC128" i="2"/>
  <c r="EC107" i="2"/>
  <c r="DX137" i="2"/>
  <c r="EN71" i="2"/>
  <c r="EH40" i="2"/>
  <c r="EJ159" i="2"/>
  <c r="EO85" i="2"/>
  <c r="DY147" i="2"/>
  <c r="EC161" i="2"/>
  <c r="DZ134" i="2"/>
  <c r="DW42" i="2"/>
  <c r="DW108" i="2"/>
  <c r="EF154" i="2"/>
  <c r="ED137" i="2"/>
  <c r="EN107" i="2"/>
  <c r="EE28" i="2"/>
  <c r="EI155" i="2"/>
  <c r="EN156" i="2"/>
  <c r="DV147" i="2"/>
  <c r="EA85" i="2"/>
  <c r="DV33" i="2"/>
  <c r="DV106" i="2"/>
  <c r="DX121" i="2"/>
  <c r="EJ113" i="2"/>
  <c r="EE144" i="2"/>
  <c r="EP53" i="2"/>
  <c r="EB117" i="2"/>
  <c r="EM162" i="2"/>
  <c r="EO73" i="2"/>
  <c r="EH46" i="2"/>
  <c r="DX84" i="2"/>
  <c r="EI114" i="2"/>
  <c r="EH48" i="2"/>
  <c r="EI83" i="2"/>
  <c r="EN103" i="2"/>
  <c r="ED98" i="2"/>
  <c r="EK101" i="2"/>
  <c r="EJ116" i="2"/>
  <c r="DZ119" i="2"/>
  <c r="EI37" i="2"/>
  <c r="DT99" i="2"/>
  <c r="EJ75" i="2"/>
  <c r="EH41" i="2"/>
  <c r="DU73" i="2"/>
  <c r="DZ24" i="2"/>
  <c r="DV143" i="2"/>
  <c r="DZ37" i="2"/>
  <c r="DU99" i="2"/>
  <c r="EN140" i="2"/>
  <c r="EF44" i="2"/>
  <c r="EO33" i="2"/>
  <c r="DX46" i="2"/>
  <c r="EL147" i="2"/>
  <c r="EA37" i="2"/>
  <c r="EN47" i="2"/>
  <c r="EL79" i="2"/>
  <c r="EH33" i="2"/>
  <c r="DW157" i="2"/>
  <c r="EF137" i="2"/>
  <c r="EE149" i="2"/>
  <c r="DY115" i="2"/>
  <c r="EL164" i="2"/>
  <c r="DT119" i="2"/>
  <c r="EE98" i="2"/>
  <c r="DV133" i="2"/>
  <c r="EN78" i="2"/>
  <c r="DV117" i="2"/>
  <c r="EG69" i="2"/>
  <c r="DX125" i="2"/>
  <c r="DU111" i="2"/>
  <c r="EO143" i="2"/>
  <c r="DU86" i="2"/>
  <c r="EB108" i="2"/>
  <c r="EH110" i="2"/>
  <c r="EL64" i="2"/>
  <c r="EG95" i="2"/>
  <c r="EL77" i="2"/>
  <c r="DT55" i="2"/>
  <c r="EB106" i="2"/>
  <c r="ED121" i="2"/>
  <c r="EI124" i="2"/>
  <c r="EL104" i="2"/>
  <c r="DY131" i="2"/>
  <c r="EH152" i="2"/>
  <c r="EE112" i="2"/>
  <c r="EM42" i="2"/>
  <c r="EP143" i="2"/>
  <c r="DU24" i="2"/>
  <c r="EI161" i="2"/>
  <c r="EI58" i="2"/>
  <c r="DV150" i="2"/>
  <c r="EG156" i="2"/>
  <c r="EK99" i="2"/>
  <c r="EP37" i="2"/>
  <c r="EG127" i="2"/>
  <c r="DX43" i="2"/>
  <c r="DZ147" i="2"/>
  <c r="DV63" i="2"/>
  <c r="DU28" i="2"/>
  <c r="EM120" i="2"/>
  <c r="EC126" i="2"/>
  <c r="DT108" i="2"/>
  <c r="EB40" i="2"/>
  <c r="EA138" i="2"/>
  <c r="EF43" i="2"/>
  <c r="EO41" i="2"/>
  <c r="EE86" i="2"/>
  <c r="EA92" i="2"/>
  <c r="EM62" i="2"/>
  <c r="EM153" i="2"/>
  <c r="EB119" i="2"/>
  <c r="ED66" i="2"/>
  <c r="EB67" i="2"/>
  <c r="EO30" i="2"/>
  <c r="EI151" i="2"/>
  <c r="DZ146" i="2"/>
  <c r="EM25" i="2"/>
  <c r="EI61" i="2"/>
  <c r="EJ151" i="2"/>
  <c r="EB130" i="2"/>
  <c r="DT146" i="2"/>
  <c r="EJ100" i="2"/>
  <c r="DV87" i="2"/>
  <c r="EH53" i="2"/>
  <c r="DV107" i="2"/>
  <c r="EA137" i="2"/>
  <c r="EI126" i="2"/>
  <c r="DZ120" i="2"/>
  <c r="EO28" i="2"/>
  <c r="EH81" i="2"/>
  <c r="EG90" i="2"/>
  <c r="EK162" i="2"/>
  <c r="EG145" i="2"/>
  <c r="EA127" i="2"/>
  <c r="DU53" i="2"/>
  <c r="EO118" i="2"/>
  <c r="EN45" i="2"/>
  <c r="EL111" i="2"/>
  <c r="ED125" i="2"/>
  <c r="EG40" i="2"/>
  <c r="DY80" i="2"/>
  <c r="DX57" i="2"/>
  <c r="EJ49" i="2"/>
  <c r="EF86" i="2"/>
  <c r="EL125" i="2"/>
  <c r="EA27" i="2"/>
  <c r="DV45" i="2"/>
  <c r="DX56" i="2"/>
  <c r="DX61" i="2"/>
  <c r="DU100" i="2"/>
  <c r="EM55" i="2"/>
  <c r="EB61" i="2"/>
  <c r="DY100" i="2"/>
  <c r="DY103" i="2"/>
  <c r="EF82" i="2"/>
  <c r="DZ144" i="2"/>
  <c r="EB36" i="2"/>
  <c r="EF67" i="2"/>
  <c r="ED30" i="2"/>
  <c r="EH65" i="2"/>
  <c r="EK114" i="2"/>
  <c r="EI133" i="2"/>
  <c r="DY75" i="2"/>
  <c r="DX41" i="2"/>
  <c r="EO84" i="2"/>
  <c r="EI88" i="2"/>
  <c r="EO129" i="2"/>
  <c r="EK37" i="2"/>
  <c r="EP99" i="2"/>
  <c r="EE156" i="2"/>
  <c r="EN27" i="2"/>
  <c r="DU122" i="2"/>
  <c r="EA119" i="2"/>
  <c r="ED155" i="2"/>
  <c r="DX31" i="2"/>
  <c r="EL138" i="2"/>
  <c r="EI86" i="2"/>
  <c r="EE49" i="2"/>
  <c r="EA86" i="2"/>
  <c r="EL33" i="2"/>
  <c r="DZ118" i="2"/>
  <c r="EL45" i="2"/>
  <c r="EN56" i="2"/>
  <c r="DW140" i="2"/>
  <c r="DW63" i="2"/>
  <c r="EP81" i="2"/>
  <c r="DW58" i="2"/>
  <c r="DZ150" i="2"/>
  <c r="EN82" i="2"/>
  <c r="EN101" i="2"/>
  <c r="EG116" i="2"/>
  <c r="EO71" i="2"/>
  <c r="EO34" i="2"/>
  <c r="EC115" i="2"/>
  <c r="EL148" i="2"/>
  <c r="EH151" i="2"/>
  <c r="DZ25" i="2"/>
  <c r="DY142" i="2"/>
  <c r="DT132" i="2"/>
  <c r="DX162" i="2"/>
  <c r="EM144" i="2"/>
  <c r="DW35" i="2"/>
  <c r="EF65" i="2"/>
  <c r="EK69" i="2"/>
  <c r="DV126" i="2"/>
  <c r="DT120" i="2"/>
  <c r="EA28" i="2"/>
  <c r="EC134" i="2"/>
  <c r="DV42" i="2"/>
  <c r="DY62" i="2"/>
  <c r="EE92" i="2"/>
  <c r="DZ86" i="2"/>
  <c r="DZ41" i="2"/>
  <c r="ED111" i="2"/>
  <c r="EA125" i="2"/>
  <c r="EK66" i="2"/>
  <c r="EI74" i="2"/>
  <c r="EN29" i="2"/>
  <c r="EL156" i="2"/>
  <c r="EA99" i="2"/>
  <c r="EL143" i="2"/>
  <c r="EP43" i="2"/>
  <c r="EA102" i="2"/>
  <c r="EK93" i="2"/>
  <c r="EJ160" i="2"/>
  <c r="EK26" i="2"/>
  <c r="DY157" i="2"/>
  <c r="DV27" i="2"/>
  <c r="EH108" i="2"/>
  <c r="EJ110" i="2"/>
  <c r="DU64" i="2"/>
  <c r="EG159" i="2"/>
  <c r="EJ40" i="2"/>
  <c r="EK74" i="2"/>
  <c r="DZ96" i="2"/>
  <c r="EO31" i="2"/>
  <c r="EA29" i="2"/>
  <c r="EJ58" i="2"/>
  <c r="EF110" i="2"/>
  <c r="EN106" i="2"/>
  <c r="DV28" i="2"/>
  <c r="DY120" i="2"/>
  <c r="EC70" i="2"/>
  <c r="EB103" i="2"/>
  <c r="EA80" i="2"/>
  <c r="ED54" i="2"/>
  <c r="DX96" i="2"/>
  <c r="EG61" i="2"/>
  <c r="DT39" i="2"/>
  <c r="DX34" i="2"/>
  <c r="EF51" i="2"/>
  <c r="DV30" i="2"/>
  <c r="EK73" i="2"/>
  <c r="DX119" i="2"/>
  <c r="EB146" i="2"/>
  <c r="EF48" i="2"/>
  <c r="DY46" i="2"/>
  <c r="DW100" i="2"/>
  <c r="EG81" i="2"/>
  <c r="EH90" i="2"/>
  <c r="DT114" i="2"/>
  <c r="EF145" i="2"/>
  <c r="ED127" i="2"/>
  <c r="DW131" i="2"/>
  <c r="DW109" i="2"/>
  <c r="EH60" i="2"/>
  <c r="DW134" i="2"/>
  <c r="EM26" i="2"/>
  <c r="EK48" i="2"/>
  <c r="DW124" i="2"/>
  <c r="DV40" i="2"/>
  <c r="EG144" i="2"/>
  <c r="DT105" i="2"/>
  <c r="EK164" i="2"/>
  <c r="DU60" i="2"/>
  <c r="ED145" i="2"/>
  <c r="DT122" i="2"/>
  <c r="EB27" i="2"/>
  <c r="EE138" i="2"/>
  <c r="EH54" i="2"/>
  <c r="EK76" i="2"/>
  <c r="EG109" i="2"/>
  <c r="EB57" i="2"/>
  <c r="DY114" i="2"/>
  <c r="EK67" i="2"/>
  <c r="DZ103" i="2"/>
  <c r="EE56" i="2"/>
  <c r="EA45" i="2"/>
  <c r="EN85" i="2"/>
  <c r="DW147" i="2"/>
  <c r="EL133" i="2"/>
  <c r="DV43" i="2"/>
  <c r="EP138" i="2"/>
  <c r="DT77" i="2"/>
  <c r="DU32" i="2"/>
  <c r="EJ131" i="2"/>
  <c r="EF49" i="2"/>
  <c r="EC86" i="2"/>
  <c r="DX88" i="2"/>
  <c r="EE108" i="2"/>
  <c r="DT155" i="2"/>
  <c r="EG63" i="2"/>
  <c r="EF164" i="2"/>
  <c r="EL105" i="2"/>
  <c r="EL34" i="2"/>
  <c r="EM59" i="2"/>
  <c r="ED154" i="2"/>
  <c r="DV99" i="2"/>
  <c r="EE53" i="2"/>
  <c r="EM128" i="2"/>
  <c r="EF70" i="2"/>
  <c r="DW128" i="2"/>
  <c r="EA70" i="2"/>
  <c r="EK149" i="2"/>
  <c r="EA104" i="2"/>
  <c r="EA90" i="2"/>
  <c r="ED81" i="2"/>
  <c r="DY56" i="2"/>
  <c r="EF135" i="2"/>
  <c r="EA66" i="2"/>
  <c r="EP71" i="2"/>
  <c r="EN116" i="2"/>
  <c r="EB161" i="2"/>
  <c r="EO65" i="2"/>
  <c r="EH30" i="2"/>
  <c r="EJ133" i="2"/>
  <c r="EB39" i="2"/>
  <c r="DX69" i="2"/>
  <c r="DV162" i="2"/>
  <c r="EG25" i="2"/>
  <c r="DX36" i="2"/>
  <c r="EN42" i="2"/>
  <c r="EB123" i="2"/>
  <c r="ED112" i="2"/>
  <c r="EA113" i="2"/>
  <c r="EO158" i="2"/>
  <c r="EE37" i="2"/>
  <c r="DY154" i="2"/>
  <c r="EG100" i="2"/>
  <c r="EN104" i="2"/>
  <c r="EJ149" i="2"/>
  <c r="EI54" i="2"/>
  <c r="EC80" i="2"/>
  <c r="DT141" i="2"/>
  <c r="DZ91" i="2"/>
  <c r="DV89" i="2"/>
  <c r="DT85" i="2"/>
  <c r="EO136" i="2"/>
  <c r="EA71" i="2"/>
  <c r="EB32" i="2"/>
  <c r="DT38" i="2"/>
  <c r="DT123" i="2"/>
  <c r="DT129" i="2"/>
  <c r="EF54" i="2"/>
  <c r="EG80" i="2"/>
  <c r="EI132" i="2"/>
  <c r="EN43" i="2"/>
  <c r="EI138" i="2"/>
  <c r="EJ119" i="2"/>
  <c r="EJ56" i="2"/>
  <c r="EH45" i="2"/>
  <c r="EO147" i="2"/>
  <c r="DV95" i="2"/>
  <c r="EF28" i="2"/>
  <c r="DU136" i="2"/>
  <c r="EB126" i="2"/>
  <c r="EJ120" i="2"/>
  <c r="EJ126" i="2"/>
  <c r="EL137" i="2"/>
  <c r="DV123" i="2"/>
  <c r="EJ161" i="2"/>
  <c r="ED58" i="2"/>
  <c r="EI150" i="2"/>
  <c r="EB92" i="2"/>
  <c r="EH62" i="2"/>
  <c r="EJ153" i="2"/>
  <c r="DW113" i="2"/>
  <c r="DY117" i="2"/>
  <c r="DV35" i="2"/>
  <c r="EC48" i="2"/>
  <c r="EH130" i="2"/>
  <c r="EE100" i="2"/>
  <c r="EF142" i="2"/>
  <c r="EH34" i="2"/>
  <c r="ED117" i="2"/>
  <c r="EC151" i="2"/>
  <c r="DZ151" i="2"/>
  <c r="EO69" i="2"/>
  <c r="EJ35" i="2"/>
  <c r="ED123" i="2"/>
  <c r="EO37" i="2"/>
  <c r="EJ88" i="2"/>
  <c r="EB121" i="2"/>
  <c r="DT45" i="2"/>
  <c r="DT134" i="2"/>
  <c r="EE42" i="2"/>
  <c r="EL102" i="2"/>
  <c r="DT154" i="2"/>
  <c r="EB63" i="2"/>
  <c r="EE90" i="2"/>
  <c r="EB81" i="2"/>
  <c r="DW45" i="2"/>
  <c r="DW56" i="2"/>
  <c r="DZ135" i="2"/>
  <c r="EJ89" i="2"/>
  <c r="EM91" i="2"/>
  <c r="EC65" i="2"/>
  <c r="EK158" i="2"/>
  <c r="EN117" i="2"/>
  <c r="DT72" i="2"/>
  <c r="EL97" i="2"/>
  <c r="EB24" i="2"/>
  <c r="EK56" i="2"/>
  <c r="DZ149" i="2"/>
  <c r="EE104" i="2"/>
  <c r="DZ116" i="2"/>
  <c r="EH138" i="2"/>
  <c r="EP35" i="2"/>
  <c r="EA128" i="2"/>
  <c r="EH70" i="2"/>
  <c r="DV129" i="2"/>
  <c r="EN139" i="2"/>
  <c r="EG47" i="2"/>
  <c r="EH150" i="2"/>
  <c r="EC108" i="2"/>
  <c r="EN110" i="2"/>
  <c r="DT112" i="2"/>
  <c r="DW122" i="2"/>
  <c r="EO26" i="2"/>
  <c r="DX123" i="2"/>
  <c r="EJ108" i="2"/>
  <c r="EL24" i="2"/>
  <c r="EM142" i="2"/>
  <c r="EG85" i="2"/>
  <c r="EJ39" i="2"/>
  <c r="DT25" i="2"/>
  <c r="ED61" i="2"/>
  <c r="EL100" i="2"/>
  <c r="EK71" i="2"/>
  <c r="EM66" i="2"/>
  <c r="DU163" i="2"/>
  <c r="EA53" i="2"/>
  <c r="DY71" i="2"/>
  <c r="EB50" i="2"/>
  <c r="EC142" i="2"/>
  <c r="DW117" i="2"/>
  <c r="ED113" i="2"/>
  <c r="EH25" i="2"/>
  <c r="EB142" i="2"/>
  <c r="EM148" i="2"/>
  <c r="EH27" i="2"/>
  <c r="M52" i="2" s="1"/>
  <c r="EK122" i="2"/>
  <c r="EA87" i="2"/>
  <c r="EL40" i="2"/>
  <c r="DT159" i="2"/>
  <c r="DY64" i="2"/>
  <c r="DX110" i="2"/>
  <c r="ED108" i="2"/>
  <c r="EP29" i="2"/>
  <c r="EJ74" i="2"/>
  <c r="EJ98" i="2"/>
  <c r="EP45" i="2"/>
  <c r="EO91" i="2"/>
  <c r="DV140" i="2"/>
  <c r="EC157" i="2"/>
  <c r="EI160" i="2"/>
  <c r="DX92" i="2"/>
  <c r="EE154" i="2"/>
  <c r="EI63" i="2"/>
  <c r="EL155" i="2"/>
  <c r="ED80" i="2"/>
  <c r="EC44" i="2"/>
  <c r="EI44" i="2"/>
  <c r="EK136" i="2"/>
  <c r="EN53" i="2"/>
  <c r="DX141" i="2"/>
  <c r="DU162" i="2"/>
  <c r="DY133" i="2"/>
  <c r="EH78" i="2"/>
  <c r="EM117" i="2"/>
  <c r="DU113" i="2"/>
  <c r="DV73" i="2"/>
  <c r="DU131" i="2"/>
  <c r="DY119" i="2"/>
  <c r="EI146" i="2"/>
  <c r="EL113" i="2"/>
  <c r="DX103" i="2"/>
  <c r="DV34" i="2"/>
  <c r="DU101" i="2"/>
  <c r="DY33" i="2"/>
  <c r="DT79" i="2"/>
  <c r="DX153" i="2"/>
  <c r="DV62" i="2"/>
  <c r="EH76" i="2"/>
  <c r="DV70" i="2"/>
  <c r="ED83" i="2"/>
  <c r="EO137" i="2"/>
  <c r="EM114" i="2"/>
  <c r="EP24" i="2"/>
  <c r="EN38" i="2"/>
  <c r="EI109" i="2"/>
  <c r="EC51" i="2"/>
  <c r="DY85" i="2"/>
  <c r="DU38" i="2"/>
  <c r="EM79" i="2"/>
  <c r="DY95" i="2"/>
  <c r="ED77" i="2"/>
  <c r="EK107" i="2"/>
  <c r="DU147" i="2"/>
  <c r="EL35" i="2"/>
  <c r="EF128" i="2"/>
  <c r="EM70" i="2"/>
  <c r="ED162" i="2"/>
  <c r="DZ133" i="2"/>
  <c r="EJ78" i="2"/>
  <c r="EG151" i="2"/>
  <c r="EE114" i="2"/>
  <c r="EO144" i="2"/>
  <c r="EF53" i="2"/>
  <c r="EC36" i="2"/>
  <c r="EI66" i="2"/>
  <c r="EP126" i="2"/>
  <c r="EJ55" i="2"/>
  <c r="DW50" i="2"/>
  <c r="EJ46" i="2"/>
  <c r="DT84" i="2"/>
  <c r="DZ71" i="2"/>
  <c r="EB112" i="2"/>
  <c r="EA158" i="2"/>
  <c r="DU124" i="2"/>
  <c r="EJ122" i="2"/>
  <c r="ED119" i="2"/>
  <c r="EF77" i="2"/>
  <c r="DW95" i="2"/>
  <c r="DX64" i="2"/>
  <c r="EG110" i="2"/>
  <c r="EL108" i="2"/>
  <c r="DU85" i="2"/>
  <c r="ED39" i="2"/>
  <c r="EH38" i="2"/>
  <c r="EN150" i="2"/>
  <c r="DU129" i="2"/>
  <c r="DZ111" i="2"/>
  <c r="DT145" i="2"/>
  <c r="EE29" i="2"/>
  <c r="EN158" i="2"/>
  <c r="EH132" i="2"/>
  <c r="EK54" i="2"/>
  <c r="EC35" i="2"/>
  <c r="EG52" i="2"/>
  <c r="EI147" i="2"/>
  <c r="DU115" i="2"/>
  <c r="DW145" i="2"/>
  <c r="EC92" i="2"/>
  <c r="EM31" i="2"/>
  <c r="EP123" i="2"/>
  <c r="EE57" i="2"/>
  <c r="EP49" i="2"/>
  <c r="DW86" i="2"/>
  <c r="DZ76" i="2"/>
  <c r="DV109" i="2"/>
  <c r="EP57" i="2"/>
  <c r="EA63" i="2"/>
  <c r="EL118" i="2"/>
  <c r="EG33" i="2"/>
  <c r="EB79" i="2"/>
  <c r="DV137" i="2"/>
  <c r="EK160" i="2"/>
  <c r="DU140" i="2"/>
  <c r="DX157" i="2"/>
  <c r="EC160" i="2"/>
  <c r="DY79" i="2"/>
  <c r="EP33" i="2"/>
  <c r="EO113" i="2"/>
  <c r="DT121" i="2"/>
  <c r="ED45" i="2"/>
  <c r="DT91" i="2"/>
  <c r="EI29" i="2"/>
  <c r="EB149" i="2"/>
  <c r="EH127" i="2"/>
  <c r="EJ145" i="2"/>
  <c r="DZ109" i="2"/>
  <c r="EC93" i="2"/>
  <c r="EN112" i="2"/>
  <c r="DT93" i="2"/>
  <c r="DT102" i="2"/>
  <c r="EE24" i="2"/>
  <c r="EI139" i="2"/>
  <c r="EI45" i="2"/>
  <c r="EP56" i="2"/>
  <c r="DW61" i="2"/>
  <c r="EP25" i="2"/>
  <c r="EO94" i="2"/>
  <c r="DU84" i="2"/>
  <c r="DT87" i="2"/>
  <c r="DZ114" i="2"/>
  <c r="EH94" i="2"/>
  <c r="EG68" i="2"/>
  <c r="EJ71" i="2"/>
  <c r="DZ163" i="2"/>
  <c r="DY126" i="2"/>
  <c r="DV52" i="2"/>
  <c r="EI113" i="2"/>
  <c r="EG34" i="2"/>
  <c r="EC162" i="2"/>
  <c r="EG24" i="2"/>
  <c r="EN37" i="2"/>
  <c r="ED99" i="2"/>
  <c r="DV156" i="2"/>
  <c r="EK150" i="2"/>
  <c r="EK58" i="2"/>
  <c r="EM73" i="2"/>
  <c r="EN77" i="2"/>
  <c r="EF95" i="2"/>
  <c r="DV68" i="2"/>
  <c r="DU107" i="2"/>
  <c r="DZ159" i="2"/>
  <c r="EE40" i="2"/>
  <c r="EC89" i="2"/>
  <c r="EP122" i="2"/>
  <c r="EL70" i="2"/>
  <c r="EH42" i="2"/>
  <c r="EK134" i="2"/>
  <c r="EE152" i="2"/>
  <c r="DX32" i="2"/>
  <c r="EK129" i="2"/>
  <c r="EL88" i="2"/>
  <c r="DW52" i="2"/>
  <c r="EO52" i="2"/>
  <c r="EA96" i="2"/>
  <c r="EE35" i="2"/>
  <c r="EC52" i="2"/>
  <c r="DW55" i="2"/>
  <c r="ED34" i="2"/>
  <c r="EB94" i="2"/>
  <c r="EC69" i="2"/>
  <c r="EP142" i="2"/>
  <c r="EI148" i="2"/>
  <c r="EK135" i="2"/>
  <c r="EB82" i="2"/>
  <c r="EL67" i="2"/>
  <c r="DY164" i="2"/>
  <c r="EI43" i="2"/>
  <c r="DY138" i="2"/>
  <c r="EP135" i="2"/>
  <c r="EC56" i="2"/>
  <c r="EB45" i="2"/>
  <c r="EK124" i="2"/>
  <c r="EK81" i="2"/>
  <c r="EL90" i="2"/>
  <c r="DV146" i="2"/>
  <c r="EH107" i="2"/>
  <c r="DW137" i="2"/>
  <c r="EM111" i="2"/>
  <c r="EF59" i="2"/>
  <c r="ED42" i="2"/>
  <c r="EH134" i="2"/>
  <c r="EB120" i="2"/>
  <c r="DW158" i="2"/>
  <c r="EH88" i="2"/>
  <c r="ED68" i="2"/>
  <c r="DU104" i="2"/>
  <c r="EP161" i="2"/>
  <c r="DZ105" i="2"/>
  <c r="DU78" i="2"/>
  <c r="EG65" i="2"/>
  <c r="EL130" i="2"/>
  <c r="EJ115" i="2"/>
  <c r="EM164" i="2"/>
  <c r="DV69" i="2"/>
  <c r="EC144" i="2"/>
  <c r="EB35" i="2"/>
  <c r="EP87" i="2"/>
  <c r="EP114" i="2"/>
  <c r="DY39" i="2"/>
  <c r="EN68" i="2"/>
  <c r="ED71" i="2"/>
  <c r="DT73" i="2"/>
  <c r="EE94" i="2"/>
  <c r="EK84" i="2"/>
  <c r="EL150" i="2"/>
  <c r="EN58" i="2"/>
  <c r="DU34" i="2"/>
  <c r="EF143" i="2"/>
  <c r="EC153" i="2"/>
  <c r="EB62" i="2"/>
  <c r="DY150" i="2"/>
  <c r="DU58" i="2"/>
  <c r="DU161" i="2"/>
  <c r="EN136" i="2"/>
  <c r="EK157" i="2"/>
  <c r="EI129" i="2"/>
  <c r="ED88" i="2"/>
  <c r="EP84" i="2"/>
  <c r="ED97" i="2"/>
  <c r="DT139" i="2"/>
  <c r="EL106" i="2"/>
  <c r="EN121" i="2"/>
  <c r="EP160" i="2"/>
  <c r="DT31" i="2"/>
  <c r="EO63" i="2"/>
  <c r="EB155" i="2"/>
  <c r="EP50" i="2"/>
  <c r="EG94" i="2"/>
  <c r="DY87" i="2"/>
  <c r="EC82" i="2"/>
  <c r="EF115" i="2"/>
  <c r="EP164" i="2"/>
  <c r="EF151" i="2"/>
  <c r="EA152" i="2"/>
  <c r="EK143" i="2"/>
  <c r="EO24" i="2"/>
  <c r="DZ39" i="2"/>
  <c r="DY106" i="2"/>
  <c r="DY121" i="2"/>
  <c r="EI87" i="2"/>
  <c r="EJ32" i="2"/>
  <c r="DU45" i="2"/>
  <c r="DX91" i="2"/>
  <c r="EO70" i="2"/>
  <c r="EK128" i="2"/>
  <c r="EO100" i="2"/>
  <c r="EF158" i="2"/>
  <c r="EN134" i="2"/>
  <c r="EN154" i="2"/>
  <c r="DT75" i="2"/>
  <c r="DX99" i="2"/>
  <c r="EG37" i="2"/>
  <c r="DX97" i="2"/>
  <c r="ED72" i="2"/>
  <c r="DX117" i="2"/>
  <c r="DW138" i="2"/>
  <c r="EE131" i="2"/>
  <c r="EE85" i="2"/>
  <c r="EI79" i="2"/>
  <c r="EM33" i="2"/>
  <c r="EM86" i="2"/>
  <c r="DZ110" i="2"/>
  <c r="EN52" i="2"/>
  <c r="EL80" i="2"/>
  <c r="EM54" i="2"/>
  <c r="ED75" i="2"/>
  <c r="DY108" i="2"/>
  <c r="ED143" i="2"/>
  <c r="EH24" i="2"/>
  <c r="EK94" i="2"/>
  <c r="EE39" i="2"/>
  <c r="DY34" i="2"/>
  <c r="DY101" i="2"/>
  <c r="EO132" i="2"/>
  <c r="EC119" i="2"/>
  <c r="DX146" i="2"/>
  <c r="DT101" i="2"/>
  <c r="EK116" i="2"/>
  <c r="EH103" i="2"/>
  <c r="DX48" i="2"/>
  <c r="EO61" i="2"/>
  <c r="DX100" i="2"/>
  <c r="EP39" i="2"/>
  <c r="EJ66" i="2"/>
  <c r="DV65" i="2"/>
  <c r="EE72" i="2"/>
  <c r="EA97" i="2"/>
  <c r="EC38" i="2"/>
  <c r="DZ32" i="2"/>
  <c r="EA33" i="2"/>
  <c r="EJ79" i="2"/>
  <c r="EN153" i="2"/>
  <c r="EL62" i="2"/>
  <c r="EF92" i="2"/>
  <c r="EJ38" i="2"/>
  <c r="DU108" i="2"/>
  <c r="EO56" i="2"/>
  <c r="DY43" i="2"/>
  <c r="DX138" i="2"/>
  <c r="DW92" i="2"/>
  <c r="EI62" i="2"/>
  <c r="DY153" i="2"/>
  <c r="DU80" i="2"/>
  <c r="EO128" i="2"/>
  <c r="EO89" i="2"/>
  <c r="DT48" i="2"/>
  <c r="DU46" i="2"/>
  <c r="EG141" i="2"/>
  <c r="EP162" i="2"/>
  <c r="DY48" i="2"/>
  <c r="EN61" i="2"/>
  <c r="DY52" i="2"/>
  <c r="EF55" i="2"/>
  <c r="EA126" i="2"/>
  <c r="EA117" i="2"/>
  <c r="EC34" i="2"/>
  <c r="DZ67" i="2"/>
  <c r="DW148" i="2"/>
  <c r="DW87" i="2"/>
  <c r="EH55" i="2"/>
  <c r="EM40" i="2"/>
  <c r="EH159" i="2"/>
  <c r="EM85" i="2"/>
  <c r="EH147" i="2"/>
  <c r="EP46" i="2"/>
  <c r="DY29" i="2"/>
  <c r="DU74" i="2"/>
  <c r="DZ34" i="2"/>
  <c r="DT125" i="2"/>
  <c r="EJ95" i="2"/>
  <c r="EA116" i="2"/>
  <c r="DZ104" i="2"/>
  <c r="EC127" i="2"/>
  <c r="EH43" i="2"/>
  <c r="DY92" i="2"/>
  <c r="EO62" i="2"/>
  <c r="EI153" i="2"/>
  <c r="EH158" i="2"/>
  <c r="DY32" i="2"/>
  <c r="DZ89" i="2"/>
  <c r="ED91" i="2"/>
  <c r="DZ28" i="2"/>
  <c r="DZ155" i="2"/>
  <c r="EK156" i="2"/>
  <c r="EO99" i="2"/>
  <c r="DT37" i="2"/>
  <c r="EM46" i="2"/>
  <c r="EF36" i="2"/>
  <c r="DY113" i="2"/>
  <c r="DV50" i="2"/>
  <c r="EP101" i="2"/>
  <c r="EP116" i="2"/>
  <c r="EP146" i="2"/>
  <c r="EI25" i="2"/>
  <c r="EL57" i="2"/>
  <c r="EN135" i="2"/>
  <c r="EC130" i="2"/>
  <c r="EA67" i="2"/>
  <c r="DW164" i="2"/>
  <c r="DW151" i="2"/>
  <c r="EO38" i="2"/>
  <c r="EL32" i="2"/>
  <c r="EM69" i="2"/>
  <c r="ED107" i="2"/>
  <c r="EH102" i="2"/>
  <c r="EE93" i="2"/>
  <c r="EK153" i="2"/>
  <c r="DV49" i="2"/>
  <c r="EM104" i="2"/>
  <c r="DV138" i="2"/>
  <c r="EB43" i="2"/>
  <c r="ED147" i="2"/>
  <c r="EI85" i="2"/>
  <c r="EE129" i="2"/>
  <c r="EG88" i="2"/>
  <c r="EM68" i="2"/>
  <c r="EF138" i="2"/>
  <c r="EB64" i="2"/>
  <c r="DU91" i="2"/>
  <c r="EM41" i="2"/>
  <c r="DZ157" i="2"/>
  <c r="EI40" i="2"/>
  <c r="EJ164" i="2"/>
  <c r="EM80" i="2"/>
  <c r="EP54" i="2"/>
  <c r="EK159" i="2"/>
  <c r="EF40" i="2"/>
  <c r="EE87" i="2"/>
  <c r="EE89" i="2"/>
  <c r="EG91" i="2"/>
  <c r="DX71" i="2"/>
  <c r="EK110" i="2"/>
  <c r="ED129" i="2"/>
  <c r="EM123" i="2"/>
  <c r="ED156" i="2"/>
  <c r="EI99" i="2"/>
  <c r="DU37" i="2"/>
  <c r="EK64" i="2"/>
  <c r="DY89" i="2"/>
  <c r="DU63" i="2"/>
  <c r="EM155" i="2"/>
  <c r="DY93" i="2"/>
  <c r="EJ156" i="2"/>
  <c r="EG44" i="2"/>
  <c r="EE136" i="2"/>
  <c r="EE83" i="2"/>
  <c r="DU151" i="2"/>
  <c r="EC114" i="2"/>
  <c r="EG163" i="2"/>
  <c r="DX53" i="2"/>
  <c r="EB113" i="2"/>
  <c r="EK161" i="2"/>
  <c r="EL48" i="2"/>
  <c r="EJ65" i="2"/>
  <c r="DZ69" i="2"/>
  <c r="EN94" i="2"/>
  <c r="EL135" i="2"/>
  <c r="DV114" i="2"/>
  <c r="DW96" i="2"/>
  <c r="ED131" i="2"/>
  <c r="EF63" i="2"/>
  <c r="EM57" i="2"/>
  <c r="EN109" i="2"/>
  <c r="EG76" i="2"/>
  <c r="EB70" i="2"/>
  <c r="DV128" i="2"/>
  <c r="EA30" i="2"/>
  <c r="DT107" i="2"/>
  <c r="EN137" i="2"/>
  <c r="EA34" i="2"/>
  <c r="EC158" i="2"/>
  <c r="DT138" i="2"/>
  <c r="EL28" i="2"/>
  <c r="EO120" i="2"/>
  <c r="EK38" i="2"/>
  <c r="ED152" i="2"/>
  <c r="EE135" i="2"/>
  <c r="DX54" i="2"/>
  <c r="EJ43" i="2"/>
  <c r="DW127" i="2"/>
  <c r="EK103" i="2"/>
  <c r="EP65" i="2"/>
  <c r="EK119" i="2"/>
  <c r="EO135" i="2"/>
  <c r="DU68" i="2"/>
  <c r="EH71" i="2"/>
  <c r="EK55" i="2"/>
  <c r="DX55" i="2"/>
  <c r="DV103" i="2"/>
  <c r="DU150" i="2"/>
  <c r="EC31" i="2"/>
  <c r="DZ38" i="2"/>
  <c r="EG32" i="2"/>
  <c r="EM151" i="2"/>
  <c r="EM121" i="2"/>
  <c r="EM24" i="2"/>
  <c r="DY143" i="2"/>
  <c r="EJ136" i="2"/>
  <c r="EO154" i="2"/>
  <c r="EB60" i="2"/>
  <c r="EG152" i="2"/>
  <c r="EH83" i="2"/>
  <c r="DY118" i="2"/>
  <c r="EG83" i="2"/>
  <c r="EH49" i="2"/>
  <c r="EL86" i="2"/>
  <c r="DW155" i="2"/>
  <c r="EJ70" i="2"/>
  <c r="EI89" i="2"/>
  <c r="EK91" i="2"/>
  <c r="EI96" i="2"/>
  <c r="EO53" i="2"/>
  <c r="EB65" i="2"/>
  <c r="DU130" i="2"/>
  <c r="EJ163" i="2"/>
  <c r="DT53" i="2"/>
  <c r="DV36" i="2"/>
  <c r="EH51" i="2"/>
  <c r="EF30" i="2"/>
  <c r="EF141" i="2"/>
  <c r="DU50" i="2"/>
  <c r="EJ101" i="2"/>
  <c r="EO116" i="2"/>
  <c r="EP55" i="2"/>
  <c r="DX50" i="2"/>
  <c r="EP73" i="2"/>
  <c r="EP127" i="2"/>
  <c r="EJ85" i="2"/>
  <c r="EG147" i="2"/>
  <c r="EF29" i="2"/>
  <c r="EA74" i="2"/>
  <c r="EP82" i="2"/>
  <c r="DZ125" i="2"/>
  <c r="EA111" i="2"/>
  <c r="DZ131" i="2"/>
  <c r="EB150" i="2"/>
  <c r="DV131" i="2"/>
  <c r="EC49" i="2"/>
  <c r="EG86" i="2"/>
  <c r="EO123" i="2"/>
  <c r="DX156" i="2"/>
  <c r="EN159" i="2"/>
  <c r="EP147" i="2"/>
  <c r="EO42" i="2"/>
  <c r="EH37" i="2"/>
  <c r="DX93" i="2"/>
  <c r="EB102" i="2"/>
  <c r="DW120" i="2"/>
  <c r="DZ27" i="2"/>
  <c r="DV122" i="2"/>
  <c r="DZ94" i="2"/>
  <c r="EK24" i="2"/>
  <c r="EB143" i="2"/>
  <c r="EJ37" i="2"/>
  <c r="EH99" i="2"/>
  <c r="EB156" i="2"/>
  <c r="EP28" i="2"/>
  <c r="EF122" i="2"/>
  <c r="EI47" i="2"/>
  <c r="DY139" i="2"/>
  <c r="DZ117" i="2"/>
  <c r="EG58" i="2"/>
  <c r="DU69" i="2"/>
  <c r="EI24" i="2"/>
  <c r="EI143" i="2"/>
  <c r="EA64" i="2"/>
  <c r="DT110" i="2"/>
  <c r="EN108" i="2"/>
  <c r="DX29" i="2"/>
  <c r="EO74" i="2"/>
  <c r="ED92" i="2"/>
  <c r="EE47" i="2"/>
  <c r="DW81" i="2"/>
  <c r="EO58" i="2"/>
  <c r="EJ150" i="2"/>
  <c r="EE58" i="2"/>
  <c r="DX150" i="2"/>
  <c r="EP92" i="2"/>
  <c r="EA62" i="2"/>
  <c r="DV159" i="2"/>
  <c r="EA40" i="2"/>
  <c r="EC55" i="2"/>
  <c r="EA122" i="2"/>
  <c r="EE27" i="2"/>
  <c r="EA132" i="2"/>
  <c r="EC94" i="2"/>
  <c r="EM39" i="2"/>
  <c r="EO36" i="2"/>
  <c r="DX114" i="2"/>
  <c r="DU114" i="2"/>
  <c r="DX135" i="2"/>
  <c r="EF57" i="2"/>
  <c r="EA115" i="2"/>
  <c r="EK51" i="2"/>
  <c r="EF101" i="2"/>
  <c r="EL117" i="2"/>
  <c r="EM56" i="2"/>
  <c r="EH123" i="2"/>
  <c r="EC32" i="2"/>
  <c r="EI120" i="2"/>
  <c r="DT144" i="2"/>
  <c r="ED109" i="2"/>
  <c r="EE73" i="2"/>
  <c r="DZ59" i="2"/>
  <c r="DU154" i="2"/>
  <c r="EG130" i="2"/>
  <c r="EL56" i="2"/>
  <c r="EE45" i="2"/>
  <c r="EJ121" i="2"/>
  <c r="EH106" i="2"/>
  <c r="DZ122" i="2"/>
  <c r="DW106" i="2"/>
  <c r="DU54" i="2"/>
  <c r="DU42" i="2"/>
  <c r="EA134" i="2"/>
  <c r="EA121" i="2"/>
  <c r="EB111" i="2"/>
  <c r="EB160" i="2"/>
  <c r="EM157" i="2"/>
  <c r="DT140" i="2"/>
  <c r="EE150" i="2"/>
  <c r="DZ58" i="2"/>
  <c r="EC25" i="2"/>
  <c r="DZ77" i="2"/>
  <c r="DU95" i="2"/>
  <c r="EM63" i="2"/>
  <c r="EK29" i="2"/>
  <c r="DU159" i="2"/>
  <c r="DU40" i="2"/>
  <c r="EE159" i="2"/>
  <c r="EP40" i="2"/>
  <c r="ED103" i="2"/>
  <c r="DX122" i="2"/>
  <c r="DT27" i="2"/>
  <c r="EO80" i="2"/>
  <c r="DU70" i="2"/>
  <c r="EL129" i="2"/>
  <c r="DT104" i="2"/>
  <c r="EH84" i="2"/>
  <c r="EO98" i="2"/>
  <c r="EL119" i="2"/>
  <c r="ED164" i="2"/>
  <c r="EN51" i="2"/>
  <c r="EN50" i="2"/>
  <c r="EC141" i="2"/>
  <c r="EG53" i="2"/>
  <c r="EK96" i="2"/>
  <c r="DV71" i="2"/>
  <c r="EL71" i="2"/>
  <c r="EO161" i="2"/>
  <c r="EF84" i="2"/>
  <c r="EB140" i="2"/>
  <c r="EH56" i="2"/>
  <c r="EN148" i="2"/>
  <c r="EC42" i="2"/>
  <c r="EP145" i="2"/>
  <c r="EB53" i="2"/>
  <c r="EP148" i="2"/>
  <c r="DX132" i="2"/>
  <c r="EO46" i="2"/>
  <c r="ED53" i="2"/>
  <c r="ED84" i="2"/>
  <c r="EL78" i="2"/>
  <c r="DT68" i="2"/>
  <c r="DY141" i="2"/>
  <c r="EM100" i="2"/>
  <c r="DX68" i="2"/>
  <c r="EF123" i="2"/>
  <c r="ED140" i="2"/>
  <c r="EL121" i="2"/>
  <c r="EJ106" i="2"/>
  <c r="EE71" i="2"/>
  <c r="DU79" i="2"/>
  <c r="DV153" i="2"/>
  <c r="EO92" i="2"/>
  <c r="EL54" i="2"/>
  <c r="EI80" i="2"/>
  <c r="DX59" i="2"/>
  <c r="EN92" i="2"/>
  <c r="EP95" i="2"/>
  <c r="EO77" i="2"/>
  <c r="ED139" i="2"/>
  <c r="EM105" i="2"/>
  <c r="EF76" i="2"/>
  <c r="DT109" i="2"/>
  <c r="DU62" i="2"/>
  <c r="DU105" i="2"/>
  <c r="EG93" i="2"/>
  <c r="DX102" i="2"/>
  <c r="EO115" i="2"/>
  <c r="DX148" i="2"/>
  <c r="DT103" i="2"/>
  <c r="DX82" i="2"/>
  <c r="EC133" i="2"/>
  <c r="DT78" i="2"/>
  <c r="EN65" i="2"/>
  <c r="EN34" i="2"/>
  <c r="DW51" i="2"/>
  <c r="DT30" i="2"/>
  <c r="EF73" i="2"/>
  <c r="EN131" i="2"/>
  <c r="DU36" i="2"/>
  <c r="ED57" i="2"/>
  <c r="EF109" i="2"/>
  <c r="DT76" i="2"/>
  <c r="DT81" i="2"/>
  <c r="DV90" i="2"/>
  <c r="DX130" i="2"/>
  <c r="EG139" i="2"/>
  <c r="EL47" i="2"/>
  <c r="EI131" i="2"/>
  <c r="DZ152" i="2"/>
  <c r="EG60" i="2"/>
  <c r="DU33" i="2"/>
  <c r="EK105" i="2"/>
  <c r="DT92" i="2"/>
  <c r="DZ62" i="2"/>
  <c r="EB153" i="2"/>
  <c r="EO88" i="2"/>
  <c r="EJ99" i="2"/>
  <c r="EB89" i="2"/>
  <c r="EE91" i="2"/>
  <c r="DV31" i="2"/>
  <c r="DU134" i="2"/>
  <c r="EK92" i="2"/>
  <c r="DV110" i="2"/>
  <c r="DY76" i="2"/>
  <c r="DZ49" i="2"/>
  <c r="EK77" i="2"/>
  <c r="EB95" i="2"/>
  <c r="DU153" i="2"/>
  <c r="DT62" i="2"/>
  <c r="EH92" i="2"/>
  <c r="DT150" i="2"/>
  <c r="EM58" i="2"/>
  <c r="DU82" i="2"/>
  <c r="EH79" i="2"/>
  <c r="ED27" i="2"/>
  <c r="EP74" i="2"/>
  <c r="DV29" i="2"/>
  <c r="EP150" i="2"/>
  <c r="EA79" i="2"/>
  <c r="DV64" i="2"/>
  <c r="EK62" i="2"/>
  <c r="DZ92" i="2"/>
  <c r="EE102" i="2"/>
  <c r="ED93" i="2"/>
  <c r="DX94" i="2"/>
  <c r="EP47" i="2"/>
  <c r="EH149" i="2"/>
  <c r="EJ139" i="2"/>
  <c r="EI156" i="2"/>
  <c r="EE99" i="2"/>
  <c r="DW37" i="2"/>
  <c r="DZ99" i="2"/>
  <c r="DW143" i="2"/>
  <c r="EC24" i="2"/>
  <c r="DY82" i="2"/>
  <c r="EC41" i="2"/>
  <c r="EG75" i="2"/>
  <c r="DW119" i="2"/>
  <c r="EI32" i="2"/>
  <c r="EI38" i="2"/>
  <c r="EI119" i="2"/>
  <c r="DW132" i="2"/>
  <c r="DU51" i="2"/>
  <c r="EG66" i="2"/>
  <c r="DU71" i="2"/>
  <c r="DU96" i="2"/>
  <c r="DZ162" i="2"/>
  <c r="EB132" i="2"/>
  <c r="DY116" i="2"/>
  <c r="ED116" i="2"/>
  <c r="EF132" i="2"/>
  <c r="EH160" i="2"/>
  <c r="EG72" i="2"/>
  <c r="EF129" i="2"/>
  <c r="DZ106" i="2"/>
  <c r="EN30" i="2"/>
  <c r="EO131" i="2"/>
  <c r="EA42" i="2"/>
  <c r="EN130" i="2"/>
  <c r="ED24" i="2"/>
  <c r="DZ143" i="2"/>
  <c r="EO160" i="2"/>
  <c r="EJ157" i="2"/>
  <c r="EG140" i="2"/>
  <c r="EB33" i="2"/>
  <c r="EG79" i="2"/>
  <c r="EI95" i="2"/>
  <c r="EG121" i="2"/>
  <c r="EA124" i="2"/>
  <c r="EL158" i="2"/>
  <c r="DY112" i="2"/>
  <c r="DT24" i="2"/>
  <c r="EI76" i="2"/>
  <c r="DV134" i="2"/>
  <c r="EF42" i="2"/>
  <c r="EA25" i="2"/>
  <c r="EI123" i="2"/>
  <c r="EB31" i="2"/>
  <c r="EA35" i="2"/>
  <c r="ED136" i="2"/>
  <c r="DU44" i="2"/>
  <c r="EP155" i="2"/>
  <c r="EM64" i="2"/>
  <c r="DT89" i="2"/>
  <c r="DW91" i="2"/>
  <c r="EN89" i="2"/>
  <c r="EI52" i="2"/>
  <c r="DV80" i="2"/>
  <c r="EA54" i="2"/>
  <c r="EL60" i="2"/>
  <c r="DT152" i="2"/>
  <c r="EF131" i="2"/>
  <c r="DV47" i="2"/>
  <c r="EE139" i="2"/>
  <c r="EO83" i="2"/>
  <c r="ED48" i="2"/>
  <c r="DZ130" i="2"/>
  <c r="DU117" i="2"/>
  <c r="EP115" i="2"/>
  <c r="EB55" i="2"/>
  <c r="EE68" i="2"/>
  <c r="DW39" i="2"/>
  <c r="EM161" i="2"/>
  <c r="EN73" i="2"/>
  <c r="DW126" i="2"/>
  <c r="EO130" i="2"/>
  <c r="EB107" i="2"/>
  <c r="DU29" i="2"/>
  <c r="EG45" i="2"/>
  <c r="DX79" i="2"/>
  <c r="EI134" i="2"/>
  <c r="EP34" i="2"/>
  <c r="EA142" i="2"/>
  <c r="EH73" i="2"/>
  <c r="DY96" i="2"/>
  <c r="EM146" i="2"/>
  <c r="EG48" i="2"/>
  <c r="EF34" i="2"/>
  <c r="EC53" i="2"/>
  <c r="DT142" i="2"/>
  <c r="EM35" i="2"/>
  <c r="EJ25" i="2"/>
  <c r="EP77" i="2"/>
  <c r="EK95" i="2"/>
  <c r="DV53" i="2"/>
  <c r="EC136" i="2"/>
  <c r="EA44" i="2"/>
  <c r="ED102" i="2"/>
  <c r="EA93" i="2"/>
  <c r="DW142" i="2"/>
  <c r="EP27" i="2"/>
  <c r="EL122" i="2"/>
  <c r="EF91" i="2"/>
  <c r="DW62" i="2"/>
  <c r="EO122" i="2"/>
  <c r="DX27" i="2"/>
  <c r="EP106" i="2"/>
  <c r="DW44" i="2"/>
  <c r="EA145" i="2"/>
  <c r="EH26" i="2"/>
  <c r="M51" i="2" s="1"/>
  <c r="EO108" i="2"/>
  <c r="EO110" i="2"/>
  <c r="EO64" i="2"/>
  <c r="DU103" i="2"/>
  <c r="EM50" i="2"/>
  <c r="DT94" i="2"/>
  <c r="DZ84" i="2"/>
  <c r="DV55" i="2"/>
  <c r="EG82" i="2"/>
  <c r="EG67" i="2"/>
  <c r="EB164" i="2"/>
  <c r="DX113" i="2"/>
  <c r="EB34" i="2"/>
  <c r="DT163" i="2"/>
  <c r="DW65" i="2"/>
  <c r="EP69" i="2"/>
  <c r="EA133" i="2"/>
  <c r="DV78" i="2"/>
  <c r="EJ117" i="2"/>
  <c r="EP70" i="2"/>
  <c r="EP128" i="2"/>
  <c r="EM83" i="2"/>
  <c r="EA155" i="2"/>
  <c r="DT63" i="2"/>
  <c r="EK100" i="2"/>
  <c r="EJ104" i="2"/>
  <c r="EF149" i="2"/>
  <c r="EK70" i="2"/>
  <c r="EG128" i="2"/>
  <c r="EJ53" i="2"/>
  <c r="EO106" i="2"/>
  <c r="ED44" i="2"/>
  <c r="EK127" i="2"/>
  <c r="DY145" i="2"/>
  <c r="EH32" i="2"/>
  <c r="DT42" i="2"/>
  <c r="EC37" i="2"/>
  <c r="DX26" i="2"/>
  <c r="EE118" i="2"/>
  <c r="EC123" i="2"/>
  <c r="DY156" i="2"/>
  <c r="DU143" i="2"/>
  <c r="EN24" i="2"/>
  <c r="DX70" i="2"/>
  <c r="EI31" i="2"/>
  <c r="EA83" i="2"/>
  <c r="DW136" i="2"/>
  <c r="DY44" i="2"/>
  <c r="DZ61" i="2"/>
  <c r="EJ123" i="2"/>
  <c r="EK31" i="2"/>
  <c r="DT44" i="2"/>
  <c r="EI33" i="2"/>
  <c r="EF94" i="2"/>
  <c r="EB147" i="2"/>
  <c r="EK85" i="2"/>
  <c r="DV77" i="2"/>
  <c r="EN28" i="2"/>
  <c r="DW102" i="2"/>
  <c r="EL142" i="2"/>
  <c r="EO75" i="2"/>
  <c r="DW41" i="2"/>
  <c r="EC88" i="2"/>
  <c r="EG129" i="2"/>
  <c r="EP104" i="2"/>
  <c r="EK152" i="2"/>
  <c r="EM129" i="2"/>
  <c r="EP88" i="2"/>
  <c r="DX52" i="2"/>
  <c r="EK88" i="2"/>
  <c r="EA52" i="2"/>
  <c r="EP75" i="2"/>
  <c r="EG101" i="2"/>
  <c r="EJ93" i="2"/>
  <c r="EJ102" i="2"/>
  <c r="EJ44" i="2"/>
  <c r="EH35" i="2"/>
  <c r="EO146" i="2"/>
  <c r="EE126" i="2"/>
  <c r="EB115" i="2"/>
  <c r="EP98" i="2"/>
  <c r="ED52" i="2"/>
  <c r="EN46" i="2"/>
  <c r="EB73" i="2"/>
  <c r="EP119" i="2"/>
  <c r="EG119" i="2"/>
  <c r="EF103" i="2"/>
  <c r="EG146" i="2"/>
  <c r="DX78" i="2"/>
  <c r="EF72" i="2"/>
  <c r="EM99" i="2"/>
  <c r="EG107" i="2"/>
  <c r="EK90" i="2"/>
  <c r="DZ137" i="2"/>
  <c r="EB134" i="2"/>
  <c r="EH63" i="2"/>
  <c r="EH153" i="2"/>
  <c r="EG62" i="2"/>
  <c r="DV92" i="2"/>
  <c r="DX134" i="2"/>
  <c r="EJ48" i="2"/>
  <c r="EH120" i="2"/>
  <c r="DT28" i="2"/>
  <c r="EJ77" i="2"/>
  <c r="EC81" i="2"/>
  <c r="EF45" i="2"/>
  <c r="EI56" i="2"/>
  <c r="EB99" i="2"/>
  <c r="DZ126" i="2"/>
  <c r="DZ123" i="2"/>
  <c r="DW31" i="2"/>
  <c r="EJ141" i="2"/>
  <c r="EL72" i="2"/>
  <c r="EF97" i="2"/>
  <c r="EF32" i="2"/>
  <c r="DU119" i="2"/>
  <c r="EI152" i="2"/>
  <c r="DW105" i="2"/>
  <c r="EI26" i="2"/>
  <c r="EP118" i="2"/>
  <c r="ED26" i="2"/>
  <c r="EK118" i="2"/>
  <c r="ED60" i="2"/>
  <c r="EL152" i="2"/>
  <c r="EL83" i="2"/>
  <c r="EE111" i="2"/>
  <c r="DY125" i="2"/>
  <c r="EP66" i="2"/>
  <c r="EE74" i="2"/>
  <c r="EJ29" i="2"/>
  <c r="EN100" i="2"/>
  <c r="EP61" i="2"/>
  <c r="EP144" i="2"/>
  <c r="EJ69" i="2"/>
  <c r="EF117" i="2"/>
  <c r="DT96" i="2"/>
  <c r="DV82" i="2"/>
  <c r="EO103" i="2"/>
  <c r="EG35" i="2"/>
  <c r="EA94" i="2"/>
  <c r="EF46" i="2"/>
  <c r="EC39" i="2"/>
  <c r="DT46" i="2"/>
  <c r="DZ97" i="2"/>
  <c r="EE31" i="2"/>
  <c r="EC33" i="2"/>
  <c r="EK140" i="2"/>
  <c r="DW60" i="2"/>
  <c r="DU148" i="2"/>
  <c r="ED146" i="2"/>
  <c r="EJ162" i="2"/>
  <c r="EC98" i="2"/>
  <c r="EM98" i="2"/>
  <c r="EM163" i="2"/>
  <c r="EL82" i="2"/>
  <c r="DV25" i="2"/>
  <c r="DV96" i="2"/>
  <c r="DV37" i="2"/>
  <c r="EP58" i="2"/>
  <c r="EK35" i="2"/>
  <c r="EA136" i="2"/>
  <c r="EP44" i="2"/>
  <c r="EL38" i="2"/>
  <c r="EE32" i="2"/>
  <c r="EF39" i="2"/>
  <c r="DZ75" i="2"/>
  <c r="EA41" i="2"/>
  <c r="EC68" i="2"/>
  <c r="EG77" i="2"/>
  <c r="EC72" i="2"/>
  <c r="EL128" i="2"/>
  <c r="DZ153" i="2"/>
  <c r="EN80" i="2"/>
  <c r="DT54" i="2"/>
  <c r="DY136" i="2"/>
  <c r="EJ154" i="2"/>
  <c r="EC63" i="2"/>
  <c r="EM29" i="2"/>
  <c r="EM159" i="2"/>
  <c r="EO40" i="2"/>
  <c r="ED46" i="2"/>
  <c r="EF68" i="2"/>
  <c r="DX144" i="2"/>
  <c r="EA61" i="2"/>
  <c r="EJ68" i="2"/>
  <c r="EF71" i="2"/>
  <c r="EH50" i="2"/>
  <c r="DX51" i="2"/>
  <c r="EG113" i="2"/>
  <c r="EP67" i="2"/>
  <c r="DU164" i="2"/>
  <c r="EO151" i="2"/>
  <c r="EK82" i="2"/>
  <c r="DW115" i="2"/>
  <c r="DV164" i="2"/>
  <c r="DU59" i="2"/>
  <c r="EJ138" i="2"/>
  <c r="DU132" i="2"/>
  <c r="EC104" i="2"/>
  <c r="EP149" i="2"/>
  <c r="DV85" i="2"/>
  <c r="EJ147" i="2"/>
  <c r="EL51" i="2"/>
  <c r="EO43" i="2"/>
  <c r="EC138" i="2"/>
  <c r="EI67" i="2"/>
  <c r="EI121" i="2"/>
  <c r="DZ136" i="2"/>
  <c r="EK154" i="2"/>
  <c r="EN59" i="2"/>
  <c r="DU31" i="2"/>
  <c r="DZ108" i="2"/>
  <c r="EA72" i="2"/>
  <c r="EC99" i="2"/>
  <c r="EG41" i="2"/>
  <c r="EA75" i="2"/>
  <c r="EL123" i="2"/>
  <c r="EJ97" i="2"/>
  <c r="DZ54" i="2"/>
  <c r="DW80" i="2"/>
  <c r="DU141" i="2"/>
  <c r="EF75" i="2"/>
  <c r="ED41" i="2"/>
  <c r="DW36" i="2"/>
  <c r="EB88" i="2"/>
  <c r="DX129" i="2"/>
  <c r="DU152" i="2"/>
  <c r="EA147" i="2"/>
  <c r="DX149" i="2"/>
  <c r="EB104" i="2"/>
  <c r="ED110" i="2"/>
  <c r="EB114" i="2"/>
  <c r="DV75" i="2"/>
  <c r="DY41" i="2"/>
  <c r="DW40" i="2"/>
  <c r="EM143" i="2"/>
  <c r="DW85" i="2"/>
  <c r="EF156" i="2"/>
  <c r="DX90" i="2"/>
  <c r="EJ47" i="2"/>
  <c r="EP139" i="2"/>
  <c r="EF47" i="2"/>
  <c r="EL139" i="2"/>
  <c r="DW46" i="2"/>
  <c r="EM93" i="2"/>
  <c r="EP102" i="2"/>
  <c r="DY110" i="2"/>
  <c r="EE64" i="2"/>
  <c r="EA95" i="2"/>
  <c r="EI77" i="2"/>
  <c r="DT153" i="2"/>
  <c r="EO25" i="2"/>
  <c r="EB69" i="2"/>
  <c r="EN36" i="2"/>
  <c r="EK133" i="2"/>
  <c r="EC103" i="2"/>
  <c r="DV100" i="2"/>
  <c r="EA101" i="2"/>
  <c r="EG98" i="2"/>
  <c r="DZ50" i="2"/>
  <c r="EI94" i="2"/>
  <c r="EB71" i="2"/>
  <c r="DY97" i="2"/>
  <c r="EH156" i="2"/>
  <c r="EB137" i="2"/>
  <c r="EB28" i="2"/>
  <c r="EJ107" i="2"/>
  <c r="DW33" i="2"/>
  <c r="EC149" i="2"/>
  <c r="DT86" i="2"/>
  <c r="EA49" i="2"/>
  <c r="EC46" i="2"/>
  <c r="EI107" i="2"/>
  <c r="DY137" i="2"/>
  <c r="EB78" i="2"/>
  <c r="EC105" i="2"/>
  <c r="DY105" i="2"/>
  <c r="EP80" i="2"/>
  <c r="DZ107" i="2"/>
  <c r="EE78" i="2"/>
  <c r="EG106" i="2"/>
  <c r="EA151" i="2"/>
  <c r="DZ72" i="2"/>
  <c r="DT97" i="2"/>
  <c r="DX160" i="2"/>
  <c r="EL157" i="2"/>
  <c r="DZ140" i="2"/>
  <c r="EK49" i="2"/>
  <c r="EG74" i="2"/>
  <c r="EC124" i="2"/>
  <c r="EI158" i="2"/>
  <c r="EJ112" i="2"/>
  <c r="EE158" i="2"/>
  <c r="EF112" i="2"/>
  <c r="EC111" i="2"/>
  <c r="EF125" i="2"/>
  <c r="EB151" i="2"/>
  <c r="EM138" i="2"/>
  <c r="EN142" i="2"/>
  <c r="DT147" i="2"/>
  <c r="DZ85" i="2"/>
  <c r="EG87" i="2"/>
  <c r="EA84" i="2"/>
  <c r="DU94" i="2"/>
  <c r="ED161" i="2"/>
  <c r="DX133" i="2"/>
  <c r="EJ114" i="2"/>
  <c r="EG84" i="2"/>
  <c r="EJ84" i="2"/>
  <c r="DV84" i="2"/>
  <c r="EP117" i="2"/>
  <c r="DX115" i="2"/>
  <c r="EE157" i="2"/>
  <c r="ED150" i="2"/>
  <c r="EN99" i="2"/>
  <c r="DX111" i="2"/>
  <c r="ED36" i="2"/>
  <c r="ED153" i="2"/>
  <c r="EE145" i="2"/>
  <c r="DZ160" i="2"/>
  <c r="EN132" i="2"/>
  <c r="EF121" i="2"/>
  <c r="EM60" i="2"/>
  <c r="EM135" i="2"/>
  <c r="EA157" i="2"/>
  <c r="EO19" i="2"/>
  <c r="EP19" i="2"/>
  <c r="EN19" i="2"/>
  <c r="EI19" i="2"/>
  <c r="EK19" i="2"/>
  <c r="EM19" i="2"/>
  <c r="EL19" i="2"/>
  <c r="EJ19" i="2"/>
  <c r="BC22" i="2"/>
  <c r="DJ162" i="2"/>
  <c r="DJ163" i="2" s="1"/>
  <c r="K43" i="2" s="1"/>
  <c r="U43" i="2" s="1"/>
  <c r="DN162" i="2"/>
  <c r="DN163" i="2" s="1"/>
  <c r="K47" i="2" s="1"/>
  <c r="U47" i="2" s="1"/>
  <c r="DK162" i="2"/>
  <c r="DK163" i="2" s="1"/>
  <c r="K44" i="2" s="1"/>
  <c r="U44" i="2" s="1"/>
  <c r="DO162" i="2"/>
  <c r="DO163" i="2" s="1"/>
  <c r="K48" i="2" s="1"/>
  <c r="U48" i="2" s="1"/>
  <c r="DL162" i="2"/>
  <c r="DL163" i="2" s="1"/>
  <c r="K45" i="2" s="1"/>
  <c r="U45" i="2" s="1"/>
  <c r="DP162" i="2"/>
  <c r="DP163" i="2" s="1"/>
  <c r="K49" i="2" s="1"/>
  <c r="U49" i="2" s="1"/>
  <c r="DM162" i="2"/>
  <c r="DM163" i="2" s="1"/>
  <c r="K46" i="2" s="1"/>
  <c r="U46" i="2" s="1"/>
  <c r="DQ162" i="2"/>
  <c r="DQ163" i="2" s="1"/>
  <c r="K50" i="2" s="1"/>
  <c r="U50" i="2" s="1"/>
  <c r="BC21" i="2"/>
  <c r="ED19" i="2"/>
  <c r="EH19" i="2"/>
  <c r="EG19" i="2"/>
  <c r="EE19" i="2"/>
  <c r="EF19" i="2"/>
  <c r="DE162" i="2"/>
  <c r="DE163" i="2" s="1"/>
  <c r="DI162" i="2"/>
  <c r="DI163" i="2" s="1"/>
  <c r="K42" i="2" s="1"/>
  <c r="U42" i="2" s="1"/>
  <c r="DF162" i="2"/>
  <c r="DF163" i="2" s="1"/>
  <c r="DG162" i="2"/>
  <c r="DG163" i="2" s="1"/>
  <c r="K40" i="2" s="1"/>
  <c r="DH162" i="2"/>
  <c r="DH163" i="2" s="1"/>
  <c r="K41" i="2" s="1"/>
  <c r="AZ194" i="2"/>
  <c r="AW18" i="2"/>
  <c r="AX194" i="2"/>
  <c r="BC20" i="2"/>
  <c r="DW19" i="2"/>
  <c r="DT19" i="2"/>
  <c r="DV19" i="2"/>
  <c r="EA19" i="2"/>
  <c r="DU19" i="2"/>
  <c r="DZ19" i="2"/>
  <c r="EB19" i="2"/>
  <c r="DX19" i="2"/>
  <c r="EC19" i="2"/>
  <c r="DY19" i="2"/>
  <c r="BC19" i="2"/>
  <c r="BC81" i="2"/>
  <c r="BC145" i="2"/>
  <c r="BC58" i="2"/>
  <c r="BC122" i="2"/>
  <c r="BC39" i="2"/>
  <c r="BC103" i="2"/>
  <c r="BC24" i="2"/>
  <c r="BC88" i="2"/>
  <c r="BC152" i="2"/>
  <c r="BC85" i="2"/>
  <c r="BC149" i="2"/>
  <c r="BC62" i="2"/>
  <c r="BC126" i="2"/>
  <c r="BC43" i="2"/>
  <c r="BC107" i="2"/>
  <c r="BC28" i="2"/>
  <c r="BC92" i="2"/>
  <c r="BC156" i="2"/>
  <c r="BC73" i="2"/>
  <c r="BC137" i="2"/>
  <c r="BC50" i="2"/>
  <c r="BC114" i="2"/>
  <c r="BC31" i="2"/>
  <c r="BC95" i="2"/>
  <c r="BC159" i="2"/>
  <c r="BC80" i="2"/>
  <c r="BC144" i="2"/>
  <c r="BC51" i="2"/>
  <c r="BC115" i="2"/>
  <c r="BC36" i="2"/>
  <c r="BC100" i="2"/>
  <c r="BC165" i="2"/>
  <c r="BC33" i="2"/>
  <c r="BC97" i="2"/>
  <c r="BC161" i="2"/>
  <c r="BC74" i="2"/>
  <c r="BC138" i="2"/>
  <c r="BC55" i="2"/>
  <c r="BC119" i="2"/>
  <c r="BC40" i="2"/>
  <c r="BC104" i="2"/>
  <c r="BC37" i="2"/>
  <c r="BC101" i="2"/>
  <c r="BC164" i="2"/>
  <c r="BC78" i="2"/>
  <c r="BC142" i="2"/>
  <c r="BC59" i="2"/>
  <c r="BC123" i="2"/>
  <c r="BC44" i="2"/>
  <c r="BC108" i="2"/>
  <c r="BC25" i="2"/>
  <c r="BC89" i="2"/>
  <c r="BC153" i="2"/>
  <c r="BC66" i="2"/>
  <c r="BC130" i="2"/>
  <c r="BC47" i="2"/>
  <c r="BC111" i="2"/>
  <c r="BC32" i="2"/>
  <c r="BC96" i="2"/>
  <c r="BC160" i="2"/>
  <c r="BC67" i="2"/>
  <c r="BC131" i="2"/>
  <c r="BC52" i="2"/>
  <c r="BC116" i="2"/>
  <c r="BC49" i="2"/>
  <c r="BC113" i="2"/>
  <c r="BC26" i="2"/>
  <c r="BC90" i="2"/>
  <c r="BC154" i="2"/>
  <c r="BC71" i="2"/>
  <c r="BC135" i="2"/>
  <c r="BC56" i="2"/>
  <c r="BC120" i="2"/>
  <c r="BC53" i="2"/>
  <c r="BC117" i="2"/>
  <c r="BC30" i="2"/>
  <c r="BC94" i="2"/>
  <c r="BC158" i="2"/>
  <c r="BC75" i="2"/>
  <c r="BC139" i="2"/>
  <c r="BC60" i="2"/>
  <c r="BC124" i="2"/>
  <c r="BC41" i="2"/>
  <c r="BC105" i="2"/>
  <c r="BC82" i="2"/>
  <c r="BC146" i="2"/>
  <c r="BC63" i="2"/>
  <c r="BC127" i="2"/>
  <c r="BC48" i="2"/>
  <c r="BC112" i="2"/>
  <c r="BC83" i="2"/>
  <c r="BC147" i="2"/>
  <c r="BC68" i="2"/>
  <c r="BC132" i="2"/>
  <c r="BC65" i="2"/>
  <c r="BC129" i="2"/>
  <c r="BC42" i="2"/>
  <c r="BC106" i="2"/>
  <c r="BC23" i="2"/>
  <c r="BC87" i="2"/>
  <c r="BC151" i="2"/>
  <c r="BC72" i="2"/>
  <c r="BC136" i="2"/>
  <c r="BC69" i="2"/>
  <c r="BC133" i="2"/>
  <c r="BC46" i="2"/>
  <c r="BC110" i="2"/>
  <c r="BC27" i="2"/>
  <c r="BC91" i="2"/>
  <c r="BC155" i="2"/>
  <c r="BC76" i="2"/>
  <c r="BC140" i="2"/>
  <c r="BC57" i="2"/>
  <c r="BC121" i="2"/>
  <c r="BC34" i="2"/>
  <c r="BC98" i="2"/>
  <c r="BC162" i="2"/>
  <c r="BC79" i="2"/>
  <c r="BC143" i="2"/>
  <c r="BC64" i="2"/>
  <c r="BC128" i="2"/>
  <c r="BC35" i="2"/>
  <c r="BC99" i="2"/>
  <c r="BC163" i="2"/>
  <c r="BC84" i="2"/>
  <c r="BC148" i="2"/>
  <c r="BC134" i="2"/>
  <c r="BC86" i="2"/>
  <c r="BC54" i="2"/>
  <c r="BC118" i="2"/>
  <c r="BC168" i="2"/>
  <c r="BC102" i="2"/>
  <c r="BC141" i="2"/>
  <c r="BC125" i="2"/>
  <c r="BC157" i="2"/>
  <c r="BC70" i="2"/>
  <c r="BC93" i="2"/>
  <c r="BC77" i="2"/>
  <c r="BC109" i="2"/>
  <c r="BC150" i="2"/>
  <c r="BC38" i="2"/>
  <c r="BC61" i="2"/>
  <c r="BC29" i="2"/>
  <c r="BC45" i="2"/>
  <c r="DB162" i="2"/>
  <c r="DB163" i="2" s="1"/>
  <c r="DB194" i="2" s="1"/>
  <c r="DC162" i="2"/>
  <c r="DC163" i="2" s="1"/>
  <c r="DC194" i="2" s="1"/>
  <c r="CV162" i="2"/>
  <c r="CV163" i="2" s="1"/>
  <c r="CV194" i="2" s="1"/>
  <c r="CU162" i="2"/>
  <c r="CU163" i="2" s="1"/>
  <c r="CU194" i="2" s="1"/>
  <c r="CZ162" i="2"/>
  <c r="CZ163" i="2" s="1"/>
  <c r="CZ194" i="2" s="1"/>
  <c r="CW162" i="2"/>
  <c r="CW163" i="2" s="1"/>
  <c r="CW194" i="2" s="1"/>
  <c r="DD162" i="2"/>
  <c r="DD163" i="2" s="1"/>
  <c r="DD194" i="2" s="1"/>
  <c r="DA162" i="2"/>
  <c r="DA163" i="2" s="1"/>
  <c r="DA194" i="2" s="1"/>
  <c r="CX162" i="2"/>
  <c r="CX163" i="2" s="1"/>
  <c r="CX194" i="2" s="1"/>
  <c r="CY162" i="2"/>
  <c r="CY163" i="2" s="1"/>
  <c r="CY194" i="2" s="1"/>
  <c r="CT162" i="2"/>
  <c r="CT194" i="2" s="1"/>
  <c r="L50" i="2" l="1"/>
  <c r="O50" i="2" s="1"/>
  <c r="J50" i="2"/>
  <c r="L49" i="2"/>
  <c r="O49" i="2" s="1"/>
  <c r="J49" i="2"/>
  <c r="L48" i="2"/>
  <c r="O48" i="2" s="1"/>
  <c r="J48" i="2"/>
  <c r="L47" i="2"/>
  <c r="O47" i="2" s="1"/>
  <c r="J47" i="2"/>
  <c r="L46" i="2"/>
  <c r="O46" i="2" s="1"/>
  <c r="J46" i="2"/>
  <c r="L45" i="2"/>
  <c r="O45" i="2" s="1"/>
  <c r="J45" i="2"/>
  <c r="L44" i="2"/>
  <c r="O44" i="2" s="1"/>
  <c r="J44" i="2"/>
  <c r="L43" i="2"/>
  <c r="O43" i="2" s="1"/>
  <c r="J43" i="2"/>
  <c r="EP18" i="2"/>
  <c r="EP166" i="2" s="1"/>
  <c r="EP167" i="2" s="1"/>
  <c r="Q50" i="2" s="1"/>
  <c r="S50" i="2" s="1"/>
  <c r="EP17" i="2"/>
  <c r="M50" i="2" s="1"/>
  <c r="EN18" i="2"/>
  <c r="EN166" i="2" s="1"/>
  <c r="EN167" i="2" s="1"/>
  <c r="EN17" i="2"/>
  <c r="M48" i="2" s="1"/>
  <c r="EM18" i="2"/>
  <c r="EM166" i="2" s="1"/>
  <c r="EM167" i="2" s="1"/>
  <c r="Q47" i="2" s="1"/>
  <c r="EM17" i="2"/>
  <c r="M47" i="2" s="1"/>
  <c r="EL18" i="2"/>
  <c r="EL166" i="2" s="1"/>
  <c r="EL167" i="2" s="1"/>
  <c r="Q46" i="2" s="1"/>
  <c r="EL17" i="2"/>
  <c r="M46" i="2" s="1"/>
  <c r="EJ18" i="2"/>
  <c r="EJ166" i="2" s="1"/>
  <c r="EJ167" i="2" s="1"/>
  <c r="Q44" i="2" s="1"/>
  <c r="EJ17" i="2"/>
  <c r="M44" i="2" s="1"/>
  <c r="EO18" i="2"/>
  <c r="EO166" i="2" s="1"/>
  <c r="EO167" i="2" s="1"/>
  <c r="Q49" i="2" s="1"/>
  <c r="EO17" i="2"/>
  <c r="M49" i="2" s="1"/>
  <c r="EK18" i="2"/>
  <c r="EK166" i="2" s="1"/>
  <c r="EK167" i="2" s="1"/>
  <c r="EK17" i="2"/>
  <c r="M45" i="2" s="1"/>
  <c r="EI18" i="2"/>
  <c r="EI166" i="2" s="1"/>
  <c r="EI167" i="2" s="1"/>
  <c r="Q43" i="2" s="1"/>
  <c r="EI17" i="2"/>
  <c r="M43" i="2" s="1"/>
  <c r="L42" i="2"/>
  <c r="O42" i="2" s="1"/>
  <c r="U40" i="2"/>
  <c r="U41" i="2"/>
  <c r="J42" i="2"/>
  <c r="K39" i="2"/>
  <c r="L40" i="2"/>
  <c r="O40" i="2" s="1"/>
  <c r="J40" i="2"/>
  <c r="K38" i="2"/>
  <c r="U38" i="2" s="1"/>
  <c r="EH17" i="2"/>
  <c r="EH18" i="2"/>
  <c r="EG18" i="2"/>
  <c r="EG166" i="2" s="1"/>
  <c r="EG167" i="2" s="1"/>
  <c r="Q41" i="2" s="1"/>
  <c r="EG17" i="2"/>
  <c r="M41" i="2" s="1"/>
  <c r="ED17" i="2"/>
  <c r="M38" i="2" s="1"/>
  <c r="ED18" i="2"/>
  <c r="ED166" i="2" s="1"/>
  <c r="ED167" i="2" s="1"/>
  <c r="Q38" i="2" s="1"/>
  <c r="EF17" i="2"/>
  <c r="M40" i="2" s="1"/>
  <c r="EF18" i="2"/>
  <c r="EF166" i="2" s="1"/>
  <c r="EF167" i="2" s="1"/>
  <c r="Q40" i="2" s="1"/>
  <c r="EE18" i="2"/>
  <c r="EE166" i="2" s="1"/>
  <c r="EE167" i="2" s="1"/>
  <c r="Q39" i="2" s="1"/>
  <c r="EE17" i="2"/>
  <c r="AW163" i="2"/>
  <c r="AW12" i="2"/>
  <c r="BA12" i="2" s="1"/>
  <c r="BA18" i="2" s="1"/>
  <c r="BC18" i="2"/>
  <c r="DW18" i="2"/>
  <c r="DW166" i="2" s="1"/>
  <c r="DW167" i="2" s="1"/>
  <c r="DW17" i="2"/>
  <c r="M31" i="2" s="1"/>
  <c r="K34" i="2"/>
  <c r="U34" i="2" s="1"/>
  <c r="DZ17" i="2"/>
  <c r="M34" i="2" s="1"/>
  <c r="DZ18" i="2"/>
  <c r="DZ166" i="2" s="1"/>
  <c r="DZ167" i="2" s="1"/>
  <c r="DT17" i="2"/>
  <c r="M28" i="2" s="1"/>
  <c r="DT18" i="2"/>
  <c r="DT166" i="2" s="1"/>
  <c r="DT167" i="2" s="1"/>
  <c r="K35" i="2"/>
  <c r="U35" i="2" s="1"/>
  <c r="EA18" i="2"/>
  <c r="EA166" i="2" s="1"/>
  <c r="EA167" i="2" s="1"/>
  <c r="EA17" i="2"/>
  <c r="K37" i="2"/>
  <c r="U37" i="2" s="1"/>
  <c r="EC17" i="2"/>
  <c r="EC18" i="2"/>
  <c r="K33" i="2"/>
  <c r="U33" i="2" s="1"/>
  <c r="DY17" i="2"/>
  <c r="M33" i="2" s="1"/>
  <c r="DY18" i="2"/>
  <c r="DU17" i="2"/>
  <c r="M29" i="2" s="1"/>
  <c r="DU18" i="2"/>
  <c r="K32" i="2"/>
  <c r="U32" i="2" s="1"/>
  <c r="DX18" i="2"/>
  <c r="DX17" i="2"/>
  <c r="M32" i="2" s="1"/>
  <c r="DV18" i="2"/>
  <c r="DV166" i="2" s="1"/>
  <c r="DV167" i="2" s="1"/>
  <c r="DV17" i="2"/>
  <c r="M30" i="2" s="1"/>
  <c r="K36" i="2"/>
  <c r="U36" i="2" s="1"/>
  <c r="EB18" i="2"/>
  <c r="EB166" i="2" s="1"/>
  <c r="EB167" i="2" s="1"/>
  <c r="EB17" i="2"/>
  <c r="K28" i="2"/>
  <c r="U28" i="2" s="1"/>
  <c r="K29" i="2"/>
  <c r="U29" i="2" s="1"/>
  <c r="K30" i="2"/>
  <c r="U30" i="2" s="1"/>
  <c r="K31" i="2"/>
  <c r="U31" i="2" s="1"/>
  <c r="S49" i="2" l="1"/>
  <c r="R49" i="2" s="1"/>
  <c r="S47" i="2"/>
  <c r="R47" i="2" s="1"/>
  <c r="Q48" i="2"/>
  <c r="S48" i="2" s="1"/>
  <c r="R48" i="2" s="1"/>
  <c r="S46" i="2"/>
  <c r="R46" i="2" s="1"/>
  <c r="S44" i="2"/>
  <c r="R44" i="2" s="1"/>
  <c r="Q45" i="2"/>
  <c r="S45" i="2" s="1"/>
  <c r="R45" i="2" s="1"/>
  <c r="S43" i="2"/>
  <c r="R43" i="2" s="1"/>
  <c r="R50" i="2"/>
  <c r="M42" i="2"/>
  <c r="EH166" i="2"/>
  <c r="EH167" i="2" s="1"/>
  <c r="U39" i="2"/>
  <c r="E57" i="2" s="1"/>
  <c r="L30" i="2"/>
  <c r="L37" i="2"/>
  <c r="O37" i="2" s="1"/>
  <c r="L34" i="2"/>
  <c r="O34" i="2" s="1"/>
  <c r="L33" i="2"/>
  <c r="O33" i="2" s="1"/>
  <c r="L35" i="2"/>
  <c r="O35" i="2" s="1"/>
  <c r="L38" i="2"/>
  <c r="O38" i="2" s="1"/>
  <c r="L29" i="2"/>
  <c r="L32" i="2"/>
  <c r="O32" i="2" s="1"/>
  <c r="L31" i="2"/>
  <c r="L36" i="2"/>
  <c r="O36" i="2" s="1"/>
  <c r="S40" i="2"/>
  <c r="R40" i="2" s="1"/>
  <c r="S41" i="2"/>
  <c r="S38" i="2"/>
  <c r="R38" i="2" s="1"/>
  <c r="S39" i="2"/>
  <c r="L41" i="2"/>
  <c r="O41" i="2" s="1"/>
  <c r="J41" i="2"/>
  <c r="J38" i="2"/>
  <c r="L39" i="2"/>
  <c r="O39" i="2" s="1"/>
  <c r="J39" i="2"/>
  <c r="M39" i="2"/>
  <c r="ED194" i="2"/>
  <c r="EC166" i="2"/>
  <c r="BA166" i="2"/>
  <c r="BA167" i="2" s="1"/>
  <c r="BC166" i="2"/>
  <c r="BC167" i="2" s="1"/>
  <c r="BA15" i="2" s="1"/>
  <c r="L28" i="2"/>
  <c r="J28" i="2"/>
  <c r="AW164" i="2"/>
  <c r="AW194" i="2" s="1"/>
  <c r="DZ194" i="2"/>
  <c r="DV194" i="2"/>
  <c r="DW194" i="2"/>
  <c r="EA194" i="2"/>
  <c r="EB194" i="2"/>
  <c r="DT194" i="2"/>
  <c r="DX166" i="2"/>
  <c r="DU166" i="2"/>
  <c r="DY166" i="2"/>
  <c r="M36" i="2"/>
  <c r="J36" i="2"/>
  <c r="M35" i="2"/>
  <c r="J37" i="2"/>
  <c r="J32" i="2"/>
  <c r="J33" i="2"/>
  <c r="J34" i="2"/>
  <c r="J35" i="2"/>
  <c r="M37" i="2"/>
  <c r="J30" i="2"/>
  <c r="J31" i="2"/>
  <c r="J29" i="2"/>
  <c r="W28" i="2"/>
  <c r="Q42" i="2" l="1"/>
  <c r="S42" i="2" s="1"/>
  <c r="R42" i="2" s="1"/>
  <c r="R39" i="2"/>
  <c r="R41" i="2"/>
  <c r="EC167" i="2"/>
  <c r="Q37" i="2" s="1"/>
  <c r="BA168" i="2"/>
  <c r="BA194" i="2" s="1"/>
  <c r="BC194" i="2"/>
  <c r="DX167" i="2"/>
  <c r="DX194" i="2" s="1"/>
  <c r="DY167" i="2"/>
  <c r="Q33" i="2" s="1"/>
  <c r="DU167" i="2"/>
  <c r="DU194" i="2" s="1"/>
  <c r="Q36" i="2"/>
  <c r="Q34" i="2"/>
  <c r="Q35" i="2"/>
  <c r="W37" i="2"/>
  <c r="Q30" i="2"/>
  <c r="Q31" i="2"/>
  <c r="O29" i="2"/>
  <c r="O28" i="2"/>
  <c r="O30" i="2"/>
  <c r="O31" i="2"/>
  <c r="S36" i="2" l="1"/>
  <c r="R36" i="2" s="1"/>
  <c r="W36" i="2"/>
  <c r="S35" i="2"/>
  <c r="R35" i="2" s="1"/>
  <c r="S33" i="2"/>
  <c r="R33" i="2" s="1"/>
  <c r="S37" i="2"/>
  <c r="R37" i="2" s="1"/>
  <c r="S31" i="2"/>
  <c r="R31" i="2" s="1"/>
  <c r="S34" i="2"/>
  <c r="R34" i="2" s="1"/>
  <c r="S30" i="2"/>
  <c r="R30" i="2" s="1"/>
  <c r="W30" i="2"/>
  <c r="EC194" i="2"/>
  <c r="DY194" i="2"/>
  <c r="Q32" i="2"/>
  <c r="Q29" i="2"/>
  <c r="W34" i="2"/>
  <c r="W35" i="2"/>
  <c r="W31" i="2"/>
  <c r="W33" i="2"/>
  <c r="S29" i="2" l="1"/>
  <c r="R29" i="2" s="1"/>
  <c r="W29" i="2"/>
  <c r="S32" i="2"/>
  <c r="R32" i="2" s="1"/>
  <c r="W32" i="2"/>
  <c r="Q28" i="2"/>
  <c r="S28" i="2" l="1"/>
  <c r="R28" i="2" s="1"/>
  <c r="E26" i="2" s="1"/>
  <c r="N50" i="2" l="1"/>
  <c r="N40" i="2"/>
  <c r="N41" i="2"/>
  <c r="N39" i="2"/>
  <c r="N42" i="2"/>
  <c r="N48" i="2"/>
  <c r="N49" i="2"/>
  <c r="N46" i="2"/>
  <c r="N47" i="2"/>
  <c r="N44" i="2"/>
  <c r="N45" i="2"/>
  <c r="N38" i="2"/>
  <c r="N43" i="2"/>
  <c r="N28" i="2"/>
  <c r="N31" i="2"/>
  <c r="N30" i="2"/>
  <c r="N29" i="2"/>
  <c r="N33" i="2"/>
  <c r="N32" i="2"/>
  <c r="N34" i="2"/>
  <c r="N37" i="2"/>
  <c r="N35" i="2"/>
  <c r="N36" i="2"/>
  <c r="N15" i="2"/>
  <c r="S15" i="2"/>
  <c r="I15" i="2"/>
  <c r="H15" i="2"/>
  <c r="P15" i="2"/>
  <c r="O15" i="2"/>
  <c r="T15" i="2"/>
  <c r="R15" i="2"/>
  <c r="K15" i="2"/>
  <c r="Q15" i="2"/>
  <c r="G15" i="2"/>
  <c r="L15" i="2"/>
  <c r="F15" i="2"/>
  <c r="M15" i="2"/>
  <c r="U15" i="2"/>
  <c r="J15" i="2"/>
  <c r="E15" i="2"/>
  <c r="D58" i="5" l="1"/>
  <c r="D203" i="5" s="1"/>
  <c r="D22" i="5" l="1"/>
  <c r="Y15" i="5"/>
  <c r="Y89" i="5" l="1"/>
  <c r="Y121" i="5"/>
  <c r="Y111" i="5"/>
  <c r="Y88" i="5"/>
  <c r="Y97" i="5"/>
  <c r="Y92" i="5"/>
  <c r="Y109" i="5"/>
  <c r="Y91" i="5"/>
  <c r="Y117" i="5"/>
  <c r="Y94" i="5"/>
  <c r="Y122" i="5"/>
  <c r="Y105" i="5"/>
  <c r="Y116" i="5"/>
  <c r="Y99" i="5"/>
  <c r="Y96" i="5"/>
  <c r="Y106" i="5"/>
  <c r="Y112" i="5"/>
  <c r="Y124" i="5"/>
  <c r="Y104" i="5"/>
  <c r="Y107" i="5"/>
  <c r="Y101" i="5"/>
  <c r="Y119" i="5"/>
  <c r="Y126" i="5"/>
  <c r="Y93" i="5"/>
  <c r="Y110" i="5"/>
  <c r="Y98" i="5"/>
  <c r="Y102" i="5"/>
  <c r="Y108" i="5"/>
  <c r="Y127" i="5"/>
  <c r="Y114" i="5"/>
  <c r="Y115" i="5"/>
  <c r="Y95" i="5"/>
  <c r="Y103" i="5"/>
  <c r="Y123" i="5"/>
  <c r="Y113" i="5"/>
  <c r="Y125" i="5"/>
  <c r="Y90" i="5"/>
  <c r="Y100" i="5"/>
  <c r="Y118" i="5"/>
  <c r="Y120" i="5"/>
  <c r="Y67" i="5"/>
  <c r="Y28" i="5"/>
  <c r="Y73" i="5"/>
  <c r="Y72" i="5"/>
  <c r="Y86" i="5"/>
  <c r="Y26" i="5"/>
  <c r="Y81" i="5"/>
  <c r="Y83" i="5"/>
  <c r="Y39" i="5"/>
  <c r="Y54" i="5"/>
  <c r="Y87" i="5"/>
  <c r="Y77" i="5"/>
  <c r="Y42" i="5"/>
  <c r="Y31" i="5"/>
  <c r="Y60" i="5"/>
  <c r="Y33" i="5"/>
  <c r="Y20" i="5"/>
  <c r="Y62" i="5"/>
  <c r="Y35" i="5"/>
  <c r="Y64" i="5"/>
  <c r="Y53" i="5"/>
  <c r="Y18" i="5"/>
  <c r="Y82" i="5"/>
  <c r="Y55" i="5"/>
  <c r="Y25" i="5"/>
  <c r="Y32" i="5"/>
  <c r="Y70" i="5"/>
  <c r="Y59" i="5"/>
  <c r="Y160" i="5"/>
  <c r="Y29" i="5"/>
  <c r="Y161" i="5"/>
  <c r="Y58" i="5"/>
  <c r="Y47" i="5"/>
  <c r="Y76" i="5"/>
  <c r="Y49" i="5"/>
  <c r="Y56" i="5"/>
  <c r="Y78" i="5"/>
  <c r="Y51" i="5"/>
  <c r="Y80" i="5"/>
  <c r="Y69" i="5"/>
  <c r="Y34" i="5"/>
  <c r="Y48" i="5"/>
  <c r="Y71" i="5"/>
  <c r="Y41" i="5"/>
  <c r="Y22" i="5"/>
  <c r="Y52" i="5"/>
  <c r="Y75" i="5"/>
  <c r="Y45" i="5"/>
  <c r="Y36" i="5"/>
  <c r="Y74" i="5"/>
  <c r="Y63" i="5"/>
  <c r="Y16" i="5"/>
  <c r="Y65" i="5"/>
  <c r="Y30" i="5"/>
  <c r="Y44" i="5"/>
  <c r="Y21" i="5"/>
  <c r="Y85" i="5"/>
  <c r="Y50" i="5"/>
  <c r="Y23" i="5"/>
  <c r="Y68" i="5"/>
  <c r="Y57" i="5"/>
  <c r="Y38" i="5"/>
  <c r="Y27" i="5"/>
  <c r="Y24" i="5"/>
  <c r="Y61" i="5"/>
  <c r="Y40" i="5"/>
  <c r="Y79" i="5"/>
  <c r="Y17" i="5"/>
  <c r="Y46" i="5"/>
  <c r="Y19" i="5"/>
  <c r="Y37" i="5"/>
  <c r="Y66" i="5"/>
  <c r="Y84" i="5"/>
  <c r="Y43" i="5"/>
  <c r="BI173" i="5"/>
  <c r="BI174" i="5" s="1"/>
  <c r="BI175" i="5" l="1"/>
  <c r="F21" i="5" s="1"/>
  <c r="BI176" i="5" l="1"/>
  <c r="AA81" i="5" l="1"/>
  <c r="AS89" i="5" s="1"/>
  <c r="AA159" i="5"/>
  <c r="AS167" i="5" s="1"/>
  <c r="AA147" i="5"/>
  <c r="AS155" i="5" s="1"/>
  <c r="AA144" i="5"/>
  <c r="AS152" i="5" s="1"/>
  <c r="AA153" i="5"/>
  <c r="AS161" i="5" s="1"/>
  <c r="AA154" i="5"/>
  <c r="AS162" i="5" s="1"/>
  <c r="AA137" i="5"/>
  <c r="AS145" i="5" s="1"/>
  <c r="AA121" i="5"/>
  <c r="AS129" i="5" s="1"/>
  <c r="AA138" i="5"/>
  <c r="AS146" i="5" s="1"/>
  <c r="AA122" i="5"/>
  <c r="AS130" i="5" s="1"/>
  <c r="AA135" i="5"/>
  <c r="AS143" i="5" s="1"/>
  <c r="AA119" i="5"/>
  <c r="AS127" i="5" s="1"/>
  <c r="AA132" i="5"/>
  <c r="AS140" i="5" s="1"/>
  <c r="AA116" i="5"/>
  <c r="AS124" i="5" s="1"/>
  <c r="AA98" i="5"/>
  <c r="AS106" i="5" s="1"/>
  <c r="AA107" i="5"/>
  <c r="AS115" i="5" s="1"/>
  <c r="AA89" i="5"/>
  <c r="AS97" i="5" s="1"/>
  <c r="AA100" i="5"/>
  <c r="AS108" i="5" s="1"/>
  <c r="AA95" i="5"/>
  <c r="AS103" i="5" s="1"/>
  <c r="AA101" i="5"/>
  <c r="AS109" i="5" s="1"/>
  <c r="AA85" i="5"/>
  <c r="AS93" i="5" s="1"/>
  <c r="AA157" i="5"/>
  <c r="AS165" i="5" s="1"/>
  <c r="AA143" i="5"/>
  <c r="AS151" i="5" s="1"/>
  <c r="AA87" i="5"/>
  <c r="AS95" i="5" s="1"/>
  <c r="AA149" i="5"/>
  <c r="AS157" i="5" s="1"/>
  <c r="AA150" i="5"/>
  <c r="AS158" i="5" s="1"/>
  <c r="AA133" i="5"/>
  <c r="AS141" i="5" s="1"/>
  <c r="AA134" i="5"/>
  <c r="AS142" i="5" s="1"/>
  <c r="AA131" i="5"/>
  <c r="AS139" i="5" s="1"/>
  <c r="AA115" i="5"/>
  <c r="AS123" i="5" s="1"/>
  <c r="AA110" i="5"/>
  <c r="AS118" i="5" s="1"/>
  <c r="AA103" i="5"/>
  <c r="AS111" i="5" s="1"/>
  <c r="AA99" i="5"/>
  <c r="AS107" i="5" s="1"/>
  <c r="AA91" i="5"/>
  <c r="AS99" i="5" s="1"/>
  <c r="AA83" i="5"/>
  <c r="AS91" i="5" s="1"/>
  <c r="AA155" i="5"/>
  <c r="AS163" i="5" s="1"/>
  <c r="AA152" i="5"/>
  <c r="AS160" i="5" s="1"/>
  <c r="AA158" i="5"/>
  <c r="AS166" i="5" s="1"/>
  <c r="AA145" i="5"/>
  <c r="AS153" i="5" s="1"/>
  <c r="AA146" i="5"/>
  <c r="AS154" i="5" s="1"/>
  <c r="AA129" i="5"/>
  <c r="AS137" i="5" s="1"/>
  <c r="AA113" i="5"/>
  <c r="AS121" i="5" s="1"/>
  <c r="AA130" i="5"/>
  <c r="AS138" i="5" s="1"/>
  <c r="AA114" i="5"/>
  <c r="AS122" i="5" s="1"/>
  <c r="AA127" i="5"/>
  <c r="AS135" i="5" s="1"/>
  <c r="AA140" i="5"/>
  <c r="AS148" i="5" s="1"/>
  <c r="AA124" i="5"/>
  <c r="AS132" i="5" s="1"/>
  <c r="AA106" i="5"/>
  <c r="AS114" i="5" s="1"/>
  <c r="AA90" i="5"/>
  <c r="AS98" i="5" s="1"/>
  <c r="AA93" i="5"/>
  <c r="AS101" i="5" s="1"/>
  <c r="AA108" i="5"/>
  <c r="AS116" i="5" s="1"/>
  <c r="AA97" i="5"/>
  <c r="AS105" i="5" s="1"/>
  <c r="AA109" i="5"/>
  <c r="AS117" i="5" s="1"/>
  <c r="AA94" i="5"/>
  <c r="AS102" i="5" s="1"/>
  <c r="AA82" i="5"/>
  <c r="AS90" i="5" s="1"/>
  <c r="AA84" i="5"/>
  <c r="AS92" i="5" s="1"/>
  <c r="AA151" i="5"/>
  <c r="AS159" i="5" s="1"/>
  <c r="AA148" i="5"/>
  <c r="AS156" i="5" s="1"/>
  <c r="AA156" i="5"/>
  <c r="AS164" i="5" s="1"/>
  <c r="AA86" i="5"/>
  <c r="AS94" i="5" s="1"/>
  <c r="AA141" i="5"/>
  <c r="AS149" i="5" s="1"/>
  <c r="AA125" i="5"/>
  <c r="AS133" i="5" s="1"/>
  <c r="AA142" i="5"/>
  <c r="AS150" i="5" s="1"/>
  <c r="AA126" i="5"/>
  <c r="AS134" i="5" s="1"/>
  <c r="AA139" i="5"/>
  <c r="AS147" i="5" s="1"/>
  <c r="AA123" i="5"/>
  <c r="AS131" i="5" s="1"/>
  <c r="AA136" i="5"/>
  <c r="AS144" i="5" s="1"/>
  <c r="AA120" i="5"/>
  <c r="AS128" i="5" s="1"/>
  <c r="AA102" i="5"/>
  <c r="AS110" i="5" s="1"/>
  <c r="AA111" i="5"/>
  <c r="AS119" i="5" s="1"/>
  <c r="AA88" i="5"/>
  <c r="AS96" i="5" s="1"/>
  <c r="AA104" i="5"/>
  <c r="AS112" i="5" s="1"/>
  <c r="AA105" i="5"/>
  <c r="AS113" i="5" s="1"/>
  <c r="AA92" i="5"/>
  <c r="AS100" i="5" s="1"/>
  <c r="AA117" i="5"/>
  <c r="AS125" i="5" s="1"/>
  <c r="AA118" i="5"/>
  <c r="AS126" i="5" s="1"/>
  <c r="AA128" i="5"/>
  <c r="AS136" i="5" s="1"/>
  <c r="AA96" i="5"/>
  <c r="AS104" i="5" s="1"/>
  <c r="AA112" i="5"/>
  <c r="AS120" i="5" s="1"/>
  <c r="F10" i="5"/>
  <c r="EM130" i="5" l="1"/>
  <c r="EJ130" i="5"/>
  <c r="EG130" i="5"/>
  <c r="EN130" i="5"/>
  <c r="EO130" i="5"/>
  <c r="EK130" i="5"/>
  <c r="EH130" i="5"/>
  <c r="EI130" i="5"/>
  <c r="EL130" i="5"/>
  <c r="EI128" i="5"/>
  <c r="EM128" i="5"/>
  <c r="EJ128" i="5"/>
  <c r="EK128" i="5"/>
  <c r="EH128" i="5"/>
  <c r="EG128" i="5"/>
  <c r="EO128" i="5"/>
  <c r="EL128" i="5"/>
  <c r="EN128" i="5"/>
  <c r="EN119" i="5"/>
  <c r="EM119" i="5"/>
  <c r="EJ119" i="5"/>
  <c r="EO119" i="5"/>
  <c r="EH119" i="5"/>
  <c r="EK119" i="5"/>
  <c r="EG119" i="5"/>
  <c r="EI119" i="5"/>
  <c r="EL119" i="5"/>
  <c r="EO133" i="5"/>
  <c r="EM133" i="5"/>
  <c r="EL133" i="5"/>
  <c r="EG133" i="5"/>
  <c r="EK133" i="5"/>
  <c r="EN133" i="5"/>
  <c r="EJ133" i="5"/>
  <c r="EH133" i="5"/>
  <c r="EI133" i="5"/>
  <c r="EK135" i="5"/>
  <c r="EL135" i="5"/>
  <c r="EJ135" i="5"/>
  <c r="EO135" i="5"/>
  <c r="EN135" i="5"/>
  <c r="EI135" i="5"/>
  <c r="EM135" i="5"/>
  <c r="EG135" i="5"/>
  <c r="EH135" i="5"/>
  <c r="EL126" i="5"/>
  <c r="EH126" i="5"/>
  <c r="EM126" i="5"/>
  <c r="EJ126" i="5"/>
  <c r="EG126" i="5"/>
  <c r="EN126" i="5"/>
  <c r="EI126" i="5"/>
  <c r="EO126" i="5"/>
  <c r="EK126" i="5"/>
  <c r="EJ116" i="5"/>
  <c r="EL116" i="5"/>
  <c r="EG116" i="5"/>
  <c r="EH116" i="5"/>
  <c r="EI116" i="5"/>
  <c r="EN116" i="5"/>
  <c r="EK116" i="5"/>
  <c r="EO116" i="5"/>
  <c r="EM116" i="5"/>
  <c r="EJ118" i="5"/>
  <c r="EH118" i="5"/>
  <c r="EO118" i="5"/>
  <c r="EG118" i="5"/>
  <c r="EI118" i="5"/>
  <c r="EK118" i="5"/>
  <c r="EM118" i="5"/>
  <c r="EL118" i="5"/>
  <c r="EN118" i="5"/>
  <c r="EN122" i="5"/>
  <c r="EI122" i="5"/>
  <c r="EL122" i="5"/>
  <c r="EO122" i="5"/>
  <c r="EJ122" i="5"/>
  <c r="EK122" i="5"/>
  <c r="EM122" i="5"/>
  <c r="EH122" i="5"/>
  <c r="EG122" i="5"/>
  <c r="EL132" i="5"/>
  <c r="EO132" i="5"/>
  <c r="EN132" i="5"/>
  <c r="EG132" i="5"/>
  <c r="EI132" i="5"/>
  <c r="EK132" i="5"/>
  <c r="EM132" i="5"/>
  <c r="EH132" i="5"/>
  <c r="EJ132" i="5"/>
  <c r="EJ134" i="5"/>
  <c r="EH134" i="5"/>
  <c r="EG134" i="5"/>
  <c r="EL134" i="5"/>
  <c r="EO134" i="5"/>
  <c r="EI134" i="5"/>
  <c r="EK134" i="5"/>
  <c r="EN134" i="5"/>
  <c r="EM134" i="5"/>
  <c r="EK138" i="5"/>
  <c r="EJ138" i="5"/>
  <c r="EG138" i="5"/>
  <c r="EI138" i="5"/>
  <c r="EL138" i="5"/>
  <c r="EN138" i="5"/>
  <c r="EM138" i="5"/>
  <c r="EO138" i="5"/>
  <c r="EH138" i="5"/>
  <c r="EH131" i="5"/>
  <c r="EO131" i="5"/>
  <c r="EM131" i="5"/>
  <c r="EJ131" i="5"/>
  <c r="EI131" i="5"/>
  <c r="EK131" i="5"/>
  <c r="EN131" i="5"/>
  <c r="EG131" i="5"/>
  <c r="EL131" i="5"/>
  <c r="EI127" i="5"/>
  <c r="EK127" i="5"/>
  <c r="EO127" i="5"/>
  <c r="EL127" i="5"/>
  <c r="EG127" i="5"/>
  <c r="EH127" i="5"/>
  <c r="EN127" i="5"/>
  <c r="EM127" i="5"/>
  <c r="EJ127" i="5"/>
  <c r="EJ121" i="5"/>
  <c r="EO121" i="5"/>
  <c r="EM121" i="5"/>
  <c r="EL121" i="5"/>
  <c r="EG121" i="5"/>
  <c r="EN121" i="5"/>
  <c r="EH121" i="5"/>
  <c r="EK121" i="5"/>
  <c r="EI121" i="5"/>
  <c r="EG129" i="5"/>
  <c r="EM129" i="5"/>
  <c r="EK129" i="5"/>
  <c r="EH129" i="5"/>
  <c r="EL129" i="5"/>
  <c r="EI129" i="5"/>
  <c r="EJ129" i="5"/>
  <c r="EN129" i="5"/>
  <c r="EO129" i="5"/>
  <c r="EM137" i="5"/>
  <c r="EN137" i="5"/>
  <c r="EG137" i="5"/>
  <c r="EH137" i="5"/>
  <c r="EK137" i="5"/>
  <c r="EL137" i="5"/>
  <c r="EI137" i="5"/>
  <c r="EO137" i="5"/>
  <c r="EJ137" i="5"/>
  <c r="EJ125" i="5"/>
  <c r="EH125" i="5"/>
  <c r="EL125" i="5"/>
  <c r="EK125" i="5"/>
  <c r="EN125" i="5"/>
  <c r="EM125" i="5"/>
  <c r="EO125" i="5"/>
  <c r="EI125" i="5"/>
  <c r="EG125" i="5"/>
  <c r="EK120" i="5"/>
  <c r="EH120" i="5"/>
  <c r="EO120" i="5"/>
  <c r="EG120" i="5"/>
  <c r="EI120" i="5"/>
  <c r="EJ120" i="5"/>
  <c r="EM120" i="5"/>
  <c r="EN120" i="5"/>
  <c r="EL120" i="5"/>
  <c r="EI136" i="5"/>
  <c r="EM136" i="5"/>
  <c r="EL136" i="5"/>
  <c r="EN136" i="5"/>
  <c r="EK136" i="5"/>
  <c r="EH136" i="5"/>
  <c r="EO136" i="5"/>
  <c r="EG136" i="5"/>
  <c r="EJ136" i="5"/>
  <c r="EJ124" i="5"/>
  <c r="EL124" i="5"/>
  <c r="EI124" i="5"/>
  <c r="EK124" i="5"/>
  <c r="EG124" i="5"/>
  <c r="EH124" i="5"/>
  <c r="EM124" i="5"/>
  <c r="EO124" i="5"/>
  <c r="EN124" i="5"/>
  <c r="EK123" i="5"/>
  <c r="EN123" i="5"/>
  <c r="EL123" i="5"/>
  <c r="EO123" i="5"/>
  <c r="EH123" i="5"/>
  <c r="EG123" i="5"/>
  <c r="EM123" i="5"/>
  <c r="EJ123" i="5"/>
  <c r="EI123" i="5"/>
  <c r="EN117" i="5"/>
  <c r="EI117" i="5"/>
  <c r="EH117" i="5"/>
  <c r="EO117" i="5"/>
  <c r="EJ117" i="5"/>
  <c r="EM117" i="5"/>
  <c r="EG117" i="5"/>
  <c r="EL117" i="5"/>
  <c r="EK117" i="5"/>
  <c r="EH115" i="5"/>
  <c r="EN115" i="5"/>
  <c r="EM115" i="5"/>
  <c r="EO115" i="5"/>
  <c r="EG115" i="5"/>
  <c r="EI115" i="5"/>
  <c r="EL115" i="5"/>
  <c r="EK115" i="5"/>
  <c r="EJ115" i="5"/>
  <c r="EJ99" i="5"/>
  <c r="EN99" i="5"/>
  <c r="EO99" i="5"/>
  <c r="EK99" i="5"/>
  <c r="EL99" i="5"/>
  <c r="EG99" i="5"/>
  <c r="EH99" i="5"/>
  <c r="EI99" i="5"/>
  <c r="EM99" i="5"/>
  <c r="FN99" i="5"/>
  <c r="FO99" i="5"/>
  <c r="FH99" i="5"/>
  <c r="FK99" i="5"/>
  <c r="FP99" i="5"/>
  <c r="FM99" i="5"/>
  <c r="FL99" i="5"/>
  <c r="FJ99" i="5"/>
  <c r="FI99" i="5"/>
  <c r="FG99" i="5"/>
  <c r="FP128" i="5"/>
  <c r="FI128" i="5"/>
  <c r="FN128" i="5"/>
  <c r="FG128" i="5"/>
  <c r="FL128" i="5"/>
  <c r="FM128" i="5"/>
  <c r="FH128" i="5"/>
  <c r="FO128" i="5"/>
  <c r="FK128" i="5"/>
  <c r="FJ128" i="5"/>
  <c r="EG96" i="5"/>
  <c r="EH96" i="5"/>
  <c r="EM96" i="5"/>
  <c r="EJ96" i="5"/>
  <c r="EI96" i="5"/>
  <c r="EN96" i="5"/>
  <c r="EO96" i="5"/>
  <c r="EK96" i="5"/>
  <c r="EL96" i="5"/>
  <c r="FH96" i="5"/>
  <c r="FO96" i="5"/>
  <c r="FN96" i="5"/>
  <c r="FP96" i="5"/>
  <c r="FM96" i="5"/>
  <c r="FK96" i="5"/>
  <c r="FG96" i="5"/>
  <c r="FL96" i="5"/>
  <c r="FI96" i="5"/>
  <c r="FJ96" i="5"/>
  <c r="FP116" i="5"/>
  <c r="FH116" i="5"/>
  <c r="FN116" i="5"/>
  <c r="FM116" i="5"/>
  <c r="FK116" i="5"/>
  <c r="FJ116" i="5"/>
  <c r="FG116" i="5"/>
  <c r="FI116" i="5"/>
  <c r="FO116" i="5"/>
  <c r="FL116" i="5"/>
  <c r="FK118" i="5"/>
  <c r="FP118" i="5"/>
  <c r="FL118" i="5"/>
  <c r="FJ118" i="5"/>
  <c r="FM118" i="5"/>
  <c r="FO118" i="5"/>
  <c r="FN118" i="5"/>
  <c r="FI118" i="5"/>
  <c r="FH118" i="5"/>
  <c r="FG118" i="5"/>
  <c r="EI103" i="5"/>
  <c r="EM103" i="5"/>
  <c r="EK103" i="5"/>
  <c r="EN103" i="5"/>
  <c r="EH103" i="5"/>
  <c r="EJ103" i="5"/>
  <c r="EG103" i="5"/>
  <c r="EL103" i="5"/>
  <c r="EO103" i="5"/>
  <c r="FI103" i="5"/>
  <c r="FL103" i="5"/>
  <c r="FK103" i="5"/>
  <c r="FG103" i="5"/>
  <c r="FP103" i="5"/>
  <c r="FO103" i="5"/>
  <c r="FH103" i="5"/>
  <c r="FJ103" i="5"/>
  <c r="FN103" i="5"/>
  <c r="FM103" i="5"/>
  <c r="DI157" i="5"/>
  <c r="DP157" i="5"/>
  <c r="DM157" i="5"/>
  <c r="DK157" i="5"/>
  <c r="DN157" i="5"/>
  <c r="DQ157" i="5"/>
  <c r="DO157" i="5"/>
  <c r="DL157" i="5"/>
  <c r="DJ157" i="5"/>
  <c r="FP157" i="5"/>
  <c r="FJ157" i="5"/>
  <c r="FH157" i="5"/>
  <c r="FG157" i="5"/>
  <c r="FM157" i="5"/>
  <c r="FL157" i="5"/>
  <c r="FO157" i="5"/>
  <c r="FN157" i="5"/>
  <c r="FI157" i="5"/>
  <c r="FK157" i="5"/>
  <c r="FP131" i="5"/>
  <c r="FI131" i="5"/>
  <c r="FG131" i="5"/>
  <c r="FJ131" i="5"/>
  <c r="FM131" i="5"/>
  <c r="FL131" i="5"/>
  <c r="FO131" i="5"/>
  <c r="FN131" i="5"/>
  <c r="FH131" i="5"/>
  <c r="FK131" i="5"/>
  <c r="EJ105" i="5"/>
  <c r="EK105" i="5"/>
  <c r="EO105" i="5"/>
  <c r="EG105" i="5"/>
  <c r="EI105" i="5"/>
  <c r="EH105" i="5"/>
  <c r="EL105" i="5"/>
  <c r="EN105" i="5"/>
  <c r="EM105" i="5"/>
  <c r="FL105" i="5"/>
  <c r="FN105" i="5"/>
  <c r="FP105" i="5"/>
  <c r="FM105" i="5"/>
  <c r="FH105" i="5"/>
  <c r="FO105" i="5"/>
  <c r="FG105" i="5"/>
  <c r="FJ105" i="5"/>
  <c r="FI105" i="5"/>
  <c r="FK105" i="5"/>
  <c r="DI144" i="5"/>
  <c r="DP144" i="5"/>
  <c r="DM144" i="5"/>
  <c r="DK144" i="5"/>
  <c r="DN144" i="5"/>
  <c r="DQ144" i="5"/>
  <c r="DO144" i="5"/>
  <c r="DL144" i="5"/>
  <c r="DJ144" i="5"/>
  <c r="FN144" i="5"/>
  <c r="FI144" i="5"/>
  <c r="FH144" i="5"/>
  <c r="FP144" i="5"/>
  <c r="FK144" i="5"/>
  <c r="FG144" i="5"/>
  <c r="FM144" i="5"/>
  <c r="FJ144" i="5"/>
  <c r="FL144" i="5"/>
  <c r="FO144" i="5"/>
  <c r="EI93" i="5"/>
  <c r="EN93" i="5"/>
  <c r="EG93" i="5"/>
  <c r="EK93" i="5"/>
  <c r="EO93" i="5"/>
  <c r="EH93" i="5"/>
  <c r="EL93" i="5"/>
  <c r="EJ93" i="5"/>
  <c r="EM93" i="5"/>
  <c r="FJ93" i="5"/>
  <c r="FP93" i="5"/>
  <c r="FL93" i="5"/>
  <c r="FH93" i="5"/>
  <c r="FG93" i="5"/>
  <c r="FN93" i="5"/>
  <c r="FO93" i="5"/>
  <c r="FK93" i="5"/>
  <c r="FI93" i="5"/>
  <c r="FM93" i="5"/>
  <c r="FH132" i="5"/>
  <c r="FM132" i="5"/>
  <c r="FI132" i="5"/>
  <c r="FP132" i="5"/>
  <c r="FO132" i="5"/>
  <c r="FG132" i="5"/>
  <c r="FN132" i="5"/>
  <c r="FJ132" i="5"/>
  <c r="FL132" i="5"/>
  <c r="FK132" i="5"/>
  <c r="FP134" i="5"/>
  <c r="FG134" i="5"/>
  <c r="FJ134" i="5"/>
  <c r="FO134" i="5"/>
  <c r="FL134" i="5"/>
  <c r="FN134" i="5"/>
  <c r="FM134" i="5"/>
  <c r="FI134" i="5"/>
  <c r="FK134" i="5"/>
  <c r="FH134" i="5"/>
  <c r="FL121" i="5"/>
  <c r="FN121" i="5"/>
  <c r="FI121" i="5"/>
  <c r="FP121" i="5"/>
  <c r="FH121" i="5"/>
  <c r="FK121" i="5"/>
  <c r="FM121" i="5"/>
  <c r="FO121" i="5"/>
  <c r="FG121" i="5"/>
  <c r="FJ121" i="5"/>
  <c r="EH107" i="5"/>
  <c r="EJ107" i="5"/>
  <c r="EG107" i="5"/>
  <c r="EL107" i="5"/>
  <c r="EM107" i="5"/>
  <c r="EO107" i="5"/>
  <c r="EN107" i="5"/>
  <c r="EI107" i="5"/>
  <c r="EK107" i="5"/>
  <c r="FP107" i="5"/>
  <c r="FG107" i="5"/>
  <c r="FJ107" i="5"/>
  <c r="FO107" i="5"/>
  <c r="FK107" i="5"/>
  <c r="FM107" i="5"/>
  <c r="FL107" i="5"/>
  <c r="FH107" i="5"/>
  <c r="FN107" i="5"/>
  <c r="FI107" i="5"/>
  <c r="FP123" i="5"/>
  <c r="FO123" i="5"/>
  <c r="FL123" i="5"/>
  <c r="FJ123" i="5"/>
  <c r="FG123" i="5"/>
  <c r="FN123" i="5"/>
  <c r="FH123" i="5"/>
  <c r="FI123" i="5"/>
  <c r="FK123" i="5"/>
  <c r="FM123" i="5"/>
  <c r="FK129" i="5"/>
  <c r="FM129" i="5"/>
  <c r="FG129" i="5"/>
  <c r="FO129" i="5"/>
  <c r="FJ129" i="5"/>
  <c r="FL129" i="5"/>
  <c r="FP129" i="5"/>
  <c r="FH129" i="5"/>
  <c r="FN129" i="5"/>
  <c r="FI129" i="5"/>
  <c r="EH89" i="5"/>
  <c r="EO89" i="5"/>
  <c r="EN89" i="5"/>
  <c r="EM89" i="5"/>
  <c r="EJ89" i="5"/>
  <c r="EK89" i="5"/>
  <c r="EI89" i="5"/>
  <c r="EG89" i="5"/>
  <c r="EL89" i="5"/>
  <c r="FP89" i="5"/>
  <c r="FO89" i="5"/>
  <c r="FH89" i="5"/>
  <c r="FI89" i="5"/>
  <c r="FG89" i="5"/>
  <c r="FN89" i="5"/>
  <c r="FL89" i="5"/>
  <c r="FK89" i="5"/>
  <c r="FM89" i="5"/>
  <c r="FJ89" i="5"/>
  <c r="EI87" i="5"/>
  <c r="EM87" i="5"/>
  <c r="EJ87" i="5"/>
  <c r="EO87" i="5"/>
  <c r="EH87" i="5"/>
  <c r="EG87" i="5"/>
  <c r="EN87" i="5"/>
  <c r="EL87" i="5"/>
  <c r="EK87" i="5"/>
  <c r="FP87" i="5"/>
  <c r="FN87" i="5"/>
  <c r="FM87" i="5"/>
  <c r="FO87" i="5"/>
  <c r="FG87" i="5"/>
  <c r="FL87" i="5"/>
  <c r="FH87" i="5"/>
  <c r="FJ87" i="5"/>
  <c r="FK87" i="5"/>
  <c r="FI87" i="5"/>
  <c r="EG100" i="5"/>
  <c r="EO100" i="5"/>
  <c r="EJ100" i="5"/>
  <c r="EK100" i="5"/>
  <c r="EL100" i="5"/>
  <c r="EH100" i="5"/>
  <c r="EN100" i="5"/>
  <c r="EI100" i="5"/>
  <c r="EM100" i="5"/>
  <c r="FP100" i="5"/>
  <c r="FI100" i="5"/>
  <c r="FG100" i="5"/>
  <c r="FM100" i="5"/>
  <c r="FK100" i="5"/>
  <c r="FH100" i="5"/>
  <c r="FJ100" i="5"/>
  <c r="FL100" i="5"/>
  <c r="FN100" i="5"/>
  <c r="FO100" i="5"/>
  <c r="EJ109" i="5"/>
  <c r="EK109" i="5"/>
  <c r="EO109" i="5"/>
  <c r="EG109" i="5"/>
  <c r="EL109" i="5"/>
  <c r="EM109" i="5"/>
  <c r="EH109" i="5"/>
  <c r="EI109" i="5"/>
  <c r="EN109" i="5"/>
  <c r="FI109" i="5"/>
  <c r="FG109" i="5"/>
  <c r="FJ109" i="5"/>
  <c r="FL109" i="5"/>
  <c r="FK109" i="5"/>
  <c r="FP109" i="5"/>
  <c r="FM109" i="5"/>
  <c r="FO109" i="5"/>
  <c r="FH109" i="5"/>
  <c r="FN109" i="5"/>
  <c r="FM117" i="5"/>
  <c r="FP117" i="5"/>
  <c r="FJ117" i="5"/>
  <c r="FL117" i="5"/>
  <c r="FN117" i="5"/>
  <c r="FH117" i="5"/>
  <c r="FI117" i="5"/>
  <c r="FO117" i="5"/>
  <c r="FK117" i="5"/>
  <c r="FG117" i="5"/>
  <c r="DI149" i="5"/>
  <c r="DP149" i="5"/>
  <c r="DM149" i="5"/>
  <c r="DK149" i="5"/>
  <c r="DN149" i="5"/>
  <c r="DQ149" i="5"/>
  <c r="DO149" i="5"/>
  <c r="DL149" i="5"/>
  <c r="DJ149" i="5"/>
  <c r="FM149" i="5"/>
  <c r="FL149" i="5"/>
  <c r="FK149" i="5"/>
  <c r="FP149" i="5"/>
  <c r="FG149" i="5"/>
  <c r="FO149" i="5"/>
  <c r="FN149" i="5"/>
  <c r="FH149" i="5"/>
  <c r="FJ149" i="5"/>
  <c r="FI149" i="5"/>
  <c r="DI158" i="5"/>
  <c r="DP158" i="5"/>
  <c r="DM158" i="5"/>
  <c r="DK158" i="5"/>
  <c r="DN158" i="5"/>
  <c r="DQ158" i="5"/>
  <c r="DO158" i="5"/>
  <c r="DL158" i="5"/>
  <c r="DJ158" i="5"/>
  <c r="FP158" i="5"/>
  <c r="FN158" i="5"/>
  <c r="FI158" i="5"/>
  <c r="FO158" i="5"/>
  <c r="FK158" i="5"/>
  <c r="FL158" i="5"/>
  <c r="FJ158" i="5"/>
  <c r="FH158" i="5"/>
  <c r="FM158" i="5"/>
  <c r="FG158" i="5"/>
  <c r="EM106" i="5"/>
  <c r="EN106" i="5"/>
  <c r="EG106" i="5"/>
  <c r="EJ106" i="5"/>
  <c r="EO106" i="5"/>
  <c r="EK106" i="5"/>
  <c r="EI106" i="5"/>
  <c r="EH106" i="5"/>
  <c r="EL106" i="5"/>
  <c r="FO106" i="5"/>
  <c r="FP106" i="5"/>
  <c r="FK106" i="5"/>
  <c r="FL106" i="5"/>
  <c r="FH106" i="5"/>
  <c r="FJ106" i="5"/>
  <c r="FN106" i="5"/>
  <c r="FI106" i="5"/>
  <c r="FM106" i="5"/>
  <c r="FG106" i="5"/>
  <c r="FK137" i="5"/>
  <c r="FP137" i="5"/>
  <c r="FG137" i="5"/>
  <c r="FO137" i="5"/>
  <c r="FH137" i="5"/>
  <c r="FJ137" i="5"/>
  <c r="FL137" i="5"/>
  <c r="FI137" i="5"/>
  <c r="FM137" i="5"/>
  <c r="FN137" i="5"/>
  <c r="EK90" i="5"/>
  <c r="EI90" i="5"/>
  <c r="EM90" i="5"/>
  <c r="EL90" i="5"/>
  <c r="EG90" i="5"/>
  <c r="EH90" i="5"/>
  <c r="EN90" i="5"/>
  <c r="EJ90" i="5"/>
  <c r="EO90" i="5"/>
  <c r="FP90" i="5"/>
  <c r="FI90" i="5"/>
  <c r="FG90" i="5"/>
  <c r="FJ90" i="5"/>
  <c r="FH90" i="5"/>
  <c r="FO90" i="5"/>
  <c r="FL90" i="5"/>
  <c r="FM90" i="5"/>
  <c r="FN90" i="5"/>
  <c r="FK90" i="5"/>
  <c r="EM104" i="5"/>
  <c r="EH104" i="5"/>
  <c r="EO104" i="5"/>
  <c r="EG104" i="5"/>
  <c r="EI104" i="5"/>
  <c r="EN104" i="5"/>
  <c r="EJ104" i="5"/>
  <c r="EL104" i="5"/>
  <c r="EK104" i="5"/>
  <c r="FL104" i="5"/>
  <c r="FJ104" i="5"/>
  <c r="FO104" i="5"/>
  <c r="FN104" i="5"/>
  <c r="FP104" i="5"/>
  <c r="FI104" i="5"/>
  <c r="FK104" i="5"/>
  <c r="FM104" i="5"/>
  <c r="FH104" i="5"/>
  <c r="FG104" i="5"/>
  <c r="EM110" i="5"/>
  <c r="EN110" i="5"/>
  <c r="EI110" i="5"/>
  <c r="EJ110" i="5"/>
  <c r="EO110" i="5"/>
  <c r="EL110" i="5"/>
  <c r="EH110" i="5"/>
  <c r="EG110" i="5"/>
  <c r="EK110" i="5"/>
  <c r="FI110" i="5"/>
  <c r="FH110" i="5"/>
  <c r="FN110" i="5"/>
  <c r="FP110" i="5"/>
  <c r="FL110" i="5"/>
  <c r="FJ110" i="5"/>
  <c r="FM110" i="5"/>
  <c r="FK110" i="5"/>
  <c r="FO110" i="5"/>
  <c r="FG110" i="5"/>
  <c r="FN122" i="5"/>
  <c r="FP122" i="5"/>
  <c r="FK122" i="5"/>
  <c r="FI122" i="5"/>
  <c r="FG122" i="5"/>
  <c r="FO122" i="5"/>
  <c r="FL122" i="5"/>
  <c r="FJ122" i="5"/>
  <c r="FH122" i="5"/>
  <c r="FM122" i="5"/>
  <c r="FN124" i="5"/>
  <c r="FP124" i="5"/>
  <c r="FO124" i="5"/>
  <c r="FH124" i="5"/>
  <c r="FM124" i="5"/>
  <c r="FJ124" i="5"/>
  <c r="FL124" i="5"/>
  <c r="FI124" i="5"/>
  <c r="FG124" i="5"/>
  <c r="FK124" i="5"/>
  <c r="DI147" i="5"/>
  <c r="DP147" i="5"/>
  <c r="DM147" i="5"/>
  <c r="DK147" i="5"/>
  <c r="DN147" i="5"/>
  <c r="DQ147" i="5"/>
  <c r="DO147" i="5"/>
  <c r="DL147" i="5"/>
  <c r="DJ147" i="5"/>
  <c r="FP147" i="5"/>
  <c r="FM147" i="5"/>
  <c r="FN147" i="5"/>
  <c r="FO147" i="5"/>
  <c r="FJ147" i="5"/>
  <c r="FH147" i="5"/>
  <c r="FL147" i="5"/>
  <c r="FG147" i="5"/>
  <c r="FI147" i="5"/>
  <c r="FK147" i="5"/>
  <c r="EN95" i="5"/>
  <c r="EG95" i="5"/>
  <c r="EO95" i="5"/>
  <c r="EI95" i="5"/>
  <c r="EH95" i="5"/>
  <c r="EK95" i="5"/>
  <c r="EM95" i="5"/>
  <c r="EL95" i="5"/>
  <c r="EJ95" i="5"/>
  <c r="FM95" i="5"/>
  <c r="FG95" i="5"/>
  <c r="FP95" i="5"/>
  <c r="FL95" i="5"/>
  <c r="FJ95" i="5"/>
  <c r="FO95" i="5"/>
  <c r="FN95" i="5"/>
  <c r="FK95" i="5"/>
  <c r="FH95" i="5"/>
  <c r="FI95" i="5"/>
  <c r="DI151" i="5"/>
  <c r="DP151" i="5"/>
  <c r="DM151" i="5"/>
  <c r="DK151" i="5"/>
  <c r="DN151" i="5"/>
  <c r="DQ151" i="5"/>
  <c r="DO151" i="5"/>
  <c r="DL151" i="5"/>
  <c r="DJ151" i="5"/>
  <c r="FP151" i="5"/>
  <c r="FK151" i="5"/>
  <c r="FO151" i="5"/>
  <c r="FL151" i="5"/>
  <c r="FG151" i="5"/>
  <c r="FH151" i="5"/>
  <c r="FM151" i="5"/>
  <c r="FN151" i="5"/>
  <c r="FJ151" i="5"/>
  <c r="FI151" i="5"/>
  <c r="EK97" i="5"/>
  <c r="EJ97" i="5"/>
  <c r="EL97" i="5"/>
  <c r="EG97" i="5"/>
  <c r="EO97" i="5"/>
  <c r="EH97" i="5"/>
  <c r="EN97" i="5"/>
  <c r="EI97" i="5"/>
  <c r="EM97" i="5"/>
  <c r="FM97" i="5"/>
  <c r="FP97" i="5"/>
  <c r="FN97" i="5"/>
  <c r="FO97" i="5"/>
  <c r="FJ97" i="5"/>
  <c r="FK97" i="5"/>
  <c r="FH97" i="5"/>
  <c r="FL97" i="5"/>
  <c r="FG97" i="5"/>
  <c r="FI97" i="5"/>
  <c r="DI161" i="5"/>
  <c r="DO161" i="5"/>
  <c r="DQ161" i="5"/>
  <c r="DJ161" i="5"/>
  <c r="DL161" i="5"/>
  <c r="DN161" i="5"/>
  <c r="DP161" i="5"/>
  <c r="DK161" i="5"/>
  <c r="DM161" i="5"/>
  <c r="FP161" i="5"/>
  <c r="FL161" i="5"/>
  <c r="FO161" i="5"/>
  <c r="FH161" i="5"/>
  <c r="FK161" i="5"/>
  <c r="FJ161" i="5"/>
  <c r="FN161" i="5"/>
  <c r="FM161" i="5"/>
  <c r="FG161" i="5"/>
  <c r="FI161" i="5"/>
  <c r="DI153" i="5"/>
  <c r="DP153" i="5"/>
  <c r="DM153" i="5"/>
  <c r="DK153" i="5"/>
  <c r="DN153" i="5"/>
  <c r="DQ153" i="5"/>
  <c r="DO153" i="5"/>
  <c r="DL153" i="5"/>
  <c r="DJ153" i="5"/>
  <c r="FI153" i="5"/>
  <c r="FN153" i="5"/>
  <c r="FP153" i="5"/>
  <c r="FO153" i="5"/>
  <c r="FG153" i="5"/>
  <c r="FJ153" i="5"/>
  <c r="FM153" i="5"/>
  <c r="FL153" i="5"/>
  <c r="FK153" i="5"/>
  <c r="FH153" i="5"/>
  <c r="DI160" i="5"/>
  <c r="DO160" i="5"/>
  <c r="DQ160" i="5"/>
  <c r="DK160" i="5"/>
  <c r="DJ160" i="5"/>
  <c r="DP160" i="5"/>
  <c r="DL160" i="5"/>
  <c r="DN160" i="5"/>
  <c r="DM160" i="5"/>
  <c r="FP160" i="5"/>
  <c r="FL160" i="5"/>
  <c r="FG160" i="5"/>
  <c r="FN160" i="5"/>
  <c r="FI160" i="5"/>
  <c r="FK160" i="5"/>
  <c r="FJ160" i="5"/>
  <c r="FM160" i="5"/>
  <c r="FO160" i="5"/>
  <c r="FH160" i="5"/>
  <c r="FL125" i="5"/>
  <c r="FI125" i="5"/>
  <c r="FK125" i="5"/>
  <c r="FJ125" i="5"/>
  <c r="FP125" i="5"/>
  <c r="FN125" i="5"/>
  <c r="FM125" i="5"/>
  <c r="FG125" i="5"/>
  <c r="FO125" i="5"/>
  <c r="FH125" i="5"/>
  <c r="FP162" i="5"/>
  <c r="FN162" i="5"/>
  <c r="FK162" i="5"/>
  <c r="FM162" i="5"/>
  <c r="FO162" i="5"/>
  <c r="FI162" i="5"/>
  <c r="FG162" i="5"/>
  <c r="FJ162" i="5"/>
  <c r="FH162" i="5"/>
  <c r="DK162" i="5"/>
  <c r="DM162" i="5"/>
  <c r="DI162" i="5"/>
  <c r="DO162" i="5"/>
  <c r="DQ162" i="5"/>
  <c r="FL162" i="5"/>
  <c r="DJ162" i="5"/>
  <c r="DL162" i="5"/>
  <c r="DN162" i="5"/>
  <c r="DP162" i="5"/>
  <c r="EH108" i="5"/>
  <c r="EL108" i="5"/>
  <c r="EJ108" i="5"/>
  <c r="EM108" i="5"/>
  <c r="EI108" i="5"/>
  <c r="EG108" i="5"/>
  <c r="EK108" i="5"/>
  <c r="EO108" i="5"/>
  <c r="EN108" i="5"/>
  <c r="FM108" i="5"/>
  <c r="FJ108" i="5"/>
  <c r="FP108" i="5"/>
  <c r="FL108" i="5"/>
  <c r="FN108" i="5"/>
  <c r="FO108" i="5"/>
  <c r="FI108" i="5"/>
  <c r="FH108" i="5"/>
  <c r="FG108" i="5"/>
  <c r="FK108" i="5"/>
  <c r="DI142" i="5"/>
  <c r="DO142" i="5"/>
  <c r="DQ142" i="5"/>
  <c r="DJ142" i="5"/>
  <c r="DL142" i="5"/>
  <c r="DP142" i="5"/>
  <c r="DN142" i="5"/>
  <c r="DK142" i="5"/>
  <c r="DM142" i="5"/>
  <c r="FL142" i="5"/>
  <c r="FJ142" i="5"/>
  <c r="FP142" i="5"/>
  <c r="FO142" i="5"/>
  <c r="FG142" i="5"/>
  <c r="FK142" i="5"/>
  <c r="FI142" i="5"/>
  <c r="FH142" i="5"/>
  <c r="FN142" i="5"/>
  <c r="FM142" i="5"/>
  <c r="EJ112" i="5"/>
  <c r="EL112" i="5"/>
  <c r="EH112" i="5"/>
  <c r="EM112" i="5"/>
  <c r="EG112" i="5"/>
  <c r="EI112" i="5"/>
  <c r="EN112" i="5"/>
  <c r="EK112" i="5"/>
  <c r="EO112" i="5"/>
  <c r="FP112" i="5"/>
  <c r="FG112" i="5"/>
  <c r="FH112" i="5"/>
  <c r="FO112" i="5"/>
  <c r="FI112" i="5"/>
  <c r="FJ112" i="5"/>
  <c r="FM112" i="5"/>
  <c r="FN112" i="5"/>
  <c r="FK112" i="5"/>
  <c r="FL112" i="5"/>
  <c r="FP130" i="5"/>
  <c r="FK130" i="5"/>
  <c r="FL130" i="5"/>
  <c r="FJ130" i="5"/>
  <c r="FM130" i="5"/>
  <c r="FO130" i="5"/>
  <c r="FN130" i="5"/>
  <c r="FH130" i="5"/>
  <c r="FG130" i="5"/>
  <c r="FI130" i="5"/>
  <c r="DI155" i="5"/>
  <c r="DP155" i="5"/>
  <c r="DM155" i="5"/>
  <c r="DK155" i="5"/>
  <c r="DN155" i="5"/>
  <c r="DQ155" i="5"/>
  <c r="DO155" i="5"/>
  <c r="DL155" i="5"/>
  <c r="DJ155" i="5"/>
  <c r="FH155" i="5"/>
  <c r="FJ155" i="5"/>
  <c r="FO155" i="5"/>
  <c r="FP155" i="5"/>
  <c r="FG155" i="5"/>
  <c r="FL155" i="5"/>
  <c r="FN155" i="5"/>
  <c r="FK155" i="5"/>
  <c r="FM155" i="5"/>
  <c r="FI155" i="5"/>
  <c r="EO102" i="5"/>
  <c r="EM102" i="5"/>
  <c r="EH102" i="5"/>
  <c r="EJ102" i="5"/>
  <c r="EN102" i="5"/>
  <c r="EI102" i="5"/>
  <c r="EK102" i="5"/>
  <c r="EL102" i="5"/>
  <c r="EG102" i="5"/>
  <c r="FP102" i="5"/>
  <c r="FN102" i="5"/>
  <c r="FH102" i="5"/>
  <c r="FM102" i="5"/>
  <c r="FJ102" i="5"/>
  <c r="FL102" i="5"/>
  <c r="FG102" i="5"/>
  <c r="FI102" i="5"/>
  <c r="FK102" i="5"/>
  <c r="FO102" i="5"/>
  <c r="DI152" i="5"/>
  <c r="DP152" i="5"/>
  <c r="DM152" i="5"/>
  <c r="DK152" i="5"/>
  <c r="DN152" i="5"/>
  <c r="DQ152" i="5"/>
  <c r="DO152" i="5"/>
  <c r="DL152" i="5"/>
  <c r="DJ152" i="5"/>
  <c r="FN152" i="5"/>
  <c r="FO152" i="5"/>
  <c r="FJ152" i="5"/>
  <c r="FM152" i="5"/>
  <c r="FP152" i="5"/>
  <c r="FH152" i="5"/>
  <c r="FL152" i="5"/>
  <c r="FI152" i="5"/>
  <c r="FK152" i="5"/>
  <c r="FG152" i="5"/>
  <c r="EO88" i="5"/>
  <c r="EJ88" i="5"/>
  <c r="EI88" i="5"/>
  <c r="EL88" i="5"/>
  <c r="EK88" i="5"/>
  <c r="EM88" i="5"/>
  <c r="EN88" i="5"/>
  <c r="EG88" i="5"/>
  <c r="EH88" i="5"/>
  <c r="FN88" i="5"/>
  <c r="FP88" i="5"/>
  <c r="FH88" i="5"/>
  <c r="FK88" i="5"/>
  <c r="FO88" i="5"/>
  <c r="FL88" i="5"/>
  <c r="FG88" i="5"/>
  <c r="FJ88" i="5"/>
  <c r="FI88" i="5"/>
  <c r="FM88" i="5"/>
  <c r="EO92" i="5"/>
  <c r="EN92" i="5"/>
  <c r="EK92" i="5"/>
  <c r="EL92" i="5"/>
  <c r="EG92" i="5"/>
  <c r="EH92" i="5"/>
  <c r="EJ92" i="5"/>
  <c r="EI92" i="5"/>
  <c r="EM92" i="5"/>
  <c r="FM92" i="5"/>
  <c r="FP92" i="5"/>
  <c r="FN92" i="5"/>
  <c r="FK92" i="5"/>
  <c r="FJ92" i="5"/>
  <c r="FG92" i="5"/>
  <c r="FL92" i="5"/>
  <c r="FH92" i="5"/>
  <c r="FO92" i="5"/>
  <c r="FI92" i="5"/>
  <c r="FL135" i="5"/>
  <c r="FP135" i="5"/>
  <c r="FK135" i="5"/>
  <c r="FO135" i="5"/>
  <c r="FN135" i="5"/>
  <c r="FG135" i="5"/>
  <c r="FM135" i="5"/>
  <c r="FJ135" i="5"/>
  <c r="FH135" i="5"/>
  <c r="FI135" i="5"/>
  <c r="DI141" i="5"/>
  <c r="DO141" i="5"/>
  <c r="DM141" i="5"/>
  <c r="DJ141" i="5"/>
  <c r="DL141" i="5"/>
  <c r="DP141" i="5"/>
  <c r="DN141" i="5"/>
  <c r="DK141" i="5"/>
  <c r="DQ141" i="5"/>
  <c r="FL141" i="5"/>
  <c r="FK141" i="5"/>
  <c r="FO141" i="5"/>
  <c r="FP141" i="5"/>
  <c r="FJ141" i="5"/>
  <c r="FH141" i="5"/>
  <c r="FM141" i="5"/>
  <c r="FN141" i="5"/>
  <c r="FI141" i="5"/>
  <c r="FG141" i="5"/>
  <c r="DI156" i="5"/>
  <c r="DP156" i="5"/>
  <c r="DM156" i="5"/>
  <c r="DK156" i="5"/>
  <c r="DN156" i="5"/>
  <c r="DQ156" i="5"/>
  <c r="DO156" i="5"/>
  <c r="DL156" i="5"/>
  <c r="DJ156" i="5"/>
  <c r="FG156" i="5"/>
  <c r="FK156" i="5"/>
  <c r="FM156" i="5"/>
  <c r="FL156" i="5"/>
  <c r="FP156" i="5"/>
  <c r="FO156" i="5"/>
  <c r="FJ156" i="5"/>
  <c r="FI156" i="5"/>
  <c r="FH156" i="5"/>
  <c r="FN156" i="5"/>
  <c r="EJ84" i="5"/>
  <c r="EH84" i="5"/>
  <c r="EM84" i="5"/>
  <c r="EN84" i="5"/>
  <c r="EI84" i="5"/>
  <c r="EG84" i="5"/>
  <c r="EO84" i="5"/>
  <c r="EK84" i="5"/>
  <c r="EL84" i="5"/>
  <c r="FM84" i="5"/>
  <c r="FK84" i="5"/>
  <c r="FP84" i="5"/>
  <c r="FG84" i="5"/>
  <c r="FI84" i="5"/>
  <c r="FH84" i="5"/>
  <c r="FN84" i="5"/>
  <c r="FO84" i="5"/>
  <c r="FJ84" i="5"/>
  <c r="FL84" i="5"/>
  <c r="FN115" i="5"/>
  <c r="FK115" i="5"/>
  <c r="FM115" i="5"/>
  <c r="FI115" i="5"/>
  <c r="FL115" i="5"/>
  <c r="FP115" i="5"/>
  <c r="FH115" i="5"/>
  <c r="FG115" i="5"/>
  <c r="FO115" i="5"/>
  <c r="FJ115" i="5"/>
  <c r="FP120" i="5"/>
  <c r="FI120" i="5"/>
  <c r="FO120" i="5"/>
  <c r="FJ120" i="5"/>
  <c r="FK120" i="5"/>
  <c r="FN120" i="5"/>
  <c r="FL120" i="5"/>
  <c r="FM120" i="5"/>
  <c r="FG120" i="5"/>
  <c r="FH120" i="5"/>
  <c r="EH91" i="5"/>
  <c r="EI91" i="5"/>
  <c r="EK91" i="5"/>
  <c r="EJ91" i="5"/>
  <c r="EO91" i="5"/>
  <c r="EM91" i="5"/>
  <c r="EG91" i="5"/>
  <c r="EL91" i="5"/>
  <c r="EN91" i="5"/>
  <c r="FG91" i="5"/>
  <c r="FJ91" i="5"/>
  <c r="FK91" i="5"/>
  <c r="FH91" i="5"/>
  <c r="FP91" i="5"/>
  <c r="FI91" i="5"/>
  <c r="FL91" i="5"/>
  <c r="FN91" i="5"/>
  <c r="FO91" i="5"/>
  <c r="FM91" i="5"/>
  <c r="DI139" i="5"/>
  <c r="DO139" i="5"/>
  <c r="DM139" i="5"/>
  <c r="DJ139" i="5"/>
  <c r="DL139" i="5"/>
  <c r="DP139" i="5"/>
  <c r="DN139" i="5"/>
  <c r="DK139" i="5"/>
  <c r="DQ139" i="5"/>
  <c r="FN139" i="5"/>
  <c r="FL139" i="5"/>
  <c r="FM139" i="5"/>
  <c r="FK139" i="5"/>
  <c r="FJ139" i="5"/>
  <c r="FP139" i="5"/>
  <c r="FH139" i="5"/>
  <c r="FG139" i="5"/>
  <c r="FO139" i="5"/>
  <c r="FI139" i="5"/>
  <c r="DI145" i="5"/>
  <c r="DP145" i="5"/>
  <c r="DM145" i="5"/>
  <c r="DK145" i="5"/>
  <c r="DN145" i="5"/>
  <c r="DQ145" i="5"/>
  <c r="DO145" i="5"/>
  <c r="DL145" i="5"/>
  <c r="DJ145" i="5"/>
  <c r="FL145" i="5"/>
  <c r="FO145" i="5"/>
  <c r="FH145" i="5"/>
  <c r="FM145" i="5"/>
  <c r="FI145" i="5"/>
  <c r="FP145" i="5"/>
  <c r="FN145" i="5"/>
  <c r="FG145" i="5"/>
  <c r="FK145" i="5"/>
  <c r="FJ145" i="5"/>
  <c r="DI159" i="5"/>
  <c r="DP159" i="5"/>
  <c r="DM159" i="5"/>
  <c r="DK159" i="5"/>
  <c r="DN159" i="5"/>
  <c r="DQ159" i="5"/>
  <c r="DO159" i="5"/>
  <c r="DL159" i="5"/>
  <c r="DJ159" i="5"/>
  <c r="FI159" i="5"/>
  <c r="FN159" i="5"/>
  <c r="FP159" i="5"/>
  <c r="FJ159" i="5"/>
  <c r="FG159" i="5"/>
  <c r="FM159" i="5"/>
  <c r="FO159" i="5"/>
  <c r="FH159" i="5"/>
  <c r="FL159" i="5"/>
  <c r="FK159" i="5"/>
  <c r="EH85" i="5"/>
  <c r="EL85" i="5"/>
  <c r="EM85" i="5"/>
  <c r="EI85" i="5"/>
  <c r="EJ85" i="5"/>
  <c r="EN85" i="5"/>
  <c r="EO85" i="5"/>
  <c r="EG85" i="5"/>
  <c r="EK85" i="5"/>
  <c r="FL85" i="5"/>
  <c r="FN85" i="5"/>
  <c r="FM85" i="5"/>
  <c r="FH85" i="5"/>
  <c r="FP85" i="5"/>
  <c r="FO85" i="5"/>
  <c r="FK85" i="5"/>
  <c r="FJ85" i="5"/>
  <c r="FI85" i="5"/>
  <c r="FG85" i="5"/>
  <c r="EO111" i="5"/>
  <c r="EI111" i="5"/>
  <c r="EM111" i="5"/>
  <c r="EH111" i="5"/>
  <c r="EJ111" i="5"/>
  <c r="EN111" i="5"/>
  <c r="EK111" i="5"/>
  <c r="EG111" i="5"/>
  <c r="EL111" i="5"/>
  <c r="FM111" i="5"/>
  <c r="FH111" i="5"/>
  <c r="FP111" i="5"/>
  <c r="FK111" i="5"/>
  <c r="FJ111" i="5"/>
  <c r="FL111" i="5"/>
  <c r="FN111" i="5"/>
  <c r="FG111" i="5"/>
  <c r="FI111" i="5"/>
  <c r="FO111" i="5"/>
  <c r="FJ127" i="5"/>
  <c r="FK127" i="5"/>
  <c r="FM127" i="5"/>
  <c r="FP127" i="5"/>
  <c r="FH127" i="5"/>
  <c r="FN127" i="5"/>
  <c r="FG127" i="5"/>
  <c r="FO127" i="5"/>
  <c r="FL127" i="5"/>
  <c r="FI127" i="5"/>
  <c r="FP133" i="5"/>
  <c r="FK133" i="5"/>
  <c r="FJ133" i="5"/>
  <c r="FN133" i="5"/>
  <c r="FO133" i="5"/>
  <c r="FM133" i="5"/>
  <c r="FI133" i="5"/>
  <c r="FL133" i="5"/>
  <c r="FH133" i="5"/>
  <c r="FG133" i="5"/>
  <c r="DI148" i="5"/>
  <c r="DP148" i="5"/>
  <c r="DM148" i="5"/>
  <c r="DK148" i="5"/>
  <c r="DN148" i="5"/>
  <c r="DQ148" i="5"/>
  <c r="DO148" i="5"/>
  <c r="DL148" i="5"/>
  <c r="DJ148" i="5"/>
  <c r="FH148" i="5"/>
  <c r="FJ148" i="5"/>
  <c r="FG148" i="5"/>
  <c r="FP148" i="5"/>
  <c r="FO148" i="5"/>
  <c r="FM148" i="5"/>
  <c r="FK148" i="5"/>
  <c r="FI148" i="5"/>
  <c r="FN148" i="5"/>
  <c r="FL148" i="5"/>
  <c r="EO86" i="5"/>
  <c r="EG86" i="5"/>
  <c r="EH86" i="5"/>
  <c r="EM86" i="5"/>
  <c r="EL86" i="5"/>
  <c r="EJ86" i="5"/>
  <c r="EN86" i="5"/>
  <c r="EI86" i="5"/>
  <c r="EK86" i="5"/>
  <c r="FN86" i="5"/>
  <c r="FG86" i="5"/>
  <c r="FL86" i="5"/>
  <c r="FP86" i="5"/>
  <c r="FK86" i="5"/>
  <c r="FH86" i="5"/>
  <c r="FM86" i="5"/>
  <c r="FO86" i="5"/>
  <c r="FJ86" i="5"/>
  <c r="FI86" i="5"/>
  <c r="EN113" i="5"/>
  <c r="EM113" i="5"/>
  <c r="EH113" i="5"/>
  <c r="EK113" i="5"/>
  <c r="EJ113" i="5"/>
  <c r="EL113" i="5"/>
  <c r="EG113" i="5"/>
  <c r="EO113" i="5"/>
  <c r="EI113" i="5"/>
  <c r="FH113" i="5"/>
  <c r="FJ113" i="5"/>
  <c r="FK113" i="5"/>
  <c r="FP113" i="5"/>
  <c r="FL113" i="5"/>
  <c r="FO113" i="5"/>
  <c r="FM113" i="5"/>
  <c r="FI113" i="5"/>
  <c r="FN113" i="5"/>
  <c r="FG113" i="5"/>
  <c r="FM136" i="5"/>
  <c r="FH136" i="5"/>
  <c r="FG136" i="5"/>
  <c r="FP136" i="5"/>
  <c r="FN136" i="5"/>
  <c r="FI136" i="5"/>
  <c r="FL136" i="5"/>
  <c r="FO136" i="5"/>
  <c r="FK136" i="5"/>
  <c r="FJ136" i="5"/>
  <c r="DI146" i="5"/>
  <c r="DP146" i="5"/>
  <c r="DM146" i="5"/>
  <c r="DK146" i="5"/>
  <c r="DN146" i="5"/>
  <c r="DQ146" i="5"/>
  <c r="DO146" i="5"/>
  <c r="DL146" i="5"/>
  <c r="DJ146" i="5"/>
  <c r="FP146" i="5"/>
  <c r="FN146" i="5"/>
  <c r="FK146" i="5"/>
  <c r="FJ146" i="5"/>
  <c r="FI146" i="5"/>
  <c r="FM146" i="5"/>
  <c r="FL146" i="5"/>
  <c r="FO146" i="5"/>
  <c r="FH146" i="5"/>
  <c r="FG146" i="5"/>
  <c r="EG98" i="5"/>
  <c r="EL98" i="5"/>
  <c r="EM98" i="5"/>
  <c r="EN98" i="5"/>
  <c r="EI98" i="5"/>
  <c r="EJ98" i="5"/>
  <c r="EO98" i="5"/>
  <c r="EH98" i="5"/>
  <c r="EK98" i="5"/>
  <c r="FL98" i="5"/>
  <c r="FH98" i="5"/>
  <c r="FG98" i="5"/>
  <c r="FP98" i="5"/>
  <c r="FK98" i="5"/>
  <c r="FJ98" i="5"/>
  <c r="FM98" i="5"/>
  <c r="FN98" i="5"/>
  <c r="FI98" i="5"/>
  <c r="FO98" i="5"/>
  <c r="EG101" i="5"/>
  <c r="EL101" i="5"/>
  <c r="EH101" i="5"/>
  <c r="EM101" i="5"/>
  <c r="EN101" i="5"/>
  <c r="EI101" i="5"/>
  <c r="EJ101" i="5"/>
  <c r="EK101" i="5"/>
  <c r="EO101" i="5"/>
  <c r="FP101" i="5"/>
  <c r="FL101" i="5"/>
  <c r="FO101" i="5"/>
  <c r="FM101" i="5"/>
  <c r="FJ101" i="5"/>
  <c r="FG101" i="5"/>
  <c r="FN101" i="5"/>
  <c r="FK101" i="5"/>
  <c r="FI101" i="5"/>
  <c r="FH101" i="5"/>
  <c r="FH138" i="5"/>
  <c r="FO138" i="5"/>
  <c r="FP138" i="5"/>
  <c r="FM138" i="5"/>
  <c r="FN138" i="5"/>
  <c r="FI138" i="5"/>
  <c r="FL138" i="5"/>
  <c r="FK138" i="5"/>
  <c r="FJ138" i="5"/>
  <c r="FG138" i="5"/>
  <c r="DI140" i="5"/>
  <c r="DO140" i="5"/>
  <c r="DQ140" i="5"/>
  <c r="DJ140" i="5"/>
  <c r="DL140" i="5"/>
  <c r="DP140" i="5"/>
  <c r="DN140" i="5"/>
  <c r="DK140" i="5"/>
  <c r="DM140" i="5"/>
  <c r="FM140" i="5"/>
  <c r="FP140" i="5"/>
  <c r="FJ140" i="5"/>
  <c r="FO140" i="5"/>
  <c r="FN140" i="5"/>
  <c r="FK140" i="5"/>
  <c r="FG140" i="5"/>
  <c r="FH140" i="5"/>
  <c r="FI140" i="5"/>
  <c r="FL140" i="5"/>
  <c r="DI150" i="5"/>
  <c r="DP150" i="5"/>
  <c r="DM150" i="5"/>
  <c r="DK150" i="5"/>
  <c r="DN150" i="5"/>
  <c r="DQ150" i="5"/>
  <c r="DO150" i="5"/>
  <c r="DL150" i="5"/>
  <c r="DJ150" i="5"/>
  <c r="FH150" i="5"/>
  <c r="FL150" i="5"/>
  <c r="FI150" i="5"/>
  <c r="FK150" i="5"/>
  <c r="FP150" i="5"/>
  <c r="FG150" i="5"/>
  <c r="FN150" i="5"/>
  <c r="FM150" i="5"/>
  <c r="FJ150" i="5"/>
  <c r="FO150" i="5"/>
  <c r="EL114" i="5"/>
  <c r="EO114" i="5"/>
  <c r="EI114" i="5"/>
  <c r="EJ114" i="5"/>
  <c r="EH114" i="5"/>
  <c r="EG114" i="5"/>
  <c r="EK114" i="5"/>
  <c r="EM114" i="5"/>
  <c r="EN114" i="5"/>
  <c r="FJ114" i="5"/>
  <c r="FO114" i="5"/>
  <c r="FI114" i="5"/>
  <c r="FL114" i="5"/>
  <c r="FH114" i="5"/>
  <c r="FP114" i="5"/>
  <c r="FN114" i="5"/>
  <c r="FK114" i="5"/>
  <c r="FM114" i="5"/>
  <c r="FG114" i="5"/>
  <c r="FP126" i="5"/>
  <c r="FI126" i="5"/>
  <c r="FK126" i="5"/>
  <c r="FO126" i="5"/>
  <c r="FN126" i="5"/>
  <c r="FG126" i="5"/>
  <c r="FH126" i="5"/>
  <c r="FM126" i="5"/>
  <c r="FL126" i="5"/>
  <c r="FJ126" i="5"/>
  <c r="DI143" i="5"/>
  <c r="DL143" i="5"/>
  <c r="DM143" i="5"/>
  <c r="DJ143" i="5"/>
  <c r="DP143" i="5"/>
  <c r="DN143" i="5"/>
  <c r="DK143" i="5"/>
  <c r="DO143" i="5"/>
  <c r="DQ143" i="5"/>
  <c r="FP143" i="5"/>
  <c r="FH143" i="5"/>
  <c r="FI143" i="5"/>
  <c r="FK143" i="5"/>
  <c r="FN143" i="5"/>
  <c r="FG143" i="5"/>
  <c r="FO143" i="5"/>
  <c r="FJ143" i="5"/>
  <c r="FM143" i="5"/>
  <c r="FL143" i="5"/>
  <c r="EG94" i="5"/>
  <c r="EN94" i="5"/>
  <c r="EM94" i="5"/>
  <c r="EH94" i="5"/>
  <c r="EJ94" i="5"/>
  <c r="EO94" i="5"/>
  <c r="EI94" i="5"/>
  <c r="EK94" i="5"/>
  <c r="EL94" i="5"/>
  <c r="FP94" i="5"/>
  <c r="FM94" i="5"/>
  <c r="FK94" i="5"/>
  <c r="FH94" i="5"/>
  <c r="FG94" i="5"/>
  <c r="FI94" i="5"/>
  <c r="FL94" i="5"/>
  <c r="FJ94" i="5"/>
  <c r="FN94" i="5"/>
  <c r="FO94" i="5"/>
  <c r="FG119" i="5"/>
  <c r="FI119" i="5"/>
  <c r="FN119" i="5"/>
  <c r="FP119" i="5"/>
  <c r="FL119" i="5"/>
  <c r="FK119" i="5"/>
  <c r="FH119" i="5"/>
  <c r="FM119" i="5"/>
  <c r="FO119" i="5"/>
  <c r="FJ119" i="5"/>
  <c r="DI154" i="5"/>
  <c r="DP154" i="5"/>
  <c r="DM154" i="5"/>
  <c r="DK154" i="5"/>
  <c r="DN154" i="5"/>
  <c r="DQ154" i="5"/>
  <c r="DO154" i="5"/>
  <c r="DL154" i="5"/>
  <c r="DJ154" i="5"/>
  <c r="FP154" i="5"/>
  <c r="FK154" i="5"/>
  <c r="FM154" i="5"/>
  <c r="FJ154" i="5"/>
  <c r="FH154" i="5"/>
  <c r="FO154" i="5"/>
  <c r="FN154" i="5"/>
  <c r="FG154" i="5"/>
  <c r="FL154" i="5"/>
  <c r="FI154" i="5"/>
  <c r="DU121" i="5"/>
  <c r="ED121" i="5"/>
  <c r="DZ121" i="5"/>
  <c r="DS121" i="5"/>
  <c r="DW121" i="5"/>
  <c r="EA121" i="5"/>
  <c r="EE121" i="5"/>
  <c r="DT121" i="5"/>
  <c r="DX121" i="5"/>
  <c r="EB121" i="5"/>
  <c r="EF121" i="5"/>
  <c r="DY121" i="5"/>
  <c r="EC121" i="5"/>
  <c r="DV121" i="5"/>
  <c r="DS123" i="5"/>
  <c r="DZ123" i="5"/>
  <c r="DV123" i="5"/>
  <c r="DU123" i="5"/>
  <c r="DT123" i="5"/>
  <c r="DW123" i="5"/>
  <c r="EA123" i="5"/>
  <c r="EE123" i="5"/>
  <c r="DY123" i="5"/>
  <c r="DX123" i="5"/>
  <c r="EB123" i="5"/>
  <c r="ED123" i="5"/>
  <c r="EC123" i="5"/>
  <c r="EF123" i="5"/>
  <c r="DW129" i="5"/>
  <c r="EF129" i="5"/>
  <c r="DT129" i="5"/>
  <c r="DY129" i="5"/>
  <c r="EB129" i="5"/>
  <c r="DU129" i="5"/>
  <c r="DX129" i="5"/>
  <c r="DS129" i="5"/>
  <c r="DV129" i="5"/>
  <c r="DZ129" i="5"/>
  <c r="EC129" i="5"/>
  <c r="EA129" i="5"/>
  <c r="EE129" i="5"/>
  <c r="ED129" i="5"/>
  <c r="DW117" i="5"/>
  <c r="EA117" i="5"/>
  <c r="EF117" i="5"/>
  <c r="ED117" i="5"/>
  <c r="DX117" i="5"/>
  <c r="EB117" i="5"/>
  <c r="DU117" i="5"/>
  <c r="DT117" i="5"/>
  <c r="EC117" i="5"/>
  <c r="DV117" i="5"/>
  <c r="DS117" i="5"/>
  <c r="DZ117" i="5"/>
  <c r="EE117" i="5"/>
  <c r="DY117" i="5"/>
  <c r="DV137" i="5"/>
  <c r="DZ137" i="5"/>
  <c r="EC137" i="5"/>
  <c r="EA137" i="5"/>
  <c r="EE137" i="5"/>
  <c r="DS137" i="5"/>
  <c r="DW137" i="5"/>
  <c r="EF137" i="5"/>
  <c r="ED137" i="5"/>
  <c r="DT137" i="5"/>
  <c r="EB137" i="5"/>
  <c r="DU137" i="5"/>
  <c r="DX137" i="5"/>
  <c r="DY137" i="5"/>
  <c r="DU122" i="5"/>
  <c r="DZ122" i="5"/>
  <c r="DX122" i="5"/>
  <c r="DV122" i="5"/>
  <c r="EE122" i="5"/>
  <c r="ED122" i="5"/>
  <c r="DW122" i="5"/>
  <c r="EA122" i="5"/>
  <c r="EF122" i="5"/>
  <c r="EC122" i="5"/>
  <c r="DT122" i="5"/>
  <c r="DY122" i="5"/>
  <c r="DS122" i="5"/>
  <c r="EB122" i="5"/>
  <c r="EA124" i="5"/>
  <c r="EF124" i="5"/>
  <c r="DS124" i="5"/>
  <c r="DY124" i="5"/>
  <c r="EB124" i="5"/>
  <c r="DX124" i="5"/>
  <c r="DU124" i="5"/>
  <c r="DZ124" i="5"/>
  <c r="EC124" i="5"/>
  <c r="DW124" i="5"/>
  <c r="DV124" i="5"/>
  <c r="EE124" i="5"/>
  <c r="ED124" i="5"/>
  <c r="DT124" i="5"/>
  <c r="EC120" i="5"/>
  <c r="DW120" i="5"/>
  <c r="DV120" i="5"/>
  <c r="DZ120" i="5"/>
  <c r="ED120" i="5"/>
  <c r="DX120" i="5"/>
  <c r="EA120" i="5"/>
  <c r="DY120" i="5"/>
  <c r="DS120" i="5"/>
  <c r="DT120" i="5"/>
  <c r="EF120" i="5"/>
  <c r="EB120" i="5"/>
  <c r="DU120" i="5"/>
  <c r="EE120" i="5"/>
  <c r="ED127" i="5"/>
  <c r="DW127" i="5"/>
  <c r="EF127" i="5"/>
  <c r="DY127" i="5"/>
  <c r="DS127" i="5"/>
  <c r="EB127" i="5"/>
  <c r="DT127" i="5"/>
  <c r="DZ127" i="5"/>
  <c r="DX127" i="5"/>
  <c r="DV127" i="5"/>
  <c r="EE127" i="5"/>
  <c r="EC127" i="5"/>
  <c r="EA127" i="5"/>
  <c r="DU127" i="5"/>
  <c r="DT133" i="5"/>
  <c r="DX133" i="5"/>
  <c r="DV133" i="5"/>
  <c r="DY133" i="5"/>
  <c r="EC133" i="5"/>
  <c r="EF133" i="5"/>
  <c r="DZ133" i="5"/>
  <c r="ED133" i="5"/>
  <c r="EB133" i="5"/>
  <c r="DU133" i="5"/>
  <c r="EE133" i="5"/>
  <c r="DS133" i="5"/>
  <c r="DW133" i="5"/>
  <c r="EA133" i="5"/>
  <c r="EF136" i="5"/>
  <c r="DT136" i="5"/>
  <c r="DX136" i="5"/>
  <c r="EA136" i="5"/>
  <c r="DU136" i="5"/>
  <c r="DY136" i="5"/>
  <c r="EC136" i="5"/>
  <c r="EB136" i="5"/>
  <c r="DZ136" i="5"/>
  <c r="ED136" i="5"/>
  <c r="DV136" i="5"/>
  <c r="EE136" i="5"/>
  <c r="DS136" i="5"/>
  <c r="DW136" i="5"/>
  <c r="DT138" i="5"/>
  <c r="DX138" i="5"/>
  <c r="EA138" i="5"/>
  <c r="DU138" i="5"/>
  <c r="DY138" i="5"/>
  <c r="EC138" i="5"/>
  <c r="DW138" i="5"/>
  <c r="DZ138" i="5"/>
  <c r="ED138" i="5"/>
  <c r="EE138" i="5"/>
  <c r="EF138" i="5"/>
  <c r="DS138" i="5"/>
  <c r="EB138" i="5"/>
  <c r="DV138" i="5"/>
  <c r="EA126" i="5"/>
  <c r="EE126" i="5"/>
  <c r="DU126" i="5"/>
  <c r="EF126" i="5"/>
  <c r="DS126" i="5"/>
  <c r="EC126" i="5"/>
  <c r="EB126" i="5"/>
  <c r="DT126" i="5"/>
  <c r="DY126" i="5"/>
  <c r="DW126" i="5"/>
  <c r="DV126" i="5"/>
  <c r="DZ126" i="5"/>
  <c r="ED126" i="5"/>
  <c r="DX126" i="5"/>
  <c r="EF128" i="5"/>
  <c r="DT128" i="5"/>
  <c r="DX128" i="5"/>
  <c r="DW128" i="5"/>
  <c r="DU128" i="5"/>
  <c r="DY128" i="5"/>
  <c r="EC128" i="5"/>
  <c r="DV128" i="5"/>
  <c r="DZ128" i="5"/>
  <c r="ED128" i="5"/>
  <c r="EB128" i="5"/>
  <c r="EE128" i="5"/>
  <c r="DS128" i="5"/>
  <c r="EA128" i="5"/>
  <c r="DU116" i="5"/>
  <c r="DY116" i="5"/>
  <c r="ED116" i="5"/>
  <c r="EB116" i="5"/>
  <c r="DV116" i="5"/>
  <c r="DZ116" i="5"/>
  <c r="DS116" i="5"/>
  <c r="DW116" i="5"/>
  <c r="EA116" i="5"/>
  <c r="EE116" i="5"/>
  <c r="EF116" i="5"/>
  <c r="DT116" i="5"/>
  <c r="EC116" i="5"/>
  <c r="DX116" i="5"/>
  <c r="DY118" i="5"/>
  <c r="EC118" i="5"/>
  <c r="DW118" i="5"/>
  <c r="DU118" i="5"/>
  <c r="DZ118" i="5"/>
  <c r="ED118" i="5"/>
  <c r="DX118" i="5"/>
  <c r="EA118" i="5"/>
  <c r="EE118" i="5"/>
  <c r="DS118" i="5"/>
  <c r="DT118" i="5"/>
  <c r="EF118" i="5"/>
  <c r="EB118" i="5"/>
  <c r="DV118" i="5"/>
  <c r="DV119" i="5"/>
  <c r="DS119" i="5"/>
  <c r="DX119" i="5"/>
  <c r="EE119" i="5"/>
  <c r="DT119" i="5"/>
  <c r="DW119" i="5"/>
  <c r="EA119" i="5"/>
  <c r="EF119" i="5"/>
  <c r="DY119" i="5"/>
  <c r="EC119" i="5"/>
  <c r="EB119" i="5"/>
  <c r="DU119" i="5"/>
  <c r="ED119" i="5"/>
  <c r="DZ119" i="5"/>
  <c r="EC125" i="5"/>
  <c r="EE125" i="5"/>
  <c r="DY125" i="5"/>
  <c r="DV125" i="5"/>
  <c r="EF125" i="5"/>
  <c r="DT125" i="5"/>
  <c r="DW125" i="5"/>
  <c r="EA125" i="5"/>
  <c r="DU125" i="5"/>
  <c r="DZ125" i="5"/>
  <c r="DX125" i="5"/>
  <c r="EB125" i="5"/>
  <c r="DS125" i="5"/>
  <c r="ED125" i="5"/>
  <c r="DY115" i="5"/>
  <c r="ED115" i="5"/>
  <c r="DV115" i="5"/>
  <c r="DW115" i="5"/>
  <c r="DZ115" i="5"/>
  <c r="EE115" i="5"/>
  <c r="DS115" i="5"/>
  <c r="DX115" i="5"/>
  <c r="EA115" i="5"/>
  <c r="EF115" i="5"/>
  <c r="DT115" i="5"/>
  <c r="EC115" i="5"/>
  <c r="EB115" i="5"/>
  <c r="DU115" i="5"/>
  <c r="EF131" i="5"/>
  <c r="DT131" i="5"/>
  <c r="DX131" i="5"/>
  <c r="DU131" i="5"/>
  <c r="DY131" i="5"/>
  <c r="DW131" i="5"/>
  <c r="DV131" i="5"/>
  <c r="DZ131" i="5"/>
  <c r="ED131" i="5"/>
  <c r="EC131" i="5"/>
  <c r="EA131" i="5"/>
  <c r="EE131" i="5"/>
  <c r="DS131" i="5"/>
  <c r="EB131" i="5"/>
  <c r="DT130" i="5"/>
  <c r="DX130" i="5"/>
  <c r="DV130" i="5"/>
  <c r="EF130" i="5"/>
  <c r="DY130" i="5"/>
  <c r="EC130" i="5"/>
  <c r="EE130" i="5"/>
  <c r="EA130" i="5"/>
  <c r="ED130" i="5"/>
  <c r="DW130" i="5"/>
  <c r="DU130" i="5"/>
  <c r="DS130" i="5"/>
  <c r="EB130" i="5"/>
  <c r="DZ130" i="5"/>
  <c r="DW132" i="5"/>
  <c r="EF132" i="5"/>
  <c r="ED132" i="5"/>
  <c r="EB132" i="5"/>
  <c r="DU132" i="5"/>
  <c r="EE132" i="5"/>
  <c r="DX132" i="5"/>
  <c r="DV132" i="5"/>
  <c r="DZ132" i="5"/>
  <c r="DY132" i="5"/>
  <c r="EC132" i="5"/>
  <c r="EA132" i="5"/>
  <c r="DT132" i="5"/>
  <c r="DS132" i="5"/>
  <c r="EA134" i="5"/>
  <c r="EE134" i="5"/>
  <c r="DW134" i="5"/>
  <c r="EF134" i="5"/>
  <c r="DT134" i="5"/>
  <c r="DX134" i="5"/>
  <c r="EB134" i="5"/>
  <c r="DU134" i="5"/>
  <c r="DY134" i="5"/>
  <c r="DS134" i="5"/>
  <c r="DV134" i="5"/>
  <c r="DZ134" i="5"/>
  <c r="ED134" i="5"/>
  <c r="EC134" i="5"/>
  <c r="ED135" i="5"/>
  <c r="DW135" i="5"/>
  <c r="EF135" i="5"/>
  <c r="DT135" i="5"/>
  <c r="DS135" i="5"/>
  <c r="EB135" i="5"/>
  <c r="EE135" i="5"/>
  <c r="DU135" i="5"/>
  <c r="DX135" i="5"/>
  <c r="DV135" i="5"/>
  <c r="DY135" i="5"/>
  <c r="EC135" i="5"/>
  <c r="EA135" i="5"/>
  <c r="DZ135" i="5"/>
  <c r="FC121" i="5"/>
  <c r="FB121" i="5"/>
  <c r="FF121" i="5"/>
  <c r="FD121" i="5"/>
  <c r="FE121" i="5"/>
  <c r="DV107" i="5"/>
  <c r="DU107" i="5"/>
  <c r="DY107" i="5"/>
  <c r="DZ107" i="5"/>
  <c r="ED107" i="5"/>
  <c r="DS107" i="5"/>
  <c r="DW107" i="5"/>
  <c r="EA107" i="5"/>
  <c r="DT107" i="5"/>
  <c r="DX107" i="5"/>
  <c r="EB107" i="5"/>
  <c r="EF107" i="5"/>
  <c r="EE107" i="5"/>
  <c r="EC107" i="5"/>
  <c r="FB107" i="5"/>
  <c r="FD107" i="5"/>
  <c r="FE107" i="5"/>
  <c r="FC107" i="5"/>
  <c r="FF107" i="5"/>
  <c r="FF123" i="5"/>
  <c r="FB123" i="5"/>
  <c r="FE123" i="5"/>
  <c r="FC123" i="5"/>
  <c r="FD123" i="5"/>
  <c r="FD129" i="5"/>
  <c r="FC129" i="5"/>
  <c r="FB129" i="5"/>
  <c r="FF129" i="5"/>
  <c r="FE129" i="5"/>
  <c r="EB89" i="5"/>
  <c r="EA89" i="5"/>
  <c r="EC89" i="5"/>
  <c r="EF89" i="5"/>
  <c r="DW89" i="5"/>
  <c r="DS89" i="5"/>
  <c r="DT89" i="5"/>
  <c r="DY89" i="5"/>
  <c r="ED89" i="5"/>
  <c r="DZ89" i="5"/>
  <c r="DX89" i="5"/>
  <c r="EE89" i="5"/>
  <c r="DU89" i="5"/>
  <c r="DV89" i="5"/>
  <c r="FD89" i="5"/>
  <c r="FC89" i="5"/>
  <c r="FE89" i="5"/>
  <c r="FF89" i="5"/>
  <c r="FB89" i="5"/>
  <c r="EF87" i="5"/>
  <c r="DY87" i="5"/>
  <c r="DV87" i="5"/>
  <c r="DZ87" i="5"/>
  <c r="DT87" i="5"/>
  <c r="EE87" i="5"/>
  <c r="EC87" i="5"/>
  <c r="EA87" i="5"/>
  <c r="DX87" i="5"/>
  <c r="DU87" i="5"/>
  <c r="DW87" i="5"/>
  <c r="EB87" i="5"/>
  <c r="ED87" i="5"/>
  <c r="DS87" i="5"/>
  <c r="FB87" i="5"/>
  <c r="FE87" i="5"/>
  <c r="FD87" i="5"/>
  <c r="FF87" i="5"/>
  <c r="FC87" i="5"/>
  <c r="DZ100" i="5"/>
  <c r="EA100" i="5"/>
  <c r="DX100" i="5"/>
  <c r="DW100" i="5"/>
  <c r="ED100" i="5"/>
  <c r="DS100" i="5"/>
  <c r="EE100" i="5"/>
  <c r="EB100" i="5"/>
  <c r="DV100" i="5"/>
  <c r="DY100" i="5"/>
  <c r="EC100" i="5"/>
  <c r="DT100" i="5"/>
  <c r="EF100" i="5"/>
  <c r="DU100" i="5"/>
  <c r="FB100" i="5"/>
  <c r="FE100" i="5"/>
  <c r="FF100" i="5"/>
  <c r="FD100" i="5"/>
  <c r="FC100" i="5"/>
  <c r="EA109" i="5"/>
  <c r="EE109" i="5"/>
  <c r="DS109" i="5"/>
  <c r="DV109" i="5"/>
  <c r="EF109" i="5"/>
  <c r="DT109" i="5"/>
  <c r="ED109" i="5"/>
  <c r="DZ109" i="5"/>
  <c r="DU109" i="5"/>
  <c r="DY109" i="5"/>
  <c r="DW109" i="5"/>
  <c r="EC109" i="5"/>
  <c r="DX109" i="5"/>
  <c r="EB109" i="5"/>
  <c r="FD109" i="5"/>
  <c r="FE109" i="5"/>
  <c r="FC109" i="5"/>
  <c r="FB109" i="5"/>
  <c r="FF109" i="5"/>
  <c r="FB117" i="5"/>
  <c r="FC117" i="5"/>
  <c r="FD117" i="5"/>
  <c r="FE117" i="5"/>
  <c r="FF117" i="5"/>
  <c r="FF149" i="5"/>
  <c r="FC149" i="5"/>
  <c r="FD149" i="5"/>
  <c r="FB149" i="5"/>
  <c r="FE149" i="5"/>
  <c r="FD158" i="5"/>
  <c r="FF158" i="5"/>
  <c r="FB158" i="5"/>
  <c r="FC158" i="5"/>
  <c r="FE158" i="5"/>
  <c r="DU106" i="5"/>
  <c r="EF106" i="5"/>
  <c r="DS106" i="5"/>
  <c r="DT106" i="5"/>
  <c r="DZ106" i="5"/>
  <c r="DW106" i="5"/>
  <c r="EC106" i="5"/>
  <c r="DX106" i="5"/>
  <c r="EE106" i="5"/>
  <c r="DY106" i="5"/>
  <c r="DV106" i="5"/>
  <c r="EB106" i="5"/>
  <c r="ED106" i="5"/>
  <c r="EA106" i="5"/>
  <c r="FF106" i="5"/>
  <c r="FB106" i="5"/>
  <c r="FC106" i="5"/>
  <c r="FD106" i="5"/>
  <c r="FE106" i="5"/>
  <c r="FC137" i="5"/>
  <c r="FD137" i="5"/>
  <c r="FE137" i="5"/>
  <c r="FB137" i="5"/>
  <c r="FF137" i="5"/>
  <c r="ED90" i="5"/>
  <c r="DX90" i="5"/>
  <c r="EE90" i="5"/>
  <c r="DY90" i="5"/>
  <c r="EC90" i="5"/>
  <c r="DW90" i="5"/>
  <c r="DV90" i="5"/>
  <c r="EF90" i="5"/>
  <c r="DU90" i="5"/>
  <c r="DT90" i="5"/>
  <c r="DZ90" i="5"/>
  <c r="DS90" i="5"/>
  <c r="EB90" i="5"/>
  <c r="EA90" i="5"/>
  <c r="FE90" i="5"/>
  <c r="FF90" i="5"/>
  <c r="FB90" i="5"/>
  <c r="FD90" i="5"/>
  <c r="FC90" i="5"/>
  <c r="EF104" i="5"/>
  <c r="DT104" i="5"/>
  <c r="DS104" i="5"/>
  <c r="DU104" i="5"/>
  <c r="ED104" i="5"/>
  <c r="DX104" i="5"/>
  <c r="DV104" i="5"/>
  <c r="DZ104" i="5"/>
  <c r="EB104" i="5"/>
  <c r="EC104" i="5"/>
  <c r="EA104" i="5"/>
  <c r="EE104" i="5"/>
  <c r="DY104" i="5"/>
  <c r="DW104" i="5"/>
  <c r="FB104" i="5"/>
  <c r="FE104" i="5"/>
  <c r="FF104" i="5"/>
  <c r="FC104" i="5"/>
  <c r="FD104" i="5"/>
  <c r="DU110" i="5"/>
  <c r="EE110" i="5"/>
  <c r="DT110" i="5"/>
  <c r="DZ110" i="5"/>
  <c r="DY110" i="5"/>
  <c r="DX110" i="5"/>
  <c r="EC110" i="5"/>
  <c r="DV110" i="5"/>
  <c r="ED110" i="5"/>
  <c r="EB110" i="5"/>
  <c r="DW110" i="5"/>
  <c r="EA110" i="5"/>
  <c r="DS110" i="5"/>
  <c r="EF110" i="5"/>
  <c r="FE110" i="5"/>
  <c r="FD110" i="5"/>
  <c r="FF110" i="5"/>
  <c r="FB110" i="5"/>
  <c r="FC110" i="5"/>
  <c r="FC122" i="5"/>
  <c r="FF122" i="5"/>
  <c r="FD122" i="5"/>
  <c r="FB122" i="5"/>
  <c r="FE122" i="5"/>
  <c r="FF124" i="5"/>
  <c r="FE124" i="5"/>
  <c r="FD124" i="5"/>
  <c r="FC124" i="5"/>
  <c r="FB124" i="5"/>
  <c r="FD147" i="5"/>
  <c r="FF147" i="5"/>
  <c r="FB147" i="5"/>
  <c r="FE147" i="5"/>
  <c r="FC147" i="5"/>
  <c r="FF120" i="5"/>
  <c r="FB120" i="5"/>
  <c r="FC120" i="5"/>
  <c r="FE120" i="5"/>
  <c r="FD120" i="5"/>
  <c r="DX91" i="5"/>
  <c r="DY91" i="5"/>
  <c r="DZ91" i="5"/>
  <c r="EA91" i="5"/>
  <c r="EB91" i="5"/>
  <c r="DW91" i="5"/>
  <c r="EE91" i="5"/>
  <c r="DS91" i="5"/>
  <c r="EF91" i="5"/>
  <c r="ED91" i="5"/>
  <c r="EC91" i="5"/>
  <c r="DT91" i="5"/>
  <c r="DU91" i="5"/>
  <c r="DV91" i="5"/>
  <c r="FC91" i="5"/>
  <c r="FF91" i="5"/>
  <c r="FD91" i="5"/>
  <c r="FE91" i="5"/>
  <c r="FB91" i="5"/>
  <c r="FE139" i="5"/>
  <c r="FC139" i="5"/>
  <c r="FD139" i="5"/>
  <c r="FF139" i="5"/>
  <c r="FB139" i="5"/>
  <c r="FD145" i="5"/>
  <c r="FE145" i="5"/>
  <c r="FC145" i="5"/>
  <c r="FF145" i="5"/>
  <c r="FB145" i="5"/>
  <c r="FC159" i="5"/>
  <c r="FF159" i="5"/>
  <c r="FE159" i="5"/>
  <c r="FD159" i="5"/>
  <c r="FB159" i="5"/>
  <c r="DT85" i="5"/>
  <c r="DV85" i="5"/>
  <c r="ED85" i="5"/>
  <c r="DX85" i="5"/>
  <c r="EC85" i="5"/>
  <c r="EA85" i="5"/>
  <c r="EB85" i="5"/>
  <c r="EE85" i="5"/>
  <c r="DS85" i="5"/>
  <c r="DU85" i="5"/>
  <c r="EF85" i="5"/>
  <c r="DW85" i="5"/>
  <c r="DY85" i="5"/>
  <c r="DZ85" i="5"/>
  <c r="FF85" i="5"/>
  <c r="FC85" i="5"/>
  <c r="FE85" i="5"/>
  <c r="FB85" i="5"/>
  <c r="FD85" i="5"/>
  <c r="EE111" i="5"/>
  <c r="DZ111" i="5"/>
  <c r="EC111" i="5"/>
  <c r="EF111" i="5"/>
  <c r="DT111" i="5"/>
  <c r="ED111" i="5"/>
  <c r="DW111" i="5"/>
  <c r="DU111" i="5"/>
  <c r="DY111" i="5"/>
  <c r="DS111" i="5"/>
  <c r="EB111" i="5"/>
  <c r="DV111" i="5"/>
  <c r="DX111" i="5"/>
  <c r="EA111" i="5"/>
  <c r="FC111" i="5"/>
  <c r="FB111" i="5"/>
  <c r="FD111" i="5"/>
  <c r="FE111" i="5"/>
  <c r="FF111" i="5"/>
  <c r="FB127" i="5"/>
  <c r="FE127" i="5"/>
  <c r="FC127" i="5"/>
  <c r="FD127" i="5"/>
  <c r="FF127" i="5"/>
  <c r="FE133" i="5"/>
  <c r="FC133" i="5"/>
  <c r="FB133" i="5"/>
  <c r="FD133" i="5"/>
  <c r="FF133" i="5"/>
  <c r="FB148" i="5"/>
  <c r="FC148" i="5"/>
  <c r="FF148" i="5"/>
  <c r="FE148" i="5"/>
  <c r="FD148" i="5"/>
  <c r="ED86" i="5"/>
  <c r="EE86" i="5"/>
  <c r="EC86" i="5"/>
  <c r="DY86" i="5"/>
  <c r="DV86" i="5"/>
  <c r="DT86" i="5"/>
  <c r="DU86" i="5"/>
  <c r="EF86" i="5"/>
  <c r="DZ86" i="5"/>
  <c r="EA86" i="5"/>
  <c r="EB86" i="5"/>
  <c r="DX86" i="5"/>
  <c r="DW86" i="5"/>
  <c r="DS86" i="5"/>
  <c r="FB86" i="5"/>
  <c r="FC86" i="5"/>
  <c r="FE86" i="5"/>
  <c r="FD86" i="5"/>
  <c r="FF86" i="5"/>
  <c r="EC113" i="5"/>
  <c r="DW113" i="5"/>
  <c r="EF113" i="5"/>
  <c r="DU113" i="5"/>
  <c r="EB113" i="5"/>
  <c r="EE113" i="5"/>
  <c r="DS113" i="5"/>
  <c r="DZ113" i="5"/>
  <c r="DV113" i="5"/>
  <c r="DT113" i="5"/>
  <c r="DX113" i="5"/>
  <c r="ED113" i="5"/>
  <c r="EA113" i="5"/>
  <c r="DY113" i="5"/>
  <c r="FD113" i="5"/>
  <c r="FF113" i="5"/>
  <c r="FE113" i="5"/>
  <c r="FB113" i="5"/>
  <c r="FC113" i="5"/>
  <c r="FC136" i="5"/>
  <c r="FD136" i="5"/>
  <c r="FE136" i="5"/>
  <c r="FB136" i="5"/>
  <c r="FF136" i="5"/>
  <c r="FD146" i="5"/>
  <c r="FC146" i="5"/>
  <c r="FE146" i="5"/>
  <c r="FB146" i="5"/>
  <c r="FF146" i="5"/>
  <c r="DV98" i="5"/>
  <c r="EA98" i="5"/>
  <c r="DS98" i="5"/>
  <c r="DU98" i="5"/>
  <c r="DZ98" i="5"/>
  <c r="EC98" i="5"/>
  <c r="DX98" i="5"/>
  <c r="EB98" i="5"/>
  <c r="ED98" i="5"/>
  <c r="DY98" i="5"/>
  <c r="EE98" i="5"/>
  <c r="DT98" i="5"/>
  <c r="EF98" i="5"/>
  <c r="DW98" i="5"/>
  <c r="FF98" i="5"/>
  <c r="FB98" i="5"/>
  <c r="FC98" i="5"/>
  <c r="FD98" i="5"/>
  <c r="FE98" i="5"/>
  <c r="DT101" i="5"/>
  <c r="ED101" i="5"/>
  <c r="DV101" i="5"/>
  <c r="DX101" i="5"/>
  <c r="DZ101" i="5"/>
  <c r="EC101" i="5"/>
  <c r="EB101" i="5"/>
  <c r="DU101" i="5"/>
  <c r="DW101" i="5"/>
  <c r="DS101" i="5"/>
  <c r="EF101" i="5"/>
  <c r="EA101" i="5"/>
  <c r="EE101" i="5"/>
  <c r="DY101" i="5"/>
  <c r="FD101" i="5"/>
  <c r="FE101" i="5"/>
  <c r="FF101" i="5"/>
  <c r="FC101" i="5"/>
  <c r="FB101" i="5"/>
  <c r="FE138" i="5"/>
  <c r="FB138" i="5"/>
  <c r="FC138" i="5"/>
  <c r="FF138" i="5"/>
  <c r="FD138" i="5"/>
  <c r="FF140" i="5"/>
  <c r="FC140" i="5"/>
  <c r="FD140" i="5"/>
  <c r="FE140" i="5"/>
  <c r="FB140" i="5"/>
  <c r="FC150" i="5"/>
  <c r="FF150" i="5"/>
  <c r="FE150" i="5"/>
  <c r="FB150" i="5"/>
  <c r="FD150" i="5"/>
  <c r="EF99" i="5"/>
  <c r="DW99" i="5"/>
  <c r="DY99" i="5"/>
  <c r="DT99" i="5"/>
  <c r="ED99" i="5"/>
  <c r="DZ99" i="5"/>
  <c r="DX99" i="5"/>
  <c r="EA99" i="5"/>
  <c r="DU99" i="5"/>
  <c r="DV99" i="5"/>
  <c r="EB99" i="5"/>
  <c r="DS99" i="5"/>
  <c r="EE99" i="5"/>
  <c r="EC99" i="5"/>
  <c r="FB99" i="5"/>
  <c r="FE99" i="5"/>
  <c r="FF99" i="5"/>
  <c r="FD99" i="5"/>
  <c r="FC99" i="5"/>
  <c r="EF95" i="5"/>
  <c r="DS95" i="5"/>
  <c r="DY95" i="5"/>
  <c r="EA95" i="5"/>
  <c r="DT95" i="5"/>
  <c r="DZ95" i="5"/>
  <c r="EE95" i="5"/>
  <c r="DW95" i="5"/>
  <c r="DX95" i="5"/>
  <c r="EC95" i="5"/>
  <c r="ED95" i="5"/>
  <c r="EB95" i="5"/>
  <c r="DV95" i="5"/>
  <c r="DU95" i="5"/>
  <c r="FE95" i="5"/>
  <c r="FC95" i="5"/>
  <c r="FF95" i="5"/>
  <c r="FB95" i="5"/>
  <c r="FD95" i="5"/>
  <c r="DU114" i="5"/>
  <c r="ED114" i="5"/>
  <c r="DT114" i="5"/>
  <c r="EF114" i="5"/>
  <c r="DZ114" i="5"/>
  <c r="DS114" i="5"/>
  <c r="DV114" i="5"/>
  <c r="DX114" i="5"/>
  <c r="EE114" i="5"/>
  <c r="EC114" i="5"/>
  <c r="EA114" i="5"/>
  <c r="DY114" i="5"/>
  <c r="DW114" i="5"/>
  <c r="EB114" i="5"/>
  <c r="FC114" i="5"/>
  <c r="FD114" i="5"/>
  <c r="FF114" i="5"/>
  <c r="FB114" i="5"/>
  <c r="FE114" i="5"/>
  <c r="FF126" i="5"/>
  <c r="FB126" i="5"/>
  <c r="FE126" i="5"/>
  <c r="FD126" i="5"/>
  <c r="FC126" i="5"/>
  <c r="FC128" i="5"/>
  <c r="FF128" i="5"/>
  <c r="FB128" i="5"/>
  <c r="FD128" i="5"/>
  <c r="FE128" i="5"/>
  <c r="FD151" i="5"/>
  <c r="FC151" i="5"/>
  <c r="FF151" i="5"/>
  <c r="FB151" i="5"/>
  <c r="FE151" i="5"/>
  <c r="EB97" i="5"/>
  <c r="DY97" i="5"/>
  <c r="ED97" i="5"/>
  <c r="EF97" i="5"/>
  <c r="EE97" i="5"/>
  <c r="DW97" i="5"/>
  <c r="DT97" i="5"/>
  <c r="DS97" i="5"/>
  <c r="DV97" i="5"/>
  <c r="EC97" i="5"/>
  <c r="DX97" i="5"/>
  <c r="DZ97" i="5"/>
  <c r="EA97" i="5"/>
  <c r="DU97" i="5"/>
  <c r="FB97" i="5"/>
  <c r="FE97" i="5"/>
  <c r="FC97" i="5"/>
  <c r="FF97" i="5"/>
  <c r="FD97" i="5"/>
  <c r="DV96" i="5"/>
  <c r="DS96" i="5"/>
  <c r="DW96" i="5"/>
  <c r="DU96" i="5"/>
  <c r="DZ96" i="5"/>
  <c r="DT96" i="5"/>
  <c r="EF96" i="5"/>
  <c r="EB96" i="5"/>
  <c r="ED96" i="5"/>
  <c r="DY96" i="5"/>
  <c r="DX96" i="5"/>
  <c r="EA96" i="5"/>
  <c r="EE96" i="5"/>
  <c r="EC96" i="5"/>
  <c r="FD96" i="5"/>
  <c r="FB96" i="5"/>
  <c r="FF96" i="5"/>
  <c r="FE96" i="5"/>
  <c r="FC96" i="5"/>
  <c r="FF143" i="5"/>
  <c r="FB143" i="5"/>
  <c r="FC143" i="5"/>
  <c r="FD143" i="5"/>
  <c r="FE143" i="5"/>
  <c r="FB116" i="5"/>
  <c r="FC116" i="5"/>
  <c r="FD116" i="5"/>
  <c r="FE116" i="5"/>
  <c r="FF116" i="5"/>
  <c r="FC161" i="5"/>
  <c r="FD161" i="5"/>
  <c r="FB161" i="5"/>
  <c r="FF161" i="5"/>
  <c r="FE161" i="5"/>
  <c r="DZ94" i="5"/>
  <c r="EE94" i="5"/>
  <c r="DT94" i="5"/>
  <c r="DS94" i="5"/>
  <c r="EC94" i="5"/>
  <c r="DU94" i="5"/>
  <c r="ED94" i="5"/>
  <c r="DY94" i="5"/>
  <c r="DW94" i="5"/>
  <c r="EA94" i="5"/>
  <c r="DV94" i="5"/>
  <c r="DX94" i="5"/>
  <c r="EB94" i="5"/>
  <c r="EF94" i="5"/>
  <c r="FB94" i="5"/>
  <c r="FC94" i="5"/>
  <c r="FF94" i="5"/>
  <c r="FD94" i="5"/>
  <c r="FE94" i="5"/>
  <c r="FE118" i="5"/>
  <c r="FF118" i="5"/>
  <c r="FB118" i="5"/>
  <c r="FC118" i="5"/>
  <c r="FD118" i="5"/>
  <c r="FE153" i="5"/>
  <c r="FB153" i="5"/>
  <c r="FF153" i="5"/>
  <c r="FC153" i="5"/>
  <c r="FD153" i="5"/>
  <c r="FC160" i="5"/>
  <c r="FB160" i="5"/>
  <c r="FF160" i="5"/>
  <c r="FE160" i="5"/>
  <c r="FD160" i="5"/>
  <c r="EE103" i="5"/>
  <c r="DS103" i="5"/>
  <c r="DZ103" i="5"/>
  <c r="EF103" i="5"/>
  <c r="DT103" i="5"/>
  <c r="DX103" i="5"/>
  <c r="ED103" i="5"/>
  <c r="DU103" i="5"/>
  <c r="DY103" i="5"/>
  <c r="EC103" i="5"/>
  <c r="DW103" i="5"/>
  <c r="EB103" i="5"/>
  <c r="DV103" i="5"/>
  <c r="EA103" i="5"/>
  <c r="FD103" i="5"/>
  <c r="FB103" i="5"/>
  <c r="FC103" i="5"/>
  <c r="FE103" i="5"/>
  <c r="FF103" i="5"/>
  <c r="FF119" i="5"/>
  <c r="FC119" i="5"/>
  <c r="FB119" i="5"/>
  <c r="FE119" i="5"/>
  <c r="FD119" i="5"/>
  <c r="FE125" i="5"/>
  <c r="FC125" i="5"/>
  <c r="FF125" i="5"/>
  <c r="FB125" i="5"/>
  <c r="FD125" i="5"/>
  <c r="FC157" i="5"/>
  <c r="FE157" i="5"/>
  <c r="FB157" i="5"/>
  <c r="FD157" i="5"/>
  <c r="FF157" i="5"/>
  <c r="FB162" i="5"/>
  <c r="FE162" i="5"/>
  <c r="FD162" i="5"/>
  <c r="FF162" i="5"/>
  <c r="FC162" i="5"/>
  <c r="FE115" i="5"/>
  <c r="FC115" i="5"/>
  <c r="FB115" i="5"/>
  <c r="FF115" i="5"/>
  <c r="FD115" i="5"/>
  <c r="FB131" i="5"/>
  <c r="FF131" i="5"/>
  <c r="FE131" i="5"/>
  <c r="FC131" i="5"/>
  <c r="FD131" i="5"/>
  <c r="DS108" i="5"/>
  <c r="DT108" i="5"/>
  <c r="EF108" i="5"/>
  <c r="DV108" i="5"/>
  <c r="DX108" i="5"/>
  <c r="DU108" i="5"/>
  <c r="DY108" i="5"/>
  <c r="EC108" i="5"/>
  <c r="EB108" i="5"/>
  <c r="DZ108" i="5"/>
  <c r="ED108" i="5"/>
  <c r="DW108" i="5"/>
  <c r="EA108" i="5"/>
  <c r="EE108" i="5"/>
  <c r="FF108" i="5"/>
  <c r="FE108" i="5"/>
  <c r="FD108" i="5"/>
  <c r="FC108" i="5"/>
  <c r="FB108" i="5"/>
  <c r="DS105" i="5"/>
  <c r="DW105" i="5"/>
  <c r="EA105" i="5"/>
  <c r="DZ105" i="5"/>
  <c r="DX105" i="5"/>
  <c r="EB105" i="5"/>
  <c r="EE105" i="5"/>
  <c r="ED105" i="5"/>
  <c r="EC105" i="5"/>
  <c r="DU105" i="5"/>
  <c r="DT105" i="5"/>
  <c r="EF105" i="5"/>
  <c r="DV105" i="5"/>
  <c r="DY105" i="5"/>
  <c r="FC105" i="5"/>
  <c r="FF105" i="5"/>
  <c r="FE105" i="5"/>
  <c r="FB105" i="5"/>
  <c r="FD105" i="5"/>
  <c r="FD142" i="5"/>
  <c r="FE142" i="5"/>
  <c r="FC142" i="5"/>
  <c r="FB142" i="5"/>
  <c r="FF142" i="5"/>
  <c r="FE144" i="5"/>
  <c r="FD144" i="5"/>
  <c r="FC144" i="5"/>
  <c r="FB144" i="5"/>
  <c r="FF144" i="5"/>
  <c r="FD154" i="5"/>
  <c r="FC154" i="5"/>
  <c r="FB154" i="5"/>
  <c r="FF154" i="5"/>
  <c r="FE154" i="5"/>
  <c r="DV112" i="5"/>
  <c r="DU112" i="5"/>
  <c r="EB112" i="5"/>
  <c r="EC112" i="5"/>
  <c r="EA112" i="5"/>
  <c r="DZ112" i="5"/>
  <c r="EF112" i="5"/>
  <c r="DW112" i="5"/>
  <c r="DT112" i="5"/>
  <c r="EE112" i="5"/>
  <c r="DY112" i="5"/>
  <c r="ED112" i="5"/>
  <c r="DX112" i="5"/>
  <c r="DS112" i="5"/>
  <c r="FC112" i="5"/>
  <c r="FE112" i="5"/>
  <c r="FB112" i="5"/>
  <c r="FD112" i="5"/>
  <c r="FF112" i="5"/>
  <c r="DT93" i="5"/>
  <c r="EE93" i="5"/>
  <c r="DU93" i="5"/>
  <c r="DX93" i="5"/>
  <c r="DW93" i="5"/>
  <c r="EA93" i="5"/>
  <c r="EB93" i="5"/>
  <c r="DZ93" i="5"/>
  <c r="EC93" i="5"/>
  <c r="DY93" i="5"/>
  <c r="EF93" i="5"/>
  <c r="DV93" i="5"/>
  <c r="DS93" i="5"/>
  <c r="ED93" i="5"/>
  <c r="FD93" i="5"/>
  <c r="FE93" i="5"/>
  <c r="FC93" i="5"/>
  <c r="FF93" i="5"/>
  <c r="FB93" i="5"/>
  <c r="FE130" i="5"/>
  <c r="FB130" i="5"/>
  <c r="FC130" i="5"/>
  <c r="FD130" i="5"/>
  <c r="FF130" i="5"/>
  <c r="FC132" i="5"/>
  <c r="FE132" i="5"/>
  <c r="FB132" i="5"/>
  <c r="FF132" i="5"/>
  <c r="FD132" i="5"/>
  <c r="FF155" i="5"/>
  <c r="FB155" i="5"/>
  <c r="FE155" i="5"/>
  <c r="FC155" i="5"/>
  <c r="FD155" i="5"/>
  <c r="ED102" i="5"/>
  <c r="DT102" i="5"/>
  <c r="EE102" i="5"/>
  <c r="DW102" i="5"/>
  <c r="DV102" i="5"/>
  <c r="DU102" i="5"/>
  <c r="DS102" i="5"/>
  <c r="EC102" i="5"/>
  <c r="DZ102" i="5"/>
  <c r="EA102" i="5"/>
  <c r="DY102" i="5"/>
  <c r="EB102" i="5"/>
  <c r="EF102" i="5"/>
  <c r="DX102" i="5"/>
  <c r="FB102" i="5"/>
  <c r="FD102" i="5"/>
  <c r="FF102" i="5"/>
  <c r="FC102" i="5"/>
  <c r="FE102" i="5"/>
  <c r="FB134" i="5"/>
  <c r="FE134" i="5"/>
  <c r="FD134" i="5"/>
  <c r="FF134" i="5"/>
  <c r="FC134" i="5"/>
  <c r="FC152" i="5"/>
  <c r="FE152" i="5"/>
  <c r="FD152" i="5"/>
  <c r="FB152" i="5"/>
  <c r="FF152" i="5"/>
  <c r="ED88" i="5"/>
  <c r="EC88" i="5"/>
  <c r="DS88" i="5"/>
  <c r="EF88" i="5"/>
  <c r="EB88" i="5"/>
  <c r="DT88" i="5"/>
  <c r="DV88" i="5"/>
  <c r="DX88" i="5"/>
  <c r="DU88" i="5"/>
  <c r="DY88" i="5"/>
  <c r="DZ88" i="5"/>
  <c r="DW88" i="5"/>
  <c r="EA88" i="5"/>
  <c r="EE88" i="5"/>
  <c r="FB88" i="5"/>
  <c r="FE88" i="5"/>
  <c r="FF88" i="5"/>
  <c r="FD88" i="5"/>
  <c r="FC88" i="5"/>
  <c r="DV92" i="5"/>
  <c r="DX92" i="5"/>
  <c r="EC92" i="5"/>
  <c r="DS92" i="5"/>
  <c r="EE92" i="5"/>
  <c r="DU92" i="5"/>
  <c r="DZ92" i="5"/>
  <c r="DY92" i="5"/>
  <c r="DW92" i="5"/>
  <c r="DT92" i="5"/>
  <c r="ED92" i="5"/>
  <c r="EF92" i="5"/>
  <c r="EB92" i="5"/>
  <c r="EA92" i="5"/>
  <c r="FE92" i="5"/>
  <c r="FC92" i="5"/>
  <c r="FB92" i="5"/>
  <c r="FF92" i="5"/>
  <c r="FD92" i="5"/>
  <c r="FC135" i="5"/>
  <c r="FF135" i="5"/>
  <c r="FE135" i="5"/>
  <c r="FB135" i="5"/>
  <c r="FD135" i="5"/>
  <c r="FE141" i="5"/>
  <c r="FF141" i="5"/>
  <c r="FB141" i="5"/>
  <c r="FC141" i="5"/>
  <c r="FD141" i="5"/>
  <c r="FE156" i="5"/>
  <c r="FC156" i="5"/>
  <c r="FB156" i="5"/>
  <c r="FF156" i="5"/>
  <c r="FD156" i="5"/>
  <c r="DV84" i="5"/>
  <c r="EB84" i="5"/>
  <c r="EA84" i="5"/>
  <c r="DX84" i="5"/>
  <c r="DT84" i="5"/>
  <c r="DS84" i="5"/>
  <c r="DZ84" i="5"/>
  <c r="EE84" i="5"/>
  <c r="EC84" i="5"/>
  <c r="DY84" i="5"/>
  <c r="ED84" i="5"/>
  <c r="DW84" i="5"/>
  <c r="DU84" i="5"/>
  <c r="EF84" i="5"/>
  <c r="FF84" i="5"/>
  <c r="FB84" i="5"/>
  <c r="FE84" i="5"/>
  <c r="FD84" i="5"/>
  <c r="FC84" i="5"/>
  <c r="DF158" i="5"/>
  <c r="DH158" i="5"/>
  <c r="DG158" i="5"/>
  <c r="DE158" i="5"/>
  <c r="DD158" i="5"/>
  <c r="DG139" i="5"/>
  <c r="DF139" i="5"/>
  <c r="DE139" i="5"/>
  <c r="DH139" i="5"/>
  <c r="DD139" i="5"/>
  <c r="DE145" i="5"/>
  <c r="DG145" i="5"/>
  <c r="DH145" i="5"/>
  <c r="DF145" i="5"/>
  <c r="DD145" i="5"/>
  <c r="DG159" i="5"/>
  <c r="DE159" i="5"/>
  <c r="DF159" i="5"/>
  <c r="DH159" i="5"/>
  <c r="DD159" i="5"/>
  <c r="DF148" i="5"/>
  <c r="DH148" i="5"/>
  <c r="DE148" i="5"/>
  <c r="DG148" i="5"/>
  <c r="DD148" i="5"/>
  <c r="DG146" i="5"/>
  <c r="DH146" i="5"/>
  <c r="DF146" i="5"/>
  <c r="DE146" i="5"/>
  <c r="DD146" i="5"/>
  <c r="DF140" i="5"/>
  <c r="DH140" i="5"/>
  <c r="DG140" i="5"/>
  <c r="DE140" i="5"/>
  <c r="DD140" i="5"/>
  <c r="DF150" i="5"/>
  <c r="DG150" i="5"/>
  <c r="DH150" i="5"/>
  <c r="DE150" i="5"/>
  <c r="DD150" i="5"/>
  <c r="DG147" i="5"/>
  <c r="DE147" i="5"/>
  <c r="DF147" i="5"/>
  <c r="DH147" i="5"/>
  <c r="DD147" i="5"/>
  <c r="DG151" i="5"/>
  <c r="DF151" i="5"/>
  <c r="DH151" i="5"/>
  <c r="DE151" i="5"/>
  <c r="DD151" i="5"/>
  <c r="DG143" i="5"/>
  <c r="DE143" i="5"/>
  <c r="DF143" i="5"/>
  <c r="DH143" i="5"/>
  <c r="DD143" i="5"/>
  <c r="DE161" i="5"/>
  <c r="DG161" i="5"/>
  <c r="DH161" i="5"/>
  <c r="DF161" i="5"/>
  <c r="DD161" i="5"/>
  <c r="DE153" i="5"/>
  <c r="DG153" i="5"/>
  <c r="DF153" i="5"/>
  <c r="DH153" i="5"/>
  <c r="DD153" i="5"/>
  <c r="DF160" i="5"/>
  <c r="DE160" i="5"/>
  <c r="DG160" i="5"/>
  <c r="DH160" i="5"/>
  <c r="DD160" i="5"/>
  <c r="DE157" i="5"/>
  <c r="DH157" i="5"/>
  <c r="DF157" i="5"/>
  <c r="DG157" i="5"/>
  <c r="DD157" i="5"/>
  <c r="DF162" i="5"/>
  <c r="DE162" i="5"/>
  <c r="DG162" i="5"/>
  <c r="DH162" i="5"/>
  <c r="DD162" i="5"/>
  <c r="DE149" i="5"/>
  <c r="DH149" i="5"/>
  <c r="DF149" i="5"/>
  <c r="DG149" i="5"/>
  <c r="DD149" i="5"/>
  <c r="DF142" i="5"/>
  <c r="DH142" i="5"/>
  <c r="DE142" i="5"/>
  <c r="DG142" i="5"/>
  <c r="DD142" i="5"/>
  <c r="DF144" i="5"/>
  <c r="DE144" i="5"/>
  <c r="DG144" i="5"/>
  <c r="DH144" i="5"/>
  <c r="DD144" i="5"/>
  <c r="DF154" i="5"/>
  <c r="DH154" i="5"/>
  <c r="DG154" i="5"/>
  <c r="DE154" i="5"/>
  <c r="DD154" i="5"/>
  <c r="DG155" i="5"/>
  <c r="DF155" i="5"/>
  <c r="DH155" i="5"/>
  <c r="DE155" i="5"/>
  <c r="DD155" i="5"/>
  <c r="DF152" i="5"/>
  <c r="DH152" i="5"/>
  <c r="DE152" i="5"/>
  <c r="DG152" i="5"/>
  <c r="DD152" i="5"/>
  <c r="DE141" i="5"/>
  <c r="DH141" i="5"/>
  <c r="DF141" i="5"/>
  <c r="DG141" i="5"/>
  <c r="DD141" i="5"/>
  <c r="DF156" i="5"/>
  <c r="DH156" i="5"/>
  <c r="DG156" i="5"/>
  <c r="DE156" i="5"/>
  <c r="DD156" i="5"/>
  <c r="DR121" i="5"/>
  <c r="AW126" i="5"/>
  <c r="DR123" i="5"/>
  <c r="AW128" i="5"/>
  <c r="DR129" i="5"/>
  <c r="AW134" i="5"/>
  <c r="DR117" i="5"/>
  <c r="AW122" i="5"/>
  <c r="DR137" i="5"/>
  <c r="AW142" i="5"/>
  <c r="DR122" i="5"/>
  <c r="AW127" i="5"/>
  <c r="DR124" i="5"/>
  <c r="AW129" i="5"/>
  <c r="DR127" i="5"/>
  <c r="AW132" i="5"/>
  <c r="DR133" i="5"/>
  <c r="AW138" i="5"/>
  <c r="DR136" i="5"/>
  <c r="AW141" i="5"/>
  <c r="DR138" i="5"/>
  <c r="AW143" i="5"/>
  <c r="DR115" i="5"/>
  <c r="AW120" i="5"/>
  <c r="DR126" i="5"/>
  <c r="AW131" i="5"/>
  <c r="DR128" i="5"/>
  <c r="AW133" i="5"/>
  <c r="DR116" i="5"/>
  <c r="AW121" i="5"/>
  <c r="DR118" i="5"/>
  <c r="AW123" i="5"/>
  <c r="DR119" i="5"/>
  <c r="AW124" i="5"/>
  <c r="DR125" i="5"/>
  <c r="AW130" i="5"/>
  <c r="DR120" i="5"/>
  <c r="AW125" i="5"/>
  <c r="DR131" i="5"/>
  <c r="AW136" i="5"/>
  <c r="DR130" i="5"/>
  <c r="AW135" i="5"/>
  <c r="DR132" i="5"/>
  <c r="AW137" i="5"/>
  <c r="DR134" i="5"/>
  <c r="AW139" i="5"/>
  <c r="DR135" i="5"/>
  <c r="AW140" i="5"/>
  <c r="DR107" i="5"/>
  <c r="AW112" i="5"/>
  <c r="AW114" i="5"/>
  <c r="DR109" i="5"/>
  <c r="AW111" i="5"/>
  <c r="DR106" i="5"/>
  <c r="DR104" i="5"/>
  <c r="AW109" i="5"/>
  <c r="DR110" i="5"/>
  <c r="AW115" i="5"/>
  <c r="DR111" i="5"/>
  <c r="AW116" i="5"/>
  <c r="DR113" i="5"/>
  <c r="AW118" i="5"/>
  <c r="DR114" i="5"/>
  <c r="AW119" i="5"/>
  <c r="AW108" i="5"/>
  <c r="DR103" i="5"/>
  <c r="AW113" i="5"/>
  <c r="DR108" i="5"/>
  <c r="DR105" i="5"/>
  <c r="AW110" i="5"/>
  <c r="DR112" i="5"/>
  <c r="AW117" i="5"/>
  <c r="ET115" i="5"/>
  <c r="EX115" i="5"/>
  <c r="ER115" i="5"/>
  <c r="EU115" i="5"/>
  <c r="FA115" i="5"/>
  <c r="ES115" i="5"/>
  <c r="EZ115" i="5"/>
  <c r="EY115" i="5"/>
  <c r="EV115" i="5"/>
  <c r="EW115" i="5"/>
  <c r="BD120" i="5"/>
  <c r="BD125" i="5"/>
  <c r="ET120" i="5"/>
  <c r="ES120" i="5"/>
  <c r="EU120" i="5"/>
  <c r="EW120" i="5"/>
  <c r="EZ120" i="5"/>
  <c r="EY120" i="5"/>
  <c r="EV120" i="5"/>
  <c r="FA120" i="5"/>
  <c r="ER120" i="5"/>
  <c r="EX120" i="5"/>
  <c r="ES107" i="5"/>
  <c r="BD112" i="5"/>
  <c r="FA107" i="5"/>
  <c r="EV107" i="5"/>
  <c r="EY107" i="5"/>
  <c r="EX107" i="5"/>
  <c r="EW107" i="5"/>
  <c r="EZ107" i="5"/>
  <c r="ER107" i="5"/>
  <c r="EU107" i="5"/>
  <c r="ET107" i="5"/>
  <c r="EZ123" i="5"/>
  <c r="ES123" i="5"/>
  <c r="ER123" i="5"/>
  <c r="FA123" i="5"/>
  <c r="BD128" i="5"/>
  <c r="EX123" i="5"/>
  <c r="EU123" i="5"/>
  <c r="EV123" i="5"/>
  <c r="EY123" i="5"/>
  <c r="ET123" i="5"/>
  <c r="EW123" i="5"/>
  <c r="EU129" i="5"/>
  <c r="ET129" i="5"/>
  <c r="EY129" i="5"/>
  <c r="FA129" i="5"/>
  <c r="EX129" i="5"/>
  <c r="EZ129" i="5"/>
  <c r="ES129" i="5"/>
  <c r="BD134" i="5"/>
  <c r="EW129" i="5"/>
  <c r="ER129" i="5"/>
  <c r="EV129" i="5"/>
  <c r="ET89" i="5"/>
  <c r="DR89" i="5"/>
  <c r="EX89" i="5"/>
  <c r="AW94" i="5"/>
  <c r="FA89" i="5"/>
  <c r="ES89" i="5"/>
  <c r="EW89" i="5"/>
  <c r="EU89" i="5"/>
  <c r="EZ89" i="5"/>
  <c r="BD94" i="5"/>
  <c r="EV89" i="5"/>
  <c r="EY89" i="5"/>
  <c r="ER89" i="5"/>
  <c r="EU87" i="5"/>
  <c r="EV87" i="5"/>
  <c r="BD92" i="5"/>
  <c r="EY87" i="5"/>
  <c r="EW87" i="5"/>
  <c r="EZ87" i="5"/>
  <c r="AW92" i="5"/>
  <c r="FA87" i="5"/>
  <c r="ET87" i="5"/>
  <c r="ES87" i="5"/>
  <c r="ER87" i="5"/>
  <c r="DR87" i="5"/>
  <c r="EX87" i="5"/>
  <c r="FA100" i="5"/>
  <c r="ET100" i="5"/>
  <c r="EY100" i="5"/>
  <c r="DR100" i="5"/>
  <c r="EZ100" i="5"/>
  <c r="BD105" i="5"/>
  <c r="ER100" i="5"/>
  <c r="ES100" i="5"/>
  <c r="EU100" i="5"/>
  <c r="AW105" i="5"/>
  <c r="EX100" i="5"/>
  <c r="EW100" i="5"/>
  <c r="EV100" i="5"/>
  <c r="BD114" i="5"/>
  <c r="EY109" i="5"/>
  <c r="EX109" i="5"/>
  <c r="ER109" i="5"/>
  <c r="EZ109" i="5"/>
  <c r="ET109" i="5"/>
  <c r="EV109" i="5"/>
  <c r="EU109" i="5"/>
  <c r="FA109" i="5"/>
  <c r="EW109" i="5"/>
  <c r="ES109" i="5"/>
  <c r="ET117" i="5"/>
  <c r="EW117" i="5"/>
  <c r="EY117" i="5"/>
  <c r="FA117" i="5"/>
  <c r="EV117" i="5"/>
  <c r="EU117" i="5"/>
  <c r="ER117" i="5"/>
  <c r="ES117" i="5"/>
  <c r="EX117" i="5"/>
  <c r="BD122" i="5"/>
  <c r="EZ117" i="5"/>
  <c r="ER149" i="5"/>
  <c r="EX149" i="5"/>
  <c r="CZ149" i="5"/>
  <c r="DA149" i="5"/>
  <c r="EW149" i="5"/>
  <c r="EV149" i="5"/>
  <c r="EZ149" i="5"/>
  <c r="CV149" i="5"/>
  <c r="CW149" i="5"/>
  <c r="FA149" i="5"/>
  <c r="DB149" i="5"/>
  <c r="EU149" i="5"/>
  <c r="ES149" i="5"/>
  <c r="DC149" i="5"/>
  <c r="EY149" i="5"/>
  <c r="CU149" i="5"/>
  <c r="CY149" i="5"/>
  <c r="ET149" i="5"/>
  <c r="BD154" i="5"/>
  <c r="CX149" i="5"/>
  <c r="EZ158" i="5"/>
  <c r="ER158" i="5"/>
  <c r="EX158" i="5"/>
  <c r="DA158" i="5"/>
  <c r="FA158" i="5"/>
  <c r="CW158" i="5"/>
  <c r="EU158" i="5"/>
  <c r="EY158" i="5"/>
  <c r="CU158" i="5"/>
  <c r="CX158" i="5"/>
  <c r="CZ158" i="5"/>
  <c r="DC158" i="5"/>
  <c r="ET158" i="5"/>
  <c r="EV158" i="5"/>
  <c r="CV158" i="5"/>
  <c r="ES158" i="5"/>
  <c r="BD163" i="5"/>
  <c r="CY158" i="5"/>
  <c r="DB158" i="5"/>
  <c r="EW158" i="5"/>
  <c r="ES106" i="5"/>
  <c r="BD111" i="5"/>
  <c r="EU106" i="5"/>
  <c r="FA106" i="5"/>
  <c r="EX106" i="5"/>
  <c r="EZ106" i="5"/>
  <c r="EY106" i="5"/>
  <c r="ER106" i="5"/>
  <c r="EW106" i="5"/>
  <c r="EV106" i="5"/>
  <c r="ET106" i="5"/>
  <c r="FA137" i="5"/>
  <c r="BD142" i="5"/>
  <c r="EZ137" i="5"/>
  <c r="EV137" i="5"/>
  <c r="ES137" i="5"/>
  <c r="ER137" i="5"/>
  <c r="EY137" i="5"/>
  <c r="EU137" i="5"/>
  <c r="EX137" i="5"/>
  <c r="ET137" i="5"/>
  <c r="EW137" i="5"/>
  <c r="AW95" i="5"/>
  <c r="EV90" i="5"/>
  <c r="BD95" i="5"/>
  <c r="DR90" i="5"/>
  <c r="ER90" i="5"/>
  <c r="EY90" i="5"/>
  <c r="ET90" i="5"/>
  <c r="EW90" i="5"/>
  <c r="EU90" i="5"/>
  <c r="EZ90" i="5"/>
  <c r="ES90" i="5"/>
  <c r="EX90" i="5"/>
  <c r="FA90" i="5"/>
  <c r="ER104" i="5"/>
  <c r="EZ104" i="5"/>
  <c r="ES104" i="5"/>
  <c r="EV104" i="5"/>
  <c r="EY104" i="5"/>
  <c r="FA104" i="5"/>
  <c r="ET104" i="5"/>
  <c r="EW104" i="5"/>
  <c r="EX104" i="5"/>
  <c r="EU104" i="5"/>
  <c r="BD109" i="5"/>
  <c r="EW110" i="5"/>
  <c r="ER110" i="5"/>
  <c r="ET110" i="5"/>
  <c r="ES110" i="5"/>
  <c r="BD115" i="5"/>
  <c r="EY110" i="5"/>
  <c r="EX110" i="5"/>
  <c r="FA110" i="5"/>
  <c r="EU110" i="5"/>
  <c r="EV110" i="5"/>
  <c r="EZ110" i="5"/>
  <c r="ES122" i="5"/>
  <c r="BD127" i="5"/>
  <c r="EU122" i="5"/>
  <c r="FA122" i="5"/>
  <c r="EV122" i="5"/>
  <c r="EX122" i="5"/>
  <c r="EW122" i="5"/>
  <c r="EY122" i="5"/>
  <c r="ET122" i="5"/>
  <c r="EZ122" i="5"/>
  <c r="ER122" i="5"/>
  <c r="EY124" i="5"/>
  <c r="EU124" i="5"/>
  <c r="BD129" i="5"/>
  <c r="FA124" i="5"/>
  <c r="EW124" i="5"/>
  <c r="EZ124" i="5"/>
  <c r="EV124" i="5"/>
  <c r="ER124" i="5"/>
  <c r="ET124" i="5"/>
  <c r="EX124" i="5"/>
  <c r="ES124" i="5"/>
  <c r="ES147" i="5"/>
  <c r="CV147" i="5"/>
  <c r="CU147" i="5"/>
  <c r="EZ147" i="5"/>
  <c r="EX147" i="5"/>
  <c r="CY147" i="5"/>
  <c r="ER147" i="5"/>
  <c r="BD152" i="5"/>
  <c r="DC147" i="5"/>
  <c r="CW147" i="5"/>
  <c r="EU147" i="5"/>
  <c r="ET147" i="5"/>
  <c r="EY147" i="5"/>
  <c r="CX147" i="5"/>
  <c r="DB147" i="5"/>
  <c r="CZ147" i="5"/>
  <c r="FA147" i="5"/>
  <c r="EV147" i="5"/>
  <c r="EW147" i="5"/>
  <c r="DA147" i="5"/>
  <c r="BD104" i="5"/>
  <c r="DR99" i="5"/>
  <c r="ER99" i="5"/>
  <c r="AW104" i="5"/>
  <c r="ES99" i="5"/>
  <c r="ET99" i="5"/>
  <c r="EZ99" i="5"/>
  <c r="EV99" i="5"/>
  <c r="EU99" i="5"/>
  <c r="FA99" i="5"/>
  <c r="EY99" i="5"/>
  <c r="EW99" i="5"/>
  <c r="EX99" i="5"/>
  <c r="EU95" i="5"/>
  <c r="FA95" i="5"/>
  <c r="EY95" i="5"/>
  <c r="EW95" i="5"/>
  <c r="EX95" i="5"/>
  <c r="AW100" i="5"/>
  <c r="EZ95" i="5"/>
  <c r="EV95" i="5"/>
  <c r="DR95" i="5"/>
  <c r="BD100" i="5"/>
  <c r="ES95" i="5"/>
  <c r="ER95" i="5"/>
  <c r="ET95" i="5"/>
  <c r="FA91" i="5"/>
  <c r="ET91" i="5"/>
  <c r="AW96" i="5"/>
  <c r="EV91" i="5"/>
  <c r="ES91" i="5"/>
  <c r="ER91" i="5"/>
  <c r="EX91" i="5"/>
  <c r="BD96" i="5"/>
  <c r="EZ91" i="5"/>
  <c r="EW91" i="5"/>
  <c r="EU91" i="5"/>
  <c r="DR91" i="5"/>
  <c r="EY91" i="5"/>
  <c r="ET139" i="5"/>
  <c r="EY139" i="5"/>
  <c r="CU139" i="5"/>
  <c r="CY139" i="5"/>
  <c r="ER139" i="5"/>
  <c r="DA139" i="5"/>
  <c r="EW139" i="5"/>
  <c r="EV139" i="5"/>
  <c r="CZ139" i="5"/>
  <c r="CV139" i="5"/>
  <c r="EU139" i="5"/>
  <c r="CW139" i="5"/>
  <c r="DC139" i="5"/>
  <c r="EX139" i="5"/>
  <c r="BD144" i="5"/>
  <c r="ES139" i="5"/>
  <c r="FA139" i="5"/>
  <c r="CX139" i="5"/>
  <c r="DB139" i="5"/>
  <c r="EZ139" i="5"/>
  <c r="FA145" i="5"/>
  <c r="CX145" i="5"/>
  <c r="CU145" i="5"/>
  <c r="CY145" i="5"/>
  <c r="EY145" i="5"/>
  <c r="ET145" i="5"/>
  <c r="EV145" i="5"/>
  <c r="BD150" i="5"/>
  <c r="CZ145" i="5"/>
  <c r="EX145" i="5"/>
  <c r="DC145" i="5"/>
  <c r="EU145" i="5"/>
  <c r="EW145" i="5"/>
  <c r="ES145" i="5"/>
  <c r="CV145" i="5"/>
  <c r="ER145" i="5"/>
  <c r="CW145" i="5"/>
  <c r="DA145" i="5"/>
  <c r="DB145" i="5"/>
  <c r="EZ145" i="5"/>
  <c r="EZ159" i="5"/>
  <c r="DA159" i="5"/>
  <c r="ER159" i="5"/>
  <c r="FA159" i="5"/>
  <c r="EV159" i="5"/>
  <c r="ES159" i="5"/>
  <c r="CY159" i="5"/>
  <c r="DB159" i="5"/>
  <c r="CV159" i="5"/>
  <c r="EX159" i="5"/>
  <c r="CW159" i="5"/>
  <c r="EU159" i="5"/>
  <c r="EY159" i="5"/>
  <c r="BD164" i="5"/>
  <c r="CX159" i="5"/>
  <c r="EW159" i="5"/>
  <c r="CU159" i="5"/>
  <c r="ET159" i="5"/>
  <c r="CZ159" i="5"/>
  <c r="DC159" i="5"/>
  <c r="EX85" i="5"/>
  <c r="EZ85" i="5"/>
  <c r="EV85" i="5"/>
  <c r="FA85" i="5"/>
  <c r="EW85" i="5"/>
  <c r="ET85" i="5"/>
  <c r="ER85" i="5"/>
  <c r="BD90" i="5"/>
  <c r="DR85" i="5"/>
  <c r="EY85" i="5"/>
  <c r="AW90" i="5"/>
  <c r="EU85" i="5"/>
  <c r="ES85" i="5"/>
  <c r="FA111" i="5"/>
  <c r="ET111" i="5"/>
  <c r="EV111" i="5"/>
  <c r="EU111" i="5"/>
  <c r="EW111" i="5"/>
  <c r="EX111" i="5"/>
  <c r="ER111" i="5"/>
  <c r="EY111" i="5"/>
  <c r="ES111" i="5"/>
  <c r="EZ111" i="5"/>
  <c r="BD116" i="5"/>
  <c r="EX127" i="5"/>
  <c r="FA127" i="5"/>
  <c r="ER127" i="5"/>
  <c r="EW127" i="5"/>
  <c r="BD132" i="5"/>
  <c r="EY127" i="5"/>
  <c r="ES127" i="5"/>
  <c r="ET127" i="5"/>
  <c r="EZ127" i="5"/>
  <c r="EU127" i="5"/>
  <c r="EV127" i="5"/>
  <c r="EY133" i="5"/>
  <c r="EW133" i="5"/>
  <c r="EZ133" i="5"/>
  <c r="ET133" i="5"/>
  <c r="ES133" i="5"/>
  <c r="ER133" i="5"/>
  <c r="EU133" i="5"/>
  <c r="EX133" i="5"/>
  <c r="EV133" i="5"/>
  <c r="BD138" i="5"/>
  <c r="FA133" i="5"/>
  <c r="EZ148" i="5"/>
  <c r="CW148" i="5"/>
  <c r="CY148" i="5"/>
  <c r="ER148" i="5"/>
  <c r="EW148" i="5"/>
  <c r="ES148" i="5"/>
  <c r="EV148" i="5"/>
  <c r="CX148" i="5"/>
  <c r="DC148" i="5"/>
  <c r="EU148" i="5"/>
  <c r="EY148" i="5"/>
  <c r="ET148" i="5"/>
  <c r="CU148" i="5"/>
  <c r="CZ148" i="5"/>
  <c r="FA148" i="5"/>
  <c r="EX148" i="5"/>
  <c r="DB148" i="5"/>
  <c r="CV148" i="5"/>
  <c r="BD153" i="5"/>
  <c r="DA148" i="5"/>
  <c r="ET86" i="5"/>
  <c r="EX86" i="5"/>
  <c r="DR86" i="5"/>
  <c r="ER86" i="5"/>
  <c r="FA86" i="5"/>
  <c r="BD91" i="5"/>
  <c r="EV86" i="5"/>
  <c r="EY86" i="5"/>
  <c r="EU86" i="5"/>
  <c r="EW86" i="5"/>
  <c r="AW91" i="5"/>
  <c r="EZ86" i="5"/>
  <c r="ES86" i="5"/>
  <c r="ES113" i="5"/>
  <c r="EW113" i="5"/>
  <c r="EV113" i="5"/>
  <c r="FA113" i="5"/>
  <c r="ER113" i="5"/>
  <c r="BD118" i="5"/>
  <c r="EY113" i="5"/>
  <c r="ET113" i="5"/>
  <c r="EZ113" i="5"/>
  <c r="EX113" i="5"/>
  <c r="EU113" i="5"/>
  <c r="EW136" i="5"/>
  <c r="EX136" i="5"/>
  <c r="BD141" i="5"/>
  <c r="ER136" i="5"/>
  <c r="EU136" i="5"/>
  <c r="ET136" i="5"/>
  <c r="EV136" i="5"/>
  <c r="ES136" i="5"/>
  <c r="EZ136" i="5"/>
  <c r="EY136" i="5"/>
  <c r="FA136" i="5"/>
  <c r="CV146" i="5"/>
  <c r="EW146" i="5"/>
  <c r="EY146" i="5"/>
  <c r="CW146" i="5"/>
  <c r="CU146" i="5"/>
  <c r="DC146" i="5"/>
  <c r="CZ146" i="5"/>
  <c r="BD151" i="5"/>
  <c r="CY146" i="5"/>
  <c r="CX146" i="5"/>
  <c r="EZ146" i="5"/>
  <c r="ES146" i="5"/>
  <c r="DA146" i="5"/>
  <c r="EX146" i="5"/>
  <c r="EU146" i="5"/>
  <c r="FA146" i="5"/>
  <c r="EV146" i="5"/>
  <c r="ET146" i="5"/>
  <c r="ER146" i="5"/>
  <c r="DB146" i="5"/>
  <c r="EX98" i="5"/>
  <c r="ES98" i="5"/>
  <c r="ER98" i="5"/>
  <c r="EY98" i="5"/>
  <c r="EZ98" i="5"/>
  <c r="DR98" i="5"/>
  <c r="EU98" i="5"/>
  <c r="FA98" i="5"/>
  <c r="EV98" i="5"/>
  <c r="AW103" i="5"/>
  <c r="EW98" i="5"/>
  <c r="ET98" i="5"/>
  <c r="BD103" i="5"/>
  <c r="ET101" i="5"/>
  <c r="EX101" i="5"/>
  <c r="BD106" i="5"/>
  <c r="FA101" i="5"/>
  <c r="AW106" i="5"/>
  <c r="EW101" i="5"/>
  <c r="EY101" i="5"/>
  <c r="EU101" i="5"/>
  <c r="DR101" i="5"/>
  <c r="EV101" i="5"/>
  <c r="ES101" i="5"/>
  <c r="ER101" i="5"/>
  <c r="EZ101" i="5"/>
  <c r="EZ138" i="5"/>
  <c r="EY138" i="5"/>
  <c r="EV138" i="5"/>
  <c r="ET138" i="5"/>
  <c r="BD143" i="5"/>
  <c r="FA138" i="5"/>
  <c r="EW138" i="5"/>
  <c r="EX138" i="5"/>
  <c r="ES138" i="5"/>
  <c r="ER138" i="5"/>
  <c r="EU138" i="5"/>
  <c r="ET140" i="5"/>
  <c r="ES140" i="5"/>
  <c r="EW140" i="5"/>
  <c r="CX140" i="5"/>
  <c r="CY140" i="5"/>
  <c r="DB140" i="5"/>
  <c r="EZ140" i="5"/>
  <c r="EY140" i="5"/>
  <c r="DA140" i="5"/>
  <c r="CW140" i="5"/>
  <c r="BD145" i="5"/>
  <c r="CU140" i="5"/>
  <c r="CV140" i="5"/>
  <c r="ER140" i="5"/>
  <c r="EU140" i="5"/>
  <c r="EV140" i="5"/>
  <c r="EX140" i="5"/>
  <c r="DC140" i="5"/>
  <c r="FA140" i="5"/>
  <c r="CZ140" i="5"/>
  <c r="CV150" i="5"/>
  <c r="ES150" i="5"/>
  <c r="ET150" i="5"/>
  <c r="BD155" i="5"/>
  <c r="DC150" i="5"/>
  <c r="EW150" i="5"/>
  <c r="FA150" i="5"/>
  <c r="CZ150" i="5"/>
  <c r="EV150" i="5"/>
  <c r="ER150" i="5"/>
  <c r="EZ150" i="5"/>
  <c r="CX150" i="5"/>
  <c r="EX150" i="5"/>
  <c r="DA150" i="5"/>
  <c r="DB150" i="5"/>
  <c r="EY150" i="5"/>
  <c r="CW150" i="5"/>
  <c r="CY150" i="5"/>
  <c r="EU150" i="5"/>
  <c r="CU150" i="5"/>
  <c r="FA131" i="5"/>
  <c r="ER131" i="5"/>
  <c r="EU131" i="5"/>
  <c r="EY131" i="5"/>
  <c r="EW131" i="5"/>
  <c r="ET131" i="5"/>
  <c r="EZ131" i="5"/>
  <c r="ES131" i="5"/>
  <c r="EX131" i="5"/>
  <c r="EV131" i="5"/>
  <c r="BD136" i="5"/>
  <c r="EU108" i="5"/>
  <c r="EW108" i="5"/>
  <c r="ET108" i="5"/>
  <c r="FA108" i="5"/>
  <c r="EV108" i="5"/>
  <c r="EY108" i="5"/>
  <c r="ES108" i="5"/>
  <c r="EZ108" i="5"/>
  <c r="BD113" i="5"/>
  <c r="ER108" i="5"/>
  <c r="EX108" i="5"/>
  <c r="EW114" i="5"/>
  <c r="ET114" i="5"/>
  <c r="ER114" i="5"/>
  <c r="ES114" i="5"/>
  <c r="EX114" i="5"/>
  <c r="FA114" i="5"/>
  <c r="EU114" i="5"/>
  <c r="EZ114" i="5"/>
  <c r="BD119" i="5"/>
  <c r="EV114" i="5"/>
  <c r="EY114" i="5"/>
  <c r="EW126" i="5"/>
  <c r="ER126" i="5"/>
  <c r="EU126" i="5"/>
  <c r="EY126" i="5"/>
  <c r="EV126" i="5"/>
  <c r="EX126" i="5"/>
  <c r="EZ126" i="5"/>
  <c r="BD131" i="5"/>
  <c r="FA126" i="5"/>
  <c r="ET126" i="5"/>
  <c r="ES126" i="5"/>
  <c r="EW128" i="5"/>
  <c r="EU128" i="5"/>
  <c r="EX128" i="5"/>
  <c r="ES128" i="5"/>
  <c r="EY128" i="5"/>
  <c r="ET128" i="5"/>
  <c r="EZ128" i="5"/>
  <c r="EV128" i="5"/>
  <c r="BD133" i="5"/>
  <c r="FA128" i="5"/>
  <c r="ER128" i="5"/>
  <c r="EV151" i="5"/>
  <c r="CU151" i="5"/>
  <c r="ER151" i="5"/>
  <c r="EW151" i="5"/>
  <c r="CY151" i="5"/>
  <c r="FA151" i="5"/>
  <c r="EX151" i="5"/>
  <c r="BD156" i="5"/>
  <c r="CV151" i="5"/>
  <c r="CZ151" i="5"/>
  <c r="ES151" i="5"/>
  <c r="CW151" i="5"/>
  <c r="DA151" i="5"/>
  <c r="EZ151" i="5"/>
  <c r="DC151" i="5"/>
  <c r="DB151" i="5"/>
  <c r="EU151" i="5"/>
  <c r="EY151" i="5"/>
  <c r="ET151" i="5"/>
  <c r="CX151" i="5"/>
  <c r="ER97" i="5"/>
  <c r="EV97" i="5"/>
  <c r="EW97" i="5"/>
  <c r="EZ97" i="5"/>
  <c r="EU97" i="5"/>
  <c r="AW102" i="5"/>
  <c r="ET97" i="5"/>
  <c r="EX97" i="5"/>
  <c r="FA97" i="5"/>
  <c r="BD102" i="5"/>
  <c r="ES97" i="5"/>
  <c r="DR97" i="5"/>
  <c r="EY97" i="5"/>
  <c r="ET96" i="5"/>
  <c r="ES96" i="5"/>
  <c r="EZ96" i="5"/>
  <c r="DR96" i="5"/>
  <c r="EV96" i="5"/>
  <c r="EX96" i="5"/>
  <c r="AW101" i="5"/>
  <c r="EW96" i="5"/>
  <c r="FA96" i="5"/>
  <c r="EY96" i="5"/>
  <c r="ER96" i="5"/>
  <c r="BD101" i="5"/>
  <c r="EU96" i="5"/>
  <c r="FA143" i="5"/>
  <c r="DC143" i="5"/>
  <c r="CW143" i="5"/>
  <c r="EU143" i="5"/>
  <c r="BD148" i="5"/>
  <c r="CV143" i="5"/>
  <c r="ER143" i="5"/>
  <c r="EV143" i="5"/>
  <c r="CX143" i="5"/>
  <c r="DA143" i="5"/>
  <c r="EX143" i="5"/>
  <c r="EY143" i="5"/>
  <c r="ET143" i="5"/>
  <c r="CY143" i="5"/>
  <c r="DB143" i="5"/>
  <c r="EW143" i="5"/>
  <c r="CZ143" i="5"/>
  <c r="EZ143" i="5"/>
  <c r="ES143" i="5"/>
  <c r="CU143" i="5"/>
  <c r="ES116" i="5"/>
  <c r="ER116" i="5"/>
  <c r="BD121" i="5"/>
  <c r="EU116" i="5"/>
  <c r="EV116" i="5"/>
  <c r="FA116" i="5"/>
  <c r="EZ116" i="5"/>
  <c r="EX116" i="5"/>
  <c r="EY116" i="5"/>
  <c r="ET116" i="5"/>
  <c r="EW116" i="5"/>
  <c r="EV161" i="5"/>
  <c r="DB161" i="5"/>
  <c r="ET161" i="5"/>
  <c r="EY161" i="5"/>
  <c r="EU161" i="5"/>
  <c r="CV161" i="5"/>
  <c r="CY161" i="5"/>
  <c r="DA161" i="5"/>
  <c r="EZ161" i="5"/>
  <c r="CW161" i="5"/>
  <c r="FA161" i="5"/>
  <c r="EX161" i="5"/>
  <c r="BD166" i="5"/>
  <c r="CZ161" i="5"/>
  <c r="DC161" i="5"/>
  <c r="EW161" i="5"/>
  <c r="ES161" i="5"/>
  <c r="ER161" i="5"/>
  <c r="CX161" i="5"/>
  <c r="CU161" i="5"/>
  <c r="DR94" i="5"/>
  <c r="EV94" i="5"/>
  <c r="EU94" i="5"/>
  <c r="ER94" i="5"/>
  <c r="ET94" i="5"/>
  <c r="FA94" i="5"/>
  <c r="AW99" i="5"/>
  <c r="EY94" i="5"/>
  <c r="EZ94" i="5"/>
  <c r="BD99" i="5"/>
  <c r="EW94" i="5"/>
  <c r="ES94" i="5"/>
  <c r="EX94" i="5"/>
  <c r="ER118" i="5"/>
  <c r="EX118" i="5"/>
  <c r="ES118" i="5"/>
  <c r="EU118" i="5"/>
  <c r="EY118" i="5"/>
  <c r="EV118" i="5"/>
  <c r="ET118" i="5"/>
  <c r="FA118" i="5"/>
  <c r="EZ118" i="5"/>
  <c r="EW118" i="5"/>
  <c r="BD123" i="5"/>
  <c r="ES153" i="5"/>
  <c r="EY153" i="5"/>
  <c r="CV153" i="5"/>
  <c r="CW153" i="5"/>
  <c r="EZ153" i="5"/>
  <c r="DB153" i="5"/>
  <c r="ET153" i="5"/>
  <c r="ER153" i="5"/>
  <c r="DC153" i="5"/>
  <c r="EX153" i="5"/>
  <c r="CU153" i="5"/>
  <c r="CY153" i="5"/>
  <c r="EV153" i="5"/>
  <c r="BD158" i="5"/>
  <c r="CX153" i="5"/>
  <c r="EW153" i="5"/>
  <c r="EU153" i="5"/>
  <c r="CZ153" i="5"/>
  <c r="DA153" i="5"/>
  <c r="FA153" i="5"/>
  <c r="CX160" i="5"/>
  <c r="ER160" i="5"/>
  <c r="EZ160" i="5"/>
  <c r="CW160" i="5"/>
  <c r="CZ160" i="5"/>
  <c r="DB160" i="5"/>
  <c r="EU160" i="5"/>
  <c r="DC160" i="5"/>
  <c r="EY160" i="5"/>
  <c r="CV160" i="5"/>
  <c r="CU160" i="5"/>
  <c r="ET160" i="5"/>
  <c r="EX160" i="5"/>
  <c r="DA160" i="5"/>
  <c r="CY160" i="5"/>
  <c r="ES160" i="5"/>
  <c r="BD165" i="5"/>
  <c r="EW160" i="5"/>
  <c r="EV160" i="5"/>
  <c r="FA160" i="5"/>
  <c r="EV103" i="5"/>
  <c r="FA103" i="5"/>
  <c r="ET103" i="5"/>
  <c r="EU103" i="5"/>
  <c r="BD108" i="5"/>
  <c r="ER103" i="5"/>
  <c r="EY103" i="5"/>
  <c r="ES103" i="5"/>
  <c r="EZ103" i="5"/>
  <c r="EW103" i="5"/>
  <c r="EX103" i="5"/>
  <c r="ET119" i="5"/>
  <c r="FA119" i="5"/>
  <c r="EX119" i="5"/>
  <c r="EV119" i="5"/>
  <c r="ES119" i="5"/>
  <c r="EZ119" i="5"/>
  <c r="ER119" i="5"/>
  <c r="EU119" i="5"/>
  <c r="EW119" i="5"/>
  <c r="EY119" i="5"/>
  <c r="BD124" i="5"/>
  <c r="ER125" i="5"/>
  <c r="BD130" i="5"/>
  <c r="EW125" i="5"/>
  <c r="EZ125" i="5"/>
  <c r="ET125" i="5"/>
  <c r="EU125" i="5"/>
  <c r="ES125" i="5"/>
  <c r="FA125" i="5"/>
  <c r="EV125" i="5"/>
  <c r="EY125" i="5"/>
  <c r="EX125" i="5"/>
  <c r="EZ157" i="5"/>
  <c r="EY157" i="5"/>
  <c r="CX157" i="5"/>
  <c r="DA157" i="5"/>
  <c r="EW157" i="5"/>
  <c r="ER157" i="5"/>
  <c r="ET157" i="5"/>
  <c r="CV157" i="5"/>
  <c r="DB157" i="5"/>
  <c r="ES157" i="5"/>
  <c r="EV157" i="5"/>
  <c r="CZ157" i="5"/>
  <c r="CW157" i="5"/>
  <c r="FA157" i="5"/>
  <c r="BD162" i="5"/>
  <c r="CY157" i="5"/>
  <c r="EX157" i="5"/>
  <c r="EU157" i="5"/>
  <c r="DC157" i="5"/>
  <c r="CU157" i="5"/>
  <c r="CZ162" i="5"/>
  <c r="DB162" i="5"/>
  <c r="CW162" i="5"/>
  <c r="FA162" i="5"/>
  <c r="CV162" i="5"/>
  <c r="ES162" i="5"/>
  <c r="CU162" i="5"/>
  <c r="CX162" i="5"/>
  <c r="EV162" i="5"/>
  <c r="EZ162" i="5"/>
  <c r="EW162" i="5"/>
  <c r="EX162" i="5"/>
  <c r="DA162" i="5"/>
  <c r="EU162" i="5"/>
  <c r="ER162" i="5"/>
  <c r="DC162" i="5"/>
  <c r="BD167" i="5"/>
  <c r="ET162" i="5"/>
  <c r="EY162" i="5"/>
  <c r="CY162" i="5"/>
  <c r="FA121" i="5"/>
  <c r="EY121" i="5"/>
  <c r="EX121" i="5"/>
  <c r="EV121" i="5"/>
  <c r="EZ121" i="5"/>
  <c r="ET121" i="5"/>
  <c r="EU121" i="5"/>
  <c r="ES121" i="5"/>
  <c r="EW121" i="5"/>
  <c r="BD126" i="5"/>
  <c r="ER121" i="5"/>
  <c r="F58" i="5"/>
  <c r="F203" i="5" s="1"/>
  <c r="V21" i="5"/>
  <c r="AA15" i="5"/>
  <c r="BD110" i="5"/>
  <c r="ES105" i="5"/>
  <c r="ET105" i="5"/>
  <c r="EZ105" i="5"/>
  <c r="EU105" i="5"/>
  <c r="EX105" i="5"/>
  <c r="EW105" i="5"/>
  <c r="EY105" i="5"/>
  <c r="FA105" i="5"/>
  <c r="EV105" i="5"/>
  <c r="ER105" i="5"/>
  <c r="EV142" i="5"/>
  <c r="CW142" i="5"/>
  <c r="ER142" i="5"/>
  <c r="FA142" i="5"/>
  <c r="CX142" i="5"/>
  <c r="EX142" i="5"/>
  <c r="CU142" i="5"/>
  <c r="DB142" i="5"/>
  <c r="EY142" i="5"/>
  <c r="ET142" i="5"/>
  <c r="EZ142" i="5"/>
  <c r="EU142" i="5"/>
  <c r="CZ142" i="5"/>
  <c r="DC142" i="5"/>
  <c r="EW142" i="5"/>
  <c r="CY142" i="5"/>
  <c r="ES142" i="5"/>
  <c r="BD147" i="5"/>
  <c r="CV142" i="5"/>
  <c r="DA142" i="5"/>
  <c r="BD149" i="5"/>
  <c r="CV144" i="5"/>
  <c r="EX144" i="5"/>
  <c r="EY144" i="5"/>
  <c r="CX144" i="5"/>
  <c r="ER144" i="5"/>
  <c r="ET144" i="5"/>
  <c r="DB144" i="5"/>
  <c r="CY144" i="5"/>
  <c r="EZ144" i="5"/>
  <c r="EU144" i="5"/>
  <c r="EV144" i="5"/>
  <c r="EW144" i="5"/>
  <c r="CU144" i="5"/>
  <c r="CZ144" i="5"/>
  <c r="DC144" i="5"/>
  <c r="FA144" i="5"/>
  <c r="ES144" i="5"/>
  <c r="CW144" i="5"/>
  <c r="DA144" i="5"/>
  <c r="CV154" i="5"/>
  <c r="EX154" i="5"/>
  <c r="EZ154" i="5"/>
  <c r="CU154" i="5"/>
  <c r="DB154" i="5"/>
  <c r="EV154" i="5"/>
  <c r="EW154" i="5"/>
  <c r="EY154" i="5"/>
  <c r="FA154" i="5"/>
  <c r="ER154" i="5"/>
  <c r="CX154" i="5"/>
  <c r="DC154" i="5"/>
  <c r="CW154" i="5"/>
  <c r="CY154" i="5"/>
  <c r="DA154" i="5"/>
  <c r="CZ154" i="5"/>
  <c r="BD159" i="5"/>
  <c r="EU154" i="5"/>
  <c r="ES154" i="5"/>
  <c r="ET154" i="5"/>
  <c r="EY112" i="5"/>
  <c r="EW112" i="5"/>
  <c r="ER112" i="5"/>
  <c r="EV112" i="5"/>
  <c r="BD117" i="5"/>
  <c r="ET112" i="5"/>
  <c r="EU112" i="5"/>
  <c r="FA112" i="5"/>
  <c r="EZ112" i="5"/>
  <c r="ES112" i="5"/>
  <c r="EX112" i="5"/>
  <c r="ER93" i="5"/>
  <c r="FA93" i="5"/>
  <c r="EX93" i="5"/>
  <c r="DR93" i="5"/>
  <c r="EY93" i="5"/>
  <c r="EZ93" i="5"/>
  <c r="ES93" i="5"/>
  <c r="EU93" i="5"/>
  <c r="EV93" i="5"/>
  <c r="ET93" i="5"/>
  <c r="BD98" i="5"/>
  <c r="EW93" i="5"/>
  <c r="AW98" i="5"/>
  <c r="ER130" i="5"/>
  <c r="BD135" i="5"/>
  <c r="EV130" i="5"/>
  <c r="EU130" i="5"/>
  <c r="EY130" i="5"/>
  <c r="EX130" i="5"/>
  <c r="EW130" i="5"/>
  <c r="EZ130" i="5"/>
  <c r="ES130" i="5"/>
  <c r="ET130" i="5"/>
  <c r="FA130" i="5"/>
  <c r="EW132" i="5"/>
  <c r="FA132" i="5"/>
  <c r="EU132" i="5"/>
  <c r="EX132" i="5"/>
  <c r="EZ132" i="5"/>
  <c r="EY132" i="5"/>
  <c r="EV132" i="5"/>
  <c r="ER132" i="5"/>
  <c r="BD137" i="5"/>
  <c r="ET132" i="5"/>
  <c r="ES132" i="5"/>
  <c r="EW155" i="5"/>
  <c r="CZ155" i="5"/>
  <c r="CU155" i="5"/>
  <c r="EU155" i="5"/>
  <c r="ER155" i="5"/>
  <c r="CY155" i="5"/>
  <c r="ES155" i="5"/>
  <c r="BD160" i="5"/>
  <c r="DC155" i="5"/>
  <c r="EZ155" i="5"/>
  <c r="DB155" i="5"/>
  <c r="ET155" i="5"/>
  <c r="EX155" i="5"/>
  <c r="EY155" i="5"/>
  <c r="CW155" i="5"/>
  <c r="CX155" i="5"/>
  <c r="CV155" i="5"/>
  <c r="DA155" i="5"/>
  <c r="FA155" i="5"/>
  <c r="EV155" i="5"/>
  <c r="FA102" i="5"/>
  <c r="BD107" i="5"/>
  <c r="EX102" i="5"/>
  <c r="EU102" i="5"/>
  <c r="ER102" i="5"/>
  <c r="AW107" i="5"/>
  <c r="ET102" i="5"/>
  <c r="EW102" i="5"/>
  <c r="EV102" i="5"/>
  <c r="EY102" i="5"/>
  <c r="ES102" i="5"/>
  <c r="DR102" i="5"/>
  <c r="EZ102" i="5"/>
  <c r="EX134" i="5"/>
  <c r="BD139" i="5"/>
  <c r="EV134" i="5"/>
  <c r="EW134" i="5"/>
  <c r="EY134" i="5"/>
  <c r="EZ134" i="5"/>
  <c r="FA134" i="5"/>
  <c r="ER134" i="5"/>
  <c r="ES134" i="5"/>
  <c r="ET134" i="5"/>
  <c r="EU134" i="5"/>
  <c r="ER152" i="5"/>
  <c r="ES152" i="5"/>
  <c r="CX152" i="5"/>
  <c r="EV152" i="5"/>
  <c r="CV152" i="5"/>
  <c r="EY152" i="5"/>
  <c r="BD157" i="5"/>
  <c r="DB152" i="5"/>
  <c r="CZ152" i="5"/>
  <c r="EZ152" i="5"/>
  <c r="CY152" i="5"/>
  <c r="CU152" i="5"/>
  <c r="EU152" i="5"/>
  <c r="EX152" i="5"/>
  <c r="DA152" i="5"/>
  <c r="FA152" i="5"/>
  <c r="CW152" i="5"/>
  <c r="DC152" i="5"/>
  <c r="EW152" i="5"/>
  <c r="ET152" i="5"/>
  <c r="AW93" i="5"/>
  <c r="FA88" i="5"/>
  <c r="ER88" i="5"/>
  <c r="ET88" i="5"/>
  <c r="EU88" i="5"/>
  <c r="EY88" i="5"/>
  <c r="EW88" i="5"/>
  <c r="EV88" i="5"/>
  <c r="EX88" i="5"/>
  <c r="ES88" i="5"/>
  <c r="BD93" i="5"/>
  <c r="EZ88" i="5"/>
  <c r="DR88" i="5"/>
  <c r="DR92" i="5"/>
  <c r="EX92" i="5"/>
  <c r="EU92" i="5"/>
  <c r="EY92" i="5"/>
  <c r="ES92" i="5"/>
  <c r="ET92" i="5"/>
  <c r="AW97" i="5"/>
  <c r="EV92" i="5"/>
  <c r="FA92" i="5"/>
  <c r="ER92" i="5"/>
  <c r="EW92" i="5"/>
  <c r="BD97" i="5"/>
  <c r="EZ92" i="5"/>
  <c r="ES135" i="5"/>
  <c r="ET135" i="5"/>
  <c r="BD140" i="5"/>
  <c r="FA135" i="5"/>
  <c r="EZ135" i="5"/>
  <c r="EV135" i="5"/>
  <c r="EU135" i="5"/>
  <c r="ER135" i="5"/>
  <c r="EY135" i="5"/>
  <c r="EW135" i="5"/>
  <c r="EX135" i="5"/>
  <c r="EX141" i="5"/>
  <c r="DA141" i="5"/>
  <c r="EU141" i="5"/>
  <c r="ER141" i="5"/>
  <c r="CV141" i="5"/>
  <c r="ET141" i="5"/>
  <c r="BD146" i="5"/>
  <c r="CX141" i="5"/>
  <c r="DB141" i="5"/>
  <c r="ES141" i="5"/>
  <c r="DC141" i="5"/>
  <c r="EY141" i="5"/>
  <c r="EV141" i="5"/>
  <c r="CU141" i="5"/>
  <c r="CY141" i="5"/>
  <c r="CW141" i="5"/>
  <c r="FA141" i="5"/>
  <c r="EW141" i="5"/>
  <c r="EZ141" i="5"/>
  <c r="CZ141" i="5"/>
  <c r="EU156" i="5"/>
  <c r="CW156" i="5"/>
  <c r="DC156" i="5"/>
  <c r="FA156" i="5"/>
  <c r="EX156" i="5"/>
  <c r="EV156" i="5"/>
  <c r="EW156" i="5"/>
  <c r="CX156" i="5"/>
  <c r="CV156" i="5"/>
  <c r="ES156" i="5"/>
  <c r="ET156" i="5"/>
  <c r="BD161" i="5"/>
  <c r="DA156" i="5"/>
  <c r="CZ156" i="5"/>
  <c r="EZ156" i="5"/>
  <c r="CY156" i="5"/>
  <c r="CU156" i="5"/>
  <c r="ER156" i="5"/>
  <c r="EY156" i="5"/>
  <c r="DB156" i="5"/>
  <c r="BD89" i="5"/>
  <c r="ET84" i="5"/>
  <c r="EY84" i="5"/>
  <c r="FA84" i="5"/>
  <c r="DR84" i="5"/>
  <c r="EV84" i="5"/>
  <c r="EX84" i="5"/>
  <c r="EU84" i="5"/>
  <c r="EW84" i="5"/>
  <c r="EZ84" i="5"/>
  <c r="ES84" i="5"/>
  <c r="AW89" i="5"/>
  <c r="ER84" i="5"/>
  <c r="DI92" i="5" l="1"/>
  <c r="DO92" i="5"/>
  <c r="DQ92" i="5"/>
  <c r="DN92" i="5"/>
  <c r="DP92" i="5"/>
  <c r="DJ92" i="5"/>
  <c r="DL92" i="5"/>
  <c r="DK92" i="5"/>
  <c r="DM92" i="5"/>
  <c r="DI102" i="5"/>
  <c r="DO102" i="5"/>
  <c r="DQ102" i="5"/>
  <c r="DL102" i="5"/>
  <c r="DJ102" i="5"/>
  <c r="DN102" i="5"/>
  <c r="DP102" i="5"/>
  <c r="DK102" i="5"/>
  <c r="DM102" i="5"/>
  <c r="DI93" i="5"/>
  <c r="DO93" i="5"/>
  <c r="DM93" i="5"/>
  <c r="DN93" i="5"/>
  <c r="DP93" i="5"/>
  <c r="DJ93" i="5"/>
  <c r="DL93" i="5"/>
  <c r="DK93" i="5"/>
  <c r="DQ93" i="5"/>
  <c r="DI95" i="5"/>
  <c r="DO95" i="5"/>
  <c r="DM95" i="5"/>
  <c r="DN95" i="5"/>
  <c r="DP95" i="5"/>
  <c r="DJ95" i="5"/>
  <c r="DL95" i="5"/>
  <c r="DK95" i="5"/>
  <c r="DQ95" i="5"/>
  <c r="DI105" i="5"/>
  <c r="DO105" i="5"/>
  <c r="DM105" i="5"/>
  <c r="DN105" i="5"/>
  <c r="DP105" i="5"/>
  <c r="DJ105" i="5"/>
  <c r="DL105" i="5"/>
  <c r="DK105" i="5"/>
  <c r="DQ105" i="5"/>
  <c r="DI113" i="5"/>
  <c r="DO113" i="5"/>
  <c r="DM113" i="5"/>
  <c r="DN113" i="5"/>
  <c r="DP113" i="5"/>
  <c r="DJ113" i="5"/>
  <c r="DL113" i="5"/>
  <c r="DK113" i="5"/>
  <c r="DQ113" i="5"/>
  <c r="DI110" i="5"/>
  <c r="DO110" i="5"/>
  <c r="DQ110" i="5"/>
  <c r="DJ110" i="5"/>
  <c r="DL110" i="5"/>
  <c r="DN110" i="5"/>
  <c r="DP110" i="5"/>
  <c r="DK110" i="5"/>
  <c r="DM110" i="5"/>
  <c r="DI107" i="5"/>
  <c r="DO107" i="5"/>
  <c r="DM107" i="5"/>
  <c r="DN107" i="5"/>
  <c r="DP107" i="5"/>
  <c r="DJ107" i="5"/>
  <c r="DL107" i="5"/>
  <c r="DK107" i="5"/>
  <c r="DQ107" i="5"/>
  <c r="DI134" i="5"/>
  <c r="DO134" i="5"/>
  <c r="DQ134" i="5"/>
  <c r="DJ134" i="5"/>
  <c r="DL134" i="5"/>
  <c r="DN134" i="5"/>
  <c r="DP134" i="5"/>
  <c r="DM134" i="5"/>
  <c r="DK134" i="5"/>
  <c r="DI130" i="5"/>
  <c r="DO130" i="5"/>
  <c r="DQ130" i="5"/>
  <c r="DL130" i="5"/>
  <c r="DN130" i="5"/>
  <c r="DP130" i="5"/>
  <c r="DJ130" i="5"/>
  <c r="DM130" i="5"/>
  <c r="DK130" i="5"/>
  <c r="DI120" i="5"/>
  <c r="DO120" i="5"/>
  <c r="DQ120" i="5"/>
  <c r="DN120" i="5"/>
  <c r="DJ120" i="5"/>
  <c r="DL120" i="5"/>
  <c r="DP120" i="5"/>
  <c r="DK120" i="5"/>
  <c r="DM120" i="5"/>
  <c r="DI119" i="5"/>
  <c r="DO119" i="5"/>
  <c r="DM119" i="5"/>
  <c r="DN119" i="5"/>
  <c r="DP119" i="5"/>
  <c r="DJ119" i="5"/>
  <c r="DL119" i="5"/>
  <c r="DK119" i="5"/>
  <c r="DQ119" i="5"/>
  <c r="DI116" i="5"/>
  <c r="DO116" i="5"/>
  <c r="DQ116" i="5"/>
  <c r="DN116" i="5"/>
  <c r="DJ116" i="5"/>
  <c r="DL116" i="5"/>
  <c r="DP116" i="5"/>
  <c r="DK116" i="5"/>
  <c r="DM116" i="5"/>
  <c r="DI126" i="5"/>
  <c r="DO126" i="5"/>
  <c r="DQ126" i="5"/>
  <c r="DL126" i="5"/>
  <c r="DN126" i="5"/>
  <c r="DP126" i="5"/>
  <c r="DM126" i="5"/>
  <c r="DJ126" i="5"/>
  <c r="DK126" i="5"/>
  <c r="DI138" i="5"/>
  <c r="DO138" i="5"/>
  <c r="DQ138" i="5"/>
  <c r="DN138" i="5"/>
  <c r="DP138" i="5"/>
  <c r="DM138" i="5"/>
  <c r="DJ138" i="5"/>
  <c r="DL138" i="5"/>
  <c r="DK138" i="5"/>
  <c r="DI133" i="5"/>
  <c r="DO133" i="5"/>
  <c r="DM133" i="5"/>
  <c r="DL133" i="5"/>
  <c r="DN133" i="5"/>
  <c r="DP133" i="5"/>
  <c r="DJ133" i="5"/>
  <c r="DQ133" i="5"/>
  <c r="DK133" i="5"/>
  <c r="DI124" i="5"/>
  <c r="DO124" i="5"/>
  <c r="DQ124" i="5"/>
  <c r="DP124" i="5"/>
  <c r="DM124" i="5"/>
  <c r="DJ124" i="5"/>
  <c r="DL124" i="5"/>
  <c r="DN124" i="5"/>
  <c r="DK124" i="5"/>
  <c r="DI137" i="5"/>
  <c r="DO137" i="5"/>
  <c r="DM137" i="5"/>
  <c r="DL137" i="5"/>
  <c r="DN137" i="5"/>
  <c r="DP137" i="5"/>
  <c r="DJ137" i="5"/>
  <c r="DQ137" i="5"/>
  <c r="DK137" i="5"/>
  <c r="DI129" i="5"/>
  <c r="DO129" i="5"/>
  <c r="DM129" i="5"/>
  <c r="DN129" i="5"/>
  <c r="DP129" i="5"/>
  <c r="DQ129" i="5"/>
  <c r="DJ129" i="5"/>
  <c r="DL129" i="5"/>
  <c r="DK129" i="5"/>
  <c r="DI121" i="5"/>
  <c r="DO121" i="5"/>
  <c r="DM121" i="5"/>
  <c r="DJ121" i="5"/>
  <c r="DL121" i="5"/>
  <c r="DN121" i="5"/>
  <c r="DP121" i="5"/>
  <c r="DK121" i="5"/>
  <c r="DQ121" i="5"/>
  <c r="DI84" i="5"/>
  <c r="DO84" i="5"/>
  <c r="DM84" i="5"/>
  <c r="DN84" i="5"/>
  <c r="DQ84" i="5"/>
  <c r="DJ84" i="5"/>
  <c r="DP84" i="5"/>
  <c r="DK84" i="5"/>
  <c r="DL84" i="5"/>
  <c r="DI88" i="5"/>
  <c r="DO88" i="5"/>
  <c r="DM88" i="5"/>
  <c r="DN88" i="5"/>
  <c r="DQ88" i="5"/>
  <c r="DJ88" i="5"/>
  <c r="DP88" i="5"/>
  <c r="DK88" i="5"/>
  <c r="DL88" i="5"/>
  <c r="DI97" i="5"/>
  <c r="DO97" i="5"/>
  <c r="DM97" i="5"/>
  <c r="DN97" i="5"/>
  <c r="DP97" i="5"/>
  <c r="DJ97" i="5"/>
  <c r="DL97" i="5"/>
  <c r="DK97" i="5"/>
  <c r="DQ97" i="5"/>
  <c r="DI101" i="5"/>
  <c r="DO101" i="5"/>
  <c r="DM101" i="5"/>
  <c r="DL101" i="5"/>
  <c r="DJ101" i="5"/>
  <c r="DP101" i="5"/>
  <c r="DN101" i="5"/>
  <c r="DK101" i="5"/>
  <c r="DQ101" i="5"/>
  <c r="DI98" i="5"/>
  <c r="DO98" i="5"/>
  <c r="DQ98" i="5"/>
  <c r="DL98" i="5"/>
  <c r="DJ98" i="5"/>
  <c r="DP98" i="5"/>
  <c r="DN98" i="5"/>
  <c r="DK98" i="5"/>
  <c r="DM98" i="5"/>
  <c r="DI85" i="5"/>
  <c r="DO85" i="5"/>
  <c r="DM85" i="5"/>
  <c r="DJ85" i="5"/>
  <c r="DP85" i="5"/>
  <c r="DN85" i="5"/>
  <c r="DQ85" i="5"/>
  <c r="DK85" i="5"/>
  <c r="DL85" i="5"/>
  <c r="DI103" i="5"/>
  <c r="DO103" i="5"/>
  <c r="DM103" i="5"/>
  <c r="DN103" i="5"/>
  <c r="DP103" i="5"/>
  <c r="DK103" i="5"/>
  <c r="DQ103" i="5"/>
  <c r="DJ103" i="5"/>
  <c r="DL103" i="5"/>
  <c r="DI106" i="5"/>
  <c r="DO106" i="5"/>
  <c r="DQ106" i="5"/>
  <c r="DN106" i="5"/>
  <c r="DP106" i="5"/>
  <c r="DJ106" i="5"/>
  <c r="DL106" i="5"/>
  <c r="DK106" i="5"/>
  <c r="DM106" i="5"/>
  <c r="DI91" i="5"/>
  <c r="DO91" i="5"/>
  <c r="DM91" i="5"/>
  <c r="DJ91" i="5"/>
  <c r="DL91" i="5"/>
  <c r="DN91" i="5"/>
  <c r="DP91" i="5"/>
  <c r="DK91" i="5"/>
  <c r="DQ91" i="5"/>
  <c r="DI112" i="5"/>
  <c r="DO112" i="5"/>
  <c r="DQ112" i="5"/>
  <c r="DN112" i="5"/>
  <c r="DP112" i="5"/>
  <c r="DJ112" i="5"/>
  <c r="DL112" i="5"/>
  <c r="DK112" i="5"/>
  <c r="DM112" i="5"/>
  <c r="DI114" i="5"/>
  <c r="DO114" i="5"/>
  <c r="DQ114" i="5"/>
  <c r="DN114" i="5"/>
  <c r="DP114" i="5"/>
  <c r="DJ114" i="5"/>
  <c r="DL114" i="5"/>
  <c r="DK114" i="5"/>
  <c r="DM114" i="5"/>
  <c r="DI111" i="5"/>
  <c r="DO111" i="5"/>
  <c r="DM111" i="5"/>
  <c r="DP111" i="5"/>
  <c r="DJ111" i="5"/>
  <c r="DL111" i="5"/>
  <c r="DN111" i="5"/>
  <c r="DK111" i="5"/>
  <c r="DQ111" i="5"/>
  <c r="DI104" i="5"/>
  <c r="DO104" i="5"/>
  <c r="DQ104" i="5"/>
  <c r="DN104" i="5"/>
  <c r="DJ104" i="5"/>
  <c r="DL104" i="5"/>
  <c r="DP104" i="5"/>
  <c r="DK104" i="5"/>
  <c r="DM104" i="5"/>
  <c r="DI135" i="5"/>
  <c r="DO135" i="5"/>
  <c r="DM135" i="5"/>
  <c r="DJ135" i="5"/>
  <c r="DL135" i="5"/>
  <c r="DN135" i="5"/>
  <c r="DP135" i="5"/>
  <c r="DQ135" i="5"/>
  <c r="DK135" i="5"/>
  <c r="DI132" i="5"/>
  <c r="DO132" i="5"/>
  <c r="DQ132" i="5"/>
  <c r="DN132" i="5"/>
  <c r="DP132" i="5"/>
  <c r="DM132" i="5"/>
  <c r="DJ132" i="5"/>
  <c r="DL132" i="5"/>
  <c r="DK132" i="5"/>
  <c r="DI131" i="5"/>
  <c r="DO131" i="5"/>
  <c r="DM131" i="5"/>
  <c r="DP131" i="5"/>
  <c r="DQ131" i="5"/>
  <c r="DJ131" i="5"/>
  <c r="DL131" i="5"/>
  <c r="DN131" i="5"/>
  <c r="DK131" i="5"/>
  <c r="DI125" i="5"/>
  <c r="DO125" i="5"/>
  <c r="DM125" i="5"/>
  <c r="DN125" i="5"/>
  <c r="DQ125" i="5"/>
  <c r="DJ125" i="5"/>
  <c r="DL125" i="5"/>
  <c r="DP125" i="5"/>
  <c r="DK125" i="5"/>
  <c r="DI118" i="5"/>
  <c r="DO118" i="5"/>
  <c r="DQ118" i="5"/>
  <c r="DN118" i="5"/>
  <c r="DP118" i="5"/>
  <c r="DJ118" i="5"/>
  <c r="DL118" i="5"/>
  <c r="DK118" i="5"/>
  <c r="DM118" i="5"/>
  <c r="DI128" i="5"/>
  <c r="DO128" i="5"/>
  <c r="DQ128" i="5"/>
  <c r="DN128" i="5"/>
  <c r="DP128" i="5"/>
  <c r="DJ128" i="5"/>
  <c r="DL128" i="5"/>
  <c r="DM128" i="5"/>
  <c r="DK128" i="5"/>
  <c r="DI115" i="5"/>
  <c r="DO115" i="5"/>
  <c r="DM115" i="5"/>
  <c r="DN115" i="5"/>
  <c r="DP115" i="5"/>
  <c r="DJ115" i="5"/>
  <c r="DL115" i="5"/>
  <c r="DK115" i="5"/>
  <c r="DQ115" i="5"/>
  <c r="DI136" i="5"/>
  <c r="DO136" i="5"/>
  <c r="DQ136" i="5"/>
  <c r="DJ136" i="5"/>
  <c r="DL136" i="5"/>
  <c r="DN136" i="5"/>
  <c r="DP136" i="5"/>
  <c r="DM136" i="5"/>
  <c r="DK136" i="5"/>
  <c r="DI127" i="5"/>
  <c r="DO127" i="5"/>
  <c r="DM127" i="5"/>
  <c r="DL127" i="5"/>
  <c r="DP127" i="5"/>
  <c r="DQ127" i="5"/>
  <c r="DJ127" i="5"/>
  <c r="DN127" i="5"/>
  <c r="DK127" i="5"/>
  <c r="DI122" i="5"/>
  <c r="DO122" i="5"/>
  <c r="DQ122" i="5"/>
  <c r="DJ122" i="5"/>
  <c r="DL122" i="5"/>
  <c r="DN122" i="5"/>
  <c r="DK122" i="5"/>
  <c r="DM122" i="5"/>
  <c r="DP122" i="5"/>
  <c r="DI117" i="5"/>
  <c r="DO117" i="5"/>
  <c r="DM117" i="5"/>
  <c r="DN117" i="5"/>
  <c r="DP117" i="5"/>
  <c r="DJ117" i="5"/>
  <c r="DL117" i="5"/>
  <c r="DK117" i="5"/>
  <c r="DQ117" i="5"/>
  <c r="DI123" i="5"/>
  <c r="DO123" i="5"/>
  <c r="DM123" i="5"/>
  <c r="DP123" i="5"/>
  <c r="DJ123" i="5"/>
  <c r="DL123" i="5"/>
  <c r="DN123" i="5"/>
  <c r="DQ123" i="5"/>
  <c r="DK123" i="5"/>
  <c r="DI94" i="5"/>
  <c r="DO94" i="5"/>
  <c r="DQ94" i="5"/>
  <c r="DN94" i="5"/>
  <c r="DP94" i="5"/>
  <c r="DJ94" i="5"/>
  <c r="DL94" i="5"/>
  <c r="DK94" i="5"/>
  <c r="DM94" i="5"/>
  <c r="DI96" i="5"/>
  <c r="DO96" i="5"/>
  <c r="DQ96" i="5"/>
  <c r="DN96" i="5"/>
  <c r="DP96" i="5"/>
  <c r="DJ96" i="5"/>
  <c r="DL96" i="5"/>
  <c r="DK96" i="5"/>
  <c r="DM96" i="5"/>
  <c r="DI86" i="5"/>
  <c r="DO86" i="5"/>
  <c r="DM86" i="5"/>
  <c r="DN86" i="5"/>
  <c r="DQ86" i="5"/>
  <c r="DJ86" i="5"/>
  <c r="DP86" i="5"/>
  <c r="DK86" i="5"/>
  <c r="DL86" i="5"/>
  <c r="DI99" i="5"/>
  <c r="DO99" i="5"/>
  <c r="DM99" i="5"/>
  <c r="DJ99" i="5"/>
  <c r="DL99" i="5"/>
  <c r="DN99" i="5"/>
  <c r="DP99" i="5"/>
  <c r="DK99" i="5"/>
  <c r="DQ99" i="5"/>
  <c r="DI90" i="5"/>
  <c r="DO90" i="5"/>
  <c r="DQ90" i="5"/>
  <c r="DN90" i="5"/>
  <c r="DP90" i="5"/>
  <c r="DJ90" i="5"/>
  <c r="DL90" i="5"/>
  <c r="DK90" i="5"/>
  <c r="DM90" i="5"/>
  <c r="DI100" i="5"/>
  <c r="DO100" i="5"/>
  <c r="DQ100" i="5"/>
  <c r="DL100" i="5"/>
  <c r="DJ100" i="5"/>
  <c r="DP100" i="5"/>
  <c r="DN100" i="5"/>
  <c r="DK100" i="5"/>
  <c r="DM100" i="5"/>
  <c r="DI87" i="5"/>
  <c r="DO87" i="5"/>
  <c r="DM87" i="5"/>
  <c r="DN87" i="5"/>
  <c r="DQ87" i="5"/>
  <c r="DJ87" i="5"/>
  <c r="DP87" i="5"/>
  <c r="DK87" i="5"/>
  <c r="DL87" i="5"/>
  <c r="DI89" i="5"/>
  <c r="DO89" i="5"/>
  <c r="DL89" i="5"/>
  <c r="DN89" i="5"/>
  <c r="DP89" i="5"/>
  <c r="DJ89" i="5"/>
  <c r="DK89" i="5"/>
  <c r="DM89" i="5"/>
  <c r="DQ89" i="5"/>
  <c r="DI108" i="5"/>
  <c r="DO108" i="5"/>
  <c r="DQ108" i="5"/>
  <c r="DN108" i="5"/>
  <c r="DP108" i="5"/>
  <c r="DJ108" i="5"/>
  <c r="DL108" i="5"/>
  <c r="DK108" i="5"/>
  <c r="DM108" i="5"/>
  <c r="DI109" i="5"/>
  <c r="DO109" i="5"/>
  <c r="DM109" i="5"/>
  <c r="DN109" i="5"/>
  <c r="DP109" i="5"/>
  <c r="DJ109" i="5"/>
  <c r="DL109" i="5"/>
  <c r="DK109" i="5"/>
  <c r="DQ109" i="5"/>
  <c r="DB136" i="5"/>
  <c r="DA123" i="5"/>
  <c r="DB108" i="5"/>
  <c r="CX105" i="5"/>
  <c r="CU110" i="5"/>
  <c r="DB134" i="5"/>
  <c r="CX116" i="5"/>
  <c r="CU138" i="5"/>
  <c r="DA129" i="5"/>
  <c r="CU132" i="5"/>
  <c r="CY110" i="5"/>
  <c r="CV110" i="5"/>
  <c r="DC110" i="5"/>
  <c r="CX110" i="5"/>
  <c r="CZ110" i="5"/>
  <c r="CZ132" i="5"/>
  <c r="CY132" i="5"/>
  <c r="DA105" i="5"/>
  <c r="CW110" i="5"/>
  <c r="DA110" i="5"/>
  <c r="DA116" i="5"/>
  <c r="DB110" i="5"/>
  <c r="CW136" i="5"/>
  <c r="CW132" i="5"/>
  <c r="CV132" i="5"/>
  <c r="DB132" i="5"/>
  <c r="CU136" i="5"/>
  <c r="DC136" i="5"/>
  <c r="CV136" i="5"/>
  <c r="DA132" i="5"/>
  <c r="DC132" i="5"/>
  <c r="CZ136" i="5"/>
  <c r="DA136" i="5"/>
  <c r="CY136" i="5"/>
  <c r="CX132" i="5"/>
  <c r="CX136" i="5"/>
  <c r="CY134" i="5"/>
  <c r="CU105" i="5"/>
  <c r="DF91" i="5"/>
  <c r="DH91" i="5"/>
  <c r="DG91" i="5"/>
  <c r="DE91" i="5"/>
  <c r="DD91" i="5"/>
  <c r="DG87" i="5"/>
  <c r="DE87" i="5"/>
  <c r="DD87" i="5"/>
  <c r="DF87" i="5"/>
  <c r="DH87" i="5"/>
  <c r="DE105" i="5"/>
  <c r="DG105" i="5"/>
  <c r="DD105" i="5"/>
  <c r="DF105" i="5"/>
  <c r="DH105" i="5"/>
  <c r="DD134" i="5"/>
  <c r="DF134" i="5"/>
  <c r="DH134" i="5"/>
  <c r="DE134" i="5"/>
  <c r="DG134" i="5"/>
  <c r="DF116" i="5"/>
  <c r="DE116" i="5"/>
  <c r="DG116" i="5"/>
  <c r="DD116" i="5"/>
  <c r="DH116" i="5"/>
  <c r="DD138" i="5"/>
  <c r="DF138" i="5"/>
  <c r="DH138" i="5"/>
  <c r="DG138" i="5"/>
  <c r="DE138" i="5"/>
  <c r="DF124" i="5"/>
  <c r="DH124" i="5"/>
  <c r="DE124" i="5"/>
  <c r="DG124" i="5"/>
  <c r="DD124" i="5"/>
  <c r="DE129" i="5"/>
  <c r="DG129" i="5"/>
  <c r="DF129" i="5"/>
  <c r="DD129" i="5"/>
  <c r="DH129" i="5"/>
  <c r="CZ116" i="5"/>
  <c r="CW116" i="5"/>
  <c r="CU116" i="5"/>
  <c r="DE97" i="5"/>
  <c r="DG97" i="5"/>
  <c r="DH97" i="5"/>
  <c r="DF97" i="5"/>
  <c r="DD97" i="5"/>
  <c r="CV138" i="5"/>
  <c r="DB138" i="5"/>
  <c r="CW138" i="5"/>
  <c r="DD98" i="5"/>
  <c r="DG98" i="5"/>
  <c r="DH98" i="5"/>
  <c r="DE98" i="5"/>
  <c r="DF98" i="5"/>
  <c r="DE86" i="5"/>
  <c r="DD86" i="5"/>
  <c r="DF86" i="5"/>
  <c r="DG86" i="5"/>
  <c r="DH86" i="5"/>
  <c r="DF85" i="5"/>
  <c r="DE85" i="5"/>
  <c r="DD85" i="5"/>
  <c r="DG85" i="5"/>
  <c r="DH85" i="5"/>
  <c r="CU129" i="5"/>
  <c r="DB129" i="5"/>
  <c r="DF112" i="5"/>
  <c r="DH112" i="5"/>
  <c r="DE112" i="5"/>
  <c r="DG112" i="5"/>
  <c r="DD112" i="5"/>
  <c r="DF104" i="5"/>
  <c r="DH104" i="5"/>
  <c r="DG104" i="5"/>
  <c r="DE104" i="5"/>
  <c r="DD104" i="5"/>
  <c r="DG135" i="5"/>
  <c r="DF135" i="5"/>
  <c r="DH135" i="5"/>
  <c r="DD135" i="5"/>
  <c r="DE135" i="5"/>
  <c r="DG131" i="5"/>
  <c r="DE131" i="5"/>
  <c r="DD131" i="5"/>
  <c r="DF131" i="5"/>
  <c r="DH131" i="5"/>
  <c r="DD118" i="5"/>
  <c r="DG118" i="5"/>
  <c r="DH118" i="5"/>
  <c r="DF118" i="5"/>
  <c r="DE118" i="5"/>
  <c r="DG115" i="5"/>
  <c r="DE115" i="5"/>
  <c r="DH115" i="5"/>
  <c r="DF115" i="5"/>
  <c r="DD115" i="5"/>
  <c r="DG127" i="5"/>
  <c r="DE127" i="5"/>
  <c r="DD127" i="5"/>
  <c r="DH127" i="5"/>
  <c r="DF127" i="5"/>
  <c r="DE117" i="5"/>
  <c r="DG117" i="5"/>
  <c r="DH117" i="5"/>
  <c r="DD117" i="5"/>
  <c r="DF117" i="5"/>
  <c r="DG84" i="5"/>
  <c r="DF84" i="5"/>
  <c r="DD84" i="5"/>
  <c r="DE84" i="5"/>
  <c r="DH84" i="5"/>
  <c r="DD94" i="5"/>
  <c r="DF94" i="5"/>
  <c r="DH94" i="5"/>
  <c r="DE94" i="5"/>
  <c r="DG94" i="5"/>
  <c r="DE113" i="5"/>
  <c r="DH113" i="5"/>
  <c r="DF113" i="5"/>
  <c r="DD113" i="5"/>
  <c r="DG113" i="5"/>
  <c r="DE109" i="5"/>
  <c r="DD109" i="5"/>
  <c r="DH109" i="5"/>
  <c r="DF109" i="5"/>
  <c r="DG109" i="5"/>
  <c r="DF120" i="5"/>
  <c r="DH120" i="5"/>
  <c r="DG120" i="5"/>
  <c r="DE120" i="5"/>
  <c r="DD120" i="5"/>
  <c r="DF92" i="5"/>
  <c r="DH92" i="5"/>
  <c r="DG92" i="5"/>
  <c r="DE92" i="5"/>
  <c r="DD92" i="5"/>
  <c r="DB105" i="5"/>
  <c r="DC134" i="5"/>
  <c r="DE93" i="5"/>
  <c r="DD93" i="5"/>
  <c r="DF93" i="5"/>
  <c r="DH93" i="5"/>
  <c r="DG93" i="5"/>
  <c r="CV105" i="5"/>
  <c r="CY105" i="5"/>
  <c r="CY116" i="5"/>
  <c r="CV116" i="5"/>
  <c r="DB116" i="5"/>
  <c r="DA138" i="5"/>
  <c r="CX138" i="5"/>
  <c r="DE101" i="5"/>
  <c r="DD101" i="5"/>
  <c r="DH101" i="5"/>
  <c r="DF101" i="5"/>
  <c r="DG101" i="5"/>
  <c r="DD90" i="5"/>
  <c r="DG90" i="5"/>
  <c r="DH90" i="5"/>
  <c r="DE90" i="5"/>
  <c r="DF90" i="5"/>
  <c r="DF100" i="5"/>
  <c r="DH100" i="5"/>
  <c r="DG100" i="5"/>
  <c r="DE100" i="5"/>
  <c r="DD100" i="5"/>
  <c r="CV129" i="5"/>
  <c r="CY129" i="5"/>
  <c r="DF108" i="5"/>
  <c r="DH108" i="5"/>
  <c r="DG108" i="5"/>
  <c r="DE108" i="5"/>
  <c r="DD108" i="5"/>
  <c r="DG107" i="5"/>
  <c r="DF107" i="5"/>
  <c r="DD107" i="5"/>
  <c r="DH107" i="5"/>
  <c r="DE107" i="5"/>
  <c r="DD130" i="5"/>
  <c r="DG130" i="5"/>
  <c r="DE130" i="5"/>
  <c r="DH130" i="5"/>
  <c r="DF130" i="5"/>
  <c r="DG119" i="5"/>
  <c r="DE119" i="5"/>
  <c r="DD119" i="5"/>
  <c r="DF119" i="5"/>
  <c r="DH119" i="5"/>
  <c r="DD126" i="5"/>
  <c r="DF126" i="5"/>
  <c r="DG126" i="5"/>
  <c r="DH126" i="5"/>
  <c r="DE126" i="5"/>
  <c r="DE133" i="5"/>
  <c r="DD133" i="5"/>
  <c r="DF133" i="5"/>
  <c r="DH133" i="5"/>
  <c r="DG133" i="5"/>
  <c r="DE137" i="5"/>
  <c r="DH137" i="5"/>
  <c r="DF137" i="5"/>
  <c r="DD137" i="5"/>
  <c r="DG137" i="5"/>
  <c r="DH121" i="5"/>
  <c r="DF121" i="5"/>
  <c r="DG121" i="5"/>
  <c r="DE121" i="5"/>
  <c r="DD121" i="5"/>
  <c r="DD102" i="5"/>
  <c r="DF102" i="5"/>
  <c r="DH102" i="5"/>
  <c r="DG102" i="5"/>
  <c r="DE102" i="5"/>
  <c r="DG95" i="5"/>
  <c r="DF95" i="5"/>
  <c r="DD95" i="5"/>
  <c r="DH95" i="5"/>
  <c r="DE95" i="5"/>
  <c r="DD106" i="5"/>
  <c r="DF106" i="5"/>
  <c r="DH106" i="5"/>
  <c r="DG106" i="5"/>
  <c r="DE106" i="5"/>
  <c r="DA134" i="5"/>
  <c r="CZ134" i="5"/>
  <c r="CU134" i="5"/>
  <c r="DF88" i="5"/>
  <c r="DH88" i="5"/>
  <c r="DE88" i="5"/>
  <c r="DD88" i="5"/>
  <c r="DG88" i="5"/>
  <c r="CV134" i="5"/>
  <c r="CX134" i="5"/>
  <c r="CW134" i="5"/>
  <c r="CW105" i="5"/>
  <c r="DC105" i="5"/>
  <c r="CZ105" i="5"/>
  <c r="DC116" i="5"/>
  <c r="DF96" i="5"/>
  <c r="DH96" i="5"/>
  <c r="DE96" i="5"/>
  <c r="DG96" i="5"/>
  <c r="DD96" i="5"/>
  <c r="CZ138" i="5"/>
  <c r="CY138" i="5"/>
  <c r="DC138" i="5"/>
  <c r="DG99" i="5"/>
  <c r="DE99" i="5"/>
  <c r="DD99" i="5"/>
  <c r="DH99" i="5"/>
  <c r="DF99" i="5"/>
  <c r="DE89" i="5"/>
  <c r="DD89" i="5"/>
  <c r="DF89" i="5"/>
  <c r="DH89" i="5"/>
  <c r="DG89" i="5"/>
  <c r="CZ129" i="5"/>
  <c r="CW129" i="5"/>
  <c r="CX129" i="5"/>
  <c r="DG103" i="5"/>
  <c r="DF103" i="5"/>
  <c r="DD103" i="5"/>
  <c r="DE103" i="5"/>
  <c r="DH103" i="5"/>
  <c r="DD114" i="5"/>
  <c r="DF114" i="5"/>
  <c r="DE114" i="5"/>
  <c r="DH114" i="5"/>
  <c r="DG114" i="5"/>
  <c r="DG111" i="5"/>
  <c r="DF111" i="5"/>
  <c r="DD111" i="5"/>
  <c r="DH111" i="5"/>
  <c r="DE111" i="5"/>
  <c r="DD110" i="5"/>
  <c r="DF110" i="5"/>
  <c r="DH110" i="5"/>
  <c r="DE110" i="5"/>
  <c r="DG110" i="5"/>
  <c r="DF132" i="5"/>
  <c r="DH132" i="5"/>
  <c r="DG132" i="5"/>
  <c r="DE132" i="5"/>
  <c r="DD132" i="5"/>
  <c r="DE125" i="5"/>
  <c r="DH125" i="5"/>
  <c r="DF125" i="5"/>
  <c r="DD125" i="5"/>
  <c r="DG125" i="5"/>
  <c r="DF128" i="5"/>
  <c r="DE128" i="5"/>
  <c r="DD128" i="5"/>
  <c r="DG128" i="5"/>
  <c r="DH128" i="5"/>
  <c r="DF136" i="5"/>
  <c r="DH136" i="5"/>
  <c r="DD136" i="5"/>
  <c r="DE136" i="5"/>
  <c r="DG136" i="5"/>
  <c r="DD122" i="5"/>
  <c r="DF122" i="5"/>
  <c r="DH122" i="5"/>
  <c r="DE122" i="5"/>
  <c r="DG122" i="5"/>
  <c r="DG123" i="5"/>
  <c r="DF123" i="5"/>
  <c r="DD123" i="5"/>
  <c r="DH123" i="5"/>
  <c r="DE123" i="5"/>
  <c r="AX110" i="5"/>
  <c r="AX118" i="5"/>
  <c r="AX111" i="5"/>
  <c r="AX114" i="5"/>
  <c r="AX139" i="5"/>
  <c r="AX125" i="5"/>
  <c r="AX121" i="5"/>
  <c r="AX143" i="5"/>
  <c r="AX129" i="5"/>
  <c r="AX134" i="5"/>
  <c r="AX117" i="5"/>
  <c r="AX109" i="5"/>
  <c r="AX140" i="5"/>
  <c r="AX136" i="5"/>
  <c r="AX123" i="5"/>
  <c r="AX120" i="5"/>
  <c r="AX132" i="5"/>
  <c r="AX122" i="5"/>
  <c r="AX113" i="5"/>
  <c r="AX112" i="5"/>
  <c r="AX135" i="5"/>
  <c r="AX124" i="5"/>
  <c r="AX131" i="5"/>
  <c r="AX138" i="5"/>
  <c r="AX142" i="5"/>
  <c r="AX126" i="5"/>
  <c r="AX108" i="5"/>
  <c r="AX119" i="5"/>
  <c r="AX116" i="5"/>
  <c r="AX115" i="5"/>
  <c r="AX137" i="5"/>
  <c r="AX130" i="5"/>
  <c r="AX133" i="5"/>
  <c r="AX141" i="5"/>
  <c r="AX127" i="5"/>
  <c r="AX128" i="5"/>
  <c r="DC129" i="5"/>
  <c r="AS17" i="5"/>
  <c r="AS23" i="5" s="1"/>
  <c r="CV130" i="5"/>
  <c r="DB130" i="5"/>
  <c r="CW108" i="5"/>
  <c r="CY108" i="5"/>
  <c r="CW119" i="5"/>
  <c r="CZ108" i="5"/>
  <c r="CX108" i="5"/>
  <c r="DA133" i="5"/>
  <c r="DA130" i="5"/>
  <c r="CX130" i="5"/>
  <c r="CW130" i="5"/>
  <c r="DB119" i="5"/>
  <c r="DA119" i="5"/>
  <c r="CX133" i="5"/>
  <c r="DC130" i="5"/>
  <c r="CZ130" i="5"/>
  <c r="CU119" i="5"/>
  <c r="CU108" i="5"/>
  <c r="CV133" i="5"/>
  <c r="CW133" i="5"/>
  <c r="CU133" i="5"/>
  <c r="DB137" i="5"/>
  <c r="CW137" i="5"/>
  <c r="DA137" i="5"/>
  <c r="CV137" i="5"/>
  <c r="CY128" i="5"/>
  <c r="DB128" i="5"/>
  <c r="CZ103" i="5"/>
  <c r="CW128" i="5"/>
  <c r="DB114" i="5"/>
  <c r="CX128" i="5"/>
  <c r="CY103" i="5"/>
  <c r="DC128" i="5"/>
  <c r="CW114" i="5"/>
  <c r="DA122" i="5"/>
  <c r="DA121" i="5"/>
  <c r="DA103" i="5"/>
  <c r="DC103" i="5"/>
  <c r="CZ128" i="5"/>
  <c r="CV128" i="5"/>
  <c r="CU114" i="5"/>
  <c r="DC114" i="5"/>
  <c r="CW103" i="5"/>
  <c r="CV103" i="5"/>
  <c r="CV114" i="5"/>
  <c r="CZ114" i="5"/>
  <c r="DB123" i="5"/>
  <c r="CU103" i="5"/>
  <c r="CX103" i="5"/>
  <c r="DB103" i="5"/>
  <c r="CX114" i="5"/>
  <c r="DA114" i="5"/>
  <c r="CX123" i="5"/>
  <c r="DC123" i="5"/>
  <c r="CY123" i="5"/>
  <c r="CU121" i="5"/>
  <c r="DA128" i="5"/>
  <c r="CU128" i="5"/>
  <c r="CY114" i="5"/>
  <c r="CU123" i="5"/>
  <c r="DA124" i="5"/>
  <c r="CW123" i="5"/>
  <c r="CV123" i="5"/>
  <c r="CZ123" i="5"/>
  <c r="CV121" i="5"/>
  <c r="DC121" i="5"/>
  <c r="CW124" i="5"/>
  <c r="CY121" i="5"/>
  <c r="CV113" i="5"/>
  <c r="CY111" i="5"/>
  <c r="DC122" i="5"/>
  <c r="CU125" i="5"/>
  <c r="CU122" i="5"/>
  <c r="DA125" i="5"/>
  <c r="DC126" i="5"/>
  <c r="CW113" i="5"/>
  <c r="CZ113" i="5"/>
  <c r="CY124" i="5"/>
  <c r="CW126" i="5"/>
  <c r="DA113" i="5"/>
  <c r="CY113" i="5"/>
  <c r="CU113" i="5"/>
  <c r="CZ124" i="5"/>
  <c r="CV124" i="5"/>
  <c r="DB124" i="5"/>
  <c r="CW107" i="5"/>
  <c r="CX126" i="5"/>
  <c r="CX113" i="5"/>
  <c r="DB113" i="5"/>
  <c r="DC113" i="5"/>
  <c r="DC124" i="5"/>
  <c r="CX124" i="5"/>
  <c r="CU124" i="5"/>
  <c r="DC120" i="5"/>
  <c r="CW125" i="5"/>
  <c r="DC125" i="5"/>
  <c r="DB125" i="5"/>
  <c r="CV125" i="5"/>
  <c r="DA111" i="5"/>
  <c r="CV122" i="5"/>
  <c r="CY122" i="5"/>
  <c r="CX122" i="5"/>
  <c r="DC111" i="5"/>
  <c r="CV111" i="5"/>
  <c r="DB111" i="5"/>
  <c r="DB122" i="5"/>
  <c r="CW122" i="5"/>
  <c r="CY125" i="5"/>
  <c r="CW111" i="5"/>
  <c r="CZ111" i="5"/>
  <c r="CU111" i="5"/>
  <c r="CX111" i="5"/>
  <c r="CZ122" i="5"/>
  <c r="CX125" i="5"/>
  <c r="CZ125" i="5"/>
  <c r="CU120" i="5"/>
  <c r="CW120" i="5"/>
  <c r="DA120" i="5"/>
  <c r="CX120" i="5"/>
  <c r="CY120" i="5"/>
  <c r="CZ120" i="5"/>
  <c r="CV120" i="5"/>
  <c r="DB120" i="5"/>
  <c r="DB127" i="5"/>
  <c r="CY130" i="5"/>
  <c r="CU130" i="5"/>
  <c r="DB121" i="5"/>
  <c r="CW121" i="5"/>
  <c r="CX121" i="5"/>
  <c r="CZ121" i="5"/>
  <c r="CV119" i="5"/>
  <c r="DC119" i="5"/>
  <c r="CY119" i="5"/>
  <c r="CY126" i="5"/>
  <c r="CZ126" i="5"/>
  <c r="DB126" i="5"/>
  <c r="DC108" i="5"/>
  <c r="DC133" i="5"/>
  <c r="DB133" i="5"/>
  <c r="CZ137" i="5"/>
  <c r="CU137" i="5"/>
  <c r="CX119" i="5"/>
  <c r="CZ119" i="5"/>
  <c r="DA126" i="5"/>
  <c r="CU126" i="5"/>
  <c r="CV126" i="5"/>
  <c r="DA108" i="5"/>
  <c r="CV108" i="5"/>
  <c r="CZ133" i="5"/>
  <c r="CY133" i="5"/>
  <c r="CX137" i="5"/>
  <c r="CY137" i="5"/>
  <c r="DC137" i="5"/>
  <c r="CZ135" i="5"/>
  <c r="CU118" i="5"/>
  <c r="CZ118" i="5"/>
  <c r="CU131" i="5"/>
  <c r="CY127" i="5"/>
  <c r="CU127" i="5"/>
  <c r="CU107" i="5"/>
  <c r="CY107" i="5"/>
  <c r="CW135" i="5"/>
  <c r="DC118" i="5"/>
  <c r="CX118" i="5"/>
  <c r="CW118" i="5"/>
  <c r="CV131" i="5"/>
  <c r="DC131" i="5"/>
  <c r="DB131" i="5"/>
  <c r="CX127" i="5"/>
  <c r="DB117" i="5"/>
  <c r="CU135" i="5"/>
  <c r="CV135" i="5"/>
  <c r="CY135" i="5"/>
  <c r="DA135" i="5"/>
  <c r="CY118" i="5"/>
  <c r="CV118" i="5"/>
  <c r="DA131" i="5"/>
  <c r="CZ131" i="5"/>
  <c r="CV127" i="5"/>
  <c r="DA127" i="5"/>
  <c r="DC135" i="5"/>
  <c r="CX135" i="5"/>
  <c r="DB135" i="5"/>
  <c r="DA118" i="5"/>
  <c r="DB118" i="5"/>
  <c r="CW131" i="5"/>
  <c r="CY131" i="5"/>
  <c r="CX131" i="5"/>
  <c r="CW127" i="5"/>
  <c r="DC127" i="5"/>
  <c r="CZ127" i="5"/>
  <c r="CX115" i="5"/>
  <c r="DC117" i="5"/>
  <c r="CZ117" i="5"/>
  <c r="DC115" i="5"/>
  <c r="CU115" i="5"/>
  <c r="CV117" i="5"/>
  <c r="CY117" i="5"/>
  <c r="CW115" i="5"/>
  <c r="DB115" i="5"/>
  <c r="CU117" i="5"/>
  <c r="CW117" i="5"/>
  <c r="CX117" i="5"/>
  <c r="DA117" i="5"/>
  <c r="CY115" i="5"/>
  <c r="DA115" i="5"/>
  <c r="CZ115" i="5"/>
  <c r="CV115" i="5"/>
  <c r="F22" i="5"/>
  <c r="AA25" i="5" s="1"/>
  <c r="AS33" i="5" s="1"/>
  <c r="FP28" i="5" s="1"/>
  <c r="CU106" i="5"/>
  <c r="CV106" i="5"/>
  <c r="DB106" i="5"/>
  <c r="DB109" i="5"/>
  <c r="CX109" i="5"/>
  <c r="CY104" i="5"/>
  <c r="DB104" i="5"/>
  <c r="CW112" i="5"/>
  <c r="CX107" i="5"/>
  <c r="DA107" i="5"/>
  <c r="CV107" i="5"/>
  <c r="CZ107" i="5"/>
  <c r="DB107" i="5"/>
  <c r="DC107" i="5"/>
  <c r="DC112" i="5"/>
  <c r="DB112" i="5"/>
  <c r="DC104" i="5"/>
  <c r="CV104" i="5"/>
  <c r="CY112" i="5"/>
  <c r="CV112" i="5"/>
  <c r="CX112" i="5"/>
  <c r="CX104" i="5"/>
  <c r="DA104" i="5"/>
  <c r="DA112" i="5"/>
  <c r="CZ112" i="5"/>
  <c r="CU112" i="5"/>
  <c r="CU104" i="5"/>
  <c r="CW104" i="5"/>
  <c r="CZ104" i="5"/>
  <c r="CZ106" i="5"/>
  <c r="DC106" i="5"/>
  <c r="CV109" i="5"/>
  <c r="CZ109" i="5"/>
  <c r="DA109" i="5"/>
  <c r="CW106" i="5"/>
  <c r="CX106" i="5"/>
  <c r="DA106" i="5"/>
  <c r="CW109" i="5"/>
  <c r="CY109" i="5"/>
  <c r="CY106" i="5"/>
  <c r="DC109" i="5"/>
  <c r="CU109" i="5"/>
  <c r="CW88" i="5"/>
  <c r="CV88" i="5"/>
  <c r="AX93" i="5"/>
  <c r="DC88" i="5"/>
  <c r="CY88" i="5"/>
  <c r="CX88" i="5"/>
  <c r="CU88" i="5"/>
  <c r="CZ88" i="5"/>
  <c r="DA88" i="5"/>
  <c r="DB88" i="5"/>
  <c r="CY97" i="5"/>
  <c r="CX97" i="5"/>
  <c r="AX102" i="5"/>
  <c r="DA97" i="5"/>
  <c r="DC97" i="5"/>
  <c r="CU97" i="5"/>
  <c r="CV97" i="5"/>
  <c r="CW97" i="5"/>
  <c r="CZ97" i="5"/>
  <c r="DB97" i="5"/>
  <c r="AX90" i="5"/>
  <c r="CW85" i="5"/>
  <c r="DB85" i="5"/>
  <c r="CX85" i="5"/>
  <c r="CY85" i="5"/>
  <c r="CU85" i="5"/>
  <c r="DA85" i="5"/>
  <c r="CV85" i="5"/>
  <c r="CZ85" i="5"/>
  <c r="DC85" i="5"/>
  <c r="CV99" i="5"/>
  <c r="CX99" i="5"/>
  <c r="DB99" i="5"/>
  <c r="AX104" i="5"/>
  <c r="CU99" i="5"/>
  <c r="DC99" i="5"/>
  <c r="CY99" i="5"/>
  <c r="DA99" i="5"/>
  <c r="CW99" i="5"/>
  <c r="CZ99" i="5"/>
  <c r="AX105" i="5"/>
  <c r="CU100" i="5"/>
  <c r="DA100" i="5"/>
  <c r="DC100" i="5"/>
  <c r="CX100" i="5"/>
  <c r="DB100" i="5"/>
  <c r="CY100" i="5"/>
  <c r="CW100" i="5"/>
  <c r="CZ100" i="5"/>
  <c r="CV100" i="5"/>
  <c r="DA84" i="5"/>
  <c r="DC84" i="5"/>
  <c r="CV84" i="5"/>
  <c r="CZ84" i="5"/>
  <c r="CX84" i="5"/>
  <c r="DB84" i="5"/>
  <c r="CU84" i="5"/>
  <c r="CW84" i="5"/>
  <c r="AX89" i="5"/>
  <c r="CY84" i="5"/>
  <c r="CZ93" i="5"/>
  <c r="DB93" i="5"/>
  <c r="DC93" i="5"/>
  <c r="CW93" i="5"/>
  <c r="CV93" i="5"/>
  <c r="AX98" i="5"/>
  <c r="CX93" i="5"/>
  <c r="DA93" i="5"/>
  <c r="CU93" i="5"/>
  <c r="CY93" i="5"/>
  <c r="AA55" i="5"/>
  <c r="AS63" i="5" s="1"/>
  <c r="AA77" i="5"/>
  <c r="AS85" i="5" s="1"/>
  <c r="AA79" i="5"/>
  <c r="AS87" i="5" s="1"/>
  <c r="AA18" i="5"/>
  <c r="AS26" i="5" s="1"/>
  <c r="FP21" i="5" s="1"/>
  <c r="AA76" i="5"/>
  <c r="AS84" i="5" s="1"/>
  <c r="AA78" i="5"/>
  <c r="AS86" i="5" s="1"/>
  <c r="AA24" i="5"/>
  <c r="AS32" i="5" s="1"/>
  <c r="FP27" i="5" s="1"/>
  <c r="AA44" i="5"/>
  <c r="AS52" i="5" s="1"/>
  <c r="FP47" i="5" s="1"/>
  <c r="AA80" i="5"/>
  <c r="AS88" i="5" s="1"/>
  <c r="AA19" i="5"/>
  <c r="AS27" i="5" s="1"/>
  <c r="CY94" i="5"/>
  <c r="AX99" i="5"/>
  <c r="CU94" i="5"/>
  <c r="CX94" i="5"/>
  <c r="CV94" i="5"/>
  <c r="DB94" i="5"/>
  <c r="DA94" i="5"/>
  <c r="DC94" i="5"/>
  <c r="CZ94" i="5"/>
  <c r="CW94" i="5"/>
  <c r="CZ98" i="5"/>
  <c r="CU98" i="5"/>
  <c r="DB98" i="5"/>
  <c r="CV98" i="5"/>
  <c r="AX103" i="5"/>
  <c r="DC98" i="5"/>
  <c r="CW98" i="5"/>
  <c r="CX98" i="5"/>
  <c r="DA98" i="5"/>
  <c r="CY98" i="5"/>
  <c r="CZ86" i="5"/>
  <c r="DA86" i="5"/>
  <c r="CW86" i="5"/>
  <c r="CU86" i="5"/>
  <c r="CV86" i="5"/>
  <c r="CX86" i="5"/>
  <c r="DB86" i="5"/>
  <c r="DC86" i="5"/>
  <c r="AX91" i="5"/>
  <c r="CY86" i="5"/>
  <c r="CY91" i="5"/>
  <c r="CU91" i="5"/>
  <c r="DC91" i="5"/>
  <c r="AX96" i="5"/>
  <c r="CZ91" i="5"/>
  <c r="CX91" i="5"/>
  <c r="CV91" i="5"/>
  <c r="CW91" i="5"/>
  <c r="DB91" i="5"/>
  <c r="DA91" i="5"/>
  <c r="CV95" i="5"/>
  <c r="AX100" i="5"/>
  <c r="CY95" i="5"/>
  <c r="DC95" i="5"/>
  <c r="CW95" i="5"/>
  <c r="DB95" i="5"/>
  <c r="CU95" i="5"/>
  <c r="CX95" i="5"/>
  <c r="CZ95" i="5"/>
  <c r="DA95" i="5"/>
  <c r="AX94" i="5"/>
  <c r="CV89" i="5"/>
  <c r="CZ89" i="5"/>
  <c r="CW89" i="5"/>
  <c r="CY89" i="5"/>
  <c r="CU89" i="5"/>
  <c r="DB89" i="5"/>
  <c r="DC89" i="5"/>
  <c r="CX89" i="5"/>
  <c r="DA89" i="5"/>
  <c r="AX97" i="5"/>
  <c r="DA92" i="5"/>
  <c r="CU92" i="5"/>
  <c r="DB92" i="5"/>
  <c r="CY92" i="5"/>
  <c r="DC92" i="5"/>
  <c r="CZ92" i="5"/>
  <c r="CW92" i="5"/>
  <c r="CX92" i="5"/>
  <c r="CV92" i="5"/>
  <c r="CY96" i="5"/>
  <c r="AX101" i="5"/>
  <c r="DA96" i="5"/>
  <c r="CU96" i="5"/>
  <c r="DB96" i="5"/>
  <c r="CV96" i="5"/>
  <c r="CW96" i="5"/>
  <c r="DC96" i="5"/>
  <c r="CX96" i="5"/>
  <c r="CZ96" i="5"/>
  <c r="CW101" i="5"/>
  <c r="CZ101" i="5"/>
  <c r="CU101" i="5"/>
  <c r="CV101" i="5"/>
  <c r="CY101" i="5"/>
  <c r="DA101" i="5"/>
  <c r="AX106" i="5"/>
  <c r="CX101" i="5"/>
  <c r="DC101" i="5"/>
  <c r="DB101" i="5"/>
  <c r="CY87" i="5"/>
  <c r="CX87" i="5"/>
  <c r="DB87" i="5"/>
  <c r="DC87" i="5"/>
  <c r="CW87" i="5"/>
  <c r="CV87" i="5"/>
  <c r="CU87" i="5"/>
  <c r="CZ87" i="5"/>
  <c r="AX92" i="5"/>
  <c r="DA87" i="5"/>
  <c r="CV102" i="5"/>
  <c r="DB102" i="5"/>
  <c r="AX107" i="5"/>
  <c r="CW102" i="5"/>
  <c r="DC102" i="5"/>
  <c r="CX102" i="5"/>
  <c r="CZ102" i="5"/>
  <c r="CU102" i="5"/>
  <c r="DA102" i="5"/>
  <c r="CY102" i="5"/>
  <c r="CU90" i="5"/>
  <c r="AX95" i="5"/>
  <c r="CX90" i="5"/>
  <c r="CW90" i="5"/>
  <c r="CZ90" i="5"/>
  <c r="CY90" i="5"/>
  <c r="DB90" i="5"/>
  <c r="CV90" i="5"/>
  <c r="DC90" i="5"/>
  <c r="DA90" i="5"/>
  <c r="EO81" i="5" l="1"/>
  <c r="EG81" i="5"/>
  <c r="EN81" i="5"/>
  <c r="EI81" i="5"/>
  <c r="EH81" i="5"/>
  <c r="EK81" i="5"/>
  <c r="EM81" i="5"/>
  <c r="EL81" i="5"/>
  <c r="EJ81" i="5"/>
  <c r="FH81" i="5"/>
  <c r="FL81" i="5"/>
  <c r="FM81" i="5"/>
  <c r="FN81" i="5"/>
  <c r="FP81" i="5"/>
  <c r="FO81" i="5"/>
  <c r="FI81" i="5"/>
  <c r="FJ81" i="5"/>
  <c r="FK81" i="5"/>
  <c r="FG81" i="5"/>
  <c r="EK80" i="5"/>
  <c r="EN80" i="5"/>
  <c r="EJ80" i="5"/>
  <c r="EO80" i="5"/>
  <c r="EH80" i="5"/>
  <c r="EL80" i="5"/>
  <c r="EG80" i="5"/>
  <c r="EI80" i="5"/>
  <c r="EM80" i="5"/>
  <c r="FL80" i="5"/>
  <c r="FM80" i="5"/>
  <c r="FH80" i="5"/>
  <c r="FP80" i="5"/>
  <c r="FG80" i="5"/>
  <c r="FK80" i="5"/>
  <c r="FN80" i="5"/>
  <c r="FJ80" i="5"/>
  <c r="FI80" i="5"/>
  <c r="FO80" i="5"/>
  <c r="EJ83" i="5"/>
  <c r="EG83" i="5"/>
  <c r="EM83" i="5"/>
  <c r="EK83" i="5"/>
  <c r="EL83" i="5"/>
  <c r="EN83" i="5"/>
  <c r="EO83" i="5"/>
  <c r="EI83" i="5"/>
  <c r="EH83" i="5"/>
  <c r="FO83" i="5"/>
  <c r="FG83" i="5"/>
  <c r="FI83" i="5"/>
  <c r="FH83" i="5"/>
  <c r="FK83" i="5"/>
  <c r="FP83" i="5"/>
  <c r="FJ83" i="5"/>
  <c r="FM83" i="5"/>
  <c r="FN83" i="5"/>
  <c r="FL83" i="5"/>
  <c r="EN79" i="5"/>
  <c r="EI79" i="5"/>
  <c r="EG79" i="5"/>
  <c r="EK79" i="5"/>
  <c r="EJ79" i="5"/>
  <c r="EM79" i="5"/>
  <c r="EH79" i="5"/>
  <c r="EO79" i="5"/>
  <c r="EL79" i="5"/>
  <c r="FP79" i="5"/>
  <c r="FL79" i="5"/>
  <c r="FN79" i="5"/>
  <c r="FM79" i="5"/>
  <c r="FH79" i="5"/>
  <c r="FI79" i="5"/>
  <c r="FK79" i="5"/>
  <c r="FJ79" i="5"/>
  <c r="FO79" i="5"/>
  <c r="FG79" i="5"/>
  <c r="EM58" i="5"/>
  <c r="EN58" i="5"/>
  <c r="EG58" i="5"/>
  <c r="EL58" i="5"/>
  <c r="EH58" i="5"/>
  <c r="EJ58" i="5"/>
  <c r="EO58" i="5"/>
  <c r="EK58" i="5"/>
  <c r="EI58" i="5"/>
  <c r="FP58" i="5"/>
  <c r="FK58" i="5"/>
  <c r="FI58" i="5"/>
  <c r="FH58" i="5"/>
  <c r="FM58" i="5"/>
  <c r="FN58" i="5"/>
  <c r="FL58" i="5"/>
  <c r="FJ58" i="5"/>
  <c r="FG58" i="5"/>
  <c r="FO58" i="5"/>
  <c r="EM82" i="5"/>
  <c r="EL82" i="5"/>
  <c r="EJ82" i="5"/>
  <c r="EN82" i="5"/>
  <c r="EI82" i="5"/>
  <c r="EH82" i="5"/>
  <c r="EO82" i="5"/>
  <c r="EG82" i="5"/>
  <c r="EK82" i="5"/>
  <c r="FN82" i="5"/>
  <c r="FM82" i="5"/>
  <c r="FO82" i="5"/>
  <c r="FP82" i="5"/>
  <c r="FI82" i="5"/>
  <c r="FK82" i="5"/>
  <c r="FJ82" i="5"/>
  <c r="FH82" i="5"/>
  <c r="FL82" i="5"/>
  <c r="FG82" i="5"/>
  <c r="FH47" i="5"/>
  <c r="FJ47" i="5"/>
  <c r="FI47" i="5"/>
  <c r="FM47" i="5"/>
  <c r="FL47" i="5"/>
  <c r="FK47" i="5"/>
  <c r="FG47" i="5"/>
  <c r="FN47" i="5"/>
  <c r="FO47" i="5"/>
  <c r="FL21" i="5"/>
  <c r="FH21" i="5"/>
  <c r="FM21" i="5"/>
  <c r="FI21" i="5"/>
  <c r="FJ21" i="5"/>
  <c r="FO21" i="5"/>
  <c r="FK21" i="5"/>
  <c r="FN21" i="5"/>
  <c r="FG21" i="5"/>
  <c r="FO28" i="5"/>
  <c r="FG28" i="5"/>
  <c r="FI28" i="5"/>
  <c r="FJ28" i="5"/>
  <c r="FH28" i="5"/>
  <c r="FN28" i="5"/>
  <c r="FL28" i="5"/>
  <c r="FK28" i="5"/>
  <c r="FM28" i="5"/>
  <c r="FI27" i="5"/>
  <c r="FO27" i="5"/>
  <c r="FN27" i="5"/>
  <c r="FG27" i="5"/>
  <c r="FM27" i="5"/>
  <c r="FH27" i="5"/>
  <c r="FL27" i="5"/>
  <c r="FJ27" i="5"/>
  <c r="FK27" i="5"/>
  <c r="FH22" i="5"/>
  <c r="FM22" i="5"/>
  <c r="FO22" i="5"/>
  <c r="FK22" i="5"/>
  <c r="FN22" i="5"/>
  <c r="FJ22" i="5"/>
  <c r="FG22" i="5"/>
  <c r="FL22" i="5"/>
  <c r="FI22" i="5"/>
  <c r="EG27" i="5"/>
  <c r="EK27" i="5"/>
  <c r="EO27" i="5"/>
  <c r="EH27" i="5"/>
  <c r="EL27" i="5"/>
  <c r="EI27" i="5"/>
  <c r="EM27" i="5"/>
  <c r="EJ27" i="5"/>
  <c r="EN27" i="5"/>
  <c r="EH22" i="5"/>
  <c r="EL22" i="5"/>
  <c r="EG22" i="5"/>
  <c r="EO22" i="5"/>
  <c r="EI22" i="5"/>
  <c r="EM22" i="5"/>
  <c r="EK22" i="5"/>
  <c r="EJ22" i="5"/>
  <c r="EN22" i="5"/>
  <c r="EG47" i="5"/>
  <c r="EK47" i="5"/>
  <c r="EO47" i="5"/>
  <c r="EH47" i="5"/>
  <c r="EL47" i="5"/>
  <c r="EI47" i="5"/>
  <c r="EM47" i="5"/>
  <c r="EN47" i="5"/>
  <c r="EJ47" i="5"/>
  <c r="EI21" i="5"/>
  <c r="EM21" i="5"/>
  <c r="EL21" i="5"/>
  <c r="EJ21" i="5"/>
  <c r="EN21" i="5"/>
  <c r="EH21" i="5"/>
  <c r="EG21" i="5"/>
  <c r="EK21" i="5"/>
  <c r="EO21" i="5"/>
  <c r="EJ28" i="5"/>
  <c r="EN28" i="5"/>
  <c r="EG28" i="5"/>
  <c r="EK28" i="5"/>
  <c r="EO28" i="5"/>
  <c r="EI28" i="5"/>
  <c r="EH28" i="5"/>
  <c r="EL28" i="5"/>
  <c r="EM28" i="5"/>
  <c r="AA66" i="5"/>
  <c r="AS74" i="5" s="1"/>
  <c r="ES69" i="5" s="1"/>
  <c r="AA40" i="5"/>
  <c r="AS48" i="5" s="1"/>
  <c r="FP43" i="5" s="1"/>
  <c r="AA29" i="5"/>
  <c r="AS37" i="5" s="1"/>
  <c r="FP32" i="5" s="1"/>
  <c r="AA53" i="5"/>
  <c r="AS61" i="5" s="1"/>
  <c r="AA64" i="5"/>
  <c r="AS72" i="5" s="1"/>
  <c r="AA45" i="5"/>
  <c r="AS53" i="5" s="1"/>
  <c r="FP48" i="5" s="1"/>
  <c r="AA43" i="5"/>
  <c r="AS51" i="5" s="1"/>
  <c r="FP46" i="5" s="1"/>
  <c r="AA67" i="5"/>
  <c r="AS75" i="5" s="1"/>
  <c r="AA32" i="5"/>
  <c r="AS40" i="5" s="1"/>
  <c r="FP35" i="5" s="1"/>
  <c r="AA30" i="5"/>
  <c r="AS38" i="5" s="1"/>
  <c r="FP33" i="5" s="1"/>
  <c r="AA60" i="5"/>
  <c r="AS68" i="5" s="1"/>
  <c r="AA42" i="5"/>
  <c r="AS50" i="5" s="1"/>
  <c r="FP45" i="5" s="1"/>
  <c r="AA49" i="5"/>
  <c r="AS57" i="5" s="1"/>
  <c r="AW57" i="5" s="1"/>
  <c r="AA74" i="5"/>
  <c r="AS82" i="5" s="1"/>
  <c r="AA46" i="5"/>
  <c r="AS54" i="5" s="1"/>
  <c r="FP49" i="5" s="1"/>
  <c r="AA47" i="5"/>
  <c r="AS55" i="5" s="1"/>
  <c r="FP50" i="5" s="1"/>
  <c r="AA71" i="5"/>
  <c r="AS79" i="5" s="1"/>
  <c r="AA21" i="5"/>
  <c r="AS29" i="5" s="1"/>
  <c r="FP24" i="5" s="1"/>
  <c r="AA68" i="5"/>
  <c r="AS76" i="5" s="1"/>
  <c r="AA63" i="5"/>
  <c r="AS71" i="5" s="1"/>
  <c r="AA70" i="5"/>
  <c r="AS78" i="5" s="1"/>
  <c r="EX73" i="5" s="1"/>
  <c r="AA72" i="5"/>
  <c r="AS80" i="5" s="1"/>
  <c r="EX75" i="5" s="1"/>
  <c r="AA28" i="5"/>
  <c r="AS36" i="5" s="1"/>
  <c r="FP31" i="5" s="1"/>
  <c r="AA33" i="5"/>
  <c r="AS41" i="5" s="1"/>
  <c r="FP36" i="5" s="1"/>
  <c r="AA52" i="5"/>
  <c r="AS60" i="5" s="1"/>
  <c r="EY55" i="5" s="1"/>
  <c r="AA20" i="5"/>
  <c r="AS28" i="5" s="1"/>
  <c r="FP23" i="5" s="1"/>
  <c r="AA36" i="5"/>
  <c r="AS44" i="5" s="1"/>
  <c r="FP39" i="5" s="1"/>
  <c r="AA37" i="5"/>
  <c r="AS45" i="5" s="1"/>
  <c r="FP40" i="5" s="1"/>
  <c r="AA34" i="5"/>
  <c r="AS42" i="5" s="1"/>
  <c r="FP37" i="5" s="1"/>
  <c r="AA35" i="5"/>
  <c r="AS43" i="5" s="1"/>
  <c r="FP38" i="5" s="1"/>
  <c r="AA73" i="5"/>
  <c r="AS81" i="5" s="1"/>
  <c r="AA51" i="5"/>
  <c r="AS59" i="5" s="1"/>
  <c r="AA57" i="5"/>
  <c r="AS65" i="5" s="1"/>
  <c r="EY60" i="5" s="1"/>
  <c r="AA22" i="5"/>
  <c r="AS30" i="5" s="1"/>
  <c r="FP25" i="5" s="1"/>
  <c r="AA56" i="5"/>
  <c r="AS64" i="5" s="1"/>
  <c r="AA16" i="5"/>
  <c r="AS24" i="5" s="1"/>
  <c r="FP19" i="5" s="1"/>
  <c r="AA27" i="5"/>
  <c r="AS35" i="5" s="1"/>
  <c r="FP30" i="5" s="1"/>
  <c r="AA48" i="5"/>
  <c r="AS56" i="5" s="1"/>
  <c r="FP51" i="5" s="1"/>
  <c r="AA54" i="5"/>
  <c r="AS62" i="5" s="1"/>
  <c r="BD62" i="5" s="1"/>
  <c r="AA38" i="5"/>
  <c r="AS46" i="5" s="1"/>
  <c r="FP41" i="5" s="1"/>
  <c r="AA23" i="5"/>
  <c r="AS31" i="5" s="1"/>
  <c r="FP26" i="5" s="1"/>
  <c r="AA61" i="5"/>
  <c r="AS69" i="5" s="1"/>
  <c r="AA41" i="5"/>
  <c r="AS49" i="5" s="1"/>
  <c r="FP44" i="5" s="1"/>
  <c r="AA69" i="5"/>
  <c r="AS77" i="5" s="1"/>
  <c r="AA17" i="5"/>
  <c r="AS25" i="5" s="1"/>
  <c r="FP20" i="5" s="1"/>
  <c r="AA58" i="5"/>
  <c r="AS66" i="5" s="1"/>
  <c r="AA31" i="5"/>
  <c r="AS39" i="5" s="1"/>
  <c r="FP34" i="5" s="1"/>
  <c r="AA59" i="5"/>
  <c r="AS67" i="5" s="1"/>
  <c r="AA39" i="5"/>
  <c r="AS47" i="5" s="1"/>
  <c r="FP42" i="5" s="1"/>
  <c r="AA26" i="5"/>
  <c r="AS34" i="5" s="1"/>
  <c r="FP29" i="5" s="1"/>
  <c r="AA75" i="5"/>
  <c r="AS83" i="5" s="1"/>
  <c r="EU78" i="5" s="1"/>
  <c r="AA50" i="5"/>
  <c r="AS58" i="5" s="1"/>
  <c r="AA62" i="5"/>
  <c r="AS70" i="5" s="1"/>
  <c r="AA65" i="5"/>
  <c r="AS73" i="5" s="1"/>
  <c r="DX79" i="5"/>
  <c r="EE79" i="5"/>
  <c r="DW79" i="5"/>
  <c r="EB79" i="5"/>
  <c r="DU79" i="5"/>
  <c r="DY79" i="5"/>
  <c r="EF79" i="5"/>
  <c r="DV79" i="5"/>
  <c r="DS79" i="5"/>
  <c r="EC79" i="5"/>
  <c r="DT79" i="5"/>
  <c r="EA79" i="5"/>
  <c r="ED79" i="5"/>
  <c r="DZ79" i="5"/>
  <c r="FB79" i="5"/>
  <c r="FC79" i="5"/>
  <c r="FE79" i="5"/>
  <c r="FD79" i="5"/>
  <c r="FF79" i="5"/>
  <c r="EC28" i="5"/>
  <c r="DZ28" i="5"/>
  <c r="DV28" i="5"/>
  <c r="EA28" i="5"/>
  <c r="EB28" i="5"/>
  <c r="DU28" i="5"/>
  <c r="DY28" i="5"/>
  <c r="EF28" i="5"/>
  <c r="ED28" i="5"/>
  <c r="DS28" i="5"/>
  <c r="DW28" i="5"/>
  <c r="DT28" i="5"/>
  <c r="EE28" i="5"/>
  <c r="DX28" i="5"/>
  <c r="FD28" i="5"/>
  <c r="FC28" i="5"/>
  <c r="FF28" i="5"/>
  <c r="FB28" i="5"/>
  <c r="FE28" i="5"/>
  <c r="ED80" i="5"/>
  <c r="DX80" i="5"/>
  <c r="EA80" i="5"/>
  <c r="DS80" i="5"/>
  <c r="DY80" i="5"/>
  <c r="EE80" i="5"/>
  <c r="DV80" i="5"/>
  <c r="DT80" i="5"/>
  <c r="DW80" i="5"/>
  <c r="DU80" i="5"/>
  <c r="DZ80" i="5"/>
  <c r="EC80" i="5"/>
  <c r="EB80" i="5"/>
  <c r="EF80" i="5"/>
  <c r="FC80" i="5"/>
  <c r="FF80" i="5"/>
  <c r="FD80" i="5"/>
  <c r="FB80" i="5"/>
  <c r="FE80" i="5"/>
  <c r="EA58" i="5"/>
  <c r="DS58" i="5"/>
  <c r="ED58" i="5"/>
  <c r="DX58" i="5"/>
  <c r="EF58" i="5"/>
  <c r="DU58" i="5"/>
  <c r="DW58" i="5"/>
  <c r="EE58" i="5"/>
  <c r="DY58" i="5"/>
  <c r="DZ58" i="5"/>
  <c r="DT58" i="5"/>
  <c r="EB58" i="5"/>
  <c r="DV58" i="5"/>
  <c r="EC58" i="5"/>
  <c r="FB58" i="5"/>
  <c r="FF58" i="5"/>
  <c r="FE58" i="5"/>
  <c r="FD58" i="5"/>
  <c r="FC58" i="5"/>
  <c r="EA22" i="5"/>
  <c r="EF22" i="5"/>
  <c r="DT22" i="5"/>
  <c r="EE22" i="5"/>
  <c r="EB22" i="5"/>
  <c r="DX22" i="5"/>
  <c r="EC22" i="5"/>
  <c r="DZ22" i="5"/>
  <c r="DS22" i="5"/>
  <c r="DY22" i="5"/>
  <c r="DV22" i="5"/>
  <c r="DU22" i="5"/>
  <c r="ED22" i="5"/>
  <c r="DW22" i="5"/>
  <c r="FD22" i="5"/>
  <c r="FB22" i="5"/>
  <c r="FE22" i="5"/>
  <c r="FC22" i="5"/>
  <c r="FF22" i="5"/>
  <c r="EF83" i="5"/>
  <c r="ED83" i="5"/>
  <c r="EA83" i="5"/>
  <c r="DT83" i="5"/>
  <c r="DW83" i="5"/>
  <c r="DZ83" i="5"/>
  <c r="DX83" i="5"/>
  <c r="DY83" i="5"/>
  <c r="EE83" i="5"/>
  <c r="DU83" i="5"/>
  <c r="EB83" i="5"/>
  <c r="DS83" i="5"/>
  <c r="EC83" i="5"/>
  <c r="DV83" i="5"/>
  <c r="FC83" i="5"/>
  <c r="FF83" i="5"/>
  <c r="FE83" i="5"/>
  <c r="FD83" i="5"/>
  <c r="FB83" i="5"/>
  <c r="DV47" i="5"/>
  <c r="DS47" i="5"/>
  <c r="EB47" i="5"/>
  <c r="DT47" i="5"/>
  <c r="EE47" i="5"/>
  <c r="ED47" i="5"/>
  <c r="EA47" i="5"/>
  <c r="DU47" i="5"/>
  <c r="EC47" i="5"/>
  <c r="DW47" i="5"/>
  <c r="EF47" i="5"/>
  <c r="DZ47" i="5"/>
  <c r="DX47" i="5"/>
  <c r="DY47" i="5"/>
  <c r="FB47" i="5"/>
  <c r="FE47" i="5"/>
  <c r="FD47" i="5"/>
  <c r="FF47" i="5"/>
  <c r="FC47" i="5"/>
  <c r="EA27" i="5"/>
  <c r="DZ27" i="5"/>
  <c r="DS27" i="5"/>
  <c r="EC27" i="5"/>
  <c r="DU27" i="5"/>
  <c r="EB27" i="5"/>
  <c r="EF27" i="5"/>
  <c r="DY27" i="5"/>
  <c r="DV27" i="5"/>
  <c r="ED27" i="5"/>
  <c r="DX27" i="5"/>
  <c r="EE27" i="5"/>
  <c r="DT27" i="5"/>
  <c r="DW27" i="5"/>
  <c r="FF27" i="5"/>
  <c r="FC27" i="5"/>
  <c r="FB27" i="5"/>
  <c r="FE27" i="5"/>
  <c r="FD27" i="5"/>
  <c r="DU21" i="5"/>
  <c r="EC21" i="5"/>
  <c r="EF21" i="5"/>
  <c r="DS21" i="5"/>
  <c r="DX21" i="5"/>
  <c r="DV21" i="5"/>
  <c r="EE21" i="5"/>
  <c r="DY21" i="5"/>
  <c r="DW21" i="5"/>
  <c r="EA21" i="5"/>
  <c r="DT21" i="5"/>
  <c r="DZ21" i="5"/>
  <c r="ED21" i="5"/>
  <c r="EB21" i="5"/>
  <c r="FE21" i="5"/>
  <c r="FD21" i="5"/>
  <c r="FB21" i="5"/>
  <c r="FF21" i="5"/>
  <c r="FC21" i="5"/>
  <c r="DT81" i="5"/>
  <c r="DU81" i="5"/>
  <c r="EE81" i="5"/>
  <c r="DS81" i="5"/>
  <c r="DX81" i="5"/>
  <c r="DZ81" i="5"/>
  <c r="EC81" i="5"/>
  <c r="EA81" i="5"/>
  <c r="EB81" i="5"/>
  <c r="DY81" i="5"/>
  <c r="DV81" i="5"/>
  <c r="EF81" i="5"/>
  <c r="DW81" i="5"/>
  <c r="ED81" i="5"/>
  <c r="FE81" i="5"/>
  <c r="FC81" i="5"/>
  <c r="FB81" i="5"/>
  <c r="FF81" i="5"/>
  <c r="FD81" i="5"/>
  <c r="ED82" i="5"/>
  <c r="EF82" i="5"/>
  <c r="DS82" i="5"/>
  <c r="DW82" i="5"/>
  <c r="DT82" i="5"/>
  <c r="DY82" i="5"/>
  <c r="DV82" i="5"/>
  <c r="DX82" i="5"/>
  <c r="EE82" i="5"/>
  <c r="DU82" i="5"/>
  <c r="DZ82" i="5"/>
  <c r="EA82" i="5"/>
  <c r="EB82" i="5"/>
  <c r="EC82" i="5"/>
  <c r="FC82" i="5"/>
  <c r="FD82" i="5"/>
  <c r="FE82" i="5"/>
  <c r="FF82" i="5"/>
  <c r="FB82" i="5"/>
  <c r="V22" i="5"/>
  <c r="AS18" i="5" s="1"/>
  <c r="AA161" i="5"/>
  <c r="AA160" i="5"/>
  <c r="EW27" i="5"/>
  <c r="DR27" i="5"/>
  <c r="ET27" i="5"/>
  <c r="EY27" i="5"/>
  <c r="EX27" i="5"/>
  <c r="EZ27" i="5"/>
  <c r="EU27" i="5"/>
  <c r="AW32" i="5"/>
  <c r="EV27" i="5"/>
  <c r="ES27" i="5"/>
  <c r="BD32" i="5"/>
  <c r="FA27" i="5"/>
  <c r="ER27" i="5"/>
  <c r="EY21" i="5"/>
  <c r="ES21" i="5"/>
  <c r="EX21" i="5"/>
  <c r="ER21" i="5"/>
  <c r="AW26" i="5"/>
  <c r="EV21" i="5"/>
  <c r="BD26" i="5"/>
  <c r="ET21" i="5"/>
  <c r="FA21" i="5"/>
  <c r="DR21" i="5"/>
  <c r="EU21" i="5"/>
  <c r="EZ21" i="5"/>
  <c r="EW21" i="5"/>
  <c r="EY28" i="5"/>
  <c r="EW28" i="5"/>
  <c r="EV28" i="5"/>
  <c r="ER28" i="5"/>
  <c r="EU28" i="5"/>
  <c r="FA28" i="5"/>
  <c r="EX28" i="5"/>
  <c r="DR28" i="5"/>
  <c r="ET28" i="5"/>
  <c r="EZ28" i="5"/>
  <c r="AW33" i="5"/>
  <c r="BD33" i="5"/>
  <c r="ES28" i="5"/>
  <c r="EV80" i="5"/>
  <c r="ER80" i="5"/>
  <c r="EW80" i="5"/>
  <c r="EU80" i="5"/>
  <c r="BD85" i="5"/>
  <c r="EZ80" i="5"/>
  <c r="EY80" i="5"/>
  <c r="FA80" i="5"/>
  <c r="AW85" i="5"/>
  <c r="ES80" i="5"/>
  <c r="DR80" i="5"/>
  <c r="ET80" i="5"/>
  <c r="EX80" i="5"/>
  <c r="AW63" i="5"/>
  <c r="ER58" i="5"/>
  <c r="ES58" i="5"/>
  <c r="ET58" i="5"/>
  <c r="EW58" i="5"/>
  <c r="EU58" i="5"/>
  <c r="EX58" i="5"/>
  <c r="EY58" i="5"/>
  <c r="BD63" i="5"/>
  <c r="FA58" i="5"/>
  <c r="EZ58" i="5"/>
  <c r="DR58" i="5"/>
  <c r="EV58" i="5"/>
  <c r="EU81" i="5"/>
  <c r="ET81" i="5"/>
  <c r="AW86" i="5"/>
  <c r="EZ81" i="5"/>
  <c r="EV81" i="5"/>
  <c r="ES81" i="5"/>
  <c r="EY81" i="5"/>
  <c r="EW81" i="5"/>
  <c r="BD86" i="5"/>
  <c r="EX81" i="5"/>
  <c r="ER81" i="5"/>
  <c r="DR81" i="5"/>
  <c r="FA81" i="5"/>
  <c r="EV60" i="5"/>
  <c r="FA82" i="5"/>
  <c r="EU82" i="5"/>
  <c r="EV82" i="5"/>
  <c r="EY82" i="5"/>
  <c r="ET82" i="5"/>
  <c r="ER82" i="5"/>
  <c r="AW87" i="5"/>
  <c r="EX82" i="5"/>
  <c r="EW82" i="5"/>
  <c r="DR82" i="5"/>
  <c r="BD87" i="5"/>
  <c r="EZ82" i="5"/>
  <c r="ES82" i="5"/>
  <c r="ER22" i="5"/>
  <c r="FA22" i="5"/>
  <c r="EX22" i="5"/>
  <c r="BD27" i="5"/>
  <c r="AW27" i="5"/>
  <c r="EZ22" i="5"/>
  <c r="EW22" i="5"/>
  <c r="EU22" i="5"/>
  <c r="EY22" i="5"/>
  <c r="EV22" i="5"/>
  <c r="ET22" i="5"/>
  <c r="ES22" i="5"/>
  <c r="DR22" i="5"/>
  <c r="ET83" i="5"/>
  <c r="EY83" i="5"/>
  <c r="ER83" i="5"/>
  <c r="BD88" i="5"/>
  <c r="ES83" i="5"/>
  <c r="EX83" i="5"/>
  <c r="EZ83" i="5"/>
  <c r="EW83" i="5"/>
  <c r="FA83" i="5"/>
  <c r="AW88" i="5"/>
  <c r="EU83" i="5"/>
  <c r="EV83" i="5"/>
  <c r="DR83" i="5"/>
  <c r="EX69" i="5"/>
  <c r="EZ69" i="5"/>
  <c r="ET69" i="5"/>
  <c r="DR47" i="5"/>
  <c r="EY47" i="5"/>
  <c r="ES47" i="5"/>
  <c r="ET47" i="5"/>
  <c r="BD52" i="5"/>
  <c r="EZ47" i="5"/>
  <c r="ER47" i="5"/>
  <c r="AW52" i="5"/>
  <c r="FA47" i="5"/>
  <c r="EX47" i="5"/>
  <c r="EV47" i="5"/>
  <c r="EU47" i="5"/>
  <c r="EW47" i="5"/>
  <c r="EW79" i="5"/>
  <c r="EY79" i="5"/>
  <c r="DR79" i="5"/>
  <c r="FA79" i="5"/>
  <c r="ES79" i="5"/>
  <c r="EX79" i="5"/>
  <c r="EU79" i="5"/>
  <c r="ER79" i="5"/>
  <c r="BD84" i="5"/>
  <c r="ET79" i="5"/>
  <c r="AW84" i="5"/>
  <c r="EV79" i="5"/>
  <c r="EZ79" i="5"/>
  <c r="EU60" i="5" l="1"/>
  <c r="EV73" i="5"/>
  <c r="EU55" i="5"/>
  <c r="DI83" i="5"/>
  <c r="DO83" i="5"/>
  <c r="DM83" i="5"/>
  <c r="DN83" i="5"/>
  <c r="DQ83" i="5"/>
  <c r="DJ83" i="5"/>
  <c r="DP83" i="5"/>
  <c r="DK83" i="5"/>
  <c r="DL83" i="5"/>
  <c r="DI82" i="5"/>
  <c r="DO82" i="5"/>
  <c r="DM82" i="5"/>
  <c r="DN82" i="5"/>
  <c r="DQ82" i="5"/>
  <c r="DJ82" i="5"/>
  <c r="DP82" i="5"/>
  <c r="DK82" i="5"/>
  <c r="DL82" i="5"/>
  <c r="DI81" i="5"/>
  <c r="DO81" i="5"/>
  <c r="DM81" i="5"/>
  <c r="DN81" i="5"/>
  <c r="DQ81" i="5"/>
  <c r="DJ81" i="5"/>
  <c r="DP81" i="5"/>
  <c r="DK81" i="5"/>
  <c r="DL81" i="5"/>
  <c r="DI58" i="5"/>
  <c r="DP58" i="5"/>
  <c r="DK58" i="5"/>
  <c r="DN58" i="5"/>
  <c r="DO58" i="5"/>
  <c r="DJ58" i="5"/>
  <c r="DM58" i="5"/>
  <c r="DL58" i="5"/>
  <c r="DQ58" i="5"/>
  <c r="ES53" i="5"/>
  <c r="EM53" i="5"/>
  <c r="EK53" i="5"/>
  <c r="EG53" i="5"/>
  <c r="EL53" i="5"/>
  <c r="EH53" i="5"/>
  <c r="EO53" i="5"/>
  <c r="EJ53" i="5"/>
  <c r="EN53" i="5"/>
  <c r="EI53" i="5"/>
  <c r="FP53" i="5"/>
  <c r="FO53" i="5"/>
  <c r="FK53" i="5"/>
  <c r="FH53" i="5"/>
  <c r="FM53" i="5"/>
  <c r="FJ53" i="5"/>
  <c r="FG53" i="5"/>
  <c r="FI53" i="5"/>
  <c r="FN53" i="5"/>
  <c r="FL53" i="5"/>
  <c r="EM62" i="5"/>
  <c r="EO62" i="5"/>
  <c r="EI62" i="5"/>
  <c r="EJ62" i="5"/>
  <c r="EL62" i="5"/>
  <c r="EH62" i="5"/>
  <c r="EK62" i="5"/>
  <c r="EG62" i="5"/>
  <c r="EN62" i="5"/>
  <c r="FI62" i="5"/>
  <c r="FH62" i="5"/>
  <c r="FJ62" i="5"/>
  <c r="FP62" i="5"/>
  <c r="FG62" i="5"/>
  <c r="FN62" i="5"/>
  <c r="FL62" i="5"/>
  <c r="FM62" i="5"/>
  <c r="FK62" i="5"/>
  <c r="FO62" i="5"/>
  <c r="EN72" i="5"/>
  <c r="EJ72" i="5"/>
  <c r="EL72" i="5"/>
  <c r="EK72" i="5"/>
  <c r="EM72" i="5"/>
  <c r="EH72" i="5"/>
  <c r="EO72" i="5"/>
  <c r="EG72" i="5"/>
  <c r="EI72" i="5"/>
  <c r="FI72" i="5"/>
  <c r="FP72" i="5"/>
  <c r="FN72" i="5"/>
  <c r="FG72" i="5"/>
  <c r="FK72" i="5"/>
  <c r="FM72" i="5"/>
  <c r="FH72" i="5"/>
  <c r="FJ72" i="5"/>
  <c r="FL72" i="5"/>
  <c r="FO72" i="5"/>
  <c r="DU54" i="5"/>
  <c r="EN54" i="5"/>
  <c r="EI54" i="5"/>
  <c r="EK54" i="5"/>
  <c r="EO54" i="5"/>
  <c r="EG54" i="5"/>
  <c r="EH54" i="5"/>
  <c r="EM54" i="5"/>
  <c r="EL54" i="5"/>
  <c r="EJ54" i="5"/>
  <c r="FP54" i="5"/>
  <c r="FK54" i="5"/>
  <c r="FH54" i="5"/>
  <c r="FL54" i="5"/>
  <c r="FI54" i="5"/>
  <c r="FG54" i="5"/>
  <c r="FO54" i="5"/>
  <c r="FJ54" i="5"/>
  <c r="FN54" i="5"/>
  <c r="FM54" i="5"/>
  <c r="DU66" i="5"/>
  <c r="EM66" i="5"/>
  <c r="EH66" i="5"/>
  <c r="EJ66" i="5"/>
  <c r="EN66" i="5"/>
  <c r="EI66" i="5"/>
  <c r="EL66" i="5"/>
  <c r="EO66" i="5"/>
  <c r="EG66" i="5"/>
  <c r="EK66" i="5"/>
  <c r="FL66" i="5"/>
  <c r="FK66" i="5"/>
  <c r="FO66" i="5"/>
  <c r="FJ66" i="5"/>
  <c r="FM66" i="5"/>
  <c r="FG66" i="5"/>
  <c r="FP66" i="5"/>
  <c r="FI66" i="5"/>
  <c r="FH66" i="5"/>
  <c r="FN66" i="5"/>
  <c r="EF70" i="5"/>
  <c r="EL70" i="5"/>
  <c r="EM70" i="5"/>
  <c r="EI70" i="5"/>
  <c r="EJ70" i="5"/>
  <c r="EN70" i="5"/>
  <c r="EH70" i="5"/>
  <c r="EK70" i="5"/>
  <c r="EO70" i="5"/>
  <c r="EG70" i="5"/>
  <c r="FP70" i="5"/>
  <c r="FI70" i="5"/>
  <c r="FM70" i="5"/>
  <c r="FH70" i="5"/>
  <c r="FL70" i="5"/>
  <c r="FK70" i="5"/>
  <c r="FN70" i="5"/>
  <c r="FO70" i="5"/>
  <c r="FG70" i="5"/>
  <c r="FJ70" i="5"/>
  <c r="ED56" i="5"/>
  <c r="EM56" i="5"/>
  <c r="EK56" i="5"/>
  <c r="EJ56" i="5"/>
  <c r="EH56" i="5"/>
  <c r="EO56" i="5"/>
  <c r="EG56" i="5"/>
  <c r="EI56" i="5"/>
  <c r="EL56" i="5"/>
  <c r="EN56" i="5"/>
  <c r="FL56" i="5"/>
  <c r="FN56" i="5"/>
  <c r="FM56" i="5"/>
  <c r="FP56" i="5"/>
  <c r="FI56" i="5"/>
  <c r="FK56" i="5"/>
  <c r="FH56" i="5"/>
  <c r="FJ56" i="5"/>
  <c r="FG56" i="5"/>
  <c r="FO56" i="5"/>
  <c r="DI80" i="5"/>
  <c r="DO80" i="5"/>
  <c r="DM80" i="5"/>
  <c r="DN80" i="5"/>
  <c r="DQ80" i="5"/>
  <c r="DJ80" i="5"/>
  <c r="DP80" i="5"/>
  <c r="DK80" i="5"/>
  <c r="DL80" i="5"/>
  <c r="FB78" i="5"/>
  <c r="EG78" i="5"/>
  <c r="EN78" i="5"/>
  <c r="EM78" i="5"/>
  <c r="EO78" i="5"/>
  <c r="EJ78" i="5"/>
  <c r="EL78" i="5"/>
  <c r="EI78" i="5"/>
  <c r="EK78" i="5"/>
  <c r="EH78" i="5"/>
  <c r="FK78" i="5"/>
  <c r="FP78" i="5"/>
  <c r="FH78" i="5"/>
  <c r="FJ78" i="5"/>
  <c r="FO78" i="5"/>
  <c r="FN78" i="5"/>
  <c r="FG78" i="5"/>
  <c r="FL78" i="5"/>
  <c r="FM78" i="5"/>
  <c r="FI78" i="5"/>
  <c r="EX57" i="5"/>
  <c r="EN57" i="5"/>
  <c r="EO57" i="5"/>
  <c r="EJ57" i="5"/>
  <c r="EK57" i="5"/>
  <c r="EI57" i="5"/>
  <c r="EG57" i="5"/>
  <c r="EL57" i="5"/>
  <c r="EH57" i="5"/>
  <c r="EM57" i="5"/>
  <c r="FJ57" i="5"/>
  <c r="FH57" i="5"/>
  <c r="FP57" i="5"/>
  <c r="FI57" i="5"/>
  <c r="FM57" i="5"/>
  <c r="FO57" i="5"/>
  <c r="FN57" i="5"/>
  <c r="FL57" i="5"/>
  <c r="FK57" i="5"/>
  <c r="FG57" i="5"/>
  <c r="DS59" i="5"/>
  <c r="EG59" i="5"/>
  <c r="EL59" i="5"/>
  <c r="EN59" i="5"/>
  <c r="EH59" i="5"/>
  <c r="EI59" i="5"/>
  <c r="EK59" i="5"/>
  <c r="EJ59" i="5"/>
  <c r="EO59" i="5"/>
  <c r="EM59" i="5"/>
  <c r="FJ59" i="5"/>
  <c r="FK59" i="5"/>
  <c r="FI59" i="5"/>
  <c r="FP59" i="5"/>
  <c r="FG59" i="5"/>
  <c r="FO59" i="5"/>
  <c r="FH59" i="5"/>
  <c r="FM59" i="5"/>
  <c r="FN59" i="5"/>
  <c r="FL59" i="5"/>
  <c r="EU76" i="5"/>
  <c r="EI76" i="5"/>
  <c r="EJ76" i="5"/>
  <c r="EO76" i="5"/>
  <c r="EN76" i="5"/>
  <c r="EK76" i="5"/>
  <c r="EL76" i="5"/>
  <c r="EG76" i="5"/>
  <c r="EH76" i="5"/>
  <c r="EM76" i="5"/>
  <c r="FP76" i="5"/>
  <c r="FH76" i="5"/>
  <c r="FI76" i="5"/>
  <c r="FM76" i="5"/>
  <c r="FG76" i="5"/>
  <c r="FN76" i="5"/>
  <c r="FO76" i="5"/>
  <c r="FL76" i="5"/>
  <c r="FK76" i="5"/>
  <c r="FJ76" i="5"/>
  <c r="DS71" i="5"/>
  <c r="EH71" i="5"/>
  <c r="EJ71" i="5"/>
  <c r="EG71" i="5"/>
  <c r="EL71" i="5"/>
  <c r="EM71" i="5"/>
  <c r="EI71" i="5"/>
  <c r="EN71" i="5"/>
  <c r="EK71" i="5"/>
  <c r="EO71" i="5"/>
  <c r="FJ71" i="5"/>
  <c r="FK71" i="5"/>
  <c r="FI71" i="5"/>
  <c r="FH71" i="5"/>
  <c r="FG71" i="5"/>
  <c r="FP71" i="5"/>
  <c r="FO71" i="5"/>
  <c r="FN71" i="5"/>
  <c r="FL71" i="5"/>
  <c r="FM71" i="5"/>
  <c r="DX63" i="5"/>
  <c r="EM63" i="5"/>
  <c r="EH63" i="5"/>
  <c r="EG63" i="5"/>
  <c r="EN63" i="5"/>
  <c r="EL63" i="5"/>
  <c r="EO63" i="5"/>
  <c r="EI63" i="5"/>
  <c r="EK63" i="5"/>
  <c r="EJ63" i="5"/>
  <c r="FK63" i="5"/>
  <c r="FP63" i="5"/>
  <c r="FJ63" i="5"/>
  <c r="FN63" i="5"/>
  <c r="FO63" i="5"/>
  <c r="FG63" i="5"/>
  <c r="FH63" i="5"/>
  <c r="FI63" i="5"/>
  <c r="FL63" i="5"/>
  <c r="FM63" i="5"/>
  <c r="DV68" i="5"/>
  <c r="EG68" i="5"/>
  <c r="EI68" i="5"/>
  <c r="EM68" i="5"/>
  <c r="EN68" i="5"/>
  <c r="EO68" i="5"/>
  <c r="EK68" i="5"/>
  <c r="EL68" i="5"/>
  <c r="EH68" i="5"/>
  <c r="EJ68" i="5"/>
  <c r="FP68" i="5"/>
  <c r="FL68" i="5"/>
  <c r="FO68" i="5"/>
  <c r="FG68" i="5"/>
  <c r="FH68" i="5"/>
  <c r="FM68" i="5"/>
  <c r="FN68" i="5"/>
  <c r="FI68" i="5"/>
  <c r="FK68" i="5"/>
  <c r="FJ68" i="5"/>
  <c r="ED61" i="5"/>
  <c r="EH61" i="5"/>
  <c r="EK61" i="5"/>
  <c r="EO61" i="5"/>
  <c r="EM61" i="5"/>
  <c r="EL61" i="5"/>
  <c r="EJ61" i="5"/>
  <c r="EN61" i="5"/>
  <c r="EG61" i="5"/>
  <c r="EI61" i="5"/>
  <c r="FN61" i="5"/>
  <c r="FM61" i="5"/>
  <c r="FJ61" i="5"/>
  <c r="FP61" i="5"/>
  <c r="FI61" i="5"/>
  <c r="FG61" i="5"/>
  <c r="FO61" i="5"/>
  <c r="FH61" i="5"/>
  <c r="FK61" i="5"/>
  <c r="FL61" i="5"/>
  <c r="DT64" i="5"/>
  <c r="EG64" i="5"/>
  <c r="EI64" i="5"/>
  <c r="EM64" i="5"/>
  <c r="EJ64" i="5"/>
  <c r="EO64" i="5"/>
  <c r="EK64" i="5"/>
  <c r="EN64" i="5"/>
  <c r="EH64" i="5"/>
  <c r="EL64" i="5"/>
  <c r="FI64" i="5"/>
  <c r="FN64" i="5"/>
  <c r="FL64" i="5"/>
  <c r="FO64" i="5"/>
  <c r="FJ64" i="5"/>
  <c r="FM64" i="5"/>
  <c r="FP64" i="5"/>
  <c r="FK64" i="5"/>
  <c r="FH64" i="5"/>
  <c r="FG64" i="5"/>
  <c r="DT75" i="5"/>
  <c r="EK75" i="5"/>
  <c r="EM75" i="5"/>
  <c r="EG75" i="5"/>
  <c r="EL75" i="5"/>
  <c r="EN75" i="5"/>
  <c r="EH75" i="5"/>
  <c r="EI75" i="5"/>
  <c r="EO75" i="5"/>
  <c r="EJ75" i="5"/>
  <c r="FG75" i="5"/>
  <c r="FL75" i="5"/>
  <c r="FO75" i="5"/>
  <c r="FH75" i="5"/>
  <c r="FP75" i="5"/>
  <c r="FJ75" i="5"/>
  <c r="FK75" i="5"/>
  <c r="FM75" i="5"/>
  <c r="FI75" i="5"/>
  <c r="FN75" i="5"/>
  <c r="EC77" i="5"/>
  <c r="EO77" i="5"/>
  <c r="EH77" i="5"/>
  <c r="EL77" i="5"/>
  <c r="EJ77" i="5"/>
  <c r="EN77" i="5"/>
  <c r="EG77" i="5"/>
  <c r="EM77" i="5"/>
  <c r="EI77" i="5"/>
  <c r="EK77" i="5"/>
  <c r="FP77" i="5"/>
  <c r="FO77" i="5"/>
  <c r="FJ77" i="5"/>
  <c r="FI77" i="5"/>
  <c r="FG77" i="5"/>
  <c r="FM77" i="5"/>
  <c r="FH77" i="5"/>
  <c r="FK77" i="5"/>
  <c r="FL77" i="5"/>
  <c r="FN77" i="5"/>
  <c r="DI79" i="5"/>
  <c r="DO79" i="5"/>
  <c r="DM79" i="5"/>
  <c r="DN79" i="5"/>
  <c r="DQ79" i="5"/>
  <c r="DJ79" i="5"/>
  <c r="DP79" i="5"/>
  <c r="DK79" i="5"/>
  <c r="DL79" i="5"/>
  <c r="DU65" i="5"/>
  <c r="EK65" i="5"/>
  <c r="EI65" i="5"/>
  <c r="EL65" i="5"/>
  <c r="EJ65" i="5"/>
  <c r="EO65" i="5"/>
  <c r="EG65" i="5"/>
  <c r="EN65" i="5"/>
  <c r="EM65" i="5"/>
  <c r="EH65" i="5"/>
  <c r="FK65" i="5"/>
  <c r="FM65" i="5"/>
  <c r="FH65" i="5"/>
  <c r="FO65" i="5"/>
  <c r="FP65" i="5"/>
  <c r="FN65" i="5"/>
  <c r="FG65" i="5"/>
  <c r="FI65" i="5"/>
  <c r="FL65" i="5"/>
  <c r="FJ65" i="5"/>
  <c r="EB60" i="5"/>
  <c r="EH60" i="5"/>
  <c r="EM60" i="5"/>
  <c r="EI60" i="5"/>
  <c r="EJ60" i="5"/>
  <c r="EO60" i="5"/>
  <c r="EN60" i="5"/>
  <c r="EK60" i="5"/>
  <c r="EL60" i="5"/>
  <c r="EG60" i="5"/>
  <c r="FM60" i="5"/>
  <c r="FG60" i="5"/>
  <c r="FP60" i="5"/>
  <c r="FJ60" i="5"/>
  <c r="FL60" i="5"/>
  <c r="FO60" i="5"/>
  <c r="FN60" i="5"/>
  <c r="FH60" i="5"/>
  <c r="FK60" i="5"/>
  <c r="FI60" i="5"/>
  <c r="DU55" i="5"/>
  <c r="EO55" i="5"/>
  <c r="EG55" i="5"/>
  <c r="EL55" i="5"/>
  <c r="EM55" i="5"/>
  <c r="EI55" i="5"/>
  <c r="EN55" i="5"/>
  <c r="EH55" i="5"/>
  <c r="EJ55" i="5"/>
  <c r="EK55" i="5"/>
  <c r="FL55" i="5"/>
  <c r="FP55" i="5"/>
  <c r="FG55" i="5"/>
  <c r="FO55" i="5"/>
  <c r="FK55" i="5"/>
  <c r="FI55" i="5"/>
  <c r="FJ55" i="5"/>
  <c r="FN55" i="5"/>
  <c r="FH55" i="5"/>
  <c r="FM55" i="5"/>
  <c r="DU73" i="5"/>
  <c r="EG73" i="5"/>
  <c r="EL73" i="5"/>
  <c r="EH73" i="5"/>
  <c r="EO73" i="5"/>
  <c r="EN73" i="5"/>
  <c r="EM73" i="5"/>
  <c r="EJ73" i="5"/>
  <c r="EK73" i="5"/>
  <c r="EI73" i="5"/>
  <c r="FP73" i="5"/>
  <c r="FH73" i="5"/>
  <c r="FI73" i="5"/>
  <c r="FJ73" i="5"/>
  <c r="FL73" i="5"/>
  <c r="FG73" i="5"/>
  <c r="FK73" i="5"/>
  <c r="FM73" i="5"/>
  <c r="FO73" i="5"/>
  <c r="FN73" i="5"/>
  <c r="EB74" i="5"/>
  <c r="EH74" i="5"/>
  <c r="EI74" i="5"/>
  <c r="EM74" i="5"/>
  <c r="EL74" i="5"/>
  <c r="EG74" i="5"/>
  <c r="EJ74" i="5"/>
  <c r="EN74" i="5"/>
  <c r="EK74" i="5"/>
  <c r="EO74" i="5"/>
  <c r="FP74" i="5"/>
  <c r="FO74" i="5"/>
  <c r="FH74" i="5"/>
  <c r="FJ74" i="5"/>
  <c r="FN74" i="5"/>
  <c r="FG74" i="5"/>
  <c r="FL74" i="5"/>
  <c r="FK74" i="5"/>
  <c r="FM74" i="5"/>
  <c r="FI74" i="5"/>
  <c r="ED67" i="5"/>
  <c r="EJ67" i="5"/>
  <c r="EH67" i="5"/>
  <c r="EL67" i="5"/>
  <c r="EM67" i="5"/>
  <c r="EO67" i="5"/>
  <c r="EK67" i="5"/>
  <c r="EN67" i="5"/>
  <c r="EI67" i="5"/>
  <c r="EG67" i="5"/>
  <c r="FJ67" i="5"/>
  <c r="FL67" i="5"/>
  <c r="FG67" i="5"/>
  <c r="FH67" i="5"/>
  <c r="FP67" i="5"/>
  <c r="FM67" i="5"/>
  <c r="FK67" i="5"/>
  <c r="FN67" i="5"/>
  <c r="FI67" i="5"/>
  <c r="FO67" i="5"/>
  <c r="DW69" i="5"/>
  <c r="EH69" i="5"/>
  <c r="EL69" i="5"/>
  <c r="EJ69" i="5"/>
  <c r="EI69" i="5"/>
  <c r="EO69" i="5"/>
  <c r="EG69" i="5"/>
  <c r="EN69" i="5"/>
  <c r="EM69" i="5"/>
  <c r="EK69" i="5"/>
  <c r="FI69" i="5"/>
  <c r="FL69" i="5"/>
  <c r="FP69" i="5"/>
  <c r="FH69" i="5"/>
  <c r="FG69" i="5"/>
  <c r="FO69" i="5"/>
  <c r="FK69" i="5"/>
  <c r="FM69" i="5"/>
  <c r="FJ69" i="5"/>
  <c r="FN69" i="5"/>
  <c r="FP22" i="5"/>
  <c r="FP52" i="5"/>
  <c r="FN42" i="5"/>
  <c r="FO42" i="5"/>
  <c r="FG42" i="5"/>
  <c r="FL42" i="5"/>
  <c r="FK42" i="5"/>
  <c r="FJ42" i="5"/>
  <c r="FM42" i="5"/>
  <c r="FI42" i="5"/>
  <c r="FH42" i="5"/>
  <c r="FL20" i="5"/>
  <c r="FN20" i="5"/>
  <c r="FM20" i="5"/>
  <c r="FJ20" i="5"/>
  <c r="FO20" i="5"/>
  <c r="FK20" i="5"/>
  <c r="FI20" i="5"/>
  <c r="FG20" i="5"/>
  <c r="FH20" i="5"/>
  <c r="FO26" i="5"/>
  <c r="FN26" i="5"/>
  <c r="FK26" i="5"/>
  <c r="FL26" i="5"/>
  <c r="FH26" i="5"/>
  <c r="FJ26" i="5"/>
  <c r="FG26" i="5"/>
  <c r="FI26" i="5"/>
  <c r="FM26" i="5"/>
  <c r="FJ30" i="5"/>
  <c r="FN30" i="5"/>
  <c r="FO30" i="5"/>
  <c r="FG30" i="5"/>
  <c r="FI30" i="5"/>
  <c r="FK30" i="5"/>
  <c r="FL30" i="5"/>
  <c r="FH30" i="5"/>
  <c r="FM30" i="5"/>
  <c r="FL37" i="5"/>
  <c r="FG37" i="5"/>
  <c r="FK37" i="5"/>
  <c r="FJ37" i="5"/>
  <c r="FI37" i="5"/>
  <c r="FH37" i="5"/>
  <c r="FM37" i="5"/>
  <c r="FN37" i="5"/>
  <c r="FO37" i="5"/>
  <c r="FJ23" i="5"/>
  <c r="FL23" i="5"/>
  <c r="FN23" i="5"/>
  <c r="FO23" i="5"/>
  <c r="FI23" i="5"/>
  <c r="FG23" i="5"/>
  <c r="FH23" i="5"/>
  <c r="FK23" i="5"/>
  <c r="FM23" i="5"/>
  <c r="FH52" i="5"/>
  <c r="FK52" i="5"/>
  <c r="FN52" i="5"/>
  <c r="FO52" i="5"/>
  <c r="FJ52" i="5"/>
  <c r="FL52" i="5"/>
  <c r="FI52" i="5"/>
  <c r="FM52" i="5"/>
  <c r="FG52" i="5"/>
  <c r="FO35" i="5"/>
  <c r="FN35" i="5"/>
  <c r="FG35" i="5"/>
  <c r="FI35" i="5"/>
  <c r="FL35" i="5"/>
  <c r="FK35" i="5"/>
  <c r="FM35" i="5"/>
  <c r="FJ35" i="5"/>
  <c r="FH35" i="5"/>
  <c r="FI41" i="5"/>
  <c r="FM41" i="5"/>
  <c r="FK41" i="5"/>
  <c r="FG41" i="5"/>
  <c r="FL41" i="5"/>
  <c r="FJ41" i="5"/>
  <c r="FH41" i="5"/>
  <c r="FN41" i="5"/>
  <c r="FO41" i="5"/>
  <c r="FM40" i="5"/>
  <c r="FO40" i="5"/>
  <c r="FH40" i="5"/>
  <c r="FL40" i="5"/>
  <c r="FI40" i="5"/>
  <c r="FK40" i="5"/>
  <c r="FJ40" i="5"/>
  <c r="FN40" i="5"/>
  <c r="FG40" i="5"/>
  <c r="FH36" i="5"/>
  <c r="FK36" i="5"/>
  <c r="FJ36" i="5"/>
  <c r="FG36" i="5"/>
  <c r="FO36" i="5"/>
  <c r="FI36" i="5"/>
  <c r="FN36" i="5"/>
  <c r="FM36" i="5"/>
  <c r="FL36" i="5"/>
  <c r="FO50" i="5"/>
  <c r="FJ50" i="5"/>
  <c r="FI50" i="5"/>
  <c r="FL50" i="5"/>
  <c r="FN50" i="5"/>
  <c r="FM50" i="5"/>
  <c r="FG50" i="5"/>
  <c r="FH50" i="5"/>
  <c r="FK50" i="5"/>
  <c r="FH45" i="5"/>
  <c r="FN45" i="5"/>
  <c r="FO45" i="5"/>
  <c r="FK45" i="5"/>
  <c r="FG45" i="5"/>
  <c r="FM45" i="5"/>
  <c r="FL45" i="5"/>
  <c r="FJ45" i="5"/>
  <c r="FI45" i="5"/>
  <c r="FO34" i="5"/>
  <c r="FI34" i="5"/>
  <c r="FH34" i="5"/>
  <c r="FL34" i="5"/>
  <c r="FK34" i="5"/>
  <c r="FN34" i="5"/>
  <c r="FJ34" i="5"/>
  <c r="FG34" i="5"/>
  <c r="FM34" i="5"/>
  <c r="FJ44" i="5"/>
  <c r="FL44" i="5"/>
  <c r="FN44" i="5"/>
  <c r="FO44" i="5"/>
  <c r="FG44" i="5"/>
  <c r="FK44" i="5"/>
  <c r="FH44" i="5"/>
  <c r="FM44" i="5"/>
  <c r="FI44" i="5"/>
  <c r="FH39" i="5"/>
  <c r="FJ39" i="5"/>
  <c r="FG39" i="5"/>
  <c r="FN39" i="5"/>
  <c r="FK39" i="5"/>
  <c r="FI39" i="5"/>
  <c r="FL39" i="5"/>
  <c r="FO39" i="5"/>
  <c r="FM39" i="5"/>
  <c r="FN31" i="5"/>
  <c r="FI31" i="5"/>
  <c r="FL31" i="5"/>
  <c r="FH31" i="5"/>
  <c r="FJ31" i="5"/>
  <c r="FO31" i="5"/>
  <c r="FG31" i="5"/>
  <c r="FK31" i="5"/>
  <c r="FM31" i="5"/>
  <c r="FL49" i="5"/>
  <c r="FM49" i="5"/>
  <c r="FJ49" i="5"/>
  <c r="FO49" i="5"/>
  <c r="FN49" i="5"/>
  <c r="FK49" i="5"/>
  <c r="FH49" i="5"/>
  <c r="FG49" i="5"/>
  <c r="FI49" i="5"/>
  <c r="FK46" i="5"/>
  <c r="FG46" i="5"/>
  <c r="FJ46" i="5"/>
  <c r="FM46" i="5"/>
  <c r="FH46" i="5"/>
  <c r="FI46" i="5"/>
  <c r="FN46" i="5"/>
  <c r="FL46" i="5"/>
  <c r="FO46" i="5"/>
  <c r="FL32" i="5"/>
  <c r="FG32" i="5"/>
  <c r="FH32" i="5"/>
  <c r="FO32" i="5"/>
  <c r="FK32" i="5"/>
  <c r="FN32" i="5"/>
  <c r="FJ32" i="5"/>
  <c r="FM32" i="5"/>
  <c r="FI32" i="5"/>
  <c r="FN29" i="5"/>
  <c r="FJ29" i="5"/>
  <c r="FG29" i="5"/>
  <c r="FH29" i="5"/>
  <c r="FI29" i="5"/>
  <c r="FO29" i="5"/>
  <c r="FM29" i="5"/>
  <c r="FL29" i="5"/>
  <c r="FK29" i="5"/>
  <c r="FI51" i="5"/>
  <c r="FJ51" i="5"/>
  <c r="FL51" i="5"/>
  <c r="FM51" i="5"/>
  <c r="FG51" i="5"/>
  <c r="FN51" i="5"/>
  <c r="FH51" i="5"/>
  <c r="FO51" i="5"/>
  <c r="FK51" i="5"/>
  <c r="FK25" i="5"/>
  <c r="FH25" i="5"/>
  <c r="FL25" i="5"/>
  <c r="FM25" i="5"/>
  <c r="FI25" i="5"/>
  <c r="FG25" i="5"/>
  <c r="FO25" i="5"/>
  <c r="FN25" i="5"/>
  <c r="FJ25" i="5"/>
  <c r="FH38" i="5"/>
  <c r="FI38" i="5"/>
  <c r="FM38" i="5"/>
  <c r="FL38" i="5"/>
  <c r="FN38" i="5"/>
  <c r="FK38" i="5"/>
  <c r="FO38" i="5"/>
  <c r="FJ38" i="5"/>
  <c r="FG38" i="5"/>
  <c r="FN24" i="5"/>
  <c r="FO24" i="5"/>
  <c r="FH24" i="5"/>
  <c r="FK24" i="5"/>
  <c r="FI24" i="5"/>
  <c r="FM24" i="5"/>
  <c r="FG24" i="5"/>
  <c r="FL24" i="5"/>
  <c r="FJ24" i="5"/>
  <c r="FJ33" i="5"/>
  <c r="FK33" i="5"/>
  <c r="FI33" i="5"/>
  <c r="FO33" i="5"/>
  <c r="FG33" i="5"/>
  <c r="FH33" i="5"/>
  <c r="FM33" i="5"/>
  <c r="FN33" i="5"/>
  <c r="FL33" i="5"/>
  <c r="FJ48" i="5"/>
  <c r="FO48" i="5"/>
  <c r="FN48" i="5"/>
  <c r="FI48" i="5"/>
  <c r="FH48" i="5"/>
  <c r="FL48" i="5"/>
  <c r="FM48" i="5"/>
  <c r="FG48" i="5"/>
  <c r="FK48" i="5"/>
  <c r="FO43" i="5"/>
  <c r="FM43" i="5"/>
  <c r="FN43" i="5"/>
  <c r="FK43" i="5"/>
  <c r="FJ43" i="5"/>
  <c r="FI43" i="5"/>
  <c r="FH43" i="5"/>
  <c r="FL43" i="5"/>
  <c r="FG43" i="5"/>
  <c r="FG19" i="5"/>
  <c r="FO19" i="5"/>
  <c r="FM19" i="5"/>
  <c r="FK19" i="5"/>
  <c r="FH19" i="5"/>
  <c r="FN19" i="5"/>
  <c r="FI19" i="5"/>
  <c r="FL19" i="5"/>
  <c r="FJ19" i="5"/>
  <c r="DI28" i="5"/>
  <c r="DJ28" i="5"/>
  <c r="DN28" i="5"/>
  <c r="DK28" i="5"/>
  <c r="DO28" i="5"/>
  <c r="DL28" i="5"/>
  <c r="DP28" i="5"/>
  <c r="DM28" i="5"/>
  <c r="DQ28" i="5"/>
  <c r="DI21" i="5"/>
  <c r="DJ21" i="5"/>
  <c r="DN21" i="5"/>
  <c r="DK21" i="5"/>
  <c r="DO21" i="5"/>
  <c r="DL21" i="5"/>
  <c r="DP21" i="5"/>
  <c r="DM21" i="5"/>
  <c r="DQ21" i="5"/>
  <c r="DI27" i="5"/>
  <c r="DJ27" i="5"/>
  <c r="DN27" i="5"/>
  <c r="DK27" i="5"/>
  <c r="DO27" i="5"/>
  <c r="DL27" i="5"/>
  <c r="DP27" i="5"/>
  <c r="DM27" i="5"/>
  <c r="DQ27" i="5"/>
  <c r="DI47" i="5"/>
  <c r="DJ47" i="5"/>
  <c r="DN47" i="5"/>
  <c r="DK47" i="5"/>
  <c r="DL47" i="5"/>
  <c r="DP47" i="5"/>
  <c r="DM47" i="5"/>
  <c r="DO47" i="5"/>
  <c r="DQ47" i="5"/>
  <c r="DI52" i="5"/>
  <c r="DJ52" i="5"/>
  <c r="DN52" i="5"/>
  <c r="DL52" i="5"/>
  <c r="DP52" i="5"/>
  <c r="DM52" i="5"/>
  <c r="DO52" i="5"/>
  <c r="DQ52" i="5"/>
  <c r="DK52" i="5"/>
  <c r="DI22" i="5"/>
  <c r="DJ22" i="5"/>
  <c r="DN22" i="5"/>
  <c r="DK22" i="5"/>
  <c r="DO22" i="5"/>
  <c r="DL22" i="5"/>
  <c r="DP22" i="5"/>
  <c r="DM22" i="5"/>
  <c r="DQ22" i="5"/>
  <c r="EF34" i="5"/>
  <c r="EH34" i="5"/>
  <c r="EL34" i="5"/>
  <c r="EI34" i="5"/>
  <c r="EM34" i="5"/>
  <c r="EJ34" i="5"/>
  <c r="EN34" i="5"/>
  <c r="EG34" i="5"/>
  <c r="EK34" i="5"/>
  <c r="EO34" i="5"/>
  <c r="BD49" i="5"/>
  <c r="EJ44" i="5"/>
  <c r="EN44" i="5"/>
  <c r="EG44" i="5"/>
  <c r="EK44" i="5"/>
  <c r="EO44" i="5"/>
  <c r="EH44" i="5"/>
  <c r="EL44" i="5"/>
  <c r="EI44" i="5"/>
  <c r="EM44" i="5"/>
  <c r="ER39" i="5"/>
  <c r="EG39" i="5"/>
  <c r="EK39" i="5"/>
  <c r="EO39" i="5"/>
  <c r="EH39" i="5"/>
  <c r="EL39" i="5"/>
  <c r="EI39" i="5"/>
  <c r="EM39" i="5"/>
  <c r="EJ39" i="5"/>
  <c r="EN39" i="5"/>
  <c r="ED31" i="5"/>
  <c r="EG31" i="5"/>
  <c r="EK31" i="5"/>
  <c r="EO31" i="5"/>
  <c r="EH31" i="5"/>
  <c r="EL31" i="5"/>
  <c r="EI31" i="5"/>
  <c r="EM31" i="5"/>
  <c r="EN31" i="5"/>
  <c r="EJ31" i="5"/>
  <c r="DU49" i="5"/>
  <c r="EI49" i="5"/>
  <c r="EM49" i="5"/>
  <c r="EJ49" i="5"/>
  <c r="EN49" i="5"/>
  <c r="EG49" i="5"/>
  <c r="EK49" i="5"/>
  <c r="EO49" i="5"/>
  <c r="EL49" i="5"/>
  <c r="EH49" i="5"/>
  <c r="DT46" i="5"/>
  <c r="EH46" i="5"/>
  <c r="EL46" i="5"/>
  <c r="EI46" i="5"/>
  <c r="EM46" i="5"/>
  <c r="EJ46" i="5"/>
  <c r="EN46" i="5"/>
  <c r="EG46" i="5"/>
  <c r="EK46" i="5"/>
  <c r="EO46" i="5"/>
  <c r="DU32" i="5"/>
  <c r="EJ32" i="5"/>
  <c r="EN32" i="5"/>
  <c r="EG32" i="5"/>
  <c r="EK32" i="5"/>
  <c r="EO32" i="5"/>
  <c r="EH32" i="5"/>
  <c r="EL32" i="5"/>
  <c r="EI32" i="5"/>
  <c r="EM32" i="5"/>
  <c r="EE29" i="5"/>
  <c r="EI29" i="5"/>
  <c r="EM29" i="5"/>
  <c r="EJ29" i="5"/>
  <c r="EN29" i="5"/>
  <c r="EG29" i="5"/>
  <c r="EK29" i="5"/>
  <c r="EO29" i="5"/>
  <c r="EH29" i="5"/>
  <c r="EL29" i="5"/>
  <c r="DU51" i="5"/>
  <c r="EG51" i="5"/>
  <c r="EK51" i="5"/>
  <c r="EO51" i="5"/>
  <c r="EH51" i="5"/>
  <c r="EL51" i="5"/>
  <c r="EI51" i="5"/>
  <c r="EM51" i="5"/>
  <c r="EJ51" i="5"/>
  <c r="EN51" i="5"/>
  <c r="DU25" i="5"/>
  <c r="EI25" i="5"/>
  <c r="EM25" i="5"/>
  <c r="EL25" i="5"/>
  <c r="EJ25" i="5"/>
  <c r="EN25" i="5"/>
  <c r="EH25" i="5"/>
  <c r="EG25" i="5"/>
  <c r="EK25" i="5"/>
  <c r="EO25" i="5"/>
  <c r="EH38" i="5"/>
  <c r="EL38" i="5"/>
  <c r="EI38" i="5"/>
  <c r="EM38" i="5"/>
  <c r="EJ38" i="5"/>
  <c r="EN38" i="5"/>
  <c r="EO38" i="5"/>
  <c r="EG38" i="5"/>
  <c r="EK38" i="5"/>
  <c r="DU23" i="5"/>
  <c r="EG23" i="5"/>
  <c r="EK23" i="5"/>
  <c r="EO23" i="5"/>
  <c r="EH23" i="5"/>
  <c r="EL23" i="5"/>
  <c r="EJ23" i="5"/>
  <c r="EI23" i="5"/>
  <c r="EM23" i="5"/>
  <c r="EN23" i="5"/>
  <c r="DV24" i="5"/>
  <c r="EJ24" i="5"/>
  <c r="EN24" i="5"/>
  <c r="EI24" i="5"/>
  <c r="EG24" i="5"/>
  <c r="EK24" i="5"/>
  <c r="EO24" i="5"/>
  <c r="EH24" i="5"/>
  <c r="EL24" i="5"/>
  <c r="EM24" i="5"/>
  <c r="EB33" i="5"/>
  <c r="EI33" i="5"/>
  <c r="EM33" i="5"/>
  <c r="EJ33" i="5"/>
  <c r="EN33" i="5"/>
  <c r="EG33" i="5"/>
  <c r="EK33" i="5"/>
  <c r="EO33" i="5"/>
  <c r="EL33" i="5"/>
  <c r="EH33" i="5"/>
  <c r="DY48" i="5"/>
  <c r="EJ48" i="5"/>
  <c r="EN48" i="5"/>
  <c r="EG48" i="5"/>
  <c r="EK48" i="5"/>
  <c r="EO48" i="5"/>
  <c r="EH48" i="5"/>
  <c r="EL48" i="5"/>
  <c r="EI48" i="5"/>
  <c r="EM48" i="5"/>
  <c r="DX43" i="5"/>
  <c r="EG43" i="5"/>
  <c r="EK43" i="5"/>
  <c r="EO43" i="5"/>
  <c r="EH43" i="5"/>
  <c r="EL43" i="5"/>
  <c r="EI43" i="5"/>
  <c r="EM43" i="5"/>
  <c r="EJ43" i="5"/>
  <c r="EN43" i="5"/>
  <c r="EB42" i="5"/>
  <c r="EH42" i="5"/>
  <c r="EL42" i="5"/>
  <c r="EI42" i="5"/>
  <c r="EM42" i="5"/>
  <c r="EJ42" i="5"/>
  <c r="EN42" i="5"/>
  <c r="EK42" i="5"/>
  <c r="EO42" i="5"/>
  <c r="EG42" i="5"/>
  <c r="DX20" i="5"/>
  <c r="EJ20" i="5"/>
  <c r="EN20" i="5"/>
  <c r="EM20" i="5"/>
  <c r="EG20" i="5"/>
  <c r="EK20" i="5"/>
  <c r="EO20" i="5"/>
  <c r="EH20" i="5"/>
  <c r="EL20" i="5"/>
  <c r="EI20" i="5"/>
  <c r="DX26" i="5"/>
  <c r="EH26" i="5"/>
  <c r="EL26" i="5"/>
  <c r="EK26" i="5"/>
  <c r="EI26" i="5"/>
  <c r="EM26" i="5"/>
  <c r="EO26" i="5"/>
  <c r="EJ26" i="5"/>
  <c r="EN26" i="5"/>
  <c r="EG26" i="5"/>
  <c r="DS30" i="5"/>
  <c r="EH30" i="5"/>
  <c r="EL30" i="5"/>
  <c r="EI30" i="5"/>
  <c r="EM30" i="5"/>
  <c r="EJ30" i="5"/>
  <c r="EN30" i="5"/>
  <c r="EG30" i="5"/>
  <c r="EK30" i="5"/>
  <c r="EO30" i="5"/>
  <c r="EB37" i="5"/>
  <c r="EI37" i="5"/>
  <c r="EM37" i="5"/>
  <c r="EJ37" i="5"/>
  <c r="EN37" i="5"/>
  <c r="EG37" i="5"/>
  <c r="EK37" i="5"/>
  <c r="EO37" i="5"/>
  <c r="EH37" i="5"/>
  <c r="EL37" i="5"/>
  <c r="ED52" i="5"/>
  <c r="EJ52" i="5"/>
  <c r="EN52" i="5"/>
  <c r="EG52" i="5"/>
  <c r="EK52" i="5"/>
  <c r="EO52" i="5"/>
  <c r="EH52" i="5"/>
  <c r="EL52" i="5"/>
  <c r="EI52" i="5"/>
  <c r="EM52" i="5"/>
  <c r="EC35" i="5"/>
  <c r="EG35" i="5"/>
  <c r="EK35" i="5"/>
  <c r="EO35" i="5"/>
  <c r="EH35" i="5"/>
  <c r="EL35" i="5"/>
  <c r="EI35" i="5"/>
  <c r="EM35" i="5"/>
  <c r="EJ35" i="5"/>
  <c r="EN35" i="5"/>
  <c r="EY41" i="5"/>
  <c r="EI41" i="5"/>
  <c r="EM41" i="5"/>
  <c r="EJ41" i="5"/>
  <c r="EN41" i="5"/>
  <c r="EG41" i="5"/>
  <c r="EK41" i="5"/>
  <c r="EO41" i="5"/>
  <c r="EH41" i="5"/>
  <c r="EL41" i="5"/>
  <c r="EB19" i="5"/>
  <c r="EG19" i="5"/>
  <c r="EK19" i="5"/>
  <c r="EO19" i="5"/>
  <c r="EJ19" i="5"/>
  <c r="EH19" i="5"/>
  <c r="EL19" i="5"/>
  <c r="EN19" i="5"/>
  <c r="EI19" i="5"/>
  <c r="EM19" i="5"/>
  <c r="EC40" i="5"/>
  <c r="EJ40" i="5"/>
  <c r="EN40" i="5"/>
  <c r="EG40" i="5"/>
  <c r="EK40" i="5"/>
  <c r="EO40" i="5"/>
  <c r="EH40" i="5"/>
  <c r="EL40" i="5"/>
  <c r="EM40" i="5"/>
  <c r="EI40" i="5"/>
  <c r="EV36" i="5"/>
  <c r="EJ36" i="5"/>
  <c r="EN36" i="5"/>
  <c r="EG36" i="5"/>
  <c r="EK36" i="5"/>
  <c r="EO36" i="5"/>
  <c r="EH36" i="5"/>
  <c r="EL36" i="5"/>
  <c r="EI36" i="5"/>
  <c r="EM36" i="5"/>
  <c r="EC50" i="5"/>
  <c r="EH50" i="5"/>
  <c r="EL50" i="5"/>
  <c r="EI50" i="5"/>
  <c r="EM50" i="5"/>
  <c r="EJ50" i="5"/>
  <c r="EN50" i="5"/>
  <c r="EG50" i="5"/>
  <c r="EK50" i="5"/>
  <c r="EO50" i="5"/>
  <c r="EB45" i="5"/>
  <c r="EI45" i="5"/>
  <c r="EM45" i="5"/>
  <c r="EJ45" i="5"/>
  <c r="EN45" i="5"/>
  <c r="EG45" i="5"/>
  <c r="EK45" i="5"/>
  <c r="EO45" i="5"/>
  <c r="EH45" i="5"/>
  <c r="EL45" i="5"/>
  <c r="EU23" i="5"/>
  <c r="ET42" i="5"/>
  <c r="EY69" i="5"/>
  <c r="EW69" i="5"/>
  <c r="EU69" i="5"/>
  <c r="BD65" i="5"/>
  <c r="EX60" i="5"/>
  <c r="EW60" i="5"/>
  <c r="ET55" i="5"/>
  <c r="ES55" i="5"/>
  <c r="BD78" i="5"/>
  <c r="EV69" i="5"/>
  <c r="DR69" i="5"/>
  <c r="ER69" i="5"/>
  <c r="ER60" i="5"/>
  <c r="DR60" i="5"/>
  <c r="AW65" i="5"/>
  <c r="CV60" i="5" s="1"/>
  <c r="EZ60" i="5"/>
  <c r="EX55" i="5"/>
  <c r="FA55" i="5"/>
  <c r="EY73" i="5"/>
  <c r="ES73" i="5"/>
  <c r="FA69" i="5"/>
  <c r="AW74" i="5"/>
  <c r="CU69" i="5" s="1"/>
  <c r="BD74" i="5"/>
  <c r="FA60" i="5"/>
  <c r="ES60" i="5"/>
  <c r="ET60" i="5"/>
  <c r="EW55" i="5"/>
  <c r="AW60" i="5"/>
  <c r="DH55" i="5" s="1"/>
  <c r="ET73" i="5"/>
  <c r="EW73" i="5"/>
  <c r="EA55" i="5"/>
  <c r="EZ52" i="5"/>
  <c r="EW42" i="5"/>
  <c r="EV30" i="5"/>
  <c r="EV52" i="5"/>
  <c r="DR30" i="5"/>
  <c r="FA52" i="5"/>
  <c r="BD57" i="5"/>
  <c r="EW52" i="5"/>
  <c r="ES52" i="5"/>
  <c r="EV46" i="5"/>
  <c r="EX52" i="5"/>
  <c r="DR52" i="5"/>
  <c r="EY52" i="5"/>
  <c r="ET52" i="5"/>
  <c r="EU52" i="5"/>
  <c r="ER52" i="5"/>
  <c r="ET46" i="5"/>
  <c r="AW51" i="5"/>
  <c r="AW48" i="5"/>
  <c r="DD43" i="5" s="1"/>
  <c r="FE52" i="5"/>
  <c r="EX20" i="5"/>
  <c r="ES20" i="5"/>
  <c r="ER35" i="5"/>
  <c r="ET20" i="5"/>
  <c r="EW49" i="5"/>
  <c r="EU35" i="5"/>
  <c r="DX52" i="5"/>
  <c r="FE30" i="5"/>
  <c r="EX35" i="5"/>
  <c r="EZ20" i="5"/>
  <c r="AW25" i="5"/>
  <c r="EV35" i="5"/>
  <c r="BD40" i="5"/>
  <c r="EY20" i="5"/>
  <c r="DR20" i="5"/>
  <c r="DR35" i="5"/>
  <c r="ET35" i="5"/>
  <c r="EW20" i="5"/>
  <c r="EV20" i="5"/>
  <c r="ES35" i="5"/>
  <c r="FA35" i="5"/>
  <c r="EU20" i="5"/>
  <c r="ER20" i="5"/>
  <c r="FA49" i="5"/>
  <c r="EY35" i="5"/>
  <c r="EW35" i="5"/>
  <c r="FA20" i="5"/>
  <c r="BD25" i="5"/>
  <c r="EZ35" i="5"/>
  <c r="AW40" i="5"/>
  <c r="ES43" i="5"/>
  <c r="FA43" i="5"/>
  <c r="BD44" i="5"/>
  <c r="EE52" i="5"/>
  <c r="EE55" i="5"/>
  <c r="DW35" i="5"/>
  <c r="EZ73" i="5"/>
  <c r="EF52" i="5"/>
  <c r="BD48" i="5"/>
  <c r="ET43" i="5"/>
  <c r="ES77" i="5"/>
  <c r="DR43" i="5"/>
  <c r="EV43" i="5"/>
  <c r="EV49" i="5"/>
  <c r="AW44" i="5"/>
  <c r="ER25" i="5"/>
  <c r="BD80" i="5"/>
  <c r="ER43" i="5"/>
  <c r="EY43" i="5"/>
  <c r="EX43" i="5"/>
  <c r="EW43" i="5"/>
  <c r="EZ43" i="5"/>
  <c r="EU43" i="5"/>
  <c r="FC43" i="5"/>
  <c r="EV33" i="5"/>
  <c r="AW78" i="5"/>
  <c r="CZ73" i="5" s="1"/>
  <c r="DR73" i="5"/>
  <c r="EY32" i="5"/>
  <c r="FA73" i="5"/>
  <c r="EU73" i="5"/>
  <c r="FA33" i="5"/>
  <c r="ER73" i="5"/>
  <c r="EB35" i="5"/>
  <c r="ED60" i="5"/>
  <c r="FD35" i="5"/>
  <c r="AW47" i="5"/>
  <c r="EX30" i="5"/>
  <c r="ES30" i="5"/>
  <c r="DU30" i="5"/>
  <c r="EV42" i="5"/>
  <c r="ES42" i="5"/>
  <c r="BD47" i="5"/>
  <c r="AW35" i="5"/>
  <c r="EZ30" i="5"/>
  <c r="DT30" i="5"/>
  <c r="ER42" i="5"/>
  <c r="ET30" i="5"/>
  <c r="EW30" i="5"/>
  <c r="EY30" i="5"/>
  <c r="ER44" i="5"/>
  <c r="DR42" i="5"/>
  <c r="EX42" i="5"/>
  <c r="FA30" i="5"/>
  <c r="EU30" i="5"/>
  <c r="DR44" i="5"/>
  <c r="EU42" i="5"/>
  <c r="FA42" i="5"/>
  <c r="EY42" i="5"/>
  <c r="EZ42" i="5"/>
  <c r="ER30" i="5"/>
  <c r="BD35" i="5"/>
  <c r="EC57" i="5"/>
  <c r="FC30" i="5"/>
  <c r="DY52" i="5"/>
  <c r="ED46" i="5"/>
  <c r="FB30" i="5"/>
  <c r="FC69" i="5"/>
  <c r="DW30" i="5"/>
  <c r="DT69" i="5"/>
  <c r="ED30" i="5"/>
  <c r="FC52" i="5"/>
  <c r="FC55" i="5"/>
  <c r="EA69" i="5"/>
  <c r="FB60" i="5"/>
  <c r="EA35" i="5"/>
  <c r="FD60" i="5"/>
  <c r="DT32" i="5"/>
  <c r="EB55" i="5"/>
  <c r="EF30" i="5"/>
  <c r="DZ30" i="5"/>
  <c r="EC76" i="5"/>
  <c r="FD52" i="5"/>
  <c r="DV52" i="5"/>
  <c r="DT52" i="5"/>
  <c r="DZ55" i="5"/>
  <c r="DV55" i="5"/>
  <c r="FD69" i="5"/>
  <c r="EF69" i="5"/>
  <c r="BD60" i="5"/>
  <c r="EV55" i="5"/>
  <c r="ER55" i="5"/>
  <c r="FF30" i="5"/>
  <c r="DV30" i="5"/>
  <c r="DV76" i="5"/>
  <c r="DZ52" i="5"/>
  <c r="EB52" i="5"/>
  <c r="DS52" i="5"/>
  <c r="DY55" i="5"/>
  <c r="ED55" i="5"/>
  <c r="FF69" i="5"/>
  <c r="EC69" i="5"/>
  <c r="EY71" i="5"/>
  <c r="DX30" i="5"/>
  <c r="EC30" i="5"/>
  <c r="FB52" i="5"/>
  <c r="DW52" i="5"/>
  <c r="EA52" i="5"/>
  <c r="DU52" i="5"/>
  <c r="EC55" i="5"/>
  <c r="EE69" i="5"/>
  <c r="EB69" i="5"/>
  <c r="EZ76" i="5"/>
  <c r="DR55" i="5"/>
  <c r="EZ55" i="5"/>
  <c r="FD30" i="5"/>
  <c r="EB30" i="5"/>
  <c r="DY30" i="5"/>
  <c r="FF52" i="5"/>
  <c r="EC52" i="5"/>
  <c r="FF55" i="5"/>
  <c r="DW55" i="5"/>
  <c r="EC46" i="5"/>
  <c r="DU69" i="5"/>
  <c r="EE30" i="5"/>
  <c r="EA30" i="5"/>
  <c r="EA60" i="5"/>
  <c r="FB55" i="5"/>
  <c r="EF55" i="5"/>
  <c r="ED69" i="5"/>
  <c r="DS69" i="5"/>
  <c r="DU60" i="5"/>
  <c r="ES65" i="5"/>
  <c r="FA65" i="5"/>
  <c r="EX74" i="5"/>
  <c r="EX37" i="5"/>
  <c r="ES67" i="5"/>
  <c r="DX60" i="5"/>
  <c r="DS60" i="5"/>
  <c r="FF60" i="5"/>
  <c r="DV60" i="5"/>
  <c r="EE73" i="5"/>
  <c r="DZ69" i="5"/>
  <c r="FD74" i="5"/>
  <c r="EV31" i="5"/>
  <c r="DV74" i="5"/>
  <c r="EY26" i="5"/>
  <c r="DR31" i="5"/>
  <c r="DY67" i="5"/>
  <c r="EX65" i="5"/>
  <c r="BD31" i="5"/>
  <c r="EW74" i="5"/>
  <c r="DY37" i="5"/>
  <c r="DX57" i="5"/>
  <c r="FE60" i="5"/>
  <c r="DT60" i="5"/>
  <c r="EE60" i="5"/>
  <c r="EB39" i="5"/>
  <c r="FD55" i="5"/>
  <c r="DS55" i="5"/>
  <c r="DX55" i="5"/>
  <c r="DW67" i="5"/>
  <c r="DT35" i="5"/>
  <c r="FE46" i="5"/>
  <c r="FE69" i="5"/>
  <c r="DV69" i="5"/>
  <c r="DY69" i="5"/>
  <c r="EB59" i="5"/>
  <c r="EC60" i="5"/>
  <c r="DZ60" i="5"/>
  <c r="EE37" i="5"/>
  <c r="FE55" i="5"/>
  <c r="DT55" i="5"/>
  <c r="DU74" i="5"/>
  <c r="DX35" i="5"/>
  <c r="FB69" i="5"/>
  <c r="DX69" i="5"/>
  <c r="FB43" i="5"/>
  <c r="EB43" i="5"/>
  <c r="DU43" i="5"/>
  <c r="EC23" i="5"/>
  <c r="FD43" i="5"/>
  <c r="EF73" i="5"/>
  <c r="FF43" i="5"/>
  <c r="DV43" i="5"/>
  <c r="EF60" i="5"/>
  <c r="DW60" i="5"/>
  <c r="DV35" i="5"/>
  <c r="EC43" i="5"/>
  <c r="DZ43" i="5"/>
  <c r="FB33" i="5"/>
  <c r="FE35" i="5"/>
  <c r="DZ35" i="5"/>
  <c r="ED35" i="5"/>
  <c r="FD73" i="5"/>
  <c r="DS73" i="5"/>
  <c r="DW33" i="5"/>
  <c r="FB35" i="5"/>
  <c r="EE35" i="5"/>
  <c r="DY35" i="5"/>
  <c r="DY73" i="5"/>
  <c r="DT73" i="5"/>
  <c r="FF35" i="5"/>
  <c r="DU35" i="5"/>
  <c r="DS35" i="5"/>
  <c r="FE73" i="5"/>
  <c r="DZ73" i="5"/>
  <c r="FC35" i="5"/>
  <c r="EF35" i="5"/>
  <c r="FF73" i="5"/>
  <c r="DV73" i="5"/>
  <c r="EV65" i="5"/>
  <c r="AW70" i="5"/>
  <c r="EX26" i="5"/>
  <c r="DR74" i="5"/>
  <c r="FD37" i="5"/>
  <c r="EF37" i="5"/>
  <c r="FE74" i="5"/>
  <c r="FB67" i="5"/>
  <c r="DX67" i="5"/>
  <c r="FC65" i="5"/>
  <c r="DR37" i="5"/>
  <c r="BD72" i="5"/>
  <c r="FF37" i="5"/>
  <c r="EA74" i="5"/>
  <c r="DU67" i="5"/>
  <c r="DS65" i="5"/>
  <c r="EW65" i="5"/>
  <c r="EY65" i="5"/>
  <c r="AW42" i="5"/>
  <c r="ER67" i="5"/>
  <c r="DU37" i="5"/>
  <c r="DW74" i="5"/>
  <c r="EC67" i="5"/>
  <c r="FD42" i="5"/>
  <c r="EV26" i="5"/>
  <c r="EY37" i="5"/>
  <c r="FA74" i="5"/>
  <c r="ET67" i="5"/>
  <c r="DX59" i="5"/>
  <c r="DS37" i="5"/>
  <c r="EE74" i="5"/>
  <c r="EA67" i="5"/>
  <c r="ET65" i="5"/>
  <c r="DR65" i="5"/>
  <c r="EU26" i="5"/>
  <c r="AW31" i="5"/>
  <c r="ET31" i="5"/>
  <c r="FA37" i="5"/>
  <c r="EZ37" i="5"/>
  <c r="ET48" i="5"/>
  <c r="ES74" i="5"/>
  <c r="ER74" i="5"/>
  <c r="AW72" i="5"/>
  <c r="EY67" i="5"/>
  <c r="ET24" i="5"/>
  <c r="FE37" i="5"/>
  <c r="ED37" i="5"/>
  <c r="DW37" i="5"/>
  <c r="FB74" i="5"/>
  <c r="DX74" i="5"/>
  <c r="DZ74" i="5"/>
  <c r="FD67" i="5"/>
  <c r="DT67" i="5"/>
  <c r="DZ67" i="5"/>
  <c r="FB73" i="5"/>
  <c r="EC73" i="5"/>
  <c r="DX73" i="5"/>
  <c r="DZ65" i="5"/>
  <c r="EW63" i="5"/>
  <c r="EV37" i="5"/>
  <c r="ET37" i="5"/>
  <c r="AW79" i="5"/>
  <c r="BD79" i="5"/>
  <c r="EU67" i="5"/>
  <c r="FA67" i="5"/>
  <c r="EV24" i="5"/>
  <c r="FC37" i="5"/>
  <c r="DZ37" i="5"/>
  <c r="DV37" i="5"/>
  <c r="FF74" i="5"/>
  <c r="EC74" i="5"/>
  <c r="EF74" i="5"/>
  <c r="FE67" i="5"/>
  <c r="EE67" i="5"/>
  <c r="EB67" i="5"/>
  <c r="EF65" i="5"/>
  <c r="ET26" i="5"/>
  <c r="ER65" i="5"/>
  <c r="EW26" i="5"/>
  <c r="ER26" i="5"/>
  <c r="FA63" i="5"/>
  <c r="BD42" i="5"/>
  <c r="ES37" i="5"/>
  <c r="EW37" i="5"/>
  <c r="ET74" i="5"/>
  <c r="EV74" i="5"/>
  <c r="EZ74" i="5"/>
  <c r="EX67" i="5"/>
  <c r="EZ67" i="5"/>
  <c r="FB37" i="5"/>
  <c r="DT37" i="5"/>
  <c r="EA37" i="5"/>
  <c r="ED48" i="5"/>
  <c r="FC74" i="5"/>
  <c r="ED74" i="5"/>
  <c r="DY74" i="5"/>
  <c r="FC67" i="5"/>
  <c r="DS67" i="5"/>
  <c r="DV67" i="5"/>
  <c r="FC73" i="5"/>
  <c r="EB73" i="5"/>
  <c r="ED73" i="5"/>
  <c r="ES26" i="5"/>
  <c r="EZ65" i="5"/>
  <c r="EU65" i="5"/>
  <c r="BD70" i="5"/>
  <c r="BD39" i="5"/>
  <c r="FA26" i="5"/>
  <c r="EZ26" i="5"/>
  <c r="DR26" i="5"/>
  <c r="AW68" i="5"/>
  <c r="ER37" i="5"/>
  <c r="EU37" i="5"/>
  <c r="EY74" i="5"/>
  <c r="EU74" i="5"/>
  <c r="DR67" i="5"/>
  <c r="EV67" i="5"/>
  <c r="EW67" i="5"/>
  <c r="FC60" i="5"/>
  <c r="DY60" i="5"/>
  <c r="EC37" i="5"/>
  <c r="DX37" i="5"/>
  <c r="DS74" i="5"/>
  <c r="DT74" i="5"/>
  <c r="FF67" i="5"/>
  <c r="EF67" i="5"/>
  <c r="DW73" i="5"/>
  <c r="EA73" i="5"/>
  <c r="EC63" i="5"/>
  <c r="DY43" i="5"/>
  <c r="DS42" i="5"/>
  <c r="EC20" i="5"/>
  <c r="FE20" i="5"/>
  <c r="FB65" i="5"/>
  <c r="ED65" i="5"/>
  <c r="FB42" i="5"/>
  <c r="ED20" i="5"/>
  <c r="DX65" i="5"/>
  <c r="EA65" i="5"/>
  <c r="DX42" i="5"/>
  <c r="DR46" i="5"/>
  <c r="BD51" i="5"/>
  <c r="EW57" i="5"/>
  <c r="EY59" i="5"/>
  <c r="BD68" i="5"/>
  <c r="EY63" i="5"/>
  <c r="EY31" i="5"/>
  <c r="ER31" i="5"/>
  <c r="EZ49" i="5"/>
  <c r="FA76" i="5"/>
  <c r="ER71" i="5"/>
  <c r="AW37" i="5"/>
  <c r="EB46" i="5"/>
  <c r="AW83" i="5"/>
  <c r="DE78" i="5" s="1"/>
  <c r="EY34" i="5"/>
  <c r="ER46" i="5"/>
  <c r="FA46" i="5"/>
  <c r="FA59" i="5"/>
  <c r="DR63" i="5"/>
  <c r="EX63" i="5"/>
  <c r="FA31" i="5"/>
  <c r="EU31" i="5"/>
  <c r="ET49" i="5"/>
  <c r="AW54" i="5"/>
  <c r="EU32" i="5"/>
  <c r="DZ46" i="5"/>
  <c r="FB63" i="5"/>
  <c r="EB32" i="5"/>
  <c r="EE43" i="5"/>
  <c r="ED43" i="5"/>
  <c r="DW43" i="5"/>
  <c r="DT43" i="5"/>
  <c r="EF43" i="5"/>
  <c r="EF26" i="5"/>
  <c r="EZ45" i="5"/>
  <c r="ET50" i="5"/>
  <c r="DS45" i="5"/>
  <c r="DT77" i="5"/>
  <c r="FD32" i="5"/>
  <c r="ED63" i="5"/>
  <c r="DU20" i="5"/>
  <c r="DY26" i="5"/>
  <c r="EE20" i="5"/>
  <c r="DT70" i="5"/>
  <c r="FD24" i="5"/>
  <c r="EW36" i="5"/>
  <c r="EV70" i="5"/>
  <c r="FD50" i="5"/>
  <c r="AW71" i="5"/>
  <c r="DT66" i="5"/>
  <c r="DV56" i="5"/>
  <c r="ET54" i="5"/>
  <c r="EY45" i="5"/>
  <c r="ET70" i="5"/>
  <c r="ED50" i="5"/>
  <c r="FD36" i="5"/>
  <c r="EE70" i="5"/>
  <c r="EV45" i="5"/>
  <c r="EY50" i="5"/>
  <c r="ET66" i="5"/>
  <c r="EU36" i="5"/>
  <c r="EY56" i="5"/>
  <c r="EB50" i="5"/>
  <c r="EF36" i="5"/>
  <c r="FB45" i="5"/>
  <c r="EW50" i="5"/>
  <c r="ER66" i="5"/>
  <c r="EZ56" i="5"/>
  <c r="DU45" i="5"/>
  <c r="DY63" i="5"/>
  <c r="FE43" i="5"/>
  <c r="DS43" i="5"/>
  <c r="EA43" i="5"/>
  <c r="ED32" i="5"/>
  <c r="FE65" i="5"/>
  <c r="DT65" i="5"/>
  <c r="FF42" i="5"/>
  <c r="DY42" i="5"/>
  <c r="EA20" i="5"/>
  <c r="DW26" i="5"/>
  <c r="EC32" i="5"/>
  <c r="FF65" i="5"/>
  <c r="DV65" i="5"/>
  <c r="EB65" i="5"/>
  <c r="EC65" i="5"/>
  <c r="EF42" i="5"/>
  <c r="DU42" i="5"/>
  <c r="FC20" i="5"/>
  <c r="DV20" i="5"/>
  <c r="FC26" i="5"/>
  <c r="FE49" i="5"/>
  <c r="EA31" i="5"/>
  <c r="DU78" i="5"/>
  <c r="FD65" i="5"/>
  <c r="DW65" i="5"/>
  <c r="DY65" i="5"/>
  <c r="EE65" i="5"/>
  <c r="FC42" i="5"/>
  <c r="DT42" i="5"/>
  <c r="EE42" i="5"/>
  <c r="DW20" i="5"/>
  <c r="DZ20" i="5"/>
  <c r="FE26" i="5"/>
  <c r="DS26" i="5"/>
  <c r="FF71" i="5"/>
  <c r="DT44" i="5"/>
  <c r="EF49" i="5"/>
  <c r="EA44" i="5"/>
  <c r="DW31" i="5"/>
  <c r="FC49" i="5"/>
  <c r="ED49" i="5"/>
  <c r="DX71" i="5"/>
  <c r="DU31" i="5"/>
  <c r="DV71" i="5"/>
  <c r="EF31" i="5"/>
  <c r="DX75" i="5"/>
  <c r="DT49" i="5"/>
  <c r="ED71" i="5"/>
  <c r="EX62" i="5"/>
  <c r="DY62" i="5"/>
  <c r="EB41" i="5"/>
  <c r="FB41" i="5"/>
  <c r="EC36" i="5"/>
  <c r="DW36" i="5"/>
  <c r="DX36" i="5"/>
  <c r="DU36" i="5"/>
  <c r="FE36" i="5"/>
  <c r="DR36" i="5"/>
  <c r="EX36" i="5"/>
  <c r="FA36" i="5"/>
  <c r="EB36" i="5"/>
  <c r="ED36" i="5"/>
  <c r="DT36" i="5"/>
  <c r="DS36" i="5"/>
  <c r="FC36" i="5"/>
  <c r="EB66" i="5"/>
  <c r="ED66" i="5"/>
  <c r="DS66" i="5"/>
  <c r="EE66" i="5"/>
  <c r="FF66" i="5"/>
  <c r="DZ66" i="5"/>
  <c r="EA66" i="5"/>
  <c r="EC66" i="5"/>
  <c r="FB66" i="5"/>
  <c r="FE66" i="5"/>
  <c r="EE56" i="5"/>
  <c r="EB56" i="5"/>
  <c r="DU56" i="5"/>
  <c r="FD56" i="5"/>
  <c r="FF56" i="5"/>
  <c r="EV56" i="5"/>
  <c r="FA56" i="5"/>
  <c r="EX56" i="5"/>
  <c r="DZ56" i="5"/>
  <c r="DY56" i="5"/>
  <c r="DW56" i="5"/>
  <c r="FC56" i="5"/>
  <c r="AW61" i="5"/>
  <c r="ES56" i="5"/>
  <c r="EW56" i="5"/>
  <c r="FA45" i="5"/>
  <c r="BD50" i="5"/>
  <c r="AW50" i="5"/>
  <c r="EV63" i="5"/>
  <c r="EU63" i="5"/>
  <c r="ES31" i="5"/>
  <c r="FA50" i="5"/>
  <c r="ER50" i="5"/>
  <c r="EX49" i="5"/>
  <c r="ES49" i="5"/>
  <c r="EY66" i="5"/>
  <c r="FA66" i="5"/>
  <c r="EY40" i="5"/>
  <c r="AW41" i="5"/>
  <c r="EY36" i="5"/>
  <c r="DR70" i="5"/>
  <c r="EU70" i="5"/>
  <c r="ET56" i="5"/>
  <c r="ET71" i="5"/>
  <c r="EV71" i="5"/>
  <c r="EV32" i="5"/>
  <c r="DZ54" i="5"/>
  <c r="EE40" i="5"/>
  <c r="DV50" i="5"/>
  <c r="FD66" i="5"/>
  <c r="DX66" i="5"/>
  <c r="DW66" i="5"/>
  <c r="DV36" i="5"/>
  <c r="EE36" i="5"/>
  <c r="FC70" i="5"/>
  <c r="FF46" i="5"/>
  <c r="DV46" i="5"/>
  <c r="FF63" i="5"/>
  <c r="EA63" i="5"/>
  <c r="FB56" i="5"/>
  <c r="EA56" i="5"/>
  <c r="DT56" i="5"/>
  <c r="FF32" i="5"/>
  <c r="DX32" i="5"/>
  <c r="EF45" i="5"/>
  <c r="FE31" i="5"/>
  <c r="DT31" i="5"/>
  <c r="DV49" i="5"/>
  <c r="FD71" i="5"/>
  <c r="FB72" i="5"/>
  <c r="DZ72" i="5"/>
  <c r="DU50" i="5"/>
  <c r="DW50" i="5"/>
  <c r="DT50" i="5"/>
  <c r="FB50" i="5"/>
  <c r="FE50" i="5"/>
  <c r="DX50" i="5"/>
  <c r="DY50" i="5"/>
  <c r="EE50" i="5"/>
  <c r="FC50" i="5"/>
  <c r="DW45" i="5"/>
  <c r="EA45" i="5"/>
  <c r="EC45" i="5"/>
  <c r="FD45" i="5"/>
  <c r="FF45" i="5"/>
  <c r="DV45" i="5"/>
  <c r="EE45" i="5"/>
  <c r="DZ45" i="5"/>
  <c r="FE45" i="5"/>
  <c r="DZ70" i="5"/>
  <c r="DU70" i="5"/>
  <c r="DS70" i="5"/>
  <c r="EB70" i="5"/>
  <c r="FF70" i="5"/>
  <c r="BD75" i="5"/>
  <c r="AW75" i="5"/>
  <c r="EZ70" i="5"/>
  <c r="DY70" i="5"/>
  <c r="EA70" i="5"/>
  <c r="DX70" i="5"/>
  <c r="EC70" i="5"/>
  <c r="FD70" i="5"/>
  <c r="FA70" i="5"/>
  <c r="ES70" i="5"/>
  <c r="EX70" i="5"/>
  <c r="EW62" i="5"/>
  <c r="EW45" i="5"/>
  <c r="EX45" i="5"/>
  <c r="EU45" i="5"/>
  <c r="AW55" i="5"/>
  <c r="BD55" i="5"/>
  <c r="EX50" i="5"/>
  <c r="BD71" i="5"/>
  <c r="EU66" i="5"/>
  <c r="DR66" i="5"/>
  <c r="FA40" i="5"/>
  <c r="ES36" i="5"/>
  <c r="ET36" i="5"/>
  <c r="EW70" i="5"/>
  <c r="ER70" i="5"/>
  <c r="ER56" i="5"/>
  <c r="DR56" i="5"/>
  <c r="FF54" i="5"/>
  <c r="FF50" i="5"/>
  <c r="EF50" i="5"/>
  <c r="EA50" i="5"/>
  <c r="DY66" i="5"/>
  <c r="EF66" i="5"/>
  <c r="FF36" i="5"/>
  <c r="EA36" i="5"/>
  <c r="FE70" i="5"/>
  <c r="DV70" i="5"/>
  <c r="DW70" i="5"/>
  <c r="DX56" i="5"/>
  <c r="EF56" i="5"/>
  <c r="EE53" i="5"/>
  <c r="FC45" i="5"/>
  <c r="DY45" i="5"/>
  <c r="DX45" i="5"/>
  <c r="DS78" i="5"/>
  <c r="DX78" i="5"/>
  <c r="FD78" i="5"/>
  <c r="DS34" i="5"/>
  <c r="FD34" i="5"/>
  <c r="DV34" i="5"/>
  <c r="FF34" i="5"/>
  <c r="DW44" i="5"/>
  <c r="FF44" i="5"/>
  <c r="DZ44" i="5"/>
  <c r="FE57" i="5"/>
  <c r="ED57" i="5"/>
  <c r="DZ59" i="5"/>
  <c r="DW59" i="5"/>
  <c r="EE76" i="5"/>
  <c r="FD76" i="5"/>
  <c r="DZ76" i="5"/>
  <c r="DS39" i="5"/>
  <c r="FD39" i="5"/>
  <c r="EA39" i="5"/>
  <c r="FF39" i="5"/>
  <c r="DZ31" i="5"/>
  <c r="DX31" i="5"/>
  <c r="DY31" i="5"/>
  <c r="EB31" i="5"/>
  <c r="FF31" i="5"/>
  <c r="EE31" i="5"/>
  <c r="DS31" i="5"/>
  <c r="EC31" i="5"/>
  <c r="FC31" i="5"/>
  <c r="FD31" i="5"/>
  <c r="EC71" i="5"/>
  <c r="DU71" i="5"/>
  <c r="EA71" i="5"/>
  <c r="DW71" i="5"/>
  <c r="FC71" i="5"/>
  <c r="EU71" i="5"/>
  <c r="BD76" i="5"/>
  <c r="EX71" i="5"/>
  <c r="EB71" i="5"/>
  <c r="DY71" i="5"/>
  <c r="EE71" i="5"/>
  <c r="FE71" i="5"/>
  <c r="EZ71" i="5"/>
  <c r="AW76" i="5"/>
  <c r="FA71" i="5"/>
  <c r="ES71" i="5"/>
  <c r="EB49" i="5"/>
  <c r="EC49" i="5"/>
  <c r="DX49" i="5"/>
  <c r="DY49" i="5"/>
  <c r="FD49" i="5"/>
  <c r="EE49" i="5"/>
  <c r="DZ49" i="5"/>
  <c r="DS49" i="5"/>
  <c r="FF49" i="5"/>
  <c r="FB49" i="5"/>
  <c r="DU63" i="5"/>
  <c r="DS63" i="5"/>
  <c r="EB63" i="5"/>
  <c r="EE63" i="5"/>
  <c r="FD63" i="5"/>
  <c r="DZ63" i="5"/>
  <c r="EF63" i="5"/>
  <c r="DT63" i="5"/>
  <c r="DW63" i="5"/>
  <c r="FE63" i="5"/>
  <c r="DU46" i="5"/>
  <c r="EE46" i="5"/>
  <c r="EF46" i="5"/>
  <c r="FB46" i="5"/>
  <c r="FC46" i="5"/>
  <c r="EA46" i="5"/>
  <c r="DS46" i="5"/>
  <c r="DX46" i="5"/>
  <c r="FD46" i="5"/>
  <c r="DZ32" i="5"/>
  <c r="EA32" i="5"/>
  <c r="EE32" i="5"/>
  <c r="FE32" i="5"/>
  <c r="FC32" i="5"/>
  <c r="ER32" i="5"/>
  <c r="ES32" i="5"/>
  <c r="FA32" i="5"/>
  <c r="DW32" i="5"/>
  <c r="DS32" i="5"/>
  <c r="DY32" i="5"/>
  <c r="FB32" i="5"/>
  <c r="EW32" i="5"/>
  <c r="EX32" i="5"/>
  <c r="EZ32" i="5"/>
  <c r="DR32" i="5"/>
  <c r="EW78" i="5"/>
  <c r="EZ78" i="5"/>
  <c r="EZ34" i="5"/>
  <c r="EY46" i="5"/>
  <c r="EW46" i="5"/>
  <c r="ES46" i="5"/>
  <c r="ET57" i="5"/>
  <c r="AW64" i="5"/>
  <c r="EZ72" i="5"/>
  <c r="ET45" i="5"/>
  <c r="ES63" i="5"/>
  <c r="EZ31" i="5"/>
  <c r="EX31" i="5"/>
  <c r="EU50" i="5"/>
  <c r="DR50" i="5"/>
  <c r="DR49" i="5"/>
  <c r="EY49" i="5"/>
  <c r="EX66" i="5"/>
  <c r="EW41" i="5"/>
  <c r="FA78" i="5"/>
  <c r="EY78" i="5"/>
  <c r="DR34" i="5"/>
  <c r="EX46" i="5"/>
  <c r="EZ46" i="5"/>
  <c r="EU46" i="5"/>
  <c r="ES57" i="5"/>
  <c r="EZ59" i="5"/>
  <c r="BD59" i="5"/>
  <c r="EY44" i="5"/>
  <c r="ER45" i="5"/>
  <c r="ES45" i="5"/>
  <c r="DR45" i="5"/>
  <c r="EZ63" i="5"/>
  <c r="ER63" i="5"/>
  <c r="ET63" i="5"/>
  <c r="EW31" i="5"/>
  <c r="BD36" i="5"/>
  <c r="AW36" i="5"/>
  <c r="ES50" i="5"/>
  <c r="EV50" i="5"/>
  <c r="EZ50" i="5"/>
  <c r="BD54" i="5"/>
  <c r="ER49" i="5"/>
  <c r="EU49" i="5"/>
  <c r="EW66" i="5"/>
  <c r="ES66" i="5"/>
  <c r="EV66" i="5"/>
  <c r="EZ66" i="5"/>
  <c r="EW76" i="5"/>
  <c r="FA39" i="5"/>
  <c r="BD41" i="5"/>
  <c r="EZ36" i="5"/>
  <c r="ER36" i="5"/>
  <c r="EY70" i="5"/>
  <c r="EU56" i="5"/>
  <c r="BD61" i="5"/>
  <c r="EW71" i="5"/>
  <c r="DR71" i="5"/>
  <c r="BD37" i="5"/>
  <c r="ET32" i="5"/>
  <c r="DX76" i="5"/>
  <c r="EE39" i="5"/>
  <c r="DZ50" i="5"/>
  <c r="DS50" i="5"/>
  <c r="FC66" i="5"/>
  <c r="DV66" i="5"/>
  <c r="FB36" i="5"/>
  <c r="DY36" i="5"/>
  <c r="DZ36" i="5"/>
  <c r="FB70" i="5"/>
  <c r="ED70" i="5"/>
  <c r="DY46" i="5"/>
  <c r="DW46" i="5"/>
  <c r="FC63" i="5"/>
  <c r="DV63" i="5"/>
  <c r="FE56" i="5"/>
  <c r="EC56" i="5"/>
  <c r="DS56" i="5"/>
  <c r="EF32" i="5"/>
  <c r="DV32" i="5"/>
  <c r="EA78" i="5"/>
  <c r="DZ34" i="5"/>
  <c r="EE44" i="5"/>
  <c r="ED45" i="5"/>
  <c r="DT45" i="5"/>
  <c r="FB31" i="5"/>
  <c r="DV31" i="5"/>
  <c r="EA49" i="5"/>
  <c r="DW49" i="5"/>
  <c r="FB71" i="5"/>
  <c r="DZ71" i="5"/>
  <c r="EY23" i="5"/>
  <c r="DR23" i="5"/>
  <c r="FA51" i="5"/>
  <c r="ER75" i="5"/>
  <c r="EZ75" i="5"/>
  <c r="FA48" i="5"/>
  <c r="EX48" i="5"/>
  <c r="BD38" i="5"/>
  <c r="AW38" i="5"/>
  <c r="ER77" i="5"/>
  <c r="AW82" i="5"/>
  <c r="EZ24" i="5"/>
  <c r="FA24" i="5"/>
  <c r="EE23" i="5"/>
  <c r="EE48" i="5"/>
  <c r="EF33" i="5"/>
  <c r="EF77" i="5"/>
  <c r="FF75" i="5"/>
  <c r="EC75" i="5"/>
  <c r="DT71" i="5"/>
  <c r="EF71" i="5"/>
  <c r="DZ24" i="5"/>
  <c r="EV23" i="5"/>
  <c r="AW28" i="5"/>
  <c r="EY75" i="5"/>
  <c r="EU48" i="5"/>
  <c r="EZ48" i="5"/>
  <c r="EY33" i="5"/>
  <c r="EY77" i="5"/>
  <c r="EU77" i="5"/>
  <c r="AW29" i="5"/>
  <c r="EE25" i="5"/>
  <c r="FD23" i="5"/>
  <c r="DV23" i="5"/>
  <c r="EA48" i="5"/>
  <c r="DX33" i="5"/>
  <c r="FB77" i="5"/>
  <c r="EB77" i="5"/>
  <c r="FB75" i="5"/>
  <c r="DY24" i="5"/>
  <c r="EU68" i="5"/>
  <c r="ER29" i="5"/>
  <c r="EY61" i="5"/>
  <c r="EX23" i="5"/>
  <c r="ER23" i="5"/>
  <c r="EZ64" i="5"/>
  <c r="ES75" i="5"/>
  <c r="EW48" i="5"/>
  <c r="ER33" i="5"/>
  <c r="EX33" i="5"/>
  <c r="EX77" i="5"/>
  <c r="ET77" i="5"/>
  <c r="EX24" i="5"/>
  <c r="FE23" i="5"/>
  <c r="FE48" i="5"/>
  <c r="DU48" i="5"/>
  <c r="DV33" i="5"/>
  <c r="DS77" i="5"/>
  <c r="EB75" i="5"/>
  <c r="DS24" i="5"/>
  <c r="EU41" i="5"/>
  <c r="EZ53" i="5"/>
  <c r="DX41" i="5"/>
  <c r="FD19" i="5"/>
  <c r="FF62" i="5"/>
  <c r="EE19" i="5"/>
  <c r="EZ62" i="5"/>
  <c r="AW24" i="5"/>
  <c r="FA72" i="5"/>
  <c r="EB53" i="5"/>
  <c r="DW62" i="5"/>
  <c r="DR41" i="5"/>
  <c r="EW23" i="5"/>
  <c r="EZ23" i="5"/>
  <c r="BD28" i="5"/>
  <c r="AW80" i="5"/>
  <c r="FA75" i="5"/>
  <c r="DR75" i="5"/>
  <c r="BD53" i="5"/>
  <c r="DR48" i="5"/>
  <c r="ER48" i="5"/>
  <c r="EW33" i="5"/>
  <c r="EZ33" i="5"/>
  <c r="ES33" i="5"/>
  <c r="BD82" i="5"/>
  <c r="DR77" i="5"/>
  <c r="FA77" i="5"/>
  <c r="DR24" i="5"/>
  <c r="EY24" i="5"/>
  <c r="ER24" i="5"/>
  <c r="EW24" i="5"/>
  <c r="ED51" i="5"/>
  <c r="FB23" i="5"/>
  <c r="ED23" i="5"/>
  <c r="DX23" i="5"/>
  <c r="EA23" i="5"/>
  <c r="EF23" i="5"/>
  <c r="FD48" i="5"/>
  <c r="EF48" i="5"/>
  <c r="DS48" i="5"/>
  <c r="DZ48" i="5"/>
  <c r="DX48" i="5"/>
  <c r="FC33" i="5"/>
  <c r="EA33" i="5"/>
  <c r="DU33" i="5"/>
  <c r="ED33" i="5"/>
  <c r="FF77" i="5"/>
  <c r="DX77" i="5"/>
  <c r="EE77" i="5"/>
  <c r="DV77" i="5"/>
  <c r="EF72" i="5"/>
  <c r="FC75" i="5"/>
  <c r="EA75" i="5"/>
  <c r="DU75" i="5"/>
  <c r="DV75" i="5"/>
  <c r="DW75" i="5"/>
  <c r="FF24" i="5"/>
  <c r="FC24" i="5"/>
  <c r="DT24" i="5"/>
  <c r="DU24" i="5"/>
  <c r="DW24" i="5"/>
  <c r="FC23" i="5"/>
  <c r="DY23" i="5"/>
  <c r="DW23" i="5"/>
  <c r="DZ23" i="5"/>
  <c r="DS23" i="5"/>
  <c r="FF48" i="5"/>
  <c r="EB48" i="5"/>
  <c r="DV48" i="5"/>
  <c r="DW48" i="5"/>
  <c r="FE33" i="5"/>
  <c r="FF33" i="5"/>
  <c r="DY33" i="5"/>
  <c r="EE33" i="5"/>
  <c r="DZ33" i="5"/>
  <c r="FC77" i="5"/>
  <c r="FE77" i="5"/>
  <c r="DU77" i="5"/>
  <c r="DW77" i="5"/>
  <c r="EA77" i="5"/>
  <c r="FE75" i="5"/>
  <c r="ED75" i="5"/>
  <c r="DS75" i="5"/>
  <c r="EE75" i="5"/>
  <c r="EF75" i="5"/>
  <c r="FB24" i="5"/>
  <c r="ED24" i="5"/>
  <c r="EB24" i="5"/>
  <c r="DX24" i="5"/>
  <c r="EA24" i="5"/>
  <c r="FA23" i="5"/>
  <c r="ET23" i="5"/>
  <c r="ES23" i="5"/>
  <c r="EW75" i="5"/>
  <c r="EV75" i="5"/>
  <c r="ET75" i="5"/>
  <c r="EU75" i="5"/>
  <c r="ES48" i="5"/>
  <c r="EV48" i="5"/>
  <c r="AW53" i="5"/>
  <c r="EY48" i="5"/>
  <c r="ET33" i="5"/>
  <c r="DR33" i="5"/>
  <c r="EU33" i="5"/>
  <c r="EW77" i="5"/>
  <c r="EV77" i="5"/>
  <c r="EZ77" i="5"/>
  <c r="EU24" i="5"/>
  <c r="ES24" i="5"/>
  <c r="BD29" i="5"/>
  <c r="FF23" i="5"/>
  <c r="DT23" i="5"/>
  <c r="EB23" i="5"/>
  <c r="FC48" i="5"/>
  <c r="FB48" i="5"/>
  <c r="EC48" i="5"/>
  <c r="DT48" i="5"/>
  <c r="FD33" i="5"/>
  <c r="DS33" i="5"/>
  <c r="DT33" i="5"/>
  <c r="EC33" i="5"/>
  <c r="FD77" i="5"/>
  <c r="DY77" i="5"/>
  <c r="DZ77" i="5"/>
  <c r="ED77" i="5"/>
  <c r="FD75" i="5"/>
  <c r="DZ75" i="5"/>
  <c r="DY75" i="5"/>
  <c r="FE24" i="5"/>
  <c r="EF24" i="5"/>
  <c r="EE24" i="5"/>
  <c r="EC24" i="5"/>
  <c r="EA53" i="5"/>
  <c r="DT53" i="5"/>
  <c r="ED53" i="5"/>
  <c r="FE53" i="5"/>
  <c r="EC53" i="5"/>
  <c r="DU53" i="5"/>
  <c r="DS53" i="5"/>
  <c r="FF53" i="5"/>
  <c r="AW58" i="5"/>
  <c r="EX53" i="5"/>
  <c r="BD58" i="5"/>
  <c r="EW53" i="5"/>
  <c r="DS62" i="5"/>
  <c r="EA62" i="5"/>
  <c r="DX62" i="5"/>
  <c r="ED62" i="5"/>
  <c r="FC62" i="5"/>
  <c r="DZ62" i="5"/>
  <c r="EB62" i="5"/>
  <c r="FB62" i="5"/>
  <c r="BD67" i="5"/>
  <c r="EU62" i="5"/>
  <c r="ET62" i="5"/>
  <c r="FA62" i="5"/>
  <c r="DS72" i="5"/>
  <c r="DX72" i="5"/>
  <c r="DW72" i="5"/>
  <c r="FE72" i="5"/>
  <c r="EV72" i="5"/>
  <c r="EX72" i="5"/>
  <c r="EY72" i="5"/>
  <c r="ET72" i="5"/>
  <c r="DU72" i="5"/>
  <c r="DV72" i="5"/>
  <c r="EA72" i="5"/>
  <c r="FC72" i="5"/>
  <c r="AW77" i="5"/>
  <c r="ER72" i="5"/>
  <c r="DT41" i="5"/>
  <c r="DZ41" i="5"/>
  <c r="DS41" i="5"/>
  <c r="FE41" i="5"/>
  <c r="FD41" i="5"/>
  <c r="EF41" i="5"/>
  <c r="EA41" i="5"/>
  <c r="DY41" i="5"/>
  <c r="DU19" i="5"/>
  <c r="EA19" i="5"/>
  <c r="DZ19" i="5"/>
  <c r="DX19" i="5"/>
  <c r="FF19" i="5"/>
  <c r="ED19" i="5"/>
  <c r="EF19" i="5"/>
  <c r="FB19" i="5"/>
  <c r="EE54" i="5"/>
  <c r="EB54" i="5"/>
  <c r="DY54" i="5"/>
  <c r="EA54" i="5"/>
  <c r="FD54" i="5"/>
  <c r="EF54" i="5"/>
  <c r="EC54" i="5"/>
  <c r="DS54" i="5"/>
  <c r="FE54" i="5"/>
  <c r="EZ54" i="5"/>
  <c r="ER54" i="5"/>
  <c r="FA54" i="5"/>
  <c r="EV54" i="5"/>
  <c r="DT40" i="5"/>
  <c r="DV40" i="5"/>
  <c r="DX40" i="5"/>
  <c r="FD40" i="5"/>
  <c r="FB40" i="5"/>
  <c r="EZ40" i="5"/>
  <c r="ER40" i="5"/>
  <c r="EW40" i="5"/>
  <c r="DU40" i="5"/>
  <c r="EB40" i="5"/>
  <c r="DW40" i="5"/>
  <c r="FC40" i="5"/>
  <c r="EU40" i="5"/>
  <c r="EX40" i="5"/>
  <c r="ES41" i="5"/>
  <c r="ET41" i="5"/>
  <c r="EV41" i="5"/>
  <c r="EU53" i="5"/>
  <c r="EY53" i="5"/>
  <c r="ES62" i="5"/>
  <c r="EY62" i="5"/>
  <c r="ES54" i="5"/>
  <c r="EY54" i="5"/>
  <c r="EW72" i="5"/>
  <c r="BD77" i="5"/>
  <c r="AW45" i="5"/>
  <c r="DR40" i="5"/>
  <c r="FC41" i="5"/>
  <c r="DU41" i="5"/>
  <c r="DW41" i="5"/>
  <c r="FC19" i="5"/>
  <c r="DW19" i="5"/>
  <c r="DS19" i="5"/>
  <c r="FB54" i="5"/>
  <c r="DT54" i="5"/>
  <c r="DX54" i="5"/>
  <c r="FE40" i="5"/>
  <c r="DS40" i="5"/>
  <c r="EA40" i="5"/>
  <c r="FB53" i="5"/>
  <c r="DY53" i="5"/>
  <c r="DZ53" i="5"/>
  <c r="DV62" i="5"/>
  <c r="EE62" i="5"/>
  <c r="FF72" i="5"/>
  <c r="EB72" i="5"/>
  <c r="DT72" i="5"/>
  <c r="EF78" i="5"/>
  <c r="ED78" i="5"/>
  <c r="DV78" i="5"/>
  <c r="FC78" i="5"/>
  <c r="FE78" i="5"/>
  <c r="EE78" i="5"/>
  <c r="DT78" i="5"/>
  <c r="EB78" i="5"/>
  <c r="ES78" i="5"/>
  <c r="ER78" i="5"/>
  <c r="ET78" i="5"/>
  <c r="DU34" i="5"/>
  <c r="DY34" i="5"/>
  <c r="ED34" i="5"/>
  <c r="FE34" i="5"/>
  <c r="FB34" i="5"/>
  <c r="EE34" i="5"/>
  <c r="DX34" i="5"/>
  <c r="EA34" i="5"/>
  <c r="FC34" i="5"/>
  <c r="ER34" i="5"/>
  <c r="EV34" i="5"/>
  <c r="EX34" i="5"/>
  <c r="DU44" i="5"/>
  <c r="EF44" i="5"/>
  <c r="DY44" i="5"/>
  <c r="FB44" i="5"/>
  <c r="FE44" i="5"/>
  <c r="EZ44" i="5"/>
  <c r="EW44" i="5"/>
  <c r="ET44" i="5"/>
  <c r="DX44" i="5"/>
  <c r="ED44" i="5"/>
  <c r="FC44" i="5"/>
  <c r="EU44" i="5"/>
  <c r="ES44" i="5"/>
  <c r="EV44" i="5"/>
  <c r="EE57" i="5"/>
  <c r="EB57" i="5"/>
  <c r="EF57" i="5"/>
  <c r="DT57" i="5"/>
  <c r="FB57" i="5"/>
  <c r="DV57" i="5"/>
  <c r="DU57" i="5"/>
  <c r="DZ57" i="5"/>
  <c r="FF57" i="5"/>
  <c r="DR57" i="5"/>
  <c r="EU57" i="5"/>
  <c r="EZ57" i="5"/>
  <c r="EF59" i="5"/>
  <c r="DY59" i="5"/>
  <c r="DV59" i="5"/>
  <c r="FF59" i="5"/>
  <c r="FC59" i="5"/>
  <c r="DU59" i="5"/>
  <c r="EE59" i="5"/>
  <c r="FB59" i="5"/>
  <c r="EV59" i="5"/>
  <c r="BD64" i="5"/>
  <c r="EX59" i="5"/>
  <c r="EU59" i="5"/>
  <c r="EA76" i="5"/>
  <c r="DU76" i="5"/>
  <c r="EF76" i="5"/>
  <c r="FB76" i="5"/>
  <c r="EY76" i="5"/>
  <c r="ET76" i="5"/>
  <c r="ER76" i="5"/>
  <c r="DT76" i="5"/>
  <c r="DW76" i="5"/>
  <c r="FE76" i="5"/>
  <c r="EV76" i="5"/>
  <c r="AW81" i="5"/>
  <c r="EC39" i="5"/>
  <c r="ED39" i="5"/>
  <c r="DU39" i="5"/>
  <c r="DT39" i="5"/>
  <c r="FE39" i="5"/>
  <c r="EZ39" i="5"/>
  <c r="EV39" i="5"/>
  <c r="DR39" i="5"/>
  <c r="EF39" i="5"/>
  <c r="DY39" i="5"/>
  <c r="FC39" i="5"/>
  <c r="EY39" i="5"/>
  <c r="EW39" i="5"/>
  <c r="ES39" i="5"/>
  <c r="FA41" i="5"/>
  <c r="BD46" i="5"/>
  <c r="AW46" i="5"/>
  <c r="FA53" i="5"/>
  <c r="ER53" i="5"/>
  <c r="DR78" i="5"/>
  <c r="EV78" i="5"/>
  <c r="AW67" i="5"/>
  <c r="EV62" i="5"/>
  <c r="ES34" i="5"/>
  <c r="EW34" i="5"/>
  <c r="AW39" i="5"/>
  <c r="EY57" i="5"/>
  <c r="EV57" i="5"/>
  <c r="ET59" i="5"/>
  <c r="DR59" i="5"/>
  <c r="ES59" i="5"/>
  <c r="EW54" i="5"/>
  <c r="DR54" i="5"/>
  <c r="EU54" i="5"/>
  <c r="ES72" i="5"/>
  <c r="EU72" i="5"/>
  <c r="FA44" i="5"/>
  <c r="EX76" i="5"/>
  <c r="DR76" i="5"/>
  <c r="ES40" i="5"/>
  <c r="EV40" i="5"/>
  <c r="EU39" i="5"/>
  <c r="ET39" i="5"/>
  <c r="EC41" i="5"/>
  <c r="EE41" i="5"/>
  <c r="FC57" i="5"/>
  <c r="DY57" i="5"/>
  <c r="DW57" i="5"/>
  <c r="FE19" i="5"/>
  <c r="DY19" i="5"/>
  <c r="DV19" i="5"/>
  <c r="FE59" i="5"/>
  <c r="EA59" i="5"/>
  <c r="EC59" i="5"/>
  <c r="FC54" i="5"/>
  <c r="DV54" i="5"/>
  <c r="FC76" i="5"/>
  <c r="DY76" i="5"/>
  <c r="EB76" i="5"/>
  <c r="FF40" i="5"/>
  <c r="EF40" i="5"/>
  <c r="DY40" i="5"/>
  <c r="DV39" i="5"/>
  <c r="DZ39" i="5"/>
  <c r="FD53" i="5"/>
  <c r="DW53" i="5"/>
  <c r="DV53" i="5"/>
  <c r="FF78" i="5"/>
  <c r="DY78" i="5"/>
  <c r="DZ78" i="5"/>
  <c r="FE62" i="5"/>
  <c r="DT62" i="5"/>
  <c r="EF62" i="5"/>
  <c r="EB34" i="5"/>
  <c r="EC34" i="5"/>
  <c r="FD72" i="5"/>
  <c r="EC72" i="5"/>
  <c r="ED72" i="5"/>
  <c r="EB44" i="5"/>
  <c r="DV44" i="5"/>
  <c r="EZ41" i="5"/>
  <c r="ER41" i="5"/>
  <c r="EX41" i="5"/>
  <c r="EV53" i="5"/>
  <c r="DR53" i="5"/>
  <c r="ET53" i="5"/>
  <c r="EX78" i="5"/>
  <c r="BD83" i="5"/>
  <c r="DR62" i="5"/>
  <c r="ER62" i="5"/>
  <c r="ET34" i="5"/>
  <c r="EU34" i="5"/>
  <c r="FA34" i="5"/>
  <c r="ER57" i="5"/>
  <c r="FA57" i="5"/>
  <c r="AW62" i="5"/>
  <c r="DR19" i="5"/>
  <c r="EW59" i="5"/>
  <c r="ER59" i="5"/>
  <c r="AW59" i="5"/>
  <c r="EX54" i="5"/>
  <c r="DR72" i="5"/>
  <c r="EX44" i="5"/>
  <c r="AW49" i="5"/>
  <c r="BD81" i="5"/>
  <c r="ES76" i="5"/>
  <c r="BD45" i="5"/>
  <c r="ET40" i="5"/>
  <c r="EX39" i="5"/>
  <c r="FF41" i="5"/>
  <c r="DV41" i="5"/>
  <c r="ED41" i="5"/>
  <c r="FD57" i="5"/>
  <c r="DS57" i="5"/>
  <c r="EA57" i="5"/>
  <c r="DT19" i="5"/>
  <c r="EC19" i="5"/>
  <c r="FD59" i="5"/>
  <c r="DT59" i="5"/>
  <c r="ED59" i="5"/>
  <c r="ED54" i="5"/>
  <c r="DW54" i="5"/>
  <c r="FF76" i="5"/>
  <c r="ED76" i="5"/>
  <c r="DS76" i="5"/>
  <c r="DZ40" i="5"/>
  <c r="ED40" i="5"/>
  <c r="FB39" i="5"/>
  <c r="DW39" i="5"/>
  <c r="DX39" i="5"/>
  <c r="FC53" i="5"/>
  <c r="DX53" i="5"/>
  <c r="EF53" i="5"/>
  <c r="DW78" i="5"/>
  <c r="EC78" i="5"/>
  <c r="FD62" i="5"/>
  <c r="EC62" i="5"/>
  <c r="DU62" i="5"/>
  <c r="DW34" i="5"/>
  <c r="DT34" i="5"/>
  <c r="DY72" i="5"/>
  <c r="EE72" i="5"/>
  <c r="FD44" i="5"/>
  <c r="DS44" i="5"/>
  <c r="EC44" i="5"/>
  <c r="ED38" i="5"/>
  <c r="FD38" i="5"/>
  <c r="BD43" i="5"/>
  <c r="EC29" i="5"/>
  <c r="DZ61" i="5"/>
  <c r="ED26" i="5"/>
  <c r="DT26" i="5"/>
  <c r="EA68" i="5"/>
  <c r="FB64" i="5"/>
  <c r="EB26" i="5"/>
  <c r="EA26" i="5"/>
  <c r="EW51" i="5"/>
  <c r="ES25" i="5"/>
  <c r="EB51" i="5"/>
  <c r="EC25" i="5"/>
  <c r="DV38" i="5"/>
  <c r="FD68" i="5"/>
  <c r="DV29" i="5"/>
  <c r="EC61" i="5"/>
  <c r="EF64" i="5"/>
  <c r="ER68" i="5"/>
  <c r="EZ29" i="5"/>
  <c r="ES68" i="5"/>
  <c r="ET29" i="5"/>
  <c r="EX61" i="5"/>
  <c r="EV51" i="5"/>
  <c r="EV25" i="5"/>
  <c r="ER64" i="5"/>
  <c r="AW43" i="5"/>
  <c r="FC51" i="5"/>
  <c r="DZ51" i="5"/>
  <c r="EB25" i="5"/>
  <c r="DT38" i="5"/>
  <c r="EE68" i="5"/>
  <c r="FF29" i="5"/>
  <c r="FC61" i="5"/>
  <c r="EB61" i="5"/>
  <c r="DS64" i="5"/>
  <c r="EZ68" i="5"/>
  <c r="ES29" i="5"/>
  <c r="ET61" i="5"/>
  <c r="FA25" i="5"/>
  <c r="ES64" i="5"/>
  <c r="FA38" i="5"/>
  <c r="DW51" i="5"/>
  <c r="FE25" i="5"/>
  <c r="DW25" i="5"/>
  <c r="DX38" i="5"/>
  <c r="EB68" i="5"/>
  <c r="DT29" i="5"/>
  <c r="FB61" i="5"/>
  <c r="FF64" i="5"/>
  <c r="DZ64" i="5"/>
  <c r="FC38" i="5"/>
  <c r="ET68" i="5"/>
  <c r="FA68" i="5"/>
  <c r="EY29" i="5"/>
  <c r="ER61" i="5"/>
  <c r="EZ61" i="5"/>
  <c r="EV61" i="5"/>
  <c r="EU51" i="5"/>
  <c r="ES51" i="5"/>
  <c r="AW56" i="5"/>
  <c r="ET51" i="5"/>
  <c r="EX25" i="5"/>
  <c r="BD30" i="5"/>
  <c r="DR25" i="5"/>
  <c r="EU64" i="5"/>
  <c r="DR64" i="5"/>
  <c r="AW69" i="5"/>
  <c r="EW38" i="5"/>
  <c r="EY38" i="5"/>
  <c r="DS51" i="5"/>
  <c r="DT25" i="5"/>
  <c r="EF25" i="5"/>
  <c r="DZ25" i="5"/>
  <c r="FE38" i="5"/>
  <c r="EC38" i="5"/>
  <c r="DS38" i="5"/>
  <c r="EB38" i="5"/>
  <c r="FE68" i="5"/>
  <c r="ED68" i="5"/>
  <c r="DZ68" i="5"/>
  <c r="DT68" i="5"/>
  <c r="FC29" i="5"/>
  <c r="FD29" i="5"/>
  <c r="ED29" i="5"/>
  <c r="EA29" i="5"/>
  <c r="DX29" i="5"/>
  <c r="FF61" i="5"/>
  <c r="DS61" i="5"/>
  <c r="EF61" i="5"/>
  <c r="DT61" i="5"/>
  <c r="DY61" i="5"/>
  <c r="FC64" i="5"/>
  <c r="ED64" i="5"/>
  <c r="DY64" i="5"/>
  <c r="DV64" i="5"/>
  <c r="DX64" i="5"/>
  <c r="EV68" i="5"/>
  <c r="BD73" i="5"/>
  <c r="EX68" i="5"/>
  <c r="EV29" i="5"/>
  <c r="EU29" i="5"/>
  <c r="AW34" i="5"/>
  <c r="EW61" i="5"/>
  <c r="ES61" i="5"/>
  <c r="FA61" i="5"/>
  <c r="EY51" i="5"/>
  <c r="EZ51" i="5"/>
  <c r="BD56" i="5"/>
  <c r="EZ25" i="5"/>
  <c r="EY25" i="5"/>
  <c r="EW25" i="5"/>
  <c r="EX64" i="5"/>
  <c r="EW64" i="5"/>
  <c r="ET64" i="5"/>
  <c r="ET38" i="5"/>
  <c r="EU38" i="5"/>
  <c r="ES38" i="5"/>
  <c r="FD51" i="5"/>
  <c r="EC51" i="5"/>
  <c r="EF51" i="5"/>
  <c r="EE51" i="5"/>
  <c r="FC25" i="5"/>
  <c r="FB25" i="5"/>
  <c r="DV25" i="5"/>
  <c r="DS25" i="5"/>
  <c r="ED25" i="5"/>
  <c r="FF38" i="5"/>
  <c r="EF38" i="5"/>
  <c r="DY38" i="5"/>
  <c r="EE38" i="5"/>
  <c r="DW38" i="5"/>
  <c r="FB68" i="5"/>
  <c r="EC68" i="5"/>
  <c r="DX68" i="5"/>
  <c r="DW68" i="5"/>
  <c r="DU68" i="5"/>
  <c r="FE29" i="5"/>
  <c r="EF29" i="5"/>
  <c r="DY29" i="5"/>
  <c r="DW29" i="5"/>
  <c r="DU29" i="5"/>
  <c r="FE42" i="5"/>
  <c r="DW42" i="5"/>
  <c r="EA42" i="5"/>
  <c r="DV42" i="5"/>
  <c r="DZ42" i="5"/>
  <c r="FD61" i="5"/>
  <c r="EA61" i="5"/>
  <c r="DX61" i="5"/>
  <c r="DV61" i="5"/>
  <c r="DW61" i="5"/>
  <c r="FF20" i="5"/>
  <c r="DS20" i="5"/>
  <c r="EF20" i="5"/>
  <c r="DT20" i="5"/>
  <c r="FE64" i="5"/>
  <c r="EB64" i="5"/>
  <c r="EE64" i="5"/>
  <c r="EC64" i="5"/>
  <c r="DW64" i="5"/>
  <c r="FF26" i="5"/>
  <c r="EC26" i="5"/>
  <c r="DV26" i="5"/>
  <c r="EE26" i="5"/>
  <c r="EY68" i="5"/>
  <c r="BD34" i="5"/>
  <c r="FA29" i="5"/>
  <c r="EU61" i="5"/>
  <c r="AS172" i="5"/>
  <c r="AS173" i="5" s="1"/>
  <c r="AS20" i="5" s="1"/>
  <c r="ER38" i="5"/>
  <c r="EX38" i="5"/>
  <c r="FE51" i="5"/>
  <c r="DT51" i="5"/>
  <c r="DV51" i="5"/>
  <c r="DY51" i="5"/>
  <c r="FD25" i="5"/>
  <c r="FC68" i="5"/>
  <c r="AW73" i="5"/>
  <c r="DR68" i="5"/>
  <c r="EW68" i="5"/>
  <c r="EX29" i="5"/>
  <c r="DR29" i="5"/>
  <c r="EW29" i="5"/>
  <c r="BD66" i="5"/>
  <c r="DR61" i="5"/>
  <c r="AW66" i="5"/>
  <c r="EX51" i="5"/>
  <c r="ER51" i="5"/>
  <c r="DR51" i="5"/>
  <c r="ET25" i="5"/>
  <c r="EU25" i="5"/>
  <c r="AW30" i="5"/>
  <c r="EV64" i="5"/>
  <c r="BD69" i="5"/>
  <c r="FA64" i="5"/>
  <c r="EY64" i="5"/>
  <c r="DR38" i="5"/>
  <c r="EV38" i="5"/>
  <c r="EZ38" i="5"/>
  <c r="FB51" i="5"/>
  <c r="FF51" i="5"/>
  <c r="DX51" i="5"/>
  <c r="EA51" i="5"/>
  <c r="FF25" i="5"/>
  <c r="DX25" i="5"/>
  <c r="DY25" i="5"/>
  <c r="EA25" i="5"/>
  <c r="FB38" i="5"/>
  <c r="EA38" i="5"/>
  <c r="DU38" i="5"/>
  <c r="DZ38" i="5"/>
  <c r="FF68" i="5"/>
  <c r="DS68" i="5"/>
  <c r="EF68" i="5"/>
  <c r="DY68" i="5"/>
  <c r="FB29" i="5"/>
  <c r="DZ29" i="5"/>
  <c r="DS29" i="5"/>
  <c r="EB29" i="5"/>
  <c r="ED42" i="5"/>
  <c r="EC42" i="5"/>
  <c r="FE61" i="5"/>
  <c r="DU61" i="5"/>
  <c r="EE61" i="5"/>
  <c r="FB20" i="5"/>
  <c r="FD20" i="5"/>
  <c r="EB20" i="5"/>
  <c r="DY20" i="5"/>
  <c r="FD64" i="5"/>
  <c r="EA64" i="5"/>
  <c r="DU64" i="5"/>
  <c r="FD26" i="5"/>
  <c r="FB26" i="5"/>
  <c r="DU26" i="5"/>
  <c r="DZ26" i="5"/>
  <c r="DF81" i="5"/>
  <c r="DE81" i="5"/>
  <c r="DG81" i="5"/>
  <c r="DD81" i="5"/>
  <c r="DH81" i="5"/>
  <c r="DF21" i="5"/>
  <c r="DE21" i="5"/>
  <c r="DG21" i="5"/>
  <c r="DH21" i="5"/>
  <c r="DD21" i="5"/>
  <c r="DD79" i="5"/>
  <c r="DG79" i="5"/>
  <c r="DH79" i="5"/>
  <c r="DE79" i="5"/>
  <c r="DF79" i="5"/>
  <c r="DD47" i="5"/>
  <c r="DG47" i="5"/>
  <c r="DH47" i="5"/>
  <c r="DE47" i="5"/>
  <c r="DF47" i="5"/>
  <c r="DD83" i="5"/>
  <c r="DG83" i="5"/>
  <c r="DE83" i="5"/>
  <c r="DH83" i="5"/>
  <c r="DF83" i="5"/>
  <c r="DE58" i="5"/>
  <c r="DH58" i="5"/>
  <c r="DG58" i="5"/>
  <c r="DD58" i="5"/>
  <c r="DF58" i="5"/>
  <c r="DG80" i="5"/>
  <c r="DF80" i="5"/>
  <c r="DH80" i="5"/>
  <c r="DD80" i="5"/>
  <c r="DE80" i="5"/>
  <c r="DG52" i="5"/>
  <c r="DF52" i="5"/>
  <c r="DH52" i="5"/>
  <c r="DD52" i="5"/>
  <c r="DE52" i="5"/>
  <c r="DG28" i="5"/>
  <c r="DF28" i="5"/>
  <c r="DD28" i="5"/>
  <c r="DH28" i="5"/>
  <c r="DE28" i="5"/>
  <c r="DD27" i="5"/>
  <c r="DG27" i="5"/>
  <c r="DH27" i="5"/>
  <c r="DE27" i="5"/>
  <c r="DF27" i="5"/>
  <c r="DE22" i="5"/>
  <c r="DD22" i="5"/>
  <c r="DF22" i="5"/>
  <c r="DH22" i="5"/>
  <c r="DG22" i="5"/>
  <c r="DE82" i="5"/>
  <c r="DD82" i="5"/>
  <c r="DF82" i="5"/>
  <c r="DG82" i="5"/>
  <c r="DH82" i="5"/>
  <c r="AX86" i="5"/>
  <c r="CV81" i="5"/>
  <c r="CY81" i="5"/>
  <c r="DA81" i="5"/>
  <c r="CU81" i="5"/>
  <c r="DC81" i="5"/>
  <c r="CW81" i="5"/>
  <c r="CX81" i="5"/>
  <c r="CZ81" i="5"/>
  <c r="DB81" i="5"/>
  <c r="DC21" i="5"/>
  <c r="DA21" i="5"/>
  <c r="CX21" i="5"/>
  <c r="DB21" i="5"/>
  <c r="CU21" i="5"/>
  <c r="AX26" i="5"/>
  <c r="CW21" i="5"/>
  <c r="CZ21" i="5"/>
  <c r="CY21" i="5"/>
  <c r="CV21" i="5"/>
  <c r="DB79" i="5"/>
  <c r="CV79" i="5"/>
  <c r="CW79" i="5"/>
  <c r="CZ79" i="5"/>
  <c r="CU79" i="5"/>
  <c r="CY79" i="5"/>
  <c r="CX79" i="5"/>
  <c r="DA79" i="5"/>
  <c r="AX84" i="5"/>
  <c r="DC79" i="5"/>
  <c r="CW47" i="5"/>
  <c r="CZ47" i="5"/>
  <c r="CX47" i="5"/>
  <c r="DC47" i="5"/>
  <c r="DB47" i="5"/>
  <c r="CV47" i="5"/>
  <c r="CY47" i="5"/>
  <c r="CU47" i="5"/>
  <c r="AX52" i="5"/>
  <c r="DA47" i="5"/>
  <c r="CV83" i="5"/>
  <c r="CW83" i="5"/>
  <c r="DC83" i="5"/>
  <c r="DB83" i="5"/>
  <c r="DA83" i="5"/>
  <c r="CY83" i="5"/>
  <c r="CZ83" i="5"/>
  <c r="CX83" i="5"/>
  <c r="AX88" i="5"/>
  <c r="CU83" i="5"/>
  <c r="CU58" i="5"/>
  <c r="AX63" i="5"/>
  <c r="CV58" i="5"/>
  <c r="CZ58" i="5"/>
  <c r="DC58" i="5"/>
  <c r="DB58" i="5"/>
  <c r="CX58" i="5"/>
  <c r="CW58" i="5"/>
  <c r="CY58" i="5"/>
  <c r="DA58" i="5"/>
  <c r="CZ80" i="5"/>
  <c r="CW80" i="5"/>
  <c r="CU80" i="5"/>
  <c r="DA80" i="5"/>
  <c r="CY80" i="5"/>
  <c r="DC80" i="5"/>
  <c r="AX85" i="5"/>
  <c r="CX80" i="5"/>
  <c r="CV80" i="5"/>
  <c r="DB80" i="5"/>
  <c r="CW73" i="5"/>
  <c r="CZ22" i="5"/>
  <c r="DB22" i="5"/>
  <c r="CY22" i="5"/>
  <c r="AX27" i="5"/>
  <c r="CU22" i="5"/>
  <c r="CV22" i="5"/>
  <c r="DA22" i="5"/>
  <c r="CW22" i="5"/>
  <c r="DC22" i="5"/>
  <c r="CX22" i="5"/>
  <c r="DB82" i="5"/>
  <c r="CV82" i="5"/>
  <c r="CZ82" i="5"/>
  <c r="CU82" i="5"/>
  <c r="CX82" i="5"/>
  <c r="CY82" i="5"/>
  <c r="AX87" i="5"/>
  <c r="DA82" i="5"/>
  <c r="CW82" i="5"/>
  <c r="DC82" i="5"/>
  <c r="CW52" i="5"/>
  <c r="CY52" i="5"/>
  <c r="CX52" i="5"/>
  <c r="CU52" i="5"/>
  <c r="AX57" i="5"/>
  <c r="DC52" i="5"/>
  <c r="CV52" i="5"/>
  <c r="CZ52" i="5"/>
  <c r="DB52" i="5"/>
  <c r="DA52" i="5"/>
  <c r="CZ28" i="5"/>
  <c r="CV28" i="5"/>
  <c r="DC28" i="5"/>
  <c r="CX28" i="5"/>
  <c r="DA28" i="5"/>
  <c r="AX33" i="5"/>
  <c r="CY28" i="5"/>
  <c r="CW28" i="5"/>
  <c r="DB28" i="5"/>
  <c r="CU28" i="5"/>
  <c r="CX27" i="5"/>
  <c r="DC27" i="5"/>
  <c r="CU27" i="5"/>
  <c r="DA27" i="5"/>
  <c r="CV27" i="5"/>
  <c r="CW27" i="5"/>
  <c r="CZ27" i="5"/>
  <c r="CY27" i="5"/>
  <c r="DB27" i="5"/>
  <c r="AX32" i="5"/>
  <c r="CW55" i="5" l="1"/>
  <c r="CV55" i="5"/>
  <c r="CZ55" i="5"/>
  <c r="DF73" i="5"/>
  <c r="DC60" i="5"/>
  <c r="DH60" i="5"/>
  <c r="DB60" i="5"/>
  <c r="DG60" i="5"/>
  <c r="AX65" i="5"/>
  <c r="DD60" i="5"/>
  <c r="CY60" i="5"/>
  <c r="DI75" i="5"/>
  <c r="DK75" i="5"/>
  <c r="DL75" i="5"/>
  <c r="DJ75" i="5"/>
  <c r="DP75" i="5"/>
  <c r="DM75" i="5"/>
  <c r="DO75" i="5"/>
  <c r="DN75" i="5"/>
  <c r="DQ75" i="5"/>
  <c r="DI66" i="5"/>
  <c r="DN66" i="5"/>
  <c r="DP66" i="5"/>
  <c r="DQ66" i="5"/>
  <c r="DO66" i="5"/>
  <c r="DM66" i="5"/>
  <c r="DK66" i="5"/>
  <c r="DJ66" i="5"/>
  <c r="DL66" i="5"/>
  <c r="DI55" i="5"/>
  <c r="DP55" i="5"/>
  <c r="DK55" i="5"/>
  <c r="DN55" i="5"/>
  <c r="DO55" i="5"/>
  <c r="DJ55" i="5"/>
  <c r="DM55" i="5"/>
  <c r="DL55" i="5"/>
  <c r="DQ55" i="5"/>
  <c r="DI54" i="5"/>
  <c r="DP54" i="5"/>
  <c r="DK54" i="5"/>
  <c r="DN54" i="5"/>
  <c r="DO54" i="5"/>
  <c r="DJ54" i="5"/>
  <c r="DM54" i="5"/>
  <c r="DL54" i="5"/>
  <c r="DQ54" i="5"/>
  <c r="DI57" i="5"/>
  <c r="DP57" i="5"/>
  <c r="DK57" i="5"/>
  <c r="DN57" i="5"/>
  <c r="DO57" i="5"/>
  <c r="DJ57" i="5"/>
  <c r="DM57" i="5"/>
  <c r="DL57" i="5"/>
  <c r="DQ57" i="5"/>
  <c r="DI76" i="5"/>
  <c r="DO76" i="5"/>
  <c r="DM76" i="5"/>
  <c r="DN76" i="5"/>
  <c r="DQ76" i="5"/>
  <c r="DJ76" i="5"/>
  <c r="DP76" i="5"/>
  <c r="DK76" i="5"/>
  <c r="DL76" i="5"/>
  <c r="DI77" i="5"/>
  <c r="DO77" i="5"/>
  <c r="DM77" i="5"/>
  <c r="DN77" i="5"/>
  <c r="DJ77" i="5"/>
  <c r="DP77" i="5"/>
  <c r="DQ77" i="5"/>
  <c r="DK77" i="5"/>
  <c r="DL77" i="5"/>
  <c r="DI73" i="5"/>
  <c r="DN73" i="5"/>
  <c r="DL73" i="5"/>
  <c r="DQ73" i="5"/>
  <c r="DO73" i="5"/>
  <c r="DM73" i="5"/>
  <c r="DK73" i="5"/>
  <c r="DJ73" i="5"/>
  <c r="DP73" i="5"/>
  <c r="DI60" i="5"/>
  <c r="DP60" i="5"/>
  <c r="DK60" i="5"/>
  <c r="DN60" i="5"/>
  <c r="DO60" i="5"/>
  <c r="DJ60" i="5"/>
  <c r="DM60" i="5"/>
  <c r="DL60" i="5"/>
  <c r="DQ60" i="5"/>
  <c r="DI64" i="5"/>
  <c r="DN64" i="5"/>
  <c r="DP64" i="5"/>
  <c r="DQ64" i="5"/>
  <c r="DO64" i="5"/>
  <c r="DM64" i="5"/>
  <c r="DK64" i="5"/>
  <c r="DJ64" i="5"/>
  <c r="DL64" i="5"/>
  <c r="DI71" i="5"/>
  <c r="DN71" i="5"/>
  <c r="DL71" i="5"/>
  <c r="DQ71" i="5"/>
  <c r="DO71" i="5"/>
  <c r="DM71" i="5"/>
  <c r="DK71" i="5"/>
  <c r="DJ71" i="5"/>
  <c r="DP71" i="5"/>
  <c r="DI70" i="5"/>
  <c r="DN70" i="5"/>
  <c r="DP70" i="5"/>
  <c r="DQ70" i="5"/>
  <c r="DO70" i="5"/>
  <c r="DM70" i="5"/>
  <c r="DK70" i="5"/>
  <c r="DJ70" i="5"/>
  <c r="DL70" i="5"/>
  <c r="DI63" i="5"/>
  <c r="DN63" i="5"/>
  <c r="DL63" i="5"/>
  <c r="DQ63" i="5"/>
  <c r="DO63" i="5"/>
  <c r="DM63" i="5"/>
  <c r="DK63" i="5"/>
  <c r="DJ63" i="5"/>
  <c r="DP63" i="5"/>
  <c r="DI67" i="5"/>
  <c r="DN67" i="5"/>
  <c r="DL67" i="5"/>
  <c r="DQ67" i="5"/>
  <c r="DO67" i="5"/>
  <c r="DM67" i="5"/>
  <c r="DK67" i="5"/>
  <c r="DJ67" i="5"/>
  <c r="DP67" i="5"/>
  <c r="DI69" i="5"/>
  <c r="DN69" i="5"/>
  <c r="DL69" i="5"/>
  <c r="DQ69" i="5"/>
  <c r="DO69" i="5"/>
  <c r="DM69" i="5"/>
  <c r="DK69" i="5"/>
  <c r="DJ69" i="5"/>
  <c r="DP69" i="5"/>
  <c r="DI61" i="5"/>
  <c r="DQ61" i="5"/>
  <c r="DK61" i="5"/>
  <c r="DL61" i="5"/>
  <c r="DO61" i="5"/>
  <c r="DJ61" i="5"/>
  <c r="DN61" i="5"/>
  <c r="DM61" i="5"/>
  <c r="DP61" i="5"/>
  <c r="DI68" i="5"/>
  <c r="DN68" i="5"/>
  <c r="DP68" i="5"/>
  <c r="DQ68" i="5"/>
  <c r="DO68" i="5"/>
  <c r="DM68" i="5"/>
  <c r="DK68" i="5"/>
  <c r="DJ68" i="5"/>
  <c r="DL68" i="5"/>
  <c r="DI62" i="5"/>
  <c r="DN62" i="5"/>
  <c r="DP62" i="5"/>
  <c r="DQ62" i="5"/>
  <c r="DO62" i="5"/>
  <c r="DM62" i="5"/>
  <c r="DK62" i="5"/>
  <c r="DJ62" i="5"/>
  <c r="DL62" i="5"/>
  <c r="DI72" i="5"/>
  <c r="DN72" i="5"/>
  <c r="DP72" i="5"/>
  <c r="DQ72" i="5"/>
  <c r="DM72" i="5"/>
  <c r="DK72" i="5"/>
  <c r="DO72" i="5"/>
  <c r="DJ72" i="5"/>
  <c r="DL72" i="5"/>
  <c r="DI53" i="5"/>
  <c r="DP53" i="5"/>
  <c r="DK53" i="5"/>
  <c r="DM53" i="5"/>
  <c r="DJ53" i="5"/>
  <c r="DN53" i="5"/>
  <c r="DO53" i="5"/>
  <c r="DQ53" i="5"/>
  <c r="DL53" i="5"/>
  <c r="DI59" i="5"/>
  <c r="DP59" i="5"/>
  <c r="DK59" i="5"/>
  <c r="DN59" i="5"/>
  <c r="DO59" i="5"/>
  <c r="DJ59" i="5"/>
  <c r="DM59" i="5"/>
  <c r="DL59" i="5"/>
  <c r="DQ59" i="5"/>
  <c r="DI56" i="5"/>
  <c r="DP56" i="5"/>
  <c r="DK56" i="5"/>
  <c r="DN56" i="5"/>
  <c r="DO56" i="5"/>
  <c r="DJ56" i="5"/>
  <c r="DM56" i="5"/>
  <c r="DL56" i="5"/>
  <c r="DQ56" i="5"/>
  <c r="DI78" i="5"/>
  <c r="DO78" i="5"/>
  <c r="DM78" i="5"/>
  <c r="DN78" i="5"/>
  <c r="DQ78" i="5"/>
  <c r="DJ78" i="5"/>
  <c r="DP78" i="5"/>
  <c r="DK78" i="5"/>
  <c r="DL78" i="5"/>
  <c r="DI74" i="5"/>
  <c r="DN74" i="5"/>
  <c r="DP74" i="5"/>
  <c r="DQ74" i="5"/>
  <c r="DO74" i="5"/>
  <c r="DM74" i="5"/>
  <c r="DK74" i="5"/>
  <c r="DJ74" i="5"/>
  <c r="DL74" i="5"/>
  <c r="DI65" i="5"/>
  <c r="DN65" i="5"/>
  <c r="DL65" i="5"/>
  <c r="DQ65" i="5"/>
  <c r="DO65" i="5"/>
  <c r="DM65" i="5"/>
  <c r="DK65" i="5"/>
  <c r="DJ65" i="5"/>
  <c r="DP65" i="5"/>
  <c r="FP167" i="5"/>
  <c r="FP168" i="5" s="1"/>
  <c r="DI25" i="5"/>
  <c r="DJ25" i="5"/>
  <c r="DN25" i="5"/>
  <c r="DK25" i="5"/>
  <c r="DO25" i="5"/>
  <c r="DL25" i="5"/>
  <c r="DP25" i="5"/>
  <c r="DM25" i="5"/>
  <c r="DQ25" i="5"/>
  <c r="DI51" i="5"/>
  <c r="DJ51" i="5"/>
  <c r="DN51" i="5"/>
  <c r="DL51" i="5"/>
  <c r="DP51" i="5"/>
  <c r="DM51" i="5"/>
  <c r="DO51" i="5"/>
  <c r="DQ51" i="5"/>
  <c r="DK51" i="5"/>
  <c r="DI44" i="5"/>
  <c r="DJ44" i="5"/>
  <c r="DN44" i="5"/>
  <c r="DK44" i="5"/>
  <c r="DO44" i="5"/>
  <c r="DL44" i="5"/>
  <c r="DP44" i="5"/>
  <c r="DM44" i="5"/>
  <c r="DQ44" i="5"/>
  <c r="DI24" i="5"/>
  <c r="DJ24" i="5"/>
  <c r="DN24" i="5"/>
  <c r="DK24" i="5"/>
  <c r="DO24" i="5"/>
  <c r="DL24" i="5"/>
  <c r="DP24" i="5"/>
  <c r="DM24" i="5"/>
  <c r="DQ24" i="5"/>
  <c r="DI31" i="5"/>
  <c r="DJ31" i="5"/>
  <c r="DN31" i="5"/>
  <c r="DK31" i="5"/>
  <c r="DO31" i="5"/>
  <c r="DL31" i="5"/>
  <c r="DP31" i="5"/>
  <c r="DM31" i="5"/>
  <c r="DQ31" i="5"/>
  <c r="DI49" i="5"/>
  <c r="DJ49" i="5"/>
  <c r="DN49" i="5"/>
  <c r="DL49" i="5"/>
  <c r="DP49" i="5"/>
  <c r="DM49" i="5"/>
  <c r="DO49" i="5"/>
  <c r="DQ49" i="5"/>
  <c r="DK49" i="5"/>
  <c r="DI32" i="5"/>
  <c r="DJ32" i="5"/>
  <c r="DN32" i="5"/>
  <c r="DK32" i="5"/>
  <c r="DO32" i="5"/>
  <c r="DL32" i="5"/>
  <c r="DP32" i="5"/>
  <c r="DM32" i="5"/>
  <c r="DQ32" i="5"/>
  <c r="DI26" i="5"/>
  <c r="DJ26" i="5"/>
  <c r="DN26" i="5"/>
  <c r="DK26" i="5"/>
  <c r="DO26" i="5"/>
  <c r="DL26" i="5"/>
  <c r="DP26" i="5"/>
  <c r="DM26" i="5"/>
  <c r="DQ26" i="5"/>
  <c r="DI45" i="5"/>
  <c r="DJ45" i="5"/>
  <c r="DN45" i="5"/>
  <c r="DK45" i="5"/>
  <c r="DO45" i="5"/>
  <c r="DL45" i="5"/>
  <c r="DP45" i="5"/>
  <c r="DM45" i="5"/>
  <c r="DQ45" i="5"/>
  <c r="DI37" i="5"/>
  <c r="DJ37" i="5"/>
  <c r="DN37" i="5"/>
  <c r="DK37" i="5"/>
  <c r="DO37" i="5"/>
  <c r="DL37" i="5"/>
  <c r="DP37" i="5"/>
  <c r="DM37" i="5"/>
  <c r="DQ37" i="5"/>
  <c r="DI20" i="5"/>
  <c r="DJ20" i="5"/>
  <c r="DN20" i="5"/>
  <c r="DK20" i="5"/>
  <c r="DO20" i="5"/>
  <c r="DL20" i="5"/>
  <c r="DP20" i="5"/>
  <c r="DM20" i="5"/>
  <c r="DQ20" i="5"/>
  <c r="DI43" i="5"/>
  <c r="DJ43" i="5"/>
  <c r="DN43" i="5"/>
  <c r="DK43" i="5"/>
  <c r="DO43" i="5"/>
  <c r="DL43" i="5"/>
  <c r="DP43" i="5"/>
  <c r="DM43" i="5"/>
  <c r="DQ43" i="5"/>
  <c r="DI29" i="5"/>
  <c r="DJ29" i="5"/>
  <c r="DN29" i="5"/>
  <c r="DK29" i="5"/>
  <c r="DO29" i="5"/>
  <c r="DL29" i="5"/>
  <c r="DP29" i="5"/>
  <c r="DM29" i="5"/>
  <c r="DQ29" i="5"/>
  <c r="DI38" i="5"/>
  <c r="DJ38" i="5"/>
  <c r="DN38" i="5"/>
  <c r="DK38" i="5"/>
  <c r="DO38" i="5"/>
  <c r="DL38" i="5"/>
  <c r="DP38" i="5"/>
  <c r="DM38" i="5"/>
  <c r="DQ38" i="5"/>
  <c r="DI34" i="5"/>
  <c r="DJ34" i="5"/>
  <c r="DN34" i="5"/>
  <c r="DK34" i="5"/>
  <c r="DO34" i="5"/>
  <c r="DL34" i="5"/>
  <c r="DP34" i="5"/>
  <c r="DM34" i="5"/>
  <c r="DQ34" i="5"/>
  <c r="DI40" i="5"/>
  <c r="DJ40" i="5"/>
  <c r="DN40" i="5"/>
  <c r="DK40" i="5"/>
  <c r="DO40" i="5"/>
  <c r="DL40" i="5"/>
  <c r="DP40" i="5"/>
  <c r="DM40" i="5"/>
  <c r="DQ40" i="5"/>
  <c r="DI33" i="5"/>
  <c r="DJ33" i="5"/>
  <c r="DN33" i="5"/>
  <c r="DK33" i="5"/>
  <c r="DO33" i="5"/>
  <c r="DL33" i="5"/>
  <c r="DP33" i="5"/>
  <c r="DM33" i="5"/>
  <c r="DQ33" i="5"/>
  <c r="DI36" i="5"/>
  <c r="DJ36" i="5"/>
  <c r="DN36" i="5"/>
  <c r="DK36" i="5"/>
  <c r="DO36" i="5"/>
  <c r="DL36" i="5"/>
  <c r="DP36" i="5"/>
  <c r="DM36" i="5"/>
  <c r="DQ36" i="5"/>
  <c r="DI42" i="5"/>
  <c r="DJ42" i="5"/>
  <c r="DN42" i="5"/>
  <c r="DK42" i="5"/>
  <c r="DO42" i="5"/>
  <c r="DL42" i="5"/>
  <c r="DP42" i="5"/>
  <c r="DM42" i="5"/>
  <c r="DQ42" i="5"/>
  <c r="DI35" i="5"/>
  <c r="DJ35" i="5"/>
  <c r="DN35" i="5"/>
  <c r="DK35" i="5"/>
  <c r="DO35" i="5"/>
  <c r="DL35" i="5"/>
  <c r="DP35" i="5"/>
  <c r="DM35" i="5"/>
  <c r="DQ35" i="5"/>
  <c r="DI46" i="5"/>
  <c r="DJ46" i="5"/>
  <c r="DN46" i="5"/>
  <c r="DK46" i="5"/>
  <c r="DO46" i="5"/>
  <c r="DL46" i="5"/>
  <c r="DP46" i="5"/>
  <c r="DM46" i="5"/>
  <c r="DQ46" i="5"/>
  <c r="DI41" i="5"/>
  <c r="DJ41" i="5"/>
  <c r="DN41" i="5"/>
  <c r="DK41" i="5"/>
  <c r="DO41" i="5"/>
  <c r="DL41" i="5"/>
  <c r="DP41" i="5"/>
  <c r="DM41" i="5"/>
  <c r="DQ41" i="5"/>
  <c r="DI48" i="5"/>
  <c r="DJ48" i="5"/>
  <c r="DN48" i="5"/>
  <c r="DL48" i="5"/>
  <c r="DP48" i="5"/>
  <c r="DM48" i="5"/>
  <c r="DO48" i="5"/>
  <c r="DQ48" i="5"/>
  <c r="DK48" i="5"/>
  <c r="DI19" i="5"/>
  <c r="DJ19" i="5"/>
  <c r="DN19" i="5"/>
  <c r="DK19" i="5"/>
  <c r="DO19" i="5"/>
  <c r="DL19" i="5"/>
  <c r="DP19" i="5"/>
  <c r="DM19" i="5"/>
  <c r="DQ19" i="5"/>
  <c r="DI23" i="5"/>
  <c r="DJ23" i="5"/>
  <c r="DN23" i="5"/>
  <c r="DK23" i="5"/>
  <c r="DO23" i="5"/>
  <c r="DL23" i="5"/>
  <c r="DP23" i="5"/>
  <c r="DM23" i="5"/>
  <c r="DQ23" i="5"/>
  <c r="DI50" i="5"/>
  <c r="DJ50" i="5"/>
  <c r="DN50" i="5"/>
  <c r="DL50" i="5"/>
  <c r="DP50" i="5"/>
  <c r="DM50" i="5"/>
  <c r="DO50" i="5"/>
  <c r="DQ50" i="5"/>
  <c r="DK50" i="5"/>
  <c r="DI30" i="5"/>
  <c r="DJ30" i="5"/>
  <c r="DN30" i="5"/>
  <c r="DK30" i="5"/>
  <c r="DO30" i="5"/>
  <c r="DL30" i="5"/>
  <c r="DP30" i="5"/>
  <c r="DM30" i="5"/>
  <c r="DQ30" i="5"/>
  <c r="DI39" i="5"/>
  <c r="DJ39" i="5"/>
  <c r="DN39" i="5"/>
  <c r="DK39" i="5"/>
  <c r="DO39" i="5"/>
  <c r="DL39" i="5"/>
  <c r="DP39" i="5"/>
  <c r="DM39" i="5"/>
  <c r="DQ39" i="5"/>
  <c r="DG64" i="5"/>
  <c r="DF70" i="5"/>
  <c r="DH63" i="5"/>
  <c r="DD67" i="5"/>
  <c r="DG69" i="5"/>
  <c r="CY69" i="5"/>
  <c r="DE69" i="5"/>
  <c r="DF61" i="5"/>
  <c r="DH68" i="5"/>
  <c r="DE62" i="5"/>
  <c r="DF72" i="5"/>
  <c r="DE53" i="5"/>
  <c r="DG59" i="5"/>
  <c r="DG56" i="5"/>
  <c r="DH78" i="5"/>
  <c r="DD74" i="5"/>
  <c r="DG65" i="5"/>
  <c r="DE75" i="5"/>
  <c r="DH66" i="5"/>
  <c r="DF55" i="5"/>
  <c r="DG71" i="5"/>
  <c r="CV69" i="5"/>
  <c r="DE54" i="5"/>
  <c r="DE57" i="5"/>
  <c r="DH76" i="5"/>
  <c r="DG77" i="5"/>
  <c r="DE73" i="5"/>
  <c r="DF60" i="5"/>
  <c r="DF29" i="5"/>
  <c r="DG38" i="5"/>
  <c r="DH34" i="5"/>
  <c r="DD33" i="5"/>
  <c r="DG35" i="5"/>
  <c r="DG46" i="5"/>
  <c r="DE45" i="5"/>
  <c r="DG37" i="5"/>
  <c r="DD20" i="5"/>
  <c r="DG43" i="5"/>
  <c r="DF41" i="5"/>
  <c r="DF48" i="5"/>
  <c r="DD19" i="5"/>
  <c r="DG23" i="5"/>
  <c r="DE50" i="5"/>
  <c r="DE30" i="5"/>
  <c r="DE39" i="5"/>
  <c r="DF40" i="5"/>
  <c r="DH36" i="5"/>
  <c r="DH42" i="5"/>
  <c r="DH25" i="5"/>
  <c r="DD51" i="5"/>
  <c r="DD44" i="5"/>
  <c r="DF24" i="5"/>
  <c r="DH31" i="5"/>
  <c r="DE49" i="5"/>
  <c r="DH32" i="5"/>
  <c r="DE26" i="5"/>
  <c r="DC69" i="5"/>
  <c r="CW69" i="5"/>
  <c r="DF69" i="5"/>
  <c r="DA69" i="5"/>
  <c r="DH69" i="5"/>
  <c r="DC43" i="5"/>
  <c r="DE43" i="5"/>
  <c r="CW43" i="5"/>
  <c r="DH43" i="5"/>
  <c r="AX48" i="5"/>
  <c r="AX74" i="5"/>
  <c r="CZ69" i="5"/>
  <c r="DD69" i="5"/>
  <c r="DC55" i="5"/>
  <c r="CX55" i="5"/>
  <c r="CU55" i="5"/>
  <c r="DE55" i="5"/>
  <c r="DD55" i="5"/>
  <c r="CX60" i="5"/>
  <c r="DA60" i="5"/>
  <c r="CU60" i="5"/>
  <c r="CY73" i="5"/>
  <c r="DB55" i="5"/>
  <c r="AX60" i="5"/>
  <c r="DE60" i="5"/>
  <c r="DD73" i="5"/>
  <c r="DG55" i="5"/>
  <c r="CY43" i="5"/>
  <c r="CZ60" i="5"/>
  <c r="CW60" i="5"/>
  <c r="DB73" i="5"/>
  <c r="CX73" i="5"/>
  <c r="CY55" i="5"/>
  <c r="DA55" i="5"/>
  <c r="DB69" i="5"/>
  <c r="CX69" i="5"/>
  <c r="DG73" i="5"/>
  <c r="CV73" i="5"/>
  <c r="DA73" i="5"/>
  <c r="DH73" i="5"/>
  <c r="DC73" i="5"/>
  <c r="AX78" i="5"/>
  <c r="CU73" i="5"/>
  <c r="DB43" i="5"/>
  <c r="DD23" i="5"/>
  <c r="DC46" i="5"/>
  <c r="CW46" i="5"/>
  <c r="DF46" i="5"/>
  <c r="CZ46" i="5"/>
  <c r="DB46" i="5"/>
  <c r="CY46" i="5"/>
  <c r="DH46" i="5"/>
  <c r="CU46" i="5"/>
  <c r="CV46" i="5"/>
  <c r="DD46" i="5"/>
  <c r="DE46" i="5"/>
  <c r="DA46" i="5"/>
  <c r="AX51" i="5"/>
  <c r="CX46" i="5"/>
  <c r="CU43" i="5"/>
  <c r="DA43" i="5"/>
  <c r="DF43" i="5"/>
  <c r="CV43" i="5"/>
  <c r="CZ43" i="5"/>
  <c r="CX43" i="5"/>
  <c r="DE20" i="5"/>
  <c r="CU20" i="5"/>
  <c r="DC20" i="5"/>
  <c r="CV20" i="5"/>
  <c r="DF20" i="5"/>
  <c r="AX25" i="5"/>
  <c r="DA20" i="5"/>
  <c r="CZ20" i="5"/>
  <c r="DG20" i="5"/>
  <c r="DB20" i="5"/>
  <c r="CY20" i="5"/>
  <c r="DH20" i="5"/>
  <c r="CX20" i="5"/>
  <c r="CW20" i="5"/>
  <c r="CU35" i="5"/>
  <c r="CZ35" i="5"/>
  <c r="DE35" i="5"/>
  <c r="AX40" i="5"/>
  <c r="DD35" i="5"/>
  <c r="DA35" i="5"/>
  <c r="CV35" i="5"/>
  <c r="CX35" i="5"/>
  <c r="DC35" i="5"/>
  <c r="CY35" i="5"/>
  <c r="DB35" i="5"/>
  <c r="CZ30" i="5"/>
  <c r="DF30" i="5"/>
  <c r="CW35" i="5"/>
  <c r="DF35" i="5"/>
  <c r="DH35" i="5"/>
  <c r="DG39" i="5"/>
  <c r="CV39" i="5"/>
  <c r="CW39" i="5"/>
  <c r="CX39" i="5"/>
  <c r="CY39" i="5"/>
  <c r="CU39" i="5"/>
  <c r="DA39" i="5"/>
  <c r="DF39" i="5"/>
  <c r="DD39" i="5"/>
  <c r="DB39" i="5"/>
  <c r="DH39" i="5"/>
  <c r="AX47" i="5"/>
  <c r="DC42" i="5"/>
  <c r="DA42" i="5"/>
  <c r="DB42" i="5"/>
  <c r="CU42" i="5"/>
  <c r="DD42" i="5"/>
  <c r="DC39" i="5"/>
  <c r="AX44" i="5"/>
  <c r="CZ39" i="5"/>
  <c r="CW42" i="5"/>
  <c r="DG42" i="5"/>
  <c r="DE42" i="5"/>
  <c r="CZ42" i="5"/>
  <c r="CY42" i="5"/>
  <c r="DF42" i="5"/>
  <c r="DE37" i="5"/>
  <c r="AX42" i="5"/>
  <c r="AX35" i="5"/>
  <c r="DB30" i="5"/>
  <c r="DD30" i="5"/>
  <c r="DC30" i="5"/>
  <c r="CY30" i="5"/>
  <c r="DH30" i="5"/>
  <c r="CV30" i="5"/>
  <c r="DA30" i="5"/>
  <c r="CW30" i="5"/>
  <c r="CU30" i="5"/>
  <c r="CX30" i="5"/>
  <c r="CX42" i="5"/>
  <c r="CV42" i="5"/>
  <c r="DG30" i="5"/>
  <c r="CY50" i="5"/>
  <c r="DB26" i="5"/>
  <c r="CU67" i="5"/>
  <c r="DH67" i="5"/>
  <c r="CZ37" i="5"/>
  <c r="DB67" i="5"/>
  <c r="DB37" i="5"/>
  <c r="CZ67" i="5"/>
  <c r="DD37" i="5"/>
  <c r="CZ26" i="5"/>
  <c r="CU66" i="5"/>
  <c r="AX81" i="5"/>
  <c r="DC70" i="5"/>
  <c r="CW24" i="5"/>
  <c r="DE63" i="5"/>
  <c r="CU63" i="5"/>
  <c r="CZ63" i="5"/>
  <c r="CZ78" i="5"/>
  <c r="DG63" i="5"/>
  <c r="AX50" i="5"/>
  <c r="CW31" i="5"/>
  <c r="DC31" i="5"/>
  <c r="DF31" i="5"/>
  <c r="AX83" i="5"/>
  <c r="DD63" i="5"/>
  <c r="DG31" i="5"/>
  <c r="DD78" i="5"/>
  <c r="CY78" i="5"/>
  <c r="DA63" i="5"/>
  <c r="AX71" i="5"/>
  <c r="DC78" i="5"/>
  <c r="CV31" i="5"/>
  <c r="CV78" i="5"/>
  <c r="CU78" i="5"/>
  <c r="DE24" i="5"/>
  <c r="DD31" i="5"/>
  <c r="DG78" i="5"/>
  <c r="CV63" i="5"/>
  <c r="DA31" i="5"/>
  <c r="DB63" i="5"/>
  <c r="CU24" i="5"/>
  <c r="AX68" i="5"/>
  <c r="CX63" i="5"/>
  <c r="CX24" i="5"/>
  <c r="DB78" i="5"/>
  <c r="CX78" i="5"/>
  <c r="DH24" i="5"/>
  <c r="DF63" i="5"/>
  <c r="DF78" i="5"/>
  <c r="DC63" i="5"/>
  <c r="DB71" i="5"/>
  <c r="CW63" i="5"/>
  <c r="CY63" i="5"/>
  <c r="CY24" i="5"/>
  <c r="CW76" i="5"/>
  <c r="AX36" i="5"/>
  <c r="CW78" i="5"/>
  <c r="DA78" i="5"/>
  <c r="DG24" i="5"/>
  <c r="DD66" i="5"/>
  <c r="AX72" i="5"/>
  <c r="CX37" i="5"/>
  <c r="DF37" i="5"/>
  <c r="CY67" i="5"/>
  <c r="CV67" i="5"/>
  <c r="CW37" i="5"/>
  <c r="CV37" i="5"/>
  <c r="DE67" i="5"/>
  <c r="CX67" i="5"/>
  <c r="DC67" i="5"/>
  <c r="DC37" i="5"/>
  <c r="DA37" i="5"/>
  <c r="DF67" i="5"/>
  <c r="DH37" i="5"/>
  <c r="CX50" i="5"/>
  <c r="DA67" i="5"/>
  <c r="CW67" i="5"/>
  <c r="CU37" i="5"/>
  <c r="CY37" i="5"/>
  <c r="CV32" i="5"/>
  <c r="CZ65" i="5"/>
  <c r="DE65" i="5"/>
  <c r="CV65" i="5"/>
  <c r="DF65" i="5"/>
  <c r="DC65" i="5"/>
  <c r="AX79" i="5"/>
  <c r="DA65" i="5"/>
  <c r="DC74" i="5"/>
  <c r="CU32" i="5"/>
  <c r="CU65" i="5"/>
  <c r="DA74" i="5"/>
  <c r="DB65" i="5"/>
  <c r="CX74" i="5"/>
  <c r="DF77" i="5"/>
  <c r="DD65" i="5"/>
  <c r="CU77" i="5"/>
  <c r="CW65" i="5"/>
  <c r="CX65" i="5"/>
  <c r="DA49" i="5"/>
  <c r="DH65" i="5"/>
  <c r="DH74" i="5"/>
  <c r="CY77" i="5"/>
  <c r="AX70" i="5"/>
  <c r="CY65" i="5"/>
  <c r="CW49" i="5"/>
  <c r="DE74" i="5"/>
  <c r="AX31" i="5"/>
  <c r="CX26" i="5"/>
  <c r="DF26" i="5"/>
  <c r="CW26" i="5"/>
  <c r="DA26" i="5"/>
  <c r="DD26" i="5"/>
  <c r="CY26" i="5"/>
  <c r="CV26" i="5"/>
  <c r="DG26" i="5"/>
  <c r="DC26" i="5"/>
  <c r="DH26" i="5"/>
  <c r="CU26" i="5"/>
  <c r="CW74" i="5"/>
  <c r="DH49" i="5"/>
  <c r="CY32" i="5"/>
  <c r="CZ77" i="5"/>
  <c r="DB74" i="5"/>
  <c r="CZ49" i="5"/>
  <c r="DG67" i="5"/>
  <c r="DG74" i="5"/>
  <c r="DD49" i="5"/>
  <c r="CW32" i="5"/>
  <c r="DA77" i="5"/>
  <c r="CZ74" i="5"/>
  <c r="CU49" i="5"/>
  <c r="DH77" i="5"/>
  <c r="DF74" i="5"/>
  <c r="DF49" i="5"/>
  <c r="DD32" i="5"/>
  <c r="CW77" i="5"/>
  <c r="CY74" i="5"/>
  <c r="DC32" i="5"/>
  <c r="AX59" i="5"/>
  <c r="CV74" i="5"/>
  <c r="CU74" i="5"/>
  <c r="AX54" i="5"/>
  <c r="DE77" i="5"/>
  <c r="DF32" i="5"/>
  <c r="DA50" i="5"/>
  <c r="CY66" i="5"/>
  <c r="CU23" i="5"/>
  <c r="DE66" i="5"/>
  <c r="CZ50" i="5"/>
  <c r="CX66" i="5"/>
  <c r="CV66" i="5"/>
  <c r="DG66" i="5"/>
  <c r="DF23" i="5"/>
  <c r="CX32" i="5"/>
  <c r="CV49" i="5"/>
  <c r="CU31" i="5"/>
  <c r="DD24" i="5"/>
  <c r="DF54" i="5"/>
  <c r="DD77" i="5"/>
  <c r="DG49" i="5"/>
  <c r="DE31" i="5"/>
  <c r="DE32" i="5"/>
  <c r="DG32" i="5"/>
  <c r="AX37" i="5"/>
  <c r="CU44" i="5"/>
  <c r="AX29" i="5"/>
  <c r="DA24" i="5"/>
  <c r="CV24" i="5"/>
  <c r="DC54" i="5"/>
  <c r="DB77" i="5"/>
  <c r="DC77" i="5"/>
  <c r="DB49" i="5"/>
  <c r="DB31" i="5"/>
  <c r="CZ31" i="5"/>
  <c r="DB32" i="5"/>
  <c r="DA32" i="5"/>
  <c r="CZ32" i="5"/>
  <c r="CX44" i="5"/>
  <c r="DC24" i="5"/>
  <c r="CZ24" i="5"/>
  <c r="DB24" i="5"/>
  <c r="CV54" i="5"/>
  <c r="CX77" i="5"/>
  <c r="AX82" i="5"/>
  <c r="CV77" i="5"/>
  <c r="DB76" i="5"/>
  <c r="DC49" i="5"/>
  <c r="CY49" i="5"/>
  <c r="CX49" i="5"/>
  <c r="CY31" i="5"/>
  <c r="CX31" i="5"/>
  <c r="DA57" i="5"/>
  <c r="DD76" i="5"/>
  <c r="DF34" i="5"/>
  <c r="CV36" i="5"/>
  <c r="DF59" i="5"/>
  <c r="DH72" i="5"/>
  <c r="CZ33" i="5"/>
  <c r="CV34" i="5"/>
  <c r="DC40" i="5"/>
  <c r="DD36" i="5"/>
  <c r="CU33" i="5"/>
  <c r="DB50" i="5"/>
  <c r="CV50" i="5"/>
  <c r="DA59" i="5"/>
  <c r="DA53" i="5"/>
  <c r="DB56" i="5"/>
  <c r="DB66" i="5"/>
  <c r="CZ66" i="5"/>
  <c r="DB72" i="5"/>
  <c r="CZ23" i="5"/>
  <c r="CV62" i="5"/>
  <c r="DF66" i="5"/>
  <c r="DG50" i="5"/>
  <c r="DB59" i="5"/>
  <c r="CY53" i="5"/>
  <c r="CY56" i="5"/>
  <c r="CZ36" i="5"/>
  <c r="CZ72" i="5"/>
  <c r="AX67" i="5"/>
  <c r="DD59" i="5"/>
  <c r="DE56" i="5"/>
  <c r="DE40" i="5"/>
  <c r="DB33" i="5"/>
  <c r="CZ40" i="5"/>
  <c r="AX55" i="5"/>
  <c r="CU50" i="5"/>
  <c r="CX34" i="5"/>
  <c r="AX41" i="5"/>
  <c r="CW66" i="5"/>
  <c r="DA66" i="5"/>
  <c r="DC66" i="5"/>
  <c r="DA19" i="5"/>
  <c r="DE33" i="5"/>
  <c r="DH53" i="5"/>
  <c r="DF50" i="5"/>
  <c r="DA71" i="5"/>
  <c r="AX75" i="5"/>
  <c r="CW45" i="5"/>
  <c r="DD71" i="5"/>
  <c r="CW70" i="5"/>
  <c r="CY45" i="5"/>
  <c r="CY71" i="5"/>
  <c r="DA70" i="5"/>
  <c r="DA45" i="5"/>
  <c r="DH45" i="5"/>
  <c r="DD70" i="5"/>
  <c r="CZ64" i="5"/>
  <c r="DG45" i="5"/>
  <c r="CU71" i="5"/>
  <c r="AX76" i="5"/>
  <c r="DB70" i="5"/>
  <c r="CV45" i="5"/>
  <c r="DF45" i="5"/>
  <c r="DF71" i="5"/>
  <c r="CW71" i="5"/>
  <c r="CZ71" i="5"/>
  <c r="DC71" i="5"/>
  <c r="CX70" i="5"/>
  <c r="CV70" i="5"/>
  <c r="CZ45" i="5"/>
  <c r="DB45" i="5"/>
  <c r="CW64" i="5"/>
  <c r="DD45" i="5"/>
  <c r="DE71" i="5"/>
  <c r="DH70" i="5"/>
  <c r="DE70" i="5"/>
  <c r="CU64" i="5"/>
  <c r="DH71" i="5"/>
  <c r="DG70" i="5"/>
  <c r="CV71" i="5"/>
  <c r="CX71" i="5"/>
  <c r="CZ70" i="5"/>
  <c r="CY70" i="5"/>
  <c r="CU70" i="5"/>
  <c r="CX45" i="5"/>
  <c r="CU45" i="5"/>
  <c r="DC45" i="5"/>
  <c r="DA64" i="5"/>
  <c r="AX43" i="5"/>
  <c r="DD38" i="5"/>
  <c r="DC33" i="5"/>
  <c r="CX33" i="5"/>
  <c r="CU40" i="5"/>
  <c r="DC38" i="5"/>
  <c r="CU38" i="5"/>
  <c r="DC50" i="5"/>
  <c r="CW50" i="5"/>
  <c r="DC59" i="5"/>
  <c r="CW59" i="5"/>
  <c r="AX64" i="5"/>
  <c r="DA34" i="5"/>
  <c r="CY34" i="5"/>
  <c r="AX58" i="5"/>
  <c r="DB53" i="5"/>
  <c r="DC56" i="5"/>
  <c r="DA56" i="5"/>
  <c r="CU56" i="5"/>
  <c r="DC36" i="5"/>
  <c r="CW36" i="5"/>
  <c r="AX69" i="5"/>
  <c r="CX72" i="5"/>
  <c r="CU72" i="5"/>
  <c r="CV68" i="5"/>
  <c r="DA61" i="5"/>
  <c r="CU62" i="5"/>
  <c r="CX62" i="5"/>
  <c r="DH59" i="5"/>
  <c r="DD29" i="5"/>
  <c r="DF56" i="5"/>
  <c r="DE36" i="5"/>
  <c r="DG36" i="5"/>
  <c r="DD64" i="5"/>
  <c r="DG72" i="5"/>
  <c r="DG33" i="5"/>
  <c r="DH38" i="5"/>
  <c r="DD62" i="5"/>
  <c r="DD53" i="5"/>
  <c r="DD61" i="5"/>
  <c r="DD40" i="5"/>
  <c r="DD50" i="5"/>
  <c r="CY38" i="5"/>
  <c r="CW33" i="5"/>
  <c r="AX38" i="5"/>
  <c r="CW40" i="5"/>
  <c r="DA40" i="5"/>
  <c r="CW38" i="5"/>
  <c r="DB38" i="5"/>
  <c r="CX59" i="5"/>
  <c r="CZ59" i="5"/>
  <c r="CV59" i="5"/>
  <c r="DB34" i="5"/>
  <c r="AX39" i="5"/>
  <c r="DC53" i="5"/>
  <c r="CW53" i="5"/>
  <c r="CZ56" i="5"/>
  <c r="AX61" i="5"/>
  <c r="CU36" i="5"/>
  <c r="DA36" i="5"/>
  <c r="CY36" i="5"/>
  <c r="DA72" i="5"/>
  <c r="CY61" i="5"/>
  <c r="DC62" i="5"/>
  <c r="DB62" i="5"/>
  <c r="DE59" i="5"/>
  <c r="DE34" i="5"/>
  <c r="DD56" i="5"/>
  <c r="DF36" i="5"/>
  <c r="DD72" i="5"/>
  <c r="DH33" i="5"/>
  <c r="DF33" i="5"/>
  <c r="DF62" i="5"/>
  <c r="DG53" i="5"/>
  <c r="DH40" i="5"/>
  <c r="CV33" i="5"/>
  <c r="CY33" i="5"/>
  <c r="DA33" i="5"/>
  <c r="CV40" i="5"/>
  <c r="DB40" i="5"/>
  <c r="CV38" i="5"/>
  <c r="CZ38" i="5"/>
  <c r="CU59" i="5"/>
  <c r="CY59" i="5"/>
  <c r="DC34" i="5"/>
  <c r="CW34" i="5"/>
  <c r="CV29" i="5"/>
  <c r="CU53" i="5"/>
  <c r="CZ53" i="5"/>
  <c r="CV56" i="5"/>
  <c r="CW56" i="5"/>
  <c r="CX56" i="5"/>
  <c r="CX36" i="5"/>
  <c r="DB36" i="5"/>
  <c r="CW72" i="5"/>
  <c r="CV72" i="5"/>
  <c r="DC68" i="5"/>
  <c r="CX23" i="5"/>
  <c r="CY62" i="5"/>
  <c r="CW62" i="5"/>
  <c r="DD34" i="5"/>
  <c r="DH56" i="5"/>
  <c r="DE72" i="5"/>
  <c r="DF38" i="5"/>
  <c r="DH62" i="5"/>
  <c r="DF53" i="5"/>
  <c r="DH50" i="5"/>
  <c r="DB48" i="5"/>
  <c r="CZ19" i="5"/>
  <c r="AX28" i="5"/>
  <c r="CV23" i="5"/>
  <c r="CY23" i="5"/>
  <c r="DE23" i="5"/>
  <c r="DC23" i="5"/>
  <c r="DB23" i="5"/>
  <c r="DH19" i="5"/>
  <c r="DH23" i="5"/>
  <c r="CV75" i="5"/>
  <c r="CX41" i="5"/>
  <c r="DA23" i="5"/>
  <c r="CW23" i="5"/>
  <c r="CV48" i="5"/>
  <c r="DF19" i="5"/>
  <c r="CX75" i="5"/>
  <c r="CY19" i="5"/>
  <c r="CX19" i="5"/>
  <c r="CU19" i="5"/>
  <c r="DC19" i="5"/>
  <c r="AX24" i="5"/>
  <c r="CX68" i="5"/>
  <c r="DA41" i="5"/>
  <c r="DH48" i="5"/>
  <c r="DG34" i="5"/>
  <c r="DG19" i="5"/>
  <c r="DE38" i="5"/>
  <c r="DG40" i="5"/>
  <c r="AX53" i="5"/>
  <c r="DB75" i="5"/>
  <c r="CW19" i="5"/>
  <c r="DB19" i="5"/>
  <c r="CV19" i="5"/>
  <c r="DB41" i="5"/>
  <c r="DG48" i="5"/>
  <c r="DG75" i="5"/>
  <c r="DE19" i="5"/>
  <c r="DD41" i="5"/>
  <c r="DC48" i="5"/>
  <c r="DD48" i="5"/>
  <c r="DD75" i="5"/>
  <c r="CX48" i="5"/>
  <c r="AX80" i="5"/>
  <c r="DC41" i="5"/>
  <c r="CZ41" i="5"/>
  <c r="DF75" i="5"/>
  <c r="DG41" i="5"/>
  <c r="CZ48" i="5"/>
  <c r="CW48" i="5"/>
  <c r="CU75" i="5"/>
  <c r="CZ75" i="5"/>
  <c r="CY57" i="5"/>
  <c r="CW41" i="5"/>
  <c r="CU41" i="5"/>
  <c r="DE48" i="5"/>
  <c r="DF44" i="5"/>
  <c r="DH75" i="5"/>
  <c r="DD57" i="5"/>
  <c r="DE41" i="5"/>
  <c r="CY48" i="5"/>
  <c r="CW75" i="5"/>
  <c r="CU48" i="5"/>
  <c r="DA48" i="5"/>
  <c r="DC75" i="5"/>
  <c r="CY75" i="5"/>
  <c r="DA75" i="5"/>
  <c r="CU57" i="5"/>
  <c r="CV41" i="5"/>
  <c r="CY41" i="5"/>
  <c r="AX46" i="5"/>
  <c r="DF57" i="5"/>
  <c r="DH41" i="5"/>
  <c r="DE64" i="5"/>
  <c r="DD68" i="5"/>
  <c r="CW44" i="5"/>
  <c r="DA44" i="5"/>
  <c r="CY44" i="5"/>
  <c r="CW54" i="5"/>
  <c r="CU54" i="5"/>
  <c r="CV76" i="5"/>
  <c r="CU76" i="5"/>
  <c r="CY51" i="5"/>
  <c r="AX62" i="5"/>
  <c r="CZ57" i="5"/>
  <c r="DG54" i="5"/>
  <c r="DE44" i="5"/>
  <c r="DG44" i="5"/>
  <c r="DF76" i="5"/>
  <c r="DH57" i="5"/>
  <c r="CZ44" i="5"/>
  <c r="AX49" i="5"/>
  <c r="DB44" i="5"/>
  <c r="CX54" i="5"/>
  <c r="DB54" i="5"/>
  <c r="DA76" i="5"/>
  <c r="CY76" i="5"/>
  <c r="DC64" i="5"/>
  <c r="DB64" i="5"/>
  <c r="CV64" i="5"/>
  <c r="CV57" i="5"/>
  <c r="CW57" i="5"/>
  <c r="DD54" i="5"/>
  <c r="DH44" i="5"/>
  <c r="DE76" i="5"/>
  <c r="DG76" i="5"/>
  <c r="DF64" i="5"/>
  <c r="DG57" i="5"/>
  <c r="CY40" i="5"/>
  <c r="CX40" i="5"/>
  <c r="AX45" i="5"/>
  <c r="CX38" i="5"/>
  <c r="DA38" i="5"/>
  <c r="CV44" i="5"/>
  <c r="DC44" i="5"/>
  <c r="DA54" i="5"/>
  <c r="CZ54" i="5"/>
  <c r="CY54" i="5"/>
  <c r="CU34" i="5"/>
  <c r="CZ34" i="5"/>
  <c r="CX29" i="5"/>
  <c r="CX53" i="5"/>
  <c r="CV53" i="5"/>
  <c r="CX76" i="5"/>
  <c r="CZ76" i="5"/>
  <c r="DC76" i="5"/>
  <c r="CX64" i="5"/>
  <c r="CY64" i="5"/>
  <c r="AX77" i="5"/>
  <c r="DC72" i="5"/>
  <c r="CY72" i="5"/>
  <c r="DB57" i="5"/>
  <c r="CX57" i="5"/>
  <c r="DC57" i="5"/>
  <c r="DA62" i="5"/>
  <c r="CZ62" i="5"/>
  <c r="DH54" i="5"/>
  <c r="DH64" i="5"/>
  <c r="DH51" i="5"/>
  <c r="DG62" i="5"/>
  <c r="DG25" i="5"/>
  <c r="CW51" i="5"/>
  <c r="CU25" i="5"/>
  <c r="CV51" i="5"/>
  <c r="CZ25" i="5"/>
  <c r="DA51" i="5"/>
  <c r="AX56" i="5"/>
  <c r="CV25" i="5"/>
  <c r="CX25" i="5"/>
  <c r="DE51" i="5"/>
  <c r="DE25" i="5"/>
  <c r="CX51" i="5"/>
  <c r="CZ51" i="5"/>
  <c r="DC25" i="5"/>
  <c r="AX30" i="5"/>
  <c r="CY25" i="5"/>
  <c r="DG51" i="5"/>
  <c r="DF25" i="5"/>
  <c r="CU51" i="5"/>
  <c r="DC51" i="5"/>
  <c r="DB51" i="5"/>
  <c r="DA25" i="5"/>
  <c r="DB25" i="5"/>
  <c r="CW25" i="5"/>
  <c r="DF51" i="5"/>
  <c r="DD25" i="5"/>
  <c r="DB29" i="5"/>
  <c r="AX34" i="5"/>
  <c r="CZ29" i="5"/>
  <c r="AX73" i="5"/>
  <c r="DA68" i="5"/>
  <c r="CV61" i="5"/>
  <c r="DB61" i="5"/>
  <c r="CW61" i="5"/>
  <c r="DE29" i="5"/>
  <c r="DE61" i="5"/>
  <c r="DE68" i="5"/>
  <c r="DG68" i="5"/>
  <c r="CU29" i="5"/>
  <c r="CW29" i="5"/>
  <c r="CU68" i="5"/>
  <c r="DB68" i="5"/>
  <c r="CW68" i="5"/>
  <c r="CU61" i="5"/>
  <c r="CZ61" i="5"/>
  <c r="DG29" i="5"/>
  <c r="DG61" i="5"/>
  <c r="DF68" i="5"/>
  <c r="DC29" i="5"/>
  <c r="CY29" i="5"/>
  <c r="DA29" i="5"/>
  <c r="CZ68" i="5"/>
  <c r="CY68" i="5"/>
  <c r="CX61" i="5"/>
  <c r="DC61" i="5"/>
  <c r="AX66" i="5"/>
  <c r="DH29" i="5"/>
  <c r="DH61" i="5"/>
  <c r="DM163" i="5" l="1"/>
  <c r="J46" i="5" s="1"/>
  <c r="DK163" i="5"/>
  <c r="J44" i="5" s="1"/>
  <c r="DP163" i="5"/>
  <c r="J49" i="5" s="1"/>
  <c r="DN163" i="5"/>
  <c r="J47" i="5" s="1"/>
  <c r="DL163" i="5"/>
  <c r="J45" i="5" s="1"/>
  <c r="DJ163" i="5"/>
  <c r="DQ163" i="5"/>
  <c r="J50" i="5" s="1"/>
  <c r="DO163" i="5"/>
  <c r="J48" i="5" s="1"/>
  <c r="DI163" i="5"/>
  <c r="J42" i="5" s="1"/>
  <c r="R42" i="5" s="1"/>
  <c r="DD163" i="5"/>
  <c r="EA17" i="5" s="1"/>
  <c r="L37" i="5" s="1"/>
  <c r="DF163" i="5"/>
  <c r="J39" i="5" s="1"/>
  <c r="R39" i="5" s="1"/>
  <c r="DH163" i="5"/>
  <c r="J41" i="5" s="1"/>
  <c r="R41" i="5" s="1"/>
  <c r="DG163" i="5"/>
  <c r="J40" i="5" s="1"/>
  <c r="R40" i="5" s="1"/>
  <c r="DC163" i="5"/>
  <c r="DZ18" i="5" s="1"/>
  <c r="DZ163" i="5" s="1"/>
  <c r="DZ164" i="5" s="1"/>
  <c r="DE163" i="5"/>
  <c r="EB17" i="5" s="1"/>
  <c r="L38" i="5" s="1"/>
  <c r="DB163" i="5"/>
  <c r="DY18" i="5" s="1"/>
  <c r="DY163" i="5" s="1"/>
  <c r="DY164" i="5" s="1"/>
  <c r="CV163" i="5"/>
  <c r="DS18" i="5" s="1"/>
  <c r="DS163" i="5" s="1"/>
  <c r="DS164" i="5" s="1"/>
  <c r="CY163" i="5"/>
  <c r="DV18" i="5" s="1"/>
  <c r="DV163" i="5" s="1"/>
  <c r="DV164" i="5" s="1"/>
  <c r="CZ163" i="5"/>
  <c r="DW17" i="5" s="1"/>
  <c r="L33" i="5" s="1"/>
  <c r="CU163" i="5"/>
  <c r="DR17" i="5" s="1"/>
  <c r="L28" i="5" s="1"/>
  <c r="CX163" i="5"/>
  <c r="DU18" i="5" s="1"/>
  <c r="DU163" i="5" s="1"/>
  <c r="DU164" i="5" s="1"/>
  <c r="DA163" i="5"/>
  <c r="DX17" i="5" s="1"/>
  <c r="L34" i="5" s="1"/>
  <c r="AW23" i="5"/>
  <c r="AW168" i="5" s="1"/>
  <c r="CW163" i="5"/>
  <c r="DT18" i="5" s="1"/>
  <c r="DT163" i="5" s="1"/>
  <c r="DT164" i="5" s="1"/>
  <c r="K50" i="5" l="1"/>
  <c r="K49" i="5"/>
  <c r="M49" i="5"/>
  <c r="K47" i="5"/>
  <c r="K45" i="5"/>
  <c r="J43" i="5"/>
  <c r="K43" i="5" s="1"/>
  <c r="EL17" i="5"/>
  <c r="L48" i="5" s="1"/>
  <c r="EL18" i="5"/>
  <c r="EK17" i="5"/>
  <c r="L47" i="5" s="1"/>
  <c r="EK18" i="5"/>
  <c r="EN18" i="5"/>
  <c r="EN17" i="5"/>
  <c r="L50" i="5" s="1"/>
  <c r="EM17" i="5"/>
  <c r="L49" i="5" s="1"/>
  <c r="EM18" i="5"/>
  <c r="EG17" i="5"/>
  <c r="L43" i="5" s="1"/>
  <c r="EG18" i="5"/>
  <c r="EH18" i="5"/>
  <c r="EH17" i="5"/>
  <c r="L44" i="5" s="1"/>
  <c r="EI18" i="5"/>
  <c r="EI17" i="5"/>
  <c r="L45" i="5" s="1"/>
  <c r="EJ18" i="5"/>
  <c r="EJ17" i="5"/>
  <c r="L46" i="5" s="1"/>
  <c r="EF17" i="5"/>
  <c r="M42" i="5"/>
  <c r="EF18" i="5"/>
  <c r="K42" i="5"/>
  <c r="K39" i="5"/>
  <c r="M39" i="5"/>
  <c r="K40" i="5"/>
  <c r="M40" i="5"/>
  <c r="K41" i="5"/>
  <c r="M41" i="5"/>
  <c r="J35" i="5"/>
  <c r="R35" i="5" s="1"/>
  <c r="DY17" i="5"/>
  <c r="L35" i="5" s="1"/>
  <c r="DS17" i="5"/>
  <c r="L29" i="5" s="1"/>
  <c r="EE18" i="5"/>
  <c r="EE163" i="5" s="1"/>
  <c r="EE164" i="5" s="1"/>
  <c r="EE17" i="5"/>
  <c r="L41" i="5" s="1"/>
  <c r="J28" i="5"/>
  <c r="R28" i="5" s="1"/>
  <c r="DR18" i="5"/>
  <c r="ER18" i="5" s="1"/>
  <c r="ED17" i="5"/>
  <c r="L40" i="5" s="1"/>
  <c r="ED18" i="5"/>
  <c r="ED163" i="5" s="1"/>
  <c r="ED164" i="5" s="1"/>
  <c r="DT17" i="5"/>
  <c r="L30" i="5" s="1"/>
  <c r="J30" i="5"/>
  <c r="R30" i="5" s="1"/>
  <c r="J37" i="5"/>
  <c r="R37" i="5" s="1"/>
  <c r="DU17" i="5"/>
  <c r="L31" i="5" s="1"/>
  <c r="J36" i="5"/>
  <c r="R36" i="5" s="1"/>
  <c r="DZ17" i="5"/>
  <c r="L36" i="5" s="1"/>
  <c r="J31" i="5"/>
  <c r="R31" i="5" s="1"/>
  <c r="J29" i="5"/>
  <c r="R29" i="5" s="1"/>
  <c r="J38" i="5"/>
  <c r="R38" i="5" s="1"/>
  <c r="DW18" i="5"/>
  <c r="DW163" i="5" s="1"/>
  <c r="DW164" i="5" s="1"/>
  <c r="EC17" i="5"/>
  <c r="L39" i="5" s="1"/>
  <c r="EB18" i="5"/>
  <c r="EB163" i="5" s="1"/>
  <c r="EB164" i="5" s="1"/>
  <c r="EC18" i="5"/>
  <c r="FC18" i="5" s="1"/>
  <c r="FC167" i="5" s="1"/>
  <c r="FC168" i="5" s="1"/>
  <c r="EA18" i="5"/>
  <c r="EA163" i="5" s="1"/>
  <c r="EA164" i="5" s="1"/>
  <c r="J34" i="5"/>
  <c r="R34" i="5" s="1"/>
  <c r="J33" i="5"/>
  <c r="R33" i="5" s="1"/>
  <c r="AW17" i="5"/>
  <c r="BA17" i="5" s="1"/>
  <c r="BA23" i="5" s="1"/>
  <c r="BD173" i="5" s="1"/>
  <c r="BD23" i="5"/>
  <c r="DX18" i="5"/>
  <c r="DX163" i="5" s="1"/>
  <c r="DX164" i="5" s="1"/>
  <c r="DV17" i="5"/>
  <c r="L32" i="5" s="1"/>
  <c r="J32" i="5"/>
  <c r="R32" i="5" s="1"/>
  <c r="EY18" i="5"/>
  <c r="EZ18" i="5"/>
  <c r="EX19" i="5"/>
  <c r="EY19" i="5"/>
  <c r="ET19" i="5"/>
  <c r="EZ19" i="5"/>
  <c r="EW19" i="5"/>
  <c r="ER19" i="5"/>
  <c r="EV19" i="5"/>
  <c r="BD24" i="5"/>
  <c r="FA19" i="5"/>
  <c r="EU19" i="5"/>
  <c r="ES19" i="5"/>
  <c r="AW169" i="5"/>
  <c r="AX168" i="5"/>
  <c r="ET18" i="5"/>
  <c r="EU18" i="5"/>
  <c r="EV18" i="5"/>
  <c r="ES18" i="5"/>
  <c r="L42" i="5" l="1"/>
  <c r="EN163" i="5"/>
  <c r="EN164" i="5" s="1"/>
  <c r="FN18" i="5"/>
  <c r="FN167" i="5" s="1"/>
  <c r="FN168" i="5" s="1"/>
  <c r="O50" i="5" s="1"/>
  <c r="Q50" i="5" s="1"/>
  <c r="P50" i="5" s="1"/>
  <c r="EJ163" i="5"/>
  <c r="EJ164" i="5" s="1"/>
  <c r="FJ18" i="5"/>
  <c r="FJ167" i="5" s="1"/>
  <c r="EH163" i="5"/>
  <c r="EH164" i="5" s="1"/>
  <c r="FH18" i="5"/>
  <c r="FH167" i="5" s="1"/>
  <c r="FH168" i="5" s="1"/>
  <c r="O44" i="5" s="1"/>
  <c r="EG163" i="5"/>
  <c r="EG164" i="5" s="1"/>
  <c r="FG18" i="5"/>
  <c r="FG167" i="5" s="1"/>
  <c r="FG168" i="5" s="1"/>
  <c r="O43" i="5" s="1"/>
  <c r="EL163" i="5"/>
  <c r="EL164" i="5" s="1"/>
  <c r="FL18" i="5"/>
  <c r="FL167" i="5" s="1"/>
  <c r="FL168" i="5" s="1"/>
  <c r="O48" i="5" s="1"/>
  <c r="EI163" i="5"/>
  <c r="EI164" i="5" s="1"/>
  <c r="FI18" i="5"/>
  <c r="FI167" i="5" s="1"/>
  <c r="FI168" i="5" s="1"/>
  <c r="O45" i="5" s="1"/>
  <c r="EM163" i="5"/>
  <c r="EM164" i="5" s="1"/>
  <c r="FM18" i="5"/>
  <c r="FM167" i="5" s="1"/>
  <c r="FM168" i="5" s="1"/>
  <c r="O49" i="5" s="1"/>
  <c r="EK163" i="5"/>
  <c r="EK164" i="5" s="1"/>
  <c r="FK18" i="5"/>
  <c r="FK167" i="5" s="1"/>
  <c r="FK168" i="5" s="1"/>
  <c r="O47" i="5" s="1"/>
  <c r="M47" i="5"/>
  <c r="K48" i="5"/>
  <c r="M48" i="5"/>
  <c r="M45" i="5"/>
  <c r="K46" i="5"/>
  <c r="M46" i="5"/>
  <c r="K44" i="5"/>
  <c r="M44" i="5"/>
  <c r="EF163" i="5"/>
  <c r="EF164" i="5" s="1"/>
  <c r="FF18" i="5"/>
  <c r="DR163" i="5"/>
  <c r="O39" i="5"/>
  <c r="Q39" i="5" s="1"/>
  <c r="P39" i="5" s="1"/>
  <c r="K29" i="5"/>
  <c r="K30" i="5"/>
  <c r="K31" i="5"/>
  <c r="K36" i="5"/>
  <c r="K33" i="5"/>
  <c r="K32" i="5"/>
  <c r="K34" i="5"/>
  <c r="K38" i="5"/>
  <c r="K37" i="5"/>
  <c r="K35" i="5"/>
  <c r="K28" i="5"/>
  <c r="FD18" i="5"/>
  <c r="FD167" i="5" s="1"/>
  <c r="FD168" i="5" s="1"/>
  <c r="FE18" i="5"/>
  <c r="FE167" i="5" s="1"/>
  <c r="FE168" i="5" s="1"/>
  <c r="EC163" i="5"/>
  <c r="EC164" i="5" s="1"/>
  <c r="EW18" i="5"/>
  <c r="EW167" i="5" s="1"/>
  <c r="EW168" i="5" s="1"/>
  <c r="FB18" i="5"/>
  <c r="FB167" i="5" s="1"/>
  <c r="FB168" i="5" s="1"/>
  <c r="FA18" i="5"/>
  <c r="FA167" i="5" s="1"/>
  <c r="FA168" i="5" s="1"/>
  <c r="BA172" i="5"/>
  <c r="BA173" i="5" s="1"/>
  <c r="EX18" i="5"/>
  <c r="EX167" i="5" s="1"/>
  <c r="EX168" i="5" s="1"/>
  <c r="EY167" i="5"/>
  <c r="EY168" i="5" s="1"/>
  <c r="BD170" i="5"/>
  <c r="EZ167" i="5"/>
  <c r="EZ168" i="5" s="1"/>
  <c r="EV167" i="5"/>
  <c r="EV168" i="5" s="1"/>
  <c r="ET167" i="5"/>
  <c r="ET168" i="5" s="1"/>
  <c r="ER167" i="5"/>
  <c r="ER168" i="5" s="1"/>
  <c r="O28" i="5" s="1"/>
  <c r="Q28" i="5" s="1"/>
  <c r="P28" i="5" s="1"/>
  <c r="EU167" i="5"/>
  <c r="EU168" i="5" s="1"/>
  <c r="ES167" i="5"/>
  <c r="ES168" i="5" s="1"/>
  <c r="O29" i="5" s="1"/>
  <c r="Q29" i="5" s="1"/>
  <c r="P29" i="5" s="1"/>
  <c r="FJ168" i="5" l="1"/>
  <c r="O46" i="5" s="1"/>
  <c r="FF167" i="5"/>
  <c r="DR164" i="5"/>
  <c r="EO17" i="5"/>
  <c r="EO18" i="5"/>
  <c r="O34" i="5"/>
  <c r="Q34" i="5" s="1"/>
  <c r="P34" i="5" s="1"/>
  <c r="O33" i="5"/>
  <c r="Q33" i="5" s="1"/>
  <c r="P33" i="5" s="1"/>
  <c r="O31" i="5"/>
  <c r="Q31" i="5" s="1"/>
  <c r="P31" i="5" s="1"/>
  <c r="O36" i="5"/>
  <c r="Q36" i="5" s="1"/>
  <c r="P36" i="5" s="1"/>
  <c r="O32" i="5"/>
  <c r="Q32" i="5" s="1"/>
  <c r="P32" i="5" s="1"/>
  <c r="O37" i="5"/>
  <c r="Q37" i="5" s="1"/>
  <c r="P37" i="5" s="1"/>
  <c r="O41" i="5"/>
  <c r="Q41" i="5" s="1"/>
  <c r="P41" i="5" s="1"/>
  <c r="O30" i="5"/>
  <c r="Q30" i="5" s="1"/>
  <c r="P30" i="5" s="1"/>
  <c r="O35" i="5"/>
  <c r="Q35" i="5" s="1"/>
  <c r="P35" i="5" s="1"/>
  <c r="O38" i="5"/>
  <c r="Q38" i="5" s="1"/>
  <c r="P38" i="5" s="1"/>
  <c r="O40" i="5"/>
  <c r="Q40" i="5" s="1"/>
  <c r="P40" i="5" s="1"/>
  <c r="BD174" i="5"/>
  <c r="BA20" i="5" s="1"/>
  <c r="FF168" i="5" l="1"/>
  <c r="EO163" i="5"/>
  <c r="EO164" i="5" s="1"/>
  <c r="FO18" i="5"/>
  <c r="FO167" i="5" s="1"/>
  <c r="FO168" i="5" s="1"/>
  <c r="D26" i="5"/>
  <c r="M50" i="5" s="1"/>
  <c r="Q48" i="5" l="1"/>
  <c r="P48" i="5" s="1"/>
  <c r="Q49" i="5"/>
  <c r="P49" i="5" s="1"/>
  <c r="Q46" i="5"/>
  <c r="P46" i="5" s="1"/>
  <c r="Q47" i="5"/>
  <c r="P47" i="5" s="1"/>
  <c r="Q44" i="5"/>
  <c r="P44" i="5" s="1"/>
  <c r="Q45" i="5"/>
  <c r="P45" i="5" s="1"/>
  <c r="O42" i="5"/>
  <c r="Q42" i="5" s="1"/>
  <c r="P42" i="5" s="1"/>
  <c r="Q43" i="5"/>
  <c r="P43" i="5" s="1"/>
  <c r="D54" i="5" s="1"/>
  <c r="M43" i="5"/>
  <c r="M29" i="5"/>
  <c r="M38" i="5"/>
  <c r="M37" i="5"/>
  <c r="M34" i="5"/>
  <c r="M33" i="5"/>
  <c r="M28" i="5"/>
  <c r="M35" i="5"/>
  <c r="M31" i="5"/>
  <c r="M32" i="5"/>
  <c r="M30" i="5"/>
  <c r="M36" i="5"/>
  <c r="L14" i="5"/>
  <c r="I14" i="5"/>
  <c r="J14" i="5"/>
  <c r="K14" i="5"/>
  <c r="M14" i="5"/>
  <c r="N14" i="5"/>
  <c r="O14" i="5"/>
  <c r="Q14" i="5"/>
  <c r="H14" i="5"/>
  <c r="G14" i="5"/>
  <c r="P14" i="5"/>
  <c r="T14" i="5"/>
  <c r="S14" i="5"/>
  <c r="F14" i="5"/>
  <c r="R14" i="5"/>
  <c r="E14" i="5"/>
  <c r="A33" i="5" s="1"/>
  <c r="D14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Planejamento - Rodrigo Pasquale Mazzaro</author>
  </authors>
  <commentList>
    <comment ref="B25" authorId="0" shapeId="0" xr:uid="{63761749-C85E-42B7-8A9E-27B7AC05E378}">
      <text>
        <r>
          <rPr>
            <b/>
            <sz val="9"/>
            <color indexed="81"/>
            <rFont val="Segoe UI"/>
            <family val="2"/>
          </rPr>
          <t xml:space="preserve"> Caso  queira adicionar uma margem que o cliente tem na parcela do refin, digite o valor da margem que será agregada aqui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Planejamento - Rodrigo Pasquale Mazzaro</author>
  </authors>
  <commentList>
    <comment ref="B22" authorId="0" shapeId="0" xr:uid="{FBB61BF7-4ADE-4B8C-BF91-EA7CD0293112}">
      <text>
        <r>
          <rPr>
            <b/>
            <sz val="9"/>
            <color indexed="81"/>
            <rFont val="Segoe UI"/>
            <family val="2"/>
          </rPr>
          <t>Para validar possível reassinatura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22" authorId="0" shapeId="0" xr:uid="{30F7A0ED-E76B-48A9-84D0-1BFBE60EDC2F}">
      <text>
        <r>
          <rPr>
            <b/>
            <sz val="9"/>
            <color indexed="81"/>
            <rFont val="Segoe UI"/>
            <family val="2"/>
          </rPr>
          <t>Para validar possivel reassinatura, informar  Valor Solicitado do Refin</t>
        </r>
      </text>
    </comment>
    <comment ref="C25" authorId="0" shapeId="0" xr:uid="{75EFAF66-ED66-44CF-BAD3-8D02EA4920F9}">
      <text>
        <r>
          <rPr>
            <b/>
            <sz val="9"/>
            <color indexed="81"/>
            <rFont val="Segoe UI"/>
            <family val="2"/>
          </rPr>
          <t xml:space="preserve"> Caso  queira adicionar uma margem que o cliente tem na parcela do refin, digite o valor da margem que será agregada aqui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16B78A7-0BAE-4E3E-B312-3CAFB1E37C4A}" keepAlive="1" name="Consulta - Consulta1" description="Conexão com a consulta 'Consulta1' na pasta de trabalho." type="5" refreshedVersion="8" background="1" saveData="1">
    <dbPr connection="Provider=Microsoft.Mashup.OleDb.1;Data Source=$Workbook$;Location=Consulta1;Extended Properties=&quot;&quot;" command="SELECT * FROM [Consulta1]"/>
  </connection>
  <connection id="2" xr16:uid="{2D86243A-132B-4AF4-A313-630E8AEF1FED}" keepAlive="1" name="Consulta - Consulta2" description="Conexão com a consulta 'Consulta2' na pasta de trabalho." type="5" refreshedVersion="8" background="1" saveData="1">
    <dbPr connection="Provider=Microsoft.Mashup.OleDb.1;Data Source=$Workbook$;Location=Consulta2;Extended Properties=&quot;&quot;" command="SELECT * FROM [Consulta2]"/>
  </connection>
  <connection id="3" xr16:uid="{5BD6FCCA-A870-4943-AFC1-9299D6B68684}" keepAlive="1" name="Consulta - Consulta3" description="Conexão com a consulta 'Consulta3' na pasta de trabalho." type="5" refreshedVersion="8" background="1" saveData="1">
    <dbPr connection="Provider=Microsoft.Mashup.OleDb.1;Data Source=$Workbook$;Location=Consulta3;Extended Properties=&quot;&quot;" command="SELECT * FROM [Consulta3]"/>
  </connection>
  <connection id="4" xr16:uid="{BC857673-5731-4D1E-ABDE-C5BB08959945}" keepAlive="1" name="Consulta - Consulta4" description="Conexão com a consulta 'Consulta4' na pasta de trabalho." type="5" refreshedVersion="8" background="1" saveData="1">
    <dbPr connection="Provider=Microsoft.Mashup.OleDb.1;Data Source=$Workbook$;Location=Consulta4;Extended Properties=&quot;&quot;" command="SELECT * FROM [Consulta4]"/>
  </connection>
  <connection id="5" xr16:uid="{F1313E2B-B444-4880-B9B9-B60613A0DE33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6" xr16:uid="{BECC93B7-ED0D-4019-BFA6-B19AEAA13F27}" name="WorksheetConnection_DAYCOVAL-SIMULADORES-V-07112025.xlsx!Consulta3" type="102" refreshedVersion="8" minRefreshableVersion="5">
    <extLst>
      <ext xmlns:x15="http://schemas.microsoft.com/office/spreadsheetml/2010/11/main" uri="{DE250136-89BD-433C-8126-D09CA5730AF9}">
        <x15:connection id="Consulta3" autoDelete="1">
          <x15:rangePr sourceName="_xlcn.WorksheetConnection_DAYCOVALSIMULADORESV07112025.xlsxConsulta31"/>
        </x15:connection>
      </ext>
    </extLst>
  </connection>
</connections>
</file>

<file path=xl/sharedStrings.xml><?xml version="1.0" encoding="utf-8"?>
<sst xmlns="http://schemas.openxmlformats.org/spreadsheetml/2006/main" count="13239" uniqueCount="3960">
  <si>
    <t>Valor da parcela</t>
  </si>
  <si>
    <t>Saldo Devedor</t>
  </si>
  <si>
    <t>qtd pagas</t>
  </si>
  <si>
    <t>REFIN PORT</t>
  </si>
  <si>
    <t>Valor contrato</t>
  </si>
  <si>
    <t>Coeficiente</t>
  </si>
  <si>
    <t>Liquido Cliente</t>
  </si>
  <si>
    <t>SALDO DEVEDOR</t>
  </si>
  <si>
    <t>1 - Dados da PORT</t>
  </si>
  <si>
    <t>2 - Dados do Troco</t>
  </si>
  <si>
    <t>Taxa maxima REFIN (PONDERADA )</t>
  </si>
  <si>
    <t>CALCULAR TAXA PORTABILIDADE</t>
  </si>
  <si>
    <t>CALCULAR TAXA  TROCO</t>
  </si>
  <si>
    <t>CALCULAR TAXA  REFIN</t>
  </si>
  <si>
    <t>DATA SIMULAÇÃO</t>
  </si>
  <si>
    <t>DATA 1 ° VENCIMENTO</t>
  </si>
  <si>
    <t>TROCO</t>
  </si>
  <si>
    <t>REFIN</t>
  </si>
  <si>
    <t>R$ PARCELA</t>
  </si>
  <si>
    <t>R$ PARCELA NOVA</t>
  </si>
  <si>
    <t>QTD PARC</t>
  </si>
  <si>
    <t>TAXA RETORNO CIP</t>
  </si>
  <si>
    <t>TAXA MAXIMA</t>
  </si>
  <si>
    <t>TAXA RESULTANTE</t>
  </si>
  <si>
    <t>base 360</t>
  </si>
  <si>
    <t xml:space="preserve">PORTABILIDADE </t>
  </si>
  <si>
    <t>Taxa retorno</t>
  </si>
  <si>
    <t>Resultado</t>
  </si>
  <si>
    <t>Taxa Ponderada</t>
  </si>
  <si>
    <t>Taxa Portada</t>
  </si>
  <si>
    <t>Prazo Portado</t>
  </si>
  <si>
    <t>Caso já tenha o saldo devedor aproximado, utilizar este simulador</t>
  </si>
  <si>
    <t>MARINHA</t>
  </si>
  <si>
    <t>SIAPE</t>
  </si>
  <si>
    <t>EMPREGADOR</t>
  </si>
  <si>
    <t>Taxa</t>
  </si>
  <si>
    <t>PRAZO</t>
  </si>
  <si>
    <t>FATOR</t>
  </si>
  <si>
    <t>CENÁRIO</t>
  </si>
  <si>
    <t>teto</t>
  </si>
  <si>
    <t xml:space="preserve">tx maxima </t>
  </si>
  <si>
    <t>VCTO</t>
  </si>
  <si>
    <t>INSS</t>
  </si>
  <si>
    <t xml:space="preserve">Simulação feita para a data : </t>
  </si>
  <si>
    <t>TAXA DO CONTRATO</t>
  </si>
  <si>
    <t>Tabela Superior Taxa Ponderada</t>
  </si>
  <si>
    <t>TAXA MÁXIMA DO CONVÊNIO</t>
  </si>
  <si>
    <t>TAXA PORTADA</t>
  </si>
  <si>
    <t>PARCELAS PAGAS</t>
  </si>
  <si>
    <t>PRAZO MAX REFIN</t>
  </si>
  <si>
    <t>Simulador para calcular o saldo devedor aproximado</t>
  </si>
  <si>
    <t>SELEÇÃO EMPREGADOR</t>
  </si>
  <si>
    <t>PORTABILIDADE</t>
  </si>
  <si>
    <t>PARCEMAS EM ABERTO</t>
  </si>
  <si>
    <t>Parcelas em aberto</t>
  </si>
  <si>
    <t>Valor original do contrato</t>
  </si>
  <si>
    <t>Prazo original do contrato</t>
  </si>
  <si>
    <t>Margem adicional</t>
  </si>
  <si>
    <t>Parcela do Refin</t>
  </si>
  <si>
    <t>Valor Parcela</t>
  </si>
  <si>
    <t>minima</t>
  </si>
  <si>
    <t>Tx minima Refin</t>
  </si>
  <si>
    <t>TX maxima Empregador</t>
  </si>
  <si>
    <t>Valores Digitados</t>
  </si>
  <si>
    <t>Valores Recalculados</t>
  </si>
  <si>
    <t>TABELA</t>
  </si>
  <si>
    <t>GOV SP PM PORT</t>
  </si>
  <si>
    <t>TAXA</t>
  </si>
  <si>
    <t>TETO_COMERCIAL</t>
  </si>
  <si>
    <t>CARENCIA_FINAL</t>
  </si>
  <si>
    <t>AERONAUTICA</t>
  </si>
  <si>
    <t>755501 - Tabela 1</t>
  </si>
  <si>
    <t>EXERCITO</t>
  </si>
  <si>
    <t>705181 - Tabela 1</t>
  </si>
  <si>
    <t>GOV PB</t>
  </si>
  <si>
    <t>GOV RONDONIA</t>
  </si>
  <si>
    <t>INSS AOL</t>
  </si>
  <si>
    <t>MANAUSPREV</t>
  </si>
  <si>
    <t>PREF ARACAJU</t>
  </si>
  <si>
    <t>PREF BOA VISTA</t>
  </si>
  <si>
    <t>PREF FLORIANOPO</t>
  </si>
  <si>
    <t>PREF FORTALEZA</t>
  </si>
  <si>
    <t>PREF GRAVATAI</t>
  </si>
  <si>
    <t>793282 - Tabela 2</t>
  </si>
  <si>
    <t>TJ SAO PAULO</t>
  </si>
  <si>
    <t>Rótulos de Linha</t>
  </si>
  <si>
    <t>Total Geral</t>
  </si>
  <si>
    <t>Máx. de PRAZO</t>
  </si>
  <si>
    <t>Mín. de TAXA</t>
  </si>
  <si>
    <t>PMDESCRPRD</t>
  </si>
  <si>
    <t>min_port</t>
  </si>
  <si>
    <t>PREF JUIZ FORA</t>
  </si>
  <si>
    <t>795161 - Tabela 1</t>
  </si>
  <si>
    <t>PREF OLINDA</t>
  </si>
  <si>
    <t>Possivel reassinatura</t>
  </si>
  <si>
    <t>minport_%</t>
  </si>
  <si>
    <t>Máx. de minport_%</t>
  </si>
  <si>
    <t>Média de CARENCIA_FINAL</t>
  </si>
  <si>
    <t>PREF PERUIBE</t>
  </si>
  <si>
    <t>795543 - Tabela 3</t>
  </si>
  <si>
    <t>TETO_COMERCIAL_%</t>
  </si>
  <si>
    <t>Máx. de TETO_COMERCIAL_%</t>
  </si>
  <si>
    <t>PREF C GRANDE</t>
  </si>
  <si>
    <t>Não Libera Troco</t>
  </si>
  <si>
    <t>TAXA MIN</t>
  </si>
  <si>
    <t>PREF CONTAGEM</t>
  </si>
  <si>
    <t>715202 - Tabela 2</t>
  </si>
  <si>
    <t>711517 - Tabela 2</t>
  </si>
  <si>
    <t>update [DCV_FUNCAO].[dbo].[INDICE_AUMENTO_INSS] set indice =</t>
  </si>
  <si>
    <t>ACIMA</t>
  </si>
  <si>
    <t>NOVO_MINIMO</t>
  </si>
  <si>
    <t>FAIXA_SALARIAL</t>
  </si>
  <si>
    <t>INDICE</t>
  </si>
  <si>
    <t>MES_DDB</t>
  </si>
  <si>
    <t>CHAVE</t>
  </si>
  <si>
    <t>Sim</t>
  </si>
  <si>
    <t>96</t>
  </si>
  <si>
    <t>93</t>
  </si>
  <si>
    <t>92</t>
  </si>
  <si>
    <t>89</t>
  </si>
  <si>
    <t>88</t>
  </si>
  <si>
    <t>87</t>
  </si>
  <si>
    <t>84</t>
  </si>
  <si>
    <t>83</t>
  </si>
  <si>
    <t>82</t>
  </si>
  <si>
    <t>81</t>
  </si>
  <si>
    <t>78</t>
  </si>
  <si>
    <t>72</t>
  </si>
  <si>
    <t>60</t>
  </si>
  <si>
    <t>59</t>
  </si>
  <si>
    <t>58</t>
  </si>
  <si>
    <t>57</t>
  </si>
  <si>
    <t>56</t>
  </si>
  <si>
    <t>55</t>
  </si>
  <si>
    <t>54</t>
  </si>
  <si>
    <t>52</t>
  </si>
  <si>
    <t>51</t>
  </si>
  <si>
    <t>49</t>
  </si>
  <si>
    <t>46</t>
  </si>
  <si>
    <t>45</t>
  </si>
  <si>
    <t>44</t>
  </si>
  <si>
    <t>43</t>
  </si>
  <si>
    <t>42</t>
  </si>
  <si>
    <t>41</t>
  </si>
  <si>
    <t>40</t>
  </si>
  <si>
    <t>38</t>
  </si>
  <si>
    <t>37</t>
  </si>
  <si>
    <t>34</t>
  </si>
  <si>
    <t>33</t>
  </si>
  <si>
    <t>32</t>
  </si>
  <si>
    <t>30</t>
  </si>
  <si>
    <t>29</t>
  </si>
  <si>
    <t>28</t>
  </si>
  <si>
    <t>27</t>
  </si>
  <si>
    <t>26</t>
  </si>
  <si>
    <t>24</t>
  </si>
  <si>
    <t>23</t>
  </si>
  <si>
    <t>22</t>
  </si>
  <si>
    <t>21</t>
  </si>
  <si>
    <t>20</t>
  </si>
  <si>
    <t>19</t>
  </si>
  <si>
    <t>18</t>
  </si>
  <si>
    <t>12</t>
  </si>
  <si>
    <t>11</t>
  </si>
  <si>
    <t xml:space="preserve">8 </t>
  </si>
  <si>
    <t xml:space="preserve">7 </t>
  </si>
  <si>
    <t xml:space="preserve">6 </t>
  </si>
  <si>
    <t xml:space="preserve">5 </t>
  </si>
  <si>
    <t xml:space="preserve">4 </t>
  </si>
  <si>
    <t xml:space="preserve">3 </t>
  </si>
  <si>
    <t xml:space="preserve">2 </t>
  </si>
  <si>
    <t xml:space="preserve">1 </t>
  </si>
  <si>
    <t>%MARGEM</t>
  </si>
  <si>
    <t>ELEGIVEL</t>
  </si>
  <si>
    <t>-- Selecione --</t>
  </si>
  <si>
    <t>COD</t>
  </si>
  <si>
    <t>Margem Aumento</t>
  </si>
  <si>
    <t>NOVO MINIMO</t>
  </si>
  <si>
    <t>ISENC IDADE</t>
  </si>
  <si>
    <t>BASE CALCULO MARGEM</t>
  </si>
  <si>
    <t>DIF DDB X DIB</t>
  </si>
  <si>
    <t>DESCONTO IR</t>
  </si>
  <si>
    <t>DATA_DIB</t>
  </si>
  <si>
    <t>IDADE</t>
  </si>
  <si>
    <t>DEDUÇÃO</t>
  </si>
  <si>
    <t>MÊS DIB</t>
  </si>
  <si>
    <t>DATA DA CONCESSÃO</t>
  </si>
  <si>
    <t>FAIXA IR</t>
  </si>
  <si>
    <t>ESPECIE</t>
  </si>
  <si>
    <t>VALOR ISENCAO IRPF</t>
  </si>
  <si>
    <t>IDENTO IRPF</t>
  </si>
  <si>
    <t>PERC MARGEM</t>
  </si>
  <si>
    <t>PENSAO 30% NOVO</t>
  </si>
  <si>
    <t>PAGA PA</t>
  </si>
  <si>
    <t>ESPÉCIE BENEFÍCIO</t>
  </si>
  <si>
    <t>MINIMO</t>
  </si>
  <si>
    <t>PENSAO 30% ATUAL</t>
  </si>
  <si>
    <t>Dedução</t>
  </si>
  <si>
    <t>% IR</t>
  </si>
  <si>
    <t>Salário Bruto</t>
  </si>
  <si>
    <r>
      <t xml:space="preserve">TABELA IRPF DESCONTO MENSAL </t>
    </r>
    <r>
      <rPr>
        <b/>
        <sz val="12"/>
        <color rgb="FF92D050"/>
        <rFont val="Calibri"/>
        <family val="2"/>
        <scheme val="minor"/>
      </rPr>
      <t>NOVA</t>
    </r>
  </si>
  <si>
    <t>PREENCHA OS CAMPOS EM AMARELO E SELECIONE A ESPÉCIE DO BENEFICIÁRIO</t>
  </si>
  <si>
    <t>CARENCIA MEDIA</t>
  </si>
  <si>
    <t>Taxa Tabela</t>
  </si>
  <si>
    <t>Valor Empréstimo (Aproximado)</t>
  </si>
  <si>
    <t>PREF QUIXADA</t>
  </si>
  <si>
    <t>Valor Solicitado REFIN PORTABILIDADE</t>
  </si>
  <si>
    <t>745883 - Tabela 3</t>
  </si>
  <si>
    <t>Coluna1</t>
  </si>
  <si>
    <t>IPAG GRAVATAI</t>
  </si>
  <si>
    <t>715131 - Tabela 1</t>
  </si>
  <si>
    <t>PREF ALVORADA</t>
  </si>
  <si>
    <t>725022 - Tabela 2</t>
  </si>
  <si>
    <t>AMAZONPREV-AOL</t>
  </si>
  <si>
    <t>GOV BAHIA-AOL</t>
  </si>
  <si>
    <t>GOV MA AOL</t>
  </si>
  <si>
    <t>GOV PE-AOL</t>
  </si>
  <si>
    <t>PREF JUAZEIRO N</t>
  </si>
  <si>
    <t>PM FEIRA DE SAN</t>
  </si>
  <si>
    <t>765053 - Tabela 3</t>
  </si>
  <si>
    <t>PREF ANANINDEUA</t>
  </si>
  <si>
    <t>804040 - Tabela 3</t>
  </si>
  <si>
    <t>734551 - Tabela 1</t>
  </si>
  <si>
    <t>715203 - Tabela 3</t>
  </si>
  <si>
    <t>745882 - Tabela 2</t>
  </si>
  <si>
    <t>745784 - Tabela 4</t>
  </si>
  <si>
    <t>PREF JOINVILLE</t>
  </si>
  <si>
    <t>755074 - Tabela 4</t>
  </si>
  <si>
    <t>PREF REGISTRO</t>
  </si>
  <si>
    <t>350013 - Tabela 1</t>
  </si>
  <si>
    <t>775681 - Tabela 1</t>
  </si>
  <si>
    <t>775682 - Tabela 2</t>
  </si>
  <si>
    <t>775683 - Tabela 3</t>
  </si>
  <si>
    <t>715181 - Tabela 1</t>
  </si>
  <si>
    <t>PARCELAS EM ABERTO</t>
  </si>
  <si>
    <t>775757 - Tabela 1</t>
  </si>
  <si>
    <t>ISSM CAMAÇARI</t>
  </si>
  <si>
    <t>795674 - Tabela 4</t>
  </si>
  <si>
    <t>705531 - Tabela 1</t>
  </si>
  <si>
    <t>705532 - Tabela 2</t>
  </si>
  <si>
    <t>705327 - Tabela 4</t>
  </si>
  <si>
    <t>715865 - Tabela 5</t>
  </si>
  <si>
    <t>715132 - Tabela 2</t>
  </si>
  <si>
    <t>715133 - Tabela 3</t>
  </si>
  <si>
    <t>715134 - Tabela 4</t>
  </si>
  <si>
    <t>775171 - Tabela 1</t>
  </si>
  <si>
    <t>MIN PUB PARA</t>
  </si>
  <si>
    <t>765531 - Tabela 1</t>
  </si>
  <si>
    <t>765532 - Tabela 2</t>
  </si>
  <si>
    <t>765533 - Tabela 3</t>
  </si>
  <si>
    <t>804038 - Tabela 1</t>
  </si>
  <si>
    <t>804039 - Tabela 2</t>
  </si>
  <si>
    <t>705325 - Tabela 2</t>
  </si>
  <si>
    <t>PREF ATIBAIA</t>
  </si>
  <si>
    <t>745021 - Tabela 1</t>
  </si>
  <si>
    <t>745022 - Tabela 2</t>
  </si>
  <si>
    <t>745023 - Tabela 3</t>
  </si>
  <si>
    <t>745024 - Tabela 4</t>
  </si>
  <si>
    <t>PREF BRUSQUE</t>
  </si>
  <si>
    <t>945191 - Tabela 1</t>
  </si>
  <si>
    <t>725260 - Tabela 2</t>
  </si>
  <si>
    <t>725261 - Tabela 3</t>
  </si>
  <si>
    <t>725021 - Tabela 1</t>
  </si>
  <si>
    <t>725023 - Tabela 3</t>
  </si>
  <si>
    <t>725024 - Tabela 4</t>
  </si>
  <si>
    <t>PREF UBATUBA</t>
  </si>
  <si>
    <t>795551 - Tabela 1</t>
  </si>
  <si>
    <t>795552 - Tabela 2</t>
  </si>
  <si>
    <t>795553 - Tabela 3</t>
  </si>
  <si>
    <t>795554 - Tabela 4</t>
  </si>
  <si>
    <t>785621 - Tabela 1</t>
  </si>
  <si>
    <t>785622 - Tabela 2</t>
  </si>
  <si>
    <t>785623 - Tabela 3</t>
  </si>
  <si>
    <t>785634 - Tabela 4</t>
  </si>
  <si>
    <t>775684 - Tabela 4</t>
  </si>
  <si>
    <t>795622 - Tabela 2</t>
  </si>
  <si>
    <t>775146 - Tabela 2</t>
  </si>
  <si>
    <t>795071 - Tabela 1</t>
  </si>
  <si>
    <t>795072 - Tabela 2</t>
  </si>
  <si>
    <t>745792 - Tabela 2</t>
  </si>
  <si>
    <t>735182 - Tabela 2</t>
  </si>
  <si>
    <t>735183 - Tabela 3</t>
  </si>
  <si>
    <t>TJ MATO GROSSO</t>
  </si>
  <si>
    <t>915005 - Tabela 3</t>
  </si>
  <si>
    <t>715571 - Tabela 1</t>
  </si>
  <si>
    <t>735192 - Tabela 2</t>
  </si>
  <si>
    <t>PREF SUZANO</t>
  </si>
  <si>
    <t>725031 - Tabela 1</t>
  </si>
  <si>
    <t>725032 - Tabela 2</t>
  </si>
  <si>
    <t>795035 - Tabela 2</t>
  </si>
  <si>
    <t>725131 - Tabela 2</t>
  </si>
  <si>
    <t>725132 - Tabela 3</t>
  </si>
  <si>
    <t>725133 - Tabela 4</t>
  </si>
  <si>
    <t>725121 - Tabela 2</t>
  </si>
  <si>
    <t>725122 - Tabela 3</t>
  </si>
  <si>
    <t>725123 - Tabela 4</t>
  </si>
  <si>
    <t>SAFRA</t>
  </si>
  <si>
    <t>DIA_UTIL_CORRENTE</t>
  </si>
  <si>
    <t>DATA</t>
  </si>
  <si>
    <t>DIA_UTIL_MES</t>
  </si>
  <si>
    <t>DIA_ÚTIL</t>
  </si>
  <si>
    <t>DIA_UTIL_ACUMULADO</t>
  </si>
  <si>
    <t>Coluna2</t>
  </si>
  <si>
    <t>Coluna3</t>
  </si>
  <si>
    <t>DIA ÚTIL MÊS</t>
  </si>
  <si>
    <t>VIRADA</t>
  </si>
  <si>
    <t>PMTPPRICE</t>
  </si>
  <si>
    <t>tipo carencia(3=DU/2=DC)</t>
  </si>
  <si>
    <t>dia virada</t>
  </si>
  <si>
    <t>1VCTO ATUAL</t>
  </si>
  <si>
    <t>carencia calculada</t>
  </si>
  <si>
    <t>dia corrente</t>
  </si>
  <si>
    <t>virada 2</t>
  </si>
  <si>
    <t>CARENCIA DIA UTIL</t>
  </si>
  <si>
    <t>CARENCIA FIXA</t>
  </si>
  <si>
    <t>dia util virada</t>
  </si>
  <si>
    <t>dia</t>
  </si>
  <si>
    <t>mês</t>
  </si>
  <si>
    <t>MES_ALTERACAO</t>
  </si>
  <si>
    <t>AERONAUTICA 999</t>
  </si>
  <si>
    <t>755502 - Tabela 2</t>
  </si>
  <si>
    <t>745133 - Tabela 2</t>
  </si>
  <si>
    <t>745140 - Tabela 3</t>
  </si>
  <si>
    <t>745144 - Tabela 4</t>
  </si>
  <si>
    <t>705421 - Tabela 1</t>
  </si>
  <si>
    <t>815123 - Tabela 4</t>
  </si>
  <si>
    <t>815124 - Tabela 4</t>
  </si>
  <si>
    <t>215002 - Tabela 3</t>
  </si>
  <si>
    <t>PREF C JORDAO</t>
  </si>
  <si>
    <t>775721 - Tabela 1</t>
  </si>
  <si>
    <t>775722 - Tabela 2</t>
  </si>
  <si>
    <t>775723 - Tabela 3</t>
  </si>
  <si>
    <t>PREF CACAPAVA</t>
  </si>
  <si>
    <t>996570 - Tabela 4</t>
  </si>
  <si>
    <t>PREF CAJATI SP</t>
  </si>
  <si>
    <t>755076 - Tabela 6</t>
  </si>
  <si>
    <t>PREF SANTOS</t>
  </si>
  <si>
    <t>PREF TAUBATE</t>
  </si>
  <si>
    <t>782003 - Tabela 1</t>
  </si>
  <si>
    <t>782004 - Tabela 2</t>
  </si>
  <si>
    <t>782019 - Tabela 3</t>
  </si>
  <si>
    <t>782020 - Tabela 4</t>
  </si>
  <si>
    <t>795623 - Tabela 3</t>
  </si>
  <si>
    <t>795624 - Tabela 4</t>
  </si>
  <si>
    <t>795421 - Tabela 1</t>
  </si>
  <si>
    <t>795544 - Tabela 4</t>
  </si>
  <si>
    <t>765021 - Tabela 1</t>
  </si>
  <si>
    <t>765023 - Tabela 3</t>
  </si>
  <si>
    <t>745152 - Tabela 2</t>
  </si>
  <si>
    <t>745153 - Tabela 3</t>
  </si>
  <si>
    <t>795655 - Tabela 6</t>
  </si>
  <si>
    <t>PREF COTIA</t>
  </si>
  <si>
    <t>775122 - Tabela 1</t>
  </si>
  <si>
    <t>775124 - Tabela 2</t>
  </si>
  <si>
    <t>775126 - Tabela 3</t>
  </si>
  <si>
    <t>PREF RIO BRANCO</t>
  </si>
  <si>
    <t>865013 - Tabela 3</t>
  </si>
  <si>
    <t>1º VENCIMENTO REFIN</t>
  </si>
  <si>
    <t>Taxa Cliente</t>
  </si>
  <si>
    <t>705481 - Tabela 1</t>
  </si>
  <si>
    <t>PREF ALVORADA CLT</t>
  </si>
  <si>
    <t>PREF GRAVATAI CLT</t>
  </si>
  <si>
    <t>PREF RECIFE CLT</t>
  </si>
  <si>
    <t>PREF SALVADOR CLT</t>
  </si>
  <si>
    <t>PREF SALVADOR EST</t>
  </si>
  <si>
    <t>PREF SALVADOR INAT</t>
  </si>
  <si>
    <t>GOV MS</t>
  </si>
  <si>
    <t>PREF ARACRUZ</t>
  </si>
  <si>
    <t>PREF BETIM</t>
  </si>
  <si>
    <t>PREF CAUCAIA</t>
  </si>
  <si>
    <t>PREF CERQUILHO</t>
  </si>
  <si>
    <t>PREF ITAJUBA</t>
  </si>
  <si>
    <t>PREF JUNDIAI</t>
  </si>
  <si>
    <t>PREF RECIFE</t>
  </si>
  <si>
    <t>PREF SOBRAL</t>
  </si>
  <si>
    <t>PREF PRAIA GRAN</t>
  </si>
  <si>
    <t>PMTPCLC</t>
  </si>
  <si>
    <t>LG</t>
  </si>
  <si>
    <t>NW</t>
  </si>
  <si>
    <t>tipo</t>
  </si>
  <si>
    <t>GOV PIAUI</t>
  </si>
  <si>
    <t>PREF AMERICANA</t>
  </si>
  <si>
    <t>995510 - Tabela 1</t>
  </si>
  <si>
    <t>995511 - Tabela 2</t>
  </si>
  <si>
    <t>995512 - Tabela 3</t>
  </si>
  <si>
    <t>PREF S SEBASTIA</t>
  </si>
  <si>
    <t>725874 - Tabela 4</t>
  </si>
  <si>
    <t>PREF ASSIS</t>
  </si>
  <si>
    <t>755017 - Tabela 2</t>
  </si>
  <si>
    <t>755018 - Tabela 3</t>
  </si>
  <si>
    <t>PREF ANAPOLIS</t>
  </si>
  <si>
    <t>745041 - Tabela 1</t>
  </si>
  <si>
    <t>745042 - Tabela 2</t>
  </si>
  <si>
    <t>745043 - Tabela 3</t>
  </si>
  <si>
    <t>MPDFT</t>
  </si>
  <si>
    <t>795980 - Tabela 1</t>
  </si>
  <si>
    <t>795981 - Tabela 2</t>
  </si>
  <si>
    <t>795982 - Tabela 3</t>
  </si>
  <si>
    <t>PREF SINOP</t>
  </si>
  <si>
    <t>795111 - Tabela 1</t>
  </si>
  <si>
    <t>PREF BARUERI</t>
  </si>
  <si>
    <t>795402 - Tabela 1</t>
  </si>
  <si>
    <t>775724 - Tabela 4</t>
  </si>
  <si>
    <t>SENADO FEDERAL</t>
  </si>
  <si>
    <t>995648 - Tabela 1</t>
  </si>
  <si>
    <t>795201 - Tabela 1</t>
  </si>
  <si>
    <t>795202 - Tabela 2</t>
  </si>
  <si>
    <t>795203 - Tabela 3</t>
  </si>
  <si>
    <t>905111 - Tabela 1</t>
  </si>
  <si>
    <t>905112 - Tabela 1</t>
  </si>
  <si>
    <t>905114 - Tabela 2</t>
  </si>
  <si>
    <t>905115 - Tabela 3</t>
  </si>
  <si>
    <t>905116 - Tabela 3</t>
  </si>
  <si>
    <t>795916 - Tabela 1</t>
  </si>
  <si>
    <t>795940 - Tabela 2</t>
  </si>
  <si>
    <t>795951 - Tabela 3</t>
  </si>
  <si>
    <t>PREF BLUMENAU</t>
  </si>
  <si>
    <t>775791 - Tabela 1</t>
  </si>
  <si>
    <t>715572 - Tabela 2</t>
  </si>
  <si>
    <t>715573 - Tabela 3</t>
  </si>
  <si>
    <t>725595 - Tabela 1</t>
  </si>
  <si>
    <t>725596 - Tabela 2</t>
  </si>
  <si>
    <t>725597 - Tabela 3</t>
  </si>
  <si>
    <t>725598 - Tabela 4</t>
  </si>
  <si>
    <t>725599 - Tabela 5</t>
  </si>
  <si>
    <t>815117 - Tabela 1</t>
  </si>
  <si>
    <t>815119 - Tabela 2</t>
  </si>
  <si>
    <t>815121 - Tabela 3</t>
  </si>
  <si>
    <t>815118 - Tabela 1</t>
  </si>
  <si>
    <t>815120 - Tabela 2</t>
  </si>
  <si>
    <t>815122 - Tabela 3</t>
  </si>
  <si>
    <t>734552 - Tabela 2</t>
  </si>
  <si>
    <t>745771 - Tabela 1</t>
  </si>
  <si>
    <t>745773 - Tabela 2</t>
  </si>
  <si>
    <t>745775 - Tabela 3</t>
  </si>
  <si>
    <t>745777 - Tabela 4</t>
  </si>
  <si>
    <t>745772 - Tabela 1</t>
  </si>
  <si>
    <t>745774 - Tabela 2</t>
  </si>
  <si>
    <t>745776 - Tabela 3</t>
  </si>
  <si>
    <t>745778 - Tabela 4</t>
  </si>
  <si>
    <t>id</t>
  </si>
  <si>
    <t>chave</t>
  </si>
  <si>
    <t>Taxa Teto</t>
  </si>
  <si>
    <t>715451 - Tabela 1</t>
  </si>
  <si>
    <t>715452 - Tabela 2</t>
  </si>
  <si>
    <t>715453 - Tabela 3</t>
  </si>
  <si>
    <t>715454 - Tabela 4</t>
  </si>
  <si>
    <t>715455 - Tabela 5</t>
  </si>
  <si>
    <t>715441 - Tabela 1</t>
  </si>
  <si>
    <t>715442 - Tabela 2</t>
  </si>
  <si>
    <t>715443 - Tabela 3</t>
  </si>
  <si>
    <t>715444 - Tabela 4</t>
  </si>
  <si>
    <t>715445 - Tabela 5</t>
  </si>
  <si>
    <t>715431 - Tabela 1</t>
  </si>
  <si>
    <t>715432 - Tabela 2</t>
  </si>
  <si>
    <t>715433 - Tabela 3</t>
  </si>
  <si>
    <t>715434 - Tabela 4</t>
  </si>
  <si>
    <t>SAAE FORMIGA MG</t>
  </si>
  <si>
    <t>795431 - Tabela 1</t>
  </si>
  <si>
    <t>795432 - Tabela 2</t>
  </si>
  <si>
    <t>745025 - Tabela 5</t>
  </si>
  <si>
    <t>705576 - Tabela 1</t>
  </si>
  <si>
    <t>705577 - Tabela 2</t>
  </si>
  <si>
    <t>705578 - Tabela 3</t>
  </si>
  <si>
    <t>795611 - Tabela 1</t>
  </si>
  <si>
    <t>725033 - Tabela 3</t>
  </si>
  <si>
    <t>725034 - Tabela 4</t>
  </si>
  <si>
    <t>TROCO LIQ</t>
  </si>
  <si>
    <t>815041 - Tabela 1</t>
  </si>
  <si>
    <t>815042 - Tabela 2</t>
  </si>
  <si>
    <t>PREF JARAGUA SC</t>
  </si>
  <si>
    <t>795371 - Tabela 1</t>
  </si>
  <si>
    <t>795555 - Tabela 5</t>
  </si>
  <si>
    <t>NOVA PARCELA</t>
  </si>
  <si>
    <t>* Parcela ajustada para contratos com taxa acima do teto do empregador</t>
  </si>
  <si>
    <r>
      <t>NOVA PARCELA</t>
    </r>
    <r>
      <rPr>
        <b/>
        <sz val="12"/>
        <color theme="0"/>
        <rFont val="Calibri"/>
        <family val="2"/>
        <scheme val="minor"/>
      </rPr>
      <t>*</t>
    </r>
  </si>
  <si>
    <t>piso</t>
  </si>
  <si>
    <t>ISENÇÃO GERAL</t>
  </si>
  <si>
    <t>ISENÇÃO IDADE</t>
  </si>
  <si>
    <t>MINIMO_ATUAL</t>
  </si>
  <si>
    <t>ANO</t>
  </si>
  <si>
    <t>MINIMO ATUAL</t>
  </si>
  <si>
    <t>INPC</t>
  </si>
  <si>
    <t>Realizado</t>
  </si>
  <si>
    <t>Projetado</t>
  </si>
  <si>
    <t>Parcela Origem CIP</t>
  </si>
  <si>
    <t>PARCELAS EM ABERTO(MÁXIMO)</t>
  </si>
  <si>
    <t>TAXA BANCO ORIGINADOR</t>
  </si>
  <si>
    <t>*Mantidas as regras de Autorregulação e regra de quantidade de parcelas pagas por banco</t>
  </si>
  <si>
    <t>CORTE DE MAILING PORTABILIDADE INSS</t>
  </si>
  <si>
    <t>TAXA DIGITADA DAYCOVAL</t>
  </si>
  <si>
    <t>PARCELAS EM ABERTO (MÍNIMA PAGAS)</t>
  </si>
  <si>
    <t>* Mantidas as regras de Autorregulação e regra de quantidade de parcelas pagas por banco</t>
  </si>
  <si>
    <t>815043 - Tabela 3</t>
  </si>
  <si>
    <t>815044 - Tabela 4</t>
  </si>
  <si>
    <t>815045 - Tabela 5</t>
  </si>
  <si>
    <t>734553 - Tabela 3</t>
  </si>
  <si>
    <t>734554 - Tabela 4</t>
  </si>
  <si>
    <t>734555 - Tabela 5</t>
  </si>
  <si>
    <t>* No retorno de saldo da Portabilidade, sempre será respeitada a taxa ofertada ao cliente, nunca maior. Atente-se a taxa digitada!!</t>
  </si>
  <si>
    <t>CAM CUIABA EST</t>
  </si>
  <si>
    <t>795150 - Tabela 1</t>
  </si>
  <si>
    <t>795151 - Tabela 2</t>
  </si>
  <si>
    <t>795152 - Tabela 3</t>
  </si>
  <si>
    <t>775172 - Tabela 2</t>
  </si>
  <si>
    <t>775173 - Tabela 3</t>
  </si>
  <si>
    <t>775175 - Tabela 1</t>
  </si>
  <si>
    <t>PREF JOAO PESSO</t>
  </si>
  <si>
    <t>PREF P ALEGRE</t>
  </si>
  <si>
    <t>705721 - Tabela 1</t>
  </si>
  <si>
    <t>705722 - Tabela 2</t>
  </si>
  <si>
    <t>705723 - Tabela 3</t>
  </si>
  <si>
    <t>IMPCG MS</t>
  </si>
  <si>
    <t>755541 - Tabela 1</t>
  </si>
  <si>
    <t>755542 - Tabela 2</t>
  </si>
  <si>
    <t>755543 - Tabela 3</t>
  </si>
  <si>
    <t>765100 - Tabela 1</t>
  </si>
  <si>
    <t>881092 - Tabela 1</t>
  </si>
  <si>
    <t>881099 - Tabela 2</t>
  </si>
  <si>
    <t>881103 - Tabela 3</t>
  </si>
  <si>
    <t>881123 - Tabela 4</t>
  </si>
  <si>
    <t>881124 - Tabela 5</t>
  </si>
  <si>
    <t>799109 - Tabela 1</t>
  </si>
  <si>
    <t>799111 - Tabela 2</t>
  </si>
  <si>
    <t>799112 - Tabela 3</t>
  </si>
  <si>
    <t>215000 - Tabela 1</t>
  </si>
  <si>
    <t>215001 - Tabela 2</t>
  </si>
  <si>
    <t>765441 - Tabela 1</t>
  </si>
  <si>
    <t>765442 - Tabela 2</t>
  </si>
  <si>
    <t>765443 - Tabela 3</t>
  </si>
  <si>
    <t>995513 - Tabela 1</t>
  </si>
  <si>
    <t>995514 - Tabela 2</t>
  </si>
  <si>
    <t>995515 - Tabela 3</t>
  </si>
  <si>
    <t>995516 - Tabela 4</t>
  </si>
  <si>
    <t>795441 - Tabela 1</t>
  </si>
  <si>
    <t>795442 - Tabela 2</t>
  </si>
  <si>
    <t>INST RIB PRETO</t>
  </si>
  <si>
    <t>785901 - Tabela 1</t>
  </si>
  <si>
    <t>785902 - Tabela 2</t>
  </si>
  <si>
    <t>785903 - Tabela 3</t>
  </si>
  <si>
    <t>785904 - Tabela 4</t>
  </si>
  <si>
    <t>785905 - Tabela 5</t>
  </si>
  <si>
    <t>IPSA STO ANDRE</t>
  </si>
  <si>
    <t>701561 - Tabela 1</t>
  </si>
  <si>
    <t>701562 - Tabela 2</t>
  </si>
  <si>
    <t>701563 - Tabela 3</t>
  </si>
  <si>
    <t>701565 - Tabela 4</t>
  </si>
  <si>
    <t>701566 - Tabela 5</t>
  </si>
  <si>
    <t>PREF CAPIVARI</t>
  </si>
  <si>
    <t>735711 - Tabela 1</t>
  </si>
  <si>
    <t>735712 - Tabela 2</t>
  </si>
  <si>
    <t>735713 - Tabela 3</t>
  </si>
  <si>
    <t>PREF RIB PRETO</t>
  </si>
  <si>
    <t>795101 - Tabela 1</t>
  </si>
  <si>
    <t>795102 - Tabela 2</t>
  </si>
  <si>
    <t>795103 - Tabela 3</t>
  </si>
  <si>
    <t>795104 - Tabela 4</t>
  </si>
  <si>
    <t>795561 - Tabela 1</t>
  </si>
  <si>
    <t>PREF V GRANDE</t>
  </si>
  <si>
    <t>755051 - Tabela 1</t>
  </si>
  <si>
    <t>755052 - Tabela 2</t>
  </si>
  <si>
    <t>PMFXCAR</t>
  </si>
  <si>
    <t>pmfxcar</t>
  </si>
  <si>
    <t>PREF BIRITIBA M</t>
  </si>
  <si>
    <t>995190 - Tabela 1</t>
  </si>
  <si>
    <t>995191 - Tabela 2</t>
  </si>
  <si>
    <t>995192 - Tabela 3</t>
  </si>
  <si>
    <t>995193 - Tabela 4</t>
  </si>
  <si>
    <t>PREF S LUIS</t>
  </si>
  <si>
    <t>PREF VOTUPORANG</t>
  </si>
  <si>
    <t>765361 - Tabela 1</t>
  </si>
  <si>
    <t>765362 - Tabela 2</t>
  </si>
  <si>
    <t>745136 - Tabela 1</t>
  </si>
  <si>
    <t>GOV RORAIMA SGG</t>
  </si>
  <si>
    <t>775401 - Tabela 1</t>
  </si>
  <si>
    <t>775402 - Tabela 2</t>
  </si>
  <si>
    <t>775403 - Tabela 3</t>
  </si>
  <si>
    <t>775411 - Tabela 1</t>
  </si>
  <si>
    <t>775412 - Tabela 2</t>
  </si>
  <si>
    <t>775413 - Tabela 3</t>
  </si>
  <si>
    <t>PREF PARELHAS</t>
  </si>
  <si>
    <t>315041 - Tabela 1</t>
  </si>
  <si>
    <t>PREF SJ CAMPOS</t>
  </si>
  <si>
    <t>735701 - Tabela 1</t>
  </si>
  <si>
    <t>735702 - Tabela 2</t>
  </si>
  <si>
    <t>735703 - Tabela 3</t>
  </si>
  <si>
    <t>735704 - Tabela 4</t>
  </si>
  <si>
    <t>PREF DIADEMA</t>
  </si>
  <si>
    <t>785205 - Tabela 3</t>
  </si>
  <si>
    <t>PREF DIADEMA CLT</t>
  </si>
  <si>
    <t>785206 - Tabela 3</t>
  </si>
  <si>
    <t>725262 - Tabela 4</t>
  </si>
  <si>
    <t>865011 - Tabela 1</t>
  </si>
  <si>
    <t>865012 - Tabela 2</t>
  </si>
  <si>
    <t>725571 - Tabela 1</t>
  </si>
  <si>
    <t>725572 - Tabela 2</t>
  </si>
  <si>
    <t>725573 - Tabela 3</t>
  </si>
  <si>
    <t>725574 - Tabela 4</t>
  </si>
  <si>
    <t>725250 - Tabela 1</t>
  </si>
  <si>
    <t>905038 - Tabela 1</t>
  </si>
  <si>
    <t>905039 - Tabela 2</t>
  </si>
  <si>
    <t>PREF POUSO ALEG</t>
  </si>
  <si>
    <t>903038 - Tabela 1</t>
  </si>
  <si>
    <t>903049 - Tabela 2</t>
  </si>
  <si>
    <t>745761 - Tabela 1</t>
  </si>
  <si>
    <t>GOV CE</t>
  </si>
  <si>
    <t>765106 - Tabela 2</t>
  </si>
  <si>
    <t>765107 - Tabela 3</t>
  </si>
  <si>
    <t>765108 - Tabela 4</t>
  </si>
  <si>
    <t>734559 - Tabela 6</t>
  </si>
  <si>
    <t>IPM MARACANAÚ</t>
  </si>
  <si>
    <t>885701 - Tabela 1</t>
  </si>
  <si>
    <t>885702 - Tabela 2</t>
  </si>
  <si>
    <t>885703 - Tabela 3</t>
  </si>
  <si>
    <t>885704 - Tabela 4</t>
  </si>
  <si>
    <t>793281 - Tabela 1</t>
  </si>
  <si>
    <t>705482 - Tabela 2</t>
  </si>
  <si>
    <t>785331 - Tabela 1</t>
  </si>
  <si>
    <t>785332 - Tabela 2</t>
  </si>
  <si>
    <t>785333 - Tabela 3</t>
  </si>
  <si>
    <t>785334 - Tabela 4</t>
  </si>
  <si>
    <t>735841 - Tabela 1</t>
  </si>
  <si>
    <t>735843 - Tabela 2</t>
  </si>
  <si>
    <t>735842 - Tabela 1</t>
  </si>
  <si>
    <t>735844 - Tabela 2</t>
  </si>
  <si>
    <t>725871 - Tabela 1</t>
  </si>
  <si>
    <t>725872 - Tabela 2</t>
  </si>
  <si>
    <t>725873 - Tabela 3</t>
  </si>
  <si>
    <t>905123 - Tabela 2</t>
  </si>
  <si>
    <t>765051 - Tabela 1</t>
  </si>
  <si>
    <t>PREF CAIEIRAS</t>
  </si>
  <si>
    <t>795901 - Tabela 1</t>
  </si>
  <si>
    <t>795902 - Tabela 2</t>
  </si>
  <si>
    <t>795903 - Tabela 3</t>
  </si>
  <si>
    <t>PREF CAMAÇARI</t>
  </si>
  <si>
    <t>881019 - Tabela 1</t>
  </si>
  <si>
    <t>881068 - Tabela 2</t>
  </si>
  <si>
    <t>881030 - Tabela 3</t>
  </si>
  <si>
    <t>881107 - Tabela 4</t>
  </si>
  <si>
    <t>881108 - Tabela 5</t>
  </si>
  <si>
    <t>745811 - Tabela 1</t>
  </si>
  <si>
    <t>745812 - Tabela 2</t>
  </si>
  <si>
    <t>PREF MAUA</t>
  </si>
  <si>
    <t>995231 - Tabela 1</t>
  </si>
  <si>
    <t>995232 - Tabela 2</t>
  </si>
  <si>
    <t>995233 - Tabela 3</t>
  </si>
  <si>
    <t>765363 - Tabela 3</t>
  </si>
  <si>
    <t>715861 - Tabela 1</t>
  </si>
  <si>
    <t>715862 - Tabela 2</t>
  </si>
  <si>
    <t>715863 - Tabela 3</t>
  </si>
  <si>
    <t>715864 - Tabela 4</t>
  </si>
  <si>
    <t>EMBASA - AOL</t>
  </si>
  <si>
    <t>715141 - Tabela 1</t>
  </si>
  <si>
    <t>715142 - Tabela 2</t>
  </si>
  <si>
    <t>715143 - Tabela 3</t>
  </si>
  <si>
    <t>715144 - Tabela 4</t>
  </si>
  <si>
    <t>795671 - Tabela 1</t>
  </si>
  <si>
    <t>795672 - Tabela 2</t>
  </si>
  <si>
    <t>795673 - Tabela 3</t>
  </si>
  <si>
    <t>795675 - Tabela 5</t>
  </si>
  <si>
    <t>705324 - Tabela 1</t>
  </si>
  <si>
    <t>705326 - Tabela 3</t>
  </si>
  <si>
    <t>705329 - Tabela 5</t>
  </si>
  <si>
    <t>705330 - Tabela 6</t>
  </si>
  <si>
    <t>725071 - Tabela 1</t>
  </si>
  <si>
    <t>725072 - Tabela 2</t>
  </si>
  <si>
    <t>725073 - Tabela 3</t>
  </si>
  <si>
    <t>725074 - Tabela 4</t>
  </si>
  <si>
    <t>725075 - Tabela 5</t>
  </si>
  <si>
    <t>tx minima</t>
  </si>
  <si>
    <t>PREF MARACANAU</t>
  </si>
  <si>
    <t>885711 - Tabela 1</t>
  </si>
  <si>
    <t>885712 - Tabela 2</t>
  </si>
  <si>
    <t>885713 - Tabela 3</t>
  </si>
  <si>
    <t>885714 - Tabela 4</t>
  </si>
  <si>
    <t>885715 - Tabela 5</t>
  </si>
  <si>
    <t>885716 - Tabela 6</t>
  </si>
  <si>
    <t>315051 - Tabela 1</t>
  </si>
  <si>
    <t>PREV CUBATAO</t>
  </si>
  <si>
    <t>743991 - Tabela 1</t>
  </si>
  <si>
    <t>743992 - Tabela 2</t>
  </si>
  <si>
    <t>743993 - Tabela 3</t>
  </si>
  <si>
    <t>705183 - Tabela 2</t>
  </si>
  <si>
    <t>705185 - Tabela 3</t>
  </si>
  <si>
    <t>705187 - Tabela 4</t>
  </si>
  <si>
    <t>705171 - Tabela 1</t>
  </si>
  <si>
    <t>705172 - Tabela 2</t>
  </si>
  <si>
    <t>705073 - Tabela 3</t>
  </si>
  <si>
    <t>705074 - Tabela 4</t>
  </si>
  <si>
    <t>705075 - Tabela 5</t>
  </si>
  <si>
    <t>705076 - Tabela 6</t>
  </si>
  <si>
    <t>705077 - Tabela 7</t>
  </si>
  <si>
    <t>785201 - Tabela 1</t>
  </si>
  <si>
    <t>785203 - Tabela 2</t>
  </si>
  <si>
    <t>785202 - Tabela 1</t>
  </si>
  <si>
    <t>785204 - Tabela 2</t>
  </si>
  <si>
    <t>745791 - Tabela 1</t>
  </si>
  <si>
    <t>745793 - Tabela 3</t>
  </si>
  <si>
    <t>745795 - Tabela 4</t>
  </si>
  <si>
    <t>794021 - Tabela 1</t>
  </si>
  <si>
    <t>794022 - Tabela 2</t>
  </si>
  <si>
    <t>794000 - Tabela 4</t>
  </si>
  <si>
    <t>785801 - Tabela 1</t>
  </si>
  <si>
    <t>785802 - Tabela 2</t>
  </si>
  <si>
    <t>785804 - Tabela 4</t>
  </si>
  <si>
    <t>785805 - Tabela 5</t>
  </si>
  <si>
    <t>735705 - Tabela 5</t>
  </si>
  <si>
    <t>745145 - Tabela 5</t>
  </si>
  <si>
    <t>745165 - Tabela 6</t>
  </si>
  <si>
    <t>745175 - Tabela 7</t>
  </si>
  <si>
    <t>715135 - Tabela 5</t>
  </si>
  <si>
    <t>705533 - Tabela 3</t>
  </si>
  <si>
    <t>775792 - Tabela 2</t>
  </si>
  <si>
    <t>765109 - Tabela 5</t>
  </si>
  <si>
    <t>765110 - Tabela 6</t>
  </si>
  <si>
    <t>945192 - Tabela 2</t>
  </si>
  <si>
    <t>795321 - Tabela 1</t>
  </si>
  <si>
    <t>795322 - Tabela 2</t>
  </si>
  <si>
    <t>795323 - Tabela 3</t>
  </si>
  <si>
    <t>795324 - Tabela 4</t>
  </si>
  <si>
    <t>PREF IMBITUBA</t>
  </si>
  <si>
    <t>845001 - Tabela 1</t>
  </si>
  <si>
    <t>845002 - Tabela 2</t>
  </si>
  <si>
    <t>PREF ITAPIPOCA</t>
  </si>
  <si>
    <t>795331 - Tabela 1</t>
  </si>
  <si>
    <t>795332 - Tabela 2</t>
  </si>
  <si>
    <t>795333 - Tabela 3</t>
  </si>
  <si>
    <t>795372 - Tabela 2</t>
  </si>
  <si>
    <t>793283 - Tabela 3</t>
  </si>
  <si>
    <t>315042 - Tabela 2</t>
  </si>
  <si>
    <t>315043 - Tabela 3</t>
  </si>
  <si>
    <t>315044 - Tabela 4</t>
  </si>
  <si>
    <t>795541 - Tabela 1</t>
  </si>
  <si>
    <t>795542 - Tabela 2</t>
  </si>
  <si>
    <t>795545 - Tabela 5</t>
  </si>
  <si>
    <t>785803 - Tabela 3</t>
  </si>
  <si>
    <t>865014 - Tabela 4</t>
  </si>
  <si>
    <t>865015 - Tabela 5</t>
  </si>
  <si>
    <t>775758 - Tabela 2</t>
  </si>
  <si>
    <t>705771 - Tabela 1</t>
  </si>
  <si>
    <t>705773 - Tabela 2</t>
  </si>
  <si>
    <t>705775 - Tabela 3</t>
  </si>
  <si>
    <t>705772 - Tabela 1</t>
  </si>
  <si>
    <t>705774 - Tabela 2</t>
  </si>
  <si>
    <t>705776 - Tabela 3</t>
  </si>
  <si>
    <t>905126 - Tabela 4</t>
  </si>
  <si>
    <t>905127 - Tabela 4</t>
  </si>
  <si>
    <t>905128 - Tabela 5</t>
  </si>
  <si>
    <t>905129 - Tabela 5</t>
  </si>
  <si>
    <t>905130 - Tabela 6</t>
  </si>
  <si>
    <t>905131 - Tabela 6</t>
  </si>
  <si>
    <t>PREF SALTO</t>
  </si>
  <si>
    <t>PREF ST ANDRE</t>
  </si>
  <si>
    <t>702525 - Tabela 1</t>
  </si>
  <si>
    <t>702526 - Tabela 2</t>
  </si>
  <si>
    <t>702527 - Tabela 3</t>
  </si>
  <si>
    <t>702530 - Tabela 4</t>
  </si>
  <si>
    <t>702531 - Tabela 5</t>
  </si>
  <si>
    <t>715461 - Tabela 1</t>
  </si>
  <si>
    <t>715462 - Tabela 2</t>
  </si>
  <si>
    <t>715463 - Tabela 3</t>
  </si>
  <si>
    <t>715464 - Tabela 4</t>
  </si>
  <si>
    <t>715465 - Tabela 5</t>
  </si>
  <si>
    <t>575471 - Tabela 1</t>
  </si>
  <si>
    <t>575472 - Tabela 2</t>
  </si>
  <si>
    <t>575473 - Tabela 3</t>
  </si>
  <si>
    <t>575474 - Tabela 4</t>
  </si>
  <si>
    <t>705411 - Tabela 1</t>
  </si>
  <si>
    <t>705412 - Tabela 2</t>
  </si>
  <si>
    <t>705413 - Tabela 3</t>
  </si>
  <si>
    <t>705414 - Tabela 4</t>
  </si>
  <si>
    <t>795953 - Tabela 4</t>
  </si>
  <si>
    <t>795955 - Tabela 5</t>
  </si>
  <si>
    <t>795612 - Tabela 2</t>
  </si>
  <si>
    <t>795613 - Tabela 3</t>
  </si>
  <si>
    <t>765444 - Tabela 4</t>
  </si>
  <si>
    <t>765445 - Tabela 5</t>
  </si>
  <si>
    <t>315052 - Tabela 2</t>
  </si>
  <si>
    <t>315053 - Tabela 3</t>
  </si>
  <si>
    <t>315054 - Tabela 4</t>
  </si>
  <si>
    <t>734021 - Tabela 1</t>
  </si>
  <si>
    <t>734032 - Tabela 2</t>
  </si>
  <si>
    <t>734033 - Tabela 3</t>
  </si>
  <si>
    <t>804048 - Tabela 4</t>
  </si>
  <si>
    <t>776501 - Tabela 1</t>
  </si>
  <si>
    <t>776502 - Tabela 1</t>
  </si>
  <si>
    <t>735845 - Tabela 3</t>
  </si>
  <si>
    <t>735846 - Tabela 3</t>
  </si>
  <si>
    <t>GOV TOCANTINS</t>
  </si>
  <si>
    <t>PREF MARILIA</t>
  </si>
  <si>
    <t>PREV ITANHAEM</t>
  </si>
  <si>
    <t>TJ DF</t>
  </si>
  <si>
    <t>734034 - Tabela 4</t>
  </si>
  <si>
    <t>996040 - Tabela 1</t>
  </si>
  <si>
    <t>996041 - Tabela 2</t>
  </si>
  <si>
    <t>996043 - Tabela 3</t>
  </si>
  <si>
    <t>985370 - Tabela 1</t>
  </si>
  <si>
    <t>725471 - Tabela 1</t>
  </si>
  <si>
    <t>725472 - Tabela 2</t>
  </si>
  <si>
    <t>725473 - Tabela 3</t>
  </si>
  <si>
    <t>725474 - Tabela 4</t>
  </si>
  <si>
    <t>725475 - Tabela 5</t>
  </si>
  <si>
    <t>725476 - Tabela 6</t>
  </si>
  <si>
    <t>PREF BAURU</t>
  </si>
  <si>
    <t>235884 - Tabela 1</t>
  </si>
  <si>
    <t>235885 - Tabela 2</t>
  </si>
  <si>
    <t>235886 - Tabela 3</t>
  </si>
  <si>
    <t>235887 - Tabela 4</t>
  </si>
  <si>
    <t>235889 - Tabela 5</t>
  </si>
  <si>
    <t>PREF ITANHAEM</t>
  </si>
  <si>
    <t>IPASP - AOL</t>
  </si>
  <si>
    <t>776521 - Tabela 1</t>
  </si>
  <si>
    <t>PREF BOITUVA</t>
  </si>
  <si>
    <t>775440 - Tabela 1</t>
  </si>
  <si>
    <t>775441 - Tabela 2</t>
  </si>
  <si>
    <t>775442 - Tabela 3</t>
  </si>
  <si>
    <t>795105 - Tabela 5</t>
  </si>
  <si>
    <t>745181 - Tabela 1</t>
  </si>
  <si>
    <t>745183 - Tabela 2</t>
  </si>
  <si>
    <t>745185 - Tabela 3</t>
  </si>
  <si>
    <t>745187 - Tabela 4</t>
  </si>
  <si>
    <t>745182 - Tabela 1</t>
  </si>
  <si>
    <t>745184 - Tabela 2</t>
  </si>
  <si>
    <t>745186 - Tabela 3</t>
  </si>
  <si>
    <t>782021 - Tabela 5</t>
  </si>
  <si>
    <t>725130 - Tabela 1</t>
  </si>
  <si>
    <t>725134 - Tabela 5</t>
  </si>
  <si>
    <t>725135 - Tabela 6</t>
  </si>
  <si>
    <t>725120 - Tabela 1</t>
  </si>
  <si>
    <t>Tabela - 2       1,80%</t>
  </si>
  <si>
    <t>Tabela - 3       1,77%</t>
  </si>
  <si>
    <t>Tabela - 4      1,74%</t>
  </si>
  <si>
    <t>Tabela - 5     1,71%</t>
  </si>
  <si>
    <t>Tabela - 6        1,68%</t>
  </si>
  <si>
    <t>Tabela - 7        1,66%</t>
  </si>
  <si>
    <t>Tabela - 1       1,85%</t>
  </si>
  <si>
    <t>705078 - Tabela 8</t>
  </si>
  <si>
    <t>795731 - Tabela 1</t>
  </si>
  <si>
    <t>795732 - Tabela 2</t>
  </si>
  <si>
    <t>795733 - Tabela 3</t>
  </si>
  <si>
    <t>795734 - Tabela 4</t>
  </si>
  <si>
    <t>795650 - Tabela 1</t>
  </si>
  <si>
    <t>795651 - Tabela 2</t>
  </si>
  <si>
    <t>795652 - Tabela 3</t>
  </si>
  <si>
    <t>795653 - Tabela 4</t>
  </si>
  <si>
    <t>795654 - Tabela 5</t>
  </si>
  <si>
    <t>PREF MONTES CLA</t>
  </si>
  <si>
    <t>795171 - Tabela 1</t>
  </si>
  <si>
    <t>795106 - Tabela 6</t>
  </si>
  <si>
    <t>725875 - Tabela 5</t>
  </si>
  <si>
    <t>735751 - Tabela 1</t>
  </si>
  <si>
    <t>735752 - Tabela 2</t>
  </si>
  <si>
    <t>735753 - Tabela 3</t>
  </si>
  <si>
    <t>735754 - Tabela 4</t>
  </si>
  <si>
    <t>PREF RIB NEVES</t>
  </si>
  <si>
    <t>TJ ESP SANTO - ESPECIAL</t>
  </si>
  <si>
    <t>702532 - Tabela 6</t>
  </si>
  <si>
    <t>702533 - Tabela 7</t>
  </si>
  <si>
    <t>702534 - Tabela 8</t>
  </si>
  <si>
    <t>765631 - Tabela 1</t>
  </si>
  <si>
    <t>765632 - Tabela 2</t>
  </si>
  <si>
    <t>765633 - Tabela 3</t>
  </si>
  <si>
    <t>765634 - Tabela 4</t>
  </si>
  <si>
    <t>765635 - Tabela 5</t>
  </si>
  <si>
    <t>765636 - Tabela 6</t>
  </si>
  <si>
    <t>765637 - Tabela 7</t>
  </si>
  <si>
    <t>765638 - Tabela 8</t>
  </si>
  <si>
    <t>765639 - Tabela 9</t>
  </si>
  <si>
    <t>765641 - Tabela 1</t>
  </si>
  <si>
    <t>765642 - Tabela 2</t>
  </si>
  <si>
    <t>765643 - Tabela 3</t>
  </si>
  <si>
    <t>765644 - Tabela 4</t>
  </si>
  <si>
    <t>765645 - Tabela 5</t>
  </si>
  <si>
    <t>765646 - Tabela 6</t>
  </si>
  <si>
    <t>765647 - Tabela 7</t>
  </si>
  <si>
    <t>765648 - Tabela 8</t>
  </si>
  <si>
    <t>765649 - Tabela 9</t>
  </si>
  <si>
    <t>715171 - Tabela 1</t>
  </si>
  <si>
    <t>715172 - Tabela 2</t>
  </si>
  <si>
    <t>715173 - Tabela 3</t>
  </si>
  <si>
    <t>715174 - Tabela 4</t>
  </si>
  <si>
    <t>715175 - Tabela 5</t>
  </si>
  <si>
    <t>715176 - Tabela 6</t>
  </si>
  <si>
    <t>735891 - Tabela 1</t>
  </si>
  <si>
    <t>735892 - Tabela 2</t>
  </si>
  <si>
    <t>735893 - Tabela 3</t>
  </si>
  <si>
    <t>995517 - Tabela 5</t>
  </si>
  <si>
    <t>995521 - Tabela 6</t>
  </si>
  <si>
    <t>775289 - Tabela 2</t>
  </si>
  <si>
    <t>776510 - Tabela 3</t>
  </si>
  <si>
    <t>776512 - Tabela 4</t>
  </si>
  <si>
    <t>776514 - Tabela 5</t>
  </si>
  <si>
    <t>776516 - Tabela 6</t>
  </si>
  <si>
    <t>775290 - Tabela 2</t>
  </si>
  <si>
    <t>776511 - Tabela 3</t>
  </si>
  <si>
    <t>776513 - Tabela 4</t>
  </si>
  <si>
    <t>776515 - Tabela 5</t>
  </si>
  <si>
    <t>776517 - Tabela 6</t>
  </si>
  <si>
    <t>705591 - Tabela 1</t>
  </si>
  <si>
    <t>705592 - Tabela 2</t>
  </si>
  <si>
    <t>705593 - Tabela 3</t>
  </si>
  <si>
    <t>725025 - Tabela 5</t>
  </si>
  <si>
    <t>725029 - Tabela 6</t>
  </si>
  <si>
    <t>725030 - Tabela 7</t>
  </si>
  <si>
    <t>725036 - Tabela 8</t>
  </si>
  <si>
    <t>745762 - Tabela 2</t>
  </si>
  <si>
    <t>745763 - Tabela 3</t>
  </si>
  <si>
    <t>745764 - Tabela 4</t>
  </si>
  <si>
    <t>745767 - Tabela 5</t>
  </si>
  <si>
    <t>776531 - Tabela 1</t>
  </si>
  <si>
    <t>825122 - Tabela 1</t>
  </si>
  <si>
    <t>825123 - Tabela 2</t>
  </si>
  <si>
    <t>825124 - Tabela 3</t>
  </si>
  <si>
    <t>825125 - Tabela 4</t>
  </si>
  <si>
    <t>825126 - Tabela 5</t>
  </si>
  <si>
    <t>825127 - Tabela 6</t>
  </si>
  <si>
    <t>825128 - Tabela 7</t>
  </si>
  <si>
    <t>765180 - Tabela 1</t>
  </si>
  <si>
    <t>765181 - Tabela 2</t>
  </si>
  <si>
    <t>765182 - Tabela 3</t>
  </si>
  <si>
    <t>765183 - Tabela 4</t>
  </si>
  <si>
    <t>765184 - Tabela 5</t>
  </si>
  <si>
    <t>765185 - Tabela 6</t>
  </si>
  <si>
    <t>TJ MS</t>
  </si>
  <si>
    <t>765891 - Tabela 1</t>
  </si>
  <si>
    <t>765892 - Tabela 2</t>
  </si>
  <si>
    <t>765893 - Tabela 3</t>
  </si>
  <si>
    <t>765894 - Tabela 4</t>
  </si>
  <si>
    <t>765895 - Tabela 5</t>
  </si>
  <si>
    <t>765896 - Tabela 6</t>
  </si>
  <si>
    <t>765897 - Tabela 7</t>
  </si>
  <si>
    <t>765898 - Tabela 8</t>
  </si>
  <si>
    <t>795491 - Tabela 1</t>
  </si>
  <si>
    <t>795492 - Tabela 2</t>
  </si>
  <si>
    <t>795493 - Tabela 3</t>
  </si>
  <si>
    <t>795494 - Tabela 4</t>
  </si>
  <si>
    <t>795495 - Tabela 5</t>
  </si>
  <si>
    <t>795496 - Tabela 6</t>
  </si>
  <si>
    <t>795497 - Tabela 7</t>
  </si>
  <si>
    <t>795498 - Tabela 8</t>
  </si>
  <si>
    <t>795499 - Tabela 9</t>
  </si>
  <si>
    <t>ASSISPREV</t>
  </si>
  <si>
    <t>715271 - Tabela 1</t>
  </si>
  <si>
    <t>715272 - Tabela 2</t>
  </si>
  <si>
    <t>715273 - Tabela 3</t>
  </si>
  <si>
    <t>715274 - Tabela 4</t>
  </si>
  <si>
    <t>715275 - Tabela 5</t>
  </si>
  <si>
    <t>755130 - Tabela 1</t>
  </si>
  <si>
    <t>755131 - Tabela 2</t>
  </si>
  <si>
    <t>755132 - Tabela 3</t>
  </si>
  <si>
    <t>755133 - Tabela 4</t>
  </si>
  <si>
    <t>755134 - Tabela 5</t>
  </si>
  <si>
    <t>755135 - Tabela 6</t>
  </si>
  <si>
    <t>705079 - Tabela 9</t>
  </si>
  <si>
    <t>815125 - Tabela 5</t>
  </si>
  <si>
    <t>815126 - Tabela 5</t>
  </si>
  <si>
    <t>745779 - Tabela 5</t>
  </si>
  <si>
    <t>745780 - Tabela 5</t>
  </si>
  <si>
    <t>755544 - Tabela 4</t>
  </si>
  <si>
    <t>755545 - Tabela 5</t>
  </si>
  <si>
    <t>755546 - Tabela 6</t>
  </si>
  <si>
    <t>705338 - Tabela 7</t>
  </si>
  <si>
    <t>705339 - Tabela 8</t>
  </si>
  <si>
    <t>215003 - Tabela 4</t>
  </si>
  <si>
    <t>PREF CANELA RS</t>
  </si>
  <si>
    <t>725181 - Tabela 1</t>
  </si>
  <si>
    <t>725182 - Tabela 2</t>
  </si>
  <si>
    <t>725183 - Tabela 3</t>
  </si>
  <si>
    <t>725184 - Tabela 4</t>
  </si>
  <si>
    <t>745881 - Tabela 1</t>
  </si>
  <si>
    <t>745785 - Tabela 5</t>
  </si>
  <si>
    <t>745786 - Tabela 6</t>
  </si>
  <si>
    <t>745787 - Tabela 7</t>
  </si>
  <si>
    <t>795701 - Tabela 1</t>
  </si>
  <si>
    <t>795703 - Tabela 2</t>
  </si>
  <si>
    <t>795705 - Tabela 3</t>
  </si>
  <si>
    <t>795707 - Tabela 4</t>
  </si>
  <si>
    <t>795702 - Tabela 1</t>
  </si>
  <si>
    <t>795704 - Tabela 2</t>
  </si>
  <si>
    <t>795706 - Tabela 3</t>
  </si>
  <si>
    <t>795708 - Tabela 4</t>
  </si>
  <si>
    <t>PREF VERA CRUZ</t>
  </si>
  <si>
    <t>795771 - Tabela 1</t>
  </si>
  <si>
    <t>795772 - Tabela 2</t>
  </si>
  <si>
    <t>795773 - Tabela 3</t>
  </si>
  <si>
    <t>795774 - Tabela 4</t>
  </si>
  <si>
    <t>795957 - Tabela 6</t>
  </si>
  <si>
    <t>745189 - Tabela 5</t>
  </si>
  <si>
    <t>745190 - Tabela 5</t>
  </si>
  <si>
    <t>PREF UBERLANDIA</t>
  </si>
  <si>
    <t>725141 - Tabela 1</t>
  </si>
  <si>
    <t>725142 - Tabela 2</t>
  </si>
  <si>
    <t>725143 - Tabela 3</t>
  </si>
  <si>
    <t>235858 - Tabela 1</t>
  </si>
  <si>
    <t>235865 - Tabela 2</t>
  </si>
  <si>
    <t>235866 - Tabela 3</t>
  </si>
  <si>
    <t>235867 - Tabela 4</t>
  </si>
  <si>
    <t>235868 - Tabela 5</t>
  </si>
  <si>
    <t>235869 - Tabela 6</t>
  </si>
  <si>
    <t>235878 - Tabela 7</t>
  </si>
  <si>
    <t>235879 - Tabela 8</t>
  </si>
  <si>
    <t>715574 - Tabela 4</t>
  </si>
  <si>
    <t>715575 - Tabela 5</t>
  </si>
  <si>
    <t>PREF CATANDUVA</t>
  </si>
  <si>
    <t>765351 - Tabela 1</t>
  </si>
  <si>
    <t>765352 - Tabela 2</t>
  </si>
  <si>
    <t>765353 - Tabela 3</t>
  </si>
  <si>
    <t>765354 - Tabela 4</t>
  </si>
  <si>
    <t>745239 - Tabela 8</t>
  </si>
  <si>
    <t>705188 - Tabela 5</t>
  </si>
  <si>
    <t>705191 - Tabela 6</t>
  </si>
  <si>
    <t>705192 - Tabela 7</t>
  </si>
  <si>
    <t>705193 - Tabela 8</t>
  </si>
  <si>
    <t>GOV SC</t>
  </si>
  <si>
    <t>765071 - Tabela 1</t>
  </si>
  <si>
    <t>765072 - Tabela 2</t>
  </si>
  <si>
    <t>765073 - Tabela 3</t>
  </si>
  <si>
    <t>765074 - Tabela 4</t>
  </si>
  <si>
    <t>765075 - Tabela 5</t>
  </si>
  <si>
    <t>765076 - Tabela 6</t>
  </si>
  <si>
    <t>765077 - Tabela 7</t>
  </si>
  <si>
    <t>765078 - Tabela 8</t>
  </si>
  <si>
    <t>765079 - Tabela 9</t>
  </si>
  <si>
    <t>965612 - Tabela 1</t>
  </si>
  <si>
    <t>965613 - Tabela 2</t>
  </si>
  <si>
    <t>965614 - Tabela 3</t>
  </si>
  <si>
    <t>983024 - Tabela 1</t>
  </si>
  <si>
    <t>983058 - Tabela 2</t>
  </si>
  <si>
    <t>983059 - Tabela 3</t>
  </si>
  <si>
    <t>983060 - Tabela 4</t>
  </si>
  <si>
    <t>983061 - Tabela 5</t>
  </si>
  <si>
    <t>983062 - Tabela 6</t>
  </si>
  <si>
    <t>983063 - Tabela 7</t>
  </si>
  <si>
    <t>983064 - Tabela 8</t>
  </si>
  <si>
    <t>983065 - Tabela 9</t>
  </si>
  <si>
    <t>745044 - Tabela 4</t>
  </si>
  <si>
    <t>745045 - Tabela 5</t>
  </si>
  <si>
    <t>995584 - Tabela 4</t>
  </si>
  <si>
    <t>995585 - Tabela 5</t>
  </si>
  <si>
    <t>995586 - Tabela 6</t>
  </si>
  <si>
    <t>995597 - Tabela 7</t>
  </si>
  <si>
    <t>PREF COLINA SP</t>
  </si>
  <si>
    <t>705310 - Tabela 1</t>
  </si>
  <si>
    <t>705311 - Tabela 2</t>
  </si>
  <si>
    <t>705312 - Tabela 3</t>
  </si>
  <si>
    <t>705313 - Tabela 4</t>
  </si>
  <si>
    <t>GOV PARANA</t>
  </si>
  <si>
    <t>799113 - Tabela 4</t>
  </si>
  <si>
    <t>799114 - Tabela 5</t>
  </si>
  <si>
    <t>799115 - Tabela 6</t>
  </si>
  <si>
    <t>PREF PLANALTINA</t>
  </si>
  <si>
    <t>725361 - Tabela 1</t>
  </si>
  <si>
    <t>725362 - Tabela 2</t>
  </si>
  <si>
    <t>725363 - Tabela 3</t>
  </si>
  <si>
    <t>885717 - Tabela 7</t>
  </si>
  <si>
    <t>885718 - Tabela 8</t>
  </si>
  <si>
    <t>995234 - Tabela 4</t>
  </si>
  <si>
    <t>995248 - Tabela 5</t>
  </si>
  <si>
    <t>995249 - Tabela 6</t>
  </si>
  <si>
    <t>705121 - Tabela 1</t>
  </si>
  <si>
    <t>705122 - Tabela 2</t>
  </si>
  <si>
    <t>705123 - Tabela 3</t>
  </si>
  <si>
    <t>705124 - Tabela 4</t>
  </si>
  <si>
    <t>PREF CACERES</t>
  </si>
  <si>
    <t>721063 - Tabela 1</t>
  </si>
  <si>
    <t>721072 - Tabela 2</t>
  </si>
  <si>
    <t>721074 - Tabela 3</t>
  </si>
  <si>
    <t>PREF CACERES CLT</t>
  </si>
  <si>
    <t>721027 - Tabela 1</t>
  </si>
  <si>
    <t>721028 - Tabela 2</t>
  </si>
  <si>
    <t>721073 - Tabela 3</t>
  </si>
  <si>
    <t>PREF FORMIGA MG</t>
  </si>
  <si>
    <t>795451 - Tabela 1</t>
  </si>
  <si>
    <t>795452 - Tabela 2</t>
  </si>
  <si>
    <t>735181 - Tabela 1</t>
  </si>
  <si>
    <t>795915 - Tabela 1</t>
  </si>
  <si>
    <t>795939 - Tabela 2</t>
  </si>
  <si>
    <t>795950 - Tabela 3</t>
  </si>
  <si>
    <t>795952 - Tabela 4</t>
  </si>
  <si>
    <t>795954 - Tabela 5</t>
  </si>
  <si>
    <t>795956 - Tabela 6</t>
  </si>
  <si>
    <t>MUTUMPREV</t>
  </si>
  <si>
    <t>455071 - Tabela 1</t>
  </si>
  <si>
    <t>455072 - Tabela 2</t>
  </si>
  <si>
    <t>455073 - Tabela 3</t>
  </si>
  <si>
    <t>455074 - Tabela 4</t>
  </si>
  <si>
    <t>455075 - Tabela 5</t>
  </si>
  <si>
    <t>455076 - Tabela 6</t>
  </si>
  <si>
    <t>455077 - Tabela 7</t>
  </si>
  <si>
    <t>455078 - Tabela 8</t>
  </si>
  <si>
    <t>455079 - Tabela 9</t>
  </si>
  <si>
    <t>PREF LAJEADO</t>
  </si>
  <si>
    <t>795881 - Tabela 1</t>
  </si>
  <si>
    <t>795882 - Tabela 2</t>
  </si>
  <si>
    <t>795883 - Tabela 3</t>
  </si>
  <si>
    <t>795884 - Tabela 4</t>
  </si>
  <si>
    <t>795887 - Tabela 5</t>
  </si>
  <si>
    <t>743994 - Tabela 4</t>
  </si>
  <si>
    <t>743995 - Tabela 5</t>
  </si>
  <si>
    <t>795334 - Tabela 4</t>
  </si>
  <si>
    <t>(11) 5036-3728</t>
  </si>
  <si>
    <t>795614 - Tabela 4</t>
  </si>
  <si>
    <t>795615 - Tabela 5</t>
  </si>
  <si>
    <t>PREF GUARULHOS</t>
  </si>
  <si>
    <t>795601 - Tabela 1</t>
  </si>
  <si>
    <t>795603 - Tabela 2</t>
  </si>
  <si>
    <t>795605 - Tabela 3</t>
  </si>
  <si>
    <t>795607 - Tabela 4</t>
  </si>
  <si>
    <t>PREF UBERABA</t>
  </si>
  <si>
    <t>725061 - Tabela 1</t>
  </si>
  <si>
    <t>725062 - Tabela 2</t>
  </si>
  <si>
    <t>725063 - Tabela 3</t>
  </si>
  <si>
    <t>725124 - Tabela 5</t>
  </si>
  <si>
    <t>725125 - Tabela 6</t>
  </si>
  <si>
    <t>905132 - Tabela 7</t>
  </si>
  <si>
    <t>905133 - Tabela 7</t>
  </si>
  <si>
    <t>795403 - Tabela 2</t>
  </si>
  <si>
    <t>795404 - Tabela 3</t>
  </si>
  <si>
    <t>795405 - Tabela 4</t>
  </si>
  <si>
    <t>795407 - Tabela 5</t>
  </si>
  <si>
    <t>705579 - Tabela 4</t>
  </si>
  <si>
    <t>775685 - Tabela 5</t>
  </si>
  <si>
    <t>PREF PTA GROSSA</t>
  </si>
  <si>
    <t>995855 - Tabela 1</t>
  </si>
  <si>
    <t>PREF STA MARIA</t>
  </si>
  <si>
    <t>725671 - Tabela 1</t>
  </si>
  <si>
    <t>725672 - Tabela 2</t>
  </si>
  <si>
    <t>725673 - Tabela 3</t>
  </si>
  <si>
    <t>725674 - Tabela 4</t>
  </si>
  <si>
    <t>725675 - Tabela 5</t>
  </si>
  <si>
    <t>USP</t>
  </si>
  <si>
    <t>725541 - Tabela 1</t>
  </si>
  <si>
    <t>725543 - Tabela 2</t>
  </si>
  <si>
    <t>725545 - Tabela 3</t>
  </si>
  <si>
    <t>725547 - Tabela 4</t>
  </si>
  <si>
    <t>725549 - Tabela 5</t>
  </si>
  <si>
    <t>USP CLT</t>
  </si>
  <si>
    <t>725542 - Tabela 1</t>
  </si>
  <si>
    <t>725544 - Tabela 2</t>
  </si>
  <si>
    <t>725546 - Tabela 3</t>
  </si>
  <si>
    <t>725548 - Tabela 4</t>
  </si>
  <si>
    <t>725550 - Tabela 5</t>
  </si>
  <si>
    <t>702535 - Tabela 9</t>
  </si>
  <si>
    <t>PREF IPATINGA</t>
  </si>
  <si>
    <t>775561 - Tabela 1</t>
  </si>
  <si>
    <t>775562 - Tabela 2</t>
  </si>
  <si>
    <t>775563 - Tabela 3</t>
  </si>
  <si>
    <t>795073 - Tabela 3</t>
  </si>
  <si>
    <t>795074 - Tabela 4</t>
  </si>
  <si>
    <t>785120 - Tabela 1</t>
  </si>
  <si>
    <t>785122 - Tabela 2</t>
  </si>
  <si>
    <t>785123 - Tabela 3</t>
  </si>
  <si>
    <t>785125 - Tabela 4</t>
  </si>
  <si>
    <t>785126 - Tabela 5</t>
  </si>
  <si>
    <t>785127 - Tabela 6</t>
  </si>
  <si>
    <t>715071 - Tabela 1</t>
  </si>
  <si>
    <t>715072 - Tabela 2</t>
  </si>
  <si>
    <t>715073 - Tabela 3</t>
  </si>
  <si>
    <t>715074 - Tabela 4</t>
  </si>
  <si>
    <t>715075 - Tabela 5</t>
  </si>
  <si>
    <t>715076 - Tabela 6</t>
  </si>
  <si>
    <t>715077 - Tabela 7</t>
  </si>
  <si>
    <t>715078 - Tabela 8</t>
  </si>
  <si>
    <t>TICKE_MINIMO</t>
  </si>
  <si>
    <t>745813 - Tabela 3</t>
  </si>
  <si>
    <t>745814 - Tabela 4</t>
  </si>
  <si>
    <t>IPMO</t>
  </si>
  <si>
    <t>995670 - Tabela 1</t>
  </si>
  <si>
    <t>995671 - Tabela 2</t>
  </si>
  <si>
    <t>995672 - Tabela 3</t>
  </si>
  <si>
    <t>995673 - Tabela 4</t>
  </si>
  <si>
    <t>995674 - Tabela 5</t>
  </si>
  <si>
    <t>995791 - Tabela 1</t>
  </si>
  <si>
    <t>995792 - Tabela 2</t>
  </si>
  <si>
    <t>995793 - Tabela 3</t>
  </si>
  <si>
    <t>995794 - Tabela 4</t>
  </si>
  <si>
    <t>995795 - Tabela 5</t>
  </si>
  <si>
    <t>995772 - Tabela 1</t>
  </si>
  <si>
    <t>995773 - Tabela 2</t>
  </si>
  <si>
    <t>995774 - Tabela 3</t>
  </si>
  <si>
    <t>995775 - Tabela 4</t>
  </si>
  <si>
    <t>995776 - Tabela 5</t>
  </si>
  <si>
    <t>795546 - Tabela 6</t>
  </si>
  <si>
    <t>AUMENTO SALARIAL INSS 2026</t>
  </si>
  <si>
    <t xml:space="preserve">1 PENSAO POR MORTE - TRABALHADOR RURAL </t>
  </si>
  <si>
    <t xml:space="preserve">2 PENSAO POR MORTE ACIDENTARIA - TRABALHADOR RURAL </t>
  </si>
  <si>
    <t xml:space="preserve">3 PENSAO POR MORTE - EMPREGADOR RURAL </t>
  </si>
  <si>
    <t xml:space="preserve">4 APOSENTADORIA POR INVALIDEZ - TRABALHADOR RURAL </t>
  </si>
  <si>
    <t xml:space="preserve">5 APOSENTADORIA POR INVALIDEZ ACIDENTARIA - TRABALHADOR RURAL </t>
  </si>
  <si>
    <t xml:space="preserve">6 APOSENTADORIA INVALIDEZ - EMPREGADOR RURAL, </t>
  </si>
  <si>
    <t xml:space="preserve">7 APOSENTADORIA POR VELHICE - TRABALHADOR RURAL, </t>
  </si>
  <si>
    <t xml:space="preserve">8 APOSENTADORIA POR IDADE - EMPREGADOR RURAL </t>
  </si>
  <si>
    <t xml:space="preserve">11 AMPARO PREVIDENCIARIO POR INVALIDEZ - TRABALHADOR RURAL </t>
  </si>
  <si>
    <t xml:space="preserve">12 AMPARO PREVIDENCIARIO POR IDADE (MAIORES DE 70 ANOS) - TRABALHADOR RURAL </t>
  </si>
  <si>
    <t xml:space="preserve">18 AUXÍLIO INCLUSÃO </t>
  </si>
  <si>
    <t xml:space="preserve">19 PENSAO DE ESTUDANTE - LEI N.7004/82 </t>
  </si>
  <si>
    <t xml:space="preserve">20 PENSAO POR MORTE DE EX-DIPLOMATA - LEGISLACAO EX-IPASE </t>
  </si>
  <si>
    <t xml:space="preserve">21 PENSAO POR MORTE PREVIDENCIARIA </t>
  </si>
  <si>
    <t xml:space="preserve">22 PENSAO POR MORTE ESTATUTARIA </t>
  </si>
  <si>
    <t xml:space="preserve">23 PENSAO POR MORTE DE EX-COMBATENTE </t>
  </si>
  <si>
    <t xml:space="preserve">24 PENSAO ESPECIAL - ATO INSTITUCIONAL </t>
  </si>
  <si>
    <t xml:space="preserve">26 PENSAO POR MORTE ESPECIAL - LEI 593/48 </t>
  </si>
  <si>
    <t xml:space="preserve">27 PENSAO MORTE DE SERVIDOR PUBLICO FEDERAL </t>
  </si>
  <si>
    <t xml:space="preserve">28 PENSAO POR MORTE - REGIME GERAL (DECRETO N. 20465/31 </t>
  </si>
  <si>
    <t xml:space="preserve">29 PENSAO POR MORTE DE EX-COMBATENTE MARITIMO (LEI 1756/52) </t>
  </si>
  <si>
    <t xml:space="preserve">30 RENDA MENSAL VITALICIA POR INCAPACIDADE </t>
  </si>
  <si>
    <t xml:space="preserve">32 APOSENTADORIA POR INVALIDEZ PREVIDENCIARIA </t>
  </si>
  <si>
    <t xml:space="preserve">33 APOSENTADORIA POR INVALIDEZ DE AERONAUTA </t>
  </si>
  <si>
    <t xml:space="preserve">34 APOSENTADORIA POR INVALIDEZ DE EXCOMBATENTE MARITIMO - LEI 1756/52 </t>
  </si>
  <si>
    <t xml:space="preserve">37 APOSENTADORIA DE EXTRANUMERARIO DA CAPIN </t>
  </si>
  <si>
    <t xml:space="preserve">38 APOSENTADORIA DE EXTRANUMERARIO -  FUNCIONARIOS PUBLICOS FEDERAIS </t>
  </si>
  <si>
    <t xml:space="preserve">40 RENDA MENSAL VITALICIA POR IDADE (MAIORES DE 70 ANOS) - LEI 6179/74 </t>
  </si>
  <si>
    <t xml:space="preserve">41 APOSENTADORIA POR IDADE </t>
  </si>
  <si>
    <t xml:space="preserve">42 APOSENTADORIA POR TEMPO DE CONTRIBUICAO </t>
  </si>
  <si>
    <t xml:space="preserve">43 APOSENTADORIA TEMPO SERVICO - EXCOMBATENTE </t>
  </si>
  <si>
    <t xml:space="preserve">44 APOSENTADORIA ESPECIAL DE AERONAUTA </t>
  </si>
  <si>
    <t xml:space="preserve">45 APOSENTADORIA TEMPO SERVICO - JORNALISTA PROFISSIONAL </t>
  </si>
  <si>
    <t xml:space="preserve">46 APOSENTADORIA ESPECIAL </t>
  </si>
  <si>
    <t xml:space="preserve">49 APOSENTADORIA ORDINARIA </t>
  </si>
  <si>
    <t xml:space="preserve">51 APOSENTADORIA POR INVALIDEZ - EXTINTO PLANO BASICO </t>
  </si>
  <si>
    <t xml:space="preserve">52 APOSENTADORIA POR IDADE - EXTINTO PLANO BASICO </t>
  </si>
  <si>
    <t xml:space="preserve">54 PENSAO INDENIZATORIA A CARGO DA UNIAO </t>
  </si>
  <si>
    <t xml:space="preserve">55 PENSAO POR MORTE - EXTINTO PLANO BASICO </t>
  </si>
  <si>
    <t xml:space="preserve">56 PENSAO MENSAL VITALICIA - SINDROME DA TALIDOMIDA - LEI 7070/82 </t>
  </si>
  <si>
    <t xml:space="preserve">57 APOSENTADORIA POR TEMPO DE SERVICO DE PROFESSORES </t>
  </si>
  <si>
    <t xml:space="preserve">58 APOSENTADORIA DE ANISTIADOS - LEI N. 6683/79 </t>
  </si>
  <si>
    <t xml:space="preserve">59 PENSAO POR MORTE DE ANISTIADOS - LEI N.6683779 </t>
  </si>
  <si>
    <t xml:space="preserve">60 BENEFICIO INDENIZATORIO A CARGO DA UNIAO </t>
  </si>
  <si>
    <t xml:space="preserve">72 APOSENTADORIA TEMPO SERVICO - LEI DE GUERRA (1756/52) </t>
  </si>
  <si>
    <t xml:space="preserve">78 APOSENTADORIA POR IDADE - LEI DE GUERRA (1756/52) </t>
  </si>
  <si>
    <t xml:space="preserve">81 APOSENTADORIA COMPULSORIA - EX-SASSE </t>
  </si>
  <si>
    <t xml:space="preserve">82 APOSENTADORIA TEMPO SERVICO - EX-SASSE </t>
  </si>
  <si>
    <t xml:space="preserve">83 APOSENTADORIA POR INVALIDEZ - EX-SASSE </t>
  </si>
  <si>
    <t xml:space="preserve">84 PENSAO POR MORTE EX-SASSE </t>
  </si>
  <si>
    <t xml:space="preserve">87 BENEFÍCIO DE PRESTAÇÃO CONTINUADA A PESSOA COM DEFICIÊNCIA </t>
  </si>
  <si>
    <t xml:space="preserve">88 BENEFÍCIO DE PRESTAÇÃO CONTINUADA A PESSOA IDOSA </t>
  </si>
  <si>
    <t xml:space="preserve">89 PENSAO ESPECIAL VITIMAS HEMODIALISE - CARUARU </t>
  </si>
  <si>
    <t xml:space="preserve">92 APOSENTADORIA INVALIDEZ - ACIDENTE DO TRABALHO </t>
  </si>
  <si>
    <t xml:space="preserve">93 PENSAO POR MORTE POR ACIDENTE DE TRABALHO </t>
  </si>
  <si>
    <t xml:space="preserve">96 PENSAO ESPECIAL HANSENIASE LEI 11520/07 </t>
  </si>
  <si>
    <t>783064 - Tabela 1</t>
  </si>
  <si>
    <t>783065 - Tabela 2</t>
  </si>
  <si>
    <t>783066 - Tabela 3</t>
  </si>
  <si>
    <t>783067 - Tabela 4</t>
  </si>
  <si>
    <t>783068 - Tabela 5</t>
  </si>
  <si>
    <t>783069 - Tabela 6</t>
  </si>
  <si>
    <t>783080 - Tabela 7</t>
  </si>
  <si>
    <t>783081 - Tabela 8</t>
  </si>
  <si>
    <t>795335 - Tabela 5</t>
  </si>
  <si>
    <t>755071 - Tabela 1</t>
  </si>
  <si>
    <t>755072 - Tabela 2</t>
  </si>
  <si>
    <t>755073 - Tabela 3</t>
  </si>
  <si>
    <t>755075 - Tabela 5</t>
  </si>
  <si>
    <t>575476 - Tabela 5</t>
  </si>
  <si>
    <t>575477 - Tabela 6</t>
  </si>
  <si>
    <t>705534 - Tabela 4</t>
  </si>
  <si>
    <t>705535 - Tabela 5</t>
  </si>
  <si>
    <t>804049 - Tabela 5</t>
  </si>
  <si>
    <t>804106 - Tabela 6</t>
  </si>
  <si>
    <t>804167 - Tabela 7</t>
  </si>
  <si>
    <t>785953 - Tabela 3</t>
  </si>
  <si>
    <t>785954 - Tabela 4</t>
  </si>
  <si>
    <t>785955 - Tabela 5</t>
  </si>
  <si>
    <t>785956 - Tabela 6</t>
  </si>
  <si>
    <t>PREF FERRAZ-SP</t>
  </si>
  <si>
    <t>725151 - Tabela 1</t>
  </si>
  <si>
    <t>725152 - Tabela 2</t>
  </si>
  <si>
    <t>725153 - Tabela 3</t>
  </si>
  <si>
    <t>725154 - Tabela 4</t>
  </si>
  <si>
    <t>725155 - Tabela 5</t>
  </si>
  <si>
    <t>725156 - Tabela 6</t>
  </si>
  <si>
    <t>765446 - Tabela 6</t>
  </si>
  <si>
    <t>765447 - Tabela 7</t>
  </si>
  <si>
    <t>774085 - Tabela 1</t>
  </si>
  <si>
    <t>774086 - Tabela 2</t>
  </si>
  <si>
    <t>774087 - Tabela 3</t>
  </si>
  <si>
    <t>774089 - Tabela 5</t>
  </si>
  <si>
    <t>774090 - Tabela 6</t>
  </si>
  <si>
    <t>500008 - Tabela 1</t>
  </si>
  <si>
    <t>500009 - Tabela 2</t>
  </si>
  <si>
    <t>500010 - Tabela 3</t>
  </si>
  <si>
    <t>500016 - Tabela 4</t>
  </si>
  <si>
    <t>500017 - Tabela 5</t>
  </si>
  <si>
    <t>500019 - Tabela 6</t>
  </si>
  <si>
    <t>TJ AM</t>
  </si>
  <si>
    <t>705631 - Tabela 1</t>
  </si>
  <si>
    <t>705632 - Tabela 2</t>
  </si>
  <si>
    <t>705633 - Tabela 3</t>
  </si>
  <si>
    <t>705634 - Tabela 4</t>
  </si>
  <si>
    <t>705635 - Tabela 5</t>
  </si>
  <si>
    <t>705636 - Tabela 6</t>
  </si>
  <si>
    <t>705637 - Tabela 7</t>
  </si>
  <si>
    <t>705638 - Tabela 8</t>
  </si>
  <si>
    <t>Tabela - 8        1,62%</t>
  </si>
  <si>
    <t>Tabela - 9        1,60%</t>
  </si>
  <si>
    <t>Tabela - 10        1,58%</t>
  </si>
  <si>
    <t>Tabela - 11        1,56%</t>
  </si>
  <si>
    <t>2,14%**</t>
  </si>
  <si>
    <t>1,97%**</t>
  </si>
  <si>
    <t>1,91%**</t>
  </si>
  <si>
    <t>** Carteira com prazo de 84. Antes da mudança para 96</t>
  </si>
  <si>
    <t>PREF PALHOÇA</t>
  </si>
  <si>
    <t>799116 - Tabela 7</t>
  </si>
  <si>
    <t>799117 - Tabela 8</t>
  </si>
  <si>
    <t>799118 - Tabela 9</t>
  </si>
  <si>
    <t>765534 - Tabela 4</t>
  </si>
  <si>
    <t>765535 - Tabela 5</t>
  </si>
  <si>
    <t>765536 - Tabela 6</t>
  </si>
  <si>
    <t>765537 - Tabela 7</t>
  </si>
  <si>
    <t>755000 - Tabela 4</t>
  </si>
  <si>
    <t>755001 - Tabela 5</t>
  </si>
  <si>
    <t>755002 - Tabela 6</t>
  </si>
  <si>
    <t>775793 - Tabela 3</t>
  </si>
  <si>
    <t>795904 - Tabela 4</t>
  </si>
  <si>
    <t>795905 - Tabela 5</t>
  </si>
  <si>
    <t>795373 - Tabela 3</t>
  </si>
  <si>
    <t>775971 - Tabela 1</t>
  </si>
  <si>
    <t>775972 - Tabela 2</t>
  </si>
  <si>
    <t>775973 - Tabela 3</t>
  </si>
  <si>
    <t>775974 - Tabela 4</t>
  </si>
  <si>
    <t>775975 - Tabela 5</t>
  </si>
  <si>
    <t>775976 - Tabela 6</t>
  </si>
  <si>
    <t>715291 - Tabela 1</t>
  </si>
  <si>
    <t>715292 - Tabela 2</t>
  </si>
  <si>
    <t>715293 - Tabela 3</t>
  </si>
  <si>
    <t>715294 - Tabela 4</t>
  </si>
  <si>
    <t>715295 - Tabela 5</t>
  </si>
  <si>
    <t>795113 - Tabela 2</t>
  </si>
  <si>
    <t>795114 - Tabela 3</t>
  </si>
  <si>
    <t>795115 - Tabela 4</t>
  </si>
  <si>
    <t>795116 - Tabela 5</t>
  </si>
  <si>
    <t>795117 - Tabela 6</t>
  </si>
  <si>
    <t>795118 - Tabela 7</t>
  </si>
  <si>
    <t>795119 - Tabela 8</t>
  </si>
  <si>
    <t>885600 - Tabela 1</t>
  </si>
  <si>
    <t>885601 - Tabela 2</t>
  </si>
  <si>
    <t>885603 - Tabela 3</t>
  </si>
  <si>
    <t>755053 - Tabela 3</t>
  </si>
  <si>
    <t>755054 - Tabela 4</t>
  </si>
  <si>
    <t>755055 - Tabela 5</t>
  </si>
  <si>
    <t>755056 - Tabela 6</t>
  </si>
  <si>
    <t>915001 - Tabela 1</t>
  </si>
  <si>
    <t>915004 - Tabela 2</t>
  </si>
  <si>
    <t>915006 - Tabela 4</t>
  </si>
  <si>
    <t>915007 - Tabela 5</t>
  </si>
  <si>
    <t>915008 - Tabela 6</t>
  </si>
  <si>
    <t>915009 - Tabela 7</t>
  </si>
  <si>
    <t>915010 - Tabela 8</t>
  </si>
  <si>
    <t>915011 - Tabela 9</t>
  </si>
  <si>
    <t/>
  </si>
  <si>
    <t>0</t>
  </si>
  <si>
    <t xml:space="preserve">755501 - RFN - AMAZONPREV 1 </t>
  </si>
  <si>
    <t>1,75</t>
  </si>
  <si>
    <t>1</t>
  </si>
  <si>
    <t xml:space="preserve">755502 - RFN - AMAZONPREV 2 </t>
  </si>
  <si>
    <t xml:space="preserve">795491 - RFN - ASS. LEGISLATIVA ES 1 </t>
  </si>
  <si>
    <t>1,3</t>
  </si>
  <si>
    <t xml:space="preserve">795492 - RFN - ASS. LEGISLATIVA ES 2 </t>
  </si>
  <si>
    <t xml:space="preserve">795493 - RFN - ASS. LEGISLATIVA ES 3 </t>
  </si>
  <si>
    <t xml:space="preserve">795494 - RFN - ASS. LEGISLATIVA ES 4 </t>
  </si>
  <si>
    <t xml:space="preserve">795495 - RFN - ASS. LEGISLATIVA ES 5 </t>
  </si>
  <si>
    <t xml:space="preserve">795496 - RFN - ASS. LEGISLATIVA ES 6 </t>
  </si>
  <si>
    <t xml:space="preserve">795497 - RFN - ASS. LEGISLATIVA ES 7 </t>
  </si>
  <si>
    <t xml:space="preserve">795498 - RFN - ASS. LEGISLATIVA ES 8 </t>
  </si>
  <si>
    <t xml:space="preserve">795499 - RFN - ASS. LEGISLATIVA ES 9 </t>
  </si>
  <si>
    <t xml:space="preserve">715271 - RFN - ASSISPREV 1 </t>
  </si>
  <si>
    <t>1,8</t>
  </si>
  <si>
    <t xml:space="preserve">715272 - RFN - ASSISPREV 2 </t>
  </si>
  <si>
    <t xml:space="preserve">715273 - RFN - ASSISPREV 3 </t>
  </si>
  <si>
    <t xml:space="preserve">715274 - RFN - ASSISPREV 4 </t>
  </si>
  <si>
    <t xml:space="preserve">715275 - RFN - ASSISPREV 5 </t>
  </si>
  <si>
    <t>1,45</t>
  </si>
  <si>
    <t>1,6</t>
  </si>
  <si>
    <t xml:space="preserve">725471 - RFN - CARAGUAPREV 1 </t>
  </si>
  <si>
    <t>1,5</t>
  </si>
  <si>
    <t xml:space="preserve">725472 - RFN - CARAGUAPREV 2 </t>
  </si>
  <si>
    <t xml:space="preserve">725473 - RFN - CARAGUAPREV 3 </t>
  </si>
  <si>
    <t xml:space="preserve">725474 - RFN - CARAGUAPREV 4 </t>
  </si>
  <si>
    <t xml:space="preserve">725475 - RFN - CARAGUAPREV 5 </t>
  </si>
  <si>
    <t xml:space="preserve">725476 - RFN - CARAGUAPREV 6 </t>
  </si>
  <si>
    <t xml:space="preserve">799109 - RFN CUIABAPREV 1 </t>
  </si>
  <si>
    <t>1,4</t>
  </si>
  <si>
    <t xml:space="preserve">799111 - RFN CUIABAPREV 2 </t>
  </si>
  <si>
    <t xml:space="preserve">799112 - RFN CUIABAPREV 3 </t>
  </si>
  <si>
    <t xml:space="preserve">799113 - RFN CUIABAPREV 4 </t>
  </si>
  <si>
    <t xml:space="preserve">799114 - RFN CUIABAPREV 5 </t>
  </si>
  <si>
    <t xml:space="preserve">799115 - RFN CUIABAPREV 6 </t>
  </si>
  <si>
    <t xml:space="preserve">799116 - RFN CUIABAPREV 7 </t>
  </si>
  <si>
    <t xml:space="preserve">799117 - RFN CUIABAPREV 8 </t>
  </si>
  <si>
    <t xml:space="preserve">799118 - RFN CUIABAPREV 9 </t>
  </si>
  <si>
    <t xml:space="preserve">965612 - RFN - DER - PB 1  </t>
  </si>
  <si>
    <t xml:space="preserve">965613 - RFN - DER - PB 2  </t>
  </si>
  <si>
    <t xml:space="preserve">965614 - RFN - DER - PB 3  </t>
  </si>
  <si>
    <t xml:space="preserve">715141 - RFN - EMBASA - BAHIA 1 </t>
  </si>
  <si>
    <t>1,67</t>
  </si>
  <si>
    <t xml:space="preserve">715142 - RFN - EMBASA - BAHIA 2 </t>
  </si>
  <si>
    <t xml:space="preserve">715143 - RFN - EMBASA - BAHIA 3 </t>
  </si>
  <si>
    <t xml:space="preserve">715144 - RFN - EMBASA - BAHIA 4 </t>
  </si>
  <si>
    <t xml:space="preserve">235858 - RFN - FUNPREV BAURU 1   </t>
  </si>
  <si>
    <t>1,39</t>
  </si>
  <si>
    <t xml:space="preserve">235865 - RFN - FUNPREV BAURU 2  </t>
  </si>
  <si>
    <t xml:space="preserve">235866 - RFN - FUNPREV BAURU 3  </t>
  </si>
  <si>
    <t xml:space="preserve">235867 - RFN - FUNPREV BAURU 4  </t>
  </si>
  <si>
    <t xml:space="preserve">235868 - RFN - FUNPREV BAURU 5  </t>
  </si>
  <si>
    <t xml:space="preserve">235869 - RFN - FUNPREV BAURU 6  </t>
  </si>
  <si>
    <t xml:space="preserve">235878 - RFN - FUNPREV BAURU 7  </t>
  </si>
  <si>
    <t xml:space="preserve">235879 - RFN - FUNPREV BAURU 8  </t>
  </si>
  <si>
    <t>1,49</t>
  </si>
  <si>
    <t xml:space="preserve">755130 - RFN - GOV CEARA 1 </t>
  </si>
  <si>
    <t>1,55</t>
  </si>
  <si>
    <t xml:space="preserve">755131 - RFN - GOV CEARA 2 </t>
  </si>
  <si>
    <t xml:space="preserve">755132 - RFN - GOV CEARA 3 </t>
  </si>
  <si>
    <t xml:space="preserve">755133 - RFN - GOV CEARA 4 </t>
  </si>
  <si>
    <t xml:space="preserve">755134 - RFN - GOV CEARA 5 </t>
  </si>
  <si>
    <t xml:space="preserve">755135 - RFN - GOV CEARA 6 </t>
  </si>
  <si>
    <t xml:space="preserve">705181 - RFN - GOV ES  1 </t>
  </si>
  <si>
    <t>1,38</t>
  </si>
  <si>
    <t xml:space="preserve">705183 - RFN - GOV ES  2 </t>
  </si>
  <si>
    <t xml:space="preserve">705185 - RFN - GOV ES  3 </t>
  </si>
  <si>
    <t xml:space="preserve">705187 - RFN - GOV ES  4 </t>
  </si>
  <si>
    <t xml:space="preserve">705188 - RFN - GOV ES  5 </t>
  </si>
  <si>
    <t xml:space="preserve">705191 - RFN - GOV ES  6 </t>
  </si>
  <si>
    <t xml:space="preserve">705192 - RFN - GOV ES  7 </t>
  </si>
  <si>
    <t xml:space="preserve">705193 - RFN - GOV ES  8 </t>
  </si>
  <si>
    <t>1,71</t>
  </si>
  <si>
    <t>1,56</t>
  </si>
  <si>
    <t>1,42</t>
  </si>
  <si>
    <t>1,41</t>
  </si>
  <si>
    <t xml:space="preserve">783064 - RFN - GOV PIAUI 1 </t>
  </si>
  <si>
    <t>2</t>
  </si>
  <si>
    <t xml:space="preserve">783065 - RFN - GOV PIAUI 2 </t>
  </si>
  <si>
    <t xml:space="preserve">783066 - RFN - GOV PIAUI 3 </t>
  </si>
  <si>
    <t xml:space="preserve">783067 - RFN - GOV PIAUI 4 </t>
  </si>
  <si>
    <t xml:space="preserve">783068 - RFN - GOV PIAUI 5 </t>
  </si>
  <si>
    <t xml:space="preserve">783069 - RFN - GOV PIAUI 6 </t>
  </si>
  <si>
    <t xml:space="preserve">783080 - RFN - GOV PIAUI 7 </t>
  </si>
  <si>
    <t xml:space="preserve">783081 - RFN - GOV PIAUI 8 </t>
  </si>
  <si>
    <t xml:space="preserve">775401 - RFN - GOV RORAIMA SGG 1 </t>
  </si>
  <si>
    <t>1,65</t>
  </si>
  <si>
    <t xml:space="preserve">775402 - RFN - GOV RORAIMA SGG 2 </t>
  </si>
  <si>
    <t xml:space="preserve">775403 - RFN - GOV RORAIMA SGG 3 </t>
  </si>
  <si>
    <t>1,53</t>
  </si>
  <si>
    <t xml:space="preserve">705171 - RFN - GOV SP - PM 1  </t>
  </si>
  <si>
    <t xml:space="preserve">705172 - RFN - GOV SP - PM 2  </t>
  </si>
  <si>
    <t xml:space="preserve">705073 - RFN - GOV SP - PM 3  </t>
  </si>
  <si>
    <t xml:space="preserve">705074 - RFN - GOV SP - PM 4  </t>
  </si>
  <si>
    <t xml:space="preserve">705075 - RFN - GOV SP - PM 5  </t>
  </si>
  <si>
    <t xml:space="preserve">705076 - RFN - GOV SP - PM 6  </t>
  </si>
  <si>
    <t xml:space="preserve">705077 - RFN - GOV SP - PM 7  </t>
  </si>
  <si>
    <t xml:space="preserve">705078 - RFN - GOV SP - PM 8  </t>
  </si>
  <si>
    <t xml:space="preserve">705079 - RFN - GOV SP - PM 9  </t>
  </si>
  <si>
    <t>705199 - Tabela 11</t>
  </si>
  <si>
    <t xml:space="preserve">705199 - RFN - GOV SP - PM 50K 11  </t>
  </si>
  <si>
    <t xml:space="preserve">775411 - RFN - GOV RORAIMA SIGRH 1 </t>
  </si>
  <si>
    <t xml:space="preserve">775412 - RFN - GOV RORAIMA SIGRH 2 </t>
  </si>
  <si>
    <t xml:space="preserve">775413 - RFN - GOV RORAIMA SIGRH 3 </t>
  </si>
  <si>
    <t xml:space="preserve">702525 - RFN - HSPM - SP 1 </t>
  </si>
  <si>
    <t xml:space="preserve">702526 - RFN - HSPM - SP 2 </t>
  </si>
  <si>
    <t xml:space="preserve">702527 - RFN - HSPM - SP 3 </t>
  </si>
  <si>
    <t xml:space="preserve">702530 - RFN - HSPM - SP 4 </t>
  </si>
  <si>
    <t xml:space="preserve">702531 - RFN - HSPM - SP 5 </t>
  </si>
  <si>
    <t xml:space="preserve">702532 - RFN - HSPM - SP 6 </t>
  </si>
  <si>
    <t xml:space="preserve">702533 - RFN - HSPM - SP 7 </t>
  </si>
  <si>
    <t xml:space="preserve">702534 - RFN - HSPM - SP 8 </t>
  </si>
  <si>
    <t xml:space="preserve">702535 - RFN - HSPM - SP 9 </t>
  </si>
  <si>
    <t xml:space="preserve">755541 - RFN - IMPCG 1 </t>
  </si>
  <si>
    <t xml:space="preserve">755542 - RFN - IMPCG 2 </t>
  </si>
  <si>
    <t xml:space="preserve">755543 - RFN - IMPCG 3 </t>
  </si>
  <si>
    <t xml:space="preserve">755544 - RFN - IMPCG 4 </t>
  </si>
  <si>
    <t xml:space="preserve">755545 - RFN - IMPCG 5 </t>
  </si>
  <si>
    <t xml:space="preserve">755546 - RFN - IMPCG 6 </t>
  </si>
  <si>
    <t>1,34</t>
  </si>
  <si>
    <t xml:space="preserve">785901 - RFN - IPM - RIBEIRAO PRETO  1 </t>
  </si>
  <si>
    <t xml:space="preserve">785902 - RFN - IPM - RIBEIRAO PRETO  2 </t>
  </si>
  <si>
    <t xml:space="preserve">785903 - RFN - IPM - RIBEIRAO PRETO  3 </t>
  </si>
  <si>
    <t xml:space="preserve">785904 - RFN - IPM - RIBEIRAO PRETO  4 </t>
  </si>
  <si>
    <t xml:space="preserve">785905 - RFN - IPM - RIBEIRAO PRETO  5 </t>
  </si>
  <si>
    <t xml:space="preserve">983024 - RFN - INST PREV CARIACICA  1 </t>
  </si>
  <si>
    <t xml:space="preserve">983058 - RFN - INST PREV CARIACICA  2 </t>
  </si>
  <si>
    <t xml:space="preserve">983059 - RFN - INST PREV CARIACICA  3 </t>
  </si>
  <si>
    <t xml:space="preserve">983060 - RFN - INST PREV CARIACICA  4 </t>
  </si>
  <si>
    <t xml:space="preserve">983061 - RFN - INST PREV CARIACICA  5 </t>
  </si>
  <si>
    <t xml:space="preserve">983062 - RFN - INST PREV CARIACICA  6 </t>
  </si>
  <si>
    <t xml:space="preserve">983063 - RFN - INST PREV CARIACICA  7 </t>
  </si>
  <si>
    <t xml:space="preserve">983064 - RFN - INST PREV CARIACICA  8 </t>
  </si>
  <si>
    <t xml:space="preserve">983065 - RFN - INST PREV CARIACICA  9 </t>
  </si>
  <si>
    <t>983066 - Tabela 10</t>
  </si>
  <si>
    <t xml:space="preserve">983066 - RFN - INST PREV CARIACICA  10 </t>
  </si>
  <si>
    <t xml:space="preserve">715131 - RFN - IPAG GRAVATAI  1  </t>
  </si>
  <si>
    <t xml:space="preserve">715132 - RFN - IPAG GRAVATAI  2  </t>
  </si>
  <si>
    <t xml:space="preserve">715133 - RFN - IPAG GRAVATAI  3  </t>
  </si>
  <si>
    <t xml:space="preserve">715134 - RFN - IPAG GRAVATAI  4  </t>
  </si>
  <si>
    <t xml:space="preserve">715135 - RFN - IPAG GRAVATAI  5  </t>
  </si>
  <si>
    <t>775171 - RFN - IPAMV  1 ILIDADE</t>
  </si>
  <si>
    <t>1,37</t>
  </si>
  <si>
    <t>775172 - RFN - IPAMV  2 ILIDADE</t>
  </si>
  <si>
    <t>775173 - RFN - IPAMV  3 ILIDADE</t>
  </si>
  <si>
    <t>775175 - RFN - IPAMV  1 ILIDADE ESP</t>
  </si>
  <si>
    <t xml:space="preserve">776521 - RFN - IPASP PIRACICABA 1 </t>
  </si>
  <si>
    <t>2,15</t>
  </si>
  <si>
    <t xml:space="preserve">885701 - RFN - IPM MARACANAÚ 1 </t>
  </si>
  <si>
    <t xml:space="preserve">885702 - RFN - IPM MARACANAÚ 2 </t>
  </si>
  <si>
    <t xml:space="preserve">885703 - RFN - IPM MARACANAÚ 3 </t>
  </si>
  <si>
    <t xml:space="preserve">885704 - RFN - IPM MARACANAÚ 4 </t>
  </si>
  <si>
    <t xml:space="preserve">995670 - RFN - INST PREV. OSASCO 1 </t>
  </si>
  <si>
    <t xml:space="preserve">995671 - RFN - INST PREV. OSASCO 2 </t>
  </si>
  <si>
    <t xml:space="preserve">995672 - RFN - INST PREV. OSASCO 3 </t>
  </si>
  <si>
    <t xml:space="preserve">995673 - RFN - INST PREV. OSASCO 4 </t>
  </si>
  <si>
    <t xml:space="preserve">995674 - RFN - INST PREV. OSASCO 5 </t>
  </si>
  <si>
    <t>IPMO APOSENTADO</t>
  </si>
  <si>
    <t xml:space="preserve">815041 - RFN - IPREM - MOGI CRUZES 1  </t>
  </si>
  <si>
    <t xml:space="preserve">815042 - RFN - IPREM - MOGI CRUZES 2  </t>
  </si>
  <si>
    <t xml:space="preserve">815043 - RFN - IPREM - MOGI CRUZES 3  </t>
  </si>
  <si>
    <t xml:space="preserve">815044 - RFN - IPREM - MOGI CRUZES 4  </t>
  </si>
  <si>
    <t xml:space="preserve">815045 - RFN - IPREM - MOGI CRUZES 5  </t>
  </si>
  <si>
    <t xml:space="preserve">905038 - RFN - IPREM POUSO ALEGRE 1 </t>
  </si>
  <si>
    <t xml:space="preserve">905039 - RFN - IPREM POUSO ALEGRE 2 </t>
  </si>
  <si>
    <t>1,62</t>
  </si>
  <si>
    <t xml:space="preserve">795731 - RFN - IPREV  1 </t>
  </si>
  <si>
    <t>1,35</t>
  </si>
  <si>
    <t xml:space="preserve">795732 - RFN - IPREV  2 </t>
  </si>
  <si>
    <t xml:space="preserve">795733 - RFN - IPREV  3 </t>
  </si>
  <si>
    <t xml:space="preserve">795734 - RFN - IPREV  4 </t>
  </si>
  <si>
    <t xml:space="preserve">701561 - RFN - INST PREV SANTO ANDRE  1 </t>
  </si>
  <si>
    <t xml:space="preserve">701562 - RFN - INST PREV SANTO ANDRE  2 </t>
  </si>
  <si>
    <t xml:space="preserve">701563 - RFN - INST PREV SANTO ANDRE  3 </t>
  </si>
  <si>
    <t xml:space="preserve">701565 - RFN - INST PREV SANTO ANDRE  4 </t>
  </si>
  <si>
    <t xml:space="preserve">701566 - RFN - INST PREV SANTO ANDRE  5 </t>
  </si>
  <si>
    <t xml:space="preserve">765631 - RFN - IPSEMG 1 </t>
  </si>
  <si>
    <t xml:space="preserve">765632 - RFN - IPSEMG 2 </t>
  </si>
  <si>
    <t xml:space="preserve">765633 - RFN - IPSEMG 3 </t>
  </si>
  <si>
    <t xml:space="preserve">765634 - RFN - IPSEMG 4 </t>
  </si>
  <si>
    <t xml:space="preserve">765635 - RFN - IPSEMG 5 </t>
  </si>
  <si>
    <t xml:space="preserve">765636 - RFN - IPSEMG 6 </t>
  </si>
  <si>
    <t xml:space="preserve">765637 - RFN - IPSEMG 7 </t>
  </si>
  <si>
    <t xml:space="preserve">765638 - RFN - IPSEMG 8 </t>
  </si>
  <si>
    <t xml:space="preserve">765639 - RFN - IPSEMG 9 </t>
  </si>
  <si>
    <t xml:space="preserve">765641 - RFN - IPSM 1 </t>
  </si>
  <si>
    <t xml:space="preserve">765642 - RFN - IPSM 2 </t>
  </si>
  <si>
    <t xml:space="preserve">765643 - RFN - IPSM 3 </t>
  </si>
  <si>
    <t xml:space="preserve">765644 - RFN - IPSM 4 </t>
  </si>
  <si>
    <t xml:space="preserve">765645 - RFN - IPSM 5 </t>
  </si>
  <si>
    <t xml:space="preserve">765646 - RFN - IPSM 6 </t>
  </si>
  <si>
    <t xml:space="preserve">765647 - RFN - IPSM 7 </t>
  </si>
  <si>
    <t xml:space="preserve">765648 - RFN - IPSM 8 </t>
  </si>
  <si>
    <t xml:space="preserve">765649 - RFN - IPSM 9 </t>
  </si>
  <si>
    <t xml:space="preserve">745151 - Tabela </t>
  </si>
  <si>
    <t xml:space="preserve">745151 - RFN - ISSA ANAPOLIS </t>
  </si>
  <si>
    <t xml:space="preserve">745152 - RFN - ISSA ANAPOLIS 2 </t>
  </si>
  <si>
    <t xml:space="preserve">745153 - RFN - ISSA ANAPOLIS 3 </t>
  </si>
  <si>
    <t xml:space="preserve">795671 - RFN - ISSM CAMAÇARI 1 </t>
  </si>
  <si>
    <t xml:space="preserve">795672 - RFN - ISSM CAMAÇARI 2 </t>
  </si>
  <si>
    <t xml:space="preserve">795673 - RFN - ISSM CAMAÇARI 3 </t>
  </si>
  <si>
    <t xml:space="preserve">795674 - RFN - ISSM CAMAÇARI 4 </t>
  </si>
  <si>
    <t xml:space="preserve">795675 - RFN - ISSM CAMAÇARI 5 </t>
  </si>
  <si>
    <t xml:space="preserve">705531 - RFN - MANAUSPREV 1 </t>
  </si>
  <si>
    <t xml:space="preserve">705532 - RFN - MANAUSPREV 2 </t>
  </si>
  <si>
    <t xml:space="preserve">705533 - RFN - MANAUSPREV 3 </t>
  </si>
  <si>
    <t xml:space="preserve">705534 - RFN - MANAUSPREV 4 </t>
  </si>
  <si>
    <t xml:space="preserve">705535 - RFN - MANAUSPREV 5 </t>
  </si>
  <si>
    <t xml:space="preserve">765531 - RFN - MIN PUB PARA 1 </t>
  </si>
  <si>
    <t xml:space="preserve">765532 - RFN - MIN PUB PARA 2 </t>
  </si>
  <si>
    <t xml:space="preserve">765533 - RFN - MIN PUB PARA 3 </t>
  </si>
  <si>
    <t xml:space="preserve">765534 - RFN - MIN PUB PARA 4 </t>
  </si>
  <si>
    <t xml:space="preserve">765535 - RFN - MIN PUB PARA 5 </t>
  </si>
  <si>
    <t xml:space="preserve">765536 - RFN - MIN PUB PARA 6 </t>
  </si>
  <si>
    <t xml:space="preserve">765537 - RFN - MIN PUB PARA 7 </t>
  </si>
  <si>
    <t xml:space="preserve">795980 - RFN - MPDF 1  </t>
  </si>
  <si>
    <t xml:space="preserve">795981 - RFN - MPDF 2  </t>
  </si>
  <si>
    <t xml:space="preserve">795982 - RFN - MPDF 3  </t>
  </si>
  <si>
    <t xml:space="preserve">455071 - RFN - PREV NOVA MUTUM 1 </t>
  </si>
  <si>
    <t xml:space="preserve">455072 - RFN - PREV NOVA MUTUM 2 </t>
  </si>
  <si>
    <t xml:space="preserve">455073 - RFN - PREV NOVA MUTUM 3 </t>
  </si>
  <si>
    <t xml:space="preserve">455074 - RFN - PREV NOVA MUTUM 4 </t>
  </si>
  <si>
    <t xml:space="preserve">455075 - RFN - PREV NOVA MUTUM 5 </t>
  </si>
  <si>
    <t xml:space="preserve">455076 - RFN - PREV NOVA MUTUM 6 </t>
  </si>
  <si>
    <t xml:space="preserve">455077 - RFN - PREV NOVA MUTUM 7 </t>
  </si>
  <si>
    <t xml:space="preserve">455078 - RFN - PREV NOVA MUTUM 8 </t>
  </si>
  <si>
    <t xml:space="preserve">455079 - RFN - PREV NOVA MUTUM 9 </t>
  </si>
  <si>
    <t xml:space="preserve">715071 - RFN - OMSS REGISTRO  1 </t>
  </si>
  <si>
    <t xml:space="preserve">715072 - RFN - OMSS REGISTRO  2 </t>
  </si>
  <si>
    <t xml:space="preserve">715073 - RFN - OMSS REGISTRO  3 </t>
  </si>
  <si>
    <t xml:space="preserve">715074 - RFN - OMSS REGISTRO  4 </t>
  </si>
  <si>
    <t xml:space="preserve">715075 - RFN - OMSS REGISTRO  5 </t>
  </si>
  <si>
    <t xml:space="preserve">715076 - RFN - OMSS REGISTRO  6 </t>
  </si>
  <si>
    <t xml:space="preserve">715077 - RFN - OMSS REGISTRO  7 </t>
  </si>
  <si>
    <t xml:space="preserve">715078 - RFN - OMSS REGISTRO  8 </t>
  </si>
  <si>
    <t xml:space="preserve">715461 - RFN - PICOSPREV 1 </t>
  </si>
  <si>
    <t xml:space="preserve">715462 - RFN - PICOSPREV 2 </t>
  </si>
  <si>
    <t xml:space="preserve">715463 - RFN - PICOSPREV 3 </t>
  </si>
  <si>
    <t xml:space="preserve">715464 - RFN - PICOSPREV 4 </t>
  </si>
  <si>
    <t xml:space="preserve">715465 - RFN - PICOSPREV 5 </t>
  </si>
  <si>
    <t xml:space="preserve">765051 - RFN PREF FEIRA DE SANTANA  1  </t>
  </si>
  <si>
    <t xml:space="preserve">765053 - RFN PREF FEIRA DE SANTANA  3  </t>
  </si>
  <si>
    <t xml:space="preserve">734021 - RFN - PREF PORTO FELIZ  1 </t>
  </si>
  <si>
    <t xml:space="preserve">734032 - RFN - PREF PORTO FELIZ  2 </t>
  </si>
  <si>
    <t xml:space="preserve">734033 - RFN - PREF PORTO FELIZ  3 </t>
  </si>
  <si>
    <t xml:space="preserve">734034 - RFN - PREF PORTO FELIZ  4 </t>
  </si>
  <si>
    <t xml:space="preserve">795650 - RFN - PREF BERTIOGA  1 </t>
  </si>
  <si>
    <t xml:space="preserve">795651 - RFN - PREF BERTIOGA  2 </t>
  </si>
  <si>
    <t xml:space="preserve">795652 - RFN - PREF BERTIOGA  3 </t>
  </si>
  <si>
    <t xml:space="preserve">795653 - RFN - PREF BERTIOGA  4 </t>
  </si>
  <si>
    <t xml:space="preserve">795654 - RFN - PREF BERTIOGA  5 </t>
  </si>
  <si>
    <t xml:space="preserve">795655 - RFN - PREF BERTIOGA  6 </t>
  </si>
  <si>
    <t xml:space="preserve">815117 - RFN - PREF ALVORADA  1 </t>
  </si>
  <si>
    <t>1,43</t>
  </si>
  <si>
    <t xml:space="preserve">815119 - RFN - PREF ALVORADA  2 </t>
  </si>
  <si>
    <t xml:space="preserve">815121 - RFN - PREF ALVORADA  3 </t>
  </si>
  <si>
    <t xml:space="preserve">815123 - RFN - PREF ALVORADA  4 </t>
  </si>
  <si>
    <t xml:space="preserve">815125 - RFN - PREF ALVORADA  5 </t>
  </si>
  <si>
    <t xml:space="preserve">815118 - RFN - PREF ALVORADA  1 CLT </t>
  </si>
  <si>
    <t xml:space="preserve">815120 - RFN - PREF ALVORADA  2 CLT </t>
  </si>
  <si>
    <t xml:space="preserve">815122 - RFN - PREF ALVORADA  3 CLT </t>
  </si>
  <si>
    <t>815124 - RFN - PREF ALVORADA  4  CLT</t>
  </si>
  <si>
    <t xml:space="preserve">815126 - RFN - PREF ALVORADA  5 CLT </t>
  </si>
  <si>
    <t xml:space="preserve">995510 - RFN - PREF AMERICANA  1 </t>
  </si>
  <si>
    <t>1,59</t>
  </si>
  <si>
    <t xml:space="preserve">995511 - RFN - PREF AMERICANA  2 </t>
  </si>
  <si>
    <t xml:space="preserve">995512 - RFN - PREF AMERICANA  3 </t>
  </si>
  <si>
    <t xml:space="preserve">995584 - RFN - PREF AMERICANA  4 </t>
  </si>
  <si>
    <t xml:space="preserve">995585 - RFN - PREF AMERICANA  5 </t>
  </si>
  <si>
    <t xml:space="preserve">995586 - RFN - PREF AMERICANA  6 </t>
  </si>
  <si>
    <t xml:space="preserve">995597 - RFN - PREF AMERICANA  7 </t>
  </si>
  <si>
    <t xml:space="preserve">804038 - RFN - PREF ANANINDEUA  1 </t>
  </si>
  <si>
    <t xml:space="preserve">804039 - RFN - PREF ANANINDEUA  2 </t>
  </si>
  <si>
    <t xml:space="preserve">804040 - RFN - PREF ANANINDEUA  3 </t>
  </si>
  <si>
    <t xml:space="preserve">804048 - RFN - PREF ANANINDEUA  4 </t>
  </si>
  <si>
    <t xml:space="preserve">804049 - RFN - PREF ANANINDEUA  5 </t>
  </si>
  <si>
    <t xml:space="preserve">804106 - RFN - PREF ANANINDEUA  6 </t>
  </si>
  <si>
    <t xml:space="preserve">804167 - RFN - PREF ANANINDEUA  7 </t>
  </si>
  <si>
    <t xml:space="preserve">745041 - RFN - PREF ANAPOLIS 1 </t>
  </si>
  <si>
    <t xml:space="preserve">745042 - RFN - PREF ANAPOLIS 2 </t>
  </si>
  <si>
    <t xml:space="preserve">745043 - RFN - PREF ANAPOLIS 3 </t>
  </si>
  <si>
    <t xml:space="preserve">745044 - RFN - PREF ANAPOLIS 4 </t>
  </si>
  <si>
    <t xml:space="preserve">745045 - RFN - PREF ANAPOLIS 5 </t>
  </si>
  <si>
    <t xml:space="preserve">785621 - RFN - PREF AQUIRAZ  1 </t>
  </si>
  <si>
    <t xml:space="preserve">785622 - RFN - PREF AQUIRAZ  2 </t>
  </si>
  <si>
    <t xml:space="preserve">785623 - RFN - PREF AQUIRAZ  3 </t>
  </si>
  <si>
    <t xml:space="preserve">785634 - RFN - PREF AQUIRAZ  4  </t>
  </si>
  <si>
    <t xml:space="preserve">705324 - RFN - PREF ARACAJU 1 </t>
  </si>
  <si>
    <t>1,48</t>
  </si>
  <si>
    <t xml:space="preserve">705325 - RFN - PREF ARACAJU 2 </t>
  </si>
  <si>
    <t xml:space="preserve">705326 - RFN - PREF ARACAJU 3 </t>
  </si>
  <si>
    <t xml:space="preserve">705327 - RFN - PREF ARACAJU 4 </t>
  </si>
  <si>
    <t xml:space="preserve">705329 - RFN - PREF ARACAJU 5 </t>
  </si>
  <si>
    <t xml:space="preserve">705330 - RFN - PREF ARACAJU 6 </t>
  </si>
  <si>
    <t xml:space="preserve">705338 - RFN - PREF ARACAJU 7 </t>
  </si>
  <si>
    <t xml:space="preserve">705339 - RFN - PREF ARACAJU 8 </t>
  </si>
  <si>
    <t xml:space="preserve">350013 - RFN - PREF ARACRUZ  1 </t>
  </si>
  <si>
    <t>1,98</t>
  </si>
  <si>
    <t xml:space="preserve">715571 - RFN - PREF ARARAQUARA 1 </t>
  </si>
  <si>
    <t xml:space="preserve">715572 - RFN - PREF ARARAQUARA 2 </t>
  </si>
  <si>
    <t xml:space="preserve">715573 - RFN - PREF ARARAQUARA 3 </t>
  </si>
  <si>
    <t xml:space="preserve">715574 - RFN - PREF ARARAQUARA 4 </t>
  </si>
  <si>
    <t xml:space="preserve">715575 - RFN - PREF ARARAQUARA 5 </t>
  </si>
  <si>
    <t xml:space="preserve">755017 - RFN - PREF ASSIS 2 </t>
  </si>
  <si>
    <t xml:space="preserve">755018 - RFN - PREF ASSIS 3 </t>
  </si>
  <si>
    <t xml:space="preserve">755000 - RFN - PREF ASSIS 4 </t>
  </si>
  <si>
    <t xml:space="preserve">755001 - RFN - PREF ASSIS 5 </t>
  </si>
  <si>
    <t xml:space="preserve">755002 - RFN - PREF ASSIS 6 </t>
  </si>
  <si>
    <t>745021 - RFN - PREF ATIBAIA  1 ILIDADE</t>
  </si>
  <si>
    <t>745022 - RFN - PREF ATIBAIA  2 ILIDADE</t>
  </si>
  <si>
    <t>745023 - RFN - PREF ATIBAIA  3 ILIDADE</t>
  </si>
  <si>
    <t>745024 - RFN - PREF ATIBAIA  4 ILIDADE</t>
  </si>
  <si>
    <t>745025 - RFN - PREF ATIBAIA  5 ILIDADE</t>
  </si>
  <si>
    <t xml:space="preserve">795402 - RFN - PREF MUN BARUERI  1 </t>
  </si>
  <si>
    <t xml:space="preserve">795403 - RFN - PREF MUN BARUERI  2 </t>
  </si>
  <si>
    <t xml:space="preserve">795404 - RFN - PREF MUN BARUERI  3  </t>
  </si>
  <si>
    <t xml:space="preserve">795405 - RFN - PREF MUN BARUERI  4  </t>
  </si>
  <si>
    <t xml:space="preserve">795407 - RFN - PREF MUN BARUERI  5  </t>
  </si>
  <si>
    <t xml:space="preserve">235884 - RFN - PREF BAURU 1  </t>
  </si>
  <si>
    <t>1,52</t>
  </si>
  <si>
    <t xml:space="preserve">235885 - RFN - PREF BAURU 2  </t>
  </si>
  <si>
    <t xml:space="preserve">235886 - RFN - PREF BAURU 3  </t>
  </si>
  <si>
    <t xml:space="preserve">235887 - RFN - PREF BAURU 4  </t>
  </si>
  <si>
    <t xml:space="preserve">235889 - RFN - PREF BAURU 5  </t>
  </si>
  <si>
    <t>711517 - RFN - PREF BETIM  2</t>
  </si>
  <si>
    <t xml:space="preserve">775791 - RFN - PREF BLUMENAU 1 </t>
  </si>
  <si>
    <t>1,32</t>
  </si>
  <si>
    <t xml:space="preserve">775792 - RFN - PREF BLUMENAU 2 </t>
  </si>
  <si>
    <t xml:space="preserve">775793 - RFN - PREF BLUMENAU 3 </t>
  </si>
  <si>
    <t xml:space="preserve">765100 - RFN - PREF DE BOA VISTA  1 </t>
  </si>
  <si>
    <t xml:space="preserve">765106 - RFN - PREF DE BOA VISTA  2 </t>
  </si>
  <si>
    <t xml:space="preserve">765107 - RFN - PREF DE BOA VISTA  3 </t>
  </si>
  <si>
    <t xml:space="preserve">765108 - RFN - PREF DE BOA VISTA  4 </t>
  </si>
  <si>
    <t xml:space="preserve">765109 - RFN - PREF DE BOA VISTA  5 </t>
  </si>
  <si>
    <t xml:space="preserve">765110 - RFN - PREF DE BOA VISTA  6 </t>
  </si>
  <si>
    <t xml:space="preserve">775440 - RFN - PREF BOITUVA 1 </t>
  </si>
  <si>
    <t xml:space="preserve">775441 - RFN - PREF BOITUVA 2 </t>
  </si>
  <si>
    <t xml:space="preserve">775442 - RFN - PREF BOITUVA 3 </t>
  </si>
  <si>
    <t xml:space="preserve">945191 - RFN - PREF BRUSQUE 1 </t>
  </si>
  <si>
    <t xml:space="preserve">945192 - RFN - PREF BRUSQUE 2 </t>
  </si>
  <si>
    <t xml:space="preserve">215000 - RFN - PREF CAMPO GRANDE  1 </t>
  </si>
  <si>
    <t xml:space="preserve">215001 - RFN - PREF CAMPO GRANDE  2 </t>
  </si>
  <si>
    <t xml:space="preserve">215002 - RFN - PREF CAMPO GRANDE  3 </t>
  </si>
  <si>
    <t xml:space="preserve">215003 - RFN - PREF CAMPO GRANDE  4 </t>
  </si>
  <si>
    <t xml:space="preserve">775721 - RFN - PREF CAMPOS DO JORDAO 1 </t>
  </si>
  <si>
    <t>1,74</t>
  </si>
  <si>
    <t xml:space="preserve">775722 - RFN - PREF CAMPOS DO JORDAO 2 </t>
  </si>
  <si>
    <t xml:space="preserve">775723 - RFN - PREF CAMPOS DO JORDAO 3 </t>
  </si>
  <si>
    <t xml:space="preserve">775724 - RFN - PREF CAMPOS DO JORDAO 4 </t>
  </si>
  <si>
    <t xml:space="preserve">996570 - RFN - PREF CAÇAPAVA 4 </t>
  </si>
  <si>
    <t xml:space="preserve">721063 - RFN - PREF CACERES  1 </t>
  </si>
  <si>
    <t xml:space="preserve">721072 - RFN - PREF CACERES  2 </t>
  </si>
  <si>
    <t xml:space="preserve">721074 - RFN - PREF CACERES  3 </t>
  </si>
  <si>
    <t>721027 - RFN - PREF CACERES  1  CLT</t>
  </si>
  <si>
    <t>721028 - RFN - PREF CACERES  2  CLT</t>
  </si>
  <si>
    <t>721073 - RFN - PREF CACERES  3  CLT</t>
  </si>
  <si>
    <t xml:space="preserve">795901 - RFN - PREF CAIEIRAS 1 </t>
  </si>
  <si>
    <t xml:space="preserve">795902 - RFN - PREF CAIEIRAS 2 </t>
  </si>
  <si>
    <t xml:space="preserve">795903 - RFN - PREF CAIEIRAS 3 </t>
  </si>
  <si>
    <t xml:space="preserve">795904 - RFN - PREF CAIEIRAS 4 </t>
  </si>
  <si>
    <t xml:space="preserve">795905 - RFN - PREF CAIEIRAS 5 </t>
  </si>
  <si>
    <t xml:space="preserve">785953 - RFN - PREF CAJAMAR 3 </t>
  </si>
  <si>
    <t xml:space="preserve">785954 - RFN - PREF CAJAMAR 4 </t>
  </si>
  <si>
    <t xml:space="preserve">785955 - RFN - PREF CAJAMAR 5 </t>
  </si>
  <si>
    <t xml:space="preserve">785956 - RFN - PREF CAJAMAR 6 </t>
  </si>
  <si>
    <t xml:space="preserve">705121 - RFN - PREF CAJATI  1 </t>
  </si>
  <si>
    <t xml:space="preserve">705122 - RFN - PREF CAJATI  2 </t>
  </si>
  <si>
    <t xml:space="preserve">705123 - RFN - PREF CAJATI  3 </t>
  </si>
  <si>
    <t xml:space="preserve">705124 - RFN - PREF CAJATI  4 </t>
  </si>
  <si>
    <t xml:space="preserve">881019 - RFN - PREF CAMAÇARI  1 </t>
  </si>
  <si>
    <t xml:space="preserve">881068 - RFN - PREF CAMAÇARI  2 </t>
  </si>
  <si>
    <t xml:space="preserve">881030 - RFN - PREF CAMAÇARI  3 </t>
  </si>
  <si>
    <t xml:space="preserve">881107 - RFN - PREF CAMAÇARI  4 </t>
  </si>
  <si>
    <t xml:space="preserve">881108 - RFN - PREF CAMAÇARI  5 </t>
  </si>
  <si>
    <t xml:space="preserve">725181 - RFN - PREF CANELA 1 </t>
  </si>
  <si>
    <t xml:space="preserve">725182 - RFN - PREF CANELA 2 </t>
  </si>
  <si>
    <t xml:space="preserve">725183 - RFN - PREF CANELA 3 </t>
  </si>
  <si>
    <t xml:space="preserve">725184 - RFN - PREF CANELA 4 </t>
  </si>
  <si>
    <t xml:space="preserve">735711 - RFN - PREF CAPIVARI 1 </t>
  </si>
  <si>
    <t>1,36</t>
  </si>
  <si>
    <t xml:space="preserve">735712 - RFN - PREF CAPIVARI 2 </t>
  </si>
  <si>
    <t xml:space="preserve">735713 - RFN - PREF CAPIVARI 3 </t>
  </si>
  <si>
    <t xml:space="preserve">734551 - RFN - PREF CARAGUATATUBA  1   </t>
  </si>
  <si>
    <t xml:space="preserve">734552 - RFN - PREF CARAGUATATUBA  2   </t>
  </si>
  <si>
    <t xml:space="preserve">734553 - RFN - PREF CARAGUATATUBA  3   </t>
  </si>
  <si>
    <t xml:space="preserve">734554 - RFN - PREF CARAGUATATUBA  4  </t>
  </si>
  <si>
    <t xml:space="preserve">734555 - RFN - PREF CARAGUATATUBA  5  </t>
  </si>
  <si>
    <t xml:space="preserve">734559 - RFN - PREF CARAGUATATUBA  6 </t>
  </si>
  <si>
    <t xml:space="preserve">795611 - RFN - PREF CARAPICUIBA 1 </t>
  </si>
  <si>
    <t xml:space="preserve">795612 - RFN - PREF CARAPICUIBA 2 </t>
  </si>
  <si>
    <t xml:space="preserve">795613 - RFN - PREF CARAPICUIBA 3 </t>
  </si>
  <si>
    <t xml:space="preserve">795614 - RFN - PREF CARAPICUIBA 4 </t>
  </si>
  <si>
    <t xml:space="preserve">795615 - RFN - PREF CARAPICUIBA 5 </t>
  </si>
  <si>
    <t xml:space="preserve">765351 - RFN - PREF CATANDUVA 1 </t>
  </si>
  <si>
    <t>1,54</t>
  </si>
  <si>
    <t xml:space="preserve">765352 - RFN - PREF CATANDUVA 2 </t>
  </si>
  <si>
    <t xml:space="preserve">765353 - RFN - PREF CATANDUVA 3 </t>
  </si>
  <si>
    <t xml:space="preserve">765354 - RFN - PREF CATANDUVA 4 </t>
  </si>
  <si>
    <t>775681 - RFN PREF CAUCAIA  1 ILIDADE</t>
  </si>
  <si>
    <t>775682 - RFN PREF CAUCAIA  2 ILIDADE</t>
  </si>
  <si>
    <t>775683 - RFN PREF CAUCAIA  3 ILIDADE</t>
  </si>
  <si>
    <t>775684 - RFN PREF CAUCAIA  4 ILIDADE</t>
  </si>
  <si>
    <t>775685 - RFN PREF CAUCAIA  5 ILIDADE</t>
  </si>
  <si>
    <t xml:space="preserve">795622 - RFN - PREF CERQUILHO 2 </t>
  </si>
  <si>
    <t xml:space="preserve">795623 - RFN - PREF CERQUILHO 3 </t>
  </si>
  <si>
    <t xml:space="preserve">795624 - RFN - PREF CERQUILHO 4 </t>
  </si>
  <si>
    <t xml:space="preserve">705310 - RFN - PREF COLINA  1 </t>
  </si>
  <si>
    <t xml:space="preserve">705311 - RFN - PREF COLINA  2 </t>
  </si>
  <si>
    <t xml:space="preserve">705312 - RFN - PREF COLINA  3 </t>
  </si>
  <si>
    <t xml:space="preserve">705313 - RFN - PREF COLINA  4 </t>
  </si>
  <si>
    <t xml:space="preserve">715202 - RFN - PREF CONTAGEM  2 </t>
  </si>
  <si>
    <t xml:space="preserve">715203 - RFN - PREF CONTAGEM  3 </t>
  </si>
  <si>
    <t>775122 - RFN PREF COTIA  1 ILIDADE</t>
  </si>
  <si>
    <t>1,68</t>
  </si>
  <si>
    <t>775124 - RFN PREF COTIA  2 ILIDADE</t>
  </si>
  <si>
    <t>775126 - RFN PREF COTIA  3 ILIDADE</t>
  </si>
  <si>
    <t xml:space="preserve">795321 - RFN - PREF CRATO 1 </t>
  </si>
  <si>
    <t>1,73</t>
  </si>
  <si>
    <t xml:space="preserve">795322 - RFN - PREF CRATO 2 </t>
  </si>
  <si>
    <t xml:space="preserve">795323 - RFN - PREF CRATO 3 </t>
  </si>
  <si>
    <t xml:space="preserve">795324 - RFN - PREF CRATO 4 </t>
  </si>
  <si>
    <t xml:space="preserve">715171 - RFN - PREF CUIABA  1 </t>
  </si>
  <si>
    <t xml:space="preserve">715172 - RFN - PREF CUIABA  2 </t>
  </si>
  <si>
    <t xml:space="preserve">715173 - RFN - PREF CUIABA  3 </t>
  </si>
  <si>
    <t xml:space="preserve">715174 - RFN - PREF CUIABA  4 </t>
  </si>
  <si>
    <t xml:space="preserve">715175 - RFN - PREF CUIABA  5 </t>
  </si>
  <si>
    <t xml:space="preserve">715176 - RFN - PREF CUIABA  6 </t>
  </si>
  <si>
    <t xml:space="preserve">735891 - RFN - PREF CURITIBA 1 </t>
  </si>
  <si>
    <t xml:space="preserve">735892 - RFN - PREF CURITIBA 2 </t>
  </si>
  <si>
    <t xml:space="preserve">735893 - RFN - PREF CURITIBA 3 </t>
  </si>
  <si>
    <t xml:space="preserve">785201 - RFN - PREF DIADEMA 1 </t>
  </si>
  <si>
    <t xml:space="preserve">785203 - RFN - PREF DIADEMA 2 </t>
  </si>
  <si>
    <t xml:space="preserve">785205 - RFN - PREF DIADEMA 3 </t>
  </si>
  <si>
    <t xml:space="preserve">785202 - RFN - PREF DIADEMA 1 CLT </t>
  </si>
  <si>
    <t xml:space="preserve">785204 - RFN - PREF DIADEMA 2 CLT </t>
  </si>
  <si>
    <t xml:space="preserve">785206 - RFN - PREF DIADEMA 3 CLT </t>
  </si>
  <si>
    <t xml:space="preserve">725151 - RFN - PREF FERRAZ 1 </t>
  </si>
  <si>
    <t xml:space="preserve">725152 - RFN - PREF FERRAZ 2 </t>
  </si>
  <si>
    <t xml:space="preserve">725153 - RFN - PREF FERRAZ 3 </t>
  </si>
  <si>
    <t xml:space="preserve">725154 - RFN - PREF FERRAZ 4 </t>
  </si>
  <si>
    <t xml:space="preserve">725155 - RFN - PREF FERRAZ 5 </t>
  </si>
  <si>
    <t xml:space="preserve">725156 - RFN - PREF FERRAZ 6 </t>
  </si>
  <si>
    <t>1,46</t>
  </si>
  <si>
    <t xml:space="preserve">795451 - RFN - PREF FORMIGA 1 </t>
  </si>
  <si>
    <t xml:space="preserve">795452 - RFN - PREF FORMIGA 2 </t>
  </si>
  <si>
    <t xml:space="preserve">765180 - RFN - PREF FORTALEZA 1 </t>
  </si>
  <si>
    <t xml:space="preserve">765181 - RFN - PREF FORTALEZA 2 </t>
  </si>
  <si>
    <t xml:space="preserve">765182 - RFN - PREF FORTALEZA 3 </t>
  </si>
  <si>
    <t xml:space="preserve">765183 - RFN - PREF FORTALEZA 4 </t>
  </si>
  <si>
    <t xml:space="preserve">765184 - RFN - PREF FORTALEZA 5 </t>
  </si>
  <si>
    <t xml:space="preserve">765185 - RFN - PREF FORTALEZA 6 </t>
  </si>
  <si>
    <t xml:space="preserve">765021 - RFN - PREF GOIANIRA  1 </t>
  </si>
  <si>
    <t xml:space="preserve">765023 - RFN - PREF GOIANIRA  3 </t>
  </si>
  <si>
    <t xml:space="preserve">745771 - RFN - PREF GRAVATAI 1 </t>
  </si>
  <si>
    <t xml:space="preserve">745773 - RFN - PREF GRAVATAI 2 </t>
  </si>
  <si>
    <t xml:space="preserve">745775 - RFN - PREF GRAVATAI 3 </t>
  </si>
  <si>
    <t xml:space="preserve">745777 - RFN - PREF GRAVATAI 4 </t>
  </si>
  <si>
    <t xml:space="preserve">745779 - RFN - PREF GRAVATAI 5 </t>
  </si>
  <si>
    <t>745772 - RFN - PREF GRAVATAI 1  CLT</t>
  </si>
  <si>
    <t xml:space="preserve">745774 - RFN - PREF GRAVATAI 2  CLT </t>
  </si>
  <si>
    <t>745776 - RFN - PREF GRAVATAI 3  CLT</t>
  </si>
  <si>
    <t>745778 - RFN - PREF GRAVATAI 4  CLT</t>
  </si>
  <si>
    <t xml:space="preserve">745780 - RFN - PREF GRAVATAI 5  CLT </t>
  </si>
  <si>
    <t>PREF GUARUJA SP</t>
  </si>
  <si>
    <t>725241 - Tabela 1</t>
  </si>
  <si>
    <t>725241 - RFN - PREF GUARUJA ILIDADE 1</t>
  </si>
  <si>
    <t>725242 - Tabela 2</t>
  </si>
  <si>
    <t>725242 - RFN - PREF GUARUJA ILIDADE 2</t>
  </si>
  <si>
    <t>725243 - Tabela 3</t>
  </si>
  <si>
    <t>725243 - RFN - PREF GUARUJA ILIDADE 3</t>
  </si>
  <si>
    <t>725444 - Tabela 4</t>
  </si>
  <si>
    <t>725444 - RFN - PREF GUARUJA ILIDADE 4</t>
  </si>
  <si>
    <t>725445 - Tabela 5</t>
  </si>
  <si>
    <t>725445 - RFN - PREF GUARUJA ILIDADE 5</t>
  </si>
  <si>
    <t>725446 - Tabela 6</t>
  </si>
  <si>
    <t>725446 - RFN - PREF GUARUJA ILIDADE 6</t>
  </si>
  <si>
    <t>PREF GUARUJA SP CLT</t>
  </si>
  <si>
    <t>725480 - Tabela 1</t>
  </si>
  <si>
    <t>725480 - RFN - PREF GUARUJA  1 CLT</t>
  </si>
  <si>
    <t>725481 - Tabela 2</t>
  </si>
  <si>
    <t>725481 - RFN - PREF GUARUJA  2 CLT</t>
  </si>
  <si>
    <t>725482 - Tabela 3</t>
  </si>
  <si>
    <t>725482 - RFN - PREF GUARUJA  3 CLT</t>
  </si>
  <si>
    <t>725483 - Tabela 4</t>
  </si>
  <si>
    <t>725483 - RFN - PREF GUARUJA  4 CLT</t>
  </si>
  <si>
    <t>725484 - Tabela 5</t>
  </si>
  <si>
    <t>725484 - RFN - PREF GUARUJA  5 CLT</t>
  </si>
  <si>
    <t>725485 - Tabela 6</t>
  </si>
  <si>
    <t>725485 - RFN - PREF GUARUJA  6 CLT</t>
  </si>
  <si>
    <t xml:space="preserve">795601 - RFN - PREF GUARULHOS  1 </t>
  </si>
  <si>
    <t xml:space="preserve">795603 - RFN - PREF GUARULHOS  2 </t>
  </si>
  <si>
    <t xml:space="preserve">795605 - RFN - PREF GUARULHOS  3 </t>
  </si>
  <si>
    <t xml:space="preserve">795607 - RFN - PREF GUARULHOS  4 </t>
  </si>
  <si>
    <t xml:space="preserve">845001 - RFN - PREF IMBITUBA 1 </t>
  </si>
  <si>
    <t xml:space="preserve">845002 - RFN - PREF IMBITUBA 2 </t>
  </si>
  <si>
    <t xml:space="preserve">775561 - RFN - PREF IPATINGA 1 </t>
  </si>
  <si>
    <t xml:space="preserve">775562 - RFN - PREF IPATINGA 2 </t>
  </si>
  <si>
    <t xml:space="preserve">775563 - RFN - PREF IPATINGA 3 </t>
  </si>
  <si>
    <t xml:space="preserve">765071 - RFN - PREF ITABERAI 1 </t>
  </si>
  <si>
    <t xml:space="preserve">765072 - RFN - PREF ITABERAI 2 </t>
  </si>
  <si>
    <t xml:space="preserve">765073 - RFN - PREF ITABERAI 3 </t>
  </si>
  <si>
    <t xml:space="preserve">765074 - RFN - PREF ITABERAI 4 </t>
  </si>
  <si>
    <t xml:space="preserve">765075 - RFN - PREF ITABERAI 5 </t>
  </si>
  <si>
    <t xml:space="preserve">765076 - RFN - PREF ITABERAI 6 </t>
  </si>
  <si>
    <t xml:space="preserve">765077 - RFN - PREF ITABERAI 7 </t>
  </si>
  <si>
    <t xml:space="preserve">765078 - RFN - PREF ITABERAI 8 </t>
  </si>
  <si>
    <t xml:space="preserve">765079 - RFN - PREF ITABERAI 9 </t>
  </si>
  <si>
    <t>795421 - RFN - PREF ITAJUBA  1 ILIDADE</t>
  </si>
  <si>
    <t xml:space="preserve">745881 - RFN - PREF ITANHAEM  1 </t>
  </si>
  <si>
    <t xml:space="preserve">745882 - RFN - PREF ITANHAEM  2 </t>
  </si>
  <si>
    <t xml:space="preserve">745883 - RFN - PREF ITANHAEM  3 </t>
  </si>
  <si>
    <t xml:space="preserve">745784 - RFN - PREF ITANHAEM  4 </t>
  </si>
  <si>
    <t xml:space="preserve">745785 - RFN - PREF ITANHAEM  5 </t>
  </si>
  <si>
    <t xml:space="preserve">745786 - RFN - PREF ITANHAEM  6 </t>
  </si>
  <si>
    <t xml:space="preserve">745787 - RFN - PREF ITANHAEM  7 </t>
  </si>
  <si>
    <t xml:space="preserve">775146 - RFN - PREF ITAPETININGA 2 </t>
  </si>
  <si>
    <t xml:space="preserve">745791 - RFN - PREF ITAPEVA 1 </t>
  </si>
  <si>
    <t xml:space="preserve">745792 - RFN - PREF ITAPEVA 2 </t>
  </si>
  <si>
    <t xml:space="preserve">745793 - RFN - PREF ITAPEVA 3 </t>
  </si>
  <si>
    <t xml:space="preserve">745795 - RFN - PREF ITAPEVA 4 </t>
  </si>
  <si>
    <t xml:space="preserve">795331 - RFN - PREF ITAPIPOCA 1 </t>
  </si>
  <si>
    <t>1,7</t>
  </si>
  <si>
    <t xml:space="preserve">795332 - RFN - PREF ITAPIPOCA 2 </t>
  </si>
  <si>
    <t xml:space="preserve">795333 - RFN - PREF ITAPIPOCA 3 </t>
  </si>
  <si>
    <t xml:space="preserve">795334 - RFN - PREF ITAPIPOCA 4 </t>
  </si>
  <si>
    <t xml:space="preserve">795335 - RFN - PREF ITAPIPOCA 5 </t>
  </si>
  <si>
    <t xml:space="preserve">725250 - RFN - PREF ITAQUA  1 </t>
  </si>
  <si>
    <t xml:space="preserve">725260 - RFN - PREF ITAQUA  2 </t>
  </si>
  <si>
    <t xml:space="preserve">725261 - RFN - PREF ITAQUA  3 </t>
  </si>
  <si>
    <t xml:space="preserve">725262 - RFN - PREF ITAQUA  4 </t>
  </si>
  <si>
    <t xml:space="preserve">795371 - RFN - PREF JARAGUA DO SUL 1 </t>
  </si>
  <si>
    <t xml:space="preserve">795372 - RFN - PREF JARAGUA DO SUL 2 </t>
  </si>
  <si>
    <t xml:space="preserve">795373 - RFN - PREF JARAGUA DO SUL 3 </t>
  </si>
  <si>
    <t xml:space="preserve">745811 - RFN -PREF JUAZEIRO DO NORTE  1 </t>
  </si>
  <si>
    <t xml:space="preserve">745812 - RFN -PREF JUAZEIRO DO NORTE  2 </t>
  </si>
  <si>
    <t xml:space="preserve">745813 - RFN -PREF JUAZEIRO DO NORTE  3 </t>
  </si>
  <si>
    <t xml:space="preserve">745814 - RFN -PREF JUAZEIRO DO NORTE  4 </t>
  </si>
  <si>
    <t xml:space="preserve">795161 - RFN - PREF JUIZ DE FORA  1 </t>
  </si>
  <si>
    <t xml:space="preserve">795881 - RFN - PREF LAJEADO 1 </t>
  </si>
  <si>
    <t xml:space="preserve">795882 - RFN - PREF LAJEADO 2 </t>
  </si>
  <si>
    <t xml:space="preserve">795883 - RFN - PREF LAJEADO 3 </t>
  </si>
  <si>
    <t xml:space="preserve">795884 - RFN - PREF LAJEADO 4 </t>
  </si>
  <si>
    <t xml:space="preserve">795887 - RFN - PREF LAJEADO 5 </t>
  </si>
  <si>
    <t xml:space="preserve">793281 - RFN - PREF MANAUS  1 </t>
  </si>
  <si>
    <t>1,76</t>
  </si>
  <si>
    <t xml:space="preserve">793282 - RFN - PREF MANAUS  2 </t>
  </si>
  <si>
    <t xml:space="preserve">793283 - RFN - PREF MANAUS  3 </t>
  </si>
  <si>
    <t xml:space="preserve">765441 - RFN - PREF MARABA 1 </t>
  </si>
  <si>
    <t xml:space="preserve">765442 - RFN - PREF MARABA 2 </t>
  </si>
  <si>
    <t xml:space="preserve">765443 - RFN - PREF MARABA 3 </t>
  </si>
  <si>
    <t xml:space="preserve">765444 - RFN - PREF MARABA 4 </t>
  </si>
  <si>
    <t xml:space="preserve">765445 - RFN - PREF MARABA 5 </t>
  </si>
  <si>
    <t xml:space="preserve">765446 - RFN - PREF MARABA 6 </t>
  </si>
  <si>
    <t xml:space="preserve">765447 - RFN - PREF MARABA 7 </t>
  </si>
  <si>
    <t xml:space="preserve">885711 - RFN - PREF MARACANAÚ 1 </t>
  </si>
  <si>
    <t xml:space="preserve">885712 - RFN - PREF MARACANAÚ 2 </t>
  </si>
  <si>
    <t xml:space="preserve">885713 - RFN - PREF MARACANAÚ 3 </t>
  </si>
  <si>
    <t xml:space="preserve">885714 - RFN - PREF MARACANAÚ 4 </t>
  </si>
  <si>
    <t xml:space="preserve">885715 - RFN - PREF MARACANAÚ 5 </t>
  </si>
  <si>
    <t xml:space="preserve">885716 - RFN - PREF MARACANAÚ 6 </t>
  </si>
  <si>
    <t xml:space="preserve">885717 - RFN - PREF MARACANAÚ 7 </t>
  </si>
  <si>
    <t xml:space="preserve">885718 - RFN - PREF MARACANAÚ 8 </t>
  </si>
  <si>
    <t xml:space="preserve">996040 - RFN - PREF DE MARILIA 1  </t>
  </si>
  <si>
    <t xml:space="preserve">996041 - RFN - PREF DE MARILIA 2 </t>
  </si>
  <si>
    <t xml:space="preserve">996043 - RFN - PREF DE MARILIA 3 </t>
  </si>
  <si>
    <t xml:space="preserve">995231 - RFN - PREF MAUA  1 </t>
  </si>
  <si>
    <t xml:space="preserve">995232 - RFN - PREF MAUA  2 </t>
  </si>
  <si>
    <t xml:space="preserve">995233 - RFN - PREF MAUA  3 </t>
  </si>
  <si>
    <t xml:space="preserve">995234 - RFN - PREF MAUA  4 </t>
  </si>
  <si>
    <t xml:space="preserve">995248 - RFN - PREF MAUA  5 </t>
  </si>
  <si>
    <t xml:space="preserve">995249 - RFN - PREF MAUA  6 </t>
  </si>
  <si>
    <t xml:space="preserve">795171 - RFN - PREF MONTES CLAROS 1 </t>
  </si>
  <si>
    <t xml:space="preserve">705481 - RFN - PREF OLINDA 1 </t>
  </si>
  <si>
    <t>2,06</t>
  </si>
  <si>
    <t xml:space="preserve">705482 - RFN - PREF OLINDA 2 </t>
  </si>
  <si>
    <t xml:space="preserve">995513 - RFN - PREF OSASCO 1 </t>
  </si>
  <si>
    <t xml:space="preserve">995514 - RFN - PREF OSASCO 2 </t>
  </si>
  <si>
    <t xml:space="preserve">995515 - RFN - PREF OSASCO 3 </t>
  </si>
  <si>
    <t xml:space="preserve">995516 - RFN - PREF OSASCO 4 </t>
  </si>
  <si>
    <t xml:space="preserve">995517 - RFN - PREF OSASCO 5 </t>
  </si>
  <si>
    <t xml:space="preserve">995521 - RFN - PREF OSASCO 6 </t>
  </si>
  <si>
    <t xml:space="preserve">785331 - RFN - PREF PORTO ALEGRE 1 </t>
  </si>
  <si>
    <t xml:space="preserve">785332 - RFN - PREF PORTO ALEGRE 2 </t>
  </si>
  <si>
    <t xml:space="preserve">785333 - RFN - PREF PORTO ALEGRE 3 </t>
  </si>
  <si>
    <t xml:space="preserve">785334 - RFN - PREF PORTO ALEGRE 4 </t>
  </si>
  <si>
    <t xml:space="preserve">775971 - RFN - PREF PALHOÇA 1 </t>
  </si>
  <si>
    <t xml:space="preserve">775972 - RFN - PREF PALHOÇA 2 </t>
  </si>
  <si>
    <t xml:space="preserve">775973 - RFN - PREF PALHOÇA 3 </t>
  </si>
  <si>
    <t xml:space="preserve">775974 - RFN - PREF PALHOÇA 4 </t>
  </si>
  <si>
    <t xml:space="preserve">775975 - RFN - PREF PALHOÇA 5 </t>
  </si>
  <si>
    <t xml:space="preserve">775976 - RFN - PREF PALHOÇA 6 </t>
  </si>
  <si>
    <t xml:space="preserve">315041 - RFN - PREF PARELHAS 1 </t>
  </si>
  <si>
    <t xml:space="preserve">315042 - RFN - PREF PARELHAS 2 </t>
  </si>
  <si>
    <t xml:space="preserve">315043 - RFN - PREF PARELHAS 3 </t>
  </si>
  <si>
    <t xml:space="preserve">315044 - RFN - PREF PARELHAS 4 </t>
  </si>
  <si>
    <t xml:space="preserve">795541 - RFN - PREF PERUIBE  1 </t>
  </si>
  <si>
    <t xml:space="preserve">795542 - RFN - PREF PERUIBE  2 </t>
  </si>
  <si>
    <t xml:space="preserve">795543 - RFN - PREF PERUIBE  3 </t>
  </si>
  <si>
    <t xml:space="preserve">795544 - RFN - PREF PERUIBE  4 </t>
  </si>
  <si>
    <t xml:space="preserve">795545 - RFN - PREF PERUIBE  5 </t>
  </si>
  <si>
    <t xml:space="preserve">795546 - RFN - PREF PERUIBE  6 </t>
  </si>
  <si>
    <t xml:space="preserve">715431 - RFN - PREF PICOS 1 </t>
  </si>
  <si>
    <t xml:space="preserve">715441 - RFN - PREF PICOS SEC SAUDE 1 </t>
  </si>
  <si>
    <t xml:space="preserve">715451 - RFN - PREF PICOS SEC EDUC 1 </t>
  </si>
  <si>
    <t xml:space="preserve">715432 - RFN - PREF PICOS 2 </t>
  </si>
  <si>
    <t xml:space="preserve">715442 - RFN - PREF PICOS SEC SAUDE 2 </t>
  </si>
  <si>
    <t xml:space="preserve">715452 - RFN - PREF PICOS SEC EDUC 2 </t>
  </si>
  <si>
    <t xml:space="preserve">715433 - RFN - PREF PICOS 3 </t>
  </si>
  <si>
    <t xml:space="preserve">715443 - RFN - PREF PICOS SEC SAUDE 3 </t>
  </si>
  <si>
    <t xml:space="preserve">715453 - RFN - PREF PICOS SEC EDUC 3 </t>
  </si>
  <si>
    <t xml:space="preserve">715434 - RFN - PREF PICOS 4 </t>
  </si>
  <si>
    <t xml:space="preserve">715444 - RFN - PREF PICOS SEC SAUDE 4 </t>
  </si>
  <si>
    <t xml:space="preserve">715454 - RFN - PREF PICOS SEC EDUC 4 </t>
  </si>
  <si>
    <t xml:space="preserve">715445 - RFN - PREF PICOS SEC SAUDE 5 </t>
  </si>
  <si>
    <t xml:space="preserve">715455 - RFN - PREF PICOS SEC EDUC 5 </t>
  </si>
  <si>
    <t xml:space="preserve">715291 - RFN - PREF PILAR 1 </t>
  </si>
  <si>
    <t xml:space="preserve">715292 - RFN - PREF PILAR 2 </t>
  </si>
  <si>
    <t xml:space="preserve">715293 - RFN - PREF PILAR 3 </t>
  </si>
  <si>
    <t xml:space="preserve">715294 - RFN - PREF PILAR 4 </t>
  </si>
  <si>
    <t xml:space="preserve">715295 - RFN - PREF PILAR 5 </t>
  </si>
  <si>
    <t xml:space="preserve">881092 - RFN - PREF PINDA  1 </t>
  </si>
  <si>
    <t xml:space="preserve">881099 - RFN - PREF PINDA  2 </t>
  </si>
  <si>
    <t xml:space="preserve">881103 - RFN - PREF PINDA  3 </t>
  </si>
  <si>
    <t xml:space="preserve">881123 - RFN - PREF PINDA  4 </t>
  </si>
  <si>
    <t xml:space="preserve">881124 - RFN - PREF PINDA  5 </t>
  </si>
  <si>
    <t>776501 - RFN - PREF PIRACICABA 1  CLT</t>
  </si>
  <si>
    <t>775289 - RFN - PREF PIRACICABA 2  CLT</t>
  </si>
  <si>
    <t>776510 - RFN - PREF PIRACICABA 3  CLT</t>
  </si>
  <si>
    <t>776512 - RFN - PREF PIRACICABA 4   CLT</t>
  </si>
  <si>
    <t>776514 - RFN - PREF PIRACICABA 5   CLT</t>
  </si>
  <si>
    <t>776516 - RFN - PREF PIRACICABA 6  CLT</t>
  </si>
  <si>
    <t>776502 - RFN - PREF PIRACICABA 1  EST</t>
  </si>
  <si>
    <t>775290 - RFN - PREF PIRACICABA 2  EST</t>
  </si>
  <si>
    <t>776511 - RFN - PREF PIRACICABA 3  EST</t>
  </si>
  <si>
    <t>776513 - RFN - PREF PIRACICABA 4  EST</t>
  </si>
  <si>
    <t>776515 - RFN - PREF PIRACICABA 5  EST</t>
  </si>
  <si>
    <t>776517 - RFN - PREF PIRACICABA 6  EST</t>
  </si>
  <si>
    <t xml:space="preserve">725361 - RFN - PREF PLANALTINA 1 </t>
  </si>
  <si>
    <t xml:space="preserve">725362 - RFN - PREF PLANALTINA 2 </t>
  </si>
  <si>
    <t xml:space="preserve">725363 - RFN - PREF PLANALTINA 3 </t>
  </si>
  <si>
    <t xml:space="preserve">903038 - RFN - PREF POUSO ALEGRE  1 </t>
  </si>
  <si>
    <t xml:space="preserve">903049 - RFN - PREF POUSO ALEGRE  2 </t>
  </si>
  <si>
    <t xml:space="preserve">755071 - RFN - PREF PRAIA GRANDE  1 </t>
  </si>
  <si>
    <t xml:space="preserve">755072 - RFN - PREF PRAIA GRANDE  2 </t>
  </si>
  <si>
    <t xml:space="preserve">755073 - RFN - PREF PRAIA GRANDE  3 </t>
  </si>
  <si>
    <t xml:space="preserve">755074 - RFN - PREF PRAIA GRANDE  4 </t>
  </si>
  <si>
    <t xml:space="preserve">755075 - RFN - PREF PRAIA GRANDE  5 </t>
  </si>
  <si>
    <t xml:space="preserve">755076 - RFN - PREF PRAIA GRANDE  6 </t>
  </si>
  <si>
    <t xml:space="preserve">995855 - RFN - PREF PONTA GROSSA 1 </t>
  </si>
  <si>
    <t xml:space="preserve">794021 - RFN - PREF QUIXADA  1 </t>
  </si>
  <si>
    <t xml:space="preserve">794022 - RFN - PREF QUIXADA  2 </t>
  </si>
  <si>
    <t xml:space="preserve">794000 - RFN - PREF QUIXADA  4 </t>
  </si>
  <si>
    <t xml:space="preserve">735841 - RFN - PREF RECIFE  1 </t>
  </si>
  <si>
    <t xml:space="preserve">735843 - RFN - PREF RECIFE  2 </t>
  </si>
  <si>
    <t xml:space="preserve">735845 - RFN - PREF RECIFE  3 </t>
  </si>
  <si>
    <t>735842 - RFN - PREF RECIFE 1  CLT</t>
  </si>
  <si>
    <t>735844 - RFN - PREF RECIFE 2  CLT</t>
  </si>
  <si>
    <t>735846 - RFN - PREF RECIFE 3  CLT</t>
  </si>
  <si>
    <t xml:space="preserve">774085 - RFN - PREF REGISTRO  1 </t>
  </si>
  <si>
    <t xml:space="preserve">774086 - RFN - PREF REGISTRO  2 </t>
  </si>
  <si>
    <t xml:space="preserve">774087 - RFN - PREF REGISTRO  3 </t>
  </si>
  <si>
    <t xml:space="preserve">774089 - RFN - PREF REGISTRO  5 </t>
  </si>
  <si>
    <t xml:space="preserve">774090 - RFN - PREF REGISTRO  6 </t>
  </si>
  <si>
    <t xml:space="preserve">705591 - RFN - PREF RIBEIRAO NEVES 1 </t>
  </si>
  <si>
    <t xml:space="preserve">705592 - RFN - PREF RIBEIRAO NEVES 2 </t>
  </si>
  <si>
    <t xml:space="preserve">705593 - RFN - PREF RIBEIRAO NEVES 3 </t>
  </si>
  <si>
    <t xml:space="preserve">795101 - RFN - PREF RIBEIRAO PRETO  1 </t>
  </si>
  <si>
    <t xml:space="preserve">795102 - RFN - PREF RIBEIRAO PRETO  2 </t>
  </si>
  <si>
    <t xml:space="preserve">795103 - RFN - PREF RIBEIRAO PRETO  3 </t>
  </si>
  <si>
    <t xml:space="preserve">795104 - RFN - PREF RIBEIRAO PRETO  4 </t>
  </si>
  <si>
    <t xml:space="preserve">795105 - RFN - PREF RIBEIRAO PRETO  5 </t>
  </si>
  <si>
    <t xml:space="preserve">795106 - RFN - PREF RIBEIRAO PRETO  6 </t>
  </si>
  <si>
    <t xml:space="preserve">785801 - RFN - PREF RIBEIRAO PIRES 1 </t>
  </si>
  <si>
    <t xml:space="preserve">785802 - RFN - PREF RIBEIRAO PIRES 2 </t>
  </si>
  <si>
    <t xml:space="preserve">785803 - RFN - PREF RIBEIRAO PIRES 3 </t>
  </si>
  <si>
    <t xml:space="preserve">785804 - RFN - PREF RIBEIRAO PIRES 4 </t>
  </si>
  <si>
    <t xml:space="preserve">785805 - RFN - PREF RIBEIRAO PIRES 5 </t>
  </si>
  <si>
    <t xml:space="preserve">865011 - RFN - PREF RIO BRANCO 1 </t>
  </si>
  <si>
    <t xml:space="preserve">865012 - RFN - PREF RIO BRANCO 2 </t>
  </si>
  <si>
    <t xml:space="preserve">865013 - RFN - PREF RIO BRANCO 3 </t>
  </si>
  <si>
    <t xml:space="preserve">865014 - RFN - PREF RIO BRANCO 4 </t>
  </si>
  <si>
    <t xml:space="preserve">865015 - RFN - PREF RIO BRANCO 5 </t>
  </si>
  <si>
    <t xml:space="preserve">795701 - RFN - PREF RIO GRANDE  1  </t>
  </si>
  <si>
    <t xml:space="preserve">795703 - RFN - PREF RIO GRANDE  2  </t>
  </si>
  <si>
    <t xml:space="preserve">795705 - RFN - PREF RIO GRANDE  3  </t>
  </si>
  <si>
    <t xml:space="preserve">795707 - RFN - PREF RIO GRANDE  4  </t>
  </si>
  <si>
    <t xml:space="preserve">795702 - RFN - PREF RIO GRANDE  1  CLT </t>
  </si>
  <si>
    <t xml:space="preserve">795704 - RFN - PREF RIO GRANDE  2  CLT </t>
  </si>
  <si>
    <t xml:space="preserve">795706 - RFN - PREF RIO GRANDE  3  CLT </t>
  </si>
  <si>
    <t xml:space="preserve">795708 - RFN - PREF RIO GRANDE  4  CLT </t>
  </si>
  <si>
    <t xml:space="preserve">745181 - RFN - PREF S ANT PATRULHA  1  </t>
  </si>
  <si>
    <t xml:space="preserve">745183 - RFN - PREF S ANT PATRULHA  2  </t>
  </si>
  <si>
    <t xml:space="preserve">745185 - RFN - PREF S ANT PATRULHA  3  </t>
  </si>
  <si>
    <t xml:space="preserve">745187 - RFN - PREF S ANT PATRULHA  4  </t>
  </si>
  <si>
    <t xml:space="preserve">745189 - RFN - PREF S ANT PATRULHA  5  </t>
  </si>
  <si>
    <t>745182 - RFN-PREF S ANT PATRULHA  1  CLT</t>
  </si>
  <si>
    <t>745184 - RFN-PREF S ANT PATRULHA  2  CLT</t>
  </si>
  <si>
    <t>745186 - RFN-PREF S ANT PATRULHA  3  CLT</t>
  </si>
  <si>
    <t xml:space="preserve">745190 - RFN-PREF S ANT PATRULHA 5  CLT </t>
  </si>
  <si>
    <t xml:space="preserve">775757 - RFN - PREF SAO JOSE SC  1 </t>
  </si>
  <si>
    <t xml:space="preserve">775758 - RFN - PREF SAO JOSE SC  2 </t>
  </si>
  <si>
    <t xml:space="preserve">725871 - RFN - PREF SAO SEBASTIAO 1 </t>
  </si>
  <si>
    <t xml:space="preserve">725872 - RFN - PREF SAO SEBASTIAO 2 </t>
  </si>
  <si>
    <t xml:space="preserve">725873 - RFN - PREF SAO SEBASTIAO 3 </t>
  </si>
  <si>
    <t xml:space="preserve">725874 - RFN - PREF SAO SEBASTIAO 4 </t>
  </si>
  <si>
    <t xml:space="preserve">725875 - RFN - PREF SAO SEBASTIAO 5 </t>
  </si>
  <si>
    <t xml:space="preserve">575471 - RFN - PREF SALTO  1 </t>
  </si>
  <si>
    <t xml:space="preserve">575472 - RFN - PREF SALTO  2 </t>
  </si>
  <si>
    <t xml:space="preserve">575473 - RFN - PREF SALTO  3 </t>
  </si>
  <si>
    <t xml:space="preserve">575474 - RFN - PREF SALTO  4 </t>
  </si>
  <si>
    <t xml:space="preserve">575476 - RFN - PREF SALTO  5 </t>
  </si>
  <si>
    <t xml:space="preserve">575477 - RFN - PREF SALTO  6 </t>
  </si>
  <si>
    <t xml:space="preserve">725021 - RFN - PREF SANTOS  1 </t>
  </si>
  <si>
    <t xml:space="preserve">725022 - RFN - PREF SANTOS  2 </t>
  </si>
  <si>
    <t xml:space="preserve">725023 - RFN - PREF SANTOS  3 </t>
  </si>
  <si>
    <t xml:space="preserve">725024 - RFN - PREF SANTOS  4 </t>
  </si>
  <si>
    <t xml:space="preserve">725025 - RFN - PREF SANTOS  5 </t>
  </si>
  <si>
    <t xml:space="preserve">725029 - RFN - PREF SANTOS  6 </t>
  </si>
  <si>
    <t xml:space="preserve">725030 - RFN - PREF SANTOS  7 </t>
  </si>
  <si>
    <t xml:space="preserve">725036 - RFN - PREF SANTOS  8 </t>
  </si>
  <si>
    <t xml:space="preserve">795035 - RFN - PREF SETE LAGOAS  2 </t>
  </si>
  <si>
    <t xml:space="preserve">795111 - RFN PREF SINOP -MT 1 </t>
  </si>
  <si>
    <t xml:space="preserve">795113 - RFN PREF SINOP -MT 2 </t>
  </si>
  <si>
    <t xml:space="preserve">795114 - RFN PREF SINOP -MT 3 </t>
  </si>
  <si>
    <t xml:space="preserve">795115 - RFN PREF SINOP -MT 4 </t>
  </si>
  <si>
    <t xml:space="preserve">795116 - RFN PREF SINOP -MT 5 </t>
  </si>
  <si>
    <t xml:space="preserve">795117 - RFN PREF SINOP -MT 6 </t>
  </si>
  <si>
    <t xml:space="preserve">795118 - RFN PREF SINOP -MT 7 </t>
  </si>
  <si>
    <t xml:space="preserve">795119 - RFN PREF SINOP -MT 8 </t>
  </si>
  <si>
    <t xml:space="preserve">735701 - RFN - PREF SJC 1 </t>
  </si>
  <si>
    <t xml:space="preserve">735702 - RFN - PREF SJC 2 </t>
  </si>
  <si>
    <t xml:space="preserve">735703 - RFN - PREF SJC 3 </t>
  </si>
  <si>
    <t xml:space="preserve">735704 - RFN - PREF SJC 4 </t>
  </si>
  <si>
    <t xml:space="preserve">735705 - RFN - PREF SJC 5 </t>
  </si>
  <si>
    <t>PREF SJR PRETO</t>
  </si>
  <si>
    <t>995830 - Tabela 1</t>
  </si>
  <si>
    <t xml:space="preserve">995830 - RFN - PREF SAO JOSE RIO PRETO 1 </t>
  </si>
  <si>
    <t xml:space="preserve">795071 - RFN - PREF SOBRAL 1 </t>
  </si>
  <si>
    <t xml:space="preserve">795072 - RFN - PREF SOBRAL 2 </t>
  </si>
  <si>
    <t xml:space="preserve">795073 - RFN - PREF SOBRAL 3 </t>
  </si>
  <si>
    <t xml:space="preserve">795074 - RFN - PREF SOBRAL 4 </t>
  </si>
  <si>
    <t xml:space="preserve">785120 - RFN - PREF SOROCABA 1 </t>
  </si>
  <si>
    <t xml:space="preserve">785122 - RFN - PREF SOROCABA 2 </t>
  </si>
  <si>
    <t xml:space="preserve">785123 - RFN - PREF SOROCABA 3 </t>
  </si>
  <si>
    <t xml:space="preserve">785125 - RFN - PREF SOROCABA 4 </t>
  </si>
  <si>
    <t xml:space="preserve">785126 - RFN - PREF SOROCABA 5 </t>
  </si>
  <si>
    <t xml:space="preserve">785127 - RFN - PREF SOROCABA 6 </t>
  </si>
  <si>
    <t xml:space="preserve">735181 - RFN - PREF SORRISO 1 </t>
  </si>
  <si>
    <t xml:space="preserve">735182 - RFN - PREF SORRISO 2 </t>
  </si>
  <si>
    <t xml:space="preserve">735183 - RFN - PREF SORRISO 3 </t>
  </si>
  <si>
    <t xml:space="preserve">705411 - RFN - PREF SANTO ANDRE  1 </t>
  </si>
  <si>
    <t>1,88</t>
  </si>
  <si>
    <t xml:space="preserve">705412 - RFN - PREF SANTO ANDRE  2 </t>
  </si>
  <si>
    <t xml:space="preserve">705413 - RFN - PREF SANTO ANDRE  3 </t>
  </si>
  <si>
    <t xml:space="preserve">705414 - RFN - PREF SANTO ANDRE  4 </t>
  </si>
  <si>
    <t xml:space="preserve">315051 - RFN - PREF SANTA CRUZ 1 </t>
  </si>
  <si>
    <t xml:space="preserve">315052 - RFN - PREF SANTA CRUZ 2 </t>
  </si>
  <si>
    <t xml:space="preserve">315053 - RFN - PREF SANTA CRUZ 3 </t>
  </si>
  <si>
    <t xml:space="preserve">315054 - RFN - PREF SANTA CRUZ 4 </t>
  </si>
  <si>
    <t xml:space="preserve">725671 - RFN - PREF SANTA MARIA 1 </t>
  </si>
  <si>
    <t xml:space="preserve">725672 - RFN - PREF SANTA MARIA 2 </t>
  </si>
  <si>
    <t xml:space="preserve">725673 - RFN - PREF SANTA MARIA 3 </t>
  </si>
  <si>
    <t xml:space="preserve">725674 - RFN - PREF SANTA MARIA 4 </t>
  </si>
  <si>
    <t xml:space="preserve">725675 - RFN - PREF SANTA MARIA 5 </t>
  </si>
  <si>
    <t xml:space="preserve">725031 - RFN - PREF SUZANO  1 </t>
  </si>
  <si>
    <t xml:space="preserve">725032 - RFN - PREF SUZANO  2 </t>
  </si>
  <si>
    <t xml:space="preserve">725033 - RFN - PREF SUZANO  3 </t>
  </si>
  <si>
    <t xml:space="preserve">725034 - RFN - PREF SUZANO  4 </t>
  </si>
  <si>
    <t xml:space="preserve">795561 - RFN - PREF TANGARA SERRA 1 </t>
  </si>
  <si>
    <t>1,86</t>
  </si>
  <si>
    <t xml:space="preserve">885600 - RFN - PREF TATUI  1 </t>
  </si>
  <si>
    <t xml:space="preserve">885601 - RFN - PREF TATUI  2 </t>
  </si>
  <si>
    <t xml:space="preserve">885603 - RFN - PREF TATUI  3 </t>
  </si>
  <si>
    <t>705771 - RFN - PREF TAUA 1   PENS</t>
  </si>
  <si>
    <t>705773 - RFN - PREF TAUA 2   PENS</t>
  </si>
  <si>
    <t>705775 - RFN - PREF TAUA 3   PENS</t>
  </si>
  <si>
    <t>705772 - RFN - PREF TAUA 1   ESTAT</t>
  </si>
  <si>
    <t>705774 - RFN - PREF TAUA 2   ESTAT</t>
  </si>
  <si>
    <t>705776 - RFN - PREF TAUA 3   ESTAT</t>
  </si>
  <si>
    <t xml:space="preserve">782003 - RFN - PREF TAUBATÉ  1 </t>
  </si>
  <si>
    <t xml:space="preserve">782004 - RFN - PREF TAUBATÉ  2 </t>
  </si>
  <si>
    <t xml:space="preserve">782019 - RFN - PREF TAUBATÉ  3 </t>
  </si>
  <si>
    <t xml:space="preserve">782020 - RFN - PREF TAUBATÉ  4 </t>
  </si>
  <si>
    <t xml:space="preserve">782021 - RFN - PREF TAUBATÉ  5 </t>
  </si>
  <si>
    <t xml:space="preserve">705721 - RFN - PREF TRES PONTAS 1 </t>
  </si>
  <si>
    <t xml:space="preserve">705722 - RFN - PREF TRES PONTAS 2 </t>
  </si>
  <si>
    <t xml:space="preserve">705723 - RFN - PREF TRES PONTAS 3 </t>
  </si>
  <si>
    <t xml:space="preserve">795551 - RFN - PREF UBATUBA  1 </t>
  </si>
  <si>
    <t xml:space="preserve">795552 - RFN - PREF UBATUBA  2 </t>
  </si>
  <si>
    <t xml:space="preserve">795553 - RFN - PREF UBATUBA  3 </t>
  </si>
  <si>
    <t xml:space="preserve">795554 - RFN - PREF UBATUBA  4 </t>
  </si>
  <si>
    <t xml:space="preserve">795555 - RFN - PREF UBATUBA  5 </t>
  </si>
  <si>
    <t xml:space="preserve">725061 - RFN - PREF UBERABA  1 </t>
  </si>
  <si>
    <t xml:space="preserve">725062 - RFN - PREF UBERABA  2 </t>
  </si>
  <si>
    <t xml:space="preserve">725063 - RFN - PREF UBERABA  3 </t>
  </si>
  <si>
    <t xml:space="preserve">725141 - RFN - PREF UBERLANDIA   1 </t>
  </si>
  <si>
    <t xml:space="preserve">725142 - RFN - PREF UBERLANDIA   2 </t>
  </si>
  <si>
    <t xml:space="preserve">725143 - RFN - PREF UBERLANDIA   3 </t>
  </si>
  <si>
    <t xml:space="preserve">755051 - RFN - PREF VARZEA GRANDE  1 </t>
  </si>
  <si>
    <t xml:space="preserve">755052 - RFN - PREF VARZEA GRANDE  2 </t>
  </si>
  <si>
    <t xml:space="preserve">755053 - RFN - PREF VARZEA GRANDE  3 </t>
  </si>
  <si>
    <t xml:space="preserve">755054 - RFN - PREF VARZEA GRANDE  4 </t>
  </si>
  <si>
    <t xml:space="preserve">755055 - RFN - PREF VARZEA GRANDE  5 </t>
  </si>
  <si>
    <t xml:space="preserve">755056 - RFN - PREF VARZEA GRANDE  6 </t>
  </si>
  <si>
    <t xml:space="preserve">795771 - RFN - PREF VERA CRUZ 1 </t>
  </si>
  <si>
    <t xml:space="preserve">795772 - RFN - PREF VERA CRUZ 2 </t>
  </si>
  <si>
    <t xml:space="preserve">795773 - RFN - PREF VERA CRUZ 3 </t>
  </si>
  <si>
    <t xml:space="preserve">795774 - RFN - PREF VERA CRUZ 4 </t>
  </si>
  <si>
    <t xml:space="preserve">725071 - RFN - PREF VITORIA  1 </t>
  </si>
  <si>
    <t xml:space="preserve">725072 - RFN - PREF VITORIA  2 </t>
  </si>
  <si>
    <t xml:space="preserve">725073 - RFN - PREF VITORIA  3 </t>
  </si>
  <si>
    <t xml:space="preserve">725074 - RFN - PREF VITORIA  4 </t>
  </si>
  <si>
    <t xml:space="preserve">725075 - RFN - PREF VITORIA  5 </t>
  </si>
  <si>
    <t xml:space="preserve">765361 - RFN - PREF VOTUPORANGA 1 </t>
  </si>
  <si>
    <t xml:space="preserve">765362 - RFN - PREF VOTUPORANGA 2 </t>
  </si>
  <si>
    <t xml:space="preserve">765363 - RFN - PREF VOTUPORANGA 3 </t>
  </si>
  <si>
    <t xml:space="preserve">745761 - RFN - PREF EMBU DAS ARTES  1 </t>
  </si>
  <si>
    <t xml:space="preserve">745762 - RFN - PREF EMBU DAS ARTES  2 </t>
  </si>
  <si>
    <t xml:space="preserve">745763 - RFN - PREF EMBU DAS ARTES  3 </t>
  </si>
  <si>
    <t xml:space="preserve">745764 - RFN - PREF EMBU DAS ARTES  4 </t>
  </si>
  <si>
    <t xml:space="preserve">745767 - RFN - PREF EMBU DAS ARTES  5 </t>
  </si>
  <si>
    <t xml:space="preserve">743991 - RFN - PREV MUN CUBATAO 1 </t>
  </si>
  <si>
    <t xml:space="preserve">743992 - RFN - PREV MUN CUBATAO 2 </t>
  </si>
  <si>
    <t xml:space="preserve">743993 - RFN - PREV MUN CUBATAO 3 </t>
  </si>
  <si>
    <t xml:space="preserve">743994 - RFN - PREV MUN CUBATAO 4 </t>
  </si>
  <si>
    <t xml:space="preserve">743995 - RFN - PREV MUN CUBATAO 5 </t>
  </si>
  <si>
    <t xml:space="preserve">705421 - RFN - INST PREV ITANHAEM  1 </t>
  </si>
  <si>
    <t xml:space="preserve">735192 - RFN - PREVISO 2 </t>
  </si>
  <si>
    <t xml:space="preserve">795441 - RFN - PREVIFOR 1 </t>
  </si>
  <si>
    <t xml:space="preserve">795442 - RFN - PREVIFOR 2 </t>
  </si>
  <si>
    <t xml:space="preserve">795431 - RFN - SAAE FORMIGA 1 </t>
  </si>
  <si>
    <t xml:space="preserve">795432 - RFN - SAAE FORMIGA 2 </t>
  </si>
  <si>
    <t xml:space="preserve">500008 - RFN - SAAE SALTO  1 </t>
  </si>
  <si>
    <t xml:space="preserve">500009 - RFN - SAAE SALTO  2 </t>
  </si>
  <si>
    <t xml:space="preserve">500010 - RFN - SAAE SALTO  3 </t>
  </si>
  <si>
    <t xml:space="preserve">500016 - RFN - SAAE SALTO  4 </t>
  </si>
  <si>
    <t xml:space="preserve">500017 - RFN - SAAE SALTO  5 </t>
  </si>
  <si>
    <t xml:space="preserve">500019 - RFN - SAAE SALTO  6 </t>
  </si>
  <si>
    <t>805056 - Tabela 1</t>
  </si>
  <si>
    <t xml:space="preserve">805056 - RFN - SEMAE MOGI DAS CRUZES 1 </t>
  </si>
  <si>
    <t>2,24</t>
  </si>
  <si>
    <t>805060 - Tabela 2</t>
  </si>
  <si>
    <t xml:space="preserve">805060 - RFN - SEMAE MOGI DAS CRUZES 2 </t>
  </si>
  <si>
    <t xml:space="preserve">776531 - RFN - SEMAE PIRACICABA EST 1 </t>
  </si>
  <si>
    <t xml:space="preserve">995648 - RFN - SENADO FEDERAL 1 </t>
  </si>
  <si>
    <t>1,25</t>
  </si>
  <si>
    <t xml:space="preserve">725595 - RFN - SSPREV  1 </t>
  </si>
  <si>
    <t xml:space="preserve">725596 - RFN - SSPREV  2 </t>
  </si>
  <si>
    <t xml:space="preserve">725597 - RFN - SSPREV  3 </t>
  </si>
  <si>
    <t xml:space="preserve">725598 - RFN - SSPREV  4 </t>
  </si>
  <si>
    <t xml:space="preserve">725599 - RFN - SSPREV  5 </t>
  </si>
  <si>
    <t>795201 - RFN - STF  1 ILIDADE</t>
  </si>
  <si>
    <t>795202 - RFN - STF  2 ILIDADE</t>
  </si>
  <si>
    <t>795203 - RFN - STF  3 ILIDADE</t>
  </si>
  <si>
    <t xml:space="preserve">705631 - RFN - TJ AMAZONAS  1 </t>
  </si>
  <si>
    <t xml:space="preserve">705632 - RFN - TJ AMAZONAS  2 </t>
  </si>
  <si>
    <t xml:space="preserve">705633 - RFN - TJ AMAZONAS  3 </t>
  </si>
  <si>
    <t xml:space="preserve">705634 - RFN - TJ AMAZONAS  4 </t>
  </si>
  <si>
    <t xml:space="preserve">705635 - RFN - TJ AMAZONAS  5 </t>
  </si>
  <si>
    <t xml:space="preserve">705636 - RFN - TJ AMAZONAS  6 </t>
  </si>
  <si>
    <t xml:space="preserve">705637 - RFN - TJ AMAZONAS  7 </t>
  </si>
  <si>
    <t xml:space="preserve">705638 - RFN - TJ AMAZONAS  8 </t>
  </si>
  <si>
    <t xml:space="preserve">715861 - RFN - TJ - BAHIA 1 </t>
  </si>
  <si>
    <t>1,51</t>
  </si>
  <si>
    <t xml:space="preserve">715862 - RFN - TJ - BAHIA 2 </t>
  </si>
  <si>
    <t xml:space="preserve">715863 - RFN - TJ - BAHIA 3 </t>
  </si>
  <si>
    <t xml:space="preserve">715864 - RFN - TJ - BAHIA 4 </t>
  </si>
  <si>
    <t xml:space="preserve">715865 - RFN - TJ - BAHIA 5 </t>
  </si>
  <si>
    <t xml:space="preserve">985370 - RFN - TJ DFT  1 </t>
  </si>
  <si>
    <t xml:space="preserve">825122 - RFN - TJ ESPIRITO SANTO 1 </t>
  </si>
  <si>
    <t>1,66</t>
  </si>
  <si>
    <t xml:space="preserve">825123 - RFN - TJ ESPIRITO SANTO 2 </t>
  </si>
  <si>
    <t xml:space="preserve">825124 - RFN - TJ ESPIRITO SANTO 3 </t>
  </si>
  <si>
    <t xml:space="preserve">825125 - RFN - TJ ESPIRITO SANTO 4 </t>
  </si>
  <si>
    <t xml:space="preserve">825126 - RFN - TJ ESPIRITO SANTO 5 </t>
  </si>
  <si>
    <t xml:space="preserve">825127 - RFN - TJ ESPIRITO SANTO 6 </t>
  </si>
  <si>
    <t xml:space="preserve">825128 - RFN - TJ ESPIRITO SANTO 7 </t>
  </si>
  <si>
    <t xml:space="preserve">725130 - RFN - TJ MA 1 </t>
  </si>
  <si>
    <t xml:space="preserve">725131 - RFN - TJ MA 2 </t>
  </si>
  <si>
    <t xml:space="preserve">725132 - RFN - TJ MA 3 </t>
  </si>
  <si>
    <t xml:space="preserve">725133 - RFN - TJ MA 4 </t>
  </si>
  <si>
    <t xml:space="preserve">725134 - RFN - TJ MA 5 </t>
  </si>
  <si>
    <t xml:space="preserve">725135 - RFN - TJ MA 6 </t>
  </si>
  <si>
    <t xml:space="preserve">915001 - RFN - TJ MT  1 </t>
  </si>
  <si>
    <t xml:space="preserve">915004 - RFN - TJ MT  2 </t>
  </si>
  <si>
    <t xml:space="preserve">915005 - RFN - TJ MT  3 </t>
  </si>
  <si>
    <t xml:space="preserve">915006 - RFN - TJ MT  4 </t>
  </si>
  <si>
    <t xml:space="preserve">915007 - RFN - TJ MT  5 </t>
  </si>
  <si>
    <t xml:space="preserve">915008 - RFN - TJ MT  6 </t>
  </si>
  <si>
    <t xml:space="preserve">915009 - RFN - TJ MT  7 </t>
  </si>
  <si>
    <t xml:space="preserve">915010 - RFN - TJ MT  8 </t>
  </si>
  <si>
    <t xml:space="preserve">915011 - RFN - TJ MT  9 </t>
  </si>
  <si>
    <t xml:space="preserve">715181 - RFN - TJ MG 1 </t>
  </si>
  <si>
    <t xml:space="preserve">765891 - RFN - TJ MS 1  </t>
  </si>
  <si>
    <t xml:space="preserve">765892 - RFN - TJ MS 2  </t>
  </si>
  <si>
    <t xml:space="preserve">765893 - RFN - TJ MS 3  </t>
  </si>
  <si>
    <t xml:space="preserve">765894 - RFN - TJ MS 4  </t>
  </si>
  <si>
    <t xml:space="preserve">765895 - RFN - TJ MS 5  </t>
  </si>
  <si>
    <t xml:space="preserve">765896 - RFN - TJ MS 6  </t>
  </si>
  <si>
    <t xml:space="preserve">765897 - RFN - TJ MS 7  </t>
  </si>
  <si>
    <t xml:space="preserve">765898 - RFN - TJ MS 8  </t>
  </si>
  <si>
    <t xml:space="preserve">725120 - RFN - TJ PIAUI 1 </t>
  </si>
  <si>
    <t xml:space="preserve">725121 - RFN - TJ PIAUI 2 </t>
  </si>
  <si>
    <t xml:space="preserve">725122 - RFN - TJ PIAUI 3 </t>
  </si>
  <si>
    <t xml:space="preserve">725123 - RFN - TJ PIAUI 4 </t>
  </si>
  <si>
    <t xml:space="preserve">725124 - RFN - TJ PIAUI 5 </t>
  </si>
  <si>
    <t xml:space="preserve">725125 - RFN - TJ PIAUI 6 </t>
  </si>
  <si>
    <t>905111 - RFN - TJ SP  1  SERVIDOR</t>
  </si>
  <si>
    <t>905112 - RFN - TJ SP  1  MAGISTRADO</t>
  </si>
  <si>
    <t>905114 - RFN - TJ SP  2  MAGISTRADO</t>
  </si>
  <si>
    <t>905123 - RFN - TJ SP  2  SERVIDOR</t>
  </si>
  <si>
    <t>905115 - RFN - TJ SP  3  SERVIDOR</t>
  </si>
  <si>
    <t>905116 - RFN - TJ SP  3  MAGISTRADO</t>
  </si>
  <si>
    <t>905126 - RFN - TJ SP  4  SERVIDOR</t>
  </si>
  <si>
    <t>905127 - RFN - TJ SP  4  MAGISTRADO</t>
  </si>
  <si>
    <t>905128 - RFN - TJ SP  5  SERVIDOR</t>
  </si>
  <si>
    <t>905129 - RFN - TJ SP  5  MAGISTRADO</t>
  </si>
  <si>
    <t>905130 - RFN - TJ SP  6  SERVIDOR</t>
  </si>
  <si>
    <t>905131 - RFN - TJ SP  6  MAGISTRADO</t>
  </si>
  <si>
    <t>905132 - RFN - TJ SP  7  SERVIDOR</t>
  </si>
  <si>
    <t>905133 - RFN - TJ SP  7  MAGISTRADO</t>
  </si>
  <si>
    <t xml:space="preserve">725571 - RFN - TJ SE 1 </t>
  </si>
  <si>
    <t xml:space="preserve">725572 - RFN - TJ SE 2 </t>
  </si>
  <si>
    <t xml:space="preserve">725573 - RFN - TJ SE 3 </t>
  </si>
  <si>
    <t xml:space="preserve">725574 - RFN - TJ SE 4 </t>
  </si>
  <si>
    <t xml:space="preserve">735751 - RFN - TRE SP  1 </t>
  </si>
  <si>
    <t xml:space="preserve">735752 - RFN - TRE SP  2 </t>
  </si>
  <si>
    <t xml:space="preserve">735753 - RFN - TRE SP  3 </t>
  </si>
  <si>
    <t xml:space="preserve">735754 - RFN - TRE SP  4 </t>
  </si>
  <si>
    <t>775831 - Tabela 231</t>
  </si>
  <si>
    <t xml:space="preserve">775831 - RFN - TRT 23 REG MT 1 </t>
  </si>
  <si>
    <t>775832 - Tabela 232</t>
  </si>
  <si>
    <t xml:space="preserve">775832 - RFN - TRT 23 REG MT 2 </t>
  </si>
  <si>
    <t>775833 - Tabela 233</t>
  </si>
  <si>
    <t xml:space="preserve">775833 - RFN - TRT 23 REG MT 3 </t>
  </si>
  <si>
    <t>775834 - Tabela 234</t>
  </si>
  <si>
    <t xml:space="preserve">775834 - RFN - TRT 23 REG MT 4 </t>
  </si>
  <si>
    <t>775835 - Tabela 235</t>
  </si>
  <si>
    <t xml:space="preserve">775835 - RFN - TRT 23 REG MT 5 </t>
  </si>
  <si>
    <t>775836 - Tabela 236</t>
  </si>
  <si>
    <t xml:space="preserve">775836 - RFN - TRT 23 REG MT 6 </t>
  </si>
  <si>
    <t>775837 - Tabela 237</t>
  </si>
  <si>
    <t xml:space="preserve">775837 - RFN - TRT 23 REG MT 7 </t>
  </si>
  <si>
    <t>775838 - Tabela 238</t>
  </si>
  <si>
    <t xml:space="preserve">775838 - RFN - TRT 23 REG MT 8 </t>
  </si>
  <si>
    <t>775839 - Tabela 239</t>
  </si>
  <si>
    <t xml:space="preserve">775839 - RFN - TRT 23 REG MT 9 </t>
  </si>
  <si>
    <t>925101 - Tabela 41</t>
  </si>
  <si>
    <t xml:space="preserve">925101 - RFN - TRT 4 REG 1 </t>
  </si>
  <si>
    <t>925102 - Tabela 42</t>
  </si>
  <si>
    <t xml:space="preserve">925102 - RFN - TRT 4 REG 2 </t>
  </si>
  <si>
    <t>925103 - Tabela 43</t>
  </si>
  <si>
    <t xml:space="preserve">925103 - RFN - TRT 4 REG 3 </t>
  </si>
  <si>
    <t>925104 - Tabela 44</t>
  </si>
  <si>
    <t xml:space="preserve">925104 - RFN - TRT 4 REG 4 </t>
  </si>
  <si>
    <t>925107 - Tabela 45</t>
  </si>
  <si>
    <t xml:space="preserve">925107 - RFN - TRT 4 REG 5 </t>
  </si>
  <si>
    <t xml:space="preserve">795915 - RFN - UNICAMP CLT  1 </t>
  </si>
  <si>
    <t xml:space="preserve">795939 - RFN - UNICAMP CLT  2 </t>
  </si>
  <si>
    <t xml:space="preserve">795950 - RFN - UNICAMP CLT  3 </t>
  </si>
  <si>
    <t xml:space="preserve">795952 - RFN - UNICAMP CLT  4 </t>
  </si>
  <si>
    <t xml:space="preserve">795954 - RFN - UNICAMP CLT  5 </t>
  </si>
  <si>
    <t xml:space="preserve">795956 - RFN - UNICAMP CLT  6 </t>
  </si>
  <si>
    <t xml:space="preserve">795916 - RFN - UNICAMP ESTAT  1 </t>
  </si>
  <si>
    <t xml:space="preserve">795940 - RFN - UNICAMP ESTAT  2 </t>
  </si>
  <si>
    <t xml:space="preserve">795951 - RFN - UNICAMP ESTAT  3 </t>
  </si>
  <si>
    <t xml:space="preserve">795953 - RFN - UNICAMP ESTAT  4 </t>
  </si>
  <si>
    <t xml:space="preserve">795955 - RFN - UNICAMP ESTAT  5 </t>
  </si>
  <si>
    <t xml:space="preserve">795957 - RFN - UNICAMP ESTAT  6 </t>
  </si>
  <si>
    <t xml:space="preserve">725541 - RFN - USP  1 </t>
  </si>
  <si>
    <t xml:space="preserve">725543 - RFN - USP  2 </t>
  </si>
  <si>
    <t xml:space="preserve">725545 - RFN - USP  3 </t>
  </si>
  <si>
    <t xml:space="preserve">725547 - RFN - USP  4 </t>
  </si>
  <si>
    <t xml:space="preserve">725549 - RFN - USP  5 </t>
  </si>
  <si>
    <t xml:space="preserve">725542 - RFN - USP  1 CLT </t>
  </si>
  <si>
    <t xml:space="preserve">725544 - RFN - USP  2 CLT </t>
  </si>
  <si>
    <t xml:space="preserve">725546 - RFN - USP  3 CLT </t>
  </si>
  <si>
    <t xml:space="preserve">725548 - RFN - USP  4 CLT </t>
  </si>
  <si>
    <t xml:space="preserve">725550 - RFN - USP  5 CLT </t>
  </si>
  <si>
    <t>CODAU - UBERABA</t>
  </si>
  <si>
    <t>775661 - Tabela 1</t>
  </si>
  <si>
    <t xml:space="preserve">775661 - RFN - CODAU - UBERABA 1 </t>
  </si>
  <si>
    <t>775662 - Tabela 2</t>
  </si>
  <si>
    <t xml:space="preserve">775662 - RFN - CODAU - UBERABA 2 </t>
  </si>
  <si>
    <t>775663 - Tabela 3</t>
  </si>
  <si>
    <t xml:space="preserve">775663 - RFN - CODAU - UBERABA 3 </t>
  </si>
  <si>
    <t>INST PREVMOC</t>
  </si>
  <si>
    <t>795191 - Tabela 1</t>
  </si>
  <si>
    <t xml:space="preserve">795191 - RFN - PREVMOC 1 </t>
  </si>
  <si>
    <t>Faixa 5</t>
  </si>
  <si>
    <t>Faixa 4</t>
  </si>
  <si>
    <t>Faixa 3</t>
  </si>
  <si>
    <t>Faixa 2</t>
  </si>
  <si>
    <t>Tabela INSS</t>
  </si>
  <si>
    <t>Nova Proposta</t>
  </si>
  <si>
    <t>Desconto simplificado</t>
  </si>
  <si>
    <t>Nova Tabela</t>
  </si>
  <si>
    <t>Tabela Progressiva (maio/2025)</t>
  </si>
  <si>
    <t>Aplicar Desconto Simplificado? (Sim/Não)</t>
  </si>
  <si>
    <t>Deduções (R$) (pensão, dependentes, despesas médicas, etc.)</t>
  </si>
  <si>
    <t>Idade</t>
  </si>
  <si>
    <t>IR Retido (R$)</t>
  </si>
  <si>
    <t>Insira os dados abaixo. Use o botão 'Calcular' (VBA) para recomputar os resultados.</t>
  </si>
  <si>
    <t>Calculadora Inversa IRPF (tabela maio/2025)</t>
  </si>
  <si>
    <t>Parcela Aumento (30%)</t>
  </si>
  <si>
    <t>Novo IR</t>
  </si>
  <si>
    <t>Nova Dedução</t>
  </si>
  <si>
    <t>TABELA PREVIDENCIA</t>
  </si>
  <si>
    <t>Nova Aliquota</t>
  </si>
  <si>
    <t>Parcela Aumento (R$)</t>
  </si>
  <si>
    <t>Dedução Simples Aposentado</t>
  </si>
  <si>
    <t>Dedução Atual</t>
  </si>
  <si>
    <t>Economia Anual (R$)</t>
  </si>
  <si>
    <t>Economia mensal (R$)</t>
  </si>
  <si>
    <t>Isenção Idade</t>
  </si>
  <si>
    <t>Aliquota Atual</t>
  </si>
  <si>
    <t>Economia Anual (13 meses)</t>
  </si>
  <si>
    <t>Faixa de desconto %</t>
  </si>
  <si>
    <t>Parcela Aumento</t>
  </si>
  <si>
    <t>Idade Atual</t>
  </si>
  <si>
    <t>Diferença entre Valor Fixo e Coeficiente x Base de cálculo</t>
  </si>
  <si>
    <t>Novo IR (R$)</t>
  </si>
  <si>
    <t>Base de Cálculo IR</t>
  </si>
  <si>
    <t>Coeficiente redutor x  Base de cálculo</t>
  </si>
  <si>
    <t>Base de Cálculo IR (R$)</t>
  </si>
  <si>
    <t>Salário</t>
  </si>
  <si>
    <t>Valor Fixo</t>
  </si>
  <si>
    <t>IR Retido Atual (R$)</t>
  </si>
  <si>
    <t>Encontre o desconto de IR atual e novo através do salário Bruto</t>
  </si>
  <si>
    <t>Encontre a base de cálculo através do IR atual</t>
  </si>
  <si>
    <t>Valor Fixo isenc 5mil</t>
  </si>
  <si>
    <t>Coef Isenção</t>
  </si>
  <si>
    <t>redutor</t>
  </si>
  <si>
    <t>redução</t>
  </si>
  <si>
    <t>AUMENTO DE MARGEM COM A NOVA ISENÇÃO DE IR - 2026</t>
  </si>
  <si>
    <t>705194 - Tabela 9</t>
  </si>
  <si>
    <t xml:space="preserve">705194 - RFN - GOV ES  9 </t>
  </si>
  <si>
    <t>705195 - Tabela 2010</t>
  </si>
  <si>
    <t xml:space="preserve">705195 - RFN - GOV ES  20K 10 </t>
  </si>
  <si>
    <t>705196 - Tabela 3011</t>
  </si>
  <si>
    <t xml:space="preserve">705196 - RFN - GOV ES  30K 11 </t>
  </si>
  <si>
    <t>IPRESB BARUERI</t>
  </si>
  <si>
    <t>995640 - Tabela 1</t>
  </si>
  <si>
    <t xml:space="preserve">995640 - RFN - INST PREV. BARUERI 1 </t>
  </si>
  <si>
    <t>995832 - Tabela 1</t>
  </si>
  <si>
    <t>995641 - Tabela 2</t>
  </si>
  <si>
    <t xml:space="preserve">995641 - RFN - INST PREV. BARUERI 2 </t>
  </si>
  <si>
    <t>995833 - Tabela 2</t>
  </si>
  <si>
    <t>995642 - Tabela 3</t>
  </si>
  <si>
    <t xml:space="preserve">995642 - RFN - INST PREV. BARUERI 3 </t>
  </si>
  <si>
    <t>995834 - Tabela 3</t>
  </si>
  <si>
    <t>995643 - Tabela 4</t>
  </si>
  <si>
    <t xml:space="preserve">995643 - RFN - INST PREV. BARUERI 4 </t>
  </si>
  <si>
    <t>995835 - Tabela 4</t>
  </si>
  <si>
    <t>745410 - Tabela 1</t>
  </si>
  <si>
    <t xml:space="preserve">745410 - RFN - PREF GOIANIA 1 </t>
  </si>
  <si>
    <t>745411 - Tabela 2</t>
  </si>
  <si>
    <t xml:space="preserve">745411 - RFN - PREF GOIANIA 2 </t>
  </si>
  <si>
    <t>745412 - Tabela 3</t>
  </si>
  <si>
    <t xml:space="preserve">745412 - RFN - PREF GOIANIA 3 </t>
  </si>
  <si>
    <t>745413 - Tabela 4</t>
  </si>
  <si>
    <t xml:space="preserve">745413 - RFN - PREF GOIANIA 4 </t>
  </si>
  <si>
    <t>745414 - Tabela 5</t>
  </si>
  <si>
    <t xml:space="preserve">745414 - RFN - PREF GOIANIA 5 </t>
  </si>
  <si>
    <t>745415 - Tabela 6</t>
  </si>
  <si>
    <t xml:space="preserve">745415 - RFN - PREF GOIANIA 6 </t>
  </si>
  <si>
    <t>745416 - Tabela 7</t>
  </si>
  <si>
    <t xml:space="preserve">745416 - RFN - PREF GOIANIA 7 </t>
  </si>
  <si>
    <t>745417 - Tabela 8</t>
  </si>
  <si>
    <t xml:space="preserve">745417 - RFN - PREF GOIANIA 8 </t>
  </si>
  <si>
    <t>PREF JACAREI</t>
  </si>
  <si>
    <t>747591 - Tabela 1</t>
  </si>
  <si>
    <t xml:space="preserve">747591 - RFN - PREF JACAREI 1 </t>
  </si>
  <si>
    <t>747592 - Tabela 2</t>
  </si>
  <si>
    <t xml:space="preserve">747592 - RFN - PREF JACAREI 2 </t>
  </si>
  <si>
    <t>747593 - Tabela 3</t>
  </si>
  <si>
    <t xml:space="preserve">747593 - RFN - PREF JACAREI 3 </t>
  </si>
  <si>
    <t>747594 - Tabela 4</t>
  </si>
  <si>
    <t xml:space="preserve">747594 - RFN - PREF JACAREI 4 </t>
  </si>
  <si>
    <t>747595 - Tabela 5</t>
  </si>
  <si>
    <t xml:space="preserve">747595 - RFN - PREF JACAREI 5 </t>
  </si>
  <si>
    <t>747596 - Tabela 6</t>
  </si>
  <si>
    <t xml:space="preserve">747596 - RFN - PREF JACAREI 6 </t>
  </si>
  <si>
    <t>705107 - Tabela 151</t>
  </si>
  <si>
    <t xml:space="preserve">705107 - RFN - TRT 15 REG CAMPINAS 1 </t>
  </si>
  <si>
    <t>705108 - Tabela 152</t>
  </si>
  <si>
    <t xml:space="preserve">705108 - RFN - TRT 15 REG CAMPINAS 2 </t>
  </si>
  <si>
    <t>705109 - Tabela 153</t>
  </si>
  <si>
    <t xml:space="preserve">705109 - RFN - TRT 15 REG CAMPINAS 3 </t>
  </si>
  <si>
    <t>- Selecione -</t>
  </si>
  <si>
    <t>775650 - Tabela 1</t>
  </si>
  <si>
    <t xml:space="preserve">775650 - RFN - PREF BARREIRINHAS 1 </t>
  </si>
  <si>
    <t>775651 - Tabela 2</t>
  </si>
  <si>
    <t xml:space="preserve">775651 - RFN - PREF BARREIRINHAS 2 </t>
  </si>
  <si>
    <t>775652 - Tabela 3</t>
  </si>
  <si>
    <t xml:space="preserve">775652 - RFN - PREF BARREIRINHAS 3 </t>
  </si>
  <si>
    <t>775653 - Tabela 4</t>
  </si>
  <si>
    <t xml:space="preserve">775653 - RFN - PREF BARREIRINHAS 4 </t>
  </si>
  <si>
    <t>795991 - Tabela 1</t>
  </si>
  <si>
    <t xml:space="preserve">795991 - RFN - PREF BRAGANCA PTA 1 </t>
  </si>
  <si>
    <t>795992 - Tabela 2</t>
  </si>
  <si>
    <t xml:space="preserve">795992 - RFN - PREF BRAGANCA PTA 2 </t>
  </si>
  <si>
    <t>795993 - Tabela 3</t>
  </si>
  <si>
    <t xml:space="preserve">795993 - RFN - PREF BRAGANCA PTA 3 </t>
  </si>
  <si>
    <t>795994 - Tabela 4</t>
  </si>
  <si>
    <t xml:space="preserve">795994 - RFN - PREF BRAGANCA PTA 4 </t>
  </si>
  <si>
    <t>795995 - Tabela 5</t>
  </si>
  <si>
    <t xml:space="preserve">795995 - RFN - PREF BRAGANCA PTA 5 </t>
  </si>
  <si>
    <t>775145 - Tabela 1</t>
  </si>
  <si>
    <t xml:space="preserve">775145 - RFN - PREF ITAPETININGA 1 </t>
  </si>
  <si>
    <t>775147 - Tabela 3</t>
  </si>
  <si>
    <t xml:space="preserve">775147 - RFN - PREF ITAPETININGA 3 </t>
  </si>
  <si>
    <t>775148 - Tabela 4</t>
  </si>
  <si>
    <t xml:space="preserve">775148 - RFN - PREF ITAPETININGA 4 </t>
  </si>
  <si>
    <t>PREF SANTARÉM</t>
  </si>
  <si>
    <t>825711 - Tabela 1</t>
  </si>
  <si>
    <t xml:space="preserve">825711 - RFN - PREF SANTAREM 1 </t>
  </si>
  <si>
    <t>825712 - Tabela 2</t>
  </si>
  <si>
    <t xml:space="preserve">825712 - RFN - PREF SANTAREM 2 </t>
  </si>
  <si>
    <t>825713 - Tabela 3</t>
  </si>
  <si>
    <t xml:space="preserve">825713 - RFN - PREF SANTAREM 3 </t>
  </si>
  <si>
    <t>825714 - Tabela 4</t>
  </si>
  <si>
    <t xml:space="preserve">825714 - RFN - PREF SANTAREM 4 </t>
  </si>
  <si>
    <t>725037 - Tabela 209</t>
  </si>
  <si>
    <t xml:space="preserve">725037 - RFN - PREF SANTOS 20K  9 </t>
  </si>
  <si>
    <t>SEPREM</t>
  </si>
  <si>
    <t>775491 - Tabela 1</t>
  </si>
  <si>
    <t xml:space="preserve">775491 - RFN - SEPREM 1 </t>
  </si>
  <si>
    <t>775492 - Tabela 2</t>
  </si>
  <si>
    <t xml:space="preserve">775492 - RFN - SEPREM 2 </t>
  </si>
  <si>
    <t>775493 - Tabela 3</t>
  </si>
  <si>
    <t xml:space="preserve">775493 - RFN - SEPREM 3 </t>
  </si>
  <si>
    <t>775494 - Tabela 4</t>
  </si>
  <si>
    <t xml:space="preserve">775494 - RFN - SEPREM 4 </t>
  </si>
  <si>
    <t>where mes_ddb =</t>
  </si>
  <si>
    <t>745171 - Tabela 1</t>
  </si>
  <si>
    <t xml:space="preserve">745171 - RFN - EMBUPREV 1 </t>
  </si>
  <si>
    <t>745172 - Tabela 2</t>
  </si>
  <si>
    <t xml:space="preserve">745172 - RFN - EMBUPREV 2 </t>
  </si>
  <si>
    <t>215004 - Tabela 5</t>
  </si>
  <si>
    <t xml:space="preserve">215004 - RFN - PREF CAMPO GRANDE  5 </t>
  </si>
  <si>
    <t>215005 - Tabela 6</t>
  </si>
  <si>
    <t xml:space="preserve">215005 - RFN - PREF CAMPO GRANDE  6 </t>
  </si>
  <si>
    <t>745173 - Tabela 3</t>
  </si>
  <si>
    <t xml:space="preserve">745173 - RFN - EMBUPREV 3 </t>
  </si>
  <si>
    <t>745210 - Tabela 4</t>
  </si>
  <si>
    <t xml:space="preserve">745210 - RFN - EMBUPREV 4 </t>
  </si>
  <si>
    <t>745211 - Tabela 5</t>
  </si>
  <si>
    <t xml:space="preserve">745211 - RFN - EMBUPREV 5 </t>
  </si>
  <si>
    <t>745212 - Tabela 6</t>
  </si>
  <si>
    <t xml:space="preserve">745212 - RFN - EMBUPREV 6 </t>
  </si>
  <si>
    <t>745213 - Tabela 7</t>
  </si>
  <si>
    <t xml:space="preserve">745213 - RFN - EMBUPREV 7 </t>
  </si>
  <si>
    <t>755077 - Tabela 7</t>
  </si>
  <si>
    <t xml:space="preserve">755077 - RFN - PREF PRAIA GRANDE  7 </t>
  </si>
  <si>
    <t>755080 - Tabela 8</t>
  </si>
  <si>
    <t xml:space="preserve">755080 - RFN - PREF PRAIA GRANDE  8 </t>
  </si>
  <si>
    <t>755081 - Tabela 159</t>
  </si>
  <si>
    <t xml:space="preserve">755081 - RFN - PREF PRAIA GRANDE 15K  9 </t>
  </si>
  <si>
    <t>755082 - Tabela 2010</t>
  </si>
  <si>
    <t xml:space="preserve">755082 - RFN-PREF PRAIA GRANDE 20K  10 </t>
  </si>
  <si>
    <t>Contagem Distinta de - Selecione -</t>
  </si>
  <si>
    <t>INST PREV JUNDI</t>
  </si>
  <si>
    <t>105152 - Tabela 1</t>
  </si>
  <si>
    <t xml:space="preserve">105152 - RFN - IPREJUN 1 APOS/PENS </t>
  </si>
  <si>
    <t>105154 - Tabela 2</t>
  </si>
  <si>
    <t xml:space="preserve">105154 - RFN - IPREJUN 2 APOS/PENS </t>
  </si>
  <si>
    <t>105156 - Tabela 3</t>
  </si>
  <si>
    <t xml:space="preserve">105156 - RFN - IPREJUN 3 APOS/PENS </t>
  </si>
  <si>
    <t>105158 - Tabela 4</t>
  </si>
  <si>
    <t xml:space="preserve">105158 - RFN - IPREJUN 4 APOS/PENS </t>
  </si>
  <si>
    <t>INST PREV JUNDI EST</t>
  </si>
  <si>
    <t>105151 - Tabela 1</t>
  </si>
  <si>
    <t xml:space="preserve">105151 - RFN - IPREJUN 1 EST </t>
  </si>
  <si>
    <t>105153 - Tabela 2</t>
  </si>
  <si>
    <t xml:space="preserve">105153 - RFN - IPREJUN 2 EST </t>
  </si>
  <si>
    <t>105155 - Tabela 3</t>
  </si>
  <si>
    <t xml:space="preserve">105155 - RFN - IPREJUN 3 EST </t>
  </si>
  <si>
    <t>105157 - Tabela 4</t>
  </si>
  <si>
    <t xml:space="preserve">105157 - RFN - IPREJUN 4 EST </t>
  </si>
  <si>
    <t>PREF TRINDADE</t>
  </si>
  <si>
    <t>725351 - Tabela 1</t>
  </si>
  <si>
    <t xml:space="preserve">725351 - RFN - PREF TRINDADE 1 </t>
  </si>
  <si>
    <t>725352 - Tabela 2</t>
  </si>
  <si>
    <t xml:space="preserve">725352 - RFN - PREF TRINDADE 2 </t>
  </si>
  <si>
    <t>725353 - Tabela 3</t>
  </si>
  <si>
    <t xml:space="preserve">725353 - RFN - PREF TRINDADE 3 </t>
  </si>
  <si>
    <t>PREF VIAMAO</t>
  </si>
  <si>
    <t>725171 - Tabela 1</t>
  </si>
  <si>
    <t>725172 - Tabela 2</t>
  </si>
  <si>
    <t>725173 - Tabela 3</t>
  </si>
  <si>
    <t>725174 - Tabela 4</t>
  </si>
  <si>
    <t>PREF VIAMAO CLT</t>
  </si>
  <si>
    <t>725185 - Tabela 1</t>
  </si>
  <si>
    <t>725186 - Tabela 2</t>
  </si>
  <si>
    <t>725187 - Tabela 3</t>
  </si>
  <si>
    <t>725188 - Tabela 4</t>
  </si>
  <si>
    <t>745788 - Tabela 8</t>
  </si>
  <si>
    <t xml:space="preserve">745788 - RFN - PREF ITANHAEM  8 </t>
  </si>
  <si>
    <t>745789 - Tabela 9</t>
  </si>
  <si>
    <t xml:space="preserve">745789 - RFN - PREF ITANHAEM  9 </t>
  </si>
  <si>
    <t>676521 - Tabela 1</t>
  </si>
  <si>
    <t xml:space="preserve">676521 - RFN - INST PREV ITAJAI 1  </t>
  </si>
  <si>
    <t>676522 - Tabela 2</t>
  </si>
  <si>
    <t xml:space="preserve">676522 - RFN - INST PREV ITAJAI 2  </t>
  </si>
  <si>
    <t>676523 - Tabela 3</t>
  </si>
  <si>
    <t xml:space="preserve">676523 - RFN - INST PREV ITAJAI 3  </t>
  </si>
  <si>
    <t>676524 - Tabela 4</t>
  </si>
  <si>
    <t xml:space="preserve">676524 - RFN - INST PREV ITAJAI 4  </t>
  </si>
  <si>
    <t>676525 - Tabela 5</t>
  </si>
  <si>
    <t xml:space="preserve">676525 - RFN - INST PREV ITAJAI 5  </t>
  </si>
  <si>
    <t>Salário Bruto 2025</t>
  </si>
  <si>
    <t>705422 - Tabela 2</t>
  </si>
  <si>
    <t xml:space="preserve">705422 - RFN - INST PREV ITANHAEM  2 </t>
  </si>
  <si>
    <t>705423 - Tabela 3</t>
  </si>
  <si>
    <t xml:space="preserve">705423 - RFN - INST PREV ITANHAEM  3 </t>
  </si>
  <si>
    <t>705424 - Tabela 4</t>
  </si>
  <si>
    <t xml:space="preserve">705424 - RFN - INST PREV ITANHAEM  4 </t>
  </si>
  <si>
    <t>705425 - Tabela 5</t>
  </si>
  <si>
    <t xml:space="preserve">705425 - RFN - INST PREV ITANHAEM  5 </t>
  </si>
  <si>
    <t xml:space="preserve">995190 - RFN - PREF BIRITIBA MIRIM 1  </t>
  </si>
  <si>
    <t xml:space="preserve">995191 - RFN - PREF BIRITIBA MIRIM 2  </t>
  </si>
  <si>
    <t xml:space="preserve">995192 - RFN - PREF BIRITIBA MIRIM 3  </t>
  </si>
  <si>
    <t xml:space="preserve">995193 - RFN - PREF BIRITIBA MIRIM 4  </t>
  </si>
  <si>
    <t xml:space="preserve">725171 - RFN - PREF VIAMAO  1 </t>
  </si>
  <si>
    <t xml:space="preserve">725172 - RFN - PREF VIAMAO  2 </t>
  </si>
  <si>
    <t xml:space="preserve">725173 - RFN - PREF VIAMAO  3 </t>
  </si>
  <si>
    <t xml:space="preserve">725174 - RFN - PREF VIAMAO  4 </t>
  </si>
  <si>
    <t>725185 - RFN - PREF VIAMAO  1  CLT</t>
  </si>
  <si>
    <t>725186 - RFN - PREF VIAMAO  2  CLT</t>
  </si>
  <si>
    <t>725187 - RFN - PREF VIAMAO  3  CLT</t>
  </si>
  <si>
    <t>725188 - RFN - PREF VIAMAO  4  CLT</t>
  </si>
  <si>
    <t>*Sempre utilizar dados do último contracheque sem férias e 13º salário</t>
  </si>
  <si>
    <t>Exceção Add 1 mÊs</t>
  </si>
  <si>
    <t>Exceção Recua 1 mÊs</t>
  </si>
  <si>
    <t>Margem IR</t>
  </si>
  <si>
    <t>AUMENTO MARGEM ISENÇÃO IR INSS</t>
  </si>
  <si>
    <t>PREENCHA OS CAMPOS EM AMARELO</t>
  </si>
  <si>
    <t>Preencher campo  em  Amarelo</t>
  </si>
  <si>
    <t>1,29</t>
  </si>
  <si>
    <t xml:space="preserve">795150 - RFN - CAM MUN CUIABA ESTATU 1  </t>
  </si>
  <si>
    <t xml:space="preserve">795151 - RFN - CAM MUN CUIABA ESTATU 2  </t>
  </si>
  <si>
    <t xml:space="preserve">795152 - RFN - CAM MUN CUIABA ESTATU 3  </t>
  </si>
  <si>
    <t xml:space="preserve">995772 - RFN - INST PREV OSASCO PENS 1 </t>
  </si>
  <si>
    <t xml:space="preserve">995773 - RFN - INST PREV OSASCO PENS 2 </t>
  </si>
  <si>
    <t xml:space="preserve">995774 - RFN - INST PREV OSASCO PENS 3 </t>
  </si>
  <si>
    <t xml:space="preserve">995775 - RFN - INST PREV OSASCO PENS 4 </t>
  </si>
  <si>
    <t xml:space="preserve">995776 - RFN - INST PREV OSASCO PENS 5 </t>
  </si>
  <si>
    <t xml:space="preserve">995791 - RFN-INST PREV OSASCO 1  APOSEN </t>
  </si>
  <si>
    <t xml:space="preserve">995792 - RFN-INST PREV OSASCO 2  APOSEN </t>
  </si>
  <si>
    <t xml:space="preserve">995793 - RFN-INST PREV OSASCO 3  APOSEN </t>
  </si>
  <si>
    <t xml:space="preserve">995794 - RFN-INST PREV OSASCO 4  APOSEN </t>
  </si>
  <si>
    <t xml:space="preserve">995795 - RFN-INST PREV OSASCO 5  APOSEN </t>
  </si>
  <si>
    <t xml:space="preserve">995832 - RFN-INST PREV BARUERI AP/PS 1 </t>
  </si>
  <si>
    <t xml:space="preserve">995833 - RFN-INST PREV BARUERI AP/PS 2 </t>
  </si>
  <si>
    <t xml:space="preserve">995834 - RFN-INST PREV BARUERI AP/PS 3 </t>
  </si>
  <si>
    <t xml:space="preserve">995835 - RFN-INST PREV BARUERI AP/PS 4 </t>
  </si>
  <si>
    <t>795422 - Tabela 2</t>
  </si>
  <si>
    <t>795422 - RFN - PREF ITAJUBA  2 ILIDADE</t>
  </si>
  <si>
    <t>INST PREV SJC</t>
  </si>
  <si>
    <t>985023 - Tabela 1</t>
  </si>
  <si>
    <t xml:space="preserve">985023 - RFN - INST PREV SJC APO/PEN 1 </t>
  </si>
  <si>
    <t>985030 - Tabela 1</t>
  </si>
  <si>
    <t xml:space="preserve">985030 - RFN - INST PREV. SJC 1 </t>
  </si>
  <si>
    <t>985024 - Tabela 2</t>
  </si>
  <si>
    <t xml:space="preserve">985024 - RFN - INST PREV SJC APO/PEN 2 </t>
  </si>
  <si>
    <t>985031 - Tabela 2</t>
  </si>
  <si>
    <t xml:space="preserve">985031 - RFN - INST PREV. SJC 2 </t>
  </si>
  <si>
    <t>985025 - Tabela 3</t>
  </si>
  <si>
    <t xml:space="preserve">985025 - RFN - INST PREV SJC APO/PEN 3 </t>
  </si>
  <si>
    <t>985032 - Tabela 3</t>
  </si>
  <si>
    <t xml:space="preserve">985032 - RFN - INST PREV. SJC 3 </t>
  </si>
  <si>
    <t>985026 - Tabela 4</t>
  </si>
  <si>
    <t xml:space="preserve">985026 - RFN - INST PREV SJC APO/PEN 4 </t>
  </si>
  <si>
    <t>985033 - Tabela 4</t>
  </si>
  <si>
    <t xml:space="preserve">985033 - RFN - INST PREV. SJC 4 </t>
  </si>
  <si>
    <t>985027 - Tabela 5</t>
  </si>
  <si>
    <t xml:space="preserve">985027 - RFN - INST PREV SJC APO/PEN 5 </t>
  </si>
  <si>
    <t>985034 - Tabela 5</t>
  </si>
  <si>
    <t xml:space="preserve">985034 - RFN - INST PREV. SJC 5 </t>
  </si>
  <si>
    <t>985028 - Tabela 6</t>
  </si>
  <si>
    <t xml:space="preserve">985028 - RFN - INST PREV SJC APO/PEN 6 </t>
  </si>
  <si>
    <t>985035 - Tabela 6</t>
  </si>
  <si>
    <t xml:space="preserve">985035 - RFN - INST PREV. SJC 6 </t>
  </si>
  <si>
    <t>985029 - Tabela 7</t>
  </si>
  <si>
    <t xml:space="preserve">985029 - RFN - INST PREV SJC APO/PEN 7 </t>
  </si>
  <si>
    <t>985036 - Tabela 7</t>
  </si>
  <si>
    <t xml:space="preserve">985036 - RFN - INST PREV. SJC 7 </t>
  </si>
  <si>
    <t>PREF NOVA SERR</t>
  </si>
  <si>
    <t>795481 - Tabela 1</t>
  </si>
  <si>
    <t xml:space="preserve">795481 - RFN - PREF NOVA SERRANA 1 </t>
  </si>
  <si>
    <t>795482 - Tabela 2</t>
  </si>
  <si>
    <t xml:space="preserve">795482 - RFN - PREF NOVA SERRANA 2 </t>
  </si>
  <si>
    <t>765681 - Tabela 1</t>
  </si>
  <si>
    <t xml:space="preserve">765681 - RFN - BOMBEIROS 1 </t>
  </si>
  <si>
    <t>765682 - Tabela 2</t>
  </si>
  <si>
    <t xml:space="preserve">765682 - RFN - BOMBEIROS 2 </t>
  </si>
  <si>
    <t>765683 - Tabela 3</t>
  </si>
  <si>
    <t xml:space="preserve">765683 - RFN - BOMBEIROS 3 </t>
  </si>
  <si>
    <t>765684 - Tabela 4</t>
  </si>
  <si>
    <t xml:space="preserve">765684 - RFN - BOMBEIROS 4 </t>
  </si>
  <si>
    <t>765685 - Tabela 5</t>
  </si>
  <si>
    <t xml:space="preserve">765685 - RFN - BOMBEIROS 5 </t>
  </si>
  <si>
    <t>765686 - Tabela 6</t>
  </si>
  <si>
    <t xml:space="preserve">765686 - RFN - BOMBEIROS 6 </t>
  </si>
  <si>
    <t>765687 - Tabela 7</t>
  </si>
  <si>
    <t xml:space="preserve">765687 - RFN - BOMBEIROS 7 </t>
  </si>
  <si>
    <t>765688 - Tabela 8</t>
  </si>
  <si>
    <t xml:space="preserve">765688 - RFN - BOMBEIROS 8 </t>
  </si>
  <si>
    <t>765689 - Tabela 9</t>
  </si>
  <si>
    <t xml:space="preserve">765689 - RFN - BOMBEIROS 9 </t>
  </si>
  <si>
    <t>765690 - Tabela 10</t>
  </si>
  <si>
    <t xml:space="preserve">765690 - RFN - BOMBEIROS 10 </t>
  </si>
  <si>
    <t>765693 - Tabela 3011</t>
  </si>
  <si>
    <t xml:space="preserve">765693 - RFN - BOMBEIROS 30K 11 </t>
  </si>
  <si>
    <t>765694 - Tabela 12</t>
  </si>
  <si>
    <t xml:space="preserve">765694 - RFN - BOMBEIROS 50K 12 </t>
  </si>
  <si>
    <t>995649 - Tabela 5</t>
  </si>
  <si>
    <t xml:space="preserve">995649 - RFN - INST PREV. BARUERI 5 </t>
  </si>
  <si>
    <t>995836 - Tabela 5</t>
  </si>
  <si>
    <t xml:space="preserve">995836 - RFN-INST PREV BARUERI AP/PS 5 </t>
  </si>
  <si>
    <t>995650 - Tabela 6</t>
  </si>
  <si>
    <t xml:space="preserve">995650 - RFN - INST PREV. BARUERI 6 </t>
  </si>
  <si>
    <t>995838 - Tabela 6</t>
  </si>
  <si>
    <t xml:space="preserve">995838 - RFN-INST PREV BARUERI AP/PS 6 </t>
  </si>
  <si>
    <t>995655 - Tabela 7</t>
  </si>
  <si>
    <t xml:space="preserve">995655 - RFN - INST PREV. BARUERI 7 </t>
  </si>
  <si>
    <t>995840 - Tabela 7</t>
  </si>
  <si>
    <t xml:space="preserve">995840 - RFN-INST PREV BARUERI AP/PS 7 </t>
  </si>
  <si>
    <t>765661 - Tabela 1</t>
  </si>
  <si>
    <t xml:space="preserve">765661 - RFN - POLICIA 1 </t>
  </si>
  <si>
    <t>765662 - Tabela 2</t>
  </si>
  <si>
    <t xml:space="preserve">765662 - RFN - POLICIA 2 </t>
  </si>
  <si>
    <t>765663 - Tabela 3</t>
  </si>
  <si>
    <t xml:space="preserve">765663 - RFN - POLICIA 3 </t>
  </si>
  <si>
    <t>765664 - Tabela 4</t>
  </si>
  <si>
    <t xml:space="preserve">765664 - RFN - POLICIA 4 </t>
  </si>
  <si>
    <t>765665 - Tabela 5</t>
  </si>
  <si>
    <t xml:space="preserve">765665 - RFN - POLICIA 5 </t>
  </si>
  <si>
    <t>765666 - Tabela 6</t>
  </si>
  <si>
    <t xml:space="preserve">765666 - RFN - POLICIA 6 </t>
  </si>
  <si>
    <t>765667 - Tabela 7</t>
  </si>
  <si>
    <t xml:space="preserve">765667 - RFN - POLICIA 7 </t>
  </si>
  <si>
    <t>765668 - Tabela 8</t>
  </si>
  <si>
    <t xml:space="preserve">765668 - RFN - POLICIA 8 </t>
  </si>
  <si>
    <t>765669 - Tabela 9</t>
  </si>
  <si>
    <t xml:space="preserve">765669 - RFN - POLICIA 9 </t>
  </si>
  <si>
    <t>765670 - Tabela 10</t>
  </si>
  <si>
    <t xml:space="preserve">765670 - RFN - POLICIA 10 </t>
  </si>
  <si>
    <t>765671 - Tabela 3011</t>
  </si>
  <si>
    <t xml:space="preserve">765671 - RFN - POLICIA 30K 11 </t>
  </si>
  <si>
    <t>765672 - Tabela 12</t>
  </si>
  <si>
    <t xml:space="preserve">765672 - RFN - POLICIA 50K 12 </t>
  </si>
  <si>
    <t>765571 - Tabela 1</t>
  </si>
  <si>
    <t xml:space="preserve">765571 - RFN - SEPLAG 1 </t>
  </si>
  <si>
    <t>765572 - Tabela 2</t>
  </si>
  <si>
    <t xml:space="preserve">765572 - RFN - SEPLAG 2 </t>
  </si>
  <si>
    <t>765573 - Tabela 3</t>
  </si>
  <si>
    <t xml:space="preserve">765573 - RFN - SEPLAG 3 </t>
  </si>
  <si>
    <t>765574 - Tabela 4</t>
  </si>
  <si>
    <t xml:space="preserve">765574 - RFN - SEPLAG 4 </t>
  </si>
  <si>
    <t>765575 - Tabela 5</t>
  </si>
  <si>
    <t xml:space="preserve">765575 - RFN - SEPLAG 5 </t>
  </si>
  <si>
    <t>765576 - Tabela 6</t>
  </si>
  <si>
    <t xml:space="preserve">765576 - RFN - SEPLAG 6 </t>
  </si>
  <si>
    <t>765577 - Tabela 7</t>
  </si>
  <si>
    <t xml:space="preserve">765577 - RFN - SEPLAG 7 </t>
  </si>
  <si>
    <t>765578 - Tabela 8</t>
  </si>
  <si>
    <t xml:space="preserve">765578 - RFN - SEPLAG 8 </t>
  </si>
  <si>
    <t>765579 - Tabela 9</t>
  </si>
  <si>
    <t xml:space="preserve">765579 - RFN - SEPLAG 9 </t>
  </si>
  <si>
    <t>765580 - Tabela 10</t>
  </si>
  <si>
    <t xml:space="preserve">765580 - RFN - SEPLAG 10 </t>
  </si>
  <si>
    <t>765581 - Tabela 3011</t>
  </si>
  <si>
    <t xml:space="preserve">765581 - RFN - SEPLAG 30K 11 </t>
  </si>
  <si>
    <t>765582 - Tabela 12</t>
  </si>
  <si>
    <t xml:space="preserve">765582 - RFN - SEPLAG 50K 12 </t>
  </si>
  <si>
    <t>745121 - Tabela 1</t>
  </si>
  <si>
    <t>745121 - RFN - GOV PE  1 ILIDADE</t>
  </si>
  <si>
    <t>745122 - Tabela 2</t>
  </si>
  <si>
    <t>745122 - RFN - GOV PE  2 ILIDADE</t>
  </si>
  <si>
    <t>745123 - Tabela 3</t>
  </si>
  <si>
    <t>745123 - RFN - GOV PE  3 ILIDADE</t>
  </si>
  <si>
    <t>745124 - Tabela 4</t>
  </si>
  <si>
    <t>745124 - RFN - GOV PE  4 ILIDADE</t>
  </si>
  <si>
    <t>745159 - Tabela 5</t>
  </si>
  <si>
    <t>745159 - RFN - GOV PE  5 ILIDADE</t>
  </si>
  <si>
    <t>745174 - Tabela 6</t>
  </si>
  <si>
    <t>745174 - RFN - GOV PE  6 ILIDADE</t>
  </si>
  <si>
    <t>745231 - Tabela 7</t>
  </si>
  <si>
    <t>745231 - RFN - GOV PE  7 ILIDADE</t>
  </si>
  <si>
    <t>745232 - Tabela 8</t>
  </si>
  <si>
    <t>745232 - RFN - GOV PE  8 ILIDADE</t>
  </si>
  <si>
    <t>745233 - Tabela 9</t>
  </si>
  <si>
    <t>745233 - RFN - GOV PE  9 ILIDADE</t>
  </si>
  <si>
    <t>745234 - Tabela 10</t>
  </si>
  <si>
    <t>745234 - RFN - GOV PE  10 ILIDADE</t>
  </si>
  <si>
    <t>745235 - Tabela 1120</t>
  </si>
  <si>
    <t xml:space="preserve">745235 - RFN - GOV PE 11 20K </t>
  </si>
  <si>
    <t>745236 - Tabela 1230</t>
  </si>
  <si>
    <t xml:space="preserve">745236 - RFN - GOV PE 12 30K </t>
  </si>
  <si>
    <t>815271 - Tabela 1</t>
  </si>
  <si>
    <t xml:space="preserve">815271 - RFN - GOV SP - TJMSP 1 </t>
  </si>
  <si>
    <t>815272 - Tabela 2</t>
  </si>
  <si>
    <t xml:space="preserve">815272 - RFN - GOV SP - TJMSP 2 </t>
  </si>
  <si>
    <t>815273 - Tabela 3</t>
  </si>
  <si>
    <t xml:space="preserve">815273 - RFN - GOV SP - TJMSP 3 </t>
  </si>
  <si>
    <t>815274 - Tabela 4</t>
  </si>
  <si>
    <t xml:space="preserve">815274 - RFN - GOV SP - TJMSP 4 </t>
  </si>
  <si>
    <t>815275 - Tabela 5</t>
  </si>
  <si>
    <t xml:space="preserve">815275 - RFN - GOV SP - TJMSP 5 </t>
  </si>
  <si>
    <t>815276 - Tabela 6</t>
  </si>
  <si>
    <t xml:space="preserve">815276 - RFN - GOV SP - TJMSP 6 </t>
  </si>
  <si>
    <t>815277 - Tabela 7</t>
  </si>
  <si>
    <t xml:space="preserve">815277 - RFN - GOV SP - TJMSP 7 </t>
  </si>
  <si>
    <t>815278 - Tabela 8</t>
  </si>
  <si>
    <t xml:space="preserve">815278 - RFN - GOV SP - TJMSP 8 </t>
  </si>
  <si>
    <t>815279 - Tabela 9</t>
  </si>
  <si>
    <t xml:space="preserve">815279 - RFN - GOV SP - TJMSP 9 </t>
  </si>
  <si>
    <t>815280 - Tabela 1040</t>
  </si>
  <si>
    <t xml:space="preserve">815280 - RFN - GOV SP - TJMSP 10 40K </t>
  </si>
  <si>
    <t>785806 - Tabela 6</t>
  </si>
  <si>
    <t xml:space="preserve">785806 - RFN - PREF RIBEIRAO PIRES 6 </t>
  </si>
  <si>
    <t>GOV SP TJMSP</t>
  </si>
  <si>
    <t>PREF TIETE SP</t>
  </si>
  <si>
    <t>725041 - Tabela 1</t>
  </si>
  <si>
    <t xml:space="preserve">725041 - RFN - PREF TIETE  1 </t>
  </si>
  <si>
    <t>725042 - Tabela 2</t>
  </si>
  <si>
    <t xml:space="preserve">725042 - RFN - PREF TIETE  2 </t>
  </si>
  <si>
    <t>725043 - Tabela 3</t>
  </si>
  <si>
    <t xml:space="preserve">725043 - RFN - PREF TIETE  3 </t>
  </si>
  <si>
    <t>725044 - Tabela 4</t>
  </si>
  <si>
    <t xml:space="preserve">725044 - RFN - PREF TIETE  4 </t>
  </si>
  <si>
    <t>725045 - Tabela 5</t>
  </si>
  <si>
    <t xml:space="preserve">725045 - RFN - PREF TIETE  5 </t>
  </si>
  <si>
    <t>725046 - Tabela 6</t>
  </si>
  <si>
    <t xml:space="preserve">725046 - RFN - PREF TIETE  6 </t>
  </si>
  <si>
    <t>725047 - Tabela 7</t>
  </si>
  <si>
    <t xml:space="preserve">725047 - RFN - PREF TIETE  7 </t>
  </si>
  <si>
    <t>755136 - Tabela 7</t>
  </si>
  <si>
    <t xml:space="preserve">755136 - RFN - GOV CEARA 7 </t>
  </si>
  <si>
    <t>755139 - Tabela 935</t>
  </si>
  <si>
    <t xml:space="preserve">755139 - RFN - GOV CEARA 9 35K </t>
  </si>
  <si>
    <t>755140 - Tabela 10</t>
  </si>
  <si>
    <t xml:space="preserve">755140 - RFN - GOV CEARA 10 50K </t>
  </si>
  <si>
    <t xml:space="preserve">705576 - RFN - PREF BELEM 1 </t>
  </si>
  <si>
    <t xml:space="preserve">705577 - RFN - PREF BELEM 2 </t>
  </si>
  <si>
    <t xml:space="preserve">705578 - RFN - PREF BELEM 3 </t>
  </si>
  <si>
    <t xml:space="preserve">705579 - RFN - PREF BELEM 4 </t>
  </si>
  <si>
    <t>705585 - Tabela 5</t>
  </si>
  <si>
    <t xml:space="preserve">705585 - RFN - PREF BELEM 5 </t>
  </si>
  <si>
    <t>705587 - Tabela 6</t>
  </si>
  <si>
    <t xml:space="preserve">705587 - RFN - PREF BELEM 6 </t>
  </si>
  <si>
    <t>705588 - Tabela 735</t>
  </si>
  <si>
    <t xml:space="preserve">705588 - RFN - PREF BELEM 7 35K </t>
  </si>
  <si>
    <t>705589 - Tabela 8</t>
  </si>
  <si>
    <t xml:space="preserve">705589 - RFN - PREF BELEM 8 50K </t>
  </si>
  <si>
    <t>725175 - Tabela 530</t>
  </si>
  <si>
    <t xml:space="preserve">725175 - RFN - PREF VIAMAO  5 30K </t>
  </si>
  <si>
    <t>725176 - Tabela 6</t>
  </si>
  <si>
    <t xml:space="preserve">725176 - RFN - PREF VIAMAO  6 50K </t>
  </si>
  <si>
    <t>725189 - Tabela 530</t>
  </si>
  <si>
    <t>725189 - RFN - PREF VIAMAO  5 30K  CLT</t>
  </si>
  <si>
    <t>725190 - Tabela 6</t>
  </si>
  <si>
    <t>725190 - RFN - PREF VIAMAO  6 50K  CLT</t>
  </si>
  <si>
    <t>785100 - Tabela 1</t>
  </si>
  <si>
    <t xml:space="preserve">785100 - RFN - SIAPE FED 1 </t>
  </si>
  <si>
    <t>785105 - Tabela 2</t>
  </si>
  <si>
    <t xml:space="preserve">785105 - RFN - SIAPE FED 2 </t>
  </si>
  <si>
    <t>785106 - Tabela 3</t>
  </si>
  <si>
    <t xml:space="preserve">785106 - RFN - SIAPE FED 3 </t>
  </si>
  <si>
    <t>785107 - Tabela 4</t>
  </si>
  <si>
    <t xml:space="preserve">785107 - RFN - SIAPE FED 4 </t>
  </si>
  <si>
    <t>785108 - Tabela 5</t>
  </si>
  <si>
    <t xml:space="preserve">785108 - RFN - SIAPE FED 5 </t>
  </si>
  <si>
    <t>915141 - Tabela 1</t>
  </si>
  <si>
    <t xml:space="preserve">915141 - RFN - EMPAER 1 </t>
  </si>
  <si>
    <t>915142 - Tabela 2</t>
  </si>
  <si>
    <t xml:space="preserve">915142 - RFN - EMPAER 2 </t>
  </si>
  <si>
    <t>915143 - Tabela 3</t>
  </si>
  <si>
    <t xml:space="preserve">915143 - RFN - EMPAER 3 </t>
  </si>
  <si>
    <t>755138 - Tabela 8</t>
  </si>
  <si>
    <t xml:space="preserve">755138 - RFN - GOV CEARA 8 </t>
  </si>
  <si>
    <t>795381 - Tabela 1</t>
  </si>
  <si>
    <t xml:space="preserve">795381 - RFN - PREF BH  1 </t>
  </si>
  <si>
    <t>795382 - Tabela 2</t>
  </si>
  <si>
    <t xml:space="preserve">795382 - RFN - PREF BH  2 </t>
  </si>
  <si>
    <t>795383 - Tabela 3</t>
  </si>
  <si>
    <t xml:space="preserve">795383 - RFN - PREF BH  3 </t>
  </si>
  <si>
    <t>795384 - Tabela 4</t>
  </si>
  <si>
    <t xml:space="preserve">795384 - RFN - PREF BH  4 </t>
  </si>
  <si>
    <t>795385 - Tabela 5</t>
  </si>
  <si>
    <t xml:space="preserve">795385 - RFN - PREF BH  5 </t>
  </si>
  <si>
    <t>795386 - Tabela 6</t>
  </si>
  <si>
    <t xml:space="preserve">795386 - RFN - PREF BH  6 </t>
  </si>
  <si>
    <t>795387 - Tabela 7</t>
  </si>
  <si>
    <t xml:space="preserve">795387 - RFN - PREF BH  7 </t>
  </si>
  <si>
    <t>795388 - Tabela 8</t>
  </si>
  <si>
    <t xml:space="preserve">795388 - RFN - PREF BH  8 </t>
  </si>
  <si>
    <t>795389 - Tabela 9</t>
  </si>
  <si>
    <t xml:space="preserve">795389 - RFN - PREF BH  9 </t>
  </si>
  <si>
    <t>795390 - Tabela 10</t>
  </si>
  <si>
    <t xml:space="preserve">795390 - RFN - PREF BH  10 </t>
  </si>
  <si>
    <t>795391 - Tabela 3011</t>
  </si>
  <si>
    <t xml:space="preserve">795391 - RFN - PREF BH 30K  11 </t>
  </si>
  <si>
    <t>795392 - Tabela 12</t>
  </si>
  <si>
    <t xml:space="preserve">795392 - RFN - PREF BH 50K  12 </t>
  </si>
  <si>
    <t>795251 - Tabela 1</t>
  </si>
  <si>
    <t xml:space="preserve">795251 - RFN - PREF JUNDIAI 1 </t>
  </si>
  <si>
    <t>795252 - Tabela 2</t>
  </si>
  <si>
    <t xml:space="preserve">795252 - RFN - PREF JUNDIAI 2 </t>
  </si>
  <si>
    <t>795253 - Tabela 3</t>
  </si>
  <si>
    <t xml:space="preserve">795253 - RFN - PREF JUNDIAI 3 </t>
  </si>
  <si>
    <t>795254 - Tabela 4</t>
  </si>
  <si>
    <t xml:space="preserve">795254 - RFN - PREF JUNDIAI 4 </t>
  </si>
  <si>
    <t>795255 - Tabela 5</t>
  </si>
  <si>
    <t xml:space="preserve">795255 - RFN - PREF JUNDIAI 5 </t>
  </si>
  <si>
    <t>795256 - Tabela 6</t>
  </si>
  <si>
    <t xml:space="preserve">795256 - RFN - PREF JUNDIAI 6 </t>
  </si>
  <si>
    <t>795257 - Tabela 7</t>
  </si>
  <si>
    <t xml:space="preserve">795257 - RFN - PREF JUNDIAI 7 </t>
  </si>
  <si>
    <t>795258 - Tabela 8</t>
  </si>
  <si>
    <t xml:space="preserve">795258 - RFN - PREF JUNDIAI 8 </t>
  </si>
  <si>
    <t>715371 - Tabela 1</t>
  </si>
  <si>
    <t xml:space="preserve">715371 - RFN - GOV BAHIA 1 </t>
  </si>
  <si>
    <t>1,28</t>
  </si>
  <si>
    <t>715372 - Tabela 2</t>
  </si>
  <si>
    <t xml:space="preserve">715372 - RFN - GOV BAHIA 2 </t>
  </si>
  <si>
    <t>715373 - Tabela 3</t>
  </si>
  <si>
    <t xml:space="preserve">715373 - RFN - GOV BAHIA 3 </t>
  </si>
  <si>
    <t>715374 - Tabela 4</t>
  </si>
  <si>
    <t xml:space="preserve">715374 - RFN - GOV BAHIA 4 </t>
  </si>
  <si>
    <t>715375 - Tabela 5</t>
  </si>
  <si>
    <t xml:space="preserve">715375 - RFN - GOV BAHIA 5 </t>
  </si>
  <si>
    <t>715376 - Tabela 6</t>
  </si>
  <si>
    <t xml:space="preserve">715376 - RFN - GOV BAHIA 6 </t>
  </si>
  <si>
    <t>715377 - Tabela 7</t>
  </si>
  <si>
    <t xml:space="preserve">715377 - RFN - GOV BAHIA 7 </t>
  </si>
  <si>
    <t>715378 - Tabela 8</t>
  </si>
  <si>
    <t xml:space="preserve">715378 - RFN - GOV BAHIA 8 </t>
  </si>
  <si>
    <t>715379 - Tabela 9</t>
  </si>
  <si>
    <t xml:space="preserve">715379 - RFN - GOV BAHIA 9 </t>
  </si>
  <si>
    <t>715380 - Tabela 10</t>
  </si>
  <si>
    <t xml:space="preserve">715380 - RFN - GOV BAHIA 10 </t>
  </si>
  <si>
    <t>715381 - Tabela 11</t>
  </si>
  <si>
    <t xml:space="preserve">715381 - RFN - GOV BAHIA 11 </t>
  </si>
  <si>
    <t>715382 - Tabela 3012</t>
  </si>
  <si>
    <t xml:space="preserve">715382 - RFN - GOV BAHIA 30K 12 </t>
  </si>
  <si>
    <t>715383 - Tabela 13</t>
  </si>
  <si>
    <t xml:space="preserve">715383 - RFN - GOV BAHIA 50K 13 </t>
  </si>
  <si>
    <t>INST PREV CAC</t>
  </si>
  <si>
    <t>755951 - Tabela 1</t>
  </si>
  <si>
    <t xml:space="preserve">755951 - RFN - PREVICACERES 1 </t>
  </si>
  <si>
    <t>755952 - Tabela 2</t>
  </si>
  <si>
    <t xml:space="preserve">755952 - RFN - PREVICACERES 2 </t>
  </si>
  <si>
    <t>755953 - Tabela 3</t>
  </si>
  <si>
    <t xml:space="preserve">755953 - RFN - PREVICACERES 3 </t>
  </si>
  <si>
    <t>755954 - Tabela 4</t>
  </si>
  <si>
    <t xml:space="preserve">755954 - RFN - PREVICACERES 4 </t>
  </si>
  <si>
    <t>755955 - Tabela 5</t>
  </si>
  <si>
    <t xml:space="preserve">755955 - RFN - PREVICACERES 5 </t>
  </si>
  <si>
    <t>755956 - Tabela 6</t>
  </si>
  <si>
    <t xml:space="preserve">755956 - RFN - PREVICACERES 6 </t>
  </si>
  <si>
    <t>755957 - Tabela 7</t>
  </si>
  <si>
    <t xml:space="preserve">755957 - RFN - PREVICACERES 7 </t>
  </si>
  <si>
    <t>755958 - Tabela 8</t>
  </si>
  <si>
    <t xml:space="preserve">755958 - RFN - PREVICACERES 8 </t>
  </si>
  <si>
    <t>755959 - Tabela 9</t>
  </si>
  <si>
    <t xml:space="preserve">755959 - RFN - PREVICACERES 9 </t>
  </si>
  <si>
    <t>765186 - Tabela 7</t>
  </si>
  <si>
    <t xml:space="preserve">765186 - RFN - PREF FORTALEZA 7 </t>
  </si>
  <si>
    <t>765187 - Tabela 308</t>
  </si>
  <si>
    <t xml:space="preserve">765187 - RFN - PREF FORTALEZA 30K 8 </t>
  </si>
  <si>
    <t>765188 - Tabela 409</t>
  </si>
  <si>
    <t xml:space="preserve">765188 - RFN - PREF FORTALEZA 40K 9 </t>
  </si>
  <si>
    <t>765189 - Tabela 10</t>
  </si>
  <si>
    <t xml:space="preserve">765189 - RFN - PREF FORTALEZA 50K 10 </t>
  </si>
  <si>
    <t>795609 - Tabela 5</t>
  </si>
  <si>
    <t xml:space="preserve">795609 - RFN - PREF GUARULHOS  5 </t>
  </si>
  <si>
    <t>795610 - Tabela 6</t>
  </si>
  <si>
    <t xml:space="preserve">795610 - RFN - PREF GUARULHOS  6 </t>
  </si>
  <si>
    <t>(vazio)</t>
  </si>
  <si>
    <t>1,64</t>
  </si>
  <si>
    <t>755503 - Tabela 3</t>
  </si>
  <si>
    <t xml:space="preserve">755503 - RFN - AMAZONPREV 3 </t>
  </si>
  <si>
    <t>755505 - Tabela 4</t>
  </si>
  <si>
    <t xml:space="preserve">755505 - RFN - AMAZONPREV 4 </t>
  </si>
  <si>
    <t>755507 - Tabela 456</t>
  </si>
  <si>
    <t xml:space="preserve">755507 - RFN - AMAZONPREV 45K 6 </t>
  </si>
  <si>
    <t>755508 - Tabela 607</t>
  </si>
  <si>
    <t xml:space="preserve">755508 - RFN - AMAZONPREV 60K 7 </t>
  </si>
  <si>
    <t xml:space="preserve">745136 - RFN - GOV ACRE 1 </t>
  </si>
  <si>
    <t xml:space="preserve">745133 - RFN - GOV ACRE 2 </t>
  </si>
  <si>
    <t xml:space="preserve">745140 - RFN - GOV ACRE 3 </t>
  </si>
  <si>
    <t xml:space="preserve">745144 - RFN - GOV ACRE 4 </t>
  </si>
  <si>
    <t xml:space="preserve">745145 - RFN - GOV ACRE 5 </t>
  </si>
  <si>
    <t xml:space="preserve">745165 - RFN - GOV ACRE 6 </t>
  </si>
  <si>
    <t xml:space="preserve">745175 - RFN - GOV ACRE 7 </t>
  </si>
  <si>
    <t xml:space="preserve">745239 - RFN - GOV ACRE 8 </t>
  </si>
  <si>
    <t>745240 - Tabela 459</t>
  </si>
  <si>
    <t xml:space="preserve">745240 - RFN - GOV ACRE 45K 9 </t>
  </si>
  <si>
    <t>745241 - Tabela 6010</t>
  </si>
  <si>
    <t xml:space="preserve">745241 - RFN - GOV ACRE 60K 10 </t>
  </si>
  <si>
    <t>775404 - Tabela 4</t>
  </si>
  <si>
    <t xml:space="preserve">775404 - RFN - GOV RORAIMA SGG 4 </t>
  </si>
  <si>
    <t>775405 - Tabela 5</t>
  </si>
  <si>
    <t xml:space="preserve">775405 - RFN - GOV RORAIMA SGG 5 </t>
  </si>
  <si>
    <t>775406 - Tabela 456</t>
  </si>
  <si>
    <t xml:space="preserve">775406 - RFN - GOV RORAIMA 45K SGG 6 </t>
  </si>
  <si>
    <t>775407 - Tabela 607</t>
  </si>
  <si>
    <t xml:space="preserve">775407 - RFN - GOV RORAIMA 60K SGG 7 </t>
  </si>
  <si>
    <t>775414 - Tabela 4</t>
  </si>
  <si>
    <t xml:space="preserve">775414 - RFN - GOV RORAIMA SIGRH 4 </t>
  </si>
  <si>
    <t>775415 - Tabela 5</t>
  </si>
  <si>
    <t xml:space="preserve">775415 - RFN - GOV RORAIMA SIGRH 5 </t>
  </si>
  <si>
    <t>775416 - Tabela 456</t>
  </si>
  <si>
    <t xml:space="preserve">775416 - RFN - GOV RORAIMA 45K SIGRH 6 </t>
  </si>
  <si>
    <t>775417 - Tabela 607</t>
  </si>
  <si>
    <t xml:space="preserve">775417 - RFN - GOV RORAIMA 60K SIGRH 7 </t>
  </si>
  <si>
    <t>775794 - Tabela 4</t>
  </si>
  <si>
    <t xml:space="preserve">775794 - RFN - PREF BLUMENAU 4 </t>
  </si>
  <si>
    <t>775795 - Tabela 5</t>
  </si>
  <si>
    <t xml:space="preserve">775795 - RFN - PREF BLUMENAU 5 </t>
  </si>
  <si>
    <t>945194 - Tabela 3</t>
  </si>
  <si>
    <t xml:space="preserve">945194 - RFN - PREF BRUSQUE 3 </t>
  </si>
  <si>
    <t>945195 - Tabela 4</t>
  </si>
  <si>
    <t xml:space="preserve">945195 - RFN - PREF BRUSQUE 4 </t>
  </si>
  <si>
    <t>945196 - Tabela 5</t>
  </si>
  <si>
    <t xml:space="preserve">945196 - RFN - PREF BRUSQUE 5 </t>
  </si>
  <si>
    <t>845003 - Tabela 3</t>
  </si>
  <si>
    <t xml:space="preserve">845003 - RFN - PREF IMBITUBA 3 </t>
  </si>
  <si>
    <t>845004 - Tabela 4</t>
  </si>
  <si>
    <t xml:space="preserve">845004 - RFN - PREF IMBITUBA 4 </t>
  </si>
  <si>
    <t>795374 - Tabela 4</t>
  </si>
  <si>
    <t xml:space="preserve">795374 - RFN - PREF JARAGUA DO SUL 4 </t>
  </si>
  <si>
    <t>745827 - Tabela 1</t>
  </si>
  <si>
    <t xml:space="preserve">745827 - RFN - PREF JOAO PESSOA  1 </t>
  </si>
  <si>
    <t>2,2</t>
  </si>
  <si>
    <t>745828 - Tabela 2</t>
  </si>
  <si>
    <t xml:space="preserve">745828 - RFN - PREF JOAO PESSOA  2 </t>
  </si>
  <si>
    <t>745829 - Tabela 3</t>
  </si>
  <si>
    <t xml:space="preserve">745829 - RFN - PREF JOAO PESSOA  3 </t>
  </si>
  <si>
    <t>ASS LEG   ES</t>
  </si>
  <si>
    <t>CUIABAPREV</t>
  </si>
  <si>
    <t>DEP EST ROD DER</t>
  </si>
  <si>
    <t>EMBUPREV SP</t>
  </si>
  <si>
    <t>EMPAER MT</t>
  </si>
  <si>
    <t>F PREV SORRISO</t>
  </si>
  <si>
    <t>FUNPREV BAURU</t>
  </si>
  <si>
    <t>GOV ACRE</t>
  </si>
  <si>
    <t>GOV MG BOMBEIRO</t>
  </si>
  <si>
    <t>GOV MG IPSEMG</t>
  </si>
  <si>
    <t>GOV MG IPSM</t>
  </si>
  <si>
    <t>GOV MG PM</t>
  </si>
  <si>
    <t>GOV MG SEPLAG</t>
  </si>
  <si>
    <t>GOV RORAIMA SIG</t>
  </si>
  <si>
    <t>705198 - Tabela 3010</t>
  </si>
  <si>
    <t xml:space="preserve">705198 - RFN - GOV SP - PM 30K 10  </t>
  </si>
  <si>
    <t>HSPM SP</t>
  </si>
  <si>
    <t>INST CARIACICA</t>
  </si>
  <si>
    <t>IPAMV ES</t>
  </si>
  <si>
    <t>IPAMV ES - ESPECIAL</t>
  </si>
  <si>
    <t>IPREM MOGI SP</t>
  </si>
  <si>
    <t>IPREM P ALEGRE</t>
  </si>
  <si>
    <t>IPREM SP_</t>
  </si>
  <si>
    <t>IPREM SP_ APOSENTADO</t>
  </si>
  <si>
    <t>IPREM SP_ FUNCIONARIO</t>
  </si>
  <si>
    <t>IPREM SP_ PENSIONISTA</t>
  </si>
  <si>
    <t>IPREV VIAMÃO RS</t>
  </si>
  <si>
    <t>ISSA ANAPOLIS</t>
  </si>
  <si>
    <t>MARINHA_</t>
  </si>
  <si>
    <t>OMSS REGISTRO</t>
  </si>
  <si>
    <t>PICOSPREV PI</t>
  </si>
  <si>
    <t>PREF  BARREIRIN</t>
  </si>
  <si>
    <t>PREF  ITABERAI</t>
  </si>
  <si>
    <t>PREF  MARABÁ</t>
  </si>
  <si>
    <t>PREF AQUIRAZ</t>
  </si>
  <si>
    <t>PREF BELEM</t>
  </si>
  <si>
    <t>PREF BERTIOGA</t>
  </si>
  <si>
    <t>711516 - Tabela 1</t>
  </si>
  <si>
    <t>711516 - RFN - PREF BETIM  1</t>
  </si>
  <si>
    <t>PREF BH,</t>
  </si>
  <si>
    <t>PREF BRAGANCA</t>
  </si>
  <si>
    <t>PREF CAJAMAR</t>
  </si>
  <si>
    <t>PREF CARAGUA 1</t>
  </si>
  <si>
    <t>PREF CARAPICUIB</t>
  </si>
  <si>
    <t>PREF CRATO</t>
  </si>
  <si>
    <t>PREF CUIABA 1</t>
  </si>
  <si>
    <t>PREF GOIANIA</t>
  </si>
  <si>
    <t>PREF GOIANIRA</t>
  </si>
  <si>
    <t>PREF ITAPETININ</t>
  </si>
  <si>
    <t>PREF ITAPEVA</t>
  </si>
  <si>
    <t>PREF ITAQUAQUA</t>
  </si>
  <si>
    <t>PREF MANAUS</t>
  </si>
  <si>
    <t>PREF OSASCO</t>
  </si>
  <si>
    <t>PREF PICOS</t>
  </si>
  <si>
    <t>PREF PILAR</t>
  </si>
  <si>
    <t>PREF PIRACICAB CLT</t>
  </si>
  <si>
    <t>PREF PIRACICAB EST</t>
  </si>
  <si>
    <t>PREF POR VELHO</t>
  </si>
  <si>
    <t>PREF PORTO FELI</t>
  </si>
  <si>
    <t>PREF R GRANDE</t>
  </si>
  <si>
    <t>PREF R GRANDE CLT</t>
  </si>
  <si>
    <t>PREF RIB PIRES</t>
  </si>
  <si>
    <t>PREF S A PATRU</t>
  </si>
  <si>
    <t>PREF S A PATRU CLT</t>
  </si>
  <si>
    <t>PREF SÃO JOSE</t>
  </si>
  <si>
    <t>775759 - Tabela 3</t>
  </si>
  <si>
    <t xml:space="preserve">775759 - RFN - PREF SAO JOSE SC  3 </t>
  </si>
  <si>
    <t>775760 - Tabela 4</t>
  </si>
  <si>
    <t xml:space="preserve">775760 - RFN - PREF SAO JOSE SC  4 </t>
  </si>
  <si>
    <t>775761 - Tabela 5</t>
  </si>
  <si>
    <t xml:space="preserve">775761 - RFN - PREF SAO JOSE SC  5 </t>
  </si>
  <si>
    <t>PREF SAO PAULO</t>
  </si>
  <si>
    <t>PREF SORRISO</t>
  </si>
  <si>
    <t>PREF STA CRUZ</t>
  </si>
  <si>
    <t>PREF TANGARA</t>
  </si>
  <si>
    <t>PREF TATUI</t>
  </si>
  <si>
    <t>PREF TAUA</t>
  </si>
  <si>
    <t>PREF TAUA EST</t>
  </si>
  <si>
    <t>PREF TRES PONTA</t>
  </si>
  <si>
    <t>PREV ITAJAI SC</t>
  </si>
  <si>
    <t>PREVIFOR MG</t>
  </si>
  <si>
    <t>SEMAE MOGI CRU</t>
  </si>
  <si>
    <t>SEMAE PIRACICAB EST</t>
  </si>
  <si>
    <t>SIAPE PORT</t>
  </si>
  <si>
    <t>785196 - Tabela 620</t>
  </si>
  <si>
    <t xml:space="preserve">785196 - RFN - SIAPE FED 6 20K </t>
  </si>
  <si>
    <t>785197 - Tabela 730</t>
  </si>
  <si>
    <t xml:space="preserve">785197 - RFN - SIAPE FED 7 30K </t>
  </si>
  <si>
    <t>785198 - Tabela 8</t>
  </si>
  <si>
    <t xml:space="preserve">785198 - RFN - SIAPE FED 8 50K </t>
  </si>
  <si>
    <t>SSPREV SP</t>
  </si>
  <si>
    <t>SUP TRIB FEDRAL</t>
  </si>
  <si>
    <t>TJ BA</t>
  </si>
  <si>
    <t>TJ MA</t>
  </si>
  <si>
    <t>TJ MG</t>
  </si>
  <si>
    <t>TJ PI</t>
  </si>
  <si>
    <t>TJ SE</t>
  </si>
  <si>
    <t>TRT 15ª REG SP</t>
  </si>
  <si>
    <t>TRT 23º REG MT</t>
  </si>
  <si>
    <t>TRT 4ª REG RS</t>
  </si>
  <si>
    <t>UNICAMP SP CLT</t>
  </si>
  <si>
    <t>UNICAMP SP EST</t>
  </si>
  <si>
    <t>QTD</t>
  </si>
  <si>
    <t>DATA_ATUALIZACAO_CONDICAO</t>
  </si>
  <si>
    <t>505015 - Tabela 1</t>
  </si>
  <si>
    <t xml:space="preserve">505015 - RFN - GOV PARAIBA 1 </t>
  </si>
  <si>
    <t>505016 - Tabela 2</t>
  </si>
  <si>
    <t xml:space="preserve">505016 - RFN - GOV PARAIBA 2 </t>
  </si>
  <si>
    <t>505017 - Tabela 3</t>
  </si>
  <si>
    <t xml:space="preserve">505017 - RFN - GOV PARAIBA 3 </t>
  </si>
  <si>
    <t>505018 - Tabela 4</t>
  </si>
  <si>
    <t xml:space="preserve">505018 - RFN - GOV PARAIBA 4 </t>
  </si>
  <si>
    <t>505019 - Tabela 5</t>
  </si>
  <si>
    <t xml:space="preserve">505019 - RFN - GOV PARAIBA 5 </t>
  </si>
  <si>
    <t>775871 - Tabela 1</t>
  </si>
  <si>
    <t xml:space="preserve">775871 - RFN - EMATER - GOV RO 1 </t>
  </si>
  <si>
    <t>775872 - Tabela 2</t>
  </si>
  <si>
    <t xml:space="preserve">775872 - RFN - EMATER - GOV RO 2 </t>
  </si>
  <si>
    <t>775873 - Tabela 3</t>
  </si>
  <si>
    <t xml:space="preserve">775873 - RFN - EMATER - GOV RO 3 </t>
  </si>
  <si>
    <t>775874 - Tabela 4</t>
  </si>
  <si>
    <t xml:space="preserve">775874 - RFN - EMATER - GOV RO 4 </t>
  </si>
  <si>
    <t>775875 - Tabela 5</t>
  </si>
  <si>
    <t xml:space="preserve">775875 - RFN - EMATER - GOV RO 5 </t>
  </si>
  <si>
    <t>775876 - Tabela 6</t>
  </si>
  <si>
    <t xml:space="preserve">775876 - RFN - EMATER - GOV RO 6 </t>
  </si>
  <si>
    <t>775877 - Tabela 7</t>
  </si>
  <si>
    <t xml:space="preserve">775877 - RFN - EMATER - GOV RO 7 </t>
  </si>
  <si>
    <t>775878 - Tabela 8</t>
  </si>
  <si>
    <t xml:space="preserve">775878 - RFN - EMATER - GOV RO 8 </t>
  </si>
  <si>
    <t>IPSERV UBERABA</t>
  </si>
  <si>
    <t>775531 - Tabela 1</t>
  </si>
  <si>
    <t xml:space="preserve">775531 - RFN - IPSERV  1 </t>
  </si>
  <si>
    <t>775533 - Tabela 2</t>
  </si>
  <si>
    <t xml:space="preserve">775533 - RFN - IPSERV  2 </t>
  </si>
  <si>
    <t>775540 - Tabela 3</t>
  </si>
  <si>
    <t xml:space="preserve">775540 - RFN - IPSERV  3 </t>
  </si>
  <si>
    <t>775725 - Tabela 5</t>
  </si>
  <si>
    <t xml:space="preserve">775725 - RFN - PREF CAMPOS DO JORDAO 5 </t>
  </si>
  <si>
    <t>PREF CURRAIS RN</t>
  </si>
  <si>
    <t>795751 - Tabela 1</t>
  </si>
  <si>
    <t xml:space="preserve">795751 - RFN - PREF CURRAIS NOVOS 1  </t>
  </si>
  <si>
    <t>795752 - Tabela 2</t>
  </si>
  <si>
    <t xml:space="preserve">795752 - RFN - PREF CURRAIS NOVOS 2  </t>
  </si>
  <si>
    <t>795753 - Tabela 3</t>
  </si>
  <si>
    <t xml:space="preserve">795753 - RFN - PREF CURRAIS NOVOS 3  </t>
  </si>
  <si>
    <t>795754 - Tabela 4</t>
  </si>
  <si>
    <t xml:space="preserve">795754 - RFN - PREF CURRAIS NOVOS 4  </t>
  </si>
  <si>
    <t>782029 - Tabela 6</t>
  </si>
  <si>
    <t xml:space="preserve">782029 - RFN - PREF TAUBATÉ  6 </t>
  </si>
  <si>
    <t>785200 - Tabela 9</t>
  </si>
  <si>
    <t xml:space="preserve">785200 - RFN - SIAPE FED 9 50K </t>
  </si>
  <si>
    <t>785209 - Tabela 10140</t>
  </si>
  <si>
    <t xml:space="preserve">785209 - RFN - SIAPE FED 10 140K </t>
  </si>
  <si>
    <t>Port Fácil (INSS / FORÇAS ARMADAS/ TJ SP / GOV SP / GOV MA - BA - GO - GOV PR / PREF FORTALEZA - SÃO LUIS - SALVADOR - BELEM - BH - GOIANIA / AMAZONPREV)</t>
  </si>
  <si>
    <t>315045 - Tabela 5</t>
  </si>
  <si>
    <t xml:space="preserve">315045 - RFN - PREF PARELHAS 5 </t>
  </si>
  <si>
    <t>315046 - Tabela 6</t>
  </si>
  <si>
    <t xml:space="preserve">315046 - RFN - PREF PARELHAS 6 </t>
  </si>
  <si>
    <t>965615 - Tabela 4</t>
  </si>
  <si>
    <t xml:space="preserve">965615 - RFN - DER - PB 4  </t>
  </si>
  <si>
    <t>965616 - Tabela 5</t>
  </si>
  <si>
    <t xml:space="preserve">965616 - RFN - DER - PB 5  </t>
  </si>
  <si>
    <t>705351 - Tabela 1</t>
  </si>
  <si>
    <t xml:space="preserve">705351 - RFN - PREF SALVADOR  CLT 1 </t>
  </si>
  <si>
    <t>705354 - Tabela 2</t>
  </si>
  <si>
    <t xml:space="preserve">705354 - RFN - PREF SALVADOR  CLT 2 </t>
  </si>
  <si>
    <t>705357 - Tabela 3</t>
  </si>
  <si>
    <t xml:space="preserve">705357 - RFN - PREF SALVADOR  CLT 3 </t>
  </si>
  <si>
    <t>705360 - Tabela 4</t>
  </si>
  <si>
    <t xml:space="preserve">705360 - RFN - PREF SALVADOR  CLT 4 </t>
  </si>
  <si>
    <t>705363 - Tabela 5</t>
  </si>
  <si>
    <t xml:space="preserve">705363 - RFN - PREF SALVADOR  CLT 5 </t>
  </si>
  <si>
    <t>705366 - Tabela 6</t>
  </si>
  <si>
    <t xml:space="preserve">705366 - RFN - PREF SALVADOR  CLT 6 </t>
  </si>
  <si>
    <t>705369 - Tabela 7</t>
  </si>
  <si>
    <t xml:space="preserve">705369 - RFN - PREF SALVADOR  CLT 7 </t>
  </si>
  <si>
    <t>705372 - Tabela 8</t>
  </si>
  <si>
    <t xml:space="preserve">705372 - RFN - PREF SALVADOR  CLT 8 </t>
  </si>
  <si>
    <t>705375 - Tabela 9</t>
  </si>
  <si>
    <t xml:space="preserve">705375 - RFN - PREF SALVADOR  CLT 9 </t>
  </si>
  <si>
    <t>705378 - Tabela 10</t>
  </si>
  <si>
    <t xml:space="preserve">705378 - RFN - PREF SALVADOR  CLT 10 </t>
  </si>
  <si>
    <t>705381 - Tabela 11</t>
  </si>
  <si>
    <t xml:space="preserve">705381 - RFN - PREF SALVADOR  CLT 11 </t>
  </si>
  <si>
    <t>705384 - Tabela 4012</t>
  </si>
  <si>
    <t xml:space="preserve">705384 - RFN-PREF SALVADOR  CLT 40K 12 </t>
  </si>
  <si>
    <t>705387 - Tabela 13</t>
  </si>
  <si>
    <t xml:space="preserve">705387 - RFN-PREF SALVADOR  CLT 50K 13 </t>
  </si>
  <si>
    <t>705350 - Tabela 1</t>
  </si>
  <si>
    <t xml:space="preserve">705350 - RFN - PREF SALVADOR  EST 1 </t>
  </si>
  <si>
    <t>705353 - Tabela 2</t>
  </si>
  <si>
    <t xml:space="preserve">705353 - RFN - PREF SALVADOR  ESTAT 2 </t>
  </si>
  <si>
    <t>705356 - Tabela 3</t>
  </si>
  <si>
    <t xml:space="preserve">705356 - RFN - PREF SALVADOR  ESTAT 3 </t>
  </si>
  <si>
    <t>705359 - Tabela 4</t>
  </si>
  <si>
    <t xml:space="preserve">705359 - RFN - PREF SALVADOR  ESTAT 4 </t>
  </si>
  <si>
    <t>705362 - Tabela 5</t>
  </si>
  <si>
    <t xml:space="preserve">705362 - RFN - PREF SALVADOR  ESTAT 5 </t>
  </si>
  <si>
    <t>705365 - Tabela 6</t>
  </si>
  <si>
    <t xml:space="preserve">705365 - RFN - PREF SALVADOR  ESTAT 6 </t>
  </si>
  <si>
    <t>705368 - Tabela 7</t>
  </si>
  <si>
    <t xml:space="preserve">705368 - RFN - PREF SALVADOR  ESTAT 7 </t>
  </si>
  <si>
    <t>705371 - Tabela 8</t>
  </si>
  <si>
    <t xml:space="preserve">705371 - RFN - PREF SALVADOR  ESTAT 8 </t>
  </si>
  <si>
    <t>705374 - Tabela 9</t>
  </si>
  <si>
    <t xml:space="preserve">705374 - RFN - PREF SALVADOR  ESTAT 9 </t>
  </si>
  <si>
    <t>705377 - Tabela 10</t>
  </si>
  <si>
    <t xml:space="preserve">705377 - RFN - PREF SALVADOR  ESTAT 10 </t>
  </si>
  <si>
    <t>705380 - Tabela 11</t>
  </si>
  <si>
    <t xml:space="preserve">705380 - RFN - PREF SALVADOR  ESTAT 11 </t>
  </si>
  <si>
    <t>705383 - Tabela 4012</t>
  </si>
  <si>
    <t xml:space="preserve">705383 - RFN-PREF SALVADOR  EST 40K 12 </t>
  </si>
  <si>
    <t>705386 - Tabela 13</t>
  </si>
  <si>
    <t xml:space="preserve">705386 - RFN-PREF SALVADOR  EST 50K 13 </t>
  </si>
  <si>
    <t>705352 - Tabela 1</t>
  </si>
  <si>
    <t xml:space="preserve">705352 - RFN - PREF SALVADOR  INAT 1 </t>
  </si>
  <si>
    <t>705355 - Tabela 2</t>
  </si>
  <si>
    <t xml:space="preserve">705355 - RFN - PREF SALVADOR  INAT 2 </t>
  </si>
  <si>
    <t>705358 - Tabela 3</t>
  </si>
  <si>
    <t xml:space="preserve">705358 - RFN - PREF SALVADOR  INAT 3 </t>
  </si>
  <si>
    <t>705361 - Tabela 4</t>
  </si>
  <si>
    <t xml:space="preserve">705361 - RFN - PREF SALVADOR  INAT 4 </t>
  </si>
  <si>
    <t>705364 - Tabela 5</t>
  </si>
  <si>
    <t xml:space="preserve">705364 - RFN - PREF SALVADOR  INAT 5 </t>
  </si>
  <si>
    <t>705367 - Tabela 6</t>
  </si>
  <si>
    <t xml:space="preserve">705367 - RFN - PREF SALVADOR  INAT 6 </t>
  </si>
  <si>
    <t>705370 - Tabela 7</t>
  </si>
  <si>
    <t xml:space="preserve">705370 - RFN - PREF SALVADOR  INAT 7 </t>
  </si>
  <si>
    <t>705373 - Tabela 8</t>
  </si>
  <si>
    <t xml:space="preserve">705373 - RFN - PREF SALVADOR  INAT 8 </t>
  </si>
  <si>
    <t>705376 - Tabela 9</t>
  </si>
  <si>
    <t xml:space="preserve">705376 - RFN - PREF SALVADOR  INAT 9 </t>
  </si>
  <si>
    <t>705379 - Tabela 10</t>
  </si>
  <si>
    <t xml:space="preserve">705379 - RFN - PREF SALVADOR  INAT 10 </t>
  </si>
  <si>
    <t>705382 - Tabela 11</t>
  </si>
  <si>
    <t xml:space="preserve">705382 - RFN - PREF SALVADOR  INAT 11 </t>
  </si>
  <si>
    <t>705385 - Tabela 4012</t>
  </si>
  <si>
    <t xml:space="preserve">705385 - RFN-PREF SALVADOR  INAT 40K 12 </t>
  </si>
  <si>
    <t>705388 - Tabela 13</t>
  </si>
  <si>
    <t xml:space="preserve">705388 - RFN-PREF SALVADOR  INAT 50K 13 </t>
  </si>
  <si>
    <t>905134 - Tabela 8</t>
  </si>
  <si>
    <t>905134 - RFN - TJ SP  8  SERVIDOR</t>
  </si>
  <si>
    <t>905138 - Tabela 8</t>
  </si>
  <si>
    <t>905138 - RFN - TJ SP  8  MAGISTRADO</t>
  </si>
  <si>
    <t>905135 - Tabela 9</t>
  </si>
  <si>
    <t>905135 - RFN - TJ SP  9  SERVIDOR</t>
  </si>
  <si>
    <t>905136 - Tabela 30</t>
  </si>
  <si>
    <t>905136 - RFN - TJ SP 30K   SERVIDOR</t>
  </si>
  <si>
    <t>905139 - Tabela 9</t>
  </si>
  <si>
    <t>905139 - RFN - TJ SP  9  MAGISTRADO</t>
  </si>
  <si>
    <t>905140 - Tabela 30</t>
  </si>
  <si>
    <t>905140 - RFN - TJ SP 30K   MAGISTRADO</t>
  </si>
  <si>
    <t xml:space="preserve">905137 - Tabela </t>
  </si>
  <si>
    <t>905137 - RFN - TJ SP 50K   SERVIDOR</t>
  </si>
  <si>
    <t xml:space="preserve">905141 - Tabela </t>
  </si>
  <si>
    <t>905141 - RFN - TJ SP 50K   MAGISTRADO</t>
  </si>
  <si>
    <t>715296 - Tabela 6</t>
  </si>
  <si>
    <t xml:space="preserve">715296 - RFN - PREF PILAR 6 </t>
  </si>
  <si>
    <t>715297 - Tabela 7</t>
  </si>
  <si>
    <t xml:space="preserve">715297 - RFN - PREF PILAR 7 </t>
  </si>
  <si>
    <t>795911 - Tabela 1</t>
  </si>
  <si>
    <t xml:space="preserve">795911 - RFN - PREF SP 1 </t>
  </si>
  <si>
    <t>795912 - Tabela 2</t>
  </si>
  <si>
    <t xml:space="preserve">795912 - RFN - PREF SP 2 </t>
  </si>
  <si>
    <t>795913 - Tabela 3</t>
  </si>
  <si>
    <t xml:space="preserve">795913 - RFN - PREF SP 3 </t>
  </si>
  <si>
    <t>795914 - Tabela 4</t>
  </si>
  <si>
    <t xml:space="preserve">795914 - RFN - PREF SP 4 </t>
  </si>
  <si>
    <t>795917 - Tabela 5</t>
  </si>
  <si>
    <t xml:space="preserve">795917 - RFN - PREF SP 5 </t>
  </si>
  <si>
    <t>795918 - Tabela 6</t>
  </si>
  <si>
    <t xml:space="preserve">795918 - RFN - PREF SP 6 </t>
  </si>
  <si>
    <t>795919 - Tabela 7</t>
  </si>
  <si>
    <t xml:space="preserve">795919 - RFN - PREF SP 7 </t>
  </si>
  <si>
    <t>795923 - Tabela 8</t>
  </si>
  <si>
    <t xml:space="preserve">795923 - RFN - PREF SP 8 </t>
  </si>
  <si>
    <t>795958 - Tabela 9</t>
  </si>
  <si>
    <t xml:space="preserve">795958 - RFN - PREF SP 9 </t>
  </si>
  <si>
    <t>795959 - Tabela 10</t>
  </si>
  <si>
    <t xml:space="preserve">795959 - RFN - PREF SP 10 </t>
  </si>
  <si>
    <t>795960 - Tabela 11</t>
  </si>
  <si>
    <t xml:space="preserve">795960 - RFN - PREF SP 11 </t>
  </si>
  <si>
    <t>795967 - Tabela 2012</t>
  </si>
  <si>
    <t xml:space="preserve">795967 - RFN - PREF SP 20K 12 </t>
  </si>
  <si>
    <t>795968 - Tabela 3013</t>
  </si>
  <si>
    <t xml:space="preserve">795968 - RFN - PREF SP 30K 13 </t>
  </si>
  <si>
    <t>795969 - Tabela 14</t>
  </si>
  <si>
    <t xml:space="preserve">795969 - RFN - PREF SP 50K 14 </t>
  </si>
  <si>
    <t>795970 - Tabela 6015</t>
  </si>
  <si>
    <t xml:space="preserve">795970 - RFN - PREF SP 60K 15 </t>
  </si>
  <si>
    <t>785451 - Tabela 1</t>
  </si>
  <si>
    <t xml:space="preserve">785451 - RFN - GOV MARANHAO  1 </t>
  </si>
  <si>
    <t>785452 - Tabela 2</t>
  </si>
  <si>
    <t xml:space="preserve">785452 - RFN - GOV MARANHAO  2 </t>
  </si>
  <si>
    <t>785453 - Tabela 3</t>
  </si>
  <si>
    <t xml:space="preserve">785453 - RFN - GOV MARANHAO  3 </t>
  </si>
  <si>
    <t>785454 - Tabela 4</t>
  </si>
  <si>
    <t xml:space="preserve">785454 - RFN - GOV MARANHAO  4 </t>
  </si>
  <si>
    <t>785455 - Tabela 5</t>
  </si>
  <si>
    <t xml:space="preserve">785455 - RFN - GOV MARANHAO  5 </t>
  </si>
  <si>
    <t>785456 - Tabela 6</t>
  </si>
  <si>
    <t xml:space="preserve">785456 - RFN - GOV MARANHAO  6 </t>
  </si>
  <si>
    <t>785457 - Tabela 307</t>
  </si>
  <si>
    <t xml:space="preserve">785457 - RFN - GOV MARANHAO  30K 7 </t>
  </si>
  <si>
    <t>785458 - Tabela 8</t>
  </si>
  <si>
    <t xml:space="preserve">785458 - RFN - GOV MARANHAO  50K 8 </t>
  </si>
  <si>
    <t>1,47</t>
  </si>
  <si>
    <t>745381 - Tabela 1</t>
  </si>
  <si>
    <t xml:space="preserve">745381 - RFN - GOV SC  1 </t>
  </si>
  <si>
    <t>745382 - Tabela 2</t>
  </si>
  <si>
    <t xml:space="preserve">745382 - RFN - GOV SC  2 </t>
  </si>
  <si>
    <t>745383 - Tabela 3</t>
  </si>
  <si>
    <t xml:space="preserve">745383 - RFN - GOV SC  3 </t>
  </si>
  <si>
    <t>745384 - Tabela 4</t>
  </si>
  <si>
    <t xml:space="preserve">745384 - RFN - GOV SC  4 </t>
  </si>
  <si>
    <t>745385 - Tabela 305</t>
  </si>
  <si>
    <t xml:space="preserve">745385 - RFN - GOV SC 30K  5 </t>
  </si>
  <si>
    <t>745386 - Tabela 6</t>
  </si>
  <si>
    <t xml:space="preserve">745386 - RFN - GOV SC 50K  6 </t>
  </si>
  <si>
    <t>875481 - Tabela 1</t>
  </si>
  <si>
    <t xml:space="preserve">875481 - RFN - PREF MACAE 1 </t>
  </si>
  <si>
    <t>875482 - Tabela 2</t>
  </si>
  <si>
    <t xml:space="preserve">875482 - RFN - PREF MACAE 2 </t>
  </si>
  <si>
    <t>875483 - Tabela 3</t>
  </si>
  <si>
    <t xml:space="preserve">875483 - RFN - PREF MACAE 3 </t>
  </si>
  <si>
    <t>875484 - Tabela 4</t>
  </si>
  <si>
    <t xml:space="preserve">875484 - RFN - PREF MACAE 4 </t>
  </si>
  <si>
    <t>875485 - Tabela 5</t>
  </si>
  <si>
    <t xml:space="preserve">875485 - RFN - PREF MACAE 5 </t>
  </si>
  <si>
    <t>875486 - Tabela 6</t>
  </si>
  <si>
    <t xml:space="preserve">875486 - RFN - PREF MACAE 6 </t>
  </si>
  <si>
    <t>875487 - Tabela 7</t>
  </si>
  <si>
    <t xml:space="preserve">875487 - RFN - PREF MACAE 7 </t>
  </si>
  <si>
    <t>875488 - Tabela 8</t>
  </si>
  <si>
    <t xml:space="preserve">875488 - RFN - PREF MACAE 8 </t>
  </si>
  <si>
    <t>875489 - Tabela 9</t>
  </si>
  <si>
    <t xml:space="preserve">875489 - RFN - PREF MACAE 9 </t>
  </si>
  <si>
    <t>875490 - Tabela 10</t>
  </si>
  <si>
    <t xml:space="preserve">875490 - RFN - PREF MACAE 10 </t>
  </si>
  <si>
    <t>875491 - Tabela 11</t>
  </si>
  <si>
    <t xml:space="preserve">875491 - RFN - PREF MACAE 11 </t>
  </si>
  <si>
    <t>875492 - Tabela 12</t>
  </si>
  <si>
    <t xml:space="preserve">875492 - RFN - PREF MACAE 12 </t>
  </si>
  <si>
    <t>875493 - Tabela 13</t>
  </si>
  <si>
    <t xml:space="preserve">875493 - RFN - PREF MACAE 13 </t>
  </si>
  <si>
    <t>875494 - Tabela 14</t>
  </si>
  <si>
    <t xml:space="preserve">875494 - RFN - PREF MACAE 14 </t>
  </si>
  <si>
    <t>TEE SP</t>
  </si>
  <si>
    <t>PRE NOVA MAMORE</t>
  </si>
  <si>
    <t>705601 - Tabela 1</t>
  </si>
  <si>
    <t xml:space="preserve">705601 - RFN - GOV MS  1  </t>
  </si>
  <si>
    <t>705602 - Tabela 2</t>
  </si>
  <si>
    <t xml:space="preserve">705602 - RFN - GOV MS  2  </t>
  </si>
  <si>
    <t>705603 - Tabela 3</t>
  </si>
  <si>
    <t xml:space="preserve">705603 - RFN - GOV MS  3  </t>
  </si>
  <si>
    <t>705604 - Tabela 4</t>
  </si>
  <si>
    <t xml:space="preserve">705604 - RFN - GOV MS  4  </t>
  </si>
  <si>
    <t>705605 - Tabela 5</t>
  </si>
  <si>
    <t xml:space="preserve">705605 - RFN - GOV MS  5  </t>
  </si>
  <si>
    <t>705606 - Tabela 6</t>
  </si>
  <si>
    <t xml:space="preserve">705606 - RFN - GOV MS  6  </t>
  </si>
  <si>
    <t>705607 - Tabela 7</t>
  </si>
  <si>
    <t xml:space="preserve">705607 - RFN - GOV MS  7  </t>
  </si>
  <si>
    <t>705608 - Tabela 8</t>
  </si>
  <si>
    <t xml:space="preserve">705608 - RFN - GOV MS  8  </t>
  </si>
  <si>
    <t>705609 - Tabela 9</t>
  </si>
  <si>
    <t xml:space="preserve">705609 - RFN - GOV MS  9  </t>
  </si>
  <si>
    <t>705644 - Tabela 2010</t>
  </si>
  <si>
    <t xml:space="preserve">705644 - RFN - GOV MS  20K 10 </t>
  </si>
  <si>
    <t>705645 - Tabela 3011</t>
  </si>
  <si>
    <t xml:space="preserve">705645 - RFN - GOV MS  30K 11 </t>
  </si>
  <si>
    <t>705646 - Tabela 12</t>
  </si>
  <si>
    <t xml:space="preserve">705646 - RFN - GOV MS  50K 12 </t>
  </si>
  <si>
    <t>775191 - Tabela 1</t>
  </si>
  <si>
    <t xml:space="preserve">775191 - RFN - GOV RONDONIA 1 </t>
  </si>
  <si>
    <t>775192 - Tabela 2</t>
  </si>
  <si>
    <t xml:space="preserve">775192 - RFN - GOV RONDONIA 2 </t>
  </si>
  <si>
    <t>775194 - Tabela 3</t>
  </si>
  <si>
    <t xml:space="preserve">775194 - RFN - GOV RONDONIA 3 </t>
  </si>
  <si>
    <t>775197 - Tabela 4</t>
  </si>
  <si>
    <t xml:space="preserve">775197 - RFN - GOV RONDONIA 4 </t>
  </si>
  <si>
    <t>775200 - Tabela 5</t>
  </si>
  <si>
    <t xml:space="preserve">775200 - RFN - GOV RONDONIA 5 </t>
  </si>
  <si>
    <t>775201 - Tabela 6</t>
  </si>
  <si>
    <t xml:space="preserve">775201 - RFN - GOV RONDONIA 6 </t>
  </si>
  <si>
    <t>775202 - Tabela 7</t>
  </si>
  <si>
    <t xml:space="preserve">775202 - RFN - GOV RONDONIA 7 </t>
  </si>
  <si>
    <t>775203 - Tabela 8</t>
  </si>
  <si>
    <t xml:space="preserve">775203 - RFN - GOV RONDONIA 8 </t>
  </si>
  <si>
    <t>775208 - Tabela 9</t>
  </si>
  <si>
    <t xml:space="preserve">775208 - RFN - GOV RONDONIA 9 </t>
  </si>
  <si>
    <t>775209 - Tabela 2010</t>
  </si>
  <si>
    <t xml:space="preserve">775209 - RFN - GOV RONDONIA 20K 10 </t>
  </si>
  <si>
    <t>775215 - Tabela 3011</t>
  </si>
  <si>
    <t xml:space="preserve">775215 - RFN - GOV RONDONIA 30K 11 </t>
  </si>
  <si>
    <t>775216 - Tabela 12</t>
  </si>
  <si>
    <t xml:space="preserve">775216 - RFN - GOV RONDONIA 50K 12 </t>
  </si>
  <si>
    <t>705472 - Tabela 2</t>
  </si>
  <si>
    <t xml:space="preserve">705472 - RFN - PREF NOVA MAMORE  2 </t>
  </si>
  <si>
    <t>705473 - Tabela 3</t>
  </si>
  <si>
    <t xml:space="preserve">705473 - RFN - PREF NOVA MAMORE  3 </t>
  </si>
  <si>
    <t>705474 - Tabela 4</t>
  </si>
  <si>
    <t xml:space="preserve">705474 - RFN - PREF NOVA MAMORE  4 </t>
  </si>
  <si>
    <t>705475 - Tabela 5</t>
  </si>
  <si>
    <t xml:space="preserve">705475 - RFN - PREF NOVA MAMORE  5 </t>
  </si>
  <si>
    <t>705476 - Tabela 6</t>
  </si>
  <si>
    <t xml:space="preserve">705476 - RFN - PREF NOVA MAMORE  6 </t>
  </si>
  <si>
    <t>705477 - Tabela 7</t>
  </si>
  <si>
    <t xml:space="preserve">705477 - RFN - PREF NOVA MAMORE  7 </t>
  </si>
  <si>
    <t>705479 - Tabela 8</t>
  </si>
  <si>
    <t xml:space="preserve">705479 - RFN - PREF NOVA MAMORE  8 </t>
  </si>
  <si>
    <t>705488 - Tabela 9</t>
  </si>
  <si>
    <t xml:space="preserve">705488 - RFN - PREF NOVA MAMORE  9 </t>
  </si>
  <si>
    <t>745096 - Tabela 1</t>
  </si>
  <si>
    <t xml:space="preserve">745096 - RFN - PREF FLORIPA  1 </t>
  </si>
  <si>
    <t>745099 - Tabela 2</t>
  </si>
  <si>
    <t xml:space="preserve">745099 - RFN - PREF FLORIPA  2 </t>
  </si>
  <si>
    <t>745100 - Tabela 3</t>
  </si>
  <si>
    <t xml:space="preserve">745100 - RFN - PREF FLORIPA  3 </t>
  </si>
  <si>
    <t>745218 - Tabela 4</t>
  </si>
  <si>
    <t xml:space="preserve">745218 - RFN - PREF FLORIPA  4 </t>
  </si>
  <si>
    <t>745219 - Tabela 5</t>
  </si>
  <si>
    <t xml:space="preserve">745219 - RFN - PREF FLORIPA  5 </t>
  </si>
  <si>
    <t>745243 - Tabela 6</t>
  </si>
  <si>
    <t xml:space="preserve">745243 - RFN - PREF FLORIPA  6 </t>
  </si>
  <si>
    <t>745244 - Tabela 307</t>
  </si>
  <si>
    <t xml:space="preserve">745244 - RFN - PREF FLORIPA  30K 7 </t>
  </si>
  <si>
    <t>745245 - Tabela 8</t>
  </si>
  <si>
    <t xml:space="preserve">745245 - RFN - PREF FLORIPA  50K 8 </t>
  </si>
  <si>
    <t>795291 - Tabela 1</t>
  </si>
  <si>
    <t xml:space="preserve">795291 - RFN - PREF JOINVILLE 1 </t>
  </si>
  <si>
    <t>795292 - Tabela 2</t>
  </si>
  <si>
    <t xml:space="preserve">795292 - RFN - PREF JOINVILLE 2 </t>
  </si>
  <si>
    <t>795293 - Tabela 3</t>
  </si>
  <si>
    <t xml:space="preserve">795293 - RFN - PREF JOINVILLE 3 </t>
  </si>
  <si>
    <t>795294 - Tabela 4</t>
  </si>
  <si>
    <t xml:space="preserve">795294 - RFN - PREF JOINVILLE 4 </t>
  </si>
  <si>
    <t>795295 - Tabela 5</t>
  </si>
  <si>
    <t xml:space="preserve">795295 - RFN - PREF JOINVILLE 5 </t>
  </si>
  <si>
    <t>795296 - Tabela 6</t>
  </si>
  <si>
    <t xml:space="preserve">795296 - RFN - PREF JOINVILLE 6 </t>
  </si>
  <si>
    <t>795297 - Tabela 7</t>
  </si>
  <si>
    <t xml:space="preserve">795297 - RFN - PREF JOINVILLE 7 </t>
  </si>
  <si>
    <t>PREF LONDRINA P</t>
  </si>
  <si>
    <t>COMCAP</t>
  </si>
  <si>
    <t>715581 - Tabela 1</t>
  </si>
  <si>
    <t xml:space="preserve">715581 - RFN - COMCAP 1 </t>
  </si>
  <si>
    <t>715582 - Tabela 2</t>
  </si>
  <si>
    <t xml:space="preserve">715582 - RFN - COMCAP 2 </t>
  </si>
  <si>
    <t>715583 - Tabela 3</t>
  </si>
  <si>
    <t xml:space="preserve">715583 - RFN - COMCAP 3 </t>
  </si>
  <si>
    <t>715584 - Tabela 4</t>
  </si>
  <si>
    <t xml:space="preserve">715584 - RFN - COMCAP 4 </t>
  </si>
  <si>
    <t>715585 - Tabela 5</t>
  </si>
  <si>
    <t xml:space="preserve">715585 - RFN - COMCAP 5 </t>
  </si>
  <si>
    <t>GOV ES</t>
  </si>
  <si>
    <t>GOV MS CLT</t>
  </si>
  <si>
    <t>705731 - Tabela 1</t>
  </si>
  <si>
    <t xml:space="preserve">705731 - RFN - GOV MS  CLT 1  </t>
  </si>
  <si>
    <t>705732 - Tabela 2</t>
  </si>
  <si>
    <t xml:space="preserve">705732 - RFN - GOV MS  CLT 2  </t>
  </si>
  <si>
    <t>705733 - Tabela 3</t>
  </si>
  <si>
    <t xml:space="preserve">705733 - RFN - GOV MS  CLT 3  </t>
  </si>
  <si>
    <t>705734 - Tabela 4</t>
  </si>
  <si>
    <t xml:space="preserve">705734 - RFN - GOV MS  CLT 4  </t>
  </si>
  <si>
    <t>705735 - Tabela 5</t>
  </si>
  <si>
    <t xml:space="preserve">705735 - RFN - GOV MS  CLT 5  </t>
  </si>
  <si>
    <t>705736 - Tabela 6</t>
  </si>
  <si>
    <t xml:space="preserve">705736 - RFN - GOV MS  CLT 6  </t>
  </si>
  <si>
    <t>705737 - Tabela 7</t>
  </si>
  <si>
    <t xml:space="preserve">705737 - RFN - GOV MS  CLT 7  </t>
  </si>
  <si>
    <t>705738 - Tabela 8</t>
  </si>
  <si>
    <t xml:space="preserve">705738 - RFN - GOV MS  CLT 8  </t>
  </si>
  <si>
    <t>705739 - Tabela 9</t>
  </si>
  <si>
    <t xml:space="preserve">705739 - RFN - GOV MS  CLT 9  </t>
  </si>
  <si>
    <t>705740 - Tabela 2010</t>
  </si>
  <si>
    <t xml:space="preserve">705740 - RFN - GOV MS  CLT 20K 10 </t>
  </si>
  <si>
    <t>705741 - Tabela 3011</t>
  </si>
  <si>
    <t xml:space="preserve">705741 - RFN - GOV MS  CLT 30K 11 </t>
  </si>
  <si>
    <t>705742 - Tabela 12</t>
  </si>
  <si>
    <t xml:space="preserve">705742 - RFN - GOV MS  CLT 50K 12 </t>
  </si>
  <si>
    <t>755091 - Tabela 1</t>
  </si>
  <si>
    <t xml:space="preserve">755091 - RFN - PREF PORTO VELHO  1 </t>
  </si>
  <si>
    <t>755092 - Tabela 2</t>
  </si>
  <si>
    <t xml:space="preserve">755092 - RFN - PREF PORTO VELHO  2 </t>
  </si>
  <si>
    <t>755093 - Tabela 3</t>
  </si>
  <si>
    <t xml:space="preserve">755093 - RFN - PREF PORTO VELHO  3 </t>
  </si>
  <si>
    <t>755094 - Tabela 4</t>
  </si>
  <si>
    <t xml:space="preserve">755094 - RFN - PREF PORTO VELHO  4 </t>
  </si>
  <si>
    <t>755095 - Tabela 5</t>
  </si>
  <si>
    <t xml:space="preserve">755095 - RFN - PREF PORTO VELHO  5 </t>
  </si>
  <si>
    <t>755096 - Tabela 6</t>
  </si>
  <si>
    <t xml:space="preserve">755096 - RFN - PREF PORTO VELHO  6 </t>
  </si>
  <si>
    <t>755097 - Tabela 7</t>
  </si>
  <si>
    <t xml:space="preserve">755097 - RFN - PREF PORTO VELHO  7 </t>
  </si>
  <si>
    <t>825715 - Tabela 205</t>
  </si>
  <si>
    <t xml:space="preserve">825715 - RFN - PREF SANTAREM 20K 5 </t>
  </si>
  <si>
    <t>825716 - Tabela 306</t>
  </si>
  <si>
    <t xml:space="preserve">825716 - RFN - PREF SANTAREM 30K 6 </t>
  </si>
  <si>
    <t>785366 - Tabela 306</t>
  </si>
  <si>
    <t xml:space="preserve">785366 - RFN - PREF SAO LUIS 30K 6 </t>
  </si>
  <si>
    <t>785367 - Tabela 7</t>
  </si>
  <si>
    <t xml:space="preserve">785367 - RFN - PREF SAO LUIS 50K 7 </t>
  </si>
  <si>
    <t>785376 - Tabela 306</t>
  </si>
  <si>
    <t xml:space="preserve">785376 - RFN - PREF SAO LUIS 30K 6  CLT </t>
  </si>
  <si>
    <t>785377 - Tabela 7</t>
  </si>
  <si>
    <t xml:space="preserve">785377 - RFN - PREF SAO LUIS 50K 7  CLT </t>
  </si>
  <si>
    <t>775321 - Tabela 1</t>
  </si>
  <si>
    <t xml:space="preserve">775321 - RFN - AERONAUTICA 1 </t>
  </si>
  <si>
    <t>775322 - Tabela 2</t>
  </si>
  <si>
    <t xml:space="preserve">775322 - RFN - AERONAUTICA 2 </t>
  </si>
  <si>
    <t>775323 - Tabela 3</t>
  </si>
  <si>
    <t xml:space="preserve">775323 - RFN - AERONAUTICA 3 </t>
  </si>
  <si>
    <t>775324 - Tabela 4</t>
  </si>
  <si>
    <t xml:space="preserve">775324 - RFN - AERONAUTICA 4 </t>
  </si>
  <si>
    <t>775325 - Tabela 5</t>
  </si>
  <si>
    <t xml:space="preserve">775325 - RFN - AERONAUTICA 5 </t>
  </si>
  <si>
    <t>775326 - Tabela 6</t>
  </si>
  <si>
    <t xml:space="preserve">775326 - RFN - AERONAUTICA 6 </t>
  </si>
  <si>
    <t>775327 - Tabela 7</t>
  </si>
  <si>
    <t xml:space="preserve">775327 - RFN - AERONAUTICA 7 </t>
  </si>
  <si>
    <t>775328 - Tabela 8</t>
  </si>
  <si>
    <t xml:space="preserve">775328 - RFN - AERONAUTICA 8 </t>
  </si>
  <si>
    <t>775329 - Tabela 9</t>
  </si>
  <si>
    <t xml:space="preserve">775329 - RFN - AERONAUTICA 9 </t>
  </si>
  <si>
    <t>775330 - Tabela 10</t>
  </si>
  <si>
    <t xml:space="preserve">775330 - RFN - AERONAUTICA 10 </t>
  </si>
  <si>
    <t>775331 - Tabela 11</t>
  </si>
  <si>
    <t xml:space="preserve">775331 - RFN - AERONAUTICA 11 </t>
  </si>
  <si>
    <t>775332 - Tabela 12</t>
  </si>
  <si>
    <t xml:space="preserve">775332 - RFN - AERONAUTICA 12 </t>
  </si>
  <si>
    <t>785811 - Tabela 1</t>
  </si>
  <si>
    <t xml:space="preserve">785811 - RFN - EXERCITO 1 </t>
  </si>
  <si>
    <t>785812 - Tabela 2</t>
  </si>
  <si>
    <t xml:space="preserve">785812 - RFN - EXERCITO 2 </t>
  </si>
  <si>
    <t>785813 - Tabela 3</t>
  </si>
  <si>
    <t xml:space="preserve">785813 - RFN - EXERCITO 3 </t>
  </si>
  <si>
    <t>785814 - Tabela 4</t>
  </si>
  <si>
    <t xml:space="preserve">785814 - RFN - EXERCITO 4 </t>
  </si>
  <si>
    <t>785815 - Tabela 5</t>
  </si>
  <si>
    <t xml:space="preserve">785815 - RFN - EXERCITO 5 </t>
  </si>
  <si>
    <t>785816 - Tabela 6</t>
  </si>
  <si>
    <t xml:space="preserve">785816 - RFN - EXERCITO 6 </t>
  </si>
  <si>
    <t>785817 - Tabela 7</t>
  </si>
  <si>
    <t xml:space="preserve">785817 - RFN - EXERCITO 7 </t>
  </si>
  <si>
    <t>795714 - Tabela 1</t>
  </si>
  <si>
    <t xml:space="preserve">795714 - RFN - GOV PR 1 </t>
  </si>
  <si>
    <t>795715 - Tabela 2</t>
  </si>
  <si>
    <t xml:space="preserve">795715 - RFN - GOV PR 2 </t>
  </si>
  <si>
    <t>795716 - Tabela 3</t>
  </si>
  <si>
    <t xml:space="preserve">795716 - RFN - GOV PR 3 </t>
  </si>
  <si>
    <t>795717 - Tabela 4</t>
  </si>
  <si>
    <t xml:space="preserve">795717 - RFN - GOV PR 4 </t>
  </si>
  <si>
    <t>795718 - Tabela 5</t>
  </si>
  <si>
    <t xml:space="preserve">795718 - RFN - GOV PR 5 </t>
  </si>
  <si>
    <t>795719 - Tabela 6</t>
  </si>
  <si>
    <t xml:space="preserve">795719 - RFN - GOV PR 6 </t>
  </si>
  <si>
    <t>795720 - Tabela 7</t>
  </si>
  <si>
    <t xml:space="preserve">795720 - RFN - GOV PR 7 </t>
  </si>
  <si>
    <t>785351 - Tabela 1</t>
  </si>
  <si>
    <t xml:space="preserve">785351 - RFN - MARINHA 1 </t>
  </si>
  <si>
    <t>785352 - Tabela 2</t>
  </si>
  <si>
    <t xml:space="preserve">785352 - RFN - MARINHA 2 </t>
  </si>
  <si>
    <t>785353 - Tabela 3</t>
  </si>
  <si>
    <t xml:space="preserve">785353 - RFN - MARINHA 3 </t>
  </si>
  <si>
    <t>785354 - Tabela 4</t>
  </si>
  <si>
    <t xml:space="preserve">785354 - RFN - MARINHA 4 </t>
  </si>
  <si>
    <t>785355 - Tabela 5</t>
  </si>
  <si>
    <t xml:space="preserve">785355 - RFN - MARINHA 5 </t>
  </si>
  <si>
    <t>785356 - Tabela 6</t>
  </si>
  <si>
    <t xml:space="preserve">785356 - RFN - MARINHA 6 </t>
  </si>
  <si>
    <t>785357 - Tabela 7</t>
  </si>
  <si>
    <t xml:space="preserve">785357 - RFN - MARINHA 7 </t>
  </si>
  <si>
    <t>785358 - Tabela 8</t>
  </si>
  <si>
    <t xml:space="preserve">785358 - RFN - MARINHA 8 </t>
  </si>
  <si>
    <t>785359 - Tabela 9</t>
  </si>
  <si>
    <t xml:space="preserve">785359 - RFN - MARINHA 9 </t>
  </si>
  <si>
    <t>785360 - Tabela 10</t>
  </si>
  <si>
    <t xml:space="preserve">785360 - RFN - MARINHA 10 </t>
  </si>
  <si>
    <t>785368 - Tabela 11</t>
  </si>
  <si>
    <t xml:space="preserve">785368 - RFN - MARINHA 50K 11 </t>
  </si>
  <si>
    <t>699543 - Tabela 2013</t>
  </si>
  <si>
    <t xml:space="preserve">699543 - RFN - IPREM FUNC 20K 13 </t>
  </si>
  <si>
    <t>785403 - Tabela 2013</t>
  </si>
  <si>
    <t xml:space="preserve">785403 - RFN - IPREM PENSI 20K 13 </t>
  </si>
  <si>
    <t>699544 - Tabela 3014</t>
  </si>
  <si>
    <t xml:space="preserve">699544 - RFN - IPREM FUNC 30K 14 </t>
  </si>
  <si>
    <t>785404 - Tabela 3014</t>
  </si>
  <si>
    <t xml:space="preserve">785404 - RFN - IPREM PENSI 30K 14 </t>
  </si>
  <si>
    <t>699545 - Tabela 15</t>
  </si>
  <si>
    <t xml:space="preserve">699545 - RFN - IPREM FUNC 50K 15 </t>
  </si>
  <si>
    <t>785405 - Tabela 15</t>
  </si>
  <si>
    <t xml:space="preserve">785405 - RFN - IPREM PENSI 50K 15 </t>
  </si>
  <si>
    <t>699546 - Tabela 6016</t>
  </si>
  <si>
    <t xml:space="preserve">699546 - RFN - IPREM FUNC 60K 16 </t>
  </si>
  <si>
    <t>785406 - Tabela 6016</t>
  </si>
  <si>
    <t xml:space="preserve">785406 - RFN - IPREM PENSI 60K 16 </t>
  </si>
  <si>
    <t>785341 - Tabela 1</t>
  </si>
  <si>
    <t xml:space="preserve">785341 - RFN - IPREM APOSENTADOS 1 </t>
  </si>
  <si>
    <t>785342 - Tabela 2</t>
  </si>
  <si>
    <t xml:space="preserve">785342 - RFN - IPREM APOSENTADOS 2 </t>
  </si>
  <si>
    <t>785343 - Tabela 3</t>
  </si>
  <si>
    <t xml:space="preserve">785343 - RFN - IPREM APOSENTADOS 3 </t>
  </si>
  <si>
    <t>785344 - Tabela 4</t>
  </si>
  <si>
    <t xml:space="preserve">785344 - RFN - IPREM APOSENTADOS 4 </t>
  </si>
  <si>
    <t>785345 - Tabela 5</t>
  </si>
  <si>
    <t xml:space="preserve">785345 - RFN - IPREM APOSENTADOS 5 </t>
  </si>
  <si>
    <t>785346 - Tabela 6</t>
  </si>
  <si>
    <t xml:space="preserve">785346 - RFN - IPREM APOSENTADOS 6 </t>
  </si>
  <si>
    <t>785347 - Tabela 7</t>
  </si>
  <si>
    <t xml:space="preserve">785347 - RFN - IPREM APOSENTADOS 7 </t>
  </si>
  <si>
    <t>785348 - Tabela 8</t>
  </si>
  <si>
    <t xml:space="preserve">785348 - RFN - IPREM APOSENTADOS 8 </t>
  </si>
  <si>
    <t>785349 - Tabela 9</t>
  </si>
  <si>
    <t xml:space="preserve">785349 - RFN - IPREM APOSENTADOS 9 </t>
  </si>
  <si>
    <t>785350 - Tabela 10</t>
  </si>
  <si>
    <t xml:space="preserve">785350 - RFN - IPREM APOSENTADOS 10 </t>
  </si>
  <si>
    <t>785369 - Tabela 11</t>
  </si>
  <si>
    <t xml:space="preserve">785369 - RFN - IPREM APOSENTADOS 11 </t>
  </si>
  <si>
    <t>785370 - Tabela 12</t>
  </si>
  <si>
    <t xml:space="preserve">785370 - RFN - IPREM APOSENTADOS 12 </t>
  </si>
  <si>
    <t>785378 - Tabela 2013</t>
  </si>
  <si>
    <t xml:space="preserve">785378 - RFN - IPREM APOSEN 20K 13 </t>
  </si>
  <si>
    <t>785379 - Tabela 3014</t>
  </si>
  <si>
    <t xml:space="preserve">785379 - RFN - IPREM APOSEN 30K 14 </t>
  </si>
  <si>
    <t>785380 - Tabela 15</t>
  </si>
  <si>
    <t xml:space="preserve">785380 - RFN - IPREM APOSEN 50K 15 </t>
  </si>
  <si>
    <t>785381 - Tabela 6016</t>
  </si>
  <si>
    <t xml:space="preserve">785381 - RFN - IPREM APOSEN 60K 16 </t>
  </si>
  <si>
    <t>699531 - Tabela 1</t>
  </si>
  <si>
    <t xml:space="preserve">699531 - RFN - IPREM FUNCIONARIO 1 </t>
  </si>
  <si>
    <t>699532 - Tabela 2</t>
  </si>
  <si>
    <t xml:space="preserve">699532 - RFN - IPREM FUNCIONARIO 2 </t>
  </si>
  <si>
    <t>699533 - Tabela 3</t>
  </si>
  <si>
    <t xml:space="preserve">699533 - RFN - IPREM FUNCIONARIO 3 </t>
  </si>
  <si>
    <t>699534 - Tabela 4</t>
  </si>
  <si>
    <t xml:space="preserve">699534 - RFN - IPREM FUNCIONARIO 4 </t>
  </si>
  <si>
    <t>699535 - Tabela 5</t>
  </si>
  <si>
    <t xml:space="preserve">699535 - RFN - IPREM FUNCIONARIO 5 </t>
  </si>
  <si>
    <t>699536 - Tabela 6</t>
  </si>
  <si>
    <t xml:space="preserve">699536 - RFN - IPREM FUNCIONARIO 6 </t>
  </si>
  <si>
    <t>699537 - Tabela 7</t>
  </si>
  <si>
    <t xml:space="preserve">699537 - RFN - IPREM FUNCIONARIO 7 </t>
  </si>
  <si>
    <t>699538 - Tabela 8</t>
  </si>
  <si>
    <t xml:space="preserve">699538 - RFN - IPREM FUNCIONARIO 8 </t>
  </si>
  <si>
    <t>699539 - Tabela 9</t>
  </si>
  <si>
    <t xml:space="preserve">699539 - RFN - IPREM FUNCIONARIO 9 </t>
  </si>
  <si>
    <t>699540 - Tabela 10</t>
  </si>
  <si>
    <t xml:space="preserve">699540 - RFN - IPREM FUNCIONARIO 10 </t>
  </si>
  <si>
    <t>699541 - Tabela 11</t>
  </si>
  <si>
    <t xml:space="preserve">699541 - RFN - IPREM FUNCIONARIO 11 </t>
  </si>
  <si>
    <t>699542 - Tabela 12</t>
  </si>
  <si>
    <t xml:space="preserve">699542 - RFN - IPREM FUNCIONARIO 12 </t>
  </si>
  <si>
    <t>785391 - Tabela 1</t>
  </si>
  <si>
    <t xml:space="preserve">785391 - RFN - IPREM PENSIONISTA 1 </t>
  </si>
  <si>
    <t>785392 - Tabela 2</t>
  </si>
  <si>
    <t xml:space="preserve">785392 - RFN - IPREM PENSIONISTA 2 </t>
  </si>
  <si>
    <t>785393 - Tabela 3</t>
  </si>
  <si>
    <t xml:space="preserve">785393 - RFN - IPREM PENSIONISTA 3 </t>
  </si>
  <si>
    <t>785394 - Tabela 4</t>
  </si>
  <si>
    <t xml:space="preserve">785394 - RFN - IPREM PENSIONISTA 4 </t>
  </si>
  <si>
    <t>785395 - Tabela 5</t>
  </si>
  <si>
    <t xml:space="preserve">785395 - RFN - IPREM PENSIONISTA 5 </t>
  </si>
  <si>
    <t>785396 - Tabela 6</t>
  </si>
  <si>
    <t xml:space="preserve">785396 - RFN - IPREM PENSIONISTA 6 </t>
  </si>
  <si>
    <t>785397 - Tabela 7</t>
  </si>
  <si>
    <t xml:space="preserve">785397 - RFN - IPREM PENSIONISTA 7 </t>
  </si>
  <si>
    <t>785398 - Tabela 8</t>
  </si>
  <si>
    <t xml:space="preserve">785398 - RFN - IPREM PENSIONISTA 8 </t>
  </si>
  <si>
    <t>785399 - Tabela 9</t>
  </si>
  <si>
    <t xml:space="preserve">785399 - RFN - IPREM PENSIONISTA 9 </t>
  </si>
  <si>
    <t>785400 - Tabela 10</t>
  </si>
  <si>
    <t xml:space="preserve">785400 - RFN - IPREM PENSIONISTA 10 </t>
  </si>
  <si>
    <t>785401 - Tabela 11</t>
  </si>
  <si>
    <t xml:space="preserve">785401 - RFN - IPREM PENSIONISTA 11 </t>
  </si>
  <si>
    <t>785402 - Tabela 12</t>
  </si>
  <si>
    <t xml:space="preserve">785402 - RFN - IPREM PENSIONISTA 12 </t>
  </si>
  <si>
    <t>PREF MACAÉ RJ</t>
  </si>
  <si>
    <t>PREF VALPARAISO</t>
  </si>
  <si>
    <t xml:space="preserve">775320 - Tabela </t>
  </si>
  <si>
    <t xml:space="preserve">785810 - Tabela </t>
  </si>
  <si>
    <t>745282 - Tabela 12</t>
  </si>
  <si>
    <t xml:space="preserve">745282 - RFN - GOV GOIAS 50K 12 </t>
  </si>
  <si>
    <t>745315 - Tabela 12</t>
  </si>
  <si>
    <t>745315 - RFN - GOV GOIAS 50K 12  CLT</t>
  </si>
  <si>
    <t>745341 - Tabela 1</t>
  </si>
  <si>
    <t xml:space="preserve">745341 - RFN - GOV TOCANTINS 1 </t>
  </si>
  <si>
    <t>745342 - Tabela 2</t>
  </si>
  <si>
    <t xml:space="preserve">745342 - RFN - GOV TOCANTINS 2 </t>
  </si>
  <si>
    <t>745343 - Tabela 3</t>
  </si>
  <si>
    <t xml:space="preserve">745343 - RFN - GOV TOCANTINS 3 </t>
  </si>
  <si>
    <t>745344 - Tabela 4</t>
  </si>
  <si>
    <t xml:space="preserve">745344 - RFN - GOV TOCANTINS 4 </t>
  </si>
  <si>
    <t>745345 - Tabela 5</t>
  </si>
  <si>
    <t xml:space="preserve">745345 - RFN - GOV TOCANTINS 5 </t>
  </si>
  <si>
    <t>745346 - Tabela 6</t>
  </si>
  <si>
    <t xml:space="preserve">745346 - RFN - GOV TOCANTINS 6 </t>
  </si>
  <si>
    <t>745347 - Tabela 7</t>
  </si>
  <si>
    <t xml:space="preserve">745347 - RFN - GOV TOCANTINS 7 </t>
  </si>
  <si>
    <t>745348 - Tabela 8</t>
  </si>
  <si>
    <t xml:space="preserve">745348 - RFN - GOV TOCANTINS 8 </t>
  </si>
  <si>
    <t>745349 - Tabela 9</t>
  </si>
  <si>
    <t xml:space="preserve">745349 - RFN - GOV TOCANTINS 9 </t>
  </si>
  <si>
    <t>745350 - Tabela 10</t>
  </si>
  <si>
    <t xml:space="preserve">745350 - RFN - GOV TOCANTINS 50K 10 </t>
  </si>
  <si>
    <t xml:space="preserve">785320 - Tabela </t>
  </si>
  <si>
    <t>765052 - Tabela 2</t>
  </si>
  <si>
    <t xml:space="preserve">765052 - RFN PREF FEIRA DE SANTANA  2  </t>
  </si>
  <si>
    <t>765054 - Tabela 4</t>
  </si>
  <si>
    <t xml:space="preserve">765054 - RFN PREF FEIRA DE SANTANA  4  </t>
  </si>
  <si>
    <t>765055 - Tabela 5</t>
  </si>
  <si>
    <t xml:space="preserve">765055 - RFN PREF FEIRA DE SANTANA  5  </t>
  </si>
  <si>
    <t>765056 - Tabela 6</t>
  </si>
  <si>
    <t xml:space="preserve">765056 - RFN PREF FEIRA DE SANTANA  6  </t>
  </si>
  <si>
    <t>765057 - Tabela 7</t>
  </si>
  <si>
    <t xml:space="preserve">765057 - RFN PREF FEIRA DE SANTANA  7  </t>
  </si>
  <si>
    <t>765058 - Tabela 8</t>
  </si>
  <si>
    <t xml:space="preserve">765058 - RFN PREF FEIRA DE SANTANA  8  </t>
  </si>
  <si>
    <t>765059 - Tabela 309</t>
  </si>
  <si>
    <t xml:space="preserve">765059 - RFN PREF FEIRA SANTANA  30K 9 </t>
  </si>
  <si>
    <t xml:space="preserve">PREF MESQUITA </t>
  </si>
  <si>
    <t>875431 - Tabela 1</t>
  </si>
  <si>
    <t xml:space="preserve">875431 - RFN - PREF MESQUITA 1 </t>
  </si>
  <si>
    <t>875432 - Tabela 2</t>
  </si>
  <si>
    <t xml:space="preserve">875432 - RFN - PREF MESQUITA 2 </t>
  </si>
  <si>
    <t>875433 - Tabela 3</t>
  </si>
  <si>
    <t xml:space="preserve">875433 - RFN - PREF MESQUITA 3 </t>
  </si>
  <si>
    <t>875434 - Tabela 4</t>
  </si>
  <si>
    <t xml:space="preserve">875434 - RFN - PREF MESQUITA 4 </t>
  </si>
  <si>
    <t>875435 - Tabela 5</t>
  </si>
  <si>
    <t xml:space="preserve">875435 - RFN - PREF MESQUITA 5 </t>
  </si>
  <si>
    <t>875436 - Tabela 6</t>
  </si>
  <si>
    <t xml:space="preserve">875436 - RFN - PREF MESQUITA 6 </t>
  </si>
  <si>
    <t>875437 - Tabela 7</t>
  </si>
  <si>
    <t xml:space="preserve">875437 - RFN - PREF MESQUITA 7 </t>
  </si>
  <si>
    <t>875438 - Tabela 8</t>
  </si>
  <si>
    <t xml:space="preserve">875438 - RFN - PREF MESQUITA 8 </t>
  </si>
  <si>
    <t>875439 - Tabela 9</t>
  </si>
  <si>
    <t xml:space="preserve">875439 - RFN - PREF MESQUITA 9 </t>
  </si>
  <si>
    <t>875440 - Tabela 10</t>
  </si>
  <si>
    <t xml:space="preserve">875440 - RFN - PREF MESQUITA 10 </t>
  </si>
  <si>
    <t>875441 - Tabela 11</t>
  </si>
  <si>
    <t xml:space="preserve">875441 - RFN - PREF MESQUITA 11 </t>
  </si>
  <si>
    <t>875442 - Tabela 12</t>
  </si>
  <si>
    <t xml:space="preserve">875442 - RFN - PREF MESQUITA 12 </t>
  </si>
  <si>
    <t>875443 - Tabela 13</t>
  </si>
  <si>
    <t xml:space="preserve">875443 - RFN - PREF MESQUITA 13 </t>
  </si>
  <si>
    <t>875444 - Tabela 14</t>
  </si>
  <si>
    <t xml:space="preserve">875444 - RFN - PREF MESQUITA 14 </t>
  </si>
  <si>
    <t>735120 - Tabela 1</t>
  </si>
  <si>
    <t xml:space="preserve">735120 - RFN - PREF VALPARAISO 1  </t>
  </si>
  <si>
    <t>735121 - Tabela 2</t>
  </si>
  <si>
    <t xml:space="preserve">735121 - RFN - PREF VALPARAISO 2  </t>
  </si>
  <si>
    <t>IPAM P VELHO RO</t>
  </si>
  <si>
    <t>PREF VITORIA ES</t>
  </si>
  <si>
    <t>PREF ARARAQUAR</t>
  </si>
  <si>
    <t>PREF PINDAMONH</t>
  </si>
  <si>
    <t xml:space="preserve">775320 - IFP RFN - AERONAUTICA </t>
  </si>
  <si>
    <t xml:space="preserve">785810 - IFP RFN - EXERCITO </t>
  </si>
  <si>
    <t>735091 - Tabela 1</t>
  </si>
  <si>
    <t>735091 - RFN - IPAM  1 ILIDADE</t>
  </si>
  <si>
    <t>735092 - Tabela 2</t>
  </si>
  <si>
    <t>735092 - RFN - IPAM  2 ILIDADE</t>
  </si>
  <si>
    <t>735093 - Tabela 3</t>
  </si>
  <si>
    <t>735093 - RFN - IPAM  3 ILIDADE</t>
  </si>
  <si>
    <t>735094 - Tabela 4</t>
  </si>
  <si>
    <t>735094 - RFN - IPAM  4 ILIDADE</t>
  </si>
  <si>
    <t>735097 - Tabela 5</t>
  </si>
  <si>
    <t>735097 - RFN - IPAM  5 ILIDADE</t>
  </si>
  <si>
    <t>735098 - Tabela 6</t>
  </si>
  <si>
    <t>735098 - RFN - IPAM  6 ILIDADE</t>
  </si>
  <si>
    <t>735099 - Tabela 7</t>
  </si>
  <si>
    <t>735099 - RFN - IPAM  7 ILIDADE</t>
  </si>
  <si>
    <t>735100 - Tabela 8</t>
  </si>
  <si>
    <t>735100 - RFN - IPAM  8 ILIDADE</t>
  </si>
  <si>
    <t>735110 - Tabela 9</t>
  </si>
  <si>
    <t>735110 - RFN - IPAM  9 ILIDADE</t>
  </si>
  <si>
    <t>IPREV - SANTOS</t>
  </si>
  <si>
    <t>715661 - Tabela 1</t>
  </si>
  <si>
    <t xml:space="preserve">715661 - RFN - IPREV SANTOS  1 </t>
  </si>
  <si>
    <t>715662 - Tabela 2</t>
  </si>
  <si>
    <t xml:space="preserve">715662 - RFN - IPREV SANTOS  2 </t>
  </si>
  <si>
    <t>715663 - Tabela 3</t>
  </si>
  <si>
    <t xml:space="preserve">715663 - RFN - IPREV SANTOS  3 </t>
  </si>
  <si>
    <t>715664 - Tabela 4</t>
  </si>
  <si>
    <t xml:space="preserve">715664 - RFN - IPREV SANTOS  4 </t>
  </si>
  <si>
    <t>715665 - Tabela 5</t>
  </si>
  <si>
    <t xml:space="preserve">715665 - RFN - IPREV SANTOS  5 </t>
  </si>
  <si>
    <t>715666 - Tabela 6</t>
  </si>
  <si>
    <t xml:space="preserve">715666 - RFN - IPREV SANTOS  6 </t>
  </si>
  <si>
    <t>715667 - Tabela 7</t>
  </si>
  <si>
    <t xml:space="preserve">715667 - RFN - IPREV SANTOS  7 </t>
  </si>
  <si>
    <t>715668 - Tabela 8</t>
  </si>
  <si>
    <t xml:space="preserve">715668 - RFN - IPREV SANTOS  8 </t>
  </si>
  <si>
    <t>715669 - Tabela 9</t>
  </si>
  <si>
    <t xml:space="preserve">715669 - RFN - IPREV SANTOS  9 </t>
  </si>
  <si>
    <t xml:space="preserve">785320 - IFP RFN - MARINHA </t>
  </si>
  <si>
    <t>PREF EMBU A SP</t>
  </si>
  <si>
    <t>735122 - Tabela 3</t>
  </si>
  <si>
    <t xml:space="preserve">735122 - RFN - PREF VALPARAISO 3  </t>
  </si>
  <si>
    <t>735123 - Tabela 4</t>
  </si>
  <si>
    <t xml:space="preserve">735123 - RFN - PREF VALPARAISO 4  </t>
  </si>
  <si>
    <t>735124 - Tabela 5</t>
  </si>
  <si>
    <t xml:space="preserve">735124 - RFN - PREF VALPARAISO 5  </t>
  </si>
  <si>
    <t>735125 - Tabela 6</t>
  </si>
  <si>
    <t xml:space="preserve">735125 - RFN - PREF VALPARAISO 6  </t>
  </si>
  <si>
    <t>735126 - Tabela 7</t>
  </si>
  <si>
    <t xml:space="preserve">735126 - RFN - PREF VALPARAISO 7  </t>
  </si>
  <si>
    <t>735127 - Tabela 8</t>
  </si>
  <si>
    <t xml:space="preserve">735127 - RFN - PREF VALPARAISO 8  </t>
  </si>
  <si>
    <t>735128 - Tabela 9</t>
  </si>
  <si>
    <t xml:space="preserve">735128 - RFN - PREF VALPARAISO 9  </t>
  </si>
  <si>
    <t>735129 - Tabela 10</t>
  </si>
  <si>
    <t xml:space="preserve">735129 - RFN - PREF VALPARAISO 10  </t>
  </si>
  <si>
    <t>735130 - Tabela 11</t>
  </si>
  <si>
    <t xml:space="preserve">735130 - RFN - PREF VALPARAISO 11  </t>
  </si>
  <si>
    <t>735134 - Tabela 12</t>
  </si>
  <si>
    <t xml:space="preserve">735134 - RFN - PREF VALPARAISO 12  </t>
  </si>
  <si>
    <t>735135 - Tabela 13</t>
  </si>
  <si>
    <t xml:space="preserve">735135 - RFN - PREF VALPARAISO 13  </t>
  </si>
  <si>
    <t>PREFCURITIBA</t>
  </si>
  <si>
    <t>775801 - Tabela 1</t>
  </si>
  <si>
    <t xml:space="preserve">775801 - RFN - SIAPE FED 1 </t>
  </si>
  <si>
    <t>775802 - Tabela 2</t>
  </si>
  <si>
    <t xml:space="preserve">775802 - RFN - SIAPE FED 2 </t>
  </si>
  <si>
    <t>775803 - Tabela 3</t>
  </si>
  <si>
    <t xml:space="preserve">775803 - RFN - SIAPE FED 3 </t>
  </si>
  <si>
    <t>775804 - Tabela 4</t>
  </si>
  <si>
    <t xml:space="preserve">775804 - RFN - SIAPE FED 4 </t>
  </si>
  <si>
    <t>775805 - Tabela 5</t>
  </si>
  <si>
    <t xml:space="preserve">775805 - RFN - SIAPE FED 5 </t>
  </si>
  <si>
    <t>775806 - Tabela 306</t>
  </si>
  <si>
    <t xml:space="preserve">775806 - RFN - SIAPE FED 30K 6 </t>
  </si>
  <si>
    <t>775807 - Tabela 357</t>
  </si>
  <si>
    <t xml:space="preserve">775807 - RFN - SIAPE FED 35K 7 </t>
  </si>
  <si>
    <t>775808 - Tabela 8</t>
  </si>
  <si>
    <t xml:space="preserve">775808 - RFN - SIAPE FED 50K 8 </t>
  </si>
  <si>
    <t>775809 - Tabela 9</t>
  </si>
  <si>
    <t xml:space="preserve">775809 - RFN - SIAPE FED 50K 9 </t>
  </si>
  <si>
    <t>775810 - Tabela 14010</t>
  </si>
  <si>
    <t xml:space="preserve">775810 - RFN - SIAPE FED 140K 10 </t>
  </si>
  <si>
    <t>GOV GOIAS PORT</t>
  </si>
  <si>
    <t>GOV GOIAS.</t>
  </si>
  <si>
    <t>PREF SAO L PORT</t>
  </si>
  <si>
    <t>PREF SAO LUIS M</t>
  </si>
  <si>
    <t>PREF SORO PORT</t>
  </si>
  <si>
    <t>CARAGUAPRE PORT</t>
  </si>
  <si>
    <t>PREF LONDR PORT</t>
  </si>
  <si>
    <t>GOV GOIAS</t>
  </si>
  <si>
    <t>GOV GOIAS CLT</t>
  </si>
  <si>
    <t>700048 - Tabela 1</t>
  </si>
  <si>
    <t xml:space="preserve">700048 - RFN - GOV GOIAS 1 </t>
  </si>
  <si>
    <t>700054 - Tabela 2</t>
  </si>
  <si>
    <t xml:space="preserve">700054 - RFN - GOV GOIAS 2 </t>
  </si>
  <si>
    <t>700056 - Tabela 3</t>
  </si>
  <si>
    <t xml:space="preserve">700056 - RFN - GOV GOIAS 3 </t>
  </si>
  <si>
    <t>700058 - Tabela 4</t>
  </si>
  <si>
    <t xml:space="preserve">700058 - RFN - GOV GOIAS 4 </t>
  </si>
  <si>
    <t>700060 - Tabela 5</t>
  </si>
  <si>
    <t xml:space="preserve">700060 - RFN - GOV GOIAS 5 </t>
  </si>
  <si>
    <t>700064 - Tabela 6</t>
  </si>
  <si>
    <t xml:space="preserve">700064 - RFN - GOV GOIAS 6 </t>
  </si>
  <si>
    <t>700066 - Tabela 7</t>
  </si>
  <si>
    <t xml:space="preserve">700066 - RFN - GOV GOIAS 7 </t>
  </si>
  <si>
    <t>700068 - Tabela 8</t>
  </si>
  <si>
    <t xml:space="preserve">700068 - RFN - GOV GOIAS 8 </t>
  </si>
  <si>
    <t>700070 - Tabela 9</t>
  </si>
  <si>
    <t xml:space="preserve">700070 - RFN - GOV GOIAS 9 </t>
  </si>
  <si>
    <t>700050 - Tabela 10</t>
  </si>
  <si>
    <t xml:space="preserve">700050 - RFN - GOV GOIAS 10 </t>
  </si>
  <si>
    <t>700052 - Tabela 11</t>
  </si>
  <si>
    <t xml:space="preserve">700052 - RFN - GOV GOIAS 11 </t>
  </si>
  <si>
    <t>700062 - Tabela 12</t>
  </si>
  <si>
    <t xml:space="preserve">700062 - RFN - GOV GOIAS 50K 12 </t>
  </si>
  <si>
    <t>GOV GOIAS PORT CLT</t>
  </si>
  <si>
    <t>700049 - Tabela 1</t>
  </si>
  <si>
    <t>700049 - RFN - GOV GOIAS 1  CLT</t>
  </si>
  <si>
    <t>700055 - Tabela 2</t>
  </si>
  <si>
    <t>700055 - RFN - GOV GOIAS 2  CLT</t>
  </si>
  <si>
    <t>700057 - Tabela 3</t>
  </si>
  <si>
    <t>700057 - RFN - GOV GOIAS 3  CLT</t>
  </si>
  <si>
    <t>700059 - Tabela 4</t>
  </si>
  <si>
    <t>700059 - RFN - GOV GOIAS 4  CLT</t>
  </si>
  <si>
    <t>700061 - Tabela 5</t>
  </si>
  <si>
    <t>700061 - RFN - GOV GOIAS 5  CLT</t>
  </si>
  <si>
    <t>700065 - Tabela 6</t>
  </si>
  <si>
    <t>700065 - RFN - GOV GOIAS 6  CLT</t>
  </si>
  <si>
    <t>700067 - Tabela 7</t>
  </si>
  <si>
    <t>700067 - RFN - GOV GOIAS 7  CLT</t>
  </si>
  <si>
    <t>700069 - Tabela 8</t>
  </si>
  <si>
    <t>700069 - RFN - GOV GOIAS 8  CLT</t>
  </si>
  <si>
    <t>700071 - Tabela 9</t>
  </si>
  <si>
    <t>700071 - RFN - GOV GOIAS 9  CLT</t>
  </si>
  <si>
    <t>700051 - Tabela 10</t>
  </si>
  <si>
    <t>700051 - RFN - GOV GOIAS 10  CLT</t>
  </si>
  <si>
    <t>700053 - Tabela 11</t>
  </si>
  <si>
    <t>700053 - RFN - GOV GOIAS 11  CLT</t>
  </si>
  <si>
    <t>700063 - Tabela 12</t>
  </si>
  <si>
    <t>700063 - RFN - GOV GOIAS 50K 12  CLT</t>
  </si>
  <si>
    <t>805971 - Tabela 1</t>
  </si>
  <si>
    <t xml:space="preserve">805971 - RFN - INSS 1   </t>
  </si>
  <si>
    <t>1,44</t>
  </si>
  <si>
    <t>805972 - Tabela 2</t>
  </si>
  <si>
    <t xml:space="preserve">805972 - RFN - INSS 2   </t>
  </si>
  <si>
    <t>805973 - Tabela 3</t>
  </si>
  <si>
    <t xml:space="preserve">805973 - RFN - INSS 3   </t>
  </si>
  <si>
    <t>805974 - Tabela 4</t>
  </si>
  <si>
    <t xml:space="preserve">805974 - RFN - INSS 4   </t>
  </si>
  <si>
    <t>805975 - Tabela 5</t>
  </si>
  <si>
    <t xml:space="preserve">805975 - RFN - INSS 5   </t>
  </si>
  <si>
    <t>805976 - Tabela 6</t>
  </si>
  <si>
    <t xml:space="preserve">805976 - RFN - INSS 6   </t>
  </si>
  <si>
    <t>805977 - Tabela 7</t>
  </si>
  <si>
    <t xml:space="preserve">805977 - RFN - INSS 7   </t>
  </si>
  <si>
    <t>805978 - Tabela 108</t>
  </si>
  <si>
    <t xml:space="preserve">805978 - RFN - INSS 10K 8   </t>
  </si>
  <si>
    <t>805979 - Tabela 159</t>
  </si>
  <si>
    <t xml:space="preserve">805979 - RFN - INSS 15K 9   </t>
  </si>
  <si>
    <t>805980 - Tabela 3010</t>
  </si>
  <si>
    <t xml:space="preserve">805980 - RFN - INSS 30K 10   </t>
  </si>
  <si>
    <t>805981 - Tabela 11</t>
  </si>
  <si>
    <t xml:space="preserve">805981 - RFN - INSS 50K 11   </t>
  </si>
  <si>
    <t>505039 - Tabela 1</t>
  </si>
  <si>
    <t xml:space="preserve">505039 - RFN - PREF LONDRINA 1 </t>
  </si>
  <si>
    <t>505040 - Tabela 2</t>
  </si>
  <si>
    <t xml:space="preserve">505040 - RFN - PREF LONDRINA 2 </t>
  </si>
  <si>
    <t>505045 - Tabela 3</t>
  </si>
  <si>
    <t xml:space="preserve">505045 - RFN - PREF LONDRINA 3 </t>
  </si>
  <si>
    <t>505046 - Tabela 4</t>
  </si>
  <si>
    <t xml:space="preserve">505046 - RFN - PREF LONDRINA 4 </t>
  </si>
  <si>
    <t>505047 - Tabela 5</t>
  </si>
  <si>
    <t xml:space="preserve">505047 - RFN - PREF LONDRINA 5 </t>
  </si>
  <si>
    <t>700100 - Tabela 1</t>
  </si>
  <si>
    <t xml:space="preserve">700100 - RFN - PREF SAO LUIS 1 </t>
  </si>
  <si>
    <t>700105 - Tabela 2</t>
  </si>
  <si>
    <t xml:space="preserve">700105 - RFN - PREF SAO LUIS 2 </t>
  </si>
  <si>
    <t>700107 - Tabela 3</t>
  </si>
  <si>
    <t xml:space="preserve">700107 - RFN - PREF SAO LUIS 3 </t>
  </si>
  <si>
    <t>700111 - Tabela 4</t>
  </si>
  <si>
    <t xml:space="preserve">700111 - RFN - PREF SAO LUIS 4 </t>
  </si>
  <si>
    <t>700113 - Tabela 5</t>
  </si>
  <si>
    <t xml:space="preserve">700113 - RFN - PREF SAO LUIS 5 </t>
  </si>
  <si>
    <t>700109 - Tabela 306</t>
  </si>
  <si>
    <t xml:space="preserve">700109 - RFN - PREF SAO LUIS 30K 6 </t>
  </si>
  <si>
    <t>700115 - Tabela 7</t>
  </si>
  <si>
    <t xml:space="preserve">700115 - RFN - PREF SAO LUIS 50K 7 </t>
  </si>
  <si>
    <t>PREF SAO L PORT CLT</t>
  </si>
  <si>
    <t>700099 - Tabela 1</t>
  </si>
  <si>
    <t xml:space="preserve">700099 - RFN - PREF SAO LUIS 1  CLT </t>
  </si>
  <si>
    <t>700104 - Tabela 2</t>
  </si>
  <si>
    <t xml:space="preserve">700104 - RFN - PREF SAO LUIS 2  CLT </t>
  </si>
  <si>
    <t>700106 - Tabela 3</t>
  </si>
  <si>
    <t xml:space="preserve">700106 - RFN - PREF SAO LUIS 3  CLT </t>
  </si>
  <si>
    <t>700110 - Tabela 4</t>
  </si>
  <si>
    <t xml:space="preserve">700110 - RFN - PREF SAO LUIS 4  CLT </t>
  </si>
  <si>
    <t>700112 - Tabela 5</t>
  </si>
  <si>
    <t xml:space="preserve">700112 - RFN - PREF SAO LUIS 5  CLT </t>
  </si>
  <si>
    <t>700108 - Tabela 306</t>
  </si>
  <si>
    <t xml:space="preserve">700108 - RFN - PREF SAO LUIS 30K 6  CLT </t>
  </si>
  <si>
    <t>700114 - Tabela 7</t>
  </si>
  <si>
    <t xml:space="preserve">700114 - RFN - PREF SAO LUIS 50K 7  CLT </t>
  </si>
  <si>
    <t>PREF SAO LUIS M CLT</t>
  </si>
  <si>
    <t>PREF SETE PORT</t>
  </si>
  <si>
    <t>SAAE SALTO SP</t>
  </si>
  <si>
    <t>Versão data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</si>
</sst>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&quot;R$&quot;\ #,##0.00"/>
    <numFmt numFmtId="166" formatCode="0.00000"/>
    <numFmt numFmtId="167" formatCode="[$-F400]h:mm:ss\ AM/PM"/>
    <numFmt numFmtId="168" formatCode="_-* #,##0_-;\-* #,##0_-;_-* &quot;-&quot;??_-;_-@_-"/>
    <numFmt numFmtId="169" formatCode="0.000%"/>
    <numFmt numFmtId="170" formatCode="_-* #,##0.000000_-;\-* #,##0.000000_-;_-* &quot;-&quot;??_-;_-@_-"/>
    <numFmt numFmtId="171" formatCode="0.00000%"/>
    <numFmt numFmtId="172" formatCode="0.000000%"/>
    <numFmt numFmtId="173" formatCode="0.0000"/>
    <numFmt numFmtId="174" formatCode="0.0%"/>
    <numFmt numFmtId="175" formatCode="_-* #,##0.0000_-;\-* #,##0.0000_-;_-* &quot;-&quot;??_-;_-@_-"/>
    <numFmt numFmtId="176" formatCode="#,##0.0"/>
    <numFmt numFmtId="177" formatCode="0.0000000%"/>
    <numFmt numFmtId="178" formatCode="_-* #,##0.000_-;\-* #,##0.000_-;_-* &quot;-&quot;??_-;_-@_-"/>
    <numFmt numFmtId="179" formatCode="_-* #,##0.000_-;\-* #,##0.000_-;_-* &quot;-&quot;???_-;_-@_-"/>
    <numFmt numFmtId="180" formatCode="_-* #,##0.00000_-;\-* #,##0.00000_-;_-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FFFF00"/>
      <name val="Calibri"/>
      <family val="2"/>
      <scheme val="minor"/>
    </font>
    <font>
      <b/>
      <sz val="12"/>
      <color rgb="FF92D050"/>
      <name val="Calibri"/>
      <family val="2"/>
      <scheme val="minor"/>
    </font>
    <font>
      <sz val="8"/>
      <color rgb="FF000000"/>
      <name val="Segoe UI"/>
      <family val="2"/>
    </font>
    <font>
      <b/>
      <sz val="14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576071"/>
      <name val="Arial"/>
      <family val="2"/>
    </font>
    <font>
      <b/>
      <sz val="16"/>
      <color rgb="FF00206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6F9F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</fills>
  <borders count="1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thin">
        <color theme="0"/>
      </right>
      <top style="medium">
        <color indexed="64"/>
      </top>
      <bottom style="medium">
        <color theme="1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0"/>
      </top>
      <bottom style="medium">
        <color theme="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theme="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2060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00206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002060"/>
      </right>
      <top/>
      <bottom style="medium">
        <color theme="0"/>
      </bottom>
      <diagonal/>
    </border>
    <border>
      <left style="medium">
        <color theme="0"/>
      </left>
      <right style="medium">
        <color rgb="FF00206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002060"/>
      </right>
      <top style="medium">
        <color theme="0"/>
      </top>
      <bottom style="medium">
        <color rgb="FF002060"/>
      </bottom>
      <diagonal/>
    </border>
    <border>
      <left/>
      <right style="medium">
        <color rgb="FF002060"/>
      </right>
      <top/>
      <bottom style="medium">
        <color theme="0"/>
      </bottom>
      <diagonal/>
    </border>
    <border>
      <left/>
      <right style="medium">
        <color rgb="FF002060"/>
      </right>
      <top style="medium">
        <color theme="0"/>
      </top>
      <bottom style="medium">
        <color theme="0"/>
      </bottom>
      <diagonal/>
    </border>
    <border>
      <left/>
      <right style="medium">
        <color rgb="FF002060"/>
      </right>
      <top style="medium">
        <color theme="0"/>
      </top>
      <bottom style="medium">
        <color rgb="FF002060"/>
      </bottom>
      <diagonal/>
    </border>
    <border>
      <left style="medium">
        <color rgb="FF002060"/>
      </left>
      <right style="medium">
        <color theme="0"/>
      </right>
      <top style="medium">
        <color rgb="FF002060"/>
      </top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 style="medium">
        <color theme="0" tint="-0.249977111117893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1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9">
    <xf numFmtId="0" fontId="0" fillId="0" borderId="0" xfId="0"/>
    <xf numFmtId="44" fontId="0" fillId="0" borderId="0" xfId="0" applyNumberFormat="1"/>
    <xf numFmtId="0" fontId="2" fillId="0" borderId="0" xfId="0" applyFont="1"/>
    <xf numFmtId="0" fontId="0" fillId="0" borderId="0" xfId="0" applyProtection="1">
      <protection locked="0"/>
    </xf>
    <xf numFmtId="10" fontId="0" fillId="0" borderId="0" xfId="0" applyNumberFormat="1"/>
    <xf numFmtId="0" fontId="5" fillId="0" borderId="0" xfId="0" applyFont="1"/>
    <xf numFmtId="0" fontId="0" fillId="0" borderId="0" xfId="0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0" fontId="10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3" applyNumberFormat="1" applyFont="1" applyAlignment="1">
      <alignment horizontal="center"/>
    </xf>
    <xf numFmtId="0" fontId="11" fillId="4" borderId="16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/>
    </xf>
    <xf numFmtId="10" fontId="4" fillId="12" borderId="19" xfId="3" applyNumberFormat="1" applyFont="1" applyFill="1" applyBorder="1" applyAlignment="1">
      <alignment horizontal="center"/>
    </xf>
    <xf numFmtId="10" fontId="4" fillId="12" borderId="20" xfId="3" applyNumberFormat="1" applyFont="1" applyFill="1" applyBorder="1" applyAlignment="1">
      <alignment horizontal="center"/>
    </xf>
    <xf numFmtId="0" fontId="4" fillId="11" borderId="21" xfId="0" applyFont="1" applyFill="1" applyBorder="1" applyAlignment="1">
      <alignment horizontal="center" vertical="center"/>
    </xf>
    <xf numFmtId="169" fontId="3" fillId="0" borderId="0" xfId="0" applyNumberFormat="1" applyFont="1" applyAlignment="1">
      <alignment horizontal="center"/>
    </xf>
    <xf numFmtId="171" fontId="0" fillId="0" borderId="0" xfId="0" applyNumberFormat="1"/>
    <xf numFmtId="0" fontId="4" fillId="14" borderId="22" xfId="0" applyFont="1" applyFill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0" fontId="4" fillId="0" borderId="0" xfId="0" applyFont="1"/>
    <xf numFmtId="10" fontId="0" fillId="0" borderId="0" xfId="3" applyNumberFormat="1" applyFont="1"/>
    <xf numFmtId="173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3" applyNumberFormat="1" applyFont="1" applyAlignment="1">
      <alignment horizontal="center" vertical="center"/>
    </xf>
    <xf numFmtId="169" fontId="0" fillId="0" borderId="0" xfId="0" applyNumberFormat="1" applyAlignment="1" applyProtection="1">
      <alignment horizontal="center"/>
      <protection hidden="1"/>
    </xf>
    <xf numFmtId="0" fontId="5" fillId="10" borderId="24" xfId="0" applyFont="1" applyFill="1" applyBorder="1" applyAlignment="1" applyProtection="1">
      <alignment horizontal="center" vertical="center"/>
      <protection hidden="1"/>
    </xf>
    <xf numFmtId="10" fontId="0" fillId="10" borderId="24" xfId="3" applyNumberFormat="1" applyFont="1" applyFill="1" applyBorder="1" applyAlignment="1" applyProtection="1">
      <alignment horizontal="center" vertical="center"/>
      <protection hidden="1"/>
    </xf>
    <xf numFmtId="166" fontId="5" fillId="10" borderId="24" xfId="0" applyNumberFormat="1" applyFont="1" applyFill="1" applyBorder="1" applyAlignment="1" applyProtection="1">
      <alignment horizontal="center" vertical="center"/>
      <protection hidden="1"/>
    </xf>
    <xf numFmtId="165" fontId="0" fillId="10" borderId="24" xfId="0" applyNumberFormat="1" applyFill="1" applyBorder="1" applyAlignment="1" applyProtection="1">
      <alignment vertical="center"/>
      <protection hidden="1"/>
    </xf>
    <xf numFmtId="44" fontId="0" fillId="10" borderId="24" xfId="2" applyFont="1" applyFill="1" applyBorder="1" applyAlignment="1" applyProtection="1">
      <alignment vertical="center"/>
      <protection hidden="1"/>
    </xf>
    <xf numFmtId="0" fontId="9" fillId="0" borderId="24" xfId="0" applyFont="1" applyBorder="1" applyAlignment="1" applyProtection="1">
      <alignment horizontal="center" vertical="center" wrapText="1"/>
      <protection hidden="1"/>
    </xf>
    <xf numFmtId="8" fontId="0" fillId="0" borderId="0" xfId="0" applyNumberFormat="1" applyAlignment="1">
      <alignment vertical="center"/>
    </xf>
    <xf numFmtId="165" fontId="4" fillId="3" borderId="1" xfId="2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8" fontId="4" fillId="3" borderId="35" xfId="0" applyNumberFormat="1" applyFont="1" applyFill="1" applyBorder="1" applyAlignment="1" applyProtection="1">
      <alignment horizontal="center" vertical="center"/>
      <protection hidden="1"/>
    </xf>
    <xf numFmtId="10" fontId="5" fillId="10" borderId="24" xfId="0" applyNumberFormat="1" applyFont="1" applyFill="1" applyBorder="1" applyAlignment="1" applyProtection="1">
      <alignment horizontal="center" vertical="center"/>
      <protection hidden="1"/>
    </xf>
    <xf numFmtId="44" fontId="5" fillId="10" borderId="24" xfId="2" applyFont="1" applyFill="1" applyBorder="1" applyAlignment="1" applyProtection="1">
      <alignment vertical="center"/>
      <protection hidden="1"/>
    </xf>
    <xf numFmtId="0" fontId="4" fillId="11" borderId="27" xfId="0" applyFont="1" applyFill="1" applyBorder="1" applyAlignment="1" applyProtection="1">
      <alignment horizontal="center" vertical="center"/>
      <protection hidden="1"/>
    </xf>
    <xf numFmtId="0" fontId="4" fillId="11" borderId="24" xfId="0" applyFont="1" applyFill="1" applyBorder="1" applyAlignment="1" applyProtection="1">
      <alignment horizontal="center" vertical="center"/>
      <protection hidden="1"/>
    </xf>
    <xf numFmtId="0" fontId="4" fillId="11" borderId="18" xfId="0" applyFont="1" applyFill="1" applyBorder="1" applyAlignment="1" applyProtection="1">
      <alignment horizontal="center" vertical="center"/>
      <protection hidden="1"/>
    </xf>
    <xf numFmtId="0" fontId="4" fillId="11" borderId="0" xfId="0" applyFont="1" applyFill="1" applyAlignment="1" applyProtection="1">
      <alignment horizontal="center" vertical="center"/>
      <protection hidden="1"/>
    </xf>
    <xf numFmtId="10" fontId="2" fillId="17" borderId="32" xfId="0" applyNumberFormat="1" applyFont="1" applyFill="1" applyBorder="1" applyAlignment="1" applyProtection="1">
      <alignment horizontal="center"/>
      <protection hidden="1"/>
    </xf>
    <xf numFmtId="37" fontId="2" fillId="17" borderId="29" xfId="1" applyNumberFormat="1" applyFont="1" applyFill="1" applyBorder="1" applyAlignment="1" applyProtection="1">
      <alignment horizontal="center"/>
      <protection hidden="1"/>
    </xf>
    <xf numFmtId="10" fontId="2" fillId="17" borderId="29" xfId="3" applyNumberFormat="1" applyFont="1" applyFill="1" applyBorder="1" applyAlignment="1" applyProtection="1">
      <alignment horizontal="center"/>
      <protection hidden="1"/>
    </xf>
    <xf numFmtId="0" fontId="2" fillId="10" borderId="0" xfId="0" applyFont="1" applyFill="1" applyAlignment="1">
      <alignment horizontal="left" vertical="center"/>
    </xf>
    <xf numFmtId="10" fontId="2" fillId="10" borderId="0" xfId="3" applyNumberFormat="1" applyFont="1" applyFill="1" applyAlignment="1" applyProtection="1">
      <alignment horizontal="center" vertical="center"/>
      <protection hidden="1"/>
    </xf>
    <xf numFmtId="169" fontId="4" fillId="10" borderId="35" xfId="3" applyNumberFormat="1" applyFont="1" applyFill="1" applyBorder="1" applyAlignment="1" applyProtection="1">
      <alignment horizontal="center" vertical="center"/>
      <protection hidden="1"/>
    </xf>
    <xf numFmtId="44" fontId="1" fillId="10" borderId="24" xfId="2" applyFont="1" applyFill="1" applyBorder="1" applyAlignment="1" applyProtection="1">
      <alignment vertical="center"/>
      <protection hidden="1"/>
    </xf>
    <xf numFmtId="44" fontId="14" fillId="15" borderId="3" xfId="4" applyNumberFormat="1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10" fontId="0" fillId="0" borderId="0" xfId="3" applyNumberFormat="1" applyFont="1" applyAlignment="1">
      <alignment wrapText="1"/>
    </xf>
    <xf numFmtId="0" fontId="2" fillId="2" borderId="2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9" fontId="0" fillId="0" borderId="0" xfId="3" applyNumberFormat="1" applyFont="1" applyAlignment="1">
      <alignment horizontal="center" vertical="center"/>
    </xf>
    <xf numFmtId="10" fontId="9" fillId="0" borderId="16" xfId="3" applyNumberFormat="1" applyFont="1" applyBorder="1" applyAlignment="1" applyProtection="1">
      <alignment horizontal="center" vertical="center" wrapText="1"/>
      <protection hidden="1"/>
    </xf>
    <xf numFmtId="0" fontId="16" fillId="2" borderId="16" xfId="0" applyFont="1" applyFill="1" applyBorder="1" applyAlignment="1">
      <alignment horizontal="center" vertical="center" wrapText="1"/>
    </xf>
    <xf numFmtId="169" fontId="0" fillId="0" borderId="0" xfId="3" applyNumberFormat="1" applyFont="1"/>
    <xf numFmtId="169" fontId="0" fillId="0" borderId="0" xfId="3" applyNumberFormat="1" applyFont="1" applyAlignment="1">
      <alignment wrapText="1"/>
    </xf>
    <xf numFmtId="43" fontId="0" fillId="0" borderId="0" xfId="1" applyFont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9" fillId="11" borderId="18" xfId="0" applyFont="1" applyFill="1" applyBorder="1" applyAlignment="1" applyProtection="1">
      <alignment horizontal="center" vertical="center" wrapText="1"/>
      <protection hidden="1"/>
    </xf>
    <xf numFmtId="0" fontId="9" fillId="11" borderId="17" xfId="0" applyFont="1" applyFill="1" applyBorder="1" applyAlignment="1" applyProtection="1">
      <alignment horizontal="center" vertical="center" wrapText="1"/>
      <protection hidden="1"/>
    </xf>
    <xf numFmtId="10" fontId="0" fillId="0" borderId="0" xfId="3" applyNumberFormat="1" applyFont="1" applyProtection="1">
      <protection hidden="1"/>
    </xf>
    <xf numFmtId="0" fontId="0" fillId="0" borderId="0" xfId="0" applyProtection="1">
      <protection hidden="1"/>
    </xf>
    <xf numFmtId="10" fontId="0" fillId="0" borderId="0" xfId="0" applyNumberFormat="1" applyAlignment="1" applyProtection="1">
      <alignment horizontal="center"/>
      <protection hidden="1"/>
    </xf>
    <xf numFmtId="0" fontId="16" fillId="2" borderId="34" xfId="0" applyFont="1" applyFill="1" applyBorder="1" applyAlignment="1">
      <alignment horizontal="center" vertical="center"/>
    </xf>
    <xf numFmtId="0" fontId="4" fillId="14" borderId="23" xfId="0" applyFont="1" applyFill="1" applyBorder="1" applyAlignment="1">
      <alignment horizontal="center" vertic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43" fontId="0" fillId="0" borderId="0" xfId="1" applyFont="1" applyAlignment="1">
      <alignment horizontal="center" wrapText="1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 vertical="center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174" fontId="0" fillId="0" borderId="0" xfId="3" applyNumberFormat="1" applyFont="1"/>
    <xf numFmtId="8" fontId="4" fillId="3" borderId="1" xfId="0" applyNumberFormat="1" applyFont="1" applyFill="1" applyBorder="1" applyAlignment="1" applyProtection="1">
      <alignment horizontal="center"/>
      <protection locked="0" hidden="1"/>
    </xf>
    <xf numFmtId="165" fontId="15" fillId="4" borderId="1" xfId="0" applyNumberFormat="1" applyFont="1" applyFill="1" applyBorder="1" applyAlignment="1" applyProtection="1">
      <alignment horizontal="center" vertical="center" wrapText="1"/>
      <protection hidden="1"/>
    </xf>
    <xf numFmtId="7" fontId="4" fillId="3" borderId="1" xfId="2" applyNumberFormat="1" applyFont="1" applyFill="1" applyBorder="1" applyAlignment="1" applyProtection="1">
      <alignment horizontal="center" vertical="center"/>
      <protection locked="0" hidden="1"/>
    </xf>
    <xf numFmtId="8" fontId="4" fillId="0" borderId="1" xfId="0" applyNumberFormat="1" applyFont="1" applyBorder="1" applyAlignment="1" applyProtection="1">
      <alignment horizontal="center" vertical="center"/>
      <protection hidden="1"/>
    </xf>
    <xf numFmtId="8" fontId="4" fillId="3" borderId="1" xfId="0" applyNumberFormat="1" applyFont="1" applyFill="1" applyBorder="1" applyAlignment="1" applyProtection="1">
      <alignment horizontal="center" vertical="center"/>
      <protection hidden="1"/>
    </xf>
    <xf numFmtId="8" fontId="0" fillId="10" borderId="52" xfId="0" applyNumberFormat="1" applyFill="1" applyBorder="1" applyAlignment="1" applyProtection="1">
      <alignment horizontal="center" vertical="center"/>
      <protection hidden="1"/>
    </xf>
    <xf numFmtId="169" fontId="4" fillId="16" borderId="39" xfId="3" applyNumberFormat="1" applyFont="1" applyFill="1" applyBorder="1" applyAlignment="1" applyProtection="1">
      <alignment horizontal="center"/>
      <protection hidden="1"/>
    </xf>
    <xf numFmtId="169" fontId="4" fillId="16" borderId="40" xfId="3" applyNumberFormat="1" applyFont="1" applyFill="1" applyBorder="1" applyAlignment="1" applyProtection="1">
      <alignment horizontal="center"/>
      <protection hidden="1"/>
    </xf>
    <xf numFmtId="10" fontId="10" fillId="0" borderId="0" xfId="0" applyNumberFormat="1" applyFont="1"/>
    <xf numFmtId="164" fontId="0" fillId="0" borderId="0" xfId="0" applyNumberFormat="1" applyAlignment="1" applyProtection="1">
      <alignment horizontal="center"/>
      <protection hidden="1"/>
    </xf>
    <xf numFmtId="10" fontId="0" fillId="0" borderId="0" xfId="3" applyNumberFormat="1" applyFont="1" applyAlignment="1" applyProtection="1">
      <alignment horizontal="center"/>
      <protection hidden="1"/>
    </xf>
    <xf numFmtId="10" fontId="0" fillId="0" borderId="0" xfId="3" applyNumberFormat="1" applyFont="1" applyAlignment="1">
      <alignment horizontal="center"/>
    </xf>
    <xf numFmtId="44" fontId="14" fillId="0" borderId="24" xfId="4" applyNumberFormat="1" applyFont="1" applyFill="1" applyBorder="1" applyAlignment="1" applyProtection="1">
      <alignment horizontal="center" vertical="center"/>
      <protection hidden="1"/>
    </xf>
    <xf numFmtId="175" fontId="0" fillId="0" borderId="0" xfId="1" applyNumberFormat="1" applyFont="1"/>
    <xf numFmtId="0" fontId="0" fillId="0" borderId="0" xfId="0" quotePrefix="1"/>
    <xf numFmtId="4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10" fontId="0" fillId="0" borderId="0" xfId="3" applyNumberFormat="1" applyFont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4" fontId="0" fillId="0" borderId="0" xfId="0" applyNumberFormat="1"/>
    <xf numFmtId="4" fontId="22" fillId="0" borderId="55" xfId="0" applyNumberFormat="1" applyFont="1" applyBorder="1" applyAlignment="1">
      <alignment horizontal="center" vertical="center" wrapText="1"/>
    </xf>
    <xf numFmtId="174" fontId="22" fillId="0" borderId="56" xfId="3" applyNumberFormat="1" applyFont="1" applyBorder="1" applyAlignment="1">
      <alignment horizontal="center" vertical="center" wrapText="1"/>
    </xf>
    <xf numFmtId="174" fontId="22" fillId="0" borderId="57" xfId="3" applyNumberFormat="1" applyFont="1" applyBorder="1" applyAlignment="1">
      <alignment horizontal="center" vertical="center" wrapText="1"/>
    </xf>
    <xf numFmtId="4" fontId="22" fillId="0" borderId="57" xfId="0" applyNumberFormat="1" applyFont="1" applyBorder="1" applyAlignment="1">
      <alignment horizontal="center" vertical="center" wrapText="1"/>
    </xf>
    <xf numFmtId="4" fontId="22" fillId="0" borderId="58" xfId="0" applyNumberFormat="1" applyFont="1" applyBorder="1" applyAlignment="1">
      <alignment horizontal="center" vertical="center" wrapText="1"/>
    </xf>
    <xf numFmtId="4" fontId="22" fillId="0" borderId="59" xfId="0" applyNumberFormat="1" applyFont="1" applyBorder="1" applyAlignment="1">
      <alignment horizontal="center" vertical="center" wrapText="1"/>
    </xf>
    <xf numFmtId="174" fontId="22" fillId="0" borderId="54" xfId="3" applyNumberFormat="1" applyFont="1" applyBorder="1" applyAlignment="1">
      <alignment horizontal="center" vertical="center" wrapText="1"/>
    </xf>
    <xf numFmtId="174" fontId="22" fillId="0" borderId="29" xfId="3" applyNumberFormat="1" applyFont="1" applyBorder="1" applyAlignment="1">
      <alignment horizontal="center" vertical="center" wrapText="1"/>
    </xf>
    <xf numFmtId="4" fontId="22" fillId="0" borderId="29" xfId="0" applyNumberFormat="1" applyFont="1" applyBorder="1" applyAlignment="1">
      <alignment horizontal="center" vertical="center" wrapText="1"/>
    </xf>
    <xf numFmtId="4" fontId="22" fillId="0" borderId="60" xfId="0" applyNumberFormat="1" applyFont="1" applyBorder="1" applyAlignment="1">
      <alignment horizontal="center" vertical="center" wrapText="1"/>
    </xf>
    <xf numFmtId="0" fontId="16" fillId="19" borderId="53" xfId="0" applyFont="1" applyFill="1" applyBorder="1" applyAlignment="1">
      <alignment horizontal="center" vertical="center"/>
    </xf>
    <xf numFmtId="0" fontId="16" fillId="19" borderId="30" xfId="0" applyFont="1" applyFill="1" applyBorder="1" applyAlignment="1">
      <alignment horizontal="center" vertical="center"/>
    </xf>
    <xf numFmtId="0" fontId="16" fillId="19" borderId="1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6" fillId="19" borderId="64" xfId="0" applyFont="1" applyFill="1" applyBorder="1" applyAlignment="1">
      <alignment horizontal="center" vertical="center"/>
    </xf>
    <xf numFmtId="44" fontId="4" fillId="18" borderId="64" xfId="0" applyNumberFormat="1" applyFont="1" applyFill="1" applyBorder="1" applyAlignment="1" applyProtection="1">
      <alignment horizontal="center" vertical="center"/>
      <protection hidden="1"/>
    </xf>
    <xf numFmtId="0" fontId="4" fillId="0" borderId="64" xfId="0" applyFont="1" applyBorder="1" applyAlignment="1">
      <alignment vertical="center"/>
    </xf>
    <xf numFmtId="14" fontId="4" fillId="20" borderId="64" xfId="0" applyNumberFormat="1" applyFont="1" applyFill="1" applyBorder="1" applyAlignment="1" applyProtection="1">
      <alignment horizontal="center" vertical="center"/>
      <protection locked="0"/>
    </xf>
    <xf numFmtId="3" fontId="4" fillId="20" borderId="64" xfId="0" applyNumberFormat="1" applyFont="1" applyFill="1" applyBorder="1" applyAlignment="1" applyProtection="1">
      <alignment horizontal="center" vertical="center"/>
      <protection locked="0"/>
    </xf>
    <xf numFmtId="0" fontId="2" fillId="19" borderId="71" xfId="0" applyFont="1" applyFill="1" applyBorder="1" applyAlignment="1">
      <alignment horizontal="center" vertical="center"/>
    </xf>
    <xf numFmtId="0" fontId="2" fillId="19" borderId="7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6" fillId="19" borderId="64" xfId="0" applyFont="1" applyFill="1" applyBorder="1" applyAlignment="1">
      <alignment horizontal="center" vertical="center" wrapText="1"/>
    </xf>
    <xf numFmtId="169" fontId="5" fillId="0" borderId="0" xfId="3" applyNumberFormat="1" applyFont="1" applyAlignment="1" applyProtection="1">
      <alignment horizontal="center" vertical="center"/>
      <protection hidden="1"/>
    </xf>
    <xf numFmtId="10" fontId="5" fillId="0" borderId="0" xfId="3" applyNumberFormat="1" applyFont="1" applyAlignment="1">
      <alignment horizontal="center"/>
    </xf>
    <xf numFmtId="10" fontId="10" fillId="0" borderId="0" xfId="3" applyNumberFormat="1" applyFont="1"/>
    <xf numFmtId="0" fontId="6" fillId="0" borderId="0" xfId="0" applyFont="1"/>
    <xf numFmtId="14" fontId="10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 applyProtection="1">
      <alignment horizontal="center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hidden="1"/>
    </xf>
    <xf numFmtId="0" fontId="9" fillId="7" borderId="0" xfId="0" applyFont="1" applyFill="1" applyAlignment="1" applyProtection="1">
      <alignment horizontal="center" vertical="center"/>
      <protection hidden="1"/>
    </xf>
    <xf numFmtId="14" fontId="0" fillId="0" borderId="0" xfId="0" applyNumberFormat="1"/>
    <xf numFmtId="10" fontId="0" fillId="0" borderId="0" xfId="3" applyNumberFormat="1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10" fontId="0" fillId="0" borderId="0" xfId="3" applyNumberFormat="1" applyFont="1" applyAlignment="1">
      <alignment horizontal="center" wrapText="1"/>
    </xf>
    <xf numFmtId="9" fontId="0" fillId="0" borderId="0" xfId="3" applyFont="1" applyAlignment="1">
      <alignment horizontal="center"/>
    </xf>
    <xf numFmtId="0" fontId="4" fillId="14" borderId="73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28" fillId="0" borderId="0" xfId="0" applyFont="1" applyProtection="1">
      <protection locked="0"/>
    </xf>
    <xf numFmtId="0" fontId="28" fillId="0" borderId="0" xfId="0" applyFont="1"/>
    <xf numFmtId="44" fontId="28" fillId="0" borderId="0" xfId="0" applyNumberFormat="1" applyFont="1" applyAlignment="1">
      <alignment vertical="center"/>
    </xf>
    <xf numFmtId="7" fontId="27" fillId="3" borderId="1" xfId="2" applyNumberFormat="1" applyFont="1" applyFill="1" applyBorder="1" applyAlignment="1" applyProtection="1">
      <alignment horizontal="center" vertical="center"/>
      <protection locked="0" hidden="1"/>
    </xf>
    <xf numFmtId="8" fontId="28" fillId="0" borderId="0" xfId="0" applyNumberFormat="1" applyFont="1" applyAlignment="1">
      <alignment vertical="center"/>
    </xf>
    <xf numFmtId="43" fontId="4" fillId="0" borderId="0" xfId="0" applyNumberFormat="1" applyFont="1"/>
    <xf numFmtId="14" fontId="5" fillId="0" borderId="0" xfId="0" applyNumberFormat="1" applyFont="1" applyAlignment="1">
      <alignment horizontal="center" vertical="center"/>
    </xf>
    <xf numFmtId="14" fontId="4" fillId="14" borderId="22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10" fontId="4" fillId="0" borderId="0" xfId="0" applyNumberFormat="1" applyFont="1"/>
    <xf numFmtId="14" fontId="2" fillId="0" borderId="0" xfId="0" applyNumberFormat="1" applyFont="1"/>
    <xf numFmtId="14" fontId="0" fillId="0" borderId="72" xfId="0" applyNumberFormat="1" applyBorder="1"/>
    <xf numFmtId="44" fontId="1" fillId="0" borderId="0" xfId="0" applyNumberFormat="1" applyFont="1" applyAlignment="1">
      <alignment vertical="center"/>
    </xf>
    <xf numFmtId="8" fontId="1" fillId="0" borderId="0" xfId="0" applyNumberFormat="1" applyFont="1" applyAlignment="1">
      <alignment vertical="center"/>
    </xf>
    <xf numFmtId="10" fontId="1" fillId="0" borderId="0" xfId="3" applyNumberFormat="1" applyFont="1" applyAlignment="1">
      <alignment vertical="center"/>
    </xf>
    <xf numFmtId="8" fontId="9" fillId="10" borderId="46" xfId="0" applyNumberFormat="1" applyFont="1" applyFill="1" applyBorder="1" applyAlignment="1" applyProtection="1">
      <alignment horizontal="center" vertical="center"/>
      <protection hidden="1"/>
    </xf>
    <xf numFmtId="177" fontId="1" fillId="0" borderId="0" xfId="3" applyNumberFormat="1" applyFont="1" applyAlignment="1">
      <alignment horizontal="center" vertical="center"/>
    </xf>
    <xf numFmtId="10" fontId="10" fillId="0" borderId="0" xfId="3" applyNumberFormat="1" applyFont="1" applyAlignment="1" applyProtection="1">
      <alignment horizontal="center" vertical="center"/>
      <protection hidden="1"/>
    </xf>
    <xf numFmtId="170" fontId="10" fillId="0" borderId="0" xfId="1" applyNumberFormat="1" applyFont="1"/>
    <xf numFmtId="44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43" fontId="10" fillId="0" borderId="0" xfId="1" applyFont="1"/>
    <xf numFmtId="43" fontId="10" fillId="0" borderId="0" xfId="0" applyNumberFormat="1" applyFont="1" applyAlignment="1">
      <alignment horizontal="center"/>
    </xf>
    <xf numFmtId="14" fontId="6" fillId="0" borderId="0" xfId="1" applyNumberFormat="1" applyFont="1"/>
    <xf numFmtId="43" fontId="10" fillId="0" borderId="0" xfId="0" applyNumberFormat="1" applyFont="1"/>
    <xf numFmtId="43" fontId="10" fillId="0" borderId="0" xfId="0" applyNumberFormat="1" applyFont="1" applyAlignment="1">
      <alignment vertical="center" wrapText="1"/>
    </xf>
    <xf numFmtId="8" fontId="10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0" fontId="7" fillId="0" borderId="0" xfId="3" applyNumberFormat="1" applyFont="1" applyFill="1" applyBorder="1" applyAlignment="1" applyProtection="1">
      <alignment horizontal="center" vertical="center" wrapText="1"/>
      <protection hidden="1"/>
    </xf>
    <xf numFmtId="44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169" fontId="4" fillId="10" borderId="2" xfId="3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4" fillId="11" borderId="3" xfId="0" applyFont="1" applyFill="1" applyBorder="1" applyAlignment="1" applyProtection="1">
      <alignment horizontal="center" vertical="center"/>
      <protection hidden="1"/>
    </xf>
    <xf numFmtId="0" fontId="4" fillId="11" borderId="76" xfId="0" applyFont="1" applyFill="1" applyBorder="1" applyAlignment="1" applyProtection="1">
      <alignment horizontal="center" vertical="center"/>
      <protection hidden="1"/>
    </xf>
    <xf numFmtId="0" fontId="4" fillId="11" borderId="16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10" fontId="2" fillId="0" borderId="0" xfId="3" applyNumberFormat="1" applyFont="1" applyAlignment="1">
      <alignment vertical="center"/>
    </xf>
    <xf numFmtId="8" fontId="4" fillId="0" borderId="0" xfId="0" applyNumberFormat="1" applyFont="1" applyAlignment="1">
      <alignment vertical="center"/>
    </xf>
    <xf numFmtId="8" fontId="2" fillId="10" borderId="0" xfId="0" applyNumberFormat="1" applyFont="1" applyFill="1" applyAlignment="1">
      <alignment vertical="center"/>
    </xf>
    <xf numFmtId="8" fontId="2" fillId="0" borderId="0" xfId="0" applyNumberFormat="1" applyFont="1" applyAlignment="1">
      <alignment vertical="center"/>
    </xf>
    <xf numFmtId="169" fontId="2" fillId="9" borderId="1" xfId="0" applyNumberFormat="1" applyFont="1" applyFill="1" applyBorder="1" applyAlignment="1" applyProtection="1">
      <alignment horizontal="center"/>
      <protection hidden="1"/>
    </xf>
    <xf numFmtId="43" fontId="10" fillId="0" borderId="0" xfId="1" applyFont="1" applyAlignment="1" applyProtection="1">
      <alignment horizontal="center"/>
      <protection hidden="1"/>
    </xf>
    <xf numFmtId="43" fontId="6" fillId="0" borderId="0" xfId="0" applyNumberFormat="1" applyFont="1"/>
    <xf numFmtId="43" fontId="2" fillId="8" borderId="0" xfId="1" applyFont="1" applyFill="1" applyAlignment="1">
      <alignment horizontal="center" vertical="center"/>
    </xf>
    <xf numFmtId="43" fontId="0" fillId="0" borderId="0" xfId="1" applyFont="1"/>
    <xf numFmtId="170" fontId="0" fillId="0" borderId="0" xfId="1" applyNumberFormat="1" applyFont="1"/>
    <xf numFmtId="0" fontId="10" fillId="10" borderId="0" xfId="0" applyFont="1" applyFill="1" applyProtection="1">
      <protection hidden="1"/>
    </xf>
    <xf numFmtId="168" fontId="6" fillId="10" borderId="0" xfId="1" quotePrefix="1" applyNumberFormat="1" applyFont="1" applyFill="1" applyBorder="1" applyAlignment="1" applyProtection="1">
      <alignment horizontal="center"/>
      <protection hidden="1"/>
    </xf>
    <xf numFmtId="0" fontId="2" fillId="10" borderId="0" xfId="0" applyFont="1" applyFill="1" applyAlignment="1" applyProtection="1">
      <alignment horizontal="center" vertical="center" wrapText="1"/>
      <protection hidden="1"/>
    </xf>
    <xf numFmtId="0" fontId="2" fillId="10" borderId="0" xfId="0" applyFont="1" applyFill="1" applyAlignment="1" applyProtection="1">
      <alignment horizontal="center" vertical="center"/>
      <protection hidden="1"/>
    </xf>
    <xf numFmtId="0" fontId="10" fillId="10" borderId="0" xfId="0" applyFont="1" applyFill="1"/>
    <xf numFmtId="14" fontId="10" fillId="10" borderId="0" xfId="0" applyNumberFormat="1" applyFont="1" applyFill="1" applyProtection="1">
      <protection hidden="1"/>
    </xf>
    <xf numFmtId="0" fontId="16" fillId="10" borderId="0" xfId="0" applyFont="1" applyFill="1" applyAlignment="1" applyProtection="1">
      <alignment horizontal="center" vertical="center"/>
      <protection hidden="1"/>
    </xf>
    <xf numFmtId="178" fontId="2" fillId="10" borderId="0" xfId="1" applyNumberFormat="1" applyFont="1" applyFill="1" applyBorder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vertical="center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/>
      <protection hidden="1"/>
    </xf>
    <xf numFmtId="14" fontId="10" fillId="10" borderId="0" xfId="0" applyNumberFormat="1" applyFont="1" applyFill="1" applyAlignment="1" applyProtection="1">
      <alignment horizontal="center"/>
      <protection hidden="1"/>
    </xf>
    <xf numFmtId="168" fontId="10" fillId="10" borderId="0" xfId="0" applyNumberFormat="1" applyFont="1" applyFill="1" applyProtection="1">
      <protection hidden="1"/>
    </xf>
    <xf numFmtId="178" fontId="10" fillId="10" borderId="0" xfId="0" applyNumberFormat="1" applyFont="1" applyFill="1" applyProtection="1">
      <protection hidden="1"/>
    </xf>
    <xf numFmtId="0" fontId="10" fillId="10" borderId="0" xfId="0" applyFont="1" applyFill="1" applyAlignment="1" applyProtection="1">
      <alignment wrapText="1"/>
      <protection hidden="1"/>
    </xf>
    <xf numFmtId="179" fontId="10" fillId="10" borderId="0" xfId="0" applyNumberFormat="1" applyFont="1" applyFill="1" applyAlignment="1" applyProtection="1">
      <alignment wrapText="1"/>
      <protection hidden="1"/>
    </xf>
    <xf numFmtId="10" fontId="10" fillId="10" borderId="0" xfId="0" applyNumberFormat="1" applyFont="1" applyFill="1" applyProtection="1">
      <protection hidden="1"/>
    </xf>
    <xf numFmtId="1" fontId="10" fillId="10" borderId="0" xfId="0" applyNumberFormat="1" applyFont="1" applyFill="1" applyAlignment="1" applyProtection="1">
      <alignment horizontal="center" vertical="center"/>
      <protection hidden="1"/>
    </xf>
    <xf numFmtId="14" fontId="10" fillId="10" borderId="0" xfId="0" applyNumberFormat="1" applyFont="1" applyFill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wrapText="1"/>
      <protection hidden="1"/>
    </xf>
    <xf numFmtId="179" fontId="0" fillId="10" borderId="0" xfId="0" applyNumberFormat="1" applyFill="1" applyAlignment="1" applyProtection="1">
      <alignment wrapText="1"/>
      <protection hidden="1"/>
    </xf>
    <xf numFmtId="0" fontId="0" fillId="10" borderId="0" xfId="0" applyFill="1" applyProtection="1">
      <protection hidden="1"/>
    </xf>
    <xf numFmtId="168" fontId="5" fillId="10" borderId="0" xfId="1" quotePrefix="1" applyNumberFormat="1" applyFont="1" applyFill="1" applyBorder="1" applyAlignment="1" applyProtection="1">
      <alignment horizontal="center"/>
      <protection hidden="1"/>
    </xf>
    <xf numFmtId="0" fontId="4" fillId="10" borderId="0" xfId="0" applyFont="1" applyFill="1" applyAlignment="1" applyProtection="1">
      <alignment horizontal="center" vertical="center" wrapText="1"/>
      <protection hidden="1"/>
    </xf>
    <xf numFmtId="0" fontId="4" fillId="10" borderId="0" xfId="0" applyFont="1" applyFill="1" applyAlignment="1" applyProtection="1">
      <alignment horizontal="center" vertical="center"/>
      <protection hidden="1"/>
    </xf>
    <xf numFmtId="14" fontId="0" fillId="10" borderId="0" xfId="0" applyNumberFormat="1" applyFill="1" applyProtection="1">
      <protection hidden="1"/>
    </xf>
    <xf numFmtId="0" fontId="15" fillId="10" borderId="0" xfId="0" applyFont="1" applyFill="1" applyAlignment="1" applyProtection="1">
      <alignment horizontal="center" vertical="center"/>
      <protection hidden="1"/>
    </xf>
    <xf numFmtId="1" fontId="0" fillId="10" borderId="0" xfId="0" applyNumberFormat="1" applyFill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center" vertical="center"/>
      <protection hidden="1"/>
    </xf>
    <xf numFmtId="14" fontId="0" fillId="10" borderId="0" xfId="0" applyNumberFormat="1" applyFill="1" applyAlignment="1" applyProtection="1">
      <alignment horizontal="center" vertical="center"/>
      <protection hidden="1"/>
    </xf>
    <xf numFmtId="178" fontId="4" fillId="10" borderId="0" xfId="1" applyNumberFormat="1" applyFont="1" applyFill="1" applyBorder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center" wrapText="1"/>
      <protection hidden="1"/>
    </xf>
    <xf numFmtId="0" fontId="0" fillId="10" borderId="0" xfId="0" applyFill="1" applyAlignment="1" applyProtection="1">
      <alignment horizontal="center"/>
      <protection hidden="1"/>
    </xf>
    <xf numFmtId="14" fontId="0" fillId="10" borderId="0" xfId="0" applyNumberFormat="1" applyFill="1" applyAlignment="1" applyProtection="1">
      <alignment horizontal="center"/>
      <protection hidden="1"/>
    </xf>
    <xf numFmtId="168" fontId="0" fillId="10" borderId="0" xfId="0" applyNumberFormat="1" applyFill="1" applyProtection="1">
      <protection hidden="1"/>
    </xf>
    <xf numFmtId="178" fontId="0" fillId="10" borderId="0" xfId="0" applyNumberFormat="1" applyFill="1" applyProtection="1">
      <protection hidden="1"/>
    </xf>
    <xf numFmtId="43" fontId="4" fillId="0" borderId="0" xfId="1" applyFont="1" applyAlignment="1">
      <alignment horizontal="center"/>
    </xf>
    <xf numFmtId="43" fontId="4" fillId="0" borderId="0" xfId="1" applyFont="1"/>
    <xf numFmtId="43" fontId="0" fillId="0" borderId="0" xfId="1" applyFont="1" applyAlignment="1">
      <alignment horizontal="left"/>
    </xf>
    <xf numFmtId="10" fontId="10" fillId="10" borderId="0" xfId="3" applyNumberFormat="1" applyFont="1" applyFill="1"/>
    <xf numFmtId="169" fontId="10" fillId="10" borderId="0" xfId="3" applyNumberFormat="1" applyFont="1" applyFill="1"/>
    <xf numFmtId="10" fontId="2" fillId="10" borderId="0" xfId="0" applyNumberFormat="1" applyFont="1" applyFill="1"/>
    <xf numFmtId="180" fontId="10" fillId="10" borderId="0" xfId="1" applyNumberFormat="1" applyFont="1" applyFill="1"/>
    <xf numFmtId="180" fontId="2" fillId="10" borderId="0" xfId="1" applyNumberFormat="1" applyFont="1" applyFill="1"/>
    <xf numFmtId="43" fontId="10" fillId="10" borderId="0" xfId="1" applyFont="1" applyFill="1"/>
    <xf numFmtId="43" fontId="2" fillId="10" borderId="0" xfId="1" applyFont="1" applyFill="1"/>
    <xf numFmtId="43" fontId="0" fillId="0" borderId="0" xfId="3" applyNumberFormat="1" applyFont="1"/>
    <xf numFmtId="0" fontId="2" fillId="19" borderId="0" xfId="0" applyFont="1" applyFill="1" applyAlignment="1">
      <alignment horizontal="center" vertical="center"/>
    </xf>
    <xf numFmtId="0" fontId="0" fillId="0" borderId="0" xfId="0" pivotButton="1" applyAlignment="1">
      <alignment horizontal="left"/>
    </xf>
    <xf numFmtId="10" fontId="0" fillId="0" borderId="0" xfId="0" applyNumberFormat="1" applyAlignment="1">
      <alignment horizontal="center"/>
    </xf>
    <xf numFmtId="0" fontId="0" fillId="21" borderId="0" xfId="0" applyFill="1"/>
    <xf numFmtId="10" fontId="0" fillId="21" borderId="0" xfId="3" applyNumberFormat="1" applyFont="1" applyFill="1" applyBorder="1" applyAlignment="1">
      <alignment horizontal="center"/>
    </xf>
    <xf numFmtId="14" fontId="6" fillId="0" borderId="0" xfId="0" applyNumberFormat="1" applyFont="1"/>
    <xf numFmtId="14" fontId="10" fillId="0" borderId="0" xfId="0" applyNumberFormat="1" applyFont="1"/>
    <xf numFmtId="171" fontId="10" fillId="0" borderId="0" xfId="0" applyNumberFormat="1" applyFont="1"/>
    <xf numFmtId="14" fontId="10" fillId="0" borderId="0" xfId="0" applyNumberFormat="1" applyFont="1" applyAlignment="1">
      <alignment vertical="center" wrapText="1"/>
    </xf>
    <xf numFmtId="10" fontId="6" fillId="0" borderId="0" xfId="3" applyNumberFormat="1" applyFont="1" applyProtection="1"/>
    <xf numFmtId="169" fontId="6" fillId="0" borderId="0" xfId="0" applyNumberFormat="1" applyFont="1"/>
    <xf numFmtId="4" fontId="10" fillId="0" borderId="0" xfId="0" applyNumberFormat="1" applyFont="1" applyAlignment="1">
      <alignment horizontal="center"/>
    </xf>
    <xf numFmtId="164" fontId="10" fillId="0" borderId="0" xfId="3" applyNumberFormat="1" applyFont="1" applyAlignment="1">
      <alignment horizontal="center"/>
    </xf>
    <xf numFmtId="10" fontId="10" fillId="0" borderId="0" xfId="3" applyNumberFormat="1" applyFont="1" applyAlignment="1">
      <alignment horizontal="center"/>
    </xf>
    <xf numFmtId="0" fontId="10" fillId="10" borderId="1" xfId="0" applyFont="1" applyFill="1" applyBorder="1" applyAlignment="1">
      <alignment horizontal="left"/>
    </xf>
    <xf numFmtId="174" fontId="10" fillId="0" borderId="0" xfId="3" applyNumberFormat="1" applyFont="1"/>
    <xf numFmtId="167" fontId="10" fillId="0" borderId="0" xfId="0" applyNumberFormat="1" applyFont="1"/>
    <xf numFmtId="0" fontId="2" fillId="19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14" fontId="10" fillId="0" borderId="0" xfId="0" applyNumberFormat="1" applyFont="1" applyAlignment="1">
      <alignment horizontal="center"/>
    </xf>
    <xf numFmtId="168" fontId="10" fillId="0" borderId="0" xfId="0" applyNumberFormat="1" applyFont="1"/>
    <xf numFmtId="1" fontId="10" fillId="0" borderId="0" xfId="0" applyNumberFormat="1" applyFont="1"/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0" fontId="10" fillId="10" borderId="0" xfId="0" applyNumberFormat="1" applyFont="1" applyFill="1" applyAlignment="1">
      <alignment horizontal="center"/>
    </xf>
    <xf numFmtId="180" fontId="10" fillId="10" borderId="0" xfId="0" applyNumberFormat="1" applyFont="1" applyFill="1" applyAlignment="1">
      <alignment horizontal="center"/>
    </xf>
    <xf numFmtId="14" fontId="4" fillId="14" borderId="22" xfId="0" applyNumberFormat="1" applyFont="1" applyFill="1" applyBorder="1" applyAlignment="1">
      <alignment horizontal="center" vertical="center"/>
    </xf>
    <xf numFmtId="0" fontId="0" fillId="21" borderId="77" xfId="0" applyFill="1" applyBorder="1"/>
    <xf numFmtId="0" fontId="0" fillId="0" borderId="77" xfId="0" applyBorder="1"/>
    <xf numFmtId="9" fontId="10" fillId="0" borderId="0" xfId="3" applyFont="1" applyAlignment="1">
      <alignment horizontal="center"/>
    </xf>
    <xf numFmtId="44" fontId="4" fillId="20" borderId="78" xfId="2" applyFont="1" applyFill="1" applyBorder="1" applyAlignment="1" applyProtection="1">
      <alignment vertical="center"/>
      <protection locked="0"/>
    </xf>
    <xf numFmtId="0" fontId="26" fillId="19" borderId="79" xfId="0" applyFont="1" applyFill="1" applyBorder="1" applyAlignment="1">
      <alignment horizontal="center" vertical="center"/>
    </xf>
    <xf numFmtId="10" fontId="4" fillId="18" borderId="79" xfId="3" applyNumberFormat="1" applyFont="1" applyFill="1" applyBorder="1" applyAlignment="1" applyProtection="1">
      <alignment horizontal="center" vertical="center"/>
      <protection hidden="1"/>
    </xf>
    <xf numFmtId="169" fontId="5" fillId="0" borderId="80" xfId="3" applyNumberFormat="1" applyFont="1" applyBorder="1" applyAlignment="1">
      <alignment horizontal="center" vertical="center"/>
    </xf>
    <xf numFmtId="44" fontId="5" fillId="10" borderId="0" xfId="0" applyNumberFormat="1" applyFont="1" applyFill="1" applyAlignment="1">
      <alignment horizontal="center" vertical="center"/>
    </xf>
    <xf numFmtId="44" fontId="5" fillId="0" borderId="81" xfId="0" applyNumberFormat="1" applyFont="1" applyBorder="1" applyAlignment="1">
      <alignment vertical="center"/>
    </xf>
    <xf numFmtId="0" fontId="2" fillId="19" borderId="83" xfId="0" applyFont="1" applyFill="1" applyBorder="1" applyAlignment="1">
      <alignment horizontal="left" vertical="center"/>
    </xf>
    <xf numFmtId="10" fontId="0" fillId="0" borderId="84" xfId="3" applyNumberFormat="1" applyFont="1" applyBorder="1" applyAlignment="1" applyProtection="1">
      <alignment horizontal="center" vertical="center"/>
      <protection hidden="1"/>
    </xf>
    <xf numFmtId="0" fontId="2" fillId="19" borderId="82" xfId="0" applyFont="1" applyFill="1" applyBorder="1" applyAlignment="1">
      <alignment horizontal="left" vertical="center"/>
    </xf>
    <xf numFmtId="4" fontId="0" fillId="0" borderId="85" xfId="0" applyNumberFormat="1" applyBorder="1" applyAlignment="1" applyProtection="1">
      <alignment horizontal="center" vertical="center"/>
      <protection hidden="1"/>
    </xf>
    <xf numFmtId="44" fontId="4" fillId="18" borderId="86" xfId="2" applyFont="1" applyFill="1" applyBorder="1" applyAlignment="1" applyProtection="1">
      <alignment horizontal="center" vertical="center"/>
      <protection hidden="1"/>
    </xf>
    <xf numFmtId="10" fontId="0" fillId="0" borderId="87" xfId="3" applyNumberFormat="1" applyFont="1" applyBorder="1" applyAlignment="1" applyProtection="1">
      <alignment horizontal="center" vertical="center"/>
      <protection hidden="1"/>
    </xf>
    <xf numFmtId="4" fontId="0" fillId="0" borderId="88" xfId="0" applyNumberFormat="1" applyBorder="1" applyAlignment="1" applyProtection="1">
      <alignment horizontal="center" vertical="center"/>
      <protection hidden="1"/>
    </xf>
    <xf numFmtId="44" fontId="4" fillId="18" borderId="89" xfId="2" applyFont="1" applyFill="1" applyBorder="1" applyAlignment="1" applyProtection="1">
      <alignment horizontal="center" vertical="center"/>
      <protection hidden="1"/>
    </xf>
    <xf numFmtId="0" fontId="2" fillId="19" borderId="90" xfId="0" applyFont="1" applyFill="1" applyBorder="1" applyAlignment="1">
      <alignment horizontal="center" vertical="center"/>
    </xf>
    <xf numFmtId="43" fontId="10" fillId="0" borderId="0" xfId="1" applyFont="1" applyAlignment="1">
      <alignment vertical="center"/>
    </xf>
    <xf numFmtId="10" fontId="7" fillId="10" borderId="0" xfId="3" applyNumberFormat="1" applyFont="1" applyFill="1" applyAlignment="1" applyProtection="1">
      <alignment horizontal="center" vertical="center"/>
      <protection hidden="1"/>
    </xf>
    <xf numFmtId="44" fontId="10" fillId="0" borderId="43" xfId="0" applyNumberFormat="1" applyFont="1" applyBorder="1"/>
    <xf numFmtId="0" fontId="16" fillId="0" borderId="0" xfId="0" applyFont="1" applyAlignment="1" applyProtection="1">
      <alignment horizontal="center" vertical="center" wrapText="1"/>
      <protection hidden="1"/>
    </xf>
    <xf numFmtId="164" fontId="7" fillId="0" borderId="0" xfId="3" applyNumberFormat="1" applyFont="1" applyFill="1" applyBorder="1" applyAlignment="1" applyProtection="1">
      <alignment horizontal="center" vertical="center" wrapText="1"/>
      <protection hidden="1"/>
    </xf>
    <xf numFmtId="10" fontId="10" fillId="0" borderId="0" xfId="3" applyNumberFormat="1" applyFont="1" applyAlignment="1">
      <alignment vertical="center"/>
    </xf>
    <xf numFmtId="169" fontId="7" fillId="0" borderId="0" xfId="3" applyNumberFormat="1" applyFont="1" applyBorder="1" applyAlignment="1" applyProtection="1">
      <alignment horizontal="center" vertical="center" wrapText="1"/>
      <protection hidden="1"/>
    </xf>
    <xf numFmtId="10" fontId="10" fillId="0" borderId="0" xfId="3" applyNumberFormat="1" applyFont="1" applyProtection="1">
      <protection hidden="1"/>
    </xf>
    <xf numFmtId="0" fontId="10" fillId="0" borderId="44" xfId="0" applyFont="1" applyBorder="1" applyAlignment="1">
      <alignment vertical="center"/>
    </xf>
    <xf numFmtId="0" fontId="10" fillId="0" borderId="44" xfId="0" applyFont="1" applyBorder="1"/>
    <xf numFmtId="44" fontId="2" fillId="0" borderId="0" xfId="0" applyNumberFormat="1" applyFont="1" applyAlignment="1">
      <alignment vertical="center"/>
    </xf>
    <xf numFmtId="44" fontId="2" fillId="0" borderId="0" xfId="0" applyNumberFormat="1" applyFont="1"/>
    <xf numFmtId="0" fontId="9" fillId="10" borderId="0" xfId="0" applyFont="1" applyFill="1" applyAlignment="1">
      <alignment horizontal="center" vertical="center"/>
    </xf>
    <xf numFmtId="17" fontId="29" fillId="23" borderId="91" xfId="0" applyNumberFormat="1" applyFont="1" applyFill="1" applyBorder="1" applyAlignment="1">
      <alignment horizontal="left" vertical="center" wrapText="1"/>
    </xf>
    <xf numFmtId="10" fontId="29" fillId="23" borderId="91" xfId="0" applyNumberFormat="1" applyFont="1" applyFill="1" applyBorder="1" applyAlignment="1">
      <alignment horizontal="center" vertical="center" wrapText="1"/>
    </xf>
    <xf numFmtId="10" fontId="29" fillId="23" borderId="0" xfId="0" applyNumberFormat="1" applyFont="1" applyFill="1" applyAlignment="1">
      <alignment horizontal="center" vertical="center" wrapText="1"/>
    </xf>
    <xf numFmtId="0" fontId="4" fillId="8" borderId="0" xfId="0" applyFont="1" applyFill="1" applyAlignment="1">
      <alignment horizontal="center"/>
    </xf>
    <xf numFmtId="171" fontId="4" fillId="8" borderId="0" xfId="0" applyNumberFormat="1" applyFont="1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165" fontId="2" fillId="2" borderId="27" xfId="1" applyNumberFormat="1" applyFont="1" applyFill="1" applyBorder="1" applyAlignment="1" applyProtection="1">
      <alignment horizontal="center" vertical="center"/>
      <protection hidden="1"/>
    </xf>
    <xf numFmtId="164" fontId="2" fillId="2" borderId="27" xfId="0" applyNumberFormat="1" applyFont="1" applyFill="1" applyBorder="1" applyAlignment="1" applyProtection="1">
      <alignment horizontal="center"/>
      <protection hidden="1"/>
    </xf>
    <xf numFmtId="10" fontId="0" fillId="0" borderId="0" xfId="2" applyNumberFormat="1" applyFont="1" applyAlignment="1" applyProtection="1">
      <alignment horizontal="center"/>
      <protection hidden="1"/>
    </xf>
    <xf numFmtId="44" fontId="10" fillId="0" borderId="0" xfId="2" applyFont="1"/>
    <xf numFmtId="4" fontId="4" fillId="0" borderId="33" xfId="0" applyNumberFormat="1" applyFont="1" applyBorder="1" applyAlignment="1" applyProtection="1">
      <alignment horizontal="center" vertical="center"/>
      <protection hidden="1"/>
    </xf>
    <xf numFmtId="44" fontId="9" fillId="15" borderId="3" xfId="4" applyNumberFormat="1" applyFont="1" applyBorder="1" applyAlignment="1" applyProtection="1">
      <alignment horizontal="center" vertical="center"/>
      <protection hidden="1"/>
    </xf>
    <xf numFmtId="4" fontId="0" fillId="0" borderId="64" xfId="0" applyNumberFormat="1" applyBorder="1"/>
    <xf numFmtId="174" fontId="33" fillId="0" borderId="64" xfId="3" applyNumberFormat="1" applyFont="1" applyBorder="1" applyAlignment="1">
      <alignment horizontal="center" vertical="center" wrapText="1"/>
    </xf>
    <xf numFmtId="44" fontId="0" fillId="0" borderId="64" xfId="2" applyFont="1" applyBorder="1"/>
    <xf numFmtId="44" fontId="32" fillId="0" borderId="64" xfId="2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7" fillId="0" borderId="0" xfId="0" applyFont="1" applyProtection="1">
      <protection locked="0"/>
    </xf>
    <xf numFmtId="44" fontId="28" fillId="0" borderId="0" xfId="0" applyNumberFormat="1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34" fillId="0" borderId="0" xfId="0" applyFont="1"/>
    <xf numFmtId="0" fontId="35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2" fillId="19" borderId="0" xfId="0" applyFont="1" applyFill="1" applyAlignment="1" applyProtection="1">
      <alignment vertical="center"/>
      <protection locked="0"/>
    </xf>
    <xf numFmtId="0" fontId="7" fillId="19" borderId="0" xfId="0" applyFont="1" applyFill="1" applyAlignme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44" fontId="27" fillId="0" borderId="0" xfId="2" applyFont="1" applyFill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44" fontId="27" fillId="0" borderId="0" xfId="2" applyFont="1" applyAlignment="1" applyProtection="1">
      <alignment vertical="center"/>
      <protection locked="0"/>
    </xf>
    <xf numFmtId="10" fontId="27" fillId="0" borderId="0" xfId="3" applyNumberFormat="1" applyFont="1" applyAlignment="1" applyProtection="1">
      <alignment horizontal="center" vertical="center"/>
      <protection locked="0"/>
    </xf>
    <xf numFmtId="0" fontId="4" fillId="8" borderId="94" xfId="0" applyFont="1" applyFill="1" applyBorder="1" applyAlignment="1">
      <alignment horizontal="center"/>
    </xf>
    <xf numFmtId="0" fontId="0" fillId="0" borderId="94" xfId="0" applyBorder="1"/>
    <xf numFmtId="10" fontId="4" fillId="8" borderId="94" xfId="0" applyNumberFormat="1" applyFont="1" applyFill="1" applyBorder="1" applyAlignment="1">
      <alignment horizontal="center"/>
    </xf>
    <xf numFmtId="10" fontId="4" fillId="24" borderId="94" xfId="0" applyNumberFormat="1" applyFont="1" applyFill="1" applyBorder="1" applyAlignment="1">
      <alignment horizontal="center"/>
    </xf>
    <xf numFmtId="10" fontId="4" fillId="25" borderId="0" xfId="0" applyNumberFormat="1" applyFont="1" applyFill="1" applyAlignment="1">
      <alignment horizontal="center"/>
    </xf>
    <xf numFmtId="8" fontId="3" fillId="0" borderId="0" xfId="0" applyNumberFormat="1" applyFont="1" applyAlignment="1">
      <alignment vertical="center"/>
    </xf>
    <xf numFmtId="8" fontId="7" fillId="10" borderId="0" xfId="0" applyNumberFormat="1" applyFont="1" applyFill="1" applyAlignment="1" applyProtection="1">
      <alignment horizontal="center" vertical="center"/>
      <protection hidden="1"/>
    </xf>
    <xf numFmtId="37" fontId="0" fillId="10" borderId="0" xfId="0" applyNumberFormat="1" applyFill="1" applyAlignment="1" applyProtection="1">
      <alignment wrapText="1"/>
      <protection hidden="1"/>
    </xf>
    <xf numFmtId="164" fontId="4" fillId="0" borderId="0" xfId="3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1" fillId="0" borderId="0" xfId="0" applyFont="1"/>
    <xf numFmtId="0" fontId="21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37" fontId="16" fillId="19" borderId="95" xfId="2" applyNumberFormat="1" applyFont="1" applyFill="1" applyBorder="1" applyAlignment="1">
      <alignment horizontal="center"/>
    </xf>
    <xf numFmtId="37" fontId="16" fillId="26" borderId="95" xfId="2" applyNumberFormat="1" applyFont="1" applyFill="1" applyBorder="1" applyAlignment="1">
      <alignment horizontal="center"/>
    </xf>
    <xf numFmtId="10" fontId="16" fillId="19" borderId="96" xfId="3" applyNumberFormat="1" applyFont="1" applyFill="1" applyBorder="1" applyAlignment="1">
      <alignment horizontal="center"/>
    </xf>
    <xf numFmtId="37" fontId="0" fillId="0" borderId="0" xfId="0" applyNumberFormat="1"/>
    <xf numFmtId="0" fontId="16" fillId="26" borderId="101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0" fontId="16" fillId="19" borderId="108" xfId="3" applyNumberFormat="1" applyFont="1" applyFill="1" applyBorder="1" applyAlignment="1" applyProtection="1">
      <alignment horizontal="center"/>
      <protection hidden="1"/>
    </xf>
    <xf numFmtId="10" fontId="16" fillId="19" borderId="105" xfId="3" applyNumberFormat="1" applyFont="1" applyFill="1" applyBorder="1" applyAlignment="1" applyProtection="1">
      <alignment horizontal="center"/>
      <protection hidden="1"/>
    </xf>
    <xf numFmtId="37" fontId="16" fillId="26" borderId="104" xfId="2" applyNumberFormat="1" applyFont="1" applyFill="1" applyBorder="1" applyAlignment="1" applyProtection="1">
      <alignment horizontal="center"/>
      <protection hidden="1"/>
    </xf>
    <xf numFmtId="10" fontId="16" fillId="19" borderId="109" xfId="3" applyNumberFormat="1" applyFont="1" applyFill="1" applyBorder="1" applyAlignment="1" applyProtection="1">
      <alignment horizontal="center"/>
      <protection hidden="1"/>
    </xf>
    <xf numFmtId="175" fontId="0" fillId="0" borderId="0" xfId="1" applyNumberFormat="1" applyFont="1" applyProtection="1">
      <protection locked="0"/>
    </xf>
    <xf numFmtId="10" fontId="10" fillId="0" borderId="0" xfId="0" applyNumberFormat="1" applyFont="1" applyAlignment="1">
      <alignment vertical="center"/>
    </xf>
    <xf numFmtId="44" fontId="10" fillId="0" borderId="0" xfId="0" applyNumberFormat="1" applyFont="1" applyAlignment="1" applyProtection="1">
      <alignment vertical="center"/>
      <protection locked="0"/>
    </xf>
    <xf numFmtId="44" fontId="10" fillId="0" borderId="0" xfId="0" applyNumberFormat="1" applyFont="1" applyProtection="1">
      <protection locked="0"/>
    </xf>
    <xf numFmtId="44" fontId="0" fillId="0" borderId="0" xfId="2" applyFont="1"/>
    <xf numFmtId="171" fontId="7" fillId="0" borderId="0" xfId="3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3" applyNumberFormat="1" applyFont="1" applyAlignment="1">
      <alignment vertical="center"/>
    </xf>
    <xf numFmtId="172" fontId="7" fillId="0" borderId="0" xfId="3" applyNumberFormat="1" applyFont="1" applyFill="1" applyBorder="1" applyAlignment="1" applyProtection="1">
      <alignment horizontal="center" vertical="center" wrapText="1"/>
      <protection hidden="1"/>
    </xf>
    <xf numFmtId="44" fontId="10" fillId="0" borderId="0" xfId="2" applyFont="1" applyAlignment="1">
      <alignment vertical="center"/>
    </xf>
    <xf numFmtId="43" fontId="6" fillId="0" borderId="0" xfId="1" applyFont="1" applyAlignment="1">
      <alignment vertical="center"/>
    </xf>
    <xf numFmtId="14" fontId="10" fillId="0" borderId="0" xfId="0" applyNumberFormat="1" applyFont="1" applyAlignment="1">
      <alignment vertical="center"/>
    </xf>
    <xf numFmtId="175" fontId="10" fillId="0" borderId="0" xfId="1" applyNumberFormat="1" applyFont="1"/>
    <xf numFmtId="9" fontId="6" fillId="0" borderId="0" xfId="3" applyFont="1"/>
    <xf numFmtId="169" fontId="10" fillId="0" borderId="0" xfId="0" applyNumberFormat="1" applyFont="1"/>
    <xf numFmtId="16" fontId="10" fillId="0" borderId="0" xfId="0" applyNumberFormat="1" applyFont="1"/>
    <xf numFmtId="9" fontId="10" fillId="0" borderId="0" xfId="3" applyFont="1"/>
    <xf numFmtId="14" fontId="6" fillId="0" borderId="1" xfId="0" applyNumberFormat="1" applyFont="1" applyBorder="1" applyAlignment="1">
      <alignment vertical="center"/>
    </xf>
    <xf numFmtId="167" fontId="10" fillId="0" borderId="0" xfId="1" applyNumberFormat="1" applyFont="1" applyAlignment="1"/>
    <xf numFmtId="2" fontId="10" fillId="0" borderId="0" xfId="0" applyNumberFormat="1" applyFont="1"/>
    <xf numFmtId="0" fontId="6" fillId="4" borderId="0" xfId="0" applyFont="1" applyFill="1"/>
    <xf numFmtId="168" fontId="10" fillId="0" borderId="0" xfId="1" applyNumberFormat="1" applyFont="1"/>
    <xf numFmtId="165" fontId="6" fillId="0" borderId="0" xfId="0" applyNumberFormat="1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14" fontId="6" fillId="6" borderId="5" xfId="0" applyNumberFormat="1" applyFont="1" applyFill="1" applyBorder="1" applyAlignment="1" applyProtection="1">
      <alignment vertical="center"/>
      <protection locked="0"/>
    </xf>
    <xf numFmtId="14" fontId="6" fillId="0" borderId="9" xfId="0" applyNumberFormat="1" applyFont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174" fontId="10" fillId="0" borderId="0" xfId="3" applyNumberFormat="1" applyFont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14" fontId="6" fillId="6" borderId="13" xfId="0" applyNumberFormat="1" applyFont="1" applyFill="1" applyBorder="1" applyAlignment="1" applyProtection="1">
      <alignment vertical="center"/>
      <protection locked="0"/>
    </xf>
    <xf numFmtId="4" fontId="6" fillId="6" borderId="1" xfId="0" applyNumberFormat="1" applyFont="1" applyFill="1" applyBorder="1" applyAlignment="1" applyProtection="1">
      <alignment vertical="center" wrapText="1"/>
      <protection locked="0"/>
    </xf>
    <xf numFmtId="4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74" fontId="10" fillId="0" borderId="0" xfId="3" applyNumberFormat="1" applyFont="1" applyAlignment="1">
      <alignment horizontal="center"/>
    </xf>
    <xf numFmtId="1" fontId="6" fillId="6" borderId="1" xfId="0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Border="1" applyAlignment="1" applyProtection="1">
      <alignment horizontal="right"/>
      <protection hidden="1"/>
    </xf>
    <xf numFmtId="3" fontId="6" fillId="0" borderId="1" xfId="0" applyNumberFormat="1" applyFont="1" applyBorder="1" applyAlignment="1">
      <alignment vertical="center" wrapText="1"/>
    </xf>
    <xf numFmtId="169" fontId="6" fillId="8" borderId="1" xfId="0" applyNumberFormat="1" applyFont="1" applyFill="1" applyBorder="1" applyAlignment="1">
      <alignment horizontal="center"/>
    </xf>
    <xf numFmtId="164" fontId="6" fillId="8" borderId="1" xfId="0" quotePrefix="1" applyNumberFormat="1" applyFont="1" applyFill="1" applyBorder="1" applyAlignment="1">
      <alignment horizontal="center"/>
    </xf>
    <xf numFmtId="164" fontId="6" fillId="8" borderId="1" xfId="0" applyNumberFormat="1" applyFont="1" applyFill="1" applyBorder="1" applyAlignment="1">
      <alignment horizontal="center"/>
    </xf>
    <xf numFmtId="4" fontId="6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2" fillId="22" borderId="1" xfId="0" applyFont="1" applyFill="1" applyBorder="1" applyAlignment="1">
      <alignment horizontal="center" vertical="center"/>
    </xf>
    <xf numFmtId="169" fontId="0" fillId="0" borderId="0" xfId="3" applyNumberFormat="1" applyFont="1" applyAlignment="1">
      <alignment vertical="center"/>
    </xf>
    <xf numFmtId="44" fontId="0" fillId="22" borderId="0" xfId="0" applyNumberFormat="1" applyFill="1" applyAlignment="1">
      <alignment horizontal="center"/>
    </xf>
    <xf numFmtId="44" fontId="0" fillId="22" borderId="0" xfId="2" applyFont="1" applyFill="1"/>
    <xf numFmtId="44" fontId="4" fillId="22" borderId="0" xfId="2" applyFont="1" applyFill="1"/>
    <xf numFmtId="0" fontId="37" fillId="0" borderId="110" xfId="0" applyFont="1" applyBorder="1" applyAlignment="1">
      <alignment vertical="center"/>
    </xf>
    <xf numFmtId="2" fontId="10" fillId="0" borderId="0" xfId="0" applyNumberFormat="1" applyFont="1" applyAlignment="1">
      <alignment horizontal="center"/>
    </xf>
    <xf numFmtId="0" fontId="26" fillId="26" borderId="111" xfId="0" applyFont="1" applyFill="1" applyBorder="1" applyAlignment="1" applyProtection="1">
      <alignment horizontal="center" vertical="center" wrapText="1"/>
      <protection hidden="1"/>
    </xf>
    <xf numFmtId="10" fontId="4" fillId="8" borderId="0" xfId="3" applyNumberFormat="1" applyFont="1" applyFill="1" applyAlignment="1">
      <alignment horizontal="center"/>
    </xf>
    <xf numFmtId="10" fontId="4" fillId="24" borderId="0" xfId="3" applyNumberFormat="1" applyFont="1" applyFill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43" fontId="6" fillId="0" borderId="0" xfId="1" applyFont="1" applyProtection="1"/>
    <xf numFmtId="14" fontId="2" fillId="0" borderId="0" xfId="1" applyNumberFormat="1" applyFont="1"/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3" fontId="6" fillId="0" borderId="0" xfId="1" applyFont="1" applyAlignment="1" applyProtection="1">
      <alignment vertical="center"/>
    </xf>
    <xf numFmtId="10" fontId="10" fillId="0" borderId="0" xfId="0" applyNumberFormat="1" applyFont="1" applyAlignment="1">
      <alignment horizontal="center" vertical="center"/>
    </xf>
    <xf numFmtId="170" fontId="10" fillId="0" borderId="1" xfId="1" applyNumberFormat="1" applyFont="1" applyBorder="1" applyAlignment="1">
      <alignment horizontal="center" vertical="center"/>
    </xf>
    <xf numFmtId="10" fontId="10" fillId="10" borderId="1" xfId="0" applyNumberFormat="1" applyFont="1" applyFill="1" applyBorder="1" applyAlignment="1">
      <alignment horizontal="center"/>
    </xf>
    <xf numFmtId="169" fontId="10" fillId="0" borderId="0" xfId="0" applyNumberFormat="1" applyFont="1" applyAlignment="1">
      <alignment horizontal="center" vertical="center"/>
    </xf>
    <xf numFmtId="0" fontId="6" fillId="0" borderId="0" xfId="0" applyFont="1" applyProtection="1">
      <protection locked="0"/>
    </xf>
    <xf numFmtId="10" fontId="6" fillId="0" borderId="0" xfId="3" applyNumberFormat="1" applyFont="1" applyAlignment="1" applyProtection="1">
      <alignment horizontal="center"/>
    </xf>
    <xf numFmtId="171" fontId="6" fillId="0" borderId="0" xfId="0" applyNumberFormat="1" applyFont="1"/>
    <xf numFmtId="171" fontId="6" fillId="0" borderId="0" xfId="0" applyNumberFormat="1" applyFont="1" applyAlignment="1">
      <alignment horizontal="center"/>
    </xf>
    <xf numFmtId="169" fontId="6" fillId="0" borderId="0" xfId="0" applyNumberFormat="1" applyFont="1" applyAlignment="1">
      <alignment horizontal="center"/>
    </xf>
    <xf numFmtId="164" fontId="6" fillId="0" borderId="0" xfId="3" applyNumberFormat="1" applyFont="1" applyProtection="1"/>
    <xf numFmtId="171" fontId="10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/>
    <xf numFmtId="0" fontId="3" fillId="0" borderId="0" xfId="0" applyFont="1"/>
    <xf numFmtId="43" fontId="0" fillId="0" borderId="0" xfId="0" applyNumberFormat="1"/>
    <xf numFmtId="0" fontId="0" fillId="0" borderId="0" xfId="0" applyAlignment="1" applyProtection="1">
      <alignment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44" fontId="0" fillId="0" borderId="0" xfId="0" applyNumberFormat="1" applyProtection="1">
      <protection locked="0"/>
    </xf>
    <xf numFmtId="0" fontId="38" fillId="0" borderId="0" xfId="0" applyFont="1" applyAlignment="1">
      <alignment vertical="center"/>
    </xf>
    <xf numFmtId="164" fontId="2" fillId="0" borderId="0" xfId="3" applyNumberFormat="1" applyFont="1" applyAlignment="1" applyProtection="1">
      <alignment horizontal="center"/>
      <protection hidden="1"/>
    </xf>
    <xf numFmtId="10" fontId="10" fillId="0" borderId="0" xfId="2" applyNumberFormat="1" applyFont="1" applyAlignment="1" applyProtection="1">
      <alignment horizontal="center"/>
      <protection hidden="1"/>
    </xf>
    <xf numFmtId="10" fontId="10" fillId="0" borderId="0" xfId="3" applyNumberFormat="1" applyFont="1" applyAlignment="1" applyProtection="1">
      <alignment horizontal="center"/>
      <protection hidden="1"/>
    </xf>
    <xf numFmtId="165" fontId="2" fillId="3" borderId="1" xfId="2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0" xfId="2" applyFont="1" applyAlignment="1">
      <alignment vertical="center"/>
    </xf>
    <xf numFmtId="43" fontId="5" fillId="0" borderId="0" xfId="0" applyNumberFormat="1" applyFont="1"/>
    <xf numFmtId="49" fontId="10" fillId="0" borderId="0" xfId="2" applyNumberFormat="1" applyFont="1" applyProtection="1">
      <protection hidden="1"/>
    </xf>
    <xf numFmtId="170" fontId="10" fillId="0" borderId="0" xfId="1" applyNumberFormat="1" applyFont="1" applyAlignment="1">
      <alignment horizontal="center"/>
    </xf>
    <xf numFmtId="37" fontId="16" fillId="19" borderId="0" xfId="2" applyNumberFormat="1" applyFont="1" applyFill="1" applyBorder="1" applyAlignment="1">
      <alignment horizontal="center"/>
    </xf>
    <xf numFmtId="37" fontId="16" fillId="19" borderId="114" xfId="2" applyNumberFormat="1" applyFont="1" applyFill="1" applyBorder="1" applyAlignment="1">
      <alignment horizontal="center"/>
    </xf>
    <xf numFmtId="37" fontId="16" fillId="19" borderId="104" xfId="2" applyNumberFormat="1" applyFont="1" applyFill="1" applyBorder="1" applyAlignment="1" applyProtection="1">
      <alignment horizontal="center"/>
      <protection hidden="1"/>
    </xf>
    <xf numFmtId="9" fontId="0" fillId="0" borderId="0" xfId="0" applyNumberFormat="1"/>
    <xf numFmtId="44" fontId="4" fillId="12" borderId="0" xfId="0" applyNumberFormat="1" applyFont="1" applyFill="1" applyProtection="1">
      <protection locked="0"/>
    </xf>
    <xf numFmtId="44" fontId="4" fillId="12" borderId="0" xfId="2" applyFont="1" applyFill="1" applyProtection="1">
      <protection locked="0"/>
    </xf>
    <xf numFmtId="44" fontId="0" fillId="0" borderId="0" xfId="2" applyFont="1" applyProtection="1">
      <protection locked="0"/>
    </xf>
    <xf numFmtId="9" fontId="4" fillId="12" borderId="0" xfId="3" applyFont="1" applyFill="1" applyProtection="1">
      <protection locked="0"/>
    </xf>
    <xf numFmtId="174" fontId="0" fillId="0" borderId="0" xfId="0" applyNumberFormat="1" applyAlignment="1" applyProtection="1">
      <alignment horizontal="center"/>
      <protection locked="0"/>
    </xf>
    <xf numFmtId="44" fontId="0" fillId="0" borderId="0" xfId="2" applyFont="1" applyAlignment="1" applyProtection="1">
      <alignment horizontal="center"/>
      <protection locked="0"/>
    </xf>
    <xf numFmtId="44" fontId="2" fillId="19" borderId="0" xfId="0" applyNumberFormat="1" applyFont="1" applyFill="1" applyAlignment="1">
      <alignment vertical="center"/>
    </xf>
    <xf numFmtId="44" fontId="2" fillId="19" borderId="0" xfId="0" applyNumberFormat="1" applyFont="1" applyFill="1" applyAlignment="1">
      <alignment horizontal="center" vertical="center"/>
    </xf>
    <xf numFmtId="9" fontId="0" fillId="0" borderId="0" xfId="0" applyNumberFormat="1" applyProtection="1">
      <protection locked="0"/>
    </xf>
    <xf numFmtId="0" fontId="10" fillId="19" borderId="0" xfId="0" applyFont="1" applyFill="1"/>
    <xf numFmtId="10" fontId="0" fillId="0" borderId="0" xfId="0" applyNumberFormat="1" applyAlignment="1" applyProtection="1">
      <alignment horizontal="center"/>
      <protection locked="0"/>
    </xf>
    <xf numFmtId="174" fontId="2" fillId="19" borderId="0" xfId="3" applyNumberFormat="1" applyFont="1" applyFill="1" applyAlignment="1">
      <alignment horizontal="center" vertical="center"/>
    </xf>
    <xf numFmtId="44" fontId="2" fillId="25" borderId="0" xfId="0" applyNumberFormat="1" applyFont="1" applyFill="1" applyAlignment="1">
      <alignment vertical="center"/>
    </xf>
    <xf numFmtId="44" fontId="2" fillId="19" borderId="0" xfId="2" applyFont="1" applyFill="1" applyAlignment="1">
      <alignment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4" fillId="8" borderId="0" xfId="0" applyFont="1" applyFill="1" applyAlignment="1" applyProtection="1">
      <alignment horizontal="center" vertical="center"/>
      <protection locked="0"/>
    </xf>
    <xf numFmtId="44" fontId="0" fillId="0" borderId="0" xfId="0" applyNumberFormat="1" applyAlignment="1" applyProtection="1">
      <alignment horizontal="center" vertical="center"/>
      <protection locked="0"/>
    </xf>
    <xf numFmtId="44" fontId="4" fillId="8" borderId="0" xfId="2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14" fontId="4" fillId="0" borderId="0" xfId="0" applyNumberFormat="1" applyFont="1" applyAlignment="1" applyProtection="1">
      <alignment horizontal="center" vertical="center"/>
      <protection locked="0"/>
    </xf>
    <xf numFmtId="43" fontId="0" fillId="0" borderId="0" xfId="1" applyFont="1" applyFill="1" applyAlignment="1" applyProtection="1">
      <alignment vertical="center"/>
      <protection locked="0"/>
    </xf>
    <xf numFmtId="44" fontId="4" fillId="0" borderId="0" xfId="2" applyFont="1" applyAlignment="1" applyProtection="1">
      <alignment horizontal="center" vertical="center"/>
      <protection locked="0"/>
    </xf>
    <xf numFmtId="10" fontId="0" fillId="0" borderId="0" xfId="3" applyNumberFormat="1" applyFont="1" applyFill="1" applyAlignment="1" applyProtection="1">
      <alignment horizontal="center" vertical="center"/>
      <protection locked="0"/>
    </xf>
    <xf numFmtId="44" fontId="4" fillId="0" borderId="0" xfId="2" applyFont="1" applyAlignment="1">
      <alignment horizontal="center"/>
    </xf>
    <xf numFmtId="16" fontId="0" fillId="0" borderId="0" xfId="0" applyNumberFormat="1"/>
    <xf numFmtId="14" fontId="0" fillId="0" borderId="0" xfId="0" applyNumberFormat="1" applyAlignment="1">
      <alignment horizontal="center"/>
    </xf>
    <xf numFmtId="169" fontId="4" fillId="9" borderId="1" xfId="0" applyNumberFormat="1" applyFont="1" applyFill="1" applyBorder="1" applyAlignment="1" applyProtection="1">
      <alignment horizontal="center"/>
      <protection hidden="1"/>
    </xf>
    <xf numFmtId="44" fontId="0" fillId="0" borderId="0" xfId="2" applyFont="1" applyAlignment="1">
      <alignment horizontal="center"/>
    </xf>
    <xf numFmtId="16" fontId="0" fillId="0" borderId="0" xfId="0" applyNumberFormat="1" applyAlignment="1">
      <alignment horizontal="center"/>
    </xf>
    <xf numFmtId="44" fontId="10" fillId="0" borderId="0" xfId="0" applyNumberFormat="1" applyFont="1" applyProtection="1">
      <protection hidden="1"/>
    </xf>
    <xf numFmtId="0" fontId="2" fillId="19" borderId="65" xfId="0" applyFont="1" applyFill="1" applyBorder="1" applyAlignment="1">
      <alignment horizontal="center" vertical="center"/>
    </xf>
    <xf numFmtId="0" fontId="2" fillId="19" borderId="80" xfId="0" applyFont="1" applyFill="1" applyBorder="1" applyAlignment="1">
      <alignment horizontal="center" vertical="center"/>
    </xf>
    <xf numFmtId="44" fontId="2" fillId="19" borderId="81" xfId="0" applyNumberFormat="1" applyFont="1" applyFill="1" applyBorder="1" applyAlignment="1">
      <alignment horizontal="center" vertical="center"/>
    </xf>
    <xf numFmtId="10" fontId="2" fillId="19" borderId="81" xfId="3" applyNumberFormat="1" applyFont="1" applyFill="1" applyBorder="1" applyAlignment="1">
      <alignment vertical="center"/>
    </xf>
    <xf numFmtId="44" fontId="2" fillId="25" borderId="81" xfId="0" applyNumberFormat="1" applyFont="1" applyFill="1" applyBorder="1" applyAlignment="1">
      <alignment vertical="center"/>
    </xf>
    <xf numFmtId="0" fontId="2" fillId="19" borderId="68" xfId="0" applyFont="1" applyFill="1" applyBorder="1" applyAlignment="1">
      <alignment horizontal="center" vertical="center"/>
    </xf>
    <xf numFmtId="44" fontId="2" fillId="27" borderId="69" xfId="0" applyNumberFormat="1" applyFont="1" applyFill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2" fillId="19" borderId="0" xfId="0" applyFont="1" applyFill="1"/>
    <xf numFmtId="180" fontId="0" fillId="0" borderId="0" xfId="1" applyNumberFormat="1" applyFont="1"/>
    <xf numFmtId="44" fontId="2" fillId="0" borderId="78" xfId="2" applyFont="1" applyFill="1" applyBorder="1" applyAlignment="1" applyProtection="1">
      <alignment horizontal="center" vertical="center"/>
      <protection hidden="1"/>
    </xf>
    <xf numFmtId="0" fontId="0" fillId="0" borderId="0" xfId="0" pivotButton="1"/>
    <xf numFmtId="0" fontId="4" fillId="14" borderId="74" xfId="0" applyFont="1" applyFill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10" fontId="2" fillId="0" borderId="0" xfId="0" applyNumberFormat="1" applyFont="1"/>
    <xf numFmtId="0" fontId="7" fillId="0" borderId="0" xfId="0" applyFont="1"/>
    <xf numFmtId="14" fontId="7" fillId="0" borderId="0" xfId="0" applyNumberFormat="1" applyFont="1"/>
    <xf numFmtId="10" fontId="10" fillId="0" borderId="0" xfId="3" applyNumberFormat="1" applyFont="1" applyAlignment="1"/>
    <xf numFmtId="0" fontId="10" fillId="0" borderId="0" xfId="0" pivotButton="1" applyFont="1"/>
    <xf numFmtId="167" fontId="10" fillId="0" borderId="0" xfId="1" applyNumberFormat="1" applyFont="1" applyProtection="1"/>
    <xf numFmtId="14" fontId="6" fillId="0" borderId="1" xfId="0" applyNumberFormat="1" applyFont="1" applyBorder="1"/>
    <xf numFmtId="14" fontId="10" fillId="0" borderId="0" xfId="1" applyNumberFormat="1" applyFont="1" applyAlignment="1" applyProtection="1">
      <alignment horizontal="center"/>
      <protection locked="0"/>
    </xf>
    <xf numFmtId="14" fontId="6" fillId="0" borderId="0" xfId="0" applyNumberFormat="1" applyFont="1" applyAlignment="1">
      <alignment wrapText="1"/>
    </xf>
    <xf numFmtId="167" fontId="10" fillId="0" borderId="0" xfId="1" applyNumberFormat="1" applyFont="1"/>
    <xf numFmtId="164" fontId="10" fillId="0" borderId="0" xfId="3" applyNumberFormat="1" applyFont="1" applyProtection="1"/>
    <xf numFmtId="168" fontId="6" fillId="8" borderId="1" xfId="1" quotePrefix="1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5" xfId="0" applyFont="1" applyFill="1" applyBorder="1"/>
    <xf numFmtId="14" fontId="6" fillId="6" borderId="5" xfId="0" applyNumberFormat="1" applyFont="1" applyFill="1" applyBorder="1"/>
    <xf numFmtId="0" fontId="6" fillId="3" borderId="8" xfId="0" applyFont="1" applyFill="1" applyBorder="1" applyAlignment="1">
      <alignment horizontal="center"/>
    </xf>
    <xf numFmtId="14" fontId="6" fillId="0" borderId="9" xfId="0" applyNumberFormat="1" applyFont="1" applyBorder="1"/>
    <xf numFmtId="0" fontId="6" fillId="3" borderId="10" xfId="0" applyFont="1" applyFill="1" applyBorder="1" applyAlignment="1">
      <alignment horizontal="center"/>
    </xf>
    <xf numFmtId="0" fontId="6" fillId="3" borderId="9" xfId="0" applyFont="1" applyFill="1" applyBorder="1"/>
    <xf numFmtId="2" fontId="2" fillId="8" borderId="0" xfId="1" applyNumberFormat="1" applyFont="1" applyFill="1" applyAlignment="1">
      <alignment horizontal="center" vertical="center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/>
    <xf numFmtId="14" fontId="6" fillId="6" borderId="13" xfId="0" applyNumberFormat="1" applyFont="1" applyFill="1" applyBorder="1"/>
    <xf numFmtId="0" fontId="6" fillId="3" borderId="11" xfId="0" applyFont="1" applyFill="1" applyBorder="1" applyAlignment="1">
      <alignment horizontal="center"/>
    </xf>
    <xf numFmtId="8" fontId="10" fillId="0" borderId="0" xfId="0" applyNumberFormat="1" applyFont="1"/>
    <xf numFmtId="10" fontId="10" fillId="0" borderId="0" xfId="3" applyNumberFormat="1" applyFont="1" applyProtection="1">
      <protection locked="0"/>
    </xf>
    <xf numFmtId="4" fontId="6" fillId="6" borderId="1" xfId="0" applyNumberFormat="1" applyFont="1" applyFill="1" applyBorder="1" applyAlignment="1">
      <alignment vertical="center" wrapText="1"/>
    </xf>
    <xf numFmtId="2" fontId="10" fillId="0" borderId="0" xfId="0" applyNumberFormat="1" applyFont="1" applyAlignment="1">
      <alignment horizontal="center" vertical="center"/>
    </xf>
    <xf numFmtId="10" fontId="6" fillId="0" borderId="0" xfId="3" applyNumberFormat="1" applyFont="1" applyAlignment="1" applyProtection="1">
      <alignment horizontal="center" vertical="center"/>
      <protection hidden="1"/>
    </xf>
    <xf numFmtId="1" fontId="6" fillId="6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/>
      <protection hidden="1"/>
    </xf>
    <xf numFmtId="3" fontId="6" fillId="0" borderId="1" xfId="0" applyNumberFormat="1" applyFont="1" applyBorder="1" applyAlignment="1">
      <alignment horizontal="center" vertical="center" wrapText="1"/>
    </xf>
    <xf numFmtId="10" fontId="10" fillId="0" borderId="0" xfId="3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6" fillId="8" borderId="1" xfId="0" applyNumberFormat="1" applyFont="1" applyFill="1" applyBorder="1" applyAlignment="1">
      <alignment horizontal="center" vertical="center"/>
    </xf>
    <xf numFmtId="172" fontId="6" fillId="8" borderId="1" xfId="0" quotePrefix="1" applyNumberFormat="1" applyFont="1" applyFill="1" applyBorder="1" applyAlignment="1">
      <alignment horizontal="center" vertical="center"/>
    </xf>
    <xf numFmtId="164" fontId="16" fillId="8" borderId="1" xfId="3" applyNumberFormat="1" applyFont="1" applyFill="1" applyBorder="1" applyAlignment="1">
      <alignment horizontal="center" vertical="center"/>
    </xf>
    <xf numFmtId="165" fontId="6" fillId="0" borderId="0" xfId="0" applyNumberFormat="1" applyFont="1"/>
    <xf numFmtId="4" fontId="6" fillId="0" borderId="0" xfId="0" applyNumberFormat="1" applyFont="1"/>
    <xf numFmtId="176" fontId="6" fillId="0" borderId="0" xfId="0" applyNumberFormat="1" applyFont="1"/>
    <xf numFmtId="165" fontId="6" fillId="0" borderId="0" xfId="0" applyNumberFormat="1" applyFont="1" applyAlignment="1">
      <alignment horizontal="center"/>
    </xf>
    <xf numFmtId="43" fontId="6" fillId="0" borderId="0" xfId="0" applyNumberFormat="1" applyFont="1" applyAlignment="1">
      <alignment horizontal="center"/>
    </xf>
    <xf numFmtId="14" fontId="2" fillId="0" borderId="0" xfId="3" applyNumberFormat="1" applyFont="1" applyAlignment="1">
      <alignment horizontal="center"/>
    </xf>
    <xf numFmtId="43" fontId="2" fillId="22" borderId="0" xfId="0" applyNumberFormat="1" applyFont="1" applyFill="1"/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3" fontId="6" fillId="0" borderId="0" xfId="1" applyFont="1" applyAlignment="1" applyProtection="1">
      <alignment vertical="center" wrapText="1"/>
    </xf>
    <xf numFmtId="10" fontId="10" fillId="0" borderId="0" xfId="3" applyNumberFormat="1" applyFont="1" applyAlignment="1">
      <alignment vertical="center" wrapText="1"/>
    </xf>
    <xf numFmtId="2" fontId="10" fillId="0" borderId="0" xfId="0" applyNumberFormat="1" applyFont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8" fontId="10" fillId="0" borderId="0" xfId="0" applyNumberFormat="1" applyFont="1" applyAlignment="1" applyProtection="1">
      <alignment horizontal="center" vertical="center"/>
      <protection locked="0"/>
    </xf>
    <xf numFmtId="14" fontId="6" fillId="0" borderId="0" xfId="0" applyNumberFormat="1" applyFont="1" applyAlignment="1">
      <alignment horizontal="center" vertical="center"/>
    </xf>
    <xf numFmtId="43" fontId="6" fillId="0" borderId="0" xfId="1" applyFont="1" applyAlignment="1" applyProtection="1">
      <alignment horizontal="center" vertical="center"/>
    </xf>
    <xf numFmtId="0" fontId="39" fillId="0" borderId="0" xfId="0" applyFont="1"/>
    <xf numFmtId="44" fontId="4" fillId="20" borderId="67" xfId="2" applyFont="1" applyFill="1" applyBorder="1" applyAlignment="1" applyProtection="1">
      <alignment horizontal="center" vertical="center"/>
      <protection locked="0"/>
    </xf>
    <xf numFmtId="43" fontId="3" fillId="0" borderId="0" xfId="0" applyNumberFormat="1" applyFont="1"/>
    <xf numFmtId="44" fontId="42" fillId="0" borderId="24" xfId="4" applyNumberFormat="1" applyFont="1" applyFill="1" applyBorder="1" applyAlignment="1" applyProtection="1">
      <alignment horizontal="center" vertical="center"/>
      <protection hidden="1"/>
    </xf>
    <xf numFmtId="0" fontId="42" fillId="0" borderId="24" xfId="0" applyFont="1" applyBorder="1" applyAlignment="1" applyProtection="1">
      <alignment horizontal="center" vertical="center" wrapText="1"/>
      <protection hidden="1"/>
    </xf>
    <xf numFmtId="14" fontId="3" fillId="0" borderId="0" xfId="0" applyNumberFormat="1" applyFont="1"/>
    <xf numFmtId="14" fontId="10" fillId="0" borderId="0" xfId="0" applyNumberFormat="1" applyFont="1" applyAlignment="1" applyProtection="1">
      <alignment vertical="center"/>
      <protection locked="0"/>
    </xf>
    <xf numFmtId="164" fontId="10" fillId="0" borderId="0" xfId="3" applyNumberFormat="1" applyFont="1" applyProtection="1">
      <protection locked="0"/>
    </xf>
    <xf numFmtId="10" fontId="10" fillId="0" borderId="0" xfId="0" applyNumberFormat="1" applyFont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19" xfId="0" applyFont="1" applyBorder="1" applyAlignment="1">
      <alignment horizontal="center"/>
    </xf>
    <xf numFmtId="49" fontId="0" fillId="0" borderId="118" xfId="0" applyNumberFormat="1" applyBorder="1" applyAlignment="1">
      <alignment horizontal="center"/>
    </xf>
    <xf numFmtId="49" fontId="0" fillId="0" borderId="0" xfId="0" applyNumberFormat="1"/>
    <xf numFmtId="0" fontId="0" fillId="0" borderId="1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20" xfId="0" applyBorder="1" applyAlignment="1">
      <alignment horizontal="center"/>
    </xf>
    <xf numFmtId="0" fontId="0" fillId="21" borderId="0" xfId="0" applyFill="1" applyAlignment="1">
      <alignment horizontal="center"/>
    </xf>
    <xf numFmtId="0" fontId="12" fillId="13" borderId="3" xfId="0" applyFont="1" applyFill="1" applyBorder="1" applyAlignment="1">
      <alignment horizontal="center" vertical="center"/>
    </xf>
    <xf numFmtId="0" fontId="12" fillId="13" borderId="26" xfId="0" applyFont="1" applyFill="1" applyBorder="1" applyAlignment="1">
      <alignment horizontal="center" vertical="center"/>
    </xf>
    <xf numFmtId="0" fontId="12" fillId="13" borderId="27" xfId="0" applyFont="1" applyFill="1" applyBorder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1" fontId="6" fillId="7" borderId="1" xfId="0" applyNumberFormat="1" applyFont="1" applyFill="1" applyBorder="1" applyAlignment="1">
      <alignment horizontal="left" vertical="center"/>
    </xf>
    <xf numFmtId="14" fontId="2" fillId="2" borderId="15" xfId="0" applyNumberFormat="1" applyFont="1" applyFill="1" applyBorder="1" applyAlignment="1" applyProtection="1">
      <alignment horizontal="center" vertical="center"/>
      <protection hidden="1"/>
    </xf>
    <xf numFmtId="14" fontId="2" fillId="2" borderId="0" xfId="0" applyNumberFormat="1" applyFont="1" applyFill="1" applyAlignment="1" applyProtection="1">
      <alignment horizontal="center" vertical="center"/>
      <protection hidden="1"/>
    </xf>
    <xf numFmtId="0" fontId="4" fillId="14" borderId="75" xfId="0" applyFont="1" applyFill="1" applyBorder="1" applyAlignment="1">
      <alignment horizontal="center" vertical="center"/>
    </xf>
    <xf numFmtId="0" fontId="4" fillId="14" borderId="74" xfId="0" applyFont="1" applyFill="1" applyBorder="1" applyAlignment="1">
      <alignment horizontal="center" vertical="center"/>
    </xf>
    <xf numFmtId="0" fontId="15" fillId="0" borderId="3" xfId="0" applyFont="1" applyBorder="1" applyAlignment="1" applyProtection="1">
      <alignment horizontal="center" vertical="center"/>
      <protection hidden="1"/>
    </xf>
    <xf numFmtId="0" fontId="15" fillId="0" borderId="27" xfId="0" applyFont="1" applyBorder="1" applyAlignment="1" applyProtection="1">
      <alignment horizontal="center" vertical="center"/>
      <protection hidden="1"/>
    </xf>
    <xf numFmtId="0" fontId="4" fillId="0" borderId="34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45" xfId="0" applyFont="1" applyBorder="1" applyAlignment="1" applyProtection="1">
      <alignment horizontal="center" vertical="center" wrapText="1"/>
      <protection hidden="1"/>
    </xf>
    <xf numFmtId="0" fontId="4" fillId="0" borderId="113" xfId="0" applyFont="1" applyBorder="1" applyAlignment="1" applyProtection="1">
      <alignment horizontal="center" vertical="center" wrapText="1"/>
      <protection hidden="1"/>
    </xf>
    <xf numFmtId="0" fontId="4" fillId="0" borderId="112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6" fillId="10" borderId="52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left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31" fillId="24" borderId="17" xfId="0" applyFont="1" applyFill="1" applyBorder="1" applyAlignment="1">
      <alignment horizontal="center" vertical="center" wrapText="1"/>
    </xf>
    <xf numFmtId="0" fontId="31" fillId="24" borderId="92" xfId="0" applyFont="1" applyFill="1" applyBorder="1" applyAlignment="1">
      <alignment horizontal="center" vertical="center" wrapText="1"/>
    </xf>
    <xf numFmtId="0" fontId="0" fillId="10" borderId="3" xfId="0" applyFill="1" applyBorder="1" applyAlignment="1" applyProtection="1">
      <alignment horizontal="left" vertical="center"/>
      <protection hidden="1"/>
    </xf>
    <xf numFmtId="0" fontId="0" fillId="10" borderId="26" xfId="0" applyFill="1" applyBorder="1" applyAlignment="1" applyProtection="1">
      <alignment horizontal="left" vertical="center"/>
      <protection hidden="1"/>
    </xf>
    <xf numFmtId="0" fontId="0" fillId="10" borderId="27" xfId="0" applyFill="1" applyBorder="1" applyAlignment="1" applyProtection="1">
      <alignment horizontal="left" vertical="center"/>
      <protection hidden="1"/>
    </xf>
    <xf numFmtId="0" fontId="2" fillId="2" borderId="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 applyProtection="1">
      <alignment horizontal="center" vertical="center"/>
      <protection locked="0"/>
    </xf>
    <xf numFmtId="0" fontId="2" fillId="17" borderId="27" xfId="0" applyFont="1" applyFill="1" applyBorder="1" applyAlignment="1" applyProtection="1">
      <alignment horizontal="center" vertical="center"/>
      <protection locked="0"/>
    </xf>
    <xf numFmtId="10" fontId="4" fillId="16" borderId="36" xfId="3" applyNumberFormat="1" applyFont="1" applyFill="1" applyBorder="1" applyAlignment="1">
      <alignment horizontal="center" wrapText="1"/>
    </xf>
    <xf numFmtId="10" fontId="4" fillId="16" borderId="37" xfId="3" applyNumberFormat="1" applyFont="1" applyFill="1" applyBorder="1" applyAlignment="1">
      <alignment horizontal="center" wrapText="1"/>
    </xf>
    <xf numFmtId="0" fontId="11" fillId="4" borderId="38" xfId="0" applyFont="1" applyFill="1" applyBorder="1" applyAlignment="1" applyProtection="1">
      <alignment horizontal="center" vertical="center" wrapText="1"/>
      <protection hidden="1"/>
    </xf>
    <xf numFmtId="0" fontId="11" fillId="4" borderId="37" xfId="0" applyFont="1" applyFill="1" applyBorder="1" applyAlignment="1" applyProtection="1">
      <alignment horizontal="center" vertical="center" wrapText="1"/>
      <protection hidden="1"/>
    </xf>
    <xf numFmtId="0" fontId="37" fillId="0" borderId="110" xfId="0" applyFont="1" applyBorder="1" applyAlignment="1">
      <alignment horizontal="center" vertical="center"/>
    </xf>
    <xf numFmtId="10" fontId="16" fillId="19" borderId="102" xfId="3" applyNumberFormat="1" applyFont="1" applyFill="1" applyBorder="1" applyAlignment="1">
      <alignment horizontal="center" vertical="center" wrapText="1"/>
    </xf>
    <xf numFmtId="10" fontId="16" fillId="19" borderId="100" xfId="3" applyNumberFormat="1" applyFont="1" applyFill="1" applyBorder="1" applyAlignment="1">
      <alignment horizontal="center" vertical="center" wrapText="1"/>
    </xf>
    <xf numFmtId="10" fontId="16" fillId="19" borderId="106" xfId="3" applyNumberFormat="1" applyFont="1" applyFill="1" applyBorder="1" applyAlignment="1" applyProtection="1">
      <alignment horizontal="center" vertical="center" wrapText="1"/>
      <protection hidden="1"/>
    </xf>
    <xf numFmtId="10" fontId="16" fillId="19" borderId="107" xfId="3" applyNumberFormat="1" applyFont="1" applyFill="1" applyBorder="1" applyAlignment="1" applyProtection="1">
      <alignment horizontal="center" vertical="center" wrapText="1"/>
      <protection hidden="1"/>
    </xf>
    <xf numFmtId="0" fontId="16" fillId="19" borderId="99" xfId="0" applyFont="1" applyFill="1" applyBorder="1" applyAlignment="1">
      <alignment horizontal="center" vertical="center"/>
    </xf>
    <xf numFmtId="0" fontId="16" fillId="19" borderId="98" xfId="0" applyFont="1" applyFill="1" applyBorder="1" applyAlignment="1">
      <alignment horizontal="center" vertical="center"/>
    </xf>
    <xf numFmtId="0" fontId="16" fillId="19" borderId="97" xfId="0" applyFont="1" applyFill="1" applyBorder="1" applyAlignment="1">
      <alignment horizontal="center" vertical="center"/>
    </xf>
    <xf numFmtId="10" fontId="16" fillId="19" borderId="103" xfId="3" applyNumberFormat="1" applyFont="1" applyFill="1" applyBorder="1" applyAlignment="1" applyProtection="1">
      <alignment horizontal="center" vertical="center" wrapText="1"/>
      <protection hidden="1"/>
    </xf>
    <xf numFmtId="10" fontId="16" fillId="19" borderId="110" xfId="3" applyNumberFormat="1" applyFont="1" applyFill="1" applyBorder="1" applyAlignment="1" applyProtection="1">
      <alignment horizontal="center" vertical="center" wrapText="1"/>
      <protection hidden="1"/>
    </xf>
    <xf numFmtId="0" fontId="7" fillId="19" borderId="115" xfId="0" applyFont="1" applyFill="1" applyBorder="1" applyAlignment="1" applyProtection="1">
      <alignment horizontal="center" vertical="center"/>
      <protection hidden="1"/>
    </xf>
    <xf numFmtId="0" fontId="7" fillId="19" borderId="0" xfId="0" applyFont="1" applyFill="1" applyAlignment="1" applyProtection="1">
      <alignment horizontal="center" vertical="center"/>
      <protection hidden="1"/>
    </xf>
    <xf numFmtId="0" fontId="2" fillId="2" borderId="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2" fillId="13" borderId="3" xfId="0" applyFont="1" applyFill="1" applyBorder="1" applyAlignment="1" applyProtection="1">
      <alignment horizontal="center" vertical="center"/>
      <protection locked="0"/>
    </xf>
    <xf numFmtId="0" fontId="12" fillId="13" borderId="26" xfId="0" applyFont="1" applyFill="1" applyBorder="1" applyAlignment="1" applyProtection="1">
      <alignment horizontal="center" vertical="center"/>
      <protection locked="0"/>
    </xf>
    <xf numFmtId="0" fontId="12" fillId="13" borderId="27" xfId="0" applyFont="1" applyFill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31" fillId="24" borderId="93" xfId="0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/>
    </xf>
    <xf numFmtId="0" fontId="40" fillId="0" borderId="116" xfId="0" applyFont="1" applyBorder="1" applyAlignment="1">
      <alignment horizontal="center" vertical="center" wrapText="1"/>
    </xf>
    <xf numFmtId="0" fontId="40" fillId="0" borderId="117" xfId="0" applyFont="1" applyBorder="1" applyAlignment="1">
      <alignment horizontal="center" vertical="center" wrapText="1"/>
    </xf>
    <xf numFmtId="0" fontId="40" fillId="0" borderId="78" xfId="0" applyFont="1" applyBorder="1" applyAlignment="1">
      <alignment horizontal="center" vertical="center" wrapText="1"/>
    </xf>
    <xf numFmtId="0" fontId="2" fillId="19" borderId="68" xfId="0" applyFont="1" applyFill="1" applyBorder="1" applyAlignment="1">
      <alignment horizontal="center"/>
    </xf>
    <xf numFmtId="0" fontId="2" fillId="19" borderId="69" xfId="0" applyFont="1" applyFill="1" applyBorder="1" applyAlignment="1">
      <alignment horizontal="center"/>
    </xf>
    <xf numFmtId="0" fontId="2" fillId="19" borderId="0" xfId="0" applyFont="1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 vertical="center" wrapText="1"/>
    </xf>
    <xf numFmtId="0" fontId="41" fillId="0" borderId="65" xfId="0" applyFont="1" applyBorder="1" applyAlignment="1">
      <alignment horizontal="center" vertical="center"/>
    </xf>
    <xf numFmtId="0" fontId="41" fillId="0" borderId="67" xfId="0" applyFont="1" applyBorder="1" applyAlignment="1">
      <alignment horizontal="center" vertical="center"/>
    </xf>
    <xf numFmtId="0" fontId="23" fillId="19" borderId="62" xfId="0" applyFont="1" applyFill="1" applyBorder="1" applyAlignment="1">
      <alignment horizontal="center" vertical="center"/>
    </xf>
    <xf numFmtId="0" fontId="23" fillId="19" borderId="18" xfId="0" applyFont="1" applyFill="1" applyBorder="1" applyAlignment="1">
      <alignment horizontal="center" vertical="center"/>
    </xf>
    <xf numFmtId="0" fontId="23" fillId="19" borderId="21" xfId="0" applyFont="1" applyFill="1" applyBorder="1" applyAlignment="1">
      <alignment horizontal="center" vertical="center"/>
    </xf>
    <xf numFmtId="0" fontId="16" fillId="19" borderId="61" xfId="0" applyFont="1" applyFill="1" applyBorder="1" applyAlignment="1">
      <alignment horizontal="center" vertical="center"/>
    </xf>
    <xf numFmtId="0" fontId="16" fillId="19" borderId="31" xfId="0" applyFont="1" applyFill="1" applyBorder="1" applyAlignment="1">
      <alignment horizontal="center" vertical="center"/>
    </xf>
    <xf numFmtId="0" fontId="27" fillId="0" borderId="65" xfId="0" applyFont="1" applyBorder="1" applyAlignment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 wrapText="1"/>
    </xf>
    <xf numFmtId="0" fontId="27" fillId="0" borderId="68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2" fillId="19" borderId="45" xfId="0" applyFont="1" applyFill="1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67" xfId="0" applyFont="1" applyBorder="1" applyAlignment="1">
      <alignment horizontal="center" vertical="center"/>
    </xf>
    <xf numFmtId="0" fontId="30" fillId="0" borderId="68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pivotButton="1" applyFont="1" applyAlignment="1">
      <alignment horizontal="left"/>
    </xf>
    <xf numFmtId="0" fontId="0" fillId="0" borderId="0" xfId="0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180" fontId="0" fillId="10" borderId="0" xfId="0" applyNumberFormat="1" applyFont="1" applyFill="1" applyAlignment="1">
      <alignment horizontal="center"/>
    </xf>
    <xf numFmtId="0" fontId="0" fillId="10" borderId="0" xfId="0" applyFont="1" applyFill="1" applyAlignment="1">
      <alignment horizontal="center"/>
    </xf>
    <xf numFmtId="0" fontId="0" fillId="10" borderId="0" xfId="0" applyFont="1" applyFill="1" applyAlignment="1">
      <alignment horizontal="left"/>
    </xf>
    <xf numFmtId="180" fontId="0" fillId="10" borderId="0" xfId="0" applyNumberFormat="1" applyFont="1" applyFill="1" applyAlignment="1">
      <alignment horizontal="left"/>
    </xf>
    <xf numFmtId="0" fontId="10" fillId="10" borderId="0" xfId="0" applyNumberFormat="1" applyFont="1" applyFill="1" applyAlignment="1">
      <alignment horizontal="center"/>
    </xf>
    <xf numFmtId="0" fontId="10" fillId="0" borderId="0" xfId="0" applyNumberFormat="1" applyFont="1"/>
    <xf numFmtId="0" fontId="10" fillId="0" borderId="0" xfId="0" applyNumberFormat="1" applyFont="1" applyAlignment="1">
      <alignment vertical="center"/>
    </xf>
  </cellXfs>
  <cellStyles count="7">
    <cellStyle name="Moeda" xfId="2" builtinId="4"/>
    <cellStyle name="Moeda 2" xfId="6" xr:uid="{8D8426DC-4364-461E-AB04-575B95E8F607}"/>
    <cellStyle name="Normal" xfId="0" builtinId="0"/>
    <cellStyle name="Porcentagem" xfId="3" builtinId="5"/>
    <cellStyle name="Ruim" xfId="4" builtinId="27"/>
    <cellStyle name="Vírgula" xfId="1" builtinId="3"/>
    <cellStyle name="Vírgula 2" xfId="5" xr:uid="{940E976E-79F7-4370-9695-EAE650D085C1}"/>
  </cellStyles>
  <dxfs count="145">
    <dxf>
      <numFmt numFmtId="35" formatCode="_-* #,##0.00_-;\-* #,##0.00_-;_-* &quot;-&quot;??_-;_-@_-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19" formatCode="dd/mm/yyyy"/>
    </dxf>
    <dxf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2" tint="-9.9948118533890809E-2"/>
        </patternFill>
      </fill>
    </dxf>
    <dxf>
      <font>
        <color theme="1" tint="0.34998626667073579"/>
      </font>
      <fill>
        <patternFill>
          <bgColor theme="0" tint="-0.34998626667073579"/>
        </patternFill>
      </fill>
    </dxf>
    <dxf>
      <font>
        <color theme="2" tint="-0.749961851863155"/>
      </font>
      <fill>
        <patternFill>
          <fgColor theme="2" tint="-0.499984740745262"/>
          <bgColor theme="2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</font>
      <fill>
        <patternFill>
          <bgColor theme="7" tint="0.39994506668294322"/>
        </patternFill>
      </fill>
    </dxf>
    <dxf>
      <font>
        <b/>
        <i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2" tint="-9.9948118533890809E-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ont>
        <color theme="0"/>
      </font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</font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  <dxf>
      <font>
        <color theme="1"/>
      </font>
    </dxf>
    <dxf>
      <numFmt numFmtId="180" formatCode="_-* #,##0.00000_-;\-* #,##0.00000_-;_-* &quot;-&quot;??_-;_-@_-"/>
    </dxf>
    <dxf>
      <numFmt numFmtId="180" formatCode="_-* #,##0.00000_-;\-* #,##0.00000_-;_-* &quot;-&quot;??_-;_-@_-"/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14" formatCode="0.00%"/>
    </dxf>
    <dxf>
      <numFmt numFmtId="14" formatCode="0.00%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colors>
    <mruColors>
      <color rgb="FFFF99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ist" dx="22" fmlaLink="$O$17" fmlaRange="especies!$C$2:$C$58" noThreeD="1" sel="34" val="29"/>
</file>

<file path=xl/ctrlProps/ctrlProp2.xml><?xml version="1.0" encoding="utf-8"?>
<formControlPr xmlns="http://schemas.microsoft.com/office/spreadsheetml/2009/9/main" objectType="CheckBox" fmlaLink="$O$14" lockText="1" noThreeD="1"/>
</file>

<file path=xl/ctrlProps/ctrlProp3.xml><?xml version="1.0" encoding="utf-8"?>
<formControlPr xmlns="http://schemas.microsoft.com/office/spreadsheetml/2009/9/main" objectType="CheckBox" fmlaLink="$O$1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5</xdr:row>
      <xdr:rowOff>76200</xdr:rowOff>
    </xdr:from>
    <xdr:to>
      <xdr:col>4</xdr:col>
      <xdr:colOff>758825</xdr:colOff>
      <xdr:row>7</xdr:row>
      <xdr:rowOff>476250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33350" y="76200"/>
          <a:ext cx="739775" cy="790575"/>
          <a:chOff x="79375" y="3176"/>
          <a:chExt cx="739775" cy="781050"/>
        </a:xfrm>
      </xdr:grpSpPr>
      <xdr:sp macro="" textlink="">
        <xdr:nvSpPr>
          <xdr:cNvPr id="9" name="Retângul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10" name="Imagem 9" descr="Ícone&#10;&#10;Descrição gerada automaticamente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16</xdr:row>
          <xdr:rowOff>19050</xdr:rowOff>
        </xdr:from>
        <xdr:to>
          <xdr:col>7</xdr:col>
          <xdr:colOff>0</xdr:colOff>
          <xdr:row>16</xdr:row>
          <xdr:rowOff>285750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E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3366">
                      <a:alpha val="91000"/>
                    </a:srgbClr>
                  </a:solidFill>
                </a14:hiddenFill>
              </a:ext>
              <a:ext uri="{91240B29-F687-4F45-9708-019B960494DF}">
                <a14:hiddenLine w="12700">
                  <a:solidFill>
                    <a:srgbClr val="000080" mc:Ignorable="a14" a14:legacySpreadsheetColorIndex="32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Paga PA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124241</xdr:colOff>
      <xdr:row>1</xdr:row>
      <xdr:rowOff>182219</xdr:rowOff>
    </xdr:from>
    <xdr:to>
      <xdr:col>2</xdr:col>
      <xdr:colOff>1192697</xdr:colOff>
      <xdr:row>4</xdr:row>
      <xdr:rowOff>49697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43E27B0-045E-4DB2-A0AA-C2F82BE3BA00}"/>
            </a:ext>
          </a:extLst>
        </xdr:cNvPr>
        <xdr:cNvGrpSpPr/>
      </xdr:nvGrpSpPr>
      <xdr:grpSpPr>
        <a:xfrm>
          <a:off x="819980" y="240197"/>
          <a:ext cx="1068456" cy="1002196"/>
          <a:chOff x="79375" y="3176"/>
          <a:chExt cx="739775" cy="78105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B5A7A00C-571A-B295-344E-12DE64789478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Imagem 3" descr="Ícone&#10;&#10;Descrição gerada automaticamente">
            <a:extLst>
              <a:ext uri="{FF2B5EF4-FFF2-40B4-BE49-F238E27FC236}">
                <a16:creationId xmlns:a16="http://schemas.microsoft.com/office/drawing/2014/main" id="{DA0FFE91-6E66-CE81-84AE-D21A481081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57150</xdr:rowOff>
    </xdr:from>
    <xdr:to>
      <xdr:col>4</xdr:col>
      <xdr:colOff>879475</xdr:colOff>
      <xdr:row>7</xdr:row>
      <xdr:rowOff>148166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14300" y="57150"/>
          <a:ext cx="765175" cy="1062566"/>
          <a:chOff x="79375" y="3176"/>
          <a:chExt cx="739775" cy="78105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Imagem 3" descr="Ícone&#10;&#10;Descrição gerada automaticamente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57150</xdr:rowOff>
    </xdr:from>
    <xdr:to>
      <xdr:col>4</xdr:col>
      <xdr:colOff>879475</xdr:colOff>
      <xdr:row>7</xdr:row>
      <xdr:rowOff>148166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14300" y="57150"/>
          <a:ext cx="765175" cy="1062566"/>
          <a:chOff x="79375" y="3176"/>
          <a:chExt cx="739775" cy="78105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Imagem 3" descr="Ícone&#10;&#10;Descrição gerada automaticamente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8283</xdr:colOff>
      <xdr:row>0</xdr:row>
      <xdr:rowOff>66258</xdr:rowOff>
    </xdr:from>
    <xdr:to>
      <xdr:col>26</xdr:col>
      <xdr:colOff>960783</xdr:colOff>
      <xdr:row>1</xdr:row>
      <xdr:rowOff>795131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160683" y="66258"/>
          <a:ext cx="952500" cy="814598"/>
          <a:chOff x="79375" y="3176"/>
          <a:chExt cx="739775" cy="78105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Imagem 3" descr="Ícone&#10;&#10;Descrição gerada automaticamente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47625</xdr:rowOff>
    </xdr:from>
    <xdr:to>
      <xdr:col>4</xdr:col>
      <xdr:colOff>933450</xdr:colOff>
      <xdr:row>7</xdr:row>
      <xdr:rowOff>138641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6675" y="47625"/>
          <a:ext cx="866775" cy="1062566"/>
          <a:chOff x="79375" y="3176"/>
          <a:chExt cx="739775" cy="78105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Imagem 3" descr="Ícone&#10;&#10;Descrição gerada automaticamente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10583</xdr:rowOff>
    </xdr:from>
    <xdr:to>
      <xdr:col>2</xdr:col>
      <xdr:colOff>10468</xdr:colOff>
      <xdr:row>7</xdr:row>
      <xdr:rowOff>240742</xdr:rowOff>
    </xdr:to>
    <xdr:grpSp>
      <xdr:nvGrpSpPr>
        <xdr:cNvPr id="14" name="Agrupar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pSpPr/>
      </xdr:nvGrpSpPr>
      <xdr:grpSpPr>
        <a:xfrm>
          <a:off x="338667" y="105833"/>
          <a:ext cx="1777884" cy="2018742"/>
          <a:chOff x="79375" y="3176"/>
          <a:chExt cx="739775" cy="781050"/>
        </a:xfrm>
      </xdr:grpSpPr>
      <xdr:sp macro="" textlink="">
        <xdr:nvSpPr>
          <xdr:cNvPr id="15" name="Retângulo 14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16" name="Imagem 15" descr="Ícone&#10;&#10;Descrição gerada automaticamente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61970</xdr:colOff>
      <xdr:row>20</xdr:row>
      <xdr:rowOff>73855</xdr:rowOff>
    </xdr:from>
    <xdr:to>
      <xdr:col>1</xdr:col>
      <xdr:colOff>442884</xdr:colOff>
      <xdr:row>26</xdr:row>
      <xdr:rowOff>382008</xdr:rowOff>
    </xdr:to>
    <xdr:sp macro="" textlink="">
      <xdr:nvSpPr>
        <xdr:cNvPr id="7" name="Seta: Curva para Baixo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 rot="16972475">
          <a:off x="-320332" y="4213821"/>
          <a:ext cx="1438593" cy="380914"/>
        </a:xfrm>
        <a:prstGeom prst="curvedDownArrow">
          <a:avLst>
            <a:gd name="adj1" fmla="val 28396"/>
            <a:gd name="adj2" fmla="val 73022"/>
            <a:gd name="adj3" fmla="val 29012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oneCellAnchor>
    <xdr:from>
      <xdr:col>6</xdr:col>
      <xdr:colOff>107230</xdr:colOff>
      <xdr:row>4</xdr:row>
      <xdr:rowOff>86406</xdr:rowOff>
    </xdr:from>
    <xdr:ext cx="297385" cy="294821"/>
    <xdr:pic>
      <xdr:nvPicPr>
        <xdr:cNvPr id="2" name="Imagem 1" descr="ícone Whatsapp Logotipo Whatsapp PNG , Clipart De Whatsapp, Logotipo, ícones  Whatsapp Imagem PNG e Vetor Para Download Gratui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53" t="18844" r="18506" b="18869"/>
        <a:stretch/>
      </xdr:blipFill>
      <xdr:spPr bwMode="auto">
        <a:xfrm>
          <a:off x="6605397" y="806073"/>
          <a:ext cx="297385" cy="294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47349</xdr:colOff>
      <xdr:row>0</xdr:row>
      <xdr:rowOff>178594</xdr:rowOff>
    </xdr:from>
    <xdr:to>
      <xdr:col>3</xdr:col>
      <xdr:colOff>773906</xdr:colOff>
      <xdr:row>11</xdr:row>
      <xdr:rowOff>59531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pSpPr/>
      </xdr:nvGrpSpPr>
      <xdr:grpSpPr>
        <a:xfrm>
          <a:off x="957516" y="178594"/>
          <a:ext cx="2112973" cy="1542520"/>
          <a:chOff x="79375" y="3176"/>
          <a:chExt cx="739775" cy="781050"/>
        </a:xfrm>
      </xdr:grpSpPr>
      <xdr:sp macro="" textlink="">
        <xdr:nvSpPr>
          <xdr:cNvPr id="12" name="Retângulo 11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13" name="Imagem 12" descr="Ícone&#10;&#10;Descrição gerada automaticamente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482129</xdr:colOff>
      <xdr:row>18</xdr:row>
      <xdr:rowOff>152869</xdr:rowOff>
    </xdr:from>
    <xdr:to>
      <xdr:col>2</xdr:col>
      <xdr:colOff>59010</xdr:colOff>
      <xdr:row>26</xdr:row>
      <xdr:rowOff>268130</xdr:rowOff>
    </xdr:to>
    <xdr:sp macro="" textlink="">
      <xdr:nvSpPr>
        <xdr:cNvPr id="7" name="Seta: Curva para Baix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 rot="16200000">
          <a:off x="-104561" y="4043911"/>
          <a:ext cx="1702761" cy="435307"/>
        </a:xfrm>
        <a:prstGeom prst="curvedDownArrow">
          <a:avLst>
            <a:gd name="adj1" fmla="val 28396"/>
            <a:gd name="adj2" fmla="val 73022"/>
            <a:gd name="adj3" fmla="val 29012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23472</xdr:colOff>
      <xdr:row>2</xdr:row>
      <xdr:rowOff>166686</xdr:rowOff>
    </xdr:from>
    <xdr:ext cx="311302" cy="285751"/>
    <xdr:pic>
      <xdr:nvPicPr>
        <xdr:cNvPr id="2" name="Imagem 1" descr="ícone Whatsapp Logotipo Whatsapp PNG , Clipart De Whatsapp, Logotipo, ícones  Whatsapp Imagem PNG e Vetor Para Download Gratuit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53" t="18844" r="18506" b="18869"/>
        <a:stretch/>
      </xdr:blipFill>
      <xdr:spPr bwMode="auto">
        <a:xfrm>
          <a:off x="7333910" y="619124"/>
          <a:ext cx="311302" cy="28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1648558</xdr:colOff>
      <xdr:row>1</xdr:row>
      <xdr:rowOff>34435</xdr:rowOff>
    </xdr:from>
    <xdr:to>
      <xdr:col>1</xdr:col>
      <xdr:colOff>1040422</xdr:colOff>
      <xdr:row>1</xdr:row>
      <xdr:rowOff>884359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1648558" y="71070"/>
          <a:ext cx="1047749" cy="849924"/>
          <a:chOff x="79375" y="3176"/>
          <a:chExt cx="739775" cy="781050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Imagem 3" descr="Ícone&#10;&#10;Descrição gerada automaticamente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13081" y="109867"/>
            <a:ext cx="444500" cy="55033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1128347</xdr:colOff>
      <xdr:row>12</xdr:row>
      <xdr:rowOff>0</xdr:rowOff>
    </xdr:from>
    <xdr:to>
      <xdr:col>0</xdr:col>
      <xdr:colOff>1465385</xdr:colOff>
      <xdr:row>12</xdr:row>
      <xdr:rowOff>175846</xdr:rowOff>
    </xdr:to>
    <xdr:sp macro="" textlink="">
      <xdr:nvSpPr>
        <xdr:cNvPr id="5" name="Seta: para a Direita 4">
          <a:extLst>
            <a:ext uri="{FF2B5EF4-FFF2-40B4-BE49-F238E27FC236}">
              <a16:creationId xmlns:a16="http://schemas.microsoft.com/office/drawing/2014/main" id="{CB839A9E-C8C5-652D-F65C-0978AFA42C04}"/>
            </a:ext>
          </a:extLst>
        </xdr:cNvPr>
        <xdr:cNvSpPr/>
      </xdr:nvSpPr>
      <xdr:spPr>
        <a:xfrm>
          <a:off x="1128347" y="3399692"/>
          <a:ext cx="337038" cy="175846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</xdr:row>
          <xdr:rowOff>38100</xdr:rowOff>
        </xdr:from>
        <xdr:to>
          <xdr:col>17</xdr:col>
          <xdr:colOff>28575</xdr:colOff>
          <xdr:row>4</xdr:row>
          <xdr:rowOff>123825</xdr:rowOff>
        </xdr:to>
        <xdr:sp macro="" textlink="">
          <xdr:nvSpPr>
            <xdr:cNvPr id="8193" name="List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D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16</xdr:row>
          <xdr:rowOff>19050</xdr:rowOff>
        </xdr:from>
        <xdr:to>
          <xdr:col>7</xdr:col>
          <xdr:colOff>0</xdr:colOff>
          <xdr:row>16</xdr:row>
          <xdr:rowOff>285750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D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3366">
                      <a:alpha val="91000"/>
                    </a:srgbClr>
                  </a:solidFill>
                </a14:hiddenFill>
              </a:ext>
              <a:ext uri="{91240B29-F687-4F45-9708-019B960494DF}">
                <a14:hiddenLine w="12700">
                  <a:solidFill>
                    <a:srgbClr val="000080" mc:Ignorable="a14" a14:legacySpreadsheetColorIndex="32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Paga PA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124241</xdr:colOff>
      <xdr:row>1</xdr:row>
      <xdr:rowOff>182219</xdr:rowOff>
    </xdr:from>
    <xdr:to>
      <xdr:col>2</xdr:col>
      <xdr:colOff>1192697</xdr:colOff>
      <xdr:row>4</xdr:row>
      <xdr:rowOff>49697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646045" y="240197"/>
          <a:ext cx="1068456" cy="1093304"/>
          <a:chOff x="79375" y="3176"/>
          <a:chExt cx="739775" cy="781050"/>
        </a:xfrm>
      </xdr:grpSpPr>
      <xdr:sp macro="" textlink="">
        <xdr:nvSpPr>
          <xdr:cNvPr id="6" name="Retângulo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79375" y="3176"/>
            <a:ext cx="739775" cy="781050"/>
          </a:xfrm>
          <a:prstGeom prst="rect">
            <a:avLst/>
          </a:prstGeom>
          <a:solidFill>
            <a:schemeClr val="accent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7" name="Imagem 6" descr="Ícone&#10;&#10;Descrição gerada automaticamente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601" y="76201"/>
            <a:ext cx="444500" cy="550330"/>
          </a:xfrm>
          <a:prstGeom prst="rect">
            <a:avLst/>
          </a:prstGeom>
        </xdr:spPr>
      </xdr:pic>
    </xdr:grp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lanejamento - Allan Rodrigues Dos Santos" refreshedDate="46162.508141087965" backgroundQuery="1" createdVersion="8" refreshedVersion="8" minRefreshableVersion="3" recordCount="0" supportSubquery="1" supportAdvancedDrill="1" xr:uid="{5AEA50E5-41CB-4A3B-941B-8D79A8143CF3}">
  <cacheSource type="external" connectionId="5"/>
  <cacheFields count="2">
    <cacheField name="[Consulta3].[- Selecione -].[- Selecione -]" caption="- Selecione -" numFmtId="0" level="1">
      <sharedItems containsNonDate="0" containsString="0" containsBlank="1" count="1">
        <m/>
      </sharedItems>
    </cacheField>
    <cacheField name="[Measures].[Contagem Distinta de - Selecione -]" caption="Contagem Distinta de - Selecione -" numFmtId="0" hierarchy="7" level="32767"/>
  </cacheFields>
  <cacheHierarchies count="8">
    <cacheHierarchy uniqueName="[Consulta3].[- Selecione -]" caption="- Selecione -" attribute="1" defaultMemberUniqueName="[Consulta3].[- Selecione -].[All]" allUniqueName="[Consulta3].[- Selecione -].[All]" dimensionUniqueName="[Consulta3]" displayFolder="" count="2" memberValueDatatype="130" unbalanced="0">
      <fieldsUsage count="2">
        <fieldUsage x="-1"/>
        <fieldUsage x="0"/>
      </fieldsUsage>
    </cacheHierarchy>
    <cacheHierarchy uniqueName="[Consulta3].[TABELA]" caption="TABELA" attribute="1" defaultMemberUniqueName="[Consulta3].[TABELA].[All]" allUniqueName="[Consulta3].[TABELA].[All]" dimensionUniqueName="[Consulta3]" displayFolder="" count="0" memberValueDatatype="130" unbalanced="0"/>
    <cacheHierarchy uniqueName="[Measures].[__XL_Count Consulta3]" caption="__XL_Count Consulta3" measure="1" displayFolder="" measureGroup="Consulta3" count="0" hidden="1"/>
    <cacheHierarchy uniqueName="[Measures].[__No measures defined]" caption="__No measures defined" measure="1" displayFolder="" count="0" hidden="1"/>
    <cacheHierarchy uniqueName="[Measures].[Contagem de TABELA]" caption="Contagem de TABELA" measure="1" displayFolder="" measureGroup="Consulta3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agem Distinta de TABELA]" caption="Contagem Distinta de TABELA" measure="1" displayFolder="" measureGroup="Consulta3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agem de - Selecione -]" caption="Contagem de - Selecione -" measure="1" displayFolder="" measureGroup="Consulta3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agem Distinta de - Selecione -]" caption="Contagem Distinta de - Selecione -" measure="1" displayFolder="" measureGroup="Consulta3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name="Consulta3" uniqueName="[Consulta3]" caption="Consulta3"/>
    <dimension measure="1" name="Measures" uniqueName="[Measures]" caption="Measures"/>
  </dimensions>
  <measureGroups count="1">
    <measureGroup name="Consulta3" caption="Consulta3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lanejamento - Allan Rodrigues Dos Santos" refreshedDate="46162.50814247685" createdVersion="8" refreshedVersion="8" minRefreshableVersion="3" recordCount="1626" xr:uid="{C852498B-8C00-411E-8872-ABC1B1EA676E}">
  <cacheSource type="worksheet">
    <worksheetSource name="Consulta1"/>
  </cacheSource>
  <cacheFields count="23">
    <cacheField name="EMPREGADOR" numFmtId="0">
      <sharedItems containsBlank="1" count="564">
        <s v="AERONAUTICA 999"/>
        <s v="AMAZONPREV-AOL"/>
        <s v="ASS LEG   ES"/>
        <s v="ASSISPREV"/>
        <s v="CAM CUIABA EST"/>
        <s v="CARAGUAPRE PORT"/>
        <s v="CODAU - UBERABA"/>
        <s v="COMCAP"/>
        <s v="CUIABAPREV"/>
        <s v="DEP EST ROD DER"/>
        <s v="EMBASA - AOL"/>
        <s v="EMBUPREV SP"/>
        <s v="EMPAER MT"/>
        <s v="EXERCITO"/>
        <s v="F PREV SORRISO"/>
        <s v="FUNPREV BAURU"/>
        <s v="GOV ACRE"/>
        <s v="GOV BAHIA-AOL"/>
        <s v="GOV CE"/>
        <s v="GOV ES"/>
        <s v="GOV GOIAS"/>
        <s v="GOV GOIAS CLT"/>
        <s v="GOV GOIAS PORT"/>
        <s v="GOV GOIAS PORT CLT"/>
        <s v="GOV MA AOL"/>
        <s v="GOV MG BOMBEIRO"/>
        <s v="GOV MG IPSEMG"/>
        <s v="GOV MG IPSM"/>
        <s v="GOV MG PM"/>
        <s v="GOV MG SEPLAG"/>
        <s v="GOV MS"/>
        <s v="GOV MS CLT"/>
        <s v="GOV PARANA"/>
        <s v="GOV PB"/>
        <s v="GOV PE-AOL"/>
        <s v="GOV PIAUI"/>
        <s v="GOV RONDONIA"/>
        <s v="GOV RORAIMA SGG"/>
        <s v="GOV RORAIMA SIG"/>
        <s v="GOV SC"/>
        <s v="GOV SP PM PORT"/>
        <s v="GOV SP TJMSP"/>
        <s v="GOV TOCANTINS"/>
        <s v="HSPM SP"/>
        <s v="IMPCG MS"/>
        <s v="INSS"/>
        <s v="INST CARIACICA"/>
        <s v="INST PREV CAC"/>
        <s v="INST PREV JUNDI"/>
        <s v="INST PREV JUNDI EST"/>
        <s v="INST PREV SJC"/>
        <s v="INST PREVMOC"/>
        <s v="INST RIB PRETO"/>
        <s v="IPAG GRAVATAI"/>
        <s v="IPAM P VELHO RO"/>
        <s v="IPAMV ES"/>
        <s v="IPAMV ES - ESPECIAL"/>
        <s v="IPASP - AOL"/>
        <s v="IPM MARACANAÚ"/>
        <s v="IPMO"/>
        <s v="IPMO APOSENTADO"/>
        <s v="IPREM MOGI SP"/>
        <s v="IPREM P ALEGRE"/>
        <s v="IPREM SP_"/>
        <s v="IPREM SP_ APOSENTADO"/>
        <s v="IPREM SP_ FUNCIONARIO"/>
        <s v="IPREM SP_ PENSIONISTA"/>
        <s v="IPRESB BARUERI"/>
        <s v="IPREV - SANTOS"/>
        <s v="IPREV VIAMÃO RS"/>
        <s v="IPSA STO ANDRE"/>
        <s v="IPSERV UBERABA"/>
        <s v="ISSA ANAPOLIS"/>
        <s v="ISSM CAMAÇARI"/>
        <s v="MANAUSPREV"/>
        <s v="MARINHA_"/>
        <s v="MIN PUB PARA"/>
        <s v="MPDFT"/>
        <s v="MUTUMPREV"/>
        <s v="OMSS REGISTRO"/>
        <s v="PICOSPREV PI"/>
        <s v="PM FEIRA DE SAN"/>
        <s v="PRE NOVA MAMORE"/>
        <s v="PREF  BARREIRIN"/>
        <s v="PREF  ITABERAI"/>
        <s v="PREF  MARABÁ"/>
        <s v="PREF ALVORADA"/>
        <s v="PREF ALVORADA CLT"/>
        <s v="PREF AMERICANA"/>
        <s v="PREF ANANINDEUA"/>
        <s v="PREF ANAPOLIS"/>
        <s v="PREF AQUIRAZ"/>
        <s v="PREF ARACAJU"/>
        <s v="PREF ARACRUZ"/>
        <s v="PREF ARARAQUAR"/>
        <s v="PREF ASSIS"/>
        <s v="PREF ATIBAIA"/>
        <s v="PREF BARUERI"/>
        <s v="PREF BAURU"/>
        <s v="PREF BELEM"/>
        <s v="PREF BERTIOGA"/>
        <s v="PREF BETIM"/>
        <s v="PREF BH,"/>
        <s v="PREF BIRITIBA M"/>
        <s v="PREF BLUMENAU"/>
        <s v="PREF BOA VISTA"/>
        <s v="PREF BOITUVA"/>
        <s v="PREF BRAGANCA"/>
        <s v="PREF BRUSQUE"/>
        <s v="PREF C GRANDE"/>
        <s v="PREF C JORDAO"/>
        <s v="PREF CACAPAVA"/>
        <s v="PREF CACERES"/>
        <s v="PREF CACERES CLT"/>
        <s v="PREF CAIEIRAS"/>
        <s v="PREF CAJAMAR"/>
        <s v="PREF CAJATI SP"/>
        <s v="PREF CAMAÇARI"/>
        <s v="PREF CANELA RS"/>
        <s v="PREF CAPIVARI"/>
        <s v="PREF CARAGUA 1"/>
        <s v="PREF CARAPICUIB"/>
        <s v="PREF CATANDUVA"/>
        <s v="PREF CAUCAIA"/>
        <s v="PREF CERQUILHO"/>
        <s v="PREF COLINA SP"/>
        <s v="PREF CONTAGEM"/>
        <s v="PREF COTIA"/>
        <s v="PREF CRATO"/>
        <s v="PREF CUIABA 1"/>
        <s v="PREF CURRAIS RN"/>
        <s v="PREF DIADEMA"/>
        <s v="PREF DIADEMA CLT"/>
        <s v="PREF EMBU A SP"/>
        <s v="PREF FERRAZ-SP"/>
        <s v="PREF FLORIANOPO"/>
        <s v="PREF FORMIGA MG"/>
        <s v="PREF FORTALEZA"/>
        <s v="PREF GOIANIA"/>
        <s v="PREF GOIANIRA"/>
        <s v="PREF GRAVATAI"/>
        <s v="PREF GRAVATAI CLT"/>
        <s v="PREF GUARUJA SP"/>
        <s v="PREF GUARUJA SP CLT"/>
        <s v="PREF GUARULHOS"/>
        <s v="PREF IMBITUBA"/>
        <s v="PREF IPATINGA"/>
        <s v="PREF ITAJUBA"/>
        <s v="PREF ITANHAEM"/>
        <s v="PREF ITAPETININ"/>
        <s v="PREF ITAPEVA"/>
        <s v="PREF ITAPIPOCA"/>
        <s v="PREF ITAQUAQUA"/>
        <s v="PREF JACAREI"/>
        <s v="PREF JARAGUA SC"/>
        <s v="PREF JOAO PESSO"/>
        <s v="PREF JOINVILLE"/>
        <s v="PREF JUAZEIRO N"/>
        <s v="PREF JUIZ FORA"/>
        <s v="PREF JUNDIAI"/>
        <s v="PREF LAJEADO"/>
        <s v="PREF LONDR PORT"/>
        <s v="PREF MACAÉ RJ"/>
        <s v="PREF MANAUS"/>
        <s v="PREF MARACANAU"/>
        <s v="PREF MARILIA"/>
        <s v="PREF MAUA"/>
        <s v="PREF MESQUITA "/>
        <s v="PREF MONTES CLA"/>
        <s v="PREF NOVA SERR"/>
        <s v="PREF OLINDA"/>
        <s v="PREF OSASCO"/>
        <s v="PREF P ALEGRE"/>
        <s v="PREF PALHOÇA"/>
        <s v="PREF PARELHAS"/>
        <s v="PREF PERUIBE"/>
        <s v="PREF PICOS"/>
        <s v="PREF PILAR"/>
        <s v="PREF PINDAMONH"/>
        <s v="PREF PIRACICAB CLT"/>
        <s v="PREF PIRACICAB EST"/>
        <s v="PREF PLANALTINA"/>
        <s v="PREF POR VELHO"/>
        <s v="PREF PORTO FELI"/>
        <s v="PREF POUSO ALEG"/>
        <s v="PREF PRAIA GRAN"/>
        <s v="PREF PTA GROSSA"/>
        <s v="PREF QUIXADA"/>
        <s v="PREF R GRANDE"/>
        <s v="PREF R GRANDE CLT"/>
        <s v="PREF RECIFE"/>
        <s v="PREF RECIFE CLT"/>
        <s v="PREF REGISTRO"/>
        <s v="PREF RIB NEVES"/>
        <s v="PREF RIB PIRES"/>
        <s v="PREF RIB PRETO"/>
        <s v="PREF RIO BRANCO"/>
        <s v="PREF S A PATRU"/>
        <s v="PREF S A PATRU CLT"/>
        <s v="PREF S SEBASTIA"/>
        <s v="PREF SALTO"/>
        <s v="PREF SALVADOR CLT"/>
        <s v="PREF SALVADOR EST"/>
        <s v="PREF SALVADOR INAT"/>
        <s v="PREF SANTARÉM"/>
        <s v="PREF SANTOS"/>
        <s v="PREF SÃO JOSE"/>
        <s v="PREF SAO L PORT"/>
        <s v="PREF SAO L PORT CLT"/>
        <s v="PREF SAO LUIS M"/>
        <s v="PREF SAO LUIS M CLT"/>
        <s v="PREF SAO PAULO"/>
        <s v="PREF SETE PORT"/>
        <s v="PREF SINOP"/>
        <s v="PREF SJ CAMPOS"/>
        <s v="PREF SJR PRETO"/>
        <s v="PREF SOBRAL"/>
        <s v="PREF SORO PORT"/>
        <s v="PREF SORRISO"/>
        <s v="PREF ST ANDRE"/>
        <s v="PREF STA CRUZ"/>
        <s v="PREF STA MARIA"/>
        <s v="PREF SUZANO"/>
        <s v="PREF TANGARA"/>
        <s v="PREF TATUI"/>
        <s v="PREF TAUA"/>
        <s v="PREF TAUA EST"/>
        <s v="PREF TAUBATE"/>
        <s v="PREF TIETE SP"/>
        <s v="PREF TRES PONTA"/>
        <s v="PREF TRINDADE"/>
        <s v="PREF UBATUBA"/>
        <s v="PREF UBERABA"/>
        <s v="PREF UBERLANDIA"/>
        <s v="PREF V GRANDE"/>
        <s v="PREF VALPARAISO"/>
        <s v="PREF VERA CRUZ"/>
        <s v="PREF VIAMAO"/>
        <s v="PREF VIAMAO CLT"/>
        <s v="PREF VITORIA ES"/>
        <s v="PREF VOTUPORANG"/>
        <s v="PREFCURITIBA"/>
        <s v="PREV CUBATAO"/>
        <s v="PREV ITAJAI SC"/>
        <s v="PREV ITANHAEM"/>
        <s v="PREVIFOR MG"/>
        <s v="SAAE FORMIGA MG"/>
        <s v="SAAE SALTO SP"/>
        <s v="SEMAE MOGI CRU"/>
        <s v="SEMAE PIRACICAB EST"/>
        <s v="SENADO FEDERAL"/>
        <s v="SEPREM"/>
        <s v="SIAPE PORT"/>
        <s v="SSPREV SP"/>
        <s v="SUP TRIB FEDRAL"/>
        <s v="TEE SP"/>
        <s v="TJ AM"/>
        <s v="TJ BA"/>
        <s v="TJ DF"/>
        <s v="TJ ESP SANTO - ESPECIAL"/>
        <s v="TJ MA"/>
        <s v="TJ MATO GROSSO"/>
        <s v="TJ MG"/>
        <s v="TJ MS"/>
        <s v="TJ PI"/>
        <s v="TJ SAO PAULO"/>
        <s v="TJ SE"/>
        <s v="TRT 15ª REG SP"/>
        <s v="TRT 23º REG MT"/>
        <s v="TRT 4ª REG RS"/>
        <s v="UNICAMP SP CLT"/>
        <s v="UNICAMP SP EST"/>
        <s v="USP"/>
        <s v="USP CLT"/>
        <s v="CARAGUAPREV" u="1"/>
        <s v="GOV GO" u="1"/>
        <s v="GOV GO CLT" u="1"/>
        <s v="PREF LONDRINA P" u="1"/>
        <s v="PREF SÃO LUI" u="1"/>
        <s v="PREF SÃO LUI CLT" u="1"/>
        <s v="PREF SAQUAREMA" u="1"/>
        <s v="PREF SETE LAGOA" u="1"/>
        <s v="PREF SOROCABA" u="1"/>
        <s v="SAAE SALTO – SP" u="1"/>
        <s v="GOV AM" u="1"/>
        <s v="GOV SP - SEFAZ" u="1"/>
        <s v="GOV SP - SEFAZ CLT" u="1"/>
        <s v="GOV SP - SPPREV" u="1"/>
        <s v="GOV SP SEC EDU" u="1"/>
        <s v="PREF ARARAQUARA" u="1"/>
        <s v="PREF ARAUCARIA" u="1"/>
        <s v="PREF CURITIBA" u="1"/>
        <s v="PREF EMBU PORT" u="1"/>
        <s v="PREF PINDAMONHA" u="1"/>
        <s v="PREF VITORIA" u="1"/>
        <s v="PREF MACAÉ - R" u="1"/>
        <s v="GOV ES AOL" u="1"/>
        <s v="TRE SP" u="1"/>
        <s v="GOV RJ" u="1"/>
        <s v="ASS LEG - ES" u="1"/>
        <s v="BOMBEIROS MG" u="1"/>
        <s v="CUIABAPREV AOL " u="1"/>
        <s v="DER - PB" u="1"/>
        <s v="EMBUPREV - SP" u="1"/>
        <s v="EMPAER - MT" u="1"/>
        <s v="FUNPREV - BAURU" u="1"/>
        <s v="GOV ACRE AOL" u="1"/>
        <s v="GOVRORAIMA SIG" u="1"/>
        <s v="HSPM - SP" u="1"/>
        <s v="INSTCARIACICA" u="1"/>
        <s v="IPAMV VITORIA" u="1"/>
        <s v="IPAMV VITORIA - ESPECIAL" u="1"/>
        <s v="IPREM MOGI" u="1"/>
        <s v="IPREM P ALEGRE " u="1"/>
        <s v="IPREM SP" u="1"/>
        <s v="IPREM SP APOSENTADO" u="1"/>
        <s v="IPREM SP FUNCIONARIO" u="1"/>
        <s v="IPREM SP PENSIONISTA" u="1"/>
        <s v="IPREV VIAMÃO" u="1"/>
        <s v="IPSEMG MG" u="1"/>
        <s v="IPSM MG" u="1"/>
        <s v="ISSA - ANAPOLIS" u="1"/>
        <s v="MARINHA 999" u="1"/>
        <s v="OMSS - REGISTRO" u="1"/>
        <s v="PICOSPREV" u="1"/>
        <s v="PM MG" u="1"/>
        <s v="PM PORTO FELIZ" u="1"/>
        <s v="PREF  BERTIOGA" u="1"/>
        <s v="PREF AQUIRAZ " u="1"/>
        <s v="PREF BARREIRIN" u="1"/>
        <s v="PREF BELEM -PA" u="1"/>
        <s v="PREF BH" u="1"/>
        <s v="PREF BRAGANCA " u="1"/>
        <s v="PREF CAJAMAR " u="1"/>
        <s v="PREF CARAGUA" u="1"/>
        <s v="PREF CARAPICUI" u="1"/>
        <s v="PREF CRATO - CE" u="1"/>
        <s v="PREF CUIABA AOL" u="1"/>
        <s v="PREF GOIANIA AO" u="1"/>
        <s v="PREF GOIANIRA " u="1"/>
        <s v="PREF ITABERAI " u="1"/>
        <s v="PREF ITAPETINI" u="1"/>
        <s v="PREF ITAPEVA SP" u="1"/>
        <s v="PREF ITAQUA" u="1"/>
        <s v="PREF MANAUS -AM" u="1"/>
        <s v="PREF MARABÁ" u="1"/>
        <s v="PREF OSASCO SP" u="1"/>
        <s v="PREF PICOS PI" u="1"/>
        <s v="PREF PILAR - AL" u="1"/>
        <s v="PREF PIRAC AOL CLT" u="1"/>
        <s v="PREF PIRAC AOL EST" u="1"/>
        <s v="PREF PORTO AOL" u="1"/>
        <s v="PREF RIBE PIRES" u="1"/>
        <s v="PREF RIO GRANDE" u="1"/>
        <s v="PREF RIO GRANDE CLT" u="1"/>
        <s v="PREF S ANTONIO" u="1"/>
        <s v="PREF S ANTONIO CLT" u="1"/>
        <s v="PREF S JOSE SC" u="1"/>
        <s v="PREF S LUIS" u="1"/>
        <s v="PREF S LUIS CLT" u="1"/>
        <s v="PREF SORRISO MT" u="1"/>
        <s v="PREF SP" u="1"/>
        <s v="PREF STA CRUZ R" u="1"/>
        <s v="PREF TANGARA-MT" u="1"/>
        <s v="PREF TATUI - SP" u="1"/>
        <s v="PREF TAUA - CE" u="1"/>
        <s v="PREF TAUA - CE EST" u="1"/>
        <s v="PREF TRES PON " u="1"/>
        <s v="PREFEMBU-A SP" u="1"/>
        <s v="PREV ITAJAI–SC" u="1"/>
        <s v="PREV SORRISO" u="1"/>
        <s v="PREVIFOR" u="1"/>
        <s v="SEMAE MOGI-CRU" u="1"/>
        <s v="SEMAE-PIRACICAB EST" u="1"/>
        <s v="SEPLAG" u="1"/>
        <s v="SIAPE SERV PORT" u="1"/>
        <s v="SSPREV - SP" u="1"/>
        <s v="STF" u="1"/>
        <s v="TJ BAHIA" u="1"/>
        <s v="TJ MARANHAO" u="1"/>
        <s v="TJ MINAS GERAIS" u="1"/>
        <s v="TJ PIAUI" u="1"/>
        <s v="TJ SERGIPE" u="1"/>
        <s v="TRE-SP" u="1"/>
        <s v="TRT 15 REG CAMP" u="1"/>
        <s v="TRT 23º REGIÃO " u="1"/>
        <s v="TRT 4 REGIAO RS" u="1"/>
        <s v="UNICAMP CLT" u="1"/>
        <s v="UNICAMP EST" u="1"/>
        <s v="GOV MT" u="1"/>
        <s v="GOV SP TJMSP PO" u="1"/>
        <s v="PREF SP - ESPECIAL" u="1"/>
        <s v="GOV SP – PORTAB" u="1"/>
        <s v="IPMO PENSIONISTA" u="1"/>
        <s v="PREF S PARNAIBA" u="1"/>
        <s v="PREV DO GUARUJA" u="1"/>
        <s v="FUND PREV PG" u="1"/>
        <s v="IPREAF - MT EST" u="1"/>
        <s v="IPSERV UBERA MG" u="1"/>
        <s v="PREF ÁGUAS LIND" u="1"/>
        <s v="PREF CACHO ITAP" u="1"/>
        <s v="PREF FABRICIANO" u="1"/>
        <s v="PREF MOGI CRUZE" u="1"/>
        <s v="PREF PARAGUAÇU" u="1"/>
        <s v="PREF S BARBARA EST" u="1"/>
        <s v="PREF S CRUZ CAB" u="1"/>
        <s v="PREF SAPUCAIA" u="1"/>
        <s v="PREF SAPUCAIA CLT" u="1"/>
        <s v="PREVCEL - MG" u="1"/>
        <s v="EXERCITO 50K" u="1"/>
        <s v="GOV SP – PORTAB 50K" u="1"/>
        <s v="GOV SP PM PORT 50K" u="1"/>
        <s v="GOV SP SEC EDU 50K" u="1"/>
        <s v="MARINHA 999 50K" u="1"/>
        <s v="PREF SP 20K" u="1"/>
        <s v="SIAPE SERV PORT 20K" u="1"/>
        <s v="GOV SP - SEFAZ - ESPECIAL" u="1"/>
        <s v="GOV SP - SPPREV - ESPECIAL" u="1"/>
        <s v="GOV SP PM PORT - ESPECIAL" u="1"/>
        <s v="PREF GUARUJA SP - ESPECIAL" u="1"/>
        <s v="PREF GUARUJA SP CLT - ESPECIAL" u="1"/>
        <s v="FUND PREV PRA" u="1"/>
        <s v="PREF SERRA - ES - ESPECIAL" u="1"/>
        <s v="PREF VILA VELHA" u="1"/>
        <s v="SIAPE SERV PORT 50K" u="1"/>
        <s v="PREF LINHARES" u="1"/>
        <s v="GOV SC " u="1"/>
        <s v="SEMAE-PIRACICAB CLT" u="1"/>
        <s v="PICOS SEC EDUCA" u="1"/>
        <s v="PM PICOS SAUDE" u="1"/>
        <s v="PREF TERESINA" u="1"/>
        <s v="PREF COTIA CLT" u="1"/>
        <s v="SEMAE MOGI-CRU CLT" u="1"/>
        <s v="PREF TAUBATE - ESPECIAL" u="1"/>
        <s v="PREF BAURU - ESPECIAL" u="1"/>
        <s v="PREF GUARUJ" u="1"/>
        <s v="PREF GUARUJ - ESPECIAL" u="1"/>
        <s v="PREF GUARUJ CLT" u="1"/>
        <s v="PREF GUARUJ CLT - ESPECIAL" u="1"/>
        <s v="PREF ITANHA" u="1"/>
        <s v="I PREV ITANHAEM" u="1"/>
        <s v="METRO" u="1"/>
        <s v="HSPM - SP - ESPECIAL" u="1"/>
        <s v="PREF CARAPICUI - ESPECIAL" u="1"/>
        <s v="GOV SP PM" u="1"/>
        <s v="PREF GUARAPUAVA" u="1"/>
        <s v="PREF VITORIA - ESPECIAL" u="1"/>
        <s v="IPREM SP - ESPECIAL" u="1"/>
        <s v="GOV PIAUI - ESPECIAL" u="1"/>
        <m u="1"/>
        <s v="PREF TERESINA - ESPECIAL" u="1"/>
        <s v="MIN PUBL MG" u="1"/>
        <s v="PREF TUPA - SP" u="1"/>
        <s v="PREF VILA VELHA - ESPECIAL" u="1"/>
        <s v="TRT 11ª REG  AM" u="1"/>
        <s v="APARECIDA PREV" u="1"/>
        <s v="ASS ES" u="1"/>
        <s v="ASS LEG - MA" u="1"/>
        <s v="ASS LEG - MA EST" u="1"/>
        <s v="ASS LEG MT" u="1"/>
        <s v="ASS LEG MT EST" u="1"/>
        <s v="CIA CUBATAO" u="1"/>
        <s v="IPAM-PVELHO-RO" u="1"/>
        <s v="PREF ANDIRA-PR" u="1"/>
        <s v="PREF CARIACICA" u="1"/>
        <s v="PREF COLATINA " u="1"/>
        <s v="PREF GOV VALADA" u="1"/>
        <s v="PREF MATINHOS" u="1"/>
        <s v="PREF MUTUM - M" u="1"/>
        <s v="PREF SERRA - ES" u="1"/>
        <s v="PREV SJ PINHAIS" u="1"/>
        <s v="TRT 14 REGIAO" u="1"/>
        <s v="PREF RJ" u="1"/>
        <s v="PREF PG" u="1"/>
        <s v="GOV SP - PORTAB" u="1"/>
        <s v="MARINHA 999 - ESPECIAL" u="1"/>
        <s v="PREF UBERLANDI" u="1"/>
        <s v="PREF SALTO - ESPECIAL" u="1"/>
        <s v="PREF. ITAPETINI" u="1"/>
        <s v="AERONAUTICA - ESPECIAL" u="1"/>
        <s v="PREF FOZ IGUACU" u="1"/>
        <s v="PREF SALVAD MAR INAT" u="1"/>
        <s v="MARINHA" u="1"/>
        <s v="PREF. DIADEMA" u="1"/>
        <s v="PREF. BH" u="1"/>
        <s v="PREF CAMPG SUL" u="1"/>
        <s v="PREFITAPEVA SP" u="1"/>
        <s v="FAPS-S.SEBASTIA" u="1"/>
        <s v="PREF. AQUIRAZ " u="1"/>
        <s v="PREF. SOBRAL" u="1"/>
        <s v="PREF MANAUS." u="1"/>
        <s v="PREF. SJ CAMPOS" u="1"/>
        <s v="CIA CUBATAO MAR" u="1"/>
        <s v="PREF PIRACICABA" u="1"/>
        <s v="GOV BAHIA" u="1"/>
        <s v="BANCO DAYCOVAL - ESPECIAL" u="1"/>
        <s v="CARAGUA-PREV" u="1"/>
        <s v="PREF CAMPO LARG" u="1"/>
        <s v="PREF. UBERLANDI" u="1"/>
        <s v="PREF. JUNDIAI" u="1"/>
        <s v="PREF SALVAD MAR CLT" u="1"/>
        <s v="PREF. ARACRUZ" u="1"/>
        <s v="IPREAF - MT" u="1"/>
        <s v="PREF. M. SOBRAL" u="1"/>
        <s v="PREF TATUI - SP - ESPECIAL" u="1"/>
        <s v="PREF. RIB PRETO - ESPECIAL" u="1"/>
        <s v="PREF.ITAPEVA SP - ESPECIAL" u="1"/>
        <s v="PREF. COLATINA " u="1"/>
        <s v="PREF. MUN CRATO" u="1"/>
        <s v="PREF. ITAJUBA" u="1"/>
        <s v="PREF CUIABA" u="1"/>
        <s v="PREF. PINDAMONH" u="1"/>
        <s v="PREF CAMP.G SUL" u="1"/>
        <s v="PREF SALVAD MAR" u="1"/>
        <s v="MARINHA - ESPECIAL" u="1"/>
        <s v="PREF. CAJAMAR " u="1"/>
        <s v="PREF. CANELA RS" u="1"/>
        <s v="PREF SJ PINHAIS" u="1"/>
        <s v="GOV. MS" u="1"/>
        <s v="GOV. PIAUI" u="1"/>
        <s v="UNICAMP" u="1"/>
        <s v="PREF TAUA - CE PENS" u="1"/>
        <s v="PREF SAPUCAIA " u="1"/>
        <s v="PREF. SETE LAGO" u="1"/>
        <s v="PREF MUN CRATO" u="1"/>
        <s v="PREF. GOIANIRA " u="1"/>
        <s v="GOV SC  - ESPECIAL" u="1"/>
        <s v="GOV PARANA - ESPECIAL" u="1"/>
        <s v="FUNPESPA-PR" u="1"/>
        <s v="AERONAUTICA" u="1"/>
        <s v="PREF SALVAD MAR EST" u="1"/>
        <s v="PREF. RIB PRETO" u="1"/>
        <s v="PREF. LAJEADO" u="1"/>
        <s v="FUNPESPA-PR - ESPECIAL" u="1"/>
        <s v="DEMAE" u="1"/>
        <s v="PREF S BARBARA - ESPECIAL" u="1"/>
        <s v="PREF. BETIM" u="1"/>
        <s v="PREF S BARBARA" u="1"/>
        <s v="GOV MA" u="1"/>
        <s v="IPAM-P.VELHO-RO" u="1"/>
        <s v="PREF CAMP G SUL" u="1"/>
        <s v="SEMAE-PIRACICAB" u="1"/>
        <s v="PREF.EMBU-A SP" u="1"/>
        <s v="GOV PE" u="1"/>
        <s v="PREF SANTOS MRG" u="1"/>
        <s v="PREF. CERQUILHO" u="1"/>
        <s v="PREF. VOTUPORAN" u="1"/>
        <s v="PREF. MATINHOS" u="1"/>
        <s v="PREF SETE LAGO" u="1"/>
        <s v="PREF.ITAPEVA SP" u="1"/>
        <s v="AMAZONPREV - AM" u="1"/>
        <s v="PREF SOROCABA - ESPECIAL" u="1"/>
        <s v="PREF. CAUCAIA" u="1"/>
        <s v="PREF VOTUPORAN" u="1"/>
        <s v="CUIABAPREV AOL" u="1"/>
        <s v="IPREM PENSIONIS" u="1"/>
        <s v="PREF. CACERES" u="1"/>
        <s v="PREF V. GRANDE" u="1"/>
        <s v="CUIABAPREV -MT" u="1"/>
        <s v="GOV SP – PORTAB - ESPECIAL" u="1"/>
        <s v="PREF. MUTUM - M" u="1"/>
        <s v="PREF. RECIFE" u="1"/>
        <s v="EXERCITO 999" u="1"/>
        <s v="IPREMU" u="1"/>
      </sharedItems>
    </cacheField>
    <cacheField name="chave" numFmtId="0">
      <sharedItems/>
    </cacheField>
    <cacheField name="id" numFmtId="0">
      <sharedItems containsSemiMixedTypes="0" containsString="0" containsNumber="1" containsInteger="1" minValue="1" maxValue="22"/>
    </cacheField>
    <cacheField name="TABELA" numFmtId="0">
      <sharedItems/>
    </cacheField>
    <cacheField name="TAXA" numFmtId="10">
      <sharedItems containsSemiMixedTypes="0" containsString="0" containsNumber="1" minValue="1.4999999999999999E-2" maxValue="2.7999999999999997E-2"/>
    </cacheField>
    <cacheField name="PRAZO" numFmtId="0">
      <sharedItems containsSemiMixedTypes="0" containsString="0" containsNumber="1" containsInteger="1" minValue="72" maxValue="120"/>
    </cacheField>
    <cacheField name="FATOR" numFmtId="0">
      <sharedItems/>
    </cacheField>
    <cacheField name="TETO_COMERCIAL" numFmtId="43">
      <sharedItems containsSemiMixedTypes="0" containsString="0" containsNumber="1" minValue="1.5" maxValue="2.9"/>
    </cacheField>
    <cacheField name="VCTO" numFmtId="0">
      <sharedItems containsSemiMixedTypes="0" containsString="0" containsNumber="1" containsInteger="1" minValue="1" maxValue="30"/>
    </cacheField>
    <cacheField name="CARENCIA_FINAL" numFmtId="0">
      <sharedItems containsString="0" containsBlank="1" containsNumber="1" containsInteger="1" minValue="25" maxValue="92"/>
    </cacheField>
    <cacheField name="PMDESCRPRD" numFmtId="0">
      <sharedItems/>
    </cacheField>
    <cacheField name="min_port" numFmtId="0">
      <sharedItems containsBlank="1"/>
    </cacheField>
    <cacheField name="VIRADA" numFmtId="0">
      <sharedItems containsSemiMixedTypes="0" containsString="0" containsNumber="1" containsInteger="1" minValue="1" maxValue="31"/>
    </cacheField>
    <cacheField name="PMTPPRICE" numFmtId="0">
      <sharedItems containsSemiMixedTypes="0" containsString="0" containsNumber="1" containsInteger="1" minValue="2" maxValue="3"/>
    </cacheField>
    <cacheField name="TICKE_MINIMO" numFmtId="0">
      <sharedItems containsSemiMixedTypes="0" containsString="0" containsNumber="1" containsInteger="1" minValue="20" maxValue="140000"/>
    </cacheField>
    <cacheField name="MES_ALTERACAO" numFmtId="0">
      <sharedItems containsSemiMixedTypes="0" containsString="0" containsNumber="1" containsInteger="1" minValue="202605" maxValue="202605"/>
    </cacheField>
    <cacheField name="PMTPCLC" numFmtId="0">
      <sharedItems/>
    </cacheField>
    <cacheField name="PMFXCAR" numFmtId="0">
      <sharedItems/>
    </cacheField>
    <cacheField name="minport_%" numFmtId="0">
      <sharedItems containsSemiMixedTypes="0" containsString="0" containsNumber="1" minValue="0" maxValue="2.2400000000000003E-2"/>
    </cacheField>
    <cacheField name="TETO_COMERCIAL_%" numFmtId="43">
      <sharedItems containsSemiMixedTypes="0" containsString="0" containsNumber="1" minValue="1.4999999999999999E-2" maxValue="2.8999999999999998E-2"/>
    </cacheField>
    <cacheField name="Coluna1" numFmtId="0">
      <sharedItems/>
    </cacheField>
    <cacheField name="Coluna2" numFmtId="0">
      <sharedItems/>
    </cacheField>
    <cacheField name="Coluna3" numFmtId="0">
      <sharedItems containsSemiMixedTypes="0" containsString="0" containsNumber="1" containsInteger="1" minValue="0" maxValue="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lanejamento - Allan Rodrigues Dos Santos" refreshedDate="46162.508143981482" createdVersion="8" refreshedVersion="8" minRefreshableVersion="3" recordCount="1" xr:uid="{1CDC7DD2-4848-473A-BF27-FEBE1D29B29C}">
  <cacheSource type="worksheet">
    <worksheetSource name="Consulta3"/>
  </cacheSource>
  <cacheFields count="2">
    <cacheField name="- Selecione -" numFmtId="0">
      <sharedItems containsNonDate="0" containsBlank="1" count="140">
        <m/>
        <s v="GOV BAHIA-AOL" u="1"/>
        <s v="GOV SP AOL" u="1"/>
        <s v="GOV SP SEC EDU" u="1"/>
        <s v="PREF  BERTIOGA" u="1"/>
        <s v="PREF BELEM -PA" u="1"/>
        <s v="PREF BOITUVA" u="1"/>
        <s v="PREF CACAPAVA" u="1"/>
        <s v="PREF ITAPETINI" u="1"/>
        <s v="PREFEMBU-A SP" u="1"/>
        <s v="GOV AM AOL" u="1"/>
        <s v="PREF BRUSQUE" u="1"/>
        <s v="GOV PARANA AOL" u="1"/>
        <s v="GOV RJ" u="1"/>
        <s v="GOV SP PM" u="1"/>
        <s v="GOV SP SPPREV" u="1"/>
        <s v="AMAZONPREV AOL" u="1"/>
        <s v="BOMBEIROS MG" u="1"/>
        <s v="CIA CUBATAO" u="1"/>
        <s v="CUIABAPREV AOL " u="1"/>
        <s v="EMBASA - AOL" u="1"/>
        <s v="FUND PREV PG" u="1"/>
        <s v="FUNPREV - BAURU" u="1"/>
        <s v="GOV CE" u="1"/>
        <s v="GOV ES AOL" u="1"/>
        <s v="GOV MT AOL" u="1"/>
        <s v="GOV PE-AOL" u="1"/>
        <s v="GOV PIAUI" u="1"/>
        <s v="GOV SC" u="1"/>
        <s v="GOV TOCANTINS" u="1"/>
        <s v="GUARAPUAVAPREV" u="1"/>
        <s v="INST RIB PRETO" u="1"/>
        <s v="INSTCARIACICA" u="1"/>
        <s v="IPREM MOGI" u="1"/>
        <s v="IPSEMG MG" u="1"/>
        <s v="IPSM MG" u="1"/>
        <s v="MANAUSPREV" u="1"/>
        <s v="OMSS - REGISTRO" u="1"/>
        <s v="PM FEIRA DE SAN" u="1"/>
        <s v="PM MG" u="1"/>
        <s v="PREF ÁGUAS LIND" u="1"/>
        <s v="PREF AMERICANA" u="1"/>
        <s v="PREF ANANINDEUA" u="1"/>
        <s v="PREF ANAPOLIS" u="1"/>
        <s v="PREF AQUIRAZ " u="1"/>
        <s v="PREF ARACRUZ" u="1"/>
        <s v="PREF ARAPONGAS" u="1"/>
        <s v="PREF ARARAQUARA" u="1"/>
        <s v="PREF ASSIS" u="1"/>
        <s v="PREF BARUERI" u="1"/>
        <s v="PREF BAURU" u="1"/>
        <s v="PREF BH" u="1"/>
        <s v="PREF C JORDAO" u="1"/>
        <s v="PREF CACERES" u="1"/>
        <s v="PREF CACHO ITAP" u="1"/>
        <s v="PREF CAJAMAR " u="1"/>
        <s v="PREF CAMAÇARI" u="1"/>
        <s v="PREF CANELA RS" u="1"/>
        <s v="PREF CAPIVARI" u="1"/>
        <s v="PREF CARAPICUI" u="1"/>
        <s v="PREF CATANDUVA" u="1"/>
        <s v="PREF CAUCAIA" u="1"/>
        <s v="PREF CERQUILHO" u="1"/>
        <s v="PREF COLATINA " u="1"/>
        <s v="PREF COLINA SP" u="1"/>
        <s v="PREF CONTAGEM" u="1"/>
        <s v="PREF COTIA" u="1"/>
        <s v="PREF CRATO - CE" u="1"/>
        <s v="PREF CUIABA AOL" u="1"/>
        <s v="PREF CURITIBA" u="1"/>
        <s v="PREF CURRAIS RN" u="1"/>
        <s v="PREF DIADEMA" u="1"/>
        <s v="PREF FABRICIANO" u="1"/>
        <s v="PREF FLORIANOPO" u="1"/>
        <s v="PREF FORTALEZA" u="1"/>
        <s v="PREF IMBITUBA" u="1"/>
        <s v="PREF IPATINGA" u="1"/>
        <s v="PREF ITAJUBA" u="1"/>
        <s v="PREF ITANHAEM" u="1"/>
        <s v="PREF ITAQUA" u="1"/>
        <s v="PREF JAHU - SP" u="1"/>
        <s v="PREF JUNDIAI" u="1"/>
        <s v="PREF LAJEADO" u="1"/>
        <s v="PREF LINHARES" u="1"/>
        <s v="PREF MANAUS -AM" u="1"/>
        <s v="PREF MEDIANEIRA" u="1"/>
        <s v="PREF MOGI CRUZE" u="1"/>
        <s v="PREF MONTES CLA" u="1"/>
        <s v="PREF OLINDA" u="1"/>
        <s v="PREF P ALEGRE" u="1"/>
        <s v="PREF PALHOÇA" u="1"/>
        <s v="PREF PARELHAS" u="1"/>
        <s v="PREF PERUIBE" u="1"/>
        <s v="PREF PETROLINA" u="1"/>
        <s v="PREF PICOS PI" u="1"/>
        <s v="PREF PILAR - AL" u="1"/>
        <s v="PREF PIRAC AOL" u="1"/>
        <s v="PREF POA" u="1"/>
        <s v="PREF POUSO ALEG" u="1"/>
        <s v="PREF PRAIA GRAN" u="1"/>
        <s v="PREF PTA GROSSA" u="1"/>
        <s v="PREF QUIXADA" u="1"/>
        <s v="PREF RECIFE" u="1"/>
        <s v="PREF RIB NEVES" u="1"/>
        <s v="PREF RIB PRETO" u="1"/>
        <s v="PREF RIO GRANDE" u="1"/>
        <s v="PREF S BARBARA" u="1"/>
        <s v="PREF S CRUZ CAB" u="1"/>
        <s v="PREF S JOSE SC" u="1"/>
        <s v="PREF SALTO" u="1"/>
        <s v="PREF SALVADOR" u="1"/>
        <s v="PREF SANTOS" u="1"/>
        <s v="PREF SAPUCAIA" u="1"/>
        <s v="PREF SERRA - ES" u="1"/>
        <s v="PREF SJR PRETO" u="1"/>
        <s v="PREF SOBRAL" u="1"/>
        <s v="PREF SOROCABA" u="1"/>
        <s v="PREF ST ANDRE" u="1"/>
        <s v="PREF STA CRUZ R" u="1"/>
        <s v="PREF TATUI - SP" u="1"/>
        <s v="PREF TUPA - SP" u="1"/>
        <s v="PREF VALPARAISO" u="1"/>
        <s v="PREF VERA CRUZ" u="1"/>
        <s v="PREF VILA VELHA" u="1"/>
        <s v="PREF VOTUPORANG" u="1"/>
        <s v="PREV ITANHAEM" u="1"/>
        <s v="SAAE FORMIGA MG" u="1"/>
        <s v="SEMAE-PIRACICAB" u="1"/>
        <s v="SEPREM" u="1"/>
        <s v="SIAPE 999" u="1"/>
        <s v="SIAPE PENSI 999" u="1"/>
        <s v="TJ AM" u="1"/>
        <s v="TJ DF" u="1"/>
        <s v="TJ ESP SANTO" u="1"/>
        <s v="TJ MARANHAO" u="1"/>
        <s v="TJ MINAS GERAIS" u="1"/>
        <s v="TJ SAO PAULO" u="1"/>
        <s v="UNICAMP" u="1"/>
        <s v="USP" u="1"/>
        <s v="SEPLAG" u="1"/>
      </sharedItems>
    </cacheField>
    <cacheField name="TABEL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6">
  <r>
    <x v="0"/>
    <s v="1AERONAUTICA 999"/>
    <n v="1"/>
    <s v="775321 - Tabela 1"/>
    <n v="2.5000000000000001E-2"/>
    <n v="96"/>
    <s v=""/>
    <n v="2.16"/>
    <n v="10"/>
    <m/>
    <s v="775321 - RFN - AERONAUTICA 1 "/>
    <s v="1,34"/>
    <n v="12"/>
    <n v="2"/>
    <n v="500"/>
    <n v="202605"/>
    <s v="LG"/>
    <s v="0"/>
    <n v="1.34E-2"/>
    <n v="2.1600000000000001E-2"/>
    <b v="0"/>
    <s v="20260512"/>
    <n v="7"/>
  </r>
  <r>
    <x v="0"/>
    <s v="2AERONAUTICA 999"/>
    <n v="2"/>
    <s v="775322 - Tabela 2"/>
    <n v="0.02"/>
    <n v="96"/>
    <s v=""/>
    <n v="2.16"/>
    <n v="10"/>
    <n v="44"/>
    <s v="775322 - RFN - AERONAUTICA 2 "/>
    <s v="1,34"/>
    <n v="12"/>
    <n v="2"/>
    <n v="500"/>
    <n v="202605"/>
    <s v="LG"/>
    <s v="0"/>
    <n v="1.34E-2"/>
    <n v="2.1600000000000001E-2"/>
    <b v="0"/>
    <s v="20260512"/>
    <n v="7"/>
  </r>
  <r>
    <x v="0"/>
    <s v="3AERONAUTICA 999"/>
    <n v="3"/>
    <s v="775323 - Tabela 3"/>
    <n v="1.9599999999999999E-2"/>
    <n v="96"/>
    <s v=""/>
    <n v="2.16"/>
    <n v="10"/>
    <n v="47"/>
    <s v="775323 - RFN - AERONAUTICA 3 "/>
    <s v="1,34"/>
    <n v="12"/>
    <n v="2"/>
    <n v="500"/>
    <n v="202605"/>
    <s v="LG"/>
    <s v="0"/>
    <n v="1.34E-2"/>
    <n v="2.1600000000000001E-2"/>
    <b v="0"/>
    <s v="20260512"/>
    <n v="7"/>
  </r>
  <r>
    <x v="0"/>
    <s v="4AERONAUTICA 999"/>
    <n v="4"/>
    <s v="775324 - Tabela 4"/>
    <n v="1.9199999999999998E-2"/>
    <n v="96"/>
    <s v=""/>
    <n v="2.16"/>
    <n v="10"/>
    <n v="49"/>
    <s v="775324 - RFN - AERONAUTICA 4 "/>
    <s v="1,34"/>
    <n v="12"/>
    <n v="2"/>
    <n v="500"/>
    <n v="202605"/>
    <s v="LG"/>
    <s v="0"/>
    <n v="1.34E-2"/>
    <n v="2.1600000000000001E-2"/>
    <b v="0"/>
    <s v="20260512"/>
    <n v="7"/>
  </r>
  <r>
    <x v="0"/>
    <s v="5AERONAUTICA 999"/>
    <n v="5"/>
    <s v="775325 - Tabela 5"/>
    <n v="1.8799999999999997E-2"/>
    <n v="96"/>
    <s v=""/>
    <n v="2.16"/>
    <n v="10"/>
    <n v="43"/>
    <s v="775325 - RFN - AERONAUTICA 5 "/>
    <s v="1,34"/>
    <n v="12"/>
    <n v="2"/>
    <n v="500"/>
    <n v="202605"/>
    <s v="LG"/>
    <s v="0"/>
    <n v="1.34E-2"/>
    <n v="2.1600000000000001E-2"/>
    <b v="0"/>
    <s v="20260512"/>
    <n v="7"/>
  </r>
  <r>
    <x v="0"/>
    <s v="6AERONAUTICA 999"/>
    <n v="6"/>
    <s v="775326 - Tabela 6"/>
    <n v="1.84E-2"/>
    <n v="96"/>
    <s v=""/>
    <n v="2.16"/>
    <n v="10"/>
    <n v="44"/>
    <s v="775326 - RFN - AERONAUTICA 6 "/>
    <s v="1,34"/>
    <n v="12"/>
    <n v="2"/>
    <n v="500"/>
    <n v="202605"/>
    <s v="LG"/>
    <s v="0"/>
    <n v="1.34E-2"/>
    <n v="2.1600000000000001E-2"/>
    <b v="0"/>
    <s v="20260512"/>
    <n v="7"/>
  </r>
  <r>
    <x v="0"/>
    <s v="7AERONAUTICA 999"/>
    <n v="7"/>
    <s v="775327 - Tabela 7"/>
    <n v="1.8000000000000002E-2"/>
    <n v="96"/>
    <s v=""/>
    <n v="2.16"/>
    <n v="10"/>
    <n v="44"/>
    <s v="775327 - RFN - AERONAUTICA 7 "/>
    <s v="1,34"/>
    <n v="12"/>
    <n v="2"/>
    <n v="500"/>
    <n v="202605"/>
    <s v="LG"/>
    <s v="0"/>
    <n v="1.34E-2"/>
    <n v="2.1600000000000001E-2"/>
    <b v="0"/>
    <s v="20260512"/>
    <n v="7"/>
  </r>
  <r>
    <x v="0"/>
    <s v="8AERONAUTICA 999"/>
    <n v="8"/>
    <s v="775328 - Tabela 8"/>
    <n v="1.7600000000000001E-2"/>
    <n v="96"/>
    <s v=""/>
    <n v="2.16"/>
    <n v="10"/>
    <n v="42"/>
    <s v="775328 - RFN - AERONAUTICA 8 "/>
    <s v="1,34"/>
    <n v="12"/>
    <n v="2"/>
    <n v="500"/>
    <n v="202605"/>
    <s v="LG"/>
    <s v="0"/>
    <n v="1.34E-2"/>
    <n v="2.1600000000000001E-2"/>
    <b v="0"/>
    <s v="20260512"/>
    <n v="7"/>
  </r>
  <r>
    <x v="0"/>
    <s v="9AERONAUTICA 999"/>
    <n v="9"/>
    <s v="775329 - Tabela 9"/>
    <n v="1.72E-2"/>
    <n v="96"/>
    <s v=""/>
    <n v="2.16"/>
    <n v="10"/>
    <n v="44"/>
    <s v="775329 - RFN - AERONAUTICA 9 "/>
    <s v="1,34"/>
    <n v="12"/>
    <n v="2"/>
    <n v="500"/>
    <n v="202605"/>
    <s v="LG"/>
    <s v="0"/>
    <n v="1.34E-2"/>
    <n v="2.1600000000000001E-2"/>
    <b v="0"/>
    <s v="20260512"/>
    <n v="7"/>
  </r>
  <r>
    <x v="0"/>
    <s v="10AERONAUTICA 999"/>
    <n v="10"/>
    <s v="775330 - Tabela 10"/>
    <n v="1.6799999999999999E-2"/>
    <n v="96"/>
    <s v=""/>
    <n v="2.16"/>
    <n v="10"/>
    <n v="42"/>
    <s v="775330 - RFN - AERONAUTICA 10 "/>
    <s v="1,34"/>
    <n v="12"/>
    <n v="2"/>
    <n v="500"/>
    <n v="202605"/>
    <s v="LG"/>
    <s v="0"/>
    <n v="1.34E-2"/>
    <n v="2.1600000000000001E-2"/>
    <b v="0"/>
    <s v="20260512"/>
    <n v="7"/>
  </r>
  <r>
    <x v="0"/>
    <s v="11AERONAUTICA 999"/>
    <n v="11"/>
    <s v="775331 - Tabela 11"/>
    <n v="1.6399999999999998E-2"/>
    <n v="96"/>
    <s v=""/>
    <n v="2.16"/>
    <n v="10"/>
    <n v="42"/>
    <s v="775331 - RFN - AERONAUTICA 11 "/>
    <s v="1,34"/>
    <n v="12"/>
    <n v="2"/>
    <n v="500"/>
    <n v="202605"/>
    <s v="LG"/>
    <s v="0"/>
    <n v="1.34E-2"/>
    <n v="2.1600000000000001E-2"/>
    <b v="0"/>
    <s v="20260512"/>
    <n v="7"/>
  </r>
  <r>
    <x v="0"/>
    <s v="12AERONAUTICA 999"/>
    <n v="12"/>
    <s v="775320 - Tabela "/>
    <n v="1.61E-2"/>
    <n v="96"/>
    <s v=""/>
    <n v="2.16"/>
    <n v="10"/>
    <n v="55"/>
    <s v="775320 - IFP RFN - AERONAUTICA "/>
    <s v="1,34"/>
    <n v="12"/>
    <n v="2"/>
    <n v="500"/>
    <n v="202605"/>
    <s v="LG"/>
    <s v="0"/>
    <n v="1.34E-2"/>
    <n v="2.1600000000000001E-2"/>
    <b v="0"/>
    <s v="20260512"/>
    <n v="7"/>
  </r>
  <r>
    <x v="0"/>
    <s v="13AERONAUTICA 999"/>
    <n v="13"/>
    <s v="775332 - Tabela 12"/>
    <n v="1.61E-2"/>
    <n v="96"/>
    <s v=""/>
    <n v="2.16"/>
    <n v="10"/>
    <n v="42"/>
    <s v="775332 - RFN - AERONAUTICA 12 "/>
    <s v="1,34"/>
    <n v="12"/>
    <n v="2"/>
    <n v="500"/>
    <n v="202605"/>
    <s v="LG"/>
    <s v="0"/>
    <n v="1.34E-2"/>
    <n v="2.1600000000000001E-2"/>
    <b v="0"/>
    <s v="20260512"/>
    <n v="7"/>
  </r>
  <r>
    <x v="1"/>
    <s v="1AMAZONPREV-AOL"/>
    <n v="1"/>
    <s v="755501 - Tabela 1"/>
    <n v="2.5000000000000001E-2"/>
    <n v="120"/>
    <s v=""/>
    <n v="2.5"/>
    <n v="10"/>
    <n v="56"/>
    <s v="755501 - RFN - AMAZONPREV 1 "/>
    <s v="1,64"/>
    <n v="30"/>
    <n v="2"/>
    <n v="500"/>
    <n v="202605"/>
    <s v="NW"/>
    <s v="1"/>
    <n v="1.6399999999999998E-2"/>
    <n v="2.5000000000000001E-2"/>
    <b v="1"/>
    <s v="20260530"/>
    <n v="20"/>
  </r>
  <r>
    <x v="1"/>
    <s v="2AMAZONPREV-AOL"/>
    <n v="2"/>
    <s v="755502 - Tabela 2"/>
    <n v="2.4E-2"/>
    <n v="120"/>
    <s v=""/>
    <n v="2.5"/>
    <n v="10"/>
    <n v="55"/>
    <s v="755502 - RFN - AMAZONPREV 2 "/>
    <s v="1,64"/>
    <n v="30"/>
    <n v="2"/>
    <n v="500"/>
    <n v="202605"/>
    <s v="NW"/>
    <s v="1"/>
    <n v="1.6399999999999998E-2"/>
    <n v="2.5000000000000001E-2"/>
    <b v="0"/>
    <s v="20260530"/>
    <n v="20"/>
  </r>
  <r>
    <x v="1"/>
    <s v="3AMAZONPREV-AOL"/>
    <n v="3"/>
    <s v="755503 - Tabela 3"/>
    <n v="2.3E-2"/>
    <n v="120"/>
    <s v=""/>
    <n v="2.5"/>
    <n v="10"/>
    <n v="56"/>
    <s v="755503 - RFN - AMAZONPREV 3 "/>
    <s v="1,64"/>
    <n v="30"/>
    <n v="2"/>
    <n v="500"/>
    <n v="202605"/>
    <s v="NW"/>
    <s v="1"/>
    <n v="1.6399999999999998E-2"/>
    <n v="2.5000000000000001E-2"/>
    <b v="0"/>
    <s v="20260530"/>
    <n v="20"/>
  </r>
  <r>
    <x v="1"/>
    <s v="4AMAZONPREV-AOL"/>
    <n v="4"/>
    <s v="755505 - Tabela 4"/>
    <n v="2.2000000000000002E-2"/>
    <n v="120"/>
    <s v=""/>
    <n v="2.5"/>
    <n v="10"/>
    <n v="55"/>
    <s v="755505 - RFN - AMAZONPREV 4 "/>
    <s v="1,64"/>
    <n v="30"/>
    <n v="2"/>
    <n v="500"/>
    <n v="202605"/>
    <s v="NW"/>
    <s v="1"/>
    <n v="1.6399999999999998E-2"/>
    <n v="2.5000000000000001E-2"/>
    <b v="0"/>
    <s v="20260530"/>
    <n v="20"/>
  </r>
  <r>
    <x v="1"/>
    <s v="5AMAZONPREV-AOL"/>
    <n v="5"/>
    <s v="755507 - Tabela 456"/>
    <n v="1.9E-2"/>
    <n v="120"/>
    <s v=""/>
    <n v="2.5"/>
    <n v="10"/>
    <n v="51"/>
    <s v="755507 - RFN - AMAZONPREV 45K 6 "/>
    <s v="1,64"/>
    <n v="30"/>
    <n v="2"/>
    <n v="45000"/>
    <n v="202605"/>
    <s v="NW"/>
    <s v="1"/>
    <n v="1.6399999999999998E-2"/>
    <n v="2.5000000000000001E-2"/>
    <b v="0"/>
    <s v="20260530"/>
    <n v="20"/>
  </r>
  <r>
    <x v="1"/>
    <s v="6AMAZONPREV-AOL"/>
    <n v="6"/>
    <s v="755508 - Tabela 607"/>
    <n v="1.8000000000000002E-2"/>
    <n v="120"/>
    <s v=""/>
    <n v="2.5"/>
    <n v="10"/>
    <n v="54"/>
    <s v="755508 - RFN - AMAZONPREV 60K 7 "/>
    <s v="1,64"/>
    <n v="30"/>
    <n v="2"/>
    <n v="60000"/>
    <n v="202605"/>
    <s v="NW"/>
    <s v="1"/>
    <n v="1.6399999999999998E-2"/>
    <n v="2.5000000000000001E-2"/>
    <b v="0"/>
    <s v="20260530"/>
    <n v="20"/>
  </r>
  <r>
    <x v="2"/>
    <s v="1ASS LEG   ES"/>
    <n v="1"/>
    <s v="795491 - Tabela 1"/>
    <n v="2.5000000000000001E-2"/>
    <n v="120"/>
    <s v=""/>
    <n v="2.5"/>
    <n v="5"/>
    <n v="46"/>
    <s v="795491 - RFN - ASS. LEGISLATIVA ES 1 "/>
    <s v="1,3"/>
    <n v="8"/>
    <n v="2"/>
    <n v="500"/>
    <n v="202605"/>
    <s v="LG"/>
    <s v="0"/>
    <n v="1.3000000000000001E-2"/>
    <n v="2.5000000000000001E-2"/>
    <b v="1"/>
    <s v="2026058"/>
    <n v="5"/>
  </r>
  <r>
    <x v="2"/>
    <s v="2ASS LEG   ES"/>
    <n v="2"/>
    <s v="795492 - Tabela 2"/>
    <n v="2.3E-2"/>
    <n v="120"/>
    <s v=""/>
    <n v="2.5"/>
    <n v="5"/>
    <n v="46"/>
    <s v="795492 - RFN - ASS. LEGISLATIVA ES 2 "/>
    <s v="1,3"/>
    <n v="8"/>
    <n v="2"/>
    <n v="500"/>
    <n v="202605"/>
    <s v="LG"/>
    <s v="0"/>
    <n v="1.3000000000000001E-2"/>
    <n v="2.5000000000000001E-2"/>
    <b v="0"/>
    <s v="2026058"/>
    <n v="5"/>
  </r>
  <r>
    <x v="2"/>
    <s v="3ASS LEG   ES"/>
    <n v="3"/>
    <s v="795493 - Tabela 3"/>
    <n v="2.1000000000000001E-2"/>
    <n v="120"/>
    <s v=""/>
    <n v="2.5"/>
    <n v="5"/>
    <n v="46"/>
    <s v="795493 - RFN - ASS. LEGISLATIVA ES 3 "/>
    <s v="1,3"/>
    <n v="8"/>
    <n v="2"/>
    <n v="500"/>
    <n v="202605"/>
    <s v="LG"/>
    <s v="0"/>
    <n v="1.3000000000000001E-2"/>
    <n v="2.5000000000000001E-2"/>
    <b v="0"/>
    <s v="2026058"/>
    <n v="5"/>
  </r>
  <r>
    <x v="2"/>
    <s v="4ASS LEG   ES"/>
    <n v="4"/>
    <s v="795494 - Tabela 4"/>
    <n v="1.9E-2"/>
    <n v="120"/>
    <s v=""/>
    <n v="2.5"/>
    <n v="5"/>
    <n v="46"/>
    <s v="795494 - RFN - ASS. LEGISLATIVA ES 4 "/>
    <s v="1,3"/>
    <n v="8"/>
    <n v="2"/>
    <n v="500"/>
    <n v="202605"/>
    <s v="LG"/>
    <s v="0"/>
    <n v="1.3000000000000001E-2"/>
    <n v="2.5000000000000001E-2"/>
    <b v="0"/>
    <s v="2026058"/>
    <n v="5"/>
  </r>
  <r>
    <x v="2"/>
    <s v="5ASS LEG   ES"/>
    <n v="5"/>
    <s v="795495 - Tabela 5"/>
    <n v="1.8000000000000002E-2"/>
    <n v="120"/>
    <s v=""/>
    <n v="2.5"/>
    <n v="5"/>
    <n v="46"/>
    <s v="795495 - RFN - ASS. LEGISLATIVA ES 5 "/>
    <s v="1,3"/>
    <n v="8"/>
    <n v="2"/>
    <n v="500"/>
    <n v="202605"/>
    <s v="LG"/>
    <s v="0"/>
    <n v="1.3000000000000001E-2"/>
    <n v="2.5000000000000001E-2"/>
    <b v="0"/>
    <s v="2026058"/>
    <n v="5"/>
  </r>
  <r>
    <x v="2"/>
    <s v="6ASS LEG   ES"/>
    <n v="6"/>
    <s v="795496 - Tabela 6"/>
    <n v="1.7500000000000002E-2"/>
    <n v="120"/>
    <s v=""/>
    <n v="2.5"/>
    <n v="5"/>
    <n v="46"/>
    <s v="795496 - RFN - ASS. LEGISLATIVA ES 6 "/>
    <s v="1,3"/>
    <n v="8"/>
    <n v="2"/>
    <n v="500"/>
    <n v="202605"/>
    <s v="LG"/>
    <s v="0"/>
    <n v="1.3000000000000001E-2"/>
    <n v="2.5000000000000001E-2"/>
    <b v="0"/>
    <s v="2026058"/>
    <n v="5"/>
  </r>
  <r>
    <x v="2"/>
    <s v="7ASS LEG   ES"/>
    <n v="7"/>
    <s v="795497 - Tabela 7"/>
    <n v="1.7000000000000001E-2"/>
    <n v="120"/>
    <s v=""/>
    <n v="2.5"/>
    <n v="5"/>
    <n v="46"/>
    <s v="795497 - RFN - ASS. LEGISLATIVA ES 7 "/>
    <s v="1,3"/>
    <n v="8"/>
    <n v="2"/>
    <n v="500"/>
    <n v="202605"/>
    <s v="LG"/>
    <s v="0"/>
    <n v="1.3000000000000001E-2"/>
    <n v="2.5000000000000001E-2"/>
    <b v="0"/>
    <s v="2026058"/>
    <n v="5"/>
  </r>
  <r>
    <x v="2"/>
    <s v="8ASS LEG   ES"/>
    <n v="8"/>
    <s v="795498 - Tabela 8"/>
    <n v="1.6500000000000001E-2"/>
    <n v="120"/>
    <s v=""/>
    <n v="2.5"/>
    <n v="5"/>
    <n v="46"/>
    <s v="795498 - RFN - ASS. LEGISLATIVA ES 8 "/>
    <s v="1,3"/>
    <n v="8"/>
    <n v="2"/>
    <n v="500"/>
    <n v="202605"/>
    <s v="LG"/>
    <s v="0"/>
    <n v="1.3000000000000001E-2"/>
    <n v="2.5000000000000001E-2"/>
    <b v="0"/>
    <s v="2026058"/>
    <n v="5"/>
  </r>
  <r>
    <x v="2"/>
    <s v="9ASS LEG   ES"/>
    <n v="9"/>
    <s v="795499 - Tabela 9"/>
    <n v="1.6E-2"/>
    <n v="120"/>
    <s v=""/>
    <n v="2.5"/>
    <n v="5"/>
    <n v="46"/>
    <s v="795499 - RFN - ASS. LEGISLATIVA ES 9 "/>
    <s v="1,3"/>
    <n v="8"/>
    <n v="2"/>
    <n v="500"/>
    <n v="202605"/>
    <s v="LG"/>
    <s v="0"/>
    <n v="1.3000000000000001E-2"/>
    <n v="2.5000000000000001E-2"/>
    <b v="0"/>
    <s v="2026058"/>
    <n v="5"/>
  </r>
  <r>
    <x v="3"/>
    <s v="1ASSISPREV"/>
    <n v="1"/>
    <s v="715271 - Tabela 1"/>
    <n v="2.5000000000000001E-2"/>
    <n v="120"/>
    <s v=""/>
    <n v="2.5"/>
    <n v="15"/>
    <m/>
    <s v="715271 - RFN - ASSISPREV 1 "/>
    <s v="1,8"/>
    <n v="20"/>
    <n v="2"/>
    <n v="500"/>
    <n v="202605"/>
    <s v="LG"/>
    <s v="0"/>
    <n v="1.8000000000000002E-2"/>
    <n v="2.5000000000000001E-2"/>
    <b v="1"/>
    <s v="20260520"/>
    <n v="13"/>
  </r>
  <r>
    <x v="3"/>
    <s v="2ASSISPREV"/>
    <n v="2"/>
    <s v="715272 - Tabela 2"/>
    <n v="2.1499999999999998E-2"/>
    <n v="120"/>
    <s v=""/>
    <n v="2.5"/>
    <n v="15"/>
    <m/>
    <s v="715272 - RFN - ASSISPREV 2 "/>
    <s v="1,8"/>
    <n v="20"/>
    <n v="2"/>
    <n v="500"/>
    <n v="202605"/>
    <s v="LG"/>
    <s v="0"/>
    <n v="1.8000000000000002E-2"/>
    <n v="2.5000000000000001E-2"/>
    <b v="0"/>
    <s v="20260520"/>
    <n v="13"/>
  </r>
  <r>
    <x v="3"/>
    <s v="3ASSISPREV"/>
    <n v="3"/>
    <s v="715273 - Tabela 3"/>
    <n v="2.1099999999999997E-2"/>
    <n v="120"/>
    <s v=""/>
    <n v="2.5"/>
    <n v="15"/>
    <m/>
    <s v="715273 - RFN - ASSISPREV 3 "/>
    <s v="1,8"/>
    <n v="20"/>
    <n v="2"/>
    <n v="500"/>
    <n v="202605"/>
    <s v="LG"/>
    <s v="0"/>
    <n v="1.8000000000000002E-2"/>
    <n v="2.5000000000000001E-2"/>
    <b v="0"/>
    <s v="20260520"/>
    <n v="13"/>
  </r>
  <r>
    <x v="3"/>
    <s v="4ASSISPREV"/>
    <n v="4"/>
    <s v="715274 - Tabela 4"/>
    <n v="2.06E-2"/>
    <n v="120"/>
    <s v=""/>
    <n v="2.5"/>
    <n v="15"/>
    <m/>
    <s v="715274 - RFN - ASSISPREV 4 "/>
    <s v="1,8"/>
    <n v="20"/>
    <n v="2"/>
    <n v="500"/>
    <n v="202605"/>
    <s v="LG"/>
    <s v="0"/>
    <n v="1.8000000000000002E-2"/>
    <n v="2.5000000000000001E-2"/>
    <b v="0"/>
    <s v="20260520"/>
    <n v="13"/>
  </r>
  <r>
    <x v="3"/>
    <s v="5ASSISPREV"/>
    <n v="5"/>
    <s v="715275 - Tabela 5"/>
    <n v="2.0099999999999996E-2"/>
    <n v="120"/>
    <s v=""/>
    <n v="2.5"/>
    <n v="15"/>
    <n v="43"/>
    <s v="715275 - RFN - ASSISPREV 5 "/>
    <s v="1,8"/>
    <n v="20"/>
    <n v="2"/>
    <n v="500"/>
    <n v="202605"/>
    <s v="LG"/>
    <s v="0"/>
    <n v="1.8000000000000002E-2"/>
    <n v="2.5000000000000001E-2"/>
    <b v="0"/>
    <s v="20260520"/>
    <n v="13"/>
  </r>
  <r>
    <x v="4"/>
    <s v="1CAM CUIABA EST"/>
    <n v="1"/>
    <s v="795150 - Tabela 1"/>
    <n v="2.5000000000000001E-2"/>
    <n v="96"/>
    <s v=""/>
    <n v="2.5"/>
    <n v="26"/>
    <m/>
    <s v="795150 - RFN - CAM MUN CUIABA ESTATU 1  "/>
    <s v="1,6"/>
    <n v="12"/>
    <n v="2"/>
    <n v="500"/>
    <n v="202605"/>
    <s v="NW"/>
    <s v="0"/>
    <n v="1.6E-2"/>
    <n v="2.5000000000000001E-2"/>
    <b v="1"/>
    <s v="20260512"/>
    <n v="7"/>
  </r>
  <r>
    <x v="4"/>
    <s v="2CAM CUIABA EST"/>
    <n v="2"/>
    <s v="795151 - Tabela 2"/>
    <n v="2.4E-2"/>
    <n v="96"/>
    <s v=""/>
    <n v="2.5"/>
    <n v="26"/>
    <m/>
    <s v="795151 - RFN - CAM MUN CUIABA ESTATU 2  "/>
    <s v="1,6"/>
    <n v="12"/>
    <n v="2"/>
    <n v="500"/>
    <n v="202605"/>
    <s v="NW"/>
    <s v="0"/>
    <n v="1.6E-2"/>
    <n v="2.5000000000000001E-2"/>
    <b v="0"/>
    <s v="20260512"/>
    <n v="7"/>
  </r>
  <r>
    <x v="4"/>
    <s v="3CAM CUIABA EST"/>
    <n v="3"/>
    <s v="795152 - Tabela 3"/>
    <n v="2.2000000000000002E-2"/>
    <n v="96"/>
    <s v=""/>
    <n v="2.5"/>
    <n v="26"/>
    <m/>
    <s v="795152 - RFN - CAM MUN CUIABA ESTATU 3  "/>
    <s v="1,6"/>
    <n v="12"/>
    <n v="2"/>
    <n v="500"/>
    <n v="202605"/>
    <s v="NW"/>
    <s v="0"/>
    <n v="1.6E-2"/>
    <n v="2.5000000000000001E-2"/>
    <b v="0"/>
    <s v="20260512"/>
    <n v="7"/>
  </r>
  <r>
    <x v="5"/>
    <s v="1CARAGUAPRE PORT"/>
    <n v="1"/>
    <s v="725471 - Tabela 1"/>
    <n v="2.5000000000000001E-2"/>
    <n v="120"/>
    <s v=""/>
    <n v="2.5"/>
    <n v="10"/>
    <m/>
    <s v="725471 - RFN - CARAGUAPREV 1 "/>
    <s v="1,5"/>
    <n v="5"/>
    <n v="2"/>
    <n v="500"/>
    <n v="202605"/>
    <s v="LG"/>
    <s v="1"/>
    <n v="1.4999999999999999E-2"/>
    <n v="2.5000000000000001E-2"/>
    <b v="1"/>
    <s v="2026055"/>
    <n v="2"/>
  </r>
  <r>
    <x v="5"/>
    <s v="2CARAGUAPRE PORT"/>
    <n v="2"/>
    <s v="725472 - Tabela 2"/>
    <n v="2.3900000000000001E-2"/>
    <n v="120"/>
    <s v=""/>
    <n v="2.5"/>
    <n v="10"/>
    <m/>
    <s v="725472 - RFN - CARAGUAPREV 2 "/>
    <s v="1,5"/>
    <n v="5"/>
    <n v="2"/>
    <n v="500"/>
    <n v="202605"/>
    <s v="LG"/>
    <s v="1"/>
    <n v="1.4999999999999999E-2"/>
    <n v="2.5000000000000001E-2"/>
    <b v="0"/>
    <s v="2026055"/>
    <n v="2"/>
  </r>
  <r>
    <x v="5"/>
    <s v="3CARAGUAPRE PORT"/>
    <n v="3"/>
    <s v="725473 - Tabela 3"/>
    <n v="2.29E-2"/>
    <n v="120"/>
    <s v=""/>
    <n v="2.5"/>
    <n v="10"/>
    <m/>
    <s v="725473 - RFN - CARAGUAPREV 3 "/>
    <s v="1,5"/>
    <n v="5"/>
    <n v="2"/>
    <n v="500"/>
    <n v="202605"/>
    <s v="LG"/>
    <s v="1"/>
    <n v="1.4999999999999999E-2"/>
    <n v="2.5000000000000001E-2"/>
    <b v="0"/>
    <s v="2026055"/>
    <n v="2"/>
  </r>
  <r>
    <x v="5"/>
    <s v="4CARAGUAPRE PORT"/>
    <n v="4"/>
    <s v="725474 - Tabela 4"/>
    <n v="2.1899999999999999E-2"/>
    <n v="120"/>
    <s v=""/>
    <n v="2.5"/>
    <n v="10"/>
    <m/>
    <s v="725474 - RFN - CARAGUAPREV 4 "/>
    <s v="1,5"/>
    <n v="5"/>
    <n v="2"/>
    <n v="500"/>
    <n v="202605"/>
    <s v="LG"/>
    <s v="1"/>
    <n v="1.4999999999999999E-2"/>
    <n v="2.5000000000000001E-2"/>
    <b v="0"/>
    <s v="2026055"/>
    <n v="2"/>
  </r>
  <r>
    <x v="5"/>
    <s v="5CARAGUAPRE PORT"/>
    <n v="5"/>
    <s v="725475 - Tabela 5"/>
    <n v="2.0899999999999998E-2"/>
    <n v="120"/>
    <s v=""/>
    <n v="2.5"/>
    <n v="10"/>
    <m/>
    <s v="725475 - RFN - CARAGUAPREV 5 "/>
    <s v="1,5"/>
    <n v="5"/>
    <n v="2"/>
    <n v="500"/>
    <n v="202605"/>
    <s v="LG"/>
    <s v="1"/>
    <n v="1.4999999999999999E-2"/>
    <n v="2.5000000000000001E-2"/>
    <b v="0"/>
    <s v="2026055"/>
    <n v="2"/>
  </r>
  <r>
    <x v="5"/>
    <s v="6CARAGUAPRE PORT"/>
    <n v="6"/>
    <s v="725476 - Tabela 6"/>
    <n v="2.0400000000000001E-2"/>
    <n v="120"/>
    <s v=""/>
    <n v="2.5"/>
    <n v="10"/>
    <m/>
    <s v="725476 - RFN - CARAGUAPREV 6 "/>
    <s v="1,5"/>
    <n v="5"/>
    <n v="2"/>
    <n v="500"/>
    <n v="202605"/>
    <s v="LG"/>
    <s v="1"/>
    <n v="1.4999999999999999E-2"/>
    <n v="2.5000000000000001E-2"/>
    <b v="0"/>
    <s v="2026055"/>
    <n v="2"/>
  </r>
  <r>
    <x v="6"/>
    <s v="1CODAU - UBERABA"/>
    <n v="1"/>
    <s v="775661 - Tabela 1"/>
    <n v="2.2000000000000002E-2"/>
    <n v="120"/>
    <s v=""/>
    <n v="2.35"/>
    <n v="17"/>
    <m/>
    <s v="775661 - RFN - CODAU - UBERABA 1 "/>
    <s v="1,5"/>
    <n v="10"/>
    <n v="2"/>
    <n v="500"/>
    <n v="202605"/>
    <s v="LG"/>
    <s v="1"/>
    <n v="1.4999999999999999E-2"/>
    <n v="2.35E-2"/>
    <b v="0"/>
    <s v="20260510"/>
    <n v="5"/>
  </r>
  <r>
    <x v="6"/>
    <s v="2CODAU - UBERABA"/>
    <n v="2"/>
    <s v="775662 - Tabela 2"/>
    <n v="2.1000000000000001E-2"/>
    <n v="120"/>
    <s v=""/>
    <n v="2.35"/>
    <n v="17"/>
    <m/>
    <s v="775662 - RFN - CODAU - UBERABA 2 "/>
    <s v="1,5"/>
    <n v="10"/>
    <n v="2"/>
    <n v="500"/>
    <n v="202605"/>
    <s v="LG"/>
    <s v="1"/>
    <n v="1.4999999999999999E-2"/>
    <n v="2.35E-2"/>
    <b v="0"/>
    <s v="20260510"/>
    <n v="5"/>
  </r>
  <r>
    <x v="6"/>
    <s v="3CODAU - UBERABA"/>
    <n v="3"/>
    <s v="775663 - Tabela 3"/>
    <n v="0.02"/>
    <n v="120"/>
    <s v=""/>
    <n v="2.35"/>
    <n v="17"/>
    <m/>
    <s v="775663 - RFN - CODAU - UBERABA 3 "/>
    <s v="1,5"/>
    <n v="10"/>
    <n v="2"/>
    <n v="500"/>
    <n v="202605"/>
    <s v="LG"/>
    <s v="1"/>
    <n v="1.4999999999999999E-2"/>
    <n v="2.35E-2"/>
    <b v="0"/>
    <s v="20260510"/>
    <n v="5"/>
  </r>
  <r>
    <x v="7"/>
    <s v="1COMCAP"/>
    <n v="1"/>
    <s v="715581 - Tabela 1"/>
    <n v="2.5000000000000001E-2"/>
    <n v="120"/>
    <s v=""/>
    <n v="2.5"/>
    <n v="20"/>
    <m/>
    <s v="715581 - RFN - COMCAP 1 "/>
    <s v="1,4"/>
    <n v="20"/>
    <n v="2"/>
    <n v="500"/>
    <n v="202605"/>
    <s v="NW"/>
    <s v="1"/>
    <n v="1.3999999999999999E-2"/>
    <n v="2.5000000000000001E-2"/>
    <b v="1"/>
    <s v="20260520"/>
    <n v="13"/>
  </r>
  <r>
    <x v="7"/>
    <s v="2COMCAP"/>
    <n v="2"/>
    <s v="715582 - Tabela 2"/>
    <n v="2.2000000000000002E-2"/>
    <n v="120"/>
    <s v=""/>
    <n v="2.5"/>
    <n v="20"/>
    <m/>
    <s v="715582 - RFN - COMCAP 2 "/>
    <s v="1,4"/>
    <n v="20"/>
    <n v="2"/>
    <n v="500"/>
    <n v="202605"/>
    <s v="NW"/>
    <s v="1"/>
    <n v="1.3999999999999999E-2"/>
    <n v="2.5000000000000001E-2"/>
    <b v="0"/>
    <s v="20260520"/>
    <n v="13"/>
  </r>
  <r>
    <x v="7"/>
    <s v="3COMCAP"/>
    <n v="3"/>
    <s v="715583 - Tabela 3"/>
    <n v="0.02"/>
    <n v="120"/>
    <s v=""/>
    <n v="2.5"/>
    <n v="20"/>
    <m/>
    <s v="715583 - RFN - COMCAP 3 "/>
    <s v="1,4"/>
    <n v="20"/>
    <n v="2"/>
    <n v="500"/>
    <n v="202605"/>
    <s v="NW"/>
    <s v="1"/>
    <n v="1.3999999999999999E-2"/>
    <n v="2.5000000000000001E-2"/>
    <b v="0"/>
    <s v="20260520"/>
    <n v="13"/>
  </r>
  <r>
    <x v="7"/>
    <s v="4COMCAP"/>
    <n v="4"/>
    <s v="715584 - Tabela 4"/>
    <n v="1.9E-2"/>
    <n v="120"/>
    <s v=""/>
    <n v="2.5"/>
    <n v="20"/>
    <m/>
    <s v="715584 - RFN - COMCAP 4 "/>
    <s v="1,4"/>
    <n v="20"/>
    <n v="2"/>
    <n v="500"/>
    <n v="202605"/>
    <s v="NW"/>
    <s v="1"/>
    <n v="1.3999999999999999E-2"/>
    <n v="2.5000000000000001E-2"/>
    <b v="0"/>
    <s v="20260520"/>
    <n v="13"/>
  </r>
  <r>
    <x v="7"/>
    <s v="5COMCAP"/>
    <n v="5"/>
    <s v="715585 - Tabela 5"/>
    <n v="1.8500000000000003E-2"/>
    <n v="120"/>
    <s v=""/>
    <n v="2.5"/>
    <n v="20"/>
    <m/>
    <s v="715585 - RFN - COMCAP 5 "/>
    <s v="1,4"/>
    <n v="20"/>
    <n v="2"/>
    <n v="500"/>
    <n v="202605"/>
    <s v="NW"/>
    <s v="1"/>
    <n v="1.3999999999999999E-2"/>
    <n v="2.5000000000000001E-2"/>
    <b v="0"/>
    <s v="20260520"/>
    <n v="13"/>
  </r>
  <r>
    <x v="8"/>
    <s v="1CUIABAPREV"/>
    <n v="1"/>
    <s v="799109 - Tabela 1"/>
    <n v="2.5000000000000001E-2"/>
    <n v="96"/>
    <s v=""/>
    <n v="2.5"/>
    <n v="30"/>
    <n v="69"/>
    <s v="799109 - RFN CUIABAPREV 1 "/>
    <s v="1,4"/>
    <n v="10"/>
    <n v="2"/>
    <n v="500"/>
    <n v="202605"/>
    <s v="LG"/>
    <s v="1"/>
    <n v="1.3999999999999999E-2"/>
    <n v="2.5000000000000001E-2"/>
    <b v="1"/>
    <s v="20260510"/>
    <n v="5"/>
  </r>
  <r>
    <x v="8"/>
    <s v="2CUIABAPREV"/>
    <n v="2"/>
    <s v="799111 - Tabela 2"/>
    <n v="2.2499999999999999E-2"/>
    <n v="96"/>
    <s v=""/>
    <n v="2.5"/>
    <n v="30"/>
    <n v="64"/>
    <s v="799111 - RFN CUIABAPREV 2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3CUIABAPREV"/>
    <n v="3"/>
    <s v="799112 - Tabela 3"/>
    <n v="2.2000000000000002E-2"/>
    <n v="96"/>
    <s v=""/>
    <n v="2.5"/>
    <n v="30"/>
    <n v="66"/>
    <s v="799112 - RFN CUIABAPREV 3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4CUIABAPREV"/>
    <n v="4"/>
    <s v="799113 - Tabela 4"/>
    <n v="2.1000000000000001E-2"/>
    <n v="96"/>
    <s v=""/>
    <n v="2.5"/>
    <n v="30"/>
    <n v="62"/>
    <s v="799113 - RFN CUIABAPREV 4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5CUIABAPREV"/>
    <n v="5"/>
    <s v="799114 - Tabela 5"/>
    <n v="0.02"/>
    <n v="96"/>
    <s v=""/>
    <n v="2.5"/>
    <n v="30"/>
    <n v="69"/>
    <s v="799114 - RFN CUIABAPREV 5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6CUIABAPREV"/>
    <n v="6"/>
    <s v="799115 - Tabela 6"/>
    <n v="1.95E-2"/>
    <n v="96"/>
    <s v=""/>
    <n v="2.5"/>
    <n v="30"/>
    <m/>
    <s v="799115 - RFN CUIABAPREV 6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7CUIABAPREV"/>
    <n v="7"/>
    <s v="799116 - Tabela 7"/>
    <n v="1.8500000000000003E-2"/>
    <n v="96"/>
    <s v=""/>
    <n v="2.5"/>
    <n v="30"/>
    <n v="63"/>
    <s v="799116 - RFN CUIABAPREV 7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8CUIABAPREV"/>
    <n v="8"/>
    <s v="799117 - Tabela 8"/>
    <n v="1.78E-2"/>
    <n v="96"/>
    <s v=""/>
    <n v="2.5"/>
    <n v="30"/>
    <n v="64"/>
    <s v="799117 - RFN CUIABAPREV 8 "/>
    <s v="1,4"/>
    <n v="10"/>
    <n v="2"/>
    <n v="500"/>
    <n v="202605"/>
    <s v="LG"/>
    <s v="1"/>
    <n v="1.3999999999999999E-2"/>
    <n v="2.5000000000000001E-2"/>
    <b v="0"/>
    <s v="20260510"/>
    <n v="5"/>
  </r>
  <r>
    <x v="8"/>
    <s v="9CUIABAPREV"/>
    <n v="9"/>
    <s v="799118 - Tabela 9"/>
    <n v="1.7500000000000002E-2"/>
    <n v="96"/>
    <s v=""/>
    <n v="2.5"/>
    <n v="30"/>
    <n v="66"/>
    <s v="799118 - RFN CUIABAPREV 9 "/>
    <s v="1,4"/>
    <n v="10"/>
    <n v="2"/>
    <n v="500"/>
    <n v="202605"/>
    <s v="LG"/>
    <s v="1"/>
    <n v="1.3999999999999999E-2"/>
    <n v="2.5000000000000001E-2"/>
    <b v="0"/>
    <s v="20260510"/>
    <n v="5"/>
  </r>
  <r>
    <x v="9"/>
    <s v="1DEP EST ROD DER"/>
    <n v="1"/>
    <s v="965612 - Tabela 1"/>
    <n v="2.5000000000000001E-2"/>
    <n v="120"/>
    <s v=""/>
    <n v="2.5"/>
    <n v="21"/>
    <n v="55"/>
    <s v="965612 - RFN - DER - PB 1  "/>
    <s v="1,5"/>
    <n v="10"/>
    <n v="2"/>
    <n v="500"/>
    <n v="202605"/>
    <s v="LG"/>
    <s v="1"/>
    <n v="1.4999999999999999E-2"/>
    <n v="2.5000000000000001E-2"/>
    <b v="1"/>
    <s v="20260510"/>
    <n v="5"/>
  </r>
  <r>
    <x v="9"/>
    <s v="2DEP EST ROD DER"/>
    <n v="2"/>
    <s v="965613 - Tabela 2"/>
    <n v="2.4E-2"/>
    <n v="120"/>
    <s v=""/>
    <n v="2.5"/>
    <n v="21"/>
    <m/>
    <s v="965613 - RFN - DER - PB 2  "/>
    <s v="1,5"/>
    <n v="10"/>
    <n v="2"/>
    <n v="500"/>
    <n v="202605"/>
    <s v="LG"/>
    <s v="1"/>
    <n v="1.4999999999999999E-2"/>
    <n v="2.5000000000000001E-2"/>
    <b v="0"/>
    <s v="20260510"/>
    <n v="5"/>
  </r>
  <r>
    <x v="9"/>
    <s v="3DEP EST ROD DER"/>
    <n v="3"/>
    <s v="965614 - Tabela 3"/>
    <n v="2.3E-2"/>
    <n v="120"/>
    <s v=""/>
    <n v="2.5"/>
    <n v="21"/>
    <m/>
    <s v="965614 - RFN - DER - PB 3  "/>
    <s v="1,5"/>
    <n v="10"/>
    <n v="2"/>
    <n v="500"/>
    <n v="202605"/>
    <s v="LG"/>
    <s v="1"/>
    <n v="1.4999999999999999E-2"/>
    <n v="2.5000000000000001E-2"/>
    <b v="0"/>
    <s v="20260510"/>
    <n v="5"/>
  </r>
  <r>
    <x v="9"/>
    <s v="4DEP EST ROD DER"/>
    <n v="4"/>
    <s v="965615 - Tabela 4"/>
    <n v="2.2000000000000002E-2"/>
    <n v="120"/>
    <s v=""/>
    <n v="2.5"/>
    <n v="21"/>
    <m/>
    <s v="965615 - RFN - DER - PB 4  "/>
    <s v="1,5"/>
    <n v="10"/>
    <n v="2"/>
    <n v="500"/>
    <n v="202605"/>
    <s v="LG"/>
    <s v="1"/>
    <n v="1.4999999999999999E-2"/>
    <n v="2.5000000000000001E-2"/>
    <b v="0"/>
    <s v="20260510"/>
    <n v="5"/>
  </r>
  <r>
    <x v="9"/>
    <s v="5DEP EST ROD DER"/>
    <n v="5"/>
    <s v="965616 - Tabela 5"/>
    <n v="2.1000000000000001E-2"/>
    <n v="120"/>
    <s v=""/>
    <n v="2.5"/>
    <n v="21"/>
    <m/>
    <s v="965616 - RFN - DER - PB 5  "/>
    <s v="1,5"/>
    <n v="10"/>
    <n v="2"/>
    <n v="500"/>
    <n v="202605"/>
    <s v="LG"/>
    <s v="1"/>
    <n v="1.4999999999999999E-2"/>
    <n v="2.5000000000000001E-2"/>
    <b v="0"/>
    <s v="20260510"/>
    <n v="5"/>
  </r>
  <r>
    <x v="10"/>
    <s v="1EMBASA - AOL"/>
    <n v="1"/>
    <s v="715141 - Tabela 1"/>
    <n v="2.5000000000000001E-2"/>
    <n v="96"/>
    <s v=""/>
    <n v="2.5"/>
    <n v="10"/>
    <n v="52"/>
    <s v="715141 - RFN - EMBASA - BAHIA 1 "/>
    <s v="1,67"/>
    <n v="15"/>
    <n v="2"/>
    <n v="500"/>
    <n v="202605"/>
    <s v="LG"/>
    <s v="0"/>
    <n v="1.67E-2"/>
    <n v="2.5000000000000001E-2"/>
    <b v="1"/>
    <s v="20260515"/>
    <n v="10"/>
  </r>
  <r>
    <x v="10"/>
    <s v="2EMBASA - AOL"/>
    <n v="2"/>
    <s v="715142 - Tabela 2"/>
    <n v="2.4500000000000001E-2"/>
    <n v="96"/>
    <s v=""/>
    <n v="2.5"/>
    <n v="10"/>
    <n v="52"/>
    <s v="715142 - RFN - EMBASA - BAHIA 2 "/>
    <s v="1,67"/>
    <n v="15"/>
    <n v="2"/>
    <n v="500"/>
    <n v="202605"/>
    <s v="LG"/>
    <s v="0"/>
    <n v="1.67E-2"/>
    <n v="2.5000000000000001E-2"/>
    <b v="0"/>
    <s v="20260515"/>
    <n v="10"/>
  </r>
  <r>
    <x v="10"/>
    <s v="3EMBASA - AOL"/>
    <n v="3"/>
    <s v="715143 - Tabela 3"/>
    <n v="2.4E-2"/>
    <n v="96"/>
    <s v=""/>
    <n v="2.5"/>
    <n v="10"/>
    <n v="52"/>
    <s v="715143 - RFN - EMBASA - BAHIA 3 "/>
    <s v="1,67"/>
    <n v="15"/>
    <n v="2"/>
    <n v="500"/>
    <n v="202605"/>
    <s v="LG"/>
    <s v="0"/>
    <n v="1.67E-2"/>
    <n v="2.5000000000000001E-2"/>
    <b v="0"/>
    <s v="20260515"/>
    <n v="10"/>
  </r>
  <r>
    <x v="10"/>
    <s v="4EMBASA - AOL"/>
    <n v="4"/>
    <s v="715144 - Tabela 4"/>
    <n v="2.3199999999999998E-2"/>
    <n v="96"/>
    <s v=""/>
    <n v="2.5"/>
    <n v="10"/>
    <n v="52"/>
    <s v="715144 - RFN - EMBASA - BAHIA 4 "/>
    <s v="1,67"/>
    <n v="15"/>
    <n v="2"/>
    <n v="500"/>
    <n v="202605"/>
    <s v="LG"/>
    <s v="0"/>
    <n v="1.67E-2"/>
    <n v="2.5000000000000001E-2"/>
    <b v="0"/>
    <s v="20260515"/>
    <n v="10"/>
  </r>
  <r>
    <x v="11"/>
    <s v="1EMBUPREV SP"/>
    <n v="1"/>
    <s v="745171 - Tabela 1"/>
    <n v="2.5000000000000001E-2"/>
    <n v="120"/>
    <s v=""/>
    <n v="2.5"/>
    <n v="17"/>
    <m/>
    <s v="745171 - RFN - EMBUPREV 1 "/>
    <s v="1,35"/>
    <n v="15"/>
    <n v="2"/>
    <n v="500"/>
    <n v="202605"/>
    <s v="LG"/>
    <s v="1"/>
    <n v="1.3500000000000002E-2"/>
    <n v="2.5000000000000001E-2"/>
    <b v="1"/>
    <s v="20260515"/>
    <n v="10"/>
  </r>
  <r>
    <x v="11"/>
    <s v="2EMBUPREV SP"/>
    <n v="2"/>
    <s v="745172 - Tabela 2"/>
    <n v="2.3900000000000001E-2"/>
    <n v="120"/>
    <s v=""/>
    <n v="2.5"/>
    <n v="17"/>
    <m/>
    <s v="745172 - RFN - EMBUPREV 2 "/>
    <s v="1,35"/>
    <n v="15"/>
    <n v="2"/>
    <n v="500"/>
    <n v="202605"/>
    <s v="LG"/>
    <s v="1"/>
    <n v="1.3500000000000002E-2"/>
    <n v="2.5000000000000001E-2"/>
    <b v="0"/>
    <s v="20260515"/>
    <n v="10"/>
  </r>
  <r>
    <x v="11"/>
    <s v="3EMBUPREV SP"/>
    <n v="3"/>
    <s v="745173 - Tabela 3"/>
    <n v="2.29E-2"/>
    <n v="120"/>
    <s v=""/>
    <n v="2.5"/>
    <n v="17"/>
    <m/>
    <s v="745173 - RFN - EMBUPREV 3 "/>
    <s v="1,35"/>
    <n v="15"/>
    <n v="2"/>
    <n v="500"/>
    <n v="202605"/>
    <s v="LG"/>
    <s v="1"/>
    <n v="1.3500000000000002E-2"/>
    <n v="2.5000000000000001E-2"/>
    <b v="0"/>
    <s v="20260515"/>
    <n v="10"/>
  </r>
  <r>
    <x v="11"/>
    <s v="4EMBUPREV SP"/>
    <n v="4"/>
    <s v="745210 - Tabela 4"/>
    <n v="2.1899999999999999E-2"/>
    <n v="120"/>
    <s v=""/>
    <n v="2.5"/>
    <n v="17"/>
    <m/>
    <s v="745210 - RFN - EMBUPREV 4 "/>
    <s v="1,35"/>
    <n v="15"/>
    <n v="2"/>
    <n v="500"/>
    <n v="202605"/>
    <s v="LG"/>
    <s v="1"/>
    <n v="1.3500000000000002E-2"/>
    <n v="2.5000000000000001E-2"/>
    <b v="0"/>
    <s v="20260515"/>
    <n v="10"/>
  </r>
  <r>
    <x v="11"/>
    <s v="5EMBUPREV SP"/>
    <n v="5"/>
    <s v="745211 - Tabela 5"/>
    <n v="2.0899999999999998E-2"/>
    <n v="120"/>
    <s v=""/>
    <n v="2.5"/>
    <n v="17"/>
    <m/>
    <s v="745211 - RFN - EMBUPREV 5 "/>
    <s v="1,35"/>
    <n v="15"/>
    <n v="2"/>
    <n v="500"/>
    <n v="202605"/>
    <s v="LG"/>
    <s v="1"/>
    <n v="1.3500000000000002E-2"/>
    <n v="2.5000000000000001E-2"/>
    <b v="0"/>
    <s v="20260515"/>
    <n v="10"/>
  </r>
  <r>
    <x v="11"/>
    <s v="6EMBUPREV SP"/>
    <n v="6"/>
    <s v="745212 - Tabela 6"/>
    <n v="1.9900000000000001E-2"/>
    <n v="120"/>
    <s v=""/>
    <n v="2.5"/>
    <n v="17"/>
    <m/>
    <s v="745212 - RFN - EMBUPREV 6 "/>
    <s v="1,35"/>
    <n v="15"/>
    <n v="2"/>
    <n v="500"/>
    <n v="202605"/>
    <s v="LG"/>
    <s v="1"/>
    <n v="1.3500000000000002E-2"/>
    <n v="2.5000000000000001E-2"/>
    <b v="0"/>
    <s v="20260515"/>
    <n v="10"/>
  </r>
  <r>
    <x v="11"/>
    <s v="7EMBUPREV SP"/>
    <n v="7"/>
    <s v="745213 - Tabela 7"/>
    <n v="1.9599999999999999E-2"/>
    <n v="120"/>
    <s v=""/>
    <n v="2.5"/>
    <n v="17"/>
    <m/>
    <s v="745213 - RFN - EMBUPREV 7 "/>
    <s v="1,35"/>
    <n v="15"/>
    <n v="2"/>
    <n v="500"/>
    <n v="202605"/>
    <s v="LG"/>
    <s v="1"/>
    <n v="1.3500000000000002E-2"/>
    <n v="2.5000000000000001E-2"/>
    <b v="0"/>
    <s v="20260515"/>
    <n v="10"/>
  </r>
  <r>
    <x v="12"/>
    <s v="1EMPAER MT"/>
    <n v="1"/>
    <s v="915141 - Tabela 1"/>
    <n v="1.7500000000000002E-2"/>
    <n v="96"/>
    <s v=""/>
    <n v="1.75"/>
    <n v="23"/>
    <m/>
    <s v="915141 - RFN - EMPAER 1 "/>
    <s v="1,4"/>
    <n v="15"/>
    <n v="2"/>
    <n v="500"/>
    <n v="202605"/>
    <s v="LG"/>
    <s v="1"/>
    <n v="1.3999999999999999E-2"/>
    <n v="1.7500000000000002E-2"/>
    <b v="1"/>
    <s v="20260515"/>
    <n v="10"/>
  </r>
  <r>
    <x v="12"/>
    <s v="2EMPAER MT"/>
    <n v="2"/>
    <s v="915142 - Tabela 2"/>
    <n v="1.72E-2"/>
    <n v="96"/>
    <s v=""/>
    <n v="1.75"/>
    <n v="23"/>
    <m/>
    <s v="915142 - RFN - EMPAER 2 "/>
    <s v="1,4"/>
    <n v="15"/>
    <n v="2"/>
    <n v="500"/>
    <n v="202605"/>
    <s v="LG"/>
    <s v="1"/>
    <n v="1.3999999999999999E-2"/>
    <n v="1.7500000000000002E-2"/>
    <b v="0"/>
    <s v="20260515"/>
    <n v="10"/>
  </r>
  <r>
    <x v="12"/>
    <s v="3EMPAER MT"/>
    <n v="3"/>
    <s v="915143 - Tabela 3"/>
    <n v="1.6799999999999999E-2"/>
    <n v="96"/>
    <s v=""/>
    <n v="1.75"/>
    <n v="23"/>
    <m/>
    <s v="915143 - RFN - EMPAER 3 "/>
    <s v="1,4"/>
    <n v="15"/>
    <n v="2"/>
    <n v="500"/>
    <n v="202605"/>
    <s v="LG"/>
    <s v="1"/>
    <n v="1.3999999999999999E-2"/>
    <n v="1.7500000000000002E-2"/>
    <b v="0"/>
    <s v="20260515"/>
    <n v="10"/>
  </r>
  <r>
    <x v="13"/>
    <s v="1EXERCITO"/>
    <n v="1"/>
    <s v="785811 - Tabela 1"/>
    <n v="1.9E-2"/>
    <n v="96"/>
    <s v=""/>
    <n v="2.16"/>
    <n v="2"/>
    <n v="52"/>
    <s v="785811 - RFN - EXERCITO 1 "/>
    <s v="1,34"/>
    <n v="31"/>
    <n v="2"/>
    <n v="500"/>
    <n v="202605"/>
    <s v="LG"/>
    <s v="1"/>
    <n v="1.34E-2"/>
    <n v="2.1600000000000001E-2"/>
    <b v="0"/>
    <s v="20260531"/>
    <n v="20"/>
  </r>
  <r>
    <x v="13"/>
    <s v="2EXERCITO"/>
    <n v="2"/>
    <s v="785812 - Tabela 2"/>
    <n v="1.8600000000000002E-2"/>
    <n v="96"/>
    <s v=""/>
    <n v="2.16"/>
    <n v="2"/>
    <n v="52"/>
    <s v="785812 - RFN - EXERCITO 2 "/>
    <s v="1,34"/>
    <n v="31"/>
    <n v="2"/>
    <n v="500"/>
    <n v="202605"/>
    <s v="LG"/>
    <s v="1"/>
    <n v="1.34E-2"/>
    <n v="2.1600000000000001E-2"/>
    <b v="0"/>
    <s v="20260531"/>
    <n v="20"/>
  </r>
  <r>
    <x v="13"/>
    <s v="3EXERCITO"/>
    <n v="3"/>
    <s v="785813 - Tabela 3"/>
    <n v="1.8200000000000001E-2"/>
    <n v="96"/>
    <s v=""/>
    <n v="2.16"/>
    <n v="2"/>
    <n v="52"/>
    <s v="785813 - RFN - EXERCITO 3 "/>
    <s v="1,34"/>
    <n v="31"/>
    <n v="2"/>
    <n v="500"/>
    <n v="202605"/>
    <s v="LG"/>
    <s v="1"/>
    <n v="1.34E-2"/>
    <n v="2.1600000000000001E-2"/>
    <b v="0"/>
    <s v="20260531"/>
    <n v="20"/>
  </r>
  <r>
    <x v="13"/>
    <s v="4EXERCITO"/>
    <n v="4"/>
    <s v="785814 - Tabela 4"/>
    <n v="1.78E-2"/>
    <n v="96"/>
    <s v=""/>
    <n v="2.16"/>
    <n v="2"/>
    <n v="51"/>
    <s v="785814 - RFN - EXERCITO 4 "/>
    <s v="1,34"/>
    <n v="31"/>
    <n v="2"/>
    <n v="500"/>
    <n v="202605"/>
    <s v="LG"/>
    <s v="1"/>
    <n v="1.34E-2"/>
    <n v="2.1600000000000001E-2"/>
    <b v="0"/>
    <s v="20260531"/>
    <n v="20"/>
  </r>
  <r>
    <x v="13"/>
    <s v="5EXERCITO"/>
    <n v="5"/>
    <s v="785815 - Tabela 5"/>
    <n v="1.7399999999999999E-2"/>
    <n v="96"/>
    <s v=""/>
    <n v="2.16"/>
    <n v="2"/>
    <n v="52"/>
    <s v="785815 - RFN - EXERCITO 5 "/>
    <s v="1,34"/>
    <n v="31"/>
    <n v="2"/>
    <n v="500"/>
    <n v="202605"/>
    <s v="LG"/>
    <s v="1"/>
    <n v="1.34E-2"/>
    <n v="2.1600000000000001E-2"/>
    <b v="0"/>
    <s v="20260531"/>
    <n v="20"/>
  </r>
  <r>
    <x v="13"/>
    <s v="6EXERCITO"/>
    <n v="6"/>
    <s v="785816 - Tabela 6"/>
    <n v="1.7000000000000001E-2"/>
    <n v="96"/>
    <s v=""/>
    <n v="2.16"/>
    <n v="2"/>
    <n v="51"/>
    <s v="785816 - RFN - EXERCITO 6 "/>
    <s v="1,34"/>
    <n v="31"/>
    <n v="2"/>
    <n v="500"/>
    <n v="202605"/>
    <s v="LG"/>
    <s v="1"/>
    <n v="1.34E-2"/>
    <n v="2.1600000000000001E-2"/>
    <b v="0"/>
    <s v="20260531"/>
    <n v="20"/>
  </r>
  <r>
    <x v="13"/>
    <s v="7EXERCITO"/>
    <n v="7"/>
    <s v="785810 - Tabela "/>
    <n v="1.66E-2"/>
    <n v="96"/>
    <s v=""/>
    <n v="2.16"/>
    <n v="2"/>
    <n v="49"/>
    <s v="785810 - IFP RFN - EXERCITO "/>
    <s v="1,34"/>
    <n v="31"/>
    <n v="2"/>
    <n v="500"/>
    <n v="202605"/>
    <s v="LG"/>
    <s v="1"/>
    <n v="1.34E-2"/>
    <n v="2.1600000000000001E-2"/>
    <b v="0"/>
    <s v="20260531"/>
    <n v="20"/>
  </r>
  <r>
    <x v="13"/>
    <s v="8EXERCITO"/>
    <n v="8"/>
    <s v="785817 - Tabela 7"/>
    <n v="1.66E-2"/>
    <n v="96"/>
    <s v=""/>
    <n v="2.16"/>
    <n v="2"/>
    <n v="50"/>
    <s v="785817 - RFN - EXERCITO 7 "/>
    <s v="1,34"/>
    <n v="31"/>
    <n v="2"/>
    <n v="500"/>
    <n v="202605"/>
    <s v="LG"/>
    <s v="1"/>
    <n v="1.34E-2"/>
    <n v="2.1600000000000001E-2"/>
    <b v="0"/>
    <s v="20260531"/>
    <n v="20"/>
  </r>
  <r>
    <x v="14"/>
    <s v="1F PREV SORRISO"/>
    <n v="1"/>
    <s v="735192 - Tabela 2"/>
    <n v="1.8000000000000002E-2"/>
    <n v="120"/>
    <s v=""/>
    <n v="1.9"/>
    <n v="15"/>
    <n v="43"/>
    <s v="735192 - RFN - PREVISO 2 "/>
    <s v="1,45"/>
    <n v="15"/>
    <n v="2"/>
    <n v="500"/>
    <n v="202605"/>
    <s v="LG"/>
    <s v="1"/>
    <n v="1.4499999999999999E-2"/>
    <n v="1.9E-2"/>
    <b v="0"/>
    <s v="20260515"/>
    <n v="10"/>
  </r>
  <r>
    <x v="15"/>
    <s v="1FUNPREV BAURU"/>
    <n v="1"/>
    <s v="235858 - Tabela 1"/>
    <n v="2.5000000000000001E-2"/>
    <n v="120"/>
    <s v=""/>
    <n v="2.5"/>
    <n v="10"/>
    <n v="36"/>
    <s v="235858 - RFN - FUNPREV BAURU 1   "/>
    <s v="1,39"/>
    <n v="15"/>
    <n v="2"/>
    <n v="500"/>
    <n v="202605"/>
    <s v="LG"/>
    <s v="0"/>
    <n v="1.3899999999999999E-2"/>
    <n v="2.5000000000000001E-2"/>
    <b v="1"/>
    <s v="20260515"/>
    <n v="10"/>
  </r>
  <r>
    <x v="15"/>
    <s v="2FUNPREV BAURU"/>
    <n v="2"/>
    <s v="235865 - Tabela 2"/>
    <n v="2.4E-2"/>
    <n v="120"/>
    <s v=""/>
    <n v="2.5"/>
    <n v="10"/>
    <m/>
    <s v="235865 - RFN - FUNPREV BAURU 2  "/>
    <s v="1,39"/>
    <n v="15"/>
    <n v="2"/>
    <n v="500"/>
    <n v="202605"/>
    <s v="LG"/>
    <s v="0"/>
    <n v="1.3899999999999999E-2"/>
    <n v="2.5000000000000001E-2"/>
    <b v="0"/>
    <s v="20260515"/>
    <n v="10"/>
  </r>
  <r>
    <x v="15"/>
    <s v="3FUNPREV BAURU"/>
    <n v="3"/>
    <s v="235866 - Tabela 3"/>
    <n v="2.3E-2"/>
    <n v="120"/>
    <s v=""/>
    <n v="2.5"/>
    <n v="10"/>
    <n v="37"/>
    <s v="235866 - RFN - FUNPREV BAURU 3  "/>
    <s v="1,39"/>
    <n v="15"/>
    <n v="2"/>
    <n v="500"/>
    <n v="202605"/>
    <s v="LG"/>
    <s v="0"/>
    <n v="1.3899999999999999E-2"/>
    <n v="2.5000000000000001E-2"/>
    <b v="0"/>
    <s v="20260515"/>
    <n v="10"/>
  </r>
  <r>
    <x v="15"/>
    <s v="4FUNPREV BAURU"/>
    <n v="4"/>
    <s v="235867 - Tabela 4"/>
    <n v="2.2000000000000002E-2"/>
    <n v="120"/>
    <s v=""/>
    <n v="2.5"/>
    <n v="10"/>
    <m/>
    <s v="235867 - RFN - FUNPREV BAURU 4  "/>
    <s v="1,39"/>
    <n v="15"/>
    <n v="2"/>
    <n v="500"/>
    <n v="202605"/>
    <s v="LG"/>
    <s v="0"/>
    <n v="1.3899999999999999E-2"/>
    <n v="2.5000000000000001E-2"/>
    <b v="0"/>
    <s v="20260515"/>
    <n v="10"/>
  </r>
  <r>
    <x v="15"/>
    <s v="5FUNPREV BAURU"/>
    <n v="5"/>
    <s v="235868 - Tabela 5"/>
    <n v="2.1000000000000001E-2"/>
    <n v="120"/>
    <s v=""/>
    <n v="2.5"/>
    <n v="10"/>
    <n v="30"/>
    <s v="235868 - RFN - FUNPREV BAURU 5  "/>
    <s v="1,39"/>
    <n v="15"/>
    <n v="2"/>
    <n v="500"/>
    <n v="202605"/>
    <s v="LG"/>
    <s v="0"/>
    <n v="1.3899999999999999E-2"/>
    <n v="2.5000000000000001E-2"/>
    <b v="0"/>
    <s v="20260515"/>
    <n v="10"/>
  </r>
  <r>
    <x v="15"/>
    <s v="6FUNPREV BAURU"/>
    <n v="6"/>
    <s v="235869 - Tabela 6"/>
    <n v="2.06E-2"/>
    <n v="120"/>
    <s v=""/>
    <n v="2.5"/>
    <n v="10"/>
    <m/>
    <s v="235869 - RFN - FUNPREV BAURU 6  "/>
    <s v="1,39"/>
    <n v="15"/>
    <n v="2"/>
    <n v="500"/>
    <n v="202605"/>
    <s v="LG"/>
    <s v="0"/>
    <n v="1.3899999999999999E-2"/>
    <n v="2.5000000000000001E-2"/>
    <b v="0"/>
    <s v="20260515"/>
    <n v="10"/>
  </r>
  <r>
    <x v="15"/>
    <s v="7FUNPREV BAURU"/>
    <n v="7"/>
    <s v="235878 - Tabela 7"/>
    <n v="1.9799999999999998E-2"/>
    <n v="120"/>
    <s v=""/>
    <n v="2.5"/>
    <n v="10"/>
    <n v="27"/>
    <s v="235878 - RFN - FUNPREV BAURU 7  "/>
    <s v="1,39"/>
    <n v="15"/>
    <n v="2"/>
    <n v="500"/>
    <n v="202605"/>
    <s v="LG"/>
    <s v="0"/>
    <n v="1.3899999999999999E-2"/>
    <n v="2.5000000000000001E-2"/>
    <b v="0"/>
    <s v="20260515"/>
    <n v="10"/>
  </r>
  <r>
    <x v="15"/>
    <s v="8FUNPREV BAURU"/>
    <n v="8"/>
    <s v="235879 - Tabela 8"/>
    <n v="1.6399999999999998E-2"/>
    <n v="120"/>
    <s v=""/>
    <n v="2.5"/>
    <n v="10"/>
    <n v="43"/>
    <s v="235879 - RFN - FUNPREV BAURU 8  "/>
    <s v="1,39"/>
    <n v="15"/>
    <n v="2"/>
    <n v="500"/>
    <n v="202605"/>
    <s v="LG"/>
    <s v="0"/>
    <n v="1.3899999999999999E-2"/>
    <n v="2.5000000000000001E-2"/>
    <b v="0"/>
    <s v="20260515"/>
    <n v="10"/>
  </r>
  <r>
    <x v="16"/>
    <s v="1GOV ACRE"/>
    <n v="1"/>
    <s v="745136 - Tabela 1"/>
    <n v="2.5000000000000001E-2"/>
    <n v="120"/>
    <s v=""/>
    <n v="2.5"/>
    <n v="5"/>
    <n v="48"/>
    <s v="745136 - RFN - GOV ACRE 1 "/>
    <s v="1,36"/>
    <n v="2"/>
    <n v="2"/>
    <n v="500"/>
    <n v="202605"/>
    <s v="LG"/>
    <s v="1"/>
    <n v="1.3600000000000001E-2"/>
    <n v="2.5000000000000001E-2"/>
    <b v="1"/>
    <s v="2026052"/>
    <n v="0"/>
  </r>
  <r>
    <x v="16"/>
    <s v="2GOV ACRE"/>
    <n v="2"/>
    <s v="745133 - Tabela 2"/>
    <n v="2.4E-2"/>
    <n v="120"/>
    <s v=""/>
    <n v="2.5"/>
    <n v="5"/>
    <n v="48"/>
    <s v="745133 - RFN - GOV ACRE 2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3GOV ACRE"/>
    <n v="3"/>
    <s v="745140 - Tabela 3"/>
    <n v="2.3E-2"/>
    <n v="120"/>
    <s v=""/>
    <n v="2.5"/>
    <n v="5"/>
    <n v="48"/>
    <s v="745140 - RFN - GOV ACRE 3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4GOV ACRE"/>
    <n v="4"/>
    <s v="745144 - Tabela 4"/>
    <n v="2.2000000000000002E-2"/>
    <n v="120"/>
    <s v=""/>
    <n v="2.5"/>
    <n v="5"/>
    <n v="48"/>
    <s v="745144 - RFN - GOV ACRE 4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5GOV ACRE"/>
    <n v="5"/>
    <s v="745145 - Tabela 5"/>
    <n v="2.1000000000000001E-2"/>
    <n v="120"/>
    <s v=""/>
    <n v="2.5"/>
    <n v="5"/>
    <n v="47"/>
    <s v="745145 - RFN - GOV ACRE 5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6GOV ACRE"/>
    <n v="6"/>
    <s v="745165 - Tabela 6"/>
    <n v="0.02"/>
    <n v="120"/>
    <s v=""/>
    <n v="2.5"/>
    <n v="5"/>
    <n v="51"/>
    <s v="745165 - RFN - GOV ACRE 6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7GOV ACRE"/>
    <n v="7"/>
    <s v="745175 - Tabela 7"/>
    <n v="1.9E-2"/>
    <n v="120"/>
    <s v=""/>
    <n v="2.5"/>
    <n v="5"/>
    <n v="48"/>
    <s v="745175 - RFN - GOV ACRE 7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8GOV ACRE"/>
    <n v="8"/>
    <s v="745239 - Tabela 8"/>
    <n v="1.8000000000000002E-2"/>
    <n v="120"/>
    <s v=""/>
    <n v="2.5"/>
    <n v="5"/>
    <n v="49"/>
    <s v="745239 - RFN - GOV ACRE 8 "/>
    <s v="1,36"/>
    <n v="2"/>
    <n v="2"/>
    <n v="500"/>
    <n v="202605"/>
    <s v="LG"/>
    <s v="1"/>
    <n v="1.3600000000000001E-2"/>
    <n v="2.5000000000000001E-2"/>
    <b v="0"/>
    <s v="2026052"/>
    <n v="0"/>
  </r>
  <r>
    <x v="16"/>
    <s v="9GOV ACRE"/>
    <n v="9"/>
    <s v="745240 - Tabela 459"/>
    <n v="1.6200000000000003E-2"/>
    <n v="120"/>
    <s v=""/>
    <n v="2.5"/>
    <n v="5"/>
    <n v="56"/>
    <s v="745240 - RFN - GOV ACRE 45K 9 "/>
    <s v="1,36"/>
    <n v="2"/>
    <n v="2"/>
    <n v="45000"/>
    <n v="202605"/>
    <s v="LG"/>
    <s v="1"/>
    <n v="1.3600000000000001E-2"/>
    <n v="2.5000000000000001E-2"/>
    <b v="0"/>
    <s v="2026052"/>
    <n v="0"/>
  </r>
  <r>
    <x v="16"/>
    <s v="10GOV ACRE"/>
    <n v="10"/>
    <s v="745241 - Tabela 6010"/>
    <n v="1.6200000000000003E-2"/>
    <n v="120"/>
    <s v=""/>
    <n v="2.5"/>
    <n v="5"/>
    <n v="52"/>
    <s v="745241 - RFN - GOV ACRE 60K 10 "/>
    <s v="1,36"/>
    <n v="2"/>
    <n v="2"/>
    <n v="60000"/>
    <n v="202605"/>
    <s v="LG"/>
    <s v="1"/>
    <n v="1.3600000000000001E-2"/>
    <n v="2.5000000000000001E-2"/>
    <b v="0"/>
    <s v="2026052"/>
    <n v="0"/>
  </r>
  <r>
    <x v="17"/>
    <s v="1GOV BAHIA-AOL"/>
    <n v="1"/>
    <s v="715371 - Tabela 1"/>
    <n v="2.5000000000000001E-2"/>
    <n v="120"/>
    <s v=""/>
    <n v="2.5"/>
    <n v="10"/>
    <n v="52"/>
    <s v="715371 - RFN - GOV BAHIA 1 "/>
    <s v="1,28"/>
    <n v="1"/>
    <n v="2"/>
    <n v="500"/>
    <n v="202605"/>
    <s v="LG"/>
    <s v="1"/>
    <n v="1.2800000000000001E-2"/>
    <n v="2.5000000000000001E-2"/>
    <b v="1"/>
    <s v="2026051"/>
    <n v="0"/>
  </r>
  <r>
    <x v="17"/>
    <s v="2GOV BAHIA-AOL"/>
    <n v="2"/>
    <s v="715372 - Tabela 2"/>
    <n v="2.4E-2"/>
    <n v="120"/>
    <s v=""/>
    <n v="2.5"/>
    <n v="10"/>
    <n v="52"/>
    <s v="715372 - RFN - GOV BAHIA 2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3GOV BAHIA-AOL"/>
    <n v="3"/>
    <s v="715373 - Tabela 3"/>
    <n v="2.3E-2"/>
    <n v="120"/>
    <s v=""/>
    <n v="2.5"/>
    <n v="10"/>
    <n v="52"/>
    <s v="715373 - RFN - GOV BAHIA 3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4GOV BAHIA-AOL"/>
    <n v="4"/>
    <s v="715374 - Tabela 4"/>
    <n v="2.2000000000000002E-2"/>
    <n v="120"/>
    <s v=""/>
    <n v="2.5"/>
    <n v="10"/>
    <n v="52"/>
    <s v="715374 - RFN - GOV BAHIA 4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5GOV BAHIA-AOL"/>
    <n v="5"/>
    <s v="715375 - Tabela 5"/>
    <n v="2.1000000000000001E-2"/>
    <n v="120"/>
    <s v=""/>
    <n v="2.5"/>
    <n v="10"/>
    <n v="52"/>
    <s v="715375 - RFN - GOV BAHIA 5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6GOV BAHIA-AOL"/>
    <n v="6"/>
    <s v="715376 - Tabela 6"/>
    <n v="0.02"/>
    <n v="120"/>
    <s v=""/>
    <n v="2.5"/>
    <n v="10"/>
    <n v="52"/>
    <s v="715376 - RFN - GOV BAHIA 6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7GOV BAHIA-AOL"/>
    <n v="7"/>
    <s v="715377 - Tabela 7"/>
    <n v="1.9E-2"/>
    <n v="120"/>
    <s v=""/>
    <n v="2.5"/>
    <n v="10"/>
    <n v="52"/>
    <s v="715377 - RFN - GOV BAHIA 7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8GOV BAHIA-AOL"/>
    <n v="8"/>
    <s v="715378 - Tabela 8"/>
    <n v="1.8000000000000002E-2"/>
    <n v="120"/>
    <s v=""/>
    <n v="2.5"/>
    <n v="10"/>
    <n v="52"/>
    <s v="715378 - RFN - GOV BAHIA 8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9GOV BAHIA-AOL"/>
    <n v="9"/>
    <s v="715379 - Tabela 9"/>
    <n v="1.7500000000000002E-2"/>
    <n v="120"/>
    <s v=""/>
    <n v="2.5"/>
    <n v="10"/>
    <n v="52"/>
    <s v="715379 - RFN - GOV BAHIA 9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10GOV BAHIA-AOL"/>
    <n v="10"/>
    <s v="715380 - Tabela 10"/>
    <n v="1.7000000000000001E-2"/>
    <n v="120"/>
    <s v=""/>
    <n v="2.5"/>
    <n v="10"/>
    <n v="52"/>
    <s v="715380 - RFN - GOV BAHIA 10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11GOV BAHIA-AOL"/>
    <n v="11"/>
    <s v="715381 - Tabela 11"/>
    <n v="1.67E-2"/>
    <n v="120"/>
    <s v=""/>
    <n v="2.5"/>
    <n v="10"/>
    <n v="52"/>
    <s v="715381 - RFN - GOV BAHIA 11 "/>
    <s v="1,28"/>
    <n v="1"/>
    <n v="2"/>
    <n v="500"/>
    <n v="202605"/>
    <s v="LG"/>
    <s v="1"/>
    <n v="1.2800000000000001E-2"/>
    <n v="2.5000000000000001E-2"/>
    <b v="0"/>
    <s v="2026051"/>
    <n v="0"/>
  </r>
  <r>
    <x v="17"/>
    <s v="12GOV BAHIA-AOL"/>
    <n v="12"/>
    <s v="715382 - Tabela 3012"/>
    <n v="1.55E-2"/>
    <n v="120"/>
    <s v=""/>
    <n v="2.5"/>
    <n v="10"/>
    <n v="52"/>
    <s v="715382 - RFN - GOV BAHIA 30K 12 "/>
    <s v="1,28"/>
    <n v="1"/>
    <n v="2"/>
    <n v="30000"/>
    <n v="202605"/>
    <s v="LG"/>
    <s v="1"/>
    <n v="1.2800000000000001E-2"/>
    <n v="2.5000000000000001E-2"/>
    <b v="0"/>
    <s v="2026051"/>
    <n v="0"/>
  </r>
  <r>
    <x v="17"/>
    <s v="13GOV BAHIA-AOL"/>
    <n v="13"/>
    <s v="715383 - Tabela 13"/>
    <n v="1.54E-2"/>
    <n v="120"/>
    <s v=""/>
    <n v="2.5"/>
    <n v="10"/>
    <n v="52"/>
    <s v="715383 - RFN - GOV BAHIA 50K 13 "/>
    <s v="1,28"/>
    <n v="1"/>
    <n v="2"/>
    <n v="50000"/>
    <n v="202605"/>
    <s v="LG"/>
    <s v="1"/>
    <n v="1.2800000000000001E-2"/>
    <n v="2.5000000000000001E-2"/>
    <b v="0"/>
    <s v="2026051"/>
    <n v="0"/>
  </r>
  <r>
    <x v="18"/>
    <s v="1GOV CE"/>
    <n v="1"/>
    <s v="755130 - Tabela 1"/>
    <n v="2.5000000000000001E-2"/>
    <n v="120"/>
    <s v=""/>
    <n v="2.5"/>
    <n v="8"/>
    <n v="52"/>
    <s v="755130 - RFN - GOV CEARA 1 "/>
    <s v="1,55"/>
    <n v="10"/>
    <n v="2"/>
    <n v="500"/>
    <n v="202605"/>
    <s v="NW"/>
    <s v="0"/>
    <n v="1.55E-2"/>
    <n v="2.5000000000000001E-2"/>
    <b v="1"/>
    <s v="20260510"/>
    <n v="5"/>
  </r>
  <r>
    <x v="18"/>
    <s v="2GOV CE"/>
    <n v="2"/>
    <s v="755131 - Tabela 2"/>
    <n v="2.4E-2"/>
    <n v="120"/>
    <s v=""/>
    <n v="2.5"/>
    <n v="8"/>
    <n v="52"/>
    <s v="755131 - RFN - GOV CEARA 2 "/>
    <s v="1,55"/>
    <n v="10"/>
    <n v="2"/>
    <n v="500"/>
    <n v="202605"/>
    <s v="NW"/>
    <s v="0"/>
    <n v="1.55E-2"/>
    <n v="2.5000000000000001E-2"/>
    <b v="0"/>
    <s v="20260510"/>
    <n v="5"/>
  </r>
  <r>
    <x v="18"/>
    <s v="3GOV CE"/>
    <n v="3"/>
    <s v="755132 - Tabela 3"/>
    <n v="2.3E-2"/>
    <n v="120"/>
    <s v=""/>
    <n v="2.5"/>
    <n v="8"/>
    <n v="52"/>
    <s v="755132 - RFN - GOV CEARA 3 "/>
    <s v="1,55"/>
    <n v="10"/>
    <n v="2"/>
    <n v="500"/>
    <n v="202605"/>
    <s v="NW"/>
    <s v="0"/>
    <n v="1.55E-2"/>
    <n v="2.5000000000000001E-2"/>
    <b v="0"/>
    <s v="20260510"/>
    <n v="5"/>
  </r>
  <r>
    <x v="18"/>
    <s v="4GOV CE"/>
    <n v="4"/>
    <s v="755133 - Tabela 4"/>
    <n v="2.2000000000000002E-2"/>
    <n v="120"/>
    <s v=""/>
    <n v="2.5"/>
    <n v="8"/>
    <n v="52"/>
    <s v="755133 - RFN - GOV CEARA 4 "/>
    <s v="1,55"/>
    <n v="10"/>
    <n v="2"/>
    <n v="500"/>
    <n v="202605"/>
    <s v="NW"/>
    <s v="0"/>
    <n v="1.55E-2"/>
    <n v="2.5000000000000001E-2"/>
    <b v="0"/>
    <s v="20260510"/>
    <n v="5"/>
  </r>
  <r>
    <x v="18"/>
    <s v="5GOV CE"/>
    <n v="5"/>
    <s v="755134 - Tabela 5"/>
    <n v="2.1000000000000001E-2"/>
    <n v="120"/>
    <s v=""/>
    <n v="2.5"/>
    <n v="8"/>
    <n v="52"/>
    <s v="755134 - RFN - GOV CEARA 5 "/>
    <s v="1,55"/>
    <n v="10"/>
    <n v="2"/>
    <n v="500"/>
    <n v="202605"/>
    <s v="NW"/>
    <s v="0"/>
    <n v="1.55E-2"/>
    <n v="2.5000000000000001E-2"/>
    <b v="0"/>
    <s v="20260510"/>
    <n v="5"/>
  </r>
  <r>
    <x v="18"/>
    <s v="6GOV CE"/>
    <n v="6"/>
    <s v="755135 - Tabela 6"/>
    <n v="2.0499999999999997E-2"/>
    <n v="120"/>
    <s v=""/>
    <n v="2.5"/>
    <n v="8"/>
    <n v="52"/>
    <s v="755135 - RFN - GOV CEARA 6 "/>
    <s v="1,55"/>
    <n v="10"/>
    <n v="2"/>
    <n v="500"/>
    <n v="202605"/>
    <s v="NW"/>
    <s v="0"/>
    <n v="1.55E-2"/>
    <n v="2.5000000000000001E-2"/>
    <b v="0"/>
    <s v="20260510"/>
    <n v="5"/>
  </r>
  <r>
    <x v="18"/>
    <s v="7GOV CE"/>
    <n v="7"/>
    <s v="755136 - Tabela 7"/>
    <n v="1.95E-2"/>
    <n v="120"/>
    <s v=""/>
    <n v="2.5"/>
    <n v="8"/>
    <n v="52"/>
    <s v="755136 - RFN - GOV CEARA 7 "/>
    <s v="1,55"/>
    <n v="10"/>
    <n v="2"/>
    <n v="500"/>
    <n v="202605"/>
    <s v="NW"/>
    <s v="0"/>
    <n v="1.55E-2"/>
    <n v="2.5000000000000001E-2"/>
    <b v="0"/>
    <s v="20260510"/>
    <n v="5"/>
  </r>
  <r>
    <x v="18"/>
    <s v="8GOV CE"/>
    <n v="8"/>
    <s v="755138 - Tabela 8"/>
    <n v="1.8500000000000003E-2"/>
    <n v="120"/>
    <s v=""/>
    <n v="2.5"/>
    <n v="8"/>
    <n v="52"/>
    <s v="755138 - RFN - GOV CEARA 8 "/>
    <s v="1,55"/>
    <n v="10"/>
    <n v="2"/>
    <n v="500"/>
    <n v="202605"/>
    <s v="NW"/>
    <s v="0"/>
    <n v="1.55E-2"/>
    <n v="2.5000000000000001E-2"/>
    <b v="0"/>
    <s v="20260510"/>
    <n v="5"/>
  </r>
  <r>
    <x v="18"/>
    <s v="9GOV CE"/>
    <n v="9"/>
    <s v="755139 - Tabela 935"/>
    <n v="1.7500000000000002E-2"/>
    <n v="120"/>
    <s v=""/>
    <n v="2.5"/>
    <n v="8"/>
    <n v="52"/>
    <s v="755139 - RFN - GOV CEARA 9 35K "/>
    <s v="1,55"/>
    <n v="10"/>
    <n v="2"/>
    <n v="35000"/>
    <n v="202605"/>
    <s v="NW"/>
    <s v="0"/>
    <n v="1.55E-2"/>
    <n v="2.5000000000000001E-2"/>
    <b v="0"/>
    <s v="20260510"/>
    <n v="5"/>
  </r>
  <r>
    <x v="18"/>
    <s v="10GOV CE"/>
    <n v="10"/>
    <s v="755140 - Tabela 10"/>
    <n v="1.7000000000000001E-2"/>
    <n v="120"/>
    <s v=""/>
    <n v="2.5"/>
    <n v="8"/>
    <n v="52"/>
    <s v="755140 - RFN - GOV CEARA 10 50K "/>
    <s v="1,55"/>
    <n v="10"/>
    <n v="2"/>
    <n v="50000"/>
    <n v="202605"/>
    <s v="NW"/>
    <s v="0"/>
    <n v="1.55E-2"/>
    <n v="2.5000000000000001E-2"/>
    <b v="0"/>
    <s v="20260510"/>
    <n v="5"/>
  </r>
  <r>
    <x v="19"/>
    <s v="1GOV ES"/>
    <n v="1"/>
    <s v="705181 - Tabela 1"/>
    <n v="1.8500000000000003E-2"/>
    <n v="120"/>
    <s v=""/>
    <n v="1.85"/>
    <n v="20"/>
    <n v="69"/>
    <s v="705181 - RFN - GOV ES  1 "/>
    <s v="1,38"/>
    <n v="26"/>
    <n v="2"/>
    <n v="500"/>
    <n v="202605"/>
    <s v="LG"/>
    <s v="1"/>
    <n v="1.38E-2"/>
    <n v="1.8500000000000003E-2"/>
    <b v="1"/>
    <s v="20260526"/>
    <n v="17"/>
  </r>
  <r>
    <x v="19"/>
    <s v="2GOV ES"/>
    <n v="2"/>
    <s v="705183 - Tabela 2"/>
    <n v="1.8000000000000002E-2"/>
    <n v="120"/>
    <s v=""/>
    <n v="1.85"/>
    <n v="20"/>
    <n v="69"/>
    <s v="705183 - RFN - GOV ES  2 "/>
    <s v="1,38"/>
    <n v="26"/>
    <n v="2"/>
    <n v="500"/>
    <n v="202605"/>
    <s v="LG"/>
    <s v="1"/>
    <n v="1.38E-2"/>
    <n v="1.8500000000000003E-2"/>
    <b v="0"/>
    <s v="20260526"/>
    <n v="17"/>
  </r>
  <r>
    <x v="19"/>
    <s v="3GOV ES"/>
    <n v="3"/>
    <s v="705185 - Tabela 3"/>
    <n v="1.7500000000000002E-2"/>
    <n v="120"/>
    <s v=""/>
    <n v="1.85"/>
    <n v="20"/>
    <n v="69"/>
    <s v="705185 - RFN - GOV ES  3 "/>
    <s v="1,38"/>
    <n v="26"/>
    <n v="2"/>
    <n v="500"/>
    <n v="202605"/>
    <s v="LG"/>
    <s v="1"/>
    <n v="1.38E-2"/>
    <n v="1.8500000000000003E-2"/>
    <b v="0"/>
    <s v="20260526"/>
    <n v="17"/>
  </r>
  <r>
    <x v="19"/>
    <s v="4GOV ES"/>
    <n v="4"/>
    <s v="705187 - Tabela 4"/>
    <n v="1.7000000000000001E-2"/>
    <n v="120"/>
    <s v=""/>
    <n v="1.85"/>
    <n v="20"/>
    <n v="69"/>
    <s v="705187 - RFN - GOV ES  4 "/>
    <s v="1,38"/>
    <n v="26"/>
    <n v="2"/>
    <n v="500"/>
    <n v="202605"/>
    <s v="LG"/>
    <s v="1"/>
    <n v="1.38E-2"/>
    <n v="1.8500000000000003E-2"/>
    <b v="0"/>
    <s v="20260526"/>
    <n v="17"/>
  </r>
  <r>
    <x v="19"/>
    <s v="5GOV ES"/>
    <n v="5"/>
    <s v="705188 - Tabela 5"/>
    <n v="1.67E-2"/>
    <n v="120"/>
    <s v=""/>
    <n v="1.85"/>
    <n v="20"/>
    <n v="69"/>
    <s v="705188 - RFN - GOV ES  5 "/>
    <s v="1,38"/>
    <n v="26"/>
    <n v="2"/>
    <n v="500"/>
    <n v="202605"/>
    <s v="LG"/>
    <s v="1"/>
    <n v="1.38E-2"/>
    <n v="1.8500000000000003E-2"/>
    <b v="0"/>
    <s v="20260526"/>
    <n v="17"/>
  </r>
  <r>
    <x v="19"/>
    <s v="6GOV ES"/>
    <n v="6"/>
    <s v="705191 - Tabela 6"/>
    <n v="1.6399999999999998E-2"/>
    <n v="120"/>
    <s v=""/>
    <n v="1.85"/>
    <n v="20"/>
    <n v="69"/>
    <s v="705191 - RFN - GOV ES  6 "/>
    <s v="1,38"/>
    <n v="26"/>
    <n v="2"/>
    <n v="500"/>
    <n v="202605"/>
    <s v="LG"/>
    <s v="1"/>
    <n v="1.38E-2"/>
    <n v="1.8500000000000003E-2"/>
    <b v="0"/>
    <s v="20260526"/>
    <n v="17"/>
  </r>
  <r>
    <x v="19"/>
    <s v="7GOV ES"/>
    <n v="7"/>
    <s v="705192 - Tabela 7"/>
    <n v="1.61E-2"/>
    <n v="120"/>
    <s v=""/>
    <n v="1.85"/>
    <n v="20"/>
    <n v="69"/>
    <s v="705192 - RFN - GOV ES  7 "/>
    <s v="1,38"/>
    <n v="26"/>
    <n v="2"/>
    <n v="500"/>
    <n v="202605"/>
    <s v="LG"/>
    <s v="1"/>
    <n v="1.38E-2"/>
    <n v="1.8500000000000003E-2"/>
    <b v="0"/>
    <s v="20260526"/>
    <n v="17"/>
  </r>
  <r>
    <x v="19"/>
    <s v="8GOV ES"/>
    <n v="8"/>
    <s v="705193 - Tabela 8"/>
    <n v="1.5800000000000002E-2"/>
    <n v="120"/>
    <s v=""/>
    <n v="1.85"/>
    <n v="20"/>
    <n v="69"/>
    <s v="705193 - RFN - GOV ES  8 "/>
    <s v="1,38"/>
    <n v="26"/>
    <n v="2"/>
    <n v="500"/>
    <n v="202605"/>
    <s v="LG"/>
    <s v="1"/>
    <n v="1.38E-2"/>
    <n v="1.8500000000000003E-2"/>
    <b v="0"/>
    <s v="20260526"/>
    <n v="17"/>
  </r>
  <r>
    <x v="19"/>
    <s v="9GOV ES"/>
    <n v="9"/>
    <s v="705194 - Tabela 9"/>
    <n v="1.55E-2"/>
    <n v="120"/>
    <s v=""/>
    <n v="1.85"/>
    <n v="20"/>
    <n v="69"/>
    <s v="705194 - RFN - GOV ES  9 "/>
    <s v="1,38"/>
    <n v="26"/>
    <n v="2"/>
    <n v="500"/>
    <n v="202605"/>
    <s v="LG"/>
    <s v="1"/>
    <n v="1.38E-2"/>
    <n v="1.8500000000000003E-2"/>
    <b v="0"/>
    <s v="20260526"/>
    <n v="17"/>
  </r>
  <r>
    <x v="19"/>
    <s v="10GOV ES"/>
    <n v="10"/>
    <s v="705195 - Tabela 2010"/>
    <n v="1.5300000000000001E-2"/>
    <n v="120"/>
    <s v=""/>
    <n v="1.85"/>
    <n v="20"/>
    <n v="69"/>
    <s v="705195 - RFN - GOV ES  20K 10 "/>
    <s v="1,38"/>
    <n v="26"/>
    <n v="2"/>
    <n v="20000"/>
    <n v="202605"/>
    <s v="LG"/>
    <s v="1"/>
    <n v="1.38E-2"/>
    <n v="1.8500000000000003E-2"/>
    <b v="0"/>
    <s v="20260526"/>
    <n v="17"/>
  </r>
  <r>
    <x v="19"/>
    <s v="11GOV ES"/>
    <n v="11"/>
    <s v="705196 - Tabela 3011"/>
    <n v="1.5100000000000001E-2"/>
    <n v="120"/>
    <s v=""/>
    <n v="1.85"/>
    <n v="20"/>
    <n v="69"/>
    <s v="705196 - RFN - GOV ES  30K 11 "/>
    <s v="1,38"/>
    <n v="26"/>
    <n v="2"/>
    <n v="30000"/>
    <n v="202605"/>
    <s v="LG"/>
    <s v="1"/>
    <n v="1.38E-2"/>
    <n v="1.8500000000000003E-2"/>
    <b v="0"/>
    <s v="20260526"/>
    <n v="17"/>
  </r>
  <r>
    <x v="20"/>
    <s v="1GOV GOIAS"/>
    <n v="1"/>
    <s v="745282 - Tabela 12"/>
    <n v="1.83E-2"/>
    <n v="120"/>
    <s v=""/>
    <n v="2.5"/>
    <n v="28"/>
    <n v="44"/>
    <s v="745282 - RFN - GOV GOIAS 50K 12 "/>
    <m/>
    <n v="7"/>
    <n v="2"/>
    <n v="50000"/>
    <n v="202605"/>
    <s v="LG"/>
    <s v="0"/>
    <n v="0"/>
    <n v="2.5000000000000001E-2"/>
    <b v="0"/>
    <s v="2026057"/>
    <n v="4"/>
  </r>
  <r>
    <x v="21"/>
    <s v="1GOV GOIAS CLT"/>
    <n v="1"/>
    <s v="745315 - Tabela 12"/>
    <n v="1.83E-2"/>
    <n v="120"/>
    <s v=""/>
    <n v="2.5"/>
    <n v="28"/>
    <m/>
    <s v="745315 - RFN - GOV GOIAS 50K 12  CLT"/>
    <m/>
    <n v="7"/>
    <n v="2"/>
    <n v="50000"/>
    <n v="202605"/>
    <s v="LG"/>
    <s v="0"/>
    <n v="0"/>
    <n v="2.5000000000000001E-2"/>
    <b v="0"/>
    <s v="2026057"/>
    <n v="4"/>
  </r>
  <r>
    <x v="22"/>
    <s v="1GOV GOIAS PORT"/>
    <n v="1"/>
    <s v="700048 - Tabela 1"/>
    <n v="2.5000000000000001E-2"/>
    <n v="120"/>
    <s v=""/>
    <n v="2.5"/>
    <n v="28"/>
    <m/>
    <s v="700048 - RFN - GOV GOIAS 1 "/>
    <s v="1,49"/>
    <n v="7"/>
    <n v="2"/>
    <n v="500"/>
    <n v="202605"/>
    <s v="LG"/>
    <s v="0"/>
    <n v="1.49E-2"/>
    <n v="2.5000000000000001E-2"/>
    <b v="1"/>
    <s v="2026057"/>
    <n v="4"/>
  </r>
  <r>
    <x v="22"/>
    <s v="2GOV GOIAS PORT"/>
    <n v="2"/>
    <s v="700054 - Tabela 2"/>
    <n v="2.3E-2"/>
    <n v="120"/>
    <s v=""/>
    <n v="2.5"/>
    <n v="28"/>
    <m/>
    <s v="700054 - RFN - GOV GOIAS 2 "/>
    <s v="1,49"/>
    <n v="7"/>
    <n v="2"/>
    <n v="500"/>
    <n v="202605"/>
    <s v="LG"/>
    <s v="0"/>
    <n v="1.49E-2"/>
    <n v="2.5000000000000001E-2"/>
    <b v="0"/>
    <s v="2026057"/>
    <n v="4"/>
  </r>
  <r>
    <x v="22"/>
    <s v="3GOV GOIAS PORT"/>
    <n v="3"/>
    <s v="700056 - Tabela 3"/>
    <n v="2.2499999999999999E-2"/>
    <n v="120"/>
    <s v=""/>
    <n v="2.5"/>
    <n v="28"/>
    <m/>
    <s v="700056 - RFN - GOV GOIAS 3 "/>
    <s v="1,49"/>
    <n v="7"/>
    <n v="2"/>
    <n v="500"/>
    <n v="202605"/>
    <s v="LG"/>
    <s v="0"/>
    <n v="1.49E-2"/>
    <n v="2.5000000000000001E-2"/>
    <b v="0"/>
    <s v="2026057"/>
    <n v="4"/>
  </r>
  <r>
    <x v="22"/>
    <s v="4GOV GOIAS PORT"/>
    <n v="4"/>
    <s v="700058 - Tabela 4"/>
    <n v="2.2000000000000002E-2"/>
    <n v="120"/>
    <s v=""/>
    <n v="2.5"/>
    <n v="28"/>
    <m/>
    <s v="700058 - RFN - GOV GOIAS 4 "/>
    <s v="1,49"/>
    <n v="7"/>
    <n v="2"/>
    <n v="500"/>
    <n v="202605"/>
    <s v="LG"/>
    <s v="0"/>
    <n v="1.49E-2"/>
    <n v="2.5000000000000001E-2"/>
    <b v="0"/>
    <s v="2026057"/>
    <n v="4"/>
  </r>
  <r>
    <x v="22"/>
    <s v="5GOV GOIAS PORT"/>
    <n v="5"/>
    <s v="700060 - Tabela 5"/>
    <n v="2.1499999999999998E-2"/>
    <n v="120"/>
    <s v=""/>
    <n v="2.5"/>
    <n v="28"/>
    <m/>
    <s v="700060 - RFN - GOV GOIAS 5 "/>
    <s v="1,49"/>
    <n v="7"/>
    <n v="2"/>
    <n v="500"/>
    <n v="202605"/>
    <s v="LG"/>
    <s v="0"/>
    <n v="1.49E-2"/>
    <n v="2.5000000000000001E-2"/>
    <b v="0"/>
    <s v="2026057"/>
    <n v="4"/>
  </r>
  <r>
    <x v="22"/>
    <s v="6GOV GOIAS PORT"/>
    <n v="6"/>
    <s v="700064 - Tabela 6"/>
    <n v="2.1000000000000001E-2"/>
    <n v="120"/>
    <s v=""/>
    <n v="2.5"/>
    <n v="28"/>
    <m/>
    <s v="700064 - RFN - GOV GOIAS 6 "/>
    <s v="1,49"/>
    <n v="7"/>
    <n v="2"/>
    <n v="500"/>
    <n v="202605"/>
    <s v="LG"/>
    <s v="0"/>
    <n v="1.49E-2"/>
    <n v="2.5000000000000001E-2"/>
    <b v="0"/>
    <s v="2026057"/>
    <n v="4"/>
  </r>
  <r>
    <x v="22"/>
    <s v="7GOV GOIAS PORT"/>
    <n v="7"/>
    <s v="700066 - Tabela 7"/>
    <n v="2.0499999999999997E-2"/>
    <n v="120"/>
    <s v=""/>
    <n v="2.5"/>
    <n v="28"/>
    <m/>
    <s v="700066 - RFN - GOV GOIAS 7 "/>
    <s v="1,49"/>
    <n v="7"/>
    <n v="2"/>
    <n v="500"/>
    <n v="202605"/>
    <s v="LG"/>
    <s v="0"/>
    <n v="1.49E-2"/>
    <n v="2.5000000000000001E-2"/>
    <b v="0"/>
    <s v="2026057"/>
    <n v="4"/>
  </r>
  <r>
    <x v="22"/>
    <s v="8GOV GOIAS PORT"/>
    <n v="8"/>
    <s v="700068 - Tabela 8"/>
    <n v="0.02"/>
    <n v="120"/>
    <s v=""/>
    <n v="2.5"/>
    <n v="28"/>
    <m/>
    <s v="700068 - RFN - GOV GOIAS 8 "/>
    <s v="1,49"/>
    <n v="7"/>
    <n v="2"/>
    <n v="500"/>
    <n v="202605"/>
    <s v="LG"/>
    <s v="0"/>
    <n v="1.49E-2"/>
    <n v="2.5000000000000001E-2"/>
    <b v="0"/>
    <s v="2026057"/>
    <n v="4"/>
  </r>
  <r>
    <x v="22"/>
    <s v="9GOV GOIAS PORT"/>
    <n v="9"/>
    <s v="700070 - Tabela 9"/>
    <n v="1.95E-2"/>
    <n v="120"/>
    <s v=""/>
    <n v="2.5"/>
    <n v="28"/>
    <m/>
    <s v="700070 - RFN - GOV GOIAS 9 "/>
    <s v="1,49"/>
    <n v="7"/>
    <n v="2"/>
    <n v="500"/>
    <n v="202605"/>
    <s v="LG"/>
    <s v="0"/>
    <n v="1.49E-2"/>
    <n v="2.5000000000000001E-2"/>
    <b v="0"/>
    <s v="2026057"/>
    <n v="4"/>
  </r>
  <r>
    <x v="22"/>
    <s v="10GOV GOIAS PORT"/>
    <n v="10"/>
    <s v="700050 - Tabela 10"/>
    <n v="1.9E-2"/>
    <n v="120"/>
    <s v=""/>
    <n v="2.5"/>
    <n v="28"/>
    <m/>
    <s v="700050 - RFN - GOV GOIAS 10 "/>
    <s v="1,49"/>
    <n v="7"/>
    <n v="2"/>
    <n v="500"/>
    <n v="202605"/>
    <s v="LG"/>
    <s v="0"/>
    <n v="1.49E-2"/>
    <n v="2.5000000000000001E-2"/>
    <b v="0"/>
    <s v="2026057"/>
    <n v="4"/>
  </r>
  <r>
    <x v="22"/>
    <s v="11GOV GOIAS PORT"/>
    <n v="11"/>
    <s v="700052 - Tabela 11"/>
    <n v="1.8600000000000002E-2"/>
    <n v="120"/>
    <s v=""/>
    <n v="2.5"/>
    <n v="28"/>
    <m/>
    <s v="700052 - RFN - GOV GOIAS 11 "/>
    <s v="1,49"/>
    <n v="7"/>
    <n v="2"/>
    <n v="500"/>
    <n v="202605"/>
    <s v="LG"/>
    <s v="0"/>
    <n v="1.49E-2"/>
    <n v="2.5000000000000001E-2"/>
    <b v="0"/>
    <s v="2026057"/>
    <n v="4"/>
  </r>
  <r>
    <x v="22"/>
    <s v="12GOV GOIAS PORT"/>
    <n v="12"/>
    <s v="700062 - Tabela 12"/>
    <n v="1.83E-2"/>
    <n v="120"/>
    <s v=""/>
    <n v="2.5"/>
    <n v="28"/>
    <m/>
    <s v="700062 - RFN - GOV GOIAS 50K 12 "/>
    <s v="1,49"/>
    <n v="7"/>
    <n v="2"/>
    <n v="50000"/>
    <n v="202605"/>
    <s v="LG"/>
    <s v="0"/>
    <n v="1.49E-2"/>
    <n v="2.5000000000000001E-2"/>
    <b v="0"/>
    <s v="2026057"/>
    <n v="4"/>
  </r>
  <r>
    <x v="23"/>
    <s v="1GOV GOIAS PORT CLT"/>
    <n v="1"/>
    <s v="700049 - Tabela 1"/>
    <n v="2.5000000000000001E-2"/>
    <n v="120"/>
    <s v=""/>
    <n v="2.5"/>
    <n v="28"/>
    <m/>
    <s v="700049 - RFN - GOV GOIAS 1  CLT"/>
    <s v="1,49"/>
    <n v="7"/>
    <n v="2"/>
    <n v="500"/>
    <n v="202605"/>
    <s v="LG"/>
    <s v="0"/>
    <n v="1.49E-2"/>
    <n v="2.5000000000000001E-2"/>
    <b v="1"/>
    <s v="2026057"/>
    <n v="4"/>
  </r>
  <r>
    <x v="23"/>
    <s v="2GOV GOIAS PORT CLT"/>
    <n v="2"/>
    <s v="700055 - Tabela 2"/>
    <n v="2.3E-2"/>
    <n v="120"/>
    <s v=""/>
    <n v="2.5"/>
    <n v="28"/>
    <m/>
    <s v="700055 - RFN - GOV GOIAS 2  CLT"/>
    <s v="1,49"/>
    <n v="7"/>
    <n v="2"/>
    <n v="500"/>
    <n v="202605"/>
    <s v="LG"/>
    <s v="0"/>
    <n v="1.49E-2"/>
    <n v="2.5000000000000001E-2"/>
    <b v="0"/>
    <s v="2026057"/>
    <n v="4"/>
  </r>
  <r>
    <x v="23"/>
    <s v="3GOV GOIAS PORT CLT"/>
    <n v="3"/>
    <s v="700057 - Tabela 3"/>
    <n v="2.2499999999999999E-2"/>
    <n v="120"/>
    <s v=""/>
    <n v="2.5"/>
    <n v="28"/>
    <m/>
    <s v="700057 - RFN - GOV GOIAS 3  CLT"/>
    <s v="1,49"/>
    <n v="7"/>
    <n v="2"/>
    <n v="500"/>
    <n v="202605"/>
    <s v="LG"/>
    <s v="0"/>
    <n v="1.49E-2"/>
    <n v="2.5000000000000001E-2"/>
    <b v="0"/>
    <s v="2026057"/>
    <n v="4"/>
  </r>
  <r>
    <x v="23"/>
    <s v="4GOV GOIAS PORT CLT"/>
    <n v="4"/>
    <s v="700059 - Tabela 4"/>
    <n v="2.2000000000000002E-2"/>
    <n v="120"/>
    <s v=""/>
    <n v="2.5"/>
    <n v="28"/>
    <m/>
    <s v="700059 - RFN - GOV GOIAS 4  CLT"/>
    <s v="1,49"/>
    <n v="7"/>
    <n v="2"/>
    <n v="500"/>
    <n v="202605"/>
    <s v="LG"/>
    <s v="0"/>
    <n v="1.49E-2"/>
    <n v="2.5000000000000001E-2"/>
    <b v="0"/>
    <s v="2026057"/>
    <n v="4"/>
  </r>
  <r>
    <x v="23"/>
    <s v="5GOV GOIAS PORT CLT"/>
    <n v="5"/>
    <s v="700061 - Tabela 5"/>
    <n v="2.1499999999999998E-2"/>
    <n v="120"/>
    <s v=""/>
    <n v="2.5"/>
    <n v="28"/>
    <m/>
    <s v="700061 - RFN - GOV GOIAS 5  CLT"/>
    <s v="1,49"/>
    <n v="7"/>
    <n v="2"/>
    <n v="500"/>
    <n v="202605"/>
    <s v="LG"/>
    <s v="0"/>
    <n v="1.49E-2"/>
    <n v="2.5000000000000001E-2"/>
    <b v="0"/>
    <s v="2026057"/>
    <n v="4"/>
  </r>
  <r>
    <x v="23"/>
    <s v="6GOV GOIAS PORT CLT"/>
    <n v="6"/>
    <s v="700065 - Tabela 6"/>
    <n v="2.1000000000000001E-2"/>
    <n v="120"/>
    <s v=""/>
    <n v="2.5"/>
    <n v="28"/>
    <m/>
    <s v="700065 - RFN - GOV GOIAS 6  CLT"/>
    <s v="1,49"/>
    <n v="7"/>
    <n v="2"/>
    <n v="500"/>
    <n v="202605"/>
    <s v="LG"/>
    <s v="0"/>
    <n v="1.49E-2"/>
    <n v="2.5000000000000001E-2"/>
    <b v="0"/>
    <s v="2026057"/>
    <n v="4"/>
  </r>
  <r>
    <x v="23"/>
    <s v="7GOV GOIAS PORT CLT"/>
    <n v="7"/>
    <s v="700067 - Tabela 7"/>
    <n v="2.0499999999999997E-2"/>
    <n v="120"/>
    <s v=""/>
    <n v="2.5"/>
    <n v="28"/>
    <m/>
    <s v="700067 - RFN - GOV GOIAS 7  CLT"/>
    <s v="1,49"/>
    <n v="7"/>
    <n v="2"/>
    <n v="500"/>
    <n v="202605"/>
    <s v="LG"/>
    <s v="0"/>
    <n v="1.49E-2"/>
    <n v="2.5000000000000001E-2"/>
    <b v="0"/>
    <s v="2026057"/>
    <n v="4"/>
  </r>
  <r>
    <x v="23"/>
    <s v="8GOV GOIAS PORT CLT"/>
    <n v="8"/>
    <s v="700069 - Tabela 8"/>
    <n v="0.02"/>
    <n v="120"/>
    <s v=""/>
    <n v="2.5"/>
    <n v="28"/>
    <m/>
    <s v="700069 - RFN - GOV GOIAS 8  CLT"/>
    <s v="1,49"/>
    <n v="7"/>
    <n v="2"/>
    <n v="500"/>
    <n v="202605"/>
    <s v="LG"/>
    <s v="0"/>
    <n v="1.49E-2"/>
    <n v="2.5000000000000001E-2"/>
    <b v="0"/>
    <s v="2026057"/>
    <n v="4"/>
  </r>
  <r>
    <x v="23"/>
    <s v="9GOV GOIAS PORT CLT"/>
    <n v="9"/>
    <s v="700071 - Tabela 9"/>
    <n v="1.95E-2"/>
    <n v="120"/>
    <s v=""/>
    <n v="2.5"/>
    <n v="28"/>
    <m/>
    <s v="700071 - RFN - GOV GOIAS 9  CLT"/>
    <s v="1,49"/>
    <n v="7"/>
    <n v="2"/>
    <n v="500"/>
    <n v="202605"/>
    <s v="LG"/>
    <s v="0"/>
    <n v="1.49E-2"/>
    <n v="2.5000000000000001E-2"/>
    <b v="0"/>
    <s v="2026057"/>
    <n v="4"/>
  </r>
  <r>
    <x v="23"/>
    <s v="10GOV GOIAS PORT CLT"/>
    <n v="10"/>
    <s v="700051 - Tabela 10"/>
    <n v="1.9E-2"/>
    <n v="120"/>
    <s v=""/>
    <n v="2.5"/>
    <n v="28"/>
    <m/>
    <s v="700051 - RFN - GOV GOIAS 10  CLT"/>
    <s v="1,49"/>
    <n v="7"/>
    <n v="2"/>
    <n v="500"/>
    <n v="202605"/>
    <s v="LG"/>
    <s v="0"/>
    <n v="1.49E-2"/>
    <n v="2.5000000000000001E-2"/>
    <b v="0"/>
    <s v="2026057"/>
    <n v="4"/>
  </r>
  <r>
    <x v="23"/>
    <s v="11GOV GOIAS PORT CLT"/>
    <n v="11"/>
    <s v="700053 - Tabela 11"/>
    <n v="1.8600000000000002E-2"/>
    <n v="120"/>
    <s v=""/>
    <n v="2.5"/>
    <n v="28"/>
    <m/>
    <s v="700053 - RFN - GOV GOIAS 11  CLT"/>
    <s v="1,49"/>
    <n v="7"/>
    <n v="2"/>
    <n v="500"/>
    <n v="202605"/>
    <s v="LG"/>
    <s v="0"/>
    <n v="1.49E-2"/>
    <n v="2.5000000000000001E-2"/>
    <b v="0"/>
    <s v="2026057"/>
    <n v="4"/>
  </r>
  <r>
    <x v="23"/>
    <s v="12GOV GOIAS PORT CLT"/>
    <n v="12"/>
    <s v="700063 - Tabela 12"/>
    <n v="1.83E-2"/>
    <n v="120"/>
    <s v=""/>
    <n v="2.5"/>
    <n v="28"/>
    <m/>
    <s v="700063 - RFN - GOV GOIAS 50K 12  CLT"/>
    <s v="1,49"/>
    <n v="7"/>
    <n v="2"/>
    <n v="50000"/>
    <n v="202605"/>
    <s v="LG"/>
    <s v="0"/>
    <n v="1.49E-2"/>
    <n v="2.5000000000000001E-2"/>
    <b v="0"/>
    <s v="2026057"/>
    <n v="4"/>
  </r>
  <r>
    <x v="24"/>
    <s v="1GOV MA AOL"/>
    <n v="1"/>
    <s v="785451 - Tabela 1"/>
    <n v="2.5000000000000001E-2"/>
    <n v="120"/>
    <s v=""/>
    <n v="2.5"/>
    <n v="15"/>
    <n v="60"/>
    <s v="785451 - RFN - GOV MARANHAO  1 "/>
    <s v="1,4"/>
    <n v="28"/>
    <n v="2"/>
    <n v="500"/>
    <n v="202605"/>
    <s v="LG"/>
    <s v="1"/>
    <n v="1.3999999999999999E-2"/>
    <n v="2.5000000000000001E-2"/>
    <b v="1"/>
    <s v="20260528"/>
    <n v="19"/>
  </r>
  <r>
    <x v="24"/>
    <s v="2GOV MA AOL"/>
    <n v="2"/>
    <s v="785452 - Tabela 2"/>
    <n v="2.4E-2"/>
    <n v="120"/>
    <s v=""/>
    <n v="2.5"/>
    <n v="15"/>
    <n v="60"/>
    <s v="785452 - RFN - GOV MARANHAO  2 "/>
    <s v="1,4"/>
    <n v="28"/>
    <n v="2"/>
    <n v="500"/>
    <n v="202605"/>
    <s v="LG"/>
    <s v="1"/>
    <n v="1.3999999999999999E-2"/>
    <n v="2.5000000000000001E-2"/>
    <b v="0"/>
    <s v="20260528"/>
    <n v="19"/>
  </r>
  <r>
    <x v="24"/>
    <s v="3GOV MA AOL"/>
    <n v="3"/>
    <s v="785453 - Tabela 3"/>
    <n v="2.3E-2"/>
    <n v="120"/>
    <s v=""/>
    <n v="2.5"/>
    <n v="15"/>
    <n v="60"/>
    <s v="785453 - RFN - GOV MARANHAO  3 "/>
    <s v="1,4"/>
    <n v="28"/>
    <n v="2"/>
    <n v="500"/>
    <n v="202605"/>
    <s v="LG"/>
    <s v="1"/>
    <n v="1.3999999999999999E-2"/>
    <n v="2.5000000000000001E-2"/>
    <b v="0"/>
    <s v="20260528"/>
    <n v="19"/>
  </r>
  <r>
    <x v="24"/>
    <s v="4GOV MA AOL"/>
    <n v="4"/>
    <s v="785454 - Tabela 4"/>
    <n v="2.2000000000000002E-2"/>
    <n v="120"/>
    <s v=""/>
    <n v="2.5"/>
    <n v="15"/>
    <n v="60"/>
    <s v="785454 - RFN - GOV MARANHAO  4 "/>
    <s v="1,4"/>
    <n v="28"/>
    <n v="2"/>
    <n v="500"/>
    <n v="202605"/>
    <s v="LG"/>
    <s v="1"/>
    <n v="1.3999999999999999E-2"/>
    <n v="2.5000000000000001E-2"/>
    <b v="0"/>
    <s v="20260528"/>
    <n v="19"/>
  </r>
  <r>
    <x v="24"/>
    <s v="5GOV MA AOL"/>
    <n v="5"/>
    <s v="785455 - Tabela 5"/>
    <n v="2.1000000000000001E-2"/>
    <n v="120"/>
    <s v=""/>
    <n v="2.5"/>
    <n v="15"/>
    <n v="60"/>
    <s v="785455 - RFN - GOV MARANHAO  5 "/>
    <s v="1,4"/>
    <n v="28"/>
    <n v="2"/>
    <n v="500"/>
    <n v="202605"/>
    <s v="LG"/>
    <s v="1"/>
    <n v="1.3999999999999999E-2"/>
    <n v="2.5000000000000001E-2"/>
    <b v="0"/>
    <s v="20260528"/>
    <n v="19"/>
  </r>
  <r>
    <x v="24"/>
    <s v="6GOV MA AOL"/>
    <n v="6"/>
    <s v="785456 - Tabela 6"/>
    <n v="2.0299999999999999E-2"/>
    <n v="120"/>
    <s v=""/>
    <n v="2.5"/>
    <n v="15"/>
    <n v="60"/>
    <s v="785456 - RFN - GOV MARANHAO  6 "/>
    <s v="1,4"/>
    <n v="28"/>
    <n v="2"/>
    <n v="500"/>
    <n v="202605"/>
    <s v="LG"/>
    <s v="1"/>
    <n v="1.3999999999999999E-2"/>
    <n v="2.5000000000000001E-2"/>
    <b v="0"/>
    <s v="20260528"/>
    <n v="19"/>
  </r>
  <r>
    <x v="24"/>
    <s v="7GOV MA AOL"/>
    <n v="7"/>
    <s v="785457 - Tabela 307"/>
    <n v="1.8000000000000002E-2"/>
    <n v="120"/>
    <s v=""/>
    <n v="2.5"/>
    <n v="15"/>
    <n v="60"/>
    <s v="785457 - RFN - GOV MARANHAO  30K 7 "/>
    <s v="1,4"/>
    <n v="28"/>
    <n v="2"/>
    <n v="30000"/>
    <n v="202605"/>
    <s v="LG"/>
    <s v="1"/>
    <n v="1.3999999999999999E-2"/>
    <n v="2.5000000000000001E-2"/>
    <b v="0"/>
    <s v="20260528"/>
    <n v="19"/>
  </r>
  <r>
    <x v="24"/>
    <s v="8GOV MA AOL"/>
    <n v="8"/>
    <s v="785458 - Tabela 8"/>
    <n v="1.7399999999999999E-2"/>
    <n v="120"/>
    <s v=""/>
    <n v="2.5"/>
    <n v="15"/>
    <n v="60"/>
    <s v="785458 - RFN - GOV MARANHAO  50K 8 "/>
    <s v="1,4"/>
    <n v="28"/>
    <n v="2"/>
    <n v="50000"/>
    <n v="202605"/>
    <s v="LG"/>
    <s v="1"/>
    <n v="1.3999999999999999E-2"/>
    <n v="2.5000000000000001E-2"/>
    <b v="0"/>
    <s v="20260528"/>
    <n v="19"/>
  </r>
  <r>
    <x v="25"/>
    <s v="1GOV MG BOMBEIRO"/>
    <n v="1"/>
    <s v="765681 - Tabela 1"/>
    <n v="2.5000000000000001E-2"/>
    <n v="120"/>
    <s v=""/>
    <n v="2.5"/>
    <n v="7"/>
    <m/>
    <s v="765681 - RFN - BOMBEIROS 1 "/>
    <s v="1,43"/>
    <n v="31"/>
    <n v="2"/>
    <n v="500"/>
    <n v="202605"/>
    <s v="LG"/>
    <s v="1"/>
    <n v="1.43E-2"/>
    <n v="2.5000000000000001E-2"/>
    <b v="1"/>
    <s v="20260531"/>
    <n v="20"/>
  </r>
  <r>
    <x v="25"/>
    <s v="2GOV MG BOMBEIRO"/>
    <n v="2"/>
    <s v="765682 - Tabela 2"/>
    <n v="2.2499999999999999E-2"/>
    <n v="120"/>
    <s v=""/>
    <n v="2.5"/>
    <n v="7"/>
    <n v="61"/>
    <s v="765682 - RFN - BOMBEIROS 2 "/>
    <s v="1,43"/>
    <n v="31"/>
    <n v="2"/>
    <n v="500"/>
    <n v="202605"/>
    <s v="LG"/>
    <s v="1"/>
    <n v="1.43E-2"/>
    <n v="2.5000000000000001E-2"/>
    <b v="0"/>
    <s v="20260531"/>
    <n v="20"/>
  </r>
  <r>
    <x v="25"/>
    <s v="3GOV MG BOMBEIRO"/>
    <n v="3"/>
    <s v="765683 - Tabela 3"/>
    <n v="0.02"/>
    <n v="120"/>
    <s v=""/>
    <n v="2.5"/>
    <n v="7"/>
    <n v="53"/>
    <s v="765683 - RFN - BOMBEIROS 3 "/>
    <s v="1,43"/>
    <n v="31"/>
    <n v="2"/>
    <n v="500"/>
    <n v="202605"/>
    <s v="LG"/>
    <s v="1"/>
    <n v="1.43E-2"/>
    <n v="2.5000000000000001E-2"/>
    <b v="0"/>
    <s v="20260531"/>
    <n v="20"/>
  </r>
  <r>
    <x v="25"/>
    <s v="4GOV MG BOMBEIRO"/>
    <n v="4"/>
    <s v="765684 - Tabela 4"/>
    <n v="1.95E-2"/>
    <n v="120"/>
    <s v=""/>
    <n v="2.5"/>
    <n v="7"/>
    <n v="55"/>
    <s v="765684 - RFN - BOMBEIROS 4 "/>
    <s v="1,43"/>
    <n v="31"/>
    <n v="2"/>
    <n v="500"/>
    <n v="202605"/>
    <s v="LG"/>
    <s v="1"/>
    <n v="1.43E-2"/>
    <n v="2.5000000000000001E-2"/>
    <b v="0"/>
    <s v="20260531"/>
    <n v="20"/>
  </r>
  <r>
    <x v="25"/>
    <s v="5GOV MG BOMBEIRO"/>
    <n v="5"/>
    <s v="765685 - Tabela 5"/>
    <n v="1.9E-2"/>
    <n v="120"/>
    <s v=""/>
    <n v="2.5"/>
    <n v="7"/>
    <n v="54"/>
    <s v="765685 - RFN - BOMBEIROS 5 "/>
    <s v="1,43"/>
    <n v="31"/>
    <n v="2"/>
    <n v="500"/>
    <n v="202605"/>
    <s v="LG"/>
    <s v="1"/>
    <n v="1.43E-2"/>
    <n v="2.5000000000000001E-2"/>
    <b v="0"/>
    <s v="20260531"/>
    <n v="20"/>
  </r>
  <r>
    <x v="25"/>
    <s v="6GOV MG BOMBEIRO"/>
    <n v="6"/>
    <s v="765686 - Tabela 6"/>
    <n v="1.8500000000000003E-2"/>
    <n v="120"/>
    <s v=""/>
    <n v="2.5"/>
    <n v="7"/>
    <n v="47"/>
    <s v="765686 - RFN - BOMBEIROS 6 "/>
    <s v="1,43"/>
    <n v="31"/>
    <n v="2"/>
    <n v="500"/>
    <n v="202605"/>
    <s v="LG"/>
    <s v="1"/>
    <n v="1.43E-2"/>
    <n v="2.5000000000000001E-2"/>
    <b v="0"/>
    <s v="20260531"/>
    <n v="20"/>
  </r>
  <r>
    <x v="25"/>
    <s v="7GOV MG BOMBEIRO"/>
    <n v="7"/>
    <s v="765687 - Tabela 7"/>
    <n v="1.8000000000000002E-2"/>
    <n v="120"/>
    <s v=""/>
    <n v="2.5"/>
    <n v="7"/>
    <n v="51"/>
    <s v="765687 - RFN - BOMBEIROS 7 "/>
    <s v="1,43"/>
    <n v="31"/>
    <n v="2"/>
    <n v="500"/>
    <n v="202605"/>
    <s v="LG"/>
    <s v="1"/>
    <n v="1.43E-2"/>
    <n v="2.5000000000000001E-2"/>
    <b v="0"/>
    <s v="20260531"/>
    <n v="20"/>
  </r>
  <r>
    <x v="25"/>
    <s v="8GOV MG BOMBEIRO"/>
    <n v="8"/>
    <s v="765688 - Tabela 8"/>
    <n v="1.7500000000000002E-2"/>
    <n v="120"/>
    <s v=""/>
    <n v="2.5"/>
    <n v="7"/>
    <n v="51"/>
    <s v="765688 - RFN - BOMBEIROS 8 "/>
    <s v="1,43"/>
    <n v="31"/>
    <n v="2"/>
    <n v="500"/>
    <n v="202605"/>
    <s v="LG"/>
    <s v="1"/>
    <n v="1.43E-2"/>
    <n v="2.5000000000000001E-2"/>
    <b v="0"/>
    <s v="20260531"/>
    <n v="20"/>
  </r>
  <r>
    <x v="25"/>
    <s v="9GOV MG BOMBEIRO"/>
    <n v="9"/>
    <s v="765689 - Tabela 9"/>
    <n v="1.7000000000000001E-2"/>
    <n v="120"/>
    <s v=""/>
    <n v="2.5"/>
    <n v="7"/>
    <n v="54"/>
    <s v="765689 - RFN - BOMBEIROS 9 "/>
    <s v="1,43"/>
    <n v="31"/>
    <n v="2"/>
    <n v="500"/>
    <n v="202605"/>
    <s v="LG"/>
    <s v="1"/>
    <n v="1.43E-2"/>
    <n v="2.5000000000000001E-2"/>
    <b v="0"/>
    <s v="20260531"/>
    <n v="20"/>
  </r>
  <r>
    <x v="25"/>
    <s v="10GOV MG BOMBEIRO"/>
    <n v="10"/>
    <s v="765690 - Tabela 10"/>
    <n v="1.6500000000000001E-2"/>
    <n v="120"/>
    <s v=""/>
    <n v="2.5"/>
    <n v="7"/>
    <n v="50"/>
    <s v="765690 - RFN - BOMBEIROS 10 "/>
    <s v="1,43"/>
    <n v="31"/>
    <n v="2"/>
    <n v="500"/>
    <n v="202605"/>
    <s v="LG"/>
    <s v="1"/>
    <n v="1.43E-2"/>
    <n v="2.5000000000000001E-2"/>
    <b v="0"/>
    <s v="20260531"/>
    <n v="20"/>
  </r>
  <r>
    <x v="25"/>
    <s v="11GOV MG BOMBEIRO"/>
    <n v="11"/>
    <s v="765693 - Tabela 3011"/>
    <n v="1.6299999999999999E-2"/>
    <n v="120"/>
    <s v=""/>
    <n v="2.5"/>
    <n v="7"/>
    <n v="49"/>
    <s v="765693 - RFN - BOMBEIROS 30K 11 "/>
    <s v="1,43"/>
    <n v="31"/>
    <n v="2"/>
    <n v="30000"/>
    <n v="202605"/>
    <s v="LG"/>
    <s v="1"/>
    <n v="1.43E-2"/>
    <n v="2.5000000000000001E-2"/>
    <b v="0"/>
    <s v="20260531"/>
    <n v="20"/>
  </r>
  <r>
    <x v="25"/>
    <s v="12GOV MG BOMBEIRO"/>
    <n v="12"/>
    <s v="765694 - Tabela 12"/>
    <n v="1.61E-2"/>
    <n v="120"/>
    <s v=""/>
    <n v="2.5"/>
    <n v="7"/>
    <n v="53"/>
    <s v="765694 - RFN - BOMBEIROS 50K 12 "/>
    <s v="1,43"/>
    <n v="31"/>
    <n v="2"/>
    <n v="50000"/>
    <n v="202605"/>
    <s v="LG"/>
    <s v="1"/>
    <n v="1.43E-2"/>
    <n v="2.5000000000000001E-2"/>
    <b v="0"/>
    <s v="20260531"/>
    <n v="20"/>
  </r>
  <r>
    <x v="26"/>
    <s v="1GOV MG IPSEMG"/>
    <n v="1"/>
    <s v="765631 - Tabela 1"/>
    <n v="2.5000000000000001E-2"/>
    <n v="120"/>
    <s v=""/>
    <n v="2.5"/>
    <n v="12"/>
    <n v="39"/>
    <s v="765631 - RFN - IPSEMG 1 "/>
    <s v="1,45"/>
    <n v="18"/>
    <n v="2"/>
    <n v="500"/>
    <n v="202605"/>
    <s v="LG"/>
    <s v="0"/>
    <n v="1.4499999999999999E-2"/>
    <n v="2.5000000000000001E-2"/>
    <b v="1"/>
    <s v="20260518"/>
    <n v="11"/>
  </r>
  <r>
    <x v="26"/>
    <s v="2GOV MG IPSEMG"/>
    <n v="2"/>
    <s v="765632 - Tabela 2"/>
    <n v="2.2499999999999999E-2"/>
    <n v="120"/>
    <s v=""/>
    <n v="2.5"/>
    <n v="12"/>
    <n v="38"/>
    <s v="765632 - RFN - IPSEMG 2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3GOV MG IPSEMG"/>
    <n v="3"/>
    <s v="765633 - Tabela 3"/>
    <n v="0.02"/>
    <n v="120"/>
    <s v=""/>
    <n v="2.5"/>
    <n v="12"/>
    <n v="39"/>
    <s v="765633 - RFN - IPSEMG 3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4GOV MG IPSEMG"/>
    <n v="4"/>
    <s v="765634 - Tabela 4"/>
    <n v="1.9E-2"/>
    <n v="120"/>
    <s v=""/>
    <n v="2.5"/>
    <n v="12"/>
    <n v="39"/>
    <s v="765634 - RFN - IPSEMG 4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5GOV MG IPSEMG"/>
    <n v="5"/>
    <s v="765635 - Tabela 5"/>
    <n v="1.8500000000000003E-2"/>
    <n v="120"/>
    <s v=""/>
    <n v="2.5"/>
    <n v="12"/>
    <n v="33"/>
    <s v="765635 - RFN - IPSEMG 5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6GOV MG IPSEMG"/>
    <n v="6"/>
    <s v="765636 - Tabela 6"/>
    <n v="1.8000000000000002E-2"/>
    <n v="120"/>
    <s v=""/>
    <n v="2.5"/>
    <n v="12"/>
    <n v="38"/>
    <s v="765636 - RFN - IPSEMG 6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7GOV MG IPSEMG"/>
    <n v="7"/>
    <s v="765637 - Tabela 7"/>
    <n v="1.7500000000000002E-2"/>
    <n v="120"/>
    <s v=""/>
    <n v="2.5"/>
    <n v="12"/>
    <n v="40"/>
    <s v="765637 - RFN - IPSEMG 7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8GOV MG IPSEMG"/>
    <n v="8"/>
    <s v="765638 - Tabela 8"/>
    <n v="1.7000000000000001E-2"/>
    <n v="120"/>
    <s v=""/>
    <n v="2.5"/>
    <n v="12"/>
    <n v="39"/>
    <s v="765638 - RFN - IPSEMG 8 "/>
    <s v="1,45"/>
    <n v="18"/>
    <n v="2"/>
    <n v="500"/>
    <n v="202605"/>
    <s v="LG"/>
    <s v="0"/>
    <n v="1.4499999999999999E-2"/>
    <n v="2.5000000000000001E-2"/>
    <b v="0"/>
    <s v="20260518"/>
    <n v="11"/>
  </r>
  <r>
    <x v="26"/>
    <s v="9GOV MG IPSEMG"/>
    <n v="9"/>
    <s v="765639 - Tabela 9"/>
    <n v="1.6500000000000001E-2"/>
    <n v="120"/>
    <s v=""/>
    <n v="2.5"/>
    <n v="12"/>
    <n v="38"/>
    <s v="765639 - RFN - IPSEMG 9 "/>
    <s v="1,45"/>
    <n v="18"/>
    <n v="2"/>
    <n v="500"/>
    <n v="202605"/>
    <s v="LG"/>
    <s v="0"/>
    <n v="1.4499999999999999E-2"/>
    <n v="2.5000000000000001E-2"/>
    <b v="0"/>
    <s v="20260518"/>
    <n v="11"/>
  </r>
  <r>
    <x v="27"/>
    <s v="1GOV MG IPSM"/>
    <n v="1"/>
    <s v="765641 - Tabela 1"/>
    <n v="2.5000000000000001E-2"/>
    <n v="120"/>
    <s v=""/>
    <n v="2.5"/>
    <n v="10"/>
    <n v="61"/>
    <s v="765641 - RFN - IPSM 1 "/>
    <s v="1,45"/>
    <n v="31"/>
    <n v="2"/>
    <n v="500"/>
    <n v="202605"/>
    <s v="LG"/>
    <s v="1"/>
    <n v="1.4499999999999999E-2"/>
    <n v="2.5000000000000001E-2"/>
    <b v="1"/>
    <s v="20260531"/>
    <n v="20"/>
  </r>
  <r>
    <x v="27"/>
    <s v="2GOV MG IPSM"/>
    <n v="2"/>
    <s v="765642 - Tabela 2"/>
    <n v="2.2499999999999999E-2"/>
    <n v="120"/>
    <s v=""/>
    <n v="2.5"/>
    <n v="10"/>
    <n v="55"/>
    <s v="765642 - RFN - IPSM 2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3GOV MG IPSM"/>
    <n v="3"/>
    <s v="765643 - Tabela 3"/>
    <n v="0.02"/>
    <n v="120"/>
    <s v=""/>
    <n v="2.5"/>
    <n v="10"/>
    <n v="54"/>
    <s v="765643 - RFN - IPSM 3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4GOV MG IPSM"/>
    <n v="4"/>
    <s v="765644 - Tabela 4"/>
    <n v="1.9E-2"/>
    <n v="120"/>
    <s v=""/>
    <n v="2.5"/>
    <n v="10"/>
    <n v="55"/>
    <s v="765644 - RFN - IPSM 4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5GOV MG IPSM"/>
    <n v="5"/>
    <s v="765645 - Tabela 5"/>
    <n v="1.8500000000000003E-2"/>
    <n v="120"/>
    <s v=""/>
    <n v="2.5"/>
    <n v="10"/>
    <n v="57"/>
    <s v="765645 - RFN - IPSM 5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6GOV MG IPSM"/>
    <n v="6"/>
    <s v="765646 - Tabela 6"/>
    <n v="1.8000000000000002E-2"/>
    <n v="120"/>
    <s v=""/>
    <n v="2.5"/>
    <n v="10"/>
    <n v="59"/>
    <s v="765646 - RFN - IPSM 6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7GOV MG IPSM"/>
    <n v="7"/>
    <s v="765647 - Tabela 7"/>
    <n v="1.7500000000000002E-2"/>
    <n v="120"/>
    <s v=""/>
    <n v="2.5"/>
    <n v="10"/>
    <n v="51"/>
    <s v="765647 - RFN - IPSM 7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8GOV MG IPSM"/>
    <n v="8"/>
    <s v="765648 - Tabela 8"/>
    <n v="1.7000000000000001E-2"/>
    <n v="120"/>
    <s v=""/>
    <n v="2.5"/>
    <n v="10"/>
    <n v="53"/>
    <s v="765648 - RFN - IPSM 8 "/>
    <s v="1,45"/>
    <n v="31"/>
    <n v="2"/>
    <n v="500"/>
    <n v="202605"/>
    <s v="LG"/>
    <s v="1"/>
    <n v="1.4499999999999999E-2"/>
    <n v="2.5000000000000001E-2"/>
    <b v="0"/>
    <s v="20260531"/>
    <n v="20"/>
  </r>
  <r>
    <x v="27"/>
    <s v="9GOV MG IPSM"/>
    <n v="9"/>
    <s v="765649 - Tabela 9"/>
    <n v="1.6500000000000001E-2"/>
    <n v="120"/>
    <s v=""/>
    <n v="2.5"/>
    <n v="10"/>
    <n v="53"/>
    <s v="765649 - RFN - IPSM 9 "/>
    <s v="1,45"/>
    <n v="31"/>
    <n v="2"/>
    <n v="500"/>
    <n v="202605"/>
    <s v="LG"/>
    <s v="1"/>
    <n v="1.4499999999999999E-2"/>
    <n v="2.5000000000000001E-2"/>
    <b v="0"/>
    <s v="20260531"/>
    <n v="20"/>
  </r>
  <r>
    <x v="28"/>
    <s v="1GOV MG PM"/>
    <n v="1"/>
    <s v="765661 - Tabela 1"/>
    <n v="2.5000000000000001E-2"/>
    <n v="120"/>
    <s v=""/>
    <n v="2.5"/>
    <n v="7"/>
    <n v="53"/>
    <s v="765661 - RFN - POLICIA 1 "/>
    <s v="1,43"/>
    <n v="29"/>
    <n v="2"/>
    <n v="500"/>
    <n v="202605"/>
    <s v="LG"/>
    <s v="1"/>
    <n v="1.43E-2"/>
    <n v="2.5000000000000001E-2"/>
    <b v="1"/>
    <s v="20260529"/>
    <n v="20"/>
  </r>
  <r>
    <x v="28"/>
    <s v="2GOV MG PM"/>
    <n v="2"/>
    <s v="765662 - Tabela 2"/>
    <n v="2.2499999999999999E-2"/>
    <n v="120"/>
    <s v=""/>
    <n v="2.5"/>
    <n v="7"/>
    <n v="52"/>
    <s v="765662 - RFN - POLICIA 2 "/>
    <s v="1,43"/>
    <n v="29"/>
    <n v="2"/>
    <n v="500"/>
    <n v="202605"/>
    <s v="LG"/>
    <s v="1"/>
    <n v="1.43E-2"/>
    <n v="2.5000000000000001E-2"/>
    <b v="0"/>
    <s v="20260529"/>
    <n v="20"/>
  </r>
  <r>
    <x v="28"/>
    <s v="3GOV MG PM"/>
    <n v="3"/>
    <s v="765663 - Tabela 3"/>
    <n v="0.02"/>
    <n v="120"/>
    <s v=""/>
    <n v="2.5"/>
    <n v="7"/>
    <n v="53"/>
    <s v="765663 - RFN - POLICIA 3 "/>
    <s v="1,43"/>
    <n v="29"/>
    <n v="2"/>
    <n v="500"/>
    <n v="202605"/>
    <s v="LG"/>
    <s v="1"/>
    <n v="1.43E-2"/>
    <n v="2.5000000000000001E-2"/>
    <b v="0"/>
    <s v="20260529"/>
    <n v="20"/>
  </r>
  <r>
    <x v="28"/>
    <s v="4GOV MG PM"/>
    <n v="4"/>
    <s v="765664 - Tabela 4"/>
    <n v="1.95E-2"/>
    <n v="120"/>
    <s v=""/>
    <n v="2.5"/>
    <n v="7"/>
    <n v="53"/>
    <s v="765664 - RFN - POLICIA 4 "/>
    <s v="1,43"/>
    <n v="29"/>
    <n v="2"/>
    <n v="500"/>
    <n v="202605"/>
    <s v="LG"/>
    <s v="1"/>
    <n v="1.43E-2"/>
    <n v="2.5000000000000001E-2"/>
    <b v="0"/>
    <s v="20260529"/>
    <n v="20"/>
  </r>
  <r>
    <x v="28"/>
    <s v="5GOV MG PM"/>
    <n v="5"/>
    <s v="765665 - Tabela 5"/>
    <n v="1.9E-2"/>
    <n v="120"/>
    <s v=""/>
    <n v="2.5"/>
    <n v="7"/>
    <n v="56"/>
    <s v="765665 - RFN - POLICIA 5 "/>
    <s v="1,43"/>
    <n v="29"/>
    <n v="2"/>
    <n v="500"/>
    <n v="202605"/>
    <s v="LG"/>
    <s v="1"/>
    <n v="1.43E-2"/>
    <n v="2.5000000000000001E-2"/>
    <b v="0"/>
    <s v="20260529"/>
    <n v="20"/>
  </r>
  <r>
    <x v="28"/>
    <s v="6GOV MG PM"/>
    <n v="6"/>
    <s v="765666 - Tabela 6"/>
    <n v="1.8500000000000003E-2"/>
    <n v="120"/>
    <s v=""/>
    <n v="2.5"/>
    <n v="7"/>
    <n v="54"/>
    <s v="765666 - RFN - POLICIA 6 "/>
    <s v="1,43"/>
    <n v="29"/>
    <n v="2"/>
    <n v="500"/>
    <n v="202605"/>
    <s v="LG"/>
    <s v="1"/>
    <n v="1.43E-2"/>
    <n v="2.5000000000000001E-2"/>
    <b v="0"/>
    <s v="20260529"/>
    <n v="20"/>
  </r>
  <r>
    <x v="28"/>
    <s v="7GOV MG PM"/>
    <n v="7"/>
    <s v="765667 - Tabela 7"/>
    <n v="1.8000000000000002E-2"/>
    <n v="120"/>
    <s v=""/>
    <n v="2.5"/>
    <n v="7"/>
    <n v="53"/>
    <s v="765667 - RFN - POLICIA 7 "/>
    <s v="1,43"/>
    <n v="29"/>
    <n v="2"/>
    <n v="500"/>
    <n v="202605"/>
    <s v="LG"/>
    <s v="1"/>
    <n v="1.43E-2"/>
    <n v="2.5000000000000001E-2"/>
    <b v="0"/>
    <s v="20260529"/>
    <n v="20"/>
  </r>
  <r>
    <x v="28"/>
    <s v="8GOV MG PM"/>
    <n v="8"/>
    <s v="765668 - Tabela 8"/>
    <n v="1.7500000000000002E-2"/>
    <n v="120"/>
    <s v=""/>
    <n v="2.5"/>
    <n v="7"/>
    <n v="52"/>
    <s v="765668 - RFN - POLICIA 8 "/>
    <s v="1,43"/>
    <n v="29"/>
    <n v="2"/>
    <n v="500"/>
    <n v="202605"/>
    <s v="LG"/>
    <s v="1"/>
    <n v="1.43E-2"/>
    <n v="2.5000000000000001E-2"/>
    <b v="0"/>
    <s v="20260529"/>
    <n v="20"/>
  </r>
  <r>
    <x v="28"/>
    <s v="9GOV MG PM"/>
    <n v="9"/>
    <s v="765669 - Tabela 9"/>
    <n v="1.7000000000000001E-2"/>
    <n v="120"/>
    <s v=""/>
    <n v="2.5"/>
    <n v="7"/>
    <n v="52"/>
    <s v="765669 - RFN - POLICIA 9 "/>
    <s v="1,43"/>
    <n v="29"/>
    <n v="2"/>
    <n v="500"/>
    <n v="202605"/>
    <s v="LG"/>
    <s v="1"/>
    <n v="1.43E-2"/>
    <n v="2.5000000000000001E-2"/>
    <b v="0"/>
    <s v="20260529"/>
    <n v="20"/>
  </r>
  <r>
    <x v="28"/>
    <s v="10GOV MG PM"/>
    <n v="10"/>
    <s v="765670 - Tabela 10"/>
    <n v="1.6500000000000001E-2"/>
    <n v="120"/>
    <s v=""/>
    <n v="2.5"/>
    <n v="7"/>
    <n v="53"/>
    <s v="765670 - RFN - POLICIA 10 "/>
    <s v="1,43"/>
    <n v="29"/>
    <n v="2"/>
    <n v="500"/>
    <n v="202605"/>
    <s v="LG"/>
    <s v="1"/>
    <n v="1.43E-2"/>
    <n v="2.5000000000000001E-2"/>
    <b v="0"/>
    <s v="20260529"/>
    <n v="20"/>
  </r>
  <r>
    <x v="28"/>
    <s v="11GOV MG PM"/>
    <n v="11"/>
    <s v="765671 - Tabela 3011"/>
    <n v="1.6299999999999999E-2"/>
    <n v="120"/>
    <s v=""/>
    <n v="2.5"/>
    <n v="7"/>
    <n v="52"/>
    <s v="765671 - RFN - POLICIA 30K 11 "/>
    <s v="1,43"/>
    <n v="29"/>
    <n v="2"/>
    <n v="30000"/>
    <n v="202605"/>
    <s v="LG"/>
    <s v="1"/>
    <n v="1.43E-2"/>
    <n v="2.5000000000000001E-2"/>
    <b v="0"/>
    <s v="20260529"/>
    <n v="20"/>
  </r>
  <r>
    <x v="28"/>
    <s v="12GOV MG PM"/>
    <n v="12"/>
    <s v="765672 - Tabela 12"/>
    <n v="1.61E-2"/>
    <n v="120"/>
    <s v=""/>
    <n v="2.5"/>
    <n v="7"/>
    <n v="53"/>
    <s v="765672 - RFN - POLICIA 50K 12 "/>
    <s v="1,43"/>
    <n v="29"/>
    <n v="2"/>
    <n v="50000"/>
    <n v="202605"/>
    <s v="LG"/>
    <s v="1"/>
    <n v="1.43E-2"/>
    <n v="2.5000000000000001E-2"/>
    <b v="0"/>
    <s v="20260529"/>
    <n v="20"/>
  </r>
  <r>
    <x v="29"/>
    <s v="1GOV MG SEPLAG"/>
    <n v="1"/>
    <s v="765571 - Tabela 1"/>
    <n v="2.5000000000000001E-2"/>
    <n v="120"/>
    <s v=""/>
    <n v="2.5"/>
    <n v="7"/>
    <n v="34"/>
    <s v="765571 - RFN - SEPLAG 1 "/>
    <s v="1,43"/>
    <n v="13"/>
    <n v="2"/>
    <n v="500"/>
    <n v="202605"/>
    <s v="LG"/>
    <s v="0"/>
    <n v="1.43E-2"/>
    <n v="2.5000000000000001E-2"/>
    <b v="1"/>
    <s v="20260513"/>
    <n v="8"/>
  </r>
  <r>
    <x v="29"/>
    <s v="2GOV MG SEPLAG"/>
    <n v="2"/>
    <s v="765572 - Tabela 2"/>
    <n v="2.2499999999999999E-2"/>
    <n v="120"/>
    <s v=""/>
    <n v="2.5"/>
    <n v="7"/>
    <n v="37"/>
    <s v="765572 - RFN - SEPLAG 2 "/>
    <s v="1,43"/>
    <n v="13"/>
    <n v="2"/>
    <n v="500"/>
    <n v="202605"/>
    <s v="LG"/>
    <s v="0"/>
    <n v="1.43E-2"/>
    <n v="2.5000000000000001E-2"/>
    <b v="0"/>
    <s v="20260513"/>
    <n v="8"/>
  </r>
  <r>
    <x v="29"/>
    <s v="3GOV MG SEPLAG"/>
    <n v="3"/>
    <s v="765573 - Tabela 3"/>
    <n v="0.02"/>
    <n v="120"/>
    <s v=""/>
    <n v="2.5"/>
    <n v="7"/>
    <n v="37"/>
    <s v="765573 - RFN - SEPLAG 3 "/>
    <s v="1,43"/>
    <n v="13"/>
    <n v="2"/>
    <n v="500"/>
    <n v="202605"/>
    <s v="LG"/>
    <s v="0"/>
    <n v="1.43E-2"/>
    <n v="2.5000000000000001E-2"/>
    <b v="0"/>
    <s v="20260513"/>
    <n v="8"/>
  </r>
  <r>
    <x v="29"/>
    <s v="4GOV MG SEPLAG"/>
    <n v="4"/>
    <s v="765574 - Tabela 4"/>
    <n v="1.95E-2"/>
    <n v="120"/>
    <s v=""/>
    <n v="2.5"/>
    <n v="7"/>
    <n v="37"/>
    <s v="765574 - RFN - SEPLAG 4 "/>
    <s v="1,43"/>
    <n v="13"/>
    <n v="2"/>
    <n v="500"/>
    <n v="202605"/>
    <s v="LG"/>
    <s v="0"/>
    <n v="1.43E-2"/>
    <n v="2.5000000000000001E-2"/>
    <b v="0"/>
    <s v="20260513"/>
    <n v="8"/>
  </r>
  <r>
    <x v="29"/>
    <s v="5GOV MG SEPLAG"/>
    <n v="5"/>
    <s v="765575 - Tabela 5"/>
    <n v="1.9E-2"/>
    <n v="120"/>
    <s v=""/>
    <n v="2.5"/>
    <n v="7"/>
    <n v="36"/>
    <s v="765575 - RFN - SEPLAG 5 "/>
    <s v="1,43"/>
    <n v="13"/>
    <n v="2"/>
    <n v="500"/>
    <n v="202605"/>
    <s v="LG"/>
    <s v="0"/>
    <n v="1.43E-2"/>
    <n v="2.5000000000000001E-2"/>
    <b v="0"/>
    <s v="20260513"/>
    <n v="8"/>
  </r>
  <r>
    <x v="29"/>
    <s v="6GOV MG SEPLAG"/>
    <n v="6"/>
    <s v="765576 - Tabela 6"/>
    <n v="1.8500000000000003E-2"/>
    <n v="120"/>
    <s v=""/>
    <n v="2.5"/>
    <n v="7"/>
    <n v="36"/>
    <s v="765576 - RFN - SEPLAG 6 "/>
    <s v="1,43"/>
    <n v="13"/>
    <n v="2"/>
    <n v="500"/>
    <n v="202605"/>
    <s v="LG"/>
    <s v="0"/>
    <n v="1.43E-2"/>
    <n v="2.5000000000000001E-2"/>
    <b v="0"/>
    <s v="20260513"/>
    <n v="8"/>
  </r>
  <r>
    <x v="29"/>
    <s v="7GOV MG SEPLAG"/>
    <n v="7"/>
    <s v="765577 - Tabela 7"/>
    <n v="1.8000000000000002E-2"/>
    <n v="120"/>
    <s v=""/>
    <n v="2.5"/>
    <n v="7"/>
    <n v="36"/>
    <s v="765577 - RFN - SEPLAG 7 "/>
    <s v="1,43"/>
    <n v="13"/>
    <n v="2"/>
    <n v="500"/>
    <n v="202605"/>
    <s v="LG"/>
    <s v="0"/>
    <n v="1.43E-2"/>
    <n v="2.5000000000000001E-2"/>
    <b v="0"/>
    <s v="20260513"/>
    <n v="8"/>
  </r>
  <r>
    <x v="29"/>
    <s v="8GOV MG SEPLAG"/>
    <n v="8"/>
    <s v="765578 - Tabela 8"/>
    <n v="1.7500000000000002E-2"/>
    <n v="120"/>
    <s v=""/>
    <n v="2.5"/>
    <n v="7"/>
    <n v="37"/>
    <s v="765578 - RFN - SEPLAG 8 "/>
    <s v="1,43"/>
    <n v="13"/>
    <n v="2"/>
    <n v="500"/>
    <n v="202605"/>
    <s v="LG"/>
    <s v="0"/>
    <n v="1.43E-2"/>
    <n v="2.5000000000000001E-2"/>
    <b v="0"/>
    <s v="20260513"/>
    <n v="8"/>
  </r>
  <r>
    <x v="29"/>
    <s v="9GOV MG SEPLAG"/>
    <n v="9"/>
    <s v="765579 - Tabela 9"/>
    <n v="1.7000000000000001E-2"/>
    <n v="120"/>
    <s v=""/>
    <n v="2.5"/>
    <n v="7"/>
    <n v="38"/>
    <s v="765579 - RFN - SEPLAG 9 "/>
    <s v="1,43"/>
    <n v="13"/>
    <n v="2"/>
    <n v="500"/>
    <n v="202605"/>
    <s v="LG"/>
    <s v="0"/>
    <n v="1.43E-2"/>
    <n v="2.5000000000000001E-2"/>
    <b v="0"/>
    <s v="20260513"/>
    <n v="8"/>
  </r>
  <r>
    <x v="29"/>
    <s v="10GOV MG SEPLAG"/>
    <n v="10"/>
    <s v="765580 - Tabela 10"/>
    <n v="1.6500000000000001E-2"/>
    <n v="120"/>
    <s v=""/>
    <n v="2.5"/>
    <n v="7"/>
    <n v="37"/>
    <s v="765580 - RFN - SEPLAG 10 "/>
    <s v="1,43"/>
    <n v="13"/>
    <n v="2"/>
    <n v="500"/>
    <n v="202605"/>
    <s v="LG"/>
    <s v="0"/>
    <n v="1.43E-2"/>
    <n v="2.5000000000000001E-2"/>
    <b v="0"/>
    <s v="20260513"/>
    <n v="8"/>
  </r>
  <r>
    <x v="29"/>
    <s v="11GOV MG SEPLAG"/>
    <n v="11"/>
    <s v="765581 - Tabela 3011"/>
    <n v="1.6299999999999999E-2"/>
    <n v="120"/>
    <s v=""/>
    <n v="2.5"/>
    <n v="7"/>
    <n v="37"/>
    <s v="765581 - RFN - SEPLAG 30K 11 "/>
    <s v="1,43"/>
    <n v="13"/>
    <n v="2"/>
    <n v="30000"/>
    <n v="202605"/>
    <s v="LG"/>
    <s v="0"/>
    <n v="1.43E-2"/>
    <n v="2.5000000000000001E-2"/>
    <b v="0"/>
    <s v="20260513"/>
    <n v="8"/>
  </r>
  <r>
    <x v="29"/>
    <s v="12GOV MG SEPLAG"/>
    <n v="12"/>
    <s v="765582 - Tabela 12"/>
    <n v="1.61E-2"/>
    <n v="120"/>
    <s v=""/>
    <n v="2.5"/>
    <n v="7"/>
    <n v="37"/>
    <s v="765582 - RFN - SEPLAG 50K 12 "/>
    <s v="1,43"/>
    <n v="13"/>
    <n v="2"/>
    <n v="50000"/>
    <n v="202605"/>
    <s v="LG"/>
    <s v="0"/>
    <n v="1.43E-2"/>
    <n v="2.5000000000000001E-2"/>
    <b v="0"/>
    <s v="20260513"/>
    <n v="8"/>
  </r>
  <r>
    <x v="30"/>
    <s v="1GOV MS"/>
    <n v="1"/>
    <s v="705601 - Tabela 1"/>
    <n v="2.5000000000000001E-2"/>
    <n v="120"/>
    <s v=""/>
    <n v="2.5"/>
    <n v="5"/>
    <m/>
    <s v="705601 - RFN - GOV MS  1  "/>
    <s v="1,42"/>
    <n v="8"/>
    <n v="2"/>
    <n v="500"/>
    <n v="202605"/>
    <s v="LG"/>
    <s v="1"/>
    <n v="1.4199999999999999E-2"/>
    <n v="2.5000000000000001E-2"/>
    <b v="1"/>
    <s v="2026058"/>
    <n v="5"/>
  </r>
  <r>
    <x v="30"/>
    <s v="2GOV MS"/>
    <n v="2"/>
    <s v="705602 - Tabela 2"/>
    <n v="2.2499999999999999E-2"/>
    <n v="120"/>
    <s v=""/>
    <n v="2.5"/>
    <n v="5"/>
    <m/>
    <s v="705602 - RFN - GOV MS  2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3GOV MS"/>
    <n v="3"/>
    <s v="705603 - Tabela 3"/>
    <n v="0.02"/>
    <n v="120"/>
    <s v=""/>
    <n v="2.5"/>
    <n v="5"/>
    <n v="78"/>
    <s v="705603 - RFN - GOV MS  3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4GOV MS"/>
    <n v="4"/>
    <s v="705604 - Tabela 4"/>
    <n v="1.8000000000000002E-2"/>
    <n v="120"/>
    <s v=""/>
    <n v="2.5"/>
    <n v="5"/>
    <n v="77"/>
    <s v="705604 - RFN - GOV MS  4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5GOV MS"/>
    <n v="5"/>
    <s v="705605 - Tabela 5"/>
    <n v="1.7600000000000001E-2"/>
    <n v="120"/>
    <s v=""/>
    <n v="2.5"/>
    <n v="5"/>
    <n v="71"/>
    <s v="705605 - RFN - GOV MS  5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6GOV MS"/>
    <n v="6"/>
    <s v="705606 - Tabela 6"/>
    <n v="1.7399999999999999E-2"/>
    <n v="120"/>
    <s v=""/>
    <n v="2.5"/>
    <n v="5"/>
    <m/>
    <s v="705606 - RFN - GOV MS  6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7GOV MS"/>
    <n v="7"/>
    <s v="705607 - Tabela 7"/>
    <n v="1.72E-2"/>
    <n v="120"/>
    <s v=""/>
    <n v="2.5"/>
    <n v="5"/>
    <n v="81"/>
    <s v="705607 - RFN - GOV MS  7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8GOV MS"/>
    <n v="8"/>
    <s v="705608 - Tabela 8"/>
    <n v="1.7000000000000001E-2"/>
    <n v="120"/>
    <s v=""/>
    <n v="2.5"/>
    <n v="5"/>
    <m/>
    <s v="705608 - RFN - GOV MS  8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9GOV MS"/>
    <n v="9"/>
    <s v="705609 - Tabela 9"/>
    <n v="1.6799999999999999E-2"/>
    <n v="120"/>
    <s v=""/>
    <n v="2.5"/>
    <n v="5"/>
    <n v="74"/>
    <s v="705609 - RFN - GOV MS  9  "/>
    <s v="1,42"/>
    <n v="8"/>
    <n v="2"/>
    <n v="500"/>
    <n v="202605"/>
    <s v="LG"/>
    <s v="1"/>
    <n v="1.4199999999999999E-2"/>
    <n v="2.5000000000000001E-2"/>
    <b v="0"/>
    <s v="2026058"/>
    <n v="5"/>
  </r>
  <r>
    <x v="30"/>
    <s v="10GOV MS"/>
    <n v="10"/>
    <s v="705644 - Tabela 2010"/>
    <n v="1.66E-2"/>
    <n v="120"/>
    <s v=""/>
    <n v="2.5"/>
    <n v="5"/>
    <n v="74"/>
    <s v="705644 - RFN - GOV MS  20K 10 "/>
    <s v="1,42"/>
    <n v="8"/>
    <n v="2"/>
    <n v="20000"/>
    <n v="202605"/>
    <s v="LG"/>
    <s v="1"/>
    <n v="1.4199999999999999E-2"/>
    <n v="2.5000000000000001E-2"/>
    <b v="0"/>
    <s v="2026058"/>
    <n v="5"/>
  </r>
  <r>
    <x v="30"/>
    <s v="11GOV MS"/>
    <n v="11"/>
    <s v="705645 - Tabela 3011"/>
    <n v="1.6399999999999998E-2"/>
    <n v="120"/>
    <s v=""/>
    <n v="2.5"/>
    <n v="5"/>
    <n v="71"/>
    <s v="705645 - RFN - GOV MS  30K 11 "/>
    <s v="1,42"/>
    <n v="8"/>
    <n v="2"/>
    <n v="30000"/>
    <n v="202605"/>
    <s v="LG"/>
    <s v="1"/>
    <n v="1.4199999999999999E-2"/>
    <n v="2.5000000000000001E-2"/>
    <b v="0"/>
    <s v="2026058"/>
    <n v="5"/>
  </r>
  <r>
    <x v="30"/>
    <s v="12GOV MS"/>
    <n v="12"/>
    <s v="705646 - Tabela 12"/>
    <n v="1.6200000000000003E-2"/>
    <n v="120"/>
    <s v=""/>
    <n v="2.5"/>
    <n v="5"/>
    <n v="72"/>
    <s v="705646 - RFN - GOV MS  50K 12 "/>
    <s v="1,42"/>
    <n v="8"/>
    <n v="2"/>
    <n v="50000"/>
    <n v="202605"/>
    <s v="LG"/>
    <s v="1"/>
    <n v="1.4199999999999999E-2"/>
    <n v="2.5000000000000001E-2"/>
    <b v="0"/>
    <s v="2026058"/>
    <n v="5"/>
  </r>
  <r>
    <x v="31"/>
    <s v="1GOV MS CLT"/>
    <n v="1"/>
    <s v="705731 - Tabela 1"/>
    <n v="2.5000000000000001E-2"/>
    <n v="120"/>
    <s v=""/>
    <n v="2.5"/>
    <n v="5"/>
    <m/>
    <s v="705731 - RFN - GOV MS  CLT 1  "/>
    <s v="1,42"/>
    <n v="8"/>
    <n v="2"/>
    <n v="500"/>
    <n v="202605"/>
    <s v="LG"/>
    <s v="1"/>
    <n v="1.4199999999999999E-2"/>
    <n v="2.5000000000000001E-2"/>
    <b v="1"/>
    <s v="2026058"/>
    <n v="5"/>
  </r>
  <r>
    <x v="31"/>
    <s v="2GOV MS CLT"/>
    <n v="2"/>
    <s v="705732 - Tabela 2"/>
    <n v="2.2499999999999999E-2"/>
    <n v="120"/>
    <s v=""/>
    <n v="2.5"/>
    <n v="5"/>
    <m/>
    <s v="705732 - RFN - GOV MS  CLT 2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3GOV MS CLT"/>
    <n v="3"/>
    <s v="705733 - Tabela 3"/>
    <n v="0.02"/>
    <n v="120"/>
    <s v=""/>
    <n v="2.5"/>
    <n v="5"/>
    <m/>
    <s v="705733 - RFN - GOV MS  CLT 3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4GOV MS CLT"/>
    <n v="4"/>
    <s v="705734 - Tabela 4"/>
    <n v="1.8000000000000002E-2"/>
    <n v="120"/>
    <s v=""/>
    <n v="2.5"/>
    <n v="5"/>
    <m/>
    <s v="705734 - RFN - GOV MS  CLT 4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5GOV MS CLT"/>
    <n v="5"/>
    <s v="705735 - Tabela 5"/>
    <n v="1.7600000000000001E-2"/>
    <n v="120"/>
    <s v=""/>
    <n v="2.5"/>
    <n v="5"/>
    <m/>
    <s v="705735 - RFN - GOV MS  CLT 5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6GOV MS CLT"/>
    <n v="6"/>
    <s v="705736 - Tabela 6"/>
    <n v="1.7399999999999999E-2"/>
    <n v="120"/>
    <s v=""/>
    <n v="2.5"/>
    <n v="5"/>
    <m/>
    <s v="705736 - RFN - GOV MS  CLT 6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7GOV MS CLT"/>
    <n v="7"/>
    <s v="705737 - Tabela 7"/>
    <n v="1.72E-2"/>
    <n v="120"/>
    <s v=""/>
    <n v="2.5"/>
    <n v="5"/>
    <m/>
    <s v="705737 - RFN - GOV MS  CLT 7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8GOV MS CLT"/>
    <n v="8"/>
    <s v="705738 - Tabela 8"/>
    <n v="1.7000000000000001E-2"/>
    <n v="120"/>
    <s v=""/>
    <n v="2.5"/>
    <n v="5"/>
    <m/>
    <s v="705738 - RFN - GOV MS  CLT 8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9GOV MS CLT"/>
    <n v="9"/>
    <s v="705739 - Tabela 9"/>
    <n v="1.6799999999999999E-2"/>
    <n v="120"/>
    <s v=""/>
    <n v="2.5"/>
    <n v="5"/>
    <n v="75"/>
    <s v="705739 - RFN - GOV MS  CLT 9  "/>
    <s v="1,42"/>
    <n v="8"/>
    <n v="2"/>
    <n v="500"/>
    <n v="202605"/>
    <s v="LG"/>
    <s v="1"/>
    <n v="1.4199999999999999E-2"/>
    <n v="2.5000000000000001E-2"/>
    <b v="0"/>
    <s v="2026058"/>
    <n v="5"/>
  </r>
  <r>
    <x v="31"/>
    <s v="10GOV MS CLT"/>
    <n v="10"/>
    <s v="705740 - Tabela 2010"/>
    <n v="1.66E-2"/>
    <n v="120"/>
    <s v=""/>
    <n v="2.5"/>
    <n v="5"/>
    <n v="68"/>
    <s v="705740 - RFN - GOV MS  CLT 20K 10 "/>
    <s v="1,42"/>
    <n v="8"/>
    <n v="2"/>
    <n v="20000"/>
    <n v="202605"/>
    <s v="LG"/>
    <s v="1"/>
    <n v="1.4199999999999999E-2"/>
    <n v="2.5000000000000001E-2"/>
    <b v="0"/>
    <s v="2026058"/>
    <n v="5"/>
  </r>
  <r>
    <x v="31"/>
    <s v="11GOV MS CLT"/>
    <n v="11"/>
    <s v="705741 - Tabela 3011"/>
    <n v="1.6399999999999998E-2"/>
    <n v="120"/>
    <s v=""/>
    <n v="2.5"/>
    <n v="5"/>
    <n v="77"/>
    <s v="705741 - RFN - GOV MS  CLT 30K 11 "/>
    <s v="1,42"/>
    <n v="8"/>
    <n v="2"/>
    <n v="30000"/>
    <n v="202605"/>
    <s v="LG"/>
    <s v="1"/>
    <n v="1.4199999999999999E-2"/>
    <n v="2.5000000000000001E-2"/>
    <b v="0"/>
    <s v="2026058"/>
    <n v="5"/>
  </r>
  <r>
    <x v="31"/>
    <s v="12GOV MS CLT"/>
    <n v="12"/>
    <s v="705742 - Tabela 12"/>
    <n v="1.6200000000000003E-2"/>
    <n v="120"/>
    <s v=""/>
    <n v="2.5"/>
    <n v="5"/>
    <n v="82"/>
    <s v="705742 - RFN - GOV MS  CLT 50K 12 "/>
    <s v="1,42"/>
    <n v="8"/>
    <n v="2"/>
    <n v="50000"/>
    <n v="202605"/>
    <s v="LG"/>
    <s v="1"/>
    <n v="1.4199999999999999E-2"/>
    <n v="2.5000000000000001E-2"/>
    <b v="0"/>
    <s v="2026058"/>
    <n v="5"/>
  </r>
  <r>
    <x v="32"/>
    <s v="1GOV PARANA"/>
    <n v="1"/>
    <s v="795714 - Tabela 1"/>
    <n v="1.9299999999999998E-2"/>
    <n v="120"/>
    <s v=""/>
    <n v="1.98"/>
    <n v="10"/>
    <n v="55"/>
    <s v="795714 - RFN - GOV PR 1 "/>
    <s v="1,37"/>
    <n v="5"/>
    <n v="2"/>
    <n v="500"/>
    <n v="202605"/>
    <s v="LG"/>
    <s v="1"/>
    <n v="1.37E-2"/>
    <n v="1.9799999999999998E-2"/>
    <b v="0"/>
    <s v="2026055"/>
    <n v="2"/>
  </r>
  <r>
    <x v="32"/>
    <s v="2GOV PARANA"/>
    <n v="2"/>
    <s v="795715 - Tabela 2"/>
    <n v="1.9E-2"/>
    <n v="120"/>
    <s v=""/>
    <n v="1.98"/>
    <n v="10"/>
    <m/>
    <s v="795715 - RFN - GOV PR 2 "/>
    <s v="1,37"/>
    <n v="5"/>
    <n v="2"/>
    <n v="500"/>
    <n v="202605"/>
    <s v="LG"/>
    <s v="1"/>
    <n v="1.37E-2"/>
    <n v="1.9799999999999998E-2"/>
    <b v="0"/>
    <s v="2026055"/>
    <n v="2"/>
  </r>
  <r>
    <x v="32"/>
    <s v="3GOV PARANA"/>
    <n v="3"/>
    <s v="795716 - Tabela 3"/>
    <n v="1.8500000000000003E-2"/>
    <n v="120"/>
    <s v=""/>
    <n v="1.98"/>
    <n v="10"/>
    <n v="57"/>
    <s v="795716 - RFN - GOV PR 3 "/>
    <s v="1,37"/>
    <n v="5"/>
    <n v="2"/>
    <n v="500"/>
    <n v="202605"/>
    <s v="LG"/>
    <s v="1"/>
    <n v="1.37E-2"/>
    <n v="1.9799999999999998E-2"/>
    <b v="0"/>
    <s v="2026055"/>
    <n v="2"/>
  </r>
  <r>
    <x v="32"/>
    <s v="4GOV PARANA"/>
    <n v="4"/>
    <s v="795717 - Tabela 4"/>
    <n v="1.8000000000000002E-2"/>
    <n v="120"/>
    <s v=""/>
    <n v="1.98"/>
    <n v="10"/>
    <n v="54"/>
    <s v="795717 - RFN - GOV PR 4 "/>
    <s v="1,37"/>
    <n v="5"/>
    <n v="2"/>
    <n v="500"/>
    <n v="202605"/>
    <s v="LG"/>
    <s v="1"/>
    <n v="1.37E-2"/>
    <n v="1.9799999999999998E-2"/>
    <b v="0"/>
    <s v="2026055"/>
    <n v="2"/>
  </r>
  <r>
    <x v="32"/>
    <s v="5GOV PARANA"/>
    <n v="5"/>
    <s v="795718 - Tabela 5"/>
    <n v="1.7500000000000002E-2"/>
    <n v="120"/>
    <s v=""/>
    <n v="1.98"/>
    <n v="10"/>
    <n v="56"/>
    <s v="795718 - RFN - GOV PR 5 "/>
    <s v="1,37"/>
    <n v="5"/>
    <n v="2"/>
    <n v="500"/>
    <n v="202605"/>
    <s v="LG"/>
    <s v="1"/>
    <n v="1.37E-2"/>
    <n v="1.9799999999999998E-2"/>
    <b v="0"/>
    <s v="2026055"/>
    <n v="2"/>
  </r>
  <r>
    <x v="32"/>
    <s v="6GOV PARANA"/>
    <n v="6"/>
    <s v="795719 - Tabela 6"/>
    <n v="1.7000000000000001E-2"/>
    <n v="120"/>
    <s v=""/>
    <n v="1.98"/>
    <n v="10"/>
    <n v="53"/>
    <s v="795719 - RFN - GOV PR 6 "/>
    <s v="1,37"/>
    <n v="5"/>
    <n v="2"/>
    <n v="500"/>
    <n v="202605"/>
    <s v="LG"/>
    <s v="1"/>
    <n v="1.37E-2"/>
    <n v="1.9799999999999998E-2"/>
    <b v="0"/>
    <s v="2026055"/>
    <n v="2"/>
  </r>
  <r>
    <x v="32"/>
    <s v="7GOV PARANA"/>
    <n v="7"/>
    <s v="795720 - Tabela 7"/>
    <n v="1.6500000000000001E-2"/>
    <n v="120"/>
    <s v=""/>
    <n v="1.98"/>
    <n v="10"/>
    <n v="53"/>
    <s v="795720 - RFN - GOV PR 7 "/>
    <s v="1,37"/>
    <n v="5"/>
    <n v="2"/>
    <n v="500"/>
    <n v="202605"/>
    <s v="LG"/>
    <s v="1"/>
    <n v="1.37E-2"/>
    <n v="1.9799999999999998E-2"/>
    <b v="0"/>
    <s v="2026055"/>
    <n v="2"/>
  </r>
  <r>
    <x v="33"/>
    <s v="1GOV PB"/>
    <n v="1"/>
    <s v="505015 - Tabela 1"/>
    <n v="2.5000000000000001E-2"/>
    <n v="120"/>
    <s v=""/>
    <n v="2.5"/>
    <n v="20"/>
    <n v="53"/>
    <s v="505015 - RFN - GOV PARAIBA 1 "/>
    <s v="1,8"/>
    <n v="10"/>
    <n v="2"/>
    <n v="500"/>
    <n v="202605"/>
    <s v="LG"/>
    <s v="1"/>
    <n v="1.8000000000000002E-2"/>
    <n v="2.5000000000000001E-2"/>
    <b v="1"/>
    <s v="20260510"/>
    <n v="5"/>
  </r>
  <r>
    <x v="33"/>
    <s v="2GOV PB"/>
    <n v="2"/>
    <s v="505016 - Tabela 2"/>
    <n v="2.4E-2"/>
    <n v="120"/>
    <s v=""/>
    <n v="2.5"/>
    <n v="20"/>
    <n v="53"/>
    <s v="505016 - RFN - GOV PARAIBA 2 "/>
    <s v="1,8"/>
    <n v="10"/>
    <n v="2"/>
    <n v="500"/>
    <n v="202605"/>
    <s v="LG"/>
    <s v="1"/>
    <n v="1.8000000000000002E-2"/>
    <n v="2.5000000000000001E-2"/>
    <b v="0"/>
    <s v="20260510"/>
    <n v="5"/>
  </r>
  <r>
    <x v="33"/>
    <s v="3GOV PB"/>
    <n v="3"/>
    <s v="505017 - Tabela 3"/>
    <n v="2.3E-2"/>
    <n v="120"/>
    <s v=""/>
    <n v="2.5"/>
    <n v="20"/>
    <n v="53"/>
    <s v="505017 - RFN - GOV PARAIBA 3 "/>
    <s v="1,8"/>
    <n v="10"/>
    <n v="2"/>
    <n v="500"/>
    <n v="202605"/>
    <s v="LG"/>
    <s v="1"/>
    <n v="1.8000000000000002E-2"/>
    <n v="2.5000000000000001E-2"/>
    <b v="0"/>
    <s v="20260510"/>
    <n v="5"/>
  </r>
  <r>
    <x v="33"/>
    <s v="4GOV PB"/>
    <n v="4"/>
    <s v="505018 - Tabela 4"/>
    <n v="2.2000000000000002E-2"/>
    <n v="120"/>
    <s v=""/>
    <n v="2.5"/>
    <n v="20"/>
    <n v="53"/>
    <s v="505018 - RFN - GOV PARAIBA 4 "/>
    <s v="1,8"/>
    <n v="10"/>
    <n v="2"/>
    <n v="500"/>
    <n v="202605"/>
    <s v="LG"/>
    <s v="1"/>
    <n v="1.8000000000000002E-2"/>
    <n v="2.5000000000000001E-2"/>
    <b v="0"/>
    <s v="20260510"/>
    <n v="5"/>
  </r>
  <r>
    <x v="33"/>
    <s v="5GOV PB"/>
    <n v="5"/>
    <s v="505019 - Tabela 5"/>
    <n v="2.1000000000000001E-2"/>
    <n v="120"/>
    <s v=""/>
    <n v="2.5"/>
    <n v="20"/>
    <n v="53"/>
    <s v="505019 - RFN - GOV PARAIBA 5 "/>
    <s v="1,8"/>
    <n v="10"/>
    <n v="2"/>
    <n v="500"/>
    <n v="202605"/>
    <s v="LG"/>
    <s v="1"/>
    <n v="1.8000000000000002E-2"/>
    <n v="2.5000000000000001E-2"/>
    <b v="0"/>
    <s v="20260510"/>
    <n v="5"/>
  </r>
  <r>
    <x v="34"/>
    <s v="1GOV PE-AOL"/>
    <n v="1"/>
    <s v="745121 - Tabela 1"/>
    <n v="2.5000000000000001E-2"/>
    <n v="120"/>
    <s v=""/>
    <n v="2.9"/>
    <n v="10"/>
    <n v="50"/>
    <s v="745121 - RFN - GOV PE  1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2GOV PE-AOL"/>
    <n v="2"/>
    <s v="745122 - Tabela 2"/>
    <n v="1.77E-2"/>
    <n v="120"/>
    <s v=""/>
    <n v="2.9"/>
    <n v="10"/>
    <n v="50"/>
    <s v="745122 - RFN - GOV PE  2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3GOV PE-AOL"/>
    <n v="3"/>
    <s v="745123 - Tabela 3"/>
    <n v="1.7500000000000002E-2"/>
    <n v="120"/>
    <s v=""/>
    <n v="2.9"/>
    <n v="10"/>
    <n v="50"/>
    <s v="745123 - RFN - GOV PE  3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4GOV PE-AOL"/>
    <n v="4"/>
    <s v="745124 - Tabela 4"/>
    <n v="1.72E-2"/>
    <n v="120"/>
    <s v=""/>
    <n v="2.9"/>
    <n v="10"/>
    <n v="50"/>
    <s v="745124 - RFN - GOV PE  4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5GOV PE-AOL"/>
    <n v="5"/>
    <s v="745159 - Tabela 5"/>
    <n v="1.7000000000000001E-2"/>
    <n v="120"/>
    <s v=""/>
    <n v="2.9"/>
    <n v="10"/>
    <n v="50"/>
    <s v="745159 - RFN - GOV PE  5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6GOV PE-AOL"/>
    <n v="6"/>
    <s v="745174 - Tabela 6"/>
    <n v="1.6899999999999998E-2"/>
    <n v="120"/>
    <s v=""/>
    <n v="2.9"/>
    <n v="10"/>
    <n v="51"/>
    <s v="745174 - RFN - GOV PE  6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7GOV PE-AOL"/>
    <n v="7"/>
    <s v="745231 - Tabela 7"/>
    <n v="1.67E-2"/>
    <n v="120"/>
    <s v=""/>
    <n v="2.9"/>
    <n v="10"/>
    <n v="50"/>
    <s v="745231 - RFN - GOV PE  7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8GOV PE-AOL"/>
    <n v="8"/>
    <s v="745232 - Tabela 8"/>
    <n v="1.6500000000000001E-2"/>
    <n v="120"/>
    <s v=""/>
    <n v="2.9"/>
    <n v="10"/>
    <n v="50"/>
    <s v="745232 - RFN - GOV PE  8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9GOV PE-AOL"/>
    <n v="9"/>
    <s v="745233 - Tabela 9"/>
    <n v="1.6299999999999999E-2"/>
    <n v="120"/>
    <s v=""/>
    <n v="2.9"/>
    <n v="10"/>
    <n v="51"/>
    <s v="745233 - RFN - GOV PE  9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10GOV PE-AOL"/>
    <n v="10"/>
    <s v="745234 - Tabela 10"/>
    <n v="1.61E-2"/>
    <n v="120"/>
    <s v=""/>
    <n v="2.9"/>
    <n v="10"/>
    <n v="50"/>
    <s v="745234 - RFN - GOV PE  10 ILIDADE"/>
    <s v="1,4"/>
    <n v="4"/>
    <n v="2"/>
    <n v="500"/>
    <n v="202605"/>
    <s v="LG"/>
    <s v="1"/>
    <n v="1.3999999999999999E-2"/>
    <n v="2.8999999999999998E-2"/>
    <b v="0"/>
    <s v="2026054"/>
    <n v="1"/>
  </r>
  <r>
    <x v="34"/>
    <s v="11GOV PE-AOL"/>
    <n v="11"/>
    <s v="745235 - Tabela 1120"/>
    <n v="1.5900000000000001E-2"/>
    <n v="120"/>
    <s v=""/>
    <n v="2.9"/>
    <n v="10"/>
    <n v="49"/>
    <s v="745235 - RFN - GOV PE 11 20K "/>
    <s v="1,4"/>
    <n v="4"/>
    <n v="2"/>
    <n v="20000"/>
    <n v="202605"/>
    <s v="LG"/>
    <s v="1"/>
    <n v="1.3999999999999999E-2"/>
    <n v="2.8999999999999998E-2"/>
    <b v="0"/>
    <s v="2026054"/>
    <n v="1"/>
  </r>
  <r>
    <x v="34"/>
    <s v="12GOV PE-AOL"/>
    <n v="12"/>
    <s v="745236 - Tabela 1230"/>
    <n v="1.5700000000000002E-2"/>
    <n v="120"/>
    <s v=""/>
    <n v="2.9"/>
    <n v="10"/>
    <n v="50"/>
    <s v="745236 - RFN - GOV PE 12 30K "/>
    <s v="1,4"/>
    <n v="4"/>
    <n v="2"/>
    <n v="30000"/>
    <n v="202605"/>
    <s v="LG"/>
    <s v="1"/>
    <n v="1.3999999999999999E-2"/>
    <n v="2.8999999999999998E-2"/>
    <b v="0"/>
    <s v="2026054"/>
    <n v="1"/>
  </r>
  <r>
    <x v="35"/>
    <s v="1GOV PIAUI"/>
    <n v="1"/>
    <s v="783064 - Tabela 1"/>
    <n v="2.5000000000000001E-2"/>
    <n v="96"/>
    <s v=""/>
    <n v="2.5"/>
    <n v="10"/>
    <n v="65"/>
    <s v="783064 - RFN - GOV PIAUI 1 "/>
    <s v="1,47"/>
    <n v="5"/>
    <n v="2"/>
    <n v="500"/>
    <n v="202605"/>
    <s v="LG"/>
    <s v="2"/>
    <n v="1.47E-2"/>
    <n v="2.5000000000000001E-2"/>
    <b v="1"/>
    <s v="2026055"/>
    <n v="2"/>
  </r>
  <r>
    <x v="35"/>
    <s v="2GOV PIAUI"/>
    <n v="2"/>
    <s v="783065 - Tabela 2"/>
    <n v="2.4E-2"/>
    <n v="96"/>
    <s v=""/>
    <n v="2.5"/>
    <n v="10"/>
    <n v="65"/>
    <s v="783065 - RFN - GOV PIAUI 2 "/>
    <s v="1,47"/>
    <n v="5"/>
    <n v="2"/>
    <n v="500"/>
    <n v="202605"/>
    <s v="LG"/>
    <s v="2"/>
    <n v="1.47E-2"/>
    <n v="2.5000000000000001E-2"/>
    <b v="0"/>
    <s v="2026055"/>
    <n v="2"/>
  </r>
  <r>
    <x v="35"/>
    <s v="3GOV PIAUI"/>
    <n v="3"/>
    <s v="783066 - Tabela 3"/>
    <n v="2.3E-2"/>
    <n v="96"/>
    <s v=""/>
    <n v="2.5"/>
    <n v="10"/>
    <n v="65"/>
    <s v="783066 - RFN - GOV PIAUI 3 "/>
    <s v="1,47"/>
    <n v="5"/>
    <n v="2"/>
    <n v="500"/>
    <n v="202605"/>
    <s v="LG"/>
    <s v="2"/>
    <n v="1.47E-2"/>
    <n v="2.5000000000000001E-2"/>
    <b v="0"/>
    <s v="2026055"/>
    <n v="2"/>
  </r>
  <r>
    <x v="35"/>
    <s v="4GOV PIAUI"/>
    <n v="4"/>
    <s v="783067 - Tabela 4"/>
    <n v="2.2000000000000002E-2"/>
    <n v="96"/>
    <s v=""/>
    <n v="2.5"/>
    <n v="10"/>
    <n v="65"/>
    <s v="783067 - RFN - GOV PIAUI 4 "/>
    <s v="1,47"/>
    <n v="5"/>
    <n v="2"/>
    <n v="500"/>
    <n v="202605"/>
    <s v="LG"/>
    <s v="2"/>
    <n v="1.47E-2"/>
    <n v="2.5000000000000001E-2"/>
    <b v="0"/>
    <s v="2026055"/>
    <n v="2"/>
  </r>
  <r>
    <x v="35"/>
    <s v="5GOV PIAUI"/>
    <n v="5"/>
    <s v="783068 - Tabela 5"/>
    <n v="2.1000000000000001E-2"/>
    <n v="96"/>
    <s v=""/>
    <n v="2.5"/>
    <n v="10"/>
    <n v="65"/>
    <s v="783068 - RFN - GOV PIAUI 5 "/>
    <s v="1,47"/>
    <n v="5"/>
    <n v="2"/>
    <n v="500"/>
    <n v="202605"/>
    <s v="LG"/>
    <s v="2"/>
    <n v="1.47E-2"/>
    <n v="2.5000000000000001E-2"/>
    <b v="0"/>
    <s v="2026055"/>
    <n v="2"/>
  </r>
  <r>
    <x v="35"/>
    <s v="6GOV PIAUI"/>
    <n v="6"/>
    <s v="783069 - Tabela 6"/>
    <n v="0.02"/>
    <n v="96"/>
    <s v=""/>
    <n v="2.5"/>
    <n v="10"/>
    <n v="65"/>
    <s v="783069 - RFN - GOV PIAUI 6 "/>
    <s v="1,47"/>
    <n v="5"/>
    <n v="2"/>
    <n v="500"/>
    <n v="202605"/>
    <s v="LG"/>
    <s v="2"/>
    <n v="1.47E-2"/>
    <n v="2.5000000000000001E-2"/>
    <b v="0"/>
    <s v="2026055"/>
    <n v="2"/>
  </r>
  <r>
    <x v="35"/>
    <s v="7GOV PIAUI"/>
    <n v="7"/>
    <s v="783080 - Tabela 7"/>
    <n v="1.9E-2"/>
    <n v="96"/>
    <s v=""/>
    <n v="2.5"/>
    <n v="10"/>
    <n v="65"/>
    <s v="783080 - RFN - GOV PIAUI 7 "/>
    <s v="1,47"/>
    <n v="5"/>
    <n v="2"/>
    <n v="500"/>
    <n v="202605"/>
    <s v="LG"/>
    <s v="2"/>
    <n v="1.47E-2"/>
    <n v="2.5000000000000001E-2"/>
    <b v="0"/>
    <s v="2026055"/>
    <n v="2"/>
  </r>
  <r>
    <x v="35"/>
    <s v="8GOV PIAUI"/>
    <n v="8"/>
    <s v="783081 - Tabela 8"/>
    <n v="1.7500000000000002E-2"/>
    <n v="96"/>
    <s v=""/>
    <n v="2.5"/>
    <n v="10"/>
    <n v="65"/>
    <s v="783081 - RFN - GOV PIAUI 8 "/>
    <s v="1,47"/>
    <n v="5"/>
    <n v="2"/>
    <n v="500"/>
    <n v="202605"/>
    <s v="LG"/>
    <s v="2"/>
    <n v="1.47E-2"/>
    <n v="2.5000000000000001E-2"/>
    <b v="0"/>
    <s v="2026055"/>
    <n v="2"/>
  </r>
  <r>
    <x v="36"/>
    <s v="1GOV RONDONIA"/>
    <n v="1"/>
    <s v="775191 - Tabela 1"/>
    <n v="2.5000000000000001E-2"/>
    <n v="96"/>
    <s v=""/>
    <n v="2.5"/>
    <n v="10"/>
    <n v="55"/>
    <s v="775191 - RFN - GOV RONDONIA 1 "/>
    <s v="1,35"/>
    <n v="31"/>
    <n v="2"/>
    <n v="500"/>
    <n v="202605"/>
    <s v="NW"/>
    <s v="1"/>
    <n v="1.3500000000000002E-2"/>
    <n v="2.5000000000000001E-2"/>
    <b v="1"/>
    <s v="20260531"/>
    <n v="20"/>
  </r>
  <r>
    <x v="36"/>
    <s v="2GOV RONDONIA"/>
    <n v="2"/>
    <s v="775871 - Tabela 1"/>
    <n v="2.35E-2"/>
    <n v="96"/>
    <s v=""/>
    <n v="2.5"/>
    <n v="10"/>
    <m/>
    <s v="775871 - RFN - EMATER - GOV RO 1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3GOV RONDONIA"/>
    <n v="3"/>
    <s v="775192 - Tabela 2"/>
    <n v="2.2499999999999999E-2"/>
    <n v="96"/>
    <s v=""/>
    <n v="2.5"/>
    <n v="10"/>
    <n v="56"/>
    <s v="775192 - RFN - GOV RONDONIA 2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4GOV RONDONIA"/>
    <n v="4"/>
    <s v="775872 - Tabela 2"/>
    <n v="2.2499999999999999E-2"/>
    <n v="96"/>
    <s v=""/>
    <n v="2.5"/>
    <n v="10"/>
    <m/>
    <s v="775872 - RFN - EMATER - GOV RO 2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5GOV RONDONIA"/>
    <n v="5"/>
    <s v="775873 - Tabela 3"/>
    <n v="2.1499999999999998E-2"/>
    <n v="96"/>
    <s v=""/>
    <n v="2.5"/>
    <n v="10"/>
    <m/>
    <s v="775873 - RFN - EMATER - GOV RO 3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6GOV RONDONIA"/>
    <n v="6"/>
    <s v="775874 - Tabela 4"/>
    <n v="2.0499999999999997E-2"/>
    <n v="96"/>
    <s v=""/>
    <n v="2.5"/>
    <n v="10"/>
    <m/>
    <s v="775874 - RFN - EMATER - GOV RO 4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7GOV RONDONIA"/>
    <n v="7"/>
    <s v="775194 - Tabela 3"/>
    <n v="0.02"/>
    <n v="96"/>
    <s v=""/>
    <n v="2.5"/>
    <n v="10"/>
    <n v="55"/>
    <s v="775194 - RFN - GOV RONDONIA 3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8GOV RONDONIA"/>
    <n v="8"/>
    <s v="775875 - Tabela 5"/>
    <n v="1.95E-2"/>
    <n v="96"/>
    <s v=""/>
    <n v="2.5"/>
    <n v="10"/>
    <m/>
    <s v="775875 - RFN - EMATER - GOV RO 5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9GOV RONDONIA"/>
    <n v="9"/>
    <s v="775876 - Tabela 6"/>
    <n v="1.8500000000000003E-2"/>
    <n v="96"/>
    <s v=""/>
    <n v="2.5"/>
    <n v="10"/>
    <m/>
    <s v="775876 - RFN - EMATER - GOV RO 6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10GOV RONDONIA"/>
    <n v="10"/>
    <s v="775197 - Tabela 4"/>
    <n v="1.8000000000000002E-2"/>
    <n v="96"/>
    <s v=""/>
    <n v="2.5"/>
    <n v="10"/>
    <n v="56"/>
    <s v="775197 - RFN - GOV RONDONIA 4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11GOV RONDONIA"/>
    <n v="11"/>
    <s v="775200 - Tabela 5"/>
    <n v="1.7600000000000001E-2"/>
    <n v="96"/>
    <s v=""/>
    <n v="2.5"/>
    <n v="10"/>
    <n v="54"/>
    <s v="775200 - RFN - GOV RONDONIA 5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12GOV RONDONIA"/>
    <n v="12"/>
    <s v="775877 - Tabela 7"/>
    <n v="1.7500000000000002E-2"/>
    <n v="96"/>
    <s v=""/>
    <n v="2.5"/>
    <n v="10"/>
    <m/>
    <s v="775877 - RFN - EMATER - GOV RO 7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13GOV RONDONIA"/>
    <n v="13"/>
    <s v="775201 - Tabela 6"/>
    <n v="1.7399999999999999E-2"/>
    <n v="96"/>
    <s v=""/>
    <n v="2.5"/>
    <n v="10"/>
    <n v="58"/>
    <s v="775201 - RFN - GOV RONDONIA 6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14GOV RONDONIA"/>
    <n v="14"/>
    <s v="775202 - Tabela 7"/>
    <n v="1.72E-2"/>
    <n v="96"/>
    <s v=""/>
    <n v="2.5"/>
    <n v="10"/>
    <n v="55"/>
    <s v="775202 - RFN - GOV RONDONIA 7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15GOV RONDONIA"/>
    <n v="15"/>
    <s v="775203 - Tabela 8"/>
    <n v="1.7000000000000001E-2"/>
    <n v="96"/>
    <s v=""/>
    <n v="2.5"/>
    <n v="10"/>
    <n v="59"/>
    <s v="775203 - RFN - GOV RONDONIA 8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16GOV RONDONIA"/>
    <n v="16"/>
    <s v="775208 - Tabela 9"/>
    <n v="1.6799999999999999E-2"/>
    <n v="96"/>
    <s v=""/>
    <n v="2.5"/>
    <n v="10"/>
    <n v="58"/>
    <s v="775208 - RFN - GOV RONDONIA 9 "/>
    <s v="1,35"/>
    <n v="31"/>
    <n v="2"/>
    <n v="500"/>
    <n v="202605"/>
    <s v="NW"/>
    <s v="1"/>
    <n v="1.3500000000000002E-2"/>
    <n v="2.5000000000000001E-2"/>
    <b v="0"/>
    <s v="20260531"/>
    <n v="20"/>
  </r>
  <r>
    <x v="36"/>
    <s v="17GOV RONDONIA"/>
    <n v="17"/>
    <s v="775878 - Tabela 8"/>
    <n v="1.6500000000000001E-2"/>
    <n v="96"/>
    <s v=""/>
    <n v="2.5"/>
    <n v="10"/>
    <m/>
    <s v="775878 - RFN - EMATER - GOV RO 8 "/>
    <s v="1,35"/>
    <n v="30"/>
    <n v="2"/>
    <n v="500"/>
    <n v="202605"/>
    <s v="NW"/>
    <s v="1"/>
    <n v="1.3500000000000002E-2"/>
    <n v="2.5000000000000001E-2"/>
    <b v="0"/>
    <s v="20260530"/>
    <n v="20"/>
  </r>
  <r>
    <x v="36"/>
    <s v="18GOV RONDONIA"/>
    <n v="18"/>
    <s v="775209 - Tabela 2010"/>
    <n v="1.6399999999999998E-2"/>
    <n v="96"/>
    <s v=""/>
    <n v="2.5"/>
    <n v="10"/>
    <n v="60"/>
    <s v="775209 - RFN - GOV RONDONIA 20K 10 "/>
    <s v="1,35"/>
    <n v="31"/>
    <n v="2"/>
    <n v="20000"/>
    <n v="202605"/>
    <s v="NW"/>
    <s v="1"/>
    <n v="1.3500000000000002E-2"/>
    <n v="2.5000000000000001E-2"/>
    <b v="0"/>
    <s v="20260531"/>
    <n v="20"/>
  </r>
  <r>
    <x v="36"/>
    <s v="19GOV RONDONIA"/>
    <n v="19"/>
    <s v="775215 - Tabela 3011"/>
    <n v="1.6E-2"/>
    <n v="96"/>
    <s v=""/>
    <n v="2.5"/>
    <n v="10"/>
    <n v="58"/>
    <s v="775215 - RFN - GOV RONDONIA 30K 11 "/>
    <s v="1,35"/>
    <n v="31"/>
    <n v="2"/>
    <n v="30000"/>
    <n v="202605"/>
    <s v="NW"/>
    <s v="1"/>
    <n v="1.3500000000000002E-2"/>
    <n v="2.5000000000000001E-2"/>
    <b v="0"/>
    <s v="20260531"/>
    <n v="20"/>
  </r>
  <r>
    <x v="36"/>
    <s v="20GOV RONDONIA"/>
    <n v="20"/>
    <s v="775216 - Tabela 12"/>
    <n v="1.5800000000000002E-2"/>
    <n v="96"/>
    <s v=""/>
    <n v="2.5"/>
    <n v="10"/>
    <n v="56"/>
    <s v="775216 - RFN - GOV RONDONIA 50K 12 "/>
    <s v="1,35"/>
    <n v="31"/>
    <n v="2"/>
    <n v="50000"/>
    <n v="202605"/>
    <s v="NW"/>
    <s v="1"/>
    <n v="1.3500000000000002E-2"/>
    <n v="2.5000000000000001E-2"/>
    <b v="0"/>
    <s v="20260531"/>
    <n v="20"/>
  </r>
  <r>
    <x v="37"/>
    <s v="1GOV RORAIMA SGG"/>
    <n v="1"/>
    <s v="775401 - Tabela 1"/>
    <n v="2.5000000000000001E-2"/>
    <n v="120"/>
    <s v=""/>
    <n v="2.5"/>
    <n v="10"/>
    <n v="63"/>
    <s v="775401 - RFN - GOV RORAIMA SGG 1 "/>
    <s v="1,6"/>
    <n v="8"/>
    <n v="2"/>
    <n v="500"/>
    <n v="202605"/>
    <s v="NW"/>
    <s v="1"/>
    <n v="1.6E-2"/>
    <n v="2.5000000000000001E-2"/>
    <b v="1"/>
    <s v="2026058"/>
    <n v="5"/>
  </r>
  <r>
    <x v="37"/>
    <s v="2GOV RORAIMA SGG"/>
    <n v="2"/>
    <s v="775402 - Tabela 2"/>
    <n v="2.4E-2"/>
    <n v="120"/>
    <s v=""/>
    <n v="2.5"/>
    <n v="10"/>
    <n v="58"/>
    <s v="775402 - RFN - GOV RORAIMA SGG 2 "/>
    <s v="1,6"/>
    <n v="8"/>
    <n v="2"/>
    <n v="500"/>
    <n v="202605"/>
    <s v="NW"/>
    <s v="1"/>
    <n v="1.6E-2"/>
    <n v="2.5000000000000001E-2"/>
    <b v="0"/>
    <s v="2026058"/>
    <n v="5"/>
  </r>
  <r>
    <x v="37"/>
    <s v="3GOV RORAIMA SGG"/>
    <n v="3"/>
    <s v="775403 - Tabela 3"/>
    <n v="2.3E-2"/>
    <n v="120"/>
    <s v=""/>
    <n v="2.5"/>
    <n v="10"/>
    <n v="39"/>
    <s v="775403 - RFN - GOV RORAIMA SGG 3 "/>
    <s v="1,6"/>
    <n v="8"/>
    <n v="2"/>
    <n v="500"/>
    <n v="202605"/>
    <s v="NW"/>
    <s v="1"/>
    <n v="1.6E-2"/>
    <n v="2.5000000000000001E-2"/>
    <b v="0"/>
    <s v="2026058"/>
    <n v="5"/>
  </r>
  <r>
    <x v="37"/>
    <s v="4GOV RORAIMA SGG"/>
    <n v="4"/>
    <s v="775404 - Tabela 4"/>
    <n v="2.2000000000000002E-2"/>
    <n v="120"/>
    <s v=""/>
    <n v="2.5"/>
    <n v="10"/>
    <n v="33"/>
    <s v="775404 - RFN - GOV RORAIMA SGG 4 "/>
    <s v="1,6"/>
    <n v="8"/>
    <n v="2"/>
    <n v="500"/>
    <n v="202605"/>
    <s v="NW"/>
    <s v="1"/>
    <n v="1.6E-2"/>
    <n v="2.5000000000000001E-2"/>
    <b v="0"/>
    <s v="2026058"/>
    <n v="5"/>
  </r>
  <r>
    <x v="37"/>
    <s v="5GOV RORAIMA SGG"/>
    <n v="5"/>
    <s v="775405 - Tabela 5"/>
    <n v="2.1000000000000001E-2"/>
    <n v="120"/>
    <s v=""/>
    <n v="2.5"/>
    <n v="10"/>
    <n v="48"/>
    <s v="775405 - RFN - GOV RORAIMA SGG 5 "/>
    <s v="1,6"/>
    <n v="8"/>
    <n v="2"/>
    <n v="500"/>
    <n v="202605"/>
    <s v="NW"/>
    <s v="1"/>
    <n v="1.6E-2"/>
    <n v="2.5000000000000001E-2"/>
    <b v="0"/>
    <s v="2026058"/>
    <n v="5"/>
  </r>
  <r>
    <x v="37"/>
    <s v="6GOV RORAIMA SGG"/>
    <n v="6"/>
    <s v="775406 - Tabela 456"/>
    <n v="1.9E-2"/>
    <n v="120"/>
    <s v=""/>
    <n v="2.5"/>
    <n v="10"/>
    <m/>
    <s v="775406 - RFN - GOV RORAIMA 45K SGG 6 "/>
    <s v="1,6"/>
    <n v="8"/>
    <n v="2"/>
    <n v="45000"/>
    <n v="202605"/>
    <s v="NW"/>
    <s v="1"/>
    <n v="1.6E-2"/>
    <n v="2.5000000000000001E-2"/>
    <b v="0"/>
    <s v="2026058"/>
    <n v="5"/>
  </r>
  <r>
    <x v="37"/>
    <s v="7GOV RORAIMA SGG"/>
    <n v="7"/>
    <s v="775407 - Tabela 607"/>
    <n v="1.8000000000000002E-2"/>
    <n v="120"/>
    <s v=""/>
    <n v="2.5"/>
    <n v="10"/>
    <m/>
    <s v="775407 - RFN - GOV RORAIMA 60K SGG 7 "/>
    <s v="1,6"/>
    <n v="8"/>
    <n v="2"/>
    <n v="60000"/>
    <n v="202605"/>
    <s v="NW"/>
    <s v="1"/>
    <n v="1.6E-2"/>
    <n v="2.5000000000000001E-2"/>
    <b v="0"/>
    <s v="2026058"/>
    <n v="5"/>
  </r>
  <r>
    <x v="38"/>
    <s v="1GOV RORAIMA SIG"/>
    <n v="1"/>
    <s v="775411 - Tabela 1"/>
    <n v="2.5000000000000001E-2"/>
    <n v="120"/>
    <s v=""/>
    <n v="2.5"/>
    <n v="10"/>
    <m/>
    <s v="775411 - RFN - GOV RORAIMA SIGRH 1 "/>
    <s v="1,6"/>
    <n v="8"/>
    <n v="2"/>
    <n v="500"/>
    <n v="202605"/>
    <s v="NW"/>
    <s v="1"/>
    <n v="1.6E-2"/>
    <n v="2.5000000000000001E-2"/>
    <b v="1"/>
    <s v="2026058"/>
    <n v="5"/>
  </r>
  <r>
    <x v="38"/>
    <s v="2GOV RORAIMA SIG"/>
    <n v="2"/>
    <s v="775412 - Tabela 2"/>
    <n v="2.4E-2"/>
    <n v="120"/>
    <s v=""/>
    <n v="2.5"/>
    <n v="10"/>
    <m/>
    <s v="775412 - RFN - GOV RORAIMA SIGRH 2 "/>
    <s v="1,6"/>
    <n v="8"/>
    <n v="2"/>
    <n v="500"/>
    <n v="202605"/>
    <s v="NW"/>
    <s v="1"/>
    <n v="1.6E-2"/>
    <n v="2.5000000000000001E-2"/>
    <b v="0"/>
    <s v="2026058"/>
    <n v="5"/>
  </r>
  <r>
    <x v="38"/>
    <s v="3GOV RORAIMA SIG"/>
    <n v="3"/>
    <s v="775413 - Tabela 3"/>
    <n v="2.3E-2"/>
    <n v="120"/>
    <s v=""/>
    <n v="2.5"/>
    <n v="10"/>
    <n v="43"/>
    <s v="775413 - RFN - GOV RORAIMA SIGRH 3 "/>
    <s v="1,6"/>
    <n v="8"/>
    <n v="2"/>
    <n v="500"/>
    <n v="202605"/>
    <s v="NW"/>
    <s v="1"/>
    <n v="1.6E-2"/>
    <n v="2.5000000000000001E-2"/>
    <b v="0"/>
    <s v="2026058"/>
    <n v="5"/>
  </r>
  <r>
    <x v="38"/>
    <s v="4GOV RORAIMA SIG"/>
    <n v="4"/>
    <s v="775414 - Tabela 4"/>
    <n v="2.2000000000000002E-2"/>
    <n v="120"/>
    <s v=""/>
    <n v="2.5"/>
    <n v="10"/>
    <n v="53"/>
    <s v="775414 - RFN - GOV RORAIMA SIGRH 4 "/>
    <s v="1,6"/>
    <n v="8"/>
    <n v="2"/>
    <n v="500"/>
    <n v="202605"/>
    <s v="NW"/>
    <s v="1"/>
    <n v="1.6E-2"/>
    <n v="2.5000000000000001E-2"/>
    <b v="0"/>
    <s v="2026058"/>
    <n v="5"/>
  </r>
  <r>
    <x v="38"/>
    <s v="5GOV RORAIMA SIG"/>
    <n v="5"/>
    <s v="775415 - Tabela 5"/>
    <n v="2.1000000000000001E-2"/>
    <n v="120"/>
    <s v=""/>
    <n v="2.5"/>
    <n v="10"/>
    <n v="47"/>
    <s v="775415 - RFN - GOV RORAIMA SIGRH 5 "/>
    <s v="1,6"/>
    <n v="8"/>
    <n v="2"/>
    <n v="500"/>
    <n v="202605"/>
    <s v="NW"/>
    <s v="1"/>
    <n v="1.6E-2"/>
    <n v="2.5000000000000001E-2"/>
    <b v="0"/>
    <s v="2026058"/>
    <n v="5"/>
  </r>
  <r>
    <x v="38"/>
    <s v="6GOV RORAIMA SIG"/>
    <n v="6"/>
    <s v="775416 - Tabela 456"/>
    <n v="1.9E-2"/>
    <n v="120"/>
    <s v=""/>
    <n v="2.5"/>
    <n v="10"/>
    <n v="34"/>
    <s v="775416 - RFN - GOV RORAIMA 45K SIGRH 6 "/>
    <s v="1,6"/>
    <n v="8"/>
    <n v="2"/>
    <n v="45000"/>
    <n v="202605"/>
    <s v="NW"/>
    <s v="1"/>
    <n v="1.6E-2"/>
    <n v="2.5000000000000001E-2"/>
    <b v="0"/>
    <s v="2026058"/>
    <n v="5"/>
  </r>
  <r>
    <x v="38"/>
    <s v="7GOV RORAIMA SIG"/>
    <n v="7"/>
    <s v="775417 - Tabela 607"/>
    <n v="1.8000000000000002E-2"/>
    <n v="120"/>
    <s v=""/>
    <n v="2.5"/>
    <n v="10"/>
    <m/>
    <s v="775417 - RFN - GOV RORAIMA 60K SIGRH 7 "/>
    <s v="1,6"/>
    <n v="8"/>
    <n v="2"/>
    <n v="60000"/>
    <n v="202605"/>
    <s v="NW"/>
    <s v="1"/>
    <n v="1.6E-2"/>
    <n v="2.5000000000000001E-2"/>
    <b v="0"/>
    <s v="2026058"/>
    <n v="5"/>
  </r>
  <r>
    <x v="39"/>
    <s v="1GOV SC"/>
    <n v="1"/>
    <s v="745381 - Tabela 1"/>
    <n v="2.0499999999999997E-2"/>
    <n v="120"/>
    <s v=""/>
    <n v="2.0499999999999998"/>
    <n v="10"/>
    <n v="27"/>
    <s v="745381 - RFN - GOV SC  1 "/>
    <s v="1,43"/>
    <n v="19"/>
    <n v="2"/>
    <n v="500"/>
    <n v="202605"/>
    <s v="LG"/>
    <s v="0"/>
    <n v="1.43E-2"/>
    <n v="2.0499999999999997E-2"/>
    <b v="1"/>
    <s v="20260519"/>
    <n v="12"/>
  </r>
  <r>
    <x v="39"/>
    <s v="2GOV SC"/>
    <n v="2"/>
    <s v="745382 - Tabela 2"/>
    <n v="1.95E-2"/>
    <n v="120"/>
    <s v=""/>
    <n v="2.0499999999999998"/>
    <n v="10"/>
    <n v="34"/>
    <s v="745382 - RFN - GOV SC  2 "/>
    <s v="1,43"/>
    <n v="19"/>
    <n v="2"/>
    <n v="500"/>
    <n v="202605"/>
    <s v="LG"/>
    <s v="0"/>
    <n v="1.43E-2"/>
    <n v="2.0499999999999997E-2"/>
    <b v="0"/>
    <s v="20260519"/>
    <n v="12"/>
  </r>
  <r>
    <x v="39"/>
    <s v="3GOV SC"/>
    <n v="3"/>
    <s v="745383 - Tabela 3"/>
    <n v="1.8000000000000002E-2"/>
    <n v="120"/>
    <s v=""/>
    <n v="2.0499999999999998"/>
    <n v="10"/>
    <n v="31"/>
    <s v="745383 - RFN - GOV SC  3 "/>
    <s v="1,43"/>
    <n v="19"/>
    <n v="2"/>
    <n v="500"/>
    <n v="202605"/>
    <s v="LG"/>
    <s v="0"/>
    <n v="1.43E-2"/>
    <n v="2.0499999999999997E-2"/>
    <b v="0"/>
    <s v="20260519"/>
    <n v="12"/>
  </r>
  <r>
    <x v="39"/>
    <s v="4GOV SC"/>
    <n v="4"/>
    <s v="745384 - Tabela 4"/>
    <n v="1.7000000000000001E-2"/>
    <n v="120"/>
    <s v=""/>
    <n v="2.0499999999999998"/>
    <n v="10"/>
    <n v="35"/>
    <s v="745384 - RFN - GOV SC  4 "/>
    <s v="1,43"/>
    <n v="19"/>
    <n v="2"/>
    <n v="500"/>
    <n v="202605"/>
    <s v="LG"/>
    <s v="0"/>
    <n v="1.43E-2"/>
    <n v="2.0499999999999997E-2"/>
    <b v="0"/>
    <s v="20260519"/>
    <n v="12"/>
  </r>
  <r>
    <x v="39"/>
    <s v="5GOV SC"/>
    <n v="5"/>
    <s v="745385 - Tabela 305"/>
    <n v="1.6500000000000001E-2"/>
    <n v="120"/>
    <s v=""/>
    <n v="2.0499999999999998"/>
    <n v="10"/>
    <n v="34"/>
    <s v="745385 - RFN - GOV SC 30K  5 "/>
    <s v="1,43"/>
    <n v="19"/>
    <n v="2"/>
    <n v="30000"/>
    <n v="202605"/>
    <s v="LG"/>
    <s v="0"/>
    <n v="1.43E-2"/>
    <n v="2.0499999999999997E-2"/>
    <b v="0"/>
    <s v="20260519"/>
    <n v="12"/>
  </r>
  <r>
    <x v="39"/>
    <s v="6GOV SC"/>
    <n v="6"/>
    <s v="745386 - Tabela 6"/>
    <n v="1.6E-2"/>
    <n v="120"/>
    <s v=""/>
    <n v="2.0499999999999998"/>
    <n v="10"/>
    <n v="38"/>
    <s v="745386 - RFN - GOV SC 50K  6 "/>
    <s v="1,43"/>
    <n v="19"/>
    <n v="2"/>
    <n v="50000"/>
    <n v="202605"/>
    <s v="LG"/>
    <s v="0"/>
    <n v="1.43E-2"/>
    <n v="2.0499999999999997E-2"/>
    <b v="0"/>
    <s v="20260519"/>
    <n v="12"/>
  </r>
  <r>
    <x v="40"/>
    <s v="1GOV SP PM PORT"/>
    <n v="1"/>
    <s v="705171 - Tabela 1"/>
    <n v="2.5000000000000001E-2"/>
    <n v="96"/>
    <s v=""/>
    <n v="2.5"/>
    <n v="10"/>
    <n v="51"/>
    <s v="705171 - RFN - GOV SP - PM 1  "/>
    <s v="1,45"/>
    <n v="7"/>
    <n v="2"/>
    <n v="500"/>
    <n v="202605"/>
    <s v="LG"/>
    <s v="1"/>
    <n v="1.4499999999999999E-2"/>
    <n v="2.5000000000000001E-2"/>
    <b v="1"/>
    <s v="2026057"/>
    <n v="4"/>
  </r>
  <r>
    <x v="40"/>
    <s v="2GOV SP PM PORT"/>
    <n v="2"/>
    <s v="705172 - Tabela 2"/>
    <n v="1.95E-2"/>
    <n v="96"/>
    <s v=""/>
    <n v="2.5"/>
    <n v="10"/>
    <n v="48"/>
    <s v="705172 - RFN - GOV SP - PM 2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3GOV SP PM PORT"/>
    <n v="3"/>
    <s v="705073 - Tabela 3"/>
    <n v="1.89E-2"/>
    <n v="96"/>
    <s v=""/>
    <n v="2.5"/>
    <n v="10"/>
    <n v="47"/>
    <s v="705073 - RFN - GOV SP - PM 3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4GOV SP PM PORT"/>
    <n v="4"/>
    <s v="705074 - Tabela 4"/>
    <n v="1.8500000000000003E-2"/>
    <n v="96"/>
    <s v=""/>
    <n v="2.5"/>
    <n v="10"/>
    <n v="48"/>
    <s v="705074 - RFN - GOV SP - PM 4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5GOV SP PM PORT"/>
    <n v="5"/>
    <s v="705075 - Tabela 5"/>
    <n v="1.7899999999999999E-2"/>
    <n v="96"/>
    <s v=""/>
    <n v="2.5"/>
    <n v="10"/>
    <n v="47"/>
    <s v="705075 - RFN - GOV SP - PM 5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6GOV SP PM PORT"/>
    <n v="6"/>
    <s v="705076 - Tabela 6"/>
    <n v="1.7500000000000002E-2"/>
    <n v="96"/>
    <s v=""/>
    <n v="2.5"/>
    <n v="10"/>
    <n v="47"/>
    <s v="705076 - RFN - GOV SP - PM 6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7GOV SP PM PORT"/>
    <n v="7"/>
    <s v="705077 - Tabela 7"/>
    <n v="1.6899999999999998E-2"/>
    <n v="96"/>
    <s v=""/>
    <n v="2.5"/>
    <n v="10"/>
    <n v="49"/>
    <s v="705077 - RFN - GOV SP - PM 7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8GOV SP PM PORT"/>
    <n v="8"/>
    <s v="705078 - Tabela 8"/>
    <n v="1.6500000000000001E-2"/>
    <n v="96"/>
    <s v=""/>
    <n v="2.5"/>
    <n v="10"/>
    <n v="48"/>
    <s v="705078 - RFN - GOV SP - PM 8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9GOV SP PM PORT"/>
    <n v="9"/>
    <s v="705079 - Tabela 9"/>
    <n v="1.5900000000000001E-2"/>
    <n v="96"/>
    <s v=""/>
    <n v="2.5"/>
    <n v="10"/>
    <n v="49"/>
    <s v="705079 - RFN - GOV SP - PM 9  "/>
    <s v="1,45"/>
    <n v="7"/>
    <n v="2"/>
    <n v="500"/>
    <n v="202605"/>
    <s v="LG"/>
    <s v="1"/>
    <n v="1.4499999999999999E-2"/>
    <n v="2.5000000000000001E-2"/>
    <b v="0"/>
    <s v="2026057"/>
    <n v="4"/>
  </r>
  <r>
    <x v="40"/>
    <s v="10GOV SP PM PORT"/>
    <n v="10"/>
    <s v="705198 - Tabela 3010"/>
    <n v="1.5700000000000002E-2"/>
    <n v="96"/>
    <s v=""/>
    <n v="2.5"/>
    <n v="10"/>
    <n v="48"/>
    <s v="705198 - RFN - GOV SP - PM 30K 10  "/>
    <s v="1,45"/>
    <n v="7"/>
    <n v="2"/>
    <n v="30000"/>
    <n v="202605"/>
    <s v="LG"/>
    <s v="1"/>
    <n v="1.4499999999999999E-2"/>
    <n v="2.5000000000000001E-2"/>
    <b v="0"/>
    <s v="2026057"/>
    <n v="4"/>
  </r>
  <r>
    <x v="40"/>
    <s v="11GOV SP PM PORT"/>
    <n v="11"/>
    <s v="705199 - Tabela 11"/>
    <n v="1.55E-2"/>
    <n v="96"/>
    <s v=""/>
    <n v="2.5"/>
    <n v="10"/>
    <n v="49"/>
    <s v="705199 - RFN - GOV SP - PM 50K 11  "/>
    <s v="1,45"/>
    <n v="7"/>
    <n v="2"/>
    <n v="50000"/>
    <n v="202605"/>
    <s v="LG"/>
    <s v="1"/>
    <n v="1.4499999999999999E-2"/>
    <n v="2.5000000000000001E-2"/>
    <b v="0"/>
    <s v="2026057"/>
    <n v="4"/>
  </r>
  <r>
    <x v="41"/>
    <s v="1GOV SP TJMSP"/>
    <n v="1"/>
    <s v="815271 - Tabela 1"/>
    <n v="2.5000000000000001E-2"/>
    <n v="96"/>
    <s v=""/>
    <n v="2.5"/>
    <n v="10"/>
    <m/>
    <s v="815271 - RFN - GOV SP - TJMSP 1 "/>
    <s v="1,45"/>
    <n v="11"/>
    <n v="2"/>
    <n v="500"/>
    <n v="202605"/>
    <s v="LG"/>
    <s v="0"/>
    <n v="1.4499999999999999E-2"/>
    <n v="2.5000000000000001E-2"/>
    <b v="1"/>
    <s v="20260511"/>
    <n v="6"/>
  </r>
  <r>
    <x v="41"/>
    <s v="2GOV SP TJMSP"/>
    <n v="2"/>
    <s v="815272 - Tabela 2"/>
    <n v="2.3900000000000001E-2"/>
    <n v="96"/>
    <s v=""/>
    <n v="2.5"/>
    <n v="10"/>
    <m/>
    <s v="815272 - RFN - GOV SP - TJMSP 2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3GOV SP TJMSP"/>
    <n v="3"/>
    <s v="815273 - Tabela 3"/>
    <n v="2.29E-2"/>
    <n v="96"/>
    <s v=""/>
    <n v="2.5"/>
    <n v="10"/>
    <m/>
    <s v="815273 - RFN - GOV SP - TJMSP 3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4GOV SP TJMSP"/>
    <n v="4"/>
    <s v="815274 - Tabela 4"/>
    <n v="2.1899999999999999E-2"/>
    <n v="96"/>
    <s v=""/>
    <n v="2.5"/>
    <n v="10"/>
    <m/>
    <s v="815274 - RFN - GOV SP - TJMSP 4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5GOV SP TJMSP"/>
    <n v="5"/>
    <s v="815275 - Tabela 5"/>
    <n v="2.0899999999999998E-2"/>
    <n v="96"/>
    <s v=""/>
    <n v="2.5"/>
    <n v="10"/>
    <m/>
    <s v="815275 - RFN - GOV SP - TJMSP 5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6GOV SP TJMSP"/>
    <n v="6"/>
    <s v="815276 - Tabela 6"/>
    <n v="1.9900000000000001E-2"/>
    <n v="96"/>
    <s v=""/>
    <n v="2.5"/>
    <n v="10"/>
    <m/>
    <s v="815276 - RFN - GOV SP - TJMSP 6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7GOV SP TJMSP"/>
    <n v="7"/>
    <s v="815277 - Tabela 7"/>
    <n v="1.9599999999999999E-2"/>
    <n v="96"/>
    <s v=""/>
    <n v="2.5"/>
    <n v="10"/>
    <m/>
    <s v="815277 - RFN - GOV SP - TJMSP 7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8GOV SP TJMSP"/>
    <n v="8"/>
    <s v="815278 - Tabela 8"/>
    <n v="1.7500000000000002E-2"/>
    <n v="96"/>
    <s v=""/>
    <n v="2.5"/>
    <n v="10"/>
    <m/>
    <s v="815278 - RFN - GOV SP - TJMSP 8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9GOV SP TJMSP"/>
    <n v="9"/>
    <s v="815279 - Tabela 9"/>
    <n v="1.6799999999999999E-2"/>
    <n v="96"/>
    <s v=""/>
    <n v="2.5"/>
    <n v="10"/>
    <m/>
    <s v="815279 - RFN - GOV SP - TJMSP 9 "/>
    <s v="1,45"/>
    <n v="11"/>
    <n v="2"/>
    <n v="500"/>
    <n v="202605"/>
    <s v="LG"/>
    <s v="0"/>
    <n v="1.4499999999999999E-2"/>
    <n v="2.5000000000000001E-2"/>
    <b v="0"/>
    <s v="20260511"/>
    <n v="6"/>
  </r>
  <r>
    <x v="41"/>
    <s v="10GOV SP TJMSP"/>
    <n v="10"/>
    <s v="815280 - Tabela 1040"/>
    <n v="1.6500000000000001E-2"/>
    <n v="96"/>
    <s v=""/>
    <n v="2.5"/>
    <n v="10"/>
    <m/>
    <s v="815280 - RFN - GOV SP - TJMSP 10 40K "/>
    <s v="1,45"/>
    <n v="11"/>
    <n v="2"/>
    <n v="40000"/>
    <n v="202605"/>
    <s v="LG"/>
    <s v="0"/>
    <n v="1.4499999999999999E-2"/>
    <n v="2.5000000000000001E-2"/>
    <b v="0"/>
    <s v="20260511"/>
    <n v="6"/>
  </r>
  <r>
    <x v="42"/>
    <s v="1GOV TOCANTINS"/>
    <n v="1"/>
    <s v="745341 - Tabela 1"/>
    <n v="2.5000000000000001E-2"/>
    <n v="96"/>
    <s v=""/>
    <n v="2.5"/>
    <n v="18"/>
    <m/>
    <s v="745341 - RFN - GOV TOCANTINS 1 "/>
    <s v="1,56"/>
    <n v="5"/>
    <n v="2"/>
    <n v="500"/>
    <n v="202605"/>
    <s v="LG"/>
    <s v="1"/>
    <n v="1.5600000000000001E-2"/>
    <n v="2.5000000000000001E-2"/>
    <b v="1"/>
    <s v="2026055"/>
    <n v="2"/>
  </r>
  <r>
    <x v="42"/>
    <s v="2GOV TOCANTINS"/>
    <n v="2"/>
    <s v="745342 - Tabela 2"/>
    <n v="2.2000000000000002E-2"/>
    <n v="96"/>
    <s v=""/>
    <n v="2.5"/>
    <n v="18"/>
    <m/>
    <s v="745342 - RFN - GOV TOCANTINS 2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3GOV TOCANTINS"/>
    <n v="3"/>
    <s v="745343 - Tabela 3"/>
    <n v="2.1499999999999998E-2"/>
    <n v="96"/>
    <s v=""/>
    <n v="2.5"/>
    <n v="18"/>
    <m/>
    <s v="745343 - RFN - GOV TOCANTINS 3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4GOV TOCANTINS"/>
    <n v="4"/>
    <s v="745344 - Tabela 4"/>
    <n v="2.1000000000000001E-2"/>
    <n v="96"/>
    <s v=""/>
    <n v="2.5"/>
    <n v="18"/>
    <m/>
    <s v="745344 - RFN - GOV TOCANTINS 4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5GOV TOCANTINS"/>
    <n v="5"/>
    <s v="745345 - Tabela 5"/>
    <n v="2.0499999999999997E-2"/>
    <n v="96"/>
    <s v=""/>
    <n v="2.5"/>
    <n v="18"/>
    <m/>
    <s v="745345 - RFN - GOV TOCANTINS 5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6GOV TOCANTINS"/>
    <n v="6"/>
    <s v="745346 - Tabela 6"/>
    <n v="0.02"/>
    <n v="96"/>
    <s v=""/>
    <n v="2.5"/>
    <n v="18"/>
    <m/>
    <s v="745346 - RFN - GOV TOCANTINS 6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7GOV TOCANTINS"/>
    <n v="7"/>
    <s v="745347 - Tabela 7"/>
    <n v="1.95E-2"/>
    <n v="96"/>
    <s v=""/>
    <n v="2.5"/>
    <n v="18"/>
    <m/>
    <s v="745347 - RFN - GOV TOCANTINS 7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8GOV TOCANTINS"/>
    <n v="8"/>
    <s v="745348 - Tabela 8"/>
    <n v="1.9E-2"/>
    <n v="96"/>
    <s v=""/>
    <n v="2.5"/>
    <n v="18"/>
    <n v="66"/>
    <s v="745348 - RFN - GOV TOCANTINS 8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9GOV TOCANTINS"/>
    <n v="9"/>
    <s v="745349 - Tabela 9"/>
    <n v="1.8500000000000003E-2"/>
    <n v="96"/>
    <s v=""/>
    <n v="2.5"/>
    <n v="18"/>
    <m/>
    <s v="745349 - RFN - GOV TOCANTINS 9 "/>
    <s v="1,56"/>
    <n v="5"/>
    <n v="2"/>
    <n v="500"/>
    <n v="202605"/>
    <s v="LG"/>
    <s v="1"/>
    <n v="1.5600000000000001E-2"/>
    <n v="2.5000000000000001E-2"/>
    <b v="0"/>
    <s v="2026055"/>
    <n v="2"/>
  </r>
  <r>
    <x v="42"/>
    <s v="10GOV TOCANTINS"/>
    <n v="10"/>
    <s v="745350 - Tabela 10"/>
    <n v="1.7399999999999999E-2"/>
    <n v="96"/>
    <s v=""/>
    <n v="2.5"/>
    <n v="18"/>
    <m/>
    <s v="745350 - RFN - GOV TOCANTINS 50K 10 "/>
    <s v="1,56"/>
    <n v="5"/>
    <n v="2"/>
    <n v="50000"/>
    <n v="202605"/>
    <s v="LG"/>
    <s v="1"/>
    <n v="1.5600000000000001E-2"/>
    <n v="2.5000000000000001E-2"/>
    <b v="0"/>
    <s v="2026055"/>
    <n v="2"/>
  </r>
  <r>
    <x v="43"/>
    <s v="1HSPM SP"/>
    <n v="1"/>
    <s v="702525 - Tabela 1"/>
    <n v="2.4900000000000002E-2"/>
    <n v="120"/>
    <s v=""/>
    <n v="2.4900000000000002"/>
    <n v="7"/>
    <m/>
    <s v="702525 - RFN - HSPM - SP 1 "/>
    <s v="1,45"/>
    <n v="31"/>
    <n v="2"/>
    <n v="500"/>
    <n v="202605"/>
    <s v="LG"/>
    <s v="1"/>
    <n v="1.4499999999999999E-2"/>
    <n v="2.4900000000000002E-2"/>
    <b v="1"/>
    <s v="20260531"/>
    <n v="20"/>
  </r>
  <r>
    <x v="43"/>
    <s v="2HSPM SP"/>
    <n v="2"/>
    <s v="702526 - Tabela 2"/>
    <n v="2.3900000000000001E-2"/>
    <n v="120"/>
    <s v=""/>
    <n v="2.4900000000000002"/>
    <n v="7"/>
    <m/>
    <s v="702526 - RFN - HSPM - SP 2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3HSPM SP"/>
    <n v="3"/>
    <s v="702527 - Tabela 3"/>
    <n v="2.29E-2"/>
    <n v="120"/>
    <s v=""/>
    <n v="2.4900000000000002"/>
    <n v="7"/>
    <m/>
    <s v="702527 - RFN - HSPM - SP 3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4HSPM SP"/>
    <n v="4"/>
    <s v="702530 - Tabela 4"/>
    <n v="2.1899999999999999E-2"/>
    <n v="120"/>
    <s v=""/>
    <n v="2.4900000000000002"/>
    <n v="7"/>
    <n v="40"/>
    <s v="702530 - RFN - HSPM - SP 4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5HSPM SP"/>
    <n v="5"/>
    <s v="702531 - Tabela 5"/>
    <n v="2.0899999999999998E-2"/>
    <n v="120"/>
    <s v=""/>
    <n v="2.4900000000000002"/>
    <n v="7"/>
    <n v="51"/>
    <s v="702531 - RFN - HSPM - SP 5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6HSPM SP"/>
    <n v="6"/>
    <s v="702532 - Tabela 6"/>
    <n v="1.9900000000000001E-2"/>
    <n v="120"/>
    <s v=""/>
    <n v="2.4900000000000002"/>
    <n v="7"/>
    <n v="44"/>
    <s v="702532 - RFN - HSPM - SP 6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7HSPM SP"/>
    <n v="7"/>
    <s v="702533 - Tabela 7"/>
    <n v="1.89E-2"/>
    <n v="120"/>
    <s v=""/>
    <n v="2.4900000000000002"/>
    <n v="7"/>
    <m/>
    <s v="702533 - RFN - HSPM - SP 7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8HSPM SP"/>
    <n v="8"/>
    <s v="702534 - Tabela 8"/>
    <n v="1.7899999999999999E-2"/>
    <n v="120"/>
    <s v=""/>
    <n v="2.4900000000000002"/>
    <n v="7"/>
    <n v="51"/>
    <s v="702534 - RFN - HSPM - SP 8 "/>
    <s v="1,45"/>
    <n v="31"/>
    <n v="2"/>
    <n v="500"/>
    <n v="202605"/>
    <s v="LG"/>
    <s v="1"/>
    <n v="1.4499999999999999E-2"/>
    <n v="2.4900000000000002E-2"/>
    <b v="0"/>
    <s v="20260531"/>
    <n v="20"/>
  </r>
  <r>
    <x v="43"/>
    <s v="9HSPM SP"/>
    <n v="9"/>
    <s v="702535 - Tabela 9"/>
    <n v="1.6899999999999998E-2"/>
    <n v="120"/>
    <s v=""/>
    <n v="2.4900000000000002"/>
    <n v="7"/>
    <n v="52"/>
    <s v="702535 - RFN - HSPM - SP 9 "/>
    <s v="1,45"/>
    <n v="31"/>
    <n v="2"/>
    <n v="500"/>
    <n v="202605"/>
    <s v="LG"/>
    <s v="1"/>
    <n v="1.4499999999999999E-2"/>
    <n v="2.4900000000000002E-2"/>
    <b v="0"/>
    <s v="20260531"/>
    <n v="20"/>
  </r>
  <r>
    <x v="44"/>
    <s v="1IMPCG MS"/>
    <n v="1"/>
    <s v="755541 - Tabela 1"/>
    <n v="2.5000000000000001E-2"/>
    <n v="120"/>
    <s v=""/>
    <n v="2.5"/>
    <n v="20"/>
    <n v="56"/>
    <s v="755541 - RFN - IMPCG 1 "/>
    <s v="1,45"/>
    <n v="10"/>
    <n v="2"/>
    <n v="500"/>
    <n v="202605"/>
    <s v="LG"/>
    <s v="1"/>
    <n v="1.4499999999999999E-2"/>
    <n v="2.5000000000000001E-2"/>
    <b v="1"/>
    <s v="20260510"/>
    <n v="5"/>
  </r>
  <r>
    <x v="44"/>
    <s v="2IMPCG MS"/>
    <n v="2"/>
    <s v="755542 - Tabela 2"/>
    <n v="2.2499999999999999E-2"/>
    <n v="120"/>
    <s v=""/>
    <n v="2.5"/>
    <n v="20"/>
    <n v="44"/>
    <s v="755542 - RFN - IMPCG 2 "/>
    <s v="1,45"/>
    <n v="10"/>
    <n v="2"/>
    <n v="500"/>
    <n v="202605"/>
    <s v="LG"/>
    <s v="1"/>
    <n v="1.4499999999999999E-2"/>
    <n v="2.5000000000000001E-2"/>
    <b v="0"/>
    <s v="20260510"/>
    <n v="5"/>
  </r>
  <r>
    <x v="44"/>
    <s v="3IMPCG MS"/>
    <n v="3"/>
    <s v="755543 - Tabela 3"/>
    <n v="0.02"/>
    <n v="120"/>
    <s v=""/>
    <n v="2.5"/>
    <n v="20"/>
    <n v="46"/>
    <s v="755543 - RFN - IMPCG 3 "/>
    <s v="1,45"/>
    <n v="10"/>
    <n v="2"/>
    <n v="500"/>
    <n v="202605"/>
    <s v="LG"/>
    <s v="1"/>
    <n v="1.4499999999999999E-2"/>
    <n v="2.5000000000000001E-2"/>
    <b v="0"/>
    <s v="20260510"/>
    <n v="5"/>
  </r>
  <r>
    <x v="44"/>
    <s v="4IMPCG MS"/>
    <n v="4"/>
    <s v="755544 - Tabela 4"/>
    <n v="1.9E-2"/>
    <n v="120"/>
    <s v=""/>
    <n v="2.5"/>
    <n v="20"/>
    <n v="50"/>
    <s v="755544 - RFN - IMPCG 4 "/>
    <s v="1,45"/>
    <n v="10"/>
    <n v="2"/>
    <n v="500"/>
    <n v="202605"/>
    <s v="LG"/>
    <s v="1"/>
    <n v="1.4499999999999999E-2"/>
    <n v="2.5000000000000001E-2"/>
    <b v="0"/>
    <s v="20260510"/>
    <n v="5"/>
  </r>
  <r>
    <x v="44"/>
    <s v="5IMPCG MS"/>
    <n v="5"/>
    <s v="755545 - Tabela 5"/>
    <n v="1.8100000000000002E-2"/>
    <n v="120"/>
    <s v=""/>
    <n v="2.5"/>
    <n v="20"/>
    <n v="44"/>
    <s v="755545 - RFN - IMPCG 5 "/>
    <s v="1,45"/>
    <n v="10"/>
    <n v="2"/>
    <n v="500"/>
    <n v="202605"/>
    <s v="LG"/>
    <s v="1"/>
    <n v="1.4499999999999999E-2"/>
    <n v="2.5000000000000001E-2"/>
    <b v="0"/>
    <s v="20260510"/>
    <n v="5"/>
  </r>
  <r>
    <x v="44"/>
    <s v="6IMPCG MS"/>
    <n v="6"/>
    <s v="755546 - Tabela 6"/>
    <n v="1.7500000000000002E-2"/>
    <n v="120"/>
    <s v=""/>
    <n v="2.5"/>
    <n v="20"/>
    <n v="55"/>
    <s v="755546 - RFN - IMPCG 6 "/>
    <s v="1,45"/>
    <n v="10"/>
    <n v="2"/>
    <n v="500"/>
    <n v="202605"/>
    <s v="LG"/>
    <s v="1"/>
    <n v="1.4499999999999999E-2"/>
    <n v="2.5000000000000001E-2"/>
    <b v="0"/>
    <s v="20260510"/>
    <n v="5"/>
  </r>
  <r>
    <x v="45"/>
    <s v="1INSS"/>
    <n v="1"/>
    <s v="805971 - Tabela 1"/>
    <n v="1.8500000000000003E-2"/>
    <n v="96"/>
    <s v=""/>
    <n v="1.85"/>
    <n v="10"/>
    <n v="53"/>
    <s v="805971 - RFN - INSS 1   "/>
    <s v="1,44"/>
    <n v="3"/>
    <n v="3"/>
    <n v="20"/>
    <n v="202605"/>
    <s v="NW"/>
    <s v="1"/>
    <n v="1.44E-2"/>
    <n v="1.8500000000000003E-2"/>
    <b v="1"/>
    <s v="2026053"/>
    <n v="0"/>
  </r>
  <r>
    <x v="45"/>
    <s v="2INSS"/>
    <n v="2"/>
    <s v="805972 - Tabela 2"/>
    <n v="1.8000000000000002E-2"/>
    <n v="96"/>
    <s v=""/>
    <n v="1.85"/>
    <n v="10"/>
    <n v="53"/>
    <s v="805972 - RFN - INSS 2   "/>
    <s v="1,44"/>
    <n v="3"/>
    <n v="3"/>
    <n v="20"/>
    <n v="202605"/>
    <s v="NW"/>
    <s v="1"/>
    <n v="1.44E-2"/>
    <n v="1.8500000000000003E-2"/>
    <b v="0"/>
    <s v="2026053"/>
    <n v="0"/>
  </r>
  <r>
    <x v="45"/>
    <s v="3INSS"/>
    <n v="3"/>
    <s v="805973 - Tabela 3"/>
    <n v="1.77E-2"/>
    <n v="96"/>
    <s v=""/>
    <n v="1.85"/>
    <n v="10"/>
    <n v="53"/>
    <s v="805973 - RFN - INSS 3   "/>
    <s v="1,44"/>
    <n v="3"/>
    <n v="3"/>
    <n v="20"/>
    <n v="202605"/>
    <s v="NW"/>
    <s v="1"/>
    <n v="1.44E-2"/>
    <n v="1.8500000000000003E-2"/>
    <b v="0"/>
    <s v="2026053"/>
    <n v="0"/>
  </r>
  <r>
    <x v="45"/>
    <s v="4INSS"/>
    <n v="4"/>
    <s v="805974 - Tabela 4"/>
    <n v="1.7399999999999999E-2"/>
    <n v="96"/>
    <s v=""/>
    <n v="1.85"/>
    <n v="10"/>
    <n v="53"/>
    <s v="805974 - RFN - INSS 4   "/>
    <s v="1,44"/>
    <n v="3"/>
    <n v="3"/>
    <n v="20"/>
    <n v="202605"/>
    <s v="NW"/>
    <s v="1"/>
    <n v="1.44E-2"/>
    <n v="1.8500000000000003E-2"/>
    <b v="0"/>
    <s v="2026053"/>
    <n v="0"/>
  </r>
  <r>
    <x v="45"/>
    <s v="5INSS"/>
    <n v="5"/>
    <s v="805975 - Tabela 5"/>
    <n v="1.7100000000000001E-2"/>
    <n v="96"/>
    <s v=""/>
    <n v="1.85"/>
    <n v="10"/>
    <n v="53"/>
    <s v="805975 - RFN - INSS 5   "/>
    <s v="1,44"/>
    <n v="3"/>
    <n v="3"/>
    <n v="20"/>
    <n v="202605"/>
    <s v="NW"/>
    <s v="1"/>
    <n v="1.44E-2"/>
    <n v="1.8500000000000003E-2"/>
    <b v="0"/>
    <s v="2026053"/>
    <n v="0"/>
  </r>
  <r>
    <x v="45"/>
    <s v="6INSS"/>
    <n v="6"/>
    <s v="805976 - Tabela 6"/>
    <n v="1.6799999999999999E-2"/>
    <n v="96"/>
    <s v=""/>
    <n v="1.85"/>
    <n v="10"/>
    <n v="53"/>
    <s v="805976 - RFN - INSS 6   "/>
    <s v="1,44"/>
    <n v="3"/>
    <n v="3"/>
    <n v="20"/>
    <n v="202605"/>
    <s v="NW"/>
    <s v="1"/>
    <n v="1.44E-2"/>
    <n v="1.8500000000000003E-2"/>
    <b v="0"/>
    <s v="2026053"/>
    <n v="0"/>
  </r>
  <r>
    <x v="45"/>
    <s v="7INSS"/>
    <n v="7"/>
    <s v="805977 - Tabela 7"/>
    <n v="1.66E-2"/>
    <n v="96"/>
    <s v=""/>
    <n v="1.85"/>
    <n v="10"/>
    <n v="53"/>
    <s v="805977 - RFN - INSS 7   "/>
    <s v="1,44"/>
    <n v="3"/>
    <n v="3"/>
    <n v="20"/>
    <n v="202605"/>
    <s v="NW"/>
    <s v="1"/>
    <n v="1.44E-2"/>
    <n v="1.8500000000000003E-2"/>
    <b v="0"/>
    <s v="2026053"/>
    <n v="0"/>
  </r>
  <r>
    <x v="45"/>
    <s v="8INSS"/>
    <n v="8"/>
    <s v="805978 - Tabela 108"/>
    <n v="1.6200000000000003E-2"/>
    <n v="96"/>
    <s v=""/>
    <n v="1.85"/>
    <n v="10"/>
    <n v="53"/>
    <s v="805978 - RFN - INSS 10K 8   "/>
    <s v="1,44"/>
    <n v="3"/>
    <n v="3"/>
    <n v="10000"/>
    <n v="202605"/>
    <s v="NW"/>
    <s v="1"/>
    <n v="1.44E-2"/>
    <n v="1.8500000000000003E-2"/>
    <b v="0"/>
    <s v="2026053"/>
    <n v="0"/>
  </r>
  <r>
    <x v="45"/>
    <s v="9INSS"/>
    <n v="9"/>
    <s v="805979 - Tabela 159"/>
    <n v="1.6E-2"/>
    <n v="96"/>
    <s v=""/>
    <n v="1.85"/>
    <n v="10"/>
    <n v="53"/>
    <s v="805979 - RFN - INSS 15K 9   "/>
    <s v="1,44"/>
    <n v="3"/>
    <n v="3"/>
    <n v="15000"/>
    <n v="202605"/>
    <s v="NW"/>
    <s v="1"/>
    <n v="1.44E-2"/>
    <n v="1.8500000000000003E-2"/>
    <b v="0"/>
    <s v="2026053"/>
    <n v="0"/>
  </r>
  <r>
    <x v="45"/>
    <s v="10INSS"/>
    <n v="10"/>
    <s v="805980 - Tabela 3010"/>
    <n v="1.5800000000000002E-2"/>
    <n v="96"/>
    <s v=""/>
    <n v="1.85"/>
    <n v="10"/>
    <n v="53"/>
    <s v="805980 - RFN - INSS 30K 10   "/>
    <s v="1,44"/>
    <n v="3"/>
    <n v="3"/>
    <n v="30000"/>
    <n v="202605"/>
    <s v="NW"/>
    <s v="1"/>
    <n v="1.44E-2"/>
    <n v="1.8500000000000003E-2"/>
    <b v="0"/>
    <s v="2026053"/>
    <n v="0"/>
  </r>
  <r>
    <x v="45"/>
    <s v="11INSS"/>
    <n v="11"/>
    <s v="805981 - Tabela 11"/>
    <n v="1.5600000000000001E-2"/>
    <n v="96"/>
    <s v=""/>
    <n v="1.85"/>
    <n v="10"/>
    <n v="53"/>
    <s v="805981 - RFN - INSS 50K 11   "/>
    <s v="1,44"/>
    <n v="3"/>
    <n v="3"/>
    <n v="50000"/>
    <n v="202605"/>
    <s v="NW"/>
    <s v="1"/>
    <n v="1.44E-2"/>
    <n v="1.8500000000000003E-2"/>
    <b v="0"/>
    <s v="2026053"/>
    <n v="0"/>
  </r>
  <r>
    <x v="46"/>
    <s v="1INST CARIACICA"/>
    <n v="1"/>
    <s v="983024 - Tabela 1"/>
    <n v="2.5000000000000001E-2"/>
    <n v="120"/>
    <s v=""/>
    <n v="2.5"/>
    <n v="10"/>
    <m/>
    <s v="983024 - RFN - INST PREV CARIACICA  1 "/>
    <s v="1,42"/>
    <n v="5"/>
    <n v="2"/>
    <n v="500"/>
    <n v="202605"/>
    <s v="NW"/>
    <s v="1"/>
    <n v="1.4199999999999999E-2"/>
    <n v="2.5000000000000001E-2"/>
    <b v="1"/>
    <s v="2026055"/>
    <n v="2"/>
  </r>
  <r>
    <x v="46"/>
    <s v="2INST CARIACICA"/>
    <n v="2"/>
    <s v="983058 - Tabela 2"/>
    <n v="2.3E-2"/>
    <n v="120"/>
    <s v=""/>
    <n v="2.5"/>
    <n v="10"/>
    <m/>
    <s v="983058 - RFN - INST PREV CARIACICA  2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3INST CARIACICA"/>
    <n v="3"/>
    <s v="983059 - Tabela 3"/>
    <n v="2.1499999999999998E-2"/>
    <n v="120"/>
    <s v=""/>
    <n v="2.5"/>
    <n v="10"/>
    <m/>
    <s v="983059 - RFN - INST PREV CARIACICA  3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4INST CARIACICA"/>
    <n v="4"/>
    <s v="983060 - Tabela 4"/>
    <n v="0.02"/>
    <n v="120"/>
    <s v=""/>
    <n v="2.5"/>
    <n v="10"/>
    <m/>
    <s v="983060 - RFN - INST PREV CARIACICA  4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5INST CARIACICA"/>
    <n v="5"/>
    <s v="983061 - Tabela 5"/>
    <n v="1.95E-2"/>
    <n v="120"/>
    <s v=""/>
    <n v="2.5"/>
    <n v="10"/>
    <m/>
    <s v="983061 - RFN - INST PREV CARIACICA  5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6INST CARIACICA"/>
    <n v="6"/>
    <s v="983062 - Tabela 6"/>
    <n v="1.8700000000000001E-2"/>
    <n v="120"/>
    <s v=""/>
    <n v="2.5"/>
    <n v="10"/>
    <m/>
    <s v="983062 - RFN - INST PREV CARIACICA  6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7INST CARIACICA"/>
    <n v="7"/>
    <s v="983063 - Tabela 7"/>
    <n v="1.8200000000000001E-2"/>
    <n v="120"/>
    <s v=""/>
    <n v="2.5"/>
    <n v="10"/>
    <m/>
    <s v="983063 - RFN - INST PREV CARIACICA  7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8INST CARIACICA"/>
    <n v="8"/>
    <s v="983064 - Tabela 8"/>
    <n v="1.77E-2"/>
    <n v="120"/>
    <s v=""/>
    <n v="2.5"/>
    <n v="10"/>
    <m/>
    <s v="983064 - RFN - INST PREV CARIACICA  8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9INST CARIACICA"/>
    <n v="9"/>
    <s v="983065 - Tabela 9"/>
    <n v="1.72E-2"/>
    <n v="120"/>
    <s v=""/>
    <n v="2.5"/>
    <n v="10"/>
    <m/>
    <s v="983065 - RFN - INST PREV CARIACICA  9 "/>
    <s v="1,42"/>
    <n v="5"/>
    <n v="2"/>
    <n v="500"/>
    <n v="202605"/>
    <s v="NW"/>
    <s v="1"/>
    <n v="1.4199999999999999E-2"/>
    <n v="2.5000000000000001E-2"/>
    <b v="0"/>
    <s v="2026055"/>
    <n v="2"/>
  </r>
  <r>
    <x v="46"/>
    <s v="10INST CARIACICA"/>
    <n v="10"/>
    <s v="983066 - Tabela 10"/>
    <n v="1.67E-2"/>
    <n v="120"/>
    <s v=""/>
    <n v="2.5"/>
    <n v="10"/>
    <m/>
    <s v="983066 - RFN - INST PREV CARIACICA  10 "/>
    <s v="1,42"/>
    <n v="5"/>
    <n v="2"/>
    <n v="500"/>
    <n v="202605"/>
    <s v="NW"/>
    <s v="1"/>
    <n v="1.4199999999999999E-2"/>
    <n v="2.5000000000000001E-2"/>
    <b v="0"/>
    <s v="2026055"/>
    <n v="2"/>
  </r>
  <r>
    <x v="47"/>
    <s v="1INST PREV CAC"/>
    <n v="1"/>
    <s v="755951 - Tabela 1"/>
    <n v="2.5000000000000001E-2"/>
    <n v="120"/>
    <s v=""/>
    <n v="2.5"/>
    <n v="6"/>
    <m/>
    <s v="755951 - RFN - PREVICACERES 1 "/>
    <s v="1,3"/>
    <n v="14"/>
    <n v="2"/>
    <n v="500"/>
    <n v="202605"/>
    <s v="LG"/>
    <s v="0"/>
    <n v="1.3000000000000001E-2"/>
    <n v="2.5000000000000001E-2"/>
    <b v="1"/>
    <s v="20260514"/>
    <n v="9"/>
  </r>
  <r>
    <x v="47"/>
    <s v="2INST PREV CAC"/>
    <n v="2"/>
    <s v="755952 - Tabela 2"/>
    <n v="2.2499999999999999E-2"/>
    <n v="120"/>
    <s v=""/>
    <n v="2.5"/>
    <n v="6"/>
    <m/>
    <s v="755952 - RFN - PREVICACERES 2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3INST PREV CAC"/>
    <n v="3"/>
    <s v="755953 - Tabela 3"/>
    <n v="0.02"/>
    <n v="120"/>
    <s v=""/>
    <n v="2.5"/>
    <n v="6"/>
    <m/>
    <s v="755953 - RFN - PREVICACERES 3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4INST PREV CAC"/>
    <n v="4"/>
    <s v="755954 - Tabela 4"/>
    <n v="1.8000000000000002E-2"/>
    <n v="120"/>
    <s v=""/>
    <n v="2.5"/>
    <n v="6"/>
    <m/>
    <s v="755954 - RFN - PREVICACERES 4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5INST PREV CAC"/>
    <n v="5"/>
    <s v="755955 - Tabela 5"/>
    <n v="1.7600000000000001E-2"/>
    <n v="120"/>
    <s v=""/>
    <n v="2.5"/>
    <n v="6"/>
    <m/>
    <s v="755955 - RFN - PREVICACERES 5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6INST PREV CAC"/>
    <n v="6"/>
    <s v="755956 - Tabela 6"/>
    <n v="1.7399999999999999E-2"/>
    <n v="120"/>
    <s v=""/>
    <n v="2.5"/>
    <n v="6"/>
    <m/>
    <s v="755956 - RFN - PREVICACERES 6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7INST PREV CAC"/>
    <n v="7"/>
    <s v="755957 - Tabela 7"/>
    <n v="1.72E-2"/>
    <n v="120"/>
    <s v=""/>
    <n v="2.5"/>
    <n v="6"/>
    <m/>
    <s v="755957 - RFN - PREVICACERES 7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8INST PREV CAC"/>
    <n v="8"/>
    <s v="755958 - Tabela 8"/>
    <n v="1.7000000000000001E-2"/>
    <n v="120"/>
    <s v=""/>
    <n v="2.5"/>
    <n v="6"/>
    <m/>
    <s v="755958 - RFN - PREVICACERES 8 "/>
    <s v="1,3"/>
    <n v="14"/>
    <n v="2"/>
    <n v="500"/>
    <n v="202605"/>
    <s v="LG"/>
    <s v="0"/>
    <n v="1.3000000000000001E-2"/>
    <n v="2.5000000000000001E-2"/>
    <b v="0"/>
    <s v="20260514"/>
    <n v="9"/>
  </r>
  <r>
    <x v="47"/>
    <s v="9INST PREV CAC"/>
    <n v="9"/>
    <s v="755959 - Tabela 9"/>
    <n v="1.6799999999999999E-2"/>
    <n v="120"/>
    <s v=""/>
    <n v="2.5"/>
    <n v="6"/>
    <m/>
    <s v="755959 - RFN - PREVICACERES 9 "/>
    <s v="1,3"/>
    <n v="14"/>
    <n v="2"/>
    <n v="500"/>
    <n v="202605"/>
    <s v="LG"/>
    <s v="0"/>
    <n v="1.3000000000000001E-2"/>
    <n v="2.5000000000000001E-2"/>
    <b v="0"/>
    <s v="20260514"/>
    <n v="9"/>
  </r>
  <r>
    <x v="48"/>
    <s v="1INST PREV JUNDI"/>
    <n v="1"/>
    <s v="105152 - Tabela 1"/>
    <n v="2.5000000000000001E-2"/>
    <n v="96"/>
    <s v=""/>
    <n v="2.5"/>
    <n v="9"/>
    <m/>
    <s v="105152 - RFN - IPREJUN 1 APOS/PENS "/>
    <s v="1,65"/>
    <n v="8"/>
    <n v="2"/>
    <n v="500"/>
    <n v="202605"/>
    <s v="LG"/>
    <s v="1"/>
    <n v="1.6500000000000001E-2"/>
    <n v="2.5000000000000001E-2"/>
    <b v="1"/>
    <s v="2026058"/>
    <n v="5"/>
  </r>
  <r>
    <x v="48"/>
    <s v="2INST PREV JUNDI"/>
    <n v="2"/>
    <s v="105154 - Tabela 2"/>
    <n v="2.1499999999999998E-2"/>
    <n v="96"/>
    <s v=""/>
    <n v="2.5"/>
    <n v="9"/>
    <m/>
    <s v="105154 - RFN - IPREJUN 2 APOS/PENS "/>
    <s v="1,65"/>
    <n v="8"/>
    <n v="2"/>
    <n v="500"/>
    <n v="202605"/>
    <s v="LG"/>
    <s v="1"/>
    <n v="1.6500000000000001E-2"/>
    <n v="2.5000000000000001E-2"/>
    <b v="0"/>
    <s v="2026058"/>
    <n v="5"/>
  </r>
  <r>
    <x v="48"/>
    <s v="3INST PREV JUNDI"/>
    <n v="3"/>
    <s v="105156 - Tabela 3"/>
    <n v="2.0499999999999997E-2"/>
    <n v="96"/>
    <s v=""/>
    <n v="2.5"/>
    <n v="9"/>
    <n v="28"/>
    <s v="105156 - RFN - IPREJUN 3 APOS/PENS "/>
    <s v="1,65"/>
    <n v="8"/>
    <n v="2"/>
    <n v="500"/>
    <n v="202605"/>
    <s v="LG"/>
    <s v="1"/>
    <n v="1.6500000000000001E-2"/>
    <n v="2.5000000000000001E-2"/>
    <b v="0"/>
    <s v="2026058"/>
    <n v="5"/>
  </r>
  <r>
    <x v="48"/>
    <s v="4INST PREV JUNDI"/>
    <n v="4"/>
    <s v="105158 - Tabela 4"/>
    <n v="1.95E-2"/>
    <n v="96"/>
    <s v=""/>
    <n v="2.5"/>
    <n v="9"/>
    <m/>
    <s v="105158 - RFN - IPREJUN 4 APOS/PENS "/>
    <s v="1,65"/>
    <n v="8"/>
    <n v="2"/>
    <n v="500"/>
    <n v="202605"/>
    <s v="LG"/>
    <s v="1"/>
    <n v="1.6500000000000001E-2"/>
    <n v="2.5000000000000001E-2"/>
    <b v="0"/>
    <s v="2026058"/>
    <n v="5"/>
  </r>
  <r>
    <x v="49"/>
    <s v="1INST PREV JUNDI EST"/>
    <n v="1"/>
    <s v="105151 - Tabela 1"/>
    <n v="2.5000000000000001E-2"/>
    <n v="96"/>
    <s v=""/>
    <n v="2.5"/>
    <n v="9"/>
    <m/>
    <s v="105151 - RFN - IPREJUN 1 EST "/>
    <s v="1,65"/>
    <n v="8"/>
    <n v="2"/>
    <n v="500"/>
    <n v="202605"/>
    <s v="LG"/>
    <s v="1"/>
    <n v="1.6500000000000001E-2"/>
    <n v="2.5000000000000001E-2"/>
    <b v="1"/>
    <s v="2026058"/>
    <n v="5"/>
  </r>
  <r>
    <x v="49"/>
    <s v="2INST PREV JUNDI EST"/>
    <n v="2"/>
    <s v="105153 - Tabela 2"/>
    <n v="2.1499999999999998E-2"/>
    <n v="96"/>
    <s v=""/>
    <n v="2.5"/>
    <n v="9"/>
    <m/>
    <s v="105153 - RFN - IPREJUN 2 EST "/>
    <s v="1,65"/>
    <n v="8"/>
    <n v="2"/>
    <n v="500"/>
    <n v="202605"/>
    <s v="LG"/>
    <s v="1"/>
    <n v="1.6500000000000001E-2"/>
    <n v="2.5000000000000001E-2"/>
    <b v="0"/>
    <s v="2026058"/>
    <n v="5"/>
  </r>
  <r>
    <x v="49"/>
    <s v="3INST PREV JUNDI EST"/>
    <n v="3"/>
    <s v="105155 - Tabela 3"/>
    <n v="2.0499999999999997E-2"/>
    <n v="96"/>
    <s v=""/>
    <n v="2.5"/>
    <n v="9"/>
    <m/>
    <s v="105155 - RFN - IPREJUN 3 EST "/>
    <s v="1,65"/>
    <n v="8"/>
    <n v="2"/>
    <n v="500"/>
    <n v="202605"/>
    <s v="LG"/>
    <s v="1"/>
    <n v="1.6500000000000001E-2"/>
    <n v="2.5000000000000001E-2"/>
    <b v="0"/>
    <s v="2026058"/>
    <n v="5"/>
  </r>
  <r>
    <x v="49"/>
    <s v="4INST PREV JUNDI EST"/>
    <n v="4"/>
    <s v="105157 - Tabela 4"/>
    <n v="1.95E-2"/>
    <n v="96"/>
    <s v=""/>
    <n v="2.5"/>
    <n v="9"/>
    <m/>
    <s v="105157 - RFN - IPREJUN 4 EST "/>
    <s v="1,65"/>
    <n v="8"/>
    <n v="2"/>
    <n v="500"/>
    <n v="202605"/>
    <s v="LG"/>
    <s v="1"/>
    <n v="1.6500000000000001E-2"/>
    <n v="2.5000000000000001E-2"/>
    <b v="0"/>
    <s v="2026058"/>
    <n v="5"/>
  </r>
  <r>
    <x v="50"/>
    <s v="1INST PREV SJC"/>
    <n v="1"/>
    <s v="985023 - Tabela 1"/>
    <n v="2.5000000000000001E-2"/>
    <n v="96"/>
    <s v=""/>
    <n v="2.5"/>
    <n v="7"/>
    <m/>
    <s v="985023 - RFN - INST PREV SJC APO/PEN 1 "/>
    <s v="1,35"/>
    <n v="13"/>
    <n v="2"/>
    <n v="500"/>
    <n v="202605"/>
    <s v="NW"/>
    <s v="0"/>
    <n v="1.3500000000000002E-2"/>
    <n v="2.5000000000000001E-2"/>
    <b v="1"/>
    <s v="20260513"/>
    <n v="8"/>
  </r>
  <r>
    <x v="50"/>
    <s v="2INST PREV SJC"/>
    <n v="2"/>
    <s v="985030 - Tabela 1"/>
    <n v="2.5000000000000001E-2"/>
    <n v="96"/>
    <s v=""/>
    <n v="2.5"/>
    <n v="7"/>
    <m/>
    <s v="985030 - RFN - INST PREV. SJC 1 "/>
    <s v="1,35"/>
    <n v="13"/>
    <n v="2"/>
    <n v="500"/>
    <n v="202605"/>
    <s v="NW"/>
    <s v="0"/>
    <n v="1.3500000000000002E-2"/>
    <n v="2.5000000000000001E-2"/>
    <b v="1"/>
    <s v="20260513"/>
    <n v="8"/>
  </r>
  <r>
    <x v="50"/>
    <s v="3INST PREV SJC"/>
    <n v="3"/>
    <s v="985024 - Tabela 2"/>
    <n v="2.3900000000000001E-2"/>
    <n v="96"/>
    <s v=""/>
    <n v="2.5"/>
    <n v="7"/>
    <m/>
    <s v="985024 - RFN - INST PREV SJC APO/PEN 2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4INST PREV SJC"/>
    <n v="4"/>
    <s v="985031 - Tabela 2"/>
    <n v="2.3900000000000001E-2"/>
    <n v="96"/>
    <s v=""/>
    <n v="2.5"/>
    <n v="7"/>
    <m/>
    <s v="985031 - RFN - INST PREV. SJC 2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5INST PREV SJC"/>
    <n v="5"/>
    <s v="985025 - Tabela 3"/>
    <n v="2.29E-2"/>
    <n v="96"/>
    <s v=""/>
    <n v="2.5"/>
    <n v="7"/>
    <m/>
    <s v="985025 - RFN - INST PREV SJC APO/PEN 3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6INST PREV SJC"/>
    <n v="6"/>
    <s v="985032 - Tabela 3"/>
    <n v="2.29E-2"/>
    <n v="96"/>
    <s v=""/>
    <n v="2.5"/>
    <n v="7"/>
    <m/>
    <s v="985032 - RFN - INST PREV. SJC 3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7INST PREV SJC"/>
    <n v="7"/>
    <s v="985026 - Tabela 4"/>
    <n v="2.1899999999999999E-2"/>
    <n v="96"/>
    <s v=""/>
    <n v="2.5"/>
    <n v="7"/>
    <m/>
    <s v="985026 - RFN - INST PREV SJC APO/PEN 4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8INST PREV SJC"/>
    <n v="8"/>
    <s v="985033 - Tabela 4"/>
    <n v="2.1899999999999999E-2"/>
    <n v="96"/>
    <s v=""/>
    <n v="2.5"/>
    <n v="7"/>
    <m/>
    <s v="985033 - RFN - INST PREV. SJC 4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9INST PREV SJC"/>
    <n v="9"/>
    <s v="985027 - Tabela 5"/>
    <n v="2.0899999999999998E-2"/>
    <n v="96"/>
    <s v=""/>
    <n v="2.5"/>
    <n v="7"/>
    <m/>
    <s v="985027 - RFN - INST PREV SJC APO/PEN 5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10INST PREV SJC"/>
    <n v="10"/>
    <s v="985034 - Tabela 5"/>
    <n v="2.0899999999999998E-2"/>
    <n v="96"/>
    <s v=""/>
    <n v="2.5"/>
    <n v="7"/>
    <m/>
    <s v="985034 - RFN - INST PREV. SJC 5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11INST PREV SJC"/>
    <n v="11"/>
    <s v="985028 - Tabela 6"/>
    <n v="1.9900000000000001E-2"/>
    <n v="96"/>
    <s v=""/>
    <n v="2.5"/>
    <n v="7"/>
    <m/>
    <s v="985028 - RFN - INST PREV SJC APO/PEN 6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12INST PREV SJC"/>
    <n v="12"/>
    <s v="985035 - Tabela 6"/>
    <n v="1.9900000000000001E-2"/>
    <n v="96"/>
    <s v=""/>
    <n v="2.5"/>
    <n v="7"/>
    <m/>
    <s v="985035 - RFN - INST PREV. SJC 6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13INST PREV SJC"/>
    <n v="13"/>
    <s v="985029 - Tabela 7"/>
    <n v="1.9599999999999999E-2"/>
    <n v="96"/>
    <s v=""/>
    <n v="2.5"/>
    <n v="7"/>
    <m/>
    <s v="985029 - RFN - INST PREV SJC APO/PEN 7 "/>
    <s v="1,35"/>
    <n v="13"/>
    <n v="2"/>
    <n v="500"/>
    <n v="202605"/>
    <s v="NW"/>
    <s v="0"/>
    <n v="1.3500000000000002E-2"/>
    <n v="2.5000000000000001E-2"/>
    <b v="0"/>
    <s v="20260513"/>
    <n v="8"/>
  </r>
  <r>
    <x v="50"/>
    <s v="14INST PREV SJC"/>
    <n v="14"/>
    <s v="985036 - Tabela 7"/>
    <n v="1.9599999999999999E-2"/>
    <n v="96"/>
    <s v=""/>
    <n v="2.5"/>
    <n v="7"/>
    <m/>
    <s v="985036 - RFN - INST PREV. SJC 7 "/>
    <s v="1,35"/>
    <n v="13"/>
    <n v="2"/>
    <n v="500"/>
    <n v="202605"/>
    <s v="NW"/>
    <s v="0"/>
    <n v="1.3500000000000002E-2"/>
    <n v="2.5000000000000001E-2"/>
    <b v="0"/>
    <s v="20260513"/>
    <n v="8"/>
  </r>
  <r>
    <x v="51"/>
    <s v="1INST PREVMOC"/>
    <n v="1"/>
    <s v="795191 - Tabela 1"/>
    <n v="1.9900000000000001E-2"/>
    <n v="96"/>
    <s v=""/>
    <n v="1.99"/>
    <n v="17"/>
    <m/>
    <s v="795191 - RFN - PREVMOC 1 "/>
    <s v="1,6"/>
    <n v="10"/>
    <n v="2"/>
    <n v="500"/>
    <n v="202605"/>
    <s v="LG"/>
    <s v="1"/>
    <n v="1.6E-2"/>
    <n v="1.9900000000000001E-2"/>
    <b v="1"/>
    <s v="20260510"/>
    <n v="5"/>
  </r>
  <r>
    <x v="52"/>
    <s v="1INST RIB PRETO"/>
    <n v="1"/>
    <s v="785901 - Tabela 1"/>
    <n v="2.5000000000000001E-2"/>
    <n v="120"/>
    <s v=""/>
    <n v="2.5"/>
    <n v="20"/>
    <n v="50"/>
    <s v="785901 - RFN - IPM - RIBEIRAO PRETO  1 "/>
    <s v="1,4"/>
    <n v="15"/>
    <n v="2"/>
    <n v="500"/>
    <n v="202605"/>
    <s v="LG"/>
    <s v="1"/>
    <n v="1.3999999999999999E-2"/>
    <n v="2.5000000000000001E-2"/>
    <b v="1"/>
    <s v="20260515"/>
    <n v="10"/>
  </r>
  <r>
    <x v="52"/>
    <s v="2INST RIB PRETO"/>
    <n v="2"/>
    <s v="785902 - Tabela 2"/>
    <n v="2.3E-2"/>
    <n v="120"/>
    <s v=""/>
    <n v="2.5"/>
    <n v="20"/>
    <n v="50"/>
    <s v="785902 - RFN - IPM - RIBEIRAO PRETO  2 "/>
    <s v="1,4"/>
    <n v="15"/>
    <n v="2"/>
    <n v="500"/>
    <n v="202605"/>
    <s v="LG"/>
    <s v="1"/>
    <n v="1.3999999999999999E-2"/>
    <n v="2.5000000000000001E-2"/>
    <b v="0"/>
    <s v="20260515"/>
    <n v="10"/>
  </r>
  <r>
    <x v="52"/>
    <s v="3INST RIB PRETO"/>
    <n v="3"/>
    <s v="785903 - Tabela 3"/>
    <n v="2.1499999999999998E-2"/>
    <n v="120"/>
    <s v=""/>
    <n v="2.5"/>
    <n v="20"/>
    <n v="50"/>
    <s v="785903 - RFN - IPM - RIBEIRAO PRETO  3 "/>
    <s v="1,4"/>
    <n v="15"/>
    <n v="2"/>
    <n v="500"/>
    <n v="202605"/>
    <s v="LG"/>
    <s v="1"/>
    <n v="1.3999999999999999E-2"/>
    <n v="2.5000000000000001E-2"/>
    <b v="0"/>
    <s v="20260515"/>
    <n v="10"/>
  </r>
  <r>
    <x v="52"/>
    <s v="4INST RIB PRETO"/>
    <n v="4"/>
    <s v="785904 - Tabela 4"/>
    <n v="1.95E-2"/>
    <n v="120"/>
    <s v=""/>
    <n v="2.5"/>
    <n v="20"/>
    <n v="50"/>
    <s v="785904 - RFN - IPM - RIBEIRAO PRETO  4 "/>
    <s v="1,4"/>
    <n v="15"/>
    <n v="2"/>
    <n v="500"/>
    <n v="202605"/>
    <s v="LG"/>
    <s v="1"/>
    <n v="1.3999999999999999E-2"/>
    <n v="2.5000000000000001E-2"/>
    <b v="0"/>
    <s v="20260515"/>
    <n v="10"/>
  </r>
  <r>
    <x v="52"/>
    <s v="5INST RIB PRETO"/>
    <n v="5"/>
    <s v="785905 - Tabela 5"/>
    <n v="1.7000000000000001E-2"/>
    <n v="120"/>
    <s v=""/>
    <n v="2.5"/>
    <n v="20"/>
    <n v="50"/>
    <s v="785905 - RFN - IPM - RIBEIRAO PRETO  5 "/>
    <s v="1,4"/>
    <n v="15"/>
    <n v="2"/>
    <n v="500"/>
    <n v="202605"/>
    <s v="LG"/>
    <s v="1"/>
    <n v="1.3999999999999999E-2"/>
    <n v="2.5000000000000001E-2"/>
    <b v="0"/>
    <s v="20260515"/>
    <n v="10"/>
  </r>
  <r>
    <x v="53"/>
    <s v="1IPAG GRAVATAI"/>
    <n v="1"/>
    <s v="715131 - Tabela 1"/>
    <n v="2.5000000000000001E-2"/>
    <n v="120"/>
    <s v=""/>
    <n v="2.5"/>
    <n v="20"/>
    <n v="37"/>
    <s v="715131 - RFN - IPAG GRAVATAI  1  "/>
    <s v="1,42"/>
    <n v="15"/>
    <n v="2"/>
    <n v="500"/>
    <n v="202605"/>
    <s v="LG"/>
    <s v="1"/>
    <n v="1.4199999999999999E-2"/>
    <n v="2.5000000000000001E-2"/>
    <b v="1"/>
    <s v="20260515"/>
    <n v="10"/>
  </r>
  <r>
    <x v="53"/>
    <s v="2IPAG GRAVATAI"/>
    <n v="2"/>
    <s v="715132 - Tabela 2"/>
    <n v="2.1000000000000001E-2"/>
    <n v="120"/>
    <s v=""/>
    <n v="2.5"/>
    <n v="20"/>
    <n v="50"/>
    <s v="715132 - RFN - IPAG GRAVATAI  2  "/>
    <s v="1,42"/>
    <n v="15"/>
    <n v="2"/>
    <n v="500"/>
    <n v="202605"/>
    <s v="LG"/>
    <s v="1"/>
    <n v="1.4199999999999999E-2"/>
    <n v="2.5000000000000001E-2"/>
    <b v="0"/>
    <s v="20260515"/>
    <n v="10"/>
  </r>
  <r>
    <x v="53"/>
    <s v="3IPAG GRAVATAI"/>
    <n v="3"/>
    <s v="715133 - Tabela 3"/>
    <n v="2.0499999999999997E-2"/>
    <n v="120"/>
    <s v=""/>
    <n v="2.5"/>
    <n v="20"/>
    <n v="53"/>
    <s v="715133 - RFN - IPAG GRAVATAI  3  "/>
    <s v="1,42"/>
    <n v="15"/>
    <n v="2"/>
    <n v="500"/>
    <n v="202605"/>
    <s v="LG"/>
    <s v="1"/>
    <n v="1.4199999999999999E-2"/>
    <n v="2.5000000000000001E-2"/>
    <b v="0"/>
    <s v="20260515"/>
    <n v="10"/>
  </r>
  <r>
    <x v="53"/>
    <s v="4IPAG GRAVATAI"/>
    <n v="4"/>
    <s v="715134 - Tabela 4"/>
    <n v="1.95E-2"/>
    <n v="120"/>
    <s v=""/>
    <n v="2.5"/>
    <n v="20"/>
    <n v="57"/>
    <s v="715134 - RFN - IPAG GRAVATAI  4  "/>
    <s v="1,42"/>
    <n v="15"/>
    <n v="2"/>
    <n v="500"/>
    <n v="202605"/>
    <s v="LG"/>
    <s v="1"/>
    <n v="1.4199999999999999E-2"/>
    <n v="2.5000000000000001E-2"/>
    <b v="0"/>
    <s v="20260515"/>
    <n v="10"/>
  </r>
  <r>
    <x v="53"/>
    <s v="5IPAG GRAVATAI"/>
    <n v="5"/>
    <s v="715135 - Tabela 5"/>
    <n v="1.89E-2"/>
    <n v="120"/>
    <s v=""/>
    <n v="2.5"/>
    <n v="20"/>
    <n v="58"/>
    <s v="715135 - RFN - IPAG GRAVATAI  5  "/>
    <s v="1,42"/>
    <n v="15"/>
    <n v="2"/>
    <n v="500"/>
    <n v="202605"/>
    <s v="LG"/>
    <s v="1"/>
    <n v="1.4199999999999999E-2"/>
    <n v="2.5000000000000001E-2"/>
    <b v="0"/>
    <s v="20260515"/>
    <n v="10"/>
  </r>
  <r>
    <x v="54"/>
    <s v="1IPAM P VELHO RO"/>
    <n v="1"/>
    <s v="735091 - Tabela 1"/>
    <n v="2.5000000000000001E-2"/>
    <n v="96"/>
    <s v=""/>
    <n v="2.5"/>
    <n v="15"/>
    <n v="69"/>
    <s v="735091 - RFN - IPAM  1 ILIDADE"/>
    <s v="1,45"/>
    <n v="3"/>
    <n v="2"/>
    <n v="500"/>
    <n v="202605"/>
    <s v="NW"/>
    <s v="1"/>
    <n v="1.4499999999999999E-2"/>
    <n v="2.5000000000000001E-2"/>
    <b v="1"/>
    <s v="2026053"/>
    <n v="0"/>
  </r>
  <r>
    <x v="54"/>
    <s v="2IPAM P VELHO RO"/>
    <n v="2"/>
    <s v="735092 - Tabela 2"/>
    <n v="2.2499999999999999E-2"/>
    <n v="96"/>
    <s v=""/>
    <n v="2.5"/>
    <n v="15"/>
    <m/>
    <s v="735092 - RFN - IPAM  2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3IPAM P VELHO RO"/>
    <n v="3"/>
    <s v="735093 - Tabela 3"/>
    <n v="2.2000000000000002E-2"/>
    <n v="96"/>
    <s v=""/>
    <n v="2.5"/>
    <n v="15"/>
    <m/>
    <s v="735093 - RFN - IPAM  3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4IPAM P VELHO RO"/>
    <n v="4"/>
    <s v="735094 - Tabela 4"/>
    <n v="2.1000000000000001E-2"/>
    <n v="96"/>
    <s v=""/>
    <n v="2.5"/>
    <n v="15"/>
    <m/>
    <s v="735094 - RFN - IPAM  4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5IPAM P VELHO RO"/>
    <n v="5"/>
    <s v="735097 - Tabela 5"/>
    <n v="2.0499999999999997E-2"/>
    <n v="96"/>
    <s v=""/>
    <n v="2.5"/>
    <n v="15"/>
    <m/>
    <s v="735097 - RFN - IPAM  5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6IPAM P VELHO RO"/>
    <n v="6"/>
    <s v="735098 - Tabela 6"/>
    <n v="0.02"/>
    <n v="96"/>
    <s v=""/>
    <n v="2.5"/>
    <n v="15"/>
    <m/>
    <s v="735098 - RFN - IPAM  6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7IPAM P VELHO RO"/>
    <n v="7"/>
    <s v="735099 - Tabela 7"/>
    <n v="1.9E-2"/>
    <n v="96"/>
    <s v=""/>
    <n v="2.5"/>
    <n v="15"/>
    <m/>
    <s v="735099 - RFN - IPAM  7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8IPAM P VELHO RO"/>
    <n v="8"/>
    <s v="735100 - Tabela 8"/>
    <n v="1.8000000000000002E-2"/>
    <n v="96"/>
    <s v=""/>
    <n v="2.5"/>
    <n v="15"/>
    <m/>
    <s v="735100 - RFN - IPAM  8 ILIDADE"/>
    <s v="1,45"/>
    <n v="3"/>
    <n v="2"/>
    <n v="500"/>
    <n v="202605"/>
    <s v="NW"/>
    <s v="1"/>
    <n v="1.4499999999999999E-2"/>
    <n v="2.5000000000000001E-2"/>
    <b v="0"/>
    <s v="2026053"/>
    <n v="0"/>
  </r>
  <r>
    <x v="54"/>
    <s v="9IPAM P VELHO RO"/>
    <n v="9"/>
    <s v="735110 - Tabela 9"/>
    <n v="1.7000000000000001E-2"/>
    <n v="96"/>
    <s v=""/>
    <n v="2.5"/>
    <n v="15"/>
    <m/>
    <s v="735110 - RFN - IPAM  9 ILIDADE"/>
    <s v="1,45"/>
    <n v="3"/>
    <n v="2"/>
    <n v="500"/>
    <n v="202605"/>
    <s v="NW"/>
    <s v="1"/>
    <n v="1.4499999999999999E-2"/>
    <n v="2.5000000000000001E-2"/>
    <b v="0"/>
    <s v="2026053"/>
    <n v="0"/>
  </r>
  <r>
    <x v="55"/>
    <s v="1IPAMV ES"/>
    <n v="1"/>
    <s v="775171 - Tabela 1"/>
    <n v="2.1400000000000002E-2"/>
    <n v="96"/>
    <s v=""/>
    <n v="2.14"/>
    <n v="10"/>
    <m/>
    <s v="775171 - RFN - IPAMV  1 ILIDADE"/>
    <s v="1,37"/>
    <n v="18"/>
    <n v="2"/>
    <n v="500"/>
    <n v="202605"/>
    <s v="LG"/>
    <s v="0"/>
    <n v="1.37E-2"/>
    <n v="2.1400000000000002E-2"/>
    <b v="1"/>
    <s v="20260518"/>
    <n v="11"/>
  </r>
  <r>
    <x v="55"/>
    <s v="2IPAMV ES"/>
    <n v="2"/>
    <s v="775172 - Tabela 2"/>
    <n v="0.02"/>
    <n v="96"/>
    <s v=""/>
    <n v="2.14"/>
    <n v="10"/>
    <m/>
    <s v="775172 - RFN - IPAMV  2 ILIDADE"/>
    <s v="1,37"/>
    <n v="18"/>
    <n v="2"/>
    <n v="500"/>
    <n v="202605"/>
    <s v="LG"/>
    <s v="0"/>
    <n v="1.37E-2"/>
    <n v="2.1400000000000002E-2"/>
    <b v="0"/>
    <s v="20260518"/>
    <n v="11"/>
  </r>
  <r>
    <x v="55"/>
    <s v="3IPAMV ES"/>
    <n v="3"/>
    <s v="775173 - Tabela 3"/>
    <n v="1.9400000000000001E-2"/>
    <n v="96"/>
    <s v=""/>
    <n v="2.14"/>
    <n v="10"/>
    <n v="34"/>
    <s v="775173 - RFN - IPAMV  3 ILIDADE"/>
    <s v="1,37"/>
    <n v="18"/>
    <n v="2"/>
    <n v="500"/>
    <n v="202605"/>
    <s v="LG"/>
    <s v="0"/>
    <n v="1.37E-2"/>
    <n v="2.1400000000000002E-2"/>
    <b v="0"/>
    <s v="20260518"/>
    <n v="11"/>
  </r>
  <r>
    <x v="56"/>
    <s v="1IPAMV ES - ESPECIAL"/>
    <n v="1"/>
    <s v="775175 - Tabela 1"/>
    <n v="1.72E-2"/>
    <n v="96"/>
    <s v=""/>
    <n v="2.14"/>
    <n v="10"/>
    <n v="32"/>
    <s v="775175 - RFN - IPAMV  1 ILIDADE ESP"/>
    <s v="1,37"/>
    <n v="18"/>
    <n v="2"/>
    <n v="500"/>
    <n v="202605"/>
    <s v="LG"/>
    <s v="0"/>
    <n v="1.37E-2"/>
    <n v="2.1400000000000002E-2"/>
    <b v="0"/>
    <s v="20260518"/>
    <n v="11"/>
  </r>
  <r>
    <x v="57"/>
    <s v="1IPASP - AOL"/>
    <n v="1"/>
    <s v="776521 - Tabela 1"/>
    <n v="2.4E-2"/>
    <n v="96"/>
    <s v=""/>
    <n v="2.4"/>
    <n v="10"/>
    <n v="37"/>
    <s v="776521 - RFN - IPASP PIRACICABA 1 "/>
    <s v="2,15"/>
    <n v="18"/>
    <n v="2"/>
    <n v="500"/>
    <n v="202605"/>
    <s v="LG"/>
    <s v="0"/>
    <n v="2.1499999999999998E-2"/>
    <n v="2.4E-2"/>
    <b v="1"/>
    <s v="20260518"/>
    <n v="11"/>
  </r>
  <r>
    <x v="58"/>
    <s v="1IPM MARACANAÚ"/>
    <n v="1"/>
    <s v="885701 - Tabela 1"/>
    <n v="2.5000000000000001E-2"/>
    <n v="96"/>
    <s v=""/>
    <n v="2.5"/>
    <n v="17"/>
    <n v="50"/>
    <s v="885701 - RFN - IPM MARACANAÚ 1 "/>
    <s v="1,4"/>
    <n v="15"/>
    <n v="2"/>
    <n v="500"/>
    <n v="202605"/>
    <s v="LG"/>
    <s v="1"/>
    <n v="1.3999999999999999E-2"/>
    <n v="2.5000000000000001E-2"/>
    <b v="1"/>
    <s v="20260515"/>
    <n v="10"/>
  </r>
  <r>
    <x v="58"/>
    <s v="2IPM MARACANAÚ"/>
    <n v="2"/>
    <s v="885702 - Tabela 2"/>
    <n v="2.4E-2"/>
    <n v="96"/>
    <s v=""/>
    <n v="2.5"/>
    <n v="17"/>
    <n v="50"/>
    <s v="885702 - RFN - IPM MARACANAÚ 2 "/>
    <s v="1,4"/>
    <n v="15"/>
    <n v="2"/>
    <n v="500"/>
    <n v="202605"/>
    <s v="LG"/>
    <s v="1"/>
    <n v="1.3999999999999999E-2"/>
    <n v="2.5000000000000001E-2"/>
    <b v="0"/>
    <s v="20260515"/>
    <n v="10"/>
  </r>
  <r>
    <x v="58"/>
    <s v="3IPM MARACANAÚ"/>
    <n v="3"/>
    <s v="885703 - Tabela 3"/>
    <n v="2.3E-2"/>
    <n v="96"/>
    <s v=""/>
    <n v="2.5"/>
    <n v="17"/>
    <n v="50"/>
    <s v="885703 - RFN - IPM MARACANAÚ 3 "/>
    <s v="1,4"/>
    <n v="15"/>
    <n v="2"/>
    <n v="500"/>
    <n v="202605"/>
    <s v="LG"/>
    <s v="1"/>
    <n v="1.3999999999999999E-2"/>
    <n v="2.5000000000000001E-2"/>
    <b v="0"/>
    <s v="20260515"/>
    <n v="10"/>
  </r>
  <r>
    <x v="58"/>
    <s v="4IPM MARACANAÚ"/>
    <n v="4"/>
    <s v="885704 - Tabela 4"/>
    <n v="2.2499999999999999E-2"/>
    <n v="96"/>
    <s v=""/>
    <n v="2.5"/>
    <n v="17"/>
    <n v="50"/>
    <s v="885704 - RFN - IPM MARACANAÚ 4 "/>
    <s v="1,4"/>
    <n v="15"/>
    <n v="2"/>
    <n v="500"/>
    <n v="202605"/>
    <s v="LG"/>
    <s v="1"/>
    <n v="1.3999999999999999E-2"/>
    <n v="2.5000000000000001E-2"/>
    <b v="0"/>
    <s v="20260515"/>
    <n v="10"/>
  </r>
  <r>
    <x v="59"/>
    <s v="1IPMO"/>
    <n v="1"/>
    <s v="995670 - Tabela 1"/>
    <n v="2.5000000000000001E-2"/>
    <n v="96"/>
    <s v=""/>
    <n v="2.5"/>
    <n v="11"/>
    <m/>
    <s v="995670 - RFN - INST PREV. OSASCO 1 "/>
    <s v="1,45"/>
    <n v="15"/>
    <n v="2"/>
    <n v="500"/>
    <n v="202605"/>
    <s v="NW"/>
    <s v="0"/>
    <n v="1.4499999999999999E-2"/>
    <n v="2.5000000000000001E-2"/>
    <b v="1"/>
    <s v="20260515"/>
    <n v="10"/>
  </r>
  <r>
    <x v="59"/>
    <s v="2IPMO"/>
    <n v="2"/>
    <s v="995772 - Tabela 1"/>
    <n v="2.5000000000000001E-2"/>
    <n v="96"/>
    <s v=""/>
    <n v="2.5"/>
    <n v="11"/>
    <m/>
    <s v="995772 - RFN - INST PREV OSASCO PENS 1 "/>
    <s v="1,45"/>
    <n v="15"/>
    <n v="2"/>
    <n v="500"/>
    <n v="202605"/>
    <s v="NW"/>
    <s v="0"/>
    <n v="1.4499999999999999E-2"/>
    <n v="2.5000000000000001E-2"/>
    <b v="1"/>
    <s v="20260515"/>
    <n v="10"/>
  </r>
  <r>
    <x v="59"/>
    <s v="3IPMO"/>
    <n v="3"/>
    <s v="995671 - Tabela 2"/>
    <n v="2.3900000000000001E-2"/>
    <n v="96"/>
    <s v=""/>
    <n v="2.5"/>
    <n v="11"/>
    <m/>
    <s v="995671 - RFN - INST PREV. OSASCO 2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4IPMO"/>
    <n v="4"/>
    <s v="995773 - Tabela 2"/>
    <n v="2.3900000000000001E-2"/>
    <n v="96"/>
    <s v=""/>
    <n v="2.5"/>
    <n v="11"/>
    <m/>
    <s v="995773 - RFN - INST PREV OSASCO PENS 2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5IPMO"/>
    <n v="5"/>
    <s v="995672 - Tabela 3"/>
    <n v="2.29E-2"/>
    <n v="96"/>
    <s v=""/>
    <n v="2.5"/>
    <n v="11"/>
    <m/>
    <s v="995672 - RFN - INST PREV. OSASCO 3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6IPMO"/>
    <n v="6"/>
    <s v="995774 - Tabela 3"/>
    <n v="2.29E-2"/>
    <n v="96"/>
    <s v=""/>
    <n v="2.5"/>
    <n v="11"/>
    <m/>
    <s v="995774 - RFN - INST PREV OSASCO PENS 3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7IPMO"/>
    <n v="7"/>
    <s v="995673 - Tabela 4"/>
    <n v="2.1899999999999999E-2"/>
    <n v="96"/>
    <s v=""/>
    <n v="2.5"/>
    <n v="11"/>
    <m/>
    <s v="995673 - RFN - INST PREV. OSASCO 4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8IPMO"/>
    <n v="8"/>
    <s v="995775 - Tabela 4"/>
    <n v="2.1899999999999999E-2"/>
    <n v="96"/>
    <s v=""/>
    <n v="2.5"/>
    <n v="11"/>
    <m/>
    <s v="995775 - RFN - INST PREV OSASCO PENS 4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9IPMO"/>
    <n v="9"/>
    <s v="995674 - Tabela 5"/>
    <n v="2.1499999999999998E-2"/>
    <n v="96"/>
    <s v=""/>
    <n v="2.5"/>
    <n v="11"/>
    <m/>
    <s v="995674 - RFN - INST PREV. OSASCO 5 "/>
    <s v="1,45"/>
    <n v="15"/>
    <n v="2"/>
    <n v="500"/>
    <n v="202605"/>
    <s v="NW"/>
    <s v="0"/>
    <n v="1.4499999999999999E-2"/>
    <n v="2.5000000000000001E-2"/>
    <b v="0"/>
    <s v="20260515"/>
    <n v="10"/>
  </r>
  <r>
    <x v="59"/>
    <s v="10IPMO"/>
    <n v="10"/>
    <s v="995776 - Tabela 5"/>
    <n v="2.1499999999999998E-2"/>
    <n v="96"/>
    <s v=""/>
    <n v="2.5"/>
    <n v="11"/>
    <m/>
    <s v="995776 - RFN - INST PREV OSASCO PENS 5 "/>
    <s v="1,45"/>
    <n v="15"/>
    <n v="2"/>
    <n v="500"/>
    <n v="202605"/>
    <s v="NW"/>
    <s v="0"/>
    <n v="1.4499999999999999E-2"/>
    <n v="2.5000000000000001E-2"/>
    <b v="0"/>
    <s v="20260515"/>
    <n v="10"/>
  </r>
  <r>
    <x v="60"/>
    <s v="1IPMO APOSENTADO"/>
    <n v="1"/>
    <s v="995791 - Tabela 1"/>
    <n v="2.5000000000000001E-2"/>
    <n v="96"/>
    <s v=""/>
    <n v="2.5"/>
    <n v="11"/>
    <m/>
    <s v="995791 - RFN-INST PREV OSASCO 1  APOSEN "/>
    <s v="1,45"/>
    <n v="15"/>
    <n v="2"/>
    <n v="500"/>
    <n v="202605"/>
    <s v="NW"/>
    <s v="0"/>
    <n v="1.4499999999999999E-2"/>
    <n v="2.5000000000000001E-2"/>
    <b v="1"/>
    <s v="20260515"/>
    <n v="10"/>
  </r>
  <r>
    <x v="60"/>
    <s v="2IPMO APOSENTADO"/>
    <n v="2"/>
    <s v="995792 - Tabela 2"/>
    <n v="2.3900000000000001E-2"/>
    <n v="96"/>
    <s v=""/>
    <n v="2.5"/>
    <n v="11"/>
    <m/>
    <s v="995792 - RFN-INST PREV OSASCO 2  APOSEN "/>
    <s v="1,45"/>
    <n v="15"/>
    <n v="2"/>
    <n v="500"/>
    <n v="202605"/>
    <s v="NW"/>
    <s v="0"/>
    <n v="1.4499999999999999E-2"/>
    <n v="2.5000000000000001E-2"/>
    <b v="0"/>
    <s v="20260515"/>
    <n v="10"/>
  </r>
  <r>
    <x v="60"/>
    <s v="3IPMO APOSENTADO"/>
    <n v="3"/>
    <s v="995793 - Tabela 3"/>
    <n v="2.29E-2"/>
    <n v="96"/>
    <s v=""/>
    <n v="2.5"/>
    <n v="11"/>
    <m/>
    <s v="995793 - RFN-INST PREV OSASCO 3  APOSEN "/>
    <s v="1,45"/>
    <n v="15"/>
    <n v="2"/>
    <n v="500"/>
    <n v="202605"/>
    <s v="NW"/>
    <s v="0"/>
    <n v="1.4499999999999999E-2"/>
    <n v="2.5000000000000001E-2"/>
    <b v="0"/>
    <s v="20260515"/>
    <n v="10"/>
  </r>
  <r>
    <x v="60"/>
    <s v="4IPMO APOSENTADO"/>
    <n v="4"/>
    <s v="995794 - Tabela 4"/>
    <n v="2.1899999999999999E-2"/>
    <n v="96"/>
    <s v=""/>
    <n v="2.5"/>
    <n v="11"/>
    <m/>
    <s v="995794 - RFN-INST PREV OSASCO 4  APOSEN "/>
    <s v="1,45"/>
    <n v="15"/>
    <n v="2"/>
    <n v="500"/>
    <n v="202605"/>
    <s v="NW"/>
    <s v="0"/>
    <n v="1.4499999999999999E-2"/>
    <n v="2.5000000000000001E-2"/>
    <b v="0"/>
    <s v="20260515"/>
    <n v="10"/>
  </r>
  <r>
    <x v="60"/>
    <s v="5IPMO APOSENTADO"/>
    <n v="5"/>
    <s v="995795 - Tabela 5"/>
    <n v="2.1499999999999998E-2"/>
    <n v="96"/>
    <s v=""/>
    <n v="2.5"/>
    <n v="11"/>
    <m/>
    <s v="995795 - RFN-INST PREV OSASCO 5  APOSEN "/>
    <s v="1,45"/>
    <n v="15"/>
    <n v="2"/>
    <n v="500"/>
    <n v="202605"/>
    <s v="NW"/>
    <s v="0"/>
    <n v="1.4499999999999999E-2"/>
    <n v="2.5000000000000001E-2"/>
    <b v="0"/>
    <s v="20260515"/>
    <n v="10"/>
  </r>
  <r>
    <x v="61"/>
    <s v="1IPREM MOGI SP"/>
    <n v="1"/>
    <s v="815041 - Tabela 1"/>
    <n v="2.5000000000000001E-2"/>
    <n v="120"/>
    <s v=""/>
    <n v="2.5"/>
    <n v="10"/>
    <m/>
    <s v="815041 - RFN - IPREM - MOGI CRUZES 1  "/>
    <s v="1,5"/>
    <n v="15"/>
    <n v="2"/>
    <n v="500"/>
    <n v="202605"/>
    <s v="LG"/>
    <s v="0"/>
    <n v="1.4999999999999999E-2"/>
    <n v="2.5000000000000001E-2"/>
    <b v="1"/>
    <s v="20260515"/>
    <n v="10"/>
  </r>
  <r>
    <x v="61"/>
    <s v="2IPREM MOGI SP"/>
    <n v="2"/>
    <s v="815042 - Tabela 2"/>
    <n v="2.1899999999999999E-2"/>
    <n v="120"/>
    <s v=""/>
    <n v="2.5"/>
    <n v="10"/>
    <n v="41"/>
    <s v="815042 - RFN - IPREM - MOGI CRUZES 2  "/>
    <s v="1,5"/>
    <n v="15"/>
    <n v="2"/>
    <n v="500"/>
    <n v="202605"/>
    <s v="LG"/>
    <s v="0"/>
    <n v="1.4999999999999999E-2"/>
    <n v="2.5000000000000001E-2"/>
    <b v="0"/>
    <s v="20260515"/>
    <n v="10"/>
  </r>
  <r>
    <x v="61"/>
    <s v="3IPREM MOGI SP"/>
    <n v="3"/>
    <s v="815043 - Tabela 3"/>
    <n v="2.0899999999999998E-2"/>
    <n v="120"/>
    <s v=""/>
    <n v="2.5"/>
    <n v="10"/>
    <n v="39"/>
    <s v="815043 - RFN - IPREM - MOGI CRUZES 3  "/>
    <s v="1,5"/>
    <n v="15"/>
    <n v="2"/>
    <n v="500"/>
    <n v="202605"/>
    <s v="LG"/>
    <s v="0"/>
    <n v="1.4999999999999999E-2"/>
    <n v="2.5000000000000001E-2"/>
    <b v="0"/>
    <s v="20260515"/>
    <n v="10"/>
  </r>
  <r>
    <x v="61"/>
    <s v="4IPREM MOGI SP"/>
    <n v="4"/>
    <s v="815044 - Tabela 4"/>
    <n v="1.9900000000000001E-2"/>
    <n v="120"/>
    <s v=""/>
    <n v="2.5"/>
    <n v="10"/>
    <m/>
    <s v="815044 - RFN - IPREM - MOGI CRUZES 4  "/>
    <s v="1,5"/>
    <n v="15"/>
    <n v="2"/>
    <n v="500"/>
    <n v="202605"/>
    <s v="LG"/>
    <s v="0"/>
    <n v="1.4999999999999999E-2"/>
    <n v="2.5000000000000001E-2"/>
    <b v="0"/>
    <s v="20260515"/>
    <n v="10"/>
  </r>
  <r>
    <x v="61"/>
    <s v="5IPREM MOGI SP"/>
    <n v="5"/>
    <s v="815045 - Tabela 5"/>
    <n v="1.9400000000000001E-2"/>
    <n v="120"/>
    <s v=""/>
    <n v="2.5"/>
    <n v="10"/>
    <n v="25"/>
    <s v="815045 - RFN - IPREM - MOGI CRUZES 5  "/>
    <s v="1,5"/>
    <n v="15"/>
    <n v="2"/>
    <n v="500"/>
    <n v="202605"/>
    <s v="LG"/>
    <s v="0"/>
    <n v="1.4999999999999999E-2"/>
    <n v="2.5000000000000001E-2"/>
    <b v="0"/>
    <s v="20260515"/>
    <n v="10"/>
  </r>
  <r>
    <x v="62"/>
    <s v="1IPREM P ALEGRE"/>
    <n v="1"/>
    <s v="905038 - Tabela 1"/>
    <n v="2.1700000000000001E-2"/>
    <n v="96"/>
    <s v=""/>
    <n v="2.25"/>
    <n v="13"/>
    <m/>
    <s v="905038 - RFN - IPREM POUSO ALEGRE 1 "/>
    <s v="1,5"/>
    <n v="15"/>
    <n v="2"/>
    <n v="500"/>
    <n v="202605"/>
    <s v="LG"/>
    <s v="0"/>
    <n v="1.4999999999999999E-2"/>
    <n v="2.2499999999999999E-2"/>
    <b v="0"/>
    <s v="20260515"/>
    <n v="10"/>
  </r>
  <r>
    <x v="62"/>
    <s v="2IPREM P ALEGRE"/>
    <n v="2"/>
    <s v="905039 - Tabela 2"/>
    <n v="2.07E-2"/>
    <n v="96"/>
    <s v=""/>
    <n v="2.25"/>
    <n v="13"/>
    <m/>
    <s v="905039 - RFN - IPREM POUSO ALEGRE 2 "/>
    <s v="1,5"/>
    <n v="15"/>
    <n v="2"/>
    <n v="500"/>
    <n v="202605"/>
    <s v="LG"/>
    <s v="0"/>
    <n v="1.4999999999999999E-2"/>
    <n v="2.2499999999999999E-2"/>
    <b v="0"/>
    <s v="20260515"/>
    <n v="10"/>
  </r>
  <r>
    <x v="63"/>
    <s v="1IPREM SP_"/>
    <n v="1"/>
    <s v="699543 - Tabela 2013"/>
    <n v="1.6399999999999998E-2"/>
    <n v="120"/>
    <s v=""/>
    <n v="2.4900000000000002"/>
    <n v="15"/>
    <m/>
    <s v="699543 - RFN - IPREM FUNC 20K 13 "/>
    <s v="1,37"/>
    <n v="13"/>
    <n v="2"/>
    <n v="20000"/>
    <n v="202605"/>
    <s v="LG"/>
    <s v="1"/>
    <n v="1.37E-2"/>
    <n v="2.4900000000000002E-2"/>
    <b v="0"/>
    <s v="20260513"/>
    <n v="8"/>
  </r>
  <r>
    <x v="63"/>
    <s v="2IPREM SP_"/>
    <n v="2"/>
    <s v="785403 - Tabela 2013"/>
    <n v="1.6399999999999998E-2"/>
    <n v="120"/>
    <s v=""/>
    <n v="2.4900000000000002"/>
    <n v="15"/>
    <n v="39"/>
    <s v="785403 - RFN - IPREM PENSI 20K 13 "/>
    <s v="1,37"/>
    <n v="14"/>
    <n v="2"/>
    <n v="20000"/>
    <n v="202605"/>
    <s v="LG"/>
    <s v="1"/>
    <n v="1.37E-2"/>
    <n v="2.4900000000000002E-2"/>
    <b v="0"/>
    <s v="20260514"/>
    <n v="9"/>
  </r>
  <r>
    <x v="63"/>
    <s v="3IPREM SP_"/>
    <n v="3"/>
    <s v="699544 - Tabela 3014"/>
    <n v="1.61E-2"/>
    <n v="120"/>
    <s v=""/>
    <n v="2.4900000000000002"/>
    <n v="15"/>
    <m/>
    <s v="699544 - RFN - IPREM FUNC 30K 14 "/>
    <s v="1,37"/>
    <n v="13"/>
    <n v="2"/>
    <n v="30000"/>
    <n v="202605"/>
    <s v="LG"/>
    <s v="1"/>
    <n v="1.37E-2"/>
    <n v="2.4900000000000002E-2"/>
    <b v="0"/>
    <s v="20260513"/>
    <n v="8"/>
  </r>
  <r>
    <x v="63"/>
    <s v="4IPREM SP_"/>
    <n v="4"/>
    <s v="785404 - Tabela 3014"/>
    <n v="1.61E-2"/>
    <n v="120"/>
    <s v=""/>
    <n v="2.4900000000000002"/>
    <n v="15"/>
    <n v="46"/>
    <s v="785404 - RFN - IPREM PENSI 30K 14 "/>
    <s v="1,37"/>
    <n v="14"/>
    <n v="2"/>
    <n v="30000"/>
    <n v="202605"/>
    <s v="LG"/>
    <s v="1"/>
    <n v="1.37E-2"/>
    <n v="2.4900000000000002E-2"/>
    <b v="0"/>
    <s v="20260514"/>
    <n v="9"/>
  </r>
  <r>
    <x v="63"/>
    <s v="5IPREM SP_"/>
    <n v="5"/>
    <s v="699545 - Tabela 15"/>
    <n v="1.5900000000000001E-2"/>
    <n v="120"/>
    <s v=""/>
    <n v="2.4900000000000002"/>
    <n v="15"/>
    <m/>
    <s v="699545 - RFN - IPREM FUNC 50K 15 "/>
    <s v="1,37"/>
    <n v="13"/>
    <n v="2"/>
    <n v="50000"/>
    <n v="202605"/>
    <s v="LG"/>
    <s v="1"/>
    <n v="1.37E-2"/>
    <n v="2.4900000000000002E-2"/>
    <b v="0"/>
    <s v="20260513"/>
    <n v="8"/>
  </r>
  <r>
    <x v="63"/>
    <s v="6IPREM SP_"/>
    <n v="6"/>
    <s v="785405 - Tabela 15"/>
    <n v="1.5900000000000001E-2"/>
    <n v="120"/>
    <s v=""/>
    <n v="2.4900000000000002"/>
    <n v="15"/>
    <m/>
    <s v="785405 - RFN - IPREM PENSI 50K 15 "/>
    <s v="1,37"/>
    <n v="14"/>
    <n v="2"/>
    <n v="50000"/>
    <n v="202605"/>
    <s v="LG"/>
    <s v="1"/>
    <n v="1.37E-2"/>
    <n v="2.4900000000000002E-2"/>
    <b v="0"/>
    <s v="20260514"/>
    <n v="9"/>
  </r>
  <r>
    <x v="63"/>
    <s v="7IPREM SP_"/>
    <n v="7"/>
    <s v="699546 - Tabela 6016"/>
    <n v="1.5700000000000002E-2"/>
    <n v="120"/>
    <s v=""/>
    <n v="2.4900000000000002"/>
    <n v="15"/>
    <m/>
    <s v="699546 - RFN - IPREM FUNC 60K 16 "/>
    <s v="1,37"/>
    <n v="13"/>
    <n v="2"/>
    <n v="60000"/>
    <n v="202605"/>
    <s v="LG"/>
    <s v="1"/>
    <n v="1.37E-2"/>
    <n v="2.4900000000000002E-2"/>
    <b v="0"/>
    <s v="20260513"/>
    <n v="8"/>
  </r>
  <r>
    <x v="63"/>
    <s v="8IPREM SP_"/>
    <n v="8"/>
    <s v="785406 - Tabela 6016"/>
    <n v="1.5700000000000002E-2"/>
    <n v="120"/>
    <s v=""/>
    <n v="2.4900000000000002"/>
    <n v="15"/>
    <n v="47"/>
    <s v="785406 - RFN - IPREM PENSI 60K 16 "/>
    <s v="1,37"/>
    <n v="14"/>
    <n v="2"/>
    <n v="60000"/>
    <n v="202605"/>
    <s v="LG"/>
    <s v="1"/>
    <n v="1.37E-2"/>
    <n v="2.4900000000000002E-2"/>
    <b v="0"/>
    <s v="20260514"/>
    <n v="9"/>
  </r>
  <r>
    <x v="64"/>
    <s v="1IPREM SP_ APOSENTADO"/>
    <n v="1"/>
    <s v="785341 - Tabela 1"/>
    <n v="2.4900000000000002E-2"/>
    <n v="120"/>
    <s v=""/>
    <n v="2.4900000000000002"/>
    <n v="15"/>
    <m/>
    <s v="785341 - RFN - IPREM APOSENTADOS 1 "/>
    <s v="1,37"/>
    <n v="9"/>
    <n v="2"/>
    <n v="500"/>
    <n v="202605"/>
    <s v="LG"/>
    <s v="1"/>
    <n v="1.37E-2"/>
    <n v="2.4900000000000002E-2"/>
    <b v="1"/>
    <s v="2026059"/>
    <n v="5"/>
  </r>
  <r>
    <x v="64"/>
    <s v="2IPREM SP_ APOSENTADO"/>
    <n v="2"/>
    <s v="785342 - Tabela 2"/>
    <n v="2.3900000000000001E-2"/>
    <n v="120"/>
    <s v=""/>
    <n v="2.4900000000000002"/>
    <n v="15"/>
    <m/>
    <s v="785342 - RFN - IPREM APOSENTADOS 2 "/>
    <s v="1,37"/>
    <n v="9"/>
    <n v="2"/>
    <n v="500"/>
    <n v="202605"/>
    <s v="LG"/>
    <s v="1"/>
    <n v="1.37E-2"/>
    <n v="2.4900000000000002E-2"/>
    <b v="0"/>
    <s v="2026059"/>
    <n v="5"/>
  </r>
  <r>
    <x v="64"/>
    <s v="3IPREM SP_ APOSENTADO"/>
    <n v="3"/>
    <s v="785343 - Tabela 3"/>
    <n v="2.29E-2"/>
    <n v="120"/>
    <s v=""/>
    <n v="2.4900000000000002"/>
    <n v="15"/>
    <n v="53"/>
    <s v="785343 - RFN - IPREM APOSENTADOS 3 "/>
    <s v="1,37"/>
    <n v="9"/>
    <n v="2"/>
    <n v="500"/>
    <n v="202605"/>
    <s v="LG"/>
    <s v="1"/>
    <n v="1.37E-2"/>
    <n v="2.4900000000000002E-2"/>
    <b v="0"/>
    <s v="2026059"/>
    <n v="5"/>
  </r>
  <r>
    <x v="64"/>
    <s v="4IPREM SP_ APOSENTADO"/>
    <n v="4"/>
    <s v="785344 - Tabela 4"/>
    <n v="2.1899999999999999E-2"/>
    <n v="120"/>
    <s v=""/>
    <n v="2.4900000000000002"/>
    <n v="15"/>
    <n v="55"/>
    <s v="785344 - RFN - IPREM APOSENTADOS 4 "/>
    <s v="1,37"/>
    <n v="9"/>
    <n v="2"/>
    <n v="500"/>
    <n v="202605"/>
    <s v="LG"/>
    <s v="1"/>
    <n v="1.37E-2"/>
    <n v="2.4900000000000002E-2"/>
    <b v="0"/>
    <s v="2026059"/>
    <n v="5"/>
  </r>
  <r>
    <x v="64"/>
    <s v="5IPREM SP_ APOSENTADO"/>
    <n v="5"/>
    <s v="785345 - Tabela 5"/>
    <n v="2.0899999999999998E-2"/>
    <n v="120"/>
    <s v=""/>
    <n v="2.4900000000000002"/>
    <n v="15"/>
    <n v="59"/>
    <s v="785345 - RFN - IPREM APOSENTADOS 5 "/>
    <s v="1,37"/>
    <n v="9"/>
    <n v="2"/>
    <n v="500"/>
    <n v="202605"/>
    <s v="LG"/>
    <s v="1"/>
    <n v="1.37E-2"/>
    <n v="2.4900000000000002E-2"/>
    <b v="0"/>
    <s v="2026059"/>
    <n v="5"/>
  </r>
  <r>
    <x v="64"/>
    <s v="6IPREM SP_ APOSENTADO"/>
    <n v="6"/>
    <s v="785346 - Tabela 6"/>
    <n v="1.9900000000000001E-2"/>
    <n v="120"/>
    <s v=""/>
    <n v="2.4900000000000002"/>
    <n v="15"/>
    <n v="52"/>
    <s v="785346 - RFN - IPREM APOSENTADOS 6 "/>
    <s v="1,37"/>
    <n v="9"/>
    <n v="2"/>
    <n v="500"/>
    <n v="202605"/>
    <s v="LG"/>
    <s v="1"/>
    <n v="1.37E-2"/>
    <n v="2.4900000000000002E-2"/>
    <b v="0"/>
    <s v="2026059"/>
    <n v="5"/>
  </r>
  <r>
    <x v="64"/>
    <s v="7IPREM SP_ APOSENTADO"/>
    <n v="7"/>
    <s v="785347 - Tabela 7"/>
    <n v="1.9400000000000001E-2"/>
    <n v="120"/>
    <s v=""/>
    <n v="2.4900000000000002"/>
    <n v="15"/>
    <m/>
    <s v="785347 - RFN - IPREM APOSENTADOS 7 "/>
    <s v="1,37"/>
    <n v="9"/>
    <n v="2"/>
    <n v="500"/>
    <n v="202605"/>
    <s v="LG"/>
    <s v="1"/>
    <n v="1.37E-2"/>
    <n v="2.4900000000000002E-2"/>
    <b v="0"/>
    <s v="2026059"/>
    <n v="5"/>
  </r>
  <r>
    <x v="64"/>
    <s v="8IPREM SP_ APOSENTADO"/>
    <n v="8"/>
    <s v="785348 - Tabela 8"/>
    <n v="1.89E-2"/>
    <n v="120"/>
    <s v=""/>
    <n v="2.4900000000000002"/>
    <n v="15"/>
    <n v="64"/>
    <s v="785348 - RFN - IPREM APOSENTADOS 8 "/>
    <s v="1,37"/>
    <n v="9"/>
    <n v="2"/>
    <n v="500"/>
    <n v="202605"/>
    <s v="LG"/>
    <s v="1"/>
    <n v="1.37E-2"/>
    <n v="2.4900000000000002E-2"/>
    <b v="0"/>
    <s v="2026059"/>
    <n v="5"/>
  </r>
  <r>
    <x v="64"/>
    <s v="9IPREM SP_ APOSENTADO"/>
    <n v="9"/>
    <s v="785349 - Tabela 9"/>
    <n v="1.84E-2"/>
    <n v="120"/>
    <s v=""/>
    <n v="2.4900000000000002"/>
    <n v="15"/>
    <n v="52"/>
    <s v="785349 - RFN - IPREM APOSENTADOS 9 "/>
    <s v="1,37"/>
    <n v="9"/>
    <n v="2"/>
    <n v="500"/>
    <n v="202605"/>
    <s v="LG"/>
    <s v="1"/>
    <n v="1.37E-2"/>
    <n v="2.4900000000000002E-2"/>
    <b v="0"/>
    <s v="2026059"/>
    <n v="5"/>
  </r>
  <r>
    <x v="64"/>
    <s v="10IPREM SP_ APOSENTADO"/>
    <n v="10"/>
    <s v="785350 - Tabela 10"/>
    <n v="1.7899999999999999E-2"/>
    <n v="120"/>
    <s v=""/>
    <n v="2.4900000000000002"/>
    <n v="15"/>
    <n v="57"/>
    <s v="785350 - RFN - IPREM APOSENTADOS 10 "/>
    <s v="1,37"/>
    <n v="9"/>
    <n v="2"/>
    <n v="500"/>
    <n v="202605"/>
    <s v="LG"/>
    <s v="1"/>
    <n v="1.37E-2"/>
    <n v="2.4900000000000002E-2"/>
    <b v="0"/>
    <s v="2026059"/>
    <n v="5"/>
  </r>
  <r>
    <x v="64"/>
    <s v="11IPREM SP_ APOSENTADO"/>
    <n v="11"/>
    <s v="785369 - Tabela 11"/>
    <n v="1.7399999999999999E-2"/>
    <n v="120"/>
    <s v=""/>
    <n v="2.4900000000000002"/>
    <n v="15"/>
    <m/>
    <s v="785369 - RFN - IPREM APOSENTADOS 11 "/>
    <s v="1,37"/>
    <n v="9"/>
    <n v="2"/>
    <n v="500"/>
    <n v="202605"/>
    <s v="LG"/>
    <s v="1"/>
    <n v="1.37E-2"/>
    <n v="2.4900000000000002E-2"/>
    <b v="0"/>
    <s v="2026059"/>
    <n v="5"/>
  </r>
  <r>
    <x v="64"/>
    <s v="12IPREM SP_ APOSENTADO"/>
    <n v="12"/>
    <s v="785370 - Tabela 12"/>
    <n v="1.6899999999999998E-2"/>
    <n v="120"/>
    <s v=""/>
    <n v="2.4900000000000002"/>
    <n v="15"/>
    <n v="54"/>
    <s v="785370 - RFN - IPREM APOSENTADOS 12 "/>
    <s v="1,37"/>
    <n v="9"/>
    <n v="2"/>
    <n v="500"/>
    <n v="202605"/>
    <s v="LG"/>
    <s v="1"/>
    <n v="1.37E-2"/>
    <n v="2.4900000000000002E-2"/>
    <b v="0"/>
    <s v="2026059"/>
    <n v="5"/>
  </r>
  <r>
    <x v="64"/>
    <s v="13IPREM SP_ APOSENTADO"/>
    <n v="13"/>
    <s v="785378 - Tabela 2013"/>
    <n v="1.6399999999999998E-2"/>
    <n v="120"/>
    <s v=""/>
    <n v="2.4900000000000002"/>
    <n v="15"/>
    <n v="46"/>
    <s v="785378 - RFN - IPREM APOSEN 20K 13 "/>
    <s v="1,37"/>
    <n v="9"/>
    <n v="2"/>
    <n v="20000"/>
    <n v="202605"/>
    <s v="LG"/>
    <s v="1"/>
    <n v="1.37E-2"/>
    <n v="2.4900000000000002E-2"/>
    <b v="0"/>
    <s v="2026059"/>
    <n v="5"/>
  </r>
  <r>
    <x v="64"/>
    <s v="14IPREM SP_ APOSENTADO"/>
    <n v="14"/>
    <s v="785379 - Tabela 3014"/>
    <n v="1.61E-2"/>
    <n v="120"/>
    <s v=""/>
    <n v="2.4900000000000002"/>
    <n v="15"/>
    <n v="54"/>
    <s v="785379 - RFN - IPREM APOSEN 30K 14 "/>
    <s v="1,37"/>
    <n v="9"/>
    <n v="2"/>
    <n v="30000"/>
    <n v="202605"/>
    <s v="LG"/>
    <s v="1"/>
    <n v="1.37E-2"/>
    <n v="2.4900000000000002E-2"/>
    <b v="0"/>
    <s v="2026059"/>
    <n v="5"/>
  </r>
  <r>
    <x v="64"/>
    <s v="15IPREM SP_ APOSENTADO"/>
    <n v="15"/>
    <s v="785380 - Tabela 15"/>
    <n v="1.5900000000000001E-2"/>
    <n v="120"/>
    <s v=""/>
    <n v="2.4900000000000002"/>
    <n v="15"/>
    <n v="52"/>
    <s v="785380 - RFN - IPREM APOSEN 50K 15 "/>
    <s v="1,37"/>
    <n v="9"/>
    <n v="2"/>
    <n v="50000"/>
    <n v="202605"/>
    <s v="LG"/>
    <s v="1"/>
    <n v="1.37E-2"/>
    <n v="2.4900000000000002E-2"/>
    <b v="0"/>
    <s v="2026059"/>
    <n v="5"/>
  </r>
  <r>
    <x v="64"/>
    <s v="16IPREM SP_ APOSENTADO"/>
    <n v="16"/>
    <s v="785381 - Tabela 6016"/>
    <n v="1.5700000000000002E-2"/>
    <n v="120"/>
    <s v=""/>
    <n v="2.4900000000000002"/>
    <n v="15"/>
    <n v="54"/>
    <s v="785381 - RFN - IPREM APOSEN 60K 16 "/>
    <s v="1,37"/>
    <n v="9"/>
    <n v="2"/>
    <n v="60000"/>
    <n v="202605"/>
    <s v="LG"/>
    <s v="1"/>
    <n v="1.37E-2"/>
    <n v="2.4900000000000002E-2"/>
    <b v="0"/>
    <s v="2026059"/>
    <n v="5"/>
  </r>
  <r>
    <x v="65"/>
    <s v="1IPREM SP_ FUNCIONARIO"/>
    <n v="1"/>
    <s v="699531 - Tabela 1"/>
    <n v="2.4900000000000002E-2"/>
    <n v="120"/>
    <s v=""/>
    <n v="2.4900000000000002"/>
    <n v="15"/>
    <m/>
    <s v="699531 - RFN - IPREM FUNCIONARIO 1 "/>
    <s v="1,37"/>
    <n v="13"/>
    <n v="2"/>
    <n v="500"/>
    <n v="202605"/>
    <s v="LG"/>
    <s v="1"/>
    <n v="1.37E-2"/>
    <n v="2.4900000000000002E-2"/>
    <b v="1"/>
    <s v="20260513"/>
    <n v="8"/>
  </r>
  <r>
    <x v="65"/>
    <s v="2IPREM SP_ FUNCIONARIO"/>
    <n v="2"/>
    <s v="699532 - Tabela 2"/>
    <n v="2.3900000000000001E-2"/>
    <n v="120"/>
    <s v=""/>
    <n v="2.4900000000000002"/>
    <n v="15"/>
    <m/>
    <s v="699532 - RFN - IPREM FUNCIONARIO 2 "/>
    <s v="1,37"/>
    <n v="13"/>
    <n v="2"/>
    <n v="500"/>
    <n v="202605"/>
    <s v="LG"/>
    <s v="1"/>
    <n v="1.37E-2"/>
    <n v="2.4900000000000002E-2"/>
    <b v="0"/>
    <s v="20260513"/>
    <n v="8"/>
  </r>
  <r>
    <x v="65"/>
    <s v="3IPREM SP_ FUNCIONARIO"/>
    <n v="3"/>
    <s v="699533 - Tabela 3"/>
    <n v="2.29E-2"/>
    <n v="120"/>
    <s v=""/>
    <n v="2.4900000000000002"/>
    <n v="15"/>
    <m/>
    <s v="699533 - RFN - IPREM FUNCIONARIO 3 "/>
    <s v="1,37"/>
    <n v="13"/>
    <n v="2"/>
    <n v="500"/>
    <n v="202605"/>
    <s v="LG"/>
    <s v="1"/>
    <n v="1.37E-2"/>
    <n v="2.4900000000000002E-2"/>
    <b v="0"/>
    <s v="20260513"/>
    <n v="8"/>
  </r>
  <r>
    <x v="65"/>
    <s v="4IPREM SP_ FUNCIONARIO"/>
    <n v="4"/>
    <s v="699534 - Tabela 4"/>
    <n v="2.1899999999999999E-2"/>
    <n v="120"/>
    <s v=""/>
    <n v="2.4900000000000002"/>
    <n v="15"/>
    <m/>
    <s v="699534 - RFN - IPREM FUNCIONARIO 4 "/>
    <s v="1,37"/>
    <n v="13"/>
    <n v="2"/>
    <n v="500"/>
    <n v="202605"/>
    <s v="LG"/>
    <s v="1"/>
    <n v="1.37E-2"/>
    <n v="2.4900000000000002E-2"/>
    <b v="0"/>
    <s v="20260513"/>
    <n v="8"/>
  </r>
  <r>
    <x v="65"/>
    <s v="5IPREM SP_ FUNCIONARIO"/>
    <n v="5"/>
    <s v="699535 - Tabela 5"/>
    <n v="2.0899999999999998E-2"/>
    <n v="120"/>
    <s v=""/>
    <n v="2.4900000000000002"/>
    <n v="15"/>
    <m/>
    <s v="699535 - RFN - IPREM FUNCIONARIO 5 "/>
    <s v="1,37"/>
    <n v="13"/>
    <n v="2"/>
    <n v="500"/>
    <n v="202605"/>
    <s v="LG"/>
    <s v="1"/>
    <n v="1.37E-2"/>
    <n v="2.4900000000000002E-2"/>
    <b v="0"/>
    <s v="20260513"/>
    <n v="8"/>
  </r>
  <r>
    <x v="65"/>
    <s v="6IPREM SP_ FUNCIONARIO"/>
    <n v="6"/>
    <s v="699536 - Tabela 6"/>
    <n v="1.9900000000000001E-2"/>
    <n v="120"/>
    <s v=""/>
    <n v="2.4900000000000002"/>
    <n v="15"/>
    <m/>
    <s v="699536 - RFN - IPREM FUNCIONARIO 6 "/>
    <s v="1,37"/>
    <n v="13"/>
    <n v="2"/>
    <n v="500"/>
    <n v="202605"/>
    <s v="LG"/>
    <s v="1"/>
    <n v="1.37E-2"/>
    <n v="2.4900000000000002E-2"/>
    <b v="0"/>
    <s v="20260513"/>
    <n v="8"/>
  </r>
  <r>
    <x v="65"/>
    <s v="7IPREM SP_ FUNCIONARIO"/>
    <n v="7"/>
    <s v="699537 - Tabela 7"/>
    <n v="1.9400000000000001E-2"/>
    <n v="120"/>
    <s v=""/>
    <n v="2.4900000000000002"/>
    <n v="15"/>
    <m/>
    <s v="699537 - RFN - IPREM FUNCIONARIO 7 "/>
    <s v="1,37"/>
    <n v="13"/>
    <n v="2"/>
    <n v="500"/>
    <n v="202605"/>
    <s v="LG"/>
    <s v="1"/>
    <n v="1.37E-2"/>
    <n v="2.4900000000000002E-2"/>
    <b v="0"/>
    <s v="20260513"/>
    <n v="8"/>
  </r>
  <r>
    <x v="65"/>
    <s v="8IPREM SP_ FUNCIONARIO"/>
    <n v="8"/>
    <s v="699538 - Tabela 8"/>
    <n v="1.89E-2"/>
    <n v="120"/>
    <s v=""/>
    <n v="2.4900000000000002"/>
    <n v="15"/>
    <m/>
    <s v="699538 - RFN - IPREM FUNCIONARIO 8 "/>
    <s v="1,37"/>
    <n v="13"/>
    <n v="2"/>
    <n v="500"/>
    <n v="202605"/>
    <s v="LG"/>
    <s v="1"/>
    <n v="1.37E-2"/>
    <n v="2.4900000000000002E-2"/>
    <b v="0"/>
    <s v="20260513"/>
    <n v="8"/>
  </r>
  <r>
    <x v="65"/>
    <s v="9IPREM SP_ FUNCIONARIO"/>
    <n v="9"/>
    <s v="699539 - Tabela 9"/>
    <n v="1.84E-2"/>
    <n v="120"/>
    <s v=""/>
    <n v="2.4900000000000002"/>
    <n v="15"/>
    <m/>
    <s v="699539 - RFN - IPREM FUNCIONARIO 9 "/>
    <s v="1,37"/>
    <n v="13"/>
    <n v="2"/>
    <n v="500"/>
    <n v="202605"/>
    <s v="LG"/>
    <s v="1"/>
    <n v="1.37E-2"/>
    <n v="2.4900000000000002E-2"/>
    <b v="0"/>
    <s v="20260513"/>
    <n v="8"/>
  </r>
  <r>
    <x v="65"/>
    <s v="10IPREM SP_ FUNCIONARIO"/>
    <n v="10"/>
    <s v="699540 - Tabela 10"/>
    <n v="1.7899999999999999E-2"/>
    <n v="120"/>
    <s v=""/>
    <n v="2.4900000000000002"/>
    <n v="15"/>
    <m/>
    <s v="699540 - RFN - IPREM FUNCIONARIO 10 "/>
    <s v="1,37"/>
    <n v="13"/>
    <n v="2"/>
    <n v="500"/>
    <n v="202605"/>
    <s v="LG"/>
    <s v="1"/>
    <n v="1.37E-2"/>
    <n v="2.4900000000000002E-2"/>
    <b v="0"/>
    <s v="20260513"/>
    <n v="8"/>
  </r>
  <r>
    <x v="65"/>
    <s v="11IPREM SP_ FUNCIONARIO"/>
    <n v="11"/>
    <s v="699541 - Tabela 11"/>
    <n v="1.7399999999999999E-2"/>
    <n v="120"/>
    <s v=""/>
    <n v="2.4900000000000002"/>
    <n v="15"/>
    <m/>
    <s v="699541 - RFN - IPREM FUNCIONARIO 11 "/>
    <s v="1,37"/>
    <n v="13"/>
    <n v="2"/>
    <n v="500"/>
    <n v="202605"/>
    <s v="LG"/>
    <s v="1"/>
    <n v="1.37E-2"/>
    <n v="2.4900000000000002E-2"/>
    <b v="0"/>
    <s v="20260513"/>
    <n v="8"/>
  </r>
  <r>
    <x v="65"/>
    <s v="12IPREM SP_ FUNCIONARIO"/>
    <n v="12"/>
    <s v="699542 - Tabela 12"/>
    <n v="1.6899999999999998E-2"/>
    <n v="120"/>
    <s v=""/>
    <n v="2.4900000000000002"/>
    <n v="15"/>
    <m/>
    <s v="699542 - RFN - IPREM FUNCIONARIO 12 "/>
    <s v="1,37"/>
    <n v="13"/>
    <n v="2"/>
    <n v="500"/>
    <n v="202605"/>
    <s v="LG"/>
    <s v="1"/>
    <n v="1.37E-2"/>
    <n v="2.4900000000000002E-2"/>
    <b v="0"/>
    <s v="20260513"/>
    <n v="8"/>
  </r>
  <r>
    <x v="66"/>
    <s v="1IPREM SP_ PENSIONISTA"/>
    <n v="1"/>
    <s v="785391 - Tabela 1"/>
    <n v="2.4900000000000002E-2"/>
    <n v="120"/>
    <s v=""/>
    <n v="2.4900000000000002"/>
    <n v="15"/>
    <m/>
    <s v="785391 - RFN - IPREM PENSIONISTA 1 "/>
    <s v="1,37"/>
    <n v="14"/>
    <n v="2"/>
    <n v="500"/>
    <n v="202605"/>
    <s v="LG"/>
    <s v="1"/>
    <n v="1.37E-2"/>
    <n v="2.4900000000000002E-2"/>
    <b v="1"/>
    <s v="20260514"/>
    <n v="9"/>
  </r>
  <r>
    <x v="66"/>
    <s v="2IPREM SP_ PENSIONISTA"/>
    <n v="2"/>
    <s v="785392 - Tabela 2"/>
    <n v="2.3900000000000001E-2"/>
    <n v="120"/>
    <s v=""/>
    <n v="2.4900000000000002"/>
    <n v="15"/>
    <m/>
    <s v="785392 - RFN - IPREM PENSIONISTA 2 "/>
    <s v="1,37"/>
    <n v="14"/>
    <n v="2"/>
    <n v="500"/>
    <n v="202605"/>
    <s v="LG"/>
    <s v="1"/>
    <n v="1.37E-2"/>
    <n v="2.4900000000000002E-2"/>
    <b v="0"/>
    <s v="20260514"/>
    <n v="9"/>
  </r>
  <r>
    <x v="66"/>
    <s v="3IPREM SP_ PENSIONISTA"/>
    <n v="3"/>
    <s v="785393 - Tabela 3"/>
    <n v="2.29E-2"/>
    <n v="120"/>
    <s v=""/>
    <n v="2.4900000000000002"/>
    <n v="15"/>
    <m/>
    <s v="785393 - RFN - IPREM PENSIONISTA 3 "/>
    <s v="1,37"/>
    <n v="14"/>
    <n v="2"/>
    <n v="500"/>
    <n v="202605"/>
    <s v="LG"/>
    <s v="1"/>
    <n v="1.37E-2"/>
    <n v="2.4900000000000002E-2"/>
    <b v="0"/>
    <s v="20260514"/>
    <n v="9"/>
  </r>
  <r>
    <x v="66"/>
    <s v="4IPREM SP_ PENSIONISTA"/>
    <n v="4"/>
    <s v="785394 - Tabela 4"/>
    <n v="2.1899999999999999E-2"/>
    <n v="120"/>
    <s v=""/>
    <n v="2.4900000000000002"/>
    <n v="15"/>
    <m/>
    <s v="785394 - RFN - IPREM PENSIONISTA 4 "/>
    <s v="1,37"/>
    <n v="14"/>
    <n v="2"/>
    <n v="500"/>
    <n v="202605"/>
    <s v="LG"/>
    <s v="1"/>
    <n v="1.37E-2"/>
    <n v="2.4900000000000002E-2"/>
    <b v="0"/>
    <s v="20260514"/>
    <n v="9"/>
  </r>
  <r>
    <x v="66"/>
    <s v="5IPREM SP_ PENSIONISTA"/>
    <n v="5"/>
    <s v="785395 - Tabela 5"/>
    <n v="2.0899999999999998E-2"/>
    <n v="120"/>
    <s v=""/>
    <n v="2.4900000000000002"/>
    <n v="15"/>
    <m/>
    <s v="785395 - RFN - IPREM PENSIONISTA 5 "/>
    <s v="1,37"/>
    <n v="14"/>
    <n v="2"/>
    <n v="500"/>
    <n v="202605"/>
    <s v="LG"/>
    <s v="1"/>
    <n v="1.37E-2"/>
    <n v="2.4900000000000002E-2"/>
    <b v="0"/>
    <s v="20260514"/>
    <n v="9"/>
  </r>
  <r>
    <x v="66"/>
    <s v="6IPREM SP_ PENSIONISTA"/>
    <n v="6"/>
    <s v="785396 - Tabela 6"/>
    <n v="1.9900000000000001E-2"/>
    <n v="120"/>
    <s v=""/>
    <n v="2.4900000000000002"/>
    <n v="15"/>
    <n v="39"/>
    <s v="785396 - RFN - IPREM PENSIONISTA 6 "/>
    <s v="1,37"/>
    <n v="14"/>
    <n v="2"/>
    <n v="500"/>
    <n v="202605"/>
    <s v="LG"/>
    <s v="1"/>
    <n v="1.37E-2"/>
    <n v="2.4900000000000002E-2"/>
    <b v="0"/>
    <s v="20260514"/>
    <n v="9"/>
  </r>
  <r>
    <x v="66"/>
    <s v="7IPREM SP_ PENSIONISTA"/>
    <n v="7"/>
    <s v="785397 - Tabela 7"/>
    <n v="1.9400000000000001E-2"/>
    <n v="120"/>
    <s v=""/>
    <n v="2.4900000000000002"/>
    <n v="15"/>
    <m/>
    <s v="785397 - RFN - IPREM PENSIONISTA 7 "/>
    <s v="1,37"/>
    <n v="14"/>
    <n v="2"/>
    <n v="500"/>
    <n v="202605"/>
    <s v="LG"/>
    <s v="1"/>
    <n v="1.37E-2"/>
    <n v="2.4900000000000002E-2"/>
    <b v="0"/>
    <s v="20260514"/>
    <n v="9"/>
  </r>
  <r>
    <x v="66"/>
    <s v="8IPREM SP_ PENSIONISTA"/>
    <n v="8"/>
    <s v="785398 - Tabela 8"/>
    <n v="1.89E-2"/>
    <n v="120"/>
    <s v=""/>
    <n v="2.4900000000000002"/>
    <n v="15"/>
    <m/>
    <s v="785398 - RFN - IPREM PENSIONISTA 8 "/>
    <s v="1,37"/>
    <n v="14"/>
    <n v="2"/>
    <n v="500"/>
    <n v="202605"/>
    <s v="LG"/>
    <s v="1"/>
    <n v="1.37E-2"/>
    <n v="2.4900000000000002E-2"/>
    <b v="0"/>
    <s v="20260514"/>
    <n v="9"/>
  </r>
  <r>
    <x v="66"/>
    <s v="9IPREM SP_ PENSIONISTA"/>
    <n v="9"/>
    <s v="785399 - Tabela 9"/>
    <n v="1.84E-2"/>
    <n v="120"/>
    <s v=""/>
    <n v="2.4900000000000002"/>
    <n v="15"/>
    <m/>
    <s v="785399 - RFN - IPREM PENSIONISTA 9 "/>
    <s v="1,37"/>
    <n v="14"/>
    <n v="2"/>
    <n v="500"/>
    <n v="202605"/>
    <s v="LG"/>
    <s v="1"/>
    <n v="1.37E-2"/>
    <n v="2.4900000000000002E-2"/>
    <b v="0"/>
    <s v="20260514"/>
    <n v="9"/>
  </r>
  <r>
    <x v="66"/>
    <s v="10IPREM SP_ PENSIONISTA"/>
    <n v="10"/>
    <s v="785400 - Tabela 10"/>
    <n v="1.7899999999999999E-2"/>
    <n v="120"/>
    <s v=""/>
    <n v="2.4900000000000002"/>
    <n v="15"/>
    <n v="36"/>
    <s v="785400 - RFN - IPREM PENSIONISTA 10 "/>
    <s v="1,37"/>
    <n v="14"/>
    <n v="2"/>
    <n v="500"/>
    <n v="202605"/>
    <s v="LG"/>
    <s v="1"/>
    <n v="1.37E-2"/>
    <n v="2.4900000000000002E-2"/>
    <b v="0"/>
    <s v="20260514"/>
    <n v="9"/>
  </r>
  <r>
    <x v="66"/>
    <s v="11IPREM SP_ PENSIONISTA"/>
    <n v="11"/>
    <s v="785401 - Tabela 11"/>
    <n v="1.7399999999999999E-2"/>
    <n v="120"/>
    <s v=""/>
    <n v="2.4900000000000002"/>
    <n v="15"/>
    <m/>
    <s v="785401 - RFN - IPREM PENSIONISTA 11 "/>
    <s v="1,37"/>
    <n v="14"/>
    <n v="2"/>
    <n v="500"/>
    <n v="202605"/>
    <s v="LG"/>
    <s v="1"/>
    <n v="1.37E-2"/>
    <n v="2.4900000000000002E-2"/>
    <b v="0"/>
    <s v="20260514"/>
    <n v="9"/>
  </r>
  <r>
    <x v="66"/>
    <s v="12IPREM SP_ PENSIONISTA"/>
    <n v="12"/>
    <s v="785402 - Tabela 12"/>
    <n v="1.6899999999999998E-2"/>
    <n v="120"/>
    <s v=""/>
    <n v="2.4900000000000002"/>
    <n v="15"/>
    <n v="46"/>
    <s v="785402 - RFN - IPREM PENSIONISTA 12 "/>
    <s v="1,37"/>
    <n v="14"/>
    <n v="2"/>
    <n v="500"/>
    <n v="202605"/>
    <s v="LG"/>
    <s v="1"/>
    <n v="1.37E-2"/>
    <n v="2.4900000000000002E-2"/>
    <b v="0"/>
    <s v="20260514"/>
    <n v="9"/>
  </r>
  <r>
    <x v="67"/>
    <s v="1IPRESB BARUERI"/>
    <n v="1"/>
    <s v="995640 - Tabela 1"/>
    <n v="2.5000000000000001E-2"/>
    <n v="120"/>
    <s v=""/>
    <n v="2.5"/>
    <n v="15"/>
    <m/>
    <s v="995640 - RFN - INST PREV. BARUERI 1 "/>
    <s v="1,39"/>
    <n v="15"/>
    <n v="2"/>
    <n v="500"/>
    <n v="202605"/>
    <s v="NW"/>
    <s v="0"/>
    <n v="1.3899999999999999E-2"/>
    <n v="2.5000000000000001E-2"/>
    <b v="1"/>
    <s v="20260515"/>
    <n v="10"/>
  </r>
  <r>
    <x v="67"/>
    <s v="2IPRESB BARUERI"/>
    <n v="2"/>
    <s v="995832 - Tabela 1"/>
    <n v="2.5000000000000001E-2"/>
    <n v="120"/>
    <s v=""/>
    <n v="2.5"/>
    <n v="15"/>
    <m/>
    <s v="995832 - RFN-INST PREV BARUERI AP/PS 1 "/>
    <s v="1,39"/>
    <n v="15"/>
    <n v="2"/>
    <n v="500"/>
    <n v="202605"/>
    <s v="NW"/>
    <s v="0"/>
    <n v="1.3899999999999999E-2"/>
    <n v="2.5000000000000001E-2"/>
    <b v="1"/>
    <s v="20260515"/>
    <n v="10"/>
  </r>
  <r>
    <x v="67"/>
    <s v="3IPRESB BARUERI"/>
    <n v="3"/>
    <s v="995641 - Tabela 2"/>
    <n v="2.3900000000000001E-2"/>
    <n v="120"/>
    <s v=""/>
    <n v="2.5"/>
    <n v="15"/>
    <m/>
    <s v="995641 - RFN - INST PREV. BARUERI 2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4IPRESB BARUERI"/>
    <n v="4"/>
    <s v="995833 - Tabela 2"/>
    <n v="2.3900000000000001E-2"/>
    <n v="120"/>
    <s v=""/>
    <n v="2.5"/>
    <n v="15"/>
    <m/>
    <s v="995833 - RFN-INST PREV BARUERI AP/PS 2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5IPRESB BARUERI"/>
    <n v="5"/>
    <s v="995642 - Tabela 3"/>
    <n v="2.29E-2"/>
    <n v="120"/>
    <s v=""/>
    <n v="2.5"/>
    <n v="15"/>
    <m/>
    <s v="995642 - RFN - INST PREV. BARUERI 3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6IPRESB BARUERI"/>
    <n v="6"/>
    <s v="995834 - Tabela 3"/>
    <n v="2.29E-2"/>
    <n v="120"/>
    <s v=""/>
    <n v="2.5"/>
    <n v="15"/>
    <m/>
    <s v="995834 - RFN-INST PREV BARUERI AP/PS 3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7IPRESB BARUERI"/>
    <n v="7"/>
    <s v="995643 - Tabela 4"/>
    <n v="2.1899999999999999E-2"/>
    <n v="120"/>
    <s v=""/>
    <n v="2.5"/>
    <n v="15"/>
    <m/>
    <s v="995643 - RFN - INST PREV. BARUERI 4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8IPRESB BARUERI"/>
    <n v="8"/>
    <s v="995835 - Tabela 4"/>
    <n v="2.1899999999999999E-2"/>
    <n v="120"/>
    <s v=""/>
    <n v="2.5"/>
    <n v="15"/>
    <m/>
    <s v="995835 - RFN-INST PREV BARUERI AP/PS 4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9IPRESB BARUERI"/>
    <n v="9"/>
    <s v="995649 - Tabela 5"/>
    <n v="2.0899999999999998E-2"/>
    <n v="120"/>
    <s v=""/>
    <n v="2.5"/>
    <n v="15"/>
    <m/>
    <s v="995649 - RFN - INST PREV. BARUERI 5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10IPRESB BARUERI"/>
    <n v="10"/>
    <s v="995836 - Tabela 5"/>
    <n v="2.0899999999999998E-2"/>
    <n v="120"/>
    <s v=""/>
    <n v="2.5"/>
    <n v="15"/>
    <m/>
    <s v="995836 - RFN-INST PREV BARUERI AP/PS 5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11IPRESB BARUERI"/>
    <n v="11"/>
    <s v="995650 - Tabela 6"/>
    <n v="1.9900000000000001E-2"/>
    <n v="120"/>
    <s v=""/>
    <n v="2.5"/>
    <n v="15"/>
    <m/>
    <s v="995650 - RFN - INST PREV. BARUERI 6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12IPRESB BARUERI"/>
    <n v="12"/>
    <s v="995838 - Tabela 6"/>
    <n v="1.9900000000000001E-2"/>
    <n v="120"/>
    <s v=""/>
    <n v="2.5"/>
    <n v="15"/>
    <m/>
    <s v="995838 - RFN-INST PREV BARUERI AP/PS 6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13IPRESB BARUERI"/>
    <n v="13"/>
    <s v="995655 - Tabela 7"/>
    <n v="1.9400000000000001E-2"/>
    <n v="120"/>
    <s v=""/>
    <n v="2.5"/>
    <n v="15"/>
    <m/>
    <s v="995655 - RFN - INST PREV. BARUERI 7 "/>
    <s v="1,39"/>
    <n v="15"/>
    <n v="2"/>
    <n v="500"/>
    <n v="202605"/>
    <s v="NW"/>
    <s v="0"/>
    <n v="1.3899999999999999E-2"/>
    <n v="2.5000000000000001E-2"/>
    <b v="0"/>
    <s v="20260515"/>
    <n v="10"/>
  </r>
  <r>
    <x v="67"/>
    <s v="14IPRESB BARUERI"/>
    <n v="14"/>
    <s v="995840 - Tabela 7"/>
    <n v="1.9400000000000001E-2"/>
    <n v="120"/>
    <s v=""/>
    <n v="2.5"/>
    <n v="15"/>
    <m/>
    <s v="995840 - RFN-INST PREV BARUERI AP/PS 7 "/>
    <s v="1,39"/>
    <n v="15"/>
    <n v="2"/>
    <n v="500"/>
    <n v="202605"/>
    <s v="NW"/>
    <s v="0"/>
    <n v="1.3899999999999999E-2"/>
    <n v="2.5000000000000001E-2"/>
    <b v="0"/>
    <s v="20260515"/>
    <n v="10"/>
  </r>
  <r>
    <x v="68"/>
    <s v="1IPREV - SANTOS"/>
    <n v="1"/>
    <s v="715661 - Tabela 1"/>
    <n v="2.5000000000000001E-2"/>
    <n v="96"/>
    <s v=""/>
    <n v="2.5"/>
    <n v="13"/>
    <m/>
    <s v="715661 - RFN - IPREV SANTOS  1 "/>
    <s v="1,49"/>
    <n v="5"/>
    <n v="2"/>
    <n v="500"/>
    <n v="202605"/>
    <s v="LG"/>
    <s v="1"/>
    <n v="1.49E-2"/>
    <n v="2.5000000000000001E-2"/>
    <b v="1"/>
    <s v="2026055"/>
    <n v="2"/>
  </r>
  <r>
    <x v="68"/>
    <s v="2IPREV - SANTOS"/>
    <n v="2"/>
    <s v="715662 - Tabela 2"/>
    <n v="2.3900000000000001E-2"/>
    <n v="96"/>
    <s v=""/>
    <n v="2.5"/>
    <n v="13"/>
    <m/>
    <s v="715662 - RFN - IPREV SANTOS  2 "/>
    <s v="1,49"/>
    <n v="5"/>
    <n v="2"/>
    <n v="500"/>
    <n v="202605"/>
    <s v="LG"/>
    <s v="1"/>
    <n v="1.49E-2"/>
    <n v="2.5000000000000001E-2"/>
    <b v="0"/>
    <s v="2026055"/>
    <n v="2"/>
  </r>
  <r>
    <x v="68"/>
    <s v="3IPREV - SANTOS"/>
    <n v="3"/>
    <s v="715663 - Tabela 3"/>
    <n v="2.29E-2"/>
    <n v="96"/>
    <s v=""/>
    <n v="2.5"/>
    <n v="13"/>
    <m/>
    <s v="715663 - RFN - IPREV SANTOS  3 "/>
    <s v="1,49"/>
    <n v="5"/>
    <n v="2"/>
    <n v="500"/>
    <n v="202605"/>
    <s v="LG"/>
    <s v="1"/>
    <n v="1.49E-2"/>
    <n v="2.5000000000000001E-2"/>
    <b v="0"/>
    <s v="2026055"/>
    <n v="2"/>
  </r>
  <r>
    <x v="68"/>
    <s v="4IPREV - SANTOS"/>
    <n v="4"/>
    <s v="715664 - Tabela 4"/>
    <n v="2.1899999999999999E-2"/>
    <n v="96"/>
    <s v=""/>
    <n v="2.5"/>
    <n v="13"/>
    <m/>
    <s v="715664 - RFN - IPREV SANTOS  4 "/>
    <s v="1,49"/>
    <n v="5"/>
    <n v="2"/>
    <n v="500"/>
    <n v="202605"/>
    <s v="LG"/>
    <s v="1"/>
    <n v="1.49E-2"/>
    <n v="2.5000000000000001E-2"/>
    <b v="0"/>
    <s v="2026055"/>
    <n v="2"/>
  </r>
  <r>
    <x v="68"/>
    <s v="5IPREV - SANTOS"/>
    <n v="5"/>
    <s v="715665 - Tabela 5"/>
    <n v="2.0899999999999998E-2"/>
    <n v="96"/>
    <s v=""/>
    <n v="2.5"/>
    <n v="13"/>
    <m/>
    <s v="715665 - RFN - IPREV SANTOS  5 "/>
    <s v="1,49"/>
    <n v="5"/>
    <n v="2"/>
    <n v="500"/>
    <n v="202605"/>
    <s v="LG"/>
    <s v="1"/>
    <n v="1.49E-2"/>
    <n v="2.5000000000000001E-2"/>
    <b v="0"/>
    <s v="2026055"/>
    <n v="2"/>
  </r>
  <r>
    <x v="68"/>
    <s v="6IPREV - SANTOS"/>
    <n v="6"/>
    <s v="715666 - Tabela 6"/>
    <n v="1.9900000000000001E-2"/>
    <n v="96"/>
    <s v=""/>
    <n v="2.5"/>
    <n v="13"/>
    <m/>
    <s v="715666 - RFN - IPREV SANTOS  6 "/>
    <s v="1,49"/>
    <n v="5"/>
    <n v="2"/>
    <n v="500"/>
    <n v="202605"/>
    <s v="LG"/>
    <s v="1"/>
    <n v="1.49E-2"/>
    <n v="2.5000000000000001E-2"/>
    <b v="0"/>
    <s v="2026055"/>
    <n v="2"/>
  </r>
  <r>
    <x v="68"/>
    <s v="7IPREV - SANTOS"/>
    <n v="7"/>
    <s v="715667 - Tabela 7"/>
    <n v="1.89E-2"/>
    <n v="96"/>
    <s v=""/>
    <n v="2.5"/>
    <n v="13"/>
    <m/>
    <s v="715667 - RFN - IPREV SANTOS  7 "/>
    <s v="1,49"/>
    <n v="5"/>
    <n v="2"/>
    <n v="500"/>
    <n v="202605"/>
    <s v="LG"/>
    <s v="1"/>
    <n v="1.49E-2"/>
    <n v="2.5000000000000001E-2"/>
    <b v="0"/>
    <s v="2026055"/>
    <n v="2"/>
  </r>
  <r>
    <x v="68"/>
    <s v="8IPREV - SANTOS"/>
    <n v="8"/>
    <s v="715668 - Tabela 8"/>
    <n v="1.7899999999999999E-2"/>
    <n v="96"/>
    <s v=""/>
    <n v="2.5"/>
    <n v="13"/>
    <m/>
    <s v="715668 - RFN - IPREV SANTOS  8 "/>
    <s v="1,49"/>
    <n v="5"/>
    <n v="2"/>
    <n v="500"/>
    <n v="202605"/>
    <s v="LG"/>
    <s v="1"/>
    <n v="1.49E-2"/>
    <n v="2.5000000000000001E-2"/>
    <b v="0"/>
    <s v="2026055"/>
    <n v="2"/>
  </r>
  <r>
    <x v="68"/>
    <s v="9IPREV - SANTOS"/>
    <n v="9"/>
    <s v="715669 - Tabela 9"/>
    <n v="1.6899999999999998E-2"/>
    <n v="96"/>
    <s v=""/>
    <n v="2.5"/>
    <n v="13"/>
    <m/>
    <s v="715669 - RFN - IPREV SANTOS  9 "/>
    <s v="1,49"/>
    <n v="5"/>
    <n v="2"/>
    <n v="500"/>
    <n v="202605"/>
    <s v="LG"/>
    <s v="1"/>
    <n v="1.49E-2"/>
    <n v="2.5000000000000001E-2"/>
    <b v="0"/>
    <s v="2026055"/>
    <n v="2"/>
  </r>
  <r>
    <x v="69"/>
    <s v="1IPREV VIAMÃO RS"/>
    <n v="1"/>
    <s v="795731 - Tabela 1"/>
    <n v="1.8500000000000003E-2"/>
    <n v="120"/>
    <s v=""/>
    <n v="1.85"/>
    <n v="12"/>
    <n v="59"/>
    <s v="795731 - RFN - IPREV  1 "/>
    <s v="1,35"/>
    <n v="20"/>
    <n v="2"/>
    <n v="500"/>
    <n v="202605"/>
    <s v="LG"/>
    <s v="0"/>
    <n v="1.3500000000000002E-2"/>
    <n v="1.8500000000000003E-2"/>
    <b v="1"/>
    <s v="20260520"/>
    <n v="13"/>
  </r>
  <r>
    <x v="69"/>
    <s v="2IPREV VIAMÃO RS"/>
    <n v="2"/>
    <s v="795732 - Tabela 2"/>
    <n v="1.8000000000000002E-2"/>
    <n v="120"/>
    <s v=""/>
    <n v="1.85"/>
    <n v="12"/>
    <n v="39"/>
    <s v="795732 - RFN - IPREV  2 "/>
    <s v="1,35"/>
    <n v="20"/>
    <n v="2"/>
    <n v="500"/>
    <n v="202605"/>
    <s v="LG"/>
    <s v="0"/>
    <n v="1.3500000000000002E-2"/>
    <n v="1.8500000000000003E-2"/>
    <b v="0"/>
    <s v="20260520"/>
    <n v="13"/>
  </r>
  <r>
    <x v="69"/>
    <s v="3IPREV VIAMÃO RS"/>
    <n v="3"/>
    <s v="795733 - Tabela 3"/>
    <n v="1.7500000000000002E-2"/>
    <n v="120"/>
    <s v=""/>
    <n v="1.85"/>
    <n v="12"/>
    <n v="44"/>
    <s v="795733 - RFN - IPREV  3 "/>
    <s v="1,35"/>
    <n v="20"/>
    <n v="2"/>
    <n v="500"/>
    <n v="202605"/>
    <s v="LG"/>
    <s v="0"/>
    <n v="1.3500000000000002E-2"/>
    <n v="1.8500000000000003E-2"/>
    <b v="0"/>
    <s v="20260520"/>
    <n v="13"/>
  </r>
  <r>
    <x v="69"/>
    <s v="4IPREV VIAMÃO RS"/>
    <n v="4"/>
    <s v="795734 - Tabela 4"/>
    <n v="1.7100000000000001E-2"/>
    <n v="120"/>
    <s v=""/>
    <n v="1.85"/>
    <n v="12"/>
    <n v="38"/>
    <s v="795734 - RFN - IPREV  4 "/>
    <s v="1,35"/>
    <n v="20"/>
    <n v="2"/>
    <n v="500"/>
    <n v="202605"/>
    <s v="LG"/>
    <s v="0"/>
    <n v="1.3500000000000002E-2"/>
    <n v="1.8500000000000003E-2"/>
    <b v="0"/>
    <s v="20260520"/>
    <n v="13"/>
  </r>
  <r>
    <x v="70"/>
    <s v="1IPSA STO ANDRE"/>
    <n v="1"/>
    <s v="701561 - Tabela 1"/>
    <n v="2.5000000000000001E-2"/>
    <n v="96"/>
    <s v=""/>
    <n v="2.5"/>
    <n v="22"/>
    <n v="57"/>
    <s v="701561 - RFN - INST PREV SANTO ANDRE  1 "/>
    <s v="1,53"/>
    <n v="10"/>
    <n v="2"/>
    <n v="500"/>
    <n v="202605"/>
    <s v="LG"/>
    <s v="1"/>
    <n v="1.5300000000000001E-2"/>
    <n v="2.5000000000000001E-2"/>
    <b v="1"/>
    <s v="20260510"/>
    <n v="5"/>
  </r>
  <r>
    <x v="70"/>
    <s v="2IPSA STO ANDRE"/>
    <n v="2"/>
    <s v="701562 - Tabela 2"/>
    <n v="2.3900000000000001E-2"/>
    <n v="96"/>
    <s v=""/>
    <n v="2.5"/>
    <n v="22"/>
    <n v="57"/>
    <s v="701562 - RFN - INST PREV SANTO ANDRE  2 "/>
    <s v="1,53"/>
    <n v="10"/>
    <n v="2"/>
    <n v="500"/>
    <n v="202605"/>
    <s v="LG"/>
    <s v="1"/>
    <n v="1.5300000000000001E-2"/>
    <n v="2.5000000000000001E-2"/>
    <b v="0"/>
    <s v="20260510"/>
    <n v="5"/>
  </r>
  <r>
    <x v="70"/>
    <s v="3IPSA STO ANDRE"/>
    <n v="3"/>
    <s v="701563 - Tabela 3"/>
    <n v="2.29E-2"/>
    <n v="96"/>
    <s v=""/>
    <n v="2.5"/>
    <n v="22"/>
    <n v="57"/>
    <s v="701563 - RFN - INST PREV SANTO ANDRE  3 "/>
    <s v="1,53"/>
    <n v="10"/>
    <n v="2"/>
    <n v="500"/>
    <n v="202605"/>
    <s v="LG"/>
    <s v="1"/>
    <n v="1.5300000000000001E-2"/>
    <n v="2.5000000000000001E-2"/>
    <b v="0"/>
    <s v="20260510"/>
    <n v="5"/>
  </r>
  <r>
    <x v="70"/>
    <s v="4IPSA STO ANDRE"/>
    <n v="4"/>
    <s v="701565 - Tabela 4"/>
    <n v="2.1899999999999999E-2"/>
    <n v="96"/>
    <s v=""/>
    <n v="2.5"/>
    <n v="22"/>
    <n v="57"/>
    <s v="701565 - RFN - INST PREV SANTO ANDRE  4 "/>
    <s v="1,53"/>
    <n v="10"/>
    <n v="2"/>
    <n v="500"/>
    <n v="202605"/>
    <s v="LG"/>
    <s v="1"/>
    <n v="1.5300000000000001E-2"/>
    <n v="2.5000000000000001E-2"/>
    <b v="0"/>
    <s v="20260510"/>
    <n v="5"/>
  </r>
  <r>
    <x v="70"/>
    <s v="5IPSA STO ANDRE"/>
    <n v="5"/>
    <s v="701566 - Tabela 5"/>
    <n v="2.1000000000000001E-2"/>
    <n v="96"/>
    <s v=""/>
    <n v="2.5"/>
    <n v="22"/>
    <n v="57"/>
    <s v="701566 - RFN - INST PREV SANTO ANDRE  5 "/>
    <s v="1,53"/>
    <n v="10"/>
    <n v="2"/>
    <n v="500"/>
    <n v="202605"/>
    <s v="LG"/>
    <s v="1"/>
    <n v="1.5300000000000001E-2"/>
    <n v="2.5000000000000001E-2"/>
    <b v="0"/>
    <s v="20260510"/>
    <n v="5"/>
  </r>
  <r>
    <x v="71"/>
    <s v="1IPSERV UBERABA"/>
    <n v="1"/>
    <s v="775531 - Tabela 1"/>
    <n v="2.2000000000000002E-2"/>
    <n v="120"/>
    <s v=""/>
    <n v="2.35"/>
    <n v="28"/>
    <n v="52"/>
    <s v="775531 - RFN - IPSERV  1 "/>
    <s v="1,5"/>
    <n v="10"/>
    <n v="2"/>
    <n v="500"/>
    <n v="202605"/>
    <s v="LG"/>
    <s v="1"/>
    <n v="1.4999999999999999E-2"/>
    <n v="2.35E-2"/>
    <b v="0"/>
    <s v="20260510"/>
    <n v="5"/>
  </r>
  <r>
    <x v="71"/>
    <s v="2IPSERV UBERABA"/>
    <n v="2"/>
    <s v="775533 - Tabela 2"/>
    <n v="2.1000000000000001E-2"/>
    <n v="120"/>
    <s v=""/>
    <n v="2.35"/>
    <n v="28"/>
    <n v="52"/>
    <s v="775533 - RFN - IPSERV  2 "/>
    <s v="1,5"/>
    <n v="10"/>
    <n v="2"/>
    <n v="500"/>
    <n v="202605"/>
    <s v="LG"/>
    <s v="1"/>
    <n v="1.4999999999999999E-2"/>
    <n v="2.35E-2"/>
    <b v="0"/>
    <s v="20260510"/>
    <n v="5"/>
  </r>
  <r>
    <x v="71"/>
    <s v="3IPSERV UBERABA"/>
    <n v="3"/>
    <s v="775540 - Tabela 3"/>
    <n v="0.02"/>
    <n v="120"/>
    <s v=""/>
    <n v="2.35"/>
    <n v="28"/>
    <n v="52"/>
    <s v="775540 - RFN - IPSERV  3 "/>
    <s v="1,5"/>
    <n v="10"/>
    <n v="2"/>
    <n v="500"/>
    <n v="202605"/>
    <s v="LG"/>
    <s v="1"/>
    <n v="1.4999999999999999E-2"/>
    <n v="2.35E-2"/>
    <b v="0"/>
    <s v="20260510"/>
    <n v="5"/>
  </r>
  <r>
    <x v="72"/>
    <s v="1ISSA ANAPOLIS"/>
    <n v="1"/>
    <s v="745151 - Tabela "/>
    <n v="0.02"/>
    <n v="96"/>
    <s v=""/>
    <n v="2.4"/>
    <n v="20"/>
    <m/>
    <s v="745151 - RFN - ISSA ANAPOLIS "/>
    <s v="1,35"/>
    <n v="10"/>
    <n v="2"/>
    <n v="500"/>
    <n v="202605"/>
    <s v="LG"/>
    <s v="1"/>
    <n v="1.3500000000000002E-2"/>
    <n v="2.4E-2"/>
    <b v="0"/>
    <s v="20260510"/>
    <n v="5"/>
  </r>
  <r>
    <x v="72"/>
    <s v="2ISSA ANAPOLIS"/>
    <n v="2"/>
    <s v="745152 - Tabela 2"/>
    <n v="1.9E-2"/>
    <n v="96"/>
    <s v=""/>
    <n v="2.4"/>
    <n v="20"/>
    <m/>
    <s v="745152 - RFN - ISSA ANAPOLIS 2 "/>
    <s v="1,35"/>
    <n v="10"/>
    <n v="2"/>
    <n v="500"/>
    <n v="202605"/>
    <s v="LG"/>
    <s v="1"/>
    <n v="1.3500000000000002E-2"/>
    <n v="2.4E-2"/>
    <b v="0"/>
    <s v="20260510"/>
    <n v="5"/>
  </r>
  <r>
    <x v="72"/>
    <s v="3ISSA ANAPOLIS"/>
    <n v="3"/>
    <s v="745153 - Tabela 3"/>
    <n v="1.8500000000000003E-2"/>
    <n v="96"/>
    <s v=""/>
    <n v="2.4"/>
    <n v="20"/>
    <m/>
    <s v="745153 - RFN - ISSA ANAPOLIS 3 "/>
    <s v="1,35"/>
    <n v="10"/>
    <n v="2"/>
    <n v="500"/>
    <n v="202605"/>
    <s v="LG"/>
    <s v="1"/>
    <n v="1.3500000000000002E-2"/>
    <n v="2.4E-2"/>
    <b v="0"/>
    <s v="20260510"/>
    <n v="5"/>
  </r>
  <r>
    <x v="73"/>
    <s v="1ISSM CAMAÇARI"/>
    <n v="1"/>
    <s v="795671 - Tabela 1"/>
    <n v="2.5000000000000001E-2"/>
    <n v="120"/>
    <s v=""/>
    <n v="2.5"/>
    <n v="10"/>
    <m/>
    <s v="795671 - RFN - ISSM CAMAÇARI 1 "/>
    <s v="1,6"/>
    <n v="10"/>
    <n v="2"/>
    <n v="500"/>
    <n v="202605"/>
    <s v="LG"/>
    <s v="1"/>
    <n v="1.6E-2"/>
    <n v="2.5000000000000001E-2"/>
    <b v="1"/>
    <s v="20260510"/>
    <n v="5"/>
  </r>
  <r>
    <x v="73"/>
    <s v="2ISSM CAMAÇARI"/>
    <n v="2"/>
    <s v="795672 - Tabela 2"/>
    <n v="2.4E-2"/>
    <n v="120"/>
    <s v=""/>
    <n v="2.5"/>
    <n v="10"/>
    <n v="41"/>
    <s v="795672 - RFN - ISSM CAMAÇARI 2 "/>
    <s v="1,6"/>
    <n v="10"/>
    <n v="2"/>
    <n v="500"/>
    <n v="202605"/>
    <s v="LG"/>
    <s v="1"/>
    <n v="1.6E-2"/>
    <n v="2.5000000000000001E-2"/>
    <b v="0"/>
    <s v="20260510"/>
    <n v="5"/>
  </r>
  <r>
    <x v="73"/>
    <s v="3ISSM CAMAÇARI"/>
    <n v="3"/>
    <s v="795673 - Tabela 3"/>
    <n v="2.35E-2"/>
    <n v="120"/>
    <s v=""/>
    <n v="2.5"/>
    <n v="10"/>
    <m/>
    <s v="795673 - RFN - ISSM CAMAÇARI 3 "/>
    <s v="1,6"/>
    <n v="10"/>
    <n v="2"/>
    <n v="500"/>
    <n v="202605"/>
    <s v="LG"/>
    <s v="1"/>
    <n v="1.6E-2"/>
    <n v="2.5000000000000001E-2"/>
    <b v="0"/>
    <s v="20260510"/>
    <n v="5"/>
  </r>
  <r>
    <x v="73"/>
    <s v="4ISSM CAMAÇARI"/>
    <n v="4"/>
    <s v="795674 - Tabela 4"/>
    <n v="2.3E-2"/>
    <n v="120"/>
    <s v=""/>
    <n v="2.5"/>
    <n v="10"/>
    <n v="50"/>
    <s v="795674 - RFN - ISSM CAMAÇARI 4 "/>
    <s v="1,6"/>
    <n v="10"/>
    <n v="2"/>
    <n v="500"/>
    <n v="202605"/>
    <s v="LG"/>
    <s v="1"/>
    <n v="1.6E-2"/>
    <n v="2.5000000000000001E-2"/>
    <b v="0"/>
    <s v="20260510"/>
    <n v="5"/>
  </r>
  <r>
    <x v="73"/>
    <s v="5ISSM CAMAÇARI"/>
    <n v="5"/>
    <s v="795675 - Tabela 5"/>
    <n v="2.23E-2"/>
    <n v="120"/>
    <s v=""/>
    <n v="2.5"/>
    <n v="10"/>
    <n v="51"/>
    <s v="795675 - RFN - ISSM CAMAÇARI 5 "/>
    <s v="1,6"/>
    <n v="10"/>
    <n v="2"/>
    <n v="500"/>
    <n v="202605"/>
    <s v="LG"/>
    <s v="1"/>
    <n v="1.6E-2"/>
    <n v="2.5000000000000001E-2"/>
    <b v="0"/>
    <s v="20260510"/>
    <n v="5"/>
  </r>
  <r>
    <x v="74"/>
    <s v="1MANAUSPREV"/>
    <n v="1"/>
    <s v="705531 - Tabela 1"/>
    <n v="2.5000000000000001E-2"/>
    <n v="120"/>
    <s v=""/>
    <n v="2.5"/>
    <n v="7"/>
    <n v="68"/>
    <s v="705531 - RFN - MANAUSPREV 1 "/>
    <s v="1,55"/>
    <n v="30"/>
    <n v="2"/>
    <n v="500"/>
    <n v="202605"/>
    <s v="LG"/>
    <s v="1"/>
    <n v="1.55E-2"/>
    <n v="2.5000000000000001E-2"/>
    <b v="1"/>
    <s v="20260530"/>
    <n v="20"/>
  </r>
  <r>
    <x v="74"/>
    <s v="2MANAUSPREV"/>
    <n v="2"/>
    <s v="705532 - Tabela 2"/>
    <n v="2.4E-2"/>
    <n v="120"/>
    <s v=""/>
    <n v="2.5"/>
    <n v="7"/>
    <n v="68"/>
    <s v="705532 - RFN - MANAUSPREV 2 "/>
    <s v="1,55"/>
    <n v="30"/>
    <n v="2"/>
    <n v="500"/>
    <n v="202605"/>
    <s v="LG"/>
    <s v="1"/>
    <n v="1.55E-2"/>
    <n v="2.5000000000000001E-2"/>
    <b v="0"/>
    <s v="20260530"/>
    <n v="20"/>
  </r>
  <r>
    <x v="74"/>
    <s v="3MANAUSPREV"/>
    <n v="3"/>
    <s v="705533 - Tabela 3"/>
    <n v="2.3E-2"/>
    <n v="120"/>
    <s v=""/>
    <n v="2.5"/>
    <n v="7"/>
    <n v="69"/>
    <s v="705533 - RFN - MANAUSPREV 3 "/>
    <s v="1,55"/>
    <n v="30"/>
    <n v="2"/>
    <n v="500"/>
    <n v="202605"/>
    <s v="LG"/>
    <s v="1"/>
    <n v="1.55E-2"/>
    <n v="2.5000000000000001E-2"/>
    <b v="0"/>
    <s v="20260530"/>
    <n v="20"/>
  </r>
  <r>
    <x v="74"/>
    <s v="4MANAUSPREV"/>
    <n v="4"/>
    <s v="705534 - Tabela 4"/>
    <n v="2.2000000000000002E-2"/>
    <n v="120"/>
    <s v=""/>
    <n v="2.5"/>
    <n v="7"/>
    <m/>
    <s v="705534 - RFN - MANAUSPREV 4 "/>
    <s v="1,55"/>
    <n v="30"/>
    <n v="2"/>
    <n v="500"/>
    <n v="202605"/>
    <s v="LG"/>
    <s v="1"/>
    <n v="1.55E-2"/>
    <n v="2.5000000000000001E-2"/>
    <b v="0"/>
    <s v="20260530"/>
    <n v="20"/>
  </r>
  <r>
    <x v="74"/>
    <s v="5MANAUSPREV"/>
    <n v="5"/>
    <s v="705535 - Tabela 5"/>
    <n v="2.1000000000000001E-2"/>
    <n v="120"/>
    <s v=""/>
    <n v="2.5"/>
    <n v="7"/>
    <n v="57"/>
    <s v="705535 - RFN - MANAUSPREV 5 "/>
    <s v="1,55"/>
    <n v="30"/>
    <n v="2"/>
    <n v="500"/>
    <n v="202605"/>
    <s v="LG"/>
    <s v="1"/>
    <n v="1.55E-2"/>
    <n v="2.5000000000000001E-2"/>
    <b v="0"/>
    <s v="20260530"/>
    <n v="20"/>
  </r>
  <r>
    <x v="75"/>
    <s v="1MARINHA_"/>
    <n v="1"/>
    <s v="785351 - Tabela 1"/>
    <n v="2.0199999999999999E-2"/>
    <n v="72"/>
    <s v=""/>
    <n v="2.16"/>
    <n v="5"/>
    <n v="54"/>
    <s v="785351 - RFN - MARINHA 1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2MARINHA_"/>
    <n v="2"/>
    <s v="785352 - Tabela 2"/>
    <n v="1.9799999999999998E-2"/>
    <n v="72"/>
    <s v=""/>
    <n v="2.16"/>
    <n v="5"/>
    <n v="52"/>
    <s v="785352 - RFN - MARINHA 2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3MARINHA_"/>
    <n v="3"/>
    <s v="785353 - Tabela 3"/>
    <n v="1.9400000000000001E-2"/>
    <n v="72"/>
    <s v=""/>
    <n v="2.16"/>
    <n v="5"/>
    <n v="54"/>
    <s v="785353 - RFN - MARINHA 3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4MARINHA_"/>
    <n v="4"/>
    <s v="785354 - Tabela 4"/>
    <n v="1.9E-2"/>
    <n v="72"/>
    <s v=""/>
    <n v="2.16"/>
    <n v="5"/>
    <n v="54"/>
    <s v="785354 - RFN - MARINHA 4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5MARINHA_"/>
    <n v="5"/>
    <s v="785355 - Tabela 5"/>
    <n v="1.8600000000000002E-2"/>
    <n v="72"/>
    <s v=""/>
    <n v="2.16"/>
    <n v="5"/>
    <n v="54"/>
    <s v="785355 - RFN - MARINHA 5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6MARINHA_"/>
    <n v="6"/>
    <s v="785356 - Tabela 6"/>
    <n v="1.8200000000000001E-2"/>
    <n v="72"/>
    <s v=""/>
    <n v="2.16"/>
    <n v="5"/>
    <n v="53"/>
    <s v="785356 - RFN - MARINHA 6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7MARINHA_"/>
    <n v="7"/>
    <s v="785357 - Tabela 7"/>
    <n v="1.78E-2"/>
    <n v="72"/>
    <s v=""/>
    <n v="2.16"/>
    <n v="5"/>
    <n v="54"/>
    <s v="785357 - RFN - MARINHA 7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8MARINHA_"/>
    <n v="8"/>
    <s v="785358 - Tabela 8"/>
    <n v="1.7399999999999999E-2"/>
    <n v="72"/>
    <s v=""/>
    <n v="2.16"/>
    <n v="5"/>
    <n v="54"/>
    <s v="785358 - RFN - MARINHA 8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9MARINHA_"/>
    <n v="9"/>
    <s v="785359 - Tabela 9"/>
    <n v="1.7000000000000001E-2"/>
    <n v="72"/>
    <s v=""/>
    <n v="2.16"/>
    <n v="5"/>
    <n v="55"/>
    <s v="785359 - RFN - MARINHA 9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10MARINHA_"/>
    <n v="10"/>
    <s v="785360 - Tabela 10"/>
    <n v="1.66E-2"/>
    <n v="72"/>
    <s v=""/>
    <n v="2.16"/>
    <n v="5"/>
    <n v="55"/>
    <s v="785360 - RFN - MARINHA 10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11MARINHA_"/>
    <n v="11"/>
    <s v="785320 - Tabela "/>
    <n v="1.6200000000000003E-2"/>
    <n v="72"/>
    <s v=""/>
    <n v="2.16"/>
    <n v="5"/>
    <n v="50"/>
    <s v="785320 - IFP RFN - MARINHA "/>
    <s v="1,36"/>
    <n v="1"/>
    <n v="2"/>
    <n v="500"/>
    <n v="202605"/>
    <s v="LG"/>
    <s v="1"/>
    <n v="1.3600000000000001E-2"/>
    <n v="2.1600000000000001E-2"/>
    <b v="0"/>
    <s v="2026051"/>
    <n v="0"/>
  </r>
  <r>
    <x v="75"/>
    <s v="12MARINHA_"/>
    <n v="12"/>
    <s v="785368 - Tabela 11"/>
    <n v="1.5900000000000001E-2"/>
    <n v="72"/>
    <s v=""/>
    <n v="2.16"/>
    <n v="5"/>
    <n v="55"/>
    <s v="785368 - RFN - MARINHA 50K 11 "/>
    <s v="1,36"/>
    <n v="1"/>
    <n v="2"/>
    <n v="50000"/>
    <n v="202605"/>
    <s v="LG"/>
    <s v="1"/>
    <n v="1.3600000000000001E-2"/>
    <n v="2.1600000000000001E-2"/>
    <b v="0"/>
    <s v="2026051"/>
    <n v="0"/>
  </r>
  <r>
    <x v="76"/>
    <s v="1MIN PUB PARA"/>
    <n v="1"/>
    <s v="765531 - Tabela 1"/>
    <n v="2.5000000000000001E-2"/>
    <n v="96"/>
    <s v=""/>
    <n v="2.5"/>
    <n v="15"/>
    <m/>
    <s v="765531 - RFN - MIN PUB PARA 1 "/>
    <s v="1,6"/>
    <n v="4"/>
    <n v="2"/>
    <n v="500"/>
    <n v="202605"/>
    <s v="LG"/>
    <s v="1"/>
    <n v="1.6E-2"/>
    <n v="2.5000000000000001E-2"/>
    <b v="1"/>
    <s v="2026054"/>
    <n v="1"/>
  </r>
  <r>
    <x v="76"/>
    <s v="2MIN PUB PARA"/>
    <n v="2"/>
    <s v="765532 - Tabela 2"/>
    <n v="2.4E-2"/>
    <n v="96"/>
    <s v=""/>
    <n v="2.5"/>
    <n v="15"/>
    <m/>
    <s v="765532 - RFN - MIN PUB PARA 2 "/>
    <s v="1,6"/>
    <n v="4"/>
    <n v="2"/>
    <n v="500"/>
    <n v="202605"/>
    <s v="LG"/>
    <s v="1"/>
    <n v="1.6E-2"/>
    <n v="2.5000000000000001E-2"/>
    <b v="0"/>
    <s v="2026054"/>
    <n v="1"/>
  </r>
  <r>
    <x v="76"/>
    <s v="3MIN PUB PARA"/>
    <n v="3"/>
    <s v="765533 - Tabela 3"/>
    <n v="2.3E-2"/>
    <n v="96"/>
    <s v=""/>
    <n v="2.5"/>
    <n v="15"/>
    <n v="53"/>
    <s v="765533 - RFN - MIN PUB PARA 3 "/>
    <s v="1,6"/>
    <n v="4"/>
    <n v="2"/>
    <n v="500"/>
    <n v="202605"/>
    <s v="LG"/>
    <s v="1"/>
    <n v="1.6E-2"/>
    <n v="2.5000000000000001E-2"/>
    <b v="0"/>
    <s v="2026054"/>
    <n v="1"/>
  </r>
  <r>
    <x v="76"/>
    <s v="4MIN PUB PARA"/>
    <n v="4"/>
    <s v="765534 - Tabela 4"/>
    <n v="2.2000000000000002E-2"/>
    <n v="96"/>
    <s v=""/>
    <n v="2.5"/>
    <n v="15"/>
    <m/>
    <s v="765534 - RFN - MIN PUB PARA 4 "/>
    <s v="1,6"/>
    <n v="4"/>
    <n v="2"/>
    <n v="500"/>
    <n v="202605"/>
    <s v="LG"/>
    <s v="1"/>
    <n v="1.6E-2"/>
    <n v="2.5000000000000001E-2"/>
    <b v="0"/>
    <s v="2026054"/>
    <n v="1"/>
  </r>
  <r>
    <x v="76"/>
    <s v="5MIN PUB PARA"/>
    <n v="5"/>
    <s v="765535 - Tabela 5"/>
    <n v="2.1000000000000001E-2"/>
    <n v="96"/>
    <s v=""/>
    <n v="2.5"/>
    <n v="15"/>
    <m/>
    <s v="765535 - RFN - MIN PUB PARA 5 "/>
    <s v="1,6"/>
    <n v="4"/>
    <n v="2"/>
    <n v="500"/>
    <n v="202605"/>
    <s v="LG"/>
    <s v="1"/>
    <n v="1.6E-2"/>
    <n v="2.5000000000000001E-2"/>
    <b v="0"/>
    <s v="2026054"/>
    <n v="1"/>
  </r>
  <r>
    <x v="76"/>
    <s v="6MIN PUB PARA"/>
    <n v="6"/>
    <s v="765536 - Tabela 6"/>
    <n v="0.02"/>
    <n v="96"/>
    <s v=""/>
    <n v="2.5"/>
    <n v="15"/>
    <n v="61"/>
    <s v="765536 - RFN - MIN PUB PARA 6 "/>
    <s v="1,6"/>
    <n v="4"/>
    <n v="2"/>
    <n v="500"/>
    <n v="202605"/>
    <s v="LG"/>
    <s v="1"/>
    <n v="1.6E-2"/>
    <n v="2.5000000000000001E-2"/>
    <b v="0"/>
    <s v="2026054"/>
    <n v="1"/>
  </r>
  <r>
    <x v="76"/>
    <s v="7MIN PUB PARA"/>
    <n v="7"/>
    <s v="765537 - Tabela 7"/>
    <n v="1.9E-2"/>
    <n v="96"/>
    <s v=""/>
    <n v="2.5"/>
    <n v="15"/>
    <m/>
    <s v="765537 - RFN - MIN PUB PARA 7 "/>
    <s v="1,6"/>
    <n v="4"/>
    <n v="2"/>
    <n v="500"/>
    <n v="202605"/>
    <s v="LG"/>
    <s v="1"/>
    <n v="1.6E-2"/>
    <n v="2.5000000000000001E-2"/>
    <b v="0"/>
    <s v="2026054"/>
    <n v="1"/>
  </r>
  <r>
    <x v="77"/>
    <s v="1MPDFT"/>
    <n v="1"/>
    <s v="795980 - Tabela 1"/>
    <n v="0.02"/>
    <n v="120"/>
    <s v=""/>
    <n v="2.1"/>
    <n v="25"/>
    <n v="40"/>
    <s v="795980 - RFN - MPDF 1  "/>
    <s v="1,3"/>
    <n v="5"/>
    <n v="2"/>
    <n v="500"/>
    <n v="202605"/>
    <s v="NW"/>
    <s v="0"/>
    <n v="1.3000000000000001E-2"/>
    <n v="2.1000000000000001E-2"/>
    <b v="0"/>
    <s v="2026055"/>
    <n v="2"/>
  </r>
  <r>
    <x v="77"/>
    <s v="2MPDFT"/>
    <n v="2"/>
    <s v="795981 - Tabela 2"/>
    <n v="1.8000000000000002E-2"/>
    <n v="120"/>
    <s v=""/>
    <n v="2.1"/>
    <n v="25"/>
    <m/>
    <s v="795981 - RFN - MPDF 2  "/>
    <s v="1,3"/>
    <n v="5"/>
    <n v="2"/>
    <n v="500"/>
    <n v="202605"/>
    <s v="NW"/>
    <s v="0"/>
    <n v="1.3000000000000001E-2"/>
    <n v="2.1000000000000001E-2"/>
    <b v="0"/>
    <s v="2026055"/>
    <n v="2"/>
  </r>
  <r>
    <x v="77"/>
    <s v="3MPDFT"/>
    <n v="3"/>
    <s v="795982 - Tabela 3"/>
    <n v="1.7000000000000001E-2"/>
    <n v="120"/>
    <s v=""/>
    <n v="2.1"/>
    <n v="25"/>
    <n v="31"/>
    <s v="795982 - RFN - MPDF 3  "/>
    <s v="1,3"/>
    <n v="5"/>
    <n v="2"/>
    <n v="500"/>
    <n v="202605"/>
    <s v="NW"/>
    <s v="0"/>
    <n v="1.3000000000000001E-2"/>
    <n v="2.1000000000000001E-2"/>
    <b v="0"/>
    <s v="2026055"/>
    <n v="2"/>
  </r>
  <r>
    <x v="78"/>
    <s v="1MUTUMPREV"/>
    <n v="1"/>
    <s v="455071 - Tabela 1"/>
    <n v="2.5000000000000001E-2"/>
    <n v="120"/>
    <s v=""/>
    <n v="2.5"/>
    <n v="11"/>
    <m/>
    <s v="455071 - RFN - PREV NOVA MUTUM 1 "/>
    <s v="1,45"/>
    <n v="15"/>
    <n v="2"/>
    <n v="500"/>
    <n v="202605"/>
    <s v="LG"/>
    <s v="0"/>
    <n v="1.4499999999999999E-2"/>
    <n v="2.5000000000000001E-2"/>
    <b v="1"/>
    <s v="20260515"/>
    <n v="10"/>
  </r>
  <r>
    <x v="78"/>
    <s v="2MUTUMPREV"/>
    <n v="2"/>
    <s v="455072 - Tabela 2"/>
    <n v="2.2499999999999999E-2"/>
    <n v="120"/>
    <s v=""/>
    <n v="2.5"/>
    <n v="11"/>
    <m/>
    <s v="455072 - RFN - PREV NOVA MUTUM 2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3MUTUMPREV"/>
    <n v="3"/>
    <s v="455073 - Tabela 3"/>
    <n v="0.02"/>
    <n v="120"/>
    <s v=""/>
    <n v="2.5"/>
    <n v="11"/>
    <m/>
    <s v="455073 - RFN - PREV NOVA MUTUM 3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4MUTUMPREV"/>
    <n v="4"/>
    <s v="455074 - Tabela 4"/>
    <n v="1.8000000000000002E-2"/>
    <n v="120"/>
    <s v=""/>
    <n v="2.5"/>
    <n v="11"/>
    <m/>
    <s v="455074 - RFN - PREV NOVA MUTUM 4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5MUTUMPREV"/>
    <n v="5"/>
    <s v="455075 - Tabela 5"/>
    <n v="1.7600000000000001E-2"/>
    <n v="120"/>
    <s v=""/>
    <n v="2.5"/>
    <n v="11"/>
    <m/>
    <s v="455075 - RFN - PREV NOVA MUTUM 5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6MUTUMPREV"/>
    <n v="6"/>
    <s v="455076 - Tabela 6"/>
    <n v="1.7399999999999999E-2"/>
    <n v="120"/>
    <s v=""/>
    <n v="2.5"/>
    <n v="11"/>
    <m/>
    <s v="455076 - RFN - PREV NOVA MUTUM 6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7MUTUMPREV"/>
    <n v="7"/>
    <s v="455077 - Tabela 7"/>
    <n v="1.72E-2"/>
    <n v="120"/>
    <s v=""/>
    <n v="2.5"/>
    <n v="11"/>
    <m/>
    <s v="455077 - RFN - PREV NOVA MUTUM 7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8MUTUMPREV"/>
    <n v="8"/>
    <s v="455078 - Tabela 8"/>
    <n v="1.7000000000000001E-2"/>
    <n v="120"/>
    <s v=""/>
    <n v="2.5"/>
    <n v="11"/>
    <m/>
    <s v="455078 - RFN - PREV NOVA MUTUM 8 "/>
    <s v="1,45"/>
    <n v="15"/>
    <n v="2"/>
    <n v="500"/>
    <n v="202605"/>
    <s v="LG"/>
    <s v="0"/>
    <n v="1.4499999999999999E-2"/>
    <n v="2.5000000000000001E-2"/>
    <b v="0"/>
    <s v="20260515"/>
    <n v="10"/>
  </r>
  <r>
    <x v="78"/>
    <s v="9MUTUMPREV"/>
    <n v="9"/>
    <s v="455079 - Tabela 9"/>
    <n v="1.6799999999999999E-2"/>
    <n v="120"/>
    <s v=""/>
    <n v="2.5"/>
    <n v="11"/>
    <m/>
    <s v="455079 - RFN - PREV NOVA MUTUM 9 "/>
    <s v="1,45"/>
    <n v="15"/>
    <n v="2"/>
    <n v="500"/>
    <n v="202605"/>
    <s v="LG"/>
    <s v="0"/>
    <n v="1.4499999999999999E-2"/>
    <n v="2.5000000000000001E-2"/>
    <b v="0"/>
    <s v="20260515"/>
    <n v="10"/>
  </r>
  <r>
    <x v="79"/>
    <s v="1OMSS REGISTRO"/>
    <n v="1"/>
    <s v="715071 - Tabela 1"/>
    <n v="2.5000000000000001E-2"/>
    <n v="120"/>
    <s v=""/>
    <n v="2.5"/>
    <n v="15"/>
    <m/>
    <s v="715071 - RFN - OMSS REGISTRO  1 "/>
    <s v="1,39"/>
    <n v="15"/>
    <n v="2"/>
    <n v="500"/>
    <n v="202605"/>
    <s v="LG"/>
    <s v="1"/>
    <n v="1.3899999999999999E-2"/>
    <n v="2.5000000000000001E-2"/>
    <b v="1"/>
    <s v="20260515"/>
    <n v="10"/>
  </r>
  <r>
    <x v="79"/>
    <s v="2OMSS REGISTRO"/>
    <n v="2"/>
    <s v="715072 - Tabela 2"/>
    <n v="2.3900000000000001E-2"/>
    <n v="120"/>
    <s v=""/>
    <n v="2.5"/>
    <n v="15"/>
    <m/>
    <s v="715072 - RFN - OMSS REGISTRO  2 "/>
    <s v="1,39"/>
    <n v="15"/>
    <n v="2"/>
    <n v="500"/>
    <n v="202605"/>
    <s v="LG"/>
    <s v="1"/>
    <n v="1.3899999999999999E-2"/>
    <n v="2.5000000000000001E-2"/>
    <b v="0"/>
    <s v="20260515"/>
    <n v="10"/>
  </r>
  <r>
    <x v="79"/>
    <s v="3OMSS REGISTRO"/>
    <n v="3"/>
    <s v="715073 - Tabela 3"/>
    <n v="2.29E-2"/>
    <n v="120"/>
    <s v=""/>
    <n v="2.5"/>
    <n v="15"/>
    <n v="56"/>
    <s v="715073 - RFN - OMSS REGISTRO  3 "/>
    <s v="1,39"/>
    <n v="15"/>
    <n v="2"/>
    <n v="500"/>
    <n v="202605"/>
    <s v="LG"/>
    <s v="1"/>
    <n v="1.3899999999999999E-2"/>
    <n v="2.5000000000000001E-2"/>
    <b v="0"/>
    <s v="20260515"/>
    <n v="10"/>
  </r>
  <r>
    <x v="79"/>
    <s v="4OMSS REGISTRO"/>
    <n v="4"/>
    <s v="715074 - Tabela 4"/>
    <n v="2.1899999999999999E-2"/>
    <n v="120"/>
    <s v=""/>
    <n v="2.5"/>
    <n v="15"/>
    <m/>
    <s v="715074 - RFN - OMSS REGISTRO  4 "/>
    <s v="1,39"/>
    <n v="15"/>
    <n v="2"/>
    <n v="500"/>
    <n v="202605"/>
    <s v="LG"/>
    <s v="1"/>
    <n v="1.3899999999999999E-2"/>
    <n v="2.5000000000000001E-2"/>
    <b v="0"/>
    <s v="20260515"/>
    <n v="10"/>
  </r>
  <r>
    <x v="79"/>
    <s v="5OMSS REGISTRO"/>
    <n v="5"/>
    <s v="715075 - Tabela 5"/>
    <n v="2.0899999999999998E-2"/>
    <n v="120"/>
    <s v=""/>
    <n v="2.5"/>
    <n v="15"/>
    <m/>
    <s v="715075 - RFN - OMSS REGISTRO  5 "/>
    <s v="1,39"/>
    <n v="15"/>
    <n v="2"/>
    <n v="500"/>
    <n v="202605"/>
    <s v="LG"/>
    <s v="1"/>
    <n v="1.3899999999999999E-2"/>
    <n v="2.5000000000000001E-2"/>
    <b v="0"/>
    <s v="20260515"/>
    <n v="10"/>
  </r>
  <r>
    <x v="79"/>
    <s v="6OMSS REGISTRO"/>
    <n v="6"/>
    <s v="715076 - Tabela 6"/>
    <n v="1.9900000000000001E-2"/>
    <n v="120"/>
    <s v=""/>
    <n v="2.5"/>
    <n v="15"/>
    <m/>
    <s v="715076 - RFN - OMSS REGISTRO  6 "/>
    <s v="1,39"/>
    <n v="15"/>
    <n v="2"/>
    <n v="500"/>
    <n v="202605"/>
    <s v="LG"/>
    <s v="1"/>
    <n v="1.3899999999999999E-2"/>
    <n v="2.5000000000000001E-2"/>
    <b v="0"/>
    <s v="20260515"/>
    <n v="10"/>
  </r>
  <r>
    <x v="79"/>
    <s v="7OMSS REGISTRO"/>
    <n v="7"/>
    <s v="715077 - Tabela 7"/>
    <n v="1.89E-2"/>
    <n v="120"/>
    <s v=""/>
    <n v="2.5"/>
    <n v="15"/>
    <m/>
    <s v="715077 - RFN - OMSS REGISTRO  7 "/>
    <s v="1,39"/>
    <n v="15"/>
    <n v="2"/>
    <n v="500"/>
    <n v="202605"/>
    <s v="LG"/>
    <s v="1"/>
    <n v="1.3899999999999999E-2"/>
    <n v="2.5000000000000001E-2"/>
    <b v="0"/>
    <s v="20260515"/>
    <n v="10"/>
  </r>
  <r>
    <x v="79"/>
    <s v="8OMSS REGISTRO"/>
    <n v="8"/>
    <s v="715078 - Tabela 8"/>
    <n v="1.7899999999999999E-2"/>
    <n v="120"/>
    <s v=""/>
    <n v="2.5"/>
    <n v="15"/>
    <m/>
    <s v="715078 - RFN - OMSS REGISTRO  8 "/>
    <s v="1,39"/>
    <n v="15"/>
    <n v="2"/>
    <n v="500"/>
    <n v="202605"/>
    <s v="LG"/>
    <s v="1"/>
    <n v="1.3899999999999999E-2"/>
    <n v="2.5000000000000001E-2"/>
    <b v="0"/>
    <s v="20260515"/>
    <n v="10"/>
  </r>
  <r>
    <x v="80"/>
    <s v="1PICOSPREV PI"/>
    <n v="1"/>
    <s v="715461 - Tabela 1"/>
    <n v="2.5000000000000001E-2"/>
    <n v="120"/>
    <s v=""/>
    <n v="2.5"/>
    <n v="12"/>
    <m/>
    <s v="715461 - RFN - PICOSPREV 1 "/>
    <s v="1,5"/>
    <n v="10"/>
    <n v="2"/>
    <n v="500"/>
    <n v="202605"/>
    <s v="NW"/>
    <s v="1"/>
    <n v="1.4999999999999999E-2"/>
    <n v="2.5000000000000001E-2"/>
    <b v="1"/>
    <s v="20260510"/>
    <n v="5"/>
  </r>
  <r>
    <x v="80"/>
    <s v="2PICOSPREV PI"/>
    <n v="2"/>
    <s v="715462 - Tabela 2"/>
    <n v="2.4E-2"/>
    <n v="120"/>
    <s v=""/>
    <n v="2.5"/>
    <n v="12"/>
    <m/>
    <s v="715462 - RFN - PICOSPREV 2 "/>
    <s v="1,5"/>
    <n v="10"/>
    <n v="2"/>
    <n v="500"/>
    <n v="202605"/>
    <s v="NW"/>
    <s v="1"/>
    <n v="1.4999999999999999E-2"/>
    <n v="2.5000000000000001E-2"/>
    <b v="0"/>
    <s v="20260510"/>
    <n v="5"/>
  </r>
  <r>
    <x v="80"/>
    <s v="3PICOSPREV PI"/>
    <n v="3"/>
    <s v="715463 - Tabela 3"/>
    <n v="2.3E-2"/>
    <n v="120"/>
    <s v=""/>
    <n v="2.5"/>
    <n v="12"/>
    <m/>
    <s v="715463 - RFN - PICOSPREV 3 "/>
    <s v="1,5"/>
    <n v="10"/>
    <n v="2"/>
    <n v="500"/>
    <n v="202605"/>
    <s v="NW"/>
    <s v="1"/>
    <n v="1.4999999999999999E-2"/>
    <n v="2.5000000000000001E-2"/>
    <b v="0"/>
    <s v="20260510"/>
    <n v="5"/>
  </r>
  <r>
    <x v="80"/>
    <s v="4PICOSPREV PI"/>
    <n v="4"/>
    <s v="715464 - Tabela 4"/>
    <n v="2.2000000000000002E-2"/>
    <n v="120"/>
    <s v=""/>
    <n v="2.5"/>
    <n v="12"/>
    <m/>
    <s v="715464 - RFN - PICOSPREV 4 "/>
    <s v="1,5"/>
    <n v="10"/>
    <n v="2"/>
    <n v="500"/>
    <n v="202605"/>
    <s v="NW"/>
    <s v="1"/>
    <n v="1.4999999999999999E-2"/>
    <n v="2.5000000000000001E-2"/>
    <b v="0"/>
    <s v="20260510"/>
    <n v="5"/>
  </r>
  <r>
    <x v="80"/>
    <s v="5PICOSPREV PI"/>
    <n v="5"/>
    <s v="715465 - Tabela 5"/>
    <n v="2.1499999999999998E-2"/>
    <n v="120"/>
    <s v=""/>
    <n v="2.5"/>
    <n v="12"/>
    <m/>
    <s v="715465 - RFN - PICOSPREV 5 "/>
    <s v="1,5"/>
    <n v="10"/>
    <n v="2"/>
    <n v="500"/>
    <n v="202605"/>
    <s v="NW"/>
    <s v="1"/>
    <n v="1.4999999999999999E-2"/>
    <n v="2.5000000000000001E-2"/>
    <b v="0"/>
    <s v="20260510"/>
    <n v="5"/>
  </r>
  <r>
    <x v="81"/>
    <s v="1PM FEIRA DE SAN"/>
    <n v="1"/>
    <s v="765051 - Tabela 1"/>
    <n v="2.5000000000000001E-2"/>
    <n v="120"/>
    <s v=""/>
    <n v="2.5"/>
    <n v="10"/>
    <n v="46"/>
    <s v="765051 - RFN PREF FEIRA DE SANTANA  1  "/>
    <s v="1,4"/>
    <n v="30"/>
    <n v="2"/>
    <n v="500"/>
    <n v="202605"/>
    <s v="NW"/>
    <s v="1"/>
    <n v="1.3999999999999999E-2"/>
    <n v="2.5000000000000001E-2"/>
    <b v="1"/>
    <s v="20260530"/>
    <n v="20"/>
  </r>
  <r>
    <x v="81"/>
    <s v="2PM FEIRA DE SAN"/>
    <n v="2"/>
    <s v="765052 - Tabela 2"/>
    <n v="2.4E-2"/>
    <n v="120"/>
    <s v=""/>
    <n v="2.5"/>
    <n v="10"/>
    <n v="56"/>
    <s v="765052 - RFN PREF FEIRA DE SANTANA  2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3PM FEIRA DE SAN"/>
    <n v="3"/>
    <s v="765053 - Tabela 3"/>
    <n v="2.3E-2"/>
    <n v="120"/>
    <s v=""/>
    <n v="2.5"/>
    <n v="10"/>
    <n v="46"/>
    <s v="765053 - RFN PREF FEIRA DE SANTANA  3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4PM FEIRA DE SAN"/>
    <n v="4"/>
    <s v="765054 - Tabela 4"/>
    <n v="2.2000000000000002E-2"/>
    <n v="120"/>
    <s v=""/>
    <n v="2.5"/>
    <n v="10"/>
    <n v="46"/>
    <s v="765054 - RFN PREF FEIRA DE SANTANA  4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5PM FEIRA DE SAN"/>
    <n v="5"/>
    <s v="765055 - Tabela 5"/>
    <n v="2.1000000000000001E-2"/>
    <n v="120"/>
    <s v=""/>
    <n v="2.5"/>
    <n v="10"/>
    <n v="46"/>
    <s v="765055 - RFN PREF FEIRA DE SANTANA  5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6PM FEIRA DE SAN"/>
    <n v="6"/>
    <s v="765056 - Tabela 6"/>
    <n v="2.0499999999999997E-2"/>
    <n v="120"/>
    <s v=""/>
    <n v="2.5"/>
    <n v="10"/>
    <n v="46"/>
    <s v="765056 - RFN PREF FEIRA DE SANTANA  6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7PM FEIRA DE SAN"/>
    <n v="7"/>
    <s v="765057 - Tabela 7"/>
    <n v="0.02"/>
    <n v="120"/>
    <s v=""/>
    <n v="2.5"/>
    <n v="10"/>
    <n v="46"/>
    <s v="765057 - RFN PREF FEIRA DE SANTANA  7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8PM FEIRA DE SAN"/>
    <n v="8"/>
    <s v="765058 - Tabela 8"/>
    <n v="1.95E-2"/>
    <n v="120"/>
    <s v=""/>
    <n v="2.5"/>
    <n v="10"/>
    <n v="46"/>
    <s v="765058 - RFN PREF FEIRA DE SANTANA  8  "/>
    <s v="1,4"/>
    <n v="30"/>
    <n v="2"/>
    <n v="500"/>
    <n v="202605"/>
    <s v="NW"/>
    <s v="1"/>
    <n v="1.3999999999999999E-2"/>
    <n v="2.5000000000000001E-2"/>
    <b v="0"/>
    <s v="20260530"/>
    <n v="20"/>
  </r>
  <r>
    <x v="81"/>
    <s v="9PM FEIRA DE SAN"/>
    <n v="9"/>
    <s v="765059 - Tabela 309"/>
    <n v="1.9E-2"/>
    <n v="120"/>
    <s v=""/>
    <n v="2.5"/>
    <n v="10"/>
    <n v="46"/>
    <s v="765059 - RFN PREF FEIRA SANTANA  30K 9 "/>
    <s v="1,4"/>
    <n v="30"/>
    <n v="2"/>
    <n v="30000"/>
    <n v="202605"/>
    <s v="NW"/>
    <s v="1"/>
    <n v="1.3999999999999999E-2"/>
    <n v="2.5000000000000001E-2"/>
    <b v="0"/>
    <s v="20260530"/>
    <n v="20"/>
  </r>
  <r>
    <x v="82"/>
    <s v="1PRE NOVA MAMORE"/>
    <n v="1"/>
    <s v="705472 - Tabela 2"/>
    <n v="2.2499999999999999E-2"/>
    <n v="120"/>
    <s v=""/>
    <n v="2.5"/>
    <n v="7"/>
    <m/>
    <s v="705472 - RFN - PREF NOVA MAMORE  2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2PRE NOVA MAMORE"/>
    <n v="2"/>
    <s v="705473 - Tabela 3"/>
    <n v="0.02"/>
    <n v="120"/>
    <s v=""/>
    <n v="2.5"/>
    <n v="7"/>
    <m/>
    <s v="705473 - RFN - PREF NOVA MAMORE  3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3PRE NOVA MAMORE"/>
    <n v="3"/>
    <s v="705474 - Tabela 4"/>
    <n v="1.8000000000000002E-2"/>
    <n v="120"/>
    <s v=""/>
    <n v="2.5"/>
    <n v="7"/>
    <m/>
    <s v="705474 - RFN - PREF NOVA MAMORE  4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4PRE NOVA MAMORE"/>
    <n v="4"/>
    <s v="705475 - Tabela 5"/>
    <n v="1.7600000000000001E-2"/>
    <n v="120"/>
    <s v=""/>
    <n v="2.5"/>
    <n v="7"/>
    <m/>
    <s v="705475 - RFN - PREF NOVA MAMORE  5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5PRE NOVA MAMORE"/>
    <n v="5"/>
    <s v="705476 - Tabela 6"/>
    <n v="1.7399999999999999E-2"/>
    <n v="120"/>
    <s v=""/>
    <n v="2.5"/>
    <n v="7"/>
    <m/>
    <s v="705476 - RFN - PREF NOVA MAMORE  6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6PRE NOVA MAMORE"/>
    <n v="6"/>
    <s v="705477 - Tabela 7"/>
    <n v="1.72E-2"/>
    <n v="120"/>
    <s v=""/>
    <n v="2.5"/>
    <n v="7"/>
    <m/>
    <s v="705477 - RFN - PREF NOVA MAMORE  7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7PRE NOVA MAMORE"/>
    <n v="7"/>
    <s v="705479 - Tabela 8"/>
    <n v="1.7000000000000001E-2"/>
    <n v="120"/>
    <s v=""/>
    <n v="2.5"/>
    <n v="7"/>
    <m/>
    <s v="705479 - RFN - PREF NOVA MAMORE  8 "/>
    <s v="1,42"/>
    <n v="10"/>
    <n v="2"/>
    <n v="500"/>
    <n v="202605"/>
    <s v="LG"/>
    <s v="0"/>
    <n v="1.4199999999999999E-2"/>
    <n v="2.5000000000000001E-2"/>
    <b v="0"/>
    <s v="20260510"/>
    <n v="5"/>
  </r>
  <r>
    <x v="82"/>
    <s v="8PRE NOVA MAMORE"/>
    <n v="8"/>
    <s v="705488 - Tabela 9"/>
    <n v="1.6799999999999999E-2"/>
    <n v="120"/>
    <s v=""/>
    <n v="2.5"/>
    <n v="7"/>
    <m/>
    <s v="705488 - RFN - PREF NOVA MAMORE  9 "/>
    <s v="1,42"/>
    <n v="10"/>
    <n v="2"/>
    <n v="500"/>
    <n v="202605"/>
    <s v="LG"/>
    <s v="0"/>
    <n v="1.4199999999999999E-2"/>
    <n v="2.5000000000000001E-2"/>
    <b v="0"/>
    <s v="20260510"/>
    <n v="5"/>
  </r>
  <r>
    <x v="83"/>
    <s v="1PREF  BARREIRIN"/>
    <n v="1"/>
    <s v="775650 - Tabela 1"/>
    <n v="2.5000000000000001E-2"/>
    <n v="96"/>
    <s v=""/>
    <n v="2.5"/>
    <n v="25"/>
    <m/>
    <s v="775650 - RFN - PREF BARREIRINHAS 1 "/>
    <s v="1,46"/>
    <n v="1"/>
    <n v="2"/>
    <n v="500"/>
    <n v="202605"/>
    <s v="LG"/>
    <s v="1"/>
    <n v="1.46E-2"/>
    <n v="2.5000000000000001E-2"/>
    <b v="1"/>
    <s v="2026051"/>
    <n v="0"/>
  </r>
  <r>
    <x v="83"/>
    <s v="2PREF  BARREIRIN"/>
    <n v="2"/>
    <s v="775651 - Tabela 2"/>
    <n v="2.4E-2"/>
    <n v="96"/>
    <s v=""/>
    <n v="2.5"/>
    <n v="25"/>
    <m/>
    <s v="775651 - RFN - PREF BARREIRINHAS 2 "/>
    <s v="1,46"/>
    <n v="1"/>
    <n v="2"/>
    <n v="500"/>
    <n v="202605"/>
    <s v="LG"/>
    <s v="1"/>
    <n v="1.46E-2"/>
    <n v="2.5000000000000001E-2"/>
    <b v="0"/>
    <s v="2026051"/>
    <n v="0"/>
  </r>
  <r>
    <x v="83"/>
    <s v="3PREF  BARREIRIN"/>
    <n v="3"/>
    <s v="775652 - Tabela 3"/>
    <n v="2.3E-2"/>
    <n v="96"/>
    <s v=""/>
    <n v="2.5"/>
    <n v="25"/>
    <m/>
    <s v="775652 - RFN - PREF BARREIRINHAS 3 "/>
    <s v="1,46"/>
    <n v="1"/>
    <n v="2"/>
    <n v="500"/>
    <n v="202605"/>
    <s v="LG"/>
    <s v="1"/>
    <n v="1.46E-2"/>
    <n v="2.5000000000000001E-2"/>
    <b v="0"/>
    <s v="2026051"/>
    <n v="0"/>
  </r>
  <r>
    <x v="83"/>
    <s v="4PREF  BARREIRIN"/>
    <n v="4"/>
    <s v="775653 - Tabela 4"/>
    <n v="0.02"/>
    <n v="96"/>
    <s v=""/>
    <n v="2.5"/>
    <n v="25"/>
    <m/>
    <s v="775653 - RFN - PREF BARREIRINHAS 4 "/>
    <s v="1,46"/>
    <n v="1"/>
    <n v="2"/>
    <n v="500"/>
    <n v="202605"/>
    <s v="LG"/>
    <s v="1"/>
    <n v="1.46E-2"/>
    <n v="2.5000000000000001E-2"/>
    <b v="0"/>
    <s v="2026051"/>
    <n v="0"/>
  </r>
  <r>
    <x v="84"/>
    <s v="1PREF  ITABERAI"/>
    <n v="1"/>
    <s v="765071 - Tabela 1"/>
    <n v="2.5000000000000001E-2"/>
    <n v="120"/>
    <s v=""/>
    <n v="2.5"/>
    <n v="11"/>
    <m/>
    <s v="765071 - RFN - PREF ITABERAI 1 "/>
    <s v="1,45"/>
    <n v="15"/>
    <n v="2"/>
    <n v="500"/>
    <n v="202605"/>
    <s v="LG"/>
    <s v="0"/>
    <n v="1.4499999999999999E-2"/>
    <n v="2.5000000000000001E-2"/>
    <b v="1"/>
    <s v="20260515"/>
    <n v="10"/>
  </r>
  <r>
    <x v="84"/>
    <s v="2PREF  ITABERAI"/>
    <n v="2"/>
    <s v="765072 - Tabela 2"/>
    <n v="2.2499999999999999E-2"/>
    <n v="120"/>
    <s v=""/>
    <n v="2.5"/>
    <n v="11"/>
    <m/>
    <s v="765072 - RFN - PREF ITABERAI 2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3PREF  ITABERAI"/>
    <n v="3"/>
    <s v="765073 - Tabela 3"/>
    <n v="0.02"/>
    <n v="120"/>
    <s v=""/>
    <n v="2.5"/>
    <n v="11"/>
    <m/>
    <s v="765073 - RFN - PREF ITABERAI 3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4PREF  ITABERAI"/>
    <n v="4"/>
    <s v="765074 - Tabela 4"/>
    <n v="1.8000000000000002E-2"/>
    <n v="120"/>
    <s v=""/>
    <n v="2.5"/>
    <n v="11"/>
    <m/>
    <s v="765074 - RFN - PREF ITABERAI 4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5PREF  ITABERAI"/>
    <n v="5"/>
    <s v="765075 - Tabela 5"/>
    <n v="1.7600000000000001E-2"/>
    <n v="120"/>
    <s v=""/>
    <n v="2.5"/>
    <n v="11"/>
    <m/>
    <s v="765075 - RFN - PREF ITABERAI 5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6PREF  ITABERAI"/>
    <n v="6"/>
    <s v="765076 - Tabela 6"/>
    <n v="1.7399999999999999E-2"/>
    <n v="120"/>
    <s v=""/>
    <n v="2.5"/>
    <n v="11"/>
    <m/>
    <s v="765076 - RFN - PREF ITABERAI 6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7PREF  ITABERAI"/>
    <n v="7"/>
    <s v="765077 - Tabela 7"/>
    <n v="1.72E-2"/>
    <n v="120"/>
    <s v=""/>
    <n v="2.5"/>
    <n v="11"/>
    <m/>
    <s v="765077 - RFN - PREF ITABERAI 7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8PREF  ITABERAI"/>
    <n v="8"/>
    <s v="765078 - Tabela 8"/>
    <n v="1.7000000000000001E-2"/>
    <n v="120"/>
    <s v=""/>
    <n v="2.5"/>
    <n v="11"/>
    <m/>
    <s v="765078 - RFN - PREF ITABERAI 8 "/>
    <s v="1,45"/>
    <n v="15"/>
    <n v="2"/>
    <n v="500"/>
    <n v="202605"/>
    <s v="LG"/>
    <s v="0"/>
    <n v="1.4499999999999999E-2"/>
    <n v="2.5000000000000001E-2"/>
    <b v="0"/>
    <s v="20260515"/>
    <n v="10"/>
  </r>
  <r>
    <x v="84"/>
    <s v="9PREF  ITABERAI"/>
    <n v="9"/>
    <s v="765079 - Tabela 9"/>
    <n v="1.6799999999999999E-2"/>
    <n v="120"/>
    <s v=""/>
    <n v="2.5"/>
    <n v="11"/>
    <m/>
    <s v="765079 - RFN - PREF ITABERAI 9 "/>
    <s v="1,45"/>
    <n v="15"/>
    <n v="2"/>
    <n v="500"/>
    <n v="202605"/>
    <s v="LG"/>
    <s v="0"/>
    <n v="1.4499999999999999E-2"/>
    <n v="2.5000000000000001E-2"/>
    <b v="0"/>
    <s v="20260515"/>
    <n v="10"/>
  </r>
  <r>
    <x v="85"/>
    <s v="1PREF  MARABÁ"/>
    <n v="1"/>
    <s v="765441 - Tabela 1"/>
    <n v="2.5000000000000001E-2"/>
    <n v="120"/>
    <s v=""/>
    <n v="2.5"/>
    <n v="7"/>
    <m/>
    <s v="765441 - RFN - PREF MARABA 1 "/>
    <s v="1,7"/>
    <n v="10"/>
    <n v="2"/>
    <n v="500"/>
    <n v="202605"/>
    <s v="LG"/>
    <s v="0"/>
    <n v="1.7000000000000001E-2"/>
    <n v="2.5000000000000001E-2"/>
    <b v="1"/>
    <s v="20260510"/>
    <n v="5"/>
  </r>
  <r>
    <x v="85"/>
    <s v="2PREF  MARABÁ"/>
    <n v="2"/>
    <s v="765442 - Tabela 2"/>
    <n v="2.4E-2"/>
    <n v="120"/>
    <s v=""/>
    <n v="2.5"/>
    <n v="7"/>
    <n v="42"/>
    <s v="765442 - RFN - PREF MARABA 2 "/>
    <s v="1,7"/>
    <n v="10"/>
    <n v="2"/>
    <n v="500"/>
    <n v="202605"/>
    <s v="LG"/>
    <s v="0"/>
    <n v="1.7000000000000001E-2"/>
    <n v="2.5000000000000001E-2"/>
    <b v="0"/>
    <s v="20260510"/>
    <n v="5"/>
  </r>
  <r>
    <x v="85"/>
    <s v="3PREF  MARABÁ"/>
    <n v="3"/>
    <s v="765443 - Tabela 3"/>
    <n v="2.3E-2"/>
    <n v="120"/>
    <s v=""/>
    <n v="2.5"/>
    <n v="7"/>
    <m/>
    <s v="765443 - RFN - PREF MARABA 3 "/>
    <s v="1,7"/>
    <n v="10"/>
    <n v="2"/>
    <n v="500"/>
    <n v="202605"/>
    <s v="LG"/>
    <s v="0"/>
    <n v="1.7000000000000001E-2"/>
    <n v="2.5000000000000001E-2"/>
    <b v="0"/>
    <s v="20260510"/>
    <n v="5"/>
  </r>
  <r>
    <x v="85"/>
    <s v="4PREF  MARABÁ"/>
    <n v="4"/>
    <s v="765444 - Tabela 4"/>
    <n v="2.2200000000000001E-2"/>
    <n v="120"/>
    <s v=""/>
    <n v="2.5"/>
    <n v="7"/>
    <n v="37"/>
    <s v="765444 - RFN - PREF MARABA 4 "/>
    <s v="1,7"/>
    <n v="10"/>
    <n v="2"/>
    <n v="500"/>
    <n v="202605"/>
    <s v="LG"/>
    <s v="0"/>
    <n v="1.7000000000000001E-2"/>
    <n v="2.5000000000000001E-2"/>
    <b v="0"/>
    <s v="20260510"/>
    <n v="5"/>
  </r>
  <r>
    <x v="85"/>
    <s v="5PREF  MARABÁ"/>
    <n v="5"/>
    <s v="765445 - Tabela 5"/>
    <n v="2.1600000000000001E-2"/>
    <n v="120"/>
    <s v=""/>
    <n v="2.5"/>
    <n v="7"/>
    <n v="37"/>
    <s v="765445 - RFN - PREF MARABA 5 "/>
    <s v="1,7"/>
    <n v="10"/>
    <n v="2"/>
    <n v="500"/>
    <n v="202605"/>
    <s v="LG"/>
    <s v="0"/>
    <n v="1.7000000000000001E-2"/>
    <n v="2.5000000000000001E-2"/>
    <b v="0"/>
    <s v="20260510"/>
    <n v="5"/>
  </r>
  <r>
    <x v="85"/>
    <s v="6PREF  MARABÁ"/>
    <n v="6"/>
    <s v="765446 - Tabela 6"/>
    <n v="2.1400000000000002E-2"/>
    <n v="120"/>
    <s v=""/>
    <n v="2.5"/>
    <n v="7"/>
    <m/>
    <s v="765446 - RFN - PREF MARABA 6 "/>
    <s v="1,7"/>
    <n v="10"/>
    <n v="2"/>
    <n v="500"/>
    <n v="202605"/>
    <s v="LG"/>
    <s v="0"/>
    <n v="1.7000000000000001E-2"/>
    <n v="2.5000000000000001E-2"/>
    <b v="0"/>
    <s v="20260510"/>
    <n v="5"/>
  </r>
  <r>
    <x v="85"/>
    <s v="7PREF  MARABÁ"/>
    <n v="7"/>
    <s v="765447 - Tabela 7"/>
    <n v="2.1099999999999997E-2"/>
    <n v="120"/>
    <s v=""/>
    <n v="2.5"/>
    <n v="7"/>
    <n v="46"/>
    <s v="765447 - RFN - PREF MARABA 7 "/>
    <s v="1,7"/>
    <n v="10"/>
    <n v="2"/>
    <n v="500"/>
    <n v="202605"/>
    <s v="LG"/>
    <s v="0"/>
    <n v="1.7000000000000001E-2"/>
    <n v="2.5000000000000001E-2"/>
    <b v="0"/>
    <s v="20260510"/>
    <n v="5"/>
  </r>
  <r>
    <x v="86"/>
    <s v="1PREF ALVORADA"/>
    <n v="1"/>
    <s v="815117 - Tabela 1"/>
    <n v="2.5000000000000001E-2"/>
    <n v="120"/>
    <s v=""/>
    <n v="2.5"/>
    <n v="25"/>
    <n v="61"/>
    <s v="815117 - RFN - PREF ALVORADA  1 "/>
    <s v="1,43"/>
    <n v="10"/>
    <n v="2"/>
    <n v="500"/>
    <n v="202605"/>
    <s v="LG"/>
    <s v="1"/>
    <n v="1.43E-2"/>
    <n v="2.5000000000000001E-2"/>
    <b v="1"/>
    <s v="20260510"/>
    <n v="5"/>
  </r>
  <r>
    <x v="86"/>
    <s v="2PREF ALVORADA"/>
    <n v="2"/>
    <s v="815119 - Tabela 2"/>
    <n v="2.0499999999999997E-2"/>
    <n v="120"/>
    <s v=""/>
    <n v="2.5"/>
    <n v="25"/>
    <n v="59"/>
    <s v="815119 - RFN - PREF ALVORADA  2 "/>
    <s v="1,43"/>
    <n v="10"/>
    <n v="2"/>
    <n v="500"/>
    <n v="202605"/>
    <s v="LG"/>
    <s v="1"/>
    <n v="1.43E-2"/>
    <n v="2.5000000000000001E-2"/>
    <b v="0"/>
    <s v="20260510"/>
    <n v="5"/>
  </r>
  <r>
    <x v="86"/>
    <s v="3PREF ALVORADA"/>
    <n v="3"/>
    <s v="815121 - Tabela 3"/>
    <n v="1.95E-2"/>
    <n v="120"/>
    <s v=""/>
    <n v="2.5"/>
    <n v="25"/>
    <n v="55"/>
    <s v="815121 - RFN - PREF ALVORADA  3 "/>
    <s v="1,43"/>
    <n v="10"/>
    <n v="2"/>
    <n v="500"/>
    <n v="202605"/>
    <s v="LG"/>
    <s v="1"/>
    <n v="1.43E-2"/>
    <n v="2.5000000000000001E-2"/>
    <b v="0"/>
    <s v="20260510"/>
    <n v="5"/>
  </r>
  <r>
    <x v="86"/>
    <s v="4PREF ALVORADA"/>
    <n v="4"/>
    <s v="815123 - Tabela 4"/>
    <n v="1.8799999999999997E-2"/>
    <n v="120"/>
    <s v=""/>
    <n v="2.5"/>
    <n v="25"/>
    <n v="60"/>
    <s v="815123 - RFN - PREF ALVORADA  4 "/>
    <s v="1,43"/>
    <n v="10"/>
    <n v="2"/>
    <n v="500"/>
    <n v="202605"/>
    <s v="LG"/>
    <s v="1"/>
    <n v="1.43E-2"/>
    <n v="2.5000000000000001E-2"/>
    <b v="0"/>
    <s v="20260510"/>
    <n v="5"/>
  </r>
  <r>
    <x v="86"/>
    <s v="5PREF ALVORADA"/>
    <n v="5"/>
    <s v="815125 - Tabela 5"/>
    <n v="1.7600000000000001E-2"/>
    <n v="120"/>
    <s v=""/>
    <n v="2.5"/>
    <n v="25"/>
    <n v="60"/>
    <s v="815125 - RFN - PREF ALVORADA  5 "/>
    <s v="1,43"/>
    <n v="10"/>
    <n v="2"/>
    <n v="500"/>
    <n v="202605"/>
    <s v="LG"/>
    <s v="1"/>
    <n v="1.43E-2"/>
    <n v="2.5000000000000001E-2"/>
    <b v="0"/>
    <s v="20260510"/>
    <n v="5"/>
  </r>
  <r>
    <x v="87"/>
    <s v="1PREF ALVORADA CLT"/>
    <n v="1"/>
    <s v="815118 - Tabela 1"/>
    <n v="2.5000000000000001E-2"/>
    <n v="120"/>
    <s v=""/>
    <n v="2.5"/>
    <n v="25"/>
    <m/>
    <s v="815118 - RFN - PREF ALVORADA  1 CLT "/>
    <s v="1,43"/>
    <n v="10"/>
    <n v="2"/>
    <n v="500"/>
    <n v="202605"/>
    <s v="LG"/>
    <s v="1"/>
    <n v="1.43E-2"/>
    <n v="2.5000000000000001E-2"/>
    <b v="1"/>
    <s v="20260510"/>
    <n v="5"/>
  </r>
  <r>
    <x v="87"/>
    <s v="2PREF ALVORADA CLT"/>
    <n v="2"/>
    <s v="815120 - Tabela 2"/>
    <n v="2.0499999999999997E-2"/>
    <n v="120"/>
    <s v=""/>
    <n v="2.5"/>
    <n v="25"/>
    <n v="51"/>
    <s v="815120 - RFN - PREF ALVORADA  2 CLT "/>
    <s v="1,43"/>
    <n v="10"/>
    <n v="2"/>
    <n v="500"/>
    <n v="202605"/>
    <s v="LG"/>
    <s v="1"/>
    <n v="1.43E-2"/>
    <n v="2.5000000000000001E-2"/>
    <b v="0"/>
    <s v="20260510"/>
    <n v="5"/>
  </r>
  <r>
    <x v="87"/>
    <s v="3PREF ALVORADA CLT"/>
    <n v="3"/>
    <s v="815122 - Tabela 3"/>
    <n v="1.95E-2"/>
    <n v="120"/>
    <s v=""/>
    <n v="2.5"/>
    <n v="25"/>
    <m/>
    <s v="815122 - RFN - PREF ALVORADA  3 CLT "/>
    <s v="1,43"/>
    <n v="10"/>
    <n v="2"/>
    <n v="500"/>
    <n v="202605"/>
    <s v="LG"/>
    <s v="1"/>
    <n v="1.43E-2"/>
    <n v="2.5000000000000001E-2"/>
    <b v="0"/>
    <s v="20260510"/>
    <n v="5"/>
  </r>
  <r>
    <x v="87"/>
    <s v="4PREF ALVORADA CLT"/>
    <n v="4"/>
    <s v="815124 - Tabela 4"/>
    <n v="1.8799999999999997E-2"/>
    <n v="120"/>
    <s v=""/>
    <n v="2.5"/>
    <n v="25"/>
    <m/>
    <s v="815124 - RFN - PREF ALVORADA  4  CLT"/>
    <s v="1,43"/>
    <n v="10"/>
    <n v="2"/>
    <n v="500"/>
    <n v="202605"/>
    <s v="LG"/>
    <s v="1"/>
    <n v="1.43E-2"/>
    <n v="2.5000000000000001E-2"/>
    <b v="0"/>
    <s v="20260510"/>
    <n v="5"/>
  </r>
  <r>
    <x v="87"/>
    <s v="5PREF ALVORADA CLT"/>
    <n v="5"/>
    <s v="815126 - Tabela 5"/>
    <n v="1.7600000000000001E-2"/>
    <n v="120"/>
    <s v=""/>
    <n v="2.5"/>
    <n v="25"/>
    <n v="62"/>
    <s v="815126 - RFN - PREF ALVORADA  5 CLT "/>
    <s v="1,43"/>
    <n v="10"/>
    <n v="2"/>
    <n v="500"/>
    <n v="202605"/>
    <s v="LG"/>
    <s v="1"/>
    <n v="1.43E-2"/>
    <n v="2.5000000000000001E-2"/>
    <b v="0"/>
    <s v="20260510"/>
    <n v="5"/>
  </r>
  <r>
    <x v="88"/>
    <s v="1PREF AMERICANA"/>
    <n v="1"/>
    <s v="995510 - Tabela 1"/>
    <n v="2.5000000000000001E-2"/>
    <n v="120"/>
    <s v=""/>
    <n v="2.5"/>
    <n v="14"/>
    <n v="42"/>
    <s v="995510 - RFN - PREF AMERICANA  1 "/>
    <s v="1,59"/>
    <n v="22"/>
    <n v="2"/>
    <n v="500"/>
    <n v="202605"/>
    <s v="LG"/>
    <s v="0"/>
    <n v="1.5900000000000001E-2"/>
    <n v="2.5000000000000001E-2"/>
    <b v="1"/>
    <s v="20260522"/>
    <n v="15"/>
  </r>
  <r>
    <x v="88"/>
    <s v="2PREF AMERICANA"/>
    <n v="2"/>
    <s v="995511 - Tabela 2"/>
    <n v="0.02"/>
    <n v="120"/>
    <s v=""/>
    <n v="2.5"/>
    <n v="14"/>
    <n v="42"/>
    <s v="995511 - RFN - PREF AMERICANA  2 "/>
    <s v="1,59"/>
    <n v="22"/>
    <n v="2"/>
    <n v="500"/>
    <n v="202605"/>
    <s v="LG"/>
    <s v="0"/>
    <n v="1.5900000000000001E-2"/>
    <n v="2.5000000000000001E-2"/>
    <b v="0"/>
    <s v="20260522"/>
    <n v="15"/>
  </r>
  <r>
    <x v="88"/>
    <s v="3PREF AMERICANA"/>
    <n v="3"/>
    <s v="995512 - Tabela 3"/>
    <n v="1.95E-2"/>
    <n v="120"/>
    <s v=""/>
    <n v="2.5"/>
    <n v="14"/>
    <n v="42"/>
    <s v="995512 - RFN - PREF AMERICANA  3 "/>
    <s v="1,59"/>
    <n v="22"/>
    <n v="2"/>
    <n v="500"/>
    <n v="202605"/>
    <s v="LG"/>
    <s v="0"/>
    <n v="1.5900000000000001E-2"/>
    <n v="2.5000000000000001E-2"/>
    <b v="0"/>
    <s v="20260522"/>
    <n v="15"/>
  </r>
  <r>
    <x v="88"/>
    <s v="4PREF AMERICANA"/>
    <n v="4"/>
    <s v="995584 - Tabela 4"/>
    <n v="1.9E-2"/>
    <n v="120"/>
    <s v=""/>
    <n v="2.5"/>
    <n v="14"/>
    <n v="42"/>
    <s v="995584 - RFN - PREF AMERICANA  4 "/>
    <s v="1,59"/>
    <n v="22"/>
    <n v="2"/>
    <n v="500"/>
    <n v="202605"/>
    <s v="LG"/>
    <s v="0"/>
    <n v="1.5900000000000001E-2"/>
    <n v="2.5000000000000001E-2"/>
    <b v="0"/>
    <s v="20260522"/>
    <n v="15"/>
  </r>
  <r>
    <x v="88"/>
    <s v="5PREF AMERICANA"/>
    <n v="5"/>
    <s v="995585 - Tabela 5"/>
    <n v="1.8500000000000003E-2"/>
    <n v="120"/>
    <s v=""/>
    <n v="2.5"/>
    <n v="14"/>
    <n v="42"/>
    <s v="995585 - RFN - PREF AMERICANA  5 "/>
    <s v="1,59"/>
    <n v="22"/>
    <n v="2"/>
    <n v="500"/>
    <n v="202605"/>
    <s v="LG"/>
    <s v="0"/>
    <n v="1.5900000000000001E-2"/>
    <n v="2.5000000000000001E-2"/>
    <b v="0"/>
    <s v="20260522"/>
    <n v="15"/>
  </r>
  <r>
    <x v="88"/>
    <s v="6PREF AMERICANA"/>
    <n v="6"/>
    <s v="995586 - Tabela 6"/>
    <n v="1.8000000000000002E-2"/>
    <n v="120"/>
    <s v=""/>
    <n v="2.5"/>
    <n v="14"/>
    <n v="42"/>
    <s v="995586 - RFN - PREF AMERICANA  6 "/>
    <s v="1,59"/>
    <n v="22"/>
    <n v="2"/>
    <n v="500"/>
    <n v="202605"/>
    <s v="LG"/>
    <s v="0"/>
    <n v="1.5900000000000001E-2"/>
    <n v="2.5000000000000001E-2"/>
    <b v="0"/>
    <s v="20260522"/>
    <n v="15"/>
  </r>
  <r>
    <x v="88"/>
    <s v="7PREF AMERICANA"/>
    <n v="7"/>
    <s v="995597 - Tabela 7"/>
    <n v="1.7500000000000002E-2"/>
    <n v="120"/>
    <s v=""/>
    <n v="2.5"/>
    <n v="14"/>
    <n v="42"/>
    <s v="995597 - RFN - PREF AMERICANA  7 "/>
    <s v="1,59"/>
    <n v="22"/>
    <n v="2"/>
    <n v="500"/>
    <n v="202605"/>
    <s v="LG"/>
    <s v="0"/>
    <n v="1.5900000000000001E-2"/>
    <n v="2.5000000000000001E-2"/>
    <b v="0"/>
    <s v="20260522"/>
    <n v="15"/>
  </r>
  <r>
    <x v="89"/>
    <s v="1PREF ANANINDEUA"/>
    <n v="1"/>
    <s v="804038 - Tabela 1"/>
    <n v="2.5000000000000001E-2"/>
    <n v="120"/>
    <s v=""/>
    <n v="2.5"/>
    <n v="25"/>
    <n v="71"/>
    <s v="804038 - RFN - PREF ANANINDEUA  1 "/>
    <s v="1,65"/>
    <n v="8"/>
    <n v="2"/>
    <n v="500"/>
    <n v="202605"/>
    <s v="LG"/>
    <s v="1"/>
    <n v="1.6500000000000001E-2"/>
    <n v="2.5000000000000001E-2"/>
    <b v="1"/>
    <s v="2026058"/>
    <n v="5"/>
  </r>
  <r>
    <x v="89"/>
    <s v="2PREF ANANINDEUA"/>
    <n v="2"/>
    <s v="804039 - Tabela 2"/>
    <n v="2.4E-2"/>
    <n v="120"/>
    <s v=""/>
    <n v="2.5"/>
    <n v="25"/>
    <m/>
    <s v="804039 - RFN - PREF ANANINDEUA  2 "/>
    <s v="1,65"/>
    <n v="8"/>
    <n v="2"/>
    <n v="500"/>
    <n v="202605"/>
    <s v="LG"/>
    <s v="1"/>
    <n v="1.6500000000000001E-2"/>
    <n v="2.5000000000000001E-2"/>
    <b v="0"/>
    <s v="2026058"/>
    <n v="5"/>
  </r>
  <r>
    <x v="89"/>
    <s v="3PREF ANANINDEUA"/>
    <n v="3"/>
    <s v="804040 - Tabela 3"/>
    <n v="2.3E-2"/>
    <n v="120"/>
    <s v=""/>
    <n v="2.5"/>
    <n v="25"/>
    <n v="60"/>
    <s v="804040 - RFN - PREF ANANINDEUA  3 "/>
    <s v="1,65"/>
    <n v="8"/>
    <n v="2"/>
    <n v="500"/>
    <n v="202605"/>
    <s v="LG"/>
    <s v="1"/>
    <n v="1.6500000000000001E-2"/>
    <n v="2.5000000000000001E-2"/>
    <b v="0"/>
    <s v="2026058"/>
    <n v="5"/>
  </r>
  <r>
    <x v="89"/>
    <s v="4PREF ANANINDEUA"/>
    <n v="4"/>
    <s v="804048 - Tabela 4"/>
    <n v="2.2000000000000002E-2"/>
    <n v="120"/>
    <s v=""/>
    <n v="2.5"/>
    <n v="25"/>
    <n v="71"/>
    <s v="804048 - RFN - PREF ANANINDEUA  4 "/>
    <s v="1,65"/>
    <n v="8"/>
    <n v="2"/>
    <n v="500"/>
    <n v="202605"/>
    <s v="LG"/>
    <s v="1"/>
    <n v="1.6500000000000001E-2"/>
    <n v="2.5000000000000001E-2"/>
    <b v="0"/>
    <s v="2026058"/>
    <n v="5"/>
  </r>
  <r>
    <x v="89"/>
    <s v="5PREF ANANINDEUA"/>
    <n v="5"/>
    <s v="804049 - Tabela 5"/>
    <n v="2.1400000000000002E-2"/>
    <n v="120"/>
    <s v=""/>
    <n v="2.5"/>
    <n v="25"/>
    <n v="62"/>
    <s v="804049 - RFN - PREF ANANINDEUA  5 "/>
    <s v="1,65"/>
    <n v="8"/>
    <n v="2"/>
    <n v="500"/>
    <n v="202605"/>
    <s v="LG"/>
    <s v="1"/>
    <n v="1.6500000000000001E-2"/>
    <n v="2.5000000000000001E-2"/>
    <b v="0"/>
    <s v="2026058"/>
    <n v="5"/>
  </r>
  <r>
    <x v="89"/>
    <s v="6PREF ANANINDEUA"/>
    <n v="6"/>
    <s v="804106 - Tabela 6"/>
    <n v="2.12E-2"/>
    <n v="120"/>
    <s v=""/>
    <n v="2.5"/>
    <n v="25"/>
    <m/>
    <s v="804106 - RFN - PREF ANANINDEUA  6 "/>
    <s v="1,65"/>
    <n v="8"/>
    <n v="2"/>
    <n v="500"/>
    <n v="202605"/>
    <s v="LG"/>
    <s v="1"/>
    <n v="1.6500000000000001E-2"/>
    <n v="2.5000000000000001E-2"/>
    <b v="0"/>
    <s v="2026058"/>
    <n v="5"/>
  </r>
  <r>
    <x v="89"/>
    <s v="7PREF ANANINDEUA"/>
    <n v="7"/>
    <s v="804167 - Tabela 7"/>
    <n v="2.1000000000000001E-2"/>
    <n v="120"/>
    <s v=""/>
    <n v="2.5"/>
    <n v="25"/>
    <n v="60"/>
    <s v="804167 - RFN - PREF ANANINDEUA  7 "/>
    <s v="1,65"/>
    <n v="8"/>
    <n v="2"/>
    <n v="500"/>
    <n v="202605"/>
    <s v="LG"/>
    <s v="1"/>
    <n v="1.6500000000000001E-2"/>
    <n v="2.5000000000000001E-2"/>
    <b v="0"/>
    <s v="2026058"/>
    <n v="5"/>
  </r>
  <r>
    <x v="90"/>
    <s v="1PREF ANAPOLIS"/>
    <n v="1"/>
    <s v="745041 - Tabela 1"/>
    <n v="2.5000000000000001E-2"/>
    <n v="120"/>
    <s v=""/>
    <n v="2.5"/>
    <n v="11"/>
    <n v="61"/>
    <s v="745041 - RFN - PREF ANAPOLIS 1 "/>
    <s v="1,67"/>
    <n v="10"/>
    <n v="2"/>
    <n v="500"/>
    <n v="202605"/>
    <s v="LG"/>
    <s v="1"/>
    <n v="1.67E-2"/>
    <n v="2.5000000000000001E-2"/>
    <b v="1"/>
    <s v="20260510"/>
    <n v="5"/>
  </r>
  <r>
    <x v="90"/>
    <s v="2PREF ANAPOLIS"/>
    <n v="2"/>
    <s v="745042 - Tabela 2"/>
    <n v="2.2499999999999999E-2"/>
    <n v="120"/>
    <s v=""/>
    <n v="2.5"/>
    <n v="11"/>
    <m/>
    <s v="745042 - RFN - PREF ANAPOLIS 2 "/>
    <s v="1,67"/>
    <n v="10"/>
    <n v="2"/>
    <n v="500"/>
    <n v="202605"/>
    <s v="LG"/>
    <s v="1"/>
    <n v="1.67E-2"/>
    <n v="2.5000000000000001E-2"/>
    <b v="0"/>
    <s v="20260510"/>
    <n v="5"/>
  </r>
  <r>
    <x v="90"/>
    <s v="3PREF ANAPOLIS"/>
    <n v="3"/>
    <s v="745043 - Tabela 3"/>
    <n v="0.02"/>
    <n v="120"/>
    <s v=""/>
    <n v="2.5"/>
    <n v="11"/>
    <m/>
    <s v="745043 - RFN - PREF ANAPOLIS 3 "/>
    <s v="1,67"/>
    <n v="10"/>
    <n v="2"/>
    <n v="500"/>
    <n v="202605"/>
    <s v="LG"/>
    <s v="1"/>
    <n v="1.67E-2"/>
    <n v="2.5000000000000001E-2"/>
    <b v="0"/>
    <s v="20260510"/>
    <n v="5"/>
  </r>
  <r>
    <x v="90"/>
    <s v="4PREF ANAPOLIS"/>
    <n v="4"/>
    <s v="745044 - Tabela 4"/>
    <n v="1.95E-2"/>
    <n v="120"/>
    <s v=""/>
    <n v="2.5"/>
    <n v="11"/>
    <m/>
    <s v="745044 - RFN - PREF ANAPOLIS 4 "/>
    <s v="1,67"/>
    <n v="10"/>
    <n v="2"/>
    <n v="500"/>
    <n v="202605"/>
    <s v="LG"/>
    <s v="1"/>
    <n v="1.67E-2"/>
    <n v="2.5000000000000001E-2"/>
    <b v="0"/>
    <s v="20260510"/>
    <n v="5"/>
  </r>
  <r>
    <x v="90"/>
    <s v="5PREF ANAPOLIS"/>
    <n v="5"/>
    <s v="745045 - Tabela 5"/>
    <n v="1.9099999999999999E-2"/>
    <n v="120"/>
    <s v=""/>
    <n v="2.5"/>
    <n v="11"/>
    <m/>
    <s v="745045 - RFN - PREF ANAPOLIS 5 "/>
    <s v="1,67"/>
    <n v="10"/>
    <n v="2"/>
    <n v="500"/>
    <n v="202605"/>
    <s v="LG"/>
    <s v="1"/>
    <n v="1.67E-2"/>
    <n v="2.5000000000000001E-2"/>
    <b v="0"/>
    <s v="20260510"/>
    <n v="5"/>
  </r>
  <r>
    <x v="91"/>
    <s v="1PREF AQUIRAZ"/>
    <n v="1"/>
    <s v="785621 - Tabela 1"/>
    <n v="2.5000000000000001E-2"/>
    <n v="96"/>
    <s v=""/>
    <n v="2.5"/>
    <n v="10"/>
    <m/>
    <s v="785621 - RFN - PREF AQUIRAZ  1 "/>
    <s v="1,5"/>
    <n v="10"/>
    <n v="2"/>
    <n v="500"/>
    <n v="202605"/>
    <s v="LG"/>
    <s v="0"/>
    <n v="1.4999999999999999E-2"/>
    <n v="2.5000000000000001E-2"/>
    <b v="1"/>
    <s v="20260510"/>
    <n v="5"/>
  </r>
  <r>
    <x v="91"/>
    <s v="2PREF AQUIRAZ"/>
    <n v="2"/>
    <s v="785622 - Tabela 2"/>
    <n v="2.4E-2"/>
    <n v="96"/>
    <s v=""/>
    <n v="2.5"/>
    <n v="10"/>
    <n v="42"/>
    <s v="785622 - RFN - PREF AQUIRAZ  2 "/>
    <s v="1,5"/>
    <n v="10"/>
    <n v="2"/>
    <n v="500"/>
    <n v="202605"/>
    <s v="LG"/>
    <s v="0"/>
    <n v="1.4999999999999999E-2"/>
    <n v="2.5000000000000001E-2"/>
    <b v="0"/>
    <s v="20260510"/>
    <n v="5"/>
  </r>
  <r>
    <x v="91"/>
    <s v="3PREF AQUIRAZ"/>
    <n v="3"/>
    <s v="785623 - Tabela 3"/>
    <n v="2.3E-2"/>
    <n v="96"/>
    <s v=""/>
    <n v="2.5"/>
    <n v="10"/>
    <n v="47"/>
    <s v="785623 - RFN - PREF AQUIRAZ  3 "/>
    <s v="1,5"/>
    <n v="10"/>
    <n v="2"/>
    <n v="500"/>
    <n v="202605"/>
    <s v="LG"/>
    <s v="0"/>
    <n v="1.4999999999999999E-2"/>
    <n v="2.5000000000000001E-2"/>
    <b v="0"/>
    <s v="20260510"/>
    <n v="5"/>
  </r>
  <r>
    <x v="91"/>
    <s v="4PREF AQUIRAZ"/>
    <n v="4"/>
    <s v="785634 - Tabela 4"/>
    <n v="2.2000000000000002E-2"/>
    <n v="96"/>
    <s v=""/>
    <n v="2.5"/>
    <n v="10"/>
    <n v="37"/>
    <s v="785634 - RFN - PREF AQUIRAZ  4  "/>
    <s v="1,5"/>
    <n v="10"/>
    <n v="2"/>
    <n v="500"/>
    <n v="202605"/>
    <s v="LG"/>
    <s v="0"/>
    <n v="1.4999999999999999E-2"/>
    <n v="2.5000000000000001E-2"/>
    <b v="0"/>
    <s v="20260510"/>
    <n v="5"/>
  </r>
  <r>
    <x v="92"/>
    <s v="1PREF ARACAJU"/>
    <n v="1"/>
    <s v="705324 - Tabela 1"/>
    <n v="2.5000000000000001E-2"/>
    <n v="120"/>
    <s v=""/>
    <n v="2.5"/>
    <n v="25"/>
    <n v="60"/>
    <s v="705324 - RFN - PREF ARACAJU 1 "/>
    <s v="1,48"/>
    <n v="8"/>
    <n v="2"/>
    <n v="500"/>
    <n v="202605"/>
    <s v="LG"/>
    <s v="1"/>
    <n v="1.4800000000000001E-2"/>
    <n v="2.5000000000000001E-2"/>
    <b v="1"/>
    <s v="2026058"/>
    <n v="5"/>
  </r>
  <r>
    <x v="92"/>
    <s v="2PREF ARACAJU"/>
    <n v="2"/>
    <s v="705325 - Tabela 2"/>
    <n v="2.2499999999999999E-2"/>
    <n v="120"/>
    <s v=""/>
    <n v="2.5"/>
    <n v="25"/>
    <n v="61"/>
    <s v="705325 - RFN - PREF ARACAJU 2 "/>
    <s v="1,48"/>
    <n v="8"/>
    <n v="2"/>
    <n v="500"/>
    <n v="202605"/>
    <s v="LG"/>
    <s v="1"/>
    <n v="1.4800000000000001E-2"/>
    <n v="2.5000000000000001E-2"/>
    <b v="0"/>
    <s v="2026058"/>
    <n v="5"/>
  </r>
  <r>
    <x v="92"/>
    <s v="3PREF ARACAJU"/>
    <n v="3"/>
    <s v="705326 - Tabela 3"/>
    <n v="0.02"/>
    <n v="120"/>
    <s v=""/>
    <n v="2.5"/>
    <n v="25"/>
    <n v="60"/>
    <s v="705326 - RFN - PREF ARACAJU 3 "/>
    <s v="1,48"/>
    <n v="8"/>
    <n v="2"/>
    <n v="500"/>
    <n v="202605"/>
    <s v="LG"/>
    <s v="1"/>
    <n v="1.4800000000000001E-2"/>
    <n v="2.5000000000000001E-2"/>
    <b v="0"/>
    <s v="2026058"/>
    <n v="5"/>
  </r>
  <r>
    <x v="92"/>
    <s v="4PREF ARACAJU"/>
    <n v="4"/>
    <s v="705327 - Tabela 4"/>
    <n v="1.95E-2"/>
    <n v="120"/>
    <s v=""/>
    <n v="2.5"/>
    <n v="25"/>
    <n v="62"/>
    <s v="705327 - RFN - PREF ARACAJU 4 "/>
    <s v="1,48"/>
    <n v="8"/>
    <n v="2"/>
    <n v="500"/>
    <n v="202605"/>
    <s v="LG"/>
    <s v="1"/>
    <n v="1.4800000000000001E-2"/>
    <n v="2.5000000000000001E-2"/>
    <b v="0"/>
    <s v="2026058"/>
    <n v="5"/>
  </r>
  <r>
    <x v="92"/>
    <s v="5PREF ARACAJU"/>
    <n v="5"/>
    <s v="705329 - Tabela 5"/>
    <n v="1.9E-2"/>
    <n v="120"/>
    <s v=""/>
    <n v="2.5"/>
    <n v="25"/>
    <n v="59"/>
    <s v="705329 - RFN - PREF ARACAJU 5 "/>
    <s v="1,48"/>
    <n v="8"/>
    <n v="2"/>
    <n v="500"/>
    <n v="202605"/>
    <s v="LG"/>
    <s v="1"/>
    <n v="1.4800000000000001E-2"/>
    <n v="2.5000000000000001E-2"/>
    <b v="0"/>
    <s v="2026058"/>
    <n v="5"/>
  </r>
  <r>
    <x v="92"/>
    <s v="6PREF ARACAJU"/>
    <n v="6"/>
    <s v="705330 - Tabela 6"/>
    <n v="1.8500000000000003E-2"/>
    <n v="120"/>
    <s v=""/>
    <n v="2.5"/>
    <n v="25"/>
    <n v="64"/>
    <s v="705330 - RFN - PREF ARACAJU 6 "/>
    <s v="1,48"/>
    <n v="8"/>
    <n v="2"/>
    <n v="500"/>
    <n v="202605"/>
    <s v="LG"/>
    <s v="1"/>
    <n v="1.4800000000000001E-2"/>
    <n v="2.5000000000000001E-2"/>
    <b v="0"/>
    <s v="2026058"/>
    <n v="5"/>
  </r>
  <r>
    <x v="92"/>
    <s v="7PREF ARACAJU"/>
    <n v="7"/>
    <s v="705338 - Tabela 7"/>
    <n v="1.8000000000000002E-2"/>
    <n v="120"/>
    <s v=""/>
    <n v="2.5"/>
    <n v="25"/>
    <n v="62"/>
    <s v="705338 - RFN - PREF ARACAJU 7 "/>
    <s v="1,48"/>
    <n v="8"/>
    <n v="2"/>
    <n v="500"/>
    <n v="202605"/>
    <s v="LG"/>
    <s v="1"/>
    <n v="1.4800000000000001E-2"/>
    <n v="2.5000000000000001E-2"/>
    <b v="0"/>
    <s v="2026058"/>
    <n v="5"/>
  </r>
  <r>
    <x v="92"/>
    <s v="8PREF ARACAJU"/>
    <n v="8"/>
    <s v="705339 - Tabela 8"/>
    <n v="1.77E-2"/>
    <n v="120"/>
    <s v=""/>
    <n v="2.5"/>
    <n v="25"/>
    <n v="60"/>
    <s v="705339 - RFN - PREF ARACAJU 8 "/>
    <s v="1,48"/>
    <n v="8"/>
    <n v="2"/>
    <n v="500"/>
    <n v="202605"/>
    <s v="LG"/>
    <s v="1"/>
    <n v="1.4800000000000001E-2"/>
    <n v="2.5000000000000001E-2"/>
    <b v="0"/>
    <s v="2026058"/>
    <n v="5"/>
  </r>
  <r>
    <x v="93"/>
    <s v="1PREF ARACRUZ"/>
    <n v="1"/>
    <s v="350013 - Tabela 1"/>
    <n v="2.23E-2"/>
    <n v="120"/>
    <s v=""/>
    <n v="2.23"/>
    <n v="25"/>
    <n v="67"/>
    <s v="350013 - RFN - PREF ARACRUZ  1 "/>
    <s v="1,98"/>
    <n v="15"/>
    <n v="2"/>
    <n v="500"/>
    <n v="202605"/>
    <s v="LG"/>
    <s v="1"/>
    <n v="1.9799999999999998E-2"/>
    <n v="2.23E-2"/>
    <b v="1"/>
    <s v="20260515"/>
    <n v="10"/>
  </r>
  <r>
    <x v="94"/>
    <s v="1PREF ARARAQUAR"/>
    <n v="1"/>
    <s v="715571 - Tabela 1"/>
    <n v="2.5000000000000001E-2"/>
    <n v="120"/>
    <s v=""/>
    <n v="2.5"/>
    <n v="20"/>
    <m/>
    <s v="715571 - RFN - PREF ARARAQUARA 1 "/>
    <s v="1,56"/>
    <n v="15"/>
    <n v="2"/>
    <n v="500"/>
    <n v="202605"/>
    <s v="LG"/>
    <s v="1"/>
    <n v="1.5600000000000001E-2"/>
    <n v="2.5000000000000001E-2"/>
    <b v="1"/>
    <s v="20260515"/>
    <n v="10"/>
  </r>
  <r>
    <x v="94"/>
    <s v="2PREF ARARAQUAR"/>
    <n v="2"/>
    <s v="715572 - Tabela 2"/>
    <n v="2.2700000000000001E-2"/>
    <n v="120"/>
    <s v=""/>
    <n v="2.5"/>
    <n v="20"/>
    <m/>
    <s v="715572 - RFN - PREF ARARAQUARA 2 "/>
    <s v="1,56"/>
    <n v="15"/>
    <n v="2"/>
    <n v="500"/>
    <n v="202605"/>
    <s v="LG"/>
    <s v="1"/>
    <n v="1.5600000000000001E-2"/>
    <n v="2.5000000000000001E-2"/>
    <b v="0"/>
    <s v="20260515"/>
    <n v="10"/>
  </r>
  <r>
    <x v="94"/>
    <s v="3PREF ARARAQUAR"/>
    <n v="3"/>
    <s v="715573 - Tabela 3"/>
    <n v="2.2200000000000001E-2"/>
    <n v="120"/>
    <s v=""/>
    <n v="2.5"/>
    <n v="20"/>
    <m/>
    <s v="715573 - RFN - PREF ARARAQUARA 3 "/>
    <s v="1,56"/>
    <n v="15"/>
    <n v="2"/>
    <n v="500"/>
    <n v="202605"/>
    <s v="LG"/>
    <s v="1"/>
    <n v="1.5600000000000001E-2"/>
    <n v="2.5000000000000001E-2"/>
    <b v="0"/>
    <s v="20260515"/>
    <n v="10"/>
  </r>
  <r>
    <x v="94"/>
    <s v="4PREF ARARAQUAR"/>
    <n v="4"/>
    <s v="715574 - Tabela 4"/>
    <n v="2.1600000000000001E-2"/>
    <n v="120"/>
    <s v=""/>
    <n v="2.5"/>
    <n v="20"/>
    <m/>
    <s v="715574 - RFN - PREF ARARAQUARA 4 "/>
    <s v="1,56"/>
    <n v="15"/>
    <n v="2"/>
    <n v="500"/>
    <n v="202605"/>
    <s v="LG"/>
    <s v="1"/>
    <n v="1.5600000000000001E-2"/>
    <n v="2.5000000000000001E-2"/>
    <b v="0"/>
    <s v="20260515"/>
    <n v="10"/>
  </r>
  <r>
    <x v="94"/>
    <s v="5PREF ARARAQUAR"/>
    <n v="5"/>
    <s v="715575 - Tabela 5"/>
    <n v="1.8100000000000002E-2"/>
    <n v="120"/>
    <s v=""/>
    <n v="2.5"/>
    <n v="20"/>
    <m/>
    <s v="715575 - RFN - PREF ARARAQUARA 5 "/>
    <s v="1,56"/>
    <n v="15"/>
    <n v="2"/>
    <n v="500"/>
    <n v="202605"/>
    <s v="LG"/>
    <s v="1"/>
    <n v="1.5600000000000001E-2"/>
    <n v="2.5000000000000001E-2"/>
    <b v="0"/>
    <s v="20260515"/>
    <n v="10"/>
  </r>
  <r>
    <x v="95"/>
    <s v="1PREF ASSIS"/>
    <n v="1"/>
    <s v="755017 - Tabela 2"/>
    <n v="2.1499999999999998E-2"/>
    <n v="120"/>
    <s v=""/>
    <n v="2.5"/>
    <n v="10"/>
    <n v="26"/>
    <s v="755017 - RFN - PREF ASSIS 2 "/>
    <s v="1,55"/>
    <n v="18"/>
    <n v="2"/>
    <n v="500"/>
    <n v="202605"/>
    <s v="LG"/>
    <s v="0"/>
    <n v="1.55E-2"/>
    <n v="2.5000000000000001E-2"/>
    <b v="0"/>
    <s v="20260518"/>
    <n v="11"/>
  </r>
  <r>
    <x v="95"/>
    <s v="2PREF ASSIS"/>
    <n v="2"/>
    <s v="755018 - Tabela 3"/>
    <n v="2.0499999999999997E-2"/>
    <n v="120"/>
    <s v=""/>
    <n v="2.5"/>
    <n v="10"/>
    <n v="42"/>
    <s v="755018 - RFN - PREF ASSIS 3 "/>
    <s v="1,55"/>
    <n v="18"/>
    <n v="2"/>
    <n v="500"/>
    <n v="202605"/>
    <s v="LG"/>
    <s v="0"/>
    <n v="1.55E-2"/>
    <n v="2.5000000000000001E-2"/>
    <b v="0"/>
    <s v="20260518"/>
    <n v="11"/>
  </r>
  <r>
    <x v="95"/>
    <s v="3PREF ASSIS"/>
    <n v="3"/>
    <s v="755000 - Tabela 4"/>
    <n v="1.95E-2"/>
    <n v="120"/>
    <s v=""/>
    <n v="2.5"/>
    <n v="10"/>
    <m/>
    <s v="755000 - RFN - PREF ASSIS 4 "/>
    <s v="1,55"/>
    <n v="18"/>
    <n v="2"/>
    <n v="500"/>
    <n v="202605"/>
    <s v="LG"/>
    <s v="0"/>
    <n v="1.55E-2"/>
    <n v="2.5000000000000001E-2"/>
    <b v="0"/>
    <s v="20260518"/>
    <n v="11"/>
  </r>
  <r>
    <x v="95"/>
    <s v="4PREF ASSIS"/>
    <n v="4"/>
    <s v="755001 - Tabela 5"/>
    <n v="1.8500000000000003E-2"/>
    <n v="120"/>
    <s v=""/>
    <n v="2.5"/>
    <n v="10"/>
    <n v="45"/>
    <s v="755001 - RFN - PREF ASSIS 5 "/>
    <s v="1,55"/>
    <n v="18"/>
    <n v="2"/>
    <n v="500"/>
    <n v="202605"/>
    <s v="LG"/>
    <s v="0"/>
    <n v="1.55E-2"/>
    <n v="2.5000000000000001E-2"/>
    <b v="0"/>
    <s v="20260518"/>
    <n v="11"/>
  </r>
  <r>
    <x v="95"/>
    <s v="5PREF ASSIS"/>
    <n v="5"/>
    <s v="755002 - Tabela 6"/>
    <n v="1.7500000000000002E-2"/>
    <n v="120"/>
    <s v=""/>
    <n v="2.5"/>
    <n v="10"/>
    <n v="39"/>
    <s v="755002 - RFN - PREF ASSIS 6 "/>
    <s v="1,55"/>
    <n v="18"/>
    <n v="2"/>
    <n v="500"/>
    <n v="202605"/>
    <s v="LG"/>
    <s v="0"/>
    <n v="1.55E-2"/>
    <n v="2.5000000000000001E-2"/>
    <b v="0"/>
    <s v="20260518"/>
    <n v="11"/>
  </r>
  <r>
    <x v="96"/>
    <s v="1PREF ATIBAIA"/>
    <n v="1"/>
    <s v="745021 - Tabela 1"/>
    <n v="2.5000000000000001E-2"/>
    <n v="120"/>
    <s v=""/>
    <n v="2.5"/>
    <n v="7"/>
    <m/>
    <s v="745021 - RFN - PREF ATIBAIA  1 ILIDADE"/>
    <s v="1,55"/>
    <n v="15"/>
    <n v="2"/>
    <n v="500"/>
    <n v="202605"/>
    <s v="LG"/>
    <s v="0"/>
    <n v="1.55E-2"/>
    <n v="2.5000000000000001E-2"/>
    <b v="1"/>
    <s v="20260515"/>
    <n v="10"/>
  </r>
  <r>
    <x v="96"/>
    <s v="2PREF ATIBAIA"/>
    <n v="2"/>
    <s v="745022 - Tabela 2"/>
    <n v="2.29E-2"/>
    <n v="120"/>
    <s v=""/>
    <n v="2.5"/>
    <n v="7"/>
    <n v="32"/>
    <s v="745022 - RFN - PREF ATIBAIA  2 ILIDADE"/>
    <s v="1,55"/>
    <n v="15"/>
    <n v="2"/>
    <n v="500"/>
    <n v="202605"/>
    <s v="LG"/>
    <s v="0"/>
    <n v="1.55E-2"/>
    <n v="2.5000000000000001E-2"/>
    <b v="0"/>
    <s v="20260515"/>
    <n v="10"/>
  </r>
  <r>
    <x v="96"/>
    <s v="3PREF ATIBAIA"/>
    <n v="3"/>
    <s v="745023 - Tabela 3"/>
    <n v="2.1899999999999999E-2"/>
    <n v="120"/>
    <s v=""/>
    <n v="2.5"/>
    <n v="7"/>
    <n v="33"/>
    <s v="745023 - RFN - PREF ATIBAIA  3 ILIDADE"/>
    <s v="1,55"/>
    <n v="15"/>
    <n v="2"/>
    <n v="500"/>
    <n v="202605"/>
    <s v="LG"/>
    <s v="0"/>
    <n v="1.55E-2"/>
    <n v="2.5000000000000001E-2"/>
    <b v="0"/>
    <s v="20260515"/>
    <n v="10"/>
  </r>
  <r>
    <x v="96"/>
    <s v="4PREF ATIBAIA"/>
    <n v="4"/>
    <s v="745024 - Tabela 4"/>
    <n v="2.0899999999999998E-2"/>
    <n v="120"/>
    <s v=""/>
    <n v="2.5"/>
    <n v="7"/>
    <n v="42"/>
    <s v="745024 - RFN - PREF ATIBAIA  4 ILIDADE"/>
    <s v="1,55"/>
    <n v="15"/>
    <n v="2"/>
    <n v="500"/>
    <n v="202605"/>
    <s v="LG"/>
    <s v="0"/>
    <n v="1.55E-2"/>
    <n v="2.5000000000000001E-2"/>
    <b v="0"/>
    <s v="20260515"/>
    <n v="10"/>
  </r>
  <r>
    <x v="96"/>
    <s v="5PREF ATIBAIA"/>
    <n v="5"/>
    <s v="745025 - Tabela 5"/>
    <n v="1.9900000000000001E-2"/>
    <n v="120"/>
    <s v=""/>
    <n v="2.5"/>
    <n v="7"/>
    <n v="35"/>
    <s v="745025 - RFN - PREF ATIBAIA  5 ILIDADE"/>
    <s v="1,55"/>
    <n v="15"/>
    <n v="2"/>
    <n v="500"/>
    <n v="202605"/>
    <s v="LG"/>
    <s v="0"/>
    <n v="1.55E-2"/>
    <n v="2.5000000000000001E-2"/>
    <b v="0"/>
    <s v="20260515"/>
    <n v="10"/>
  </r>
  <r>
    <x v="97"/>
    <s v="1PREF BARUERI"/>
    <n v="1"/>
    <s v="795402 - Tabela 1"/>
    <n v="2.5000000000000001E-2"/>
    <n v="120"/>
    <s v=""/>
    <n v="2.5"/>
    <n v="20"/>
    <n v="33"/>
    <s v="795402 - RFN - PREF MUN BARUERI  1 "/>
    <s v="1,5"/>
    <n v="2"/>
    <n v="2"/>
    <n v="500"/>
    <n v="202605"/>
    <s v="NW"/>
    <s v="0"/>
    <n v="1.4999999999999999E-2"/>
    <n v="2.5000000000000001E-2"/>
    <b v="1"/>
    <s v="2026052"/>
    <n v="0"/>
  </r>
  <r>
    <x v="97"/>
    <s v="2PREF BARUERI"/>
    <n v="2"/>
    <s v="795403 - Tabela 2"/>
    <n v="2.3900000000000001E-2"/>
    <n v="120"/>
    <s v=""/>
    <n v="2.5"/>
    <n v="20"/>
    <n v="63"/>
    <s v="795403 - RFN - PREF MUN BARUERI  2 "/>
    <s v="1,5"/>
    <n v="2"/>
    <n v="2"/>
    <n v="500"/>
    <n v="202605"/>
    <s v="NW"/>
    <s v="0"/>
    <n v="1.4999999999999999E-2"/>
    <n v="2.5000000000000001E-2"/>
    <b v="0"/>
    <s v="2026052"/>
    <n v="0"/>
  </r>
  <r>
    <x v="97"/>
    <s v="3PREF BARUERI"/>
    <n v="3"/>
    <s v="795404 - Tabela 3"/>
    <n v="2.29E-2"/>
    <n v="120"/>
    <s v=""/>
    <n v="2.5"/>
    <n v="20"/>
    <n v="63"/>
    <s v="795404 - RFN - PREF MUN BARUERI  3  "/>
    <s v="1,5"/>
    <n v="2"/>
    <n v="2"/>
    <n v="500"/>
    <n v="202605"/>
    <s v="NW"/>
    <s v="0"/>
    <n v="1.4999999999999999E-2"/>
    <n v="2.5000000000000001E-2"/>
    <b v="0"/>
    <s v="2026052"/>
    <n v="0"/>
  </r>
  <r>
    <x v="97"/>
    <s v="4PREF BARUERI"/>
    <n v="4"/>
    <s v="795405 - Tabela 4"/>
    <n v="2.1899999999999999E-2"/>
    <n v="120"/>
    <s v=""/>
    <n v="2.5"/>
    <n v="20"/>
    <n v="63"/>
    <s v="795405 - RFN - PREF MUN BARUERI  4  "/>
    <s v="1,5"/>
    <n v="2"/>
    <n v="2"/>
    <n v="500"/>
    <n v="202605"/>
    <s v="NW"/>
    <s v="0"/>
    <n v="1.4999999999999999E-2"/>
    <n v="2.5000000000000001E-2"/>
    <b v="0"/>
    <s v="2026052"/>
    <n v="0"/>
  </r>
  <r>
    <x v="97"/>
    <s v="5PREF BARUERI"/>
    <n v="5"/>
    <s v="795407 - Tabela 5"/>
    <n v="2.1299999999999999E-2"/>
    <n v="120"/>
    <s v=""/>
    <n v="2.5"/>
    <n v="20"/>
    <n v="63"/>
    <s v="795407 - RFN - PREF MUN BARUERI  5  "/>
    <s v="1,5"/>
    <n v="2"/>
    <n v="2"/>
    <n v="500"/>
    <n v="202605"/>
    <s v="NW"/>
    <s v="0"/>
    <n v="1.4999999999999999E-2"/>
    <n v="2.5000000000000001E-2"/>
    <b v="0"/>
    <s v="2026052"/>
    <n v="0"/>
  </r>
  <r>
    <x v="98"/>
    <s v="1PREF BAURU"/>
    <n v="1"/>
    <s v="235884 - Tabela 1"/>
    <n v="2.5000000000000001E-2"/>
    <n v="120"/>
    <s v=""/>
    <n v="2.5"/>
    <n v="15"/>
    <n v="48"/>
    <s v="235884 - RFN - PREF BAURU 1  "/>
    <s v="1,52"/>
    <n v="10"/>
    <n v="2"/>
    <n v="500"/>
    <n v="202605"/>
    <s v="LG"/>
    <s v="1"/>
    <n v="1.52E-2"/>
    <n v="2.5000000000000001E-2"/>
    <b v="1"/>
    <s v="20260510"/>
    <n v="5"/>
  </r>
  <r>
    <x v="98"/>
    <s v="2PREF BAURU"/>
    <n v="2"/>
    <s v="235885 - Tabela 2"/>
    <n v="2.29E-2"/>
    <n v="120"/>
    <s v=""/>
    <n v="2.5"/>
    <n v="15"/>
    <n v="45"/>
    <s v="235885 - RFN - PREF BAURU 2  "/>
    <s v="1,52"/>
    <n v="10"/>
    <n v="2"/>
    <n v="500"/>
    <n v="202605"/>
    <s v="LG"/>
    <s v="1"/>
    <n v="1.52E-2"/>
    <n v="2.5000000000000001E-2"/>
    <b v="0"/>
    <s v="20260510"/>
    <n v="5"/>
  </r>
  <r>
    <x v="98"/>
    <s v="3PREF BAURU"/>
    <n v="3"/>
    <s v="235886 - Tabela 3"/>
    <n v="2.1899999999999999E-2"/>
    <n v="120"/>
    <s v=""/>
    <n v="2.5"/>
    <n v="15"/>
    <n v="59"/>
    <s v="235886 - RFN - PREF BAURU 3  "/>
    <s v="1,52"/>
    <n v="10"/>
    <n v="2"/>
    <n v="500"/>
    <n v="202605"/>
    <s v="LG"/>
    <s v="1"/>
    <n v="1.52E-2"/>
    <n v="2.5000000000000001E-2"/>
    <b v="0"/>
    <s v="20260510"/>
    <n v="5"/>
  </r>
  <r>
    <x v="98"/>
    <s v="4PREF BAURU"/>
    <n v="4"/>
    <s v="235887 - Tabela 4"/>
    <n v="2.0899999999999998E-2"/>
    <n v="120"/>
    <s v=""/>
    <n v="2.5"/>
    <n v="15"/>
    <m/>
    <s v="235887 - RFN - PREF BAURU 4  "/>
    <s v="1,52"/>
    <n v="10"/>
    <n v="2"/>
    <n v="500"/>
    <n v="202605"/>
    <s v="LG"/>
    <s v="1"/>
    <n v="1.52E-2"/>
    <n v="2.5000000000000001E-2"/>
    <b v="0"/>
    <s v="20260510"/>
    <n v="5"/>
  </r>
  <r>
    <x v="98"/>
    <s v="5PREF BAURU"/>
    <n v="5"/>
    <s v="235889 - Tabela 5"/>
    <n v="1.9699999999999999E-2"/>
    <n v="120"/>
    <s v=""/>
    <n v="2.5"/>
    <n v="15"/>
    <n v="49"/>
    <s v="235889 - RFN - PREF BAURU 5  "/>
    <s v="1,52"/>
    <n v="10"/>
    <n v="2"/>
    <n v="500"/>
    <n v="202605"/>
    <s v="LG"/>
    <s v="1"/>
    <n v="1.52E-2"/>
    <n v="2.5000000000000001E-2"/>
    <b v="0"/>
    <s v="20260510"/>
    <n v="5"/>
  </r>
  <r>
    <x v="99"/>
    <s v="1PREF BELEM"/>
    <n v="1"/>
    <s v="705576 - Tabela 1"/>
    <n v="2.5000000000000001E-2"/>
    <n v="120"/>
    <s v=""/>
    <n v="2.5"/>
    <n v="12"/>
    <n v="46"/>
    <s v="705576 - RFN - PREF BELEM 1 "/>
    <s v="1,65"/>
    <n v="10"/>
    <n v="2"/>
    <n v="500"/>
    <n v="202605"/>
    <s v="LG"/>
    <s v="1"/>
    <n v="1.6500000000000001E-2"/>
    <n v="2.5000000000000001E-2"/>
    <b v="1"/>
    <s v="20260510"/>
    <n v="5"/>
  </r>
  <r>
    <x v="99"/>
    <s v="2PREF BELEM"/>
    <n v="2"/>
    <s v="705577 - Tabela 2"/>
    <n v="2.4E-2"/>
    <n v="120"/>
    <s v=""/>
    <n v="2.5"/>
    <n v="12"/>
    <n v="47"/>
    <s v="705577 - RFN - PREF BELEM 2 "/>
    <s v="1,65"/>
    <n v="10"/>
    <n v="2"/>
    <n v="500"/>
    <n v="202605"/>
    <s v="LG"/>
    <s v="1"/>
    <n v="1.6500000000000001E-2"/>
    <n v="2.5000000000000001E-2"/>
    <b v="0"/>
    <s v="20260510"/>
    <n v="5"/>
  </r>
  <r>
    <x v="99"/>
    <s v="3PREF BELEM"/>
    <n v="3"/>
    <s v="705578 - Tabela 3"/>
    <n v="2.3E-2"/>
    <n v="120"/>
    <s v=""/>
    <n v="2.5"/>
    <n v="12"/>
    <n v="49"/>
    <s v="705578 - RFN - PREF BELEM 3 "/>
    <s v="1,65"/>
    <n v="10"/>
    <n v="2"/>
    <n v="500"/>
    <n v="202605"/>
    <s v="LG"/>
    <s v="1"/>
    <n v="1.6500000000000001E-2"/>
    <n v="2.5000000000000001E-2"/>
    <b v="0"/>
    <s v="20260510"/>
    <n v="5"/>
  </r>
  <r>
    <x v="99"/>
    <s v="4PREF BELEM"/>
    <n v="4"/>
    <s v="705579 - Tabela 4"/>
    <n v="2.2000000000000002E-2"/>
    <n v="120"/>
    <s v=""/>
    <n v="2.5"/>
    <n v="12"/>
    <n v="49"/>
    <s v="705579 - RFN - PREF BELEM 4 "/>
    <s v="1,65"/>
    <n v="10"/>
    <n v="2"/>
    <n v="500"/>
    <n v="202605"/>
    <s v="LG"/>
    <s v="1"/>
    <n v="1.6500000000000001E-2"/>
    <n v="2.5000000000000001E-2"/>
    <b v="0"/>
    <s v="20260510"/>
    <n v="5"/>
  </r>
  <r>
    <x v="99"/>
    <s v="5PREF BELEM"/>
    <n v="5"/>
    <s v="705585 - Tabela 5"/>
    <n v="0.02"/>
    <n v="120"/>
    <s v=""/>
    <n v="2.5"/>
    <n v="12"/>
    <n v="47"/>
    <s v="705585 - RFN - PREF BELEM 5 "/>
    <s v="1,65"/>
    <n v="10"/>
    <n v="2"/>
    <n v="500"/>
    <n v="202605"/>
    <s v="LG"/>
    <s v="1"/>
    <n v="1.6500000000000001E-2"/>
    <n v="2.5000000000000001E-2"/>
    <b v="0"/>
    <s v="20260510"/>
    <n v="5"/>
  </r>
  <r>
    <x v="99"/>
    <s v="6PREF BELEM"/>
    <n v="6"/>
    <s v="705587 - Tabela 6"/>
    <n v="1.95E-2"/>
    <n v="120"/>
    <s v=""/>
    <n v="2.5"/>
    <n v="12"/>
    <n v="47"/>
    <s v="705587 - RFN - PREF BELEM 6 "/>
    <s v="1,65"/>
    <n v="10"/>
    <n v="2"/>
    <n v="500"/>
    <n v="202605"/>
    <s v="LG"/>
    <s v="1"/>
    <n v="1.6500000000000001E-2"/>
    <n v="2.5000000000000001E-2"/>
    <b v="0"/>
    <s v="20260510"/>
    <n v="5"/>
  </r>
  <r>
    <x v="99"/>
    <s v="7PREF BELEM"/>
    <n v="7"/>
    <s v="705588 - Tabela 735"/>
    <n v="1.9E-2"/>
    <n v="120"/>
    <s v=""/>
    <n v="2.5"/>
    <n v="12"/>
    <n v="49"/>
    <s v="705588 - RFN - PREF BELEM 7 35K "/>
    <s v="1,65"/>
    <n v="10"/>
    <n v="2"/>
    <n v="35000"/>
    <n v="202605"/>
    <s v="LG"/>
    <s v="1"/>
    <n v="1.6500000000000001E-2"/>
    <n v="2.5000000000000001E-2"/>
    <b v="0"/>
    <s v="20260510"/>
    <n v="5"/>
  </r>
  <r>
    <x v="99"/>
    <s v="8PREF BELEM"/>
    <n v="8"/>
    <s v="705589 - Tabela 8"/>
    <n v="1.8500000000000003E-2"/>
    <n v="120"/>
    <s v=""/>
    <n v="2.5"/>
    <n v="12"/>
    <n v="45"/>
    <s v="705589 - RFN - PREF BELEM 8 50K "/>
    <s v="1,65"/>
    <n v="10"/>
    <n v="2"/>
    <n v="50000"/>
    <n v="202605"/>
    <s v="LG"/>
    <s v="1"/>
    <n v="1.6500000000000001E-2"/>
    <n v="2.5000000000000001E-2"/>
    <b v="0"/>
    <s v="20260510"/>
    <n v="5"/>
  </r>
  <r>
    <x v="100"/>
    <s v="1PREF BERTIOGA"/>
    <n v="1"/>
    <s v="795650 - Tabela 1"/>
    <n v="2.5000000000000001E-2"/>
    <n v="120"/>
    <s v=""/>
    <n v="2.5"/>
    <n v="15"/>
    <n v="48"/>
    <s v="795650 - RFN - PREF BERTIOGA  1 "/>
    <s v="1,39"/>
    <n v="10"/>
    <n v="2"/>
    <n v="500"/>
    <n v="202605"/>
    <s v="LG"/>
    <s v="1"/>
    <n v="1.3899999999999999E-2"/>
    <n v="2.5000000000000001E-2"/>
    <b v="1"/>
    <s v="20260510"/>
    <n v="5"/>
  </r>
  <r>
    <x v="100"/>
    <s v="2PREF BERTIOGA"/>
    <n v="2"/>
    <s v="795651 - Tabela 2"/>
    <n v="2.3900000000000001E-2"/>
    <n v="120"/>
    <s v=""/>
    <n v="2.5"/>
    <n v="15"/>
    <m/>
    <s v="795651 - RFN - PREF BERTIOGA  2 "/>
    <s v="1,39"/>
    <n v="10"/>
    <n v="2"/>
    <n v="500"/>
    <n v="202605"/>
    <s v="LG"/>
    <s v="1"/>
    <n v="1.3899999999999999E-2"/>
    <n v="2.5000000000000001E-2"/>
    <b v="0"/>
    <s v="20260510"/>
    <n v="5"/>
  </r>
  <r>
    <x v="100"/>
    <s v="3PREF BERTIOGA"/>
    <n v="3"/>
    <s v="795652 - Tabela 3"/>
    <n v="2.29E-2"/>
    <n v="120"/>
    <s v=""/>
    <n v="2.5"/>
    <n v="15"/>
    <m/>
    <s v="795652 - RFN - PREF BERTIOGA  3 "/>
    <s v="1,39"/>
    <n v="10"/>
    <n v="2"/>
    <n v="500"/>
    <n v="202605"/>
    <s v="LG"/>
    <s v="1"/>
    <n v="1.3899999999999999E-2"/>
    <n v="2.5000000000000001E-2"/>
    <b v="0"/>
    <s v="20260510"/>
    <n v="5"/>
  </r>
  <r>
    <x v="100"/>
    <s v="4PREF BERTIOGA"/>
    <n v="4"/>
    <s v="795653 - Tabela 4"/>
    <n v="2.1899999999999999E-2"/>
    <n v="120"/>
    <s v=""/>
    <n v="2.5"/>
    <n v="15"/>
    <m/>
    <s v="795653 - RFN - PREF BERTIOGA  4 "/>
    <s v="1,39"/>
    <n v="10"/>
    <n v="2"/>
    <n v="500"/>
    <n v="202605"/>
    <s v="LG"/>
    <s v="1"/>
    <n v="1.3899999999999999E-2"/>
    <n v="2.5000000000000001E-2"/>
    <b v="0"/>
    <s v="20260510"/>
    <n v="5"/>
  </r>
  <r>
    <x v="100"/>
    <s v="5PREF BERTIOGA"/>
    <n v="5"/>
    <s v="795654 - Tabela 5"/>
    <n v="2.0899999999999998E-2"/>
    <n v="120"/>
    <s v=""/>
    <n v="2.5"/>
    <n v="15"/>
    <m/>
    <s v="795654 - RFN - PREF BERTIOGA  5 "/>
    <s v="1,39"/>
    <n v="10"/>
    <n v="2"/>
    <n v="500"/>
    <n v="202605"/>
    <s v="LG"/>
    <s v="1"/>
    <n v="1.3899999999999999E-2"/>
    <n v="2.5000000000000001E-2"/>
    <b v="0"/>
    <s v="20260510"/>
    <n v="5"/>
  </r>
  <r>
    <x v="100"/>
    <s v="6PREF BERTIOGA"/>
    <n v="6"/>
    <s v="795655 - Tabela 6"/>
    <n v="1.9900000000000001E-2"/>
    <n v="120"/>
    <s v=""/>
    <n v="2.5"/>
    <n v="15"/>
    <n v="39"/>
    <s v="795655 - RFN - PREF BERTIOGA  6 "/>
    <s v="1,39"/>
    <n v="10"/>
    <n v="2"/>
    <n v="500"/>
    <n v="202605"/>
    <s v="LG"/>
    <s v="1"/>
    <n v="1.3899999999999999E-2"/>
    <n v="2.5000000000000001E-2"/>
    <b v="0"/>
    <s v="20260510"/>
    <n v="5"/>
  </r>
  <r>
    <x v="101"/>
    <s v="1PREF BETIM"/>
    <n v="1"/>
    <s v="711516 - Tabela 1"/>
    <n v="2.1000000000000001E-2"/>
    <n v="120"/>
    <s v=""/>
    <n v="2.25"/>
    <n v="25"/>
    <n v="47"/>
    <s v="711516 - RFN - PREF BETIM  1"/>
    <s v="1,5"/>
    <n v="18"/>
    <n v="2"/>
    <n v="500"/>
    <n v="202605"/>
    <s v="LG"/>
    <s v="1"/>
    <n v="1.4999999999999999E-2"/>
    <n v="2.2499999999999999E-2"/>
    <b v="0"/>
    <s v="20260518"/>
    <n v="11"/>
  </r>
  <r>
    <x v="101"/>
    <s v="2PREF BETIM"/>
    <n v="2"/>
    <s v="711517 - Tabela 2"/>
    <n v="1.9699999999999999E-2"/>
    <n v="120"/>
    <s v=""/>
    <n v="2.25"/>
    <n v="25"/>
    <n v="51"/>
    <s v="711517 - RFN - PREF BETIM  2"/>
    <s v="1,5"/>
    <n v="18"/>
    <n v="2"/>
    <n v="500"/>
    <n v="202605"/>
    <s v="LG"/>
    <s v="1"/>
    <n v="1.4999999999999999E-2"/>
    <n v="2.2499999999999999E-2"/>
    <b v="0"/>
    <s v="20260518"/>
    <n v="11"/>
  </r>
  <r>
    <x v="102"/>
    <s v="1PREF BH,"/>
    <n v="1"/>
    <s v="795381 - Tabela 1"/>
    <n v="2.5000000000000001E-2"/>
    <n v="120"/>
    <s v=""/>
    <n v="2.5"/>
    <n v="25"/>
    <m/>
    <s v="795381 - RFN - PREF BH  1 "/>
    <s v="1,43"/>
    <n v="9"/>
    <n v="2"/>
    <n v="500"/>
    <n v="202605"/>
    <s v="NW"/>
    <s v="1"/>
    <n v="1.43E-2"/>
    <n v="2.5000000000000001E-2"/>
    <b v="1"/>
    <s v="2026059"/>
    <n v="5"/>
  </r>
  <r>
    <x v="102"/>
    <s v="2PREF BH,"/>
    <n v="2"/>
    <s v="795382 - Tabela 2"/>
    <n v="2.2499999999999999E-2"/>
    <n v="120"/>
    <s v=""/>
    <n v="2.5"/>
    <n v="25"/>
    <n v="72"/>
    <s v="795382 - RFN - PREF BH  2 "/>
    <s v="1,43"/>
    <n v="9"/>
    <n v="2"/>
    <n v="500"/>
    <n v="202605"/>
    <s v="NW"/>
    <s v="1"/>
    <n v="1.43E-2"/>
    <n v="2.5000000000000001E-2"/>
    <b v="0"/>
    <s v="2026059"/>
    <n v="5"/>
  </r>
  <r>
    <x v="102"/>
    <s v="3PREF BH,"/>
    <n v="3"/>
    <s v="795383 - Tabela 3"/>
    <n v="0.02"/>
    <n v="120"/>
    <s v=""/>
    <n v="2.5"/>
    <n v="25"/>
    <n v="60"/>
    <s v="795383 - RFN - PREF BH  3 "/>
    <s v="1,43"/>
    <n v="9"/>
    <n v="2"/>
    <n v="500"/>
    <n v="202605"/>
    <s v="NW"/>
    <s v="1"/>
    <n v="1.43E-2"/>
    <n v="2.5000000000000001E-2"/>
    <b v="0"/>
    <s v="2026059"/>
    <n v="5"/>
  </r>
  <r>
    <x v="102"/>
    <s v="4PREF BH,"/>
    <n v="4"/>
    <s v="795384 - Tabela 4"/>
    <n v="1.95E-2"/>
    <n v="120"/>
    <s v=""/>
    <n v="2.5"/>
    <n v="25"/>
    <n v="49"/>
    <s v="795384 - RFN - PREF BH  4 "/>
    <s v="1,43"/>
    <n v="9"/>
    <n v="2"/>
    <n v="500"/>
    <n v="202605"/>
    <s v="NW"/>
    <s v="1"/>
    <n v="1.43E-2"/>
    <n v="2.5000000000000001E-2"/>
    <b v="0"/>
    <s v="2026059"/>
    <n v="5"/>
  </r>
  <r>
    <x v="102"/>
    <s v="5PREF BH,"/>
    <n v="5"/>
    <s v="795385 - Tabela 5"/>
    <n v="1.9E-2"/>
    <n v="120"/>
    <s v=""/>
    <n v="2.5"/>
    <n v="25"/>
    <n v="60"/>
    <s v="795385 - RFN - PREF BH  5 "/>
    <s v="1,43"/>
    <n v="9"/>
    <n v="2"/>
    <n v="500"/>
    <n v="202605"/>
    <s v="NW"/>
    <s v="1"/>
    <n v="1.43E-2"/>
    <n v="2.5000000000000001E-2"/>
    <b v="0"/>
    <s v="2026059"/>
    <n v="5"/>
  </r>
  <r>
    <x v="102"/>
    <s v="6PREF BH,"/>
    <n v="6"/>
    <s v="795386 - Tabela 6"/>
    <n v="1.8500000000000003E-2"/>
    <n v="120"/>
    <s v=""/>
    <n v="2.5"/>
    <n v="25"/>
    <n v="68"/>
    <s v="795386 - RFN - PREF BH  6 "/>
    <s v="1,43"/>
    <n v="9"/>
    <n v="2"/>
    <n v="500"/>
    <n v="202605"/>
    <s v="NW"/>
    <s v="1"/>
    <n v="1.43E-2"/>
    <n v="2.5000000000000001E-2"/>
    <b v="0"/>
    <s v="2026059"/>
    <n v="5"/>
  </r>
  <r>
    <x v="102"/>
    <s v="7PREF BH,"/>
    <n v="7"/>
    <s v="795387 - Tabela 7"/>
    <n v="1.8000000000000002E-2"/>
    <n v="120"/>
    <s v=""/>
    <n v="2.5"/>
    <n v="25"/>
    <n v="69"/>
    <s v="795387 - RFN - PREF BH  7 "/>
    <s v="1,43"/>
    <n v="9"/>
    <n v="2"/>
    <n v="500"/>
    <n v="202605"/>
    <s v="NW"/>
    <s v="1"/>
    <n v="1.43E-2"/>
    <n v="2.5000000000000001E-2"/>
    <b v="0"/>
    <s v="2026059"/>
    <n v="5"/>
  </r>
  <r>
    <x v="102"/>
    <s v="8PREF BH,"/>
    <n v="8"/>
    <s v="795388 - Tabela 8"/>
    <n v="1.7500000000000002E-2"/>
    <n v="120"/>
    <s v=""/>
    <n v="2.5"/>
    <n v="25"/>
    <n v="74"/>
    <s v="795388 - RFN - PREF BH  8 "/>
    <s v="1,43"/>
    <n v="9"/>
    <n v="2"/>
    <n v="500"/>
    <n v="202605"/>
    <s v="NW"/>
    <s v="1"/>
    <n v="1.43E-2"/>
    <n v="2.5000000000000001E-2"/>
    <b v="0"/>
    <s v="2026059"/>
    <n v="5"/>
  </r>
  <r>
    <x v="102"/>
    <s v="9PREF BH,"/>
    <n v="9"/>
    <s v="795389 - Tabela 9"/>
    <n v="1.7000000000000001E-2"/>
    <n v="120"/>
    <s v=""/>
    <n v="2.5"/>
    <n v="25"/>
    <n v="58"/>
    <s v="795389 - RFN - PREF BH  9 "/>
    <s v="1,43"/>
    <n v="9"/>
    <n v="2"/>
    <n v="500"/>
    <n v="202605"/>
    <s v="NW"/>
    <s v="1"/>
    <n v="1.43E-2"/>
    <n v="2.5000000000000001E-2"/>
    <b v="0"/>
    <s v="2026059"/>
    <n v="5"/>
  </r>
  <r>
    <x v="102"/>
    <s v="10PREF BH,"/>
    <n v="10"/>
    <s v="795390 - Tabela 10"/>
    <n v="1.6500000000000001E-2"/>
    <n v="120"/>
    <s v=""/>
    <n v="2.5"/>
    <n v="25"/>
    <n v="65"/>
    <s v="795390 - RFN - PREF BH  10 "/>
    <s v="1,43"/>
    <n v="9"/>
    <n v="2"/>
    <n v="500"/>
    <n v="202605"/>
    <s v="NW"/>
    <s v="1"/>
    <n v="1.43E-2"/>
    <n v="2.5000000000000001E-2"/>
    <b v="0"/>
    <s v="2026059"/>
    <n v="5"/>
  </r>
  <r>
    <x v="102"/>
    <s v="11PREF BH,"/>
    <n v="11"/>
    <s v="795391 - Tabela 3011"/>
    <n v="1.6299999999999999E-2"/>
    <n v="120"/>
    <s v=""/>
    <n v="2.5"/>
    <n v="25"/>
    <n v="63"/>
    <s v="795391 - RFN - PREF BH 30K  11 "/>
    <s v="1,43"/>
    <n v="9"/>
    <n v="2"/>
    <n v="30000"/>
    <n v="202605"/>
    <s v="NW"/>
    <s v="1"/>
    <n v="1.43E-2"/>
    <n v="2.5000000000000001E-2"/>
    <b v="0"/>
    <s v="2026059"/>
    <n v="5"/>
  </r>
  <r>
    <x v="102"/>
    <s v="12PREF BH,"/>
    <n v="12"/>
    <s v="795392 - Tabela 12"/>
    <n v="1.61E-2"/>
    <n v="120"/>
    <s v=""/>
    <n v="2.5"/>
    <n v="25"/>
    <n v="60"/>
    <s v="795392 - RFN - PREF BH 50K  12 "/>
    <s v="1,43"/>
    <n v="9"/>
    <n v="2"/>
    <n v="50000"/>
    <n v="202605"/>
    <s v="NW"/>
    <s v="1"/>
    <n v="1.43E-2"/>
    <n v="2.5000000000000001E-2"/>
    <b v="0"/>
    <s v="2026059"/>
    <n v="5"/>
  </r>
  <r>
    <x v="103"/>
    <s v="1PREF BIRITIBA M"/>
    <n v="1"/>
    <s v="995190 - Tabela 1"/>
    <n v="2.5000000000000001E-2"/>
    <n v="96"/>
    <s v=""/>
    <n v="2.5"/>
    <n v="10"/>
    <n v="92"/>
    <s v="995190 - RFN - PREF BIRITIBA MIRIM 1  "/>
    <s v="1,59"/>
    <n v="10"/>
    <n v="2"/>
    <n v="500"/>
    <n v="202605"/>
    <s v="LG"/>
    <s v="0"/>
    <n v="1.5900000000000001E-2"/>
    <n v="2.5000000000000001E-2"/>
    <b v="1"/>
    <s v="20260510"/>
    <n v="5"/>
  </r>
  <r>
    <x v="103"/>
    <s v="2PREF BIRITIBA M"/>
    <n v="2"/>
    <s v="995191 - Tabela 2"/>
    <n v="2.3900000000000001E-2"/>
    <n v="96"/>
    <s v=""/>
    <n v="2.5"/>
    <n v="10"/>
    <n v="92"/>
    <s v="995191 - RFN - PREF BIRITIBA MIRIM 2  "/>
    <s v="1,59"/>
    <n v="10"/>
    <n v="2"/>
    <n v="500"/>
    <n v="202605"/>
    <s v="LG"/>
    <s v="0"/>
    <n v="1.5900000000000001E-2"/>
    <n v="2.5000000000000001E-2"/>
    <b v="0"/>
    <s v="20260510"/>
    <n v="5"/>
  </r>
  <r>
    <x v="103"/>
    <s v="3PREF BIRITIBA M"/>
    <n v="3"/>
    <s v="995192 - Tabela 3"/>
    <n v="2.29E-2"/>
    <n v="96"/>
    <s v=""/>
    <n v="2.5"/>
    <n v="10"/>
    <n v="92"/>
    <s v="995192 - RFN - PREF BIRITIBA MIRIM 3  "/>
    <s v="1,59"/>
    <n v="10"/>
    <n v="2"/>
    <n v="500"/>
    <n v="202605"/>
    <s v="LG"/>
    <s v="0"/>
    <n v="1.5900000000000001E-2"/>
    <n v="2.5000000000000001E-2"/>
    <b v="0"/>
    <s v="20260510"/>
    <n v="5"/>
  </r>
  <r>
    <x v="103"/>
    <s v="4PREF BIRITIBA M"/>
    <n v="4"/>
    <s v="995193 - Tabela 4"/>
    <n v="2.2099999999999998E-2"/>
    <n v="96"/>
    <s v=""/>
    <n v="2.5"/>
    <n v="10"/>
    <n v="92"/>
    <s v="995193 - RFN - PREF BIRITIBA MIRIM 4  "/>
    <s v="1,59"/>
    <n v="10"/>
    <n v="2"/>
    <n v="500"/>
    <n v="202605"/>
    <s v="LG"/>
    <s v="0"/>
    <n v="1.5900000000000001E-2"/>
    <n v="2.5000000000000001E-2"/>
    <b v="0"/>
    <s v="20260510"/>
    <n v="5"/>
  </r>
  <r>
    <x v="104"/>
    <s v="1PREF BLUMENAU"/>
    <n v="1"/>
    <s v="775791 - Tabela 1"/>
    <n v="2.5000000000000001E-2"/>
    <n v="120"/>
    <s v=""/>
    <n v="2.5"/>
    <n v="15"/>
    <n v="44"/>
    <s v="775791 - RFN - PREF BLUMENAU 1 "/>
    <s v="1,48"/>
    <n v="1"/>
    <n v="2"/>
    <n v="500"/>
    <n v="202605"/>
    <s v="LG"/>
    <s v="1"/>
    <n v="1.4800000000000001E-2"/>
    <n v="2.5000000000000001E-2"/>
    <b v="1"/>
    <s v="2026051"/>
    <n v="0"/>
  </r>
  <r>
    <x v="104"/>
    <s v="2PREF BLUMENAU"/>
    <n v="2"/>
    <s v="775792 - Tabela 2"/>
    <n v="1.95E-2"/>
    <n v="120"/>
    <s v=""/>
    <n v="2.5"/>
    <n v="15"/>
    <n v="44"/>
    <s v="775792 - RFN - PREF BLUMENAU 2 "/>
    <s v="1,48"/>
    <n v="1"/>
    <n v="2"/>
    <n v="500"/>
    <n v="202605"/>
    <s v="LG"/>
    <s v="1"/>
    <n v="1.4800000000000001E-2"/>
    <n v="2.5000000000000001E-2"/>
    <b v="0"/>
    <s v="2026051"/>
    <n v="0"/>
  </r>
  <r>
    <x v="104"/>
    <s v="3PREF BLUMENAU"/>
    <n v="3"/>
    <s v="775793 - Tabela 3"/>
    <n v="1.8500000000000003E-2"/>
    <n v="120"/>
    <s v=""/>
    <n v="2.5"/>
    <n v="15"/>
    <n v="44"/>
    <s v="775793 - RFN - PREF BLUMENAU 3 "/>
    <s v="1,48"/>
    <n v="1"/>
    <n v="2"/>
    <n v="500"/>
    <n v="202605"/>
    <s v="LG"/>
    <s v="1"/>
    <n v="1.4800000000000001E-2"/>
    <n v="2.5000000000000001E-2"/>
    <b v="0"/>
    <s v="2026051"/>
    <n v="0"/>
  </r>
  <r>
    <x v="104"/>
    <s v="4PREF BLUMENAU"/>
    <n v="4"/>
    <s v="775794 - Tabela 4"/>
    <n v="1.7500000000000002E-2"/>
    <n v="120"/>
    <s v=""/>
    <n v="2.5"/>
    <n v="15"/>
    <n v="44"/>
    <s v="775794 - RFN - PREF BLUMENAU 4 "/>
    <s v="1,48"/>
    <n v="1"/>
    <n v="2"/>
    <n v="500"/>
    <n v="202605"/>
    <s v="LG"/>
    <s v="1"/>
    <n v="1.4800000000000001E-2"/>
    <n v="2.5000000000000001E-2"/>
    <b v="0"/>
    <s v="2026051"/>
    <n v="0"/>
  </r>
  <r>
    <x v="104"/>
    <s v="5PREF BLUMENAU"/>
    <n v="5"/>
    <s v="775795 - Tabela 5"/>
    <n v="1.7000000000000001E-2"/>
    <n v="120"/>
    <s v=""/>
    <n v="2.5"/>
    <n v="15"/>
    <n v="44"/>
    <s v="775795 - RFN - PREF BLUMENAU 5 "/>
    <s v="1,48"/>
    <n v="1"/>
    <n v="2"/>
    <n v="500"/>
    <n v="202605"/>
    <s v="LG"/>
    <s v="1"/>
    <n v="1.4800000000000001E-2"/>
    <n v="2.5000000000000001E-2"/>
    <b v="0"/>
    <s v="2026051"/>
    <n v="0"/>
  </r>
  <r>
    <x v="105"/>
    <s v="1PREF BOA VISTA"/>
    <n v="1"/>
    <s v="765100 - Tabela 1"/>
    <n v="2.5000000000000001E-2"/>
    <n v="120"/>
    <s v=""/>
    <n v="2.5"/>
    <n v="15"/>
    <n v="62"/>
    <s v="765100 - RFN - PREF DE BOA VISTA  1 "/>
    <s v="1,67"/>
    <n v="10"/>
    <n v="2"/>
    <n v="500"/>
    <n v="202605"/>
    <s v="LG"/>
    <s v="1"/>
    <n v="1.67E-2"/>
    <n v="2.5000000000000001E-2"/>
    <b v="1"/>
    <s v="20260510"/>
    <n v="5"/>
  </r>
  <r>
    <x v="105"/>
    <s v="2PREF BOA VISTA"/>
    <n v="2"/>
    <s v="765106 - Tabela 2"/>
    <n v="2.4E-2"/>
    <n v="120"/>
    <s v=""/>
    <n v="2.5"/>
    <n v="15"/>
    <n v="53"/>
    <s v="765106 - RFN - PREF DE BOA VISTA  2 "/>
    <s v="1,67"/>
    <n v="10"/>
    <n v="2"/>
    <n v="500"/>
    <n v="202605"/>
    <s v="LG"/>
    <s v="1"/>
    <n v="1.67E-2"/>
    <n v="2.5000000000000001E-2"/>
    <b v="0"/>
    <s v="20260510"/>
    <n v="5"/>
  </r>
  <r>
    <x v="105"/>
    <s v="3PREF BOA VISTA"/>
    <n v="3"/>
    <s v="765107 - Tabela 3"/>
    <n v="2.3E-2"/>
    <n v="120"/>
    <s v=""/>
    <n v="2.5"/>
    <n v="15"/>
    <n v="57"/>
    <s v="765107 - RFN - PREF DE BOA VISTA  3 "/>
    <s v="1,67"/>
    <n v="10"/>
    <n v="2"/>
    <n v="500"/>
    <n v="202605"/>
    <s v="LG"/>
    <s v="1"/>
    <n v="1.67E-2"/>
    <n v="2.5000000000000001E-2"/>
    <b v="0"/>
    <s v="20260510"/>
    <n v="5"/>
  </r>
  <r>
    <x v="105"/>
    <s v="4PREF BOA VISTA"/>
    <n v="4"/>
    <s v="765108 - Tabela 4"/>
    <n v="2.2000000000000002E-2"/>
    <n v="120"/>
    <s v=""/>
    <n v="2.5"/>
    <n v="15"/>
    <n v="54"/>
    <s v="765108 - RFN - PREF DE BOA VISTA  4 "/>
    <s v="1,67"/>
    <n v="10"/>
    <n v="2"/>
    <n v="500"/>
    <n v="202605"/>
    <s v="LG"/>
    <s v="1"/>
    <n v="1.67E-2"/>
    <n v="2.5000000000000001E-2"/>
    <b v="0"/>
    <s v="20260510"/>
    <n v="5"/>
  </r>
  <r>
    <x v="105"/>
    <s v="5PREF BOA VISTA"/>
    <n v="5"/>
    <s v="765109 - Tabela 5"/>
    <n v="2.1000000000000001E-2"/>
    <n v="120"/>
    <s v=""/>
    <n v="2.5"/>
    <n v="15"/>
    <n v="47"/>
    <s v="765109 - RFN - PREF DE BOA VISTA  5 "/>
    <s v="1,67"/>
    <n v="10"/>
    <n v="2"/>
    <n v="500"/>
    <n v="202605"/>
    <s v="LG"/>
    <s v="1"/>
    <n v="1.67E-2"/>
    <n v="2.5000000000000001E-2"/>
    <b v="0"/>
    <s v="20260510"/>
    <n v="5"/>
  </r>
  <r>
    <x v="105"/>
    <s v="6PREF BOA VISTA"/>
    <n v="6"/>
    <s v="765110 - Tabela 6"/>
    <n v="2.0499999999999997E-2"/>
    <n v="120"/>
    <s v=""/>
    <n v="2.5"/>
    <n v="15"/>
    <n v="53"/>
    <s v="765110 - RFN - PREF DE BOA VISTA  6 "/>
    <s v="1,67"/>
    <n v="10"/>
    <n v="2"/>
    <n v="500"/>
    <n v="202605"/>
    <s v="LG"/>
    <s v="1"/>
    <n v="1.67E-2"/>
    <n v="2.5000000000000001E-2"/>
    <b v="0"/>
    <s v="20260510"/>
    <n v="5"/>
  </r>
  <r>
    <x v="106"/>
    <s v="1PREF BOITUVA"/>
    <n v="1"/>
    <s v="775440 - Tabela 1"/>
    <n v="2.5000000000000001E-2"/>
    <n v="96"/>
    <s v=""/>
    <n v="2.5"/>
    <n v="10"/>
    <m/>
    <s v="775440 - RFN - PREF BOITUVA 1 "/>
    <s v="1,37"/>
    <n v="5"/>
    <n v="2"/>
    <n v="500"/>
    <n v="202605"/>
    <s v="LG"/>
    <s v="1"/>
    <n v="1.37E-2"/>
    <n v="2.5000000000000001E-2"/>
    <b v="1"/>
    <s v="2026055"/>
    <n v="2"/>
  </r>
  <r>
    <x v="106"/>
    <s v="2PREF BOITUVA"/>
    <n v="2"/>
    <s v="775441 - Tabela 2"/>
    <n v="2.0899999999999998E-2"/>
    <n v="96"/>
    <s v=""/>
    <n v="2.5"/>
    <n v="10"/>
    <n v="37"/>
    <s v="775441 - RFN - PREF BOITUVA 2 "/>
    <s v="1,37"/>
    <n v="5"/>
    <n v="2"/>
    <n v="500"/>
    <n v="202605"/>
    <s v="LG"/>
    <s v="1"/>
    <n v="1.37E-2"/>
    <n v="2.5000000000000001E-2"/>
    <b v="0"/>
    <s v="2026055"/>
    <n v="2"/>
  </r>
  <r>
    <x v="106"/>
    <s v="3PREF BOITUVA"/>
    <n v="3"/>
    <s v="775442 - Tabela 3"/>
    <n v="2.06E-2"/>
    <n v="96"/>
    <s v=""/>
    <n v="2.5"/>
    <n v="10"/>
    <m/>
    <s v="775442 - RFN - PREF BOITUVA 3 "/>
    <s v="1,37"/>
    <n v="5"/>
    <n v="2"/>
    <n v="500"/>
    <n v="202605"/>
    <s v="LG"/>
    <s v="1"/>
    <n v="1.37E-2"/>
    <n v="2.5000000000000001E-2"/>
    <b v="0"/>
    <s v="2026055"/>
    <n v="2"/>
  </r>
  <r>
    <x v="107"/>
    <s v="1PREF BRAGANCA"/>
    <n v="1"/>
    <s v="795991 - Tabela 1"/>
    <n v="2.5000000000000001E-2"/>
    <n v="96"/>
    <s v=""/>
    <n v="2.5"/>
    <n v="15"/>
    <m/>
    <s v="795991 - RFN - PREF BRAGANCA PTA 1 "/>
    <s v="1,55"/>
    <n v="9"/>
    <n v="2"/>
    <n v="500"/>
    <n v="202605"/>
    <s v="LG"/>
    <s v="1"/>
    <n v="1.55E-2"/>
    <n v="2.5000000000000001E-2"/>
    <b v="1"/>
    <s v="2026059"/>
    <n v="5"/>
  </r>
  <r>
    <x v="107"/>
    <s v="2PREF BRAGANCA"/>
    <n v="2"/>
    <s v="795992 - Tabela 2"/>
    <n v="2.3900000000000001E-2"/>
    <n v="96"/>
    <s v=""/>
    <n v="2.5"/>
    <n v="15"/>
    <m/>
    <s v="795992 - RFN - PREF BRAGANCA PTA 2 "/>
    <s v="1,55"/>
    <n v="9"/>
    <n v="2"/>
    <n v="500"/>
    <n v="202605"/>
    <s v="LG"/>
    <s v="1"/>
    <n v="1.55E-2"/>
    <n v="2.5000000000000001E-2"/>
    <b v="0"/>
    <s v="2026059"/>
    <n v="5"/>
  </r>
  <r>
    <x v="107"/>
    <s v="3PREF BRAGANCA"/>
    <n v="3"/>
    <s v="795993 - Tabela 3"/>
    <n v="2.29E-2"/>
    <n v="96"/>
    <s v=""/>
    <n v="2.5"/>
    <n v="15"/>
    <m/>
    <s v="795993 - RFN - PREF BRAGANCA PTA 3 "/>
    <s v="1,55"/>
    <n v="9"/>
    <n v="2"/>
    <n v="500"/>
    <n v="202605"/>
    <s v="LG"/>
    <s v="1"/>
    <n v="1.55E-2"/>
    <n v="2.5000000000000001E-2"/>
    <b v="0"/>
    <s v="2026059"/>
    <n v="5"/>
  </r>
  <r>
    <x v="107"/>
    <s v="4PREF BRAGANCA"/>
    <n v="4"/>
    <s v="795994 - Tabela 4"/>
    <n v="2.1899999999999999E-2"/>
    <n v="96"/>
    <s v=""/>
    <n v="2.5"/>
    <n v="15"/>
    <m/>
    <s v="795994 - RFN - PREF BRAGANCA PTA 4 "/>
    <s v="1,55"/>
    <n v="9"/>
    <n v="2"/>
    <n v="500"/>
    <n v="202605"/>
    <s v="LG"/>
    <s v="1"/>
    <n v="1.55E-2"/>
    <n v="2.5000000000000001E-2"/>
    <b v="0"/>
    <s v="2026059"/>
    <n v="5"/>
  </r>
  <r>
    <x v="107"/>
    <s v="5PREF BRAGANCA"/>
    <n v="5"/>
    <s v="795995 - Tabela 5"/>
    <n v="2.1299999999999999E-2"/>
    <n v="96"/>
    <s v=""/>
    <n v="2.5"/>
    <n v="15"/>
    <m/>
    <s v="795995 - RFN - PREF BRAGANCA PTA 5 "/>
    <s v="1,55"/>
    <n v="9"/>
    <n v="2"/>
    <n v="500"/>
    <n v="202605"/>
    <s v="LG"/>
    <s v="1"/>
    <n v="1.55E-2"/>
    <n v="2.5000000000000001E-2"/>
    <b v="0"/>
    <s v="2026059"/>
    <n v="5"/>
  </r>
  <r>
    <x v="108"/>
    <s v="1PREF BRUSQUE"/>
    <n v="1"/>
    <s v="945191 - Tabela 1"/>
    <n v="2.5000000000000001E-2"/>
    <n v="120"/>
    <s v=""/>
    <n v="2.5"/>
    <n v="10"/>
    <n v="48"/>
    <s v="945191 - RFN - PREF BRUSQUE 1 "/>
    <s v="1,38"/>
    <n v="15"/>
    <n v="2"/>
    <n v="500"/>
    <n v="202605"/>
    <s v="LG"/>
    <s v="0"/>
    <n v="1.38E-2"/>
    <n v="2.5000000000000001E-2"/>
    <b v="1"/>
    <s v="20260515"/>
    <n v="10"/>
  </r>
  <r>
    <x v="108"/>
    <s v="2PREF BRUSQUE"/>
    <n v="2"/>
    <s v="945192 - Tabela 2"/>
    <n v="0.02"/>
    <n v="120"/>
    <s v=""/>
    <n v="2.5"/>
    <n v="10"/>
    <n v="42"/>
    <s v="945192 - RFN - PREF BRUSQUE 2 "/>
    <s v="1,38"/>
    <n v="15"/>
    <n v="2"/>
    <n v="500"/>
    <n v="202605"/>
    <s v="LG"/>
    <s v="0"/>
    <n v="1.38E-2"/>
    <n v="2.5000000000000001E-2"/>
    <b v="0"/>
    <s v="20260515"/>
    <n v="10"/>
  </r>
  <r>
    <x v="108"/>
    <s v="3PREF BRUSQUE"/>
    <n v="3"/>
    <s v="945194 - Tabela 3"/>
    <n v="1.9E-2"/>
    <n v="120"/>
    <s v=""/>
    <n v="2.5"/>
    <n v="10"/>
    <m/>
    <s v="945194 - RFN - PREF BRUSQUE 3 "/>
    <s v="1,38"/>
    <n v="15"/>
    <n v="2"/>
    <n v="500"/>
    <n v="202605"/>
    <s v="LG"/>
    <s v="0"/>
    <n v="1.38E-2"/>
    <n v="2.5000000000000001E-2"/>
    <b v="0"/>
    <s v="20260515"/>
    <n v="10"/>
  </r>
  <r>
    <x v="108"/>
    <s v="4PREF BRUSQUE"/>
    <n v="4"/>
    <s v="945195 - Tabela 4"/>
    <n v="1.8000000000000002E-2"/>
    <n v="120"/>
    <s v=""/>
    <n v="2.5"/>
    <n v="10"/>
    <m/>
    <s v="945195 - RFN - PREF BRUSQUE 4 "/>
    <s v="1,38"/>
    <n v="15"/>
    <n v="2"/>
    <n v="500"/>
    <n v="202605"/>
    <s v="LG"/>
    <s v="0"/>
    <n v="1.38E-2"/>
    <n v="2.5000000000000001E-2"/>
    <b v="0"/>
    <s v="20260515"/>
    <n v="10"/>
  </r>
  <r>
    <x v="108"/>
    <s v="5PREF BRUSQUE"/>
    <n v="5"/>
    <s v="945196 - Tabela 5"/>
    <n v="1.7000000000000001E-2"/>
    <n v="120"/>
    <s v=""/>
    <n v="2.5"/>
    <n v="10"/>
    <m/>
    <s v="945196 - RFN - PREF BRUSQUE 5 "/>
    <s v="1,38"/>
    <n v="15"/>
    <n v="2"/>
    <n v="500"/>
    <n v="202605"/>
    <s v="LG"/>
    <s v="0"/>
    <n v="1.38E-2"/>
    <n v="2.5000000000000001E-2"/>
    <b v="0"/>
    <s v="20260515"/>
    <n v="10"/>
  </r>
  <r>
    <x v="109"/>
    <s v="1PREF C GRANDE"/>
    <n v="1"/>
    <s v="215000 - Tabela 1"/>
    <n v="2.5000000000000001E-2"/>
    <n v="120"/>
    <s v=""/>
    <n v="2.5"/>
    <n v="22"/>
    <n v="55"/>
    <s v="215000 - RFN - PREF CAMPO GRANDE  1 "/>
    <s v="1,45"/>
    <n v="6"/>
    <n v="2"/>
    <n v="500"/>
    <n v="202605"/>
    <s v="LG"/>
    <s v="1"/>
    <n v="1.4499999999999999E-2"/>
    <n v="2.5000000000000001E-2"/>
    <b v="1"/>
    <s v="2026056"/>
    <n v="3"/>
  </r>
  <r>
    <x v="109"/>
    <s v="2PREF C GRANDE"/>
    <n v="2"/>
    <s v="215001 - Tabela 2"/>
    <n v="2.2499999999999999E-2"/>
    <n v="120"/>
    <s v=""/>
    <n v="2.5"/>
    <n v="22"/>
    <n v="62"/>
    <s v="215001 - RFN - PREF CAMPO GRANDE  2 "/>
    <s v="1,45"/>
    <n v="6"/>
    <n v="2"/>
    <n v="500"/>
    <n v="202605"/>
    <s v="LG"/>
    <s v="1"/>
    <n v="1.4499999999999999E-2"/>
    <n v="2.5000000000000001E-2"/>
    <b v="0"/>
    <s v="2026056"/>
    <n v="3"/>
  </r>
  <r>
    <x v="109"/>
    <s v="3PREF C GRANDE"/>
    <n v="3"/>
    <s v="215002 - Tabela 3"/>
    <n v="0.02"/>
    <n v="120"/>
    <s v=""/>
    <n v="2.5"/>
    <n v="22"/>
    <n v="62"/>
    <s v="215002 - RFN - PREF CAMPO GRANDE  3 "/>
    <s v="1,45"/>
    <n v="6"/>
    <n v="2"/>
    <n v="500"/>
    <n v="202605"/>
    <s v="LG"/>
    <s v="1"/>
    <n v="1.4499999999999999E-2"/>
    <n v="2.5000000000000001E-2"/>
    <b v="0"/>
    <s v="2026056"/>
    <n v="3"/>
  </r>
  <r>
    <x v="109"/>
    <s v="4PREF C GRANDE"/>
    <n v="4"/>
    <s v="215003 - Tabela 4"/>
    <n v="1.9E-2"/>
    <n v="120"/>
    <s v=""/>
    <n v="2.5"/>
    <n v="22"/>
    <n v="58"/>
    <s v="215003 - RFN - PREF CAMPO GRANDE  4 "/>
    <s v="1,45"/>
    <n v="6"/>
    <n v="2"/>
    <n v="500"/>
    <n v="202605"/>
    <s v="LG"/>
    <s v="1"/>
    <n v="1.4499999999999999E-2"/>
    <n v="2.5000000000000001E-2"/>
    <b v="0"/>
    <s v="2026056"/>
    <n v="3"/>
  </r>
  <r>
    <x v="109"/>
    <s v="5PREF C GRANDE"/>
    <n v="5"/>
    <s v="215004 - Tabela 5"/>
    <n v="1.8700000000000001E-2"/>
    <n v="120"/>
    <s v=""/>
    <n v="2.5"/>
    <n v="22"/>
    <n v="57"/>
    <s v="215004 - RFN - PREF CAMPO GRANDE  5 "/>
    <s v="1,45"/>
    <n v="6"/>
    <n v="2"/>
    <n v="500"/>
    <n v="202605"/>
    <s v="LG"/>
    <s v="1"/>
    <n v="1.4499999999999999E-2"/>
    <n v="2.5000000000000001E-2"/>
    <b v="0"/>
    <s v="2026056"/>
    <n v="3"/>
  </r>
  <r>
    <x v="109"/>
    <s v="6PREF C GRANDE"/>
    <n v="6"/>
    <s v="215005 - Tabela 6"/>
    <n v="1.8200000000000001E-2"/>
    <n v="120"/>
    <s v=""/>
    <n v="2.5"/>
    <n v="22"/>
    <n v="56"/>
    <s v="215005 - RFN - PREF CAMPO GRANDE  6 "/>
    <s v="1,45"/>
    <n v="6"/>
    <n v="2"/>
    <n v="500"/>
    <n v="202605"/>
    <s v="LG"/>
    <s v="1"/>
    <n v="1.4499999999999999E-2"/>
    <n v="2.5000000000000001E-2"/>
    <b v="0"/>
    <s v="2026056"/>
    <n v="3"/>
  </r>
  <r>
    <x v="110"/>
    <s v="1PREF C JORDAO"/>
    <n v="1"/>
    <s v="775721 - Tabela 1"/>
    <n v="2.5000000000000001E-2"/>
    <n v="120"/>
    <s v=""/>
    <n v="2.5"/>
    <n v="12"/>
    <m/>
    <s v="775721 - RFN - PREF CAMPOS DO JORDAO 1 "/>
    <s v="1,45"/>
    <n v="10"/>
    <n v="2"/>
    <n v="500"/>
    <n v="202605"/>
    <s v="LG"/>
    <s v="1"/>
    <n v="1.4499999999999999E-2"/>
    <n v="2.5000000000000001E-2"/>
    <b v="1"/>
    <s v="20260510"/>
    <n v="5"/>
  </r>
  <r>
    <x v="110"/>
    <s v="2PREF C JORDAO"/>
    <n v="2"/>
    <s v="775722 - Tabela 2"/>
    <n v="2.3900000000000001E-2"/>
    <n v="120"/>
    <s v=""/>
    <n v="2.5"/>
    <n v="12"/>
    <m/>
    <s v="775722 - RFN - PREF CAMPOS DO JORDAO 2 "/>
    <s v="1,45"/>
    <n v="10"/>
    <n v="2"/>
    <n v="500"/>
    <n v="202605"/>
    <s v="LG"/>
    <s v="1"/>
    <n v="1.4499999999999999E-2"/>
    <n v="2.5000000000000001E-2"/>
    <b v="0"/>
    <s v="20260510"/>
    <n v="5"/>
  </r>
  <r>
    <x v="110"/>
    <s v="3PREF C JORDAO"/>
    <n v="3"/>
    <s v="775723 - Tabela 3"/>
    <n v="2.29E-2"/>
    <n v="120"/>
    <s v=""/>
    <n v="2.5"/>
    <n v="12"/>
    <n v="45"/>
    <s v="775723 - RFN - PREF CAMPOS DO JORDAO 3 "/>
    <s v="1,45"/>
    <n v="10"/>
    <n v="2"/>
    <n v="500"/>
    <n v="202605"/>
    <s v="LG"/>
    <s v="1"/>
    <n v="1.4499999999999999E-2"/>
    <n v="2.5000000000000001E-2"/>
    <b v="0"/>
    <s v="20260510"/>
    <n v="5"/>
  </r>
  <r>
    <x v="110"/>
    <s v="4PREF C JORDAO"/>
    <n v="4"/>
    <s v="775724 - Tabela 4"/>
    <n v="2.1899999999999999E-2"/>
    <n v="120"/>
    <s v=""/>
    <n v="2.5"/>
    <n v="12"/>
    <n v="38"/>
    <s v="775724 - RFN - PREF CAMPOS DO JORDAO 4 "/>
    <s v="1,45"/>
    <n v="10"/>
    <n v="2"/>
    <n v="500"/>
    <n v="202605"/>
    <s v="LG"/>
    <s v="1"/>
    <n v="1.4499999999999999E-2"/>
    <n v="2.5000000000000001E-2"/>
    <b v="0"/>
    <s v="20260510"/>
    <n v="5"/>
  </r>
  <r>
    <x v="110"/>
    <s v="5PREF C JORDAO"/>
    <n v="5"/>
    <s v="775725 - Tabela 5"/>
    <n v="2.0899999999999998E-2"/>
    <n v="120"/>
    <s v=""/>
    <n v="2.5"/>
    <n v="12"/>
    <m/>
    <s v="775725 - RFN - PREF CAMPOS DO JORDAO 5 "/>
    <s v="1,45"/>
    <n v="10"/>
    <n v="2"/>
    <n v="500"/>
    <n v="202605"/>
    <s v="LG"/>
    <s v="1"/>
    <n v="1.4499999999999999E-2"/>
    <n v="2.5000000000000001E-2"/>
    <b v="0"/>
    <s v="20260510"/>
    <n v="5"/>
  </r>
  <r>
    <x v="111"/>
    <s v="1PREF CACAPAVA"/>
    <n v="1"/>
    <s v="996570 - Tabela 4"/>
    <n v="2.0899999999999998E-2"/>
    <n v="120"/>
    <s v=""/>
    <n v="2.39"/>
    <n v="10"/>
    <n v="45"/>
    <s v="996570 - RFN - PREF CAÇAPAVA 4 "/>
    <s v="1,6"/>
    <n v="10"/>
    <n v="2"/>
    <n v="500"/>
    <n v="202605"/>
    <s v="LG"/>
    <s v="0"/>
    <n v="1.6E-2"/>
    <n v="2.3900000000000001E-2"/>
    <b v="0"/>
    <s v="20260510"/>
    <n v="5"/>
  </r>
  <r>
    <x v="112"/>
    <s v="1PREF CACERES"/>
    <n v="1"/>
    <s v="721063 - Tabela 1"/>
    <n v="2.0499999999999997E-2"/>
    <n v="120"/>
    <s v=""/>
    <n v="2.0499999999999998"/>
    <n v="25"/>
    <n v="53"/>
    <s v="721063 - RFN - PREF CACERES  1 "/>
    <s v="1,35"/>
    <n v="15"/>
    <n v="2"/>
    <n v="500"/>
    <n v="202605"/>
    <s v="LG"/>
    <s v="1"/>
    <n v="1.3500000000000002E-2"/>
    <n v="2.0499999999999997E-2"/>
    <b v="1"/>
    <s v="20260515"/>
    <n v="10"/>
  </r>
  <r>
    <x v="112"/>
    <s v="2PREF CACERES"/>
    <n v="2"/>
    <s v="721072 - Tabela 2"/>
    <n v="0.02"/>
    <n v="120"/>
    <s v=""/>
    <n v="2.0499999999999998"/>
    <n v="25"/>
    <m/>
    <s v="721072 - RFN - PREF CACERES  2 "/>
    <s v="1,35"/>
    <n v="15"/>
    <n v="2"/>
    <n v="500"/>
    <n v="202605"/>
    <s v="LG"/>
    <s v="1"/>
    <n v="1.3500000000000002E-2"/>
    <n v="2.0499999999999997E-2"/>
    <b v="0"/>
    <s v="20260515"/>
    <n v="10"/>
  </r>
  <r>
    <x v="112"/>
    <s v="3PREF CACERES"/>
    <n v="3"/>
    <s v="721074 - Tabela 3"/>
    <n v="1.95E-2"/>
    <n v="120"/>
    <s v=""/>
    <n v="2.0499999999999998"/>
    <n v="25"/>
    <n v="64"/>
    <s v="721074 - RFN - PREF CACERES  3 "/>
    <s v="1,35"/>
    <n v="15"/>
    <n v="2"/>
    <n v="500"/>
    <n v="202605"/>
    <s v="LG"/>
    <s v="1"/>
    <n v="1.3500000000000002E-2"/>
    <n v="2.0499999999999997E-2"/>
    <b v="0"/>
    <s v="20260515"/>
    <n v="10"/>
  </r>
  <r>
    <x v="113"/>
    <s v="1PREF CACERES CLT"/>
    <n v="1"/>
    <s v="721027 - Tabela 1"/>
    <n v="2.0499999999999997E-2"/>
    <n v="120"/>
    <s v=""/>
    <n v="2.0499999999999998"/>
    <n v="25"/>
    <n v="49"/>
    <s v="721027 - RFN - PREF CACERES  1  CLT"/>
    <s v="1,35"/>
    <n v="15"/>
    <n v="2"/>
    <n v="500"/>
    <n v="202605"/>
    <s v="LG"/>
    <s v="1"/>
    <n v="1.3500000000000002E-2"/>
    <n v="2.0499999999999997E-2"/>
    <b v="1"/>
    <s v="20260515"/>
    <n v="10"/>
  </r>
  <r>
    <x v="113"/>
    <s v="2PREF CACERES CLT"/>
    <n v="2"/>
    <s v="721028 - Tabela 2"/>
    <n v="0.02"/>
    <n v="120"/>
    <s v=""/>
    <n v="2.0499999999999998"/>
    <n v="25"/>
    <m/>
    <s v="721028 - RFN - PREF CACERES  2  CLT"/>
    <s v="1,35"/>
    <n v="15"/>
    <n v="2"/>
    <n v="500"/>
    <n v="202605"/>
    <s v="LG"/>
    <s v="1"/>
    <n v="1.3500000000000002E-2"/>
    <n v="2.0499999999999997E-2"/>
    <b v="0"/>
    <s v="20260515"/>
    <n v="10"/>
  </r>
  <r>
    <x v="113"/>
    <s v="3PREF CACERES CLT"/>
    <n v="3"/>
    <s v="721073 - Tabela 3"/>
    <n v="1.95E-2"/>
    <n v="120"/>
    <s v=""/>
    <n v="2.0499999999999998"/>
    <n v="25"/>
    <m/>
    <s v="721073 - RFN - PREF CACERES  3  CLT"/>
    <s v="1,35"/>
    <n v="15"/>
    <n v="2"/>
    <n v="500"/>
    <n v="202605"/>
    <s v="LG"/>
    <s v="1"/>
    <n v="1.3500000000000002E-2"/>
    <n v="2.0499999999999997E-2"/>
    <b v="0"/>
    <s v="20260515"/>
    <n v="10"/>
  </r>
  <r>
    <x v="114"/>
    <s v="1PREF CAIEIRAS"/>
    <n v="1"/>
    <s v="795901 - Tabela 1"/>
    <n v="2.5000000000000001E-2"/>
    <n v="96"/>
    <s v=""/>
    <n v="2.5"/>
    <n v="10"/>
    <n v="52"/>
    <s v="795901 - RFN - PREF CAIEIRAS 1 "/>
    <s v="1,49"/>
    <n v="20"/>
    <n v="2"/>
    <n v="500"/>
    <n v="202605"/>
    <s v="LG"/>
    <s v="1"/>
    <n v="1.49E-2"/>
    <n v="2.5000000000000001E-2"/>
    <b v="1"/>
    <s v="20260520"/>
    <n v="13"/>
  </r>
  <r>
    <x v="114"/>
    <s v="2PREF CAIEIRAS"/>
    <n v="2"/>
    <s v="795902 - Tabela 2"/>
    <n v="2.3900000000000001E-2"/>
    <n v="96"/>
    <s v=""/>
    <n v="2.5"/>
    <n v="10"/>
    <n v="52"/>
    <s v="795902 - RFN - PREF CAIEIRAS 2 "/>
    <s v="1,49"/>
    <n v="20"/>
    <n v="2"/>
    <n v="500"/>
    <n v="202605"/>
    <s v="LG"/>
    <s v="1"/>
    <n v="1.49E-2"/>
    <n v="2.5000000000000001E-2"/>
    <b v="0"/>
    <s v="20260520"/>
    <n v="13"/>
  </r>
  <r>
    <x v="114"/>
    <s v="3PREF CAIEIRAS"/>
    <n v="3"/>
    <s v="795903 - Tabela 3"/>
    <n v="2.29E-2"/>
    <n v="96"/>
    <s v=""/>
    <n v="2.5"/>
    <n v="10"/>
    <n v="52"/>
    <s v="795903 - RFN - PREF CAIEIRAS 3 "/>
    <s v="1,49"/>
    <n v="20"/>
    <n v="2"/>
    <n v="500"/>
    <n v="202605"/>
    <s v="LG"/>
    <s v="1"/>
    <n v="1.49E-2"/>
    <n v="2.5000000000000001E-2"/>
    <b v="0"/>
    <s v="20260520"/>
    <n v="13"/>
  </r>
  <r>
    <x v="114"/>
    <s v="4PREF CAIEIRAS"/>
    <n v="4"/>
    <s v="795904 - Tabela 4"/>
    <n v="2.1899999999999999E-2"/>
    <n v="96"/>
    <s v=""/>
    <n v="2.5"/>
    <n v="10"/>
    <n v="52"/>
    <s v="795904 - RFN - PREF CAIEIRAS 4 "/>
    <s v="1,49"/>
    <n v="20"/>
    <n v="2"/>
    <n v="500"/>
    <n v="202605"/>
    <s v="LG"/>
    <s v="1"/>
    <n v="1.49E-2"/>
    <n v="2.5000000000000001E-2"/>
    <b v="0"/>
    <s v="20260520"/>
    <n v="13"/>
  </r>
  <r>
    <x v="114"/>
    <s v="5PREF CAIEIRAS"/>
    <n v="5"/>
    <s v="795905 - Tabela 5"/>
    <n v="2.1499999999999998E-2"/>
    <n v="96"/>
    <s v=""/>
    <n v="2.5"/>
    <n v="10"/>
    <n v="52"/>
    <s v="795905 - RFN - PREF CAIEIRAS 5 "/>
    <s v="1,49"/>
    <n v="20"/>
    <n v="2"/>
    <n v="500"/>
    <n v="202605"/>
    <s v="LG"/>
    <s v="1"/>
    <n v="1.49E-2"/>
    <n v="2.5000000000000001E-2"/>
    <b v="0"/>
    <s v="20260520"/>
    <n v="13"/>
  </r>
  <r>
    <x v="115"/>
    <s v="1PREF CAJAMAR"/>
    <n v="1"/>
    <s v="785953 - Tabela 3"/>
    <n v="2.29E-2"/>
    <n v="120"/>
    <s v=""/>
    <n v="2.5"/>
    <n v="20"/>
    <n v="62"/>
    <s v="785953 - RFN - PREF CAJAMAR 3 "/>
    <s v="1,55"/>
    <n v="10"/>
    <n v="2"/>
    <n v="500"/>
    <n v="202605"/>
    <s v="LG"/>
    <s v="1"/>
    <n v="1.55E-2"/>
    <n v="2.5000000000000001E-2"/>
    <b v="0"/>
    <s v="20260510"/>
    <n v="5"/>
  </r>
  <r>
    <x v="115"/>
    <s v="2PREF CAJAMAR"/>
    <n v="2"/>
    <s v="785954 - Tabela 4"/>
    <n v="2.1899999999999999E-2"/>
    <n v="120"/>
    <s v=""/>
    <n v="2.5"/>
    <n v="20"/>
    <m/>
    <s v="785954 - RFN - PREF CAJAMAR 4 "/>
    <s v="1,55"/>
    <n v="10"/>
    <n v="2"/>
    <n v="500"/>
    <n v="202605"/>
    <s v="LG"/>
    <s v="1"/>
    <n v="1.55E-2"/>
    <n v="2.5000000000000001E-2"/>
    <b v="0"/>
    <s v="20260510"/>
    <n v="5"/>
  </r>
  <r>
    <x v="115"/>
    <s v="3PREF CAJAMAR"/>
    <n v="3"/>
    <s v="785955 - Tabela 5"/>
    <n v="2.0899999999999998E-2"/>
    <n v="120"/>
    <s v=""/>
    <n v="2.5"/>
    <n v="20"/>
    <m/>
    <s v="785955 - RFN - PREF CAJAMAR 5 "/>
    <s v="1,55"/>
    <n v="10"/>
    <n v="2"/>
    <n v="500"/>
    <n v="202605"/>
    <s v="LG"/>
    <s v="1"/>
    <n v="1.55E-2"/>
    <n v="2.5000000000000001E-2"/>
    <b v="0"/>
    <s v="20260510"/>
    <n v="5"/>
  </r>
  <r>
    <x v="115"/>
    <s v="4PREF CAJAMAR"/>
    <n v="4"/>
    <s v="785956 - Tabela 6"/>
    <n v="2.0299999999999999E-2"/>
    <n v="120"/>
    <s v=""/>
    <n v="2.5"/>
    <n v="20"/>
    <m/>
    <s v="785956 - RFN - PREF CAJAMAR 6 "/>
    <s v="1,55"/>
    <n v="10"/>
    <n v="2"/>
    <n v="500"/>
    <n v="202605"/>
    <s v="LG"/>
    <s v="1"/>
    <n v="1.55E-2"/>
    <n v="2.5000000000000001E-2"/>
    <b v="0"/>
    <s v="20260510"/>
    <n v="5"/>
  </r>
  <r>
    <x v="116"/>
    <s v="1PREF CAJATI SP"/>
    <n v="1"/>
    <s v="705121 - Tabela 1"/>
    <n v="2.5000000000000001E-2"/>
    <n v="96"/>
    <s v=""/>
    <n v="2.5"/>
    <n v="20"/>
    <n v="57"/>
    <s v="705121 - RFN - PREF CAJATI  1 "/>
    <s v="1,59"/>
    <n v="15"/>
    <n v="2"/>
    <n v="500"/>
    <n v="202605"/>
    <s v="LG"/>
    <s v="1"/>
    <n v="1.5900000000000001E-2"/>
    <n v="2.5000000000000001E-2"/>
    <b v="1"/>
    <s v="20260515"/>
    <n v="10"/>
  </r>
  <r>
    <x v="116"/>
    <s v="2PREF CAJATI SP"/>
    <n v="2"/>
    <s v="705122 - Tabela 2"/>
    <n v="2.3900000000000001E-2"/>
    <n v="96"/>
    <s v=""/>
    <n v="2.5"/>
    <n v="20"/>
    <n v="57"/>
    <s v="705122 - RFN - PREF CAJATI  2 "/>
    <s v="1,59"/>
    <n v="15"/>
    <n v="2"/>
    <n v="500"/>
    <n v="202605"/>
    <s v="LG"/>
    <s v="1"/>
    <n v="1.5900000000000001E-2"/>
    <n v="2.5000000000000001E-2"/>
    <b v="0"/>
    <s v="20260515"/>
    <n v="10"/>
  </r>
  <r>
    <x v="116"/>
    <s v="3PREF CAJATI SP"/>
    <n v="3"/>
    <s v="705123 - Tabela 3"/>
    <n v="2.29E-2"/>
    <n v="96"/>
    <s v=""/>
    <n v="2.5"/>
    <n v="20"/>
    <n v="57"/>
    <s v="705123 - RFN - PREF CAJATI  3 "/>
    <s v="1,59"/>
    <n v="15"/>
    <n v="2"/>
    <n v="500"/>
    <n v="202605"/>
    <s v="LG"/>
    <s v="1"/>
    <n v="1.5900000000000001E-2"/>
    <n v="2.5000000000000001E-2"/>
    <b v="0"/>
    <s v="20260515"/>
    <n v="10"/>
  </r>
  <r>
    <x v="116"/>
    <s v="4PREF CAJATI SP"/>
    <n v="4"/>
    <s v="705124 - Tabela 4"/>
    <n v="2.1899999999999999E-2"/>
    <n v="96"/>
    <s v=""/>
    <n v="2.5"/>
    <n v="20"/>
    <n v="57"/>
    <s v="705124 - RFN - PREF CAJATI  4 "/>
    <s v="1,59"/>
    <n v="15"/>
    <n v="2"/>
    <n v="500"/>
    <n v="202605"/>
    <s v="LG"/>
    <s v="1"/>
    <n v="1.5900000000000001E-2"/>
    <n v="2.5000000000000001E-2"/>
    <b v="0"/>
    <s v="20260515"/>
    <n v="10"/>
  </r>
  <r>
    <x v="117"/>
    <s v="1PREF CAMAÇARI"/>
    <n v="1"/>
    <s v="881019 - Tabela 1"/>
    <n v="2.5000000000000001E-2"/>
    <n v="120"/>
    <s v=""/>
    <n v="2.5"/>
    <n v="10"/>
    <n v="31"/>
    <s v="881019 - RFN - PREF CAMAÇARI  1 "/>
    <s v="1,6"/>
    <n v="10"/>
    <n v="2"/>
    <n v="500"/>
    <n v="202605"/>
    <s v="LG"/>
    <s v="0"/>
    <n v="1.6E-2"/>
    <n v="2.5000000000000001E-2"/>
    <b v="1"/>
    <s v="20260510"/>
    <n v="5"/>
  </r>
  <r>
    <x v="117"/>
    <s v="2PREF CAMAÇARI"/>
    <n v="2"/>
    <s v="881068 - Tabela 2"/>
    <n v="2.4E-2"/>
    <n v="120"/>
    <s v=""/>
    <n v="2.5"/>
    <n v="10"/>
    <n v="48"/>
    <s v="881068 - RFN - PREF CAMAÇARI  2 "/>
    <s v="1,6"/>
    <n v="10"/>
    <n v="2"/>
    <n v="500"/>
    <n v="202605"/>
    <s v="LG"/>
    <s v="0"/>
    <n v="1.6E-2"/>
    <n v="2.5000000000000001E-2"/>
    <b v="0"/>
    <s v="20260510"/>
    <n v="5"/>
  </r>
  <r>
    <x v="117"/>
    <s v="3PREF CAMAÇARI"/>
    <n v="3"/>
    <s v="881030 - Tabela 3"/>
    <n v="2.35E-2"/>
    <n v="120"/>
    <s v=""/>
    <n v="2.5"/>
    <n v="10"/>
    <n v="49"/>
    <s v="881030 - RFN - PREF CAMAÇARI  3 "/>
    <s v="1,6"/>
    <n v="10"/>
    <n v="2"/>
    <n v="500"/>
    <n v="202605"/>
    <s v="LG"/>
    <s v="0"/>
    <n v="1.6E-2"/>
    <n v="2.5000000000000001E-2"/>
    <b v="0"/>
    <s v="20260510"/>
    <n v="5"/>
  </r>
  <r>
    <x v="117"/>
    <s v="4PREF CAMAÇARI"/>
    <n v="4"/>
    <s v="881107 - Tabela 4"/>
    <n v="2.3099999999999999E-2"/>
    <n v="120"/>
    <s v=""/>
    <n v="2.5"/>
    <n v="10"/>
    <m/>
    <s v="881107 - RFN - PREF CAMAÇARI  4 "/>
    <s v="1,6"/>
    <n v="10"/>
    <n v="2"/>
    <n v="500"/>
    <n v="202605"/>
    <s v="LG"/>
    <s v="0"/>
    <n v="1.6E-2"/>
    <n v="2.5000000000000001E-2"/>
    <b v="0"/>
    <s v="20260510"/>
    <n v="5"/>
  </r>
  <r>
    <x v="117"/>
    <s v="5PREF CAMAÇARI"/>
    <n v="5"/>
    <s v="881108 - Tabela 5"/>
    <n v="2.2499999999999999E-2"/>
    <n v="120"/>
    <s v=""/>
    <n v="2.5"/>
    <n v="10"/>
    <n v="39"/>
    <s v="881108 - RFN - PREF CAMAÇARI  5 "/>
    <s v="1,6"/>
    <n v="10"/>
    <n v="2"/>
    <n v="500"/>
    <n v="202605"/>
    <s v="LG"/>
    <s v="0"/>
    <n v="1.6E-2"/>
    <n v="2.5000000000000001E-2"/>
    <b v="0"/>
    <s v="20260510"/>
    <n v="5"/>
  </r>
  <r>
    <x v="118"/>
    <s v="1PREF CANELA RS"/>
    <n v="1"/>
    <s v="725181 - Tabela 1"/>
    <n v="2.5000000000000001E-2"/>
    <n v="120"/>
    <s v=""/>
    <n v="2.5"/>
    <n v="25"/>
    <m/>
    <s v="725181 - RFN - PREF CANELA 1 "/>
    <s v="1,43"/>
    <n v="18"/>
    <n v="2"/>
    <n v="500"/>
    <n v="202605"/>
    <s v="LG"/>
    <s v="1"/>
    <n v="1.43E-2"/>
    <n v="2.5000000000000001E-2"/>
    <b v="1"/>
    <s v="20260518"/>
    <n v="11"/>
  </r>
  <r>
    <x v="118"/>
    <s v="2PREF CANELA RS"/>
    <n v="2"/>
    <s v="725182 - Tabela 2"/>
    <n v="2.0499999999999997E-2"/>
    <n v="120"/>
    <s v=""/>
    <n v="2.5"/>
    <n v="25"/>
    <m/>
    <s v="725182 - RFN - PREF CANELA 2 "/>
    <s v="1,43"/>
    <n v="18"/>
    <n v="2"/>
    <n v="500"/>
    <n v="202605"/>
    <s v="LG"/>
    <s v="1"/>
    <n v="1.43E-2"/>
    <n v="2.5000000000000001E-2"/>
    <b v="0"/>
    <s v="20260518"/>
    <n v="11"/>
  </r>
  <r>
    <x v="118"/>
    <s v="3PREF CANELA RS"/>
    <n v="3"/>
    <s v="725183 - Tabela 3"/>
    <n v="1.95E-2"/>
    <n v="120"/>
    <s v=""/>
    <n v="2.5"/>
    <n v="25"/>
    <m/>
    <s v="725183 - RFN - PREF CANELA 3 "/>
    <s v="1,43"/>
    <n v="18"/>
    <n v="2"/>
    <n v="500"/>
    <n v="202605"/>
    <s v="LG"/>
    <s v="1"/>
    <n v="1.43E-2"/>
    <n v="2.5000000000000001E-2"/>
    <b v="0"/>
    <s v="20260518"/>
    <n v="11"/>
  </r>
  <r>
    <x v="118"/>
    <s v="4PREF CANELA RS"/>
    <n v="4"/>
    <s v="725184 - Tabela 4"/>
    <n v="1.89E-2"/>
    <n v="120"/>
    <s v=""/>
    <n v="2.5"/>
    <n v="25"/>
    <m/>
    <s v="725184 - RFN - PREF CANELA 4 "/>
    <s v="1,43"/>
    <n v="18"/>
    <n v="2"/>
    <n v="500"/>
    <n v="202605"/>
    <s v="LG"/>
    <s v="1"/>
    <n v="1.43E-2"/>
    <n v="2.5000000000000001E-2"/>
    <b v="0"/>
    <s v="20260518"/>
    <n v="11"/>
  </r>
  <r>
    <x v="119"/>
    <s v="1PREF CAPIVARI"/>
    <n v="1"/>
    <s v="735711 - Tabela 1"/>
    <n v="2.5000000000000001E-2"/>
    <n v="120"/>
    <s v=""/>
    <n v="2.5"/>
    <n v="11"/>
    <m/>
    <s v="735711 - RFN - PREF CAPIVARI 1 "/>
    <s v="1,36"/>
    <n v="18"/>
    <n v="2"/>
    <n v="500"/>
    <n v="202605"/>
    <s v="LG"/>
    <s v="0"/>
    <n v="1.3600000000000001E-2"/>
    <n v="2.5000000000000001E-2"/>
    <b v="1"/>
    <s v="20260518"/>
    <n v="11"/>
  </r>
  <r>
    <x v="119"/>
    <s v="2PREF CAPIVARI"/>
    <n v="2"/>
    <s v="735712 - Tabela 2"/>
    <n v="1.9599999999999999E-2"/>
    <n v="120"/>
    <s v=""/>
    <n v="2.5"/>
    <n v="11"/>
    <n v="36"/>
    <s v="735712 - RFN - PREF CAPIVARI 2 "/>
    <s v="1,36"/>
    <n v="18"/>
    <n v="2"/>
    <n v="500"/>
    <n v="202605"/>
    <s v="LG"/>
    <s v="0"/>
    <n v="1.3600000000000001E-2"/>
    <n v="2.5000000000000001E-2"/>
    <b v="0"/>
    <s v="20260518"/>
    <n v="11"/>
  </r>
  <r>
    <x v="119"/>
    <s v="3PREF CAPIVARI"/>
    <n v="3"/>
    <s v="735713 - Tabela 3"/>
    <n v="1.9400000000000001E-2"/>
    <n v="120"/>
    <s v=""/>
    <n v="2.5"/>
    <n v="11"/>
    <n v="50"/>
    <s v="735713 - RFN - PREF CAPIVARI 3 "/>
    <s v="1,36"/>
    <n v="18"/>
    <n v="2"/>
    <n v="500"/>
    <n v="202605"/>
    <s v="LG"/>
    <s v="0"/>
    <n v="1.3600000000000001E-2"/>
    <n v="2.5000000000000001E-2"/>
    <b v="0"/>
    <s v="20260518"/>
    <n v="11"/>
  </r>
  <r>
    <x v="120"/>
    <s v="1PREF CARAGUA 1"/>
    <n v="1"/>
    <s v="734551 - Tabela 1"/>
    <n v="2.5000000000000001E-2"/>
    <n v="120"/>
    <s v=""/>
    <n v="2.5"/>
    <n v="15"/>
    <n v="46"/>
    <s v="734551 - RFN - PREF CARAGUATATUBA  1   "/>
    <s v="1,45"/>
    <n v="15"/>
    <n v="2"/>
    <n v="500"/>
    <n v="202605"/>
    <s v="LG"/>
    <s v="0"/>
    <n v="1.4499999999999999E-2"/>
    <n v="2.5000000000000001E-2"/>
    <b v="1"/>
    <s v="20260515"/>
    <n v="10"/>
  </r>
  <r>
    <x v="120"/>
    <s v="2PREF CARAGUA 1"/>
    <n v="2"/>
    <s v="734552 - Tabela 2"/>
    <n v="2.3900000000000001E-2"/>
    <n v="120"/>
    <s v=""/>
    <n v="2.5"/>
    <n v="15"/>
    <n v="43"/>
    <s v="734552 - RFN - PREF CARAGUATATUBA  2   "/>
    <s v="1,45"/>
    <n v="15"/>
    <n v="2"/>
    <n v="500"/>
    <n v="202605"/>
    <s v="LG"/>
    <s v="0"/>
    <n v="1.4499999999999999E-2"/>
    <n v="2.5000000000000001E-2"/>
    <b v="0"/>
    <s v="20260515"/>
    <n v="10"/>
  </r>
  <r>
    <x v="120"/>
    <s v="3PREF CARAGUA 1"/>
    <n v="3"/>
    <s v="734553 - Tabela 3"/>
    <n v="2.29E-2"/>
    <n v="120"/>
    <s v=""/>
    <n v="2.5"/>
    <n v="15"/>
    <n v="43"/>
    <s v="734553 - RFN - PREF CARAGUATATUBA  3   "/>
    <s v="1,45"/>
    <n v="15"/>
    <n v="2"/>
    <n v="500"/>
    <n v="202605"/>
    <s v="LG"/>
    <s v="0"/>
    <n v="1.4499999999999999E-2"/>
    <n v="2.5000000000000001E-2"/>
    <b v="0"/>
    <s v="20260515"/>
    <n v="10"/>
  </r>
  <r>
    <x v="120"/>
    <s v="4PREF CARAGUA 1"/>
    <n v="4"/>
    <s v="734554 - Tabela 4"/>
    <n v="2.1899999999999999E-2"/>
    <n v="120"/>
    <s v=""/>
    <n v="2.5"/>
    <n v="15"/>
    <n v="41"/>
    <s v="734554 - RFN - PREF CARAGUATATUBA  4  "/>
    <s v="1,45"/>
    <n v="15"/>
    <n v="2"/>
    <n v="500"/>
    <n v="202605"/>
    <s v="LG"/>
    <s v="0"/>
    <n v="1.4499999999999999E-2"/>
    <n v="2.5000000000000001E-2"/>
    <b v="0"/>
    <s v="20260515"/>
    <n v="10"/>
  </r>
  <r>
    <x v="120"/>
    <s v="5PREF CARAGUA 1"/>
    <n v="5"/>
    <s v="734555 - Tabela 5"/>
    <n v="2.0899999999999998E-2"/>
    <n v="120"/>
    <s v=""/>
    <n v="2.5"/>
    <n v="15"/>
    <n v="45"/>
    <s v="734555 - RFN - PREF CARAGUATATUBA  5  "/>
    <s v="1,45"/>
    <n v="15"/>
    <n v="2"/>
    <n v="500"/>
    <n v="202605"/>
    <s v="LG"/>
    <s v="0"/>
    <n v="1.4499999999999999E-2"/>
    <n v="2.5000000000000001E-2"/>
    <b v="0"/>
    <s v="20260515"/>
    <n v="10"/>
  </r>
  <r>
    <x v="120"/>
    <s v="6PREF CARAGUA 1"/>
    <n v="6"/>
    <s v="734559 - Tabela 6"/>
    <n v="0.02"/>
    <n v="120"/>
    <s v=""/>
    <n v="2.5"/>
    <n v="15"/>
    <n v="44"/>
    <s v="734559 - RFN - PREF CARAGUATATUBA  6 "/>
    <s v="1,45"/>
    <n v="15"/>
    <n v="2"/>
    <n v="500"/>
    <n v="202605"/>
    <s v="LG"/>
    <s v="0"/>
    <n v="1.4499999999999999E-2"/>
    <n v="2.5000000000000001E-2"/>
    <b v="0"/>
    <s v="20260515"/>
    <n v="10"/>
  </r>
  <r>
    <x v="121"/>
    <s v="1PREF CARAPICUIB"/>
    <n v="1"/>
    <s v="795611 - Tabela 1"/>
    <n v="2.5000000000000001E-2"/>
    <n v="96"/>
    <s v=""/>
    <n v="2.5"/>
    <n v="20"/>
    <m/>
    <s v="795611 - RFN - PREF CARAPICUIBA 1 "/>
    <s v="1,49"/>
    <n v="16"/>
    <n v="2"/>
    <n v="500"/>
    <n v="202605"/>
    <s v="LG"/>
    <s v="1"/>
    <n v="1.49E-2"/>
    <n v="2.5000000000000001E-2"/>
    <b v="1"/>
    <s v="20260516"/>
    <n v="10"/>
  </r>
  <r>
    <x v="121"/>
    <s v="2PREF CARAPICUIB"/>
    <n v="2"/>
    <s v="795612 - Tabela 2"/>
    <n v="2.3900000000000001E-2"/>
    <n v="96"/>
    <s v=""/>
    <n v="2.5"/>
    <n v="20"/>
    <m/>
    <s v="795612 - RFN - PREF CARAPICUIBA 2 "/>
    <s v="1,49"/>
    <n v="16"/>
    <n v="2"/>
    <n v="500"/>
    <n v="202605"/>
    <s v="LG"/>
    <s v="1"/>
    <n v="1.49E-2"/>
    <n v="2.5000000000000001E-2"/>
    <b v="0"/>
    <s v="20260516"/>
    <n v="10"/>
  </r>
  <r>
    <x v="121"/>
    <s v="3PREF CARAPICUIB"/>
    <n v="3"/>
    <s v="795613 - Tabela 3"/>
    <n v="2.29E-2"/>
    <n v="96"/>
    <s v=""/>
    <n v="2.5"/>
    <n v="20"/>
    <n v="52"/>
    <s v="795613 - RFN - PREF CARAPICUIBA 3 "/>
    <s v="1,49"/>
    <n v="16"/>
    <n v="2"/>
    <n v="500"/>
    <n v="202605"/>
    <s v="LG"/>
    <s v="1"/>
    <n v="1.49E-2"/>
    <n v="2.5000000000000001E-2"/>
    <b v="0"/>
    <s v="20260516"/>
    <n v="10"/>
  </r>
  <r>
    <x v="121"/>
    <s v="4PREF CARAPICUIB"/>
    <n v="4"/>
    <s v="795614 - Tabela 4"/>
    <n v="2.1899999999999999E-2"/>
    <n v="96"/>
    <s v=""/>
    <n v="2.5"/>
    <n v="20"/>
    <n v="39"/>
    <s v="795614 - RFN - PREF CARAPICUIBA 4 "/>
    <s v="1,49"/>
    <n v="16"/>
    <n v="2"/>
    <n v="500"/>
    <n v="202605"/>
    <s v="LG"/>
    <s v="1"/>
    <n v="1.49E-2"/>
    <n v="2.5000000000000001E-2"/>
    <b v="0"/>
    <s v="20260516"/>
    <n v="10"/>
  </r>
  <r>
    <x v="121"/>
    <s v="5PREF CARAPICUIB"/>
    <n v="5"/>
    <s v="795615 - Tabela 5"/>
    <n v="2.12E-2"/>
    <n v="96"/>
    <s v=""/>
    <n v="2.5"/>
    <n v="20"/>
    <n v="46"/>
    <s v="795615 - RFN - PREF CARAPICUIBA 5 "/>
    <s v="1,49"/>
    <n v="16"/>
    <n v="2"/>
    <n v="500"/>
    <n v="202605"/>
    <s v="LG"/>
    <s v="1"/>
    <n v="1.49E-2"/>
    <n v="2.5000000000000001E-2"/>
    <b v="0"/>
    <s v="20260516"/>
    <n v="10"/>
  </r>
  <r>
    <x v="122"/>
    <s v="1PREF CATANDUVA"/>
    <n v="1"/>
    <s v="765351 - Tabela 1"/>
    <n v="2.5699999999999997E-2"/>
    <n v="120"/>
    <s v=""/>
    <n v="2.57"/>
    <n v="17"/>
    <n v="57"/>
    <s v="765351 - RFN - PREF CATANDUVA 1 "/>
    <s v="1,54"/>
    <n v="20"/>
    <n v="2"/>
    <n v="500"/>
    <n v="202605"/>
    <s v="LG"/>
    <s v="0"/>
    <n v="1.54E-2"/>
    <n v="2.5699999999999997E-2"/>
    <b v="1"/>
    <s v="20260520"/>
    <n v="13"/>
  </r>
  <r>
    <x v="122"/>
    <s v="2PREF CATANDUVA"/>
    <n v="2"/>
    <s v="765352 - Tabela 2"/>
    <n v="2.4700000000000003E-2"/>
    <n v="120"/>
    <s v=""/>
    <n v="2.57"/>
    <n v="17"/>
    <n v="57"/>
    <s v="765352 - RFN - PREF CATANDUVA 2 "/>
    <s v="1,54"/>
    <n v="20"/>
    <n v="2"/>
    <n v="500"/>
    <n v="202605"/>
    <s v="LG"/>
    <s v="0"/>
    <n v="1.54E-2"/>
    <n v="2.5699999999999997E-2"/>
    <b v="0"/>
    <s v="20260520"/>
    <n v="13"/>
  </r>
  <r>
    <x v="122"/>
    <s v="3PREF CATANDUVA"/>
    <n v="3"/>
    <s v="765353 - Tabela 3"/>
    <n v="2.3399999999999997E-2"/>
    <n v="120"/>
    <s v=""/>
    <n v="2.57"/>
    <n v="17"/>
    <n v="57"/>
    <s v="765353 - RFN - PREF CATANDUVA 3 "/>
    <s v="1,54"/>
    <n v="20"/>
    <n v="2"/>
    <n v="500"/>
    <n v="202605"/>
    <s v="LG"/>
    <s v="0"/>
    <n v="1.54E-2"/>
    <n v="2.5699999999999997E-2"/>
    <b v="0"/>
    <s v="20260520"/>
    <n v="13"/>
  </r>
  <r>
    <x v="122"/>
    <s v="4PREF CATANDUVA"/>
    <n v="4"/>
    <s v="765354 - Tabela 4"/>
    <n v="0.02"/>
    <n v="120"/>
    <s v=""/>
    <n v="2.57"/>
    <n v="17"/>
    <n v="57"/>
    <s v="765354 - RFN - PREF CATANDUVA 4 "/>
    <s v="1,54"/>
    <n v="20"/>
    <n v="2"/>
    <n v="500"/>
    <n v="202605"/>
    <s v="LG"/>
    <s v="0"/>
    <n v="1.54E-2"/>
    <n v="2.5699999999999997E-2"/>
    <b v="0"/>
    <s v="20260520"/>
    <n v="13"/>
  </r>
  <r>
    <x v="123"/>
    <s v="1PREF CAUCAIA"/>
    <n v="1"/>
    <s v="775681 - Tabela 1"/>
    <n v="2.5000000000000001E-2"/>
    <n v="96"/>
    <s v=""/>
    <n v="2.5"/>
    <n v="14"/>
    <n v="75"/>
    <s v="775681 - RFN PREF CAUCAIA  1 ILIDADE"/>
    <s v="1,55"/>
    <n v="14"/>
    <n v="2"/>
    <n v="500"/>
    <n v="202605"/>
    <s v="LG"/>
    <s v="1"/>
    <n v="1.55E-2"/>
    <n v="2.5000000000000001E-2"/>
    <b v="1"/>
    <s v="20260514"/>
    <n v="9"/>
  </r>
  <r>
    <x v="123"/>
    <s v="2PREF CAUCAIA"/>
    <n v="2"/>
    <s v="775682 - Tabela 2"/>
    <n v="2.4E-2"/>
    <n v="96"/>
    <s v=""/>
    <n v="2.5"/>
    <n v="14"/>
    <n v="51"/>
    <s v="775682 - RFN PREF CAUCAIA  2 ILIDADE"/>
    <s v="1,55"/>
    <n v="14"/>
    <n v="2"/>
    <n v="500"/>
    <n v="202605"/>
    <s v="LG"/>
    <s v="1"/>
    <n v="1.55E-2"/>
    <n v="2.5000000000000001E-2"/>
    <b v="0"/>
    <s v="20260514"/>
    <n v="9"/>
  </r>
  <r>
    <x v="123"/>
    <s v="3PREF CAUCAIA"/>
    <n v="3"/>
    <s v="775683 - Tabela 3"/>
    <n v="2.3E-2"/>
    <n v="96"/>
    <s v=""/>
    <n v="2.5"/>
    <n v="14"/>
    <n v="49"/>
    <s v="775683 - RFN PREF CAUCAIA  3 ILIDADE"/>
    <s v="1,55"/>
    <n v="14"/>
    <n v="2"/>
    <n v="500"/>
    <n v="202605"/>
    <s v="LG"/>
    <s v="1"/>
    <n v="1.55E-2"/>
    <n v="2.5000000000000001E-2"/>
    <b v="0"/>
    <s v="20260514"/>
    <n v="9"/>
  </r>
  <r>
    <x v="123"/>
    <s v="4PREF CAUCAIA"/>
    <n v="4"/>
    <s v="775684 - Tabela 4"/>
    <n v="2.2000000000000002E-2"/>
    <n v="96"/>
    <s v=""/>
    <n v="2.5"/>
    <n v="14"/>
    <n v="42"/>
    <s v="775684 - RFN PREF CAUCAIA  4 ILIDADE"/>
    <s v="1,55"/>
    <n v="14"/>
    <n v="2"/>
    <n v="500"/>
    <n v="202605"/>
    <s v="LG"/>
    <s v="1"/>
    <n v="1.55E-2"/>
    <n v="2.5000000000000001E-2"/>
    <b v="0"/>
    <s v="20260514"/>
    <n v="9"/>
  </r>
  <r>
    <x v="123"/>
    <s v="5PREF CAUCAIA"/>
    <n v="5"/>
    <s v="775685 - Tabela 5"/>
    <n v="1.8600000000000002E-2"/>
    <n v="96"/>
    <s v=""/>
    <n v="2.5"/>
    <n v="14"/>
    <n v="44"/>
    <s v="775685 - RFN PREF CAUCAIA  5 ILIDADE"/>
    <s v="1,55"/>
    <n v="14"/>
    <n v="2"/>
    <n v="500"/>
    <n v="202605"/>
    <s v="LG"/>
    <s v="1"/>
    <n v="1.55E-2"/>
    <n v="2.5000000000000001E-2"/>
    <b v="0"/>
    <s v="20260514"/>
    <n v="9"/>
  </r>
  <r>
    <x v="124"/>
    <s v="1PREF CERQUILHO"/>
    <n v="1"/>
    <s v="795622 - Tabela 2"/>
    <n v="1.9199999999999998E-2"/>
    <n v="120"/>
    <s v=""/>
    <n v="2.5"/>
    <n v="12"/>
    <m/>
    <s v="795622 - RFN - PREF CERQUILHO 2 "/>
    <s v="1,3"/>
    <n v="15"/>
    <n v="2"/>
    <n v="500"/>
    <n v="202605"/>
    <s v="LG"/>
    <s v="0"/>
    <n v="1.3000000000000001E-2"/>
    <n v="2.5000000000000001E-2"/>
    <b v="0"/>
    <s v="20260515"/>
    <n v="10"/>
  </r>
  <r>
    <x v="124"/>
    <s v="2PREF CERQUILHO"/>
    <n v="2"/>
    <s v="795623 - Tabela 3"/>
    <n v="1.9E-2"/>
    <n v="120"/>
    <s v=""/>
    <n v="2.5"/>
    <n v="12"/>
    <m/>
    <s v="795623 - RFN - PREF CERQUILHO 3 "/>
    <s v="1,3"/>
    <n v="15"/>
    <n v="2"/>
    <n v="500"/>
    <n v="202605"/>
    <s v="LG"/>
    <s v="0"/>
    <n v="1.3000000000000001E-2"/>
    <n v="2.5000000000000001E-2"/>
    <b v="0"/>
    <s v="20260515"/>
    <n v="10"/>
  </r>
  <r>
    <x v="124"/>
    <s v="3PREF CERQUILHO"/>
    <n v="3"/>
    <s v="795624 - Tabela 4"/>
    <n v="1.8799999999999997E-2"/>
    <n v="120"/>
    <s v=""/>
    <n v="2.5"/>
    <n v="12"/>
    <m/>
    <s v="795624 - RFN - PREF CERQUILHO 4 "/>
    <s v="1,3"/>
    <n v="15"/>
    <n v="2"/>
    <n v="500"/>
    <n v="202605"/>
    <s v="LG"/>
    <s v="0"/>
    <n v="1.3000000000000001E-2"/>
    <n v="2.5000000000000001E-2"/>
    <b v="0"/>
    <s v="20260515"/>
    <n v="10"/>
  </r>
  <r>
    <x v="125"/>
    <s v="1PREF COLINA SP"/>
    <n v="1"/>
    <s v="705310 - Tabela 1"/>
    <n v="2.5000000000000001E-2"/>
    <n v="96"/>
    <s v=""/>
    <n v="2.5"/>
    <n v="20"/>
    <m/>
    <s v="705310 - RFN - PREF COLINA  1 "/>
    <s v="1,6"/>
    <n v="10"/>
    <n v="2"/>
    <n v="500"/>
    <n v="202605"/>
    <s v="LG"/>
    <s v="1"/>
    <n v="1.6E-2"/>
    <n v="2.5000000000000001E-2"/>
    <b v="1"/>
    <s v="20260510"/>
    <n v="5"/>
  </r>
  <r>
    <x v="125"/>
    <s v="2PREF COLINA SP"/>
    <n v="2"/>
    <s v="705311 - Tabela 2"/>
    <n v="2.2000000000000002E-2"/>
    <n v="96"/>
    <s v=""/>
    <n v="2.5"/>
    <n v="20"/>
    <m/>
    <s v="705311 - RFN - PREF COLINA  2 "/>
    <s v="1,6"/>
    <n v="10"/>
    <n v="2"/>
    <n v="500"/>
    <n v="202605"/>
    <s v="LG"/>
    <s v="1"/>
    <n v="1.6E-2"/>
    <n v="2.5000000000000001E-2"/>
    <b v="0"/>
    <s v="20260510"/>
    <n v="5"/>
  </r>
  <r>
    <x v="125"/>
    <s v="3PREF COLINA SP"/>
    <n v="3"/>
    <s v="705312 - Tabela 3"/>
    <n v="2.0899999999999998E-2"/>
    <n v="96"/>
    <s v=""/>
    <n v="2.5"/>
    <n v="20"/>
    <m/>
    <s v="705312 - RFN - PREF COLINA  3 "/>
    <s v="1,6"/>
    <n v="10"/>
    <n v="2"/>
    <n v="500"/>
    <n v="202605"/>
    <s v="LG"/>
    <s v="1"/>
    <n v="1.6E-2"/>
    <n v="2.5000000000000001E-2"/>
    <b v="0"/>
    <s v="20260510"/>
    <n v="5"/>
  </r>
  <r>
    <x v="125"/>
    <s v="4PREF COLINA SP"/>
    <n v="4"/>
    <s v="705313 - Tabela 4"/>
    <n v="1.9699999999999999E-2"/>
    <n v="96"/>
    <s v=""/>
    <n v="2.5"/>
    <n v="20"/>
    <n v="57"/>
    <s v="705313 - RFN - PREF COLINA  4 "/>
    <s v="1,6"/>
    <n v="10"/>
    <n v="2"/>
    <n v="500"/>
    <n v="202605"/>
    <s v="LG"/>
    <s v="1"/>
    <n v="1.6E-2"/>
    <n v="2.5000000000000001E-2"/>
    <b v="0"/>
    <s v="20260510"/>
    <n v="5"/>
  </r>
  <r>
    <x v="126"/>
    <s v="1PREF CONTAGEM"/>
    <n v="1"/>
    <s v="715202 - Tabela 2"/>
    <n v="0.02"/>
    <n v="120"/>
    <s v=""/>
    <n v="2.25"/>
    <n v="25"/>
    <n v="66"/>
    <s v="715202 - RFN - PREF CONTAGEM  2 "/>
    <s v="1,5"/>
    <n v="3"/>
    <n v="2"/>
    <n v="500"/>
    <n v="202605"/>
    <s v="LG"/>
    <s v="1"/>
    <n v="1.4999999999999999E-2"/>
    <n v="2.2499999999999999E-2"/>
    <b v="0"/>
    <s v="2026053"/>
    <n v="0"/>
  </r>
  <r>
    <x v="126"/>
    <s v="2PREF CONTAGEM"/>
    <n v="2"/>
    <s v="715203 - Tabela 3"/>
    <n v="1.8500000000000003E-2"/>
    <n v="120"/>
    <s v=""/>
    <n v="2.25"/>
    <n v="25"/>
    <n v="65"/>
    <s v="715203 - RFN - PREF CONTAGEM  3 "/>
    <s v="1,5"/>
    <n v="3"/>
    <n v="2"/>
    <n v="500"/>
    <n v="202605"/>
    <s v="LG"/>
    <s v="1"/>
    <n v="1.4999999999999999E-2"/>
    <n v="2.2499999999999999E-2"/>
    <b v="0"/>
    <s v="2026053"/>
    <n v="0"/>
  </r>
  <r>
    <x v="127"/>
    <s v="1PREF COTIA"/>
    <n v="1"/>
    <s v="775122 - Tabela 1"/>
    <n v="2.5000000000000001E-2"/>
    <n v="96"/>
    <s v=""/>
    <n v="2.5"/>
    <n v="15"/>
    <m/>
    <s v="775122 - RFN PREF COTIA  1 ILIDADE"/>
    <s v="1,68"/>
    <n v="20"/>
    <n v="2"/>
    <n v="500"/>
    <n v="202605"/>
    <s v="LG"/>
    <s v="0"/>
    <n v="1.6799999999999999E-2"/>
    <n v="2.5000000000000001E-2"/>
    <b v="1"/>
    <s v="20260520"/>
    <n v="13"/>
  </r>
  <r>
    <x v="127"/>
    <s v="2PREF COTIA"/>
    <n v="2"/>
    <s v="775124 - Tabela 2"/>
    <n v="2.3900000000000001E-2"/>
    <n v="96"/>
    <s v=""/>
    <n v="2.5"/>
    <n v="15"/>
    <m/>
    <s v="775124 - RFN PREF COTIA  2 ILIDADE"/>
    <s v="1,68"/>
    <n v="20"/>
    <n v="2"/>
    <n v="500"/>
    <n v="202605"/>
    <s v="LG"/>
    <s v="0"/>
    <n v="1.6799999999999999E-2"/>
    <n v="2.5000000000000001E-2"/>
    <b v="0"/>
    <s v="20260520"/>
    <n v="13"/>
  </r>
  <r>
    <x v="127"/>
    <s v="3PREF COTIA"/>
    <n v="3"/>
    <s v="775126 - Tabela 3"/>
    <n v="2.29E-2"/>
    <n v="96"/>
    <s v=""/>
    <n v="2.5"/>
    <n v="15"/>
    <m/>
    <s v="775126 - RFN PREF COTIA  3 ILIDADE"/>
    <s v="1,68"/>
    <n v="20"/>
    <n v="2"/>
    <n v="500"/>
    <n v="202605"/>
    <s v="LG"/>
    <s v="0"/>
    <n v="1.6799999999999999E-2"/>
    <n v="2.5000000000000001E-2"/>
    <b v="0"/>
    <s v="20260520"/>
    <n v="13"/>
  </r>
  <r>
    <x v="128"/>
    <s v="1PREF CRATO"/>
    <n v="1"/>
    <s v="795321 - Tabela 1"/>
    <n v="2.5000000000000001E-2"/>
    <n v="120"/>
    <s v=""/>
    <n v="2.5"/>
    <n v="20"/>
    <n v="70"/>
    <s v="795321 - RFN - PREF CRATO 1 "/>
    <s v="1,73"/>
    <n v="10"/>
    <n v="2"/>
    <n v="500"/>
    <n v="202605"/>
    <s v="LG"/>
    <s v="1"/>
    <n v="1.7299999999999999E-2"/>
    <n v="2.5000000000000001E-2"/>
    <b v="1"/>
    <s v="20260510"/>
    <n v="5"/>
  </r>
  <r>
    <x v="128"/>
    <s v="2PREF CRATO"/>
    <n v="2"/>
    <s v="795322 - Tabela 2"/>
    <n v="2.4E-2"/>
    <n v="120"/>
    <s v=""/>
    <n v="2.5"/>
    <n v="20"/>
    <m/>
    <s v="795322 - RFN - PREF CRATO 2 "/>
    <s v="1,73"/>
    <n v="10"/>
    <n v="2"/>
    <n v="500"/>
    <n v="202605"/>
    <s v="LG"/>
    <s v="1"/>
    <n v="1.7299999999999999E-2"/>
    <n v="2.5000000000000001E-2"/>
    <b v="0"/>
    <s v="20260510"/>
    <n v="5"/>
  </r>
  <r>
    <x v="128"/>
    <s v="3PREF CRATO"/>
    <n v="3"/>
    <s v="795323 - Tabela 3"/>
    <n v="2.3E-2"/>
    <n v="120"/>
    <s v=""/>
    <n v="2.5"/>
    <n v="20"/>
    <n v="53"/>
    <s v="795323 - RFN - PREF CRATO 3 "/>
    <s v="1,73"/>
    <n v="10"/>
    <n v="2"/>
    <n v="500"/>
    <n v="202605"/>
    <s v="LG"/>
    <s v="1"/>
    <n v="1.7299999999999999E-2"/>
    <n v="2.5000000000000001E-2"/>
    <b v="0"/>
    <s v="20260510"/>
    <n v="5"/>
  </r>
  <r>
    <x v="128"/>
    <s v="4PREF CRATO"/>
    <n v="4"/>
    <s v="795324 - Tabela 4"/>
    <n v="2.2000000000000002E-2"/>
    <n v="120"/>
    <s v=""/>
    <n v="2.5"/>
    <n v="20"/>
    <n v="63"/>
    <s v="795324 - RFN - PREF CRATO 4 "/>
    <s v="1,73"/>
    <n v="10"/>
    <n v="2"/>
    <n v="500"/>
    <n v="202605"/>
    <s v="LG"/>
    <s v="1"/>
    <n v="1.7299999999999999E-2"/>
    <n v="2.5000000000000001E-2"/>
    <b v="0"/>
    <s v="20260510"/>
    <n v="5"/>
  </r>
  <r>
    <x v="129"/>
    <s v="1PREF CUIABA 1"/>
    <n v="1"/>
    <s v="715171 - Tabela 1"/>
    <n v="2.5000000000000001E-2"/>
    <n v="96"/>
    <s v=""/>
    <n v="2.5"/>
    <n v="30"/>
    <n v="70"/>
    <s v="715171 - RFN - PREF CUIABA  1 "/>
    <s v="1,4"/>
    <n v="10"/>
    <n v="2"/>
    <n v="500"/>
    <n v="202605"/>
    <s v="LG"/>
    <s v="1"/>
    <n v="1.3999999999999999E-2"/>
    <n v="2.5000000000000001E-2"/>
    <b v="1"/>
    <s v="20260510"/>
    <n v="5"/>
  </r>
  <r>
    <x v="129"/>
    <s v="2PREF CUIABA 1"/>
    <n v="2"/>
    <s v="715172 - Tabela 2"/>
    <n v="2.2499999999999999E-2"/>
    <n v="96"/>
    <s v=""/>
    <n v="2.5"/>
    <n v="30"/>
    <n v="48"/>
    <s v="715172 - RFN - PREF CUIABA  2 "/>
    <s v="1,4"/>
    <n v="10"/>
    <n v="2"/>
    <n v="500"/>
    <n v="202605"/>
    <s v="LG"/>
    <s v="1"/>
    <n v="1.3999999999999999E-2"/>
    <n v="2.5000000000000001E-2"/>
    <b v="0"/>
    <s v="20260510"/>
    <n v="5"/>
  </r>
  <r>
    <x v="129"/>
    <s v="3PREF CUIABA 1"/>
    <n v="3"/>
    <s v="715173 - Tabela 3"/>
    <n v="2.2000000000000002E-2"/>
    <n v="96"/>
    <s v=""/>
    <n v="2.5"/>
    <n v="30"/>
    <n v="69"/>
    <s v="715173 - RFN - PREF CUIABA  3 "/>
    <s v="1,4"/>
    <n v="10"/>
    <n v="2"/>
    <n v="500"/>
    <n v="202605"/>
    <s v="LG"/>
    <s v="1"/>
    <n v="1.3999999999999999E-2"/>
    <n v="2.5000000000000001E-2"/>
    <b v="0"/>
    <s v="20260510"/>
    <n v="5"/>
  </r>
  <r>
    <x v="129"/>
    <s v="4PREF CUIABA 1"/>
    <n v="4"/>
    <s v="715174 - Tabela 4"/>
    <n v="2.1000000000000001E-2"/>
    <n v="96"/>
    <s v=""/>
    <n v="2.5"/>
    <n v="30"/>
    <n v="57"/>
    <s v="715174 - RFN - PREF CUIABA  4 "/>
    <s v="1,4"/>
    <n v="10"/>
    <n v="2"/>
    <n v="500"/>
    <n v="202605"/>
    <s v="LG"/>
    <s v="1"/>
    <n v="1.3999999999999999E-2"/>
    <n v="2.5000000000000001E-2"/>
    <b v="0"/>
    <s v="20260510"/>
    <n v="5"/>
  </r>
  <r>
    <x v="129"/>
    <s v="5PREF CUIABA 1"/>
    <n v="5"/>
    <s v="715175 - Tabela 5"/>
    <n v="0.02"/>
    <n v="96"/>
    <s v=""/>
    <n v="2.5"/>
    <n v="30"/>
    <n v="64"/>
    <s v="715175 - RFN - PREF CUIABA  5 "/>
    <s v="1,4"/>
    <n v="10"/>
    <n v="2"/>
    <n v="500"/>
    <n v="202605"/>
    <s v="LG"/>
    <s v="1"/>
    <n v="1.3999999999999999E-2"/>
    <n v="2.5000000000000001E-2"/>
    <b v="0"/>
    <s v="20260510"/>
    <n v="5"/>
  </r>
  <r>
    <x v="129"/>
    <s v="6PREF CUIABA 1"/>
    <n v="6"/>
    <s v="715176 - Tabela 6"/>
    <n v="1.9199999999999998E-2"/>
    <n v="96"/>
    <s v=""/>
    <n v="2.5"/>
    <n v="30"/>
    <n v="70"/>
    <s v="715176 - RFN - PREF CUIABA  6 "/>
    <s v="1,4"/>
    <n v="10"/>
    <n v="2"/>
    <n v="500"/>
    <n v="202605"/>
    <s v="LG"/>
    <s v="1"/>
    <n v="1.3999999999999999E-2"/>
    <n v="2.5000000000000001E-2"/>
    <b v="0"/>
    <s v="20260510"/>
    <n v="5"/>
  </r>
  <r>
    <x v="130"/>
    <s v="1PREF CURRAIS RN"/>
    <n v="1"/>
    <s v="795751 - Tabela 1"/>
    <n v="2.7999999999999997E-2"/>
    <n v="120"/>
    <s v=""/>
    <n v="2.8"/>
    <n v="10"/>
    <m/>
    <s v="795751 - RFN - PREF CURRAIS NOVOS 1  "/>
    <s v="1,6"/>
    <n v="10"/>
    <n v="2"/>
    <n v="500"/>
    <n v="202605"/>
    <s v="NW"/>
    <s v="1"/>
    <n v="1.6E-2"/>
    <n v="2.7999999999999997E-2"/>
    <b v="1"/>
    <s v="20260510"/>
    <n v="5"/>
  </r>
  <r>
    <x v="130"/>
    <s v="2PREF CURRAIS RN"/>
    <n v="2"/>
    <s v="795752 - Tabela 2"/>
    <n v="2.7000000000000003E-2"/>
    <n v="120"/>
    <s v=""/>
    <n v="2.8"/>
    <n v="10"/>
    <m/>
    <s v="795752 - RFN - PREF CURRAIS NOVOS 2  "/>
    <s v="1,6"/>
    <n v="10"/>
    <n v="2"/>
    <n v="500"/>
    <n v="202605"/>
    <s v="NW"/>
    <s v="1"/>
    <n v="1.6E-2"/>
    <n v="2.7999999999999997E-2"/>
    <b v="0"/>
    <s v="20260510"/>
    <n v="5"/>
  </r>
  <r>
    <x v="130"/>
    <s v="3PREF CURRAIS RN"/>
    <n v="3"/>
    <s v="795753 - Tabela 3"/>
    <n v="2.6000000000000002E-2"/>
    <n v="120"/>
    <s v=""/>
    <n v="2.8"/>
    <n v="10"/>
    <m/>
    <s v="795753 - RFN - PREF CURRAIS NOVOS 3  "/>
    <s v="1,6"/>
    <n v="10"/>
    <n v="2"/>
    <n v="500"/>
    <n v="202605"/>
    <s v="NW"/>
    <s v="1"/>
    <n v="1.6E-2"/>
    <n v="2.7999999999999997E-2"/>
    <b v="0"/>
    <s v="20260510"/>
    <n v="5"/>
  </r>
  <r>
    <x v="130"/>
    <s v="4PREF CURRAIS RN"/>
    <n v="4"/>
    <s v="795754 - Tabela 4"/>
    <n v="2.5000000000000001E-2"/>
    <n v="120"/>
    <s v=""/>
    <n v="2.8"/>
    <n v="10"/>
    <m/>
    <s v="795754 - RFN - PREF CURRAIS NOVOS 4  "/>
    <s v="1,6"/>
    <n v="10"/>
    <n v="2"/>
    <n v="500"/>
    <n v="202605"/>
    <s v="NW"/>
    <s v="1"/>
    <n v="1.6E-2"/>
    <n v="2.7999999999999997E-2"/>
    <b v="0"/>
    <s v="20260510"/>
    <n v="5"/>
  </r>
  <r>
    <x v="131"/>
    <s v="1PREF DIADEMA"/>
    <n v="1"/>
    <s v="785201 - Tabela 1"/>
    <n v="2.5000000000000001E-2"/>
    <n v="120"/>
    <s v=""/>
    <n v="2.5"/>
    <n v="21"/>
    <m/>
    <s v="785201 - RFN - PREF DIADEMA 1 "/>
    <s v="1,6"/>
    <n v="12"/>
    <n v="2"/>
    <n v="500"/>
    <n v="202605"/>
    <s v="NW"/>
    <s v="1"/>
    <n v="1.6E-2"/>
    <n v="2.5000000000000001E-2"/>
    <b v="1"/>
    <s v="20260512"/>
    <n v="7"/>
  </r>
  <r>
    <x v="131"/>
    <s v="2PREF DIADEMA"/>
    <n v="2"/>
    <s v="785203 - Tabela 2"/>
    <n v="2.3E-2"/>
    <n v="120"/>
    <s v=""/>
    <n v="2.5"/>
    <n v="21"/>
    <m/>
    <s v="785203 - RFN - PREF DIADEMA 2 "/>
    <s v="1,6"/>
    <n v="12"/>
    <n v="2"/>
    <n v="500"/>
    <n v="202605"/>
    <s v="NW"/>
    <s v="1"/>
    <n v="1.6E-2"/>
    <n v="2.5000000000000001E-2"/>
    <b v="0"/>
    <s v="20260512"/>
    <n v="7"/>
  </r>
  <r>
    <x v="131"/>
    <s v="3PREF DIADEMA"/>
    <n v="3"/>
    <s v="785205 - Tabela 3"/>
    <n v="2.1600000000000001E-2"/>
    <n v="120"/>
    <s v=""/>
    <n v="2.5"/>
    <n v="21"/>
    <n v="39"/>
    <s v="785205 - RFN - PREF DIADEMA 3 "/>
    <s v="1,6"/>
    <n v="12"/>
    <n v="2"/>
    <n v="500"/>
    <n v="202605"/>
    <s v="NW"/>
    <s v="1"/>
    <n v="1.6E-2"/>
    <n v="2.5000000000000001E-2"/>
    <b v="0"/>
    <s v="20260512"/>
    <n v="7"/>
  </r>
  <r>
    <x v="132"/>
    <s v="1PREF DIADEMA CLT"/>
    <n v="1"/>
    <s v="785202 - Tabela 1"/>
    <n v="2.5000000000000001E-2"/>
    <n v="120"/>
    <s v=""/>
    <n v="2.5"/>
    <n v="21"/>
    <m/>
    <s v="785202 - RFN - PREF DIADEMA 1 CLT "/>
    <s v="1,6"/>
    <n v="12"/>
    <n v="2"/>
    <n v="500"/>
    <n v="202605"/>
    <s v="NW"/>
    <s v="1"/>
    <n v="1.6E-2"/>
    <n v="2.5000000000000001E-2"/>
    <b v="1"/>
    <s v="20260512"/>
    <n v="7"/>
  </r>
  <r>
    <x v="132"/>
    <s v="2PREF DIADEMA CLT"/>
    <n v="2"/>
    <s v="785204 - Tabela 2"/>
    <n v="2.3E-2"/>
    <n v="120"/>
    <s v=""/>
    <n v="2.5"/>
    <n v="21"/>
    <m/>
    <s v="785204 - RFN - PREF DIADEMA 2 CLT "/>
    <s v="1,6"/>
    <n v="12"/>
    <n v="2"/>
    <n v="500"/>
    <n v="202605"/>
    <s v="NW"/>
    <s v="1"/>
    <n v="1.6E-2"/>
    <n v="2.5000000000000001E-2"/>
    <b v="0"/>
    <s v="20260512"/>
    <n v="7"/>
  </r>
  <r>
    <x v="132"/>
    <s v="3PREF DIADEMA CLT"/>
    <n v="3"/>
    <s v="785206 - Tabela 3"/>
    <n v="2.1600000000000001E-2"/>
    <n v="120"/>
    <s v=""/>
    <n v="2.5"/>
    <n v="21"/>
    <n v="37"/>
    <s v="785206 - RFN - PREF DIADEMA 3 CLT "/>
    <s v="1,6"/>
    <n v="12"/>
    <n v="2"/>
    <n v="500"/>
    <n v="202605"/>
    <s v="NW"/>
    <s v="1"/>
    <n v="1.6E-2"/>
    <n v="2.5000000000000001E-2"/>
    <b v="0"/>
    <s v="20260512"/>
    <n v="7"/>
  </r>
  <r>
    <x v="133"/>
    <s v="1PREF EMBU A SP"/>
    <n v="1"/>
    <s v="745761 - Tabela 1"/>
    <n v="2.5000000000000001E-2"/>
    <n v="120"/>
    <s v=""/>
    <n v="2.5"/>
    <n v="20"/>
    <m/>
    <s v="745761 - RFN - PREF EMBU DAS ARTES  1 "/>
    <s v="1,55"/>
    <n v="15"/>
    <n v="2"/>
    <n v="500"/>
    <n v="202605"/>
    <s v="LG"/>
    <s v="1"/>
    <n v="1.55E-2"/>
    <n v="2.5000000000000001E-2"/>
    <b v="1"/>
    <s v="20260515"/>
    <n v="10"/>
  </r>
  <r>
    <x v="133"/>
    <s v="2PREF EMBU A SP"/>
    <n v="2"/>
    <s v="745762 - Tabela 2"/>
    <n v="2.2499999999999999E-2"/>
    <n v="120"/>
    <s v=""/>
    <n v="2.5"/>
    <n v="20"/>
    <m/>
    <s v="745762 - RFN - PREF EMBU DAS ARTES  2 "/>
    <s v="1,55"/>
    <n v="15"/>
    <n v="2"/>
    <n v="500"/>
    <n v="202605"/>
    <s v="LG"/>
    <s v="1"/>
    <n v="1.55E-2"/>
    <n v="2.5000000000000001E-2"/>
    <b v="0"/>
    <s v="20260515"/>
    <n v="10"/>
  </r>
  <r>
    <x v="133"/>
    <s v="3PREF EMBU A SP"/>
    <n v="3"/>
    <s v="745763 - Tabela 3"/>
    <n v="2.0499999999999997E-2"/>
    <n v="120"/>
    <s v=""/>
    <n v="2.5"/>
    <n v="20"/>
    <m/>
    <s v="745763 - RFN - PREF EMBU DAS ARTES  3 "/>
    <s v="1,55"/>
    <n v="15"/>
    <n v="2"/>
    <n v="500"/>
    <n v="202605"/>
    <s v="LG"/>
    <s v="1"/>
    <n v="1.55E-2"/>
    <n v="2.5000000000000001E-2"/>
    <b v="0"/>
    <s v="20260515"/>
    <n v="10"/>
  </r>
  <r>
    <x v="133"/>
    <s v="4PREF EMBU A SP"/>
    <n v="4"/>
    <s v="745764 - Tabela 4"/>
    <n v="1.95E-2"/>
    <n v="120"/>
    <s v=""/>
    <n v="2.5"/>
    <n v="20"/>
    <m/>
    <s v="745764 - RFN - PREF EMBU DAS ARTES  4 "/>
    <s v="1,55"/>
    <n v="15"/>
    <n v="2"/>
    <n v="500"/>
    <n v="202605"/>
    <s v="LG"/>
    <s v="1"/>
    <n v="1.55E-2"/>
    <n v="2.5000000000000001E-2"/>
    <b v="0"/>
    <s v="20260515"/>
    <n v="10"/>
  </r>
  <r>
    <x v="133"/>
    <s v="5PREF EMBU A SP"/>
    <n v="5"/>
    <s v="745767 - Tabela 5"/>
    <n v="1.8500000000000003E-2"/>
    <n v="120"/>
    <s v=""/>
    <n v="2.5"/>
    <n v="20"/>
    <m/>
    <s v="745767 - RFN - PREF EMBU DAS ARTES  5 "/>
    <s v="1,55"/>
    <n v="15"/>
    <n v="2"/>
    <n v="500"/>
    <n v="202605"/>
    <s v="LG"/>
    <s v="1"/>
    <n v="1.55E-2"/>
    <n v="2.5000000000000001E-2"/>
    <b v="0"/>
    <s v="20260515"/>
    <n v="10"/>
  </r>
  <r>
    <x v="134"/>
    <s v="1PREF FERRAZ-SP"/>
    <n v="1"/>
    <s v="725151 - Tabela 1"/>
    <n v="2.5000000000000001E-2"/>
    <n v="120"/>
    <s v=""/>
    <n v="2.5"/>
    <n v="16"/>
    <m/>
    <s v="725151 - RFN - PREF FERRAZ 1 "/>
    <s v="1,39"/>
    <n v="15"/>
    <n v="2"/>
    <n v="500"/>
    <n v="202605"/>
    <s v="LG"/>
    <s v="1"/>
    <n v="1.3899999999999999E-2"/>
    <n v="2.5000000000000001E-2"/>
    <b v="1"/>
    <s v="20260515"/>
    <n v="10"/>
  </r>
  <r>
    <x v="134"/>
    <s v="2PREF FERRAZ-SP"/>
    <n v="2"/>
    <s v="725152 - Tabela 2"/>
    <n v="2.3900000000000001E-2"/>
    <n v="120"/>
    <s v=""/>
    <n v="2.5"/>
    <n v="16"/>
    <m/>
    <s v="725152 - RFN - PREF FERRAZ 2 "/>
    <s v="1,39"/>
    <n v="15"/>
    <n v="2"/>
    <n v="500"/>
    <n v="202605"/>
    <s v="LG"/>
    <s v="1"/>
    <n v="1.3899999999999999E-2"/>
    <n v="2.5000000000000001E-2"/>
    <b v="0"/>
    <s v="20260515"/>
    <n v="10"/>
  </r>
  <r>
    <x v="134"/>
    <s v="3PREF FERRAZ-SP"/>
    <n v="3"/>
    <s v="725153 - Tabela 3"/>
    <n v="2.29E-2"/>
    <n v="120"/>
    <s v=""/>
    <n v="2.5"/>
    <n v="16"/>
    <m/>
    <s v="725153 - RFN - PREF FERRAZ 3 "/>
    <s v="1,39"/>
    <n v="15"/>
    <n v="2"/>
    <n v="500"/>
    <n v="202605"/>
    <s v="LG"/>
    <s v="1"/>
    <n v="1.3899999999999999E-2"/>
    <n v="2.5000000000000001E-2"/>
    <b v="0"/>
    <s v="20260515"/>
    <n v="10"/>
  </r>
  <r>
    <x v="134"/>
    <s v="4PREF FERRAZ-SP"/>
    <n v="4"/>
    <s v="725154 - Tabela 4"/>
    <n v="2.1899999999999999E-2"/>
    <n v="120"/>
    <s v=""/>
    <n v="2.5"/>
    <n v="16"/>
    <m/>
    <s v="725154 - RFN - PREF FERRAZ 4 "/>
    <s v="1,39"/>
    <n v="15"/>
    <n v="2"/>
    <n v="500"/>
    <n v="202605"/>
    <s v="LG"/>
    <s v="1"/>
    <n v="1.3899999999999999E-2"/>
    <n v="2.5000000000000001E-2"/>
    <b v="0"/>
    <s v="20260515"/>
    <n v="10"/>
  </r>
  <r>
    <x v="134"/>
    <s v="5PREF FERRAZ-SP"/>
    <n v="5"/>
    <s v="725155 - Tabela 5"/>
    <n v="2.0899999999999998E-2"/>
    <n v="120"/>
    <s v=""/>
    <n v="2.5"/>
    <n v="16"/>
    <m/>
    <s v="725155 - RFN - PREF FERRAZ 5 "/>
    <s v="1,39"/>
    <n v="15"/>
    <n v="2"/>
    <n v="500"/>
    <n v="202605"/>
    <s v="LG"/>
    <s v="1"/>
    <n v="1.3899999999999999E-2"/>
    <n v="2.5000000000000001E-2"/>
    <b v="0"/>
    <s v="20260515"/>
    <n v="10"/>
  </r>
  <r>
    <x v="134"/>
    <s v="6PREF FERRAZ-SP"/>
    <n v="6"/>
    <s v="725156 - Tabela 6"/>
    <n v="0.02"/>
    <n v="120"/>
    <s v=""/>
    <n v="2.5"/>
    <n v="16"/>
    <m/>
    <s v="725156 - RFN - PREF FERRAZ 6 "/>
    <s v="1,39"/>
    <n v="15"/>
    <n v="2"/>
    <n v="500"/>
    <n v="202605"/>
    <s v="LG"/>
    <s v="1"/>
    <n v="1.3899999999999999E-2"/>
    <n v="2.5000000000000001E-2"/>
    <b v="0"/>
    <s v="20260515"/>
    <n v="10"/>
  </r>
  <r>
    <x v="135"/>
    <s v="1PREF FLORIANOPO"/>
    <n v="1"/>
    <s v="745096 - Tabela 1"/>
    <n v="2.5000000000000001E-2"/>
    <n v="120"/>
    <s v=""/>
    <n v="2.5"/>
    <n v="10"/>
    <n v="45"/>
    <s v="745096 - RFN - PREF FLORIPA  1 "/>
    <s v="1,45"/>
    <n v="10"/>
    <n v="2"/>
    <n v="500"/>
    <n v="202605"/>
    <s v="LG"/>
    <s v="1"/>
    <n v="1.4499999999999999E-2"/>
    <n v="2.5000000000000001E-2"/>
    <b v="1"/>
    <s v="20260510"/>
    <n v="5"/>
  </r>
  <r>
    <x v="135"/>
    <s v="2PREF FLORIANOPO"/>
    <n v="2"/>
    <s v="745099 - Tabela 2"/>
    <n v="1.95E-2"/>
    <n v="120"/>
    <s v=""/>
    <n v="2.5"/>
    <n v="10"/>
    <n v="49"/>
    <s v="745099 - RFN - PREF FLORIPA  2 "/>
    <s v="1,45"/>
    <n v="10"/>
    <n v="2"/>
    <n v="500"/>
    <n v="202605"/>
    <s v="LG"/>
    <s v="1"/>
    <n v="1.4499999999999999E-2"/>
    <n v="2.5000000000000001E-2"/>
    <b v="0"/>
    <s v="20260510"/>
    <n v="5"/>
  </r>
  <r>
    <x v="135"/>
    <s v="3PREF FLORIANOPO"/>
    <n v="3"/>
    <s v="745100 - Tabela 3"/>
    <n v="1.8500000000000003E-2"/>
    <n v="120"/>
    <s v=""/>
    <n v="2.5"/>
    <n v="10"/>
    <n v="41"/>
    <s v="745100 - RFN - PREF FLORIPA  3 "/>
    <s v="1,45"/>
    <n v="10"/>
    <n v="2"/>
    <n v="500"/>
    <n v="202605"/>
    <s v="LG"/>
    <s v="1"/>
    <n v="1.4499999999999999E-2"/>
    <n v="2.5000000000000001E-2"/>
    <b v="0"/>
    <s v="20260510"/>
    <n v="5"/>
  </r>
  <r>
    <x v="135"/>
    <s v="4PREF FLORIANOPO"/>
    <n v="4"/>
    <s v="745218 - Tabela 4"/>
    <n v="1.7500000000000002E-2"/>
    <n v="120"/>
    <s v=""/>
    <n v="2.5"/>
    <n v="10"/>
    <n v="45"/>
    <s v="745218 - RFN - PREF FLORIPA  4 "/>
    <s v="1,45"/>
    <n v="10"/>
    <n v="2"/>
    <n v="500"/>
    <n v="202605"/>
    <s v="LG"/>
    <s v="1"/>
    <n v="1.4499999999999999E-2"/>
    <n v="2.5000000000000001E-2"/>
    <b v="0"/>
    <s v="20260510"/>
    <n v="5"/>
  </r>
  <r>
    <x v="135"/>
    <s v="5PREF FLORIANOPO"/>
    <n v="5"/>
    <s v="745219 - Tabela 5"/>
    <n v="1.7000000000000001E-2"/>
    <n v="120"/>
    <s v=""/>
    <n v="2.5"/>
    <n v="10"/>
    <n v="45"/>
    <s v="745219 - RFN - PREF FLORIPA  5 "/>
    <s v="1,45"/>
    <n v="10"/>
    <n v="2"/>
    <n v="500"/>
    <n v="202605"/>
    <s v="LG"/>
    <s v="1"/>
    <n v="1.4499999999999999E-2"/>
    <n v="2.5000000000000001E-2"/>
    <b v="0"/>
    <s v="20260510"/>
    <n v="5"/>
  </r>
  <r>
    <x v="135"/>
    <s v="6PREF FLORIANOPO"/>
    <n v="6"/>
    <s v="745243 - Tabela 6"/>
    <n v="1.6500000000000001E-2"/>
    <n v="120"/>
    <s v=""/>
    <n v="2.5"/>
    <n v="10"/>
    <n v="47"/>
    <s v="745243 - RFN - PREF FLORIPA  6 "/>
    <s v="1,45"/>
    <n v="10"/>
    <n v="2"/>
    <n v="500"/>
    <n v="202605"/>
    <s v="LG"/>
    <s v="1"/>
    <n v="1.4499999999999999E-2"/>
    <n v="2.5000000000000001E-2"/>
    <b v="0"/>
    <s v="20260510"/>
    <n v="5"/>
  </r>
  <r>
    <x v="135"/>
    <s v="7PREF FLORIANOPO"/>
    <n v="7"/>
    <s v="745244 - Tabela 307"/>
    <n v="1.6E-2"/>
    <n v="120"/>
    <s v=""/>
    <n v="2.5"/>
    <n v="10"/>
    <n v="41"/>
    <s v="745244 - RFN - PREF FLORIPA  30K 7 "/>
    <s v="1,45"/>
    <n v="10"/>
    <n v="2"/>
    <n v="30000"/>
    <n v="202605"/>
    <s v="LG"/>
    <s v="1"/>
    <n v="1.4499999999999999E-2"/>
    <n v="2.5000000000000001E-2"/>
    <b v="0"/>
    <s v="20260510"/>
    <n v="5"/>
  </r>
  <r>
    <x v="135"/>
    <s v="8PREF FLORIANOPO"/>
    <n v="8"/>
    <s v="745245 - Tabela 8"/>
    <n v="1.55E-2"/>
    <n v="120"/>
    <s v=""/>
    <n v="2.5"/>
    <n v="10"/>
    <m/>
    <s v="745245 - RFN - PREF FLORIPA  50K 8 "/>
    <s v="1,45"/>
    <n v="10"/>
    <n v="2"/>
    <n v="50000"/>
    <n v="202605"/>
    <s v="LG"/>
    <s v="1"/>
    <n v="1.4499999999999999E-2"/>
    <n v="2.5000000000000001E-2"/>
    <b v="0"/>
    <s v="20260510"/>
    <n v="5"/>
  </r>
  <r>
    <x v="136"/>
    <s v="1PREF FORMIGA MG"/>
    <n v="1"/>
    <s v="795451 - Tabela 1"/>
    <n v="2.1499999999999998E-2"/>
    <n v="120"/>
    <s v=""/>
    <n v="2.25"/>
    <n v="15"/>
    <m/>
    <s v="795451 - RFN - PREF FORMIGA 1 "/>
    <s v="1,5"/>
    <n v="10"/>
    <n v="2"/>
    <n v="500"/>
    <n v="202605"/>
    <s v="NW"/>
    <s v="1"/>
    <n v="1.4999999999999999E-2"/>
    <n v="2.2499999999999999E-2"/>
    <b v="0"/>
    <s v="20260510"/>
    <n v="5"/>
  </r>
  <r>
    <x v="136"/>
    <s v="2PREF FORMIGA MG"/>
    <n v="2"/>
    <s v="795452 - Tabela 2"/>
    <n v="2.0199999999999999E-2"/>
    <n v="120"/>
    <s v=""/>
    <n v="2.25"/>
    <n v="15"/>
    <n v="42"/>
    <s v="795452 - RFN - PREF FORMIGA 2 "/>
    <s v="1,5"/>
    <n v="10"/>
    <n v="2"/>
    <n v="500"/>
    <n v="202605"/>
    <s v="NW"/>
    <s v="1"/>
    <n v="1.4999999999999999E-2"/>
    <n v="2.2499999999999999E-2"/>
    <b v="0"/>
    <s v="20260510"/>
    <n v="5"/>
  </r>
  <r>
    <x v="137"/>
    <s v="1PREF FORTALEZA"/>
    <n v="1"/>
    <s v="765180 - Tabela 1"/>
    <n v="2.5000000000000001E-2"/>
    <n v="120"/>
    <s v=""/>
    <n v="2.5"/>
    <n v="10"/>
    <n v="47"/>
    <s v="765180 - RFN - PREF FORTALEZA 1 "/>
    <s v="1,6"/>
    <n v="10"/>
    <n v="2"/>
    <n v="500"/>
    <n v="202605"/>
    <s v="LG"/>
    <s v="1"/>
    <n v="1.6E-2"/>
    <n v="2.5000000000000001E-2"/>
    <b v="1"/>
    <s v="20260510"/>
    <n v="5"/>
  </r>
  <r>
    <x v="137"/>
    <s v="2PREF FORTALEZA"/>
    <n v="2"/>
    <s v="765181 - Tabela 2"/>
    <n v="2.4E-2"/>
    <n v="120"/>
    <s v=""/>
    <n v="2.5"/>
    <n v="10"/>
    <n v="43"/>
    <s v="765181 - RFN - PREF FORTALEZA 2 "/>
    <s v="1,6"/>
    <n v="10"/>
    <n v="2"/>
    <n v="500"/>
    <n v="202605"/>
    <s v="LG"/>
    <s v="1"/>
    <n v="1.6E-2"/>
    <n v="2.5000000000000001E-2"/>
    <b v="0"/>
    <s v="20260510"/>
    <n v="5"/>
  </r>
  <r>
    <x v="137"/>
    <s v="3PREF FORTALEZA"/>
    <n v="3"/>
    <s v="765182 - Tabela 3"/>
    <n v="2.3E-2"/>
    <n v="120"/>
    <s v=""/>
    <n v="2.5"/>
    <n v="10"/>
    <n v="44"/>
    <s v="765182 - RFN - PREF FORTALEZA 3 "/>
    <s v="1,6"/>
    <n v="10"/>
    <n v="2"/>
    <n v="500"/>
    <n v="202605"/>
    <s v="LG"/>
    <s v="1"/>
    <n v="1.6E-2"/>
    <n v="2.5000000000000001E-2"/>
    <b v="0"/>
    <s v="20260510"/>
    <n v="5"/>
  </r>
  <r>
    <x v="137"/>
    <s v="4PREF FORTALEZA"/>
    <n v="4"/>
    <s v="765183 - Tabela 4"/>
    <n v="2.2000000000000002E-2"/>
    <n v="120"/>
    <s v=""/>
    <n v="2.5"/>
    <n v="10"/>
    <n v="43"/>
    <s v="765183 - RFN - PREF FORTALEZA 4 "/>
    <s v="1,6"/>
    <n v="10"/>
    <n v="2"/>
    <n v="500"/>
    <n v="202605"/>
    <s v="LG"/>
    <s v="1"/>
    <n v="1.6E-2"/>
    <n v="2.5000000000000001E-2"/>
    <b v="0"/>
    <s v="20260510"/>
    <n v="5"/>
  </r>
  <r>
    <x v="137"/>
    <s v="5PREF FORTALEZA"/>
    <n v="5"/>
    <s v="765184 - Tabela 5"/>
    <n v="2.1000000000000001E-2"/>
    <n v="120"/>
    <s v=""/>
    <n v="2.5"/>
    <n v="10"/>
    <n v="44"/>
    <s v="765184 - RFN - PREF FORTALEZA 5 "/>
    <s v="1,6"/>
    <n v="10"/>
    <n v="2"/>
    <n v="500"/>
    <n v="202605"/>
    <s v="LG"/>
    <s v="1"/>
    <n v="1.6E-2"/>
    <n v="2.5000000000000001E-2"/>
    <b v="0"/>
    <s v="20260510"/>
    <n v="5"/>
  </r>
  <r>
    <x v="137"/>
    <s v="6PREF FORTALEZA"/>
    <n v="6"/>
    <s v="765185 - Tabela 6"/>
    <n v="0.02"/>
    <n v="120"/>
    <s v=""/>
    <n v="2.5"/>
    <n v="10"/>
    <n v="44"/>
    <s v="765185 - RFN - PREF FORTALEZA 6 "/>
    <s v="1,6"/>
    <n v="10"/>
    <n v="2"/>
    <n v="500"/>
    <n v="202605"/>
    <s v="LG"/>
    <s v="1"/>
    <n v="1.6E-2"/>
    <n v="2.5000000000000001E-2"/>
    <b v="0"/>
    <s v="20260510"/>
    <n v="5"/>
  </r>
  <r>
    <x v="137"/>
    <s v="7PREF FORTALEZA"/>
    <n v="7"/>
    <s v="765186 - Tabela 7"/>
    <n v="1.95E-2"/>
    <n v="120"/>
    <s v=""/>
    <n v="2.5"/>
    <n v="10"/>
    <n v="45"/>
    <s v="765186 - RFN - PREF FORTALEZA 7 "/>
    <s v="1,6"/>
    <n v="10"/>
    <n v="2"/>
    <n v="500"/>
    <n v="202605"/>
    <s v="LG"/>
    <s v="1"/>
    <n v="1.6E-2"/>
    <n v="2.5000000000000001E-2"/>
    <b v="0"/>
    <s v="20260510"/>
    <n v="5"/>
  </r>
  <r>
    <x v="137"/>
    <s v="8PREF FORTALEZA"/>
    <n v="8"/>
    <s v="765187 - Tabela 308"/>
    <n v="1.9E-2"/>
    <n v="120"/>
    <s v=""/>
    <n v="2.5"/>
    <n v="10"/>
    <n v="44"/>
    <s v="765187 - RFN - PREF FORTALEZA 30K 8 "/>
    <s v="1,6"/>
    <n v="10"/>
    <n v="2"/>
    <n v="30000"/>
    <n v="202605"/>
    <s v="LG"/>
    <s v="1"/>
    <n v="1.6E-2"/>
    <n v="2.5000000000000001E-2"/>
    <b v="0"/>
    <s v="20260510"/>
    <n v="5"/>
  </r>
  <r>
    <x v="137"/>
    <s v="9PREF FORTALEZA"/>
    <n v="9"/>
    <s v="765188 - Tabela 409"/>
    <n v="1.8200000000000001E-2"/>
    <n v="120"/>
    <s v=""/>
    <n v="2.5"/>
    <n v="10"/>
    <n v="45"/>
    <s v="765188 - RFN - PREF FORTALEZA 40K 9 "/>
    <s v="1,6"/>
    <n v="10"/>
    <n v="2"/>
    <n v="40000"/>
    <n v="202605"/>
    <s v="LG"/>
    <s v="1"/>
    <n v="1.6E-2"/>
    <n v="2.5000000000000001E-2"/>
    <b v="0"/>
    <s v="20260510"/>
    <n v="5"/>
  </r>
  <r>
    <x v="137"/>
    <s v="10PREF FORTALEZA"/>
    <n v="10"/>
    <s v="765189 - Tabela 10"/>
    <n v="1.7600000000000001E-2"/>
    <n v="120"/>
    <s v=""/>
    <n v="2.5"/>
    <n v="10"/>
    <m/>
    <s v="765189 - RFN - PREF FORTALEZA 50K 10 "/>
    <s v="1,6"/>
    <n v="10"/>
    <n v="2"/>
    <n v="50000"/>
    <n v="202605"/>
    <s v="LG"/>
    <s v="1"/>
    <n v="1.6E-2"/>
    <n v="2.5000000000000001E-2"/>
    <b v="0"/>
    <s v="20260510"/>
    <n v="5"/>
  </r>
  <r>
    <x v="138"/>
    <s v="1PREF GOIANIA"/>
    <n v="1"/>
    <s v="745410 - Tabela 1"/>
    <n v="2.5000000000000001E-2"/>
    <n v="96"/>
    <s v=""/>
    <n v="2.5"/>
    <n v="25"/>
    <m/>
    <s v="745410 - RFN - PREF GOIANIA 1 "/>
    <s v="1,35"/>
    <n v="6"/>
    <n v="2"/>
    <n v="500"/>
    <n v="202605"/>
    <s v="LG"/>
    <s v="1"/>
    <n v="1.3500000000000002E-2"/>
    <n v="2.5000000000000001E-2"/>
    <b v="1"/>
    <s v="2026056"/>
    <n v="3"/>
  </r>
  <r>
    <x v="138"/>
    <s v="2PREF GOIANIA"/>
    <n v="2"/>
    <s v="745411 - Tabela 2"/>
    <n v="2.2499999999999999E-2"/>
    <n v="96"/>
    <s v=""/>
    <n v="2.5"/>
    <n v="25"/>
    <n v="68"/>
    <s v="745411 - RFN - PREF GOIANIA 2 "/>
    <s v="1,35"/>
    <n v="6"/>
    <n v="2"/>
    <n v="500"/>
    <n v="202605"/>
    <s v="LG"/>
    <s v="1"/>
    <n v="1.3500000000000002E-2"/>
    <n v="2.5000000000000001E-2"/>
    <b v="0"/>
    <s v="2026056"/>
    <n v="3"/>
  </r>
  <r>
    <x v="138"/>
    <s v="3PREF GOIANIA"/>
    <n v="3"/>
    <s v="745412 - Tabela 3"/>
    <n v="0.02"/>
    <n v="96"/>
    <s v=""/>
    <n v="2.5"/>
    <n v="25"/>
    <n v="62"/>
    <s v="745412 - RFN - PREF GOIANIA 3 "/>
    <s v="1,35"/>
    <n v="6"/>
    <n v="2"/>
    <n v="500"/>
    <n v="202605"/>
    <s v="LG"/>
    <s v="1"/>
    <n v="1.3500000000000002E-2"/>
    <n v="2.5000000000000001E-2"/>
    <b v="0"/>
    <s v="2026056"/>
    <n v="3"/>
  </r>
  <r>
    <x v="138"/>
    <s v="4PREF GOIANIA"/>
    <n v="4"/>
    <s v="745413 - Tabela 4"/>
    <n v="1.95E-2"/>
    <n v="96"/>
    <s v=""/>
    <n v="2.5"/>
    <n v="25"/>
    <n v="63"/>
    <s v="745413 - RFN - PREF GOIANIA 4 "/>
    <s v="1,35"/>
    <n v="6"/>
    <n v="2"/>
    <n v="500"/>
    <n v="202605"/>
    <s v="LG"/>
    <s v="1"/>
    <n v="1.3500000000000002E-2"/>
    <n v="2.5000000000000001E-2"/>
    <b v="0"/>
    <s v="2026056"/>
    <n v="3"/>
  </r>
  <r>
    <x v="138"/>
    <s v="5PREF GOIANIA"/>
    <n v="5"/>
    <s v="745414 - Tabela 5"/>
    <n v="1.9E-2"/>
    <n v="96"/>
    <s v=""/>
    <n v="2.5"/>
    <n v="25"/>
    <n v="69"/>
    <s v="745414 - RFN - PREF GOIANIA 5 "/>
    <s v="1,35"/>
    <n v="6"/>
    <n v="2"/>
    <n v="500"/>
    <n v="202605"/>
    <s v="LG"/>
    <s v="1"/>
    <n v="1.3500000000000002E-2"/>
    <n v="2.5000000000000001E-2"/>
    <b v="0"/>
    <s v="2026056"/>
    <n v="3"/>
  </r>
  <r>
    <x v="138"/>
    <s v="6PREF GOIANIA"/>
    <n v="6"/>
    <s v="745415 - Tabela 6"/>
    <n v="1.8500000000000003E-2"/>
    <n v="96"/>
    <s v=""/>
    <n v="2.5"/>
    <n v="25"/>
    <n v="60"/>
    <s v="745415 - RFN - PREF GOIANIA 6 "/>
    <s v="1,35"/>
    <n v="6"/>
    <n v="2"/>
    <n v="500"/>
    <n v="202605"/>
    <s v="LG"/>
    <s v="1"/>
    <n v="1.3500000000000002E-2"/>
    <n v="2.5000000000000001E-2"/>
    <b v="0"/>
    <s v="2026056"/>
    <n v="3"/>
  </r>
  <r>
    <x v="138"/>
    <s v="7PREF GOIANIA"/>
    <n v="7"/>
    <s v="745416 - Tabela 7"/>
    <n v="1.8000000000000002E-2"/>
    <n v="96"/>
    <s v=""/>
    <n v="2.5"/>
    <n v="25"/>
    <n v="65"/>
    <s v="745416 - RFN - PREF GOIANIA 7 "/>
    <s v="1,35"/>
    <n v="6"/>
    <n v="2"/>
    <n v="500"/>
    <n v="202605"/>
    <s v="LG"/>
    <s v="1"/>
    <n v="1.3500000000000002E-2"/>
    <n v="2.5000000000000001E-2"/>
    <b v="0"/>
    <s v="2026056"/>
    <n v="3"/>
  </r>
  <r>
    <x v="138"/>
    <s v="8PREF GOIANIA"/>
    <n v="8"/>
    <s v="745417 - Tabela 8"/>
    <n v="1.7600000000000001E-2"/>
    <n v="96"/>
    <s v=""/>
    <n v="2.5"/>
    <n v="25"/>
    <n v="63"/>
    <s v="745417 - RFN - PREF GOIANIA 8 "/>
    <s v="1,35"/>
    <n v="6"/>
    <n v="2"/>
    <n v="500"/>
    <n v="202605"/>
    <s v="LG"/>
    <s v="1"/>
    <n v="1.3500000000000002E-2"/>
    <n v="2.5000000000000001E-2"/>
    <b v="0"/>
    <s v="2026056"/>
    <n v="3"/>
  </r>
  <r>
    <x v="139"/>
    <s v="1PREF GOIANIRA"/>
    <n v="1"/>
    <s v="765021 - Tabela 1"/>
    <n v="2.1000000000000001E-2"/>
    <n v="96"/>
    <s v=""/>
    <n v="2.4"/>
    <n v="20"/>
    <m/>
    <s v="765021 - RFN - PREF GOIANIRA  1 "/>
    <s v="1,4"/>
    <n v="1"/>
    <n v="2"/>
    <n v="500"/>
    <n v="202605"/>
    <s v="LG"/>
    <s v="1"/>
    <n v="1.3999999999999999E-2"/>
    <n v="2.4E-2"/>
    <b v="0"/>
    <s v="2026051"/>
    <n v="0"/>
  </r>
  <r>
    <x v="139"/>
    <s v="2PREF GOIANIRA"/>
    <n v="2"/>
    <s v="765023 - Tabela 3"/>
    <n v="1.9E-2"/>
    <n v="96"/>
    <s v=""/>
    <n v="2.4"/>
    <n v="20"/>
    <n v="64"/>
    <s v="765023 - RFN - PREF GOIANIRA  3 "/>
    <s v="1,4"/>
    <n v="1"/>
    <n v="2"/>
    <n v="500"/>
    <n v="202605"/>
    <s v="LG"/>
    <s v="1"/>
    <n v="1.3999999999999999E-2"/>
    <n v="2.4E-2"/>
    <b v="0"/>
    <s v="2026051"/>
    <n v="0"/>
  </r>
  <r>
    <x v="140"/>
    <s v="1PREF GRAVATAI"/>
    <n v="1"/>
    <s v="745771 - Tabela 1"/>
    <n v="2.5000000000000001E-2"/>
    <n v="120"/>
    <s v=""/>
    <n v="2.5"/>
    <n v="20"/>
    <n v="49"/>
    <s v="745771 - RFN - PREF GRAVATAI 1 "/>
    <s v="1,52"/>
    <n v="15"/>
    <n v="2"/>
    <n v="500"/>
    <n v="202605"/>
    <s v="LG"/>
    <s v="1"/>
    <n v="1.52E-2"/>
    <n v="2.5000000000000001E-2"/>
    <b v="1"/>
    <s v="20260515"/>
    <n v="10"/>
  </r>
  <r>
    <x v="140"/>
    <s v="2PREF GRAVATAI"/>
    <n v="2"/>
    <s v="745773 - Tabela 2"/>
    <n v="2.1000000000000001E-2"/>
    <n v="120"/>
    <s v=""/>
    <n v="2.5"/>
    <n v="20"/>
    <n v="50"/>
    <s v="745773 - RFN - PREF GRAVATAI 2 "/>
    <s v="1,52"/>
    <n v="15"/>
    <n v="2"/>
    <n v="500"/>
    <n v="202605"/>
    <s v="LG"/>
    <s v="1"/>
    <n v="1.52E-2"/>
    <n v="2.5000000000000001E-2"/>
    <b v="0"/>
    <s v="20260515"/>
    <n v="10"/>
  </r>
  <r>
    <x v="140"/>
    <s v="3PREF GRAVATAI"/>
    <n v="3"/>
    <s v="745775 - Tabela 3"/>
    <n v="0.02"/>
    <n v="120"/>
    <s v=""/>
    <n v="2.5"/>
    <n v="20"/>
    <n v="48"/>
    <s v="745775 - RFN - PREF GRAVATAI 3 "/>
    <s v="1,52"/>
    <n v="15"/>
    <n v="2"/>
    <n v="500"/>
    <n v="202605"/>
    <s v="LG"/>
    <s v="1"/>
    <n v="1.52E-2"/>
    <n v="2.5000000000000001E-2"/>
    <b v="0"/>
    <s v="20260515"/>
    <n v="10"/>
  </r>
  <r>
    <x v="140"/>
    <s v="4PREF GRAVATAI"/>
    <n v="4"/>
    <s v="745777 - Tabela 4"/>
    <n v="1.95E-2"/>
    <n v="120"/>
    <s v=""/>
    <n v="2.5"/>
    <n v="20"/>
    <n v="47"/>
    <s v="745777 - RFN - PREF GRAVATAI 4 "/>
    <s v="1,52"/>
    <n v="15"/>
    <n v="2"/>
    <n v="500"/>
    <n v="202605"/>
    <s v="LG"/>
    <s v="1"/>
    <n v="1.52E-2"/>
    <n v="2.5000000000000001E-2"/>
    <b v="0"/>
    <s v="20260515"/>
    <n v="10"/>
  </r>
  <r>
    <x v="140"/>
    <s v="5PREF GRAVATAI"/>
    <n v="5"/>
    <s v="745779 - Tabela 5"/>
    <n v="1.83E-2"/>
    <n v="120"/>
    <s v=""/>
    <n v="2.5"/>
    <n v="20"/>
    <n v="51"/>
    <s v="745779 - RFN - PREF GRAVATAI 5 "/>
    <s v="1,52"/>
    <n v="15"/>
    <n v="2"/>
    <n v="500"/>
    <n v="202605"/>
    <s v="LG"/>
    <s v="1"/>
    <n v="1.52E-2"/>
    <n v="2.5000000000000001E-2"/>
    <b v="0"/>
    <s v="20260515"/>
    <n v="10"/>
  </r>
  <r>
    <x v="141"/>
    <s v="1PREF GRAVATAI CLT"/>
    <n v="1"/>
    <s v="745772 - Tabela 1"/>
    <n v="2.5000000000000001E-2"/>
    <n v="120"/>
    <s v=""/>
    <n v="2.5"/>
    <n v="20"/>
    <m/>
    <s v="745772 - RFN - PREF GRAVATAI 1  CLT"/>
    <s v="1,52"/>
    <n v="15"/>
    <n v="2"/>
    <n v="500"/>
    <n v="202605"/>
    <s v="LG"/>
    <s v="1"/>
    <n v="1.52E-2"/>
    <n v="2.5000000000000001E-2"/>
    <b v="1"/>
    <s v="20260515"/>
    <n v="10"/>
  </r>
  <r>
    <x v="141"/>
    <s v="2PREF GRAVATAI CLT"/>
    <n v="2"/>
    <s v="745774 - Tabela 2"/>
    <n v="2.1000000000000001E-2"/>
    <n v="120"/>
    <s v=""/>
    <n v="2.5"/>
    <n v="20"/>
    <n v="35"/>
    <s v="745774 - RFN - PREF GRAVATAI 2  CLT "/>
    <s v="1,52"/>
    <n v="15"/>
    <n v="2"/>
    <n v="500"/>
    <n v="202605"/>
    <s v="LG"/>
    <s v="1"/>
    <n v="1.52E-2"/>
    <n v="2.5000000000000001E-2"/>
    <b v="0"/>
    <s v="20260515"/>
    <n v="10"/>
  </r>
  <r>
    <x v="141"/>
    <s v="3PREF GRAVATAI CLT"/>
    <n v="3"/>
    <s v="745776 - Tabela 3"/>
    <n v="0.02"/>
    <n v="120"/>
    <s v=""/>
    <n v="2.5"/>
    <n v="20"/>
    <n v="35"/>
    <s v="745776 - RFN - PREF GRAVATAI 3  CLT"/>
    <s v="1,52"/>
    <n v="15"/>
    <n v="2"/>
    <n v="500"/>
    <n v="202605"/>
    <s v="LG"/>
    <s v="1"/>
    <n v="1.52E-2"/>
    <n v="2.5000000000000001E-2"/>
    <b v="0"/>
    <s v="20260515"/>
    <n v="10"/>
  </r>
  <r>
    <x v="141"/>
    <s v="4PREF GRAVATAI CLT"/>
    <n v="4"/>
    <s v="745778 - Tabela 4"/>
    <n v="1.95E-2"/>
    <n v="120"/>
    <s v=""/>
    <n v="2.5"/>
    <n v="20"/>
    <n v="41"/>
    <s v="745778 - RFN - PREF GRAVATAI 4  CLT"/>
    <s v="1,52"/>
    <n v="15"/>
    <n v="2"/>
    <n v="500"/>
    <n v="202605"/>
    <s v="LG"/>
    <s v="1"/>
    <n v="1.52E-2"/>
    <n v="2.5000000000000001E-2"/>
    <b v="0"/>
    <s v="20260515"/>
    <n v="10"/>
  </r>
  <r>
    <x v="141"/>
    <s v="5PREF GRAVATAI CLT"/>
    <n v="5"/>
    <s v="745780 - Tabela 5"/>
    <n v="1.83E-2"/>
    <n v="120"/>
    <s v=""/>
    <n v="2.5"/>
    <n v="20"/>
    <n v="39"/>
    <s v="745780 - RFN - PREF GRAVATAI 5  CLT "/>
    <s v="1,52"/>
    <n v="15"/>
    <n v="2"/>
    <n v="500"/>
    <n v="202605"/>
    <s v="LG"/>
    <s v="1"/>
    <n v="1.52E-2"/>
    <n v="2.5000000000000001E-2"/>
    <b v="0"/>
    <s v="20260515"/>
    <n v="10"/>
  </r>
  <r>
    <x v="142"/>
    <s v="1PREF GUARUJA SP"/>
    <n v="1"/>
    <s v="725241 - Tabela 1"/>
    <n v="2.5000000000000001E-2"/>
    <n v="120"/>
    <s v=""/>
    <n v="2.5"/>
    <n v="10"/>
    <n v="45"/>
    <s v="725241 - RFN - PREF GUARUJA ILIDADE 1"/>
    <s v="1,39"/>
    <n v="10"/>
    <n v="2"/>
    <n v="500"/>
    <n v="202605"/>
    <s v="LG"/>
    <s v="0"/>
    <n v="1.3899999999999999E-2"/>
    <n v="2.5000000000000001E-2"/>
    <b v="1"/>
    <s v="20260510"/>
    <n v="5"/>
  </r>
  <r>
    <x v="142"/>
    <s v="2PREF GUARUJA SP"/>
    <n v="2"/>
    <s v="725242 - Tabela 2"/>
    <n v="2.3900000000000001E-2"/>
    <n v="120"/>
    <s v=""/>
    <n v="2.5"/>
    <n v="10"/>
    <n v="44"/>
    <s v="725242 - RFN - PREF GUARUJA ILIDADE 2"/>
    <s v="1,39"/>
    <n v="10"/>
    <n v="2"/>
    <n v="500"/>
    <n v="202605"/>
    <s v="LG"/>
    <s v="0"/>
    <n v="1.3899999999999999E-2"/>
    <n v="2.5000000000000001E-2"/>
    <b v="0"/>
    <s v="20260510"/>
    <n v="5"/>
  </r>
  <r>
    <x v="142"/>
    <s v="3PREF GUARUJA SP"/>
    <n v="3"/>
    <s v="725243 - Tabela 3"/>
    <n v="2.29E-2"/>
    <n v="120"/>
    <s v=""/>
    <n v="2.5"/>
    <n v="10"/>
    <n v="44"/>
    <s v="725243 - RFN - PREF GUARUJA ILIDADE 3"/>
    <s v="1,39"/>
    <n v="10"/>
    <n v="2"/>
    <n v="500"/>
    <n v="202605"/>
    <s v="LG"/>
    <s v="0"/>
    <n v="1.3899999999999999E-2"/>
    <n v="2.5000000000000001E-2"/>
    <b v="0"/>
    <s v="20260510"/>
    <n v="5"/>
  </r>
  <r>
    <x v="142"/>
    <s v="4PREF GUARUJA SP"/>
    <n v="4"/>
    <s v="725444 - Tabela 4"/>
    <n v="2.1899999999999999E-2"/>
    <n v="120"/>
    <s v=""/>
    <n v="2.5"/>
    <n v="10"/>
    <n v="43"/>
    <s v="725444 - RFN - PREF GUARUJA ILIDADE 4"/>
    <s v="1,39"/>
    <n v="10"/>
    <n v="2"/>
    <n v="500"/>
    <n v="202605"/>
    <s v="LG"/>
    <s v="0"/>
    <n v="1.3899999999999999E-2"/>
    <n v="2.5000000000000001E-2"/>
    <b v="0"/>
    <s v="20260510"/>
    <n v="5"/>
  </r>
  <r>
    <x v="142"/>
    <s v="5PREF GUARUJA SP"/>
    <n v="5"/>
    <s v="725445 - Tabela 5"/>
    <n v="2.0899999999999998E-2"/>
    <n v="120"/>
    <s v=""/>
    <n v="2.5"/>
    <n v="10"/>
    <n v="43"/>
    <s v="725445 - RFN - PREF GUARUJA ILIDADE 5"/>
    <s v="1,39"/>
    <n v="10"/>
    <n v="2"/>
    <n v="500"/>
    <n v="202605"/>
    <s v="LG"/>
    <s v="0"/>
    <n v="1.3899999999999999E-2"/>
    <n v="2.5000000000000001E-2"/>
    <b v="0"/>
    <s v="20260510"/>
    <n v="5"/>
  </r>
  <r>
    <x v="142"/>
    <s v="6PREF GUARUJA SP"/>
    <n v="6"/>
    <s v="725446 - Tabela 6"/>
    <n v="1.9900000000000001E-2"/>
    <n v="120"/>
    <s v=""/>
    <n v="2.5"/>
    <n v="10"/>
    <n v="42"/>
    <s v="725446 - RFN - PREF GUARUJA ILIDADE 6"/>
    <s v="1,39"/>
    <n v="10"/>
    <n v="2"/>
    <n v="500"/>
    <n v="202605"/>
    <s v="LG"/>
    <s v="0"/>
    <n v="1.3899999999999999E-2"/>
    <n v="2.5000000000000001E-2"/>
    <b v="0"/>
    <s v="20260510"/>
    <n v="5"/>
  </r>
  <r>
    <x v="143"/>
    <s v="1PREF GUARUJA SP CLT"/>
    <n v="1"/>
    <s v="725480 - Tabela 1"/>
    <n v="2.5000000000000001E-2"/>
    <n v="120"/>
    <s v=""/>
    <n v="2.5"/>
    <n v="10"/>
    <m/>
    <s v="725480 - RFN - PREF GUARUJA  1 CLT"/>
    <s v="1,39"/>
    <n v="10"/>
    <n v="2"/>
    <n v="500"/>
    <n v="202605"/>
    <s v="LG"/>
    <s v="0"/>
    <n v="1.3899999999999999E-2"/>
    <n v="2.5000000000000001E-2"/>
    <b v="1"/>
    <s v="20260510"/>
    <n v="5"/>
  </r>
  <r>
    <x v="143"/>
    <s v="2PREF GUARUJA SP CLT"/>
    <n v="2"/>
    <s v="725481 - Tabela 2"/>
    <n v="2.3900000000000001E-2"/>
    <n v="120"/>
    <s v=""/>
    <n v="2.5"/>
    <n v="10"/>
    <m/>
    <s v="725481 - RFN - PREF GUARUJA  2 CLT"/>
    <s v="1,39"/>
    <n v="10"/>
    <n v="2"/>
    <n v="500"/>
    <n v="202605"/>
    <s v="LG"/>
    <s v="0"/>
    <n v="1.3899999999999999E-2"/>
    <n v="2.5000000000000001E-2"/>
    <b v="0"/>
    <s v="20260510"/>
    <n v="5"/>
  </r>
  <r>
    <x v="143"/>
    <s v="3PREF GUARUJA SP CLT"/>
    <n v="3"/>
    <s v="725482 - Tabela 3"/>
    <n v="2.29E-2"/>
    <n v="120"/>
    <s v=""/>
    <n v="2.5"/>
    <n v="10"/>
    <m/>
    <s v="725482 - RFN - PREF GUARUJA  3 CLT"/>
    <s v="1,39"/>
    <n v="10"/>
    <n v="2"/>
    <n v="500"/>
    <n v="202605"/>
    <s v="LG"/>
    <s v="0"/>
    <n v="1.3899999999999999E-2"/>
    <n v="2.5000000000000001E-2"/>
    <b v="0"/>
    <s v="20260510"/>
    <n v="5"/>
  </r>
  <r>
    <x v="143"/>
    <s v="4PREF GUARUJA SP CLT"/>
    <n v="4"/>
    <s v="725483 - Tabela 4"/>
    <n v="2.1899999999999999E-2"/>
    <n v="120"/>
    <s v=""/>
    <n v="2.5"/>
    <n v="10"/>
    <n v="49"/>
    <s v="725483 - RFN - PREF GUARUJA  4 CLT"/>
    <s v="1,39"/>
    <n v="10"/>
    <n v="2"/>
    <n v="500"/>
    <n v="202605"/>
    <s v="LG"/>
    <s v="0"/>
    <n v="1.3899999999999999E-2"/>
    <n v="2.5000000000000001E-2"/>
    <b v="0"/>
    <s v="20260510"/>
    <n v="5"/>
  </r>
  <r>
    <x v="143"/>
    <s v="5PREF GUARUJA SP CLT"/>
    <n v="5"/>
    <s v="725484 - Tabela 5"/>
    <n v="2.0899999999999998E-2"/>
    <n v="120"/>
    <s v=""/>
    <n v="2.5"/>
    <n v="10"/>
    <m/>
    <s v="725484 - RFN - PREF GUARUJA  5 CLT"/>
    <s v="1,39"/>
    <n v="10"/>
    <n v="2"/>
    <n v="500"/>
    <n v="202605"/>
    <s v="LG"/>
    <s v="0"/>
    <n v="1.3899999999999999E-2"/>
    <n v="2.5000000000000001E-2"/>
    <b v="0"/>
    <s v="20260510"/>
    <n v="5"/>
  </r>
  <r>
    <x v="143"/>
    <s v="6PREF GUARUJA SP CLT"/>
    <n v="6"/>
    <s v="725485 - Tabela 6"/>
    <n v="1.9900000000000001E-2"/>
    <n v="120"/>
    <s v=""/>
    <n v="2.5"/>
    <n v="10"/>
    <n v="56"/>
    <s v="725485 - RFN - PREF GUARUJA  6 CLT"/>
    <s v="1,39"/>
    <n v="10"/>
    <n v="2"/>
    <n v="500"/>
    <n v="202605"/>
    <s v="LG"/>
    <s v="0"/>
    <n v="1.3899999999999999E-2"/>
    <n v="2.5000000000000001E-2"/>
    <b v="0"/>
    <s v="20260510"/>
    <n v="5"/>
  </r>
  <r>
    <x v="144"/>
    <s v="1PREF GUARULHOS"/>
    <n v="1"/>
    <s v="795601 - Tabela 1"/>
    <n v="2.5000000000000001E-2"/>
    <n v="120"/>
    <s v=""/>
    <n v="2.5"/>
    <n v="10"/>
    <n v="51"/>
    <s v="795601 - RFN - PREF GUARULHOS  1 "/>
    <s v="1,39"/>
    <n v="9"/>
    <n v="2"/>
    <n v="500"/>
    <n v="202605"/>
    <s v="LG"/>
    <s v="1"/>
    <n v="1.3899999999999999E-2"/>
    <n v="2.5000000000000001E-2"/>
    <b v="1"/>
    <s v="2026059"/>
    <n v="5"/>
  </r>
  <r>
    <x v="144"/>
    <s v="2PREF GUARULHOS"/>
    <n v="2"/>
    <s v="795603 - Tabela 2"/>
    <n v="2.3900000000000001E-2"/>
    <n v="120"/>
    <s v=""/>
    <n v="2.5"/>
    <n v="10"/>
    <n v="47"/>
    <s v="795603 - RFN - PREF GUARULHOS  2 "/>
    <s v="1,39"/>
    <n v="9"/>
    <n v="2"/>
    <n v="500"/>
    <n v="202605"/>
    <s v="LG"/>
    <s v="1"/>
    <n v="1.3899999999999999E-2"/>
    <n v="2.5000000000000001E-2"/>
    <b v="0"/>
    <s v="2026059"/>
    <n v="5"/>
  </r>
  <r>
    <x v="144"/>
    <s v="3PREF GUARULHOS"/>
    <n v="3"/>
    <s v="795605 - Tabela 3"/>
    <n v="2.29E-2"/>
    <n v="120"/>
    <s v=""/>
    <n v="2.5"/>
    <n v="10"/>
    <n v="47"/>
    <s v="795605 - RFN - PREF GUARULHOS  3 "/>
    <s v="1,39"/>
    <n v="9"/>
    <n v="2"/>
    <n v="500"/>
    <n v="202605"/>
    <s v="LG"/>
    <s v="1"/>
    <n v="1.3899999999999999E-2"/>
    <n v="2.5000000000000001E-2"/>
    <b v="0"/>
    <s v="2026059"/>
    <n v="5"/>
  </r>
  <r>
    <x v="144"/>
    <s v="4PREF GUARULHOS"/>
    <n v="4"/>
    <s v="795607 - Tabela 4"/>
    <n v="2.1899999999999999E-2"/>
    <n v="120"/>
    <s v=""/>
    <n v="2.5"/>
    <n v="10"/>
    <n v="49"/>
    <s v="795607 - RFN - PREF GUARULHOS  4 "/>
    <s v="1,39"/>
    <n v="9"/>
    <n v="2"/>
    <n v="500"/>
    <n v="202605"/>
    <s v="LG"/>
    <s v="1"/>
    <n v="1.3899999999999999E-2"/>
    <n v="2.5000000000000001E-2"/>
    <b v="0"/>
    <s v="2026059"/>
    <n v="5"/>
  </r>
  <r>
    <x v="144"/>
    <s v="5PREF GUARULHOS"/>
    <n v="5"/>
    <s v="795609 - Tabela 5"/>
    <n v="2.0899999999999998E-2"/>
    <n v="120"/>
    <s v=""/>
    <n v="2.5"/>
    <n v="10"/>
    <n v="52"/>
    <s v="795609 - RFN - PREF GUARULHOS  5 "/>
    <s v="1,39"/>
    <n v="9"/>
    <n v="2"/>
    <n v="500"/>
    <n v="202605"/>
    <s v="LG"/>
    <s v="1"/>
    <n v="1.3899999999999999E-2"/>
    <n v="2.5000000000000001E-2"/>
    <b v="0"/>
    <s v="2026059"/>
    <n v="5"/>
  </r>
  <r>
    <x v="144"/>
    <s v="6PREF GUARULHOS"/>
    <n v="6"/>
    <s v="795610 - Tabela 6"/>
    <n v="1.9900000000000001E-2"/>
    <n v="120"/>
    <s v=""/>
    <n v="2.5"/>
    <n v="10"/>
    <n v="43"/>
    <s v="795610 - RFN - PREF GUARULHOS  6 "/>
    <s v="1,39"/>
    <n v="9"/>
    <n v="2"/>
    <n v="500"/>
    <n v="202605"/>
    <s v="LG"/>
    <s v="1"/>
    <n v="1.3899999999999999E-2"/>
    <n v="2.5000000000000001E-2"/>
    <b v="0"/>
    <s v="2026059"/>
    <n v="5"/>
  </r>
  <r>
    <x v="145"/>
    <s v="1PREF IMBITUBA"/>
    <n v="1"/>
    <s v="845001 - Tabela 1"/>
    <n v="2.5000000000000001E-2"/>
    <n v="96"/>
    <s v=""/>
    <n v="2.5"/>
    <n v="15"/>
    <m/>
    <s v="845001 - RFN - PREF IMBITUBA 1 "/>
    <s v="1,45"/>
    <n v="15"/>
    <n v="2"/>
    <n v="500"/>
    <n v="202605"/>
    <s v="NW"/>
    <s v="1"/>
    <n v="1.4499999999999999E-2"/>
    <n v="2.5000000000000001E-2"/>
    <b v="1"/>
    <s v="20260515"/>
    <n v="10"/>
  </r>
  <r>
    <x v="145"/>
    <s v="2PREF IMBITUBA"/>
    <n v="2"/>
    <s v="845002 - Tabela 2"/>
    <n v="0.02"/>
    <n v="96"/>
    <s v=""/>
    <n v="2.5"/>
    <n v="15"/>
    <m/>
    <s v="845002 - RFN - PREF IMBITUBA 2 "/>
    <s v="1,45"/>
    <n v="15"/>
    <n v="2"/>
    <n v="500"/>
    <n v="202605"/>
    <s v="NW"/>
    <s v="1"/>
    <n v="1.4499999999999999E-2"/>
    <n v="2.5000000000000001E-2"/>
    <b v="0"/>
    <s v="20260515"/>
    <n v="10"/>
  </r>
  <r>
    <x v="145"/>
    <s v="3PREF IMBITUBA"/>
    <n v="3"/>
    <s v="845003 - Tabela 3"/>
    <n v="1.9E-2"/>
    <n v="96"/>
    <s v=""/>
    <n v="2.5"/>
    <n v="15"/>
    <n v="58"/>
    <s v="845003 - RFN - PREF IMBITUBA 3 "/>
    <s v="1,45"/>
    <n v="15"/>
    <n v="2"/>
    <n v="500"/>
    <n v="202605"/>
    <s v="NW"/>
    <s v="1"/>
    <n v="1.4499999999999999E-2"/>
    <n v="2.5000000000000001E-2"/>
    <b v="0"/>
    <s v="20260515"/>
    <n v="10"/>
  </r>
  <r>
    <x v="145"/>
    <s v="4PREF IMBITUBA"/>
    <n v="4"/>
    <s v="845004 - Tabela 4"/>
    <n v="1.8000000000000002E-2"/>
    <n v="96"/>
    <s v=""/>
    <n v="2.5"/>
    <n v="15"/>
    <m/>
    <s v="845004 - RFN - PREF IMBITUBA 4 "/>
    <s v="1,45"/>
    <n v="15"/>
    <n v="2"/>
    <n v="500"/>
    <n v="202605"/>
    <s v="NW"/>
    <s v="1"/>
    <n v="1.4499999999999999E-2"/>
    <n v="2.5000000000000001E-2"/>
    <b v="0"/>
    <s v="20260515"/>
    <n v="10"/>
  </r>
  <r>
    <x v="146"/>
    <s v="1PREF IPATINGA"/>
    <n v="1"/>
    <s v="775561 - Tabela 1"/>
    <n v="2.5000000000000001E-2"/>
    <n v="120"/>
    <s v=""/>
    <n v="2.35"/>
    <n v="14"/>
    <n v="54"/>
    <s v="775561 - RFN - PREF IPATINGA 1 "/>
    <s v="1,5"/>
    <n v="15"/>
    <n v="2"/>
    <n v="500"/>
    <n v="202605"/>
    <s v="LG"/>
    <s v="0"/>
    <n v="1.4999999999999999E-2"/>
    <n v="2.35E-2"/>
    <b v="0"/>
    <s v="20260515"/>
    <n v="10"/>
  </r>
  <r>
    <x v="146"/>
    <s v="2PREF IPATINGA"/>
    <n v="2"/>
    <s v="775562 - Tabela 2"/>
    <n v="2.2499999999999999E-2"/>
    <n v="120"/>
    <s v=""/>
    <n v="2.35"/>
    <n v="14"/>
    <m/>
    <s v="775562 - RFN - PREF IPATINGA 2 "/>
    <s v="1,5"/>
    <n v="15"/>
    <n v="2"/>
    <n v="500"/>
    <n v="202605"/>
    <s v="LG"/>
    <s v="0"/>
    <n v="1.4999999999999999E-2"/>
    <n v="2.35E-2"/>
    <b v="0"/>
    <s v="20260515"/>
    <n v="10"/>
  </r>
  <r>
    <x v="146"/>
    <s v="3PREF IPATINGA"/>
    <n v="3"/>
    <s v="775563 - Tabela 3"/>
    <n v="2.1499999999999998E-2"/>
    <n v="120"/>
    <s v=""/>
    <n v="2.35"/>
    <n v="14"/>
    <n v="45"/>
    <s v="775563 - RFN - PREF IPATINGA 3 "/>
    <s v="1,5"/>
    <n v="15"/>
    <n v="2"/>
    <n v="500"/>
    <n v="202605"/>
    <s v="LG"/>
    <s v="0"/>
    <n v="1.4999999999999999E-2"/>
    <n v="2.35E-2"/>
    <b v="0"/>
    <s v="20260515"/>
    <n v="10"/>
  </r>
  <r>
    <x v="147"/>
    <s v="1PREF ITAJUBA"/>
    <n v="1"/>
    <s v="795421 - Tabela 1"/>
    <n v="2.2499999999999999E-2"/>
    <n v="120"/>
    <s v=""/>
    <n v="2.5"/>
    <n v="6"/>
    <m/>
    <s v="795421 - RFN - PREF ITAJUBA  1 ILIDADE"/>
    <s v="1,5"/>
    <n v="1"/>
    <n v="2"/>
    <n v="500"/>
    <n v="202605"/>
    <s v="LG"/>
    <s v="1"/>
    <n v="1.4999999999999999E-2"/>
    <n v="2.5000000000000001E-2"/>
    <b v="0"/>
    <s v="2026051"/>
    <n v="0"/>
  </r>
  <r>
    <x v="147"/>
    <s v="2PREF ITAJUBA"/>
    <n v="2"/>
    <s v="795422 - Tabela 2"/>
    <n v="2.1499999999999998E-2"/>
    <n v="120"/>
    <s v=""/>
    <n v="2.5"/>
    <n v="6"/>
    <n v="57"/>
    <s v="795422 - RFN - PREF ITAJUBA  2 ILIDADE"/>
    <s v="1,5"/>
    <n v="1"/>
    <n v="2"/>
    <n v="500"/>
    <n v="202605"/>
    <s v="LG"/>
    <s v="1"/>
    <n v="1.4999999999999999E-2"/>
    <n v="2.5000000000000001E-2"/>
    <b v="0"/>
    <s v="2026051"/>
    <n v="0"/>
  </r>
  <r>
    <x v="148"/>
    <s v="1PREF ITANHAEM"/>
    <n v="1"/>
    <s v="745881 - Tabela 1"/>
    <n v="2.5000000000000001E-2"/>
    <n v="120"/>
    <s v=""/>
    <n v="2.5"/>
    <n v="27"/>
    <n v="45"/>
    <s v="745881 - RFN - PREF ITANHAEM  1 "/>
    <s v="1,74"/>
    <n v="17"/>
    <n v="2"/>
    <n v="500"/>
    <n v="202605"/>
    <s v="NW"/>
    <s v="1"/>
    <n v="1.7399999999999999E-2"/>
    <n v="2.5000000000000001E-2"/>
    <b v="1"/>
    <s v="20260517"/>
    <n v="10"/>
  </r>
  <r>
    <x v="148"/>
    <s v="2PREF ITANHAEM"/>
    <n v="2"/>
    <s v="745882 - Tabela 2"/>
    <n v="2.3900000000000001E-2"/>
    <n v="120"/>
    <s v=""/>
    <n v="2.5"/>
    <n v="27"/>
    <n v="47"/>
    <s v="745882 - RFN - PREF ITANHAEM  2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3PREF ITANHAEM"/>
    <n v="3"/>
    <s v="745883 - Tabela 3"/>
    <n v="2.29E-2"/>
    <n v="120"/>
    <s v=""/>
    <n v="2.5"/>
    <n v="27"/>
    <n v="46"/>
    <s v="745883 - RFN - PREF ITANHAEM  3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4PREF ITANHAEM"/>
    <n v="4"/>
    <s v="745784 - Tabela 4"/>
    <n v="2.1899999999999999E-2"/>
    <n v="120"/>
    <s v=""/>
    <n v="2.5"/>
    <n v="27"/>
    <n v="53"/>
    <s v="745784 - RFN - PREF ITANHAEM  4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5PREF ITANHAEM"/>
    <n v="5"/>
    <s v="745785 - Tabela 5"/>
    <n v="2.0899999999999998E-2"/>
    <n v="120"/>
    <s v=""/>
    <n v="2.5"/>
    <n v="27"/>
    <n v="47"/>
    <s v="745785 - RFN - PREF ITANHAEM  5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6PREF ITANHAEM"/>
    <n v="6"/>
    <s v="745786 - Tabela 6"/>
    <n v="1.9900000000000001E-2"/>
    <n v="120"/>
    <s v=""/>
    <n v="2.5"/>
    <n v="27"/>
    <n v="61"/>
    <s v="745786 - RFN - PREF ITANHAEM  6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7PREF ITANHAEM"/>
    <n v="7"/>
    <s v="745787 - Tabela 7"/>
    <n v="1.89E-2"/>
    <n v="120"/>
    <s v=""/>
    <n v="2.5"/>
    <n v="27"/>
    <n v="47"/>
    <s v="745787 - RFN - PREF ITANHAEM  7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8PREF ITANHAEM"/>
    <n v="8"/>
    <s v="745788 - Tabela 8"/>
    <n v="1.7899999999999999E-2"/>
    <n v="120"/>
    <s v=""/>
    <n v="2.5"/>
    <n v="27"/>
    <n v="51"/>
    <s v="745788 - RFN - PREF ITANHAEM  8 "/>
    <s v="1,74"/>
    <n v="17"/>
    <n v="2"/>
    <n v="500"/>
    <n v="202605"/>
    <s v="NW"/>
    <s v="1"/>
    <n v="1.7399999999999999E-2"/>
    <n v="2.5000000000000001E-2"/>
    <b v="0"/>
    <s v="20260517"/>
    <n v="10"/>
  </r>
  <r>
    <x v="148"/>
    <s v="9PREF ITANHAEM"/>
    <n v="9"/>
    <s v="745789 - Tabela 9"/>
    <n v="1.6500000000000001E-2"/>
    <n v="120"/>
    <s v=""/>
    <n v="2.5"/>
    <n v="27"/>
    <m/>
    <s v="745789 - RFN - PREF ITANHAEM  9 "/>
    <s v="1,74"/>
    <n v="17"/>
    <n v="2"/>
    <n v="500"/>
    <n v="202605"/>
    <s v="NW"/>
    <s v="1"/>
    <n v="1.7399999999999999E-2"/>
    <n v="2.5000000000000001E-2"/>
    <b v="0"/>
    <s v="20260517"/>
    <n v="10"/>
  </r>
  <r>
    <x v="149"/>
    <s v="1PREF ITAPETININ"/>
    <n v="1"/>
    <s v="775145 - Tabela 1"/>
    <n v="2.5000000000000001E-2"/>
    <n v="120"/>
    <s v=""/>
    <n v="2.5"/>
    <n v="25"/>
    <m/>
    <s v="775145 - RFN - PREF ITAPETININGA 1 "/>
    <s v="1,75"/>
    <n v="20"/>
    <n v="2"/>
    <n v="500"/>
    <n v="202605"/>
    <s v="LG"/>
    <s v="1"/>
    <n v="1.7500000000000002E-2"/>
    <n v="2.5000000000000001E-2"/>
    <b v="1"/>
    <s v="20260520"/>
    <n v="13"/>
  </r>
  <r>
    <x v="149"/>
    <s v="2PREF ITAPETININ"/>
    <n v="2"/>
    <s v="775146 - Tabela 2"/>
    <n v="0.02"/>
    <n v="120"/>
    <s v=""/>
    <n v="2.5"/>
    <n v="25"/>
    <n v="54"/>
    <s v="775146 - RFN - PREF ITAPETININGA 2 "/>
    <s v="1,75"/>
    <n v="20"/>
    <n v="2"/>
    <n v="500"/>
    <n v="202605"/>
    <s v="LG"/>
    <s v="1"/>
    <n v="1.7500000000000002E-2"/>
    <n v="2.5000000000000001E-2"/>
    <b v="0"/>
    <s v="20260520"/>
    <n v="13"/>
  </r>
  <r>
    <x v="149"/>
    <s v="3PREF ITAPETININ"/>
    <n v="3"/>
    <s v="775147 - Tabela 3"/>
    <n v="1.95E-2"/>
    <n v="120"/>
    <s v=""/>
    <n v="2.5"/>
    <n v="25"/>
    <n v="55"/>
    <s v="775147 - RFN - PREF ITAPETININGA 3 "/>
    <s v="1,75"/>
    <n v="20"/>
    <n v="2"/>
    <n v="500"/>
    <n v="202605"/>
    <s v="LG"/>
    <s v="1"/>
    <n v="1.7500000000000002E-2"/>
    <n v="2.5000000000000001E-2"/>
    <b v="0"/>
    <s v="20260520"/>
    <n v="13"/>
  </r>
  <r>
    <x v="149"/>
    <s v="4PREF ITAPETININ"/>
    <n v="4"/>
    <s v="775148 - Tabela 4"/>
    <n v="1.9E-2"/>
    <n v="120"/>
    <s v=""/>
    <n v="2.5"/>
    <n v="25"/>
    <n v="41"/>
    <s v="775148 - RFN - PREF ITAPETININGA 4 "/>
    <s v="1,75"/>
    <n v="20"/>
    <n v="2"/>
    <n v="500"/>
    <n v="202605"/>
    <s v="LG"/>
    <s v="1"/>
    <n v="1.7500000000000002E-2"/>
    <n v="2.5000000000000001E-2"/>
    <b v="0"/>
    <s v="20260520"/>
    <n v="13"/>
  </r>
  <r>
    <x v="150"/>
    <s v="1PREF ITAPEVA"/>
    <n v="1"/>
    <s v="745791 - Tabela 1"/>
    <n v="2.5000000000000001E-2"/>
    <n v="120"/>
    <s v=""/>
    <n v="2.5"/>
    <n v="25"/>
    <m/>
    <s v="745791 - RFN - PREF ITAPEVA 1 "/>
    <s v="1,55"/>
    <n v="15"/>
    <n v="2"/>
    <n v="500"/>
    <n v="202605"/>
    <s v="LG"/>
    <s v="1"/>
    <n v="1.55E-2"/>
    <n v="2.5000000000000001E-2"/>
    <b v="1"/>
    <s v="20260515"/>
    <n v="10"/>
  </r>
  <r>
    <x v="150"/>
    <s v="2PREF ITAPEVA"/>
    <n v="2"/>
    <s v="745792 - Tabela 2"/>
    <n v="2.29E-2"/>
    <n v="120"/>
    <s v=""/>
    <n v="2.5"/>
    <n v="25"/>
    <n v="54"/>
    <s v="745792 - RFN - PREF ITAPEVA 2 "/>
    <s v="1,55"/>
    <n v="15"/>
    <n v="2"/>
    <n v="500"/>
    <n v="202605"/>
    <s v="LG"/>
    <s v="1"/>
    <n v="1.55E-2"/>
    <n v="2.5000000000000001E-2"/>
    <b v="0"/>
    <s v="20260515"/>
    <n v="10"/>
  </r>
  <r>
    <x v="150"/>
    <s v="3PREF ITAPEVA"/>
    <n v="3"/>
    <s v="745793 - Tabela 3"/>
    <n v="2.2599999999999999E-2"/>
    <n v="120"/>
    <s v=""/>
    <n v="2.5"/>
    <n v="25"/>
    <n v="44"/>
    <s v="745793 - RFN - PREF ITAPEVA 3 "/>
    <s v="1,55"/>
    <n v="15"/>
    <n v="2"/>
    <n v="500"/>
    <n v="202605"/>
    <s v="LG"/>
    <s v="1"/>
    <n v="1.55E-2"/>
    <n v="2.5000000000000001E-2"/>
    <b v="0"/>
    <s v="20260515"/>
    <n v="10"/>
  </r>
  <r>
    <x v="150"/>
    <s v="4PREF ITAPEVA"/>
    <n v="4"/>
    <s v="745795 - Tabela 4"/>
    <n v="2.2400000000000003E-2"/>
    <n v="120"/>
    <s v=""/>
    <n v="2.5"/>
    <n v="25"/>
    <n v="53"/>
    <s v="745795 - RFN - PREF ITAPEVA 4 "/>
    <s v="1,55"/>
    <n v="15"/>
    <n v="2"/>
    <n v="500"/>
    <n v="202605"/>
    <s v="LG"/>
    <s v="1"/>
    <n v="1.55E-2"/>
    <n v="2.5000000000000001E-2"/>
    <b v="0"/>
    <s v="20260515"/>
    <n v="10"/>
  </r>
  <r>
    <x v="151"/>
    <s v="1PREF ITAPIPOCA"/>
    <n v="1"/>
    <s v="795331 - Tabela 1"/>
    <n v="2.5000000000000001E-2"/>
    <n v="120"/>
    <s v=""/>
    <n v="2.5"/>
    <n v="10"/>
    <m/>
    <s v="795331 - RFN - PREF ITAPIPOCA 1 "/>
    <s v="1,7"/>
    <n v="10"/>
    <n v="2"/>
    <n v="500"/>
    <n v="202605"/>
    <s v="LG"/>
    <s v="1"/>
    <n v="1.7000000000000001E-2"/>
    <n v="2.5000000000000001E-2"/>
    <b v="1"/>
    <s v="20260510"/>
    <n v="5"/>
  </r>
  <r>
    <x v="151"/>
    <s v="2PREF ITAPIPOCA"/>
    <n v="2"/>
    <s v="795332 - Tabela 2"/>
    <n v="2.4E-2"/>
    <n v="120"/>
    <s v=""/>
    <n v="2.5"/>
    <n v="10"/>
    <m/>
    <s v="795332 - RFN - PREF ITAPIPOCA 2 "/>
    <s v="1,7"/>
    <n v="10"/>
    <n v="2"/>
    <n v="500"/>
    <n v="202605"/>
    <s v="LG"/>
    <s v="1"/>
    <n v="1.7000000000000001E-2"/>
    <n v="2.5000000000000001E-2"/>
    <b v="0"/>
    <s v="20260510"/>
    <n v="5"/>
  </r>
  <r>
    <x v="151"/>
    <s v="3PREF ITAPIPOCA"/>
    <n v="3"/>
    <s v="795333 - Tabela 3"/>
    <n v="2.3E-2"/>
    <n v="120"/>
    <s v=""/>
    <n v="2.5"/>
    <n v="10"/>
    <n v="57"/>
    <s v="795333 - RFN - PREF ITAPIPOCA 3 "/>
    <s v="1,7"/>
    <n v="10"/>
    <n v="2"/>
    <n v="500"/>
    <n v="202605"/>
    <s v="LG"/>
    <s v="1"/>
    <n v="1.7000000000000001E-2"/>
    <n v="2.5000000000000001E-2"/>
    <b v="0"/>
    <s v="20260510"/>
    <n v="5"/>
  </r>
  <r>
    <x v="151"/>
    <s v="4PREF ITAPIPOCA"/>
    <n v="4"/>
    <s v="795334 - Tabela 4"/>
    <n v="2.2000000000000002E-2"/>
    <n v="120"/>
    <s v=""/>
    <n v="2.5"/>
    <n v="10"/>
    <n v="52"/>
    <s v="795334 - RFN - PREF ITAPIPOCA 4 "/>
    <s v="1,7"/>
    <n v="10"/>
    <n v="2"/>
    <n v="500"/>
    <n v="202605"/>
    <s v="LG"/>
    <s v="1"/>
    <n v="1.7000000000000001E-2"/>
    <n v="2.5000000000000001E-2"/>
    <b v="0"/>
    <s v="20260510"/>
    <n v="5"/>
  </r>
  <r>
    <x v="151"/>
    <s v="5PREF ITAPIPOCA"/>
    <n v="5"/>
    <s v="795335 - Tabela 5"/>
    <n v="1.83E-2"/>
    <n v="120"/>
    <s v=""/>
    <n v="2.5"/>
    <n v="10"/>
    <n v="45"/>
    <s v="795335 - RFN - PREF ITAPIPOCA 5 "/>
    <s v="1,7"/>
    <n v="10"/>
    <n v="2"/>
    <n v="500"/>
    <n v="202605"/>
    <s v="LG"/>
    <s v="1"/>
    <n v="1.7000000000000001E-2"/>
    <n v="2.5000000000000001E-2"/>
    <b v="0"/>
    <s v="20260510"/>
    <n v="5"/>
  </r>
  <r>
    <x v="152"/>
    <s v="1PREF ITAQUAQUA"/>
    <n v="1"/>
    <s v="725250 - Tabela 1"/>
    <n v="2.5000000000000001E-2"/>
    <n v="120"/>
    <s v=""/>
    <n v="2.5"/>
    <n v="11"/>
    <m/>
    <s v="725250 - RFN - PREF ITAQUA  1 "/>
    <s v="1,49"/>
    <n v="20"/>
    <n v="2"/>
    <n v="500"/>
    <n v="202605"/>
    <s v="LG"/>
    <s v="0"/>
    <n v="1.49E-2"/>
    <n v="2.5000000000000001E-2"/>
    <b v="1"/>
    <s v="20260520"/>
    <n v="13"/>
  </r>
  <r>
    <x v="152"/>
    <s v="2PREF ITAQUAQUA"/>
    <n v="2"/>
    <s v="725260 - Tabela 2"/>
    <n v="2.29E-2"/>
    <n v="120"/>
    <s v=""/>
    <n v="2.5"/>
    <n v="11"/>
    <n v="25"/>
    <s v="725260 - RFN - PREF ITAQUA  2 "/>
    <s v="1,49"/>
    <n v="20"/>
    <n v="2"/>
    <n v="500"/>
    <n v="202605"/>
    <s v="LG"/>
    <s v="0"/>
    <n v="1.49E-2"/>
    <n v="2.5000000000000001E-2"/>
    <b v="0"/>
    <s v="20260520"/>
    <n v="13"/>
  </r>
  <r>
    <x v="152"/>
    <s v="3PREF ITAQUAQUA"/>
    <n v="3"/>
    <s v="725261 - Tabela 3"/>
    <n v="2.1899999999999999E-2"/>
    <n v="120"/>
    <s v=""/>
    <n v="2.5"/>
    <n v="11"/>
    <n v="25"/>
    <s v="725261 - RFN - PREF ITAQUA  3 "/>
    <s v="1,49"/>
    <n v="20"/>
    <n v="2"/>
    <n v="500"/>
    <n v="202605"/>
    <s v="LG"/>
    <s v="0"/>
    <n v="1.49E-2"/>
    <n v="2.5000000000000001E-2"/>
    <b v="0"/>
    <s v="20260520"/>
    <n v="13"/>
  </r>
  <r>
    <x v="152"/>
    <s v="4PREF ITAQUAQUA"/>
    <n v="4"/>
    <s v="725262 - Tabela 4"/>
    <n v="2.1099999999999997E-2"/>
    <n v="120"/>
    <s v=""/>
    <n v="2.5"/>
    <n v="11"/>
    <m/>
    <s v="725262 - RFN - PREF ITAQUA  4 "/>
    <s v="1,49"/>
    <n v="20"/>
    <n v="2"/>
    <n v="500"/>
    <n v="202605"/>
    <s v="LG"/>
    <s v="0"/>
    <n v="1.49E-2"/>
    <n v="2.5000000000000001E-2"/>
    <b v="0"/>
    <s v="20260520"/>
    <n v="13"/>
  </r>
  <r>
    <x v="153"/>
    <s v="1PREF JACAREI"/>
    <n v="1"/>
    <s v="747591 - Tabela 1"/>
    <n v="2.5000000000000001E-2"/>
    <n v="120"/>
    <s v=""/>
    <n v="2.5"/>
    <n v="25"/>
    <m/>
    <s v="747591 - RFN - PREF JACAREI 1 "/>
    <s v="1,39"/>
    <n v="20"/>
    <n v="2"/>
    <n v="500"/>
    <n v="202605"/>
    <s v="LG"/>
    <s v="1"/>
    <n v="1.3899999999999999E-2"/>
    <n v="2.5000000000000001E-2"/>
    <b v="1"/>
    <s v="20260520"/>
    <n v="13"/>
  </r>
  <r>
    <x v="153"/>
    <s v="2PREF JACAREI"/>
    <n v="2"/>
    <s v="747592 - Tabela 2"/>
    <n v="2.3900000000000001E-2"/>
    <n v="120"/>
    <s v=""/>
    <n v="2.5"/>
    <n v="25"/>
    <m/>
    <s v="747592 - RFN - PREF JACAREI 2 "/>
    <s v="1,39"/>
    <n v="20"/>
    <n v="2"/>
    <n v="500"/>
    <n v="202605"/>
    <s v="LG"/>
    <s v="1"/>
    <n v="1.3899999999999999E-2"/>
    <n v="2.5000000000000001E-2"/>
    <b v="0"/>
    <s v="20260520"/>
    <n v="13"/>
  </r>
  <r>
    <x v="153"/>
    <s v="3PREF JACAREI"/>
    <n v="3"/>
    <s v="747593 - Tabela 3"/>
    <n v="2.29E-2"/>
    <n v="120"/>
    <s v=""/>
    <n v="2.5"/>
    <n v="25"/>
    <m/>
    <s v="747593 - RFN - PREF JACAREI 3 "/>
    <s v="1,39"/>
    <n v="20"/>
    <n v="2"/>
    <n v="500"/>
    <n v="202605"/>
    <s v="LG"/>
    <s v="1"/>
    <n v="1.3899999999999999E-2"/>
    <n v="2.5000000000000001E-2"/>
    <b v="0"/>
    <s v="20260520"/>
    <n v="13"/>
  </r>
  <r>
    <x v="153"/>
    <s v="4PREF JACAREI"/>
    <n v="4"/>
    <s v="747594 - Tabela 4"/>
    <n v="2.1899999999999999E-2"/>
    <n v="120"/>
    <s v=""/>
    <n v="2.5"/>
    <n v="25"/>
    <m/>
    <s v="747594 - RFN - PREF JACAREI 4 "/>
    <s v="1,39"/>
    <n v="20"/>
    <n v="2"/>
    <n v="500"/>
    <n v="202605"/>
    <s v="LG"/>
    <s v="1"/>
    <n v="1.3899999999999999E-2"/>
    <n v="2.5000000000000001E-2"/>
    <b v="0"/>
    <s v="20260520"/>
    <n v="13"/>
  </r>
  <r>
    <x v="153"/>
    <s v="5PREF JACAREI"/>
    <n v="5"/>
    <s v="747595 - Tabela 5"/>
    <n v="2.0899999999999998E-2"/>
    <n v="120"/>
    <s v=""/>
    <n v="2.5"/>
    <n v="25"/>
    <m/>
    <s v="747595 - RFN - PREF JACAREI 5 "/>
    <s v="1,39"/>
    <n v="20"/>
    <n v="2"/>
    <n v="500"/>
    <n v="202605"/>
    <s v="LG"/>
    <s v="1"/>
    <n v="1.3899999999999999E-2"/>
    <n v="2.5000000000000001E-2"/>
    <b v="0"/>
    <s v="20260520"/>
    <n v="13"/>
  </r>
  <r>
    <x v="153"/>
    <s v="6PREF JACAREI"/>
    <n v="6"/>
    <s v="747596 - Tabela 6"/>
    <n v="1.9900000000000001E-2"/>
    <n v="120"/>
    <s v=""/>
    <n v="2.5"/>
    <n v="25"/>
    <m/>
    <s v="747596 - RFN - PREF JACAREI 6 "/>
    <s v="1,39"/>
    <n v="20"/>
    <n v="2"/>
    <n v="500"/>
    <n v="202605"/>
    <s v="LG"/>
    <s v="1"/>
    <n v="1.3899999999999999E-2"/>
    <n v="2.5000000000000001E-2"/>
    <b v="0"/>
    <s v="20260520"/>
    <n v="13"/>
  </r>
  <r>
    <x v="154"/>
    <s v="1PREF JARAGUA SC"/>
    <n v="1"/>
    <s v="795371 - Tabela 1"/>
    <n v="2.5000000000000001E-2"/>
    <n v="120"/>
    <s v=""/>
    <n v="2.5"/>
    <n v="12"/>
    <m/>
    <s v="795371 - RFN - PREF JARAGUA DO SUL 1 "/>
    <s v="1,52"/>
    <n v="10"/>
    <n v="2"/>
    <n v="500"/>
    <n v="202605"/>
    <s v="LG"/>
    <s v="1"/>
    <n v="1.52E-2"/>
    <n v="2.5000000000000001E-2"/>
    <b v="1"/>
    <s v="20260510"/>
    <n v="5"/>
  </r>
  <r>
    <x v="154"/>
    <s v="2PREF JARAGUA SC"/>
    <n v="2"/>
    <s v="795372 - Tabela 2"/>
    <n v="0.02"/>
    <n v="120"/>
    <s v=""/>
    <n v="2.5"/>
    <n v="12"/>
    <n v="60"/>
    <s v="795372 - RFN - PREF JARAGUA DO SUL 2 "/>
    <s v="1,52"/>
    <n v="10"/>
    <n v="2"/>
    <n v="500"/>
    <n v="202605"/>
    <s v="LG"/>
    <s v="1"/>
    <n v="1.52E-2"/>
    <n v="2.5000000000000001E-2"/>
    <b v="0"/>
    <s v="20260510"/>
    <n v="5"/>
  </r>
  <r>
    <x v="154"/>
    <s v="3PREF JARAGUA SC"/>
    <n v="3"/>
    <s v="795373 - Tabela 3"/>
    <n v="1.9E-2"/>
    <n v="120"/>
    <s v=""/>
    <n v="2.5"/>
    <n v="12"/>
    <m/>
    <s v="795373 - RFN - PREF JARAGUA DO SUL 3 "/>
    <s v="1,52"/>
    <n v="10"/>
    <n v="2"/>
    <n v="500"/>
    <n v="202605"/>
    <s v="LG"/>
    <s v="1"/>
    <n v="1.52E-2"/>
    <n v="2.5000000000000001E-2"/>
    <b v="0"/>
    <s v="20260510"/>
    <n v="5"/>
  </r>
  <r>
    <x v="154"/>
    <s v="4PREF JARAGUA SC"/>
    <n v="4"/>
    <s v="795374 - Tabela 4"/>
    <n v="1.8500000000000003E-2"/>
    <n v="120"/>
    <s v=""/>
    <n v="2.5"/>
    <n v="12"/>
    <m/>
    <s v="795374 - RFN - PREF JARAGUA DO SUL 4 "/>
    <s v="1,52"/>
    <n v="10"/>
    <n v="2"/>
    <n v="500"/>
    <n v="202605"/>
    <s v="LG"/>
    <s v="1"/>
    <n v="1.52E-2"/>
    <n v="2.5000000000000001E-2"/>
    <b v="0"/>
    <s v="20260510"/>
    <n v="5"/>
  </r>
  <r>
    <x v="155"/>
    <s v="1PREF JOAO PESSO"/>
    <n v="1"/>
    <s v="745827 - Tabela 1"/>
    <n v="2.5000000000000001E-2"/>
    <n v="96"/>
    <s v=""/>
    <n v="2.5"/>
    <n v="22"/>
    <n v="56"/>
    <s v="745827 - RFN - PREF JOAO PESSOA  1 "/>
    <s v="2,2"/>
    <n v="10"/>
    <n v="2"/>
    <n v="500"/>
    <n v="202605"/>
    <s v="LG"/>
    <s v="1"/>
    <n v="2.2000000000000002E-2"/>
    <n v="2.5000000000000001E-2"/>
    <b v="1"/>
    <s v="20260510"/>
    <n v="5"/>
  </r>
  <r>
    <x v="155"/>
    <s v="2PREF JOAO PESSO"/>
    <n v="2"/>
    <s v="745828 - Tabela 2"/>
    <n v="2.4E-2"/>
    <n v="96"/>
    <s v=""/>
    <n v="2.5"/>
    <n v="22"/>
    <n v="56"/>
    <s v="745828 - RFN - PREF JOAO PESSOA  2 "/>
    <s v="2,2"/>
    <n v="10"/>
    <n v="2"/>
    <n v="500"/>
    <n v="202605"/>
    <s v="LG"/>
    <s v="1"/>
    <n v="2.2000000000000002E-2"/>
    <n v="2.5000000000000001E-2"/>
    <b v="0"/>
    <s v="20260510"/>
    <n v="5"/>
  </r>
  <r>
    <x v="155"/>
    <s v="3PREF JOAO PESSO"/>
    <n v="3"/>
    <s v="745829 - Tabela 3"/>
    <n v="2.3E-2"/>
    <n v="96"/>
    <s v=""/>
    <n v="2.5"/>
    <n v="22"/>
    <n v="56"/>
    <s v="745829 - RFN - PREF JOAO PESSOA  3 "/>
    <s v="2,2"/>
    <n v="10"/>
    <n v="2"/>
    <n v="500"/>
    <n v="202605"/>
    <s v="LG"/>
    <s v="1"/>
    <n v="2.2000000000000002E-2"/>
    <n v="2.5000000000000001E-2"/>
    <b v="0"/>
    <s v="20260510"/>
    <n v="5"/>
  </r>
  <r>
    <x v="156"/>
    <s v="1PREF JOINVILLE"/>
    <n v="1"/>
    <s v="795291 - Tabela 1"/>
    <n v="2.5000000000000001E-2"/>
    <n v="120"/>
    <s v=""/>
    <n v="2.5"/>
    <n v="15"/>
    <m/>
    <s v="795291 - RFN - PREF JOINVILLE 1 "/>
    <s v="1,4"/>
    <n v="15"/>
    <n v="2"/>
    <n v="500"/>
    <n v="202605"/>
    <s v="LG"/>
    <s v="1"/>
    <n v="1.3999999999999999E-2"/>
    <n v="2.5000000000000001E-2"/>
    <b v="1"/>
    <s v="20260515"/>
    <n v="10"/>
  </r>
  <r>
    <x v="156"/>
    <s v="2PREF JOINVILLE"/>
    <n v="2"/>
    <s v="795292 - Tabela 2"/>
    <n v="2.3E-2"/>
    <n v="120"/>
    <s v=""/>
    <n v="2.5"/>
    <n v="15"/>
    <m/>
    <s v="795292 - RFN - PREF JOINVILLE 2 "/>
    <s v="1,4"/>
    <n v="15"/>
    <n v="2"/>
    <n v="500"/>
    <n v="202605"/>
    <s v="LG"/>
    <s v="1"/>
    <n v="1.3999999999999999E-2"/>
    <n v="2.5000000000000001E-2"/>
    <b v="0"/>
    <s v="20260515"/>
    <n v="10"/>
  </r>
  <r>
    <x v="156"/>
    <s v="3PREF JOINVILLE"/>
    <n v="3"/>
    <s v="795293 - Tabela 3"/>
    <n v="2.1000000000000001E-2"/>
    <n v="120"/>
    <s v=""/>
    <n v="2.5"/>
    <n v="15"/>
    <m/>
    <s v="795293 - RFN - PREF JOINVILLE 3 "/>
    <s v="1,4"/>
    <n v="15"/>
    <n v="2"/>
    <n v="500"/>
    <n v="202605"/>
    <s v="LG"/>
    <s v="1"/>
    <n v="1.3999999999999999E-2"/>
    <n v="2.5000000000000001E-2"/>
    <b v="0"/>
    <s v="20260515"/>
    <n v="10"/>
  </r>
  <r>
    <x v="156"/>
    <s v="4PREF JOINVILLE"/>
    <n v="4"/>
    <s v="795294 - Tabela 4"/>
    <n v="0.02"/>
    <n v="120"/>
    <s v=""/>
    <n v="2.5"/>
    <n v="15"/>
    <n v="39"/>
    <s v="795294 - RFN - PREF JOINVILLE 4 "/>
    <s v="1,4"/>
    <n v="15"/>
    <n v="2"/>
    <n v="500"/>
    <n v="202605"/>
    <s v="LG"/>
    <s v="1"/>
    <n v="1.3999999999999999E-2"/>
    <n v="2.5000000000000001E-2"/>
    <b v="0"/>
    <s v="20260515"/>
    <n v="10"/>
  </r>
  <r>
    <x v="156"/>
    <s v="5PREF JOINVILLE"/>
    <n v="5"/>
    <s v="795295 - Tabela 5"/>
    <n v="1.9E-2"/>
    <n v="120"/>
    <s v=""/>
    <n v="2.5"/>
    <n v="15"/>
    <n v="41"/>
    <s v="795295 - RFN - PREF JOINVILLE 5 "/>
    <s v="1,4"/>
    <n v="15"/>
    <n v="2"/>
    <n v="500"/>
    <n v="202605"/>
    <s v="LG"/>
    <s v="1"/>
    <n v="1.3999999999999999E-2"/>
    <n v="2.5000000000000001E-2"/>
    <b v="0"/>
    <s v="20260515"/>
    <n v="10"/>
  </r>
  <r>
    <x v="156"/>
    <s v="6PREF JOINVILLE"/>
    <n v="6"/>
    <s v="795296 - Tabela 6"/>
    <n v="1.7000000000000001E-2"/>
    <n v="120"/>
    <s v=""/>
    <n v="2.5"/>
    <n v="15"/>
    <n v="48"/>
    <s v="795296 - RFN - PREF JOINVILLE 6 "/>
    <s v="1,4"/>
    <n v="15"/>
    <n v="2"/>
    <n v="500"/>
    <n v="202605"/>
    <s v="LG"/>
    <s v="1"/>
    <n v="1.3999999999999999E-2"/>
    <n v="2.5000000000000001E-2"/>
    <b v="0"/>
    <s v="20260515"/>
    <n v="10"/>
  </r>
  <r>
    <x v="156"/>
    <s v="7PREF JOINVILLE"/>
    <n v="7"/>
    <s v="795297 - Tabela 7"/>
    <n v="1.6799999999999999E-2"/>
    <n v="120"/>
    <s v=""/>
    <n v="2.5"/>
    <n v="15"/>
    <n v="43"/>
    <s v="795297 - RFN - PREF JOINVILLE 7 "/>
    <s v="1,4"/>
    <n v="15"/>
    <n v="2"/>
    <n v="500"/>
    <n v="202605"/>
    <s v="LG"/>
    <s v="1"/>
    <n v="1.3999999999999999E-2"/>
    <n v="2.5000000000000001E-2"/>
    <b v="0"/>
    <s v="20260515"/>
    <n v="10"/>
  </r>
  <r>
    <x v="157"/>
    <s v="1PREF JUAZEIRO N"/>
    <n v="1"/>
    <s v="745811 - Tabela 1"/>
    <n v="2.5000000000000001E-2"/>
    <n v="120"/>
    <s v=""/>
    <n v="2.5"/>
    <n v="15"/>
    <n v="55"/>
    <s v="745811 - RFN -PREF JUAZEIRO DO NORTE  1 "/>
    <s v="1,6"/>
    <n v="10"/>
    <n v="2"/>
    <n v="500"/>
    <n v="202605"/>
    <s v="LG"/>
    <s v="1"/>
    <n v="1.6E-2"/>
    <n v="2.5000000000000001E-2"/>
    <b v="1"/>
    <s v="20260510"/>
    <n v="5"/>
  </r>
  <r>
    <x v="157"/>
    <s v="2PREF JUAZEIRO N"/>
    <n v="2"/>
    <s v="745812 - Tabela 2"/>
    <n v="2.4E-2"/>
    <n v="120"/>
    <s v=""/>
    <n v="2.5"/>
    <n v="15"/>
    <n v="49"/>
    <s v="745812 - RFN -PREF JUAZEIRO DO NORTE  2 "/>
    <s v="1,6"/>
    <n v="10"/>
    <n v="2"/>
    <n v="500"/>
    <n v="202605"/>
    <s v="LG"/>
    <s v="1"/>
    <n v="1.6E-2"/>
    <n v="2.5000000000000001E-2"/>
    <b v="0"/>
    <s v="20260510"/>
    <n v="5"/>
  </r>
  <r>
    <x v="157"/>
    <s v="3PREF JUAZEIRO N"/>
    <n v="3"/>
    <s v="745813 - Tabela 3"/>
    <n v="2.3E-2"/>
    <n v="120"/>
    <s v=""/>
    <n v="2.5"/>
    <n v="15"/>
    <n v="47"/>
    <s v="745813 - RFN -PREF JUAZEIRO DO NORTE  3 "/>
    <s v="1,6"/>
    <n v="10"/>
    <n v="2"/>
    <n v="500"/>
    <n v="202605"/>
    <s v="LG"/>
    <s v="1"/>
    <n v="1.6E-2"/>
    <n v="2.5000000000000001E-2"/>
    <b v="0"/>
    <s v="20260510"/>
    <n v="5"/>
  </r>
  <r>
    <x v="157"/>
    <s v="4PREF JUAZEIRO N"/>
    <n v="4"/>
    <s v="745814 - Tabela 4"/>
    <n v="2.2000000000000002E-2"/>
    <n v="120"/>
    <s v=""/>
    <n v="2.5"/>
    <n v="15"/>
    <n v="51"/>
    <s v="745814 - RFN -PREF JUAZEIRO DO NORTE  4 "/>
    <s v="1,6"/>
    <n v="10"/>
    <n v="2"/>
    <n v="500"/>
    <n v="202605"/>
    <s v="LG"/>
    <s v="1"/>
    <n v="1.6E-2"/>
    <n v="2.5000000000000001E-2"/>
    <b v="0"/>
    <s v="20260510"/>
    <n v="5"/>
  </r>
  <r>
    <x v="158"/>
    <s v="1PREF JUIZ FORA"/>
    <n v="1"/>
    <s v="795161 - Tabela 1"/>
    <n v="1.8500000000000003E-2"/>
    <n v="120"/>
    <s v=""/>
    <n v="1.85"/>
    <n v="20"/>
    <n v="61"/>
    <s v="795161 - RFN - PREF JUIZ DE FORA  1 "/>
    <s v="1,5"/>
    <n v="4"/>
    <n v="2"/>
    <n v="500"/>
    <n v="202605"/>
    <s v="NW"/>
    <s v="1"/>
    <n v="1.4999999999999999E-2"/>
    <n v="1.8500000000000003E-2"/>
    <b v="1"/>
    <s v="2026054"/>
    <n v="1"/>
  </r>
  <r>
    <x v="159"/>
    <s v="1PREF JUNDIAI"/>
    <n v="1"/>
    <s v="795251 - Tabela 1"/>
    <n v="2.29E-2"/>
    <n v="120"/>
    <s v=""/>
    <n v="2.29"/>
    <n v="10"/>
    <n v="39"/>
    <s v="795251 - RFN - PREF JUNDIAI 1 "/>
    <s v="1,45"/>
    <n v="12"/>
    <n v="2"/>
    <n v="500"/>
    <n v="202605"/>
    <s v="LG"/>
    <s v="0"/>
    <n v="1.4499999999999999E-2"/>
    <n v="2.29E-2"/>
    <b v="1"/>
    <s v="20260512"/>
    <n v="7"/>
  </r>
  <r>
    <x v="159"/>
    <s v="2PREF JUNDIAI"/>
    <n v="2"/>
    <s v="795252 - Tabela 2"/>
    <n v="2.0499999999999997E-2"/>
    <n v="120"/>
    <s v=""/>
    <n v="2.29"/>
    <n v="10"/>
    <m/>
    <s v="795252 - RFN - PREF JUNDIAI 2 "/>
    <s v="1,45"/>
    <n v="12"/>
    <n v="2"/>
    <n v="500"/>
    <n v="202605"/>
    <s v="LG"/>
    <s v="0"/>
    <n v="1.4499999999999999E-2"/>
    <n v="2.29E-2"/>
    <b v="0"/>
    <s v="20260512"/>
    <n v="7"/>
  </r>
  <r>
    <x v="159"/>
    <s v="3PREF JUNDIAI"/>
    <n v="3"/>
    <s v="795253 - Tabela 3"/>
    <n v="1.95E-2"/>
    <n v="120"/>
    <s v=""/>
    <n v="2.29"/>
    <n v="10"/>
    <n v="54"/>
    <s v="795253 - RFN - PREF JUNDIAI 3 "/>
    <s v="1,45"/>
    <n v="12"/>
    <n v="2"/>
    <n v="500"/>
    <n v="202605"/>
    <s v="LG"/>
    <s v="0"/>
    <n v="1.4499999999999999E-2"/>
    <n v="2.29E-2"/>
    <b v="0"/>
    <s v="20260512"/>
    <n v="7"/>
  </r>
  <r>
    <x v="159"/>
    <s v="4PREF JUNDIAI"/>
    <n v="4"/>
    <s v="795254 - Tabela 4"/>
    <n v="1.89E-2"/>
    <n v="120"/>
    <s v=""/>
    <n v="2.29"/>
    <n v="10"/>
    <n v="43"/>
    <s v="795254 - RFN - PREF JUNDIAI 4 "/>
    <s v="1,45"/>
    <n v="12"/>
    <n v="2"/>
    <n v="500"/>
    <n v="202605"/>
    <s v="LG"/>
    <s v="0"/>
    <n v="1.4499999999999999E-2"/>
    <n v="2.29E-2"/>
    <b v="0"/>
    <s v="20260512"/>
    <n v="7"/>
  </r>
  <r>
    <x v="159"/>
    <s v="5PREF JUNDIAI"/>
    <n v="5"/>
    <s v="795255 - Tabela 5"/>
    <n v="1.8500000000000003E-2"/>
    <n v="120"/>
    <s v=""/>
    <n v="2.29"/>
    <n v="10"/>
    <n v="42"/>
    <s v="795255 - RFN - PREF JUNDIAI 5 "/>
    <s v="1,45"/>
    <n v="12"/>
    <n v="2"/>
    <n v="500"/>
    <n v="202605"/>
    <s v="LG"/>
    <s v="0"/>
    <n v="1.4499999999999999E-2"/>
    <n v="2.29E-2"/>
    <b v="0"/>
    <s v="20260512"/>
    <n v="7"/>
  </r>
  <r>
    <x v="159"/>
    <s v="6PREF JUNDIAI"/>
    <n v="6"/>
    <s v="795256 - Tabela 6"/>
    <n v="1.7899999999999999E-2"/>
    <n v="120"/>
    <s v=""/>
    <n v="2.29"/>
    <n v="10"/>
    <n v="45"/>
    <s v="795256 - RFN - PREF JUNDIAI 6 "/>
    <s v="1,45"/>
    <n v="12"/>
    <n v="2"/>
    <n v="500"/>
    <n v="202605"/>
    <s v="LG"/>
    <s v="0"/>
    <n v="1.4499999999999999E-2"/>
    <n v="2.29E-2"/>
    <b v="0"/>
    <s v="20260512"/>
    <n v="7"/>
  </r>
  <r>
    <x v="159"/>
    <s v="7PREF JUNDIAI"/>
    <n v="7"/>
    <s v="795257 - Tabela 7"/>
    <n v="1.7500000000000002E-2"/>
    <n v="120"/>
    <s v=""/>
    <n v="2.29"/>
    <n v="10"/>
    <n v="48"/>
    <s v="795257 - RFN - PREF JUNDIAI 7 "/>
    <s v="1,45"/>
    <n v="12"/>
    <n v="2"/>
    <n v="500"/>
    <n v="202605"/>
    <s v="LG"/>
    <s v="0"/>
    <n v="1.4499999999999999E-2"/>
    <n v="2.29E-2"/>
    <b v="0"/>
    <s v="20260512"/>
    <n v="7"/>
  </r>
  <r>
    <x v="159"/>
    <s v="8PREF JUNDIAI"/>
    <n v="8"/>
    <s v="795258 - Tabela 8"/>
    <n v="1.6899999999999998E-2"/>
    <n v="120"/>
    <s v=""/>
    <n v="2.29"/>
    <n v="10"/>
    <n v="39"/>
    <s v="795258 - RFN - PREF JUNDIAI 8 "/>
    <s v="1,45"/>
    <n v="12"/>
    <n v="2"/>
    <n v="500"/>
    <n v="202605"/>
    <s v="LG"/>
    <s v="0"/>
    <n v="1.4499999999999999E-2"/>
    <n v="2.29E-2"/>
    <b v="0"/>
    <s v="20260512"/>
    <n v="7"/>
  </r>
  <r>
    <x v="160"/>
    <s v="1PREF LAJEADO"/>
    <n v="1"/>
    <s v="795881 - Tabela 1"/>
    <n v="2.5000000000000001E-2"/>
    <n v="120"/>
    <s v=""/>
    <n v="2.5"/>
    <n v="17"/>
    <m/>
    <s v="795881 - RFN - PREF LAJEADO 1 "/>
    <s v="1,34"/>
    <n v="14"/>
    <n v="2"/>
    <n v="500"/>
    <n v="202605"/>
    <s v="LG"/>
    <s v="1"/>
    <n v="1.34E-2"/>
    <n v="2.5000000000000001E-2"/>
    <b v="1"/>
    <s v="20260514"/>
    <n v="9"/>
  </r>
  <r>
    <x v="160"/>
    <s v="2PREF LAJEADO"/>
    <n v="2"/>
    <s v="795882 - Tabela 2"/>
    <n v="2.2499999999999999E-2"/>
    <n v="120"/>
    <s v=""/>
    <n v="2.5"/>
    <n v="17"/>
    <m/>
    <s v="795882 - RFN - PREF LAJEADO 2 "/>
    <s v="1,34"/>
    <n v="14"/>
    <n v="2"/>
    <n v="500"/>
    <n v="202605"/>
    <s v="LG"/>
    <s v="1"/>
    <n v="1.34E-2"/>
    <n v="2.5000000000000001E-2"/>
    <b v="0"/>
    <s v="20260514"/>
    <n v="9"/>
  </r>
  <r>
    <x v="160"/>
    <s v="3PREF LAJEADO"/>
    <n v="3"/>
    <s v="795883 - Tabela 3"/>
    <n v="2.1499999999999998E-2"/>
    <n v="120"/>
    <s v=""/>
    <n v="2.5"/>
    <n v="17"/>
    <m/>
    <s v="795883 - RFN - PREF LAJEADO 3 "/>
    <s v="1,34"/>
    <n v="14"/>
    <n v="2"/>
    <n v="500"/>
    <n v="202605"/>
    <s v="LG"/>
    <s v="1"/>
    <n v="1.34E-2"/>
    <n v="2.5000000000000001E-2"/>
    <b v="0"/>
    <s v="20260514"/>
    <n v="9"/>
  </r>
  <r>
    <x v="160"/>
    <s v="4PREF LAJEADO"/>
    <n v="4"/>
    <s v="795884 - Tabela 4"/>
    <n v="2.1000000000000001E-2"/>
    <n v="120"/>
    <s v=""/>
    <n v="2.5"/>
    <n v="17"/>
    <m/>
    <s v="795884 - RFN - PREF LAJEADO 4 "/>
    <s v="1,34"/>
    <n v="14"/>
    <n v="2"/>
    <n v="500"/>
    <n v="202605"/>
    <s v="LG"/>
    <s v="1"/>
    <n v="1.34E-2"/>
    <n v="2.5000000000000001E-2"/>
    <b v="0"/>
    <s v="20260514"/>
    <n v="9"/>
  </r>
  <r>
    <x v="160"/>
    <s v="5PREF LAJEADO"/>
    <n v="5"/>
    <s v="795887 - Tabela 5"/>
    <n v="2.0299999999999999E-2"/>
    <n v="120"/>
    <s v=""/>
    <n v="2.5"/>
    <n v="17"/>
    <n v="36"/>
    <s v="795887 - RFN - PREF LAJEADO 5 "/>
    <s v="1,34"/>
    <n v="14"/>
    <n v="2"/>
    <n v="500"/>
    <n v="202605"/>
    <s v="LG"/>
    <s v="1"/>
    <n v="1.34E-2"/>
    <n v="2.5000000000000001E-2"/>
    <b v="0"/>
    <s v="20260514"/>
    <n v="9"/>
  </r>
  <r>
    <x v="161"/>
    <s v="1PREF LONDR PORT"/>
    <n v="1"/>
    <s v="505039 - Tabela 1"/>
    <n v="1.9E-2"/>
    <n v="96"/>
    <s v=""/>
    <n v="2.5"/>
    <n v="13"/>
    <m/>
    <s v="505039 - RFN - PREF LONDRINA 1 "/>
    <s v="1,41"/>
    <n v="16"/>
    <n v="2"/>
    <n v="500"/>
    <n v="202605"/>
    <s v="NW"/>
    <s v="1"/>
    <n v="1.41E-2"/>
    <n v="2.5000000000000001E-2"/>
    <b v="0"/>
    <s v="20260516"/>
    <n v="10"/>
  </r>
  <r>
    <x v="161"/>
    <s v="2PREF LONDR PORT"/>
    <n v="2"/>
    <s v="505040 - Tabela 2"/>
    <n v="1.8500000000000003E-2"/>
    <n v="96"/>
    <s v=""/>
    <n v="2.5"/>
    <n v="13"/>
    <m/>
    <s v="505040 - RFN - PREF LONDRINA 2 "/>
    <s v="1,41"/>
    <n v="16"/>
    <n v="2"/>
    <n v="500"/>
    <n v="202605"/>
    <s v="NW"/>
    <s v="1"/>
    <n v="1.41E-2"/>
    <n v="2.5000000000000001E-2"/>
    <b v="0"/>
    <s v="20260516"/>
    <n v="10"/>
  </r>
  <r>
    <x v="161"/>
    <s v="3PREF LONDR PORT"/>
    <n v="3"/>
    <s v="505045 - Tabela 3"/>
    <n v="1.8000000000000002E-2"/>
    <n v="96"/>
    <s v=""/>
    <n v="2.5"/>
    <n v="13"/>
    <m/>
    <s v="505045 - RFN - PREF LONDRINA 3 "/>
    <s v="1,41"/>
    <n v="16"/>
    <n v="2"/>
    <n v="500"/>
    <n v="202605"/>
    <s v="NW"/>
    <s v="1"/>
    <n v="1.41E-2"/>
    <n v="2.5000000000000001E-2"/>
    <b v="0"/>
    <s v="20260516"/>
    <n v="10"/>
  </r>
  <r>
    <x v="161"/>
    <s v="4PREF LONDR PORT"/>
    <n v="4"/>
    <s v="505046 - Tabela 4"/>
    <n v="1.7500000000000002E-2"/>
    <n v="96"/>
    <s v=""/>
    <n v="2.5"/>
    <n v="13"/>
    <m/>
    <s v="505046 - RFN - PREF LONDRINA 4 "/>
    <s v="1,41"/>
    <n v="16"/>
    <n v="2"/>
    <n v="500"/>
    <n v="202605"/>
    <s v="NW"/>
    <s v="1"/>
    <n v="1.41E-2"/>
    <n v="2.5000000000000001E-2"/>
    <b v="0"/>
    <s v="20260516"/>
    <n v="10"/>
  </r>
  <r>
    <x v="161"/>
    <s v="5PREF LONDR PORT"/>
    <n v="5"/>
    <s v="505047 - Tabela 5"/>
    <n v="1.72E-2"/>
    <n v="96"/>
    <s v=""/>
    <n v="2.5"/>
    <n v="13"/>
    <n v="86"/>
    <s v="505047 - RFN - PREF LONDRINA 5 "/>
    <s v="1,41"/>
    <n v="16"/>
    <n v="2"/>
    <n v="500"/>
    <n v="202605"/>
    <s v="NW"/>
    <s v="1"/>
    <n v="1.41E-2"/>
    <n v="2.5000000000000001E-2"/>
    <b v="0"/>
    <s v="20260516"/>
    <n v="10"/>
  </r>
  <r>
    <x v="162"/>
    <s v="1PREF MACAÉ RJ"/>
    <n v="1"/>
    <s v="875481 - Tabela 1"/>
    <n v="2.5000000000000001E-2"/>
    <n v="120"/>
    <s v=""/>
    <n v="2.5"/>
    <n v="5"/>
    <m/>
    <s v="875481 - RFN - PREF MACAE 1 "/>
    <s v="1,41"/>
    <n v="10"/>
    <n v="2"/>
    <n v="500"/>
    <n v="202605"/>
    <s v="LG"/>
    <s v="0"/>
    <n v="1.41E-2"/>
    <n v="2.5000000000000001E-2"/>
    <b v="1"/>
    <s v="20260510"/>
    <n v="5"/>
  </r>
  <r>
    <x v="162"/>
    <s v="2PREF MACAÉ RJ"/>
    <n v="2"/>
    <s v="875482 - Tabela 2"/>
    <n v="2.3E-2"/>
    <n v="120"/>
    <s v=""/>
    <n v="2.5"/>
    <n v="5"/>
    <m/>
    <s v="875482 - RFN - PREF MACAE 2 "/>
    <s v="1,41"/>
    <n v="10"/>
    <n v="2"/>
    <n v="500"/>
    <n v="202605"/>
    <s v="LG"/>
    <s v="0"/>
    <n v="1.41E-2"/>
    <n v="2.5000000000000001E-2"/>
    <b v="0"/>
    <s v="20260510"/>
    <n v="5"/>
  </r>
  <r>
    <x v="162"/>
    <s v="3PREF MACAÉ RJ"/>
    <n v="3"/>
    <s v="875483 - Tabela 3"/>
    <n v="2.2499999999999999E-2"/>
    <n v="120"/>
    <s v=""/>
    <n v="2.5"/>
    <n v="5"/>
    <m/>
    <s v="875483 - RFN - PREF MACAE 3 "/>
    <s v="1,41"/>
    <n v="10"/>
    <n v="2"/>
    <n v="500"/>
    <n v="202605"/>
    <s v="LG"/>
    <s v="0"/>
    <n v="1.41E-2"/>
    <n v="2.5000000000000001E-2"/>
    <b v="0"/>
    <s v="20260510"/>
    <n v="5"/>
  </r>
  <r>
    <x v="162"/>
    <s v="4PREF MACAÉ RJ"/>
    <n v="4"/>
    <s v="875484 - Tabela 4"/>
    <n v="2.2000000000000002E-2"/>
    <n v="120"/>
    <s v=""/>
    <n v="2.5"/>
    <n v="5"/>
    <m/>
    <s v="875484 - RFN - PREF MACAE 4 "/>
    <s v="1,41"/>
    <n v="10"/>
    <n v="2"/>
    <n v="500"/>
    <n v="202605"/>
    <s v="LG"/>
    <s v="0"/>
    <n v="1.41E-2"/>
    <n v="2.5000000000000001E-2"/>
    <b v="0"/>
    <s v="20260510"/>
    <n v="5"/>
  </r>
  <r>
    <x v="162"/>
    <s v="5PREF MACAÉ RJ"/>
    <n v="5"/>
    <s v="875485 - Tabela 5"/>
    <n v="2.1499999999999998E-2"/>
    <n v="120"/>
    <s v=""/>
    <n v="2.5"/>
    <n v="5"/>
    <m/>
    <s v="875485 - RFN - PREF MACAE 5 "/>
    <s v="1,41"/>
    <n v="10"/>
    <n v="2"/>
    <n v="500"/>
    <n v="202605"/>
    <s v="LG"/>
    <s v="0"/>
    <n v="1.41E-2"/>
    <n v="2.5000000000000001E-2"/>
    <b v="0"/>
    <s v="20260510"/>
    <n v="5"/>
  </r>
  <r>
    <x v="162"/>
    <s v="6PREF MACAÉ RJ"/>
    <n v="6"/>
    <s v="875486 - Tabela 6"/>
    <n v="2.1000000000000001E-2"/>
    <n v="120"/>
    <s v=""/>
    <n v="2.5"/>
    <n v="5"/>
    <m/>
    <s v="875486 - RFN - PREF MACAE 6 "/>
    <s v="1,41"/>
    <n v="10"/>
    <n v="2"/>
    <n v="500"/>
    <n v="202605"/>
    <s v="LG"/>
    <s v="0"/>
    <n v="1.41E-2"/>
    <n v="2.5000000000000001E-2"/>
    <b v="0"/>
    <s v="20260510"/>
    <n v="5"/>
  </r>
  <r>
    <x v="162"/>
    <s v="7PREF MACAÉ RJ"/>
    <n v="7"/>
    <s v="875487 - Tabela 7"/>
    <n v="2.0499999999999997E-2"/>
    <n v="120"/>
    <s v=""/>
    <n v="2.5"/>
    <n v="5"/>
    <m/>
    <s v="875487 - RFN - PREF MACAE 7 "/>
    <s v="1,41"/>
    <n v="10"/>
    <n v="2"/>
    <n v="500"/>
    <n v="202605"/>
    <s v="LG"/>
    <s v="0"/>
    <n v="1.41E-2"/>
    <n v="2.5000000000000001E-2"/>
    <b v="0"/>
    <s v="20260510"/>
    <n v="5"/>
  </r>
  <r>
    <x v="162"/>
    <s v="8PREF MACAÉ RJ"/>
    <n v="8"/>
    <s v="875488 - Tabela 8"/>
    <n v="0.02"/>
    <n v="120"/>
    <s v=""/>
    <n v="2.5"/>
    <n v="5"/>
    <m/>
    <s v="875488 - RFN - PREF MACAE 8 "/>
    <s v="1,41"/>
    <n v="10"/>
    <n v="2"/>
    <n v="500"/>
    <n v="202605"/>
    <s v="LG"/>
    <s v="0"/>
    <n v="1.41E-2"/>
    <n v="2.5000000000000001E-2"/>
    <b v="0"/>
    <s v="20260510"/>
    <n v="5"/>
  </r>
  <r>
    <x v="162"/>
    <s v="9PREF MACAÉ RJ"/>
    <n v="9"/>
    <s v="875489 - Tabela 9"/>
    <n v="1.95E-2"/>
    <n v="120"/>
    <s v=""/>
    <n v="2.5"/>
    <n v="5"/>
    <n v="54"/>
    <s v="875489 - RFN - PREF MACAE 9 "/>
    <s v="1,41"/>
    <n v="10"/>
    <n v="2"/>
    <n v="500"/>
    <n v="202605"/>
    <s v="LG"/>
    <s v="0"/>
    <n v="1.41E-2"/>
    <n v="2.5000000000000001E-2"/>
    <b v="0"/>
    <s v="20260510"/>
    <n v="5"/>
  </r>
  <r>
    <x v="162"/>
    <s v="10PREF MACAÉ RJ"/>
    <n v="10"/>
    <s v="875490 - Tabela 10"/>
    <n v="1.9E-2"/>
    <n v="120"/>
    <s v=""/>
    <n v="2.5"/>
    <n v="5"/>
    <m/>
    <s v="875490 - RFN - PREF MACAE 10 "/>
    <s v="1,41"/>
    <n v="10"/>
    <n v="2"/>
    <n v="500"/>
    <n v="202605"/>
    <s v="LG"/>
    <s v="0"/>
    <n v="1.41E-2"/>
    <n v="2.5000000000000001E-2"/>
    <b v="0"/>
    <s v="20260510"/>
    <n v="5"/>
  </r>
  <r>
    <x v="162"/>
    <s v="11PREF MACAÉ RJ"/>
    <n v="11"/>
    <s v="875491 - Tabela 11"/>
    <n v="1.8500000000000003E-2"/>
    <n v="120"/>
    <s v=""/>
    <n v="2.5"/>
    <n v="5"/>
    <m/>
    <s v="875491 - RFN - PREF MACAE 11 "/>
    <s v="1,41"/>
    <n v="10"/>
    <n v="2"/>
    <n v="500"/>
    <n v="202605"/>
    <s v="LG"/>
    <s v="0"/>
    <n v="1.41E-2"/>
    <n v="2.5000000000000001E-2"/>
    <b v="0"/>
    <s v="20260510"/>
    <n v="5"/>
  </r>
  <r>
    <x v="162"/>
    <s v="12PREF MACAÉ RJ"/>
    <n v="12"/>
    <s v="875492 - Tabela 12"/>
    <n v="1.8000000000000002E-2"/>
    <n v="120"/>
    <s v=""/>
    <n v="2.5"/>
    <n v="5"/>
    <m/>
    <s v="875492 - RFN - PREF MACAE 12 "/>
    <s v="1,41"/>
    <n v="10"/>
    <n v="2"/>
    <n v="500"/>
    <n v="202605"/>
    <s v="LG"/>
    <s v="0"/>
    <n v="1.41E-2"/>
    <n v="2.5000000000000001E-2"/>
    <b v="0"/>
    <s v="20260510"/>
    <n v="5"/>
  </r>
  <r>
    <x v="162"/>
    <s v="13PREF MACAÉ RJ"/>
    <n v="13"/>
    <s v="875493 - Tabela 13"/>
    <n v="1.7500000000000002E-2"/>
    <n v="120"/>
    <s v=""/>
    <n v="2.5"/>
    <n v="5"/>
    <m/>
    <s v="875493 - RFN - PREF MACAE 13 "/>
    <s v="1,41"/>
    <n v="10"/>
    <n v="2"/>
    <n v="500"/>
    <n v="202605"/>
    <s v="LG"/>
    <s v="0"/>
    <n v="1.41E-2"/>
    <n v="2.5000000000000001E-2"/>
    <b v="0"/>
    <s v="20260510"/>
    <n v="5"/>
  </r>
  <r>
    <x v="162"/>
    <s v="14PREF MACAÉ RJ"/>
    <n v="14"/>
    <s v="875494 - Tabela 14"/>
    <n v="1.7000000000000001E-2"/>
    <n v="120"/>
    <s v=""/>
    <n v="2.5"/>
    <n v="5"/>
    <m/>
    <s v="875494 - RFN - PREF MACAE 14 "/>
    <s v="1,41"/>
    <n v="10"/>
    <n v="2"/>
    <n v="500"/>
    <n v="202605"/>
    <s v="LG"/>
    <s v="0"/>
    <n v="1.41E-2"/>
    <n v="2.5000000000000001E-2"/>
    <b v="0"/>
    <s v="20260510"/>
    <n v="5"/>
  </r>
  <r>
    <x v="163"/>
    <s v="1PREF MANAUS"/>
    <n v="1"/>
    <s v="793281 - Tabela 1"/>
    <n v="2.5000000000000001E-2"/>
    <n v="120"/>
    <s v=""/>
    <n v="2.5"/>
    <n v="7"/>
    <n v="66"/>
    <s v="793281 - RFN - PREF MANAUS  1 "/>
    <s v="1,76"/>
    <n v="30"/>
    <n v="2"/>
    <n v="500"/>
    <n v="202605"/>
    <s v="LG"/>
    <s v="1"/>
    <n v="1.7600000000000001E-2"/>
    <n v="2.5000000000000001E-2"/>
    <b v="1"/>
    <s v="20260530"/>
    <n v="20"/>
  </r>
  <r>
    <x v="163"/>
    <s v="2PREF MANAUS"/>
    <n v="2"/>
    <s v="793282 - Tabela 2"/>
    <n v="2.4E-2"/>
    <n v="120"/>
    <s v=""/>
    <n v="2.5"/>
    <n v="7"/>
    <n v="65"/>
    <s v="793282 - RFN - PREF MANAUS  2 "/>
    <s v="1,76"/>
    <n v="30"/>
    <n v="2"/>
    <n v="500"/>
    <n v="202605"/>
    <s v="LG"/>
    <s v="1"/>
    <n v="1.7600000000000001E-2"/>
    <n v="2.5000000000000001E-2"/>
    <b v="0"/>
    <s v="20260530"/>
    <n v="20"/>
  </r>
  <r>
    <x v="163"/>
    <s v="3PREF MANAUS"/>
    <n v="3"/>
    <s v="793283 - Tabela 3"/>
    <n v="2.3E-2"/>
    <n v="120"/>
    <s v=""/>
    <n v="2.5"/>
    <n v="7"/>
    <n v="62"/>
    <s v="793283 - RFN - PREF MANAUS  3 "/>
    <s v="1,76"/>
    <n v="30"/>
    <n v="2"/>
    <n v="500"/>
    <n v="202605"/>
    <s v="LG"/>
    <s v="1"/>
    <n v="1.7600000000000001E-2"/>
    <n v="2.5000000000000001E-2"/>
    <b v="0"/>
    <s v="20260530"/>
    <n v="20"/>
  </r>
  <r>
    <x v="164"/>
    <s v="1PREF MARACANAU"/>
    <n v="1"/>
    <s v="885711 - Tabela 1"/>
    <n v="2.5000000000000001E-2"/>
    <n v="96"/>
    <s v=""/>
    <n v="2.5"/>
    <n v="17"/>
    <n v="50"/>
    <s v="885711 - RFN - PREF MARACANAÚ 1 "/>
    <s v="1,55"/>
    <n v="15"/>
    <n v="2"/>
    <n v="500"/>
    <n v="202605"/>
    <s v="LG"/>
    <s v="1"/>
    <n v="1.55E-2"/>
    <n v="2.5000000000000001E-2"/>
    <b v="1"/>
    <s v="20260515"/>
    <n v="10"/>
  </r>
  <r>
    <x v="164"/>
    <s v="2PREF MARACANAU"/>
    <n v="2"/>
    <s v="885712 - Tabela 2"/>
    <n v="2.4E-2"/>
    <n v="96"/>
    <s v=""/>
    <n v="2.5"/>
    <n v="17"/>
    <n v="50"/>
    <s v="885712 - RFN - PREF MARACANAÚ 2 "/>
    <s v="1,55"/>
    <n v="15"/>
    <n v="2"/>
    <n v="500"/>
    <n v="202605"/>
    <s v="LG"/>
    <s v="1"/>
    <n v="1.55E-2"/>
    <n v="2.5000000000000001E-2"/>
    <b v="0"/>
    <s v="20260515"/>
    <n v="10"/>
  </r>
  <r>
    <x v="164"/>
    <s v="3PREF MARACANAU"/>
    <n v="3"/>
    <s v="885713 - Tabela 3"/>
    <n v="2.3E-2"/>
    <n v="96"/>
    <s v=""/>
    <n v="2.5"/>
    <n v="17"/>
    <n v="50"/>
    <s v="885713 - RFN - PREF MARACANAÚ 3 "/>
    <s v="1,55"/>
    <n v="15"/>
    <n v="2"/>
    <n v="500"/>
    <n v="202605"/>
    <s v="LG"/>
    <s v="1"/>
    <n v="1.55E-2"/>
    <n v="2.5000000000000001E-2"/>
    <b v="0"/>
    <s v="20260515"/>
    <n v="10"/>
  </r>
  <r>
    <x v="164"/>
    <s v="4PREF MARACANAU"/>
    <n v="4"/>
    <s v="885714 - Tabela 4"/>
    <n v="2.2000000000000002E-2"/>
    <n v="96"/>
    <s v=""/>
    <n v="2.5"/>
    <n v="17"/>
    <n v="50"/>
    <s v="885714 - RFN - PREF MARACANAÚ 4 "/>
    <s v="1,55"/>
    <n v="15"/>
    <n v="2"/>
    <n v="500"/>
    <n v="202605"/>
    <s v="LG"/>
    <s v="1"/>
    <n v="1.55E-2"/>
    <n v="2.5000000000000001E-2"/>
    <b v="0"/>
    <s v="20260515"/>
    <n v="10"/>
  </r>
  <r>
    <x v="164"/>
    <s v="5PREF MARACANAU"/>
    <n v="5"/>
    <s v="885715 - Tabela 5"/>
    <n v="2.1499999999999998E-2"/>
    <n v="96"/>
    <s v=""/>
    <n v="2.5"/>
    <n v="17"/>
    <n v="50"/>
    <s v="885715 - RFN - PREF MARACANAÚ 5 "/>
    <s v="1,55"/>
    <n v="15"/>
    <n v="2"/>
    <n v="500"/>
    <n v="202605"/>
    <s v="LG"/>
    <s v="1"/>
    <n v="1.55E-2"/>
    <n v="2.5000000000000001E-2"/>
    <b v="0"/>
    <s v="20260515"/>
    <n v="10"/>
  </r>
  <r>
    <x v="164"/>
    <s v="6PREF MARACANAU"/>
    <n v="6"/>
    <s v="885716 - Tabela 6"/>
    <n v="1.8500000000000003E-2"/>
    <n v="96"/>
    <s v=""/>
    <n v="2.5"/>
    <n v="17"/>
    <n v="50"/>
    <s v="885716 - RFN - PREF MARACANAÚ 6 "/>
    <s v="1,55"/>
    <n v="15"/>
    <n v="2"/>
    <n v="500"/>
    <n v="202605"/>
    <s v="LG"/>
    <s v="1"/>
    <n v="1.55E-2"/>
    <n v="2.5000000000000001E-2"/>
    <b v="0"/>
    <s v="20260515"/>
    <n v="10"/>
  </r>
  <r>
    <x v="164"/>
    <s v="7PREF MARACANAU"/>
    <n v="7"/>
    <s v="885717 - Tabela 7"/>
    <n v="1.8000000000000002E-2"/>
    <n v="96"/>
    <s v=""/>
    <n v="2.5"/>
    <n v="17"/>
    <n v="50"/>
    <s v="885717 - RFN - PREF MARACANAÚ 7 "/>
    <s v="1,55"/>
    <n v="15"/>
    <n v="2"/>
    <n v="500"/>
    <n v="202605"/>
    <s v="LG"/>
    <s v="1"/>
    <n v="1.55E-2"/>
    <n v="2.5000000000000001E-2"/>
    <b v="0"/>
    <s v="20260515"/>
    <n v="10"/>
  </r>
  <r>
    <x v="164"/>
    <s v="8PREF MARACANAU"/>
    <n v="8"/>
    <s v="885718 - Tabela 8"/>
    <n v="1.7500000000000002E-2"/>
    <n v="96"/>
    <s v=""/>
    <n v="2.5"/>
    <n v="17"/>
    <n v="50"/>
    <s v="885718 - RFN - PREF MARACANAÚ 8 "/>
    <s v="1,55"/>
    <n v="15"/>
    <n v="2"/>
    <n v="500"/>
    <n v="202605"/>
    <s v="LG"/>
    <s v="1"/>
    <n v="1.55E-2"/>
    <n v="2.5000000000000001E-2"/>
    <b v="0"/>
    <s v="20260515"/>
    <n v="10"/>
  </r>
  <r>
    <x v="165"/>
    <s v="1PREF MARILIA"/>
    <n v="1"/>
    <s v="996040 - Tabela 1"/>
    <n v="2.5000000000000001E-2"/>
    <n v="120"/>
    <s v=""/>
    <n v="2.5"/>
    <n v="17"/>
    <m/>
    <s v="996040 - RFN - PREF DE MARILIA 1  "/>
    <s v="1,7"/>
    <n v="15"/>
    <n v="2"/>
    <n v="500"/>
    <n v="202605"/>
    <s v="LG"/>
    <s v="1"/>
    <n v="1.7000000000000001E-2"/>
    <n v="2.5000000000000001E-2"/>
    <b v="1"/>
    <s v="20260515"/>
    <n v="10"/>
  </r>
  <r>
    <x v="165"/>
    <s v="2PREF MARILIA"/>
    <n v="2"/>
    <s v="996041 - Tabela 2"/>
    <n v="2.4399999999999998E-2"/>
    <n v="120"/>
    <s v=""/>
    <n v="2.5"/>
    <n v="17"/>
    <m/>
    <s v="996041 - RFN - PREF DE MARILIA 2 "/>
    <s v="1,7"/>
    <n v="15"/>
    <n v="2"/>
    <n v="500"/>
    <n v="202605"/>
    <s v="LG"/>
    <s v="1"/>
    <n v="1.7000000000000001E-2"/>
    <n v="2.5000000000000001E-2"/>
    <b v="0"/>
    <s v="20260515"/>
    <n v="10"/>
  </r>
  <r>
    <x v="165"/>
    <s v="3PREF MARILIA"/>
    <n v="3"/>
    <s v="996043 - Tabela 3"/>
    <n v="2.41E-2"/>
    <n v="120"/>
    <s v=""/>
    <n v="2.5"/>
    <n v="17"/>
    <n v="53"/>
    <s v="996043 - RFN - PREF DE MARILIA 3 "/>
    <s v="1,7"/>
    <n v="15"/>
    <n v="2"/>
    <n v="500"/>
    <n v="202605"/>
    <s v="LG"/>
    <s v="1"/>
    <n v="1.7000000000000001E-2"/>
    <n v="2.5000000000000001E-2"/>
    <b v="0"/>
    <s v="20260515"/>
    <n v="10"/>
  </r>
  <r>
    <x v="166"/>
    <s v="1PREF MAUA"/>
    <n v="1"/>
    <s v="995231 - Tabela 1"/>
    <n v="2.5000000000000001E-2"/>
    <n v="120"/>
    <s v=""/>
    <n v="2.5"/>
    <n v="10"/>
    <n v="47"/>
    <s v="995231 - RFN - PREF MAUA  1 "/>
    <s v="1,39"/>
    <n v="10"/>
    <n v="2"/>
    <n v="500"/>
    <n v="202605"/>
    <s v="LG"/>
    <s v="0"/>
    <n v="1.3899999999999999E-2"/>
    <n v="2.5000000000000001E-2"/>
    <b v="1"/>
    <s v="20260510"/>
    <n v="5"/>
  </r>
  <r>
    <x v="166"/>
    <s v="2PREF MAUA"/>
    <n v="2"/>
    <s v="995232 - Tabela 2"/>
    <n v="2.35E-2"/>
    <n v="120"/>
    <s v=""/>
    <n v="2.5"/>
    <n v="10"/>
    <n v="58"/>
    <s v="995232 - RFN - PREF MAUA  2 "/>
    <s v="1,39"/>
    <n v="10"/>
    <n v="2"/>
    <n v="500"/>
    <n v="202605"/>
    <s v="LG"/>
    <s v="0"/>
    <n v="1.3899999999999999E-2"/>
    <n v="2.5000000000000001E-2"/>
    <b v="0"/>
    <s v="20260510"/>
    <n v="5"/>
  </r>
  <r>
    <x v="166"/>
    <s v="3PREF MAUA"/>
    <n v="3"/>
    <s v="995233 - Tabela 3"/>
    <n v="2.2499999999999999E-2"/>
    <n v="120"/>
    <s v=""/>
    <n v="2.5"/>
    <n v="10"/>
    <m/>
    <s v="995233 - RFN - PREF MAUA  3 "/>
    <s v="1,39"/>
    <n v="10"/>
    <n v="2"/>
    <n v="500"/>
    <n v="202605"/>
    <s v="LG"/>
    <s v="0"/>
    <n v="1.3899999999999999E-2"/>
    <n v="2.5000000000000001E-2"/>
    <b v="0"/>
    <s v="20260510"/>
    <n v="5"/>
  </r>
  <r>
    <x v="166"/>
    <s v="4PREF MAUA"/>
    <n v="4"/>
    <s v="995234 - Tabela 4"/>
    <n v="2.1499999999999998E-2"/>
    <n v="120"/>
    <s v=""/>
    <n v="2.5"/>
    <n v="10"/>
    <n v="36"/>
    <s v="995234 - RFN - PREF MAUA  4 "/>
    <s v="1,39"/>
    <n v="10"/>
    <n v="2"/>
    <n v="500"/>
    <n v="202605"/>
    <s v="LG"/>
    <s v="0"/>
    <n v="1.3899999999999999E-2"/>
    <n v="2.5000000000000001E-2"/>
    <b v="0"/>
    <s v="20260510"/>
    <n v="5"/>
  </r>
  <r>
    <x v="166"/>
    <s v="5PREF MAUA"/>
    <n v="5"/>
    <s v="995248 - Tabela 5"/>
    <n v="2.0499999999999997E-2"/>
    <n v="120"/>
    <s v=""/>
    <n v="2.5"/>
    <n v="10"/>
    <m/>
    <s v="995248 - RFN - PREF MAUA  5 "/>
    <s v="1,39"/>
    <n v="10"/>
    <n v="2"/>
    <n v="500"/>
    <n v="202605"/>
    <s v="LG"/>
    <s v="0"/>
    <n v="1.3899999999999999E-2"/>
    <n v="2.5000000000000001E-2"/>
    <b v="0"/>
    <s v="20260510"/>
    <n v="5"/>
  </r>
  <r>
    <x v="166"/>
    <s v="6PREF MAUA"/>
    <n v="6"/>
    <s v="995249 - Tabela 6"/>
    <n v="2.0099999999999996E-2"/>
    <n v="120"/>
    <s v=""/>
    <n v="2.5"/>
    <n v="10"/>
    <n v="53"/>
    <s v="995249 - RFN - PREF MAUA  6 "/>
    <s v="1,39"/>
    <n v="10"/>
    <n v="2"/>
    <n v="500"/>
    <n v="202605"/>
    <s v="LG"/>
    <s v="0"/>
    <n v="1.3899999999999999E-2"/>
    <n v="2.5000000000000001E-2"/>
    <b v="0"/>
    <s v="20260510"/>
    <n v="5"/>
  </r>
  <r>
    <x v="167"/>
    <s v="1PREF MESQUITA "/>
    <n v="1"/>
    <s v="875431 - Tabela 1"/>
    <n v="2.5000000000000001E-2"/>
    <n v="120"/>
    <s v=""/>
    <n v="2.5"/>
    <n v="23"/>
    <m/>
    <s v="875431 - RFN - PREF MESQUITA 1 "/>
    <s v="1,41"/>
    <n v="5"/>
    <n v="2"/>
    <n v="500"/>
    <n v="202605"/>
    <s v="LG"/>
    <s v="1"/>
    <n v="1.41E-2"/>
    <n v="2.5000000000000001E-2"/>
    <b v="1"/>
    <s v="2026055"/>
    <n v="2"/>
  </r>
  <r>
    <x v="167"/>
    <s v="2PREF MESQUITA "/>
    <n v="2"/>
    <s v="875432 - Tabela 2"/>
    <n v="2.3E-2"/>
    <n v="120"/>
    <s v=""/>
    <n v="2.5"/>
    <n v="23"/>
    <m/>
    <s v="875432 - RFN - PREF MESQUITA 2 "/>
    <s v="1,41"/>
    <n v="5"/>
    <n v="2"/>
    <n v="500"/>
    <n v="202605"/>
    <s v="LG"/>
    <s v="1"/>
    <n v="1.41E-2"/>
    <n v="2.5000000000000001E-2"/>
    <b v="0"/>
    <s v="2026055"/>
    <n v="2"/>
  </r>
  <r>
    <x v="167"/>
    <s v="3PREF MESQUITA "/>
    <n v="3"/>
    <s v="875433 - Tabela 3"/>
    <n v="2.2499999999999999E-2"/>
    <n v="120"/>
    <s v=""/>
    <n v="2.5"/>
    <n v="23"/>
    <m/>
    <s v="875433 - RFN - PREF MESQUITA 3 "/>
    <s v="1,41"/>
    <n v="5"/>
    <n v="2"/>
    <n v="500"/>
    <n v="202605"/>
    <s v="LG"/>
    <s v="1"/>
    <n v="1.41E-2"/>
    <n v="2.5000000000000001E-2"/>
    <b v="0"/>
    <s v="2026055"/>
    <n v="2"/>
  </r>
  <r>
    <x v="167"/>
    <s v="4PREF MESQUITA "/>
    <n v="4"/>
    <s v="875434 - Tabela 4"/>
    <n v="2.2000000000000002E-2"/>
    <n v="120"/>
    <s v=""/>
    <n v="2.5"/>
    <n v="23"/>
    <m/>
    <s v="875434 - RFN - PREF MESQUITA 4 "/>
    <s v="1,41"/>
    <n v="5"/>
    <n v="2"/>
    <n v="500"/>
    <n v="202605"/>
    <s v="LG"/>
    <s v="1"/>
    <n v="1.41E-2"/>
    <n v="2.5000000000000001E-2"/>
    <b v="0"/>
    <s v="2026055"/>
    <n v="2"/>
  </r>
  <r>
    <x v="167"/>
    <s v="5PREF MESQUITA "/>
    <n v="5"/>
    <s v="875435 - Tabela 5"/>
    <n v="2.1499999999999998E-2"/>
    <n v="120"/>
    <s v=""/>
    <n v="2.5"/>
    <n v="23"/>
    <m/>
    <s v="875435 - RFN - PREF MESQUITA 5 "/>
    <s v="1,41"/>
    <n v="5"/>
    <n v="2"/>
    <n v="500"/>
    <n v="202605"/>
    <s v="LG"/>
    <s v="1"/>
    <n v="1.41E-2"/>
    <n v="2.5000000000000001E-2"/>
    <b v="0"/>
    <s v="2026055"/>
    <n v="2"/>
  </r>
  <r>
    <x v="167"/>
    <s v="6PREF MESQUITA "/>
    <n v="6"/>
    <s v="875436 - Tabela 6"/>
    <n v="2.1000000000000001E-2"/>
    <n v="120"/>
    <s v=""/>
    <n v="2.5"/>
    <n v="23"/>
    <m/>
    <s v="875436 - RFN - PREF MESQUITA 6 "/>
    <s v="1,41"/>
    <n v="5"/>
    <n v="2"/>
    <n v="500"/>
    <n v="202605"/>
    <s v="LG"/>
    <s v="1"/>
    <n v="1.41E-2"/>
    <n v="2.5000000000000001E-2"/>
    <b v="0"/>
    <s v="2026055"/>
    <n v="2"/>
  </r>
  <r>
    <x v="167"/>
    <s v="7PREF MESQUITA "/>
    <n v="7"/>
    <s v="875437 - Tabela 7"/>
    <n v="2.0499999999999997E-2"/>
    <n v="120"/>
    <s v=""/>
    <n v="2.5"/>
    <n v="23"/>
    <m/>
    <s v="875437 - RFN - PREF MESQUITA 7 "/>
    <s v="1,41"/>
    <n v="5"/>
    <n v="2"/>
    <n v="500"/>
    <n v="202605"/>
    <s v="LG"/>
    <s v="1"/>
    <n v="1.41E-2"/>
    <n v="2.5000000000000001E-2"/>
    <b v="0"/>
    <s v="2026055"/>
    <n v="2"/>
  </r>
  <r>
    <x v="167"/>
    <s v="8PREF MESQUITA "/>
    <n v="8"/>
    <s v="875438 - Tabela 8"/>
    <n v="0.02"/>
    <n v="120"/>
    <s v=""/>
    <n v="2.5"/>
    <n v="23"/>
    <m/>
    <s v="875438 - RFN - PREF MESQUITA 8 "/>
    <s v="1,41"/>
    <n v="5"/>
    <n v="2"/>
    <n v="500"/>
    <n v="202605"/>
    <s v="LG"/>
    <s v="1"/>
    <n v="1.41E-2"/>
    <n v="2.5000000000000001E-2"/>
    <b v="0"/>
    <s v="2026055"/>
    <n v="2"/>
  </r>
  <r>
    <x v="167"/>
    <s v="9PREF MESQUITA "/>
    <n v="9"/>
    <s v="875439 - Tabela 9"/>
    <n v="1.95E-2"/>
    <n v="120"/>
    <s v=""/>
    <n v="2.5"/>
    <n v="23"/>
    <m/>
    <s v="875439 - RFN - PREF MESQUITA 9 "/>
    <s v="1,41"/>
    <n v="5"/>
    <n v="2"/>
    <n v="500"/>
    <n v="202605"/>
    <s v="LG"/>
    <s v="1"/>
    <n v="1.41E-2"/>
    <n v="2.5000000000000001E-2"/>
    <b v="0"/>
    <s v="2026055"/>
    <n v="2"/>
  </r>
  <r>
    <x v="167"/>
    <s v="10PREF MESQUITA "/>
    <n v="10"/>
    <s v="875440 - Tabela 10"/>
    <n v="1.9E-2"/>
    <n v="120"/>
    <s v=""/>
    <n v="2.5"/>
    <n v="23"/>
    <n v="70"/>
    <s v="875440 - RFN - PREF MESQUITA 10 "/>
    <s v="1,41"/>
    <n v="5"/>
    <n v="2"/>
    <n v="500"/>
    <n v="202605"/>
    <s v="LG"/>
    <s v="1"/>
    <n v="1.41E-2"/>
    <n v="2.5000000000000001E-2"/>
    <b v="0"/>
    <s v="2026055"/>
    <n v="2"/>
  </r>
  <r>
    <x v="167"/>
    <s v="11PREF MESQUITA "/>
    <n v="11"/>
    <s v="875441 - Tabela 11"/>
    <n v="1.8500000000000003E-2"/>
    <n v="120"/>
    <s v=""/>
    <n v="2.5"/>
    <n v="23"/>
    <m/>
    <s v="875441 - RFN - PREF MESQUITA 11 "/>
    <s v="1,41"/>
    <n v="5"/>
    <n v="2"/>
    <n v="500"/>
    <n v="202605"/>
    <s v="LG"/>
    <s v="1"/>
    <n v="1.41E-2"/>
    <n v="2.5000000000000001E-2"/>
    <b v="0"/>
    <s v="2026055"/>
    <n v="2"/>
  </r>
  <r>
    <x v="167"/>
    <s v="12PREF MESQUITA "/>
    <n v="12"/>
    <s v="875442 - Tabela 12"/>
    <n v="1.8000000000000002E-2"/>
    <n v="120"/>
    <s v=""/>
    <n v="2.5"/>
    <n v="23"/>
    <m/>
    <s v="875442 - RFN - PREF MESQUITA 12 "/>
    <s v="1,41"/>
    <n v="5"/>
    <n v="2"/>
    <n v="500"/>
    <n v="202605"/>
    <s v="LG"/>
    <s v="1"/>
    <n v="1.41E-2"/>
    <n v="2.5000000000000001E-2"/>
    <b v="0"/>
    <s v="2026055"/>
    <n v="2"/>
  </r>
  <r>
    <x v="167"/>
    <s v="13PREF MESQUITA "/>
    <n v="13"/>
    <s v="875443 - Tabela 13"/>
    <n v="1.7500000000000002E-2"/>
    <n v="120"/>
    <s v=""/>
    <n v="2.5"/>
    <n v="23"/>
    <m/>
    <s v="875443 - RFN - PREF MESQUITA 13 "/>
    <s v="1,41"/>
    <n v="5"/>
    <n v="2"/>
    <n v="500"/>
    <n v="202605"/>
    <s v="LG"/>
    <s v="1"/>
    <n v="1.41E-2"/>
    <n v="2.5000000000000001E-2"/>
    <b v="0"/>
    <s v="2026055"/>
    <n v="2"/>
  </r>
  <r>
    <x v="167"/>
    <s v="14PREF MESQUITA "/>
    <n v="14"/>
    <s v="875444 - Tabela 14"/>
    <n v="1.7000000000000001E-2"/>
    <n v="120"/>
    <s v=""/>
    <n v="2.5"/>
    <n v="23"/>
    <n v="67"/>
    <s v="875444 - RFN - PREF MESQUITA 14 "/>
    <s v="1,41"/>
    <n v="5"/>
    <n v="2"/>
    <n v="500"/>
    <n v="202605"/>
    <s v="LG"/>
    <s v="1"/>
    <n v="1.41E-2"/>
    <n v="2.5000000000000001E-2"/>
    <b v="0"/>
    <s v="2026055"/>
    <n v="2"/>
  </r>
  <r>
    <x v="168"/>
    <s v="1PREF MONTES CLA"/>
    <n v="1"/>
    <s v="795171 - Tabela 1"/>
    <n v="1.9900000000000001E-2"/>
    <n v="96"/>
    <s v=""/>
    <n v="1.99"/>
    <n v="17"/>
    <m/>
    <s v="795171 - RFN - PREF MONTES CLAROS 1 "/>
    <s v="1,5"/>
    <n v="16"/>
    <n v="2"/>
    <n v="500"/>
    <n v="202605"/>
    <s v="LG"/>
    <s v="1"/>
    <n v="1.4999999999999999E-2"/>
    <n v="1.9900000000000001E-2"/>
    <b v="1"/>
    <s v="20260516"/>
    <n v="10"/>
  </r>
  <r>
    <x v="169"/>
    <s v="1PREF NOVA SERR"/>
    <n v="1"/>
    <s v="795481 - Tabela 1"/>
    <n v="2.1000000000000001E-2"/>
    <n v="96"/>
    <s v=""/>
    <n v="2.5"/>
    <n v="16"/>
    <m/>
    <s v="795481 - RFN - PREF NOVA SERRANA 1 "/>
    <s v="1,55"/>
    <n v="10"/>
    <n v="2"/>
    <n v="500"/>
    <n v="202605"/>
    <s v="LG"/>
    <s v="1"/>
    <n v="1.55E-2"/>
    <n v="2.5000000000000001E-2"/>
    <b v="0"/>
    <s v="20260510"/>
    <n v="5"/>
  </r>
  <r>
    <x v="169"/>
    <s v="2PREF NOVA SERR"/>
    <n v="2"/>
    <s v="795482 - Tabela 2"/>
    <n v="2.0199999999999999E-2"/>
    <n v="96"/>
    <s v=""/>
    <n v="2.5"/>
    <n v="16"/>
    <m/>
    <s v="795482 - RFN - PREF NOVA SERRANA 2 "/>
    <s v="1,55"/>
    <n v="10"/>
    <n v="2"/>
    <n v="500"/>
    <n v="202605"/>
    <s v="LG"/>
    <s v="1"/>
    <n v="1.55E-2"/>
    <n v="2.5000000000000001E-2"/>
    <b v="0"/>
    <s v="20260510"/>
    <n v="5"/>
  </r>
  <r>
    <x v="170"/>
    <s v="1PREF OLINDA"/>
    <n v="1"/>
    <s v="705481 - Tabela 1"/>
    <n v="2.5000000000000001E-2"/>
    <n v="120"/>
    <s v=""/>
    <n v="2.5"/>
    <n v="20"/>
    <n v="51"/>
    <s v="705481 - RFN - PREF OLINDA 1 "/>
    <s v="2,06"/>
    <n v="10"/>
    <n v="2"/>
    <n v="500"/>
    <n v="202605"/>
    <s v="NW"/>
    <s v="1"/>
    <n v="2.06E-2"/>
    <n v="2.5000000000000001E-2"/>
    <b v="1"/>
    <s v="20260510"/>
    <n v="5"/>
  </r>
  <r>
    <x v="170"/>
    <s v="2PREF OLINDA"/>
    <n v="2"/>
    <s v="705482 - Tabela 2"/>
    <n v="2.35E-2"/>
    <n v="120"/>
    <s v=""/>
    <n v="2.5"/>
    <n v="20"/>
    <n v="51"/>
    <s v="705482 - RFN - PREF OLINDA 2 "/>
    <s v="2,06"/>
    <n v="10"/>
    <n v="2"/>
    <n v="500"/>
    <n v="202605"/>
    <s v="NW"/>
    <s v="1"/>
    <n v="2.06E-2"/>
    <n v="2.5000000000000001E-2"/>
    <b v="0"/>
    <s v="20260510"/>
    <n v="5"/>
  </r>
  <r>
    <x v="171"/>
    <s v="1PREF OSASCO"/>
    <n v="1"/>
    <s v="995513 - Tabela 1"/>
    <n v="2.5000000000000001E-2"/>
    <n v="96"/>
    <s v=""/>
    <n v="2.5"/>
    <n v="10"/>
    <n v="33"/>
    <s v="995513 - RFN - PREF OSASCO 1 "/>
    <s v="1,59"/>
    <n v="15"/>
    <n v="2"/>
    <n v="500"/>
    <n v="202605"/>
    <s v="NW"/>
    <s v="0"/>
    <n v="1.5900000000000001E-2"/>
    <n v="2.5000000000000001E-2"/>
    <b v="1"/>
    <s v="20260515"/>
    <n v="10"/>
  </r>
  <r>
    <x v="171"/>
    <s v="2PREF OSASCO"/>
    <n v="2"/>
    <s v="995514 - Tabela 2"/>
    <n v="2.3900000000000001E-2"/>
    <n v="96"/>
    <s v=""/>
    <n v="2.5"/>
    <n v="10"/>
    <n v="41"/>
    <s v="995514 - RFN - PREF OSASCO 2 "/>
    <s v="1,59"/>
    <n v="15"/>
    <n v="2"/>
    <n v="500"/>
    <n v="202605"/>
    <s v="NW"/>
    <s v="0"/>
    <n v="1.5900000000000001E-2"/>
    <n v="2.5000000000000001E-2"/>
    <b v="0"/>
    <s v="20260515"/>
    <n v="10"/>
  </r>
  <r>
    <x v="171"/>
    <s v="3PREF OSASCO"/>
    <n v="3"/>
    <s v="995515 - Tabela 3"/>
    <n v="2.29E-2"/>
    <n v="96"/>
    <s v=""/>
    <n v="2.5"/>
    <n v="10"/>
    <n v="40"/>
    <s v="995515 - RFN - PREF OSASCO 3 "/>
    <s v="1,59"/>
    <n v="15"/>
    <n v="2"/>
    <n v="500"/>
    <n v="202605"/>
    <s v="NW"/>
    <s v="0"/>
    <n v="1.5900000000000001E-2"/>
    <n v="2.5000000000000001E-2"/>
    <b v="0"/>
    <s v="20260515"/>
    <n v="10"/>
  </r>
  <r>
    <x v="171"/>
    <s v="4PREF OSASCO"/>
    <n v="4"/>
    <s v="995516 - Tabela 4"/>
    <n v="2.1899999999999999E-2"/>
    <n v="96"/>
    <s v=""/>
    <n v="2.5"/>
    <n v="10"/>
    <n v="52"/>
    <s v="995516 - RFN - PREF OSASCO 4 "/>
    <s v="1,59"/>
    <n v="15"/>
    <n v="2"/>
    <n v="500"/>
    <n v="202605"/>
    <s v="NW"/>
    <s v="0"/>
    <n v="1.5900000000000001E-2"/>
    <n v="2.5000000000000001E-2"/>
    <b v="0"/>
    <s v="20260515"/>
    <n v="10"/>
  </r>
  <r>
    <x v="171"/>
    <s v="5PREF OSASCO"/>
    <n v="5"/>
    <s v="995517 - Tabela 5"/>
    <n v="2.0899999999999998E-2"/>
    <n v="96"/>
    <s v=""/>
    <n v="2.5"/>
    <n v="10"/>
    <n v="42"/>
    <s v="995517 - RFN - PREF OSASCO 5 "/>
    <s v="1,59"/>
    <n v="15"/>
    <n v="2"/>
    <n v="500"/>
    <n v="202605"/>
    <s v="NW"/>
    <s v="0"/>
    <n v="1.5900000000000001E-2"/>
    <n v="2.5000000000000001E-2"/>
    <b v="0"/>
    <s v="20260515"/>
    <n v="10"/>
  </r>
  <r>
    <x v="171"/>
    <s v="6PREF OSASCO"/>
    <n v="6"/>
    <s v="995521 - Tabela 6"/>
    <n v="1.9900000000000001E-2"/>
    <n v="96"/>
    <s v=""/>
    <n v="2.5"/>
    <n v="10"/>
    <n v="40"/>
    <s v="995521 - RFN - PREF OSASCO 6 "/>
    <s v="1,59"/>
    <n v="15"/>
    <n v="2"/>
    <n v="500"/>
    <n v="202605"/>
    <s v="NW"/>
    <s v="0"/>
    <n v="1.5900000000000001E-2"/>
    <n v="2.5000000000000001E-2"/>
    <b v="0"/>
    <s v="20260515"/>
    <n v="10"/>
  </r>
  <r>
    <x v="172"/>
    <s v="1PREF P ALEGRE"/>
    <n v="1"/>
    <s v="785331 - Tabela 1"/>
    <n v="2.5000000000000001E-2"/>
    <n v="120"/>
    <s v=""/>
    <n v="2.5"/>
    <n v="16"/>
    <n v="42"/>
    <s v="785331 - RFN - PREF PORTO ALEGRE 1 "/>
    <s v="1,38"/>
    <n v="9"/>
    <n v="2"/>
    <n v="500"/>
    <n v="202605"/>
    <s v="NW"/>
    <s v="1"/>
    <n v="1.38E-2"/>
    <n v="2.5000000000000001E-2"/>
    <b v="1"/>
    <s v="2026059"/>
    <n v="5"/>
  </r>
  <r>
    <x v="172"/>
    <s v="2PREF P ALEGRE"/>
    <n v="2"/>
    <s v="785332 - Tabela 2"/>
    <n v="1.9E-2"/>
    <n v="120"/>
    <s v=""/>
    <n v="2.5"/>
    <n v="16"/>
    <n v="42"/>
    <s v="785332 - RFN - PREF PORTO ALEGRE 2 "/>
    <s v="1,38"/>
    <n v="9"/>
    <n v="2"/>
    <n v="500"/>
    <n v="202605"/>
    <s v="NW"/>
    <s v="1"/>
    <n v="1.38E-2"/>
    <n v="2.5000000000000001E-2"/>
    <b v="0"/>
    <s v="2026059"/>
    <n v="5"/>
  </r>
  <r>
    <x v="172"/>
    <s v="3PREF P ALEGRE"/>
    <n v="3"/>
    <s v="785333 - Tabela 3"/>
    <n v="1.8000000000000002E-2"/>
    <n v="120"/>
    <s v=""/>
    <n v="2.5"/>
    <n v="16"/>
    <n v="42"/>
    <s v="785333 - RFN - PREF PORTO ALEGRE 3 "/>
    <s v="1,38"/>
    <n v="9"/>
    <n v="2"/>
    <n v="500"/>
    <n v="202605"/>
    <s v="NW"/>
    <s v="1"/>
    <n v="1.38E-2"/>
    <n v="2.5000000000000001E-2"/>
    <b v="0"/>
    <s v="2026059"/>
    <n v="5"/>
  </r>
  <r>
    <x v="172"/>
    <s v="4PREF P ALEGRE"/>
    <n v="4"/>
    <s v="785334 - Tabela 4"/>
    <n v="1.66E-2"/>
    <n v="120"/>
    <s v=""/>
    <n v="2.5"/>
    <n v="16"/>
    <n v="42"/>
    <s v="785334 - RFN - PREF PORTO ALEGRE 4 "/>
    <s v="1,38"/>
    <n v="9"/>
    <n v="2"/>
    <n v="500"/>
    <n v="202605"/>
    <s v="NW"/>
    <s v="1"/>
    <n v="1.38E-2"/>
    <n v="2.5000000000000001E-2"/>
    <b v="0"/>
    <s v="2026059"/>
    <n v="5"/>
  </r>
  <r>
    <x v="173"/>
    <s v="1PREF PALHOÇA"/>
    <n v="1"/>
    <s v="775971 - Tabela 1"/>
    <n v="2.5000000000000001E-2"/>
    <n v="120"/>
    <s v=""/>
    <n v="2.5"/>
    <n v="19"/>
    <m/>
    <s v="775971 - RFN - PREF PALHOÇA 1 "/>
    <s v="1,4"/>
    <n v="15"/>
    <n v="2"/>
    <n v="500"/>
    <n v="202605"/>
    <s v="LG"/>
    <s v="1"/>
    <n v="1.3999999999999999E-2"/>
    <n v="2.5000000000000001E-2"/>
    <b v="1"/>
    <s v="20260515"/>
    <n v="10"/>
  </r>
  <r>
    <x v="173"/>
    <s v="2PREF PALHOÇA"/>
    <n v="2"/>
    <s v="775972 - Tabela 2"/>
    <n v="2.2000000000000002E-2"/>
    <n v="120"/>
    <s v=""/>
    <n v="2.5"/>
    <n v="19"/>
    <n v="36"/>
    <s v="775972 - RFN - PREF PALHOÇA 2 "/>
    <s v="1,4"/>
    <n v="15"/>
    <n v="2"/>
    <n v="500"/>
    <n v="202605"/>
    <s v="LG"/>
    <s v="1"/>
    <n v="1.3999999999999999E-2"/>
    <n v="2.5000000000000001E-2"/>
    <b v="0"/>
    <s v="20260515"/>
    <n v="10"/>
  </r>
  <r>
    <x v="173"/>
    <s v="3PREF PALHOÇA"/>
    <n v="3"/>
    <s v="775973 - Tabela 3"/>
    <n v="2.1000000000000001E-2"/>
    <n v="120"/>
    <s v=""/>
    <n v="2.5"/>
    <n v="19"/>
    <m/>
    <s v="775973 - RFN - PREF PALHOÇA 3 "/>
    <s v="1,4"/>
    <n v="15"/>
    <n v="2"/>
    <n v="500"/>
    <n v="202605"/>
    <s v="LG"/>
    <s v="1"/>
    <n v="1.3999999999999999E-2"/>
    <n v="2.5000000000000001E-2"/>
    <b v="0"/>
    <s v="20260515"/>
    <n v="10"/>
  </r>
  <r>
    <x v="173"/>
    <s v="4PREF PALHOÇA"/>
    <n v="4"/>
    <s v="775974 - Tabela 4"/>
    <n v="0.02"/>
    <n v="120"/>
    <s v=""/>
    <n v="2.5"/>
    <n v="19"/>
    <m/>
    <s v="775974 - RFN - PREF PALHOÇA 4 "/>
    <s v="1,4"/>
    <n v="15"/>
    <n v="2"/>
    <n v="500"/>
    <n v="202605"/>
    <s v="LG"/>
    <s v="1"/>
    <n v="1.3999999999999999E-2"/>
    <n v="2.5000000000000001E-2"/>
    <b v="0"/>
    <s v="20260515"/>
    <n v="10"/>
  </r>
  <r>
    <x v="173"/>
    <s v="5PREF PALHOÇA"/>
    <n v="5"/>
    <s v="775975 - Tabela 5"/>
    <n v="1.9E-2"/>
    <n v="120"/>
    <s v=""/>
    <n v="2.5"/>
    <n v="19"/>
    <m/>
    <s v="775975 - RFN - PREF PALHOÇA 5 "/>
    <s v="1,4"/>
    <n v="15"/>
    <n v="2"/>
    <n v="500"/>
    <n v="202605"/>
    <s v="LG"/>
    <s v="1"/>
    <n v="1.3999999999999999E-2"/>
    <n v="2.5000000000000001E-2"/>
    <b v="0"/>
    <s v="20260515"/>
    <n v="10"/>
  </r>
  <r>
    <x v="173"/>
    <s v="6PREF PALHOÇA"/>
    <n v="6"/>
    <s v="775976 - Tabela 6"/>
    <n v="1.7500000000000002E-2"/>
    <n v="120"/>
    <s v=""/>
    <n v="2.5"/>
    <n v="19"/>
    <m/>
    <s v="775976 - RFN - PREF PALHOÇA 6 "/>
    <s v="1,4"/>
    <n v="15"/>
    <n v="2"/>
    <n v="500"/>
    <n v="202605"/>
    <s v="LG"/>
    <s v="1"/>
    <n v="1.3999999999999999E-2"/>
    <n v="2.5000000000000001E-2"/>
    <b v="0"/>
    <s v="20260515"/>
    <n v="10"/>
  </r>
  <r>
    <x v="174"/>
    <s v="1PREF PARELHAS"/>
    <n v="1"/>
    <s v="315041 - Tabela 1"/>
    <n v="2.7000000000000003E-2"/>
    <n v="120"/>
    <s v=""/>
    <n v="2.7"/>
    <n v="12"/>
    <n v="50"/>
    <s v="315041 - RFN - PREF PARELHAS 1 "/>
    <s v="1,5"/>
    <n v="10"/>
    <n v="2"/>
    <n v="500"/>
    <n v="202605"/>
    <s v="LG"/>
    <s v="1"/>
    <n v="1.4999999999999999E-2"/>
    <n v="2.7000000000000003E-2"/>
    <b v="1"/>
    <s v="20260510"/>
    <n v="5"/>
  </r>
  <r>
    <x v="174"/>
    <s v="2PREF PARELHAS"/>
    <n v="2"/>
    <s v="315042 - Tabela 2"/>
    <n v="2.6000000000000002E-2"/>
    <n v="120"/>
    <s v=""/>
    <n v="2.7"/>
    <n v="12"/>
    <m/>
    <s v="315042 - RFN - PREF PARELHAS 2 "/>
    <s v="1,5"/>
    <n v="10"/>
    <n v="2"/>
    <n v="500"/>
    <n v="202605"/>
    <s v="LG"/>
    <s v="1"/>
    <n v="1.4999999999999999E-2"/>
    <n v="2.7000000000000003E-2"/>
    <b v="0"/>
    <s v="20260510"/>
    <n v="5"/>
  </r>
  <r>
    <x v="174"/>
    <s v="3PREF PARELHAS"/>
    <n v="3"/>
    <s v="315043 - Tabela 3"/>
    <n v="2.5000000000000001E-2"/>
    <n v="120"/>
    <s v=""/>
    <n v="2.7"/>
    <n v="12"/>
    <m/>
    <s v="315043 - RFN - PREF PARELHAS 3 "/>
    <s v="1,5"/>
    <n v="10"/>
    <n v="2"/>
    <n v="500"/>
    <n v="202605"/>
    <s v="LG"/>
    <s v="1"/>
    <n v="1.4999999999999999E-2"/>
    <n v="2.7000000000000003E-2"/>
    <b v="0"/>
    <s v="20260510"/>
    <n v="5"/>
  </r>
  <r>
    <x v="174"/>
    <s v="4PREF PARELHAS"/>
    <n v="4"/>
    <s v="315044 - Tabela 4"/>
    <n v="2.4E-2"/>
    <n v="120"/>
    <s v=""/>
    <n v="2.7"/>
    <n v="12"/>
    <m/>
    <s v="315044 - RFN - PREF PARELHAS 4 "/>
    <s v="1,5"/>
    <n v="10"/>
    <n v="2"/>
    <n v="500"/>
    <n v="202605"/>
    <s v="LG"/>
    <s v="1"/>
    <n v="1.4999999999999999E-2"/>
    <n v="2.7000000000000003E-2"/>
    <b v="0"/>
    <s v="20260510"/>
    <n v="5"/>
  </r>
  <r>
    <x v="174"/>
    <s v="5PREF PARELHAS"/>
    <n v="5"/>
    <s v="315045 - Tabela 5"/>
    <n v="2.3E-2"/>
    <n v="120"/>
    <s v=""/>
    <n v="2.7"/>
    <n v="12"/>
    <m/>
    <s v="315045 - RFN - PREF PARELHAS 5 "/>
    <s v="1,5"/>
    <n v="10"/>
    <n v="2"/>
    <n v="500"/>
    <n v="202605"/>
    <s v="LG"/>
    <s v="1"/>
    <n v="1.4999999999999999E-2"/>
    <n v="2.7000000000000003E-2"/>
    <b v="0"/>
    <s v="20260510"/>
    <n v="5"/>
  </r>
  <r>
    <x v="174"/>
    <s v="6PREF PARELHAS"/>
    <n v="6"/>
    <s v="315046 - Tabela 6"/>
    <n v="2.2000000000000002E-2"/>
    <n v="120"/>
    <s v=""/>
    <n v="2.7"/>
    <n v="12"/>
    <m/>
    <s v="315046 - RFN - PREF PARELHAS 6 "/>
    <s v="1,5"/>
    <n v="10"/>
    <n v="2"/>
    <n v="500"/>
    <n v="202605"/>
    <s v="LG"/>
    <s v="1"/>
    <n v="1.4999999999999999E-2"/>
    <n v="2.7000000000000003E-2"/>
    <b v="0"/>
    <s v="20260510"/>
    <n v="5"/>
  </r>
  <r>
    <x v="175"/>
    <s v="1PREF PERUIBE"/>
    <n v="1"/>
    <s v="795541 - Tabela 1"/>
    <n v="2.5000000000000001E-2"/>
    <n v="120"/>
    <s v=""/>
    <n v="2.5"/>
    <n v="15"/>
    <n v="41"/>
    <s v="795541 - RFN - PREF PERUIBE  1 "/>
    <s v="1,49"/>
    <n v="20"/>
    <n v="2"/>
    <n v="500"/>
    <n v="202605"/>
    <s v="LG"/>
    <s v="0"/>
    <n v="1.49E-2"/>
    <n v="2.5000000000000001E-2"/>
    <b v="1"/>
    <s v="20260520"/>
    <n v="13"/>
  </r>
  <r>
    <x v="175"/>
    <s v="2PREF PERUIBE"/>
    <n v="2"/>
    <s v="795542 - Tabela 2"/>
    <n v="2.3900000000000001E-2"/>
    <n v="120"/>
    <s v=""/>
    <n v="2.5"/>
    <n v="15"/>
    <n v="41"/>
    <s v="795542 - RFN - PREF PERUIBE  2 "/>
    <s v="1,49"/>
    <n v="20"/>
    <n v="2"/>
    <n v="500"/>
    <n v="202605"/>
    <s v="LG"/>
    <s v="0"/>
    <n v="1.49E-2"/>
    <n v="2.5000000000000001E-2"/>
    <b v="0"/>
    <s v="20260520"/>
    <n v="13"/>
  </r>
  <r>
    <x v="175"/>
    <s v="3PREF PERUIBE"/>
    <n v="3"/>
    <s v="795543 - Tabela 3"/>
    <n v="2.29E-2"/>
    <n v="120"/>
    <s v=""/>
    <n v="2.5"/>
    <n v="15"/>
    <n v="41"/>
    <s v="795543 - RFN - PREF PERUIBE  3 "/>
    <s v="1,49"/>
    <n v="20"/>
    <n v="2"/>
    <n v="500"/>
    <n v="202605"/>
    <s v="LG"/>
    <s v="0"/>
    <n v="1.49E-2"/>
    <n v="2.5000000000000001E-2"/>
    <b v="0"/>
    <s v="20260520"/>
    <n v="13"/>
  </r>
  <r>
    <x v="175"/>
    <s v="4PREF PERUIBE"/>
    <n v="4"/>
    <s v="795544 - Tabela 4"/>
    <n v="2.1899999999999999E-2"/>
    <n v="120"/>
    <s v=""/>
    <n v="2.5"/>
    <n v="15"/>
    <n v="45"/>
    <s v="795544 - RFN - PREF PERUIBE  4 "/>
    <s v="1,49"/>
    <n v="20"/>
    <n v="2"/>
    <n v="500"/>
    <n v="202605"/>
    <s v="LG"/>
    <s v="0"/>
    <n v="1.49E-2"/>
    <n v="2.5000000000000001E-2"/>
    <b v="0"/>
    <s v="20260520"/>
    <n v="13"/>
  </r>
  <r>
    <x v="175"/>
    <s v="5PREF PERUIBE"/>
    <n v="5"/>
    <s v="795545 - Tabela 5"/>
    <n v="2.0899999999999998E-2"/>
    <n v="120"/>
    <s v=""/>
    <n v="2.5"/>
    <n v="15"/>
    <n v="45"/>
    <s v="795545 - RFN - PREF PERUIBE  5 "/>
    <s v="1,49"/>
    <n v="20"/>
    <n v="2"/>
    <n v="500"/>
    <n v="202605"/>
    <s v="LG"/>
    <s v="0"/>
    <n v="1.49E-2"/>
    <n v="2.5000000000000001E-2"/>
    <b v="0"/>
    <s v="20260520"/>
    <n v="13"/>
  </r>
  <r>
    <x v="175"/>
    <s v="6PREF PERUIBE"/>
    <n v="6"/>
    <s v="795546 - Tabela 6"/>
    <n v="1.9900000000000001E-2"/>
    <n v="120"/>
    <s v=""/>
    <n v="2.5"/>
    <n v="15"/>
    <n v="45"/>
    <s v="795546 - RFN - PREF PERUIBE  6 "/>
    <s v="1,49"/>
    <n v="20"/>
    <n v="2"/>
    <n v="500"/>
    <n v="202605"/>
    <s v="LG"/>
    <s v="0"/>
    <n v="1.49E-2"/>
    <n v="2.5000000000000001E-2"/>
    <b v="0"/>
    <s v="20260520"/>
    <n v="13"/>
  </r>
  <r>
    <x v="176"/>
    <s v="1PREF PICOS"/>
    <n v="1"/>
    <s v="715431 - Tabela 1"/>
    <n v="2.5000000000000001E-2"/>
    <n v="120"/>
    <s v=""/>
    <n v="2.5"/>
    <n v="1"/>
    <m/>
    <s v="715431 - RFN - PREF PICOS 1 "/>
    <s v="1,55"/>
    <n v="12"/>
    <n v="2"/>
    <n v="500"/>
    <n v="202605"/>
    <s v="NW"/>
    <s v="0"/>
    <n v="1.55E-2"/>
    <n v="2.5000000000000001E-2"/>
    <b v="1"/>
    <s v="20260512"/>
    <n v="7"/>
  </r>
  <r>
    <x v="176"/>
    <s v="2PREF PICOS"/>
    <n v="2"/>
    <s v="715441 - Tabela 1"/>
    <n v="2.5000000000000001E-2"/>
    <n v="120"/>
    <s v=""/>
    <n v="2.5"/>
    <n v="1"/>
    <m/>
    <s v="715441 - RFN - PREF PICOS SEC SAUDE 1 "/>
    <s v="1,55"/>
    <n v="12"/>
    <n v="2"/>
    <n v="500"/>
    <n v="202605"/>
    <s v="NW"/>
    <s v="0"/>
    <n v="1.55E-2"/>
    <n v="2.5000000000000001E-2"/>
    <b v="1"/>
    <s v="20260512"/>
    <n v="7"/>
  </r>
  <r>
    <x v="176"/>
    <s v="3PREF PICOS"/>
    <n v="3"/>
    <s v="715451 - Tabela 1"/>
    <n v="2.5000000000000001E-2"/>
    <n v="120"/>
    <s v=""/>
    <n v="2.5"/>
    <n v="1"/>
    <m/>
    <s v="715451 - RFN - PREF PICOS SEC EDUC 1 "/>
    <s v="1,55"/>
    <n v="12"/>
    <n v="2"/>
    <n v="500"/>
    <n v="202605"/>
    <s v="NW"/>
    <s v="0"/>
    <n v="1.55E-2"/>
    <n v="2.5000000000000001E-2"/>
    <b v="1"/>
    <s v="20260512"/>
    <n v="7"/>
  </r>
  <r>
    <x v="176"/>
    <s v="4PREF PICOS"/>
    <n v="4"/>
    <s v="715432 - Tabela 2"/>
    <n v="2.4E-2"/>
    <n v="120"/>
    <s v=""/>
    <n v="2.5"/>
    <n v="1"/>
    <n v="36"/>
    <s v="715432 - RFN - PREF PICOS 2 "/>
    <s v="1,55"/>
    <n v="12"/>
    <n v="2"/>
    <n v="500"/>
    <n v="202605"/>
    <s v="NW"/>
    <s v="0"/>
    <n v="1.55E-2"/>
    <n v="2.5000000000000001E-2"/>
    <b v="0"/>
    <s v="20260512"/>
    <n v="7"/>
  </r>
  <r>
    <x v="176"/>
    <s v="5PREF PICOS"/>
    <n v="5"/>
    <s v="715442 - Tabela 2"/>
    <n v="2.4E-2"/>
    <n v="120"/>
    <s v=""/>
    <n v="2.5"/>
    <n v="1"/>
    <m/>
    <s v="715442 - RFN - PREF PICOS SEC SAUDE 2 "/>
    <s v="1,55"/>
    <n v="12"/>
    <n v="2"/>
    <n v="500"/>
    <n v="202605"/>
    <s v="NW"/>
    <s v="0"/>
    <n v="1.55E-2"/>
    <n v="2.5000000000000001E-2"/>
    <b v="0"/>
    <s v="20260512"/>
    <n v="7"/>
  </r>
  <r>
    <x v="176"/>
    <s v="6PREF PICOS"/>
    <n v="6"/>
    <s v="715452 - Tabela 2"/>
    <n v="2.4E-2"/>
    <n v="120"/>
    <s v=""/>
    <n v="2.5"/>
    <n v="1"/>
    <m/>
    <s v="715452 - RFN - PREF PICOS SEC EDUC 2 "/>
    <s v="1,55"/>
    <n v="12"/>
    <n v="2"/>
    <n v="500"/>
    <n v="202605"/>
    <s v="NW"/>
    <s v="0"/>
    <n v="1.55E-2"/>
    <n v="2.5000000000000001E-2"/>
    <b v="0"/>
    <s v="20260512"/>
    <n v="7"/>
  </r>
  <r>
    <x v="176"/>
    <s v="7PREF PICOS"/>
    <n v="7"/>
    <s v="715433 - Tabela 3"/>
    <n v="2.3E-2"/>
    <n v="120"/>
    <s v=""/>
    <n v="2.5"/>
    <n v="1"/>
    <n v="38"/>
    <s v="715433 - RFN - PREF PICOS 3 "/>
    <s v="1,55"/>
    <n v="12"/>
    <n v="2"/>
    <n v="500"/>
    <n v="202605"/>
    <s v="NW"/>
    <s v="0"/>
    <n v="1.55E-2"/>
    <n v="2.5000000000000001E-2"/>
    <b v="0"/>
    <s v="20260512"/>
    <n v="7"/>
  </r>
  <r>
    <x v="176"/>
    <s v="8PREF PICOS"/>
    <n v="8"/>
    <s v="715443 - Tabela 3"/>
    <n v="2.3E-2"/>
    <n v="120"/>
    <s v=""/>
    <n v="2.5"/>
    <n v="1"/>
    <m/>
    <s v="715443 - RFN - PREF PICOS SEC SAUDE 3 "/>
    <s v="1,55"/>
    <n v="12"/>
    <n v="2"/>
    <n v="500"/>
    <n v="202605"/>
    <s v="NW"/>
    <s v="0"/>
    <n v="1.55E-2"/>
    <n v="2.5000000000000001E-2"/>
    <b v="0"/>
    <s v="20260512"/>
    <n v="7"/>
  </r>
  <r>
    <x v="176"/>
    <s v="9PREF PICOS"/>
    <n v="9"/>
    <s v="715453 - Tabela 3"/>
    <n v="2.3E-2"/>
    <n v="120"/>
    <s v=""/>
    <n v="2.5"/>
    <n v="1"/>
    <m/>
    <s v="715453 - RFN - PREF PICOS SEC EDUC 3 "/>
    <s v="1,55"/>
    <n v="12"/>
    <n v="2"/>
    <n v="500"/>
    <n v="202605"/>
    <s v="NW"/>
    <s v="0"/>
    <n v="1.55E-2"/>
    <n v="2.5000000000000001E-2"/>
    <b v="0"/>
    <s v="20260512"/>
    <n v="7"/>
  </r>
  <r>
    <x v="176"/>
    <s v="10PREF PICOS"/>
    <n v="10"/>
    <s v="715434 - Tabela 4"/>
    <n v="2.2200000000000001E-2"/>
    <n v="120"/>
    <s v=""/>
    <n v="2.5"/>
    <n v="1"/>
    <n v="28"/>
    <s v="715434 - RFN - PREF PICOS 4 "/>
    <s v="1,55"/>
    <n v="12"/>
    <n v="2"/>
    <n v="500"/>
    <n v="202605"/>
    <s v="NW"/>
    <s v="0"/>
    <n v="1.55E-2"/>
    <n v="2.5000000000000001E-2"/>
    <b v="0"/>
    <s v="20260512"/>
    <n v="7"/>
  </r>
  <r>
    <x v="176"/>
    <s v="11PREF PICOS"/>
    <n v="11"/>
    <s v="715444 - Tabela 4"/>
    <n v="2.2000000000000002E-2"/>
    <n v="120"/>
    <s v=""/>
    <n v="2.5"/>
    <n v="1"/>
    <m/>
    <s v="715444 - RFN - PREF PICOS SEC SAUDE 4 "/>
    <s v="1,55"/>
    <n v="12"/>
    <n v="2"/>
    <n v="500"/>
    <n v="202605"/>
    <s v="NW"/>
    <s v="0"/>
    <n v="1.55E-2"/>
    <n v="2.5000000000000001E-2"/>
    <b v="0"/>
    <s v="20260512"/>
    <n v="7"/>
  </r>
  <r>
    <x v="176"/>
    <s v="12PREF PICOS"/>
    <n v="12"/>
    <s v="715454 - Tabela 4"/>
    <n v="2.2000000000000002E-2"/>
    <n v="120"/>
    <s v=""/>
    <n v="2.5"/>
    <n v="1"/>
    <m/>
    <s v="715454 - RFN - PREF PICOS SEC EDUC 4 "/>
    <s v="1,55"/>
    <n v="12"/>
    <n v="2"/>
    <n v="500"/>
    <n v="202605"/>
    <s v="NW"/>
    <s v="0"/>
    <n v="1.55E-2"/>
    <n v="2.5000000000000001E-2"/>
    <b v="0"/>
    <s v="20260512"/>
    <n v="7"/>
  </r>
  <r>
    <x v="176"/>
    <s v="13PREF PICOS"/>
    <n v="13"/>
    <s v="715445 - Tabela 5"/>
    <n v="2.1499999999999998E-2"/>
    <n v="120"/>
    <s v=""/>
    <n v="2.5"/>
    <n v="1"/>
    <n v="28"/>
    <s v="715445 - RFN - PREF PICOS SEC SAUDE 5 "/>
    <s v="1,55"/>
    <n v="12"/>
    <n v="2"/>
    <n v="500"/>
    <n v="202605"/>
    <s v="NW"/>
    <s v="0"/>
    <n v="1.55E-2"/>
    <n v="2.5000000000000001E-2"/>
    <b v="0"/>
    <s v="20260512"/>
    <n v="7"/>
  </r>
  <r>
    <x v="176"/>
    <s v="14PREF PICOS"/>
    <n v="14"/>
    <s v="715455 - Tabela 5"/>
    <n v="2.1499999999999998E-2"/>
    <n v="120"/>
    <s v=""/>
    <n v="2.5"/>
    <n v="1"/>
    <m/>
    <s v="715455 - RFN - PREF PICOS SEC EDUC 5 "/>
    <s v="1,55"/>
    <n v="12"/>
    <n v="2"/>
    <n v="500"/>
    <n v="202605"/>
    <s v="NW"/>
    <s v="0"/>
    <n v="1.55E-2"/>
    <n v="2.5000000000000001E-2"/>
    <b v="0"/>
    <s v="20260512"/>
    <n v="7"/>
  </r>
  <r>
    <x v="177"/>
    <s v="1PREF PILAR"/>
    <n v="1"/>
    <s v="715291 - Tabela 1"/>
    <n v="2.7999999999999997E-2"/>
    <n v="120"/>
    <s v=""/>
    <n v="2.8"/>
    <n v="18"/>
    <m/>
    <s v="715291 - RFN - PREF PILAR 1 "/>
    <s v="1,5"/>
    <n v="15"/>
    <n v="2"/>
    <n v="500"/>
    <n v="202605"/>
    <s v="LG"/>
    <s v="1"/>
    <n v="1.4999999999999999E-2"/>
    <n v="2.7999999999999997E-2"/>
    <b v="1"/>
    <s v="20260515"/>
    <n v="10"/>
  </r>
  <r>
    <x v="177"/>
    <s v="2PREF PILAR"/>
    <n v="2"/>
    <s v="715292 - Tabela 2"/>
    <n v="2.7000000000000003E-2"/>
    <n v="120"/>
    <s v=""/>
    <n v="2.8"/>
    <n v="18"/>
    <m/>
    <s v="715292 - RFN - PREF PILAR 2 "/>
    <s v="1,5"/>
    <n v="15"/>
    <n v="2"/>
    <n v="500"/>
    <n v="202605"/>
    <s v="LG"/>
    <s v="1"/>
    <n v="1.4999999999999999E-2"/>
    <n v="2.7999999999999997E-2"/>
    <b v="0"/>
    <s v="20260515"/>
    <n v="10"/>
  </r>
  <r>
    <x v="177"/>
    <s v="3PREF PILAR"/>
    <n v="3"/>
    <s v="715293 - Tabela 3"/>
    <n v="2.6000000000000002E-2"/>
    <n v="120"/>
    <s v=""/>
    <n v="2.8"/>
    <n v="18"/>
    <n v="39"/>
    <s v="715293 - RFN - PREF PILAR 3 "/>
    <s v="1,5"/>
    <n v="15"/>
    <n v="2"/>
    <n v="500"/>
    <n v="202605"/>
    <s v="LG"/>
    <s v="1"/>
    <n v="1.4999999999999999E-2"/>
    <n v="2.7999999999999997E-2"/>
    <b v="0"/>
    <s v="20260515"/>
    <n v="10"/>
  </r>
  <r>
    <x v="177"/>
    <s v="4PREF PILAR"/>
    <n v="4"/>
    <s v="715294 - Tabela 4"/>
    <n v="2.5000000000000001E-2"/>
    <n v="120"/>
    <s v=""/>
    <n v="2.8"/>
    <n v="18"/>
    <n v="38"/>
    <s v="715294 - RFN - PREF PILAR 4 "/>
    <s v="1,5"/>
    <n v="15"/>
    <n v="2"/>
    <n v="500"/>
    <n v="202605"/>
    <s v="LG"/>
    <s v="1"/>
    <n v="1.4999999999999999E-2"/>
    <n v="2.7999999999999997E-2"/>
    <b v="0"/>
    <s v="20260515"/>
    <n v="10"/>
  </r>
  <r>
    <x v="177"/>
    <s v="5PREF PILAR"/>
    <n v="5"/>
    <s v="715295 - Tabela 5"/>
    <n v="2.4E-2"/>
    <n v="120"/>
    <s v=""/>
    <n v="2.8"/>
    <n v="18"/>
    <n v="47"/>
    <s v="715295 - RFN - PREF PILAR 5 "/>
    <s v="1,5"/>
    <n v="15"/>
    <n v="2"/>
    <n v="500"/>
    <n v="202605"/>
    <s v="LG"/>
    <s v="1"/>
    <n v="1.4999999999999999E-2"/>
    <n v="2.7999999999999997E-2"/>
    <b v="0"/>
    <s v="20260515"/>
    <n v="10"/>
  </r>
  <r>
    <x v="177"/>
    <s v="6PREF PILAR"/>
    <n v="6"/>
    <s v="715296 - Tabela 6"/>
    <n v="2.3E-2"/>
    <n v="120"/>
    <s v=""/>
    <n v="2.8"/>
    <n v="18"/>
    <m/>
    <s v="715296 - RFN - PREF PILAR 6 "/>
    <s v="1,5"/>
    <n v="15"/>
    <n v="2"/>
    <n v="500"/>
    <n v="202605"/>
    <s v="LG"/>
    <s v="1"/>
    <n v="1.4999999999999999E-2"/>
    <n v="2.7999999999999997E-2"/>
    <b v="0"/>
    <s v="20260515"/>
    <n v="10"/>
  </r>
  <r>
    <x v="177"/>
    <s v="7PREF PILAR"/>
    <n v="7"/>
    <s v="715297 - Tabela 7"/>
    <n v="2.2000000000000002E-2"/>
    <n v="120"/>
    <s v=""/>
    <n v="2.8"/>
    <n v="18"/>
    <m/>
    <s v="715297 - RFN - PREF PILAR 7 "/>
    <s v="1,5"/>
    <n v="15"/>
    <n v="2"/>
    <n v="500"/>
    <n v="202605"/>
    <s v="LG"/>
    <s v="1"/>
    <n v="1.4999999999999999E-2"/>
    <n v="2.7999999999999997E-2"/>
    <b v="0"/>
    <s v="20260515"/>
    <n v="10"/>
  </r>
  <r>
    <x v="178"/>
    <s v="1PREF PINDAMONH"/>
    <n v="1"/>
    <s v="881092 - Tabela 1"/>
    <n v="2.5000000000000001E-2"/>
    <n v="120"/>
    <s v=""/>
    <n v="2.5"/>
    <n v="20"/>
    <m/>
    <s v="881092 - RFN - PREF PINDA  1 "/>
    <s v="1,62"/>
    <n v="10"/>
    <n v="2"/>
    <n v="500"/>
    <n v="202605"/>
    <s v="LG"/>
    <s v="1"/>
    <n v="1.6200000000000003E-2"/>
    <n v="2.5000000000000001E-2"/>
    <b v="1"/>
    <s v="20260510"/>
    <n v="5"/>
  </r>
  <r>
    <x v="178"/>
    <s v="2PREF PINDAMONH"/>
    <n v="2"/>
    <s v="881099 - Tabela 2"/>
    <n v="2.3900000000000001E-2"/>
    <n v="120"/>
    <s v=""/>
    <n v="2.5"/>
    <n v="20"/>
    <m/>
    <s v="881099 - RFN - PREF PINDA  2 "/>
    <s v="1,62"/>
    <n v="10"/>
    <n v="2"/>
    <n v="500"/>
    <n v="202605"/>
    <s v="LG"/>
    <s v="1"/>
    <n v="1.6200000000000003E-2"/>
    <n v="2.5000000000000001E-2"/>
    <b v="0"/>
    <s v="20260510"/>
    <n v="5"/>
  </r>
  <r>
    <x v="178"/>
    <s v="3PREF PINDAMONH"/>
    <n v="3"/>
    <s v="881103 - Tabela 3"/>
    <n v="2.29E-2"/>
    <n v="120"/>
    <s v=""/>
    <n v="2.5"/>
    <n v="20"/>
    <m/>
    <s v="881103 - RFN - PREF PINDA  3 "/>
    <s v="1,62"/>
    <n v="10"/>
    <n v="2"/>
    <n v="500"/>
    <n v="202605"/>
    <s v="LG"/>
    <s v="1"/>
    <n v="1.6200000000000003E-2"/>
    <n v="2.5000000000000001E-2"/>
    <b v="0"/>
    <s v="20260510"/>
    <n v="5"/>
  </r>
  <r>
    <x v="178"/>
    <s v="4PREF PINDAMONH"/>
    <n v="4"/>
    <s v="881123 - Tabela 4"/>
    <n v="2.1899999999999999E-2"/>
    <n v="120"/>
    <s v=""/>
    <n v="2.5"/>
    <n v="20"/>
    <m/>
    <s v="881123 - RFN - PREF PINDA  4 "/>
    <s v="1,62"/>
    <n v="10"/>
    <n v="2"/>
    <n v="500"/>
    <n v="202605"/>
    <s v="LG"/>
    <s v="1"/>
    <n v="1.6200000000000003E-2"/>
    <n v="2.5000000000000001E-2"/>
    <b v="0"/>
    <s v="20260510"/>
    <n v="5"/>
  </r>
  <r>
    <x v="178"/>
    <s v="5PREF PINDAMONH"/>
    <n v="5"/>
    <s v="881124 - Tabela 5"/>
    <n v="2.1499999999999998E-2"/>
    <n v="120"/>
    <s v=""/>
    <n v="2.5"/>
    <n v="20"/>
    <m/>
    <s v="881124 - RFN - PREF PINDA  5 "/>
    <s v="1,62"/>
    <n v="10"/>
    <n v="2"/>
    <n v="500"/>
    <n v="202605"/>
    <s v="LG"/>
    <s v="1"/>
    <n v="1.6200000000000003E-2"/>
    <n v="2.5000000000000001E-2"/>
    <b v="0"/>
    <s v="20260510"/>
    <n v="5"/>
  </r>
  <r>
    <x v="179"/>
    <s v="1PREF PIRACICAB CLT"/>
    <n v="1"/>
    <s v="776501 - Tabela 1"/>
    <n v="2.5000000000000001E-2"/>
    <n v="96"/>
    <s v=""/>
    <n v="2.5"/>
    <n v="7"/>
    <n v="52"/>
    <s v="776501 - RFN - PREF PIRACICABA 1  CLT"/>
    <s v="1,45"/>
    <n v="1"/>
    <n v="2"/>
    <n v="500"/>
    <n v="202605"/>
    <s v="LG"/>
    <s v="1"/>
    <n v="1.4499999999999999E-2"/>
    <n v="2.5000000000000001E-2"/>
    <b v="1"/>
    <s v="2026051"/>
    <n v="0"/>
  </r>
  <r>
    <x v="179"/>
    <s v="2PREF PIRACICAB CLT"/>
    <n v="2"/>
    <s v="775289 - Tabela 2"/>
    <n v="2.0499999999999997E-2"/>
    <n v="96"/>
    <s v=""/>
    <n v="2.5"/>
    <n v="7"/>
    <n v="51"/>
    <s v="775289 - RFN - PREF PIRACICABA 2  CLT"/>
    <s v="1,45"/>
    <n v="1"/>
    <n v="2"/>
    <n v="500"/>
    <n v="202605"/>
    <s v="LG"/>
    <s v="1"/>
    <n v="1.4499999999999999E-2"/>
    <n v="2.5000000000000001E-2"/>
    <b v="0"/>
    <s v="2026051"/>
    <n v="0"/>
  </r>
  <r>
    <x v="179"/>
    <s v="3PREF PIRACICAB CLT"/>
    <n v="3"/>
    <s v="776510 - Tabela 3"/>
    <n v="1.9900000000000001E-2"/>
    <n v="96"/>
    <s v=""/>
    <n v="2.5"/>
    <n v="7"/>
    <n v="52"/>
    <s v="776510 - RFN - PREF PIRACICABA 3  CLT"/>
    <s v="1,45"/>
    <n v="1"/>
    <n v="2"/>
    <n v="500"/>
    <n v="202605"/>
    <s v="LG"/>
    <s v="1"/>
    <n v="1.4499999999999999E-2"/>
    <n v="2.5000000000000001E-2"/>
    <b v="0"/>
    <s v="2026051"/>
    <n v="0"/>
  </r>
  <r>
    <x v="179"/>
    <s v="4PREF PIRACICAB CLT"/>
    <n v="4"/>
    <s v="776512 - Tabela 4"/>
    <n v="1.95E-2"/>
    <n v="96"/>
    <s v=""/>
    <n v="2.5"/>
    <n v="7"/>
    <n v="52"/>
    <s v="776512 - RFN - PREF PIRACICABA 4   CLT"/>
    <s v="1,45"/>
    <n v="1"/>
    <n v="2"/>
    <n v="500"/>
    <n v="202605"/>
    <s v="LG"/>
    <s v="1"/>
    <n v="1.4499999999999999E-2"/>
    <n v="2.5000000000000001E-2"/>
    <b v="0"/>
    <s v="2026051"/>
    <n v="0"/>
  </r>
  <r>
    <x v="179"/>
    <s v="5PREF PIRACICAB CLT"/>
    <n v="5"/>
    <s v="776514 - Tabela 5"/>
    <n v="1.89E-2"/>
    <n v="96"/>
    <s v=""/>
    <n v="2.5"/>
    <n v="7"/>
    <n v="52"/>
    <s v="776514 - RFN - PREF PIRACICABA 5   CLT"/>
    <s v="1,45"/>
    <n v="1"/>
    <n v="2"/>
    <n v="500"/>
    <n v="202605"/>
    <s v="LG"/>
    <s v="1"/>
    <n v="1.4499999999999999E-2"/>
    <n v="2.5000000000000001E-2"/>
    <b v="0"/>
    <s v="2026051"/>
    <n v="0"/>
  </r>
  <r>
    <x v="179"/>
    <s v="6PREF PIRACICAB CLT"/>
    <n v="6"/>
    <s v="776516 - Tabela 6"/>
    <n v="1.8500000000000003E-2"/>
    <n v="96"/>
    <s v=""/>
    <n v="2.5"/>
    <n v="7"/>
    <n v="52"/>
    <s v="776516 - RFN - PREF PIRACICABA 6  CLT"/>
    <s v="1,45"/>
    <n v="1"/>
    <n v="2"/>
    <n v="500"/>
    <n v="202605"/>
    <s v="LG"/>
    <s v="1"/>
    <n v="1.4499999999999999E-2"/>
    <n v="2.5000000000000001E-2"/>
    <b v="0"/>
    <s v="2026051"/>
    <n v="0"/>
  </r>
  <r>
    <x v="180"/>
    <s v="1PREF PIRACICAB EST"/>
    <n v="1"/>
    <s v="776502 - Tabela 1"/>
    <n v="2.5000000000000001E-2"/>
    <n v="96"/>
    <s v=""/>
    <n v="2.5"/>
    <n v="7"/>
    <n v="52"/>
    <s v="776502 - RFN - PREF PIRACICABA 1  EST"/>
    <s v="1,45"/>
    <n v="1"/>
    <n v="2"/>
    <n v="500"/>
    <n v="202605"/>
    <s v="LG"/>
    <s v="1"/>
    <n v="1.4499999999999999E-2"/>
    <n v="2.5000000000000001E-2"/>
    <b v="1"/>
    <s v="2026051"/>
    <n v="0"/>
  </r>
  <r>
    <x v="180"/>
    <s v="2PREF PIRACICAB EST"/>
    <n v="2"/>
    <s v="775290 - Tabela 2"/>
    <n v="2.0499999999999997E-2"/>
    <n v="96"/>
    <s v=""/>
    <n v="2.5"/>
    <n v="7"/>
    <n v="51"/>
    <s v="775290 - RFN - PREF PIRACICABA 2  EST"/>
    <s v="1,45"/>
    <n v="1"/>
    <n v="2"/>
    <n v="500"/>
    <n v="202605"/>
    <s v="LG"/>
    <s v="1"/>
    <n v="1.4499999999999999E-2"/>
    <n v="2.5000000000000001E-2"/>
    <b v="0"/>
    <s v="2026051"/>
    <n v="0"/>
  </r>
  <r>
    <x v="180"/>
    <s v="3PREF PIRACICAB EST"/>
    <n v="3"/>
    <s v="776511 - Tabela 3"/>
    <n v="1.9900000000000001E-2"/>
    <n v="96"/>
    <s v=""/>
    <n v="2.5"/>
    <n v="7"/>
    <n v="52"/>
    <s v="776511 - RFN - PREF PIRACICABA 3  EST"/>
    <s v="1,45"/>
    <n v="1"/>
    <n v="2"/>
    <n v="500"/>
    <n v="202605"/>
    <s v="LG"/>
    <s v="1"/>
    <n v="1.4499999999999999E-2"/>
    <n v="2.5000000000000001E-2"/>
    <b v="0"/>
    <s v="2026051"/>
    <n v="0"/>
  </r>
  <r>
    <x v="180"/>
    <s v="4PREF PIRACICAB EST"/>
    <n v="4"/>
    <s v="776513 - Tabela 4"/>
    <n v="1.95E-2"/>
    <n v="96"/>
    <s v=""/>
    <n v="2.5"/>
    <n v="7"/>
    <n v="52"/>
    <s v="776513 - RFN - PREF PIRACICABA 4  EST"/>
    <s v="1,45"/>
    <n v="1"/>
    <n v="2"/>
    <n v="500"/>
    <n v="202605"/>
    <s v="LG"/>
    <s v="1"/>
    <n v="1.4499999999999999E-2"/>
    <n v="2.5000000000000001E-2"/>
    <b v="0"/>
    <s v="2026051"/>
    <n v="0"/>
  </r>
  <r>
    <x v="180"/>
    <s v="5PREF PIRACICAB EST"/>
    <n v="5"/>
    <s v="776515 - Tabela 5"/>
    <n v="1.89E-2"/>
    <n v="96"/>
    <s v=""/>
    <n v="2.5"/>
    <n v="7"/>
    <n v="52"/>
    <s v="776515 - RFN - PREF PIRACICABA 5  EST"/>
    <s v="1,45"/>
    <n v="1"/>
    <n v="2"/>
    <n v="500"/>
    <n v="202605"/>
    <s v="LG"/>
    <s v="1"/>
    <n v="1.4499999999999999E-2"/>
    <n v="2.5000000000000001E-2"/>
    <b v="0"/>
    <s v="2026051"/>
    <n v="0"/>
  </r>
  <r>
    <x v="180"/>
    <s v="6PREF PIRACICAB EST"/>
    <n v="6"/>
    <s v="776517 - Tabela 6"/>
    <n v="1.8500000000000003E-2"/>
    <n v="96"/>
    <s v=""/>
    <n v="2.5"/>
    <n v="7"/>
    <n v="52"/>
    <s v="776517 - RFN - PREF PIRACICABA 6  EST"/>
    <s v="1,45"/>
    <n v="1"/>
    <n v="2"/>
    <n v="500"/>
    <n v="202605"/>
    <s v="LG"/>
    <s v="1"/>
    <n v="1.4499999999999999E-2"/>
    <n v="2.5000000000000001E-2"/>
    <b v="0"/>
    <s v="2026051"/>
    <n v="0"/>
  </r>
  <r>
    <x v="181"/>
    <s v="1PREF PLANALTINA"/>
    <n v="1"/>
    <s v="725361 - Tabela 1"/>
    <n v="1.9E-2"/>
    <n v="96"/>
    <s v=""/>
    <n v="1.9"/>
    <n v="17"/>
    <m/>
    <s v="725361 - RFN - PREF PLANALTINA 1 "/>
    <s v="1,4"/>
    <n v="10"/>
    <n v="2"/>
    <n v="500"/>
    <n v="202605"/>
    <s v="LG"/>
    <s v="1"/>
    <n v="1.3999999999999999E-2"/>
    <n v="1.9E-2"/>
    <b v="1"/>
    <s v="20260510"/>
    <n v="5"/>
  </r>
  <r>
    <x v="181"/>
    <s v="2PREF PLANALTINA"/>
    <n v="2"/>
    <s v="725362 - Tabela 2"/>
    <n v="1.8000000000000002E-2"/>
    <n v="96"/>
    <s v=""/>
    <n v="1.9"/>
    <n v="17"/>
    <m/>
    <s v="725362 - RFN - PREF PLANALTINA 2 "/>
    <s v="1,4"/>
    <n v="10"/>
    <n v="2"/>
    <n v="500"/>
    <n v="202605"/>
    <s v="LG"/>
    <s v="1"/>
    <n v="1.3999999999999999E-2"/>
    <n v="1.9E-2"/>
    <b v="0"/>
    <s v="20260510"/>
    <n v="5"/>
  </r>
  <r>
    <x v="181"/>
    <s v="3PREF PLANALTINA"/>
    <n v="3"/>
    <s v="725363 - Tabela 3"/>
    <n v="1.7000000000000001E-2"/>
    <n v="96"/>
    <s v=""/>
    <n v="1.9"/>
    <n v="17"/>
    <m/>
    <s v="725363 - RFN - PREF PLANALTINA 3 "/>
    <s v="1,4"/>
    <n v="10"/>
    <n v="2"/>
    <n v="500"/>
    <n v="202605"/>
    <s v="LG"/>
    <s v="1"/>
    <n v="1.3999999999999999E-2"/>
    <n v="1.9E-2"/>
    <b v="0"/>
    <s v="20260510"/>
    <n v="5"/>
  </r>
  <r>
    <x v="182"/>
    <s v="1PREF POR VELHO"/>
    <n v="1"/>
    <s v="755091 - Tabela 1"/>
    <n v="2.5000000000000001E-2"/>
    <n v="96"/>
    <s v=""/>
    <n v="2.5"/>
    <n v="10"/>
    <m/>
    <s v="755091 - RFN - PREF PORTO VELHO  1 "/>
    <s v="1,46"/>
    <n v="5"/>
    <n v="2"/>
    <n v="500"/>
    <n v="202605"/>
    <s v="LG"/>
    <s v="1"/>
    <n v="1.46E-2"/>
    <n v="2.5000000000000001E-2"/>
    <b v="1"/>
    <s v="2026055"/>
    <n v="2"/>
  </r>
  <r>
    <x v="182"/>
    <s v="2PREF POR VELHO"/>
    <n v="2"/>
    <s v="755092 - Tabela 2"/>
    <n v="2.2499999999999999E-2"/>
    <n v="96"/>
    <s v=""/>
    <n v="2.5"/>
    <n v="10"/>
    <m/>
    <s v="755092 - RFN - PREF PORTO VELHO  2 "/>
    <s v="1,46"/>
    <n v="5"/>
    <n v="2"/>
    <n v="500"/>
    <n v="202605"/>
    <s v="LG"/>
    <s v="1"/>
    <n v="1.46E-2"/>
    <n v="2.5000000000000001E-2"/>
    <b v="0"/>
    <s v="2026055"/>
    <n v="2"/>
  </r>
  <r>
    <x v="182"/>
    <s v="3PREF POR VELHO"/>
    <n v="3"/>
    <s v="755093 - Tabela 3"/>
    <n v="0.02"/>
    <n v="96"/>
    <s v=""/>
    <n v="2.5"/>
    <n v="10"/>
    <n v="60"/>
    <s v="755093 - RFN - PREF PORTO VELHO  3 "/>
    <s v="1,46"/>
    <n v="5"/>
    <n v="2"/>
    <n v="500"/>
    <n v="202605"/>
    <s v="LG"/>
    <s v="1"/>
    <n v="1.46E-2"/>
    <n v="2.5000000000000001E-2"/>
    <b v="0"/>
    <s v="2026055"/>
    <n v="2"/>
  </r>
  <r>
    <x v="182"/>
    <s v="4PREF POR VELHO"/>
    <n v="4"/>
    <s v="755094 - Tabela 4"/>
    <n v="1.9E-2"/>
    <n v="96"/>
    <s v=""/>
    <n v="2.5"/>
    <n v="10"/>
    <m/>
    <s v="755094 - RFN - PREF PORTO VELHO  4 "/>
    <s v="1,46"/>
    <n v="5"/>
    <n v="2"/>
    <n v="500"/>
    <n v="202605"/>
    <s v="LG"/>
    <s v="1"/>
    <n v="1.46E-2"/>
    <n v="2.5000000000000001E-2"/>
    <b v="0"/>
    <s v="2026055"/>
    <n v="2"/>
  </r>
  <r>
    <x v="182"/>
    <s v="5PREF POR VELHO"/>
    <n v="5"/>
    <s v="755095 - Tabela 5"/>
    <n v="1.8000000000000002E-2"/>
    <n v="96"/>
    <s v=""/>
    <n v="2.5"/>
    <n v="10"/>
    <n v="57"/>
    <s v="755095 - RFN - PREF PORTO VELHO  5 "/>
    <s v="1,46"/>
    <n v="5"/>
    <n v="2"/>
    <n v="500"/>
    <n v="202605"/>
    <s v="LG"/>
    <s v="1"/>
    <n v="1.46E-2"/>
    <n v="2.5000000000000001E-2"/>
    <b v="0"/>
    <s v="2026055"/>
    <n v="2"/>
  </r>
  <r>
    <x v="182"/>
    <s v="6PREF POR VELHO"/>
    <n v="6"/>
    <s v="755096 - Tabela 6"/>
    <n v="1.7500000000000002E-2"/>
    <n v="96"/>
    <s v=""/>
    <n v="2.5"/>
    <n v="10"/>
    <m/>
    <s v="755096 - RFN - PREF PORTO VELHO  6 "/>
    <s v="1,46"/>
    <n v="5"/>
    <n v="2"/>
    <n v="500"/>
    <n v="202605"/>
    <s v="LG"/>
    <s v="1"/>
    <n v="1.46E-2"/>
    <n v="2.5000000000000001E-2"/>
    <b v="0"/>
    <s v="2026055"/>
    <n v="2"/>
  </r>
  <r>
    <x v="182"/>
    <s v="7PREF POR VELHO"/>
    <n v="7"/>
    <s v="755097 - Tabela 7"/>
    <n v="1.7000000000000001E-2"/>
    <n v="96"/>
    <s v=""/>
    <n v="2.5"/>
    <n v="10"/>
    <m/>
    <s v="755097 - RFN - PREF PORTO VELHO  7 "/>
    <s v="1,46"/>
    <n v="5"/>
    <n v="2"/>
    <n v="500"/>
    <n v="202605"/>
    <s v="LG"/>
    <s v="1"/>
    <n v="1.46E-2"/>
    <n v="2.5000000000000001E-2"/>
    <b v="0"/>
    <s v="2026055"/>
    <n v="2"/>
  </r>
  <r>
    <x v="183"/>
    <s v="1PREF PORTO FELI"/>
    <n v="1"/>
    <s v="734021 - Tabela 1"/>
    <n v="2.5000000000000001E-2"/>
    <n v="120"/>
    <s v=""/>
    <n v="2.5"/>
    <n v="25"/>
    <n v="45"/>
    <s v="734021 - RFN - PREF PORTO FELIZ  1 "/>
    <s v="1,6"/>
    <n v="19"/>
    <n v="2"/>
    <n v="500"/>
    <n v="202605"/>
    <s v="LG"/>
    <s v="1"/>
    <n v="1.6E-2"/>
    <n v="2.5000000000000001E-2"/>
    <b v="1"/>
    <s v="20260519"/>
    <n v="12"/>
  </r>
  <r>
    <x v="183"/>
    <s v="2PREF PORTO FELI"/>
    <n v="2"/>
    <s v="734032 - Tabela 2"/>
    <n v="2.2000000000000002E-2"/>
    <n v="120"/>
    <s v=""/>
    <n v="2.5"/>
    <n v="25"/>
    <n v="55"/>
    <s v="734032 - RFN - PREF PORTO FELIZ  2 "/>
    <s v="1,6"/>
    <n v="19"/>
    <n v="2"/>
    <n v="500"/>
    <n v="202605"/>
    <s v="LG"/>
    <s v="1"/>
    <n v="1.6E-2"/>
    <n v="2.5000000000000001E-2"/>
    <b v="0"/>
    <s v="20260519"/>
    <n v="12"/>
  </r>
  <r>
    <x v="183"/>
    <s v="3PREF PORTO FELI"/>
    <n v="3"/>
    <s v="734033 - Tabela 3"/>
    <n v="2.1499999999999998E-2"/>
    <n v="120"/>
    <s v=""/>
    <n v="2.5"/>
    <n v="25"/>
    <m/>
    <s v="734033 - RFN - PREF PORTO FELIZ  3 "/>
    <s v="1,6"/>
    <n v="19"/>
    <n v="2"/>
    <n v="500"/>
    <n v="202605"/>
    <s v="LG"/>
    <s v="1"/>
    <n v="1.6E-2"/>
    <n v="2.5000000000000001E-2"/>
    <b v="0"/>
    <s v="20260519"/>
    <n v="12"/>
  </r>
  <r>
    <x v="183"/>
    <s v="4PREF PORTO FELI"/>
    <n v="4"/>
    <s v="734034 - Tabela 4"/>
    <n v="2.1000000000000001E-2"/>
    <n v="120"/>
    <s v=""/>
    <n v="2.5"/>
    <n v="25"/>
    <m/>
    <s v="734034 - RFN - PREF PORTO FELIZ  4 "/>
    <s v="1,6"/>
    <n v="19"/>
    <n v="2"/>
    <n v="500"/>
    <n v="202605"/>
    <s v="LG"/>
    <s v="1"/>
    <n v="1.6E-2"/>
    <n v="2.5000000000000001E-2"/>
    <b v="0"/>
    <s v="20260519"/>
    <n v="12"/>
  </r>
  <r>
    <x v="184"/>
    <s v="1PREF POUSO ALEG"/>
    <n v="1"/>
    <s v="903038 - Tabela 1"/>
    <n v="2.1700000000000001E-2"/>
    <n v="96"/>
    <s v=""/>
    <n v="2.25"/>
    <n v="15"/>
    <m/>
    <s v="903038 - RFN - PREF POUSO ALEGRE  1 "/>
    <s v="1,5"/>
    <n v="10"/>
    <n v="2"/>
    <n v="500"/>
    <n v="202605"/>
    <s v="LG"/>
    <s v="1"/>
    <n v="1.4999999999999999E-2"/>
    <n v="2.2499999999999999E-2"/>
    <b v="0"/>
    <s v="20260510"/>
    <n v="5"/>
  </r>
  <r>
    <x v="184"/>
    <s v="2PREF POUSO ALEG"/>
    <n v="2"/>
    <s v="903049 - Tabela 2"/>
    <n v="2.07E-2"/>
    <n v="96"/>
    <s v=""/>
    <n v="2.25"/>
    <n v="15"/>
    <n v="52"/>
    <s v="903049 - RFN - PREF POUSO ALEGRE  2 "/>
    <s v="1,5"/>
    <n v="10"/>
    <n v="2"/>
    <n v="500"/>
    <n v="202605"/>
    <s v="LG"/>
    <s v="1"/>
    <n v="1.4999999999999999E-2"/>
    <n v="2.2499999999999999E-2"/>
    <b v="0"/>
    <s v="20260510"/>
    <n v="5"/>
  </r>
  <r>
    <x v="185"/>
    <s v="1PREF PRAIA GRAN"/>
    <n v="1"/>
    <s v="755071 - Tabela 1"/>
    <n v="2.5000000000000001E-2"/>
    <n v="96"/>
    <s v=""/>
    <n v="2.5"/>
    <n v="15"/>
    <n v="50"/>
    <s v="755071 - RFN - PREF PRAIA GRANDE  1 "/>
    <s v="1,35"/>
    <n v="11"/>
    <n v="2"/>
    <n v="500"/>
    <n v="202605"/>
    <s v="LG"/>
    <s v="1"/>
    <n v="1.3500000000000002E-2"/>
    <n v="2.5000000000000001E-2"/>
    <b v="1"/>
    <s v="20260511"/>
    <n v="6"/>
  </r>
  <r>
    <x v="185"/>
    <s v="2PREF PRAIA GRAN"/>
    <n v="2"/>
    <s v="755072 - Tabela 2"/>
    <n v="2.3900000000000001E-2"/>
    <n v="96"/>
    <s v=""/>
    <n v="2.5"/>
    <n v="15"/>
    <n v="48"/>
    <s v="755072 - RFN - PREF PRAIA GRANDE  2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3PREF PRAIA GRAN"/>
    <n v="3"/>
    <s v="755073 - Tabela 3"/>
    <n v="2.29E-2"/>
    <n v="96"/>
    <s v=""/>
    <n v="2.5"/>
    <n v="15"/>
    <n v="51"/>
    <s v="755073 - RFN - PREF PRAIA GRANDE  3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4PREF PRAIA GRAN"/>
    <n v="4"/>
    <s v="755074 - Tabela 4"/>
    <n v="2.1899999999999999E-2"/>
    <n v="96"/>
    <s v=""/>
    <n v="2.5"/>
    <n v="15"/>
    <n v="52"/>
    <s v="755074 - RFN - PREF PRAIA GRANDE  4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5PREF PRAIA GRAN"/>
    <n v="5"/>
    <s v="755075 - Tabela 5"/>
    <n v="2.0899999999999998E-2"/>
    <n v="96"/>
    <s v=""/>
    <n v="2.5"/>
    <n v="15"/>
    <n v="57"/>
    <s v="755075 - RFN - PREF PRAIA GRANDE  5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6PREF PRAIA GRAN"/>
    <n v="6"/>
    <s v="755076 - Tabela 6"/>
    <n v="1.9900000000000001E-2"/>
    <n v="96"/>
    <s v=""/>
    <n v="2.5"/>
    <n v="15"/>
    <n v="57"/>
    <s v="755076 - RFN - PREF PRAIA GRANDE  6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7PREF PRAIA GRAN"/>
    <n v="7"/>
    <s v="755077 - Tabela 7"/>
    <n v="1.9900000000000001E-2"/>
    <n v="96"/>
    <s v=""/>
    <n v="2.5"/>
    <n v="15"/>
    <n v="48"/>
    <s v="755077 - RFN - PREF PRAIA GRANDE  7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8PREF PRAIA GRAN"/>
    <n v="8"/>
    <s v="755080 - Tabela 8"/>
    <n v="1.7899999999999999E-2"/>
    <n v="96"/>
    <s v=""/>
    <n v="2.5"/>
    <n v="15"/>
    <n v="51"/>
    <s v="755080 - RFN - PREF PRAIA GRANDE  8 "/>
    <s v="1,35"/>
    <n v="11"/>
    <n v="2"/>
    <n v="500"/>
    <n v="202605"/>
    <s v="LG"/>
    <s v="1"/>
    <n v="1.3500000000000002E-2"/>
    <n v="2.5000000000000001E-2"/>
    <b v="0"/>
    <s v="20260511"/>
    <n v="6"/>
  </r>
  <r>
    <x v="185"/>
    <s v="9PREF PRAIA GRAN"/>
    <n v="9"/>
    <s v="755081 - Tabela 159"/>
    <n v="1.6899999999999998E-2"/>
    <n v="96"/>
    <s v=""/>
    <n v="2.5"/>
    <n v="15"/>
    <n v="54"/>
    <s v="755081 - RFN - PREF PRAIA GRANDE 15K  9 "/>
    <s v="1,35"/>
    <n v="11"/>
    <n v="2"/>
    <n v="15000"/>
    <n v="202605"/>
    <s v="LG"/>
    <s v="1"/>
    <n v="1.3500000000000002E-2"/>
    <n v="2.5000000000000001E-2"/>
    <b v="0"/>
    <s v="20260511"/>
    <n v="6"/>
  </r>
  <r>
    <x v="185"/>
    <s v="10PREF PRAIA GRAN"/>
    <n v="10"/>
    <s v="755082 - Tabela 2010"/>
    <n v="1.6299999999999999E-2"/>
    <n v="96"/>
    <s v=""/>
    <n v="2.5"/>
    <n v="15"/>
    <n v="44"/>
    <s v="755082 - RFN-PREF PRAIA GRANDE 20K  10 "/>
    <s v="1,35"/>
    <n v="11"/>
    <n v="2"/>
    <n v="20000"/>
    <n v="202605"/>
    <s v="LG"/>
    <s v="1"/>
    <n v="1.3500000000000002E-2"/>
    <n v="2.5000000000000001E-2"/>
    <b v="0"/>
    <s v="20260511"/>
    <n v="6"/>
  </r>
  <r>
    <x v="186"/>
    <s v="1PREF PTA GROSSA"/>
    <n v="1"/>
    <s v="995855 - Tabela 1"/>
    <n v="2.1000000000000001E-2"/>
    <n v="120"/>
    <s v=""/>
    <n v="2.5"/>
    <n v="15"/>
    <n v="56"/>
    <s v="995855 - RFN - PREF PONTA GROSSA 1 "/>
    <s v="1,49"/>
    <n v="5"/>
    <n v="2"/>
    <n v="500"/>
    <n v="202605"/>
    <s v="LG"/>
    <s v="1"/>
    <n v="1.49E-2"/>
    <n v="2.5000000000000001E-2"/>
    <b v="0"/>
    <s v="2026055"/>
    <n v="2"/>
  </r>
  <r>
    <x v="187"/>
    <s v="1PREF QUIXADA"/>
    <n v="1"/>
    <s v="794021 - Tabela 1"/>
    <n v="2.5000000000000001E-2"/>
    <n v="120"/>
    <s v=""/>
    <n v="2.5"/>
    <n v="20"/>
    <n v="43"/>
    <s v="794021 - RFN - PREF QUIXADA  1 "/>
    <s v="1,7"/>
    <n v="15"/>
    <n v="2"/>
    <n v="500"/>
    <n v="202605"/>
    <s v="LG"/>
    <s v="1"/>
    <n v="1.7000000000000001E-2"/>
    <n v="2.5000000000000001E-2"/>
    <b v="1"/>
    <s v="20260515"/>
    <n v="10"/>
  </r>
  <r>
    <x v="187"/>
    <s v="2PREF QUIXADA"/>
    <n v="2"/>
    <s v="794022 - Tabela 2"/>
    <n v="2.4E-2"/>
    <n v="120"/>
    <s v=""/>
    <n v="2.5"/>
    <n v="20"/>
    <n v="47"/>
    <s v="794022 - RFN - PREF QUIXADA  2 "/>
    <s v="1,7"/>
    <n v="15"/>
    <n v="2"/>
    <n v="500"/>
    <n v="202605"/>
    <s v="LG"/>
    <s v="1"/>
    <n v="1.7000000000000001E-2"/>
    <n v="2.5000000000000001E-2"/>
    <b v="0"/>
    <s v="20260515"/>
    <n v="10"/>
  </r>
  <r>
    <x v="187"/>
    <s v="3PREF QUIXADA"/>
    <n v="3"/>
    <s v="794000 - Tabela 4"/>
    <n v="2.2000000000000002E-2"/>
    <n v="120"/>
    <s v=""/>
    <n v="2.5"/>
    <n v="20"/>
    <n v="45"/>
    <s v="794000 - RFN - PREF QUIXADA  4 "/>
    <s v="1,7"/>
    <n v="15"/>
    <n v="2"/>
    <n v="500"/>
    <n v="202605"/>
    <s v="LG"/>
    <s v="1"/>
    <n v="1.7000000000000001E-2"/>
    <n v="2.5000000000000001E-2"/>
    <b v="0"/>
    <s v="20260515"/>
    <n v="10"/>
  </r>
  <r>
    <x v="188"/>
    <s v="1PREF R GRANDE"/>
    <n v="1"/>
    <s v="795701 - Tabela 1"/>
    <n v="2.5000000000000001E-2"/>
    <n v="120"/>
    <s v=""/>
    <n v="2.5"/>
    <n v="20"/>
    <m/>
    <s v="795701 - RFN - PREF RIO GRANDE  1  "/>
    <s v="1,48"/>
    <n v="5"/>
    <n v="2"/>
    <n v="500"/>
    <n v="202605"/>
    <s v="LG"/>
    <s v="1"/>
    <n v="1.4800000000000001E-2"/>
    <n v="2.5000000000000001E-2"/>
    <b v="1"/>
    <s v="2026055"/>
    <n v="2"/>
  </r>
  <r>
    <x v="188"/>
    <s v="2PREF R GRANDE"/>
    <n v="2"/>
    <s v="795703 - Tabela 2"/>
    <n v="2.1000000000000001E-2"/>
    <n v="120"/>
    <s v=""/>
    <n v="2.5"/>
    <n v="20"/>
    <n v="67"/>
    <s v="795703 - RFN - PREF RIO GRANDE  2  "/>
    <s v="1,48"/>
    <n v="5"/>
    <n v="2"/>
    <n v="500"/>
    <n v="202605"/>
    <s v="LG"/>
    <s v="1"/>
    <n v="1.4800000000000001E-2"/>
    <n v="2.5000000000000001E-2"/>
    <b v="0"/>
    <s v="2026055"/>
    <n v="2"/>
  </r>
  <r>
    <x v="188"/>
    <s v="3PREF R GRANDE"/>
    <n v="3"/>
    <s v="795705 - Tabela 3"/>
    <n v="2.0499999999999997E-2"/>
    <n v="120"/>
    <s v=""/>
    <n v="2.5"/>
    <n v="20"/>
    <m/>
    <s v="795705 - RFN - PREF RIO GRANDE  3  "/>
    <s v="1,48"/>
    <n v="5"/>
    <n v="2"/>
    <n v="500"/>
    <n v="202605"/>
    <s v="LG"/>
    <s v="1"/>
    <n v="1.4800000000000001E-2"/>
    <n v="2.5000000000000001E-2"/>
    <b v="0"/>
    <s v="2026055"/>
    <n v="2"/>
  </r>
  <r>
    <x v="188"/>
    <s v="4PREF R GRANDE"/>
    <n v="4"/>
    <s v="795707 - Tabela 4"/>
    <n v="1.95E-2"/>
    <n v="120"/>
    <s v=""/>
    <n v="2.5"/>
    <n v="20"/>
    <n v="61"/>
    <s v="795707 - RFN - PREF RIO GRANDE  4  "/>
    <s v="1,48"/>
    <n v="5"/>
    <n v="2"/>
    <n v="500"/>
    <n v="202605"/>
    <s v="LG"/>
    <s v="1"/>
    <n v="1.4800000000000001E-2"/>
    <n v="2.5000000000000001E-2"/>
    <b v="0"/>
    <s v="2026055"/>
    <n v="2"/>
  </r>
  <r>
    <x v="189"/>
    <s v="1PREF R GRANDE CLT"/>
    <n v="1"/>
    <s v="795702 - Tabela 1"/>
    <n v="2.5000000000000001E-2"/>
    <n v="120"/>
    <s v=""/>
    <n v="2.5"/>
    <n v="20"/>
    <m/>
    <s v="795702 - RFN - PREF RIO GRANDE  1  CLT "/>
    <s v="1,48"/>
    <n v="5"/>
    <n v="2"/>
    <n v="500"/>
    <n v="202605"/>
    <s v="LG"/>
    <s v="1"/>
    <n v="1.4800000000000001E-2"/>
    <n v="2.5000000000000001E-2"/>
    <b v="1"/>
    <s v="2026055"/>
    <n v="2"/>
  </r>
  <r>
    <x v="189"/>
    <s v="2PREF R GRANDE CLT"/>
    <n v="2"/>
    <s v="795704 - Tabela 2"/>
    <n v="2.1000000000000001E-2"/>
    <n v="120"/>
    <s v=""/>
    <n v="2.5"/>
    <n v="20"/>
    <m/>
    <s v="795704 - RFN - PREF RIO GRANDE  2  CLT "/>
    <s v="1,48"/>
    <n v="5"/>
    <n v="2"/>
    <n v="500"/>
    <n v="202605"/>
    <s v="LG"/>
    <s v="1"/>
    <n v="1.4800000000000001E-2"/>
    <n v="2.5000000000000001E-2"/>
    <b v="0"/>
    <s v="2026055"/>
    <n v="2"/>
  </r>
  <r>
    <x v="189"/>
    <s v="3PREF R GRANDE CLT"/>
    <n v="3"/>
    <s v="795706 - Tabela 3"/>
    <n v="2.0499999999999997E-2"/>
    <n v="120"/>
    <s v=""/>
    <n v="2.5"/>
    <n v="20"/>
    <m/>
    <s v="795706 - RFN - PREF RIO GRANDE  3  CLT "/>
    <s v="1,48"/>
    <n v="5"/>
    <n v="2"/>
    <n v="500"/>
    <n v="202605"/>
    <s v="LG"/>
    <s v="1"/>
    <n v="1.4800000000000001E-2"/>
    <n v="2.5000000000000001E-2"/>
    <b v="0"/>
    <s v="2026055"/>
    <n v="2"/>
  </r>
  <r>
    <x v="189"/>
    <s v="4PREF R GRANDE CLT"/>
    <n v="4"/>
    <s v="795708 - Tabela 4"/>
    <n v="1.95E-2"/>
    <n v="120"/>
    <s v=""/>
    <n v="2.5"/>
    <n v="20"/>
    <m/>
    <s v="795708 - RFN - PREF RIO GRANDE  4  CLT "/>
    <s v="1,48"/>
    <n v="5"/>
    <n v="2"/>
    <n v="500"/>
    <n v="202605"/>
    <s v="LG"/>
    <s v="1"/>
    <n v="1.4800000000000001E-2"/>
    <n v="2.5000000000000001E-2"/>
    <b v="0"/>
    <s v="2026055"/>
    <n v="2"/>
  </r>
  <r>
    <x v="190"/>
    <s v="1PREF RECIFE"/>
    <n v="1"/>
    <s v="735841 - Tabela 1"/>
    <n v="2.5000000000000001E-2"/>
    <n v="120"/>
    <s v=""/>
    <n v="2.5"/>
    <n v="10"/>
    <n v="42"/>
    <s v="735841 - RFN - PREF RECIFE  1 "/>
    <s v="1,65"/>
    <n v="10"/>
    <n v="2"/>
    <n v="500"/>
    <n v="202605"/>
    <s v="LG"/>
    <s v="1"/>
    <n v="1.6500000000000001E-2"/>
    <n v="2.5000000000000001E-2"/>
    <b v="1"/>
    <s v="20260510"/>
    <n v="5"/>
  </r>
  <r>
    <x v="190"/>
    <s v="2PREF RECIFE"/>
    <n v="2"/>
    <s v="735843 - Tabela 2"/>
    <n v="2.3E-2"/>
    <n v="120"/>
    <s v=""/>
    <n v="2.5"/>
    <n v="10"/>
    <n v="42"/>
    <s v="735843 - RFN - PREF RECIFE  2 "/>
    <s v="1,65"/>
    <n v="10"/>
    <n v="2"/>
    <n v="500"/>
    <n v="202605"/>
    <s v="LG"/>
    <s v="1"/>
    <n v="1.6500000000000001E-2"/>
    <n v="2.5000000000000001E-2"/>
    <b v="0"/>
    <s v="20260510"/>
    <n v="5"/>
  </r>
  <r>
    <x v="190"/>
    <s v="3PREF RECIFE"/>
    <n v="3"/>
    <s v="735845 - Tabela 3"/>
    <n v="2.1499999999999998E-2"/>
    <n v="120"/>
    <s v=""/>
    <n v="2.5"/>
    <n v="10"/>
    <n v="42"/>
    <s v="735845 - RFN - PREF RECIFE  3 "/>
    <s v="1,65"/>
    <n v="10"/>
    <n v="2"/>
    <n v="500"/>
    <n v="202605"/>
    <s v="LG"/>
    <s v="1"/>
    <n v="1.6500000000000001E-2"/>
    <n v="2.5000000000000001E-2"/>
    <b v="0"/>
    <s v="20260510"/>
    <n v="5"/>
  </r>
  <r>
    <x v="191"/>
    <s v="1PREF RECIFE CLT"/>
    <n v="1"/>
    <s v="735842 - Tabela 1"/>
    <n v="2.5000000000000001E-2"/>
    <n v="120"/>
    <s v=""/>
    <n v="2.5"/>
    <n v="10"/>
    <n v="42"/>
    <s v="735842 - RFN - PREF RECIFE 1  CLT"/>
    <s v="1,65"/>
    <n v="10"/>
    <n v="2"/>
    <n v="500"/>
    <n v="202605"/>
    <s v="LG"/>
    <s v="1"/>
    <n v="1.6500000000000001E-2"/>
    <n v="2.5000000000000001E-2"/>
    <b v="1"/>
    <s v="20260510"/>
    <n v="5"/>
  </r>
  <r>
    <x v="191"/>
    <s v="2PREF RECIFE CLT"/>
    <n v="2"/>
    <s v="735844 - Tabela 2"/>
    <n v="2.3E-2"/>
    <n v="120"/>
    <s v=""/>
    <n v="2.5"/>
    <n v="10"/>
    <n v="42"/>
    <s v="735844 - RFN - PREF RECIFE 2  CLT"/>
    <s v="1,65"/>
    <n v="10"/>
    <n v="2"/>
    <n v="500"/>
    <n v="202605"/>
    <s v="LG"/>
    <s v="1"/>
    <n v="1.6500000000000001E-2"/>
    <n v="2.5000000000000001E-2"/>
    <b v="0"/>
    <s v="20260510"/>
    <n v="5"/>
  </r>
  <r>
    <x v="191"/>
    <s v="3PREF RECIFE CLT"/>
    <n v="3"/>
    <s v="735846 - Tabela 3"/>
    <n v="2.1499999999999998E-2"/>
    <n v="120"/>
    <s v=""/>
    <n v="2.5"/>
    <n v="10"/>
    <n v="42"/>
    <s v="735846 - RFN - PREF RECIFE 3  CLT"/>
    <s v="1,65"/>
    <n v="10"/>
    <n v="2"/>
    <n v="500"/>
    <n v="202605"/>
    <s v="LG"/>
    <s v="1"/>
    <n v="1.6500000000000001E-2"/>
    <n v="2.5000000000000001E-2"/>
    <b v="0"/>
    <s v="20260510"/>
    <n v="5"/>
  </r>
  <r>
    <x v="192"/>
    <s v="1PREF REGISTRO"/>
    <n v="1"/>
    <s v="774085 - Tabela 1"/>
    <n v="2.5000000000000001E-2"/>
    <n v="120"/>
    <s v=""/>
    <n v="2.5"/>
    <n v="10"/>
    <m/>
    <s v="774085 - RFN - PREF REGISTRO  1 "/>
    <s v="1,6"/>
    <n v="12"/>
    <n v="2"/>
    <n v="500"/>
    <n v="202605"/>
    <s v="LG"/>
    <s v="0"/>
    <n v="1.6E-2"/>
    <n v="2.5000000000000001E-2"/>
    <b v="1"/>
    <s v="20260512"/>
    <n v="7"/>
  </r>
  <r>
    <x v="192"/>
    <s v="2PREF REGISTRO"/>
    <n v="2"/>
    <s v="774086 - Tabela 2"/>
    <n v="2.3900000000000001E-2"/>
    <n v="120"/>
    <s v=""/>
    <n v="2.5"/>
    <n v="10"/>
    <m/>
    <s v="774086 - RFN - PREF REGISTRO  2 "/>
    <s v="1,6"/>
    <n v="12"/>
    <n v="2"/>
    <n v="500"/>
    <n v="202605"/>
    <s v="LG"/>
    <s v="0"/>
    <n v="1.6E-2"/>
    <n v="2.5000000000000001E-2"/>
    <b v="0"/>
    <s v="20260512"/>
    <n v="7"/>
  </r>
  <r>
    <x v="192"/>
    <s v="3PREF REGISTRO"/>
    <n v="3"/>
    <s v="774087 - Tabela 3"/>
    <n v="2.29E-2"/>
    <n v="120"/>
    <s v=""/>
    <n v="2.5"/>
    <n v="10"/>
    <n v="50"/>
    <s v="774087 - RFN - PREF REGISTRO  3 "/>
    <s v="1,6"/>
    <n v="12"/>
    <n v="2"/>
    <n v="500"/>
    <n v="202605"/>
    <s v="LG"/>
    <s v="0"/>
    <n v="1.6E-2"/>
    <n v="2.5000000000000001E-2"/>
    <b v="0"/>
    <s v="20260512"/>
    <n v="7"/>
  </r>
  <r>
    <x v="192"/>
    <s v="4PREF REGISTRO"/>
    <n v="4"/>
    <s v="774089 - Tabela 5"/>
    <n v="2.0899999999999998E-2"/>
    <n v="120"/>
    <s v=""/>
    <n v="2.5"/>
    <n v="10"/>
    <n v="50"/>
    <s v="774089 - RFN - PREF REGISTRO  5 "/>
    <s v="1,6"/>
    <n v="12"/>
    <n v="2"/>
    <n v="500"/>
    <n v="202605"/>
    <s v="LG"/>
    <s v="0"/>
    <n v="1.6E-2"/>
    <n v="2.5000000000000001E-2"/>
    <b v="0"/>
    <s v="20260512"/>
    <n v="7"/>
  </r>
  <r>
    <x v="192"/>
    <s v="5PREF REGISTRO"/>
    <n v="5"/>
    <s v="774090 - Tabela 6"/>
    <n v="1.9900000000000001E-2"/>
    <n v="120"/>
    <s v=""/>
    <n v="2.5"/>
    <n v="10"/>
    <n v="38"/>
    <s v="774090 - RFN - PREF REGISTRO  6 "/>
    <s v="1,6"/>
    <n v="12"/>
    <n v="2"/>
    <n v="500"/>
    <n v="202605"/>
    <s v="LG"/>
    <s v="0"/>
    <n v="1.6E-2"/>
    <n v="2.5000000000000001E-2"/>
    <b v="0"/>
    <s v="20260512"/>
    <n v="7"/>
  </r>
  <r>
    <x v="193"/>
    <s v="1PREF RIB NEVES"/>
    <n v="1"/>
    <s v="705591 - Tabela 1"/>
    <n v="2.07E-2"/>
    <n v="120"/>
    <s v=""/>
    <n v="2.25"/>
    <n v="20"/>
    <n v="46"/>
    <s v="705591 - RFN - PREF RIBEIRAO NEVES 1 "/>
    <s v="1,5"/>
    <n v="17"/>
    <n v="2"/>
    <n v="500"/>
    <n v="202605"/>
    <s v="LG"/>
    <s v="1"/>
    <n v="1.4999999999999999E-2"/>
    <n v="2.2499999999999999E-2"/>
    <b v="0"/>
    <s v="20260517"/>
    <n v="10"/>
  </r>
  <r>
    <x v="193"/>
    <s v="2PREF RIB NEVES"/>
    <n v="2"/>
    <s v="705592 - Tabela 2"/>
    <n v="1.9699999999999999E-2"/>
    <n v="120"/>
    <s v=""/>
    <n v="2.25"/>
    <n v="20"/>
    <n v="48"/>
    <s v="705592 - RFN - PREF RIBEIRAO NEVES 2 "/>
    <s v="1,5"/>
    <n v="17"/>
    <n v="2"/>
    <n v="500"/>
    <n v="202605"/>
    <s v="LG"/>
    <s v="1"/>
    <n v="1.4999999999999999E-2"/>
    <n v="2.2499999999999999E-2"/>
    <b v="0"/>
    <s v="20260517"/>
    <n v="10"/>
  </r>
  <r>
    <x v="193"/>
    <s v="3PREF RIB NEVES"/>
    <n v="3"/>
    <s v="705593 - Tabela 3"/>
    <n v="1.9E-2"/>
    <n v="120"/>
    <s v=""/>
    <n v="2.25"/>
    <n v="20"/>
    <n v="46"/>
    <s v="705593 - RFN - PREF RIBEIRAO NEVES 3 "/>
    <s v="1,5"/>
    <n v="17"/>
    <n v="2"/>
    <n v="500"/>
    <n v="202605"/>
    <s v="LG"/>
    <s v="1"/>
    <n v="1.4999999999999999E-2"/>
    <n v="2.2499999999999999E-2"/>
    <b v="0"/>
    <s v="20260517"/>
    <n v="10"/>
  </r>
  <r>
    <x v="194"/>
    <s v="1PREF RIB PIRES"/>
    <n v="1"/>
    <s v="785801 - Tabela 1"/>
    <n v="2.5000000000000001E-2"/>
    <n v="120"/>
    <s v=""/>
    <n v="2.5"/>
    <n v="10"/>
    <n v="57"/>
    <s v="785801 - RFN - PREF RIBEIRAO PIRES 1 "/>
    <s v="1,5"/>
    <n v="15"/>
    <n v="2"/>
    <n v="500"/>
    <n v="202605"/>
    <s v="LG"/>
    <s v="0"/>
    <n v="1.4999999999999999E-2"/>
    <n v="2.5000000000000001E-2"/>
    <b v="1"/>
    <s v="20260515"/>
    <n v="10"/>
  </r>
  <r>
    <x v="194"/>
    <s v="2PREF RIB PIRES"/>
    <n v="2"/>
    <s v="785802 - Tabela 2"/>
    <n v="2.3900000000000001E-2"/>
    <n v="120"/>
    <s v=""/>
    <n v="2.5"/>
    <n v="10"/>
    <n v="57"/>
    <s v="785802 - RFN - PREF RIBEIRAO PIRES 2 "/>
    <s v="1,5"/>
    <n v="15"/>
    <n v="2"/>
    <n v="500"/>
    <n v="202605"/>
    <s v="LG"/>
    <s v="0"/>
    <n v="1.4999999999999999E-2"/>
    <n v="2.5000000000000001E-2"/>
    <b v="0"/>
    <s v="20260515"/>
    <n v="10"/>
  </r>
  <r>
    <x v="194"/>
    <s v="3PREF RIB PIRES"/>
    <n v="3"/>
    <s v="785803 - Tabela 3"/>
    <n v="2.29E-2"/>
    <n v="120"/>
    <s v=""/>
    <n v="2.5"/>
    <n v="10"/>
    <n v="57"/>
    <s v="785803 - RFN - PREF RIBEIRAO PIRES 3 "/>
    <s v="1,5"/>
    <n v="15"/>
    <n v="2"/>
    <n v="500"/>
    <n v="202605"/>
    <s v="LG"/>
    <s v="0"/>
    <n v="1.4999999999999999E-2"/>
    <n v="2.5000000000000001E-2"/>
    <b v="0"/>
    <s v="20260515"/>
    <n v="10"/>
  </r>
  <r>
    <x v="194"/>
    <s v="4PREF RIB PIRES"/>
    <n v="4"/>
    <s v="785804 - Tabela 4"/>
    <n v="2.1899999999999999E-2"/>
    <n v="120"/>
    <s v=""/>
    <n v="2.5"/>
    <n v="10"/>
    <n v="57"/>
    <s v="785804 - RFN - PREF RIBEIRAO PIRES 4 "/>
    <s v="1,5"/>
    <n v="15"/>
    <n v="2"/>
    <n v="500"/>
    <n v="202605"/>
    <s v="LG"/>
    <s v="0"/>
    <n v="1.4999999999999999E-2"/>
    <n v="2.5000000000000001E-2"/>
    <b v="0"/>
    <s v="20260515"/>
    <n v="10"/>
  </r>
  <r>
    <x v="194"/>
    <s v="5PREF RIB PIRES"/>
    <n v="5"/>
    <s v="785805 - Tabela 5"/>
    <n v="2.0899999999999998E-2"/>
    <n v="120"/>
    <s v=""/>
    <n v="2.5"/>
    <n v="10"/>
    <n v="57"/>
    <s v="785805 - RFN - PREF RIBEIRAO PIRES 5 "/>
    <s v="1,5"/>
    <n v="15"/>
    <n v="2"/>
    <n v="500"/>
    <n v="202605"/>
    <s v="LG"/>
    <s v="0"/>
    <n v="1.4999999999999999E-2"/>
    <n v="2.5000000000000001E-2"/>
    <b v="0"/>
    <s v="20260515"/>
    <n v="10"/>
  </r>
  <r>
    <x v="194"/>
    <s v="6PREF RIB PIRES"/>
    <n v="6"/>
    <s v="785806 - Tabela 6"/>
    <n v="2.0400000000000001E-2"/>
    <n v="120"/>
    <s v=""/>
    <n v="2.5"/>
    <n v="10"/>
    <n v="57"/>
    <s v="785806 - RFN - PREF RIBEIRAO PIRES 6 "/>
    <s v="1,5"/>
    <n v="15"/>
    <n v="2"/>
    <n v="500"/>
    <n v="202605"/>
    <s v="LG"/>
    <s v="0"/>
    <n v="1.4999999999999999E-2"/>
    <n v="2.5000000000000001E-2"/>
    <b v="0"/>
    <s v="20260515"/>
    <n v="10"/>
  </r>
  <r>
    <x v="195"/>
    <s v="1PREF RIB PRETO"/>
    <n v="1"/>
    <s v="795101 - Tabela 1"/>
    <n v="2.6000000000000002E-2"/>
    <n v="120"/>
    <s v=""/>
    <n v="2.6"/>
    <n v="25"/>
    <n v="46"/>
    <s v="795101 - RFN - PREF RIBEIRAO PRETO  1 "/>
    <s v="1,8"/>
    <n v="14"/>
    <n v="2"/>
    <n v="500"/>
    <n v="202605"/>
    <s v="LG"/>
    <s v="1"/>
    <n v="1.8000000000000002E-2"/>
    <n v="2.6000000000000002E-2"/>
    <b v="1"/>
    <s v="20260514"/>
    <n v="9"/>
  </r>
  <r>
    <x v="195"/>
    <s v="2PREF RIB PRETO"/>
    <n v="2"/>
    <s v="795102 - Tabela 2"/>
    <n v="2.53E-2"/>
    <n v="120"/>
    <s v=""/>
    <n v="2.6"/>
    <n v="25"/>
    <n v="46"/>
    <s v="795102 - RFN - PREF RIBEIRAO PRETO  2 "/>
    <s v="1,8"/>
    <n v="14"/>
    <n v="2"/>
    <n v="500"/>
    <n v="202605"/>
    <s v="LG"/>
    <s v="1"/>
    <n v="1.8000000000000002E-2"/>
    <n v="2.6000000000000002E-2"/>
    <b v="0"/>
    <s v="20260514"/>
    <n v="9"/>
  </r>
  <r>
    <x v="195"/>
    <s v="3PREF RIB PRETO"/>
    <n v="3"/>
    <s v="795103 - Tabela 3"/>
    <n v="2.4799999999999999E-2"/>
    <n v="120"/>
    <s v=""/>
    <n v="2.6"/>
    <n v="25"/>
    <n v="46"/>
    <s v="795103 - RFN - PREF RIBEIRAO PRETO  3 "/>
    <s v="1,8"/>
    <n v="14"/>
    <n v="2"/>
    <n v="500"/>
    <n v="202605"/>
    <s v="LG"/>
    <s v="1"/>
    <n v="1.8000000000000002E-2"/>
    <n v="2.6000000000000002E-2"/>
    <b v="0"/>
    <s v="20260514"/>
    <n v="9"/>
  </r>
  <r>
    <x v="195"/>
    <s v="4PREF RIB PRETO"/>
    <n v="4"/>
    <s v="795104 - Tabela 4"/>
    <n v="2.4300000000000002E-2"/>
    <n v="120"/>
    <s v=""/>
    <n v="2.6"/>
    <n v="25"/>
    <n v="46"/>
    <s v="795104 - RFN - PREF RIBEIRAO PRETO  4 "/>
    <s v="1,8"/>
    <n v="14"/>
    <n v="2"/>
    <n v="500"/>
    <n v="202605"/>
    <s v="LG"/>
    <s v="1"/>
    <n v="1.8000000000000002E-2"/>
    <n v="2.6000000000000002E-2"/>
    <b v="0"/>
    <s v="20260514"/>
    <n v="9"/>
  </r>
  <r>
    <x v="195"/>
    <s v="5PREF RIB PRETO"/>
    <n v="5"/>
    <s v="795105 - Tabela 5"/>
    <n v="2.29E-2"/>
    <n v="120"/>
    <s v=""/>
    <n v="2.6"/>
    <n v="25"/>
    <n v="57"/>
    <s v="795105 - RFN - PREF RIBEIRAO PRETO  5 "/>
    <s v="1,8"/>
    <n v="14"/>
    <n v="2"/>
    <n v="500"/>
    <n v="202605"/>
    <s v="LG"/>
    <s v="1"/>
    <n v="1.8000000000000002E-2"/>
    <n v="2.6000000000000002E-2"/>
    <b v="0"/>
    <s v="20260514"/>
    <n v="9"/>
  </r>
  <r>
    <x v="195"/>
    <s v="6PREF RIB PRETO"/>
    <n v="6"/>
    <s v="795106 - Tabela 6"/>
    <n v="2.0299999999999999E-2"/>
    <n v="120"/>
    <s v=""/>
    <n v="2.6"/>
    <n v="25"/>
    <n v="57"/>
    <s v="795106 - RFN - PREF RIBEIRAO PRETO  6 "/>
    <s v="1,8"/>
    <n v="14"/>
    <n v="2"/>
    <n v="500"/>
    <n v="202605"/>
    <s v="LG"/>
    <s v="1"/>
    <n v="1.8000000000000002E-2"/>
    <n v="2.6000000000000002E-2"/>
    <b v="0"/>
    <s v="20260514"/>
    <n v="9"/>
  </r>
  <r>
    <x v="196"/>
    <s v="1PREF RIO BRANCO"/>
    <n v="1"/>
    <s v="865011 - Tabela 1"/>
    <n v="2.5000000000000001E-2"/>
    <n v="120"/>
    <s v=""/>
    <n v="2.5"/>
    <n v="6"/>
    <m/>
    <s v="865011 - RFN - PREF RIO BRANCO 1 "/>
    <s v="1,75"/>
    <n v="9"/>
    <n v="2"/>
    <n v="500"/>
    <n v="202605"/>
    <s v="LG"/>
    <s v="0"/>
    <n v="1.7500000000000002E-2"/>
    <n v="2.5000000000000001E-2"/>
    <b v="1"/>
    <s v="2026059"/>
    <n v="5"/>
  </r>
  <r>
    <x v="196"/>
    <s v="2PREF RIO BRANCO"/>
    <n v="2"/>
    <s v="865012 - Tabela 2"/>
    <n v="2.4E-2"/>
    <n v="120"/>
    <s v=""/>
    <n v="2.5"/>
    <n v="6"/>
    <n v="37"/>
    <s v="865012 - RFN - PREF RIO BRANCO 2 "/>
    <s v="1,75"/>
    <n v="9"/>
    <n v="2"/>
    <n v="500"/>
    <n v="202605"/>
    <s v="LG"/>
    <s v="0"/>
    <n v="1.7500000000000002E-2"/>
    <n v="2.5000000000000001E-2"/>
    <b v="0"/>
    <s v="2026059"/>
    <n v="5"/>
  </r>
  <r>
    <x v="196"/>
    <s v="3PREF RIO BRANCO"/>
    <n v="3"/>
    <s v="865013 - Tabela 3"/>
    <n v="2.3E-2"/>
    <n v="120"/>
    <s v=""/>
    <n v="2.5"/>
    <n v="6"/>
    <n v="48"/>
    <s v="865013 - RFN - PREF RIO BRANCO 3 "/>
    <s v="1,75"/>
    <n v="9"/>
    <n v="2"/>
    <n v="500"/>
    <n v="202605"/>
    <s v="LG"/>
    <s v="0"/>
    <n v="1.7500000000000002E-2"/>
    <n v="2.5000000000000001E-2"/>
    <b v="0"/>
    <s v="2026059"/>
    <n v="5"/>
  </r>
  <r>
    <x v="196"/>
    <s v="4PREF RIO BRANCO"/>
    <n v="4"/>
    <s v="865014 - Tabela 4"/>
    <n v="2.2000000000000002E-2"/>
    <n v="120"/>
    <s v=""/>
    <n v="2.5"/>
    <n v="6"/>
    <n v="35"/>
    <s v="865014 - RFN - PREF RIO BRANCO 4 "/>
    <s v="1,75"/>
    <n v="9"/>
    <n v="2"/>
    <n v="500"/>
    <n v="202605"/>
    <s v="LG"/>
    <s v="0"/>
    <n v="1.7500000000000002E-2"/>
    <n v="2.5000000000000001E-2"/>
    <b v="0"/>
    <s v="2026059"/>
    <n v="5"/>
  </r>
  <r>
    <x v="196"/>
    <s v="5PREF RIO BRANCO"/>
    <n v="5"/>
    <s v="865015 - Tabela 5"/>
    <n v="2.1000000000000001E-2"/>
    <n v="120"/>
    <s v=""/>
    <n v="2.5"/>
    <n v="6"/>
    <n v="52"/>
    <s v="865015 - RFN - PREF RIO BRANCO 5 "/>
    <s v="1,75"/>
    <n v="9"/>
    <n v="2"/>
    <n v="500"/>
    <n v="202605"/>
    <s v="LG"/>
    <s v="0"/>
    <n v="1.7500000000000002E-2"/>
    <n v="2.5000000000000001E-2"/>
    <b v="0"/>
    <s v="2026059"/>
    <n v="5"/>
  </r>
  <r>
    <x v="197"/>
    <s v="1PREF S A PATRU"/>
    <n v="1"/>
    <s v="745181 - Tabela 1"/>
    <n v="2.5000000000000001E-2"/>
    <n v="120"/>
    <s v=""/>
    <n v="2.5"/>
    <n v="25"/>
    <m/>
    <s v="745181 - RFN - PREF S ANT PATRULHA  1  "/>
    <s v="1,45"/>
    <n v="15"/>
    <n v="2"/>
    <n v="500"/>
    <n v="202605"/>
    <s v="LG"/>
    <s v="1"/>
    <n v="1.4499999999999999E-2"/>
    <n v="2.5000000000000001E-2"/>
    <b v="1"/>
    <s v="20260515"/>
    <n v="10"/>
  </r>
  <r>
    <x v="197"/>
    <s v="2PREF S A PATRU"/>
    <n v="2"/>
    <s v="745183 - Tabela 2"/>
    <n v="2.1000000000000001E-2"/>
    <n v="120"/>
    <s v=""/>
    <n v="2.5"/>
    <n v="25"/>
    <m/>
    <s v="745183 - RFN - PREF S ANT PATRULHA  2  "/>
    <s v="1,45"/>
    <n v="15"/>
    <n v="2"/>
    <n v="500"/>
    <n v="202605"/>
    <s v="LG"/>
    <s v="1"/>
    <n v="1.4499999999999999E-2"/>
    <n v="2.5000000000000001E-2"/>
    <b v="0"/>
    <s v="20260515"/>
    <n v="10"/>
  </r>
  <r>
    <x v="197"/>
    <s v="3PREF S A PATRU"/>
    <n v="3"/>
    <s v="745185 - Tabela 3"/>
    <n v="0.02"/>
    <n v="120"/>
    <s v=""/>
    <n v="2.5"/>
    <n v="25"/>
    <m/>
    <s v="745185 - RFN - PREF S ANT PATRULHA  3  "/>
    <s v="1,45"/>
    <n v="15"/>
    <n v="2"/>
    <n v="500"/>
    <n v="202605"/>
    <s v="LG"/>
    <s v="1"/>
    <n v="1.4499999999999999E-2"/>
    <n v="2.5000000000000001E-2"/>
    <b v="0"/>
    <s v="20260515"/>
    <n v="10"/>
  </r>
  <r>
    <x v="197"/>
    <s v="4PREF S A PATRU"/>
    <n v="4"/>
    <s v="745187 - Tabela 4"/>
    <n v="1.9099999999999999E-2"/>
    <n v="120"/>
    <s v=""/>
    <n v="2.5"/>
    <n v="25"/>
    <n v="67"/>
    <s v="745187 - RFN - PREF S ANT PATRULHA  4  "/>
    <s v="1,45"/>
    <n v="15"/>
    <n v="2"/>
    <n v="500"/>
    <n v="202605"/>
    <s v="LG"/>
    <s v="1"/>
    <n v="1.4499999999999999E-2"/>
    <n v="2.5000000000000001E-2"/>
    <b v="0"/>
    <s v="20260515"/>
    <n v="10"/>
  </r>
  <r>
    <x v="197"/>
    <s v="5PREF S A PATRU"/>
    <n v="5"/>
    <s v="745189 - Tabela 5"/>
    <n v="1.8600000000000002E-2"/>
    <n v="120"/>
    <s v=""/>
    <n v="2.5"/>
    <n v="25"/>
    <n v="50"/>
    <s v="745189 - RFN - PREF S ANT PATRULHA  5  "/>
    <s v="1,45"/>
    <n v="15"/>
    <n v="2"/>
    <n v="500"/>
    <n v="202605"/>
    <s v="LG"/>
    <s v="1"/>
    <n v="1.4499999999999999E-2"/>
    <n v="2.5000000000000001E-2"/>
    <b v="0"/>
    <s v="20260515"/>
    <n v="10"/>
  </r>
  <r>
    <x v="198"/>
    <s v="1PREF S A PATRU CLT"/>
    <n v="1"/>
    <s v="745182 - Tabela 1"/>
    <n v="2.5000000000000001E-2"/>
    <n v="120"/>
    <s v=""/>
    <n v="2.5"/>
    <n v="25"/>
    <m/>
    <s v="745182 - RFN-PREF S ANT PATRULHA  1  CLT"/>
    <s v="1,45"/>
    <n v="15"/>
    <n v="2"/>
    <n v="500"/>
    <n v="202605"/>
    <s v="LG"/>
    <s v="1"/>
    <n v="1.4499999999999999E-2"/>
    <n v="2.5000000000000001E-2"/>
    <b v="1"/>
    <s v="20260515"/>
    <n v="10"/>
  </r>
  <r>
    <x v="198"/>
    <s v="2PREF S A PATRU CLT"/>
    <n v="2"/>
    <s v="745184 - Tabela 2"/>
    <n v="2.1000000000000001E-2"/>
    <n v="120"/>
    <s v=""/>
    <n v="2.5"/>
    <n v="25"/>
    <m/>
    <s v="745184 - RFN-PREF S ANT PATRULHA  2  CLT"/>
    <s v="1,45"/>
    <n v="15"/>
    <n v="2"/>
    <n v="500"/>
    <n v="202605"/>
    <s v="LG"/>
    <s v="1"/>
    <n v="1.4499999999999999E-2"/>
    <n v="2.5000000000000001E-2"/>
    <b v="0"/>
    <s v="20260515"/>
    <n v="10"/>
  </r>
  <r>
    <x v="198"/>
    <s v="3PREF S A PATRU CLT"/>
    <n v="3"/>
    <s v="745186 - Tabela 3"/>
    <n v="0.02"/>
    <n v="120"/>
    <s v=""/>
    <n v="2.5"/>
    <n v="25"/>
    <n v="50"/>
    <s v="745186 - RFN-PREF S ANT PATRULHA  3  CLT"/>
    <s v="1,45"/>
    <n v="15"/>
    <n v="2"/>
    <n v="500"/>
    <n v="202605"/>
    <s v="LG"/>
    <s v="1"/>
    <n v="1.4499999999999999E-2"/>
    <n v="2.5000000000000001E-2"/>
    <b v="0"/>
    <s v="20260515"/>
    <n v="10"/>
  </r>
  <r>
    <x v="198"/>
    <s v="4PREF S A PATRU CLT"/>
    <n v="4"/>
    <s v="745190 - Tabela 5"/>
    <n v="1.8600000000000002E-2"/>
    <n v="120"/>
    <s v=""/>
    <n v="2.5"/>
    <n v="25"/>
    <n v="48"/>
    <s v="745190 - RFN-PREF S ANT PATRULHA 5  CLT "/>
    <s v="1,45"/>
    <n v="15"/>
    <n v="2"/>
    <n v="500"/>
    <n v="202605"/>
    <s v="LG"/>
    <s v="1"/>
    <n v="1.4499999999999999E-2"/>
    <n v="2.5000000000000001E-2"/>
    <b v="0"/>
    <s v="20260515"/>
    <n v="10"/>
  </r>
  <r>
    <x v="199"/>
    <s v="1PREF S SEBASTIA"/>
    <n v="1"/>
    <s v="725871 - Tabela 1"/>
    <n v="2.5000000000000001E-2"/>
    <n v="120"/>
    <s v=""/>
    <n v="2.5"/>
    <n v="10"/>
    <m/>
    <s v="725871 - RFN - PREF SAO SEBASTIAO 1 "/>
    <s v="1,59"/>
    <n v="10"/>
    <n v="2"/>
    <n v="500"/>
    <n v="202605"/>
    <s v="LG"/>
    <s v="1"/>
    <n v="1.5900000000000001E-2"/>
    <n v="2.5000000000000001E-2"/>
    <b v="1"/>
    <s v="20260510"/>
    <n v="5"/>
  </r>
  <r>
    <x v="199"/>
    <s v="2PREF S SEBASTIA"/>
    <n v="2"/>
    <s v="725872 - Tabela 2"/>
    <n v="2.3900000000000001E-2"/>
    <n v="120"/>
    <s v=""/>
    <n v="2.5"/>
    <n v="10"/>
    <m/>
    <s v="725872 - RFN - PREF SAO SEBASTIAO 2 "/>
    <s v="1,59"/>
    <n v="10"/>
    <n v="2"/>
    <n v="500"/>
    <n v="202605"/>
    <s v="LG"/>
    <s v="1"/>
    <n v="1.5900000000000001E-2"/>
    <n v="2.5000000000000001E-2"/>
    <b v="0"/>
    <s v="20260510"/>
    <n v="5"/>
  </r>
  <r>
    <x v="199"/>
    <s v="3PREF S SEBASTIA"/>
    <n v="3"/>
    <s v="725873 - Tabela 3"/>
    <n v="2.29E-2"/>
    <n v="120"/>
    <s v=""/>
    <n v="2.5"/>
    <n v="10"/>
    <m/>
    <s v="725873 - RFN - PREF SAO SEBASTIAO 3 "/>
    <s v="1,59"/>
    <n v="10"/>
    <n v="2"/>
    <n v="500"/>
    <n v="202605"/>
    <s v="LG"/>
    <s v="1"/>
    <n v="1.5900000000000001E-2"/>
    <n v="2.5000000000000001E-2"/>
    <b v="0"/>
    <s v="20260510"/>
    <n v="5"/>
  </r>
  <r>
    <x v="199"/>
    <s v="4PREF S SEBASTIA"/>
    <n v="4"/>
    <s v="725874 - Tabela 4"/>
    <n v="2.1899999999999999E-2"/>
    <n v="120"/>
    <s v=""/>
    <n v="2.5"/>
    <n v="10"/>
    <n v="43"/>
    <s v="725874 - RFN - PREF SAO SEBASTIAO 4 "/>
    <s v="1,59"/>
    <n v="10"/>
    <n v="2"/>
    <n v="500"/>
    <n v="202605"/>
    <s v="LG"/>
    <s v="1"/>
    <n v="1.5900000000000001E-2"/>
    <n v="2.5000000000000001E-2"/>
    <b v="0"/>
    <s v="20260510"/>
    <n v="5"/>
  </r>
  <r>
    <x v="199"/>
    <s v="5PREF S SEBASTIA"/>
    <n v="5"/>
    <s v="725875 - Tabela 5"/>
    <n v="2.12E-2"/>
    <n v="120"/>
    <s v=""/>
    <n v="2.5"/>
    <n v="10"/>
    <n v="40"/>
    <s v="725875 - RFN - PREF SAO SEBASTIAO 5 "/>
    <s v="1,59"/>
    <n v="10"/>
    <n v="2"/>
    <n v="500"/>
    <n v="202605"/>
    <s v="LG"/>
    <s v="1"/>
    <n v="1.5900000000000001E-2"/>
    <n v="2.5000000000000001E-2"/>
    <b v="0"/>
    <s v="20260510"/>
    <n v="5"/>
  </r>
  <r>
    <x v="200"/>
    <s v="1PREF SALTO"/>
    <n v="1"/>
    <s v="575471 - Tabela 1"/>
    <n v="2.5000000000000001E-2"/>
    <n v="120"/>
    <s v=""/>
    <n v="2.5"/>
    <n v="8"/>
    <n v="33"/>
    <s v="575471 - RFN - PREF SALTO  1 "/>
    <s v="1,45"/>
    <n v="15"/>
    <n v="2"/>
    <n v="500"/>
    <n v="202605"/>
    <s v="LG"/>
    <s v="0"/>
    <n v="1.4499999999999999E-2"/>
    <n v="2.5000000000000001E-2"/>
    <b v="1"/>
    <s v="20260515"/>
    <n v="10"/>
  </r>
  <r>
    <x v="200"/>
    <s v="2PREF SALTO"/>
    <n v="2"/>
    <s v="575472 - Tabela 2"/>
    <n v="1.9900000000000001E-2"/>
    <n v="120"/>
    <s v=""/>
    <n v="2.5"/>
    <n v="8"/>
    <n v="39"/>
    <s v="575472 - RFN - PREF SALTO  2 "/>
    <s v="1,45"/>
    <n v="15"/>
    <n v="2"/>
    <n v="500"/>
    <n v="202605"/>
    <s v="LG"/>
    <s v="0"/>
    <n v="1.4499999999999999E-2"/>
    <n v="2.5000000000000001E-2"/>
    <b v="0"/>
    <s v="20260515"/>
    <n v="10"/>
  </r>
  <r>
    <x v="200"/>
    <s v="3PREF SALTO"/>
    <n v="3"/>
    <s v="575473 - Tabela 3"/>
    <n v="1.95E-2"/>
    <n v="120"/>
    <s v=""/>
    <n v="2.5"/>
    <n v="8"/>
    <n v="40"/>
    <s v="575473 - RFN - PREF SALTO  3 "/>
    <s v="1,45"/>
    <n v="15"/>
    <n v="2"/>
    <n v="500"/>
    <n v="202605"/>
    <s v="LG"/>
    <s v="0"/>
    <n v="1.4499999999999999E-2"/>
    <n v="2.5000000000000001E-2"/>
    <b v="0"/>
    <s v="20260515"/>
    <n v="10"/>
  </r>
  <r>
    <x v="200"/>
    <s v="4PREF SALTO"/>
    <n v="4"/>
    <s v="575474 - Tabela 4"/>
    <n v="1.89E-2"/>
    <n v="120"/>
    <s v=""/>
    <n v="2.5"/>
    <n v="8"/>
    <n v="39"/>
    <s v="575474 - RFN - PREF SALTO  4 "/>
    <s v="1,45"/>
    <n v="15"/>
    <n v="2"/>
    <n v="500"/>
    <n v="202605"/>
    <s v="LG"/>
    <s v="0"/>
    <n v="1.4499999999999999E-2"/>
    <n v="2.5000000000000001E-2"/>
    <b v="0"/>
    <s v="20260515"/>
    <n v="10"/>
  </r>
  <r>
    <x v="200"/>
    <s v="5PREF SALTO"/>
    <n v="5"/>
    <s v="575476 - Tabela 5"/>
    <n v="1.8500000000000003E-2"/>
    <n v="120"/>
    <s v=""/>
    <n v="2.5"/>
    <n v="8"/>
    <n v="40"/>
    <s v="575476 - RFN - PREF SALTO  5 "/>
    <s v="1,45"/>
    <n v="15"/>
    <n v="2"/>
    <n v="500"/>
    <n v="202605"/>
    <s v="LG"/>
    <s v="0"/>
    <n v="1.4499999999999999E-2"/>
    <n v="2.5000000000000001E-2"/>
    <b v="0"/>
    <s v="20260515"/>
    <n v="10"/>
  </r>
  <r>
    <x v="200"/>
    <s v="6PREF SALTO"/>
    <n v="6"/>
    <s v="575477 - Tabela 6"/>
    <n v="1.7899999999999999E-2"/>
    <n v="120"/>
    <s v=""/>
    <n v="2.5"/>
    <n v="8"/>
    <n v="38"/>
    <s v="575477 - RFN - PREF SALTO  6 "/>
    <s v="1,45"/>
    <n v="15"/>
    <n v="2"/>
    <n v="500"/>
    <n v="202605"/>
    <s v="LG"/>
    <s v="0"/>
    <n v="1.4499999999999999E-2"/>
    <n v="2.5000000000000001E-2"/>
    <b v="0"/>
    <s v="20260515"/>
    <n v="10"/>
  </r>
  <r>
    <x v="201"/>
    <s v="1PREF SALVADOR CLT"/>
    <n v="1"/>
    <s v="705351 - Tabela 1"/>
    <n v="2.5000000000000001E-2"/>
    <n v="120"/>
    <s v=""/>
    <n v="2.5"/>
    <n v="10"/>
    <n v="50"/>
    <s v="705351 - RFN - PREF SALVADOR  CLT 1 "/>
    <s v="1,3"/>
    <n v="5"/>
    <n v="2"/>
    <n v="500"/>
    <n v="202605"/>
    <s v="NW"/>
    <s v="1"/>
    <n v="1.3000000000000001E-2"/>
    <n v="2.5000000000000001E-2"/>
    <b v="1"/>
    <s v="2026055"/>
    <n v="2"/>
  </r>
  <r>
    <x v="201"/>
    <s v="2PREF SALVADOR CLT"/>
    <n v="2"/>
    <s v="705354 - Tabela 2"/>
    <n v="2.4E-2"/>
    <n v="120"/>
    <s v=""/>
    <n v="2.5"/>
    <n v="10"/>
    <n v="50"/>
    <s v="705354 - RFN - PREF SALVADOR  CLT 2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3PREF SALVADOR CLT"/>
    <n v="3"/>
    <s v="705357 - Tabela 3"/>
    <n v="2.3E-2"/>
    <n v="120"/>
    <s v=""/>
    <n v="2.5"/>
    <n v="10"/>
    <n v="50"/>
    <s v="705357 - RFN - PREF SALVADOR  CLT 3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4PREF SALVADOR CLT"/>
    <n v="4"/>
    <s v="705360 - Tabela 4"/>
    <n v="2.2000000000000002E-2"/>
    <n v="120"/>
    <s v=""/>
    <n v="2.5"/>
    <n v="10"/>
    <n v="50"/>
    <s v="705360 - RFN - PREF SALVADOR  CLT 4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5PREF SALVADOR CLT"/>
    <n v="5"/>
    <s v="705363 - Tabela 5"/>
    <n v="2.1000000000000001E-2"/>
    <n v="120"/>
    <s v=""/>
    <n v="2.5"/>
    <n v="10"/>
    <n v="50"/>
    <s v="705363 - RFN - PREF SALVADOR  CLT 5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6PREF SALVADOR CLT"/>
    <n v="6"/>
    <s v="705366 - Tabela 6"/>
    <n v="0.02"/>
    <n v="120"/>
    <s v=""/>
    <n v="2.5"/>
    <n v="10"/>
    <n v="50"/>
    <s v="705366 - RFN - PREF SALVADOR  CLT 6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7PREF SALVADOR CLT"/>
    <n v="7"/>
    <s v="705369 - Tabela 7"/>
    <n v="1.9E-2"/>
    <n v="120"/>
    <s v=""/>
    <n v="2.5"/>
    <n v="10"/>
    <n v="50"/>
    <s v="705369 - RFN - PREF SALVADOR  CLT 7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8PREF SALVADOR CLT"/>
    <n v="8"/>
    <s v="705372 - Tabela 8"/>
    <n v="1.8500000000000003E-2"/>
    <n v="120"/>
    <s v=""/>
    <n v="2.5"/>
    <n v="10"/>
    <n v="50"/>
    <s v="705372 - RFN - PREF SALVADOR  CLT 8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9PREF SALVADOR CLT"/>
    <n v="9"/>
    <s v="705375 - Tabela 9"/>
    <n v="1.8000000000000002E-2"/>
    <n v="120"/>
    <s v=""/>
    <n v="2.5"/>
    <n v="10"/>
    <n v="50"/>
    <s v="705375 - RFN - PREF SALVADOR  CLT 9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10PREF SALVADOR CLT"/>
    <n v="10"/>
    <s v="705378 - Tabela 10"/>
    <n v="1.7600000000000001E-2"/>
    <n v="120"/>
    <s v=""/>
    <n v="2.5"/>
    <n v="10"/>
    <n v="50"/>
    <s v="705378 - RFN - PREF SALVADOR  CLT 10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11PREF SALVADOR CLT"/>
    <n v="11"/>
    <s v="705381 - Tabela 11"/>
    <n v="1.7100000000000001E-2"/>
    <n v="120"/>
    <s v=""/>
    <n v="2.5"/>
    <n v="10"/>
    <n v="50"/>
    <s v="705381 - RFN - PREF SALVADOR  CLT 11 "/>
    <s v="1,3"/>
    <n v="5"/>
    <n v="2"/>
    <n v="500"/>
    <n v="202605"/>
    <s v="NW"/>
    <s v="1"/>
    <n v="1.3000000000000001E-2"/>
    <n v="2.5000000000000001E-2"/>
    <b v="0"/>
    <s v="2026055"/>
    <n v="2"/>
  </r>
  <r>
    <x v="201"/>
    <s v="12PREF SALVADOR CLT"/>
    <n v="12"/>
    <s v="705384 - Tabela 4012"/>
    <n v="1.6500000000000001E-2"/>
    <n v="120"/>
    <s v=""/>
    <n v="2.5"/>
    <n v="10"/>
    <n v="50"/>
    <s v="705384 - RFN-PREF SALVADOR  CLT 40K 12 "/>
    <s v="1,3"/>
    <n v="5"/>
    <n v="2"/>
    <n v="40000"/>
    <n v="202605"/>
    <s v="NW"/>
    <s v="1"/>
    <n v="1.3000000000000001E-2"/>
    <n v="2.5000000000000001E-2"/>
    <b v="0"/>
    <s v="2026055"/>
    <n v="2"/>
  </r>
  <r>
    <x v="201"/>
    <s v="13PREF SALVADOR CLT"/>
    <n v="13"/>
    <s v="705387 - Tabela 13"/>
    <n v="1.6399999999999998E-2"/>
    <n v="120"/>
    <s v=""/>
    <n v="2.5"/>
    <n v="10"/>
    <n v="50"/>
    <s v="705387 - RFN-PREF SALVADOR  CLT 50K 13 "/>
    <s v="1,3"/>
    <n v="5"/>
    <n v="2"/>
    <n v="50000"/>
    <n v="202605"/>
    <s v="NW"/>
    <s v="1"/>
    <n v="1.3000000000000001E-2"/>
    <n v="2.5000000000000001E-2"/>
    <b v="0"/>
    <s v="2026055"/>
    <n v="2"/>
  </r>
  <r>
    <x v="202"/>
    <s v="1PREF SALVADOR EST"/>
    <n v="1"/>
    <s v="705350 - Tabela 1"/>
    <n v="2.5000000000000001E-2"/>
    <n v="120"/>
    <s v=""/>
    <n v="2.5"/>
    <n v="10"/>
    <n v="50"/>
    <s v="705350 - RFN - PREF SALVADOR  EST 1 "/>
    <s v="1,3"/>
    <n v="5"/>
    <n v="2"/>
    <n v="500"/>
    <n v="202605"/>
    <s v="NW"/>
    <s v="1"/>
    <n v="1.3000000000000001E-2"/>
    <n v="2.5000000000000001E-2"/>
    <b v="1"/>
    <s v="2026055"/>
    <n v="2"/>
  </r>
  <r>
    <x v="202"/>
    <s v="2PREF SALVADOR EST"/>
    <n v="2"/>
    <s v="705353 - Tabela 2"/>
    <n v="2.4E-2"/>
    <n v="120"/>
    <s v=""/>
    <n v="2.5"/>
    <n v="10"/>
    <n v="50"/>
    <s v="705353 - RFN - PREF SALVADOR  ESTAT 2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3PREF SALVADOR EST"/>
    <n v="3"/>
    <s v="705356 - Tabela 3"/>
    <n v="2.3E-2"/>
    <n v="120"/>
    <s v=""/>
    <n v="2.5"/>
    <n v="10"/>
    <n v="50"/>
    <s v="705356 - RFN - PREF SALVADOR  ESTAT 3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4PREF SALVADOR EST"/>
    <n v="4"/>
    <s v="705359 - Tabela 4"/>
    <n v="2.2000000000000002E-2"/>
    <n v="120"/>
    <s v=""/>
    <n v="2.5"/>
    <n v="10"/>
    <n v="50"/>
    <s v="705359 - RFN - PREF SALVADOR  ESTAT 4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5PREF SALVADOR EST"/>
    <n v="5"/>
    <s v="705362 - Tabela 5"/>
    <n v="2.1000000000000001E-2"/>
    <n v="120"/>
    <s v=""/>
    <n v="2.5"/>
    <n v="10"/>
    <n v="50"/>
    <s v="705362 - RFN - PREF SALVADOR  ESTAT 5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6PREF SALVADOR EST"/>
    <n v="6"/>
    <s v="705365 - Tabela 6"/>
    <n v="0.02"/>
    <n v="120"/>
    <s v=""/>
    <n v="2.5"/>
    <n v="10"/>
    <n v="50"/>
    <s v="705365 - RFN - PREF SALVADOR  ESTAT 6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7PREF SALVADOR EST"/>
    <n v="7"/>
    <s v="705368 - Tabela 7"/>
    <n v="1.9E-2"/>
    <n v="120"/>
    <s v=""/>
    <n v="2.5"/>
    <n v="10"/>
    <n v="50"/>
    <s v="705368 - RFN - PREF SALVADOR  ESTAT 7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8PREF SALVADOR EST"/>
    <n v="8"/>
    <s v="705371 - Tabela 8"/>
    <n v="1.8500000000000003E-2"/>
    <n v="120"/>
    <s v=""/>
    <n v="2.5"/>
    <n v="10"/>
    <n v="50"/>
    <s v="705371 - RFN - PREF SALVADOR  ESTAT 8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9PREF SALVADOR EST"/>
    <n v="9"/>
    <s v="705374 - Tabela 9"/>
    <n v="1.8000000000000002E-2"/>
    <n v="120"/>
    <s v=""/>
    <n v="2.5"/>
    <n v="10"/>
    <n v="50"/>
    <s v="705374 - RFN - PREF SALVADOR  ESTAT 9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10PREF SALVADOR EST"/>
    <n v="10"/>
    <s v="705377 - Tabela 10"/>
    <n v="1.7600000000000001E-2"/>
    <n v="120"/>
    <s v=""/>
    <n v="2.5"/>
    <n v="10"/>
    <n v="50"/>
    <s v="705377 - RFN - PREF SALVADOR  ESTAT 10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11PREF SALVADOR EST"/>
    <n v="11"/>
    <s v="705380 - Tabela 11"/>
    <n v="1.7100000000000001E-2"/>
    <n v="120"/>
    <s v=""/>
    <n v="2.5"/>
    <n v="10"/>
    <n v="50"/>
    <s v="705380 - RFN - PREF SALVADOR  ESTAT 11 "/>
    <s v="1,3"/>
    <n v="5"/>
    <n v="2"/>
    <n v="500"/>
    <n v="202605"/>
    <s v="NW"/>
    <s v="1"/>
    <n v="1.3000000000000001E-2"/>
    <n v="2.5000000000000001E-2"/>
    <b v="0"/>
    <s v="2026055"/>
    <n v="2"/>
  </r>
  <r>
    <x v="202"/>
    <s v="12PREF SALVADOR EST"/>
    <n v="12"/>
    <s v="705383 - Tabela 4012"/>
    <n v="1.6500000000000001E-2"/>
    <n v="120"/>
    <s v=""/>
    <n v="2.5"/>
    <n v="10"/>
    <n v="50"/>
    <s v="705383 - RFN-PREF SALVADOR  EST 40K 12 "/>
    <s v="1,3"/>
    <n v="5"/>
    <n v="2"/>
    <n v="40000"/>
    <n v="202605"/>
    <s v="NW"/>
    <s v="1"/>
    <n v="1.3000000000000001E-2"/>
    <n v="2.5000000000000001E-2"/>
    <b v="0"/>
    <s v="2026055"/>
    <n v="2"/>
  </r>
  <r>
    <x v="202"/>
    <s v="13PREF SALVADOR EST"/>
    <n v="13"/>
    <s v="705386 - Tabela 13"/>
    <n v="1.6399999999999998E-2"/>
    <n v="120"/>
    <s v=""/>
    <n v="2.5"/>
    <n v="10"/>
    <n v="50"/>
    <s v="705386 - RFN-PREF SALVADOR  EST 50K 13 "/>
    <s v="1,3"/>
    <n v="5"/>
    <n v="2"/>
    <n v="50000"/>
    <n v="202605"/>
    <s v="NW"/>
    <s v="1"/>
    <n v="1.3000000000000001E-2"/>
    <n v="2.5000000000000001E-2"/>
    <b v="0"/>
    <s v="2026055"/>
    <n v="2"/>
  </r>
  <r>
    <x v="203"/>
    <s v="1PREF SALVADOR INAT"/>
    <n v="1"/>
    <s v="705352 - Tabela 1"/>
    <n v="2.5000000000000001E-2"/>
    <n v="120"/>
    <s v=""/>
    <n v="2.5"/>
    <n v="10"/>
    <n v="50"/>
    <s v="705352 - RFN - PREF SALVADOR  INAT 1 "/>
    <s v="1,3"/>
    <n v="5"/>
    <n v="2"/>
    <n v="500"/>
    <n v="202605"/>
    <s v="NW"/>
    <s v="1"/>
    <n v="1.3000000000000001E-2"/>
    <n v="2.5000000000000001E-2"/>
    <b v="1"/>
    <s v="2026055"/>
    <n v="2"/>
  </r>
  <r>
    <x v="203"/>
    <s v="2PREF SALVADOR INAT"/>
    <n v="2"/>
    <s v="705355 - Tabela 2"/>
    <n v="2.4E-2"/>
    <n v="120"/>
    <s v=""/>
    <n v="2.5"/>
    <n v="10"/>
    <n v="50"/>
    <s v="705355 - RFN - PREF SALVADOR  INAT 2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3PREF SALVADOR INAT"/>
    <n v="3"/>
    <s v="705358 - Tabela 3"/>
    <n v="2.3E-2"/>
    <n v="120"/>
    <s v=""/>
    <n v="2.5"/>
    <n v="10"/>
    <n v="50"/>
    <s v="705358 - RFN - PREF SALVADOR  INAT 3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4PREF SALVADOR INAT"/>
    <n v="4"/>
    <s v="705361 - Tabela 4"/>
    <n v="2.2000000000000002E-2"/>
    <n v="120"/>
    <s v=""/>
    <n v="2.5"/>
    <n v="10"/>
    <n v="50"/>
    <s v="705361 - RFN - PREF SALVADOR  INAT 4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5PREF SALVADOR INAT"/>
    <n v="5"/>
    <s v="705364 - Tabela 5"/>
    <n v="2.1000000000000001E-2"/>
    <n v="120"/>
    <s v=""/>
    <n v="2.5"/>
    <n v="10"/>
    <n v="50"/>
    <s v="705364 - RFN - PREF SALVADOR  INAT 5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6PREF SALVADOR INAT"/>
    <n v="6"/>
    <s v="705367 - Tabela 6"/>
    <n v="0.02"/>
    <n v="120"/>
    <s v=""/>
    <n v="2.5"/>
    <n v="10"/>
    <n v="50"/>
    <s v="705367 - RFN - PREF SALVADOR  INAT 6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7PREF SALVADOR INAT"/>
    <n v="7"/>
    <s v="705370 - Tabela 7"/>
    <n v="1.9E-2"/>
    <n v="120"/>
    <s v=""/>
    <n v="2.5"/>
    <n v="10"/>
    <n v="50"/>
    <s v="705370 - RFN - PREF SALVADOR  INAT 7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8PREF SALVADOR INAT"/>
    <n v="8"/>
    <s v="705373 - Tabela 8"/>
    <n v="1.8500000000000003E-2"/>
    <n v="120"/>
    <s v=""/>
    <n v="2.5"/>
    <n v="10"/>
    <n v="50"/>
    <s v="705373 - RFN - PREF SALVADOR  INAT 8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9PREF SALVADOR INAT"/>
    <n v="9"/>
    <s v="705376 - Tabela 9"/>
    <n v="1.8000000000000002E-2"/>
    <n v="120"/>
    <s v=""/>
    <n v="2.5"/>
    <n v="10"/>
    <n v="50"/>
    <s v="705376 - RFN - PREF SALVADOR  INAT 9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10PREF SALVADOR INAT"/>
    <n v="10"/>
    <s v="705379 - Tabela 10"/>
    <n v="1.7600000000000001E-2"/>
    <n v="120"/>
    <s v=""/>
    <n v="2.5"/>
    <n v="10"/>
    <n v="50"/>
    <s v="705379 - RFN - PREF SALVADOR  INAT 10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11PREF SALVADOR INAT"/>
    <n v="11"/>
    <s v="705382 - Tabela 11"/>
    <n v="1.7100000000000001E-2"/>
    <n v="120"/>
    <s v=""/>
    <n v="2.5"/>
    <n v="10"/>
    <n v="50"/>
    <s v="705382 - RFN - PREF SALVADOR  INAT 11 "/>
    <s v="1,3"/>
    <n v="5"/>
    <n v="2"/>
    <n v="500"/>
    <n v="202605"/>
    <s v="NW"/>
    <s v="1"/>
    <n v="1.3000000000000001E-2"/>
    <n v="2.5000000000000001E-2"/>
    <b v="0"/>
    <s v="2026055"/>
    <n v="2"/>
  </r>
  <r>
    <x v="203"/>
    <s v="12PREF SALVADOR INAT"/>
    <n v="12"/>
    <s v="705385 - Tabela 4012"/>
    <n v="1.6500000000000001E-2"/>
    <n v="120"/>
    <s v=""/>
    <n v="2.5"/>
    <n v="10"/>
    <n v="50"/>
    <s v="705385 - RFN-PREF SALVADOR  INAT 40K 12 "/>
    <s v="1,3"/>
    <n v="5"/>
    <n v="2"/>
    <n v="40000"/>
    <n v="202605"/>
    <s v="NW"/>
    <s v="1"/>
    <n v="1.3000000000000001E-2"/>
    <n v="2.5000000000000001E-2"/>
    <b v="0"/>
    <s v="2026055"/>
    <n v="2"/>
  </r>
  <r>
    <x v="203"/>
    <s v="13PREF SALVADOR INAT"/>
    <n v="13"/>
    <s v="705388 - Tabela 13"/>
    <n v="1.6399999999999998E-2"/>
    <n v="120"/>
    <s v=""/>
    <n v="2.5"/>
    <n v="10"/>
    <n v="50"/>
    <s v="705388 - RFN-PREF SALVADOR  INAT 50K 13 "/>
    <s v="1,3"/>
    <n v="5"/>
    <n v="2"/>
    <n v="50000"/>
    <n v="202605"/>
    <s v="NW"/>
    <s v="1"/>
    <n v="1.3000000000000001E-2"/>
    <n v="2.5000000000000001E-2"/>
    <b v="0"/>
    <s v="2026055"/>
    <n v="2"/>
  </r>
  <r>
    <x v="204"/>
    <s v="1PREF SANTARÉM"/>
    <n v="1"/>
    <s v="825711 - Tabela 1"/>
    <n v="2.5000000000000001E-2"/>
    <n v="96"/>
    <s v=""/>
    <n v="2.5"/>
    <n v="7"/>
    <m/>
    <s v="825711 - RFN - PREF SANTAREM 1 "/>
    <s v="1,65"/>
    <n v="13"/>
    <n v="2"/>
    <n v="500"/>
    <n v="202605"/>
    <s v="LG"/>
    <s v="0"/>
    <n v="1.6500000000000001E-2"/>
    <n v="2.5000000000000001E-2"/>
    <b v="1"/>
    <s v="20260513"/>
    <n v="8"/>
  </r>
  <r>
    <x v="204"/>
    <s v="2PREF SANTARÉM"/>
    <n v="2"/>
    <s v="825712 - Tabela 2"/>
    <n v="2.4E-2"/>
    <n v="96"/>
    <s v=""/>
    <n v="2.5"/>
    <n v="7"/>
    <m/>
    <s v="825712 - RFN - PREF SANTAREM 2 "/>
    <s v="1,65"/>
    <n v="13"/>
    <n v="2"/>
    <n v="500"/>
    <n v="202605"/>
    <s v="LG"/>
    <s v="0"/>
    <n v="1.6500000000000001E-2"/>
    <n v="2.5000000000000001E-2"/>
    <b v="0"/>
    <s v="20260513"/>
    <n v="8"/>
  </r>
  <r>
    <x v="204"/>
    <s v="3PREF SANTARÉM"/>
    <n v="3"/>
    <s v="825713 - Tabela 3"/>
    <n v="2.3E-2"/>
    <n v="96"/>
    <s v=""/>
    <n v="2.5"/>
    <n v="7"/>
    <m/>
    <s v="825713 - RFN - PREF SANTAREM 3 "/>
    <s v="1,65"/>
    <n v="13"/>
    <n v="2"/>
    <n v="500"/>
    <n v="202605"/>
    <s v="LG"/>
    <s v="0"/>
    <n v="1.6500000000000001E-2"/>
    <n v="2.5000000000000001E-2"/>
    <b v="0"/>
    <s v="20260513"/>
    <n v="8"/>
  </r>
  <r>
    <x v="204"/>
    <s v="4PREF SANTARÉM"/>
    <n v="4"/>
    <s v="825714 - Tabela 4"/>
    <n v="2.2400000000000003E-2"/>
    <n v="96"/>
    <s v=""/>
    <n v="2.5"/>
    <n v="7"/>
    <m/>
    <s v="825714 - RFN - PREF SANTAREM 4 "/>
    <s v="1,65"/>
    <n v="13"/>
    <n v="2"/>
    <n v="500"/>
    <n v="202605"/>
    <s v="LG"/>
    <s v="0"/>
    <n v="1.6500000000000001E-2"/>
    <n v="2.5000000000000001E-2"/>
    <b v="0"/>
    <s v="20260513"/>
    <n v="8"/>
  </r>
  <r>
    <x v="204"/>
    <s v="5PREF SANTARÉM"/>
    <n v="5"/>
    <s v="825715 - Tabela 205"/>
    <n v="2.18E-2"/>
    <n v="96"/>
    <s v=""/>
    <n v="2.5"/>
    <n v="7"/>
    <m/>
    <s v="825715 - RFN - PREF SANTAREM 20K 5 "/>
    <s v="1,65"/>
    <n v="13"/>
    <n v="2"/>
    <n v="20000"/>
    <n v="202605"/>
    <s v="LG"/>
    <s v="0"/>
    <n v="1.6500000000000001E-2"/>
    <n v="2.5000000000000001E-2"/>
    <b v="0"/>
    <s v="20260513"/>
    <n v="8"/>
  </r>
  <r>
    <x v="204"/>
    <s v="6PREF SANTARÉM"/>
    <n v="6"/>
    <s v="825716 - Tabela 306"/>
    <n v="2.1499999999999998E-2"/>
    <n v="96"/>
    <s v=""/>
    <n v="2.5"/>
    <n v="7"/>
    <m/>
    <s v="825716 - RFN - PREF SANTAREM 30K 6 "/>
    <s v="1,65"/>
    <n v="13"/>
    <n v="2"/>
    <n v="30000"/>
    <n v="202605"/>
    <s v="LG"/>
    <s v="0"/>
    <n v="1.6500000000000001E-2"/>
    <n v="2.5000000000000001E-2"/>
    <b v="0"/>
    <s v="20260513"/>
    <n v="8"/>
  </r>
  <r>
    <x v="205"/>
    <s v="1PREF SANTOS"/>
    <n v="1"/>
    <s v="725021 - Tabela 1"/>
    <n v="2.5000000000000001E-2"/>
    <n v="96"/>
    <s v=""/>
    <n v="2.5"/>
    <n v="14"/>
    <m/>
    <s v="725021 - RFN - PREF SANTOS  1 "/>
    <s v="1,39"/>
    <n v="5"/>
    <n v="2"/>
    <n v="500"/>
    <n v="202605"/>
    <s v="LG"/>
    <s v="1"/>
    <n v="1.3899999999999999E-2"/>
    <n v="2.5000000000000001E-2"/>
    <b v="1"/>
    <s v="2026055"/>
    <n v="2"/>
  </r>
  <r>
    <x v="205"/>
    <s v="2PREF SANTOS"/>
    <n v="2"/>
    <s v="725022 - Tabela 2"/>
    <n v="2.3900000000000001E-2"/>
    <n v="96"/>
    <s v=""/>
    <n v="2.5"/>
    <n v="14"/>
    <n v="56"/>
    <s v="725022 - RFN - PREF SANTOS  2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3PREF SANTOS"/>
    <n v="3"/>
    <s v="725023 - Tabela 3"/>
    <n v="2.29E-2"/>
    <n v="96"/>
    <s v=""/>
    <n v="2.5"/>
    <n v="14"/>
    <n v="58"/>
    <s v="725023 - RFN - PREF SANTOS  3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4PREF SANTOS"/>
    <n v="4"/>
    <s v="725024 - Tabela 4"/>
    <n v="2.1899999999999999E-2"/>
    <n v="120"/>
    <s v=""/>
    <n v="2.5"/>
    <n v="14"/>
    <n v="55"/>
    <s v="725024 - RFN - PREF SANTOS  4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5PREF SANTOS"/>
    <n v="5"/>
    <s v="725025 - Tabela 5"/>
    <n v="2.0899999999999998E-2"/>
    <n v="120"/>
    <s v=""/>
    <n v="2.5"/>
    <n v="14"/>
    <n v="52"/>
    <s v="725025 - RFN - PREF SANTOS  5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6PREF SANTOS"/>
    <n v="6"/>
    <s v="725029 - Tabela 6"/>
    <n v="1.9900000000000001E-2"/>
    <n v="120"/>
    <s v=""/>
    <n v="2.5"/>
    <n v="14"/>
    <n v="66"/>
    <s v="725029 - RFN - PREF SANTOS  6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7PREF SANTOS"/>
    <n v="7"/>
    <s v="725030 - Tabela 7"/>
    <n v="1.89E-2"/>
    <n v="120"/>
    <s v=""/>
    <n v="2.5"/>
    <n v="14"/>
    <n v="59"/>
    <s v="725030 - RFN - PREF SANTOS  7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8PREF SANTOS"/>
    <n v="8"/>
    <s v="725036 - Tabela 8"/>
    <n v="1.7899999999999999E-2"/>
    <n v="120"/>
    <s v=""/>
    <n v="2.5"/>
    <n v="14"/>
    <n v="58"/>
    <s v="725036 - RFN - PREF SANTOS  8 "/>
    <s v="1,39"/>
    <n v="5"/>
    <n v="2"/>
    <n v="500"/>
    <n v="202605"/>
    <s v="LG"/>
    <s v="1"/>
    <n v="1.3899999999999999E-2"/>
    <n v="2.5000000000000001E-2"/>
    <b v="0"/>
    <s v="2026055"/>
    <n v="2"/>
  </r>
  <r>
    <x v="205"/>
    <s v="9PREF SANTOS"/>
    <n v="9"/>
    <s v="725037 - Tabela 209"/>
    <n v="1.6899999999999998E-2"/>
    <n v="120"/>
    <s v=""/>
    <n v="2.5"/>
    <n v="14"/>
    <n v="61"/>
    <s v="725037 - RFN - PREF SANTOS 20K  9 "/>
    <s v="1,39"/>
    <n v="5"/>
    <n v="2"/>
    <n v="20000"/>
    <n v="202605"/>
    <s v="LG"/>
    <s v="1"/>
    <n v="1.3899999999999999E-2"/>
    <n v="2.5000000000000001E-2"/>
    <b v="0"/>
    <s v="2026055"/>
    <n v="2"/>
  </r>
  <r>
    <x v="206"/>
    <s v="1PREF SÃO JOSE"/>
    <n v="1"/>
    <s v="775757 - Tabela 1"/>
    <n v="2.5000000000000001E-2"/>
    <n v="120"/>
    <s v=""/>
    <n v="2.5"/>
    <n v="11"/>
    <n v="47"/>
    <s v="775757 - RFN - PREF SAO JOSE SC  1 "/>
    <s v="1,5"/>
    <n v="10"/>
    <n v="2"/>
    <n v="500"/>
    <n v="202605"/>
    <s v="LG"/>
    <s v="1"/>
    <n v="1.4999999999999999E-2"/>
    <n v="2.5000000000000001E-2"/>
    <b v="1"/>
    <s v="20260510"/>
    <n v="5"/>
  </r>
  <r>
    <x v="206"/>
    <s v="2PREF SÃO JOSE"/>
    <n v="2"/>
    <s v="775758 - Tabela 2"/>
    <n v="2.2499999999999999E-2"/>
    <n v="120"/>
    <s v=""/>
    <n v="2.5"/>
    <n v="11"/>
    <n v="47"/>
    <s v="775758 - RFN - PREF SAO JOSE SC  2 "/>
    <s v="1,5"/>
    <n v="10"/>
    <n v="2"/>
    <n v="500"/>
    <n v="202605"/>
    <s v="LG"/>
    <s v="1"/>
    <n v="1.4999999999999999E-2"/>
    <n v="2.5000000000000001E-2"/>
    <b v="0"/>
    <s v="20260510"/>
    <n v="5"/>
  </r>
  <r>
    <x v="206"/>
    <s v="3PREF SÃO JOSE"/>
    <n v="3"/>
    <s v="775759 - Tabela 3"/>
    <n v="0.02"/>
    <n v="120"/>
    <s v=""/>
    <n v="2.5"/>
    <n v="11"/>
    <n v="47"/>
    <s v="775759 - RFN - PREF SAO JOSE SC  3 "/>
    <s v="1,5"/>
    <n v="10"/>
    <n v="2"/>
    <n v="500"/>
    <n v="202605"/>
    <s v="LG"/>
    <s v="1"/>
    <n v="1.4999999999999999E-2"/>
    <n v="2.5000000000000001E-2"/>
    <b v="0"/>
    <s v="20260510"/>
    <n v="5"/>
  </r>
  <r>
    <x v="206"/>
    <s v="4PREF SÃO JOSE"/>
    <n v="4"/>
    <s v="775760 - Tabela 4"/>
    <n v="1.9E-2"/>
    <n v="120"/>
    <s v=""/>
    <n v="2.5"/>
    <n v="11"/>
    <n v="47"/>
    <s v="775760 - RFN - PREF SAO JOSE SC  4 "/>
    <s v="1,5"/>
    <n v="10"/>
    <n v="2"/>
    <n v="500"/>
    <n v="202605"/>
    <s v="LG"/>
    <s v="1"/>
    <n v="1.4999999999999999E-2"/>
    <n v="2.5000000000000001E-2"/>
    <b v="0"/>
    <s v="20260510"/>
    <n v="5"/>
  </r>
  <r>
    <x v="206"/>
    <s v="5PREF SÃO JOSE"/>
    <n v="5"/>
    <s v="775761 - Tabela 5"/>
    <n v="1.8500000000000003E-2"/>
    <n v="120"/>
    <s v=""/>
    <n v="2.5"/>
    <n v="11"/>
    <n v="47"/>
    <s v="775761 - RFN - PREF SAO JOSE SC  5 "/>
    <s v="1,5"/>
    <n v="10"/>
    <n v="2"/>
    <n v="500"/>
    <n v="202605"/>
    <s v="LG"/>
    <s v="1"/>
    <n v="1.4999999999999999E-2"/>
    <n v="2.5000000000000001E-2"/>
    <b v="0"/>
    <s v="20260510"/>
    <n v="5"/>
  </r>
  <r>
    <x v="207"/>
    <s v="1PREF SAO L PORT"/>
    <n v="1"/>
    <s v="700100 - Tabela 1"/>
    <n v="2.5000000000000001E-2"/>
    <n v="120"/>
    <s v=""/>
    <n v="2.5"/>
    <n v="25"/>
    <n v="70"/>
    <s v="700100 - RFN - PREF SAO LUIS 1 "/>
    <s v="1,4"/>
    <n v="30"/>
    <n v="2"/>
    <n v="500"/>
    <n v="202605"/>
    <s v="LG"/>
    <s v="1"/>
    <n v="1.3999999999999999E-2"/>
    <n v="2.5000000000000001E-2"/>
    <b v="1"/>
    <s v="20260530"/>
    <n v="20"/>
  </r>
  <r>
    <x v="207"/>
    <s v="2PREF SAO L PORT"/>
    <n v="2"/>
    <s v="700105 - Tabela 2"/>
    <n v="2.4E-2"/>
    <n v="120"/>
    <s v=""/>
    <n v="2.5"/>
    <n v="25"/>
    <n v="70"/>
    <s v="700105 - RFN - PREF SAO LUIS 2 "/>
    <s v="1,4"/>
    <n v="30"/>
    <n v="2"/>
    <n v="500"/>
    <n v="202605"/>
    <s v="LG"/>
    <s v="1"/>
    <n v="1.3999999999999999E-2"/>
    <n v="2.5000000000000001E-2"/>
    <b v="0"/>
    <s v="20260530"/>
    <n v="20"/>
  </r>
  <r>
    <x v="207"/>
    <s v="3PREF SAO L PORT"/>
    <n v="3"/>
    <s v="700107 - Tabela 3"/>
    <n v="2.3E-2"/>
    <n v="120"/>
    <s v=""/>
    <n v="2.5"/>
    <n v="25"/>
    <n v="70"/>
    <s v="700107 - RFN - PREF SAO LUIS 3 "/>
    <s v="1,4"/>
    <n v="30"/>
    <n v="2"/>
    <n v="500"/>
    <n v="202605"/>
    <s v="LG"/>
    <s v="1"/>
    <n v="1.3999999999999999E-2"/>
    <n v="2.5000000000000001E-2"/>
    <b v="0"/>
    <s v="20260530"/>
    <n v="20"/>
  </r>
  <r>
    <x v="207"/>
    <s v="4PREF SAO L PORT"/>
    <n v="4"/>
    <s v="700111 - Tabela 4"/>
    <n v="2.2000000000000002E-2"/>
    <n v="120"/>
    <s v=""/>
    <n v="2.5"/>
    <n v="25"/>
    <n v="70"/>
    <s v="700111 - RFN - PREF SAO LUIS 4 "/>
    <s v="1,4"/>
    <n v="30"/>
    <n v="2"/>
    <n v="500"/>
    <n v="202605"/>
    <s v="LG"/>
    <s v="1"/>
    <n v="1.3999999999999999E-2"/>
    <n v="2.5000000000000001E-2"/>
    <b v="0"/>
    <s v="20260530"/>
    <n v="20"/>
  </r>
  <r>
    <x v="207"/>
    <s v="5PREF SAO L PORT"/>
    <n v="5"/>
    <s v="700113 - Tabela 5"/>
    <n v="2.1000000000000001E-2"/>
    <n v="120"/>
    <s v=""/>
    <n v="2.5"/>
    <n v="25"/>
    <n v="70"/>
    <s v="700113 - RFN - PREF SAO LUIS 5 "/>
    <s v="1,4"/>
    <n v="30"/>
    <n v="2"/>
    <n v="500"/>
    <n v="202605"/>
    <s v="LG"/>
    <s v="1"/>
    <n v="1.3999999999999999E-2"/>
    <n v="2.5000000000000001E-2"/>
    <b v="0"/>
    <s v="20260530"/>
    <n v="20"/>
  </r>
  <r>
    <x v="207"/>
    <s v="6PREF SAO L PORT"/>
    <n v="6"/>
    <s v="700109 - Tabela 306"/>
    <n v="1.83E-2"/>
    <n v="120"/>
    <s v=""/>
    <n v="2.5"/>
    <n v="25"/>
    <n v="70"/>
    <s v="700109 - RFN - PREF SAO LUIS 30K 6 "/>
    <s v="1,4"/>
    <n v="30"/>
    <n v="2"/>
    <n v="30000"/>
    <n v="202605"/>
    <s v="LG"/>
    <s v="1"/>
    <n v="1.3999999999999999E-2"/>
    <n v="2.5000000000000001E-2"/>
    <b v="0"/>
    <s v="20260530"/>
    <n v="20"/>
  </r>
  <r>
    <x v="207"/>
    <s v="7PREF SAO L PORT"/>
    <n v="7"/>
    <s v="700115 - Tabela 7"/>
    <n v="1.7899999999999999E-2"/>
    <n v="120"/>
    <s v=""/>
    <n v="2.5"/>
    <n v="25"/>
    <n v="70"/>
    <s v="700115 - RFN - PREF SAO LUIS 50K 7 "/>
    <s v="1,4"/>
    <n v="30"/>
    <n v="2"/>
    <n v="50000"/>
    <n v="202605"/>
    <s v="LG"/>
    <s v="1"/>
    <n v="1.3999999999999999E-2"/>
    <n v="2.5000000000000001E-2"/>
    <b v="0"/>
    <s v="20260530"/>
    <n v="20"/>
  </r>
  <r>
    <x v="208"/>
    <s v="1PREF SAO L PORT CLT"/>
    <n v="1"/>
    <s v="700099 - Tabela 1"/>
    <n v="2.5000000000000001E-2"/>
    <n v="120"/>
    <s v=""/>
    <n v="2.5"/>
    <n v="25"/>
    <n v="70"/>
    <s v="700099 - RFN - PREF SAO LUIS 1  CLT "/>
    <s v="1,4"/>
    <n v="30"/>
    <n v="2"/>
    <n v="500"/>
    <n v="202605"/>
    <s v="LG"/>
    <s v="1"/>
    <n v="1.3999999999999999E-2"/>
    <n v="2.5000000000000001E-2"/>
    <b v="1"/>
    <s v="20260530"/>
    <n v="20"/>
  </r>
  <r>
    <x v="208"/>
    <s v="2PREF SAO L PORT CLT"/>
    <n v="2"/>
    <s v="700104 - Tabela 2"/>
    <n v="2.4E-2"/>
    <n v="120"/>
    <s v=""/>
    <n v="2.5"/>
    <n v="25"/>
    <n v="70"/>
    <s v="700104 - RFN - PREF SAO LUIS 2  CLT "/>
    <s v="1,4"/>
    <n v="30"/>
    <n v="2"/>
    <n v="500"/>
    <n v="202605"/>
    <s v="LG"/>
    <s v="1"/>
    <n v="1.3999999999999999E-2"/>
    <n v="2.5000000000000001E-2"/>
    <b v="0"/>
    <s v="20260530"/>
    <n v="20"/>
  </r>
  <r>
    <x v="208"/>
    <s v="3PREF SAO L PORT CLT"/>
    <n v="3"/>
    <s v="700106 - Tabela 3"/>
    <n v="2.3E-2"/>
    <n v="120"/>
    <s v=""/>
    <n v="2.5"/>
    <n v="25"/>
    <n v="70"/>
    <s v="700106 - RFN - PREF SAO LUIS 3  CLT "/>
    <s v="1,4"/>
    <n v="30"/>
    <n v="2"/>
    <n v="500"/>
    <n v="202605"/>
    <s v="LG"/>
    <s v="1"/>
    <n v="1.3999999999999999E-2"/>
    <n v="2.5000000000000001E-2"/>
    <b v="0"/>
    <s v="20260530"/>
    <n v="20"/>
  </r>
  <r>
    <x v="208"/>
    <s v="4PREF SAO L PORT CLT"/>
    <n v="4"/>
    <s v="700110 - Tabela 4"/>
    <n v="2.2000000000000002E-2"/>
    <n v="120"/>
    <s v=""/>
    <n v="2.5"/>
    <n v="25"/>
    <n v="70"/>
    <s v="700110 - RFN - PREF SAO LUIS 4  CLT "/>
    <s v="1,4"/>
    <n v="30"/>
    <n v="2"/>
    <n v="500"/>
    <n v="202605"/>
    <s v="LG"/>
    <s v="1"/>
    <n v="1.3999999999999999E-2"/>
    <n v="2.5000000000000001E-2"/>
    <b v="0"/>
    <s v="20260530"/>
    <n v="20"/>
  </r>
  <r>
    <x v="208"/>
    <s v="5PREF SAO L PORT CLT"/>
    <n v="5"/>
    <s v="700112 - Tabela 5"/>
    <n v="2.1000000000000001E-2"/>
    <n v="120"/>
    <s v=""/>
    <n v="2.5"/>
    <n v="25"/>
    <n v="70"/>
    <s v="700112 - RFN - PREF SAO LUIS 5  CLT "/>
    <s v="1,4"/>
    <n v="30"/>
    <n v="2"/>
    <n v="500"/>
    <n v="202605"/>
    <s v="LG"/>
    <s v="1"/>
    <n v="1.3999999999999999E-2"/>
    <n v="2.5000000000000001E-2"/>
    <b v="0"/>
    <s v="20260530"/>
    <n v="20"/>
  </r>
  <r>
    <x v="208"/>
    <s v="6PREF SAO L PORT CLT"/>
    <n v="6"/>
    <s v="700108 - Tabela 306"/>
    <n v="1.83E-2"/>
    <n v="120"/>
    <s v=""/>
    <n v="2.5"/>
    <n v="25"/>
    <n v="70"/>
    <s v="700108 - RFN - PREF SAO LUIS 30K 6  CLT "/>
    <s v="1,4"/>
    <n v="30"/>
    <n v="2"/>
    <n v="30000"/>
    <n v="202605"/>
    <s v="LG"/>
    <s v="1"/>
    <n v="1.3999999999999999E-2"/>
    <n v="2.5000000000000001E-2"/>
    <b v="0"/>
    <s v="20260530"/>
    <n v="20"/>
  </r>
  <r>
    <x v="208"/>
    <s v="7PREF SAO L PORT CLT"/>
    <n v="7"/>
    <s v="700114 - Tabela 7"/>
    <n v="1.7899999999999999E-2"/>
    <n v="120"/>
    <s v=""/>
    <n v="2.5"/>
    <n v="25"/>
    <n v="70"/>
    <s v="700114 - RFN - PREF SAO LUIS 50K 7  CLT "/>
    <s v="1,4"/>
    <n v="30"/>
    <n v="2"/>
    <n v="50000"/>
    <n v="202605"/>
    <s v="LG"/>
    <s v="1"/>
    <n v="1.3999999999999999E-2"/>
    <n v="2.5000000000000001E-2"/>
    <b v="0"/>
    <s v="20260530"/>
    <n v="20"/>
  </r>
  <r>
    <x v="209"/>
    <s v="1PREF SAO LUIS M"/>
    <n v="1"/>
    <s v="785366 - Tabela 306"/>
    <n v="1.83E-2"/>
    <n v="120"/>
    <s v=""/>
    <n v="2.5"/>
    <n v="25"/>
    <n v="70"/>
    <s v="785366 - RFN - PREF SAO LUIS 30K 6 "/>
    <s v="1,4"/>
    <n v="30"/>
    <n v="2"/>
    <n v="30000"/>
    <n v="202605"/>
    <s v="LG"/>
    <s v="1"/>
    <n v="1.3999999999999999E-2"/>
    <n v="2.5000000000000001E-2"/>
    <b v="0"/>
    <s v="20260530"/>
    <n v="20"/>
  </r>
  <r>
    <x v="209"/>
    <s v="2PREF SAO LUIS M"/>
    <n v="2"/>
    <s v="785367 - Tabela 7"/>
    <n v="1.7899999999999999E-2"/>
    <n v="120"/>
    <s v=""/>
    <n v="2.5"/>
    <n v="25"/>
    <n v="70"/>
    <s v="785367 - RFN - PREF SAO LUIS 50K 7 "/>
    <s v="1,4"/>
    <n v="30"/>
    <n v="2"/>
    <n v="50000"/>
    <n v="202605"/>
    <s v="LG"/>
    <s v="1"/>
    <n v="1.3999999999999999E-2"/>
    <n v="2.5000000000000001E-2"/>
    <b v="0"/>
    <s v="20260530"/>
    <n v="20"/>
  </r>
  <r>
    <x v="210"/>
    <s v="1PREF SAO LUIS M CLT"/>
    <n v="1"/>
    <s v="785376 - Tabela 306"/>
    <n v="1.83E-2"/>
    <n v="120"/>
    <s v=""/>
    <n v="2.5"/>
    <n v="25"/>
    <n v="70"/>
    <s v="785376 - RFN - PREF SAO LUIS 30K 6  CLT "/>
    <s v="1,4"/>
    <n v="30"/>
    <n v="2"/>
    <n v="30000"/>
    <n v="202605"/>
    <s v="LG"/>
    <s v="1"/>
    <n v="1.3999999999999999E-2"/>
    <n v="2.5000000000000001E-2"/>
    <b v="0"/>
    <s v="20260530"/>
    <n v="20"/>
  </r>
  <r>
    <x v="210"/>
    <s v="2PREF SAO LUIS M CLT"/>
    <n v="2"/>
    <s v="785377 - Tabela 7"/>
    <n v="1.7899999999999999E-2"/>
    <n v="120"/>
    <s v=""/>
    <n v="2.5"/>
    <n v="25"/>
    <n v="70"/>
    <s v="785377 - RFN - PREF SAO LUIS 50K 7  CLT "/>
    <s v="1,4"/>
    <n v="30"/>
    <n v="2"/>
    <n v="50000"/>
    <n v="202605"/>
    <s v="LG"/>
    <s v="1"/>
    <n v="1.3999999999999999E-2"/>
    <n v="2.5000000000000001E-2"/>
    <b v="0"/>
    <s v="20260530"/>
    <n v="20"/>
  </r>
  <r>
    <x v="211"/>
    <s v="1PREF SAO PAULO"/>
    <n v="1"/>
    <s v="795911 - Tabela 1"/>
    <n v="2.4900000000000002E-2"/>
    <n v="120"/>
    <s v=""/>
    <n v="2.4900000000000002"/>
    <n v="15"/>
    <n v="57"/>
    <s v="795911 - RFN - PREF SP 1 "/>
    <s v="1,29"/>
    <n v="7"/>
    <n v="2"/>
    <n v="500"/>
    <n v="202605"/>
    <s v="LG"/>
    <s v="1"/>
    <n v="1.29E-2"/>
    <n v="2.4900000000000002E-2"/>
    <b v="1"/>
    <s v="2026057"/>
    <n v="4"/>
  </r>
  <r>
    <x v="211"/>
    <s v="2PREF SAO PAULO"/>
    <n v="2"/>
    <s v="795912 - Tabela 2"/>
    <n v="2.3900000000000001E-2"/>
    <n v="120"/>
    <s v=""/>
    <n v="2.4900000000000002"/>
    <n v="15"/>
    <n v="57"/>
    <s v="795912 - RFN - PREF SP 2 "/>
    <s v="1,29"/>
    <n v="7"/>
    <n v="2"/>
    <n v="500"/>
    <n v="202605"/>
    <s v="LG"/>
    <s v="1"/>
    <n v="1.29E-2"/>
    <n v="2.4900000000000002E-2"/>
    <b v="0"/>
    <s v="2026057"/>
    <n v="4"/>
  </r>
  <r>
    <x v="211"/>
    <s v="3PREF SAO PAULO"/>
    <n v="3"/>
    <s v="795913 - Tabela 3"/>
    <n v="2.29E-2"/>
    <n v="120"/>
    <s v=""/>
    <n v="2.4900000000000002"/>
    <n v="15"/>
    <n v="57"/>
    <s v="795913 - RFN - PREF SP 3 "/>
    <s v="1,29"/>
    <n v="7"/>
    <n v="2"/>
    <n v="500"/>
    <n v="202605"/>
    <s v="LG"/>
    <s v="1"/>
    <n v="1.29E-2"/>
    <n v="2.4900000000000002E-2"/>
    <b v="0"/>
    <s v="2026057"/>
    <n v="4"/>
  </r>
  <r>
    <x v="211"/>
    <s v="4PREF SAO PAULO"/>
    <n v="4"/>
    <s v="795914 - Tabela 4"/>
    <n v="2.1899999999999999E-2"/>
    <n v="120"/>
    <s v=""/>
    <n v="2.4900000000000002"/>
    <n v="15"/>
    <n v="57"/>
    <s v="795914 - RFN - PREF SP 4 "/>
    <s v="1,29"/>
    <n v="7"/>
    <n v="2"/>
    <n v="500"/>
    <n v="202605"/>
    <s v="LG"/>
    <s v="1"/>
    <n v="1.29E-2"/>
    <n v="2.4900000000000002E-2"/>
    <b v="0"/>
    <s v="2026057"/>
    <n v="4"/>
  </r>
  <r>
    <x v="211"/>
    <s v="5PREF SAO PAULO"/>
    <n v="5"/>
    <s v="795917 - Tabela 5"/>
    <n v="2.0899999999999998E-2"/>
    <n v="120"/>
    <s v=""/>
    <n v="2.4900000000000002"/>
    <n v="15"/>
    <n v="57"/>
    <s v="795917 - RFN - PREF SP 5 "/>
    <s v="1,29"/>
    <n v="7"/>
    <n v="2"/>
    <n v="500"/>
    <n v="202605"/>
    <s v="LG"/>
    <s v="1"/>
    <n v="1.29E-2"/>
    <n v="2.4900000000000002E-2"/>
    <b v="0"/>
    <s v="2026057"/>
    <n v="4"/>
  </r>
  <r>
    <x v="211"/>
    <s v="6PREF SAO PAULO"/>
    <n v="6"/>
    <s v="795918 - Tabela 6"/>
    <n v="1.9900000000000001E-2"/>
    <n v="120"/>
    <s v=""/>
    <n v="2.4900000000000002"/>
    <n v="15"/>
    <n v="57"/>
    <s v="795918 - RFN - PREF SP 6 "/>
    <s v="1,29"/>
    <n v="7"/>
    <n v="2"/>
    <n v="500"/>
    <n v="202605"/>
    <s v="LG"/>
    <s v="1"/>
    <n v="1.29E-2"/>
    <n v="2.4900000000000002E-2"/>
    <b v="0"/>
    <s v="2026057"/>
    <n v="4"/>
  </r>
  <r>
    <x v="211"/>
    <s v="7PREF SAO PAULO"/>
    <n v="7"/>
    <s v="795919 - Tabela 7"/>
    <n v="1.89E-2"/>
    <n v="120"/>
    <s v=""/>
    <n v="2.4900000000000002"/>
    <n v="15"/>
    <n v="57"/>
    <s v="795919 - RFN - PREF SP 7 "/>
    <s v="1,29"/>
    <n v="7"/>
    <n v="2"/>
    <n v="500"/>
    <n v="202605"/>
    <s v="LG"/>
    <s v="1"/>
    <n v="1.29E-2"/>
    <n v="2.4900000000000002E-2"/>
    <b v="0"/>
    <s v="2026057"/>
    <n v="4"/>
  </r>
  <r>
    <x v="211"/>
    <s v="8PREF SAO PAULO"/>
    <n v="8"/>
    <s v="795923 - Tabela 8"/>
    <n v="1.7899999999999999E-2"/>
    <n v="120"/>
    <s v=""/>
    <n v="2.4900000000000002"/>
    <n v="15"/>
    <n v="57"/>
    <s v="795923 - RFN - PREF SP 8 "/>
    <s v="1,29"/>
    <n v="7"/>
    <n v="2"/>
    <n v="500"/>
    <n v="202605"/>
    <s v="LG"/>
    <s v="1"/>
    <n v="1.29E-2"/>
    <n v="2.4900000000000002E-2"/>
    <b v="0"/>
    <s v="2026057"/>
    <n v="4"/>
  </r>
  <r>
    <x v="211"/>
    <s v="9PREF SAO PAULO"/>
    <n v="9"/>
    <s v="795958 - Tabela 9"/>
    <n v="1.7399999999999999E-2"/>
    <n v="120"/>
    <s v=""/>
    <n v="2.4900000000000002"/>
    <n v="15"/>
    <n v="57"/>
    <s v="795958 - RFN - PREF SP 9 "/>
    <s v="1,29"/>
    <n v="7"/>
    <n v="2"/>
    <n v="500"/>
    <n v="202605"/>
    <s v="LG"/>
    <s v="1"/>
    <n v="1.29E-2"/>
    <n v="2.4900000000000002E-2"/>
    <b v="0"/>
    <s v="2026057"/>
    <n v="4"/>
  </r>
  <r>
    <x v="211"/>
    <s v="10PREF SAO PAULO"/>
    <n v="10"/>
    <s v="795959 - Tabela 10"/>
    <n v="1.6899999999999998E-2"/>
    <n v="120"/>
    <s v=""/>
    <n v="2.4900000000000002"/>
    <n v="15"/>
    <n v="57"/>
    <s v="795959 - RFN - PREF SP 10 "/>
    <s v="1,29"/>
    <n v="7"/>
    <n v="2"/>
    <n v="500"/>
    <n v="202605"/>
    <s v="LG"/>
    <s v="1"/>
    <n v="1.29E-2"/>
    <n v="2.4900000000000002E-2"/>
    <b v="0"/>
    <s v="2026057"/>
    <n v="4"/>
  </r>
  <r>
    <x v="211"/>
    <s v="11PREF SAO PAULO"/>
    <n v="11"/>
    <s v="795960 - Tabela 11"/>
    <n v="1.6399999999999998E-2"/>
    <n v="120"/>
    <s v=""/>
    <n v="2.4900000000000002"/>
    <n v="15"/>
    <n v="57"/>
    <s v="795960 - RFN - PREF SP 11 "/>
    <s v="1,29"/>
    <n v="7"/>
    <n v="2"/>
    <n v="500"/>
    <n v="202605"/>
    <s v="LG"/>
    <s v="1"/>
    <n v="1.29E-2"/>
    <n v="2.4900000000000002E-2"/>
    <b v="0"/>
    <s v="2026057"/>
    <n v="4"/>
  </r>
  <r>
    <x v="211"/>
    <s v="12PREF SAO PAULO"/>
    <n v="12"/>
    <s v="795967 - Tabela 2012"/>
    <n v="1.6200000000000003E-2"/>
    <n v="120"/>
    <s v=""/>
    <n v="2.4900000000000002"/>
    <n v="15"/>
    <n v="57"/>
    <s v="795967 - RFN - PREF SP 20K 12 "/>
    <s v="1,29"/>
    <n v="7"/>
    <n v="2"/>
    <n v="20000"/>
    <n v="202605"/>
    <s v="LG"/>
    <s v="1"/>
    <n v="1.29E-2"/>
    <n v="2.4900000000000002E-2"/>
    <b v="0"/>
    <s v="2026057"/>
    <n v="4"/>
  </r>
  <r>
    <x v="211"/>
    <s v="13PREF SAO PAULO"/>
    <n v="13"/>
    <s v="795968 - Tabela 3013"/>
    <n v="1.5900000000000001E-2"/>
    <n v="120"/>
    <s v=""/>
    <n v="2.4900000000000002"/>
    <n v="15"/>
    <n v="57"/>
    <s v="795968 - RFN - PREF SP 30K 13 "/>
    <s v="1,29"/>
    <n v="7"/>
    <n v="2"/>
    <n v="30000"/>
    <n v="202605"/>
    <s v="LG"/>
    <s v="1"/>
    <n v="1.29E-2"/>
    <n v="2.4900000000000002E-2"/>
    <b v="0"/>
    <s v="2026057"/>
    <n v="4"/>
  </r>
  <r>
    <x v="211"/>
    <s v="14PREF SAO PAULO"/>
    <n v="14"/>
    <s v="795969 - Tabela 14"/>
    <n v="1.54E-2"/>
    <n v="120"/>
    <s v=""/>
    <n v="2.4900000000000002"/>
    <n v="15"/>
    <n v="57"/>
    <s v="795969 - RFN - PREF SP 50K 14 "/>
    <s v="1,29"/>
    <n v="7"/>
    <n v="2"/>
    <n v="30000"/>
    <n v="202605"/>
    <s v="LG"/>
    <s v="1"/>
    <n v="1.29E-2"/>
    <n v="2.4900000000000002E-2"/>
    <b v="0"/>
    <s v="2026057"/>
    <n v="4"/>
  </r>
  <r>
    <x v="211"/>
    <s v="15PREF SAO PAULO"/>
    <n v="15"/>
    <s v="795970 - Tabela 6015"/>
    <n v="1.4999999999999999E-2"/>
    <n v="120"/>
    <s v=""/>
    <n v="2.4900000000000002"/>
    <n v="15"/>
    <n v="57"/>
    <s v="795970 - RFN - PREF SP 60K 15 "/>
    <s v="1,29"/>
    <n v="7"/>
    <n v="2"/>
    <n v="60000"/>
    <n v="202605"/>
    <s v="LG"/>
    <s v="1"/>
    <n v="1.29E-2"/>
    <n v="2.4900000000000002E-2"/>
    <b v="0"/>
    <s v="2026057"/>
    <n v="4"/>
  </r>
  <r>
    <x v="212"/>
    <s v="1PREF SETE PORT"/>
    <n v="1"/>
    <s v="795035 - Tabela 2"/>
    <n v="2.0499999999999997E-2"/>
    <n v="120"/>
    <s v=""/>
    <n v="2.25"/>
    <n v="25"/>
    <m/>
    <s v="795035 - RFN - PREF SETE LAGOAS  2 "/>
    <s v="1,5"/>
    <n v="12"/>
    <n v="2"/>
    <n v="500"/>
    <n v="202605"/>
    <s v="LG"/>
    <s v="1"/>
    <n v="1.4999999999999999E-2"/>
    <n v="2.2499999999999999E-2"/>
    <b v="0"/>
    <s v="20260512"/>
    <n v="7"/>
  </r>
  <r>
    <x v="213"/>
    <s v="1PREF SINOP"/>
    <n v="1"/>
    <s v="795111 - Tabela 1"/>
    <n v="2.5000000000000001E-2"/>
    <n v="120"/>
    <s v=""/>
    <n v="2.5"/>
    <n v="10"/>
    <n v="49"/>
    <s v="795111 - RFN PREF SINOP -MT 1 "/>
    <s v="1,5"/>
    <n v="15"/>
    <n v="2"/>
    <n v="500"/>
    <n v="202605"/>
    <s v="LG"/>
    <s v="0"/>
    <n v="1.4999999999999999E-2"/>
    <n v="2.5000000000000001E-2"/>
    <b v="1"/>
    <s v="20260515"/>
    <n v="10"/>
  </r>
  <r>
    <x v="213"/>
    <s v="2PREF SINOP"/>
    <n v="2"/>
    <s v="795113 - Tabela 2"/>
    <n v="2.2499999999999999E-2"/>
    <n v="120"/>
    <s v=""/>
    <n v="2.5"/>
    <n v="10"/>
    <n v="49"/>
    <s v="795113 - RFN PREF SINOP -MT 2 "/>
    <s v="1,5"/>
    <n v="15"/>
    <n v="2"/>
    <n v="500"/>
    <n v="202605"/>
    <s v="LG"/>
    <s v="0"/>
    <n v="1.4999999999999999E-2"/>
    <n v="2.5000000000000001E-2"/>
    <b v="0"/>
    <s v="20260515"/>
    <n v="10"/>
  </r>
  <r>
    <x v="213"/>
    <s v="3PREF SINOP"/>
    <n v="3"/>
    <s v="795114 - Tabela 3"/>
    <n v="0.02"/>
    <n v="120"/>
    <s v=""/>
    <n v="2.5"/>
    <n v="10"/>
    <n v="49"/>
    <s v="795114 - RFN PREF SINOP -MT 3 "/>
    <s v="1,5"/>
    <n v="15"/>
    <n v="2"/>
    <n v="500"/>
    <n v="202605"/>
    <s v="LG"/>
    <s v="0"/>
    <n v="1.4999999999999999E-2"/>
    <n v="2.5000000000000001E-2"/>
    <b v="0"/>
    <s v="20260515"/>
    <n v="10"/>
  </r>
  <r>
    <x v="213"/>
    <s v="4PREF SINOP"/>
    <n v="4"/>
    <s v="795115 - Tabela 4"/>
    <n v="1.8500000000000003E-2"/>
    <n v="120"/>
    <s v=""/>
    <n v="2.5"/>
    <n v="10"/>
    <n v="49"/>
    <s v="795115 - RFN PREF SINOP -MT 4 "/>
    <s v="1,5"/>
    <n v="15"/>
    <n v="2"/>
    <n v="500"/>
    <n v="202605"/>
    <s v="LG"/>
    <s v="0"/>
    <n v="1.4999999999999999E-2"/>
    <n v="2.5000000000000001E-2"/>
    <b v="0"/>
    <s v="20260515"/>
    <n v="10"/>
  </r>
  <r>
    <x v="213"/>
    <s v="5PREF SINOP"/>
    <n v="5"/>
    <s v="795116 - Tabela 5"/>
    <n v="1.8000000000000002E-2"/>
    <n v="120"/>
    <s v=""/>
    <n v="2.5"/>
    <n v="10"/>
    <n v="49"/>
    <s v="795116 - RFN PREF SINOP -MT 5 "/>
    <s v="1,5"/>
    <n v="15"/>
    <n v="2"/>
    <n v="500"/>
    <n v="202605"/>
    <s v="LG"/>
    <s v="0"/>
    <n v="1.4999999999999999E-2"/>
    <n v="2.5000000000000001E-2"/>
    <b v="0"/>
    <s v="20260515"/>
    <n v="10"/>
  </r>
  <r>
    <x v="213"/>
    <s v="6PREF SINOP"/>
    <n v="6"/>
    <s v="795117 - Tabela 6"/>
    <n v="1.7600000000000001E-2"/>
    <n v="120"/>
    <s v=""/>
    <n v="2.5"/>
    <n v="10"/>
    <n v="49"/>
    <s v="795117 - RFN PREF SINOP -MT 6 "/>
    <s v="1,5"/>
    <n v="15"/>
    <n v="2"/>
    <n v="500"/>
    <n v="202605"/>
    <s v="LG"/>
    <s v="0"/>
    <n v="1.4999999999999999E-2"/>
    <n v="2.5000000000000001E-2"/>
    <b v="0"/>
    <s v="20260515"/>
    <n v="10"/>
  </r>
  <r>
    <x v="213"/>
    <s v="7PREF SINOP"/>
    <n v="7"/>
    <s v="795118 - Tabela 7"/>
    <n v="1.7399999999999999E-2"/>
    <n v="120"/>
    <s v=""/>
    <n v="2.5"/>
    <n v="10"/>
    <n v="49"/>
    <s v="795118 - RFN PREF SINOP -MT 7 "/>
    <s v="1,5"/>
    <n v="15"/>
    <n v="2"/>
    <n v="500"/>
    <n v="202605"/>
    <s v="LG"/>
    <s v="0"/>
    <n v="1.4999999999999999E-2"/>
    <n v="2.5000000000000001E-2"/>
    <b v="0"/>
    <s v="20260515"/>
    <n v="10"/>
  </r>
  <r>
    <x v="213"/>
    <s v="8PREF SINOP"/>
    <n v="8"/>
    <s v="795119 - Tabela 8"/>
    <n v="1.72E-2"/>
    <n v="120"/>
    <s v=""/>
    <n v="2.5"/>
    <n v="10"/>
    <n v="49"/>
    <s v="795119 - RFN PREF SINOP -MT 8 "/>
    <s v="1,5"/>
    <n v="15"/>
    <n v="2"/>
    <n v="500"/>
    <n v="202605"/>
    <s v="LG"/>
    <s v="0"/>
    <n v="1.4999999999999999E-2"/>
    <n v="2.5000000000000001E-2"/>
    <b v="0"/>
    <s v="20260515"/>
    <n v="10"/>
  </r>
  <r>
    <x v="214"/>
    <s v="1PREF SJ CAMPOS"/>
    <n v="1"/>
    <s v="735701 - Tabela 1"/>
    <n v="2.5000000000000001E-2"/>
    <n v="96"/>
    <s v=""/>
    <n v="2.5"/>
    <n v="15"/>
    <m/>
    <s v="735701 - RFN - PREF SJC 1 "/>
    <s v="1,59"/>
    <n v="15"/>
    <n v="2"/>
    <n v="500"/>
    <n v="202605"/>
    <s v="LG"/>
    <s v="1"/>
    <n v="1.5900000000000001E-2"/>
    <n v="2.5000000000000001E-2"/>
    <b v="1"/>
    <s v="20260515"/>
    <n v="10"/>
  </r>
  <r>
    <x v="214"/>
    <s v="2PREF SJ CAMPOS"/>
    <n v="2"/>
    <s v="735702 - Tabela 2"/>
    <n v="2.3900000000000001E-2"/>
    <n v="96"/>
    <s v=""/>
    <n v="2.5"/>
    <n v="15"/>
    <m/>
    <s v="735702 - RFN - PREF SJC 2 "/>
    <s v="1,59"/>
    <n v="15"/>
    <n v="2"/>
    <n v="500"/>
    <n v="202605"/>
    <s v="LG"/>
    <s v="1"/>
    <n v="1.5900000000000001E-2"/>
    <n v="2.5000000000000001E-2"/>
    <b v="0"/>
    <s v="20260515"/>
    <n v="10"/>
  </r>
  <r>
    <x v="214"/>
    <s v="3PREF SJ CAMPOS"/>
    <n v="3"/>
    <s v="735703 - Tabela 3"/>
    <n v="2.29E-2"/>
    <n v="96"/>
    <s v=""/>
    <n v="2.5"/>
    <n v="15"/>
    <m/>
    <s v="735703 - RFN - PREF SJC 3 "/>
    <s v="1,59"/>
    <n v="15"/>
    <n v="2"/>
    <n v="500"/>
    <n v="202605"/>
    <s v="LG"/>
    <s v="1"/>
    <n v="1.5900000000000001E-2"/>
    <n v="2.5000000000000001E-2"/>
    <b v="0"/>
    <s v="20260515"/>
    <n v="10"/>
  </r>
  <r>
    <x v="214"/>
    <s v="4PREF SJ CAMPOS"/>
    <n v="4"/>
    <s v="735704 - Tabela 4"/>
    <n v="2.1899999999999999E-2"/>
    <n v="96"/>
    <s v=""/>
    <n v="2.5"/>
    <n v="15"/>
    <n v="43"/>
    <s v="735704 - RFN - PREF SJC 4 "/>
    <s v="1,59"/>
    <n v="15"/>
    <n v="2"/>
    <n v="500"/>
    <n v="202605"/>
    <s v="LG"/>
    <s v="1"/>
    <n v="1.5900000000000001E-2"/>
    <n v="2.5000000000000001E-2"/>
    <b v="0"/>
    <s v="20260515"/>
    <n v="10"/>
  </r>
  <r>
    <x v="214"/>
    <s v="5PREF SJ CAMPOS"/>
    <n v="5"/>
    <s v="735705 - Tabela 5"/>
    <n v="2.0899999999999998E-2"/>
    <n v="96"/>
    <s v=""/>
    <n v="2.5"/>
    <n v="15"/>
    <m/>
    <s v="735705 - RFN - PREF SJC 5 "/>
    <s v="1,59"/>
    <n v="15"/>
    <n v="2"/>
    <n v="500"/>
    <n v="202605"/>
    <s v="LG"/>
    <s v="1"/>
    <n v="1.5900000000000001E-2"/>
    <n v="2.5000000000000001E-2"/>
    <b v="0"/>
    <s v="20260515"/>
    <n v="10"/>
  </r>
  <r>
    <x v="215"/>
    <s v="1PREF SJR PRETO"/>
    <n v="1"/>
    <s v="995830 - Tabela 1"/>
    <n v="1.9599999999999999E-2"/>
    <n v="96"/>
    <s v=""/>
    <n v="1.96"/>
    <n v="15"/>
    <m/>
    <s v="995830 - RFN - PREF SAO JOSE RIO PRETO 1 "/>
    <s v="1,71"/>
    <n v="1"/>
    <n v="2"/>
    <n v="500"/>
    <n v="202605"/>
    <s v="LG"/>
    <s v="1"/>
    <n v="1.7100000000000001E-2"/>
    <n v="1.9599999999999999E-2"/>
    <b v="1"/>
    <s v="2026051"/>
    <n v="0"/>
  </r>
  <r>
    <x v="216"/>
    <s v="1PREF SOBRAL"/>
    <n v="1"/>
    <s v="795071 - Tabela 1"/>
    <n v="2.5000000000000001E-2"/>
    <n v="120"/>
    <s v=""/>
    <n v="2.5"/>
    <n v="20"/>
    <n v="46"/>
    <s v="795071 - RFN - PREF SOBRAL 1 "/>
    <s v="1,6"/>
    <n v="15"/>
    <n v="2"/>
    <n v="500"/>
    <n v="202605"/>
    <s v="LG"/>
    <s v="1"/>
    <n v="1.6E-2"/>
    <n v="2.5000000000000001E-2"/>
    <b v="1"/>
    <s v="20260515"/>
    <n v="10"/>
  </r>
  <r>
    <x v="216"/>
    <s v="2PREF SOBRAL"/>
    <n v="2"/>
    <s v="795072 - Tabela 2"/>
    <n v="2.4E-2"/>
    <n v="120"/>
    <s v=""/>
    <n v="2.5"/>
    <n v="20"/>
    <m/>
    <s v="795072 - RFN - PREF SOBRAL 2 "/>
    <s v="1,6"/>
    <n v="15"/>
    <n v="2"/>
    <n v="500"/>
    <n v="202605"/>
    <s v="LG"/>
    <s v="1"/>
    <n v="1.6E-2"/>
    <n v="2.5000000000000001E-2"/>
    <b v="0"/>
    <s v="20260515"/>
    <n v="10"/>
  </r>
  <r>
    <x v="216"/>
    <s v="3PREF SOBRAL"/>
    <n v="3"/>
    <s v="795073 - Tabela 3"/>
    <n v="2.3E-2"/>
    <n v="120"/>
    <s v=""/>
    <n v="2.5"/>
    <n v="20"/>
    <m/>
    <s v="795073 - RFN - PREF SOBRAL 3 "/>
    <s v="1,6"/>
    <n v="15"/>
    <n v="2"/>
    <n v="500"/>
    <n v="202605"/>
    <s v="LG"/>
    <s v="1"/>
    <n v="1.6E-2"/>
    <n v="2.5000000000000001E-2"/>
    <b v="0"/>
    <s v="20260515"/>
    <n v="10"/>
  </r>
  <r>
    <x v="216"/>
    <s v="4PREF SOBRAL"/>
    <n v="4"/>
    <s v="795074 - Tabela 4"/>
    <n v="2.2099999999999998E-2"/>
    <n v="120"/>
    <s v=""/>
    <n v="2.5"/>
    <n v="20"/>
    <n v="54"/>
    <s v="795074 - RFN - PREF SOBRAL 4 "/>
    <s v="1,6"/>
    <n v="15"/>
    <n v="2"/>
    <n v="500"/>
    <n v="202605"/>
    <s v="LG"/>
    <s v="1"/>
    <n v="1.6E-2"/>
    <n v="2.5000000000000001E-2"/>
    <b v="0"/>
    <s v="20260515"/>
    <n v="10"/>
  </r>
  <r>
    <x v="217"/>
    <s v="1PREF SORO PORT"/>
    <n v="1"/>
    <s v="785120 - Tabela 1"/>
    <n v="2.5000000000000001E-2"/>
    <n v="120"/>
    <s v=""/>
    <n v="2.5"/>
    <n v="15"/>
    <m/>
    <s v="785120 - RFN - PREF SOROCABA 1 "/>
    <s v="1,59"/>
    <n v="15"/>
    <n v="2"/>
    <n v="500"/>
    <n v="202605"/>
    <s v="LG"/>
    <s v="1"/>
    <n v="1.5900000000000001E-2"/>
    <n v="2.5000000000000001E-2"/>
    <b v="1"/>
    <s v="20260515"/>
    <n v="10"/>
  </r>
  <r>
    <x v="217"/>
    <s v="2PREF SORO PORT"/>
    <n v="2"/>
    <s v="785122 - Tabela 2"/>
    <n v="2.1899999999999999E-2"/>
    <n v="120"/>
    <s v=""/>
    <n v="2.5"/>
    <n v="15"/>
    <m/>
    <s v="785122 - RFN - PREF SOROCABA 2 "/>
    <s v="1,59"/>
    <n v="15"/>
    <n v="2"/>
    <n v="500"/>
    <n v="202605"/>
    <s v="LG"/>
    <s v="1"/>
    <n v="1.5900000000000001E-2"/>
    <n v="2.5000000000000001E-2"/>
    <b v="0"/>
    <s v="20260515"/>
    <n v="10"/>
  </r>
  <r>
    <x v="217"/>
    <s v="3PREF SORO PORT"/>
    <n v="3"/>
    <s v="785123 - Tabela 3"/>
    <n v="2.0899999999999998E-2"/>
    <n v="120"/>
    <s v=""/>
    <n v="2.5"/>
    <n v="15"/>
    <m/>
    <s v="785123 - RFN - PREF SOROCABA 3 "/>
    <s v="1,59"/>
    <n v="15"/>
    <n v="2"/>
    <n v="500"/>
    <n v="202605"/>
    <s v="LG"/>
    <s v="1"/>
    <n v="1.5900000000000001E-2"/>
    <n v="2.5000000000000001E-2"/>
    <b v="0"/>
    <s v="20260515"/>
    <n v="10"/>
  </r>
  <r>
    <x v="217"/>
    <s v="4PREF SORO PORT"/>
    <n v="4"/>
    <s v="785125 - Tabela 4"/>
    <n v="1.9900000000000001E-2"/>
    <n v="120"/>
    <s v=""/>
    <n v="2.5"/>
    <n v="15"/>
    <m/>
    <s v="785125 - RFN - PREF SOROCABA 4 "/>
    <s v="1,59"/>
    <n v="15"/>
    <n v="2"/>
    <n v="500"/>
    <n v="202605"/>
    <s v="LG"/>
    <s v="1"/>
    <n v="1.5900000000000001E-2"/>
    <n v="2.5000000000000001E-2"/>
    <b v="0"/>
    <s v="20260515"/>
    <n v="10"/>
  </r>
  <r>
    <x v="217"/>
    <s v="5PREF SORO PORT"/>
    <n v="5"/>
    <s v="785126 - Tabela 5"/>
    <n v="1.89E-2"/>
    <n v="120"/>
    <s v=""/>
    <n v="2.5"/>
    <n v="15"/>
    <m/>
    <s v="785126 - RFN - PREF SOROCABA 5 "/>
    <s v="1,59"/>
    <n v="15"/>
    <n v="2"/>
    <n v="500"/>
    <n v="202605"/>
    <s v="LG"/>
    <s v="1"/>
    <n v="1.5900000000000001E-2"/>
    <n v="2.5000000000000001E-2"/>
    <b v="0"/>
    <s v="20260515"/>
    <n v="10"/>
  </r>
  <r>
    <x v="217"/>
    <s v="6PREF SORO PORT"/>
    <n v="6"/>
    <s v="785127 - Tabela 6"/>
    <n v="1.7899999999999999E-2"/>
    <n v="120"/>
    <s v=""/>
    <n v="2.5"/>
    <n v="15"/>
    <m/>
    <s v="785127 - RFN - PREF SOROCABA 6 "/>
    <s v="1,59"/>
    <n v="15"/>
    <n v="2"/>
    <n v="500"/>
    <n v="202605"/>
    <s v="LG"/>
    <s v="1"/>
    <n v="1.5900000000000001E-2"/>
    <n v="2.5000000000000001E-2"/>
    <b v="0"/>
    <s v="20260515"/>
    <n v="10"/>
  </r>
  <r>
    <x v="218"/>
    <s v="1PREF SORRISO"/>
    <n v="1"/>
    <s v="735181 - Tabela 1"/>
    <n v="1.9E-2"/>
    <n v="120"/>
    <s v=""/>
    <n v="1.9"/>
    <n v="15"/>
    <n v="46"/>
    <s v="735181 - RFN - PREF SORRISO 1 "/>
    <s v="1,45"/>
    <n v="15"/>
    <n v="2"/>
    <n v="500"/>
    <n v="202605"/>
    <s v="LG"/>
    <s v="1"/>
    <n v="1.4499999999999999E-2"/>
    <n v="1.9E-2"/>
    <b v="1"/>
    <s v="20260515"/>
    <n v="10"/>
  </r>
  <r>
    <x v="218"/>
    <s v="2PREF SORRISO"/>
    <n v="2"/>
    <s v="735182 - Tabela 2"/>
    <n v="1.8000000000000002E-2"/>
    <n v="120"/>
    <s v=""/>
    <n v="1.9"/>
    <n v="15"/>
    <n v="46"/>
    <s v="735182 - RFN - PREF SORRISO 2 "/>
    <s v="1,45"/>
    <n v="15"/>
    <n v="2"/>
    <n v="500"/>
    <n v="202605"/>
    <s v="LG"/>
    <s v="1"/>
    <n v="1.4499999999999999E-2"/>
    <n v="1.9E-2"/>
    <b v="0"/>
    <s v="20260515"/>
    <n v="10"/>
  </r>
  <r>
    <x v="218"/>
    <s v="3PREF SORRISO"/>
    <n v="3"/>
    <s v="735183 - Tabela 3"/>
    <n v="1.7000000000000001E-2"/>
    <n v="120"/>
    <s v=""/>
    <n v="1.9"/>
    <n v="15"/>
    <n v="48"/>
    <s v="735183 - RFN - PREF SORRISO 3 "/>
    <s v="1,45"/>
    <n v="15"/>
    <n v="2"/>
    <n v="500"/>
    <n v="202605"/>
    <s v="LG"/>
    <s v="1"/>
    <n v="1.4499999999999999E-2"/>
    <n v="1.9E-2"/>
    <b v="0"/>
    <s v="20260515"/>
    <n v="10"/>
  </r>
  <r>
    <x v="219"/>
    <s v="1PREF ST ANDRE"/>
    <n v="1"/>
    <s v="705411 - Tabela 1"/>
    <n v="2.4900000000000002E-2"/>
    <n v="96"/>
    <s v=""/>
    <n v="2.4900000000000002"/>
    <n v="20"/>
    <n v="57"/>
    <s v="705411 - RFN - PREF SANTO ANDRE  1 "/>
    <s v="1,88"/>
    <n v="10"/>
    <n v="2"/>
    <n v="500"/>
    <n v="202605"/>
    <s v="LG"/>
    <s v="1"/>
    <n v="1.8799999999999997E-2"/>
    <n v="2.4900000000000002E-2"/>
    <b v="1"/>
    <s v="20260510"/>
    <n v="5"/>
  </r>
  <r>
    <x v="219"/>
    <s v="2PREF ST ANDRE"/>
    <n v="2"/>
    <s v="705412 - Tabela 2"/>
    <n v="2.3900000000000001E-2"/>
    <n v="96"/>
    <s v=""/>
    <n v="2.4900000000000002"/>
    <n v="20"/>
    <n v="57"/>
    <s v="705412 - RFN - PREF SANTO ANDRE  2 "/>
    <s v="1,88"/>
    <n v="10"/>
    <n v="2"/>
    <n v="500"/>
    <n v="202605"/>
    <s v="LG"/>
    <s v="1"/>
    <n v="1.8799999999999997E-2"/>
    <n v="2.4900000000000002E-2"/>
    <b v="0"/>
    <s v="20260510"/>
    <n v="5"/>
  </r>
  <r>
    <x v="219"/>
    <s v="3PREF ST ANDRE"/>
    <n v="3"/>
    <s v="705413 - Tabela 3"/>
    <n v="2.29E-2"/>
    <n v="96"/>
    <s v=""/>
    <n v="2.4900000000000002"/>
    <n v="20"/>
    <n v="57"/>
    <s v="705413 - RFN - PREF SANTO ANDRE  3 "/>
    <s v="1,88"/>
    <n v="10"/>
    <n v="2"/>
    <n v="500"/>
    <n v="202605"/>
    <s v="LG"/>
    <s v="1"/>
    <n v="1.8799999999999997E-2"/>
    <n v="2.4900000000000002E-2"/>
    <b v="0"/>
    <s v="20260510"/>
    <n v="5"/>
  </r>
  <r>
    <x v="219"/>
    <s v="4PREF ST ANDRE"/>
    <n v="4"/>
    <s v="705414 - Tabela 4"/>
    <n v="2.2099999999999998E-2"/>
    <n v="96"/>
    <s v=""/>
    <n v="2.4900000000000002"/>
    <n v="20"/>
    <n v="57"/>
    <s v="705414 - RFN - PREF SANTO ANDRE  4 "/>
    <s v="1,88"/>
    <n v="10"/>
    <n v="2"/>
    <n v="500"/>
    <n v="202605"/>
    <s v="LG"/>
    <s v="1"/>
    <n v="1.8799999999999997E-2"/>
    <n v="2.4900000000000002E-2"/>
    <b v="0"/>
    <s v="20260510"/>
    <n v="5"/>
  </r>
  <r>
    <x v="220"/>
    <s v="1PREF STA CRUZ"/>
    <n v="1"/>
    <s v="315051 - Tabela 1"/>
    <n v="2.5000000000000001E-2"/>
    <n v="120"/>
    <s v=""/>
    <n v="2.5"/>
    <n v="12"/>
    <m/>
    <s v="315051 - RFN - PREF SANTA CRUZ 1 "/>
    <s v="1,5"/>
    <n v="15"/>
    <n v="2"/>
    <n v="500"/>
    <n v="202605"/>
    <s v="LG"/>
    <s v="0"/>
    <n v="1.4999999999999999E-2"/>
    <n v="2.5000000000000001E-2"/>
    <b v="1"/>
    <s v="20260515"/>
    <n v="10"/>
  </r>
  <r>
    <x v="220"/>
    <s v="2PREF STA CRUZ"/>
    <n v="2"/>
    <s v="315052 - Tabela 2"/>
    <n v="2.4E-2"/>
    <n v="120"/>
    <s v=""/>
    <n v="2.5"/>
    <n v="12"/>
    <m/>
    <s v="315052 - RFN - PREF SANTA CRUZ 2 "/>
    <s v="1,5"/>
    <n v="15"/>
    <n v="2"/>
    <n v="500"/>
    <n v="202605"/>
    <s v="LG"/>
    <s v="0"/>
    <n v="1.4999999999999999E-2"/>
    <n v="2.5000000000000001E-2"/>
    <b v="0"/>
    <s v="20260515"/>
    <n v="10"/>
  </r>
  <r>
    <x v="220"/>
    <s v="3PREF STA CRUZ"/>
    <n v="3"/>
    <s v="315053 - Tabela 3"/>
    <n v="2.3E-2"/>
    <n v="120"/>
    <s v=""/>
    <n v="2.5"/>
    <n v="12"/>
    <m/>
    <s v="315053 - RFN - PREF SANTA CRUZ 3 "/>
    <s v="1,5"/>
    <n v="15"/>
    <n v="2"/>
    <n v="500"/>
    <n v="202605"/>
    <s v="LG"/>
    <s v="0"/>
    <n v="1.4999999999999999E-2"/>
    <n v="2.5000000000000001E-2"/>
    <b v="0"/>
    <s v="20260515"/>
    <n v="10"/>
  </r>
  <r>
    <x v="220"/>
    <s v="4PREF STA CRUZ"/>
    <n v="4"/>
    <s v="315054 - Tabela 4"/>
    <n v="2.2000000000000002E-2"/>
    <n v="120"/>
    <s v=""/>
    <n v="2.5"/>
    <n v="12"/>
    <m/>
    <s v="315054 - RFN - PREF SANTA CRUZ 4 "/>
    <s v="1,5"/>
    <n v="15"/>
    <n v="2"/>
    <n v="500"/>
    <n v="202605"/>
    <s v="LG"/>
    <s v="0"/>
    <n v="1.4999999999999999E-2"/>
    <n v="2.5000000000000001E-2"/>
    <b v="0"/>
    <s v="20260515"/>
    <n v="10"/>
  </r>
  <r>
    <x v="221"/>
    <s v="1PREF STA MARIA"/>
    <n v="1"/>
    <s v="725671 - Tabela 1"/>
    <n v="2.5000000000000001E-2"/>
    <n v="120"/>
    <s v=""/>
    <n v="2.5"/>
    <n v="11"/>
    <m/>
    <s v="725671 - RFN - PREF SANTA MARIA 1 "/>
    <s v="1,34"/>
    <n v="5"/>
    <n v="2"/>
    <n v="500"/>
    <n v="202605"/>
    <s v="NW"/>
    <s v="1"/>
    <n v="1.34E-2"/>
    <n v="2.5000000000000001E-2"/>
    <b v="1"/>
    <s v="2026055"/>
    <n v="2"/>
  </r>
  <r>
    <x v="221"/>
    <s v="2PREF STA MARIA"/>
    <n v="2"/>
    <s v="725672 - Tabela 2"/>
    <n v="2.2499999999999999E-2"/>
    <n v="120"/>
    <s v=""/>
    <n v="2.5"/>
    <n v="11"/>
    <m/>
    <s v="725672 - RFN - PREF SANTA MARIA 2 "/>
    <s v="1,34"/>
    <n v="5"/>
    <n v="2"/>
    <n v="500"/>
    <n v="202605"/>
    <s v="NW"/>
    <s v="1"/>
    <n v="1.34E-2"/>
    <n v="2.5000000000000001E-2"/>
    <b v="0"/>
    <s v="2026055"/>
    <n v="2"/>
  </r>
  <r>
    <x v="221"/>
    <s v="3PREF STA MARIA"/>
    <n v="3"/>
    <s v="725673 - Tabela 3"/>
    <n v="2.1499999999999998E-2"/>
    <n v="120"/>
    <s v=""/>
    <n v="2.5"/>
    <n v="11"/>
    <m/>
    <s v="725673 - RFN - PREF SANTA MARIA 3 "/>
    <s v="1,34"/>
    <n v="5"/>
    <n v="2"/>
    <n v="500"/>
    <n v="202605"/>
    <s v="NW"/>
    <s v="1"/>
    <n v="1.34E-2"/>
    <n v="2.5000000000000001E-2"/>
    <b v="0"/>
    <s v="2026055"/>
    <n v="2"/>
  </r>
  <r>
    <x v="221"/>
    <s v="4PREF STA MARIA"/>
    <n v="4"/>
    <s v="725674 - Tabela 4"/>
    <n v="2.06E-2"/>
    <n v="120"/>
    <s v=""/>
    <n v="2.5"/>
    <n v="11"/>
    <m/>
    <s v="725674 - RFN - PREF SANTA MARIA 4 "/>
    <s v="1,34"/>
    <n v="5"/>
    <n v="2"/>
    <n v="500"/>
    <n v="202605"/>
    <s v="NW"/>
    <s v="1"/>
    <n v="1.34E-2"/>
    <n v="2.5000000000000001E-2"/>
    <b v="0"/>
    <s v="2026055"/>
    <n v="2"/>
  </r>
  <r>
    <x v="221"/>
    <s v="5PREF STA MARIA"/>
    <n v="5"/>
    <s v="725675 - Tabela 5"/>
    <n v="2.0299999999999999E-2"/>
    <n v="120"/>
    <s v=""/>
    <n v="2.5"/>
    <n v="11"/>
    <m/>
    <s v="725675 - RFN - PREF SANTA MARIA 5 "/>
    <s v="1,34"/>
    <n v="5"/>
    <n v="2"/>
    <n v="500"/>
    <n v="202605"/>
    <s v="NW"/>
    <s v="1"/>
    <n v="1.34E-2"/>
    <n v="2.5000000000000001E-2"/>
    <b v="0"/>
    <s v="2026055"/>
    <n v="2"/>
  </r>
  <r>
    <x v="222"/>
    <s v="1PREF SUZANO"/>
    <n v="1"/>
    <s v="725031 - Tabela 1"/>
    <n v="2.5000000000000001E-2"/>
    <n v="120"/>
    <s v=""/>
    <n v="2.5"/>
    <n v="10"/>
    <n v="58"/>
    <s v="725031 - RFN - PREF SUZANO  1 "/>
    <s v="1,55"/>
    <n v="7"/>
    <n v="2"/>
    <n v="500"/>
    <n v="202605"/>
    <s v="LG"/>
    <s v="1"/>
    <n v="1.55E-2"/>
    <n v="2.5000000000000001E-2"/>
    <b v="1"/>
    <s v="2026057"/>
    <n v="4"/>
  </r>
  <r>
    <x v="222"/>
    <s v="2PREF SUZANO"/>
    <n v="2"/>
    <s v="725032 - Tabela 2"/>
    <n v="2.3900000000000001E-2"/>
    <n v="120"/>
    <s v=""/>
    <n v="2.5"/>
    <n v="10"/>
    <n v="50"/>
    <s v="725032 - RFN - PREF SUZANO  2 "/>
    <s v="1,55"/>
    <n v="7"/>
    <n v="2"/>
    <n v="500"/>
    <n v="202605"/>
    <s v="LG"/>
    <s v="1"/>
    <n v="1.55E-2"/>
    <n v="2.5000000000000001E-2"/>
    <b v="0"/>
    <s v="2026057"/>
    <n v="4"/>
  </r>
  <r>
    <x v="222"/>
    <s v="3PREF SUZANO"/>
    <n v="3"/>
    <s v="725033 - Tabela 3"/>
    <n v="2.29E-2"/>
    <n v="120"/>
    <s v=""/>
    <n v="2.5"/>
    <n v="10"/>
    <m/>
    <s v="725033 - RFN - PREF SUZANO  3 "/>
    <s v="1,55"/>
    <n v="7"/>
    <n v="2"/>
    <n v="500"/>
    <n v="202605"/>
    <s v="LG"/>
    <s v="1"/>
    <n v="1.55E-2"/>
    <n v="2.5000000000000001E-2"/>
    <b v="0"/>
    <s v="2026057"/>
    <n v="4"/>
  </r>
  <r>
    <x v="222"/>
    <s v="4PREF SUZANO"/>
    <n v="4"/>
    <s v="725034 - Tabela 4"/>
    <n v="2.2499999999999999E-2"/>
    <n v="120"/>
    <s v=""/>
    <n v="2.5"/>
    <n v="10"/>
    <n v="46"/>
    <s v="725034 - RFN - PREF SUZANO  4 "/>
    <s v="1,55"/>
    <n v="7"/>
    <n v="2"/>
    <n v="500"/>
    <n v="202605"/>
    <s v="LG"/>
    <s v="1"/>
    <n v="1.55E-2"/>
    <n v="2.5000000000000001E-2"/>
    <b v="0"/>
    <s v="2026057"/>
    <n v="4"/>
  </r>
  <r>
    <x v="223"/>
    <s v="1PREF TANGARA"/>
    <n v="1"/>
    <s v="795561 - Tabela 1"/>
    <n v="2.5000000000000001E-2"/>
    <n v="120"/>
    <s v=""/>
    <n v="2.5"/>
    <n v="11"/>
    <m/>
    <s v="795561 - RFN - PREF TANGARA SERRA 1 "/>
    <s v="1,86"/>
    <n v="15"/>
    <n v="2"/>
    <n v="500"/>
    <n v="202605"/>
    <s v="LG"/>
    <s v="0"/>
    <n v="1.8600000000000002E-2"/>
    <n v="2.5000000000000001E-2"/>
    <b v="1"/>
    <s v="20260515"/>
    <n v="10"/>
  </r>
  <r>
    <x v="224"/>
    <s v="1PREF TATUI"/>
    <n v="1"/>
    <s v="885600 - Tabela 1"/>
    <n v="2.5000000000000001E-2"/>
    <n v="120"/>
    <s v=""/>
    <n v="2.5"/>
    <n v="21"/>
    <m/>
    <s v="885600 - RFN - PREF TATUI  1 "/>
    <s v="1,35"/>
    <n v="14"/>
    <n v="2"/>
    <n v="500"/>
    <n v="202605"/>
    <s v="LG"/>
    <s v="1"/>
    <n v="1.3500000000000002E-2"/>
    <n v="2.5000000000000001E-2"/>
    <b v="1"/>
    <s v="20260514"/>
    <n v="9"/>
  </r>
  <r>
    <x v="224"/>
    <s v="2PREF TATUI"/>
    <n v="2"/>
    <s v="885601 - Tabela 2"/>
    <n v="2.06E-2"/>
    <n v="120"/>
    <s v=""/>
    <n v="2.5"/>
    <n v="21"/>
    <n v="54"/>
    <s v="885601 - RFN - PREF TATUI  2 "/>
    <s v="1,35"/>
    <n v="14"/>
    <n v="2"/>
    <n v="500"/>
    <n v="202605"/>
    <s v="LG"/>
    <s v="1"/>
    <n v="1.3500000000000002E-2"/>
    <n v="2.5000000000000001E-2"/>
    <b v="0"/>
    <s v="20260514"/>
    <n v="9"/>
  </r>
  <r>
    <x v="224"/>
    <s v="3PREF TATUI"/>
    <n v="3"/>
    <s v="885603 - Tabela 3"/>
    <n v="2.0199999999999999E-2"/>
    <n v="120"/>
    <s v=""/>
    <n v="2.5"/>
    <n v="21"/>
    <m/>
    <s v="885603 - RFN - PREF TATUI  3 "/>
    <s v="1,35"/>
    <n v="14"/>
    <n v="2"/>
    <n v="500"/>
    <n v="202605"/>
    <s v="LG"/>
    <s v="1"/>
    <n v="1.3500000000000002E-2"/>
    <n v="2.5000000000000001E-2"/>
    <b v="0"/>
    <s v="20260514"/>
    <n v="9"/>
  </r>
  <r>
    <x v="225"/>
    <s v="1PREF TAUA"/>
    <n v="1"/>
    <s v="705771 - Tabela 1"/>
    <n v="2.5000000000000001E-2"/>
    <n v="120"/>
    <s v=""/>
    <n v="2.5"/>
    <n v="20"/>
    <m/>
    <s v="705771 - RFN - PREF TAUA 1   PENS"/>
    <s v="1,6"/>
    <n v="10"/>
    <n v="2"/>
    <n v="500"/>
    <n v="202605"/>
    <s v="LG"/>
    <s v="1"/>
    <n v="1.6E-2"/>
    <n v="2.5000000000000001E-2"/>
    <b v="1"/>
    <s v="20260510"/>
    <n v="5"/>
  </r>
  <r>
    <x v="225"/>
    <s v="2PREF TAUA"/>
    <n v="2"/>
    <s v="705773 - Tabela 2"/>
    <n v="2.4E-2"/>
    <n v="120"/>
    <s v=""/>
    <n v="2.5"/>
    <n v="20"/>
    <m/>
    <s v="705773 - RFN - PREF TAUA 2   PENS"/>
    <s v="1,6"/>
    <n v="10"/>
    <n v="2"/>
    <n v="500"/>
    <n v="202605"/>
    <s v="LG"/>
    <s v="1"/>
    <n v="1.6E-2"/>
    <n v="2.5000000000000001E-2"/>
    <b v="0"/>
    <s v="20260510"/>
    <n v="5"/>
  </r>
  <r>
    <x v="225"/>
    <s v="3PREF TAUA"/>
    <n v="3"/>
    <s v="705775 - Tabela 3"/>
    <n v="2.3E-2"/>
    <n v="120"/>
    <s v=""/>
    <n v="2.5"/>
    <n v="20"/>
    <m/>
    <s v="705775 - RFN - PREF TAUA 3   PENS"/>
    <s v="1,6"/>
    <n v="10"/>
    <n v="2"/>
    <n v="500"/>
    <n v="202605"/>
    <s v="LG"/>
    <s v="1"/>
    <n v="1.6E-2"/>
    <n v="2.5000000000000001E-2"/>
    <b v="0"/>
    <s v="20260510"/>
    <n v="5"/>
  </r>
  <r>
    <x v="226"/>
    <s v="1PREF TAUA EST"/>
    <n v="1"/>
    <s v="705772 - Tabela 1"/>
    <n v="2.5000000000000001E-2"/>
    <n v="120"/>
    <s v=""/>
    <n v="2.5"/>
    <n v="20"/>
    <m/>
    <s v="705772 - RFN - PREF TAUA 1   ESTAT"/>
    <s v="1,6"/>
    <n v="10"/>
    <n v="2"/>
    <n v="500"/>
    <n v="202605"/>
    <s v="LG"/>
    <s v="1"/>
    <n v="1.6E-2"/>
    <n v="2.5000000000000001E-2"/>
    <b v="1"/>
    <s v="20260510"/>
    <n v="5"/>
  </r>
  <r>
    <x v="226"/>
    <s v="2PREF TAUA EST"/>
    <n v="2"/>
    <s v="705774 - Tabela 2"/>
    <n v="2.4E-2"/>
    <n v="120"/>
    <s v=""/>
    <n v="2.5"/>
    <n v="20"/>
    <m/>
    <s v="705774 - RFN - PREF TAUA 2   ESTAT"/>
    <s v="1,6"/>
    <n v="10"/>
    <n v="2"/>
    <n v="500"/>
    <n v="202605"/>
    <s v="LG"/>
    <s v="1"/>
    <n v="1.6E-2"/>
    <n v="2.5000000000000001E-2"/>
    <b v="0"/>
    <s v="20260510"/>
    <n v="5"/>
  </r>
  <r>
    <x v="226"/>
    <s v="3PREF TAUA EST"/>
    <n v="3"/>
    <s v="705776 - Tabela 3"/>
    <n v="2.3E-2"/>
    <n v="120"/>
    <s v=""/>
    <n v="2.5"/>
    <n v="20"/>
    <m/>
    <s v="705776 - RFN - PREF TAUA 3   ESTAT"/>
    <s v="1,6"/>
    <n v="10"/>
    <n v="2"/>
    <n v="500"/>
    <n v="202605"/>
    <s v="LG"/>
    <s v="1"/>
    <n v="1.6E-2"/>
    <n v="2.5000000000000001E-2"/>
    <b v="0"/>
    <s v="20260510"/>
    <n v="5"/>
  </r>
  <r>
    <x v="227"/>
    <s v="1PREF TAUBATE"/>
    <n v="1"/>
    <s v="782003 - Tabela 1"/>
    <n v="2.5000000000000001E-2"/>
    <n v="120"/>
    <s v=""/>
    <n v="2.5"/>
    <n v="10"/>
    <n v="53"/>
    <s v="782003 - RFN - PREF TAUBATÉ  1 "/>
    <s v="1,4"/>
    <n v="14"/>
    <n v="2"/>
    <n v="500"/>
    <n v="202605"/>
    <s v="LG"/>
    <s v="0"/>
    <n v="1.3999999999999999E-2"/>
    <n v="2.5000000000000001E-2"/>
    <b v="1"/>
    <s v="20260514"/>
    <n v="9"/>
  </r>
  <r>
    <x v="227"/>
    <s v="2PREF TAUBATE"/>
    <n v="2"/>
    <s v="782004 - Tabela 2"/>
    <n v="2.3900000000000001E-2"/>
    <n v="120"/>
    <s v=""/>
    <n v="2.5"/>
    <n v="10"/>
    <n v="34"/>
    <s v="782004 - RFN - PREF TAUBATÉ  2 "/>
    <s v="1,4"/>
    <n v="14"/>
    <n v="2"/>
    <n v="500"/>
    <n v="202605"/>
    <s v="LG"/>
    <s v="0"/>
    <n v="1.3999999999999999E-2"/>
    <n v="2.5000000000000001E-2"/>
    <b v="0"/>
    <s v="20260514"/>
    <n v="9"/>
  </r>
  <r>
    <x v="227"/>
    <s v="3PREF TAUBATE"/>
    <n v="3"/>
    <s v="782019 - Tabela 3"/>
    <n v="2.29E-2"/>
    <n v="120"/>
    <s v=""/>
    <n v="2.5"/>
    <n v="10"/>
    <n v="39"/>
    <s v="782019 - RFN - PREF TAUBATÉ  3 "/>
    <s v="1,4"/>
    <n v="14"/>
    <n v="2"/>
    <n v="500"/>
    <n v="202605"/>
    <s v="LG"/>
    <s v="0"/>
    <n v="1.3999999999999999E-2"/>
    <n v="2.5000000000000001E-2"/>
    <b v="0"/>
    <s v="20260514"/>
    <n v="9"/>
  </r>
  <r>
    <x v="227"/>
    <s v="4PREF TAUBATE"/>
    <n v="4"/>
    <s v="782020 - Tabela 4"/>
    <n v="2.1899999999999999E-2"/>
    <n v="120"/>
    <s v=""/>
    <n v="2.5"/>
    <n v="10"/>
    <n v="31"/>
    <s v="782020 - RFN - PREF TAUBATÉ  4 "/>
    <s v="1,4"/>
    <n v="14"/>
    <n v="2"/>
    <n v="500"/>
    <n v="202605"/>
    <s v="LG"/>
    <s v="0"/>
    <n v="1.3999999999999999E-2"/>
    <n v="2.5000000000000001E-2"/>
    <b v="0"/>
    <s v="20260514"/>
    <n v="9"/>
  </r>
  <r>
    <x v="227"/>
    <s v="5PREF TAUBATE"/>
    <n v="5"/>
    <s v="782021 - Tabela 5"/>
    <n v="2.0899999999999998E-2"/>
    <n v="120"/>
    <s v=""/>
    <n v="2.5"/>
    <n v="10"/>
    <n v="39"/>
    <s v="782021 - RFN - PREF TAUBATÉ  5 "/>
    <s v="1,4"/>
    <n v="14"/>
    <n v="2"/>
    <n v="500"/>
    <n v="202605"/>
    <s v="LG"/>
    <s v="0"/>
    <n v="1.3999999999999999E-2"/>
    <n v="2.5000000000000001E-2"/>
    <b v="0"/>
    <s v="20260514"/>
    <n v="9"/>
  </r>
  <r>
    <x v="227"/>
    <s v="6PREF TAUBATE"/>
    <n v="6"/>
    <s v="782029 - Tabela 6"/>
    <n v="2.0199999999999999E-2"/>
    <n v="120"/>
    <s v=""/>
    <n v="2.5"/>
    <n v="10"/>
    <n v="44"/>
    <s v="782029 - RFN - PREF TAUBATÉ  6 "/>
    <s v="1,4"/>
    <n v="14"/>
    <n v="2"/>
    <n v="500"/>
    <n v="202605"/>
    <s v="LG"/>
    <s v="0"/>
    <n v="1.3999999999999999E-2"/>
    <n v="2.5000000000000001E-2"/>
    <b v="0"/>
    <s v="20260514"/>
    <n v="9"/>
  </r>
  <r>
    <x v="228"/>
    <s v="1PREF TIETE SP"/>
    <n v="1"/>
    <s v="725041 - Tabela 1"/>
    <n v="2.5000000000000001E-2"/>
    <n v="120"/>
    <s v=""/>
    <n v="2.5"/>
    <n v="15"/>
    <m/>
    <s v="725041 - RFN - PREF TIETE  1 "/>
    <s v="1,49"/>
    <n v="14"/>
    <n v="2"/>
    <n v="500"/>
    <n v="202605"/>
    <s v="NW"/>
    <s v="1"/>
    <n v="1.49E-2"/>
    <n v="2.5000000000000001E-2"/>
    <b v="1"/>
    <s v="20260514"/>
    <n v="9"/>
  </r>
  <r>
    <x v="228"/>
    <s v="2PREF TIETE SP"/>
    <n v="2"/>
    <s v="725042 - Tabela 2"/>
    <n v="2.2000000000000002E-2"/>
    <n v="120"/>
    <s v=""/>
    <n v="2.5"/>
    <n v="15"/>
    <m/>
    <s v="725042 - RFN - PREF TIETE  2 "/>
    <s v="1,49"/>
    <n v="14"/>
    <n v="2"/>
    <n v="500"/>
    <n v="202605"/>
    <s v="NW"/>
    <s v="1"/>
    <n v="1.49E-2"/>
    <n v="2.5000000000000001E-2"/>
    <b v="0"/>
    <s v="20260514"/>
    <n v="9"/>
  </r>
  <r>
    <x v="228"/>
    <s v="3PREF TIETE SP"/>
    <n v="3"/>
    <s v="725043 - Tabela 3"/>
    <n v="2.0899999999999998E-2"/>
    <n v="120"/>
    <s v=""/>
    <n v="2.5"/>
    <n v="15"/>
    <m/>
    <s v="725043 - RFN - PREF TIETE  3 "/>
    <s v="1,49"/>
    <n v="14"/>
    <n v="2"/>
    <n v="500"/>
    <n v="202605"/>
    <s v="NW"/>
    <s v="1"/>
    <n v="1.49E-2"/>
    <n v="2.5000000000000001E-2"/>
    <b v="0"/>
    <s v="20260514"/>
    <n v="9"/>
  </r>
  <r>
    <x v="228"/>
    <s v="4PREF TIETE SP"/>
    <n v="4"/>
    <s v="725044 - Tabela 4"/>
    <n v="2.0499999999999997E-2"/>
    <n v="120"/>
    <s v=""/>
    <n v="2.5"/>
    <n v="15"/>
    <m/>
    <s v="725044 - RFN - PREF TIETE  4 "/>
    <s v="1,49"/>
    <n v="14"/>
    <n v="2"/>
    <n v="500"/>
    <n v="202605"/>
    <s v="NW"/>
    <s v="1"/>
    <n v="1.49E-2"/>
    <n v="2.5000000000000001E-2"/>
    <b v="0"/>
    <s v="20260514"/>
    <n v="9"/>
  </r>
  <r>
    <x v="228"/>
    <s v="5PREF TIETE SP"/>
    <n v="5"/>
    <s v="725045 - Tabela 5"/>
    <n v="1.9900000000000001E-2"/>
    <n v="120"/>
    <s v=""/>
    <n v="2.5"/>
    <n v="15"/>
    <m/>
    <s v="725045 - RFN - PREF TIETE  5 "/>
    <s v="1,49"/>
    <n v="14"/>
    <n v="2"/>
    <n v="500"/>
    <n v="202605"/>
    <s v="NW"/>
    <s v="1"/>
    <n v="1.49E-2"/>
    <n v="2.5000000000000001E-2"/>
    <b v="0"/>
    <s v="20260514"/>
    <n v="9"/>
  </r>
  <r>
    <x v="228"/>
    <s v="6PREF TIETE SP"/>
    <n v="6"/>
    <s v="725046 - Tabela 6"/>
    <n v="1.95E-2"/>
    <n v="120"/>
    <s v=""/>
    <n v="2.5"/>
    <n v="15"/>
    <m/>
    <s v="725046 - RFN - PREF TIETE  6 "/>
    <s v="1,49"/>
    <n v="14"/>
    <n v="2"/>
    <n v="500"/>
    <n v="202605"/>
    <s v="NW"/>
    <s v="1"/>
    <n v="1.49E-2"/>
    <n v="2.5000000000000001E-2"/>
    <b v="0"/>
    <s v="20260514"/>
    <n v="9"/>
  </r>
  <r>
    <x v="228"/>
    <s v="7PREF TIETE SP"/>
    <n v="7"/>
    <s v="725047 - Tabela 7"/>
    <n v="1.89E-2"/>
    <n v="120"/>
    <s v=""/>
    <n v="2.5"/>
    <n v="15"/>
    <m/>
    <s v="725047 - RFN - PREF TIETE  7 "/>
    <s v="1,49"/>
    <n v="14"/>
    <n v="2"/>
    <n v="500"/>
    <n v="202605"/>
    <s v="NW"/>
    <s v="1"/>
    <n v="1.49E-2"/>
    <n v="2.5000000000000001E-2"/>
    <b v="0"/>
    <s v="20260514"/>
    <n v="9"/>
  </r>
  <r>
    <x v="229"/>
    <s v="1PREF TRES PONTA"/>
    <n v="1"/>
    <s v="705721 - Tabela 1"/>
    <n v="2.2000000000000002E-2"/>
    <n v="120"/>
    <s v=""/>
    <n v="2.25"/>
    <n v="13"/>
    <m/>
    <s v="705721 - RFN - PREF TRES PONTAS 1 "/>
    <s v="1,5"/>
    <n v="15"/>
    <n v="2"/>
    <n v="500"/>
    <n v="202605"/>
    <s v="LG"/>
    <s v="0"/>
    <n v="1.4999999999999999E-2"/>
    <n v="2.2499999999999999E-2"/>
    <b v="0"/>
    <s v="20260515"/>
    <n v="10"/>
  </r>
  <r>
    <x v="229"/>
    <s v="2PREF TRES PONTA"/>
    <n v="2"/>
    <s v="705722 - Tabela 2"/>
    <n v="2.1000000000000001E-2"/>
    <n v="120"/>
    <s v=""/>
    <n v="2.25"/>
    <n v="13"/>
    <m/>
    <s v="705722 - RFN - PREF TRES PONTAS 2 "/>
    <s v="1,5"/>
    <n v="15"/>
    <n v="2"/>
    <n v="500"/>
    <n v="202605"/>
    <s v="LG"/>
    <s v="0"/>
    <n v="1.4999999999999999E-2"/>
    <n v="2.2499999999999999E-2"/>
    <b v="0"/>
    <s v="20260515"/>
    <n v="10"/>
  </r>
  <r>
    <x v="229"/>
    <s v="3PREF TRES PONTA"/>
    <n v="3"/>
    <s v="705723 - Tabela 3"/>
    <n v="0.02"/>
    <n v="120"/>
    <s v=""/>
    <n v="2.25"/>
    <n v="13"/>
    <m/>
    <s v="705723 - RFN - PREF TRES PONTAS 3 "/>
    <s v="1,5"/>
    <n v="15"/>
    <n v="2"/>
    <n v="500"/>
    <n v="202605"/>
    <s v="LG"/>
    <s v="0"/>
    <n v="1.4999999999999999E-2"/>
    <n v="2.2499999999999999E-2"/>
    <b v="0"/>
    <s v="20260515"/>
    <n v="10"/>
  </r>
  <r>
    <x v="230"/>
    <s v="1PREF TRINDADE"/>
    <n v="1"/>
    <s v="725351 - Tabela 1"/>
    <n v="2.2000000000000002E-2"/>
    <n v="96"/>
    <s v=""/>
    <n v="2.4"/>
    <n v="11"/>
    <m/>
    <s v="725351 - RFN - PREF TRINDADE 1 "/>
    <s v="1,35"/>
    <n v="10"/>
    <n v="2"/>
    <n v="500"/>
    <n v="202605"/>
    <s v="LG"/>
    <s v="1"/>
    <n v="1.3500000000000002E-2"/>
    <n v="2.4E-2"/>
    <b v="0"/>
    <s v="20260510"/>
    <n v="5"/>
  </r>
  <r>
    <x v="230"/>
    <s v="2PREF TRINDADE"/>
    <n v="2"/>
    <s v="725352 - Tabela 2"/>
    <n v="2.1000000000000001E-2"/>
    <n v="96"/>
    <s v=""/>
    <n v="2.4"/>
    <n v="11"/>
    <m/>
    <s v="725352 - RFN - PREF TRINDADE 2 "/>
    <s v="1,35"/>
    <n v="10"/>
    <n v="2"/>
    <n v="500"/>
    <n v="202605"/>
    <s v="LG"/>
    <s v="1"/>
    <n v="1.3500000000000002E-2"/>
    <n v="2.4E-2"/>
    <b v="0"/>
    <s v="20260510"/>
    <n v="5"/>
  </r>
  <r>
    <x v="230"/>
    <s v="3PREF TRINDADE"/>
    <n v="3"/>
    <s v="725353 - Tabela 3"/>
    <n v="0.02"/>
    <n v="96"/>
    <s v=""/>
    <n v="2.4"/>
    <n v="11"/>
    <m/>
    <s v="725353 - RFN - PREF TRINDADE 3 "/>
    <s v="1,35"/>
    <n v="10"/>
    <n v="2"/>
    <n v="500"/>
    <n v="202605"/>
    <s v="LG"/>
    <s v="1"/>
    <n v="1.3500000000000002E-2"/>
    <n v="2.4E-2"/>
    <b v="0"/>
    <s v="20260510"/>
    <n v="5"/>
  </r>
  <r>
    <x v="231"/>
    <s v="1PREF UBATUBA"/>
    <n v="1"/>
    <s v="795551 - Tabela 1"/>
    <n v="2.5000000000000001E-2"/>
    <n v="96"/>
    <s v=""/>
    <n v="2.5"/>
    <n v="15"/>
    <n v="57"/>
    <s v="795551 - RFN - PREF UBATUBA  1 "/>
    <s v="1,75"/>
    <n v="10"/>
    <n v="2"/>
    <n v="500"/>
    <n v="202605"/>
    <s v="LG"/>
    <s v="1"/>
    <n v="1.7500000000000002E-2"/>
    <n v="2.5000000000000001E-2"/>
    <b v="1"/>
    <s v="20260510"/>
    <n v="5"/>
  </r>
  <r>
    <x v="231"/>
    <s v="2PREF UBATUBA"/>
    <n v="2"/>
    <s v="795552 - Tabela 2"/>
    <n v="2.3900000000000001E-2"/>
    <n v="96"/>
    <s v=""/>
    <n v="2.5"/>
    <n v="15"/>
    <n v="57"/>
    <s v="795552 - RFN - PREF UBATUBA  2 "/>
    <s v="1,75"/>
    <n v="10"/>
    <n v="2"/>
    <n v="500"/>
    <n v="202605"/>
    <s v="LG"/>
    <s v="1"/>
    <n v="1.7500000000000002E-2"/>
    <n v="2.5000000000000001E-2"/>
    <b v="0"/>
    <s v="20260510"/>
    <n v="5"/>
  </r>
  <r>
    <x v="231"/>
    <s v="3PREF UBATUBA"/>
    <n v="3"/>
    <s v="795553 - Tabela 3"/>
    <n v="2.29E-2"/>
    <n v="96"/>
    <s v=""/>
    <n v="2.5"/>
    <n v="15"/>
    <n v="57"/>
    <s v="795553 - RFN - PREF UBATUBA  3 "/>
    <s v="1,75"/>
    <n v="10"/>
    <n v="2"/>
    <n v="500"/>
    <n v="202605"/>
    <s v="LG"/>
    <s v="1"/>
    <n v="1.7500000000000002E-2"/>
    <n v="2.5000000000000001E-2"/>
    <b v="0"/>
    <s v="20260510"/>
    <n v="5"/>
  </r>
  <r>
    <x v="231"/>
    <s v="4PREF UBATUBA"/>
    <n v="4"/>
    <s v="795554 - Tabela 4"/>
    <n v="2.1899999999999999E-2"/>
    <n v="96"/>
    <s v=""/>
    <n v="2.5"/>
    <n v="15"/>
    <n v="57"/>
    <s v="795554 - RFN - PREF UBATUBA  4 "/>
    <s v="1,75"/>
    <n v="10"/>
    <n v="2"/>
    <n v="500"/>
    <n v="202605"/>
    <s v="LG"/>
    <s v="1"/>
    <n v="1.7500000000000002E-2"/>
    <n v="2.5000000000000001E-2"/>
    <b v="0"/>
    <s v="20260510"/>
    <n v="5"/>
  </r>
  <r>
    <x v="231"/>
    <s v="5PREF UBATUBA"/>
    <n v="5"/>
    <s v="795555 - Tabela 5"/>
    <n v="2.12E-2"/>
    <n v="96"/>
    <s v=""/>
    <n v="2.5"/>
    <n v="15"/>
    <n v="57"/>
    <s v="795555 - RFN - PREF UBATUBA  5 "/>
    <s v="1,75"/>
    <n v="10"/>
    <n v="2"/>
    <n v="500"/>
    <n v="202605"/>
    <s v="LG"/>
    <s v="1"/>
    <n v="1.7500000000000002E-2"/>
    <n v="2.5000000000000001E-2"/>
    <b v="0"/>
    <s v="20260510"/>
    <n v="5"/>
  </r>
  <r>
    <x v="232"/>
    <s v="1PREF UBERABA"/>
    <n v="1"/>
    <s v="725061 - Tabela 1"/>
    <n v="2.2000000000000002E-2"/>
    <n v="120"/>
    <s v=""/>
    <n v="2.35"/>
    <n v="28"/>
    <n v="67"/>
    <s v="725061 - RFN - PREF UBERABA  1 "/>
    <s v="1,5"/>
    <n v="10"/>
    <n v="2"/>
    <n v="500"/>
    <n v="202605"/>
    <s v="LG"/>
    <s v="1"/>
    <n v="1.4999999999999999E-2"/>
    <n v="2.35E-2"/>
    <b v="0"/>
    <s v="20260510"/>
    <n v="5"/>
  </r>
  <r>
    <x v="232"/>
    <s v="2PREF UBERABA"/>
    <n v="2"/>
    <s v="725062 - Tabela 2"/>
    <n v="2.1000000000000001E-2"/>
    <n v="120"/>
    <s v=""/>
    <n v="2.35"/>
    <n v="28"/>
    <n v="75"/>
    <s v="725062 - RFN - PREF UBERABA  2 "/>
    <s v="1,5"/>
    <n v="10"/>
    <n v="2"/>
    <n v="500"/>
    <n v="202605"/>
    <s v="LG"/>
    <s v="1"/>
    <n v="1.4999999999999999E-2"/>
    <n v="2.35E-2"/>
    <b v="0"/>
    <s v="20260510"/>
    <n v="5"/>
  </r>
  <r>
    <x v="232"/>
    <s v="3PREF UBERABA"/>
    <n v="3"/>
    <s v="725063 - Tabela 3"/>
    <n v="0.02"/>
    <n v="120"/>
    <s v=""/>
    <n v="2.35"/>
    <n v="28"/>
    <n v="72"/>
    <s v="725063 - RFN - PREF UBERABA  3 "/>
    <s v="1,5"/>
    <n v="10"/>
    <n v="2"/>
    <n v="500"/>
    <n v="202605"/>
    <s v="LG"/>
    <s v="1"/>
    <n v="1.4999999999999999E-2"/>
    <n v="2.35E-2"/>
    <b v="0"/>
    <s v="20260510"/>
    <n v="5"/>
  </r>
  <r>
    <x v="233"/>
    <s v="1PREF UBERLANDIA"/>
    <n v="1"/>
    <s v="725141 - Tabela 1"/>
    <n v="2.07E-2"/>
    <n v="120"/>
    <s v=""/>
    <n v="2.25"/>
    <n v="25"/>
    <n v="57"/>
    <s v="725141 - RFN - PREF UBERLANDIA   1 "/>
    <s v="1,5"/>
    <n v="15"/>
    <n v="2"/>
    <n v="500"/>
    <n v="202605"/>
    <s v="LG"/>
    <s v="1"/>
    <n v="1.4999999999999999E-2"/>
    <n v="2.2499999999999999E-2"/>
    <b v="0"/>
    <s v="20260515"/>
    <n v="10"/>
  </r>
  <r>
    <x v="233"/>
    <s v="2PREF UBERLANDIA"/>
    <n v="2"/>
    <s v="725142 - Tabela 2"/>
    <n v="1.9699999999999999E-2"/>
    <n v="120"/>
    <s v=""/>
    <n v="2.25"/>
    <n v="25"/>
    <n v="57"/>
    <s v="725142 - RFN - PREF UBERLANDIA   2 "/>
    <s v="1,5"/>
    <n v="15"/>
    <n v="2"/>
    <n v="500"/>
    <n v="202605"/>
    <s v="LG"/>
    <s v="1"/>
    <n v="1.4999999999999999E-2"/>
    <n v="2.2499999999999999E-2"/>
    <b v="0"/>
    <s v="20260515"/>
    <n v="10"/>
  </r>
  <r>
    <x v="233"/>
    <s v="3PREF UBERLANDIA"/>
    <n v="3"/>
    <s v="725143 - Tabela 3"/>
    <n v="1.9E-2"/>
    <n v="120"/>
    <s v=""/>
    <n v="2.25"/>
    <n v="25"/>
    <n v="53"/>
    <s v="725143 - RFN - PREF UBERLANDIA   3 "/>
    <s v="1,5"/>
    <n v="15"/>
    <n v="2"/>
    <n v="500"/>
    <n v="202605"/>
    <s v="LG"/>
    <s v="1"/>
    <n v="1.4999999999999999E-2"/>
    <n v="2.2499999999999999E-2"/>
    <b v="0"/>
    <s v="20260515"/>
    <n v="10"/>
  </r>
  <r>
    <x v="234"/>
    <s v="1PREF V GRANDE"/>
    <n v="1"/>
    <s v="755051 - Tabela 1"/>
    <n v="2.5000000000000001E-2"/>
    <n v="96"/>
    <s v=""/>
    <n v="2.5"/>
    <n v="10"/>
    <n v="46"/>
    <s v="755051 - RFN - PREF VARZEA GRANDE  1 "/>
    <s v="1,4"/>
    <n v="10"/>
    <n v="2"/>
    <n v="500"/>
    <n v="202605"/>
    <s v="LG"/>
    <s v="0"/>
    <n v="1.3999999999999999E-2"/>
    <n v="2.5000000000000001E-2"/>
    <b v="1"/>
    <s v="20260510"/>
    <n v="5"/>
  </r>
  <r>
    <x v="234"/>
    <s v="2PREF V GRANDE"/>
    <n v="2"/>
    <s v="755052 - Tabela 2"/>
    <n v="2.2499999999999999E-2"/>
    <n v="96"/>
    <s v=""/>
    <n v="2.5"/>
    <n v="10"/>
    <m/>
    <s v="755052 - RFN - PREF VARZEA GRANDE  2 "/>
    <s v="1,4"/>
    <n v="10"/>
    <n v="2"/>
    <n v="500"/>
    <n v="202605"/>
    <s v="LG"/>
    <s v="0"/>
    <n v="1.3999999999999999E-2"/>
    <n v="2.5000000000000001E-2"/>
    <b v="0"/>
    <s v="20260510"/>
    <n v="5"/>
  </r>
  <r>
    <x v="234"/>
    <s v="3PREF V GRANDE"/>
    <n v="3"/>
    <s v="755053 - Tabela 3"/>
    <n v="2.2000000000000002E-2"/>
    <n v="96"/>
    <s v=""/>
    <n v="2.5"/>
    <n v="10"/>
    <m/>
    <s v="755053 - RFN - PREF VARZEA GRANDE  3 "/>
    <s v="1,4"/>
    <n v="10"/>
    <n v="2"/>
    <n v="500"/>
    <n v="202605"/>
    <s v="LG"/>
    <s v="0"/>
    <n v="1.3999999999999999E-2"/>
    <n v="2.5000000000000001E-2"/>
    <b v="0"/>
    <s v="20260510"/>
    <n v="5"/>
  </r>
  <r>
    <x v="234"/>
    <s v="4PREF V GRANDE"/>
    <n v="4"/>
    <s v="755054 - Tabela 4"/>
    <n v="2.12E-2"/>
    <n v="96"/>
    <s v=""/>
    <n v="2.5"/>
    <n v="10"/>
    <m/>
    <s v="755054 - RFN - PREF VARZEA GRANDE  4 "/>
    <s v="1,4"/>
    <n v="10"/>
    <n v="2"/>
    <n v="500"/>
    <n v="202605"/>
    <s v="LG"/>
    <s v="0"/>
    <n v="1.3999999999999999E-2"/>
    <n v="2.5000000000000001E-2"/>
    <b v="0"/>
    <s v="20260510"/>
    <n v="5"/>
  </r>
  <r>
    <x v="234"/>
    <s v="5PREF V GRANDE"/>
    <n v="5"/>
    <s v="755055 - Tabela 5"/>
    <n v="0.02"/>
    <n v="96"/>
    <s v=""/>
    <n v="2.5"/>
    <n v="10"/>
    <m/>
    <s v="755055 - RFN - PREF VARZEA GRANDE  5 "/>
    <s v="1,4"/>
    <n v="10"/>
    <n v="2"/>
    <n v="500"/>
    <n v="202605"/>
    <s v="LG"/>
    <s v="0"/>
    <n v="1.3999999999999999E-2"/>
    <n v="2.5000000000000001E-2"/>
    <b v="0"/>
    <s v="20260510"/>
    <n v="5"/>
  </r>
  <r>
    <x v="234"/>
    <s v="6PREF V GRANDE"/>
    <n v="6"/>
    <s v="755056 - Tabela 6"/>
    <n v="1.95E-2"/>
    <n v="96"/>
    <s v=""/>
    <n v="2.5"/>
    <n v="10"/>
    <m/>
    <s v="755056 - RFN - PREF VARZEA GRANDE  6 "/>
    <s v="1,4"/>
    <n v="10"/>
    <n v="2"/>
    <n v="500"/>
    <n v="202605"/>
    <s v="LG"/>
    <s v="0"/>
    <n v="1.3999999999999999E-2"/>
    <n v="2.5000000000000001E-2"/>
    <b v="0"/>
    <s v="20260510"/>
    <n v="5"/>
  </r>
  <r>
    <x v="235"/>
    <s v="1PREF VALPARAISO"/>
    <n v="1"/>
    <s v="735120 - Tabela 1"/>
    <n v="2.5000000000000001E-2"/>
    <n v="96"/>
    <s v=""/>
    <n v="2.5"/>
    <n v="15"/>
    <n v="46"/>
    <s v="735120 - RFN - PREF VALPARAISO 1  "/>
    <s v="1,43"/>
    <n v="15"/>
    <n v="2"/>
    <n v="500"/>
    <n v="202605"/>
    <s v="LG"/>
    <s v="1"/>
    <n v="1.43E-2"/>
    <n v="2.5000000000000001E-2"/>
    <b v="1"/>
    <s v="20260515"/>
    <n v="10"/>
  </r>
  <r>
    <x v="235"/>
    <s v="2PREF VALPARAISO"/>
    <n v="2"/>
    <s v="735121 - Tabela 2"/>
    <n v="2.3E-2"/>
    <n v="96"/>
    <s v=""/>
    <n v="2.5"/>
    <n v="15"/>
    <m/>
    <s v="735121 - RFN - PREF VALPARAISO 2  "/>
    <s v="1,43"/>
    <n v="15"/>
    <n v="2"/>
    <n v="500"/>
    <n v="202605"/>
    <s v="LG"/>
    <s v="1"/>
    <n v="1.43E-2"/>
    <n v="2.5000000000000001E-2"/>
    <b v="0"/>
    <s v="20260515"/>
    <n v="10"/>
  </r>
  <r>
    <x v="235"/>
    <s v="3PREF VALPARAISO"/>
    <n v="3"/>
    <s v="735122 - Tabela 3"/>
    <n v="2.2499999999999999E-2"/>
    <n v="96"/>
    <s v=""/>
    <n v="2.5"/>
    <n v="15"/>
    <n v="48"/>
    <s v="735122 - RFN - PREF VALPARAISO 3  "/>
    <s v="1,43"/>
    <n v="15"/>
    <n v="2"/>
    <n v="500"/>
    <n v="202605"/>
    <s v="LG"/>
    <s v="1"/>
    <n v="1.43E-2"/>
    <n v="2.5000000000000001E-2"/>
    <b v="0"/>
    <s v="20260515"/>
    <n v="10"/>
  </r>
  <r>
    <x v="235"/>
    <s v="4PREF VALPARAISO"/>
    <n v="4"/>
    <s v="735123 - Tabela 4"/>
    <n v="2.2000000000000002E-2"/>
    <n v="96"/>
    <s v=""/>
    <n v="2.5"/>
    <n v="15"/>
    <m/>
    <s v="735123 - RFN - PREF VALPARAISO 4  "/>
    <s v="1,43"/>
    <n v="15"/>
    <n v="2"/>
    <n v="500"/>
    <n v="202605"/>
    <s v="LG"/>
    <s v="1"/>
    <n v="1.43E-2"/>
    <n v="2.5000000000000001E-2"/>
    <b v="0"/>
    <s v="20260515"/>
    <n v="10"/>
  </r>
  <r>
    <x v="235"/>
    <s v="5PREF VALPARAISO"/>
    <n v="5"/>
    <s v="735124 - Tabela 5"/>
    <n v="2.1499999999999998E-2"/>
    <n v="96"/>
    <s v=""/>
    <n v="2.5"/>
    <n v="15"/>
    <m/>
    <s v="735124 - RFN - PREF VALPARAISO 5  "/>
    <s v="1,43"/>
    <n v="15"/>
    <n v="2"/>
    <n v="500"/>
    <n v="202605"/>
    <s v="LG"/>
    <s v="1"/>
    <n v="1.43E-2"/>
    <n v="2.5000000000000001E-2"/>
    <b v="0"/>
    <s v="20260515"/>
    <n v="10"/>
  </r>
  <r>
    <x v="235"/>
    <s v="6PREF VALPARAISO"/>
    <n v="6"/>
    <s v="735125 - Tabela 6"/>
    <n v="2.1499999999999998E-2"/>
    <n v="96"/>
    <s v=""/>
    <n v="2.5"/>
    <n v="15"/>
    <m/>
    <s v="735125 - RFN - PREF VALPARAISO 6  "/>
    <s v="1,43"/>
    <n v="15"/>
    <n v="2"/>
    <n v="500"/>
    <n v="202605"/>
    <s v="LG"/>
    <s v="1"/>
    <n v="1.43E-2"/>
    <n v="2.5000000000000001E-2"/>
    <b v="0"/>
    <s v="20260515"/>
    <n v="10"/>
  </r>
  <r>
    <x v="235"/>
    <s v="7PREF VALPARAISO"/>
    <n v="7"/>
    <s v="735126 - Tabela 7"/>
    <n v="2.1000000000000001E-2"/>
    <n v="96"/>
    <s v=""/>
    <n v="2.5"/>
    <n v="15"/>
    <m/>
    <s v="735126 - RFN - PREF VALPARAISO 7  "/>
    <s v="1,43"/>
    <n v="15"/>
    <n v="2"/>
    <n v="500"/>
    <n v="202605"/>
    <s v="LG"/>
    <s v="1"/>
    <n v="1.43E-2"/>
    <n v="2.5000000000000001E-2"/>
    <b v="0"/>
    <s v="20260515"/>
    <n v="10"/>
  </r>
  <r>
    <x v="235"/>
    <s v="8PREF VALPARAISO"/>
    <n v="8"/>
    <s v="735127 - Tabela 8"/>
    <n v="2.0499999999999997E-2"/>
    <n v="96"/>
    <s v=""/>
    <n v="2.5"/>
    <n v="15"/>
    <m/>
    <s v="735127 - RFN - PREF VALPARAISO 8  "/>
    <s v="1,43"/>
    <n v="15"/>
    <n v="2"/>
    <n v="500"/>
    <n v="202605"/>
    <s v="LG"/>
    <s v="1"/>
    <n v="1.43E-2"/>
    <n v="2.5000000000000001E-2"/>
    <b v="0"/>
    <s v="20260515"/>
    <n v="10"/>
  </r>
  <r>
    <x v="235"/>
    <s v="9PREF VALPARAISO"/>
    <n v="9"/>
    <s v="735128 - Tabela 9"/>
    <n v="0.02"/>
    <n v="96"/>
    <s v=""/>
    <n v="2.5"/>
    <n v="15"/>
    <m/>
    <s v="735128 - RFN - PREF VALPARAISO 9  "/>
    <s v="1,43"/>
    <n v="15"/>
    <n v="2"/>
    <n v="500"/>
    <n v="202605"/>
    <s v="LG"/>
    <s v="1"/>
    <n v="1.43E-2"/>
    <n v="2.5000000000000001E-2"/>
    <b v="0"/>
    <s v="20260515"/>
    <n v="10"/>
  </r>
  <r>
    <x v="235"/>
    <s v="10PREF VALPARAISO"/>
    <n v="10"/>
    <s v="735129 - Tabela 10"/>
    <n v="1.95E-2"/>
    <n v="96"/>
    <s v=""/>
    <n v="2.5"/>
    <n v="15"/>
    <m/>
    <s v="735129 - RFN - PREF VALPARAISO 10  "/>
    <s v="1,43"/>
    <n v="15"/>
    <n v="2"/>
    <n v="500"/>
    <n v="202605"/>
    <s v="LG"/>
    <s v="1"/>
    <n v="1.43E-2"/>
    <n v="2.5000000000000001E-2"/>
    <b v="0"/>
    <s v="20260515"/>
    <n v="10"/>
  </r>
  <r>
    <x v="235"/>
    <s v="11PREF VALPARAISO"/>
    <n v="11"/>
    <s v="735130 - Tabela 11"/>
    <n v="1.9E-2"/>
    <n v="96"/>
    <s v=""/>
    <n v="2.5"/>
    <n v="15"/>
    <m/>
    <s v="735130 - RFN - PREF VALPARAISO 11  "/>
    <s v="1,43"/>
    <n v="15"/>
    <n v="2"/>
    <n v="500"/>
    <n v="202605"/>
    <s v="LG"/>
    <s v="1"/>
    <n v="1.43E-2"/>
    <n v="2.5000000000000001E-2"/>
    <b v="0"/>
    <s v="20260515"/>
    <n v="10"/>
  </r>
  <r>
    <x v="235"/>
    <s v="12PREF VALPARAISO"/>
    <n v="12"/>
    <s v="735134 - Tabela 12"/>
    <n v="1.8500000000000003E-2"/>
    <n v="96"/>
    <s v=""/>
    <n v="2.5"/>
    <n v="15"/>
    <m/>
    <s v="735134 - RFN - PREF VALPARAISO 12  "/>
    <s v="1,43"/>
    <n v="15"/>
    <n v="2"/>
    <n v="500"/>
    <n v="202605"/>
    <s v="LG"/>
    <s v="1"/>
    <n v="1.43E-2"/>
    <n v="2.5000000000000001E-2"/>
    <b v="0"/>
    <s v="20260515"/>
    <n v="10"/>
  </r>
  <r>
    <x v="235"/>
    <s v="13PREF VALPARAISO"/>
    <n v="13"/>
    <s v="735135 - Tabela 13"/>
    <n v="1.8000000000000002E-2"/>
    <n v="96"/>
    <s v=""/>
    <n v="2.5"/>
    <n v="15"/>
    <m/>
    <s v="735135 - RFN - PREF VALPARAISO 13  "/>
    <s v="1,43"/>
    <n v="15"/>
    <n v="2"/>
    <n v="500"/>
    <n v="202605"/>
    <s v="LG"/>
    <s v="1"/>
    <n v="1.43E-2"/>
    <n v="2.5000000000000001E-2"/>
    <b v="0"/>
    <s v="20260515"/>
    <n v="10"/>
  </r>
  <r>
    <x v="236"/>
    <s v="1PREF VERA CRUZ"/>
    <n v="1"/>
    <s v="795771 - Tabela 1"/>
    <n v="2.5000000000000001E-2"/>
    <n v="120"/>
    <s v=""/>
    <n v="2.5"/>
    <n v="11"/>
    <m/>
    <s v="795771 - RFN - PREF VERA CRUZ 1 "/>
    <s v="1,52"/>
    <n v="15"/>
    <n v="2"/>
    <n v="500"/>
    <n v="202605"/>
    <s v="LG"/>
    <s v="0"/>
    <n v="1.52E-2"/>
    <n v="2.5000000000000001E-2"/>
    <b v="1"/>
    <s v="20260515"/>
    <n v="10"/>
  </r>
  <r>
    <x v="236"/>
    <s v="2PREF VERA CRUZ"/>
    <n v="2"/>
    <s v="795772 - Tabela 2"/>
    <n v="2.1099999999999997E-2"/>
    <n v="120"/>
    <s v=""/>
    <n v="2.5"/>
    <n v="11"/>
    <m/>
    <s v="795772 - RFN - PREF VERA CRUZ 2 "/>
    <s v="1,52"/>
    <n v="15"/>
    <n v="2"/>
    <n v="500"/>
    <n v="202605"/>
    <s v="LG"/>
    <s v="0"/>
    <n v="1.52E-2"/>
    <n v="2.5000000000000001E-2"/>
    <b v="0"/>
    <s v="20260515"/>
    <n v="10"/>
  </r>
  <r>
    <x v="236"/>
    <s v="3PREF VERA CRUZ"/>
    <n v="3"/>
    <s v="795773 - Tabela 3"/>
    <n v="2.0499999999999997E-2"/>
    <n v="120"/>
    <s v=""/>
    <n v="2.5"/>
    <n v="11"/>
    <m/>
    <s v="795773 - RFN - PREF VERA CRUZ 3 "/>
    <s v="1,52"/>
    <n v="15"/>
    <n v="2"/>
    <n v="500"/>
    <n v="202605"/>
    <s v="LG"/>
    <s v="0"/>
    <n v="1.52E-2"/>
    <n v="2.5000000000000001E-2"/>
    <b v="0"/>
    <s v="20260515"/>
    <n v="10"/>
  </r>
  <r>
    <x v="236"/>
    <s v="4PREF VERA CRUZ"/>
    <n v="4"/>
    <s v="795774 - Tabela 4"/>
    <n v="1.9900000000000001E-2"/>
    <n v="120"/>
    <s v=""/>
    <n v="2.5"/>
    <n v="11"/>
    <m/>
    <s v="795774 - RFN - PREF VERA CRUZ 4 "/>
    <s v="1,52"/>
    <n v="15"/>
    <n v="2"/>
    <n v="500"/>
    <n v="202605"/>
    <s v="LG"/>
    <s v="0"/>
    <n v="1.52E-2"/>
    <n v="2.5000000000000001E-2"/>
    <b v="0"/>
    <s v="20260515"/>
    <n v="10"/>
  </r>
  <r>
    <x v="237"/>
    <s v="1PREF VIAMAO"/>
    <n v="1"/>
    <s v="725171 - Tabela 1"/>
    <n v="1.8500000000000003E-2"/>
    <n v="120"/>
    <s v=""/>
    <n v="1.85"/>
    <n v="10"/>
    <m/>
    <s v="725171 - RFN - PREF VIAMAO  1 "/>
    <s v="1,37"/>
    <n v="15"/>
    <n v="2"/>
    <n v="500"/>
    <n v="202605"/>
    <s v="LG"/>
    <s v="0"/>
    <n v="1.37E-2"/>
    <n v="1.8500000000000003E-2"/>
    <b v="1"/>
    <s v="20260515"/>
    <n v="10"/>
  </r>
  <r>
    <x v="237"/>
    <s v="2PREF VIAMAO"/>
    <n v="2"/>
    <s v="725172 - Tabela 2"/>
    <n v="1.8000000000000002E-2"/>
    <n v="120"/>
    <s v=""/>
    <n v="1.85"/>
    <n v="10"/>
    <n v="40"/>
    <s v="725172 - RFN - PREF VIAMAO  2 "/>
    <s v="1,37"/>
    <n v="15"/>
    <n v="2"/>
    <n v="500"/>
    <n v="202605"/>
    <s v="LG"/>
    <s v="0"/>
    <n v="1.37E-2"/>
    <n v="1.8500000000000003E-2"/>
    <b v="0"/>
    <s v="20260515"/>
    <n v="10"/>
  </r>
  <r>
    <x v="237"/>
    <s v="3PREF VIAMAO"/>
    <n v="3"/>
    <s v="725173 - Tabela 3"/>
    <n v="1.7500000000000002E-2"/>
    <n v="120"/>
    <s v=""/>
    <n v="1.85"/>
    <n v="10"/>
    <n v="34"/>
    <s v="725173 - RFN - PREF VIAMAO  3 "/>
    <s v="1,37"/>
    <n v="15"/>
    <n v="2"/>
    <n v="500"/>
    <n v="202605"/>
    <s v="LG"/>
    <s v="0"/>
    <n v="1.37E-2"/>
    <n v="1.8500000000000003E-2"/>
    <b v="0"/>
    <s v="20260515"/>
    <n v="10"/>
  </r>
  <r>
    <x v="237"/>
    <s v="4PREF VIAMAO"/>
    <n v="4"/>
    <s v="725174 - Tabela 4"/>
    <n v="1.7000000000000001E-2"/>
    <n v="120"/>
    <s v=""/>
    <n v="1.85"/>
    <n v="10"/>
    <n v="39"/>
    <s v="725174 - RFN - PREF VIAMAO  4 "/>
    <s v="1,37"/>
    <n v="15"/>
    <n v="2"/>
    <n v="500"/>
    <n v="202605"/>
    <s v="LG"/>
    <s v="0"/>
    <n v="1.37E-2"/>
    <n v="1.8500000000000003E-2"/>
    <b v="0"/>
    <s v="20260515"/>
    <n v="10"/>
  </r>
  <r>
    <x v="237"/>
    <s v="5PREF VIAMAO"/>
    <n v="5"/>
    <s v="725175 - Tabela 530"/>
    <n v="1.6500000000000001E-2"/>
    <n v="120"/>
    <s v=""/>
    <n v="1.85"/>
    <n v="10"/>
    <n v="41"/>
    <s v="725175 - RFN - PREF VIAMAO  5 30K "/>
    <s v="1,37"/>
    <n v="15"/>
    <n v="2"/>
    <n v="30000"/>
    <n v="202605"/>
    <s v="LG"/>
    <s v="0"/>
    <n v="1.37E-2"/>
    <n v="1.8500000000000003E-2"/>
    <b v="0"/>
    <s v="20260515"/>
    <n v="10"/>
  </r>
  <r>
    <x v="237"/>
    <s v="6PREF VIAMAO"/>
    <n v="6"/>
    <s v="725176 - Tabela 6"/>
    <n v="1.6299999999999999E-2"/>
    <n v="120"/>
    <s v=""/>
    <n v="1.85"/>
    <n v="10"/>
    <n v="39"/>
    <s v="725176 - RFN - PREF VIAMAO  6 50K "/>
    <s v="1,37"/>
    <n v="15"/>
    <n v="2"/>
    <n v="50000"/>
    <n v="202605"/>
    <s v="LG"/>
    <s v="0"/>
    <n v="1.37E-2"/>
    <n v="1.8500000000000003E-2"/>
    <b v="0"/>
    <s v="20260515"/>
    <n v="10"/>
  </r>
  <r>
    <x v="238"/>
    <s v="1PREF VIAMAO CLT"/>
    <n v="1"/>
    <s v="725185 - Tabela 1"/>
    <n v="1.8500000000000003E-2"/>
    <n v="120"/>
    <s v=""/>
    <n v="1.85"/>
    <n v="10"/>
    <m/>
    <s v="725185 - RFN - PREF VIAMAO  1  CLT"/>
    <s v="1,37"/>
    <n v="15"/>
    <n v="2"/>
    <n v="500"/>
    <n v="202605"/>
    <s v="LG"/>
    <s v="0"/>
    <n v="1.37E-2"/>
    <n v="1.8500000000000003E-2"/>
    <b v="1"/>
    <s v="20260515"/>
    <n v="10"/>
  </r>
  <r>
    <x v="238"/>
    <s v="2PREF VIAMAO CLT"/>
    <n v="2"/>
    <s v="725186 - Tabela 2"/>
    <n v="1.8000000000000002E-2"/>
    <n v="120"/>
    <s v=""/>
    <n v="1.85"/>
    <n v="10"/>
    <n v="38"/>
    <s v="725186 - RFN - PREF VIAMAO  2  CLT"/>
    <s v="1,37"/>
    <n v="15"/>
    <n v="2"/>
    <n v="500"/>
    <n v="202605"/>
    <s v="LG"/>
    <s v="0"/>
    <n v="1.37E-2"/>
    <n v="1.8500000000000003E-2"/>
    <b v="0"/>
    <s v="20260515"/>
    <n v="10"/>
  </r>
  <r>
    <x v="238"/>
    <s v="3PREF VIAMAO CLT"/>
    <n v="3"/>
    <s v="725187 - Tabela 3"/>
    <n v="1.7500000000000002E-2"/>
    <n v="120"/>
    <s v=""/>
    <n v="1.85"/>
    <n v="10"/>
    <m/>
    <s v="725187 - RFN - PREF VIAMAO  3  CLT"/>
    <s v="1,37"/>
    <n v="15"/>
    <n v="2"/>
    <n v="500"/>
    <n v="202605"/>
    <s v="LG"/>
    <s v="0"/>
    <n v="1.37E-2"/>
    <n v="1.8500000000000003E-2"/>
    <b v="0"/>
    <s v="20260515"/>
    <n v="10"/>
  </r>
  <r>
    <x v="238"/>
    <s v="4PREF VIAMAO CLT"/>
    <n v="4"/>
    <s v="725188 - Tabela 4"/>
    <n v="1.7000000000000001E-2"/>
    <n v="120"/>
    <s v=""/>
    <n v="1.85"/>
    <n v="10"/>
    <n v="31"/>
    <s v="725188 - RFN - PREF VIAMAO  4  CLT"/>
    <s v="1,37"/>
    <n v="15"/>
    <n v="2"/>
    <n v="500"/>
    <n v="202605"/>
    <s v="LG"/>
    <s v="0"/>
    <n v="1.37E-2"/>
    <n v="1.8500000000000003E-2"/>
    <b v="0"/>
    <s v="20260515"/>
    <n v="10"/>
  </r>
  <r>
    <x v="238"/>
    <s v="5PREF VIAMAO CLT"/>
    <n v="5"/>
    <s v="725189 - Tabela 530"/>
    <n v="1.6500000000000001E-2"/>
    <n v="120"/>
    <s v=""/>
    <n v="1.85"/>
    <n v="10"/>
    <n v="30"/>
    <s v="725189 - RFN - PREF VIAMAO  5 30K  CLT"/>
    <s v="1,37"/>
    <n v="15"/>
    <n v="2"/>
    <n v="500"/>
    <n v="202605"/>
    <s v="LG"/>
    <s v="0"/>
    <n v="1.37E-2"/>
    <n v="1.8500000000000003E-2"/>
    <b v="0"/>
    <s v="20260515"/>
    <n v="10"/>
  </r>
  <r>
    <x v="238"/>
    <s v="6PREF VIAMAO CLT"/>
    <n v="6"/>
    <s v="725190 - Tabela 6"/>
    <n v="1.6299999999999999E-2"/>
    <n v="120"/>
    <s v=""/>
    <n v="1.85"/>
    <n v="10"/>
    <n v="37"/>
    <s v="725190 - RFN - PREF VIAMAO  6 50K  CLT"/>
    <s v="1,37"/>
    <n v="15"/>
    <n v="2"/>
    <n v="500"/>
    <n v="202605"/>
    <s v="LG"/>
    <s v="0"/>
    <n v="1.37E-2"/>
    <n v="1.8500000000000003E-2"/>
    <b v="0"/>
    <s v="20260515"/>
    <n v="10"/>
  </r>
  <r>
    <x v="239"/>
    <s v="1PREF VITORIA ES"/>
    <n v="1"/>
    <s v="725071 - Tabela 1"/>
    <n v="2.5000000000000001E-2"/>
    <n v="96"/>
    <s v=""/>
    <n v="2.5"/>
    <n v="15"/>
    <m/>
    <s v="725071 - RFN - PREF VITORIA  1 "/>
    <s v="1,55"/>
    <n v="10"/>
    <n v="2"/>
    <n v="500"/>
    <n v="202605"/>
    <s v="LG"/>
    <s v="1"/>
    <n v="1.55E-2"/>
    <n v="2.5000000000000001E-2"/>
    <b v="1"/>
    <s v="20260510"/>
    <n v="5"/>
  </r>
  <r>
    <x v="239"/>
    <s v="2PREF VITORIA ES"/>
    <n v="2"/>
    <s v="725072 - Tabela 2"/>
    <n v="2.3E-2"/>
    <n v="96"/>
    <s v=""/>
    <n v="2.5"/>
    <n v="15"/>
    <m/>
    <s v="725072 - RFN - PREF VITORIA  2 "/>
    <s v="1,55"/>
    <n v="10"/>
    <n v="2"/>
    <n v="500"/>
    <n v="202605"/>
    <s v="LG"/>
    <s v="1"/>
    <n v="1.55E-2"/>
    <n v="2.5000000000000001E-2"/>
    <b v="0"/>
    <s v="20260510"/>
    <n v="5"/>
  </r>
  <r>
    <x v="239"/>
    <s v="3PREF VITORIA ES"/>
    <n v="3"/>
    <s v="725073 - Tabela 3"/>
    <n v="2.1000000000000001E-2"/>
    <n v="96"/>
    <s v=""/>
    <n v="2.5"/>
    <n v="15"/>
    <m/>
    <s v="725073 - RFN - PREF VITORIA  3 "/>
    <s v="1,55"/>
    <n v="10"/>
    <n v="2"/>
    <n v="500"/>
    <n v="202605"/>
    <s v="LG"/>
    <s v="1"/>
    <n v="1.55E-2"/>
    <n v="2.5000000000000001E-2"/>
    <b v="0"/>
    <s v="20260510"/>
    <n v="5"/>
  </r>
  <r>
    <x v="239"/>
    <s v="4PREF VITORIA ES"/>
    <n v="4"/>
    <s v="725074 - Tabela 4"/>
    <n v="0.02"/>
    <n v="96"/>
    <s v=""/>
    <n v="2.5"/>
    <n v="15"/>
    <m/>
    <s v="725074 - RFN - PREF VITORIA  4 "/>
    <s v="1,55"/>
    <n v="10"/>
    <n v="2"/>
    <n v="500"/>
    <n v="202605"/>
    <s v="LG"/>
    <s v="1"/>
    <n v="1.55E-2"/>
    <n v="2.5000000000000001E-2"/>
    <b v="0"/>
    <s v="20260510"/>
    <n v="5"/>
  </r>
  <r>
    <x v="239"/>
    <s v="5PREF VITORIA ES"/>
    <n v="5"/>
    <s v="725075 - Tabela 5"/>
    <n v="1.95E-2"/>
    <n v="96"/>
    <s v=""/>
    <n v="2.5"/>
    <n v="15"/>
    <m/>
    <s v="725075 - RFN - PREF VITORIA  5 "/>
    <s v="1,55"/>
    <n v="10"/>
    <n v="2"/>
    <n v="500"/>
    <n v="202605"/>
    <s v="LG"/>
    <s v="1"/>
    <n v="1.55E-2"/>
    <n v="2.5000000000000001E-2"/>
    <b v="0"/>
    <s v="20260510"/>
    <n v="5"/>
  </r>
  <r>
    <x v="240"/>
    <s v="1PREF VOTUPORANG"/>
    <n v="1"/>
    <s v="765361 - Tabela 1"/>
    <n v="2.5000000000000001E-2"/>
    <n v="84"/>
    <s v=""/>
    <n v="2.5"/>
    <n v="20"/>
    <n v="57"/>
    <s v="765361 - RFN - PREF VOTUPORANGA 1 "/>
    <s v="1,59"/>
    <n v="10"/>
    <n v="2"/>
    <n v="500"/>
    <n v="202605"/>
    <s v="LG"/>
    <s v="1"/>
    <n v="1.5900000000000001E-2"/>
    <n v="2.5000000000000001E-2"/>
    <b v="1"/>
    <s v="20260510"/>
    <n v="5"/>
  </r>
  <r>
    <x v="240"/>
    <s v="2PREF VOTUPORANG"/>
    <n v="2"/>
    <s v="765362 - Tabela 2"/>
    <n v="2.4E-2"/>
    <n v="84"/>
    <s v=""/>
    <n v="2.5"/>
    <n v="20"/>
    <n v="57"/>
    <s v="765362 - RFN - PREF VOTUPORANGA 2 "/>
    <s v="1,59"/>
    <n v="10"/>
    <n v="2"/>
    <n v="500"/>
    <n v="202605"/>
    <s v="LG"/>
    <s v="1"/>
    <n v="1.5900000000000001E-2"/>
    <n v="2.5000000000000001E-2"/>
    <b v="0"/>
    <s v="20260510"/>
    <n v="5"/>
  </r>
  <r>
    <x v="240"/>
    <s v="3PREF VOTUPORANG"/>
    <n v="3"/>
    <s v="765363 - Tabela 3"/>
    <n v="2.29E-2"/>
    <n v="84"/>
    <s v=""/>
    <n v="2.5"/>
    <n v="20"/>
    <n v="57"/>
    <s v="765363 - RFN - PREF VOTUPORANGA 3 "/>
    <s v="1,59"/>
    <n v="10"/>
    <n v="2"/>
    <n v="500"/>
    <n v="202605"/>
    <s v="LG"/>
    <s v="1"/>
    <n v="1.5900000000000001E-2"/>
    <n v="2.5000000000000001E-2"/>
    <b v="0"/>
    <s v="20260510"/>
    <n v="5"/>
  </r>
  <r>
    <x v="241"/>
    <s v="1PREFCURITIBA"/>
    <n v="1"/>
    <s v="735891 - Tabela 1"/>
    <n v="1.72E-2"/>
    <n v="120"/>
    <s v=""/>
    <n v="1.8"/>
    <n v="7"/>
    <n v="51"/>
    <s v="735891 - RFN - PREF CURITIBA 1 "/>
    <s v="1,6"/>
    <n v="5"/>
    <n v="2"/>
    <n v="500"/>
    <n v="202605"/>
    <s v="LG"/>
    <s v="1"/>
    <n v="1.6E-2"/>
    <n v="1.8000000000000002E-2"/>
    <b v="0"/>
    <s v="2026055"/>
    <n v="2"/>
  </r>
  <r>
    <x v="241"/>
    <s v="2PREFCURITIBA"/>
    <n v="2"/>
    <s v="735892 - Tabela 2"/>
    <n v="1.6899999999999998E-2"/>
    <n v="120"/>
    <s v=""/>
    <n v="1.8"/>
    <n v="7"/>
    <m/>
    <s v="735892 - RFN - PREF CURITIBA 2 "/>
    <s v="1,6"/>
    <n v="5"/>
    <n v="2"/>
    <n v="500"/>
    <n v="202605"/>
    <s v="LG"/>
    <s v="1"/>
    <n v="1.6E-2"/>
    <n v="1.8000000000000002E-2"/>
    <b v="0"/>
    <s v="2026055"/>
    <n v="2"/>
  </r>
  <r>
    <x v="241"/>
    <s v="3PREFCURITIBA"/>
    <n v="3"/>
    <s v="735893 - Tabela 3"/>
    <n v="1.67E-2"/>
    <n v="120"/>
    <s v=""/>
    <n v="1.8"/>
    <n v="7"/>
    <m/>
    <s v="735893 - RFN - PREF CURITIBA 3 "/>
    <s v="1,6"/>
    <n v="5"/>
    <n v="2"/>
    <n v="500"/>
    <n v="202605"/>
    <s v="LG"/>
    <s v="1"/>
    <n v="1.6E-2"/>
    <n v="1.8000000000000002E-2"/>
    <b v="0"/>
    <s v="2026055"/>
    <n v="2"/>
  </r>
  <r>
    <x v="242"/>
    <s v="1PREV CUBATAO"/>
    <n v="1"/>
    <s v="743991 - Tabela 1"/>
    <n v="2.5000000000000001E-2"/>
    <n v="96"/>
    <s v=""/>
    <n v="2.5"/>
    <n v="20"/>
    <m/>
    <s v="743991 - RFN - PREV MUN CUBATAO 1 "/>
    <s v="1,49"/>
    <n v="15"/>
    <n v="2"/>
    <n v="500"/>
    <n v="202605"/>
    <s v="LG"/>
    <s v="1"/>
    <n v="1.49E-2"/>
    <n v="2.5000000000000001E-2"/>
    <b v="1"/>
    <s v="20260515"/>
    <n v="10"/>
  </r>
  <r>
    <x v="242"/>
    <s v="2PREV CUBATAO"/>
    <n v="2"/>
    <s v="743992 - Tabela 2"/>
    <n v="2.3900000000000001E-2"/>
    <n v="96"/>
    <s v=""/>
    <n v="2.5"/>
    <n v="20"/>
    <m/>
    <s v="743992 - RFN - PREV MUN CUBATAO 2 "/>
    <s v="1,49"/>
    <n v="15"/>
    <n v="2"/>
    <n v="500"/>
    <n v="202605"/>
    <s v="LG"/>
    <s v="1"/>
    <n v="1.49E-2"/>
    <n v="2.5000000000000001E-2"/>
    <b v="0"/>
    <s v="20260515"/>
    <n v="10"/>
  </r>
  <r>
    <x v="242"/>
    <s v="3PREV CUBATAO"/>
    <n v="3"/>
    <s v="743993 - Tabela 3"/>
    <n v="2.29E-2"/>
    <n v="96"/>
    <s v=""/>
    <n v="2.5"/>
    <n v="20"/>
    <n v="44"/>
    <s v="743993 - RFN - PREV MUN CUBATAO 3 "/>
    <s v="1,49"/>
    <n v="15"/>
    <n v="2"/>
    <n v="500"/>
    <n v="202605"/>
    <s v="LG"/>
    <s v="1"/>
    <n v="1.49E-2"/>
    <n v="2.5000000000000001E-2"/>
    <b v="0"/>
    <s v="20260515"/>
    <n v="10"/>
  </r>
  <r>
    <x v="242"/>
    <s v="4PREV CUBATAO"/>
    <n v="4"/>
    <s v="743994 - Tabela 4"/>
    <n v="2.1899999999999999E-2"/>
    <n v="96"/>
    <s v=""/>
    <n v="2.5"/>
    <n v="20"/>
    <m/>
    <s v="743994 - RFN - PREV MUN CUBATAO 4 "/>
    <s v="1,49"/>
    <n v="15"/>
    <n v="2"/>
    <n v="500"/>
    <n v="202605"/>
    <s v="LG"/>
    <s v="1"/>
    <n v="1.49E-2"/>
    <n v="2.5000000000000001E-2"/>
    <b v="0"/>
    <s v="20260515"/>
    <n v="10"/>
  </r>
  <r>
    <x v="242"/>
    <s v="5PREV CUBATAO"/>
    <n v="5"/>
    <s v="743995 - Tabela 5"/>
    <n v="2.12E-2"/>
    <n v="96"/>
    <s v=""/>
    <n v="2.5"/>
    <n v="20"/>
    <n v="54"/>
    <s v="743995 - RFN - PREV MUN CUBATAO 5 "/>
    <s v="1,49"/>
    <n v="15"/>
    <n v="2"/>
    <n v="500"/>
    <n v="202605"/>
    <s v="LG"/>
    <s v="1"/>
    <n v="1.49E-2"/>
    <n v="2.5000000000000001E-2"/>
    <b v="0"/>
    <s v="20260515"/>
    <n v="10"/>
  </r>
  <r>
    <x v="243"/>
    <s v="1PREV ITAJAI SC"/>
    <n v="1"/>
    <s v="676521 - Tabela 1"/>
    <n v="2.5000000000000001E-2"/>
    <n v="96"/>
    <s v=""/>
    <n v="2.5"/>
    <n v="20"/>
    <n v="37"/>
    <s v="676521 - RFN - INST PREV ITAJAI 1  "/>
    <s v="1,4"/>
    <n v="20"/>
    <n v="2"/>
    <n v="500"/>
    <n v="202605"/>
    <s v="LG"/>
    <s v="0"/>
    <n v="1.3999999999999999E-2"/>
    <n v="2.5000000000000001E-2"/>
    <b v="1"/>
    <s v="20260520"/>
    <n v="13"/>
  </r>
  <r>
    <x v="243"/>
    <s v="2PREV ITAJAI SC"/>
    <n v="2"/>
    <s v="676522 - Tabela 2"/>
    <n v="0.02"/>
    <n v="96"/>
    <s v=""/>
    <n v="2.5"/>
    <n v="20"/>
    <n v="37"/>
    <s v="676522 - RFN - INST PREV ITAJAI 2  "/>
    <s v="1,4"/>
    <n v="20"/>
    <n v="2"/>
    <n v="500"/>
    <n v="202605"/>
    <s v="LG"/>
    <s v="0"/>
    <n v="1.3999999999999999E-2"/>
    <n v="2.5000000000000001E-2"/>
    <b v="0"/>
    <s v="20260520"/>
    <n v="13"/>
  </r>
  <r>
    <x v="243"/>
    <s v="3PREV ITAJAI SC"/>
    <n v="3"/>
    <s v="676523 - Tabela 3"/>
    <n v="1.9E-2"/>
    <n v="96"/>
    <s v=""/>
    <n v="2.5"/>
    <n v="20"/>
    <n v="37"/>
    <s v="676523 - RFN - INST PREV ITAJAI 3  "/>
    <s v="1,4"/>
    <n v="20"/>
    <n v="2"/>
    <n v="500"/>
    <n v="202605"/>
    <s v="LG"/>
    <s v="0"/>
    <n v="1.3999999999999999E-2"/>
    <n v="2.5000000000000001E-2"/>
    <b v="0"/>
    <s v="20260520"/>
    <n v="13"/>
  </r>
  <r>
    <x v="243"/>
    <s v="4PREV ITAJAI SC"/>
    <n v="4"/>
    <s v="676524 - Tabela 4"/>
    <n v="1.8500000000000003E-2"/>
    <n v="96"/>
    <s v=""/>
    <n v="2.5"/>
    <n v="20"/>
    <n v="37"/>
    <s v="676524 - RFN - INST PREV ITAJAI 4  "/>
    <s v="1,4"/>
    <n v="20"/>
    <n v="2"/>
    <n v="500"/>
    <n v="202605"/>
    <s v="LG"/>
    <s v="0"/>
    <n v="1.3999999999999999E-2"/>
    <n v="2.5000000000000001E-2"/>
    <b v="0"/>
    <s v="20260520"/>
    <n v="13"/>
  </r>
  <r>
    <x v="243"/>
    <s v="5PREV ITAJAI SC"/>
    <n v="5"/>
    <s v="676525 - Tabela 5"/>
    <n v="1.8000000000000002E-2"/>
    <n v="96"/>
    <s v=""/>
    <n v="2.5"/>
    <n v="20"/>
    <n v="37"/>
    <s v="676525 - RFN - INST PREV ITAJAI 5  "/>
    <s v="1,4"/>
    <n v="20"/>
    <n v="2"/>
    <n v="500"/>
    <n v="202605"/>
    <s v="LG"/>
    <s v="0"/>
    <n v="1.3999999999999999E-2"/>
    <n v="2.5000000000000001E-2"/>
    <b v="0"/>
    <s v="20260520"/>
    <n v="13"/>
  </r>
  <r>
    <x v="244"/>
    <s v="1PREV ITANHAEM"/>
    <n v="1"/>
    <s v="705421 - Tabela 1"/>
    <n v="2.5000000000000001E-2"/>
    <n v="120"/>
    <s v=""/>
    <n v="2.5"/>
    <n v="15"/>
    <n v="41"/>
    <s v="705421 - RFN - INST PREV ITANHAEM  1 "/>
    <s v="1,49"/>
    <n v="15"/>
    <n v="2"/>
    <n v="500"/>
    <n v="202605"/>
    <s v="NW"/>
    <s v="1"/>
    <n v="1.49E-2"/>
    <n v="2.5000000000000001E-2"/>
    <b v="1"/>
    <s v="20260515"/>
    <n v="10"/>
  </r>
  <r>
    <x v="244"/>
    <s v="2PREV ITANHAEM"/>
    <n v="2"/>
    <s v="705422 - Tabela 2"/>
    <n v="2.3900000000000001E-2"/>
    <n v="120"/>
    <s v=""/>
    <n v="2.5"/>
    <n v="15"/>
    <m/>
    <s v="705422 - RFN - INST PREV ITANHAEM  2 "/>
    <s v="1,49"/>
    <n v="15"/>
    <n v="2"/>
    <n v="500"/>
    <n v="202605"/>
    <s v="NW"/>
    <s v="1"/>
    <n v="1.49E-2"/>
    <n v="2.5000000000000001E-2"/>
    <b v="0"/>
    <s v="20260515"/>
    <n v="10"/>
  </r>
  <r>
    <x v="244"/>
    <s v="3PREV ITANHAEM"/>
    <n v="3"/>
    <s v="705423 - Tabela 3"/>
    <n v="2.29E-2"/>
    <n v="120"/>
    <s v=""/>
    <n v="2.5"/>
    <n v="15"/>
    <n v="49"/>
    <s v="705423 - RFN - INST PREV ITANHAEM  3 "/>
    <s v="1,49"/>
    <n v="15"/>
    <n v="2"/>
    <n v="500"/>
    <n v="202605"/>
    <s v="NW"/>
    <s v="1"/>
    <n v="1.49E-2"/>
    <n v="2.5000000000000001E-2"/>
    <b v="0"/>
    <s v="20260515"/>
    <n v="10"/>
  </r>
  <r>
    <x v="244"/>
    <s v="4PREV ITANHAEM"/>
    <n v="4"/>
    <s v="705424 - Tabela 4"/>
    <n v="2.1899999999999999E-2"/>
    <n v="120"/>
    <s v=""/>
    <n v="2.5"/>
    <n v="15"/>
    <m/>
    <s v="705424 - RFN - INST PREV ITANHAEM  4 "/>
    <s v="1,49"/>
    <n v="15"/>
    <n v="2"/>
    <n v="500"/>
    <n v="202605"/>
    <s v="NW"/>
    <s v="1"/>
    <n v="1.49E-2"/>
    <n v="2.5000000000000001E-2"/>
    <b v="0"/>
    <s v="20260515"/>
    <n v="10"/>
  </r>
  <r>
    <x v="244"/>
    <s v="5PREV ITANHAEM"/>
    <n v="5"/>
    <s v="705425 - Tabela 5"/>
    <n v="2.0899999999999998E-2"/>
    <n v="120"/>
    <s v=""/>
    <n v="2.5"/>
    <n v="15"/>
    <n v="40"/>
    <s v="705425 - RFN - INST PREV ITANHAEM  5 "/>
    <s v="1,49"/>
    <n v="15"/>
    <n v="2"/>
    <n v="500"/>
    <n v="202605"/>
    <s v="NW"/>
    <s v="1"/>
    <n v="1.49E-2"/>
    <n v="2.5000000000000001E-2"/>
    <b v="0"/>
    <s v="20260515"/>
    <n v="10"/>
  </r>
  <r>
    <x v="245"/>
    <s v="1PREVIFOR MG"/>
    <n v="1"/>
    <s v="795441 - Tabela 1"/>
    <n v="2.1499999999999998E-2"/>
    <n v="120"/>
    <s v=""/>
    <n v="2.25"/>
    <n v="6"/>
    <m/>
    <s v="795441 - RFN - PREVIFOR 1 "/>
    <s v="1,5"/>
    <n v="10"/>
    <n v="2"/>
    <n v="500"/>
    <n v="202605"/>
    <s v="NW"/>
    <s v="0"/>
    <n v="1.4999999999999999E-2"/>
    <n v="2.2499999999999999E-2"/>
    <b v="0"/>
    <s v="20260510"/>
    <n v="5"/>
  </r>
  <r>
    <x v="245"/>
    <s v="2PREVIFOR MG"/>
    <n v="2"/>
    <s v="795442 - Tabela 2"/>
    <n v="2.0199999999999999E-2"/>
    <n v="120"/>
    <s v=""/>
    <n v="2.25"/>
    <n v="6"/>
    <m/>
    <s v="795442 - RFN - PREVIFOR 2 "/>
    <s v="1,5"/>
    <n v="10"/>
    <n v="2"/>
    <n v="500"/>
    <n v="202605"/>
    <s v="NW"/>
    <s v="0"/>
    <n v="1.4999999999999999E-2"/>
    <n v="2.2499999999999999E-2"/>
    <b v="0"/>
    <s v="20260510"/>
    <n v="5"/>
  </r>
  <r>
    <x v="246"/>
    <s v="1SAAE FORMIGA MG"/>
    <n v="1"/>
    <s v="795431 - Tabela 1"/>
    <n v="2.1499999999999998E-2"/>
    <n v="120"/>
    <s v=""/>
    <n v="2.25"/>
    <n v="8"/>
    <m/>
    <s v="795431 - RFN - SAAE FORMIGA 1 "/>
    <s v="1,5"/>
    <n v="10"/>
    <n v="2"/>
    <n v="500"/>
    <n v="202605"/>
    <s v="NW"/>
    <s v="0"/>
    <n v="1.4999999999999999E-2"/>
    <n v="2.2499999999999999E-2"/>
    <b v="0"/>
    <s v="20260510"/>
    <n v="5"/>
  </r>
  <r>
    <x v="246"/>
    <s v="2SAAE FORMIGA MG"/>
    <n v="2"/>
    <s v="795432 - Tabela 2"/>
    <n v="2.0199999999999999E-2"/>
    <n v="120"/>
    <s v=""/>
    <n v="2.25"/>
    <n v="8"/>
    <m/>
    <s v="795432 - RFN - SAAE FORMIGA 2 "/>
    <s v="1,5"/>
    <n v="10"/>
    <n v="2"/>
    <n v="500"/>
    <n v="202605"/>
    <s v="NW"/>
    <s v="0"/>
    <n v="1.4999999999999999E-2"/>
    <n v="2.2499999999999999E-2"/>
    <b v="0"/>
    <s v="20260510"/>
    <n v="5"/>
  </r>
  <r>
    <x v="247"/>
    <s v="1SAAE SALTO SP"/>
    <n v="1"/>
    <s v="500008 - Tabela 1"/>
    <n v="2.5000000000000001E-2"/>
    <n v="120"/>
    <s v=""/>
    <n v="2.5"/>
    <n v="8"/>
    <m/>
    <s v="500008 - RFN - SAAE SALTO  1 "/>
    <s v="1,45"/>
    <n v="12"/>
    <n v="2"/>
    <n v="500"/>
    <n v="202605"/>
    <s v="LG"/>
    <s v="0"/>
    <n v="1.4499999999999999E-2"/>
    <n v="2.5000000000000001E-2"/>
    <b v="1"/>
    <s v="20260512"/>
    <n v="7"/>
  </r>
  <r>
    <x v="247"/>
    <s v="2SAAE SALTO SP"/>
    <n v="2"/>
    <s v="500009 - Tabela 2"/>
    <n v="1.9900000000000001E-2"/>
    <n v="120"/>
    <s v=""/>
    <n v="2.5"/>
    <n v="8"/>
    <n v="33"/>
    <s v="500009 - RFN - SAAE SALTO  2 "/>
    <s v="1,45"/>
    <n v="12"/>
    <n v="2"/>
    <n v="500"/>
    <n v="202605"/>
    <s v="LG"/>
    <s v="0"/>
    <n v="1.4499999999999999E-2"/>
    <n v="2.5000000000000001E-2"/>
    <b v="0"/>
    <s v="20260512"/>
    <n v="7"/>
  </r>
  <r>
    <x v="247"/>
    <s v="3SAAE SALTO SP"/>
    <n v="3"/>
    <s v="500010 - Tabela 3"/>
    <n v="1.95E-2"/>
    <n v="120"/>
    <s v=""/>
    <n v="2.5"/>
    <n v="8"/>
    <n v="33"/>
    <s v="500010 - RFN - SAAE SALTO  3 "/>
    <s v="1,45"/>
    <n v="12"/>
    <n v="2"/>
    <n v="500"/>
    <n v="202605"/>
    <s v="LG"/>
    <s v="0"/>
    <n v="1.4499999999999999E-2"/>
    <n v="2.5000000000000001E-2"/>
    <b v="0"/>
    <s v="20260512"/>
    <n v="7"/>
  </r>
  <r>
    <x v="247"/>
    <s v="4SAAE SALTO SP"/>
    <n v="4"/>
    <s v="500016 - Tabela 4"/>
    <n v="1.89E-2"/>
    <n v="120"/>
    <s v=""/>
    <n v="2.5"/>
    <n v="8"/>
    <n v="33"/>
    <s v="500016 - RFN - SAAE SALTO  4 "/>
    <s v="1,45"/>
    <n v="12"/>
    <n v="2"/>
    <n v="500"/>
    <n v="202605"/>
    <s v="LG"/>
    <s v="0"/>
    <n v="1.4499999999999999E-2"/>
    <n v="2.5000000000000001E-2"/>
    <b v="0"/>
    <s v="20260512"/>
    <n v="7"/>
  </r>
  <r>
    <x v="247"/>
    <s v="5SAAE SALTO SP"/>
    <n v="5"/>
    <s v="500017 - Tabela 5"/>
    <n v="1.8500000000000003E-2"/>
    <n v="120"/>
    <s v=""/>
    <n v="2.5"/>
    <n v="8"/>
    <m/>
    <s v="500017 - RFN - SAAE SALTO  5 "/>
    <s v="1,45"/>
    <n v="12"/>
    <n v="2"/>
    <n v="500"/>
    <n v="202605"/>
    <s v="LG"/>
    <s v="0"/>
    <n v="1.4499999999999999E-2"/>
    <n v="2.5000000000000001E-2"/>
    <b v="0"/>
    <s v="20260512"/>
    <n v="7"/>
  </r>
  <r>
    <x v="247"/>
    <s v="6SAAE SALTO SP"/>
    <n v="6"/>
    <s v="500019 - Tabela 6"/>
    <n v="1.7899999999999999E-2"/>
    <n v="120"/>
    <s v=""/>
    <n v="2.5"/>
    <n v="8"/>
    <n v="33"/>
    <s v="500019 - RFN - SAAE SALTO  6 "/>
    <s v="1,45"/>
    <n v="12"/>
    <n v="2"/>
    <n v="500"/>
    <n v="202605"/>
    <s v="LG"/>
    <s v="0"/>
    <n v="1.4499999999999999E-2"/>
    <n v="2.5000000000000001E-2"/>
    <b v="0"/>
    <s v="20260512"/>
    <n v="7"/>
  </r>
  <r>
    <x v="248"/>
    <s v="1SEMAE MOGI CRU"/>
    <n v="1"/>
    <s v="805056 - Tabela 1"/>
    <n v="2.5899999999999999E-2"/>
    <n v="120"/>
    <s v=""/>
    <n v="2.59"/>
    <n v="15"/>
    <m/>
    <s v="805056 - RFN - SEMAE MOGI DAS CRUZES 1 "/>
    <s v="2,24"/>
    <n v="16"/>
    <n v="2"/>
    <n v="500"/>
    <n v="202605"/>
    <s v="LG"/>
    <s v="0"/>
    <n v="2.2400000000000003E-2"/>
    <n v="2.5899999999999999E-2"/>
    <b v="1"/>
    <s v="20260516"/>
    <n v="10"/>
  </r>
  <r>
    <x v="248"/>
    <s v="2SEMAE MOGI CRU"/>
    <n v="2"/>
    <s v="805060 - Tabela 2"/>
    <n v="2.4900000000000002E-2"/>
    <n v="120"/>
    <s v=""/>
    <n v="2.59"/>
    <n v="15"/>
    <m/>
    <s v="805060 - RFN - SEMAE MOGI DAS CRUZES 2 "/>
    <s v="2,24"/>
    <n v="16"/>
    <n v="2"/>
    <n v="500"/>
    <n v="202605"/>
    <s v="LG"/>
    <s v="0"/>
    <n v="2.2400000000000003E-2"/>
    <n v="2.5899999999999999E-2"/>
    <b v="0"/>
    <s v="20260516"/>
    <n v="10"/>
  </r>
  <r>
    <x v="249"/>
    <s v="1SEMAE PIRACICAB EST"/>
    <n v="1"/>
    <s v="776531 - Tabela 1"/>
    <n v="1.9699999999999999E-2"/>
    <n v="96"/>
    <s v=""/>
    <n v="2.08"/>
    <n v="5"/>
    <n v="33"/>
    <s v="776531 - RFN - SEMAE PIRACICABA EST 1 "/>
    <s v="1,8"/>
    <n v="16"/>
    <n v="2"/>
    <n v="500"/>
    <n v="202605"/>
    <s v="LG"/>
    <s v="0"/>
    <n v="1.8000000000000002E-2"/>
    <n v="2.0799999999999999E-2"/>
    <b v="0"/>
    <s v="20260516"/>
    <n v="10"/>
  </r>
  <r>
    <x v="250"/>
    <s v="1SENADO FEDERAL"/>
    <n v="1"/>
    <s v="995648 - Tabela 1"/>
    <n v="1.4999999999999999E-2"/>
    <n v="120"/>
    <s v=""/>
    <n v="1.5"/>
    <n v="25"/>
    <n v="29"/>
    <s v="995648 - RFN - SENADO FEDERAL 1 "/>
    <s v="1,25"/>
    <n v="6"/>
    <n v="2"/>
    <n v="500"/>
    <n v="202605"/>
    <s v="NW"/>
    <s v="1"/>
    <n v="1.2500000000000001E-2"/>
    <n v="1.4999999999999999E-2"/>
    <b v="1"/>
    <s v="2026056"/>
    <n v="3"/>
  </r>
  <r>
    <x v="251"/>
    <s v="1SEPREM"/>
    <n v="1"/>
    <s v="775491 - Tabela 1"/>
    <n v="1.8500000000000003E-2"/>
    <n v="96"/>
    <s v=""/>
    <n v="1.85"/>
    <n v="13"/>
    <m/>
    <s v="775491 - RFN - SEPREM 1 "/>
    <s v="1,55"/>
    <n v="20"/>
    <n v="2"/>
    <n v="500"/>
    <n v="202605"/>
    <s v="LG"/>
    <s v="0"/>
    <n v="1.55E-2"/>
    <n v="1.8500000000000003E-2"/>
    <b v="1"/>
    <s v="20260520"/>
    <n v="13"/>
  </r>
  <r>
    <x v="251"/>
    <s v="2SEPREM"/>
    <n v="2"/>
    <s v="775492 - Tabela 2"/>
    <n v="1.8000000000000002E-2"/>
    <n v="96"/>
    <s v=""/>
    <n v="1.85"/>
    <n v="13"/>
    <m/>
    <s v="775492 - RFN - SEPREM 2 "/>
    <s v="1,55"/>
    <n v="20"/>
    <n v="2"/>
    <n v="500"/>
    <n v="202605"/>
    <s v="LG"/>
    <s v="0"/>
    <n v="1.55E-2"/>
    <n v="1.8500000000000003E-2"/>
    <b v="0"/>
    <s v="20260520"/>
    <n v="13"/>
  </r>
  <r>
    <x v="251"/>
    <s v="3SEPREM"/>
    <n v="3"/>
    <s v="775493 - Tabela 3"/>
    <n v="1.7500000000000002E-2"/>
    <n v="96"/>
    <s v=""/>
    <n v="1.85"/>
    <n v="13"/>
    <m/>
    <s v="775493 - RFN - SEPREM 3 "/>
    <s v="1,55"/>
    <n v="20"/>
    <n v="2"/>
    <n v="500"/>
    <n v="202605"/>
    <s v="LG"/>
    <s v="0"/>
    <n v="1.55E-2"/>
    <n v="1.8500000000000003E-2"/>
    <b v="0"/>
    <s v="20260520"/>
    <n v="13"/>
  </r>
  <r>
    <x v="251"/>
    <s v="4SEPREM"/>
    <n v="4"/>
    <s v="775494 - Tabela 4"/>
    <n v="1.6899999999999998E-2"/>
    <n v="96"/>
    <s v=""/>
    <n v="1.85"/>
    <n v="13"/>
    <m/>
    <s v="775494 - RFN - SEPREM 4 "/>
    <s v="1,55"/>
    <n v="20"/>
    <n v="2"/>
    <n v="500"/>
    <n v="202605"/>
    <s v="LG"/>
    <s v="0"/>
    <n v="1.55E-2"/>
    <n v="1.8500000000000003E-2"/>
    <b v="0"/>
    <s v="20260520"/>
    <n v="13"/>
  </r>
  <r>
    <x v="252"/>
    <s v="1SIAPE PORT"/>
    <n v="1"/>
    <s v="775801 - Tabela 1"/>
    <n v="1.7729999999999999E-2"/>
    <n v="120"/>
    <s v=""/>
    <n v="1.8"/>
    <n v="15"/>
    <n v="51"/>
    <s v="775801 - RFN - SIAPE FED 1 "/>
    <s v="1,34"/>
    <n v="10"/>
    <n v="2"/>
    <n v="500"/>
    <n v="202605"/>
    <s v="LG"/>
    <s v="1"/>
    <n v="1.34E-2"/>
    <n v="1.8000000000000002E-2"/>
    <b v="0"/>
    <s v="20260510"/>
    <n v="5"/>
  </r>
  <r>
    <x v="252"/>
    <s v="2SIAPE PORT"/>
    <n v="2"/>
    <s v="785100 - Tabela 1"/>
    <n v="1.7729999999999999E-2"/>
    <n v="96"/>
    <s v=""/>
    <n v="1.8"/>
    <n v="15"/>
    <n v="51"/>
    <s v="785100 - RFN - SIAPE FED 1 "/>
    <s v="1,34"/>
    <n v="10"/>
    <n v="2"/>
    <n v="500"/>
    <n v="202605"/>
    <s v="LG"/>
    <s v="1"/>
    <n v="1.34E-2"/>
    <n v="1.8000000000000002E-2"/>
    <b v="0"/>
    <s v="20260510"/>
    <n v="5"/>
  </r>
  <r>
    <x v="252"/>
    <s v="3SIAPE PORT"/>
    <n v="3"/>
    <s v="775802 - Tabela 2"/>
    <n v="1.7500000000000002E-2"/>
    <n v="120"/>
    <s v=""/>
    <n v="1.8"/>
    <n v="15"/>
    <n v="51"/>
    <s v="775802 - RFN - SIAPE FED 2 "/>
    <s v="1,34"/>
    <n v="10"/>
    <n v="2"/>
    <n v="500"/>
    <n v="202605"/>
    <s v="LG"/>
    <s v="1"/>
    <n v="1.34E-2"/>
    <n v="1.8000000000000002E-2"/>
    <b v="0"/>
    <s v="20260510"/>
    <n v="5"/>
  </r>
  <r>
    <x v="252"/>
    <s v="4SIAPE PORT"/>
    <n v="4"/>
    <s v="785105 - Tabela 2"/>
    <n v="1.7500000000000002E-2"/>
    <n v="96"/>
    <s v=""/>
    <n v="1.8"/>
    <n v="15"/>
    <n v="51"/>
    <s v="785105 - RFN - SIAPE FED 2 "/>
    <s v="1,34"/>
    <n v="10"/>
    <n v="2"/>
    <n v="500"/>
    <n v="202605"/>
    <s v="LG"/>
    <s v="1"/>
    <n v="1.34E-2"/>
    <n v="1.8000000000000002E-2"/>
    <b v="0"/>
    <s v="20260510"/>
    <n v="5"/>
  </r>
  <r>
    <x v="252"/>
    <s v="5SIAPE PORT"/>
    <n v="5"/>
    <s v="775803 - Tabela 3"/>
    <n v="1.72E-2"/>
    <n v="120"/>
    <s v=""/>
    <n v="1.8"/>
    <n v="15"/>
    <n v="51"/>
    <s v="775803 - RFN - SIAPE FED 3 "/>
    <s v="1,34"/>
    <n v="10"/>
    <n v="2"/>
    <n v="500"/>
    <n v="202605"/>
    <s v="LG"/>
    <s v="1"/>
    <n v="1.34E-2"/>
    <n v="1.8000000000000002E-2"/>
    <b v="0"/>
    <s v="20260510"/>
    <n v="5"/>
  </r>
  <r>
    <x v="252"/>
    <s v="6SIAPE PORT"/>
    <n v="6"/>
    <s v="785106 - Tabela 3"/>
    <n v="1.72E-2"/>
    <n v="96"/>
    <s v=""/>
    <n v="1.8"/>
    <n v="15"/>
    <n v="51"/>
    <s v="785106 - RFN - SIAPE FED 3 "/>
    <s v="1,34"/>
    <n v="10"/>
    <n v="2"/>
    <n v="500"/>
    <n v="202605"/>
    <s v="LG"/>
    <s v="1"/>
    <n v="1.34E-2"/>
    <n v="1.8000000000000002E-2"/>
    <b v="0"/>
    <s v="20260510"/>
    <n v="5"/>
  </r>
  <r>
    <x v="252"/>
    <s v="7SIAPE PORT"/>
    <n v="7"/>
    <s v="775804 - Tabela 4"/>
    <n v="1.6899999999999998E-2"/>
    <n v="120"/>
    <s v=""/>
    <n v="1.8"/>
    <n v="15"/>
    <n v="51"/>
    <s v="775804 - RFN - SIAPE FED 4 "/>
    <s v="1,34"/>
    <n v="10"/>
    <n v="2"/>
    <n v="500"/>
    <n v="202605"/>
    <s v="LG"/>
    <s v="1"/>
    <n v="1.34E-2"/>
    <n v="1.8000000000000002E-2"/>
    <b v="0"/>
    <s v="20260510"/>
    <n v="5"/>
  </r>
  <r>
    <x v="252"/>
    <s v="8SIAPE PORT"/>
    <n v="8"/>
    <s v="785107 - Tabela 4"/>
    <n v="1.6899999999999998E-2"/>
    <n v="96"/>
    <s v=""/>
    <n v="1.8"/>
    <n v="15"/>
    <n v="51"/>
    <s v="785107 - RFN - SIAPE FED 4 "/>
    <s v="1,34"/>
    <n v="10"/>
    <n v="2"/>
    <n v="500"/>
    <n v="202605"/>
    <s v="LG"/>
    <s v="1"/>
    <n v="1.34E-2"/>
    <n v="1.8000000000000002E-2"/>
    <b v="0"/>
    <s v="20260510"/>
    <n v="5"/>
  </r>
  <r>
    <x v="252"/>
    <s v="9SIAPE PORT"/>
    <n v="9"/>
    <s v="775805 - Tabela 5"/>
    <n v="1.67E-2"/>
    <n v="120"/>
    <s v=""/>
    <n v="1.8"/>
    <n v="15"/>
    <n v="51"/>
    <s v="775805 - RFN - SIAPE FED 5 "/>
    <s v="1,34"/>
    <n v="10"/>
    <n v="2"/>
    <n v="500"/>
    <n v="202605"/>
    <s v="LG"/>
    <s v="1"/>
    <n v="1.34E-2"/>
    <n v="1.8000000000000002E-2"/>
    <b v="0"/>
    <s v="20260510"/>
    <n v="5"/>
  </r>
  <r>
    <x v="252"/>
    <s v="10SIAPE PORT"/>
    <n v="10"/>
    <s v="785108 - Tabela 5"/>
    <n v="1.67E-2"/>
    <n v="96"/>
    <s v=""/>
    <n v="1.8"/>
    <n v="15"/>
    <n v="51"/>
    <s v="785108 - RFN - SIAPE FED 5 "/>
    <s v="1,34"/>
    <n v="10"/>
    <n v="2"/>
    <n v="500"/>
    <n v="202605"/>
    <s v="LG"/>
    <s v="1"/>
    <n v="1.34E-2"/>
    <n v="1.8000000000000002E-2"/>
    <b v="0"/>
    <s v="20260510"/>
    <n v="5"/>
  </r>
  <r>
    <x v="252"/>
    <s v="11SIAPE PORT"/>
    <n v="11"/>
    <s v="775806 - Tabela 306"/>
    <n v="1.6E-2"/>
    <n v="120"/>
    <s v=""/>
    <n v="1.8"/>
    <n v="15"/>
    <n v="51"/>
    <s v="775806 - RFN - SIAPE FED 30K 6 "/>
    <s v="1,34"/>
    <n v="10"/>
    <n v="2"/>
    <n v="30000"/>
    <n v="202605"/>
    <s v="LG"/>
    <s v="1"/>
    <n v="1.34E-2"/>
    <n v="1.8000000000000002E-2"/>
    <b v="0"/>
    <s v="20260510"/>
    <n v="5"/>
  </r>
  <r>
    <x v="252"/>
    <s v="12SIAPE PORT"/>
    <n v="12"/>
    <s v="785196 - Tabela 620"/>
    <n v="1.6E-2"/>
    <n v="96"/>
    <s v=""/>
    <n v="1.8"/>
    <n v="15"/>
    <n v="51"/>
    <s v="785196 - RFN - SIAPE FED 6 20K "/>
    <s v="1,34"/>
    <n v="10"/>
    <n v="2"/>
    <n v="20000"/>
    <n v="202605"/>
    <s v="LG"/>
    <s v="1"/>
    <n v="1.34E-2"/>
    <n v="1.8000000000000002E-2"/>
    <b v="0"/>
    <s v="20260510"/>
    <n v="5"/>
  </r>
  <r>
    <x v="252"/>
    <s v="13SIAPE PORT"/>
    <n v="13"/>
    <s v="775807 - Tabela 357"/>
    <n v="1.5800000000000002E-2"/>
    <n v="120"/>
    <s v=""/>
    <n v="1.8"/>
    <n v="15"/>
    <n v="51"/>
    <s v="775807 - RFN - SIAPE FED 35K 7 "/>
    <s v="1,34"/>
    <n v="10"/>
    <n v="2"/>
    <n v="35000"/>
    <n v="202605"/>
    <s v="LG"/>
    <s v="1"/>
    <n v="1.34E-2"/>
    <n v="1.8000000000000002E-2"/>
    <b v="0"/>
    <s v="20260510"/>
    <n v="5"/>
  </r>
  <r>
    <x v="252"/>
    <s v="14SIAPE PORT"/>
    <n v="14"/>
    <s v="785197 - Tabela 730"/>
    <n v="1.5800000000000002E-2"/>
    <n v="96"/>
    <s v=""/>
    <n v="1.8"/>
    <n v="15"/>
    <n v="51"/>
    <s v="785197 - RFN - SIAPE FED 7 30K "/>
    <s v="1,34"/>
    <n v="10"/>
    <n v="2"/>
    <n v="30000"/>
    <n v="202605"/>
    <s v="LG"/>
    <s v="1"/>
    <n v="1.34E-2"/>
    <n v="1.8000000000000002E-2"/>
    <b v="0"/>
    <s v="20260510"/>
    <n v="5"/>
  </r>
  <r>
    <x v="252"/>
    <s v="15SIAPE PORT"/>
    <n v="15"/>
    <s v="775808 - Tabela 8"/>
    <n v="1.55E-2"/>
    <n v="120"/>
    <s v=""/>
    <n v="1.8"/>
    <n v="15"/>
    <n v="51"/>
    <s v="775808 - RFN - SIAPE FED 50K 8 "/>
    <s v="1,34"/>
    <n v="10"/>
    <n v="2"/>
    <n v="50000"/>
    <n v="202605"/>
    <s v="LG"/>
    <s v="1"/>
    <n v="1.34E-2"/>
    <n v="1.8000000000000002E-2"/>
    <b v="0"/>
    <s v="20260510"/>
    <n v="5"/>
  </r>
  <r>
    <x v="252"/>
    <s v="16SIAPE PORT"/>
    <n v="16"/>
    <s v="785198 - Tabela 8"/>
    <n v="1.55E-2"/>
    <n v="96"/>
    <s v=""/>
    <n v="1.8"/>
    <n v="15"/>
    <n v="51"/>
    <s v="785198 - RFN - SIAPE FED 8 50K "/>
    <s v="1,34"/>
    <n v="10"/>
    <n v="2"/>
    <n v="50000"/>
    <n v="202605"/>
    <s v="LG"/>
    <s v="1"/>
    <n v="1.34E-2"/>
    <n v="1.8000000000000002E-2"/>
    <b v="0"/>
    <s v="20260510"/>
    <n v="5"/>
  </r>
  <r>
    <x v="252"/>
    <s v="17SIAPE PORT"/>
    <n v="17"/>
    <s v="775809 - Tabela 9"/>
    <n v="1.5300000000000001E-2"/>
    <n v="120"/>
    <s v=""/>
    <n v="1.8"/>
    <n v="15"/>
    <n v="51"/>
    <s v="775809 - RFN - SIAPE FED 50K 9 "/>
    <s v="1,34"/>
    <n v="10"/>
    <n v="2"/>
    <n v="50000"/>
    <n v="202605"/>
    <s v="LG"/>
    <s v="1"/>
    <n v="1.34E-2"/>
    <n v="1.8000000000000002E-2"/>
    <b v="0"/>
    <s v="20260510"/>
    <n v="5"/>
  </r>
  <r>
    <x v="252"/>
    <s v="18SIAPE PORT"/>
    <n v="18"/>
    <s v="785200 - Tabela 9"/>
    <n v="1.5300000000000001E-2"/>
    <n v="96"/>
    <s v=""/>
    <n v="1.8"/>
    <n v="15"/>
    <n v="51"/>
    <s v="785200 - RFN - SIAPE FED 9 50K "/>
    <s v="1,34"/>
    <n v="10"/>
    <n v="2"/>
    <n v="50000"/>
    <n v="202605"/>
    <s v="LG"/>
    <s v="1"/>
    <n v="1.34E-2"/>
    <n v="1.8000000000000002E-2"/>
    <b v="0"/>
    <s v="20260510"/>
    <n v="5"/>
  </r>
  <r>
    <x v="252"/>
    <s v="19SIAPE PORT"/>
    <n v="19"/>
    <s v="775810 - Tabela 14010"/>
    <n v="1.5100000000000001E-2"/>
    <n v="120"/>
    <s v=""/>
    <n v="1.8"/>
    <n v="15"/>
    <n v="51"/>
    <s v="775810 - RFN - SIAPE FED 140K 10 "/>
    <s v="1,34"/>
    <n v="10"/>
    <n v="2"/>
    <n v="140000"/>
    <n v="202605"/>
    <s v="LG"/>
    <s v="1"/>
    <n v="1.34E-2"/>
    <n v="1.8000000000000002E-2"/>
    <b v="0"/>
    <s v="20260510"/>
    <n v="5"/>
  </r>
  <r>
    <x v="252"/>
    <s v="20SIAPE PORT"/>
    <n v="20"/>
    <s v="785209 - Tabela 10140"/>
    <n v="1.5100000000000001E-2"/>
    <n v="96"/>
    <s v=""/>
    <n v="1.8"/>
    <n v="15"/>
    <n v="51"/>
    <s v="785209 - RFN - SIAPE FED 10 140K "/>
    <s v="1,34"/>
    <n v="10"/>
    <n v="2"/>
    <n v="140000"/>
    <n v="202605"/>
    <s v="LG"/>
    <s v="1"/>
    <n v="1.34E-2"/>
    <n v="1.8000000000000002E-2"/>
    <b v="0"/>
    <s v="20260510"/>
    <n v="5"/>
  </r>
  <r>
    <x v="253"/>
    <s v="1SSPREV SP"/>
    <n v="1"/>
    <s v="725595 - Tabela 1"/>
    <n v="2.5000000000000001E-2"/>
    <n v="120"/>
    <s v=""/>
    <n v="2.5"/>
    <n v="7"/>
    <n v="57"/>
    <s v="725595 - RFN - SSPREV  1 "/>
    <s v="1,45"/>
    <n v="10"/>
    <n v="2"/>
    <n v="500"/>
    <n v="202605"/>
    <s v="LG"/>
    <s v="0"/>
    <n v="1.4499999999999999E-2"/>
    <n v="2.5000000000000001E-2"/>
    <b v="1"/>
    <s v="20260510"/>
    <n v="5"/>
  </r>
  <r>
    <x v="253"/>
    <s v="2SSPREV SP"/>
    <n v="2"/>
    <s v="725596 - Tabela 2"/>
    <n v="2.1899999999999999E-2"/>
    <n v="120"/>
    <s v=""/>
    <n v="2.5"/>
    <n v="7"/>
    <n v="57"/>
    <s v="725596 - RFN - SSPREV  2 "/>
    <s v="1,45"/>
    <n v="10"/>
    <n v="2"/>
    <n v="500"/>
    <n v="202605"/>
    <s v="LG"/>
    <s v="0"/>
    <n v="1.4499999999999999E-2"/>
    <n v="2.5000000000000001E-2"/>
    <b v="0"/>
    <s v="20260510"/>
    <n v="5"/>
  </r>
  <r>
    <x v="253"/>
    <s v="3SSPREV SP"/>
    <n v="3"/>
    <s v="725597 - Tabela 3"/>
    <n v="2.0899999999999998E-2"/>
    <n v="120"/>
    <s v=""/>
    <n v="2.5"/>
    <n v="7"/>
    <n v="57"/>
    <s v="725597 - RFN - SSPREV  3 "/>
    <s v="1,45"/>
    <n v="10"/>
    <n v="2"/>
    <n v="500"/>
    <n v="202605"/>
    <s v="LG"/>
    <s v="0"/>
    <n v="1.4499999999999999E-2"/>
    <n v="2.5000000000000001E-2"/>
    <b v="0"/>
    <s v="20260510"/>
    <n v="5"/>
  </r>
  <r>
    <x v="253"/>
    <s v="4SSPREV SP"/>
    <n v="4"/>
    <s v="725598 - Tabela 4"/>
    <n v="1.9900000000000001E-2"/>
    <n v="120"/>
    <s v=""/>
    <n v="2.5"/>
    <n v="7"/>
    <n v="57"/>
    <s v="725598 - RFN - SSPREV  4 "/>
    <s v="1,45"/>
    <n v="10"/>
    <n v="2"/>
    <n v="500"/>
    <n v="202605"/>
    <s v="LG"/>
    <s v="0"/>
    <n v="1.4499999999999999E-2"/>
    <n v="2.5000000000000001E-2"/>
    <b v="0"/>
    <s v="20260510"/>
    <n v="5"/>
  </r>
  <r>
    <x v="253"/>
    <s v="5SSPREV SP"/>
    <n v="5"/>
    <s v="725599 - Tabela 5"/>
    <n v="1.95E-2"/>
    <n v="120"/>
    <s v=""/>
    <n v="2.5"/>
    <n v="7"/>
    <n v="57"/>
    <s v="725599 - RFN - SSPREV  5 "/>
    <s v="1,45"/>
    <n v="10"/>
    <n v="2"/>
    <n v="500"/>
    <n v="202605"/>
    <s v="LG"/>
    <s v="0"/>
    <n v="1.4499999999999999E-2"/>
    <n v="2.5000000000000001E-2"/>
    <b v="0"/>
    <s v="20260510"/>
    <n v="5"/>
  </r>
  <r>
    <x v="254"/>
    <s v="1SUP TRIB FEDRAL"/>
    <n v="1"/>
    <s v="795201 - Tabela 1"/>
    <n v="2.5000000000000001E-2"/>
    <n v="120"/>
    <s v=""/>
    <n v="2.5"/>
    <n v="25"/>
    <m/>
    <s v="795201 - RFN - STF  1 ILIDADE"/>
    <s v="1,3"/>
    <n v="8"/>
    <n v="2"/>
    <n v="500"/>
    <n v="202605"/>
    <s v="NW"/>
    <s v="0"/>
    <n v="1.3000000000000001E-2"/>
    <n v="2.5000000000000001E-2"/>
    <b v="1"/>
    <s v="2026058"/>
    <n v="5"/>
  </r>
  <r>
    <x v="254"/>
    <s v="2SUP TRIB FEDRAL"/>
    <n v="2"/>
    <s v="795202 - Tabela 2"/>
    <n v="1.9E-2"/>
    <n v="120"/>
    <s v=""/>
    <n v="2.5"/>
    <n v="25"/>
    <m/>
    <s v="795202 - RFN - STF  2 ILIDADE"/>
    <s v="1,3"/>
    <n v="8"/>
    <n v="2"/>
    <n v="500"/>
    <n v="202605"/>
    <s v="NW"/>
    <s v="0"/>
    <n v="1.3000000000000001E-2"/>
    <n v="2.5000000000000001E-2"/>
    <b v="0"/>
    <s v="2026058"/>
    <n v="5"/>
  </r>
  <r>
    <x v="254"/>
    <s v="3SUP TRIB FEDRAL"/>
    <n v="3"/>
    <s v="795203 - Tabela 3"/>
    <n v="1.8000000000000002E-2"/>
    <n v="120"/>
    <s v=""/>
    <n v="2.5"/>
    <n v="25"/>
    <n v="25"/>
    <s v="795203 - RFN - STF  3 ILIDADE"/>
    <s v="1,3"/>
    <n v="8"/>
    <n v="2"/>
    <n v="500"/>
    <n v="202605"/>
    <s v="NW"/>
    <s v="0"/>
    <n v="1.3000000000000001E-2"/>
    <n v="2.5000000000000001E-2"/>
    <b v="0"/>
    <s v="2026058"/>
    <n v="5"/>
  </r>
  <r>
    <x v="255"/>
    <s v="1TEE SP"/>
    <n v="1"/>
    <s v="735751 - Tabela 1"/>
    <n v="1.8500000000000003E-2"/>
    <n v="120"/>
    <s v=""/>
    <n v="1.85"/>
    <n v="5"/>
    <m/>
    <s v="735751 - RFN - TRE SP  1 "/>
    <s v="1,39"/>
    <n v="30"/>
    <n v="2"/>
    <n v="500"/>
    <n v="202605"/>
    <s v="LG"/>
    <s v="1"/>
    <n v="1.3899999999999999E-2"/>
    <n v="1.8500000000000003E-2"/>
    <b v="1"/>
    <s v="20260530"/>
    <n v="20"/>
  </r>
  <r>
    <x v="255"/>
    <s v="2TEE SP"/>
    <n v="2"/>
    <s v="735752 - Tabela 2"/>
    <n v="1.8000000000000002E-2"/>
    <n v="120"/>
    <s v=""/>
    <n v="1.85"/>
    <n v="5"/>
    <m/>
    <s v="735752 - RFN - TRE SP  2 "/>
    <s v="1,39"/>
    <n v="30"/>
    <n v="2"/>
    <n v="500"/>
    <n v="202605"/>
    <s v="LG"/>
    <s v="1"/>
    <n v="1.3899999999999999E-2"/>
    <n v="1.8500000000000003E-2"/>
    <b v="0"/>
    <s v="20260530"/>
    <n v="20"/>
  </r>
  <r>
    <x v="255"/>
    <s v="3TEE SP"/>
    <n v="3"/>
    <s v="735753 - Tabela 3"/>
    <n v="1.7500000000000002E-2"/>
    <n v="120"/>
    <s v=""/>
    <n v="1.85"/>
    <n v="5"/>
    <m/>
    <s v="735753 - RFN - TRE SP  3 "/>
    <s v="1,39"/>
    <n v="30"/>
    <n v="2"/>
    <n v="500"/>
    <n v="202605"/>
    <s v="LG"/>
    <s v="1"/>
    <n v="1.3899999999999999E-2"/>
    <n v="1.8500000000000003E-2"/>
    <b v="0"/>
    <s v="20260530"/>
    <n v="20"/>
  </r>
  <r>
    <x v="255"/>
    <s v="4TEE SP"/>
    <n v="4"/>
    <s v="735754 - Tabela 4"/>
    <n v="1.7299999999999999E-2"/>
    <n v="120"/>
    <s v=""/>
    <n v="1.85"/>
    <n v="5"/>
    <n v="41"/>
    <s v="735754 - RFN - TRE SP  4 "/>
    <s v="1,39"/>
    <n v="30"/>
    <n v="2"/>
    <n v="500"/>
    <n v="202605"/>
    <s v="LG"/>
    <s v="1"/>
    <n v="1.3899999999999999E-2"/>
    <n v="1.8500000000000003E-2"/>
    <b v="0"/>
    <s v="20260530"/>
    <n v="20"/>
  </r>
  <r>
    <x v="256"/>
    <s v="1TJ AM"/>
    <n v="1"/>
    <s v="705631 - Tabela 1"/>
    <n v="2.5000000000000001E-2"/>
    <n v="96"/>
    <s v=""/>
    <n v="2.5"/>
    <n v="15"/>
    <n v="27"/>
    <s v="705631 - RFN - TJ AMAZONAS  1 "/>
    <s v="1,7"/>
    <n v="31"/>
    <n v="2"/>
    <n v="500"/>
    <n v="202605"/>
    <s v="NW"/>
    <s v="1"/>
    <n v="1.7000000000000001E-2"/>
    <n v="2.5000000000000001E-2"/>
    <b v="1"/>
    <s v="20260531"/>
    <n v="20"/>
  </r>
  <r>
    <x v="256"/>
    <s v="2TJ AM"/>
    <n v="2"/>
    <s v="705632 - Tabela 2"/>
    <n v="2.4E-2"/>
    <n v="96"/>
    <s v=""/>
    <n v="2.5"/>
    <n v="15"/>
    <n v="27"/>
    <s v="705632 - RFN - TJ AMAZONAS  2 "/>
    <s v="1,7"/>
    <n v="31"/>
    <n v="2"/>
    <n v="500"/>
    <n v="202605"/>
    <s v="NW"/>
    <s v="1"/>
    <n v="1.7000000000000001E-2"/>
    <n v="2.5000000000000001E-2"/>
    <b v="0"/>
    <s v="20260531"/>
    <n v="20"/>
  </r>
  <r>
    <x v="256"/>
    <s v="3TJ AM"/>
    <n v="3"/>
    <s v="705633 - Tabela 3"/>
    <n v="2.3E-2"/>
    <n v="96"/>
    <s v=""/>
    <n v="2.5"/>
    <n v="15"/>
    <n v="27"/>
    <s v="705633 - RFN - TJ AMAZONAS  3 "/>
    <s v="1,7"/>
    <n v="31"/>
    <n v="2"/>
    <n v="500"/>
    <n v="202605"/>
    <s v="NW"/>
    <s v="1"/>
    <n v="1.7000000000000001E-2"/>
    <n v="2.5000000000000001E-2"/>
    <b v="0"/>
    <s v="20260531"/>
    <n v="20"/>
  </r>
  <r>
    <x v="256"/>
    <s v="4TJ AM"/>
    <n v="4"/>
    <s v="705634 - Tabela 4"/>
    <n v="2.2000000000000002E-2"/>
    <n v="96"/>
    <s v=""/>
    <n v="2.5"/>
    <n v="15"/>
    <n v="27"/>
    <s v="705634 - RFN - TJ AMAZONAS  4 "/>
    <s v="1,7"/>
    <n v="31"/>
    <n v="2"/>
    <n v="500"/>
    <n v="202605"/>
    <s v="NW"/>
    <s v="1"/>
    <n v="1.7000000000000001E-2"/>
    <n v="2.5000000000000001E-2"/>
    <b v="0"/>
    <s v="20260531"/>
    <n v="20"/>
  </r>
  <r>
    <x v="256"/>
    <s v="5TJ AM"/>
    <n v="5"/>
    <s v="705635 - Tabela 5"/>
    <n v="2.1000000000000001E-2"/>
    <n v="96"/>
    <s v=""/>
    <n v="2.5"/>
    <n v="15"/>
    <n v="27"/>
    <s v="705635 - RFN - TJ AMAZONAS  5 "/>
    <s v="1,7"/>
    <n v="31"/>
    <n v="2"/>
    <n v="500"/>
    <n v="202605"/>
    <s v="NW"/>
    <s v="1"/>
    <n v="1.7000000000000001E-2"/>
    <n v="2.5000000000000001E-2"/>
    <b v="0"/>
    <s v="20260531"/>
    <n v="20"/>
  </r>
  <r>
    <x v="256"/>
    <s v="6TJ AM"/>
    <n v="6"/>
    <s v="705636 - Tabela 6"/>
    <n v="0.02"/>
    <n v="96"/>
    <s v=""/>
    <n v="2.5"/>
    <n v="15"/>
    <n v="27"/>
    <s v="705636 - RFN - TJ AMAZONAS  6 "/>
    <s v="1,7"/>
    <n v="31"/>
    <n v="2"/>
    <n v="500"/>
    <n v="202605"/>
    <s v="NW"/>
    <s v="1"/>
    <n v="1.7000000000000001E-2"/>
    <n v="2.5000000000000001E-2"/>
    <b v="0"/>
    <s v="20260531"/>
    <n v="20"/>
  </r>
  <r>
    <x v="256"/>
    <s v="7TJ AM"/>
    <n v="7"/>
    <s v="705637 - Tabela 7"/>
    <n v="1.9E-2"/>
    <n v="96"/>
    <s v=""/>
    <n v="2.5"/>
    <n v="15"/>
    <n v="27"/>
    <s v="705637 - RFN - TJ AMAZONAS  7 "/>
    <s v="1,7"/>
    <n v="31"/>
    <n v="2"/>
    <n v="500"/>
    <n v="202605"/>
    <s v="NW"/>
    <s v="1"/>
    <n v="1.7000000000000001E-2"/>
    <n v="2.5000000000000001E-2"/>
    <b v="0"/>
    <s v="20260531"/>
    <n v="20"/>
  </r>
  <r>
    <x v="256"/>
    <s v="8TJ AM"/>
    <n v="8"/>
    <s v="705638 - Tabela 8"/>
    <n v="1.83E-2"/>
    <n v="96"/>
    <s v=""/>
    <n v="2.5"/>
    <n v="15"/>
    <n v="27"/>
    <s v="705638 - RFN - TJ AMAZONAS  8 "/>
    <s v="1,7"/>
    <n v="31"/>
    <n v="2"/>
    <n v="500"/>
    <n v="202605"/>
    <s v="NW"/>
    <s v="1"/>
    <n v="1.7000000000000001E-2"/>
    <n v="2.5000000000000001E-2"/>
    <b v="0"/>
    <s v="20260531"/>
    <n v="20"/>
  </r>
  <r>
    <x v="257"/>
    <s v="1TJ BA"/>
    <n v="1"/>
    <s v="715861 - Tabela 1"/>
    <n v="2.5000000000000001E-2"/>
    <n v="120"/>
    <s v=""/>
    <n v="2.5"/>
    <n v="1"/>
    <n v="41"/>
    <s v="715861 - RFN - TJ - BAHIA 1 "/>
    <s v="1,51"/>
    <n v="5"/>
    <n v="2"/>
    <n v="500"/>
    <n v="202605"/>
    <s v="LG"/>
    <s v="0"/>
    <n v="1.5100000000000001E-2"/>
    <n v="2.5000000000000001E-2"/>
    <b v="1"/>
    <s v="2026055"/>
    <n v="2"/>
  </r>
  <r>
    <x v="257"/>
    <s v="2TJ BA"/>
    <n v="2"/>
    <s v="715862 - Tabela 2"/>
    <n v="2.4E-2"/>
    <n v="120"/>
    <s v=""/>
    <n v="2.5"/>
    <n v="1"/>
    <n v="41"/>
    <s v="715862 - RFN - TJ - BAHIA 2 "/>
    <s v="1,51"/>
    <n v="5"/>
    <n v="2"/>
    <n v="500"/>
    <n v="202605"/>
    <s v="LG"/>
    <s v="0"/>
    <n v="1.5100000000000001E-2"/>
    <n v="2.5000000000000001E-2"/>
    <b v="0"/>
    <s v="2026055"/>
    <n v="2"/>
  </r>
  <r>
    <x v="257"/>
    <s v="3TJ BA"/>
    <n v="3"/>
    <s v="715863 - Tabela 3"/>
    <n v="2.3E-2"/>
    <n v="120"/>
    <s v=""/>
    <n v="2.5"/>
    <n v="1"/>
    <n v="41"/>
    <s v="715863 - RFN - TJ - BAHIA 3 "/>
    <s v="1,51"/>
    <n v="5"/>
    <n v="2"/>
    <n v="500"/>
    <n v="202605"/>
    <s v="LG"/>
    <s v="0"/>
    <n v="1.5100000000000001E-2"/>
    <n v="2.5000000000000001E-2"/>
    <b v="0"/>
    <s v="2026055"/>
    <n v="2"/>
  </r>
  <r>
    <x v="257"/>
    <s v="4TJ BA"/>
    <n v="4"/>
    <s v="715864 - Tabela 4"/>
    <n v="2.2000000000000002E-2"/>
    <n v="120"/>
    <s v=""/>
    <n v="2.5"/>
    <n v="1"/>
    <n v="41"/>
    <s v="715864 - RFN - TJ - BAHIA 4 "/>
    <s v="1,51"/>
    <n v="5"/>
    <n v="2"/>
    <n v="500"/>
    <n v="202605"/>
    <s v="LG"/>
    <s v="0"/>
    <n v="1.5100000000000001E-2"/>
    <n v="2.5000000000000001E-2"/>
    <b v="0"/>
    <s v="2026055"/>
    <n v="2"/>
  </r>
  <r>
    <x v="257"/>
    <s v="5TJ BA"/>
    <n v="5"/>
    <s v="715865 - Tabela 5"/>
    <n v="2.1099999999999997E-2"/>
    <n v="120"/>
    <s v=""/>
    <n v="2.5"/>
    <n v="1"/>
    <n v="41"/>
    <s v="715865 - RFN - TJ - BAHIA 5 "/>
    <s v="1,51"/>
    <n v="5"/>
    <n v="2"/>
    <n v="500"/>
    <n v="202605"/>
    <s v="LG"/>
    <s v="0"/>
    <n v="1.5100000000000001E-2"/>
    <n v="2.5000000000000001E-2"/>
    <b v="0"/>
    <s v="2026055"/>
    <n v="2"/>
  </r>
  <r>
    <x v="258"/>
    <s v="1TJ DF"/>
    <n v="1"/>
    <s v="985370 - Tabela 1"/>
    <n v="1.7500000000000002E-2"/>
    <n v="120"/>
    <s v=""/>
    <n v="1.75"/>
    <n v="25"/>
    <n v="33"/>
    <s v="985370 - RFN - TJ DFT  1 "/>
    <s v="1,4"/>
    <n v="5"/>
    <n v="2"/>
    <n v="500"/>
    <n v="202605"/>
    <s v="LG"/>
    <s v="0"/>
    <n v="1.3999999999999999E-2"/>
    <n v="1.7500000000000002E-2"/>
    <b v="1"/>
    <s v="2026055"/>
    <n v="2"/>
  </r>
  <r>
    <x v="259"/>
    <s v="1TJ ESP SANTO - ESPECIAL"/>
    <n v="1"/>
    <s v="825122 - Tabela 1"/>
    <n v="2.5000000000000001E-2"/>
    <n v="120"/>
    <s v=""/>
    <n v="2.5"/>
    <n v="10"/>
    <m/>
    <s v="825122 - RFN - TJ ESPIRITO SANTO 1 "/>
    <s v="1,66"/>
    <n v="30"/>
    <n v="2"/>
    <n v="500"/>
    <n v="202605"/>
    <s v="LG"/>
    <s v="1"/>
    <n v="1.66E-2"/>
    <n v="2.5000000000000001E-2"/>
    <b v="1"/>
    <s v="20260530"/>
    <n v="20"/>
  </r>
  <r>
    <x v="259"/>
    <s v="2TJ ESP SANTO - ESPECIAL"/>
    <n v="2"/>
    <s v="825123 - Tabela 2"/>
    <n v="2.4E-2"/>
    <n v="120"/>
    <s v=""/>
    <n v="2.5"/>
    <n v="10"/>
    <m/>
    <s v="825123 - RFN - TJ ESPIRITO SANTO 2 "/>
    <s v="1,66"/>
    <n v="30"/>
    <n v="2"/>
    <n v="500"/>
    <n v="202605"/>
    <s v="LG"/>
    <s v="1"/>
    <n v="1.66E-2"/>
    <n v="2.5000000000000001E-2"/>
    <b v="0"/>
    <s v="20260530"/>
    <n v="20"/>
  </r>
  <r>
    <x v="259"/>
    <s v="3TJ ESP SANTO - ESPECIAL"/>
    <n v="3"/>
    <s v="825124 - Tabela 3"/>
    <n v="2.3E-2"/>
    <n v="120"/>
    <s v=""/>
    <n v="2.5"/>
    <n v="10"/>
    <m/>
    <s v="825124 - RFN - TJ ESPIRITO SANTO 3 "/>
    <s v="1,66"/>
    <n v="30"/>
    <n v="2"/>
    <n v="500"/>
    <n v="202605"/>
    <s v="LG"/>
    <s v="1"/>
    <n v="1.66E-2"/>
    <n v="2.5000000000000001E-2"/>
    <b v="0"/>
    <s v="20260530"/>
    <n v="20"/>
  </r>
  <r>
    <x v="259"/>
    <s v="4TJ ESP SANTO - ESPECIAL"/>
    <n v="4"/>
    <s v="825125 - Tabela 4"/>
    <n v="2.2000000000000002E-2"/>
    <n v="120"/>
    <s v=""/>
    <n v="2.5"/>
    <n v="10"/>
    <m/>
    <s v="825125 - RFN - TJ ESPIRITO SANTO 4 "/>
    <s v="1,66"/>
    <n v="30"/>
    <n v="2"/>
    <n v="500"/>
    <n v="202605"/>
    <s v="LG"/>
    <s v="1"/>
    <n v="1.66E-2"/>
    <n v="2.5000000000000001E-2"/>
    <b v="0"/>
    <s v="20260530"/>
    <n v="20"/>
  </r>
  <r>
    <x v="259"/>
    <s v="5TJ ESP SANTO - ESPECIAL"/>
    <n v="5"/>
    <s v="825126 - Tabela 5"/>
    <n v="2.1000000000000001E-2"/>
    <n v="120"/>
    <s v=""/>
    <n v="2.5"/>
    <n v="10"/>
    <m/>
    <s v="825126 - RFN - TJ ESPIRITO SANTO 5 "/>
    <s v="1,66"/>
    <n v="30"/>
    <n v="2"/>
    <n v="500"/>
    <n v="202605"/>
    <s v="LG"/>
    <s v="1"/>
    <n v="1.66E-2"/>
    <n v="2.5000000000000001E-2"/>
    <b v="0"/>
    <s v="20260530"/>
    <n v="20"/>
  </r>
  <r>
    <x v="259"/>
    <s v="6TJ ESP SANTO - ESPECIAL"/>
    <n v="6"/>
    <s v="825127 - Tabela 6"/>
    <n v="0.02"/>
    <n v="120"/>
    <s v=""/>
    <n v="2.5"/>
    <n v="10"/>
    <m/>
    <s v="825127 - RFN - TJ ESPIRITO SANTO 6 "/>
    <s v="1,66"/>
    <n v="30"/>
    <n v="2"/>
    <n v="500"/>
    <n v="202605"/>
    <s v="LG"/>
    <s v="1"/>
    <n v="1.66E-2"/>
    <n v="2.5000000000000001E-2"/>
    <b v="0"/>
    <s v="20260530"/>
    <n v="20"/>
  </r>
  <r>
    <x v="259"/>
    <s v="7TJ ESP SANTO - ESPECIAL"/>
    <n v="7"/>
    <s v="825128 - Tabela 7"/>
    <n v="1.9699999999999999E-2"/>
    <n v="120"/>
    <s v=""/>
    <n v="2.5"/>
    <n v="10"/>
    <m/>
    <s v="825128 - RFN - TJ ESPIRITO SANTO 7 "/>
    <s v="1,66"/>
    <n v="30"/>
    <n v="2"/>
    <n v="500"/>
    <n v="202605"/>
    <s v="LG"/>
    <s v="1"/>
    <n v="1.66E-2"/>
    <n v="2.5000000000000001E-2"/>
    <b v="0"/>
    <s v="20260530"/>
    <n v="20"/>
  </r>
  <r>
    <x v="260"/>
    <s v="1TJ MA"/>
    <n v="1"/>
    <s v="725130 - Tabela 1"/>
    <n v="2.5000000000000001E-2"/>
    <n v="120"/>
    <s v=""/>
    <n v="2.5"/>
    <n v="11"/>
    <m/>
    <s v="725130 - RFN - TJ MA 1 "/>
    <s v="1,41"/>
    <n v="1"/>
    <n v="2"/>
    <n v="500"/>
    <n v="202605"/>
    <s v="LG"/>
    <s v="1"/>
    <n v="1.41E-2"/>
    <n v="2.5000000000000001E-2"/>
    <b v="1"/>
    <s v="2026051"/>
    <n v="0"/>
  </r>
  <r>
    <x v="260"/>
    <s v="2TJ MA"/>
    <n v="2"/>
    <s v="725131 - Tabela 2"/>
    <n v="2.2000000000000002E-2"/>
    <n v="120"/>
    <s v=""/>
    <n v="2.5"/>
    <n v="11"/>
    <n v="57"/>
    <s v="725131 - RFN - TJ MA 2 "/>
    <s v="1,41"/>
    <n v="1"/>
    <n v="2"/>
    <n v="500"/>
    <n v="202605"/>
    <s v="LG"/>
    <s v="1"/>
    <n v="1.41E-2"/>
    <n v="2.5000000000000001E-2"/>
    <b v="0"/>
    <s v="2026051"/>
    <n v="0"/>
  </r>
  <r>
    <x v="260"/>
    <s v="3TJ MA"/>
    <n v="3"/>
    <s v="725132 - Tabela 3"/>
    <n v="2.1000000000000001E-2"/>
    <n v="120"/>
    <s v=""/>
    <n v="2.5"/>
    <n v="11"/>
    <n v="52"/>
    <s v="725132 - RFN - TJ MA 3 "/>
    <s v="1,41"/>
    <n v="1"/>
    <n v="2"/>
    <n v="500"/>
    <n v="202605"/>
    <s v="LG"/>
    <s v="1"/>
    <n v="1.41E-2"/>
    <n v="2.5000000000000001E-2"/>
    <b v="0"/>
    <s v="2026051"/>
    <n v="0"/>
  </r>
  <r>
    <x v="260"/>
    <s v="4TJ MA"/>
    <n v="4"/>
    <s v="725133 - Tabela 4"/>
    <n v="0.02"/>
    <n v="120"/>
    <s v=""/>
    <n v="2.5"/>
    <n v="11"/>
    <n v="58"/>
    <s v="725133 - RFN - TJ MA 4 "/>
    <s v="1,41"/>
    <n v="1"/>
    <n v="2"/>
    <n v="500"/>
    <n v="202605"/>
    <s v="LG"/>
    <s v="1"/>
    <n v="1.41E-2"/>
    <n v="2.5000000000000001E-2"/>
    <b v="0"/>
    <s v="2026051"/>
    <n v="0"/>
  </r>
  <r>
    <x v="260"/>
    <s v="5TJ MA"/>
    <n v="5"/>
    <s v="725134 - Tabela 5"/>
    <n v="1.95E-2"/>
    <n v="120"/>
    <s v=""/>
    <n v="2.5"/>
    <n v="11"/>
    <n v="56"/>
    <s v="725134 - RFN - TJ MA 5 "/>
    <s v="1,41"/>
    <n v="1"/>
    <n v="2"/>
    <n v="500"/>
    <n v="202605"/>
    <s v="LG"/>
    <s v="1"/>
    <n v="1.41E-2"/>
    <n v="2.5000000000000001E-2"/>
    <b v="0"/>
    <s v="2026051"/>
    <n v="0"/>
  </r>
  <r>
    <x v="260"/>
    <s v="6TJ MA"/>
    <n v="6"/>
    <s v="725135 - Tabela 6"/>
    <n v="1.9E-2"/>
    <n v="120"/>
    <s v=""/>
    <n v="2.5"/>
    <n v="11"/>
    <n v="56"/>
    <s v="725135 - RFN - TJ MA 6 "/>
    <s v="1,41"/>
    <n v="1"/>
    <n v="2"/>
    <n v="500"/>
    <n v="202605"/>
    <s v="LG"/>
    <s v="1"/>
    <n v="1.41E-2"/>
    <n v="2.5000000000000001E-2"/>
    <b v="0"/>
    <s v="2026051"/>
    <n v="0"/>
  </r>
  <r>
    <x v="261"/>
    <s v="1TJ MATO GROSSO"/>
    <n v="1"/>
    <s v="915001 - Tabela 1"/>
    <n v="2.5000000000000001E-2"/>
    <n v="120"/>
    <s v=""/>
    <n v="2.5"/>
    <n v="1"/>
    <n v="27"/>
    <s v="915001 - RFN - TJ MT  1 "/>
    <s v="1,35"/>
    <n v="31"/>
    <n v="2"/>
    <n v="500"/>
    <n v="202605"/>
    <s v="LG"/>
    <s v="0"/>
    <n v="1.3500000000000002E-2"/>
    <n v="2.5000000000000001E-2"/>
    <b v="1"/>
    <s v="20260531"/>
    <n v="20"/>
  </r>
  <r>
    <x v="261"/>
    <s v="2TJ MATO GROSSO"/>
    <n v="2"/>
    <s v="915004 - Tabela 2"/>
    <n v="2.2499999999999999E-2"/>
    <n v="120"/>
    <s v=""/>
    <n v="2.5"/>
    <n v="1"/>
    <n v="27"/>
    <s v="915004 - RFN - TJ MT  2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3TJ MATO GROSSO"/>
    <n v="3"/>
    <s v="915005 - Tabela 3"/>
    <n v="0.02"/>
    <n v="120"/>
    <s v=""/>
    <n v="2.5"/>
    <n v="1"/>
    <n v="27"/>
    <s v="915005 - RFN - TJ MT  3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4TJ MATO GROSSO"/>
    <n v="4"/>
    <s v="915006 - Tabela 4"/>
    <n v="1.8000000000000002E-2"/>
    <n v="120"/>
    <s v=""/>
    <n v="2.5"/>
    <n v="1"/>
    <n v="27"/>
    <s v="915006 - RFN - TJ MT  4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5TJ MATO GROSSO"/>
    <n v="5"/>
    <s v="915007 - Tabela 5"/>
    <n v="1.7600000000000001E-2"/>
    <n v="120"/>
    <s v=""/>
    <n v="2.5"/>
    <n v="1"/>
    <n v="27"/>
    <s v="915007 - RFN - TJ MT  5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6TJ MATO GROSSO"/>
    <n v="6"/>
    <s v="915008 - Tabela 6"/>
    <n v="1.7399999999999999E-2"/>
    <n v="120"/>
    <s v=""/>
    <n v="2.5"/>
    <n v="1"/>
    <n v="27"/>
    <s v="915008 - RFN - TJ MT  6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7TJ MATO GROSSO"/>
    <n v="7"/>
    <s v="915009 - Tabela 7"/>
    <n v="1.72E-2"/>
    <n v="120"/>
    <s v=""/>
    <n v="2.5"/>
    <n v="1"/>
    <n v="27"/>
    <s v="915009 - RFN - TJ MT  7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8TJ MATO GROSSO"/>
    <n v="8"/>
    <s v="915010 - Tabela 8"/>
    <n v="1.7000000000000001E-2"/>
    <n v="120"/>
    <s v=""/>
    <n v="2.5"/>
    <n v="1"/>
    <n v="27"/>
    <s v="915010 - RFN - TJ MT  8 "/>
    <s v="1,35"/>
    <n v="4"/>
    <n v="2"/>
    <n v="500"/>
    <n v="202605"/>
    <s v="LG"/>
    <s v="0"/>
    <n v="1.3500000000000002E-2"/>
    <n v="2.5000000000000001E-2"/>
    <b v="0"/>
    <s v="2026054"/>
    <n v="1"/>
  </r>
  <r>
    <x v="261"/>
    <s v="9TJ MATO GROSSO"/>
    <n v="9"/>
    <s v="915011 - Tabela 9"/>
    <n v="1.6799999999999999E-2"/>
    <n v="120"/>
    <s v=""/>
    <n v="2.5"/>
    <n v="1"/>
    <n v="27"/>
    <s v="915011 - RFN - TJ MT  9 "/>
    <s v="1,35"/>
    <n v="4"/>
    <n v="2"/>
    <n v="500"/>
    <n v="202605"/>
    <s v="LG"/>
    <s v="0"/>
    <n v="1.3500000000000002E-2"/>
    <n v="2.5000000000000001E-2"/>
    <b v="0"/>
    <s v="2026054"/>
    <n v="1"/>
  </r>
  <r>
    <x v="262"/>
    <s v="1TJ MG"/>
    <n v="1"/>
    <s v="715181 - Tabela 1"/>
    <n v="2.0499999999999997E-2"/>
    <n v="120"/>
    <s v=""/>
    <n v="2.25"/>
    <n v="10"/>
    <n v="46"/>
    <s v="715181 - RFN - TJ MG 1 "/>
    <s v="1,4"/>
    <n v="9"/>
    <n v="2"/>
    <n v="500"/>
    <n v="202605"/>
    <s v="LG"/>
    <s v="1"/>
    <n v="1.3999999999999999E-2"/>
    <n v="2.2499999999999999E-2"/>
    <b v="0"/>
    <s v="2026059"/>
    <n v="5"/>
  </r>
  <r>
    <x v="263"/>
    <s v="1TJ MS"/>
    <n v="1"/>
    <s v="765891 - Tabela 1"/>
    <n v="2.35E-2"/>
    <n v="96"/>
    <s v=""/>
    <n v="2.35"/>
    <n v="20"/>
    <n v="27"/>
    <s v="765891 - RFN - TJ MS 1  "/>
    <s v="1,4"/>
    <n v="2"/>
    <n v="2"/>
    <n v="500"/>
    <n v="202605"/>
    <s v="LG"/>
    <s v="1"/>
    <n v="1.3999999999999999E-2"/>
    <n v="2.35E-2"/>
    <b v="1"/>
    <s v="2026052"/>
    <n v="0"/>
  </r>
  <r>
    <x v="263"/>
    <s v="2TJ MS"/>
    <n v="2"/>
    <s v="765892 - Tabela 2"/>
    <n v="2.2499999999999999E-2"/>
    <n v="96"/>
    <s v=""/>
    <n v="2.35"/>
    <n v="20"/>
    <n v="27"/>
    <s v="765892 - RFN - TJ MS 2  "/>
    <s v="1,4"/>
    <n v="2"/>
    <n v="2"/>
    <n v="500"/>
    <n v="202605"/>
    <s v="LG"/>
    <s v="1"/>
    <n v="1.3999999999999999E-2"/>
    <n v="2.35E-2"/>
    <b v="0"/>
    <s v="2026052"/>
    <n v="0"/>
  </r>
  <r>
    <x v="263"/>
    <s v="3TJ MS"/>
    <n v="3"/>
    <s v="765893 - Tabela 3"/>
    <n v="2.1499999999999998E-2"/>
    <n v="96"/>
    <s v=""/>
    <n v="2.35"/>
    <n v="20"/>
    <n v="27"/>
    <s v="765893 - RFN - TJ MS 3  "/>
    <s v="1,4"/>
    <n v="2"/>
    <n v="2"/>
    <n v="500"/>
    <n v="202605"/>
    <s v="LG"/>
    <s v="1"/>
    <n v="1.3999999999999999E-2"/>
    <n v="2.35E-2"/>
    <b v="0"/>
    <s v="2026052"/>
    <n v="0"/>
  </r>
  <r>
    <x v="263"/>
    <s v="4TJ MS"/>
    <n v="4"/>
    <s v="765894 - Tabela 4"/>
    <n v="2.0499999999999997E-2"/>
    <n v="96"/>
    <s v=""/>
    <n v="2.35"/>
    <n v="20"/>
    <n v="27"/>
    <s v="765894 - RFN - TJ MS 4  "/>
    <s v="1,4"/>
    <n v="2"/>
    <n v="2"/>
    <n v="500"/>
    <n v="202605"/>
    <s v="LG"/>
    <s v="1"/>
    <n v="1.3999999999999999E-2"/>
    <n v="2.35E-2"/>
    <b v="0"/>
    <s v="2026052"/>
    <n v="0"/>
  </r>
  <r>
    <x v="263"/>
    <s v="5TJ MS"/>
    <n v="5"/>
    <s v="765895 - Tabela 5"/>
    <n v="1.95E-2"/>
    <n v="96"/>
    <s v=""/>
    <n v="2.35"/>
    <n v="20"/>
    <n v="27"/>
    <s v="765895 - RFN - TJ MS 5  "/>
    <s v="1,4"/>
    <n v="2"/>
    <n v="2"/>
    <n v="500"/>
    <n v="202605"/>
    <s v="LG"/>
    <s v="1"/>
    <n v="1.3999999999999999E-2"/>
    <n v="2.35E-2"/>
    <b v="0"/>
    <s v="2026052"/>
    <n v="0"/>
  </r>
  <r>
    <x v="263"/>
    <s v="6TJ MS"/>
    <n v="6"/>
    <s v="765896 - Tabela 6"/>
    <n v="1.8500000000000003E-2"/>
    <n v="96"/>
    <s v=""/>
    <n v="2.35"/>
    <n v="20"/>
    <n v="27"/>
    <s v="765896 - RFN - TJ MS 6  "/>
    <s v="1,4"/>
    <n v="2"/>
    <n v="2"/>
    <n v="500"/>
    <n v="202605"/>
    <s v="LG"/>
    <s v="1"/>
    <n v="1.3999999999999999E-2"/>
    <n v="2.35E-2"/>
    <b v="0"/>
    <s v="2026052"/>
    <n v="0"/>
  </r>
  <r>
    <x v="263"/>
    <s v="7TJ MS"/>
    <n v="7"/>
    <s v="765897 - Tabela 7"/>
    <n v="1.7500000000000002E-2"/>
    <n v="96"/>
    <s v=""/>
    <n v="2.35"/>
    <n v="20"/>
    <n v="27"/>
    <s v="765897 - RFN - TJ MS 7  "/>
    <s v="1,4"/>
    <n v="2"/>
    <n v="2"/>
    <n v="500"/>
    <n v="202605"/>
    <s v="LG"/>
    <s v="1"/>
    <n v="1.3999999999999999E-2"/>
    <n v="2.35E-2"/>
    <b v="0"/>
    <s v="2026052"/>
    <n v="0"/>
  </r>
  <r>
    <x v="263"/>
    <s v="8TJ MS"/>
    <n v="8"/>
    <s v="765898 - Tabela 8"/>
    <n v="1.6500000000000001E-2"/>
    <n v="96"/>
    <s v=""/>
    <n v="2.35"/>
    <n v="20"/>
    <n v="27"/>
    <s v="765898 - RFN - TJ MS 8  "/>
    <s v="1,4"/>
    <n v="2"/>
    <n v="2"/>
    <n v="500"/>
    <n v="202605"/>
    <s v="LG"/>
    <s v="1"/>
    <n v="1.3999999999999999E-2"/>
    <n v="2.35E-2"/>
    <b v="0"/>
    <s v="2026052"/>
    <n v="0"/>
  </r>
  <r>
    <x v="264"/>
    <s v="1TJ PI"/>
    <n v="1"/>
    <s v="725120 - Tabela 1"/>
    <n v="2.2000000000000002E-2"/>
    <n v="120"/>
    <s v=""/>
    <n v="2.5"/>
    <n v="25"/>
    <n v="41"/>
    <s v="725120 - RFN - TJ PIAUI 1 "/>
    <s v="1,37"/>
    <n v="5"/>
    <n v="2"/>
    <n v="500"/>
    <n v="202605"/>
    <s v="LG"/>
    <s v="0"/>
    <n v="1.37E-2"/>
    <n v="2.5000000000000001E-2"/>
    <b v="0"/>
    <s v="2026055"/>
    <n v="2"/>
  </r>
  <r>
    <x v="264"/>
    <s v="2TJ PI"/>
    <n v="2"/>
    <s v="725121 - Tabela 2"/>
    <n v="2.1000000000000001E-2"/>
    <n v="120"/>
    <s v=""/>
    <n v="2.5"/>
    <n v="25"/>
    <n v="35"/>
    <s v="725121 - RFN - TJ PIAUI 2 "/>
    <s v="1,37"/>
    <n v="5"/>
    <n v="2"/>
    <n v="500"/>
    <n v="202605"/>
    <s v="LG"/>
    <s v="0"/>
    <n v="1.37E-2"/>
    <n v="2.5000000000000001E-2"/>
    <b v="0"/>
    <s v="2026055"/>
    <n v="2"/>
  </r>
  <r>
    <x v="264"/>
    <s v="3TJ PI"/>
    <n v="3"/>
    <s v="725122 - Tabela 3"/>
    <n v="0.02"/>
    <n v="120"/>
    <s v=""/>
    <n v="2.5"/>
    <n v="25"/>
    <n v="44"/>
    <s v="725122 - RFN - TJ PIAUI 3 "/>
    <s v="1,37"/>
    <n v="5"/>
    <n v="2"/>
    <n v="500"/>
    <n v="202605"/>
    <s v="LG"/>
    <s v="0"/>
    <n v="1.37E-2"/>
    <n v="2.5000000000000001E-2"/>
    <b v="0"/>
    <s v="2026055"/>
    <n v="2"/>
  </r>
  <r>
    <x v="264"/>
    <s v="4TJ PI"/>
    <n v="4"/>
    <s v="725123 - Tabela 4"/>
    <n v="1.9E-2"/>
    <n v="120"/>
    <s v=""/>
    <n v="2.5"/>
    <n v="25"/>
    <n v="37"/>
    <s v="725123 - RFN - TJ PIAUI 4 "/>
    <s v="1,37"/>
    <n v="5"/>
    <n v="2"/>
    <n v="500"/>
    <n v="202605"/>
    <s v="LG"/>
    <s v="0"/>
    <n v="1.37E-2"/>
    <n v="2.5000000000000001E-2"/>
    <b v="0"/>
    <s v="2026055"/>
    <n v="2"/>
  </r>
  <r>
    <x v="264"/>
    <s v="5TJ PI"/>
    <n v="5"/>
    <s v="725124 - Tabela 5"/>
    <n v="1.7500000000000002E-2"/>
    <n v="120"/>
    <s v=""/>
    <n v="2.5"/>
    <n v="25"/>
    <n v="38"/>
    <s v="725124 - RFN - TJ PIAUI 5 "/>
    <s v="1,37"/>
    <n v="5"/>
    <n v="2"/>
    <n v="500"/>
    <n v="202605"/>
    <s v="LG"/>
    <s v="0"/>
    <n v="1.37E-2"/>
    <n v="2.5000000000000001E-2"/>
    <b v="0"/>
    <s v="2026055"/>
    <n v="2"/>
  </r>
  <r>
    <x v="264"/>
    <s v="6TJ PI"/>
    <n v="6"/>
    <s v="725125 - Tabela 6"/>
    <n v="1.6E-2"/>
    <n v="120"/>
    <s v=""/>
    <n v="2.5"/>
    <n v="25"/>
    <n v="32"/>
    <s v="725125 - RFN - TJ PIAUI 6 "/>
    <s v="1,37"/>
    <n v="5"/>
    <n v="2"/>
    <n v="500"/>
    <n v="202605"/>
    <s v="LG"/>
    <s v="0"/>
    <n v="1.37E-2"/>
    <n v="2.5000000000000001E-2"/>
    <b v="0"/>
    <s v="2026055"/>
    <n v="2"/>
  </r>
  <r>
    <x v="265"/>
    <s v="1TJ SAO PAULO"/>
    <n v="1"/>
    <s v="905111 - Tabela 1"/>
    <n v="2.4900000000000002E-2"/>
    <n v="96"/>
    <s v=""/>
    <n v="2.5"/>
    <n v="10"/>
    <n v="27"/>
    <s v="905111 - RFN - TJ SP  1  SERVIDOR"/>
    <s v="1,32"/>
    <n v="13"/>
    <n v="2"/>
    <n v="500"/>
    <n v="202605"/>
    <s v="LG"/>
    <s v="0"/>
    <n v="1.32E-2"/>
    <n v="2.5000000000000001E-2"/>
    <b v="0"/>
    <s v="20260513"/>
    <n v="8"/>
  </r>
  <r>
    <x v="265"/>
    <s v="2TJ SAO PAULO"/>
    <n v="2"/>
    <s v="905112 - Tabela 1"/>
    <n v="2.4900000000000002E-2"/>
    <n v="96"/>
    <s v=""/>
    <n v="2.5"/>
    <n v="10"/>
    <n v="27"/>
    <s v="905112 - RFN - TJ SP  1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3TJ SAO PAULO"/>
    <n v="3"/>
    <s v="905114 - Tabela 2"/>
    <n v="1.89E-2"/>
    <n v="96"/>
    <s v=""/>
    <n v="2.5"/>
    <n v="10"/>
    <n v="27"/>
    <s v="905114 - RFN - TJ SP  2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4TJ SAO PAULO"/>
    <n v="4"/>
    <s v="905123 - Tabela 2"/>
    <n v="1.89E-2"/>
    <n v="96"/>
    <s v=""/>
    <n v="2.5"/>
    <n v="10"/>
    <n v="27"/>
    <s v="905123 - RFN - TJ SP  2  SERVIDOR"/>
    <s v="1,32"/>
    <n v="13"/>
    <n v="2"/>
    <n v="500"/>
    <n v="202605"/>
    <s v="LG"/>
    <s v="0"/>
    <n v="1.32E-2"/>
    <n v="2.5000000000000001E-2"/>
    <b v="0"/>
    <s v="20260513"/>
    <n v="8"/>
  </r>
  <r>
    <x v="265"/>
    <s v="5TJ SAO PAULO"/>
    <n v="5"/>
    <s v="905115 - Tabela 3"/>
    <n v="1.8500000000000003E-2"/>
    <n v="96"/>
    <s v=""/>
    <n v="2.5"/>
    <n v="10"/>
    <n v="27"/>
    <s v="905115 - RFN - TJ SP  3  SERVIDOR"/>
    <s v="1,32"/>
    <n v="13"/>
    <n v="2"/>
    <n v="500"/>
    <n v="202605"/>
    <s v="LG"/>
    <s v="0"/>
    <n v="1.32E-2"/>
    <n v="2.5000000000000001E-2"/>
    <b v="0"/>
    <s v="20260513"/>
    <n v="8"/>
  </r>
  <r>
    <x v="265"/>
    <s v="6TJ SAO PAULO"/>
    <n v="6"/>
    <s v="905116 - Tabela 3"/>
    <n v="1.8500000000000003E-2"/>
    <n v="96"/>
    <s v=""/>
    <n v="2.5"/>
    <n v="10"/>
    <n v="27"/>
    <s v="905116 - RFN - TJ SP  3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7TJ SAO PAULO"/>
    <n v="7"/>
    <s v="905126 - Tabela 4"/>
    <n v="1.7899999999999999E-2"/>
    <n v="96"/>
    <s v=""/>
    <n v="2.5"/>
    <n v="10"/>
    <n v="27"/>
    <s v="905126 - RFN - TJ SP  4  SERVIDOR"/>
    <s v="1,32"/>
    <n v="13"/>
    <n v="2"/>
    <n v="500"/>
    <n v="202605"/>
    <s v="LG"/>
    <s v="0"/>
    <n v="1.32E-2"/>
    <n v="2.5000000000000001E-2"/>
    <b v="0"/>
    <s v="20260513"/>
    <n v="8"/>
  </r>
  <r>
    <x v="265"/>
    <s v="8TJ SAO PAULO"/>
    <n v="8"/>
    <s v="905127 - Tabela 4"/>
    <n v="1.7899999999999999E-2"/>
    <n v="96"/>
    <s v=""/>
    <n v="2.5"/>
    <n v="10"/>
    <n v="27"/>
    <s v="905127 - RFN - TJ SP  4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9TJ SAO PAULO"/>
    <n v="9"/>
    <s v="905128 - Tabela 5"/>
    <n v="1.7500000000000002E-2"/>
    <n v="96"/>
    <s v=""/>
    <n v="2.5"/>
    <n v="10"/>
    <n v="27"/>
    <s v="905128 - RFN - TJ SP  5  SERVIDOR"/>
    <s v="1,32"/>
    <n v="13"/>
    <n v="2"/>
    <n v="500"/>
    <n v="202605"/>
    <s v="LG"/>
    <s v="0"/>
    <n v="1.32E-2"/>
    <n v="2.5000000000000001E-2"/>
    <b v="0"/>
    <s v="20260513"/>
    <n v="8"/>
  </r>
  <r>
    <x v="265"/>
    <s v="10TJ SAO PAULO"/>
    <n v="10"/>
    <s v="905129 - Tabela 5"/>
    <n v="1.7500000000000002E-2"/>
    <n v="96"/>
    <s v=""/>
    <n v="2.5"/>
    <n v="10"/>
    <n v="27"/>
    <s v="905129 - RFN - TJ SP  5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11TJ SAO PAULO"/>
    <n v="11"/>
    <s v="905130 - Tabela 6"/>
    <n v="1.6899999999999998E-2"/>
    <n v="96"/>
    <s v=""/>
    <n v="2.5"/>
    <n v="10"/>
    <n v="27"/>
    <s v="905130 - RFN - TJ SP  6  SERVIDOR"/>
    <s v="1,32"/>
    <n v="13"/>
    <n v="2"/>
    <n v="500"/>
    <n v="202605"/>
    <s v="LG"/>
    <s v="0"/>
    <n v="1.32E-2"/>
    <n v="2.5000000000000001E-2"/>
    <b v="0"/>
    <s v="20260513"/>
    <n v="8"/>
  </r>
  <r>
    <x v="265"/>
    <s v="12TJ SAO PAULO"/>
    <n v="12"/>
    <s v="905131 - Tabela 6"/>
    <n v="1.6899999999999998E-2"/>
    <n v="96"/>
    <s v=""/>
    <n v="2.5"/>
    <n v="10"/>
    <n v="27"/>
    <s v="905131 - RFN - TJ SP  6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13TJ SAO PAULO"/>
    <n v="13"/>
    <s v="905132 - Tabela 7"/>
    <n v="1.6500000000000001E-2"/>
    <n v="96"/>
    <s v=""/>
    <n v="2.5"/>
    <n v="10"/>
    <n v="27"/>
    <s v="905132 - RFN - TJ SP  7  SERVIDOR"/>
    <s v="1,32"/>
    <n v="13"/>
    <n v="2"/>
    <n v="500"/>
    <n v="202605"/>
    <s v="LG"/>
    <s v="0"/>
    <n v="1.32E-2"/>
    <n v="2.5000000000000001E-2"/>
    <b v="0"/>
    <s v="20260513"/>
    <n v="8"/>
  </r>
  <r>
    <x v="265"/>
    <s v="14TJ SAO PAULO"/>
    <n v="14"/>
    <s v="905133 - Tabela 7"/>
    <n v="1.6500000000000001E-2"/>
    <n v="96"/>
    <s v=""/>
    <n v="2.5"/>
    <n v="10"/>
    <n v="27"/>
    <s v="905133 - RFN - TJ SP  7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15TJ SAO PAULO"/>
    <n v="15"/>
    <s v="905134 - Tabela 8"/>
    <n v="1.5900000000000001E-2"/>
    <n v="96"/>
    <s v=""/>
    <n v="2.5"/>
    <n v="10"/>
    <n v="27"/>
    <s v="905134 - RFN - TJ SP  8  SERVIDOR"/>
    <s v="1,32"/>
    <n v="13"/>
    <n v="2"/>
    <n v="500"/>
    <n v="202605"/>
    <s v="LG"/>
    <s v="0"/>
    <n v="1.32E-2"/>
    <n v="2.5000000000000001E-2"/>
    <b v="0"/>
    <s v="20260513"/>
    <n v="8"/>
  </r>
  <r>
    <x v="265"/>
    <s v="16TJ SAO PAULO"/>
    <n v="16"/>
    <s v="905138 - Tabela 8"/>
    <n v="1.5900000000000001E-2"/>
    <n v="96"/>
    <s v=""/>
    <n v="2.5"/>
    <n v="10"/>
    <n v="27"/>
    <s v="905138 - RFN - TJ SP  8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17TJ SAO PAULO"/>
    <n v="17"/>
    <s v="905135 - Tabela 9"/>
    <n v="1.55E-2"/>
    <n v="96"/>
    <s v=""/>
    <n v="2.5"/>
    <n v="10"/>
    <n v="27"/>
    <s v="905135 - RFN - TJ SP  9  SERVIDOR"/>
    <s v="1,32"/>
    <n v="13"/>
    <n v="2"/>
    <n v="500"/>
    <n v="202605"/>
    <s v="LG"/>
    <s v="0"/>
    <n v="1.32E-2"/>
    <n v="2.5000000000000001E-2"/>
    <b v="0"/>
    <s v="20260513"/>
    <n v="8"/>
  </r>
  <r>
    <x v="265"/>
    <s v="18TJ SAO PAULO"/>
    <n v="18"/>
    <s v="905136 - Tabela 30"/>
    <n v="1.55E-2"/>
    <n v="96"/>
    <s v=""/>
    <n v="2.5"/>
    <n v="10"/>
    <n v="27"/>
    <s v="905136 - RFN - TJ SP 30K   SERVIDOR"/>
    <s v="1,32"/>
    <n v="13"/>
    <n v="2"/>
    <n v="30000"/>
    <n v="202605"/>
    <s v="LG"/>
    <s v="0"/>
    <n v="1.32E-2"/>
    <n v="2.5000000000000001E-2"/>
    <b v="0"/>
    <s v="20260513"/>
    <n v="8"/>
  </r>
  <r>
    <x v="265"/>
    <s v="19TJ SAO PAULO"/>
    <n v="19"/>
    <s v="905139 - Tabela 9"/>
    <n v="1.55E-2"/>
    <n v="96"/>
    <s v=""/>
    <n v="2.5"/>
    <n v="10"/>
    <n v="27"/>
    <s v="905139 - RFN - TJ SP  9  MAGISTRADO"/>
    <s v="1,32"/>
    <n v="11"/>
    <n v="2"/>
    <n v="500"/>
    <n v="202605"/>
    <s v="LG"/>
    <s v="0"/>
    <n v="1.32E-2"/>
    <n v="2.5000000000000001E-2"/>
    <b v="0"/>
    <s v="20260511"/>
    <n v="6"/>
  </r>
  <r>
    <x v="265"/>
    <s v="20TJ SAO PAULO"/>
    <n v="20"/>
    <s v="905140 - Tabela 30"/>
    <n v="1.55E-2"/>
    <n v="96"/>
    <s v=""/>
    <n v="2.5"/>
    <n v="10"/>
    <n v="27"/>
    <s v="905140 - RFN - TJ SP 30K   MAGISTRADO"/>
    <s v="1,32"/>
    <n v="11"/>
    <n v="2"/>
    <n v="30000"/>
    <n v="202605"/>
    <s v="LG"/>
    <s v="0"/>
    <n v="1.32E-2"/>
    <n v="2.5000000000000001E-2"/>
    <b v="0"/>
    <s v="20260511"/>
    <n v="6"/>
  </r>
  <r>
    <x v="265"/>
    <s v="21TJ SAO PAULO"/>
    <n v="21"/>
    <s v="905137 - Tabela "/>
    <n v="1.5100000000000001E-2"/>
    <n v="96"/>
    <s v=""/>
    <n v="2.5"/>
    <n v="10"/>
    <n v="27"/>
    <s v="905137 - RFN - TJ SP 50K   SERVIDOR"/>
    <s v="1,32"/>
    <n v="13"/>
    <n v="2"/>
    <n v="50000"/>
    <n v="202605"/>
    <s v="LG"/>
    <s v="0"/>
    <n v="1.32E-2"/>
    <n v="2.5000000000000001E-2"/>
    <b v="0"/>
    <s v="20260513"/>
    <n v="8"/>
  </r>
  <r>
    <x v="265"/>
    <s v="22TJ SAO PAULO"/>
    <n v="22"/>
    <s v="905141 - Tabela "/>
    <n v="1.5100000000000001E-2"/>
    <n v="96"/>
    <s v=""/>
    <n v="2.5"/>
    <n v="10"/>
    <n v="27"/>
    <s v="905141 - RFN - TJ SP 50K   MAGISTRADO"/>
    <s v="1,32"/>
    <n v="11"/>
    <n v="2"/>
    <n v="50000"/>
    <n v="202605"/>
    <s v="LG"/>
    <s v="0"/>
    <n v="1.32E-2"/>
    <n v="2.5000000000000001E-2"/>
    <b v="0"/>
    <s v="20260511"/>
    <n v="6"/>
  </r>
  <r>
    <x v="266"/>
    <s v="1TJ SE"/>
    <n v="1"/>
    <s v="725571 - Tabela 1"/>
    <n v="2.4E-2"/>
    <n v="120"/>
    <s v=""/>
    <n v="2.4"/>
    <n v="28"/>
    <n v="27"/>
    <s v="725571 - RFN - TJ SE 1 "/>
    <s v="1,54"/>
    <n v="5"/>
    <n v="2"/>
    <n v="500"/>
    <n v="202605"/>
    <s v="LG"/>
    <s v="0"/>
    <n v="1.54E-2"/>
    <n v="2.4E-2"/>
    <b v="1"/>
    <s v="2026055"/>
    <n v="2"/>
  </r>
  <r>
    <x v="266"/>
    <s v="2TJ SE"/>
    <n v="2"/>
    <s v="725572 - Tabela 2"/>
    <n v="2.3E-2"/>
    <n v="120"/>
    <s v=""/>
    <n v="2.4"/>
    <n v="28"/>
    <n v="27"/>
    <s v="725572 - RFN - TJ SE 2 "/>
    <s v="1,54"/>
    <n v="5"/>
    <n v="2"/>
    <n v="500"/>
    <n v="202605"/>
    <s v="LG"/>
    <s v="0"/>
    <n v="1.54E-2"/>
    <n v="2.4E-2"/>
    <b v="0"/>
    <s v="2026055"/>
    <n v="2"/>
  </r>
  <r>
    <x v="266"/>
    <s v="3TJ SE"/>
    <n v="3"/>
    <s v="725573 - Tabela 3"/>
    <n v="2.2499999999999999E-2"/>
    <n v="120"/>
    <s v=""/>
    <n v="2.4"/>
    <n v="28"/>
    <n v="27"/>
    <s v="725573 - RFN - TJ SE 3 "/>
    <s v="1,54"/>
    <n v="5"/>
    <n v="2"/>
    <n v="500"/>
    <n v="202605"/>
    <s v="LG"/>
    <s v="0"/>
    <n v="1.54E-2"/>
    <n v="2.4E-2"/>
    <b v="0"/>
    <s v="2026055"/>
    <n v="2"/>
  </r>
  <r>
    <x v="266"/>
    <s v="4TJ SE"/>
    <n v="4"/>
    <s v="725574 - Tabela 4"/>
    <n v="2.18E-2"/>
    <n v="120"/>
    <s v=""/>
    <n v="2.4"/>
    <n v="28"/>
    <n v="27"/>
    <s v="725574 - RFN - TJ SE 4 "/>
    <s v="1,54"/>
    <n v="5"/>
    <n v="2"/>
    <n v="500"/>
    <n v="202605"/>
    <s v="LG"/>
    <s v="0"/>
    <n v="1.54E-2"/>
    <n v="2.4E-2"/>
    <b v="0"/>
    <s v="2026055"/>
    <n v="2"/>
  </r>
  <r>
    <x v="267"/>
    <s v="1TRT 15ª REG SP"/>
    <n v="1"/>
    <s v="705107 - Tabela 151"/>
    <n v="2.5000000000000001E-2"/>
    <n v="120"/>
    <s v=""/>
    <n v="2.5"/>
    <n v="24"/>
    <n v="57"/>
    <s v="705107 - RFN - TRT 15 REG CAMPINAS 1 "/>
    <s v="1,65"/>
    <n v="31"/>
    <n v="2"/>
    <n v="500"/>
    <n v="202605"/>
    <s v="LG"/>
    <s v="0"/>
    <n v="1.6500000000000001E-2"/>
    <n v="2.5000000000000001E-2"/>
    <b v="1"/>
    <s v="20260531"/>
    <n v="20"/>
  </r>
  <r>
    <x v="267"/>
    <s v="2TRT 15ª REG SP"/>
    <n v="2"/>
    <s v="705108 - Tabela 152"/>
    <n v="0.02"/>
    <n v="120"/>
    <s v=""/>
    <n v="2.5"/>
    <n v="24"/>
    <n v="57"/>
    <s v="705108 - RFN - TRT 15 REG CAMPINAS 2 "/>
    <s v="1,65"/>
    <n v="31"/>
    <n v="2"/>
    <n v="500"/>
    <n v="202605"/>
    <s v="LG"/>
    <s v="0"/>
    <n v="1.6500000000000001E-2"/>
    <n v="2.5000000000000001E-2"/>
    <b v="0"/>
    <s v="20260531"/>
    <n v="20"/>
  </r>
  <r>
    <x v="267"/>
    <s v="3TRT 15ª REG SP"/>
    <n v="3"/>
    <s v="705109 - Tabela 153"/>
    <n v="1.9E-2"/>
    <n v="120"/>
    <s v=""/>
    <n v="2.5"/>
    <n v="24"/>
    <n v="57"/>
    <s v="705109 - RFN - TRT 15 REG CAMPINAS 3 "/>
    <s v="1,65"/>
    <n v="31"/>
    <n v="2"/>
    <n v="500"/>
    <n v="202605"/>
    <s v="LG"/>
    <s v="0"/>
    <n v="1.6500000000000001E-2"/>
    <n v="2.5000000000000001E-2"/>
    <b v="0"/>
    <s v="20260531"/>
    <n v="20"/>
  </r>
  <r>
    <x v="268"/>
    <s v="1TRT 23º REG MT"/>
    <n v="1"/>
    <s v="775831 - Tabela 231"/>
    <n v="2.5000000000000001E-2"/>
    <n v="120"/>
    <s v=""/>
    <n v="2.5"/>
    <n v="25"/>
    <n v="27"/>
    <s v="775831 - RFN - TRT 23 REG MT 1 "/>
    <s v="1,35"/>
    <n v="31"/>
    <n v="2"/>
    <n v="500"/>
    <n v="202605"/>
    <s v="LG"/>
    <s v="0"/>
    <n v="1.3500000000000002E-2"/>
    <n v="2.5000000000000001E-2"/>
    <b v="1"/>
    <s v="20260531"/>
    <n v="20"/>
  </r>
  <r>
    <x v="268"/>
    <s v="2TRT 23º REG MT"/>
    <n v="2"/>
    <s v="775832 - Tabela 232"/>
    <n v="2.2499999999999999E-2"/>
    <n v="120"/>
    <s v=""/>
    <n v="2.5"/>
    <n v="25"/>
    <n v="27"/>
    <s v="775832 - RFN - TRT 23 REG MT 2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3TRT 23º REG MT"/>
    <n v="3"/>
    <s v="775833 - Tabela 233"/>
    <n v="0.02"/>
    <n v="120"/>
    <s v=""/>
    <n v="2.5"/>
    <n v="25"/>
    <n v="27"/>
    <s v="775833 - RFN - TRT 23 REG MT 3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4TRT 23º REG MT"/>
    <n v="4"/>
    <s v="775834 - Tabela 234"/>
    <n v="1.8000000000000002E-2"/>
    <n v="120"/>
    <s v=""/>
    <n v="2.5"/>
    <n v="25"/>
    <n v="27"/>
    <s v="775834 - RFN - TRT 23 REG MT 4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5TRT 23º REG MT"/>
    <n v="5"/>
    <s v="775835 - Tabela 235"/>
    <n v="1.7600000000000001E-2"/>
    <n v="120"/>
    <s v=""/>
    <n v="2.5"/>
    <n v="25"/>
    <n v="27"/>
    <s v="775835 - RFN - TRT 23 REG MT 5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6TRT 23º REG MT"/>
    <n v="6"/>
    <s v="775836 - Tabela 236"/>
    <n v="1.7399999999999999E-2"/>
    <n v="120"/>
    <s v=""/>
    <n v="2.5"/>
    <n v="25"/>
    <n v="27"/>
    <s v="775836 - RFN - TRT 23 REG MT 6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7TRT 23º REG MT"/>
    <n v="7"/>
    <s v="775837 - Tabela 237"/>
    <n v="1.72E-2"/>
    <n v="120"/>
    <s v=""/>
    <n v="2.5"/>
    <n v="25"/>
    <n v="27"/>
    <s v="775837 - RFN - TRT 23 REG MT 7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8TRT 23º REG MT"/>
    <n v="8"/>
    <s v="775838 - Tabela 238"/>
    <n v="1.7000000000000001E-2"/>
    <n v="120"/>
    <s v=""/>
    <n v="2.5"/>
    <n v="25"/>
    <n v="27"/>
    <s v="775838 - RFN - TRT 23 REG MT 8 "/>
    <s v="1,35"/>
    <n v="31"/>
    <n v="2"/>
    <n v="500"/>
    <n v="202605"/>
    <s v="LG"/>
    <s v="0"/>
    <n v="1.3500000000000002E-2"/>
    <n v="2.5000000000000001E-2"/>
    <b v="0"/>
    <s v="20260531"/>
    <n v="20"/>
  </r>
  <r>
    <x v="268"/>
    <s v="9TRT 23º REG MT"/>
    <n v="9"/>
    <s v="775839 - Tabela 239"/>
    <n v="1.6799999999999999E-2"/>
    <n v="120"/>
    <s v=""/>
    <n v="2.5"/>
    <n v="25"/>
    <n v="27"/>
    <s v="775839 - RFN - TRT 23 REG MT 9 "/>
    <s v="1,35"/>
    <n v="31"/>
    <n v="2"/>
    <n v="500"/>
    <n v="202605"/>
    <s v="LG"/>
    <s v="0"/>
    <n v="1.3500000000000002E-2"/>
    <n v="2.5000000000000001E-2"/>
    <b v="0"/>
    <s v="20260531"/>
    <n v="20"/>
  </r>
  <r>
    <x v="269"/>
    <s v="1TRT 4ª REG RS"/>
    <n v="1"/>
    <s v="925101 - Tabela 41"/>
    <n v="2.5000000000000001E-2"/>
    <n v="120"/>
    <s v=""/>
    <n v="2.5"/>
    <n v="30"/>
    <m/>
    <s v="925101 - RFN - TRT 4 REG 1 "/>
    <s v="1,32"/>
    <n v="2"/>
    <n v="2"/>
    <n v="500"/>
    <n v="202605"/>
    <s v="LG"/>
    <s v="0"/>
    <n v="1.32E-2"/>
    <n v="2.5000000000000001E-2"/>
    <b v="1"/>
    <s v="2026052"/>
    <n v="0"/>
  </r>
  <r>
    <x v="269"/>
    <s v="2TRT 4ª REG RS"/>
    <n v="2"/>
    <s v="925102 - Tabela 42"/>
    <n v="1.95E-2"/>
    <n v="120"/>
    <s v=""/>
    <n v="2.5"/>
    <n v="30"/>
    <m/>
    <s v="925102 - RFN - TRT 4 REG 2 "/>
    <s v="1,32"/>
    <n v="2"/>
    <n v="2"/>
    <n v="500"/>
    <n v="202605"/>
    <s v="LG"/>
    <s v="0"/>
    <n v="1.32E-2"/>
    <n v="2.5000000000000001E-2"/>
    <b v="0"/>
    <s v="2026052"/>
    <n v="0"/>
  </r>
  <r>
    <x v="269"/>
    <s v="3TRT 4ª REG RS"/>
    <n v="3"/>
    <s v="925103 - Tabela 43"/>
    <n v="1.8500000000000003E-2"/>
    <n v="120"/>
    <s v=""/>
    <n v="2.5"/>
    <n v="30"/>
    <n v="53"/>
    <s v="925103 - RFN - TRT 4 REG 3 "/>
    <s v="1,32"/>
    <n v="2"/>
    <n v="2"/>
    <n v="500"/>
    <n v="202605"/>
    <s v="LG"/>
    <s v="0"/>
    <n v="1.32E-2"/>
    <n v="2.5000000000000001E-2"/>
    <b v="0"/>
    <s v="2026052"/>
    <n v="0"/>
  </r>
  <r>
    <x v="269"/>
    <s v="4TRT 4ª REG RS"/>
    <n v="4"/>
    <s v="925104 - Tabela 44"/>
    <n v="1.7500000000000002E-2"/>
    <n v="120"/>
    <s v=""/>
    <n v="2.5"/>
    <n v="30"/>
    <n v="41"/>
    <s v="925104 - RFN - TRT 4 REG 4 "/>
    <s v="1,32"/>
    <n v="2"/>
    <n v="2"/>
    <n v="500"/>
    <n v="202605"/>
    <s v="LG"/>
    <s v="0"/>
    <n v="1.32E-2"/>
    <n v="2.5000000000000001E-2"/>
    <b v="0"/>
    <s v="2026052"/>
    <n v="0"/>
  </r>
  <r>
    <x v="269"/>
    <s v="5TRT 4ª REG RS"/>
    <n v="5"/>
    <s v="925107 - Tabela 45"/>
    <n v="1.67E-2"/>
    <n v="120"/>
    <s v=""/>
    <n v="2.5"/>
    <n v="30"/>
    <n v="46"/>
    <s v="925107 - RFN - TRT 4 REG 5 "/>
    <s v="1,32"/>
    <n v="2"/>
    <n v="2"/>
    <n v="500"/>
    <n v="202605"/>
    <s v="LG"/>
    <s v="0"/>
    <n v="1.32E-2"/>
    <n v="2.5000000000000001E-2"/>
    <b v="0"/>
    <s v="2026052"/>
    <n v="0"/>
  </r>
  <r>
    <x v="270"/>
    <s v="1UNICAMP SP CLT"/>
    <n v="1"/>
    <s v="795915 - Tabela 1"/>
    <n v="2.5000000000000001E-2"/>
    <n v="96"/>
    <s v=""/>
    <n v="2.5"/>
    <n v="10"/>
    <n v="25"/>
    <s v="795915 - RFN - UNICAMP CLT  1 "/>
    <s v="1,55"/>
    <n v="25"/>
    <n v="2"/>
    <n v="500"/>
    <n v="202605"/>
    <s v="LG"/>
    <s v="0"/>
    <n v="1.55E-2"/>
    <n v="2.5000000000000001E-2"/>
    <b v="1"/>
    <s v="20260525"/>
    <n v="16"/>
  </r>
  <r>
    <x v="270"/>
    <s v="2UNICAMP SP CLT"/>
    <n v="2"/>
    <s v="795939 - Tabela 2"/>
    <n v="1.9900000000000001E-2"/>
    <n v="96"/>
    <s v=""/>
    <n v="2.5"/>
    <n v="10"/>
    <n v="34"/>
    <s v="795939 - RFN - UNICAMP CLT  2 "/>
    <s v="1,55"/>
    <n v="25"/>
    <n v="2"/>
    <n v="500"/>
    <n v="202605"/>
    <s v="LG"/>
    <s v="0"/>
    <n v="1.55E-2"/>
    <n v="2.5000000000000001E-2"/>
    <b v="0"/>
    <s v="20260525"/>
    <n v="16"/>
  </r>
  <r>
    <x v="270"/>
    <s v="3UNICAMP SP CLT"/>
    <n v="3"/>
    <s v="795950 - Tabela 3"/>
    <n v="1.89E-2"/>
    <n v="96"/>
    <s v=""/>
    <n v="2.5"/>
    <n v="10"/>
    <n v="42"/>
    <s v="795950 - RFN - UNICAMP CLT  3 "/>
    <s v="1,55"/>
    <n v="25"/>
    <n v="2"/>
    <n v="500"/>
    <n v="202605"/>
    <s v="LG"/>
    <s v="0"/>
    <n v="1.55E-2"/>
    <n v="2.5000000000000001E-2"/>
    <b v="0"/>
    <s v="20260525"/>
    <n v="16"/>
  </r>
  <r>
    <x v="270"/>
    <s v="4UNICAMP SP CLT"/>
    <n v="4"/>
    <s v="795952 - Tabela 4"/>
    <n v="1.83E-2"/>
    <n v="96"/>
    <s v=""/>
    <n v="2.5"/>
    <n v="10"/>
    <n v="33"/>
    <s v="795952 - RFN - UNICAMP CLT  4 "/>
    <s v="1,55"/>
    <n v="25"/>
    <n v="2"/>
    <n v="500"/>
    <n v="202605"/>
    <s v="LG"/>
    <s v="0"/>
    <n v="1.55E-2"/>
    <n v="2.5000000000000001E-2"/>
    <b v="0"/>
    <s v="20260525"/>
    <n v="16"/>
  </r>
  <r>
    <x v="270"/>
    <s v="5UNICAMP SP CLT"/>
    <n v="5"/>
    <s v="795954 - Tabela 5"/>
    <n v="1.7600000000000001E-2"/>
    <n v="96"/>
    <s v=""/>
    <n v="2.5"/>
    <n v="10"/>
    <m/>
    <s v="795954 - RFN - UNICAMP CLT  5 "/>
    <s v="1,55"/>
    <n v="25"/>
    <n v="2"/>
    <n v="500"/>
    <n v="202605"/>
    <s v="LG"/>
    <s v="0"/>
    <n v="1.55E-2"/>
    <n v="2.5000000000000001E-2"/>
    <b v="0"/>
    <s v="20260525"/>
    <n v="16"/>
  </r>
  <r>
    <x v="270"/>
    <s v="6UNICAMP SP CLT"/>
    <n v="6"/>
    <s v="795956 - Tabela 6"/>
    <n v="1.7299999999999999E-2"/>
    <n v="96"/>
    <s v=""/>
    <n v="2.5"/>
    <n v="10"/>
    <m/>
    <s v="795956 - RFN - UNICAMP CLT  6 "/>
    <s v="1,55"/>
    <n v="25"/>
    <n v="2"/>
    <n v="500"/>
    <n v="202605"/>
    <s v="LG"/>
    <s v="0"/>
    <n v="1.55E-2"/>
    <n v="2.5000000000000001E-2"/>
    <b v="0"/>
    <s v="20260525"/>
    <n v="16"/>
  </r>
  <r>
    <x v="271"/>
    <s v="1UNICAMP SP EST"/>
    <n v="1"/>
    <s v="795916 - Tabela 1"/>
    <n v="2.5000000000000001E-2"/>
    <n v="96"/>
    <s v=""/>
    <n v="2.5"/>
    <n v="10"/>
    <m/>
    <s v="795916 - RFN - UNICAMP ESTAT  1 "/>
    <s v="1,55"/>
    <n v="25"/>
    <n v="2"/>
    <n v="500"/>
    <n v="202605"/>
    <s v="LG"/>
    <s v="0"/>
    <n v="1.55E-2"/>
    <n v="2.5000000000000001E-2"/>
    <b v="1"/>
    <s v="20260525"/>
    <n v="16"/>
  </r>
  <r>
    <x v="271"/>
    <s v="2UNICAMP SP EST"/>
    <n v="2"/>
    <s v="795940 - Tabela 2"/>
    <n v="1.9900000000000001E-2"/>
    <n v="96"/>
    <s v=""/>
    <n v="2.5"/>
    <n v="10"/>
    <n v="32"/>
    <s v="795940 - RFN - UNICAMP ESTAT  2 "/>
    <s v="1,55"/>
    <n v="25"/>
    <n v="2"/>
    <n v="500"/>
    <n v="202605"/>
    <s v="LG"/>
    <s v="0"/>
    <n v="1.55E-2"/>
    <n v="2.5000000000000001E-2"/>
    <b v="0"/>
    <s v="20260525"/>
    <n v="16"/>
  </r>
  <r>
    <x v="271"/>
    <s v="3UNICAMP SP EST"/>
    <n v="3"/>
    <s v="795951 - Tabela 3"/>
    <n v="1.89E-2"/>
    <n v="96"/>
    <s v=""/>
    <n v="2.5"/>
    <n v="10"/>
    <n v="31"/>
    <s v="795951 - RFN - UNICAMP ESTAT  3 "/>
    <s v="1,55"/>
    <n v="25"/>
    <n v="2"/>
    <n v="500"/>
    <n v="202605"/>
    <s v="LG"/>
    <s v="0"/>
    <n v="1.55E-2"/>
    <n v="2.5000000000000001E-2"/>
    <b v="0"/>
    <s v="20260525"/>
    <n v="16"/>
  </r>
  <r>
    <x v="271"/>
    <s v="4UNICAMP SP EST"/>
    <n v="4"/>
    <s v="795953 - Tabela 4"/>
    <n v="1.83E-2"/>
    <n v="96"/>
    <s v=""/>
    <n v="2.5"/>
    <n v="10"/>
    <n v="38"/>
    <s v="795953 - RFN - UNICAMP ESTAT  4 "/>
    <s v="1,55"/>
    <n v="25"/>
    <n v="2"/>
    <n v="500"/>
    <n v="202605"/>
    <s v="LG"/>
    <s v="0"/>
    <n v="1.55E-2"/>
    <n v="2.5000000000000001E-2"/>
    <b v="0"/>
    <s v="20260525"/>
    <n v="16"/>
  </r>
  <r>
    <x v="271"/>
    <s v="5UNICAMP SP EST"/>
    <n v="5"/>
    <s v="795955 - Tabela 5"/>
    <n v="1.7600000000000001E-2"/>
    <n v="96"/>
    <s v=""/>
    <n v="2.5"/>
    <n v="10"/>
    <m/>
    <s v="795955 - RFN - UNICAMP ESTAT  5 "/>
    <s v="1,55"/>
    <n v="25"/>
    <n v="2"/>
    <n v="500"/>
    <n v="202605"/>
    <s v="LG"/>
    <s v="0"/>
    <n v="1.55E-2"/>
    <n v="2.5000000000000001E-2"/>
    <b v="0"/>
    <s v="20260525"/>
    <n v="16"/>
  </r>
  <r>
    <x v="271"/>
    <s v="6UNICAMP SP EST"/>
    <n v="6"/>
    <s v="795957 - Tabela 6"/>
    <n v="1.7299999999999999E-2"/>
    <n v="96"/>
    <s v=""/>
    <n v="2.5"/>
    <n v="10"/>
    <n v="37"/>
    <s v="795957 - RFN - UNICAMP ESTAT  6 "/>
    <s v="1,55"/>
    <n v="25"/>
    <n v="2"/>
    <n v="500"/>
    <n v="202605"/>
    <s v="LG"/>
    <s v="0"/>
    <n v="1.55E-2"/>
    <n v="2.5000000000000001E-2"/>
    <b v="0"/>
    <s v="20260525"/>
    <n v="16"/>
  </r>
  <r>
    <x v="272"/>
    <s v="1USP"/>
    <n v="1"/>
    <s v="725541 - Tabela 1"/>
    <n v="2.5000000000000001E-2"/>
    <n v="96"/>
    <s v=""/>
    <n v="2.5"/>
    <n v="15"/>
    <n v="45"/>
    <s v="725541 - RFN - USP  1 "/>
    <s v="1,45"/>
    <n v="16"/>
    <n v="2"/>
    <n v="500"/>
    <n v="202605"/>
    <s v="NW"/>
    <s v="0"/>
    <n v="1.4499999999999999E-2"/>
    <n v="2.5000000000000001E-2"/>
    <b v="1"/>
    <s v="20260516"/>
    <n v="10"/>
  </r>
  <r>
    <x v="272"/>
    <s v="2USP"/>
    <n v="2"/>
    <s v="725543 - Tabela 2"/>
    <n v="2.3900000000000001E-2"/>
    <n v="96"/>
    <s v=""/>
    <n v="2.5"/>
    <n v="15"/>
    <n v="44"/>
    <s v="725543 - RFN - USP  2 "/>
    <s v="1,45"/>
    <n v="16"/>
    <n v="2"/>
    <n v="500"/>
    <n v="202605"/>
    <s v="NW"/>
    <s v="0"/>
    <n v="1.4499999999999999E-2"/>
    <n v="2.5000000000000001E-2"/>
    <b v="0"/>
    <s v="20260516"/>
    <n v="10"/>
  </r>
  <r>
    <x v="272"/>
    <s v="3USP"/>
    <n v="3"/>
    <s v="725545 - Tabela 3"/>
    <n v="2.29E-2"/>
    <n v="96"/>
    <s v=""/>
    <n v="2.5"/>
    <n v="15"/>
    <n v="44"/>
    <s v="725545 - RFN - USP  3 "/>
    <s v="1,45"/>
    <n v="16"/>
    <n v="2"/>
    <n v="500"/>
    <n v="202605"/>
    <s v="NW"/>
    <s v="0"/>
    <n v="1.4499999999999999E-2"/>
    <n v="2.5000000000000001E-2"/>
    <b v="0"/>
    <s v="20260516"/>
    <n v="10"/>
  </r>
  <r>
    <x v="272"/>
    <s v="4USP"/>
    <n v="4"/>
    <s v="725547 - Tabela 4"/>
    <n v="2.1899999999999999E-2"/>
    <n v="96"/>
    <s v=""/>
    <n v="2.5"/>
    <n v="15"/>
    <n v="44"/>
    <s v="725547 - RFN - USP  4 "/>
    <s v="1,45"/>
    <n v="16"/>
    <n v="2"/>
    <n v="500"/>
    <n v="202605"/>
    <s v="NW"/>
    <s v="0"/>
    <n v="1.4499999999999999E-2"/>
    <n v="2.5000000000000001E-2"/>
    <b v="0"/>
    <s v="20260516"/>
    <n v="10"/>
  </r>
  <r>
    <x v="272"/>
    <s v="5USP"/>
    <n v="5"/>
    <s v="725549 - Tabela 5"/>
    <n v="2.12E-2"/>
    <n v="96"/>
    <s v=""/>
    <n v="2.5"/>
    <n v="15"/>
    <n v="44"/>
    <s v="725549 - RFN - USP  5 "/>
    <s v="1,45"/>
    <n v="16"/>
    <n v="2"/>
    <n v="500"/>
    <n v="202605"/>
    <s v="NW"/>
    <s v="0"/>
    <n v="1.4499999999999999E-2"/>
    <n v="2.5000000000000001E-2"/>
    <b v="0"/>
    <s v="20260516"/>
    <n v="10"/>
  </r>
  <r>
    <x v="273"/>
    <s v="1USP CLT"/>
    <n v="1"/>
    <s v="725542 - Tabela 1"/>
    <n v="2.5000000000000001E-2"/>
    <n v="96"/>
    <s v=""/>
    <n v="2.5"/>
    <n v="15"/>
    <n v="45"/>
    <s v="725542 - RFN - USP  1 CLT "/>
    <s v="1,45"/>
    <n v="16"/>
    <n v="2"/>
    <n v="500"/>
    <n v="202605"/>
    <s v="NW"/>
    <s v="0"/>
    <n v="1.4499999999999999E-2"/>
    <n v="2.5000000000000001E-2"/>
    <b v="1"/>
    <s v="20260516"/>
    <n v="10"/>
  </r>
  <r>
    <x v="273"/>
    <s v="2USP CLT"/>
    <n v="2"/>
    <s v="725544 - Tabela 2"/>
    <n v="2.3900000000000001E-2"/>
    <n v="96"/>
    <s v=""/>
    <n v="2.5"/>
    <n v="15"/>
    <n v="44"/>
    <s v="725544 - RFN - USP  2 CLT "/>
    <s v="1,45"/>
    <n v="16"/>
    <n v="2"/>
    <n v="500"/>
    <n v="202605"/>
    <s v="NW"/>
    <s v="0"/>
    <n v="1.4499999999999999E-2"/>
    <n v="2.5000000000000001E-2"/>
    <b v="0"/>
    <s v="20260516"/>
    <n v="10"/>
  </r>
  <r>
    <x v="273"/>
    <s v="3USP CLT"/>
    <n v="3"/>
    <s v="725546 - Tabela 3"/>
    <n v="2.29E-2"/>
    <n v="96"/>
    <s v=""/>
    <n v="2.5"/>
    <n v="15"/>
    <n v="44"/>
    <s v="725546 - RFN - USP  3 CLT "/>
    <s v="1,45"/>
    <n v="16"/>
    <n v="2"/>
    <n v="500"/>
    <n v="202605"/>
    <s v="NW"/>
    <s v="0"/>
    <n v="1.4499999999999999E-2"/>
    <n v="2.5000000000000001E-2"/>
    <b v="0"/>
    <s v="20260516"/>
    <n v="10"/>
  </r>
  <r>
    <x v="273"/>
    <s v="4USP CLT"/>
    <n v="4"/>
    <s v="725548 - Tabela 4"/>
    <n v="2.1899999999999999E-2"/>
    <n v="96"/>
    <s v=""/>
    <n v="2.5"/>
    <n v="15"/>
    <n v="44"/>
    <s v="725548 - RFN - USP  4 CLT "/>
    <s v="1,45"/>
    <n v="16"/>
    <n v="2"/>
    <n v="500"/>
    <n v="202605"/>
    <s v="NW"/>
    <s v="0"/>
    <n v="1.4499999999999999E-2"/>
    <n v="2.5000000000000001E-2"/>
    <b v="0"/>
    <s v="20260516"/>
    <n v="10"/>
  </r>
  <r>
    <x v="273"/>
    <s v="5USP CLT"/>
    <n v="5"/>
    <s v="725550 - Tabela 5"/>
    <n v="2.12E-2"/>
    <n v="96"/>
    <s v=""/>
    <n v="2.5"/>
    <n v="15"/>
    <n v="44"/>
    <s v="725550 - RFN - USP  5 CLT "/>
    <s v="1,45"/>
    <n v="16"/>
    <n v="2"/>
    <n v="500"/>
    <n v="202605"/>
    <s v="NW"/>
    <s v="0"/>
    <n v="1.4499999999999999E-2"/>
    <n v="2.5000000000000001E-2"/>
    <b v="0"/>
    <s v="20260516"/>
    <n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E30F4D-B2F4-4908-8516-7BC72C4EA9EB}" name="Tabela dinâmica2" cacheId="14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F10:FJ285" firstHeaderRow="0" firstDataRow="1" firstDataCol="1"/>
  <pivotFields count="23">
    <pivotField axis="axisRow" showAll="0" sortType="ascending">
      <items count="565">
        <item m="1" x="529"/>
        <item m="1" x="479"/>
        <item x="0"/>
        <item m="1" x="550"/>
        <item x="1"/>
        <item m="1" x="455"/>
        <item m="1" x="456"/>
        <item x="2"/>
        <item m="1" x="299"/>
        <item m="1" x="457"/>
        <item m="1" x="458"/>
        <item m="1" x="459"/>
        <item m="1" x="460"/>
        <item x="3"/>
        <item m="1" x="495"/>
        <item m="1" x="300"/>
        <item x="4"/>
        <item x="5"/>
        <item m="1" x="274"/>
        <item m="1" x="496"/>
        <item m="1" x="461"/>
        <item m="1" x="492"/>
        <item x="6"/>
        <item x="7"/>
        <item x="8"/>
        <item m="1" x="554"/>
        <item m="1" x="301"/>
        <item m="1" x="558"/>
        <item m="1" x="534"/>
        <item x="9"/>
        <item m="1" x="302"/>
        <item x="10"/>
        <item m="1" x="303"/>
        <item x="11"/>
        <item m="1" x="304"/>
        <item x="12"/>
        <item x="13"/>
        <item m="1" x="409"/>
        <item m="1" x="562"/>
        <item x="14"/>
        <item m="1" x="487"/>
        <item m="1" x="396"/>
        <item m="1" x="421"/>
        <item m="1" x="528"/>
        <item m="1" x="533"/>
        <item m="1" x="305"/>
        <item x="15"/>
        <item x="16"/>
        <item m="1" x="306"/>
        <item m="1" x="284"/>
        <item m="1" x="494"/>
        <item x="17"/>
        <item x="18"/>
        <item x="19"/>
        <item m="1" x="296"/>
        <item m="1" x="275"/>
        <item m="1" x="276"/>
        <item x="20"/>
        <item x="21"/>
        <item x="22"/>
        <item x="23"/>
        <item m="1" x="538"/>
        <item x="24"/>
        <item x="25"/>
        <item x="26"/>
        <item x="27"/>
        <item x="28"/>
        <item x="29"/>
        <item x="30"/>
        <item x="31"/>
        <item m="1" x="389"/>
        <item x="32"/>
        <item m="1" x="527"/>
        <item x="33"/>
        <item m="1" x="543"/>
        <item x="34"/>
        <item x="35"/>
        <item m="1" x="448"/>
        <item m="1" x="298"/>
        <item x="36"/>
        <item x="37"/>
        <item x="38"/>
        <item x="39"/>
        <item m="1" x="426"/>
        <item m="1" x="526"/>
        <item m="1" x="474"/>
        <item m="1" x="392"/>
        <item m="1" x="559"/>
        <item m="1" x="410"/>
        <item m="1" x="285"/>
        <item m="1" x="416"/>
        <item m="1" x="286"/>
        <item m="1" x="287"/>
        <item m="1" x="417"/>
        <item m="1" x="444"/>
        <item x="40"/>
        <item m="1" x="418"/>
        <item m="1" x="411"/>
        <item m="1" x="288"/>
        <item m="1" x="412"/>
        <item x="41"/>
        <item m="1" x="390"/>
        <item x="42"/>
        <item m="1" x="518"/>
        <item m="1" x="519"/>
        <item m="1" x="307"/>
        <item m="1" x="308"/>
        <item m="1" x="442"/>
        <item x="43"/>
        <item m="1" x="440"/>
        <item x="44"/>
        <item x="45"/>
        <item x="46"/>
        <item x="47"/>
        <item x="48"/>
        <item x="49"/>
        <item x="50"/>
        <item x="51"/>
        <item x="52"/>
        <item m="1" x="309"/>
        <item x="53"/>
        <item x="54"/>
        <item m="1" x="539"/>
        <item m="1" x="462"/>
        <item x="55"/>
        <item x="56"/>
        <item m="1" x="310"/>
        <item m="1" x="311"/>
        <item x="57"/>
        <item x="58"/>
        <item x="59"/>
        <item x="60"/>
        <item m="1" x="393"/>
        <item m="1" x="502"/>
        <item m="1" x="397"/>
        <item m="1" x="312"/>
        <item x="61"/>
        <item x="62"/>
        <item m="1" x="313"/>
        <item m="1" x="555"/>
        <item m="1" x="314"/>
        <item m="1" x="447"/>
        <item m="1" x="315"/>
        <item m="1" x="316"/>
        <item m="1" x="317"/>
        <item x="63"/>
        <item x="64"/>
        <item x="65"/>
        <item x="66"/>
        <item m="1" x="563"/>
        <item x="67"/>
        <item x="68"/>
        <item m="1" x="318"/>
        <item x="69"/>
        <item x="70"/>
        <item m="1" x="319"/>
        <item m="1" x="398"/>
        <item x="71"/>
        <item m="1" x="320"/>
        <item m="1" x="321"/>
        <item x="72"/>
        <item x="73"/>
        <item x="74"/>
        <item m="1" x="482"/>
        <item m="1" x="514"/>
        <item m="1" x="322"/>
        <item m="1" x="475"/>
        <item m="1" x="413"/>
        <item x="75"/>
        <item m="1" x="441"/>
        <item x="76"/>
        <item m="1" x="451"/>
        <item x="77"/>
        <item x="78"/>
        <item m="1" x="323"/>
        <item x="79"/>
        <item m="1" x="428"/>
        <item m="1" x="324"/>
        <item x="80"/>
        <item x="81"/>
        <item m="1" x="325"/>
        <item m="1" x="429"/>
        <item m="1" x="326"/>
        <item x="82"/>
        <item x="83"/>
        <item m="1" x="327"/>
        <item x="84"/>
        <item x="85"/>
        <item m="1" x="399"/>
        <item x="86"/>
        <item x="87"/>
        <item x="88"/>
        <item x="89"/>
        <item x="90"/>
        <item m="1" x="463"/>
        <item x="91"/>
        <item m="1" x="328"/>
        <item x="92"/>
        <item x="93"/>
        <item x="94"/>
        <item m="1" x="289"/>
        <item m="1" x="290"/>
        <item x="95"/>
        <item x="96"/>
        <item m="1" x="329"/>
        <item x="97"/>
        <item x="98"/>
        <item m="1" x="434"/>
        <item x="99"/>
        <item m="1" x="330"/>
        <item x="100"/>
        <item x="101"/>
        <item m="1" x="331"/>
        <item x="102"/>
        <item x="103"/>
        <item x="104"/>
        <item x="105"/>
        <item x="106"/>
        <item x="107"/>
        <item m="1" x="332"/>
        <item x="108"/>
        <item x="109"/>
        <item x="110"/>
        <item x="111"/>
        <item x="112"/>
        <item x="113"/>
        <item m="1" x="400"/>
        <item x="114"/>
        <item x="115"/>
        <item m="1" x="333"/>
        <item x="116"/>
        <item x="117"/>
        <item m="1" x="540"/>
        <item m="1" x="512"/>
        <item m="1" x="485"/>
        <item m="1" x="497"/>
        <item x="118"/>
        <item x="119"/>
        <item m="1" x="334"/>
        <item x="120"/>
        <item m="1" x="335"/>
        <item m="1" x="443"/>
        <item x="121"/>
        <item m="1" x="464"/>
        <item x="122"/>
        <item x="123"/>
        <item x="124"/>
        <item m="1" x="465"/>
        <item x="125"/>
        <item x="126"/>
        <item x="127"/>
        <item m="1" x="431"/>
        <item x="128"/>
        <item m="1" x="336"/>
        <item m="1" x="510"/>
        <item x="129"/>
        <item m="1" x="337"/>
        <item m="1" x="291"/>
        <item x="130"/>
        <item x="131"/>
        <item x="132"/>
        <item x="133"/>
        <item m="1" x="292"/>
        <item m="1" x="401"/>
        <item x="134"/>
        <item x="135"/>
        <item x="136"/>
        <item x="137"/>
        <item m="1" x="480"/>
        <item x="138"/>
        <item m="1" x="338"/>
        <item x="139"/>
        <item m="1" x="339"/>
        <item m="1" x="466"/>
        <item x="140"/>
        <item x="141"/>
        <item m="1" x="445"/>
        <item m="1" x="435"/>
        <item m="1" x="436"/>
        <item m="1" x="437"/>
        <item m="1" x="438"/>
        <item x="142"/>
        <item m="1" x="419"/>
        <item x="143"/>
        <item m="1" x="420"/>
        <item x="144"/>
        <item x="145"/>
        <item x="146"/>
        <item m="1" x="340"/>
        <item x="147"/>
        <item m="1" x="439"/>
        <item x="148"/>
        <item m="1" x="341"/>
        <item x="149"/>
        <item x="150"/>
        <item m="1" x="342"/>
        <item x="151"/>
        <item m="1" x="343"/>
        <item x="152"/>
        <item x="153"/>
        <item x="154"/>
        <item x="155"/>
        <item x="156"/>
        <item x="157"/>
        <item x="158"/>
        <item x="159"/>
        <item x="160"/>
        <item m="1" x="425"/>
        <item x="161"/>
        <item m="1" x="277"/>
        <item m="1" x="295"/>
        <item x="162"/>
        <item x="163"/>
        <item m="1" x="344"/>
        <item m="1" x="490"/>
        <item m="1" x="345"/>
        <item x="164"/>
        <item x="165"/>
        <item m="1" x="467"/>
        <item x="166"/>
        <item x="167"/>
        <item m="1" x="402"/>
        <item x="168"/>
        <item m="1" x="524"/>
        <item m="1" x="468"/>
        <item x="169"/>
        <item x="170"/>
        <item x="171"/>
        <item m="1" x="346"/>
        <item x="172"/>
        <item x="173"/>
        <item m="1" x="403"/>
        <item x="174"/>
        <item x="175"/>
        <item m="1" x="473"/>
        <item x="176"/>
        <item m="1" x="347"/>
        <item x="177"/>
        <item m="1" x="348"/>
        <item x="178"/>
        <item m="1" x="293"/>
        <item m="1" x="349"/>
        <item m="1" x="350"/>
        <item x="179"/>
        <item x="180"/>
        <item m="1" x="493"/>
        <item x="181"/>
        <item x="182"/>
        <item m="1" x="35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352"/>
        <item x="196"/>
        <item m="1" x="353"/>
        <item m="1" x="354"/>
        <item m="1" x="472"/>
        <item x="197"/>
        <item x="198"/>
        <item m="1" x="355"/>
        <item m="1" x="356"/>
        <item m="1" x="537"/>
        <item m="1" x="535"/>
        <item m="1" x="404"/>
        <item m="1" x="405"/>
        <item m="1" x="357"/>
        <item m="1" x="358"/>
        <item m="1" x="359"/>
        <item m="1" x="394"/>
        <item x="199"/>
        <item x="200"/>
        <item m="1" x="477"/>
        <item m="1" x="513"/>
        <item m="1" x="500"/>
        <item m="1" x="530"/>
        <item m="1" x="481"/>
        <item x="201"/>
        <item x="202"/>
        <item x="203"/>
        <item x="204"/>
        <item x="205"/>
        <item m="1" x="544"/>
        <item x="206"/>
        <item x="207"/>
        <item x="208"/>
        <item m="1" x="278"/>
        <item m="1" x="279"/>
        <item x="209"/>
        <item x="210"/>
        <item x="211"/>
        <item m="1" x="406"/>
        <item m="1" x="522"/>
        <item m="1" x="407"/>
        <item m="1" x="280"/>
        <item m="1" x="469"/>
        <item m="1" x="422"/>
        <item m="1" x="548"/>
        <item m="1" x="281"/>
        <item x="212"/>
        <item x="213"/>
        <item x="214"/>
        <item m="1" x="517"/>
        <item x="215"/>
        <item x="216"/>
        <item x="217"/>
        <item m="1" x="282"/>
        <item m="1" x="551"/>
        <item x="218"/>
        <item m="1" x="360"/>
        <item m="1" x="361"/>
        <item m="1" x="391"/>
        <item m="1" x="414"/>
        <item x="219"/>
        <item x="220"/>
        <item m="1" x="362"/>
        <item x="221"/>
        <item x="222"/>
        <item x="223"/>
        <item m="1" x="363"/>
        <item x="224"/>
        <item m="1" x="364"/>
        <item m="1" x="504"/>
        <item x="225"/>
        <item m="1" x="365"/>
        <item m="1" x="366"/>
        <item m="1" x="521"/>
        <item x="226"/>
        <item x="227"/>
        <item m="1" x="433"/>
        <item m="1" x="430"/>
        <item m="1" x="450"/>
        <item x="228"/>
        <item m="1" x="367"/>
        <item x="229"/>
        <item x="230"/>
        <item m="1" x="452"/>
        <item x="231"/>
        <item x="232"/>
        <item m="1" x="476"/>
        <item x="233"/>
        <item x="234"/>
        <item m="1" x="557"/>
        <item x="235"/>
        <item x="236"/>
        <item x="237"/>
        <item x="238"/>
        <item m="1" x="423"/>
        <item m="1" x="453"/>
        <item m="1" x="294"/>
        <item m="1" x="446"/>
        <item x="239"/>
        <item m="1" x="553"/>
        <item x="240"/>
        <item m="1" x="488"/>
        <item m="1" x="501"/>
        <item m="1" x="536"/>
        <item m="1" x="484"/>
        <item m="1" x="556"/>
        <item m="1" x="515"/>
        <item m="1" x="516"/>
        <item m="1" x="552"/>
        <item m="1" x="545"/>
        <item m="1" x="507"/>
        <item m="1" x="483"/>
        <item m="1" x="525"/>
        <item m="1" x="509"/>
        <item m="1" x="478"/>
        <item m="1" x="499"/>
        <item m="1" x="532"/>
        <item m="1" x="503"/>
        <item m="1" x="547"/>
        <item m="1" x="508"/>
        <item m="1" x="560"/>
        <item m="1" x="511"/>
        <item m="1" x="561"/>
        <item m="1" x="531"/>
        <item m="1" x="505"/>
        <item m="1" x="523"/>
        <item m="1" x="491"/>
        <item m="1" x="489"/>
        <item m="1" x="498"/>
        <item m="1" x="546"/>
        <item m="1" x="542"/>
        <item m="1" x="549"/>
        <item m="1" x="506"/>
        <item x="241"/>
        <item m="1" x="368"/>
        <item m="1" x="486"/>
        <item x="242"/>
        <item m="1" x="395"/>
        <item x="243"/>
        <item m="1" x="369"/>
        <item x="244"/>
        <item m="1" x="470"/>
        <item m="1" x="370"/>
        <item m="1" x="408"/>
        <item m="1" x="371"/>
        <item x="245"/>
        <item x="246"/>
        <item m="1" x="283"/>
        <item x="247"/>
        <item x="248"/>
        <item m="1" x="372"/>
        <item m="1" x="432"/>
        <item x="249"/>
        <item m="1" x="541"/>
        <item m="1" x="427"/>
        <item m="1" x="373"/>
        <item x="250"/>
        <item m="1" x="374"/>
        <item x="251"/>
        <item x="252"/>
        <item m="1" x="375"/>
        <item m="1" x="415"/>
        <item m="1" x="424"/>
        <item m="1" x="376"/>
        <item x="253"/>
        <item m="1" x="377"/>
        <item x="254"/>
        <item x="255"/>
        <item x="256"/>
        <item x="257"/>
        <item m="1" x="378"/>
        <item x="258"/>
        <item x="259"/>
        <item x="260"/>
        <item m="1" x="379"/>
        <item x="261"/>
        <item x="262"/>
        <item m="1" x="380"/>
        <item x="263"/>
        <item x="264"/>
        <item m="1" x="381"/>
        <item x="265"/>
        <item x="266"/>
        <item m="1" x="382"/>
        <item m="1" x="297"/>
        <item m="1" x="383"/>
        <item m="1" x="454"/>
        <item m="1" x="471"/>
        <item m="1" x="384"/>
        <item x="267"/>
        <item x="268"/>
        <item m="1" x="385"/>
        <item m="1" x="386"/>
        <item x="269"/>
        <item m="1" x="520"/>
        <item m="1" x="387"/>
        <item m="1" x="388"/>
        <item x="270"/>
        <item x="271"/>
        <item x="272"/>
        <item x="273"/>
        <item m="1" x="449"/>
        <item t="default"/>
      </items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dataField="1" showAll="0"/>
    <pivotField dataField="1" numFmtId="10" showAll="0"/>
    <pivotField showAll="0"/>
    <pivotField showAll="0"/>
    <pivotField showAll="0"/>
  </pivotFields>
  <rowFields count="1">
    <field x="0"/>
  </rowFields>
  <rowItems count="275">
    <i>
      <x v="2"/>
    </i>
    <i>
      <x v="4"/>
    </i>
    <i>
      <x v="7"/>
    </i>
    <i>
      <x v="13"/>
    </i>
    <i>
      <x v="16"/>
    </i>
    <i>
      <x v="17"/>
    </i>
    <i>
      <x v="22"/>
    </i>
    <i>
      <x v="23"/>
    </i>
    <i>
      <x v="24"/>
    </i>
    <i>
      <x v="29"/>
    </i>
    <i>
      <x v="31"/>
    </i>
    <i>
      <x v="33"/>
    </i>
    <i>
      <x v="35"/>
    </i>
    <i>
      <x v="36"/>
    </i>
    <i>
      <x v="39"/>
    </i>
    <i>
      <x v="46"/>
    </i>
    <i>
      <x v="47"/>
    </i>
    <i>
      <x v="51"/>
    </i>
    <i>
      <x v="52"/>
    </i>
    <i>
      <x v="53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1"/>
    </i>
    <i>
      <x v="73"/>
    </i>
    <i>
      <x v="75"/>
    </i>
    <i>
      <x v="76"/>
    </i>
    <i>
      <x v="79"/>
    </i>
    <i>
      <x v="80"/>
    </i>
    <i>
      <x v="81"/>
    </i>
    <i>
      <x v="82"/>
    </i>
    <i>
      <x v="95"/>
    </i>
    <i>
      <x v="100"/>
    </i>
    <i>
      <x v="102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20"/>
    </i>
    <i>
      <x v="121"/>
    </i>
    <i>
      <x v="124"/>
    </i>
    <i>
      <x v="125"/>
    </i>
    <i>
      <x v="128"/>
    </i>
    <i>
      <x v="129"/>
    </i>
    <i>
      <x v="130"/>
    </i>
    <i>
      <x v="131"/>
    </i>
    <i>
      <x v="136"/>
    </i>
    <i>
      <x v="137"/>
    </i>
    <i>
      <x v="145"/>
    </i>
    <i>
      <x v="146"/>
    </i>
    <i>
      <x v="147"/>
    </i>
    <i>
      <x v="148"/>
    </i>
    <i>
      <x v="150"/>
    </i>
    <i>
      <x v="151"/>
    </i>
    <i>
      <x v="153"/>
    </i>
    <i>
      <x v="154"/>
    </i>
    <i>
      <x v="157"/>
    </i>
    <i>
      <x v="160"/>
    </i>
    <i>
      <x v="161"/>
    </i>
    <i>
      <x v="162"/>
    </i>
    <i>
      <x v="168"/>
    </i>
    <i>
      <x v="170"/>
    </i>
    <i>
      <x v="172"/>
    </i>
    <i>
      <x v="173"/>
    </i>
    <i>
      <x v="175"/>
    </i>
    <i>
      <x v="178"/>
    </i>
    <i>
      <x v="179"/>
    </i>
    <i>
      <x v="183"/>
    </i>
    <i>
      <x v="184"/>
    </i>
    <i>
      <x v="186"/>
    </i>
    <i>
      <x v="187"/>
    </i>
    <i>
      <x v="189"/>
    </i>
    <i>
      <x v="190"/>
    </i>
    <i>
      <x v="191"/>
    </i>
    <i>
      <x v="192"/>
    </i>
    <i>
      <x v="193"/>
    </i>
    <i>
      <x v="195"/>
    </i>
    <i>
      <x v="197"/>
    </i>
    <i>
      <x v="198"/>
    </i>
    <i>
      <x v="199"/>
    </i>
    <i>
      <x v="202"/>
    </i>
    <i>
      <x v="203"/>
    </i>
    <i>
      <x v="205"/>
    </i>
    <i>
      <x v="206"/>
    </i>
    <i>
      <x v="208"/>
    </i>
    <i>
      <x v="210"/>
    </i>
    <i>
      <x v="211"/>
    </i>
    <i>
      <x v="213"/>
    </i>
    <i>
      <x v="214"/>
    </i>
    <i>
      <x v="215"/>
    </i>
    <i>
      <x v="216"/>
    </i>
    <i>
      <x v="217"/>
    </i>
    <i>
      <x v="218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30"/>
    </i>
    <i>
      <x v="231"/>
    </i>
    <i>
      <x v="236"/>
    </i>
    <i>
      <x v="237"/>
    </i>
    <i>
      <x v="239"/>
    </i>
    <i>
      <x v="242"/>
    </i>
    <i>
      <x v="244"/>
    </i>
    <i>
      <x v="245"/>
    </i>
    <i>
      <x v="246"/>
    </i>
    <i>
      <x v="248"/>
    </i>
    <i>
      <x v="249"/>
    </i>
    <i>
      <x v="250"/>
    </i>
    <i>
      <x v="252"/>
    </i>
    <i>
      <x v="255"/>
    </i>
    <i>
      <x v="258"/>
    </i>
    <i>
      <x v="259"/>
    </i>
    <i>
      <x v="260"/>
    </i>
    <i>
      <x v="261"/>
    </i>
    <i>
      <x v="264"/>
    </i>
    <i>
      <x v="265"/>
    </i>
    <i>
      <x v="266"/>
    </i>
    <i>
      <x v="267"/>
    </i>
    <i>
      <x v="269"/>
    </i>
    <i>
      <x v="271"/>
    </i>
    <i>
      <x v="274"/>
    </i>
    <i>
      <x v="275"/>
    </i>
    <i>
      <x v="281"/>
    </i>
    <i>
      <x v="283"/>
    </i>
    <i>
      <x v="285"/>
    </i>
    <i>
      <x v="286"/>
    </i>
    <i>
      <x v="287"/>
    </i>
    <i>
      <x v="289"/>
    </i>
    <i>
      <x v="291"/>
    </i>
    <i>
      <x v="293"/>
    </i>
    <i>
      <x v="294"/>
    </i>
    <i>
      <x v="296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11"/>
    </i>
    <i>
      <x v="312"/>
    </i>
    <i>
      <x v="316"/>
    </i>
    <i>
      <x v="317"/>
    </i>
    <i>
      <x v="319"/>
    </i>
    <i>
      <x v="320"/>
    </i>
    <i>
      <x v="322"/>
    </i>
    <i>
      <x v="325"/>
    </i>
    <i>
      <x v="326"/>
    </i>
    <i>
      <x v="327"/>
    </i>
    <i>
      <x v="329"/>
    </i>
    <i>
      <x v="330"/>
    </i>
    <i>
      <x v="332"/>
    </i>
    <i>
      <x v="333"/>
    </i>
    <i>
      <x v="335"/>
    </i>
    <i>
      <x v="337"/>
    </i>
    <i>
      <x v="339"/>
    </i>
    <i>
      <x v="343"/>
    </i>
    <i>
      <x v="344"/>
    </i>
    <i>
      <x v="346"/>
    </i>
    <i>
      <x v="347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3"/>
    </i>
    <i>
      <x v="367"/>
    </i>
    <i>
      <x v="368"/>
    </i>
    <i>
      <x v="379"/>
    </i>
    <i>
      <x v="380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399"/>
    </i>
    <i>
      <x v="408"/>
    </i>
    <i>
      <x v="409"/>
    </i>
    <i>
      <x v="410"/>
    </i>
    <i>
      <x v="412"/>
    </i>
    <i>
      <x v="413"/>
    </i>
    <i>
      <x v="414"/>
    </i>
    <i>
      <x v="417"/>
    </i>
    <i>
      <x v="422"/>
    </i>
    <i>
      <x v="423"/>
    </i>
    <i>
      <x v="425"/>
    </i>
    <i>
      <x v="426"/>
    </i>
    <i>
      <x v="427"/>
    </i>
    <i>
      <x v="429"/>
    </i>
    <i>
      <x v="432"/>
    </i>
    <i>
      <x v="436"/>
    </i>
    <i>
      <x v="437"/>
    </i>
    <i>
      <x v="441"/>
    </i>
    <i>
      <x v="443"/>
    </i>
    <i>
      <x v="444"/>
    </i>
    <i>
      <x v="446"/>
    </i>
    <i>
      <x v="447"/>
    </i>
    <i>
      <x v="449"/>
    </i>
    <i>
      <x v="450"/>
    </i>
    <i>
      <x v="452"/>
    </i>
    <i>
      <x v="453"/>
    </i>
    <i>
      <x v="454"/>
    </i>
    <i>
      <x v="455"/>
    </i>
    <i>
      <x v="460"/>
    </i>
    <i>
      <x v="462"/>
    </i>
    <i>
      <x v="495"/>
    </i>
    <i>
      <x v="498"/>
    </i>
    <i>
      <x v="500"/>
    </i>
    <i>
      <x v="502"/>
    </i>
    <i>
      <x v="507"/>
    </i>
    <i>
      <x v="508"/>
    </i>
    <i>
      <x v="510"/>
    </i>
    <i>
      <x v="511"/>
    </i>
    <i>
      <x v="514"/>
    </i>
    <i>
      <x v="518"/>
    </i>
    <i>
      <x v="520"/>
    </i>
    <i>
      <x v="521"/>
    </i>
    <i>
      <x v="526"/>
    </i>
    <i>
      <x v="528"/>
    </i>
    <i>
      <x v="529"/>
    </i>
    <i>
      <x v="530"/>
    </i>
    <i>
      <x v="531"/>
    </i>
    <i>
      <x v="533"/>
    </i>
    <i>
      <x v="534"/>
    </i>
    <i>
      <x v="535"/>
    </i>
    <i>
      <x v="537"/>
    </i>
    <i>
      <x v="538"/>
    </i>
    <i>
      <x v="540"/>
    </i>
    <i>
      <x v="541"/>
    </i>
    <i>
      <x v="543"/>
    </i>
    <i>
      <x v="544"/>
    </i>
    <i>
      <x v="551"/>
    </i>
    <i>
      <x v="552"/>
    </i>
    <i>
      <x v="555"/>
    </i>
    <i>
      <x v="559"/>
    </i>
    <i>
      <x v="560"/>
    </i>
    <i>
      <x v="561"/>
    </i>
    <i>
      <x v="56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Máx. de TETO_COMERCIAL_%" fld="19" subtotal="max" baseField="0" baseItem="2"/>
    <dataField name="Máx. de PRAZO" fld="5" subtotal="max" baseField="1" baseItem="7"/>
    <dataField name="Mín. de TAXA" fld="4" subtotal="min" baseField="1" baseItem="7"/>
    <dataField name="Máx. de minport_%" fld="18" subtotal="max" baseField="0" baseItem="2" numFmtId="10"/>
  </dataFields>
  <formats count="7">
    <format dxfId="129">
      <pivotArea type="all" dataOnly="0" outline="0" fieldPosition="0"/>
    </format>
    <format dxfId="128">
      <pivotArea outline="0" collapsedLevelsAreSubtotals="1" fieldPosition="0"/>
    </format>
    <format dxfId="12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6">
      <pivotArea field="0" type="button" dataOnly="0" labelOnly="1" outline="0" axis="axisRow" fieldPosition="0"/>
    </format>
    <format dxfId="125">
      <pivotArea dataOnly="0" labelOnly="1" fieldPosition="0">
        <references count="1">
          <reference field="0" count="50">
            <x v="0"/>
            <x v="3"/>
            <x v="15"/>
            <x v="28"/>
            <x v="36"/>
            <x v="47"/>
            <x v="49"/>
            <x v="50"/>
            <x v="53"/>
            <x v="55"/>
            <x v="61"/>
            <x v="70"/>
            <x v="71"/>
            <x v="73"/>
            <x v="74"/>
            <x v="79"/>
            <x v="83"/>
            <x v="89"/>
            <x v="92"/>
            <x v="95"/>
            <x v="103"/>
            <x v="104"/>
            <x v="111"/>
            <x v="155"/>
            <x v="158"/>
            <x v="162"/>
            <x v="163"/>
            <x v="179"/>
            <x v="180"/>
            <x v="197"/>
            <x v="216"/>
            <x v="231"/>
            <x v="254"/>
            <x v="265"/>
            <x v="267"/>
            <x v="269"/>
            <x v="274"/>
            <x v="277"/>
            <x v="285"/>
            <x v="290"/>
            <x v="304"/>
            <x v="314"/>
            <x v="326"/>
            <x v="333"/>
            <x v="334"/>
            <x v="375"/>
            <x v="382"/>
            <x v="419"/>
            <x v="447"/>
            <x v="464"/>
          </reference>
        </references>
      </pivotArea>
    </format>
    <format dxfId="124">
      <pivotArea dataOnly="0" labelOnly="1" fieldPosition="0">
        <references count="1">
          <reference field="0" count="7">
            <x v="466"/>
            <x v="479"/>
            <x v="519"/>
            <x v="522"/>
            <x v="532"/>
            <x v="543"/>
            <x v="561"/>
          </reference>
        </references>
      </pivotArea>
    </format>
    <format dxfId="12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7AC34A-5EE3-41C5-BB9C-F55D6BF308A8}" name="Tabela dinâmica2" cacheId="14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F10:FJ285" firstHeaderRow="0" firstDataRow="1" firstDataCol="1"/>
  <pivotFields count="23">
    <pivotField axis="axisRow" showAll="0" sortType="ascending">
      <items count="565">
        <item m="1" x="529"/>
        <item m="1" x="479"/>
        <item x="0"/>
        <item m="1" x="550"/>
        <item x="1"/>
        <item m="1" x="455"/>
        <item m="1" x="456"/>
        <item x="2"/>
        <item m="1" x="299"/>
        <item m="1" x="457"/>
        <item m="1" x="458"/>
        <item m="1" x="459"/>
        <item m="1" x="460"/>
        <item x="3"/>
        <item m="1" x="495"/>
        <item m="1" x="300"/>
        <item x="4"/>
        <item x="5"/>
        <item m="1" x="274"/>
        <item m="1" x="496"/>
        <item m="1" x="461"/>
        <item m="1" x="492"/>
        <item x="6"/>
        <item x="7"/>
        <item x="8"/>
        <item m="1" x="554"/>
        <item m="1" x="301"/>
        <item m="1" x="558"/>
        <item m="1" x="534"/>
        <item x="9"/>
        <item m="1" x="302"/>
        <item x="10"/>
        <item m="1" x="303"/>
        <item x="11"/>
        <item m="1" x="304"/>
        <item x="12"/>
        <item x="13"/>
        <item m="1" x="409"/>
        <item m="1" x="562"/>
        <item x="14"/>
        <item m="1" x="487"/>
        <item m="1" x="396"/>
        <item m="1" x="421"/>
        <item m="1" x="528"/>
        <item m="1" x="533"/>
        <item m="1" x="305"/>
        <item x="15"/>
        <item x="16"/>
        <item m="1" x="306"/>
        <item m="1" x="284"/>
        <item m="1" x="494"/>
        <item x="17"/>
        <item x="18"/>
        <item x="19"/>
        <item m="1" x="296"/>
        <item m="1" x="275"/>
        <item m="1" x="276"/>
        <item x="20"/>
        <item x="21"/>
        <item x="22"/>
        <item x="23"/>
        <item m="1" x="538"/>
        <item x="24"/>
        <item x="25"/>
        <item x="26"/>
        <item x="27"/>
        <item x="28"/>
        <item x="29"/>
        <item x="30"/>
        <item x="31"/>
        <item m="1" x="389"/>
        <item x="32"/>
        <item m="1" x="527"/>
        <item x="33"/>
        <item m="1" x="543"/>
        <item x="34"/>
        <item x="35"/>
        <item m="1" x="448"/>
        <item m="1" x="298"/>
        <item x="36"/>
        <item x="37"/>
        <item x="38"/>
        <item x="39"/>
        <item m="1" x="426"/>
        <item m="1" x="526"/>
        <item m="1" x="474"/>
        <item m="1" x="392"/>
        <item m="1" x="559"/>
        <item m="1" x="410"/>
        <item m="1" x="285"/>
        <item m="1" x="416"/>
        <item m="1" x="286"/>
        <item m="1" x="287"/>
        <item m="1" x="417"/>
        <item m="1" x="444"/>
        <item x="40"/>
        <item m="1" x="418"/>
        <item m="1" x="411"/>
        <item m="1" x="288"/>
        <item m="1" x="412"/>
        <item x="41"/>
        <item m="1" x="390"/>
        <item x="42"/>
        <item m="1" x="518"/>
        <item m="1" x="519"/>
        <item m="1" x="307"/>
        <item m="1" x="308"/>
        <item m="1" x="442"/>
        <item x="43"/>
        <item m="1" x="440"/>
        <item x="44"/>
        <item x="45"/>
        <item x="46"/>
        <item x="47"/>
        <item x="48"/>
        <item x="49"/>
        <item x="50"/>
        <item x="51"/>
        <item x="52"/>
        <item m="1" x="309"/>
        <item x="53"/>
        <item x="54"/>
        <item m="1" x="539"/>
        <item m="1" x="462"/>
        <item x="55"/>
        <item x="56"/>
        <item m="1" x="310"/>
        <item m="1" x="311"/>
        <item x="57"/>
        <item x="58"/>
        <item x="59"/>
        <item x="60"/>
        <item m="1" x="393"/>
        <item m="1" x="502"/>
        <item m="1" x="397"/>
        <item m="1" x="312"/>
        <item x="61"/>
        <item x="62"/>
        <item m="1" x="313"/>
        <item m="1" x="555"/>
        <item m="1" x="314"/>
        <item m="1" x="447"/>
        <item m="1" x="315"/>
        <item m="1" x="316"/>
        <item m="1" x="317"/>
        <item x="63"/>
        <item x="64"/>
        <item x="65"/>
        <item x="66"/>
        <item m="1" x="563"/>
        <item x="67"/>
        <item x="68"/>
        <item m="1" x="318"/>
        <item x="69"/>
        <item x="70"/>
        <item m="1" x="319"/>
        <item m="1" x="398"/>
        <item x="71"/>
        <item m="1" x="320"/>
        <item m="1" x="321"/>
        <item x="72"/>
        <item x="73"/>
        <item x="74"/>
        <item m="1" x="482"/>
        <item m="1" x="514"/>
        <item m="1" x="322"/>
        <item m="1" x="475"/>
        <item m="1" x="413"/>
        <item x="75"/>
        <item m="1" x="441"/>
        <item x="76"/>
        <item m="1" x="451"/>
        <item x="77"/>
        <item x="78"/>
        <item m="1" x="323"/>
        <item x="79"/>
        <item m="1" x="428"/>
        <item m="1" x="324"/>
        <item x="80"/>
        <item x="81"/>
        <item m="1" x="325"/>
        <item m="1" x="429"/>
        <item m="1" x="326"/>
        <item x="82"/>
        <item x="83"/>
        <item m="1" x="327"/>
        <item x="84"/>
        <item x="85"/>
        <item m="1" x="399"/>
        <item x="86"/>
        <item x="87"/>
        <item x="88"/>
        <item x="89"/>
        <item x="90"/>
        <item m="1" x="463"/>
        <item x="91"/>
        <item m="1" x="328"/>
        <item x="92"/>
        <item x="93"/>
        <item x="94"/>
        <item m="1" x="289"/>
        <item m="1" x="290"/>
        <item x="95"/>
        <item x="96"/>
        <item m="1" x="329"/>
        <item x="97"/>
        <item x="98"/>
        <item m="1" x="434"/>
        <item x="99"/>
        <item m="1" x="330"/>
        <item x="100"/>
        <item x="101"/>
        <item m="1" x="331"/>
        <item x="102"/>
        <item x="103"/>
        <item x="104"/>
        <item x="105"/>
        <item x="106"/>
        <item x="107"/>
        <item m="1" x="332"/>
        <item x="108"/>
        <item x="109"/>
        <item x="110"/>
        <item x="111"/>
        <item x="112"/>
        <item x="113"/>
        <item m="1" x="400"/>
        <item x="114"/>
        <item x="115"/>
        <item m="1" x="333"/>
        <item x="116"/>
        <item x="117"/>
        <item m="1" x="540"/>
        <item m="1" x="512"/>
        <item m="1" x="485"/>
        <item m="1" x="497"/>
        <item x="118"/>
        <item x="119"/>
        <item m="1" x="334"/>
        <item x="120"/>
        <item m="1" x="335"/>
        <item m="1" x="443"/>
        <item x="121"/>
        <item m="1" x="464"/>
        <item x="122"/>
        <item x="123"/>
        <item x="124"/>
        <item m="1" x="465"/>
        <item x="125"/>
        <item x="126"/>
        <item x="127"/>
        <item m="1" x="431"/>
        <item x="128"/>
        <item m="1" x="336"/>
        <item m="1" x="510"/>
        <item x="129"/>
        <item m="1" x="337"/>
        <item m="1" x="291"/>
        <item x="130"/>
        <item x="131"/>
        <item x="132"/>
        <item x="133"/>
        <item m="1" x="292"/>
        <item m="1" x="401"/>
        <item x="134"/>
        <item x="135"/>
        <item x="136"/>
        <item x="137"/>
        <item m="1" x="480"/>
        <item x="138"/>
        <item m="1" x="338"/>
        <item x="139"/>
        <item m="1" x="339"/>
        <item m="1" x="466"/>
        <item x="140"/>
        <item x="141"/>
        <item m="1" x="445"/>
        <item m="1" x="435"/>
        <item m="1" x="436"/>
        <item m="1" x="437"/>
        <item m="1" x="438"/>
        <item x="142"/>
        <item m="1" x="419"/>
        <item x="143"/>
        <item m="1" x="420"/>
        <item x="144"/>
        <item x="145"/>
        <item x="146"/>
        <item m="1" x="340"/>
        <item x="147"/>
        <item m="1" x="439"/>
        <item x="148"/>
        <item m="1" x="341"/>
        <item x="149"/>
        <item x="150"/>
        <item m="1" x="342"/>
        <item x="151"/>
        <item m="1" x="343"/>
        <item x="152"/>
        <item x="153"/>
        <item x="154"/>
        <item x="155"/>
        <item x="156"/>
        <item x="157"/>
        <item x="158"/>
        <item x="159"/>
        <item x="160"/>
        <item m="1" x="425"/>
        <item x="161"/>
        <item m="1" x="277"/>
        <item m="1" x="295"/>
        <item x="162"/>
        <item x="163"/>
        <item m="1" x="344"/>
        <item m="1" x="490"/>
        <item m="1" x="345"/>
        <item x="164"/>
        <item x="165"/>
        <item m="1" x="467"/>
        <item x="166"/>
        <item x="167"/>
        <item m="1" x="402"/>
        <item x="168"/>
        <item m="1" x="524"/>
        <item m="1" x="468"/>
        <item x="169"/>
        <item x="170"/>
        <item x="171"/>
        <item m="1" x="346"/>
        <item x="172"/>
        <item x="173"/>
        <item m="1" x="403"/>
        <item x="174"/>
        <item x="175"/>
        <item m="1" x="473"/>
        <item x="176"/>
        <item m="1" x="347"/>
        <item x="177"/>
        <item m="1" x="348"/>
        <item x="178"/>
        <item m="1" x="293"/>
        <item m="1" x="349"/>
        <item m="1" x="350"/>
        <item x="179"/>
        <item x="180"/>
        <item m="1" x="493"/>
        <item x="181"/>
        <item x="182"/>
        <item m="1" x="35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352"/>
        <item x="196"/>
        <item m="1" x="353"/>
        <item m="1" x="354"/>
        <item m="1" x="472"/>
        <item x="197"/>
        <item x="198"/>
        <item m="1" x="355"/>
        <item m="1" x="356"/>
        <item m="1" x="537"/>
        <item m="1" x="535"/>
        <item m="1" x="404"/>
        <item m="1" x="405"/>
        <item m="1" x="357"/>
        <item m="1" x="358"/>
        <item m="1" x="359"/>
        <item m="1" x="394"/>
        <item x="199"/>
        <item x="200"/>
        <item m="1" x="477"/>
        <item m="1" x="513"/>
        <item m="1" x="500"/>
        <item m="1" x="530"/>
        <item m="1" x="481"/>
        <item x="201"/>
        <item x="202"/>
        <item x="203"/>
        <item x="204"/>
        <item x="205"/>
        <item m="1" x="544"/>
        <item x="206"/>
        <item x="207"/>
        <item x="208"/>
        <item m="1" x="278"/>
        <item m="1" x="279"/>
        <item x="209"/>
        <item x="210"/>
        <item x="211"/>
        <item m="1" x="406"/>
        <item m="1" x="522"/>
        <item m="1" x="407"/>
        <item m="1" x="280"/>
        <item m="1" x="469"/>
        <item m="1" x="422"/>
        <item m="1" x="548"/>
        <item m="1" x="281"/>
        <item x="212"/>
        <item x="213"/>
        <item x="214"/>
        <item m="1" x="517"/>
        <item x="215"/>
        <item x="216"/>
        <item x="217"/>
        <item m="1" x="282"/>
        <item m="1" x="551"/>
        <item x="218"/>
        <item m="1" x="360"/>
        <item m="1" x="361"/>
        <item m="1" x="391"/>
        <item m="1" x="414"/>
        <item x="219"/>
        <item x="220"/>
        <item m="1" x="362"/>
        <item x="221"/>
        <item x="222"/>
        <item x="223"/>
        <item m="1" x="363"/>
        <item x="224"/>
        <item m="1" x="364"/>
        <item m="1" x="504"/>
        <item x="225"/>
        <item m="1" x="365"/>
        <item m="1" x="366"/>
        <item m="1" x="521"/>
        <item x="226"/>
        <item x="227"/>
        <item m="1" x="433"/>
        <item m="1" x="430"/>
        <item m="1" x="450"/>
        <item x="228"/>
        <item m="1" x="367"/>
        <item x="229"/>
        <item x="230"/>
        <item m="1" x="452"/>
        <item x="231"/>
        <item x="232"/>
        <item m="1" x="476"/>
        <item x="233"/>
        <item x="234"/>
        <item m="1" x="557"/>
        <item x="235"/>
        <item x="236"/>
        <item x="237"/>
        <item x="238"/>
        <item m="1" x="423"/>
        <item m="1" x="453"/>
        <item m="1" x="294"/>
        <item m="1" x="446"/>
        <item x="239"/>
        <item m="1" x="553"/>
        <item x="240"/>
        <item m="1" x="488"/>
        <item m="1" x="501"/>
        <item m="1" x="536"/>
        <item m="1" x="484"/>
        <item m="1" x="556"/>
        <item m="1" x="515"/>
        <item m="1" x="516"/>
        <item m="1" x="552"/>
        <item m="1" x="545"/>
        <item m="1" x="507"/>
        <item m="1" x="483"/>
        <item m="1" x="525"/>
        <item m="1" x="509"/>
        <item m="1" x="478"/>
        <item m="1" x="499"/>
        <item m="1" x="532"/>
        <item m="1" x="503"/>
        <item m="1" x="547"/>
        <item m="1" x="508"/>
        <item m="1" x="560"/>
        <item m="1" x="511"/>
        <item m="1" x="561"/>
        <item m="1" x="531"/>
        <item m="1" x="505"/>
        <item m="1" x="523"/>
        <item m="1" x="491"/>
        <item m="1" x="489"/>
        <item m="1" x="498"/>
        <item m="1" x="546"/>
        <item m="1" x="542"/>
        <item m="1" x="549"/>
        <item m="1" x="506"/>
        <item x="241"/>
        <item m="1" x="368"/>
        <item m="1" x="486"/>
        <item x="242"/>
        <item m="1" x="395"/>
        <item x="243"/>
        <item m="1" x="369"/>
        <item x="244"/>
        <item m="1" x="470"/>
        <item m="1" x="370"/>
        <item m="1" x="408"/>
        <item m="1" x="371"/>
        <item x="245"/>
        <item x="246"/>
        <item m="1" x="283"/>
        <item x="247"/>
        <item x="248"/>
        <item m="1" x="372"/>
        <item m="1" x="432"/>
        <item x="249"/>
        <item m="1" x="541"/>
        <item m="1" x="427"/>
        <item m="1" x="373"/>
        <item x="250"/>
        <item m="1" x="374"/>
        <item x="251"/>
        <item x="252"/>
        <item m="1" x="375"/>
        <item m="1" x="415"/>
        <item m="1" x="424"/>
        <item m="1" x="376"/>
        <item x="253"/>
        <item m="1" x="377"/>
        <item x="254"/>
        <item x="255"/>
        <item x="256"/>
        <item x="257"/>
        <item m="1" x="378"/>
        <item x="258"/>
        <item x="259"/>
        <item x="260"/>
        <item m="1" x="379"/>
        <item x="261"/>
        <item x="262"/>
        <item m="1" x="380"/>
        <item x="263"/>
        <item x="264"/>
        <item m="1" x="381"/>
        <item x="265"/>
        <item x="266"/>
        <item m="1" x="382"/>
        <item m="1" x="297"/>
        <item m="1" x="383"/>
        <item m="1" x="454"/>
        <item m="1" x="471"/>
        <item m="1" x="384"/>
        <item x="267"/>
        <item x="268"/>
        <item m="1" x="385"/>
        <item m="1" x="386"/>
        <item x="269"/>
        <item m="1" x="520"/>
        <item m="1" x="387"/>
        <item m="1" x="388"/>
        <item x="270"/>
        <item x="271"/>
        <item x="272"/>
        <item x="273"/>
        <item m="1" x="449"/>
        <item t="default"/>
      </items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dataField="1" showAll="0"/>
    <pivotField dataField="1" numFmtId="10" showAll="0"/>
    <pivotField showAll="0"/>
    <pivotField showAll="0"/>
    <pivotField showAll="0"/>
  </pivotFields>
  <rowFields count="1">
    <field x="0"/>
  </rowFields>
  <rowItems count="275">
    <i>
      <x v="2"/>
    </i>
    <i>
      <x v="4"/>
    </i>
    <i>
      <x v="7"/>
    </i>
    <i>
      <x v="13"/>
    </i>
    <i>
      <x v="16"/>
    </i>
    <i>
      <x v="17"/>
    </i>
    <i>
      <x v="22"/>
    </i>
    <i>
      <x v="23"/>
    </i>
    <i>
      <x v="24"/>
    </i>
    <i>
      <x v="29"/>
    </i>
    <i>
      <x v="31"/>
    </i>
    <i>
      <x v="33"/>
    </i>
    <i>
      <x v="35"/>
    </i>
    <i>
      <x v="36"/>
    </i>
    <i>
      <x v="39"/>
    </i>
    <i>
      <x v="46"/>
    </i>
    <i>
      <x v="47"/>
    </i>
    <i>
      <x v="51"/>
    </i>
    <i>
      <x v="52"/>
    </i>
    <i>
      <x v="53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1"/>
    </i>
    <i>
      <x v="73"/>
    </i>
    <i>
      <x v="75"/>
    </i>
    <i>
      <x v="76"/>
    </i>
    <i>
      <x v="79"/>
    </i>
    <i>
      <x v="80"/>
    </i>
    <i>
      <x v="81"/>
    </i>
    <i>
      <x v="82"/>
    </i>
    <i>
      <x v="95"/>
    </i>
    <i>
      <x v="100"/>
    </i>
    <i>
      <x v="102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20"/>
    </i>
    <i>
      <x v="121"/>
    </i>
    <i>
      <x v="124"/>
    </i>
    <i>
      <x v="125"/>
    </i>
    <i>
      <x v="128"/>
    </i>
    <i>
      <x v="129"/>
    </i>
    <i>
      <x v="130"/>
    </i>
    <i>
      <x v="131"/>
    </i>
    <i>
      <x v="136"/>
    </i>
    <i>
      <x v="137"/>
    </i>
    <i>
      <x v="145"/>
    </i>
    <i>
      <x v="146"/>
    </i>
    <i>
      <x v="147"/>
    </i>
    <i>
      <x v="148"/>
    </i>
    <i>
      <x v="150"/>
    </i>
    <i>
      <x v="151"/>
    </i>
    <i>
      <x v="153"/>
    </i>
    <i>
      <x v="154"/>
    </i>
    <i>
      <x v="157"/>
    </i>
    <i>
      <x v="160"/>
    </i>
    <i>
      <x v="161"/>
    </i>
    <i>
      <x v="162"/>
    </i>
    <i>
      <x v="168"/>
    </i>
    <i>
      <x v="170"/>
    </i>
    <i>
      <x v="172"/>
    </i>
    <i>
      <x v="173"/>
    </i>
    <i>
      <x v="175"/>
    </i>
    <i>
      <x v="178"/>
    </i>
    <i>
      <x v="179"/>
    </i>
    <i>
      <x v="183"/>
    </i>
    <i>
      <x v="184"/>
    </i>
    <i>
      <x v="186"/>
    </i>
    <i>
      <x v="187"/>
    </i>
    <i>
      <x v="189"/>
    </i>
    <i>
      <x v="190"/>
    </i>
    <i>
      <x v="191"/>
    </i>
    <i>
      <x v="192"/>
    </i>
    <i>
      <x v="193"/>
    </i>
    <i>
      <x v="195"/>
    </i>
    <i>
      <x v="197"/>
    </i>
    <i>
      <x v="198"/>
    </i>
    <i>
      <x v="199"/>
    </i>
    <i>
      <x v="202"/>
    </i>
    <i>
      <x v="203"/>
    </i>
    <i>
      <x v="205"/>
    </i>
    <i>
      <x v="206"/>
    </i>
    <i>
      <x v="208"/>
    </i>
    <i>
      <x v="210"/>
    </i>
    <i>
      <x v="211"/>
    </i>
    <i>
      <x v="213"/>
    </i>
    <i>
      <x v="214"/>
    </i>
    <i>
      <x v="215"/>
    </i>
    <i>
      <x v="216"/>
    </i>
    <i>
      <x v="217"/>
    </i>
    <i>
      <x v="218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30"/>
    </i>
    <i>
      <x v="231"/>
    </i>
    <i>
      <x v="236"/>
    </i>
    <i>
      <x v="237"/>
    </i>
    <i>
      <x v="239"/>
    </i>
    <i>
      <x v="242"/>
    </i>
    <i>
      <x v="244"/>
    </i>
    <i>
      <x v="245"/>
    </i>
    <i>
      <x v="246"/>
    </i>
    <i>
      <x v="248"/>
    </i>
    <i>
      <x v="249"/>
    </i>
    <i>
      <x v="250"/>
    </i>
    <i>
      <x v="252"/>
    </i>
    <i>
      <x v="255"/>
    </i>
    <i>
      <x v="258"/>
    </i>
    <i>
      <x v="259"/>
    </i>
    <i>
      <x v="260"/>
    </i>
    <i>
      <x v="261"/>
    </i>
    <i>
      <x v="264"/>
    </i>
    <i>
      <x v="265"/>
    </i>
    <i>
      <x v="266"/>
    </i>
    <i>
      <x v="267"/>
    </i>
    <i>
      <x v="269"/>
    </i>
    <i>
      <x v="271"/>
    </i>
    <i>
      <x v="274"/>
    </i>
    <i>
      <x v="275"/>
    </i>
    <i>
      <x v="281"/>
    </i>
    <i>
      <x v="283"/>
    </i>
    <i>
      <x v="285"/>
    </i>
    <i>
      <x v="286"/>
    </i>
    <i>
      <x v="287"/>
    </i>
    <i>
      <x v="289"/>
    </i>
    <i>
      <x v="291"/>
    </i>
    <i>
      <x v="293"/>
    </i>
    <i>
      <x v="294"/>
    </i>
    <i>
      <x v="296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11"/>
    </i>
    <i>
      <x v="312"/>
    </i>
    <i>
      <x v="316"/>
    </i>
    <i>
      <x v="317"/>
    </i>
    <i>
      <x v="319"/>
    </i>
    <i>
      <x v="320"/>
    </i>
    <i>
      <x v="322"/>
    </i>
    <i>
      <x v="325"/>
    </i>
    <i>
      <x v="326"/>
    </i>
    <i>
      <x v="327"/>
    </i>
    <i>
      <x v="329"/>
    </i>
    <i>
      <x v="330"/>
    </i>
    <i>
      <x v="332"/>
    </i>
    <i>
      <x v="333"/>
    </i>
    <i>
      <x v="335"/>
    </i>
    <i>
      <x v="337"/>
    </i>
    <i>
      <x v="339"/>
    </i>
    <i>
      <x v="343"/>
    </i>
    <i>
      <x v="344"/>
    </i>
    <i>
      <x v="346"/>
    </i>
    <i>
      <x v="347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3"/>
    </i>
    <i>
      <x v="367"/>
    </i>
    <i>
      <x v="368"/>
    </i>
    <i>
      <x v="379"/>
    </i>
    <i>
      <x v="380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399"/>
    </i>
    <i>
      <x v="408"/>
    </i>
    <i>
      <x v="409"/>
    </i>
    <i>
      <x v="410"/>
    </i>
    <i>
      <x v="412"/>
    </i>
    <i>
      <x v="413"/>
    </i>
    <i>
      <x v="414"/>
    </i>
    <i>
      <x v="417"/>
    </i>
    <i>
      <x v="422"/>
    </i>
    <i>
      <x v="423"/>
    </i>
    <i>
      <x v="425"/>
    </i>
    <i>
      <x v="426"/>
    </i>
    <i>
      <x v="427"/>
    </i>
    <i>
      <x v="429"/>
    </i>
    <i>
      <x v="432"/>
    </i>
    <i>
      <x v="436"/>
    </i>
    <i>
      <x v="437"/>
    </i>
    <i>
      <x v="441"/>
    </i>
    <i>
      <x v="443"/>
    </i>
    <i>
      <x v="444"/>
    </i>
    <i>
      <x v="446"/>
    </i>
    <i>
      <x v="447"/>
    </i>
    <i>
      <x v="449"/>
    </i>
    <i>
      <x v="450"/>
    </i>
    <i>
      <x v="452"/>
    </i>
    <i>
      <x v="453"/>
    </i>
    <i>
      <x v="454"/>
    </i>
    <i>
      <x v="455"/>
    </i>
    <i>
      <x v="460"/>
    </i>
    <i>
      <x v="462"/>
    </i>
    <i>
      <x v="495"/>
    </i>
    <i>
      <x v="498"/>
    </i>
    <i>
      <x v="500"/>
    </i>
    <i>
      <x v="502"/>
    </i>
    <i>
      <x v="507"/>
    </i>
    <i>
      <x v="508"/>
    </i>
    <i>
      <x v="510"/>
    </i>
    <i>
      <x v="511"/>
    </i>
    <i>
      <x v="514"/>
    </i>
    <i>
      <x v="518"/>
    </i>
    <i>
      <x v="520"/>
    </i>
    <i>
      <x v="521"/>
    </i>
    <i>
      <x v="526"/>
    </i>
    <i>
      <x v="528"/>
    </i>
    <i>
      <x v="529"/>
    </i>
    <i>
      <x v="530"/>
    </i>
    <i>
      <x v="531"/>
    </i>
    <i>
      <x v="533"/>
    </i>
    <i>
      <x v="534"/>
    </i>
    <i>
      <x v="535"/>
    </i>
    <i>
      <x v="537"/>
    </i>
    <i>
      <x v="538"/>
    </i>
    <i>
      <x v="540"/>
    </i>
    <i>
      <x v="541"/>
    </i>
    <i>
      <x v="543"/>
    </i>
    <i>
      <x v="544"/>
    </i>
    <i>
      <x v="551"/>
    </i>
    <i>
      <x v="552"/>
    </i>
    <i>
      <x v="555"/>
    </i>
    <i>
      <x v="559"/>
    </i>
    <i>
      <x v="560"/>
    </i>
    <i>
      <x v="561"/>
    </i>
    <i>
      <x v="56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Máx. de TETO_COMERCIAL_%" fld="19" subtotal="max" baseField="0" baseItem="2"/>
    <dataField name="Máx. de PRAZO" fld="5" subtotal="max" baseField="1" baseItem="7"/>
    <dataField name="Mín. de TAXA" fld="4" subtotal="min" baseField="1" baseItem="7"/>
    <dataField name="Máx. de minport_%" fld="18" subtotal="max" baseField="0" baseItem="2" numFmtId="10"/>
  </dataFields>
  <formats count="7">
    <format dxfId="122">
      <pivotArea type="all" dataOnly="0" outline="0" fieldPosition="0"/>
    </format>
    <format dxfId="121">
      <pivotArea outline="0" collapsedLevelsAreSubtotals="1" fieldPosition="0"/>
    </format>
    <format dxfId="12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9">
      <pivotArea field="0" type="button" dataOnly="0" labelOnly="1" outline="0" axis="axisRow" fieldPosition="0"/>
    </format>
    <format dxfId="118">
      <pivotArea dataOnly="0" labelOnly="1" fieldPosition="0">
        <references count="1">
          <reference field="0" count="50">
            <x v="0"/>
            <x v="3"/>
            <x v="15"/>
            <x v="28"/>
            <x v="36"/>
            <x v="47"/>
            <x v="49"/>
            <x v="50"/>
            <x v="53"/>
            <x v="55"/>
            <x v="61"/>
            <x v="70"/>
            <x v="71"/>
            <x v="73"/>
            <x v="74"/>
            <x v="79"/>
            <x v="83"/>
            <x v="89"/>
            <x v="92"/>
            <x v="95"/>
            <x v="103"/>
            <x v="104"/>
            <x v="111"/>
            <x v="155"/>
            <x v="158"/>
            <x v="162"/>
            <x v="163"/>
            <x v="179"/>
            <x v="180"/>
            <x v="197"/>
            <x v="216"/>
            <x v="231"/>
            <x v="254"/>
            <x v="265"/>
            <x v="267"/>
            <x v="269"/>
            <x v="274"/>
            <x v="277"/>
            <x v="285"/>
            <x v="290"/>
            <x v="304"/>
            <x v="314"/>
            <x v="326"/>
            <x v="333"/>
            <x v="334"/>
            <x v="375"/>
            <x v="382"/>
            <x v="419"/>
            <x v="447"/>
            <x v="464"/>
          </reference>
        </references>
      </pivotArea>
    </format>
    <format dxfId="117">
      <pivotArea dataOnly="0" labelOnly="1" fieldPosition="0">
        <references count="1">
          <reference field="0" count="7">
            <x v="466"/>
            <x v="479"/>
            <x v="519"/>
            <x v="522"/>
            <x v="532"/>
            <x v="543"/>
            <x v="561"/>
          </reference>
        </references>
      </pivotArea>
    </format>
    <format dxfId="11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E58CC3-6349-478C-80AE-C3A0B85C04D8}" name="Tabela dinâmica2" cacheId="14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F10:FJ285" firstHeaderRow="0" firstDataRow="1" firstDataCol="1"/>
  <pivotFields count="23">
    <pivotField axis="axisRow" showAll="0" sortType="ascending">
      <items count="565">
        <item m="1" x="529"/>
        <item m="1" x="479"/>
        <item x="0"/>
        <item m="1" x="550"/>
        <item x="1"/>
        <item m="1" x="455"/>
        <item m="1" x="456"/>
        <item x="2"/>
        <item m="1" x="299"/>
        <item m="1" x="457"/>
        <item m="1" x="458"/>
        <item m="1" x="459"/>
        <item m="1" x="460"/>
        <item x="3"/>
        <item m="1" x="495"/>
        <item m="1" x="300"/>
        <item x="4"/>
        <item x="5"/>
        <item m="1" x="274"/>
        <item m="1" x="496"/>
        <item m="1" x="461"/>
        <item m="1" x="492"/>
        <item x="6"/>
        <item x="7"/>
        <item x="8"/>
        <item m="1" x="554"/>
        <item m="1" x="301"/>
        <item m="1" x="558"/>
        <item m="1" x="534"/>
        <item x="9"/>
        <item m="1" x="302"/>
        <item x="10"/>
        <item m="1" x="303"/>
        <item x="11"/>
        <item m="1" x="304"/>
        <item x="12"/>
        <item x="13"/>
        <item m="1" x="409"/>
        <item m="1" x="562"/>
        <item x="14"/>
        <item m="1" x="487"/>
        <item m="1" x="396"/>
        <item m="1" x="421"/>
        <item m="1" x="528"/>
        <item m="1" x="533"/>
        <item m="1" x="305"/>
        <item x="15"/>
        <item x="16"/>
        <item m="1" x="306"/>
        <item m="1" x="284"/>
        <item m="1" x="494"/>
        <item x="17"/>
        <item x="18"/>
        <item x="19"/>
        <item m="1" x="296"/>
        <item m="1" x="275"/>
        <item m="1" x="276"/>
        <item x="20"/>
        <item x="21"/>
        <item x="22"/>
        <item x="23"/>
        <item m="1" x="538"/>
        <item x="24"/>
        <item x="25"/>
        <item x="26"/>
        <item x="27"/>
        <item x="28"/>
        <item x="29"/>
        <item x="30"/>
        <item x="31"/>
        <item m="1" x="389"/>
        <item x="32"/>
        <item m="1" x="527"/>
        <item x="33"/>
        <item m="1" x="543"/>
        <item x="34"/>
        <item x="35"/>
        <item m="1" x="448"/>
        <item m="1" x="298"/>
        <item x="36"/>
        <item x="37"/>
        <item x="38"/>
        <item x="39"/>
        <item m="1" x="426"/>
        <item m="1" x="526"/>
        <item m="1" x="474"/>
        <item m="1" x="392"/>
        <item m="1" x="559"/>
        <item m="1" x="410"/>
        <item m="1" x="285"/>
        <item m="1" x="416"/>
        <item m="1" x="286"/>
        <item m="1" x="287"/>
        <item m="1" x="417"/>
        <item m="1" x="444"/>
        <item x="40"/>
        <item m="1" x="418"/>
        <item m="1" x="411"/>
        <item m="1" x="288"/>
        <item m="1" x="412"/>
        <item x="41"/>
        <item m="1" x="390"/>
        <item x="42"/>
        <item m="1" x="518"/>
        <item m="1" x="519"/>
        <item m="1" x="307"/>
        <item m="1" x="308"/>
        <item m="1" x="442"/>
        <item x="43"/>
        <item m="1" x="440"/>
        <item x="44"/>
        <item x="45"/>
        <item x="46"/>
        <item x="47"/>
        <item x="48"/>
        <item x="49"/>
        <item x="50"/>
        <item x="51"/>
        <item x="52"/>
        <item m="1" x="309"/>
        <item x="53"/>
        <item x="54"/>
        <item m="1" x="539"/>
        <item m="1" x="462"/>
        <item x="55"/>
        <item x="56"/>
        <item m="1" x="310"/>
        <item m="1" x="311"/>
        <item x="57"/>
        <item x="58"/>
        <item x="59"/>
        <item x="60"/>
        <item m="1" x="393"/>
        <item m="1" x="502"/>
        <item m="1" x="397"/>
        <item m="1" x="312"/>
        <item x="61"/>
        <item x="62"/>
        <item m="1" x="313"/>
        <item m="1" x="555"/>
        <item m="1" x="314"/>
        <item m="1" x="447"/>
        <item m="1" x="315"/>
        <item m="1" x="316"/>
        <item m="1" x="317"/>
        <item x="63"/>
        <item x="64"/>
        <item x="65"/>
        <item x="66"/>
        <item m="1" x="563"/>
        <item x="67"/>
        <item x="68"/>
        <item m="1" x="318"/>
        <item x="69"/>
        <item x="70"/>
        <item m="1" x="319"/>
        <item m="1" x="398"/>
        <item x="71"/>
        <item m="1" x="320"/>
        <item m="1" x="321"/>
        <item x="72"/>
        <item x="73"/>
        <item x="74"/>
        <item m="1" x="482"/>
        <item m="1" x="514"/>
        <item m="1" x="322"/>
        <item m="1" x="475"/>
        <item m="1" x="413"/>
        <item x="75"/>
        <item m="1" x="441"/>
        <item x="76"/>
        <item m="1" x="451"/>
        <item x="77"/>
        <item x="78"/>
        <item m="1" x="323"/>
        <item x="79"/>
        <item m="1" x="428"/>
        <item m="1" x="324"/>
        <item x="80"/>
        <item x="81"/>
        <item m="1" x="325"/>
        <item m="1" x="429"/>
        <item m="1" x="326"/>
        <item x="82"/>
        <item x="83"/>
        <item m="1" x="327"/>
        <item x="84"/>
        <item x="85"/>
        <item m="1" x="399"/>
        <item x="86"/>
        <item x="87"/>
        <item x="88"/>
        <item x="89"/>
        <item x="90"/>
        <item m="1" x="463"/>
        <item x="91"/>
        <item m="1" x="328"/>
        <item x="92"/>
        <item x="93"/>
        <item x="94"/>
        <item m="1" x="289"/>
        <item m="1" x="290"/>
        <item x="95"/>
        <item x="96"/>
        <item m="1" x="329"/>
        <item x="97"/>
        <item x="98"/>
        <item m="1" x="434"/>
        <item x="99"/>
        <item m="1" x="330"/>
        <item x="100"/>
        <item x="101"/>
        <item m="1" x="331"/>
        <item x="102"/>
        <item x="103"/>
        <item x="104"/>
        <item x="105"/>
        <item x="106"/>
        <item x="107"/>
        <item m="1" x="332"/>
        <item x="108"/>
        <item x="109"/>
        <item x="110"/>
        <item x="111"/>
        <item x="112"/>
        <item x="113"/>
        <item m="1" x="400"/>
        <item x="114"/>
        <item x="115"/>
        <item m="1" x="333"/>
        <item x="116"/>
        <item x="117"/>
        <item m="1" x="540"/>
        <item m="1" x="512"/>
        <item m="1" x="485"/>
        <item m="1" x="497"/>
        <item x="118"/>
        <item x="119"/>
        <item m="1" x="334"/>
        <item x="120"/>
        <item m="1" x="335"/>
        <item m="1" x="443"/>
        <item x="121"/>
        <item m="1" x="464"/>
        <item x="122"/>
        <item x="123"/>
        <item x="124"/>
        <item m="1" x="465"/>
        <item x="125"/>
        <item x="126"/>
        <item x="127"/>
        <item m="1" x="431"/>
        <item x="128"/>
        <item m="1" x="336"/>
        <item m="1" x="510"/>
        <item x="129"/>
        <item m="1" x="337"/>
        <item m="1" x="291"/>
        <item x="130"/>
        <item x="131"/>
        <item x="132"/>
        <item x="133"/>
        <item m="1" x="292"/>
        <item m="1" x="401"/>
        <item x="134"/>
        <item x="135"/>
        <item x="136"/>
        <item x="137"/>
        <item m="1" x="480"/>
        <item x="138"/>
        <item m="1" x="338"/>
        <item x="139"/>
        <item m="1" x="339"/>
        <item m="1" x="466"/>
        <item x="140"/>
        <item x="141"/>
        <item m="1" x="445"/>
        <item m="1" x="435"/>
        <item m="1" x="436"/>
        <item m="1" x="437"/>
        <item m="1" x="438"/>
        <item x="142"/>
        <item m="1" x="419"/>
        <item x="143"/>
        <item m="1" x="420"/>
        <item x="144"/>
        <item x="145"/>
        <item x="146"/>
        <item m="1" x="340"/>
        <item x="147"/>
        <item m="1" x="439"/>
        <item x="148"/>
        <item m="1" x="341"/>
        <item x="149"/>
        <item x="150"/>
        <item m="1" x="342"/>
        <item x="151"/>
        <item m="1" x="343"/>
        <item x="152"/>
        <item x="153"/>
        <item x="154"/>
        <item x="155"/>
        <item x="156"/>
        <item x="157"/>
        <item x="158"/>
        <item x="159"/>
        <item x="160"/>
        <item m="1" x="425"/>
        <item x="161"/>
        <item m="1" x="277"/>
        <item m="1" x="295"/>
        <item x="162"/>
        <item x="163"/>
        <item m="1" x="344"/>
        <item m="1" x="490"/>
        <item m="1" x="345"/>
        <item x="164"/>
        <item x="165"/>
        <item m="1" x="467"/>
        <item x="166"/>
        <item x="167"/>
        <item m="1" x="402"/>
        <item x="168"/>
        <item m="1" x="524"/>
        <item m="1" x="468"/>
        <item x="169"/>
        <item x="170"/>
        <item x="171"/>
        <item m="1" x="346"/>
        <item x="172"/>
        <item x="173"/>
        <item m="1" x="403"/>
        <item x="174"/>
        <item x="175"/>
        <item m="1" x="473"/>
        <item x="176"/>
        <item m="1" x="347"/>
        <item x="177"/>
        <item m="1" x="348"/>
        <item x="178"/>
        <item m="1" x="293"/>
        <item m="1" x="349"/>
        <item m="1" x="350"/>
        <item x="179"/>
        <item x="180"/>
        <item m="1" x="493"/>
        <item x="181"/>
        <item x="182"/>
        <item m="1" x="35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352"/>
        <item x="196"/>
        <item m="1" x="353"/>
        <item m="1" x="354"/>
        <item m="1" x="472"/>
        <item x="197"/>
        <item x="198"/>
        <item m="1" x="355"/>
        <item m="1" x="356"/>
        <item m="1" x="537"/>
        <item m="1" x="535"/>
        <item m="1" x="404"/>
        <item m="1" x="405"/>
        <item m="1" x="357"/>
        <item m="1" x="358"/>
        <item m="1" x="359"/>
        <item m="1" x="394"/>
        <item x="199"/>
        <item x="200"/>
        <item m="1" x="477"/>
        <item m="1" x="513"/>
        <item m="1" x="500"/>
        <item m="1" x="530"/>
        <item m="1" x="481"/>
        <item x="201"/>
        <item x="202"/>
        <item x="203"/>
        <item x="204"/>
        <item x="205"/>
        <item m="1" x="544"/>
        <item x="206"/>
        <item x="207"/>
        <item x="208"/>
        <item m="1" x="278"/>
        <item m="1" x="279"/>
        <item x="209"/>
        <item x="210"/>
        <item x="211"/>
        <item m="1" x="406"/>
        <item m="1" x="522"/>
        <item m="1" x="407"/>
        <item m="1" x="280"/>
        <item m="1" x="469"/>
        <item m="1" x="422"/>
        <item m="1" x="548"/>
        <item m="1" x="281"/>
        <item x="212"/>
        <item x="213"/>
        <item x="214"/>
        <item m="1" x="517"/>
        <item x="215"/>
        <item x="216"/>
        <item x="217"/>
        <item m="1" x="282"/>
        <item m="1" x="551"/>
        <item x="218"/>
        <item m="1" x="360"/>
        <item m="1" x="361"/>
        <item m="1" x="391"/>
        <item m="1" x="414"/>
        <item x="219"/>
        <item x="220"/>
        <item m="1" x="362"/>
        <item x="221"/>
        <item x="222"/>
        <item x="223"/>
        <item m="1" x="363"/>
        <item x="224"/>
        <item m="1" x="364"/>
        <item m="1" x="504"/>
        <item x="225"/>
        <item m="1" x="365"/>
        <item m="1" x="366"/>
        <item m="1" x="521"/>
        <item x="226"/>
        <item x="227"/>
        <item m="1" x="433"/>
        <item m="1" x="430"/>
        <item m="1" x="450"/>
        <item x="228"/>
        <item m="1" x="367"/>
        <item x="229"/>
        <item x="230"/>
        <item m="1" x="452"/>
        <item x="231"/>
        <item x="232"/>
        <item m="1" x="476"/>
        <item x="233"/>
        <item x="234"/>
        <item m="1" x="557"/>
        <item x="235"/>
        <item x="236"/>
        <item x="237"/>
        <item x="238"/>
        <item m="1" x="423"/>
        <item m="1" x="453"/>
        <item m="1" x="294"/>
        <item m="1" x="446"/>
        <item x="239"/>
        <item m="1" x="553"/>
        <item x="240"/>
        <item m="1" x="488"/>
        <item m="1" x="501"/>
        <item m="1" x="536"/>
        <item m="1" x="484"/>
        <item m="1" x="556"/>
        <item m="1" x="515"/>
        <item m="1" x="516"/>
        <item m="1" x="552"/>
        <item m="1" x="545"/>
        <item m="1" x="507"/>
        <item m="1" x="483"/>
        <item m="1" x="525"/>
        <item m="1" x="509"/>
        <item m="1" x="478"/>
        <item m="1" x="499"/>
        <item m="1" x="532"/>
        <item m="1" x="503"/>
        <item m="1" x="547"/>
        <item m="1" x="508"/>
        <item m="1" x="560"/>
        <item m="1" x="511"/>
        <item m="1" x="561"/>
        <item m="1" x="531"/>
        <item m="1" x="505"/>
        <item m="1" x="523"/>
        <item m="1" x="491"/>
        <item m="1" x="489"/>
        <item m="1" x="498"/>
        <item m="1" x="546"/>
        <item m="1" x="542"/>
        <item m="1" x="549"/>
        <item m="1" x="506"/>
        <item x="241"/>
        <item m="1" x="368"/>
        <item m="1" x="486"/>
        <item x="242"/>
        <item m="1" x="395"/>
        <item x="243"/>
        <item m="1" x="369"/>
        <item x="244"/>
        <item m="1" x="470"/>
        <item m="1" x="370"/>
        <item m="1" x="408"/>
        <item m="1" x="371"/>
        <item x="245"/>
        <item x="246"/>
        <item m="1" x="283"/>
        <item x="247"/>
        <item x="248"/>
        <item m="1" x="372"/>
        <item m="1" x="432"/>
        <item x="249"/>
        <item m="1" x="541"/>
        <item m="1" x="427"/>
        <item m="1" x="373"/>
        <item x="250"/>
        <item m="1" x="374"/>
        <item x="251"/>
        <item x="252"/>
        <item m="1" x="375"/>
        <item m="1" x="415"/>
        <item m="1" x="424"/>
        <item m="1" x="376"/>
        <item x="253"/>
        <item m="1" x="377"/>
        <item x="254"/>
        <item x="255"/>
        <item x="256"/>
        <item x="257"/>
        <item m="1" x="378"/>
        <item x="258"/>
        <item x="259"/>
        <item x="260"/>
        <item m="1" x="379"/>
        <item x="261"/>
        <item x="262"/>
        <item m="1" x="380"/>
        <item x="263"/>
        <item x="264"/>
        <item m="1" x="381"/>
        <item x="265"/>
        <item x="266"/>
        <item m="1" x="382"/>
        <item m="1" x="297"/>
        <item m="1" x="383"/>
        <item m="1" x="454"/>
        <item m="1" x="471"/>
        <item m="1" x="384"/>
        <item x="267"/>
        <item x="268"/>
        <item m="1" x="385"/>
        <item m="1" x="386"/>
        <item x="269"/>
        <item m="1" x="520"/>
        <item m="1" x="387"/>
        <item m="1" x="388"/>
        <item x="270"/>
        <item x="271"/>
        <item x="272"/>
        <item x="273"/>
        <item m="1" x="449"/>
        <item t="default"/>
      </items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dataField="1" showAll="0"/>
    <pivotField dataField="1" numFmtId="10" showAll="0"/>
    <pivotField showAll="0"/>
    <pivotField showAll="0"/>
    <pivotField showAll="0"/>
  </pivotFields>
  <rowFields count="1">
    <field x="0"/>
  </rowFields>
  <rowItems count="275">
    <i>
      <x v="2"/>
    </i>
    <i>
      <x v="4"/>
    </i>
    <i>
      <x v="7"/>
    </i>
    <i>
      <x v="13"/>
    </i>
    <i>
      <x v="16"/>
    </i>
    <i>
      <x v="17"/>
    </i>
    <i>
      <x v="22"/>
    </i>
    <i>
      <x v="23"/>
    </i>
    <i>
      <x v="24"/>
    </i>
    <i>
      <x v="29"/>
    </i>
    <i>
      <x v="31"/>
    </i>
    <i>
      <x v="33"/>
    </i>
    <i>
      <x v="35"/>
    </i>
    <i>
      <x v="36"/>
    </i>
    <i>
      <x v="39"/>
    </i>
    <i>
      <x v="46"/>
    </i>
    <i>
      <x v="47"/>
    </i>
    <i>
      <x v="51"/>
    </i>
    <i>
      <x v="52"/>
    </i>
    <i>
      <x v="53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1"/>
    </i>
    <i>
      <x v="73"/>
    </i>
    <i>
      <x v="75"/>
    </i>
    <i>
      <x v="76"/>
    </i>
    <i>
      <x v="79"/>
    </i>
    <i>
      <x v="80"/>
    </i>
    <i>
      <x v="81"/>
    </i>
    <i>
      <x v="82"/>
    </i>
    <i>
      <x v="95"/>
    </i>
    <i>
      <x v="100"/>
    </i>
    <i>
      <x v="102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20"/>
    </i>
    <i>
      <x v="121"/>
    </i>
    <i>
      <x v="124"/>
    </i>
    <i>
      <x v="125"/>
    </i>
    <i>
      <x v="128"/>
    </i>
    <i>
      <x v="129"/>
    </i>
    <i>
      <x v="130"/>
    </i>
    <i>
      <x v="131"/>
    </i>
    <i>
      <x v="136"/>
    </i>
    <i>
      <x v="137"/>
    </i>
    <i>
      <x v="145"/>
    </i>
    <i>
      <x v="146"/>
    </i>
    <i>
      <x v="147"/>
    </i>
    <i>
      <x v="148"/>
    </i>
    <i>
      <x v="150"/>
    </i>
    <i>
      <x v="151"/>
    </i>
    <i>
      <x v="153"/>
    </i>
    <i>
      <x v="154"/>
    </i>
    <i>
      <x v="157"/>
    </i>
    <i>
      <x v="160"/>
    </i>
    <i>
      <x v="161"/>
    </i>
    <i>
      <x v="162"/>
    </i>
    <i>
      <x v="168"/>
    </i>
    <i>
      <x v="170"/>
    </i>
    <i>
      <x v="172"/>
    </i>
    <i>
      <x v="173"/>
    </i>
    <i>
      <x v="175"/>
    </i>
    <i>
      <x v="178"/>
    </i>
    <i>
      <x v="179"/>
    </i>
    <i>
      <x v="183"/>
    </i>
    <i>
      <x v="184"/>
    </i>
    <i>
      <x v="186"/>
    </i>
    <i>
      <x v="187"/>
    </i>
    <i>
      <x v="189"/>
    </i>
    <i>
      <x v="190"/>
    </i>
    <i>
      <x v="191"/>
    </i>
    <i>
      <x v="192"/>
    </i>
    <i>
      <x v="193"/>
    </i>
    <i>
      <x v="195"/>
    </i>
    <i>
      <x v="197"/>
    </i>
    <i>
      <x v="198"/>
    </i>
    <i>
      <x v="199"/>
    </i>
    <i>
      <x v="202"/>
    </i>
    <i>
      <x v="203"/>
    </i>
    <i>
      <x v="205"/>
    </i>
    <i>
      <x v="206"/>
    </i>
    <i>
      <x v="208"/>
    </i>
    <i>
      <x v="210"/>
    </i>
    <i>
      <x v="211"/>
    </i>
    <i>
      <x v="213"/>
    </i>
    <i>
      <x v="214"/>
    </i>
    <i>
      <x v="215"/>
    </i>
    <i>
      <x v="216"/>
    </i>
    <i>
      <x v="217"/>
    </i>
    <i>
      <x v="218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30"/>
    </i>
    <i>
      <x v="231"/>
    </i>
    <i>
      <x v="236"/>
    </i>
    <i>
      <x v="237"/>
    </i>
    <i>
      <x v="239"/>
    </i>
    <i>
      <x v="242"/>
    </i>
    <i>
      <x v="244"/>
    </i>
    <i>
      <x v="245"/>
    </i>
    <i>
      <x v="246"/>
    </i>
    <i>
      <x v="248"/>
    </i>
    <i>
      <x v="249"/>
    </i>
    <i>
      <x v="250"/>
    </i>
    <i>
      <x v="252"/>
    </i>
    <i>
      <x v="255"/>
    </i>
    <i>
      <x v="258"/>
    </i>
    <i>
      <x v="259"/>
    </i>
    <i>
      <x v="260"/>
    </i>
    <i>
      <x v="261"/>
    </i>
    <i>
      <x v="264"/>
    </i>
    <i>
      <x v="265"/>
    </i>
    <i>
      <x v="266"/>
    </i>
    <i>
      <x v="267"/>
    </i>
    <i>
      <x v="269"/>
    </i>
    <i>
      <x v="271"/>
    </i>
    <i>
      <x v="274"/>
    </i>
    <i>
      <x v="275"/>
    </i>
    <i>
      <x v="281"/>
    </i>
    <i>
      <x v="283"/>
    </i>
    <i>
      <x v="285"/>
    </i>
    <i>
      <x v="286"/>
    </i>
    <i>
      <x v="287"/>
    </i>
    <i>
      <x v="289"/>
    </i>
    <i>
      <x v="291"/>
    </i>
    <i>
      <x v="293"/>
    </i>
    <i>
      <x v="294"/>
    </i>
    <i>
      <x v="296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11"/>
    </i>
    <i>
      <x v="312"/>
    </i>
    <i>
      <x v="316"/>
    </i>
    <i>
      <x v="317"/>
    </i>
    <i>
      <x v="319"/>
    </i>
    <i>
      <x v="320"/>
    </i>
    <i>
      <x v="322"/>
    </i>
    <i>
      <x v="325"/>
    </i>
    <i>
      <x v="326"/>
    </i>
    <i>
      <x v="327"/>
    </i>
    <i>
      <x v="329"/>
    </i>
    <i>
      <x v="330"/>
    </i>
    <i>
      <x v="332"/>
    </i>
    <i>
      <x v="333"/>
    </i>
    <i>
      <x v="335"/>
    </i>
    <i>
      <x v="337"/>
    </i>
    <i>
      <x v="339"/>
    </i>
    <i>
      <x v="343"/>
    </i>
    <i>
      <x v="344"/>
    </i>
    <i>
      <x v="346"/>
    </i>
    <i>
      <x v="347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3"/>
    </i>
    <i>
      <x v="367"/>
    </i>
    <i>
      <x v="368"/>
    </i>
    <i>
      <x v="379"/>
    </i>
    <i>
      <x v="380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399"/>
    </i>
    <i>
      <x v="408"/>
    </i>
    <i>
      <x v="409"/>
    </i>
    <i>
      <x v="410"/>
    </i>
    <i>
      <x v="412"/>
    </i>
    <i>
      <x v="413"/>
    </i>
    <i>
      <x v="414"/>
    </i>
    <i>
      <x v="417"/>
    </i>
    <i>
      <x v="422"/>
    </i>
    <i>
      <x v="423"/>
    </i>
    <i>
      <x v="425"/>
    </i>
    <i>
      <x v="426"/>
    </i>
    <i>
      <x v="427"/>
    </i>
    <i>
      <x v="429"/>
    </i>
    <i>
      <x v="432"/>
    </i>
    <i>
      <x v="436"/>
    </i>
    <i>
      <x v="437"/>
    </i>
    <i>
      <x v="441"/>
    </i>
    <i>
      <x v="443"/>
    </i>
    <i>
      <x v="444"/>
    </i>
    <i>
      <x v="446"/>
    </i>
    <i>
      <x v="447"/>
    </i>
    <i>
      <x v="449"/>
    </i>
    <i>
      <x v="450"/>
    </i>
    <i>
      <x v="452"/>
    </i>
    <i>
      <x v="453"/>
    </i>
    <i>
      <x v="454"/>
    </i>
    <i>
      <x v="455"/>
    </i>
    <i>
      <x v="460"/>
    </i>
    <i>
      <x v="462"/>
    </i>
    <i>
      <x v="495"/>
    </i>
    <i>
      <x v="498"/>
    </i>
    <i>
      <x v="500"/>
    </i>
    <i>
      <x v="502"/>
    </i>
    <i>
      <x v="507"/>
    </i>
    <i>
      <x v="508"/>
    </i>
    <i>
      <x v="510"/>
    </i>
    <i>
      <x v="511"/>
    </i>
    <i>
      <x v="514"/>
    </i>
    <i>
      <x v="518"/>
    </i>
    <i>
      <x v="520"/>
    </i>
    <i>
      <x v="521"/>
    </i>
    <i>
      <x v="526"/>
    </i>
    <i>
      <x v="528"/>
    </i>
    <i>
      <x v="529"/>
    </i>
    <i>
      <x v="530"/>
    </i>
    <i>
      <x v="531"/>
    </i>
    <i>
      <x v="533"/>
    </i>
    <i>
      <x v="534"/>
    </i>
    <i>
      <x v="535"/>
    </i>
    <i>
      <x v="537"/>
    </i>
    <i>
      <x v="538"/>
    </i>
    <i>
      <x v="540"/>
    </i>
    <i>
      <x v="541"/>
    </i>
    <i>
      <x v="543"/>
    </i>
    <i>
      <x v="544"/>
    </i>
    <i>
      <x v="551"/>
    </i>
    <i>
      <x v="552"/>
    </i>
    <i>
      <x v="555"/>
    </i>
    <i>
      <x v="559"/>
    </i>
    <i>
      <x v="560"/>
    </i>
    <i>
      <x v="561"/>
    </i>
    <i>
      <x v="56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Máx. de TETO_COMERCIAL_%" fld="19" subtotal="max" baseField="0" baseItem="2"/>
    <dataField name="Máx. de PRAZO" fld="5" subtotal="max" baseField="1" baseItem="7"/>
    <dataField name="Mín. de TAXA" fld="4" subtotal="min" baseField="1" baseItem="7" numFmtId="10"/>
    <dataField name="Máx. de minport_%" fld="18" subtotal="max" baseField="0" baseItem="2" numFmtId="10"/>
  </dataFields>
  <formats count="31">
    <format dxfId="115">
      <pivotArea type="all" dataOnly="0" outline="0" fieldPosition="0"/>
    </format>
    <format dxfId="114">
      <pivotArea outline="0" collapsedLevelsAreSubtotals="1" fieldPosition="0"/>
    </format>
    <format dxfId="1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2">
      <pivotArea dataOnly="0" labelOnly="1" fieldPosition="0">
        <references count="1">
          <reference field="0" count="50">
            <x v="0"/>
            <x v="3"/>
            <x v="15"/>
            <x v="28"/>
            <x v="36"/>
            <x v="47"/>
            <x v="49"/>
            <x v="50"/>
            <x v="53"/>
            <x v="55"/>
            <x v="61"/>
            <x v="70"/>
            <x v="71"/>
            <x v="73"/>
            <x v="74"/>
            <x v="79"/>
            <x v="83"/>
            <x v="89"/>
            <x v="92"/>
            <x v="95"/>
            <x v="103"/>
            <x v="104"/>
            <x v="111"/>
            <x v="155"/>
            <x v="158"/>
            <x v="162"/>
            <x v="163"/>
            <x v="179"/>
            <x v="180"/>
            <x v="197"/>
            <x v="216"/>
            <x v="231"/>
            <x v="254"/>
            <x v="265"/>
            <x v="267"/>
            <x v="269"/>
            <x v="274"/>
            <x v="277"/>
            <x v="285"/>
            <x v="290"/>
            <x v="304"/>
            <x v="314"/>
            <x v="326"/>
            <x v="333"/>
            <x v="334"/>
            <x v="375"/>
            <x v="382"/>
            <x v="419"/>
            <x v="447"/>
            <x v="464"/>
          </reference>
        </references>
      </pivotArea>
    </format>
    <format dxfId="111">
      <pivotArea dataOnly="0" labelOnly="1" fieldPosition="0">
        <references count="1">
          <reference field="0" count="7">
            <x v="466"/>
            <x v="479"/>
            <x v="519"/>
            <x v="522"/>
            <x v="532"/>
            <x v="543"/>
            <x v="561"/>
          </reference>
        </references>
      </pivotArea>
    </format>
    <format dxfId="110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0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8">
      <pivotArea dataOnly="0" labelOnly="1" fieldPosition="0">
        <references count="1">
          <reference field="0" count="50">
            <x v="0"/>
            <x v="3"/>
            <x v="15"/>
            <x v="27"/>
            <x v="36"/>
            <x v="47"/>
            <x v="49"/>
            <x v="50"/>
            <x v="53"/>
            <x v="55"/>
            <x v="61"/>
            <x v="70"/>
            <x v="71"/>
            <x v="73"/>
            <x v="74"/>
            <x v="79"/>
            <x v="83"/>
            <x v="89"/>
            <x v="92"/>
            <x v="95"/>
            <x v="103"/>
            <x v="104"/>
            <x v="111"/>
            <x v="155"/>
            <x v="158"/>
            <x v="162"/>
            <x v="163"/>
            <x v="179"/>
            <x v="180"/>
            <x v="189"/>
            <x v="197"/>
            <x v="206"/>
            <x v="216"/>
            <x v="221"/>
            <x v="249"/>
            <x v="254"/>
            <x v="265"/>
            <x v="267"/>
            <x v="269"/>
            <x v="274"/>
            <x v="277"/>
            <x v="285"/>
            <x v="290"/>
            <x v="302"/>
            <x v="303"/>
            <x v="304"/>
            <x v="314"/>
            <x v="319"/>
            <x v="326"/>
            <x v="333"/>
          </reference>
        </references>
      </pivotArea>
    </format>
    <format dxfId="107">
      <pivotArea dataOnly="0" labelOnly="1" fieldPosition="0">
        <references count="1">
          <reference field="0" count="20">
            <x v="334"/>
            <x v="375"/>
            <x v="376"/>
            <x v="382"/>
            <x v="419"/>
            <x v="430"/>
            <x v="447"/>
            <x v="452"/>
            <x v="464"/>
            <x v="465"/>
            <x v="466"/>
            <x v="489"/>
            <x v="490"/>
            <x v="499"/>
            <x v="519"/>
            <x v="522"/>
            <x v="532"/>
            <x v="533"/>
            <x v="543"/>
            <x v="561"/>
          </reference>
        </references>
      </pivotArea>
    </format>
    <format dxfId="106">
      <pivotArea field="0" type="button" dataOnly="0" labelOnly="1" outline="0" axis="axisRow" fieldPosition="0"/>
    </format>
    <format dxfId="105">
      <pivotArea dataOnly="0" labelOnly="1" fieldPosition="0">
        <references count="1">
          <reference field="0" count="50">
            <x v="0"/>
            <x v="3"/>
            <x v="15"/>
            <x v="27"/>
            <x v="36"/>
            <x v="47"/>
            <x v="49"/>
            <x v="50"/>
            <x v="53"/>
            <x v="55"/>
            <x v="61"/>
            <x v="70"/>
            <x v="71"/>
            <x v="73"/>
            <x v="74"/>
            <x v="79"/>
            <x v="83"/>
            <x v="89"/>
            <x v="92"/>
            <x v="95"/>
            <x v="103"/>
            <x v="104"/>
            <x v="111"/>
            <x v="155"/>
            <x v="158"/>
            <x v="162"/>
            <x v="163"/>
            <x v="179"/>
            <x v="180"/>
            <x v="197"/>
            <x v="216"/>
            <x v="221"/>
            <x v="238"/>
            <x v="249"/>
            <x v="254"/>
            <x v="265"/>
            <x v="267"/>
            <x v="269"/>
            <x v="274"/>
            <x v="277"/>
            <x v="285"/>
            <x v="290"/>
            <x v="302"/>
            <x v="303"/>
            <x v="304"/>
            <x v="314"/>
            <x v="326"/>
            <x v="333"/>
            <x v="334"/>
            <x v="375"/>
          </reference>
        </references>
      </pivotArea>
    </format>
    <format dxfId="104">
      <pivotArea dataOnly="0" labelOnly="1" fieldPosition="0">
        <references count="1">
          <reference field="0" count="18">
            <x v="376"/>
            <x v="382"/>
            <x v="419"/>
            <x v="451"/>
            <x v="452"/>
            <x v="458"/>
            <x v="464"/>
            <x v="465"/>
            <x v="466"/>
            <x v="489"/>
            <x v="490"/>
            <x v="499"/>
            <x v="519"/>
            <x v="522"/>
            <x v="532"/>
            <x v="533"/>
            <x v="543"/>
            <x v="561"/>
          </reference>
        </references>
      </pivotArea>
    </format>
    <format dxfId="103">
      <pivotArea dataOnly="0" labelOnly="1" grandRow="1" outline="0" fieldPosition="0"/>
    </format>
    <format dxfId="102">
      <pivotArea type="all" dataOnly="0" outline="0" fieldPosition="0"/>
    </format>
    <format dxfId="101">
      <pivotArea outline="0" collapsedLevelsAreSubtotals="1" fieldPosition="0"/>
    </format>
    <format dxfId="100">
      <pivotArea field="0" type="button" dataOnly="0" labelOnly="1" outline="0" axis="axisRow" fieldPosition="0"/>
    </format>
    <format dxfId="99">
      <pivotArea dataOnly="0" labelOnly="1" fieldPosition="0">
        <references count="1">
          <reference field="0" count="50">
            <x v="0"/>
            <x v="2"/>
            <x v="4"/>
            <x v="5"/>
            <x v="11"/>
            <x v="15"/>
            <x v="19"/>
            <x v="20"/>
            <x v="23"/>
            <x v="28"/>
            <x v="32"/>
            <x v="36"/>
            <x v="44"/>
            <x v="48"/>
            <x v="49"/>
            <x v="51"/>
            <x v="53"/>
            <x v="55"/>
            <x v="56"/>
            <x v="62"/>
            <x v="68"/>
            <x v="70"/>
            <x v="73"/>
            <x v="75"/>
            <x v="76"/>
            <x v="78"/>
            <x v="79"/>
            <x v="83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49"/>
            <x v="152"/>
            <x v="155"/>
            <x v="156"/>
            <x v="158"/>
            <x v="159"/>
            <x v="161"/>
            <x v="162"/>
            <x v="163"/>
          </reference>
        </references>
      </pivotArea>
    </format>
    <format dxfId="98">
      <pivotArea dataOnly="0" labelOnly="1" fieldPosition="0">
        <references count="1">
          <reference field="0" count="50">
            <x v="165"/>
            <x v="169"/>
            <x v="170"/>
            <x v="174"/>
            <x v="179"/>
            <x v="180"/>
            <x v="182"/>
            <x v="185"/>
            <x v="188"/>
            <x v="189"/>
            <x v="190"/>
            <x v="192"/>
            <x v="194"/>
            <x v="196"/>
            <x v="197"/>
            <x v="198"/>
            <x v="200"/>
            <x v="203"/>
            <x v="206"/>
            <x v="211"/>
            <x v="212"/>
            <x v="216"/>
            <x v="220"/>
            <x v="221"/>
            <x v="222"/>
            <x v="223"/>
            <x v="224"/>
            <x v="225"/>
            <x v="227"/>
            <x v="229"/>
            <x v="230"/>
            <x v="231"/>
            <x v="234"/>
            <x v="235"/>
            <x v="236"/>
            <x v="238"/>
            <x v="243"/>
            <x v="245"/>
            <x v="246"/>
            <x v="247"/>
            <x v="249"/>
            <x v="250"/>
            <x v="251"/>
            <x v="259"/>
            <x v="260"/>
            <x v="265"/>
            <x v="266"/>
            <x v="267"/>
            <x v="268"/>
            <x v="270"/>
          </reference>
        </references>
      </pivotArea>
    </format>
    <format dxfId="97">
      <pivotArea dataOnly="0" labelOnly="1" fieldPosition="0">
        <references count="1">
          <reference field="0" count="50">
            <x v="272"/>
            <x v="273"/>
            <x v="274"/>
            <x v="275"/>
            <x v="276"/>
            <x v="285"/>
            <x v="289"/>
            <x v="290"/>
            <x v="292"/>
            <x v="296"/>
            <x v="297"/>
            <x v="302"/>
            <x v="303"/>
            <x v="304"/>
            <x v="305"/>
            <x v="306"/>
            <x v="312"/>
            <x v="318"/>
            <x v="319"/>
            <x v="321"/>
            <x v="323"/>
            <x v="324"/>
            <x v="326"/>
            <x v="328"/>
            <x v="331"/>
            <x v="333"/>
            <x v="334"/>
            <x v="339"/>
            <x v="346"/>
            <x v="348"/>
            <x v="350"/>
            <x v="352"/>
            <x v="353"/>
            <x v="356"/>
            <x v="357"/>
            <x v="358"/>
            <x v="359"/>
            <x v="361"/>
            <x v="363"/>
            <x v="364"/>
            <x v="365"/>
            <x v="369"/>
            <x v="370"/>
            <x v="373"/>
            <x v="375"/>
            <x v="376"/>
            <x v="377"/>
            <x v="380"/>
            <x v="386"/>
            <x v="387"/>
          </reference>
        </references>
      </pivotArea>
    </format>
    <format dxfId="96">
      <pivotArea dataOnly="0" labelOnly="1" fieldPosition="0">
        <references count="1">
          <reference field="0" count="50">
            <x v="388"/>
            <x v="390"/>
            <x v="400"/>
            <x v="404"/>
            <x v="405"/>
            <x v="406"/>
            <x v="410"/>
            <x v="413"/>
            <x v="415"/>
            <x v="418"/>
            <x v="419"/>
            <x v="422"/>
            <x v="423"/>
            <x v="426"/>
            <x v="430"/>
            <x v="433"/>
            <x v="434"/>
            <x v="437"/>
            <x v="439"/>
            <x v="444"/>
            <x v="446"/>
            <x v="447"/>
            <x v="448"/>
            <x v="450"/>
            <x v="452"/>
            <x v="453"/>
            <x v="456"/>
            <x v="457"/>
            <x v="458"/>
            <x v="459"/>
            <x v="461"/>
            <x v="496"/>
            <x v="497"/>
            <x v="498"/>
            <x v="499"/>
            <x v="503"/>
            <x v="504"/>
            <x v="519"/>
            <x v="520"/>
            <x v="522"/>
            <x v="532"/>
            <x v="533"/>
            <x v="536"/>
            <x v="537"/>
            <x v="539"/>
            <x v="542"/>
            <x v="543"/>
            <x v="547"/>
            <x v="548"/>
            <x v="549"/>
          </reference>
        </references>
      </pivotArea>
    </format>
    <format dxfId="95">
      <pivotArea dataOnly="0" labelOnly="1" fieldPosition="0">
        <references count="1">
          <reference field="0" count="5">
            <x v="550"/>
            <x v="557"/>
            <x v="558"/>
            <x v="561"/>
            <x v="563"/>
          </reference>
        </references>
      </pivotArea>
    </format>
    <format dxfId="94">
      <pivotArea dataOnly="0" labelOnly="1" grandRow="1" outline="0" fieldPosition="0"/>
    </format>
    <format dxfId="9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92">
      <pivotArea collapsedLevelsAreSubtotals="1" fieldPosition="0">
        <references count="1">
          <reference field="0" count="19"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</reference>
        </references>
      </pivotArea>
    </format>
    <format dxfId="91">
      <pivotArea dataOnly="0" labelOnly="1" fieldPosition="0">
        <references count="1">
          <reference field="0" count="19"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</reference>
        </references>
      </pivotArea>
    </format>
    <format dxfId="90">
      <pivotArea collapsedLevelsAreSubtotals="1" fieldPosition="0">
        <references count="1">
          <reference field="0" count="31">
            <x v="73"/>
            <x v="75"/>
            <x v="76"/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  <x v="156"/>
            <x v="158"/>
            <x v="159"/>
            <x v="161"/>
            <x v="162"/>
            <x v="165"/>
            <x v="169"/>
            <x v="170"/>
            <x v="171"/>
          </reference>
        </references>
      </pivotArea>
    </format>
    <format dxfId="89">
      <pivotArea dataOnly="0" labelOnly="1" fieldPosition="0">
        <references count="1">
          <reference field="0" count="31">
            <x v="73"/>
            <x v="75"/>
            <x v="76"/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  <x v="156"/>
            <x v="158"/>
            <x v="159"/>
            <x v="161"/>
            <x v="162"/>
            <x v="165"/>
            <x v="169"/>
            <x v="170"/>
            <x v="171"/>
          </reference>
        </references>
      </pivotArea>
    </format>
    <format dxfId="88">
      <pivotArea collapsedLevelsAreSubtotals="1" fieldPosition="0">
        <references count="1">
          <reference field="0" count="26">
            <x v="68"/>
            <x v="70"/>
            <x v="71"/>
            <x v="73"/>
            <x v="75"/>
            <x v="76"/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  <x v="156"/>
          </reference>
        </references>
      </pivotArea>
    </format>
    <format dxfId="87">
      <pivotArea dataOnly="0" labelOnly="1" fieldPosition="0">
        <references count="1">
          <reference field="0" count="26">
            <x v="68"/>
            <x v="70"/>
            <x v="71"/>
            <x v="73"/>
            <x v="75"/>
            <x v="76"/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  <x v="156"/>
          </reference>
        </references>
      </pivotArea>
    </format>
    <format dxfId="86">
      <pivotArea collapsedLevelsAreSubtotals="1" fieldPosition="0">
        <references count="1">
          <reference field="0" count="28">
            <x v="62"/>
            <x v="68"/>
            <x v="70"/>
            <x v="71"/>
            <x v="73"/>
            <x v="75"/>
            <x v="76"/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  <x v="156"/>
            <x v="158"/>
          </reference>
        </references>
      </pivotArea>
    </format>
    <format dxfId="85">
      <pivotArea collapsedLevelsAreSubtotals="1" fieldPosition="0">
        <references count="1">
          <reference field="0" count="26">
            <x v="68"/>
            <x v="70"/>
            <x v="71"/>
            <x v="73"/>
            <x v="75"/>
            <x v="76"/>
            <x v="78"/>
            <x v="79"/>
            <x v="83"/>
            <x v="84"/>
            <x v="89"/>
            <x v="92"/>
            <x v="95"/>
            <x v="98"/>
            <x v="109"/>
            <x v="110"/>
            <x v="111"/>
            <x v="118"/>
            <x v="120"/>
            <x v="123"/>
            <x v="126"/>
            <x v="134"/>
            <x v="140"/>
            <x v="152"/>
            <x v="155"/>
            <x v="15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B8ECEC-F809-4E1D-B158-3974FAABE66C}" name="Tabela dinâmica1" cacheId="141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CM1:CN275" firstHeaderRow="1" firstDataRow="1" firstDataCol="1"/>
  <pivotFields count="23">
    <pivotField axis="axisRow" showAll="0" sortType="ascending">
      <items count="565">
        <item m="1" x="529"/>
        <item m="1" x="479"/>
        <item x="0"/>
        <item m="1" x="550"/>
        <item x="1"/>
        <item m="1" x="455"/>
        <item m="1" x="456"/>
        <item x="2"/>
        <item m="1" x="299"/>
        <item m="1" x="457"/>
        <item m="1" x="458"/>
        <item m="1" x="459"/>
        <item m="1" x="460"/>
        <item x="3"/>
        <item m="1" x="495"/>
        <item m="1" x="300"/>
        <item x="4"/>
        <item x="5"/>
        <item m="1" x="274"/>
        <item m="1" x="496"/>
        <item m="1" x="461"/>
        <item m="1" x="492"/>
        <item x="6"/>
        <item x="7"/>
        <item x="8"/>
        <item m="1" x="554"/>
        <item m="1" x="301"/>
        <item m="1" x="558"/>
        <item m="1" x="534"/>
        <item x="9"/>
        <item m="1" x="302"/>
        <item x="10"/>
        <item m="1" x="303"/>
        <item x="11"/>
        <item m="1" x="304"/>
        <item x="12"/>
        <item x="13"/>
        <item m="1" x="409"/>
        <item m="1" x="562"/>
        <item x="14"/>
        <item m="1" x="487"/>
        <item m="1" x="396"/>
        <item m="1" x="421"/>
        <item m="1" x="528"/>
        <item m="1" x="533"/>
        <item m="1" x="305"/>
        <item x="15"/>
        <item x="16"/>
        <item m="1" x="306"/>
        <item m="1" x="284"/>
        <item m="1" x="494"/>
        <item x="17"/>
        <item x="18"/>
        <item x="19"/>
        <item m="1" x="296"/>
        <item m="1" x="275"/>
        <item m="1" x="276"/>
        <item x="20"/>
        <item x="21"/>
        <item x="22"/>
        <item x="23"/>
        <item m="1" x="538"/>
        <item x="24"/>
        <item x="25"/>
        <item x="26"/>
        <item x="27"/>
        <item x="28"/>
        <item x="29"/>
        <item x="30"/>
        <item x="31"/>
        <item m="1" x="389"/>
        <item x="32"/>
        <item m="1" x="527"/>
        <item x="33"/>
        <item m="1" x="543"/>
        <item x="34"/>
        <item x="35"/>
        <item m="1" x="448"/>
        <item m="1" x="298"/>
        <item x="36"/>
        <item x="37"/>
        <item x="38"/>
        <item x="39"/>
        <item m="1" x="426"/>
        <item m="1" x="526"/>
        <item m="1" x="474"/>
        <item m="1" x="392"/>
        <item m="1" x="559"/>
        <item m="1" x="410"/>
        <item m="1" x="285"/>
        <item m="1" x="416"/>
        <item m="1" x="286"/>
        <item m="1" x="287"/>
        <item m="1" x="417"/>
        <item m="1" x="444"/>
        <item x="40"/>
        <item m="1" x="418"/>
        <item m="1" x="411"/>
        <item m="1" x="288"/>
        <item m="1" x="412"/>
        <item x="41"/>
        <item m="1" x="390"/>
        <item x="42"/>
        <item m="1" x="518"/>
        <item m="1" x="519"/>
        <item m="1" x="307"/>
        <item m="1" x="308"/>
        <item m="1" x="442"/>
        <item x="43"/>
        <item m="1" x="440"/>
        <item x="44"/>
        <item x="45"/>
        <item x="46"/>
        <item x="47"/>
        <item x="48"/>
        <item x="49"/>
        <item x="50"/>
        <item x="51"/>
        <item x="52"/>
        <item m="1" x="309"/>
        <item x="53"/>
        <item x="54"/>
        <item m="1" x="539"/>
        <item m="1" x="462"/>
        <item x="55"/>
        <item x="56"/>
        <item m="1" x="310"/>
        <item m="1" x="311"/>
        <item x="57"/>
        <item x="58"/>
        <item x="59"/>
        <item x="60"/>
        <item m="1" x="393"/>
        <item m="1" x="502"/>
        <item m="1" x="397"/>
        <item m="1" x="312"/>
        <item x="61"/>
        <item x="62"/>
        <item m="1" x="313"/>
        <item m="1" x="555"/>
        <item m="1" x="314"/>
        <item m="1" x="447"/>
        <item m="1" x="315"/>
        <item m="1" x="316"/>
        <item m="1" x="317"/>
        <item x="63"/>
        <item x="64"/>
        <item x="65"/>
        <item x="66"/>
        <item m="1" x="563"/>
        <item x="67"/>
        <item x="68"/>
        <item m="1" x="318"/>
        <item x="69"/>
        <item x="70"/>
        <item m="1" x="319"/>
        <item m="1" x="398"/>
        <item x="71"/>
        <item m="1" x="320"/>
        <item m="1" x="321"/>
        <item x="72"/>
        <item x="73"/>
        <item x="74"/>
        <item m="1" x="482"/>
        <item m="1" x="514"/>
        <item m="1" x="322"/>
        <item m="1" x="475"/>
        <item m="1" x="413"/>
        <item x="75"/>
        <item m="1" x="441"/>
        <item x="76"/>
        <item m="1" x="451"/>
        <item x="77"/>
        <item x="78"/>
        <item m="1" x="323"/>
        <item x="79"/>
        <item m="1" x="428"/>
        <item m="1" x="324"/>
        <item x="80"/>
        <item x="81"/>
        <item m="1" x="325"/>
        <item m="1" x="429"/>
        <item m="1" x="326"/>
        <item x="82"/>
        <item x="83"/>
        <item m="1" x="327"/>
        <item x="84"/>
        <item x="85"/>
        <item m="1" x="399"/>
        <item x="86"/>
        <item x="87"/>
        <item x="88"/>
        <item x="89"/>
        <item x="90"/>
        <item m="1" x="463"/>
        <item x="91"/>
        <item m="1" x="328"/>
        <item x="92"/>
        <item x="93"/>
        <item x="94"/>
        <item m="1" x="289"/>
        <item m="1" x="290"/>
        <item x="95"/>
        <item x="96"/>
        <item m="1" x="329"/>
        <item x="97"/>
        <item x="98"/>
        <item m="1" x="434"/>
        <item x="99"/>
        <item m="1" x="330"/>
        <item x="100"/>
        <item x="101"/>
        <item m="1" x="331"/>
        <item x="102"/>
        <item x="103"/>
        <item x="104"/>
        <item x="105"/>
        <item x="106"/>
        <item x="107"/>
        <item m="1" x="332"/>
        <item x="108"/>
        <item x="109"/>
        <item x="110"/>
        <item x="111"/>
        <item x="112"/>
        <item x="113"/>
        <item m="1" x="400"/>
        <item x="114"/>
        <item x="115"/>
        <item m="1" x="333"/>
        <item x="116"/>
        <item x="117"/>
        <item m="1" x="540"/>
        <item m="1" x="512"/>
        <item m="1" x="485"/>
        <item m="1" x="497"/>
        <item x="118"/>
        <item x="119"/>
        <item m="1" x="334"/>
        <item x="120"/>
        <item m="1" x="335"/>
        <item m="1" x="443"/>
        <item x="121"/>
        <item m="1" x="464"/>
        <item x="122"/>
        <item x="123"/>
        <item x="124"/>
        <item m="1" x="465"/>
        <item x="125"/>
        <item x="126"/>
        <item x="127"/>
        <item m="1" x="431"/>
        <item x="128"/>
        <item m="1" x="336"/>
        <item m="1" x="510"/>
        <item x="129"/>
        <item m="1" x="337"/>
        <item m="1" x="291"/>
        <item x="130"/>
        <item x="131"/>
        <item x="132"/>
        <item x="133"/>
        <item m="1" x="292"/>
        <item m="1" x="401"/>
        <item x="134"/>
        <item x="135"/>
        <item x="136"/>
        <item x="137"/>
        <item m="1" x="480"/>
        <item x="138"/>
        <item m="1" x="338"/>
        <item x="139"/>
        <item m="1" x="339"/>
        <item m="1" x="466"/>
        <item x="140"/>
        <item x="141"/>
        <item m="1" x="445"/>
        <item m="1" x="435"/>
        <item m="1" x="436"/>
        <item m="1" x="437"/>
        <item m="1" x="438"/>
        <item x="142"/>
        <item m="1" x="419"/>
        <item x="143"/>
        <item m="1" x="420"/>
        <item x="144"/>
        <item x="145"/>
        <item x="146"/>
        <item m="1" x="340"/>
        <item x="147"/>
        <item m="1" x="439"/>
        <item x="148"/>
        <item m="1" x="341"/>
        <item x="149"/>
        <item x="150"/>
        <item m="1" x="342"/>
        <item x="151"/>
        <item m="1" x="343"/>
        <item x="152"/>
        <item x="153"/>
        <item x="154"/>
        <item x="155"/>
        <item x="156"/>
        <item x="157"/>
        <item x="158"/>
        <item x="159"/>
        <item x="160"/>
        <item m="1" x="425"/>
        <item x="161"/>
        <item m="1" x="277"/>
        <item m="1" x="295"/>
        <item x="162"/>
        <item x="163"/>
        <item m="1" x="344"/>
        <item m="1" x="490"/>
        <item m="1" x="345"/>
        <item x="164"/>
        <item x="165"/>
        <item m="1" x="467"/>
        <item x="166"/>
        <item x="167"/>
        <item m="1" x="402"/>
        <item x="168"/>
        <item m="1" x="524"/>
        <item m="1" x="468"/>
        <item x="169"/>
        <item x="170"/>
        <item x="171"/>
        <item m="1" x="346"/>
        <item x="172"/>
        <item x="173"/>
        <item m="1" x="403"/>
        <item x="174"/>
        <item x="175"/>
        <item m="1" x="473"/>
        <item x="176"/>
        <item m="1" x="347"/>
        <item x="177"/>
        <item m="1" x="348"/>
        <item x="178"/>
        <item m="1" x="293"/>
        <item m="1" x="349"/>
        <item m="1" x="350"/>
        <item x="179"/>
        <item x="180"/>
        <item m="1" x="493"/>
        <item x="181"/>
        <item x="182"/>
        <item m="1" x="35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352"/>
        <item x="196"/>
        <item m="1" x="353"/>
        <item m="1" x="354"/>
        <item m="1" x="472"/>
        <item x="197"/>
        <item x="198"/>
        <item m="1" x="355"/>
        <item m="1" x="356"/>
        <item m="1" x="537"/>
        <item m="1" x="535"/>
        <item m="1" x="404"/>
        <item m="1" x="405"/>
        <item m="1" x="357"/>
        <item m="1" x="358"/>
        <item m="1" x="359"/>
        <item m="1" x="394"/>
        <item x="199"/>
        <item x="200"/>
        <item m="1" x="477"/>
        <item m="1" x="513"/>
        <item m="1" x="500"/>
        <item m="1" x="530"/>
        <item m="1" x="481"/>
        <item x="201"/>
        <item x="202"/>
        <item x="203"/>
        <item x="204"/>
        <item x="205"/>
        <item m="1" x="544"/>
        <item x="206"/>
        <item x="207"/>
        <item x="208"/>
        <item m="1" x="278"/>
        <item m="1" x="279"/>
        <item x="209"/>
        <item x="210"/>
        <item x="211"/>
        <item m="1" x="406"/>
        <item m="1" x="522"/>
        <item m="1" x="407"/>
        <item m="1" x="280"/>
        <item m="1" x="469"/>
        <item m="1" x="422"/>
        <item m="1" x="548"/>
        <item m="1" x="281"/>
        <item x="212"/>
        <item x="213"/>
        <item x="214"/>
        <item m="1" x="517"/>
        <item x="215"/>
        <item x="216"/>
        <item x="217"/>
        <item m="1" x="282"/>
        <item m="1" x="551"/>
        <item x="218"/>
        <item m="1" x="360"/>
        <item m="1" x="361"/>
        <item m="1" x="391"/>
        <item m="1" x="414"/>
        <item x="219"/>
        <item x="220"/>
        <item m="1" x="362"/>
        <item x="221"/>
        <item x="222"/>
        <item x="223"/>
        <item m="1" x="363"/>
        <item x="224"/>
        <item m="1" x="364"/>
        <item m="1" x="504"/>
        <item x="225"/>
        <item m="1" x="365"/>
        <item m="1" x="366"/>
        <item m="1" x="521"/>
        <item x="226"/>
        <item x="227"/>
        <item m="1" x="433"/>
        <item m="1" x="430"/>
        <item m="1" x="450"/>
        <item x="228"/>
        <item m="1" x="367"/>
        <item x="229"/>
        <item x="230"/>
        <item m="1" x="452"/>
        <item x="231"/>
        <item x="232"/>
        <item m="1" x="476"/>
        <item x="233"/>
        <item x="234"/>
        <item m="1" x="557"/>
        <item x="235"/>
        <item x="236"/>
        <item x="237"/>
        <item x="238"/>
        <item m="1" x="423"/>
        <item m="1" x="453"/>
        <item m="1" x="294"/>
        <item m="1" x="446"/>
        <item x="239"/>
        <item m="1" x="553"/>
        <item x="240"/>
        <item m="1" x="488"/>
        <item m="1" x="501"/>
        <item m="1" x="536"/>
        <item m="1" x="484"/>
        <item m="1" x="556"/>
        <item m="1" x="515"/>
        <item m="1" x="516"/>
        <item m="1" x="552"/>
        <item m="1" x="545"/>
        <item m="1" x="507"/>
        <item m="1" x="483"/>
        <item m="1" x="525"/>
        <item m="1" x="509"/>
        <item m="1" x="478"/>
        <item m="1" x="499"/>
        <item m="1" x="532"/>
        <item m="1" x="503"/>
        <item m="1" x="547"/>
        <item m="1" x="508"/>
        <item m="1" x="560"/>
        <item m="1" x="511"/>
        <item m="1" x="561"/>
        <item m="1" x="531"/>
        <item m="1" x="505"/>
        <item m="1" x="523"/>
        <item m="1" x="491"/>
        <item m="1" x="489"/>
        <item m="1" x="498"/>
        <item m="1" x="546"/>
        <item m="1" x="542"/>
        <item m="1" x="549"/>
        <item m="1" x="506"/>
        <item x="241"/>
        <item m="1" x="368"/>
        <item m="1" x="486"/>
        <item x="242"/>
        <item m="1" x="395"/>
        <item x="243"/>
        <item m="1" x="369"/>
        <item x="244"/>
        <item m="1" x="470"/>
        <item m="1" x="370"/>
        <item m="1" x="408"/>
        <item m="1" x="371"/>
        <item x="245"/>
        <item x="246"/>
        <item m="1" x="283"/>
        <item x="247"/>
        <item x="248"/>
        <item m="1" x="372"/>
        <item m="1" x="432"/>
        <item x="249"/>
        <item m="1" x="541"/>
        <item m="1" x="427"/>
        <item m="1" x="373"/>
        <item x="250"/>
        <item m="1" x="374"/>
        <item x="251"/>
        <item x="252"/>
        <item m="1" x="375"/>
        <item m="1" x="415"/>
        <item m="1" x="424"/>
        <item m="1" x="376"/>
        <item x="253"/>
        <item m="1" x="377"/>
        <item x="254"/>
        <item x="255"/>
        <item x="256"/>
        <item x="257"/>
        <item m="1" x="378"/>
        <item x="258"/>
        <item x="259"/>
        <item x="260"/>
        <item m="1" x="379"/>
        <item x="261"/>
        <item x="262"/>
        <item m="1" x="380"/>
        <item x="263"/>
        <item x="264"/>
        <item m="1" x="381"/>
        <item x="265"/>
        <item x="266"/>
        <item m="1" x="382"/>
        <item m="1" x="297"/>
        <item m="1" x="383"/>
        <item m="1" x="454"/>
        <item m="1" x="471"/>
        <item m="1" x="384"/>
        <item x="267"/>
        <item x="268"/>
        <item m="1" x="385"/>
        <item m="1" x="386"/>
        <item x="269"/>
        <item m="1" x="520"/>
        <item m="1" x="387"/>
        <item m="1" x="388"/>
        <item x="270"/>
        <item x="271"/>
        <item x="272"/>
        <item x="273"/>
        <item m="1" x="44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numFmtId="22" showAll="0"/>
    <pivotField showAll="0"/>
    <pivotField showAll="0"/>
    <pivotField showAll="0"/>
    <pivotField showAll="0"/>
    <pivotField numFmtId="10" showAll="0"/>
    <pivotField showAll="0"/>
    <pivotField showAll="0"/>
    <pivotField showAll="0"/>
  </pivotFields>
  <rowFields count="1">
    <field x="0"/>
  </rowFields>
  <rowItems count="274">
    <i>
      <x v="2"/>
    </i>
    <i>
      <x v="4"/>
    </i>
    <i>
      <x v="7"/>
    </i>
    <i>
      <x v="13"/>
    </i>
    <i>
      <x v="16"/>
    </i>
    <i>
      <x v="17"/>
    </i>
    <i>
      <x v="22"/>
    </i>
    <i>
      <x v="23"/>
    </i>
    <i>
      <x v="24"/>
    </i>
    <i>
      <x v="29"/>
    </i>
    <i>
      <x v="31"/>
    </i>
    <i>
      <x v="33"/>
    </i>
    <i>
      <x v="35"/>
    </i>
    <i>
      <x v="36"/>
    </i>
    <i>
      <x v="39"/>
    </i>
    <i>
      <x v="46"/>
    </i>
    <i>
      <x v="47"/>
    </i>
    <i>
      <x v="51"/>
    </i>
    <i>
      <x v="52"/>
    </i>
    <i>
      <x v="53"/>
    </i>
    <i>
      <x v="57"/>
    </i>
    <i>
      <x v="58"/>
    </i>
    <i>
      <x v="59"/>
    </i>
    <i>
      <x v="60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1"/>
    </i>
    <i>
      <x v="73"/>
    </i>
    <i>
      <x v="75"/>
    </i>
    <i>
      <x v="76"/>
    </i>
    <i>
      <x v="79"/>
    </i>
    <i>
      <x v="80"/>
    </i>
    <i>
      <x v="81"/>
    </i>
    <i>
      <x v="82"/>
    </i>
    <i>
      <x v="95"/>
    </i>
    <i>
      <x v="100"/>
    </i>
    <i>
      <x v="102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20"/>
    </i>
    <i>
      <x v="121"/>
    </i>
    <i>
      <x v="124"/>
    </i>
    <i>
      <x v="125"/>
    </i>
    <i>
      <x v="128"/>
    </i>
    <i>
      <x v="129"/>
    </i>
    <i>
      <x v="130"/>
    </i>
    <i>
      <x v="131"/>
    </i>
    <i>
      <x v="136"/>
    </i>
    <i>
      <x v="137"/>
    </i>
    <i>
      <x v="145"/>
    </i>
    <i>
      <x v="146"/>
    </i>
    <i>
      <x v="147"/>
    </i>
    <i>
      <x v="148"/>
    </i>
    <i>
      <x v="150"/>
    </i>
    <i>
      <x v="151"/>
    </i>
    <i>
      <x v="153"/>
    </i>
    <i>
      <x v="154"/>
    </i>
    <i>
      <x v="157"/>
    </i>
    <i>
      <x v="160"/>
    </i>
    <i>
      <x v="161"/>
    </i>
    <i>
      <x v="162"/>
    </i>
    <i>
      <x v="168"/>
    </i>
    <i>
      <x v="170"/>
    </i>
    <i>
      <x v="172"/>
    </i>
    <i>
      <x v="173"/>
    </i>
    <i>
      <x v="175"/>
    </i>
    <i>
      <x v="178"/>
    </i>
    <i>
      <x v="179"/>
    </i>
    <i>
      <x v="183"/>
    </i>
    <i>
      <x v="184"/>
    </i>
    <i>
      <x v="186"/>
    </i>
    <i>
      <x v="187"/>
    </i>
    <i>
      <x v="189"/>
    </i>
    <i>
      <x v="190"/>
    </i>
    <i>
      <x v="191"/>
    </i>
    <i>
      <x v="192"/>
    </i>
    <i>
      <x v="193"/>
    </i>
    <i>
      <x v="195"/>
    </i>
    <i>
      <x v="197"/>
    </i>
    <i>
      <x v="198"/>
    </i>
    <i>
      <x v="199"/>
    </i>
    <i>
      <x v="202"/>
    </i>
    <i>
      <x v="203"/>
    </i>
    <i>
      <x v="205"/>
    </i>
    <i>
      <x v="206"/>
    </i>
    <i>
      <x v="208"/>
    </i>
    <i>
      <x v="210"/>
    </i>
    <i>
      <x v="211"/>
    </i>
    <i>
      <x v="213"/>
    </i>
    <i>
      <x v="214"/>
    </i>
    <i>
      <x v="215"/>
    </i>
    <i>
      <x v="216"/>
    </i>
    <i>
      <x v="217"/>
    </i>
    <i>
      <x v="218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30"/>
    </i>
    <i>
      <x v="231"/>
    </i>
    <i>
      <x v="236"/>
    </i>
    <i>
      <x v="237"/>
    </i>
    <i>
      <x v="239"/>
    </i>
    <i>
      <x v="242"/>
    </i>
    <i>
      <x v="244"/>
    </i>
    <i>
      <x v="245"/>
    </i>
    <i>
      <x v="246"/>
    </i>
    <i>
      <x v="248"/>
    </i>
    <i>
      <x v="249"/>
    </i>
    <i>
      <x v="250"/>
    </i>
    <i>
      <x v="252"/>
    </i>
    <i>
      <x v="255"/>
    </i>
    <i>
      <x v="258"/>
    </i>
    <i>
      <x v="259"/>
    </i>
    <i>
      <x v="260"/>
    </i>
    <i>
      <x v="261"/>
    </i>
    <i>
      <x v="264"/>
    </i>
    <i>
      <x v="265"/>
    </i>
    <i>
      <x v="266"/>
    </i>
    <i>
      <x v="267"/>
    </i>
    <i>
      <x v="269"/>
    </i>
    <i>
      <x v="271"/>
    </i>
    <i>
      <x v="274"/>
    </i>
    <i>
      <x v="275"/>
    </i>
    <i>
      <x v="281"/>
    </i>
    <i>
      <x v="283"/>
    </i>
    <i>
      <x v="285"/>
    </i>
    <i>
      <x v="286"/>
    </i>
    <i>
      <x v="287"/>
    </i>
    <i>
      <x v="289"/>
    </i>
    <i>
      <x v="291"/>
    </i>
    <i>
      <x v="293"/>
    </i>
    <i>
      <x v="294"/>
    </i>
    <i>
      <x v="296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11"/>
    </i>
    <i>
      <x v="312"/>
    </i>
    <i>
      <x v="316"/>
    </i>
    <i>
      <x v="317"/>
    </i>
    <i>
      <x v="319"/>
    </i>
    <i>
      <x v="320"/>
    </i>
    <i>
      <x v="322"/>
    </i>
    <i>
      <x v="325"/>
    </i>
    <i>
      <x v="326"/>
    </i>
    <i>
      <x v="327"/>
    </i>
    <i>
      <x v="329"/>
    </i>
    <i>
      <x v="330"/>
    </i>
    <i>
      <x v="332"/>
    </i>
    <i>
      <x v="333"/>
    </i>
    <i>
      <x v="335"/>
    </i>
    <i>
      <x v="337"/>
    </i>
    <i>
      <x v="339"/>
    </i>
    <i>
      <x v="343"/>
    </i>
    <i>
      <x v="344"/>
    </i>
    <i>
      <x v="346"/>
    </i>
    <i>
      <x v="347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3"/>
    </i>
    <i>
      <x v="367"/>
    </i>
    <i>
      <x v="368"/>
    </i>
    <i>
      <x v="379"/>
    </i>
    <i>
      <x v="380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399"/>
    </i>
    <i>
      <x v="408"/>
    </i>
    <i>
      <x v="409"/>
    </i>
    <i>
      <x v="410"/>
    </i>
    <i>
      <x v="412"/>
    </i>
    <i>
      <x v="413"/>
    </i>
    <i>
      <x v="414"/>
    </i>
    <i>
      <x v="417"/>
    </i>
    <i>
      <x v="422"/>
    </i>
    <i>
      <x v="423"/>
    </i>
    <i>
      <x v="425"/>
    </i>
    <i>
      <x v="426"/>
    </i>
    <i>
      <x v="427"/>
    </i>
    <i>
      <x v="429"/>
    </i>
    <i>
      <x v="432"/>
    </i>
    <i>
      <x v="436"/>
    </i>
    <i>
      <x v="437"/>
    </i>
    <i>
      <x v="441"/>
    </i>
    <i>
      <x v="443"/>
    </i>
    <i>
      <x v="444"/>
    </i>
    <i>
      <x v="446"/>
    </i>
    <i>
      <x v="447"/>
    </i>
    <i>
      <x v="449"/>
    </i>
    <i>
      <x v="450"/>
    </i>
    <i>
      <x v="452"/>
    </i>
    <i>
      <x v="453"/>
    </i>
    <i>
      <x v="454"/>
    </i>
    <i>
      <x v="455"/>
    </i>
    <i>
      <x v="460"/>
    </i>
    <i>
      <x v="462"/>
    </i>
    <i>
      <x v="495"/>
    </i>
    <i>
      <x v="498"/>
    </i>
    <i>
      <x v="500"/>
    </i>
    <i>
      <x v="502"/>
    </i>
    <i>
      <x v="507"/>
    </i>
    <i>
      <x v="508"/>
    </i>
    <i>
      <x v="510"/>
    </i>
    <i>
      <x v="511"/>
    </i>
    <i>
      <x v="514"/>
    </i>
    <i>
      <x v="518"/>
    </i>
    <i>
      <x v="520"/>
    </i>
    <i>
      <x v="521"/>
    </i>
    <i>
      <x v="526"/>
    </i>
    <i>
      <x v="528"/>
    </i>
    <i>
      <x v="529"/>
    </i>
    <i>
      <x v="530"/>
    </i>
    <i>
      <x v="531"/>
    </i>
    <i>
      <x v="533"/>
    </i>
    <i>
      <x v="534"/>
    </i>
    <i>
      <x v="535"/>
    </i>
    <i>
      <x v="537"/>
    </i>
    <i>
      <x v="538"/>
    </i>
    <i>
      <x v="540"/>
    </i>
    <i>
      <x v="541"/>
    </i>
    <i>
      <x v="543"/>
    </i>
    <i>
      <x v="544"/>
    </i>
    <i>
      <x v="551"/>
    </i>
    <i>
      <x v="552"/>
    </i>
    <i>
      <x v="555"/>
    </i>
    <i>
      <x v="559"/>
    </i>
    <i>
      <x v="560"/>
    </i>
    <i>
      <x v="561"/>
    </i>
    <i>
      <x v="562"/>
    </i>
  </rowItems>
  <colItems count="1">
    <i/>
  </colItems>
  <dataFields count="1">
    <dataField name="Média de CARENCIA_FINAL" fld="9" subtotal="average" baseField="0" baseItem="3"/>
  </dataFields>
  <formats count="15">
    <format dxfId="144">
      <pivotArea type="all" dataOnly="0" outline="0" fieldPosition="0"/>
    </format>
    <format dxfId="143">
      <pivotArea dataOnly="0" labelOnly="1" fieldPosition="0">
        <references count="1">
          <reference field="0" count="50">
            <x v="0"/>
            <x v="3"/>
            <x v="15"/>
            <x v="28"/>
            <x v="36"/>
            <x v="47"/>
            <x v="49"/>
            <x v="50"/>
            <x v="53"/>
            <x v="55"/>
            <x v="61"/>
            <x v="70"/>
            <x v="71"/>
            <x v="73"/>
            <x v="74"/>
            <x v="79"/>
            <x v="83"/>
            <x v="89"/>
            <x v="92"/>
            <x v="95"/>
            <x v="103"/>
            <x v="104"/>
            <x v="111"/>
            <x v="155"/>
            <x v="158"/>
            <x v="162"/>
            <x v="163"/>
            <x v="179"/>
            <x v="180"/>
            <x v="197"/>
            <x v="216"/>
            <x v="221"/>
            <x v="231"/>
            <x v="254"/>
            <x v="265"/>
            <x v="267"/>
            <x v="269"/>
            <x v="274"/>
            <x v="277"/>
            <x v="285"/>
            <x v="290"/>
            <x v="304"/>
            <x v="314"/>
            <x v="326"/>
            <x v="333"/>
            <x v="334"/>
            <x v="375"/>
            <x v="382"/>
            <x v="411"/>
            <x v="415"/>
          </reference>
        </references>
      </pivotArea>
    </format>
    <format dxfId="142">
      <pivotArea dataOnly="0" labelOnly="1" fieldPosition="0">
        <references count="1">
          <reference field="0" count="11">
            <x v="419"/>
            <x v="447"/>
            <x v="463"/>
            <x v="464"/>
            <x v="466"/>
            <x v="479"/>
            <x v="519"/>
            <x v="522"/>
            <x v="532"/>
            <x v="543"/>
            <x v="561"/>
          </reference>
        </references>
      </pivotArea>
    </format>
    <format dxfId="141">
      <pivotArea collapsedLevelsAreSubtotals="1" fieldPosition="0">
        <references count="1">
          <reference field="0" count="1">
            <x v="36"/>
          </reference>
        </references>
      </pivotArea>
    </format>
    <format dxfId="140">
      <pivotArea dataOnly="0" labelOnly="1" fieldPosition="0">
        <references count="1">
          <reference field="0" count="1">
            <x v="36"/>
          </reference>
        </references>
      </pivotArea>
    </format>
    <format dxfId="139">
      <pivotArea type="all" dataOnly="0" outline="0" fieldPosition="0"/>
    </format>
    <format dxfId="138">
      <pivotArea outline="0" collapsedLevelsAreSubtotals="1" fieldPosition="0"/>
    </format>
    <format dxfId="137">
      <pivotArea field="0" type="button" dataOnly="0" labelOnly="1" outline="0" axis="axisRow" fieldPosition="0"/>
    </format>
    <format dxfId="136">
      <pivotArea dataOnly="0" labelOnly="1" fieldPosition="0">
        <references count="1">
          <reference field="0" count="50">
            <x v="2"/>
            <x v="4"/>
            <x v="7"/>
            <x v="13"/>
            <x v="16"/>
            <x v="18"/>
            <x v="22"/>
            <x v="24"/>
            <x v="29"/>
            <x v="31"/>
            <x v="33"/>
            <x v="35"/>
            <x v="36"/>
            <x v="39"/>
            <x v="46"/>
            <x v="47"/>
            <x v="49"/>
            <x v="51"/>
            <x v="52"/>
            <x v="54"/>
            <x v="55"/>
            <x v="56"/>
            <x v="62"/>
            <x v="63"/>
            <x v="64"/>
            <x v="65"/>
            <x v="66"/>
            <x v="67"/>
            <x v="68"/>
            <x v="71"/>
            <x v="73"/>
            <x v="75"/>
            <x v="76"/>
            <x v="78"/>
            <x v="79"/>
            <x v="80"/>
            <x v="81"/>
            <x v="82"/>
            <x v="95"/>
            <x v="100"/>
            <x v="102"/>
            <x v="108"/>
            <x v="110"/>
            <x v="111"/>
            <x v="112"/>
            <x v="113"/>
            <x v="114"/>
            <x v="115"/>
            <x v="116"/>
            <x v="117"/>
          </reference>
        </references>
      </pivotArea>
    </format>
    <format dxfId="135">
      <pivotArea dataOnly="0" labelOnly="1" fieldPosition="0">
        <references count="1">
          <reference field="0" count="50">
            <x v="118"/>
            <x v="120"/>
            <x v="124"/>
            <x v="125"/>
            <x v="128"/>
            <x v="129"/>
            <x v="130"/>
            <x v="131"/>
            <x v="136"/>
            <x v="137"/>
            <x v="145"/>
            <x v="146"/>
            <x v="147"/>
            <x v="148"/>
            <x v="150"/>
            <x v="153"/>
            <x v="154"/>
            <x v="160"/>
            <x v="161"/>
            <x v="162"/>
            <x v="168"/>
            <x v="170"/>
            <x v="172"/>
            <x v="173"/>
            <x v="175"/>
            <x v="178"/>
            <x v="179"/>
            <x v="184"/>
            <x v="186"/>
            <x v="187"/>
            <x v="189"/>
            <x v="190"/>
            <x v="191"/>
            <x v="192"/>
            <x v="193"/>
            <x v="195"/>
            <x v="197"/>
            <x v="198"/>
            <x v="200"/>
            <x v="201"/>
            <x v="202"/>
            <x v="203"/>
            <x v="205"/>
            <x v="206"/>
            <x v="208"/>
            <x v="210"/>
            <x v="211"/>
            <x v="213"/>
            <x v="214"/>
            <x v="215"/>
          </reference>
        </references>
      </pivotArea>
    </format>
    <format dxfId="134">
      <pivotArea dataOnly="0" labelOnly="1" fieldPosition="0">
        <references count="1">
          <reference field="0" count="50">
            <x v="216"/>
            <x v="217"/>
            <x v="218"/>
            <x v="220"/>
            <x v="221"/>
            <x v="222"/>
            <x v="223"/>
            <x v="224"/>
            <x v="225"/>
            <x v="227"/>
            <x v="228"/>
            <x v="230"/>
            <x v="231"/>
            <x v="236"/>
            <x v="237"/>
            <x v="239"/>
            <x v="242"/>
            <x v="244"/>
            <x v="245"/>
            <x v="246"/>
            <x v="248"/>
            <x v="249"/>
            <x v="250"/>
            <x v="252"/>
            <x v="255"/>
            <x v="257"/>
            <x v="259"/>
            <x v="260"/>
            <x v="261"/>
            <x v="264"/>
            <x v="265"/>
            <x v="266"/>
            <x v="267"/>
            <x v="269"/>
            <x v="271"/>
            <x v="274"/>
            <x v="275"/>
            <x v="281"/>
            <x v="283"/>
            <x v="285"/>
            <x v="286"/>
            <x v="287"/>
            <x v="289"/>
            <x v="291"/>
            <x v="293"/>
            <x v="294"/>
            <x v="296"/>
            <x v="298"/>
            <x v="299"/>
            <x v="300"/>
          </reference>
        </references>
      </pivotArea>
    </format>
    <format dxfId="133">
      <pivotArea dataOnly="0" labelOnly="1" fieldPosition="0">
        <references count="1">
          <reference field="0" count="50">
            <x v="301"/>
            <x v="302"/>
            <x v="303"/>
            <x v="304"/>
            <x v="305"/>
            <x v="306"/>
            <x v="312"/>
            <x v="316"/>
            <x v="317"/>
            <x v="319"/>
            <x v="322"/>
            <x v="325"/>
            <x v="326"/>
            <x v="327"/>
            <x v="329"/>
            <x v="330"/>
            <x v="332"/>
            <x v="333"/>
            <x v="335"/>
            <x v="337"/>
            <x v="340"/>
            <x v="343"/>
            <x v="344"/>
            <x v="346"/>
            <x v="347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3"/>
            <x v="367"/>
            <x v="368"/>
            <x v="379"/>
            <x v="380"/>
            <x v="386"/>
            <x v="387"/>
            <x v="388"/>
            <x v="389"/>
            <x v="390"/>
            <x v="392"/>
            <x v="395"/>
          </reference>
        </references>
      </pivotArea>
    </format>
    <format dxfId="132">
      <pivotArea dataOnly="0" labelOnly="1" fieldPosition="0">
        <references count="1">
          <reference field="0" count="50">
            <x v="396"/>
            <x v="399"/>
            <x v="407"/>
            <x v="409"/>
            <x v="410"/>
            <x v="412"/>
            <x v="413"/>
            <x v="415"/>
            <x v="417"/>
            <x v="422"/>
            <x v="423"/>
            <x v="425"/>
            <x v="426"/>
            <x v="427"/>
            <x v="429"/>
            <x v="432"/>
            <x v="436"/>
            <x v="437"/>
            <x v="441"/>
            <x v="443"/>
            <x v="444"/>
            <x v="446"/>
            <x v="447"/>
            <x v="449"/>
            <x v="450"/>
            <x v="453"/>
            <x v="454"/>
            <x v="455"/>
            <x v="458"/>
            <x v="462"/>
            <x v="498"/>
            <x v="500"/>
            <x v="502"/>
            <x v="507"/>
            <x v="508"/>
            <x v="509"/>
            <x v="511"/>
            <x v="514"/>
            <x v="518"/>
            <x v="520"/>
            <x v="521"/>
            <x v="526"/>
            <x v="528"/>
            <x v="530"/>
            <x v="531"/>
            <x v="533"/>
            <x v="534"/>
            <x v="535"/>
            <x v="537"/>
            <x v="538"/>
          </reference>
        </references>
      </pivotArea>
    </format>
    <format dxfId="131">
      <pivotArea dataOnly="0" labelOnly="1" fieldPosition="0">
        <references count="1">
          <reference field="0" count="12">
            <x v="540"/>
            <x v="541"/>
            <x v="543"/>
            <x v="544"/>
            <x v="546"/>
            <x v="551"/>
            <x v="552"/>
            <x v="555"/>
            <x v="559"/>
            <x v="560"/>
            <x v="561"/>
            <x v="562"/>
          </reference>
        </references>
      </pivotArea>
    </format>
    <format dxfId="13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350976-5FA9-432C-96FF-C73A6BEAA6A3}" name="Tabela dinâmica1" cacheId="141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 rowHeaderCaption="- Selecione -">
  <location ref="C5:C6" firstHeaderRow="1" firstDataRow="1" firstDataCol="1"/>
  <pivotFields count="2">
    <pivotField axis="axisRow" showAll="0">
      <items count="141">
        <item m="1" x="16"/>
        <item m="1" x="17"/>
        <item m="1" x="18"/>
        <item m="1" x="19"/>
        <item m="1" x="20"/>
        <item m="1" x="21"/>
        <item m="1" x="22"/>
        <item m="1" x="10"/>
        <item m="1" x="1"/>
        <item m="1" x="23"/>
        <item m="1" x="24"/>
        <item m="1" x="25"/>
        <item m="1" x="12"/>
        <item m="1" x="26"/>
        <item m="1" x="27"/>
        <item m="1" x="13"/>
        <item m="1" x="28"/>
        <item m="1" x="2"/>
        <item m="1" x="14"/>
        <item m="1" x="3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"/>
        <item m="1" x="51"/>
        <item m="1" x="6"/>
        <item m="1" x="11"/>
        <item m="1" x="52"/>
        <item m="1" x="7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2"/>
        <item m="1" x="73"/>
        <item m="1" x="74"/>
        <item m="1" x="75"/>
        <item m="1" x="76"/>
        <item m="1" x="77"/>
        <item m="1" x="78"/>
        <item m="1" x="8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2"/>
        <item m="1" x="93"/>
        <item m="1" x="96"/>
        <item m="1" x="97"/>
        <item m="1" x="98"/>
        <item m="1" x="99"/>
        <item m="1" x="100"/>
        <item m="1" x="102"/>
        <item m="1" x="103"/>
        <item m="1" x="104"/>
        <item m="1" x="105"/>
        <item m="1" x="107"/>
        <item m="1" x="108"/>
        <item m="1" x="109"/>
        <item m="1" x="110"/>
        <item m="1" x="111"/>
        <item m="1" x="113"/>
        <item m="1" x="114"/>
        <item m="1" x="116"/>
        <item m="1" x="117"/>
        <item m="1" x="119"/>
        <item m="1" x="120"/>
        <item m="1" x="121"/>
        <item m="1" x="122"/>
        <item m="1" x="123"/>
        <item m="1" x="9"/>
        <item m="1" x="125"/>
        <item m="1" x="126"/>
        <item m="1" x="127"/>
        <item m="1" x="139"/>
        <item m="1" x="129"/>
        <item m="1" x="131"/>
        <item m="1" x="132"/>
        <item m="1" x="133"/>
        <item m="1" x="134"/>
        <item m="1" x="135"/>
        <item m="1" x="136"/>
        <item m="1" x="137"/>
        <item m="1" x="138"/>
        <item m="1" x="70"/>
        <item m="1" x="71"/>
        <item m="1" x="79"/>
        <item m="1" x="94"/>
        <item m="1" x="95"/>
        <item m="1" x="101"/>
        <item m="1" x="106"/>
        <item m="1" x="112"/>
        <item m="1" x="115"/>
        <item m="1" x="124"/>
        <item m="1" x="128"/>
        <item m="1" x="130"/>
        <item m="1" x="91"/>
        <item m="1" x="118"/>
        <item m="1" x="15"/>
        <item x="0"/>
        <item t="default"/>
      </items>
    </pivotField>
    <pivotField showAll="0"/>
  </pivotFields>
  <rowFields count="1">
    <field x="0"/>
  </rowFields>
  <rowItems count="1">
    <i>
      <x v="139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F38002-C497-46CC-BD69-10E9B84BB7C3}" name="Tabela dinâmica2" cacheId="140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E5:F7" firstHeaderRow="1" firstDataRow="1" firstDataCol="1"/>
  <pivotFields count="2">
    <pivotField axis="axisRow" allDrilled="1" subtotalTop="0" showAll="0" dataSourceSort="1" defaultSubtotal="0" defaultAttributeDrillState="1">
      <items count="1">
        <item x="0"/>
      </items>
    </pivotField>
    <pivotField dataField="1" subtotalTop="0" showAll="0" defaultSubtotal="0"/>
  </pivotFields>
  <rowFields count="1">
    <field x="0"/>
  </rowFields>
  <rowItems count="2">
    <i>
      <x/>
    </i>
    <i t="grand">
      <x/>
    </i>
  </rowItems>
  <colItems count="1">
    <i/>
  </colItems>
  <dataFields count="1">
    <dataField name="Contagem Distinta de - Selecione -" fld="1" subtotal="count" baseField="0" baseItem="0">
      <extLst>
        <ext xmlns:x15="http://schemas.microsoft.com/office/spreadsheetml/2010/11/main" uri="{FABC7310-3BB5-11E1-824E-6D434824019B}">
          <x15:dataField isCountDistinct="1"/>
        </ext>
      </extLst>
    </dataField>
  </dataFields>
  <pivotHierarchies count="8"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Contagem Distinta de TABELA"/>
    <pivotHierarchy dragToData="1"/>
    <pivotHierarchy dragToData="1" caption="Contagem Distinta de - Selecione -"/>
  </pivotHierarchies>
  <pivotTableStyleInfo name="PivotStyleLight16" showRowHeaders="1" showColHeaders="1" showRowStripes="0" showColStripes="0" showLastColumn="1"/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YCOVAL-SIMULADORES-V-07112025.xlsx!Consulta3">
        <x15:activeTabTopLevelEntity name="[Consulta3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4" xr16:uid="{2F7C2911-3A7C-4087-959B-05ED3788B1A9}" autoFormatId="16" applyNumberFormats="0" applyBorderFormats="0" applyFontFormats="0" applyPatternFormats="0" applyAlignmentFormats="0" applyWidthHeightFormats="0">
  <queryTableRefresh nextId="6">
    <queryTableFields count="3">
      <queryTableField id="2" name="QTD" tableColumnId="2"/>
      <queryTableField id="1" name="EMPREGADOR" tableColumnId="1"/>
      <queryTableField id="5" name="DATA_ATUALIZACAO_CONDICAO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EA661553-9A0C-4897-BD60-D74D11C7D613}" autoFormatId="16" applyNumberFormats="0" applyBorderFormats="0" applyFontFormats="0" applyPatternFormats="0" applyAlignmentFormats="0" applyWidthHeightFormats="0">
  <queryTableRefresh nextId="28" unboundColumnsRight="5">
    <queryTableFields count="23">
      <queryTableField id="1" name="EMPREGADOR" tableColumnId="11"/>
      <queryTableField id="23" dataBound="0" tableColumnId="21"/>
      <queryTableField id="24" dataBound="0" tableColumnId="22"/>
      <queryTableField id="2" name="TABELA" tableColumnId="2"/>
      <queryTableField id="3" name="TAXA" tableColumnId="3"/>
      <queryTableField id="4" name="PRAZO" tableColumnId="4"/>
      <queryTableField id="5" name="FATOR" tableColumnId="5"/>
      <queryTableField id="6" name="TETO_COMERCIAL" tableColumnId="6"/>
      <queryTableField id="7" name="VCTO" tableColumnId="7"/>
      <queryTableField id="8" name="CARENCIA_FINAL" tableColumnId="8"/>
      <queryTableField id="9" name="PMDESCRPRD" tableColumnId="9"/>
      <queryTableField id="10" name="min_port" tableColumnId="10"/>
      <queryTableField id="14" name="VIRADA" tableColumnId="14"/>
      <queryTableField id="15" name="PMTPPRICE" tableColumnId="15"/>
      <queryTableField id="26" name="TICKE_MINIMO" tableColumnId="16"/>
      <queryTableField id="17" name="MES_ALTERACAO" tableColumnId="17"/>
      <queryTableField id="22" name="PMTPCLC" tableColumnId="20"/>
      <queryTableField id="25" name="PMFXCAR" tableColumnId="23"/>
      <queryTableField id="11" dataBound="0" tableColumnId="12"/>
      <queryTableField id="12" dataBound="0" tableColumnId="1"/>
      <queryTableField id="13" dataBound="0" tableColumnId="13"/>
      <queryTableField id="18" dataBound="0" tableColumnId="18"/>
      <queryTableField id="19" dataBound="0" tableColumnId="1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" xr16:uid="{664589A1-0983-4563-8E0E-53C1D12E991E}" autoFormatId="16" applyNumberFormats="0" applyBorderFormats="0" applyFontFormats="0" applyPatternFormats="0" applyAlignmentFormats="0" applyWidthHeightFormats="0">
  <queryTableRefresh nextId="12" unboundColumnsRight="5">
    <queryTableFields count="11">
      <queryTableField id="1" name="SAFRA" tableColumnId="7"/>
      <queryTableField id="2" name="DIA_UTIL_CORRENTE" tableColumnId="2"/>
      <queryTableField id="3" name="DATA" tableColumnId="3"/>
      <queryTableField id="4" name="DIA_UTIL_MES" tableColumnId="4"/>
      <queryTableField id="5" name="DIA_ÚTIL" tableColumnId="5"/>
      <queryTableField id="6" name="DIA_UTIL_ACUMULADO" tableColumnId="6"/>
      <queryTableField id="7" dataBound="0" tableColumnId="8"/>
      <queryTableField id="8" dataBound="0" tableColumnId="9"/>
      <queryTableField id="9" dataBound="0" tableColumnId="10"/>
      <queryTableField id="10" dataBound="0" tableColumnId="11"/>
      <queryTableField id="11" dataBound="0" tableColumnId="1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3" xr16:uid="{314E21E0-E1C3-4559-9BAA-E562E76410C7}" autoFormatId="16" applyNumberFormats="0" applyBorderFormats="0" applyFontFormats="0" applyPatternFormats="0" applyAlignmentFormats="0" applyWidthHeightFormats="0">
  <queryTableRefresh nextId="7">
    <queryTableFields count="2">
      <queryTableField id="5" name="- Selecione -" tableColumnId="5"/>
      <queryTableField id="2" name="TABELA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4E84B7-C17D-4614-B9BC-C564B19FD2F7}" name="Consulta4" displayName="Consulta4" ref="A1:C12" tableType="queryTable" totalsRowShown="0" headerRowDxfId="84" dataDxfId="82" headerRowBorderDxfId="83" tableBorderDxfId="81" totalsRowBorderDxfId="80">
  <tableColumns count="3">
    <tableColumn id="2" xr3:uid="{DFB04989-9F3C-44CF-8722-24C54725D3B7}" uniqueName="2" name="QTD" queryTableFieldId="2" dataDxfId="14"/>
    <tableColumn id="1" xr3:uid="{AE13DA03-8756-44B9-BE0C-8830D950BFCB}" uniqueName="1" name="EMPREGADOR" queryTableFieldId="1" dataDxfId="13"/>
    <tableColumn id="3" xr3:uid="{A70D8B87-FC0B-45CD-AE91-B563B045A4AC}" uniqueName="3" name="DATA_ATUALIZACAO_CONDICAO" queryTableFieldId="5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C77159-480A-42BE-AF41-988C118A5B14}" name="Consulta1" displayName="Consulta1" ref="A1:W1627" tableType="queryTable" totalsRowShown="0">
  <sortState xmlns:xlrd2="http://schemas.microsoft.com/office/spreadsheetml/2017/richdata2" ref="A2:W1627">
    <sortCondition ref="A1:A714"/>
  </sortState>
  <tableColumns count="23">
    <tableColumn id="11" xr3:uid="{26B3CA2B-8E83-484F-A2B9-A77E078A863D}" uniqueName="11" name="EMPREGADOR" queryTableFieldId="1" dataDxfId="79"/>
    <tableColumn id="21" xr3:uid="{083FD859-28F0-4A24-A2FD-1A1B2B5E0F63}" uniqueName="21" name="chave" queryTableFieldId="23" dataDxfId="78">
      <calculatedColumnFormula>CONCATENATE(Consulta1[[#This Row],[id]],Consulta1[[#This Row],[EMPREGADOR]])</calculatedColumnFormula>
    </tableColumn>
    <tableColumn id="22" xr3:uid="{A875F6FC-B7A2-4795-B209-64FAB0AC0ED6}" uniqueName="22" name="id" queryTableFieldId="24" dataDxfId="7">
      <calculatedColumnFormula>IF(A2=A1,C1+1,1)</calculatedColumnFormula>
    </tableColumn>
    <tableColumn id="2" xr3:uid="{01C518F4-E59B-4B06-B5EF-58C60A309D33}" uniqueName="2" name="TABELA" queryTableFieldId="2" dataDxfId="77"/>
    <tableColumn id="3" xr3:uid="{043614CA-06FD-4E79-A3C6-EDE9AE96519A}" uniqueName="3" name="TAXA" queryTableFieldId="3" dataDxfId="6" dataCellStyle="Porcentagem"/>
    <tableColumn id="4" xr3:uid="{0F7B1BD3-E3FF-4B4E-A3D3-4EE86D79BB02}" uniqueName="4" name="PRAZO" queryTableFieldId="4" dataDxfId="5"/>
    <tableColumn id="5" xr3:uid="{64FF4431-BFDD-4412-A043-B92364E29092}" uniqueName="5" name="FATOR" queryTableFieldId="5" dataDxfId="76"/>
    <tableColumn id="6" xr3:uid="{2F6208B9-88DE-45B0-BD43-AF97ACA39167}" uniqueName="6" name="TETO_COMERCIAL" queryTableFieldId="6" dataDxfId="4" dataCellStyle="Vírgula"/>
    <tableColumn id="7" xr3:uid="{81FA5CB8-B06A-4CD4-BFF5-4ED47E9D89F7}" uniqueName="7" name="VCTO" queryTableFieldId="7"/>
    <tableColumn id="8" xr3:uid="{3C8B52A2-E326-4751-BBF9-CA19A9D6EA1D}" uniqueName="8" name="CARENCIA_FINAL" queryTableFieldId="8"/>
    <tableColumn id="9" xr3:uid="{28D5670E-F657-46A8-8D90-97E09688974A}" uniqueName="9" name="PMDESCRPRD" queryTableFieldId="9" dataDxfId="75"/>
    <tableColumn id="10" xr3:uid="{22576730-FC20-456D-B403-773BFA5E424B}" uniqueName="10" name="min_port" queryTableFieldId="10" dataDxfId="3"/>
    <tableColumn id="14" xr3:uid="{69B1E7A1-191C-404C-8FDE-A76B1D7C8646}" uniqueName="14" name="VIRADA" queryTableFieldId="14" dataDxfId="2"/>
    <tableColumn id="15" xr3:uid="{940ED803-2B66-4916-AFA1-BC0BD6DFEDC3}" uniqueName="15" name="PMTPPRICE" queryTableFieldId="15" dataDxfId="1"/>
    <tableColumn id="16" xr3:uid="{D8822820-6756-4D48-88FA-411CFF55D11C}" uniqueName="16" name="TICKE_MINIMO" queryTableFieldId="26"/>
    <tableColumn id="17" xr3:uid="{0DF54630-914D-40A8-A706-BDA7F264831D}" uniqueName="17" name="MES_ALTERACAO" queryTableFieldId="17"/>
    <tableColumn id="20" xr3:uid="{40D1E495-D8CE-4F51-BA3E-3FF4B6CA9900}" uniqueName="20" name="PMTPCLC" queryTableFieldId="22" dataDxfId="74"/>
    <tableColumn id="23" xr3:uid="{93487B17-AC19-436F-9FD1-B737E68F7900}" uniqueName="23" name="PMFXCAR" queryTableFieldId="25" dataDxfId="73"/>
    <tableColumn id="12" xr3:uid="{B3B57A57-3A71-456E-BD92-0DFB35F59FB9}" uniqueName="12" name="minport_%" queryTableFieldId="11" dataDxfId="72">
      <calculatedColumnFormula>Consulta1[[#This Row],[min_port]]/100</calculatedColumnFormula>
    </tableColumn>
    <tableColumn id="1" xr3:uid="{6CA397D6-62E8-4F6C-B9C7-B65F7F6DCBFD}" uniqueName="1" name="TETO_COMERCIAL_%" queryTableFieldId="12" dataDxfId="0" dataCellStyle="Porcentagem">
      <calculatedColumnFormula>Consulta1[[#This Row],[TETO_COMERCIAL]]/100</calculatedColumnFormula>
    </tableColumn>
    <tableColumn id="13" xr3:uid="{803E5560-3993-48AB-9689-2ECCF2D65643}" uniqueName="13" name="Coluna1" queryTableFieldId="13" dataDxfId="71">
      <calculatedColumnFormula>Consulta1[[#This Row],[TETO_COMERCIAL_%]]=Consulta1[[#This Row],[TAXA]]</calculatedColumnFormula>
    </tableColumn>
    <tableColumn id="18" xr3:uid="{CCF7A11B-D0AF-4866-A2D8-307D1161A9D0}" uniqueName="18" name="Coluna2" queryTableFieldId="18" dataDxfId="70">
      <calculatedColumnFormula>CONCATENATE(Consulta1[[#This Row],[MES_ALTERACAO]],Consulta1[[#This Row],[VIRADA]])</calculatedColumnFormula>
    </tableColumn>
    <tableColumn id="19" xr3:uid="{A50605AE-BF8D-4A6F-A510-4BA98F06D825}" uniqueName="19" name="Coluna3" queryTableFieldId="19" dataDxfId="69">
      <calculatedColumnFormula>VLOOKUP(Consulta1[[#This Row],[Coluna2]],CALENDARIO!$J:$K,2,FALSE)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795F57-79AF-44C1-87E2-C8660DCA64AB}" name="Consulta2" displayName="Consulta2" ref="A1:K2558" tableType="queryTable" totalsRowShown="0">
  <autoFilter ref="A1:K2558" xr:uid="{49795F57-79AF-44C1-87E2-C8660DCA64AB}"/>
  <sortState xmlns:xlrd2="http://schemas.microsoft.com/office/spreadsheetml/2017/richdata2" ref="A2:K2558">
    <sortCondition ref="C1:C2558"/>
  </sortState>
  <tableColumns count="11">
    <tableColumn id="7" xr3:uid="{44D617C3-4FAC-4C16-89AB-FF85505D0FB1}" uniqueName="7" name="SAFRA" queryTableFieldId="1"/>
    <tableColumn id="2" xr3:uid="{46C354F4-D35C-4922-B934-F2477D919F59}" uniqueName="2" name="DIA_UTIL_CORRENTE" queryTableFieldId="2"/>
    <tableColumn id="3" xr3:uid="{23C4D558-B58A-46AD-99FF-A26F4F1E7D72}" uniqueName="3" name="DATA" queryTableFieldId="3" dataDxfId="11"/>
    <tableColumn id="4" xr3:uid="{500FEBF1-3144-42B0-B47A-6B1F1AD88FC5}" uniqueName="4" name="DIA_UTIL_MES" queryTableFieldId="4"/>
    <tableColumn id="5" xr3:uid="{931D657F-FFF7-4130-9EA5-4A051FD29834}" uniqueName="5" name="DIA_ÚTIL" queryTableFieldId="5"/>
    <tableColumn id="6" xr3:uid="{5E0E8954-6FBC-43A4-823C-8CE3DD4A758C}" uniqueName="6" name="DIA_UTIL_ACUMULADO" queryTableFieldId="6"/>
    <tableColumn id="8" xr3:uid="{E2A8A861-8ADB-4C1A-96E5-D1EBD0964DE5}" uniqueName="8" name="Coluna1" queryTableFieldId="7" dataDxfId="68">
      <calculatedColumnFormula>Consulta2[[#This Row],[DIA_UTIL_CORRENTE]]</calculatedColumnFormula>
    </tableColumn>
    <tableColumn id="9" xr3:uid="{47BBDE44-FB29-456B-940E-0CB30D20ACAE}" uniqueName="9" name="dia" queryTableFieldId="8" dataDxfId="10">
      <calculatedColumnFormula>DAY(Consulta2[[#This Row],[DATA]])</calculatedColumnFormula>
    </tableColumn>
    <tableColumn id="10" xr3:uid="{9F3C5720-6CBF-4328-861C-7317D92AC378}" uniqueName="10" name="mês" queryTableFieldId="9" dataDxfId="9">
      <calculatedColumnFormula>MONTH(Consulta2[[#This Row],[DATA]])</calculatedColumnFormula>
    </tableColumn>
    <tableColumn id="11" xr3:uid="{CC3E2582-90B4-4B5B-994E-C2295567951F}" uniqueName="11" name="Coluna2" queryTableFieldId="10" dataDxfId="67">
      <calculatedColumnFormula>CONCATENATE(Consulta2[[#This Row],[SAFRA]],Consulta2[[#This Row],[dia]])</calculatedColumnFormula>
    </tableColumn>
    <tableColumn id="12" xr3:uid="{6AEED926-E172-4114-844A-5792C5B5E6EC}" uniqueName="12" name="Coluna3" queryTableFieldId="11" dataDxfId="66">
      <calculatedColumnFormula>Consulta2[[#This Row],[DIA_UTIL_CORRENTE]]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0C7152-53AE-4A1D-A482-5D717C8E2640}" name="Consulta3" displayName="Consulta3" ref="A1:B2" tableType="queryTable" insertRow="1" totalsRowShown="0" headerRowDxfId="65" dataDxfId="64">
  <autoFilter ref="A1:B2" xr:uid="{700C7152-53AE-4A1D-A482-5D717C8E2640}"/>
  <tableColumns count="2">
    <tableColumn id="5" xr3:uid="{8CB0C872-FE57-405B-8A13-AA0B366A5967}" uniqueName="5" name="- Selecione -" queryTableFieldId="5"/>
    <tableColumn id="2" xr3:uid="{8AD1D995-53C4-4B27-AF2B-11FA9AA8B244}" uniqueName="2" name="TABELA" queryTableFieldId="2" dataDxfId="8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4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trlProp" Target="../ctrlProps/ctrlProp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E1:CM59"/>
  <sheetViews>
    <sheetView showGridLines="0" topLeftCell="D6" workbookViewId="0">
      <pane xSplit="3" ySplit="4" topLeftCell="G21" activePane="bottomRight" state="frozen"/>
      <selection activeCell="D6" sqref="D6"/>
      <selection pane="topRight" activeCell="G6" sqref="G6"/>
      <selection pane="bottomLeft" activeCell="D10" sqref="D10"/>
      <selection pane="bottomRight" activeCell="J29" sqref="J29"/>
    </sheetView>
  </sheetViews>
  <sheetFormatPr defaultColWidth="9.140625" defaultRowHeight="15" x14ac:dyDescent="0.25"/>
  <cols>
    <col min="1" max="3" width="0" style="6" hidden="1" customWidth="1"/>
    <col min="4" max="4" width="1.7109375" style="6" customWidth="1"/>
    <col min="5" max="5" width="13.7109375" style="6" customWidth="1"/>
    <col min="6" max="6" width="11.42578125" style="12" customWidth="1"/>
    <col min="7" max="7" width="10.140625" style="6" customWidth="1"/>
    <col min="8" max="8" width="10.28515625" style="6" customWidth="1"/>
    <col min="9" max="16384" width="9.140625" style="6"/>
  </cols>
  <sheetData>
    <row r="1" spans="5:90" hidden="1" x14ac:dyDescent="0.25"/>
    <row r="2" spans="5:90" hidden="1" x14ac:dyDescent="0.25"/>
    <row r="3" spans="5:90" hidden="1" x14ac:dyDescent="0.25"/>
    <row r="4" spans="5:90" hidden="1" x14ac:dyDescent="0.25"/>
    <row r="5" spans="5:90" hidden="1" x14ac:dyDescent="0.25"/>
    <row r="6" spans="5:90" x14ac:dyDescent="0.25">
      <c r="G6" s="9">
        <v>1.9699999999999999E-2</v>
      </c>
    </row>
    <row r="7" spans="5:90" ht="15.75" thickBot="1" x14ac:dyDescent="0.3"/>
    <row r="8" spans="5:90" ht="44.25" customHeight="1" thickBot="1" x14ac:dyDescent="0.3">
      <c r="F8" s="16" t="s">
        <v>29</v>
      </c>
    </row>
    <row r="9" spans="5:90" s="12" customFormat="1" ht="30.75" thickBot="1" x14ac:dyDescent="0.3">
      <c r="E9" s="15" t="s">
        <v>30</v>
      </c>
      <c r="F9" s="14" t="s">
        <v>28</v>
      </c>
      <c r="G9" s="17">
        <v>1</v>
      </c>
      <c r="H9" s="17">
        <v>2</v>
      </c>
      <c r="I9" s="17">
        <v>3</v>
      </c>
      <c r="J9" s="17">
        <v>4</v>
      </c>
      <c r="K9" s="17">
        <v>5</v>
      </c>
      <c r="L9" s="17">
        <v>6</v>
      </c>
      <c r="M9" s="17">
        <v>7</v>
      </c>
      <c r="N9" s="17">
        <v>8</v>
      </c>
      <c r="O9" s="17">
        <v>9</v>
      </c>
      <c r="P9" s="17">
        <v>10</v>
      </c>
      <c r="Q9" s="17">
        <v>11</v>
      </c>
      <c r="R9" s="17">
        <v>12</v>
      </c>
      <c r="S9" s="17">
        <v>13</v>
      </c>
      <c r="T9" s="17">
        <v>14</v>
      </c>
      <c r="U9" s="17">
        <v>15</v>
      </c>
      <c r="V9" s="17">
        <v>16</v>
      </c>
      <c r="W9" s="17">
        <v>17</v>
      </c>
      <c r="X9" s="17">
        <v>18</v>
      </c>
      <c r="Y9" s="17">
        <v>19</v>
      </c>
      <c r="Z9" s="17">
        <v>20</v>
      </c>
      <c r="AA9" s="17">
        <v>21</v>
      </c>
      <c r="AB9" s="17">
        <v>22</v>
      </c>
      <c r="AC9" s="17">
        <v>23</v>
      </c>
      <c r="AD9" s="17">
        <v>24</v>
      </c>
      <c r="AE9" s="17">
        <v>25</v>
      </c>
      <c r="AF9" s="17">
        <v>26</v>
      </c>
      <c r="AG9" s="17">
        <v>27</v>
      </c>
      <c r="AH9" s="17">
        <v>28</v>
      </c>
      <c r="AI9" s="17">
        <v>29</v>
      </c>
      <c r="AJ9" s="17">
        <v>30</v>
      </c>
      <c r="AK9" s="17">
        <v>31</v>
      </c>
      <c r="AL9" s="17">
        <v>32</v>
      </c>
      <c r="AM9" s="17">
        <v>33</v>
      </c>
      <c r="AN9" s="17">
        <v>34</v>
      </c>
      <c r="AO9" s="17">
        <v>35</v>
      </c>
      <c r="AP9" s="17">
        <v>36</v>
      </c>
      <c r="AQ9" s="17">
        <v>37</v>
      </c>
      <c r="AR9" s="17">
        <v>38</v>
      </c>
      <c r="AS9" s="17">
        <v>39</v>
      </c>
      <c r="AT9" s="17">
        <v>40</v>
      </c>
      <c r="AU9" s="17">
        <v>41</v>
      </c>
      <c r="AV9" s="17">
        <v>42</v>
      </c>
      <c r="AW9" s="17">
        <v>43</v>
      </c>
      <c r="AX9" s="17">
        <v>44</v>
      </c>
      <c r="AY9" s="17">
        <v>45</v>
      </c>
      <c r="AZ9" s="17">
        <v>46</v>
      </c>
      <c r="BA9" s="17">
        <v>47</v>
      </c>
      <c r="BB9" s="17">
        <v>48</v>
      </c>
      <c r="BC9" s="17">
        <v>49</v>
      </c>
      <c r="BD9" s="17">
        <v>50</v>
      </c>
      <c r="BE9" s="17">
        <v>51</v>
      </c>
      <c r="BF9" s="17">
        <v>52</v>
      </c>
      <c r="BG9" s="17">
        <v>53</v>
      </c>
      <c r="BH9" s="17">
        <v>54</v>
      </c>
      <c r="BI9" s="17">
        <v>55</v>
      </c>
      <c r="BJ9" s="17">
        <v>56</v>
      </c>
      <c r="BK9" s="17">
        <v>57</v>
      </c>
      <c r="BL9" s="17">
        <v>58</v>
      </c>
      <c r="BM9" s="17">
        <v>59</v>
      </c>
      <c r="BN9" s="17">
        <v>60</v>
      </c>
      <c r="BO9" s="17">
        <v>61</v>
      </c>
      <c r="BP9" s="17">
        <v>62</v>
      </c>
      <c r="BQ9" s="17">
        <v>63</v>
      </c>
      <c r="BR9" s="17">
        <v>64</v>
      </c>
      <c r="BS9" s="17">
        <v>65</v>
      </c>
      <c r="BT9" s="17">
        <v>66</v>
      </c>
      <c r="BU9" s="17">
        <v>67</v>
      </c>
      <c r="BV9" s="17">
        <v>68</v>
      </c>
      <c r="BW9" s="17">
        <v>69</v>
      </c>
      <c r="BX9" s="17">
        <v>70</v>
      </c>
      <c r="BY9" s="17">
        <v>71</v>
      </c>
      <c r="BZ9" s="17">
        <v>72</v>
      </c>
      <c r="CA9" s="17">
        <v>73</v>
      </c>
      <c r="CB9" s="17">
        <v>74</v>
      </c>
      <c r="CC9" s="17">
        <v>75</v>
      </c>
      <c r="CD9" s="17">
        <v>76</v>
      </c>
      <c r="CE9" s="17">
        <v>77</v>
      </c>
      <c r="CF9" s="17">
        <v>78</v>
      </c>
      <c r="CG9" s="17">
        <v>79</v>
      </c>
      <c r="CH9" s="17">
        <v>80</v>
      </c>
      <c r="CI9" s="17">
        <v>81</v>
      </c>
      <c r="CJ9" s="17">
        <v>82</v>
      </c>
      <c r="CK9" s="17">
        <v>83</v>
      </c>
      <c r="CL9" s="20">
        <v>84</v>
      </c>
    </row>
    <row r="10" spans="5:90" ht="18" hidden="1" customHeight="1" x14ac:dyDescent="0.25">
      <c r="F10" s="18">
        <v>1.0999999999999999E-2</v>
      </c>
      <c r="G10" s="10">
        <f>RATE(84,1,G38,0)</f>
        <v>1.9693324863712478E-2</v>
      </c>
      <c r="H10" s="10">
        <f t="shared" ref="H10:BR10" si="0">RATE(84,1,H38,0)</f>
        <v>1.9680182426047702E-2</v>
      </c>
      <c r="I10" s="10">
        <f t="shared" si="0"/>
        <v>1.9660781475226308E-2</v>
      </c>
      <c r="J10" s="10">
        <f t="shared" si="0"/>
        <v>1.9635331232490033E-2</v>
      </c>
      <c r="K10" s="10">
        <f t="shared" si="0"/>
        <v>1.9604040859454629E-2</v>
      </c>
      <c r="L10" s="10">
        <f t="shared" si="0"/>
        <v>1.9567118992172818E-2</v>
      </c>
      <c r="M10" s="10">
        <f t="shared" si="0"/>
        <v>1.9524773302866959E-2</v>
      </c>
      <c r="N10" s="10">
        <f t="shared" si="0"/>
        <v>1.9477210089736144E-2</v>
      </c>
      <c r="O10" s="10">
        <f t="shared" si="0"/>
        <v>1.9424633895023857E-2</v>
      </c>
      <c r="P10" s="10">
        <f t="shared" si="0"/>
        <v>1.9367247151318569E-2</v>
      </c>
      <c r="Q10" s="10">
        <f t="shared" si="0"/>
        <v>1.930524985587782E-2</v>
      </c>
      <c r="R10" s="10">
        <f t="shared" si="0"/>
        <v>1.9238839272589847E-2</v>
      </c>
      <c r="S10" s="10">
        <f t="shared" si="0"/>
        <v>1.9168209661043486E-2</v>
      </c>
      <c r="T10" s="10">
        <f t="shared" si="0"/>
        <v>1.9093552032036075E-2</v>
      </c>
      <c r="U10" s="10">
        <f t="shared" si="0"/>
        <v>1.9015053928744915E-2</v>
      </c>
      <c r="V10" s="10">
        <f t="shared" si="0"/>
        <v>1.8932899232678914E-2</v>
      </c>
      <c r="W10" s="10">
        <f t="shared" si="0"/>
        <v>1.884726799345916E-2</v>
      </c>
      <c r="X10" s="10">
        <f t="shared" si="0"/>
        <v>1.8758336281399522E-2</v>
      </c>
      <c r="Y10" s="10">
        <f t="shared" si="0"/>
        <v>1.8666276061820204E-2</v>
      </c>
      <c r="Z10" s="10">
        <f t="shared" si="0"/>
        <v>1.8571255089978717E-2</v>
      </c>
      <c r="AA10" s="10">
        <f t="shared" si="0"/>
        <v>1.8473436825486439E-2</v>
      </c>
      <c r="AB10" s="10">
        <f t="shared" si="0"/>
        <v>1.8372980365061728E-2</v>
      </c>
      <c r="AC10" s="10">
        <f t="shared" si="0"/>
        <v>1.8270040392466894E-2</v>
      </c>
      <c r="AD10" s="10">
        <f t="shared" si="0"/>
        <v>1.8164767144483406E-2</v>
      </c>
      <c r="AE10" s="10">
        <f t="shared" si="0"/>
        <v>1.805730639179267E-2</v>
      </c>
      <c r="AF10" s="10">
        <f t="shared" si="0"/>
        <v>1.7947799433649683E-2</v>
      </c>
      <c r="AG10" s="10">
        <f t="shared" si="0"/>
        <v>1.7836383105262813E-2</v>
      </c>
      <c r="AH10" s="10">
        <f t="shared" si="0"/>
        <v>1.7723189796827493E-2</v>
      </c>
      <c r="AI10" s="10">
        <f t="shared" si="0"/>
        <v>1.7608347483190557E-2</v>
      </c>
      <c r="AJ10" s="10">
        <f t="shared" si="0"/>
        <v>1.7491979763168627E-2</v>
      </c>
      <c r="AK10" s="10">
        <f t="shared" si="0"/>
        <v>1.7374205907578526E-2</v>
      </c>
      <c r="AL10" s="10">
        <f t="shared" si="0"/>
        <v>1.7255140915086634E-2</v>
      </c>
      <c r="AM10" s="10">
        <f t="shared" si="0"/>
        <v>1.7134895575023439E-2</v>
      </c>
      <c r="AN10" s="10">
        <f t="shared" si="0"/>
        <v>1.7013576536360757E-2</v>
      </c>
      <c r="AO10" s="10">
        <f t="shared" si="0"/>
        <v>1.6891286382090805E-2</v>
      </c>
      <c r="AP10" s="10">
        <f t="shared" si="0"/>
        <v>1.6768123708292337E-2</v>
      </c>
      <c r="AQ10" s="10">
        <f t="shared" si="0"/>
        <v>1.6644183207219315E-2</v>
      </c>
      <c r="AR10" s="10">
        <f t="shared" si="0"/>
        <v>1.6519555753785078E-2</v>
      </c>
      <c r="AS10" s="10">
        <f t="shared" si="0"/>
        <v>1.6394328494865676E-2</v>
      </c>
      <c r="AT10" s="10">
        <f t="shared" si="0"/>
        <v>1.6268584940882274E-2</v>
      </c>
      <c r="AU10" s="10">
        <f t="shared" si="0"/>
        <v>1.6142405040758295E-2</v>
      </c>
      <c r="AV10" s="10">
        <f t="shared" si="0"/>
        <v>1.6015865347653153E-2</v>
      </c>
      <c r="AW10" s="10">
        <f t="shared" si="0"/>
        <v>1.5889039011565294E-2</v>
      </c>
      <c r="AX10" s="10">
        <f t="shared" si="0"/>
        <v>1.5761995941960625E-2</v>
      </c>
      <c r="AY10" s="10">
        <f t="shared" si="0"/>
        <v>1.563480288796671E-2</v>
      </c>
      <c r="AZ10" s="10">
        <f t="shared" si="0"/>
        <v>1.5507523534554981E-2</v>
      </c>
      <c r="BA10" s="10">
        <f t="shared" si="0"/>
        <v>1.538021859830392E-2</v>
      </c>
      <c r="BB10" s="10">
        <f t="shared" si="0"/>
        <v>1.5252945922491027E-2</v>
      </c>
      <c r="BC10" s="10">
        <f t="shared" si="0"/>
        <v>1.5125760571283621E-2</v>
      </c>
      <c r="BD10" s="10">
        <f t="shared" si="0"/>
        <v>1.4998714922829857E-2</v>
      </c>
      <c r="BE10" s="10">
        <f t="shared" si="0"/>
        <v>1.4871858761067018E-2</v>
      </c>
      <c r="BF10" s="10">
        <f t="shared" si="0"/>
        <v>1.4745239366096161E-2</v>
      </c>
      <c r="BG10" s="10">
        <f t="shared" si="0"/>
        <v>1.4618901602984749E-2</v>
      </c>
      <c r="BH10" s="10">
        <f t="shared" si="0"/>
        <v>1.4492888008881107E-2</v>
      </c>
      <c r="BI10" s="10">
        <f t="shared" si="0"/>
        <v>1.4367238878344313E-2</v>
      </c>
      <c r="BJ10" s="10">
        <f t="shared" si="0"/>
        <v>1.4241992346802757E-2</v>
      </c>
      <c r="BK10" s="10">
        <f t="shared" si="0"/>
        <v>1.4117184472077153E-2</v>
      </c>
      <c r="BL10" s="10">
        <f t="shared" si="0"/>
        <v>1.3992849313911893E-2</v>
      </c>
      <c r="BM10" s="10">
        <f t="shared" si="0"/>
        <v>1.3869019011471516E-2</v>
      </c>
      <c r="BN10" s="10">
        <f t="shared" si="0"/>
        <v>1.374572385877606E-2</v>
      </c>
      <c r="BO10" s="10">
        <f t="shared" si="0"/>
        <v>1.362299237804742E-2</v>
      </c>
      <c r="BP10" s="10">
        <f t="shared" si="0"/>
        <v>1.3500851390961062E-2</v>
      </c>
      <c r="BQ10" s="10">
        <f t="shared" si="0"/>
        <v>1.3379326087798052E-2</v>
      </c>
      <c r="BR10" s="10">
        <f t="shared" si="0"/>
        <v>1.325844009449861E-2</v>
      </c>
      <c r="BS10" s="10">
        <f t="shared" ref="BS10:CL10" si="1">RATE(84,1,BS38,0)</f>
        <v>1.3138215537632801E-2</v>
      </c>
      <c r="BT10" s="10">
        <f t="shared" si="1"/>
        <v>1.301867310729889E-2</v>
      </c>
      <c r="BU10" s="10">
        <f t="shared" si="1"/>
        <v>1.2899832117976682E-2</v>
      </c>
      <c r="BV10" s="10">
        <f t="shared" si="1"/>
        <v>1.2781710567355969E-2</v>
      </c>
      <c r="BW10" s="10">
        <f t="shared" si="1"/>
        <v>1.2664325193175599E-2</v>
      </c>
      <c r="BX10" s="10">
        <f t="shared" si="1"/>
        <v>1.2547691528102206E-2</v>
      </c>
      <c r="BY10" s="10">
        <f t="shared" si="1"/>
        <v>1.243182395268584E-2</v>
      </c>
      <c r="BZ10" s="10">
        <f t="shared" si="1"/>
        <v>1.2316735746433181E-2</v>
      </c>
      <c r="CA10" s="10">
        <f t="shared" si="1"/>
        <v>1.2202439137035767E-2</v>
      </c>
      <c r="CB10" s="10">
        <f t="shared" si="1"/>
        <v>1.2088945347797388E-2</v>
      </c>
      <c r="CC10" s="10">
        <f t="shared" si="1"/>
        <v>1.197626464330598E-2</v>
      </c>
      <c r="CD10" s="10">
        <f t="shared" si="1"/>
        <v>1.1864406373389294E-2</v>
      </c>
      <c r="CE10" s="10">
        <f t="shared" si="1"/>
        <v>1.1753379015406486E-2</v>
      </c>
      <c r="CF10" s="10">
        <f t="shared" si="1"/>
        <v>1.164319021491708E-2</v>
      </c>
      <c r="CG10" s="10">
        <f t="shared" si="1"/>
        <v>1.1533846824774133E-2</v>
      </c>
      <c r="CH10" s="10">
        <f t="shared" si="1"/>
        <v>1.1425354942691148E-2</v>
      </c>
      <c r="CI10" s="10">
        <f t="shared" si="1"/>
        <v>1.131771994732333E-2</v>
      </c>
      <c r="CJ10" s="10">
        <f t="shared" si="1"/>
        <v>1.1210946532917048E-2</v>
      </c>
      <c r="CK10" s="10">
        <f t="shared" si="1"/>
        <v>1.1105038742563422E-2</v>
      </c>
      <c r="CL10" s="10">
        <f t="shared" si="1"/>
        <v>1.1000000000112285E-2</v>
      </c>
    </row>
    <row r="11" spans="5:90" ht="18" hidden="1" customHeight="1" x14ac:dyDescent="0.25">
      <c r="F11" s="18">
        <v>1.18E-2</v>
      </c>
      <c r="G11" s="10">
        <f t="shared" ref="G11:BR11" si="2">RATE(84,1,G39,0)</f>
        <v>1.9693943372044814E-2</v>
      </c>
      <c r="H11" s="10">
        <f t="shared" si="2"/>
        <v>1.9682022901507154E-2</v>
      </c>
      <c r="I11" s="10">
        <f t="shared" si="2"/>
        <v>1.9664431552418281E-2</v>
      </c>
      <c r="J11" s="10">
        <f t="shared" si="2"/>
        <v>1.9641362043860012E-2</v>
      </c>
      <c r="K11" s="10">
        <f t="shared" si="2"/>
        <v>1.9613006451478922E-2</v>
      </c>
      <c r="L11" s="10">
        <f t="shared" si="2"/>
        <v>1.9579555832720374E-2</v>
      </c>
      <c r="M11" s="10">
        <f t="shared" si="2"/>
        <v>1.9541199876330927E-2</v>
      </c>
      <c r="N11" s="10">
        <f t="shared" si="2"/>
        <v>1.9498126576198562E-2</v>
      </c>
      <c r="O11" s="10">
        <f t="shared" si="2"/>
        <v>1.9450521929430382E-2</v>
      </c>
      <c r="P11" s="10">
        <f t="shared" si="2"/>
        <v>1.9398569658425784E-2</v>
      </c>
      <c r="Q11" s="10">
        <f t="shared" si="2"/>
        <v>1.9342450956567996E-2</v>
      </c>
      <c r="R11" s="10">
        <f t="shared" si="2"/>
        <v>1.9282344257038505E-2</v>
      </c>
      <c r="S11" s="10">
        <f t="shared" si="2"/>
        <v>1.9218425024158572E-2</v>
      </c>
      <c r="T11" s="10">
        <f t="shared" si="2"/>
        <v>1.9150865566570547E-2</v>
      </c>
      <c r="U11" s="10">
        <f t="shared" si="2"/>
        <v>1.9079834871501354E-2</v>
      </c>
      <c r="V11" s="10">
        <f t="shared" si="2"/>
        <v>1.900549845928089E-2</v>
      </c>
      <c r="W11" s="10">
        <f t="shared" si="2"/>
        <v>1.8928018257248987E-2</v>
      </c>
      <c r="X11" s="10">
        <f t="shared" si="2"/>
        <v>1.884755249213646E-2</v>
      </c>
      <c r="Y11" s="10">
        <f t="shared" si="2"/>
        <v>1.8764255599983723E-2</v>
      </c>
      <c r="Z11" s="10">
        <f t="shared" si="2"/>
        <v>1.8678278152642232E-2</v>
      </c>
      <c r="AA11" s="10">
        <f t="shared" si="2"/>
        <v>1.8589766799890561E-2</v>
      </c>
      <c r="AB11" s="10">
        <f t="shared" si="2"/>
        <v>1.8498864226201561E-2</v>
      </c>
      <c r="AC11" s="10">
        <f t="shared" si="2"/>
        <v>1.8405709121198186E-2</v>
      </c>
      <c r="AD11" s="10">
        <f t="shared" si="2"/>
        <v>1.8310436162849247E-2</v>
      </c>
      <c r="AE11" s="10">
        <f t="shared" si="2"/>
        <v>1.821317601247344E-2</v>
      </c>
      <c r="AF11" s="10">
        <f t="shared" si="2"/>
        <v>1.8114055320642378E-2</v>
      </c>
      <c r="AG11" s="10">
        <f t="shared" si="2"/>
        <v>1.8013196743098731E-2</v>
      </c>
      <c r="AH11" s="10">
        <f t="shared" si="2"/>
        <v>1.7910718965834276E-2</v>
      </c>
      <c r="AI11" s="10">
        <f t="shared" si="2"/>
        <v>1.7806736738506759E-2</v>
      </c>
      <c r="AJ11" s="10">
        <f t="shared" si="2"/>
        <v>1.7701360915405129E-2</v>
      </c>
      <c r="AK11" s="10">
        <f t="shared" si="2"/>
        <v>1.7594698503209907E-2</v>
      </c>
      <c r="AL11" s="10">
        <f t="shared" si="2"/>
        <v>1.7486852714834182E-2</v>
      </c>
      <c r="AM11" s="10">
        <f t="shared" si="2"/>
        <v>1.7377923028663245E-2</v>
      </c>
      <c r="AN11" s="10">
        <f t="shared" si="2"/>
        <v>1.7268005252551861E-2</v>
      </c>
      <c r="AO11" s="10">
        <f t="shared" si="2"/>
        <v>1.7157191591975884E-2</v>
      </c>
      <c r="AP11" s="10">
        <f t="shared" si="2"/>
        <v>1.7045570721770417E-2</v>
      </c>
      <c r="AQ11" s="10">
        <f t="shared" si="2"/>
        <v>1.6933227860924435E-2</v>
      </c>
      <c r="AR11" s="10">
        <f t="shared" si="2"/>
        <v>1.6820244849936355E-2</v>
      </c>
      <c r="AS11" s="21">
        <f t="shared" si="2"/>
        <v>1.6706700230275796E-2</v>
      </c>
      <c r="AT11" s="10">
        <f t="shared" si="2"/>
        <v>1.6592669325518995E-2</v>
      </c>
      <c r="AU11" s="10">
        <f t="shared" si="2"/>
        <v>1.6478224323772807E-2</v>
      </c>
      <c r="AV11" s="10">
        <f t="shared" si="2"/>
        <v>1.6363434361021362E-2</v>
      </c>
      <c r="AW11" s="10">
        <f t="shared" si="2"/>
        <v>1.6248365605066172E-2</v>
      </c>
      <c r="AX11" s="10">
        <f t="shared" si="2"/>
        <v>1.6133081321168041E-2</v>
      </c>
      <c r="AY11" s="10">
        <f t="shared" si="2"/>
        <v>1.6017642028271648E-2</v>
      </c>
      <c r="AZ11" s="10">
        <f t="shared" si="2"/>
        <v>1.5902105478340985E-2</v>
      </c>
      <c r="BA11" s="10">
        <f t="shared" si="2"/>
        <v>1.578652680767529E-2</v>
      </c>
      <c r="BB11" s="10">
        <f t="shared" si="2"/>
        <v>1.5670958603341098E-2</v>
      </c>
      <c r="BC11" s="10">
        <f t="shared" si="2"/>
        <v>1.5555450985231981E-2</v>
      </c>
      <c r="BD11" s="10">
        <f t="shared" si="2"/>
        <v>1.5440051687129334E-2</v>
      </c>
      <c r="BE11" s="10">
        <f t="shared" si="2"/>
        <v>1.5324806136623945E-2</v>
      </c>
      <c r="BF11" s="10">
        <f t="shared" si="2"/>
        <v>1.5209757533773067E-2</v>
      </c>
      <c r="BG11" s="10">
        <f t="shared" si="2"/>
        <v>1.5094946928388095E-2</v>
      </c>
      <c r="BH11" s="10">
        <f t="shared" si="2"/>
        <v>1.4980413295856268E-2</v>
      </c>
      <c r="BI11" s="10">
        <f t="shared" si="2"/>
        <v>1.4866193611424279E-2</v>
      </c>
      <c r="BJ11" s="10">
        <f t="shared" si="2"/>
        <v>1.4752322922870835E-2</v>
      </c>
      <c r="BK11" s="10">
        <f t="shared" si="2"/>
        <v>1.4638834421523242E-2</v>
      </c>
      <c r="BL11" s="10">
        <f t="shared" si="2"/>
        <v>1.4525759511563586E-2</v>
      </c>
      <c r="BM11" s="10">
        <f t="shared" si="2"/>
        <v>1.441312787760277E-2</v>
      </c>
      <c r="BN11" s="10">
        <f t="shared" si="2"/>
        <v>1.4300967550490411E-2</v>
      </c>
      <c r="BO11" s="10">
        <f t="shared" si="2"/>
        <v>1.4189304971345521E-2</v>
      </c>
      <c r="BP11" s="10">
        <f t="shared" si="2"/>
        <v>1.4078165053802988E-2</v>
      </c>
      <c r="BQ11" s="10">
        <f t="shared" si="2"/>
        <v>1.3967571244467217E-2</v>
      </c>
      <c r="BR11" s="10">
        <f t="shared" si="2"/>
        <v>1.3857545581582963E-2</v>
      </c>
      <c r="BS11" s="10">
        <f t="shared" ref="BS11:CL11" si="3">RATE(84,1,BS39,0)</f>
        <v>1.3748108751926613E-2</v>
      </c>
      <c r="BT11" s="10">
        <f t="shared" si="3"/>
        <v>1.3639280145935039E-2</v>
      </c>
      <c r="BU11" s="10">
        <f t="shared" si="3"/>
        <v>1.3531077911088501E-2</v>
      </c>
      <c r="BV11" s="10">
        <f t="shared" si="3"/>
        <v>1.3423519003568829E-2</v>
      </c>
      <c r="BW11" s="10">
        <f t="shared" si="3"/>
        <v>1.3316619238216958E-2</v>
      </c>
      <c r="BX11" s="10">
        <f t="shared" si="3"/>
        <v>1.3210393336819826E-2</v>
      </c>
      <c r="BY11" s="10">
        <f t="shared" si="3"/>
        <v>1.3104854974751655E-2</v>
      </c>
      <c r="BZ11" s="10">
        <f t="shared" si="3"/>
        <v>1.30000168260056E-2</v>
      </c>
      <c r="CA11" s="10">
        <f t="shared" si="3"/>
        <v>1.2895890606647682E-2</v>
      </c>
      <c r="CB11" s="10">
        <f t="shared" si="3"/>
        <v>1.279248711672769E-2</v>
      </c>
      <c r="CC11" s="10">
        <f t="shared" si="3"/>
        <v>1.2689816280683162E-2</v>
      </c>
      <c r="CD11" s="10">
        <f t="shared" si="3"/>
        <v>1.2587887186272078E-2</v>
      </c>
      <c r="CE11" s="10">
        <f t="shared" si="3"/>
        <v>1.2486708122075604E-2</v>
      </c>
      <c r="CF11" s="10">
        <f t="shared" si="3"/>
        <v>1.2386286613605154E-2</v>
      </c>
      <c r="CG11" s="10">
        <f t="shared" si="3"/>
        <v>1.2286629458053148E-2</v>
      </c>
      <c r="CH11" s="10">
        <f t="shared" si="3"/>
        <v>1.2187742757726274E-2</v>
      </c>
      <c r="CI11" s="10">
        <f t="shared" si="3"/>
        <v>1.2089631952200862E-2</v>
      </c>
      <c r="CJ11" s="10">
        <f t="shared" si="3"/>
        <v>1.1992301849236022E-2</v>
      </c>
      <c r="CK11" s="10">
        <f t="shared" si="3"/>
        <v>1.1895756654484304E-2</v>
      </c>
      <c r="CL11" s="10">
        <f t="shared" si="3"/>
        <v>1.1800000000038609E-2</v>
      </c>
    </row>
    <row r="12" spans="5:90" ht="18" hidden="1" customHeight="1" x14ac:dyDescent="0.25">
      <c r="F12" s="18">
        <v>1.2E-2</v>
      </c>
      <c r="G12" s="10">
        <f t="shared" ref="G12:BR12" si="4">RATE(84,1,G40,0)</f>
        <v>1.9694097849198035E-2</v>
      </c>
      <c r="H12" s="10">
        <f t="shared" si="4"/>
        <v>1.9682482440169478E-2</v>
      </c>
      <c r="I12" s="10">
        <f t="shared" si="4"/>
        <v>1.9665342671869729E-2</v>
      </c>
      <c r="J12" s="10">
        <f t="shared" si="4"/>
        <v>1.9642867048973108E-2</v>
      </c>
      <c r="K12" s="10">
        <f t="shared" si="4"/>
        <v>1.9615243305632735E-2</v>
      </c>
      <c r="L12" s="10">
        <f t="shared" si="4"/>
        <v>1.9582658052163089E-2</v>
      </c>
      <c r="M12" s="10">
        <f t="shared" si="4"/>
        <v>1.954529644511217E-2</v>
      </c>
      <c r="N12" s="10">
        <f t="shared" si="4"/>
        <v>1.950334188072168E-2</v>
      </c>
      <c r="O12" s="10">
        <f t="shared" si="4"/>
        <v>1.9456975711624299E-2</v>
      </c>
      <c r="P12" s="10">
        <f t="shared" si="4"/>
        <v>1.9406376986494684E-2</v>
      </c>
      <c r="Q12" s="10">
        <f t="shared" si="4"/>
        <v>1.9351722212245504E-2</v>
      </c>
      <c r="R12" s="10">
        <f t="shared" si="4"/>
        <v>1.9293185138258988E-2</v>
      </c>
      <c r="S12" s="10">
        <f t="shared" si="4"/>
        <v>1.9230936562049744E-2</v>
      </c>
      <c r="T12" s="10">
        <f t="shared" si="4"/>
        <v>1.916514415567467E-2</v>
      </c>
      <c r="U12" s="10">
        <f t="shared" si="4"/>
        <v>1.9095972312140157E-2</v>
      </c>
      <c r="V12" s="10">
        <f t="shared" si="4"/>
        <v>1.9023582011003431E-2</v>
      </c>
      <c r="W12" s="10">
        <f t="shared" si="4"/>
        <v>1.8948130702318683E-2</v>
      </c>
      <c r="X12" s="10">
        <f t="shared" si="4"/>
        <v>1.8869772208050598E-2</v>
      </c>
      <c r="Y12" s="10">
        <f t="shared" si="4"/>
        <v>1.8788656640049251E-2</v>
      </c>
      <c r="Z12" s="10">
        <f t="shared" si="4"/>
        <v>1.8704930333669871E-2</v>
      </c>
      <c r="AA12" s="10">
        <f t="shared" si="4"/>
        <v>1.8618735796115077E-2</v>
      </c>
      <c r="AB12" s="10">
        <f t="shared" si="4"/>
        <v>1.8530211668575391E-2</v>
      </c>
      <c r="AC12" s="10">
        <f t="shared" si="4"/>
        <v>1.843949270125422E-2</v>
      </c>
      <c r="AD12" s="10">
        <f t="shared" si="4"/>
        <v>1.834670974037305E-2</v>
      </c>
      <c r="AE12" s="10">
        <f t="shared" si="4"/>
        <v>1.8251989726275571E-2</v>
      </c>
      <c r="AF12" s="10">
        <f t="shared" si="4"/>
        <v>1.8155455701765633E-2</v>
      </c>
      <c r="AG12" s="10">
        <f t="shared" si="4"/>
        <v>1.8057226829843891E-2</v>
      </c>
      <c r="AH12" s="10">
        <f t="shared" si="4"/>
        <v>1.7957418420034919E-2</v>
      </c>
      <c r="AI12" s="10">
        <f t="shared" si="4"/>
        <v>1.7856141962527043E-2</v>
      </c>
      <c r="AJ12" s="10">
        <f t="shared" si="4"/>
        <v>1.7753505169381054E-2</v>
      </c>
      <c r="AK12" s="10">
        <f t="shared" si="4"/>
        <v>1.764961202209608E-2</v>
      </c>
      <c r="AL12" s="10">
        <f t="shared" si="4"/>
        <v>1.7544562824858077E-2</v>
      </c>
      <c r="AM12" s="10">
        <f t="shared" si="4"/>
        <v>1.743845426282993E-2</v>
      </c>
      <c r="AN12" s="10">
        <f t="shared" si="4"/>
        <v>1.7331379464879833E-2</v>
      </c>
      <c r="AO12" s="10">
        <f t="shared" si="4"/>
        <v>1.7223428070177842E-2</v>
      </c>
      <c r="AP12" s="10">
        <f t="shared" si="4"/>
        <v>1.7114686298129084E-2</v>
      </c>
      <c r="AQ12" s="10">
        <f t="shared" si="4"/>
        <v>1.7005237021141435E-2</v>
      </c>
      <c r="AR12" s="10">
        <f t="shared" si="4"/>
        <v>1.6895159839766982E-2</v>
      </c>
      <c r="AS12" s="21">
        <f t="shared" si="4"/>
        <v>1.6784531159783369E-2</v>
      </c>
      <c r="AT12" s="10">
        <f t="shared" si="4"/>
        <v>1.6673424270813933E-2</v>
      </c>
      <c r="AU12" s="10">
        <f t="shared" si="4"/>
        <v>1.6561909426120368E-2</v>
      </c>
      <c r="AV12" s="10">
        <f t="shared" si="4"/>
        <v>1.645005392322843E-2</v>
      </c>
      <c r="AW12" s="10">
        <f t="shared" si="4"/>
        <v>1.6337922185072667E-2</v>
      </c>
      <c r="AX12" s="10">
        <f t="shared" si="4"/>
        <v>1.6225575841379809E-2</v>
      </c>
      <c r="AY12" s="10">
        <f t="shared" si="4"/>
        <v>1.611307379104646E-2</v>
      </c>
      <c r="AZ12" s="10">
        <f t="shared" si="4"/>
        <v>1.600047235681613E-2</v>
      </c>
      <c r="BA12" s="10">
        <f t="shared" si="4"/>
        <v>1.588782525883891E-2</v>
      </c>
      <c r="BB12" s="10">
        <f t="shared" si="4"/>
        <v>1.5775183764020401E-2</v>
      </c>
      <c r="BC12" s="10">
        <f t="shared" si="4"/>
        <v>1.5662596748312978E-2</v>
      </c>
      <c r="BD12" s="10">
        <f t="shared" si="4"/>
        <v>1.5550110774903458E-2</v>
      </c>
      <c r="BE12" s="10">
        <f t="shared" si="4"/>
        <v>1.5437770171290773E-2</v>
      </c>
      <c r="BF12" s="10">
        <f t="shared" si="4"/>
        <v>1.5325617105141773E-2</v>
      </c>
      <c r="BG12" s="10">
        <f t="shared" si="4"/>
        <v>1.521369165882284E-2</v>
      </c>
      <c r="BH12" s="10">
        <f t="shared" si="4"/>
        <v>1.5102031902518107E-2</v>
      </c>
      <c r="BI12" s="10">
        <f t="shared" si="4"/>
        <v>1.4990673965866409E-2</v>
      </c>
      <c r="BJ12" s="10">
        <f t="shared" si="4"/>
        <v>1.4879652108049845E-2</v>
      </c>
      <c r="BK12" s="10">
        <f t="shared" si="4"/>
        <v>1.4768998786285254E-2</v>
      </c>
      <c r="BL12" s="10">
        <f t="shared" si="4"/>
        <v>1.465874472268038E-2</v>
      </c>
      <c r="BM12" s="10">
        <f t="shared" si="4"/>
        <v>1.454891896941987E-2</v>
      </c>
      <c r="BN12" s="10">
        <f t="shared" si="4"/>
        <v>1.4439548972260385E-2</v>
      </c>
      <c r="BO12" s="10">
        <f t="shared" si="4"/>
        <v>1.4330660632320153E-2</v>
      </c>
      <c r="BP12" s="10">
        <f t="shared" si="4"/>
        <v>1.4222278366152865E-2</v>
      </c>
      <c r="BQ12" s="10">
        <f t="shared" si="4"/>
        <v>1.4114425164104983E-2</v>
      </c>
      <c r="BR12" s="10">
        <f t="shared" si="4"/>
        <v>1.4007122646960881E-2</v>
      </c>
      <c r="BS12" s="10">
        <f t="shared" ref="BS12:CL12" si="5">RATE(84,1,BS40,0)</f>
        <v>1.3900391120880857E-2</v>
      </c>
      <c r="BT12" s="10">
        <f t="shared" si="5"/>
        <v>1.3794249630650113E-2</v>
      </c>
      <c r="BU12" s="10">
        <f t="shared" si="5"/>
        <v>1.3688716011251914E-2</v>
      </c>
      <c r="BV12" s="10">
        <f t="shared" si="5"/>
        <v>1.3583806937784987E-2</v>
      </c>
      <c r="BW12" s="10">
        <f t="shared" si="5"/>
        <v>1.3479537973751867E-2</v>
      </c>
      <c r="BX12" s="10">
        <f t="shared" si="5"/>
        <v>1.3375923617739757E-2</v>
      </c>
      <c r="BY12" s="10">
        <f t="shared" si="5"/>
        <v>1.32729773485277E-2</v>
      </c>
      <c r="BZ12" s="10">
        <f t="shared" si="5"/>
        <v>1.3170711668643904E-2</v>
      </c>
      <c r="CA12" s="10">
        <f t="shared" si="5"/>
        <v>1.3069138146410137E-2</v>
      </c>
      <c r="CB12" s="10">
        <f t="shared" si="5"/>
        <v>1.2968267456504192E-2</v>
      </c>
      <c r="CC12" s="10">
        <f t="shared" si="5"/>
        <v>1.2868109419074335E-2</v>
      </c>
      <c r="CD12" s="10">
        <f t="shared" si="5"/>
        <v>1.2768673037443322E-2</v>
      </c>
      <c r="CE12" s="10">
        <f t="shared" si="5"/>
        <v>1.2669966534432283E-2</v>
      </c>
      <c r="CF12" s="10">
        <f t="shared" si="5"/>
        <v>1.2571997387349728E-2</v>
      </c>
      <c r="CG12" s="10">
        <f t="shared" si="5"/>
        <v>1.2474772361670996E-2</v>
      </c>
      <c r="CH12" s="10">
        <f t="shared" si="5"/>
        <v>1.2378297543455711E-2</v>
      </c>
      <c r="CI12" s="10">
        <f t="shared" si="5"/>
        <v>1.2282578370530511E-2</v>
      </c>
      <c r="CJ12" s="10">
        <f t="shared" si="5"/>
        <v>1.2187619662481547E-2</v>
      </c>
      <c r="CK12" s="10">
        <f t="shared" si="5"/>
        <v>1.2093425649487302E-2</v>
      </c>
      <c r="CL12" s="10">
        <f t="shared" si="5"/>
        <v>1.2000000000029544E-2</v>
      </c>
    </row>
    <row r="13" spans="5:90" ht="18" hidden="1" customHeight="1" x14ac:dyDescent="0.25">
      <c r="F13" s="18">
        <v>1.2500000000000001E-2</v>
      </c>
      <c r="G13" s="10">
        <f t="shared" ref="G13:BR13" si="6">RATE(84,1,G41,0)</f>
        <v>1.9694483780085606E-2</v>
      </c>
      <c r="H13" s="10">
        <f t="shared" si="6"/>
        <v>1.9683630273260994E-2</v>
      </c>
      <c r="I13" s="10">
        <f t="shared" si="6"/>
        <v>1.9667618025764232E-2</v>
      </c>
      <c r="J13" s="10">
        <f t="shared" si="6"/>
        <v>1.9646624851515297E-2</v>
      </c>
      <c r="K13" s="10">
        <f t="shared" si="6"/>
        <v>1.9620827509139085E-2</v>
      </c>
      <c r="L13" s="10">
        <f t="shared" si="6"/>
        <v>1.9590401399850861E-2</v>
      </c>
      <c r="M13" s="10">
        <f t="shared" si="6"/>
        <v>1.955552028650142E-2</v>
      </c>
      <c r="N13" s="10">
        <f t="shared" si="6"/>
        <v>1.9516356033633921E-2</v>
      </c>
      <c r="O13" s="10">
        <f t="shared" si="6"/>
        <v>1.9473078368295489E-2</v>
      </c>
      <c r="P13" s="10">
        <f t="shared" si="6"/>
        <v>1.9425854661237658E-2</v>
      </c>
      <c r="Q13" s="10">
        <f t="shared" si="6"/>
        <v>1.9374849728046865E-2</v>
      </c>
      <c r="R13" s="10">
        <f t="shared" si="6"/>
        <v>1.9320225649667504E-2</v>
      </c>
      <c r="S13" s="10">
        <f t="shared" si="6"/>
        <v>1.9262141611708836E-2</v>
      </c>
      <c r="T13" s="10">
        <f t="shared" si="6"/>
        <v>1.9200753761870002E-2</v>
      </c>
      <c r="U13" s="10">
        <f t="shared" si="6"/>
        <v>1.9136215084768468E-2</v>
      </c>
      <c r="V13" s="10">
        <f t="shared" si="6"/>
        <v>1.9068675293418946E-2</v>
      </c>
      <c r="W13" s="10">
        <f t="shared" si="6"/>
        <v>1.8998280736582173E-2</v>
      </c>
      <c r="X13" s="10">
        <f t="shared" si="6"/>
        <v>1.8925174321180661E-2</v>
      </c>
      <c r="Y13" s="10">
        <f t="shared" si="6"/>
        <v>1.8849495448964585E-2</v>
      </c>
      <c r="Z13" s="10">
        <f t="shared" si="6"/>
        <v>1.8771379966609304E-2</v>
      </c>
      <c r="AA13" s="10">
        <f t="shared" si="6"/>
        <v>1.869096012841957E-2</v>
      </c>
      <c r="AB13" s="10">
        <f t="shared" si="6"/>
        <v>1.860836457082719E-2</v>
      </c>
      <c r="AC13" s="10">
        <f t="shared" si="6"/>
        <v>1.8523718297875968E-2</v>
      </c>
      <c r="AD13" s="10">
        <f t="shared" si="6"/>
        <v>1.8437142676904741E-2</v>
      </c>
      <c r="AE13" s="10">
        <f t="shared" si="6"/>
        <v>1.8348755443656994E-2</v>
      </c>
      <c r="AF13" s="10">
        <f t="shared" si="6"/>
        <v>1.8258670716067377E-2</v>
      </c>
      <c r="AG13" s="10">
        <f t="shared" si="6"/>
        <v>1.8166999016000707E-2</v>
      </c>
      <c r="AH13" s="10">
        <f t="shared" si="6"/>
        <v>1.8073847298244627E-2</v>
      </c>
      <c r="AI13" s="10">
        <f t="shared" si="6"/>
        <v>1.797931898608679E-2</v>
      </c>
      <c r="AJ13" s="10">
        <f t="shared" si="6"/>
        <v>1.7883514012835069E-2</v>
      </c>
      <c r="AK13" s="10">
        <f t="shared" si="6"/>
        <v>1.7786528868669896E-2</v>
      </c>
      <c r="AL13" s="10">
        <f t="shared" si="6"/>
        <v>1.768845665225291E-2</v>
      </c>
      <c r="AM13" s="10">
        <f t="shared" si="6"/>
        <v>1.7589387126538396E-2</v>
      </c>
      <c r="AN13" s="10">
        <f t="shared" si="6"/>
        <v>1.7489406778278163E-2</v>
      </c>
      <c r="AO13" s="10">
        <f t="shared" si="6"/>
        <v>1.7388598880725432E-2</v>
      </c>
      <c r="AP13" s="10">
        <f t="shared" si="6"/>
        <v>1.7287043559091188E-2</v>
      </c>
      <c r="AQ13" s="10">
        <f t="shared" si="6"/>
        <v>1.7184817858320829E-2</v>
      </c>
      <c r="AR13" s="10">
        <f t="shared" si="6"/>
        <v>1.708199581280034E-2</v>
      </c>
      <c r="AS13" s="21">
        <f t="shared" si="6"/>
        <v>1.6978648517620806E-2</v>
      </c>
      <c r="AT13" s="10">
        <f t="shared" si="6"/>
        <v>1.6874844201063392E-2</v>
      </c>
      <c r="AU13" s="10">
        <f t="shared" si="6"/>
        <v>1.6770648297989525E-2</v>
      </c>
      <c r="AV13" s="10">
        <f t="shared" si="6"/>
        <v>1.6666123523850249E-2</v>
      </c>
      <c r="AW13" s="10">
        <f t="shared" si="6"/>
        <v>1.6561329949046584E-2</v>
      </c>
      <c r="AX13" s="10">
        <f t="shared" si="6"/>
        <v>1.6456325073403739E-2</v>
      </c>
      <c r="AY13" s="10">
        <f t="shared" si="6"/>
        <v>1.6351163900537913E-2</v>
      </c>
      <c r="AZ13" s="10">
        <f t="shared" si="6"/>
        <v>1.6245899011916011E-2</v>
      </c>
      <c r="BA13" s="10">
        <f t="shared" si="6"/>
        <v>1.6140580621986911E-2</v>
      </c>
      <c r="BB13" s="10">
        <f t="shared" si="6"/>
        <v>1.6035256722742027E-2</v>
      </c>
      <c r="BC13" s="10">
        <f t="shared" si="6"/>
        <v>1.5929973051395173E-2</v>
      </c>
      <c r="BD13" s="10">
        <f t="shared" si="6"/>
        <v>1.5824773229388016E-2</v>
      </c>
      <c r="BE13" s="10">
        <f t="shared" si="6"/>
        <v>1.571969881607356E-2</v>
      </c>
      <c r="BF13" s="10">
        <f t="shared" si="6"/>
        <v>1.5614789377780377E-2</v>
      </c>
      <c r="BG13" s="10">
        <f t="shared" si="6"/>
        <v>1.5510082555665806E-2</v>
      </c>
      <c r="BH13" s="10">
        <f t="shared" si="6"/>
        <v>1.5405614132280207E-2</v>
      </c>
      <c r="BI13" s="10">
        <f t="shared" si="6"/>
        <v>1.5301418096784564E-2</v>
      </c>
      <c r="BJ13" s="10">
        <f t="shared" si="6"/>
        <v>1.5197526708764201E-2</v>
      </c>
      <c r="BK13" s="10">
        <f t="shared" si="6"/>
        <v>1.5093970560600514E-2</v>
      </c>
      <c r="BL13" s="10">
        <f t="shared" si="6"/>
        <v>1.4990778638364712E-2</v>
      </c>
      <c r="BM13" s="10">
        <f t="shared" si="6"/>
        <v>1.4887978381206295E-2</v>
      </c>
      <c r="BN13" s="10">
        <f t="shared" si="6"/>
        <v>1.4785595739221204E-2</v>
      </c>
      <c r="BO13" s="10">
        <f t="shared" si="6"/>
        <v>1.4683655229781316E-2</v>
      </c>
      <c r="BP13" s="10">
        <f t="shared" si="6"/>
        <v>1.4582179992324728E-2</v>
      </c>
      <c r="BQ13" s="10">
        <f t="shared" si="6"/>
        <v>1.4481191841601236E-2</v>
      </c>
      <c r="BR13" s="10">
        <f t="shared" si="6"/>
        <v>1.4380711319380334E-2</v>
      </c>
      <c r="BS13" s="10">
        <f t="shared" ref="BS13:CL13" si="7">RATE(84,1,BS41,0)</f>
        <v>1.4280757744624376E-2</v>
      </c>
      <c r="BT13" s="10">
        <f t="shared" si="7"/>
        <v>1.4181349262145575E-2</v>
      </c>
      <c r="BU13" s="10">
        <f t="shared" si="7"/>
        <v>1.408250288975571E-2</v>
      </c>
      <c r="BV13" s="10">
        <f t="shared" si="7"/>
        <v>1.3984234563929665E-2</v>
      </c>
      <c r="BW13" s="10">
        <f t="shared" si="7"/>
        <v>1.3886559184002781E-2</v>
      </c>
      <c r="BX13" s="10">
        <f t="shared" si="7"/>
        <v>1.3789490654926788E-2</v>
      </c>
      <c r="BY13" s="10">
        <f t="shared" si="7"/>
        <v>1.3693041928604514E-2</v>
      </c>
      <c r="BZ13" s="10">
        <f t="shared" si="7"/>
        <v>1.3597225043836671E-2</v>
      </c>
      <c r="CA13" s="10">
        <f t="shared" si="7"/>
        <v>1.3502051164902319E-2</v>
      </c>
      <c r="CB13" s="10">
        <f t="shared" si="7"/>
        <v>1.3407530618807032E-2</v>
      </c>
      <c r="CC13" s="10">
        <f t="shared" si="7"/>
        <v>1.3313672931227101E-2</v>
      </c>
      <c r="CD13" s="10">
        <f t="shared" si="7"/>
        <v>1.3220486861177801E-2</v>
      </c>
      <c r="CE13" s="10">
        <f t="shared" si="7"/>
        <v>1.3127980434445673E-2</v>
      </c>
      <c r="CF13" s="10">
        <f t="shared" si="7"/>
        <v>1.3036160975805431E-2</v>
      </c>
      <c r="CG13" s="10">
        <f t="shared" si="7"/>
        <v>1.2945035140063302E-2</v>
      </c>
      <c r="CH13" s="10">
        <f t="shared" si="7"/>
        <v>1.2854608941954769E-2</v>
      </c>
      <c r="CI13" s="10">
        <f t="shared" si="7"/>
        <v>1.2764887784927967E-2</v>
      </c>
      <c r="CJ13" s="10">
        <f t="shared" si="7"/>
        <v>1.2675876488849724E-2</v>
      </c>
      <c r="CK13" s="10">
        <f t="shared" si="7"/>
        <v>1.2587579316660413E-2</v>
      </c>
      <c r="CL13" s="10">
        <f t="shared" si="7"/>
        <v>1.2500000000014753E-2</v>
      </c>
    </row>
    <row r="14" spans="5:90" ht="18" hidden="1" customHeight="1" x14ac:dyDescent="0.25">
      <c r="F14" s="18">
        <v>1.2999999999999999E-2</v>
      </c>
      <c r="G14" s="10">
        <f t="shared" ref="G14:BR14" si="8">RATE(84,1,G42,0)</f>
        <v>1.9694869337128645E-2</v>
      </c>
      <c r="H14" s="10">
        <f t="shared" si="8"/>
        <v>1.968477666044538E-2</v>
      </c>
      <c r="I14" s="10">
        <f t="shared" si="8"/>
        <v>1.9669889892879072E-2</v>
      </c>
      <c r="J14" s="10">
        <f t="shared" si="8"/>
        <v>1.9650375937437237E-2</v>
      </c>
      <c r="K14" s="10">
        <f t="shared" si="8"/>
        <v>1.9626400404028705E-2</v>
      </c>
      <c r="L14" s="10">
        <f t="shared" si="8"/>
        <v>1.9598127355026643E-2</v>
      </c>
      <c r="M14" s="10">
        <f t="shared" si="8"/>
        <v>1.9565719069731032E-2</v>
      </c>
      <c r="N14" s="10">
        <f t="shared" si="8"/>
        <v>1.9529335827485037E-2</v>
      </c>
      <c r="O14" s="10">
        <f t="shared" si="8"/>
        <v>1.9489135709106008E-2</v>
      </c>
      <c r="P14" s="10">
        <f t="shared" si="8"/>
        <v>1.9445274416217618E-2</v>
      </c>
      <c r="Q14" s="10">
        <f t="shared" si="8"/>
        <v>1.9397905107997333E-2</v>
      </c>
      <c r="R14" s="10">
        <f t="shared" si="8"/>
        <v>1.9347178254793915E-2</v>
      </c>
      <c r="S14" s="10">
        <f t="shared" si="8"/>
        <v>1.9293241508022221E-2</v>
      </c>
      <c r="T14" s="10">
        <f t="shared" si="8"/>
        <v>1.9236239585698114E-2</v>
      </c>
      <c r="U14" s="10">
        <f t="shared" si="8"/>
        <v>1.917631417294758E-2</v>
      </c>
      <c r="V14" s="10">
        <f t="shared" si="8"/>
        <v>1.9113603836794838E-2</v>
      </c>
      <c r="W14" s="10">
        <f t="shared" si="8"/>
        <v>1.9048243954519688E-2</v>
      </c>
      <c r="X14" s="10">
        <f t="shared" si="8"/>
        <v>1.8980366654861549E-2</v>
      </c>
      <c r="Y14" s="10">
        <f t="shared" si="8"/>
        <v>1.8910100771343068E-2</v>
      </c>
      <c r="Z14" s="10">
        <f t="shared" si="8"/>
        <v>1.8837571806984504E-2</v>
      </c>
      <c r="AA14" s="10">
        <f t="shared" si="8"/>
        <v>1.8762901909689007E-2</v>
      </c>
      <c r="AB14" s="10">
        <f t="shared" si="8"/>
        <v>1.8686209857582042E-2</v>
      </c>
      <c r="AC14" s="10">
        <f t="shared" si="8"/>
        <v>1.8607611053608281E-2</v>
      </c>
      <c r="AD14" s="10">
        <f t="shared" si="8"/>
        <v>1.852721752869731E-2</v>
      </c>
      <c r="AE14" s="10">
        <f t="shared" si="8"/>
        <v>1.844513795283699E-2</v>
      </c>
      <c r="AF14" s="10">
        <f t="shared" si="8"/>
        <v>1.8361477653405522E-2</v>
      </c>
      <c r="AG14" s="10">
        <f t="shared" si="8"/>
        <v>1.8276338640144257E-2</v>
      </c>
      <c r="AH14" s="10">
        <f t="shared" si="8"/>
        <v>1.8189819636171629E-2</v>
      </c>
      <c r="AI14" s="10">
        <f t="shared" si="8"/>
        <v>1.8102016114467656E-2</v>
      </c>
      <c r="AJ14" s="10">
        <f t="shared" si="8"/>
        <v>1.8013020339282614E-2</v>
      </c>
      <c r="AK14" s="10">
        <f t="shared" si="8"/>
        <v>1.792292141195297E-2</v>
      </c>
      <c r="AL14" s="10">
        <f t="shared" si="8"/>
        <v>1.7831805320632329E-2</v>
      </c>
      <c r="AM14" s="10">
        <f t="shared" si="8"/>
        <v>1.7739754993471881E-2</v>
      </c>
      <c r="AN14" s="10">
        <f t="shared" si="8"/>
        <v>1.7646850354816838E-2</v>
      </c>
      <c r="AO14" s="10">
        <f t="shared" si="8"/>
        <v>1.7553168384004551E-2</v>
      </c>
      <c r="AP14" s="10">
        <f t="shared" si="8"/>
        <v>1.7458783176383115E-2</v>
      </c>
      <c r="AQ14" s="10">
        <f t="shared" si="8"/>
        <v>1.7363766006189805E-2</v>
      </c>
      <c r="AR14" s="10">
        <f t="shared" si="8"/>
        <v>1.7268185390958153E-2</v>
      </c>
      <c r="AS14" s="21">
        <f t="shared" si="8"/>
        <v>1.7172107157141091E-2</v>
      </c>
      <c r="AT14" s="10">
        <f t="shared" si="8"/>
        <v>1.7075594506667565E-2</v>
      </c>
      <c r="AU14" s="10">
        <f t="shared" si="8"/>
        <v>1.6978708084166291E-2</v>
      </c>
      <c r="AV14" s="10">
        <f t="shared" si="8"/>
        <v>1.6881506044614525E-2</v>
      </c>
      <c r="AW14" s="10">
        <f t="shared" si="8"/>
        <v>1.6784044121192009E-2</v>
      </c>
      <c r="AX14" s="10">
        <f t="shared" si="8"/>
        <v>1.6686375693134293E-2</v>
      </c>
      <c r="AY14" s="10">
        <f t="shared" si="8"/>
        <v>1.6588551853404885E-2</v>
      </c>
      <c r="AZ14" s="10">
        <f t="shared" si="8"/>
        <v>1.6490621476015967E-2</v>
      </c>
      <c r="BA14" s="10">
        <f t="shared" si="8"/>
        <v>1.6392631282851094E-2</v>
      </c>
      <c r="BB14" s="10">
        <f t="shared" si="8"/>
        <v>1.6294625909851417E-2</v>
      </c>
      <c r="BC14" s="10">
        <f t="shared" si="8"/>
        <v>1.6196647955058516E-2</v>
      </c>
      <c r="BD14" s="10">
        <f t="shared" si="8"/>
        <v>1.6098738110863632E-2</v>
      </c>
      <c r="BE14" s="10">
        <f t="shared" si="8"/>
        <v>1.6000935128735783E-2</v>
      </c>
      <c r="BF14" s="10">
        <f t="shared" si="8"/>
        <v>1.5903275946078741E-2</v>
      </c>
      <c r="BG14" s="10">
        <f t="shared" si="8"/>
        <v>1.580579573201411E-2</v>
      </c>
      <c r="BH14" s="10">
        <f t="shared" si="8"/>
        <v>1.570852794767821E-2</v>
      </c>
      <c r="BI14" s="10">
        <f t="shared" si="8"/>
        <v>1.5611504405296199E-2</v>
      </c>
      <c r="BJ14" s="10">
        <f t="shared" si="8"/>
        <v>1.5514755325990271E-2</v>
      </c>
      <c r="BK14" s="10">
        <f t="shared" si="8"/>
        <v>1.5418309396286294E-2</v>
      </c>
      <c r="BL14" s="10">
        <f t="shared" si="8"/>
        <v>1.5322193823292132E-2</v>
      </c>
      <c r="BM14" s="10">
        <f t="shared" si="8"/>
        <v>1.5226434388524748E-2</v>
      </c>
      <c r="BN14" s="10">
        <f t="shared" si="8"/>
        <v>1.5131055500372172E-2</v>
      </c>
      <c r="BO14" s="10">
        <f t="shared" si="8"/>
        <v>1.5036080245179396E-2</v>
      </c>
      <c r="BP14" s="10">
        <f t="shared" si="8"/>
        <v>1.4941530436953676E-2</v>
      </c>
      <c r="BQ14" s="10">
        <f t="shared" si="8"/>
        <v>1.4847426665690274E-2</v>
      </c>
      <c r="BR14" s="10">
        <f t="shared" si="8"/>
        <v>1.4753788344319724E-2</v>
      </c>
      <c r="BS14" s="10">
        <f t="shared" ref="BS14:CL14" si="9">RATE(84,1,BS42,0)</f>
        <v>1.4660633754287356E-2</v>
      </c>
      <c r="BT14" s="10">
        <f t="shared" si="9"/>
        <v>1.4567980089772373E-2</v>
      </c>
      <c r="BU14" s="10">
        <f t="shared" si="9"/>
        <v>1.4475843500563022E-2</v>
      </c>
      <c r="BV14" s="10">
        <f t="shared" si="9"/>
        <v>1.4384239133602062E-2</v>
      </c>
      <c r="BW14" s="10">
        <f t="shared" si="9"/>
        <v>1.4293181173221467E-2</v>
      </c>
      <c r="BX14" s="10">
        <f t="shared" si="9"/>
        <v>1.4202682880087235E-2</v>
      </c>
      <c r="BY14" s="10">
        <f t="shared" si="9"/>
        <v>1.4112756628874869E-2</v>
      </c>
      <c r="BZ14" s="10">
        <f t="shared" si="9"/>
        <v>1.4023413944700755E-2</v>
      </c>
      <c r="CA14" s="10">
        <f t="shared" si="9"/>
        <v>1.3934665538332216E-2</v>
      </c>
      <c r="CB14" s="10">
        <f t="shared" si="9"/>
        <v>1.3846521340203666E-2</v>
      </c>
      <c r="CC14" s="10">
        <f t="shared" si="9"/>
        <v>1.375899053326448E-2</v>
      </c>
      <c r="CD14" s="10">
        <f t="shared" si="9"/>
        <v>1.3672081584684919E-2</v>
      </c>
      <c r="CE14" s="10">
        <f t="shared" si="9"/>
        <v>1.3585802276450046E-2</v>
      </c>
      <c r="CF14" s="10">
        <f t="shared" si="9"/>
        <v>1.3500159734867623E-2</v>
      </c>
      <c r="CG14" s="10">
        <f t="shared" si="9"/>
        <v>1.3415160459019129E-2</v>
      </c>
      <c r="CH14" s="10">
        <f t="shared" si="9"/>
        <v>1.3330810348181414E-2</v>
      </c>
      <c r="CI14" s="10">
        <f t="shared" si="9"/>
        <v>1.3247114728250502E-2</v>
      </c>
      <c r="CJ14" s="10">
        <f t="shared" si="9"/>
        <v>1.3164078377189827E-2</v>
      </c>
      <c r="CK14" s="10">
        <f t="shared" si="9"/>
        <v>1.3081705549539508E-2</v>
      </c>
      <c r="CL14" s="10">
        <f t="shared" si="9"/>
        <v>1.3000000000007159E-2</v>
      </c>
    </row>
    <row r="15" spans="5:90" ht="17.25" customHeight="1" x14ac:dyDescent="0.25">
      <c r="F15" s="18">
        <v>1.32E-2</v>
      </c>
      <c r="G15" s="10">
        <f t="shared" ref="G15:BR15" si="10">RATE(84,1,G43,0)</f>
        <v>1.9695023455391043E-2</v>
      </c>
      <c r="H15" s="10">
        <f t="shared" si="10"/>
        <v>1.9685234811035724E-2</v>
      </c>
      <c r="I15" s="10">
        <f t="shared" si="10"/>
        <v>1.9670797665018964E-2</v>
      </c>
      <c r="J15" s="10">
        <f t="shared" si="10"/>
        <v>1.9651874494588082E-2</v>
      </c>
      <c r="K15" s="10">
        <f t="shared" si="10"/>
        <v>1.9628626401898018E-2</v>
      </c>
      <c r="L15" s="10">
        <f t="shared" si="10"/>
        <v>1.9601212877636734E-2</v>
      </c>
      <c r="M15" s="10">
        <f t="shared" si="10"/>
        <v>1.956979158264692E-2</v>
      </c>
      <c r="N15" s="10">
        <f t="shared" si="10"/>
        <v>1.9534518147264326E-2</v>
      </c>
      <c r="O15" s="10">
        <f t="shared" si="10"/>
        <v>1.9495545988014756E-2</v>
      </c>
      <c r="P15" s="10">
        <f t="shared" si="10"/>
        <v>1.9453026141242866E-2</v>
      </c>
      <c r="Q15" s="10">
        <f t="shared" si="10"/>
        <v>1.9407107113178213E-2</v>
      </c>
      <c r="R15" s="10">
        <f t="shared" si="10"/>
        <v>1.9357934745901955E-2</v>
      </c>
      <c r="S15" s="10">
        <f t="shared" si="10"/>
        <v>1.9305652098628043E-2</v>
      </c>
      <c r="T15" s="10">
        <f t="shared" si="10"/>
        <v>1.925039934367731E-2</v>
      </c>
      <c r="U15" s="10">
        <f t="shared" si="10"/>
        <v>1.91923136765015E-2</v>
      </c>
      <c r="V15" s="10">
        <f t="shared" si="10"/>
        <v>1.91315292390851E-2</v>
      </c>
      <c r="W15" s="10">
        <f t="shared" si="10"/>
        <v>1.9068177056046513E-2</v>
      </c>
      <c r="X15" s="10">
        <f t="shared" si="10"/>
        <v>1.9002384982747728E-2</v>
      </c>
      <c r="Y15" s="10">
        <f t="shared" si="10"/>
        <v>1.8934277664719831E-2</v>
      </c>
      <c r="Z15" s="10">
        <f t="shared" si="10"/>
        <v>1.8863976507714219E-2</v>
      </c>
      <c r="AA15" s="10">
        <f t="shared" si="10"/>
        <v>1.8791599657695585E-2</v>
      </c>
      <c r="AB15" s="10">
        <f t="shared" si="10"/>
        <v>1.8717261990103536E-2</v>
      </c>
      <c r="AC15" s="10">
        <f t="shared" si="10"/>
        <v>1.8641075107720274E-2</v>
      </c>
      <c r="AD15" s="10">
        <f t="shared" si="10"/>
        <v>1.85631473465032E-2</v>
      </c>
      <c r="AE15" s="10">
        <f t="shared" si="10"/>
        <v>1.8483583788753814E-2</v>
      </c>
      <c r="AF15" s="10">
        <f t="shared" si="10"/>
        <v>1.840248628302112E-2</v>
      </c>
      <c r="AG15" s="10">
        <f t="shared" si="10"/>
        <v>1.8319953470153562E-2</v>
      </c>
      <c r="AH15" s="10">
        <f t="shared" si="10"/>
        <v>1.8236080814943399E-2</v>
      </c>
      <c r="AI15" s="10">
        <f t="shared" si="10"/>
        <v>1.8150960642826092E-2</v>
      </c>
      <c r="AJ15" s="10">
        <f t="shared" si="10"/>
        <v>1.8064682181127587E-2</v>
      </c>
      <c r="AK15" s="10">
        <f t="shared" si="10"/>
        <v>1.7977331604372645E-2</v>
      </c>
      <c r="AL15" s="10">
        <f t="shared" si="10"/>
        <v>1.788899208319733E-2</v>
      </c>
      <c r="AM15" s="10">
        <f t="shared" si="10"/>
        <v>1.7799743836433634E-2</v>
      </c>
      <c r="AN15" s="10">
        <f t="shared" si="10"/>
        <v>1.7709664185956209E-2</v>
      </c>
      <c r="AO15" s="10">
        <f t="shared" si="10"/>
        <v>1.7618827613910641E-2</v>
      </c>
      <c r="AP15" s="10">
        <f t="shared" si="10"/>
        <v>1.7527305821966647E-2</v>
      </c>
      <c r="AQ15" s="10">
        <f t="shared" si="10"/>
        <v>1.743516779225892E-2</v>
      </c>
      <c r="AR15" s="10">
        <f t="shared" si="10"/>
        <v>1.7342479849709432E-2</v>
      </c>
      <c r="AS15" s="21">
        <f t="shared" si="10"/>
        <v>1.7249305725439971E-2</v>
      </c>
      <c r="AT15" s="10">
        <f t="shared" si="10"/>
        <v>1.7155706621011926E-2</v>
      </c>
      <c r="AU15" s="10">
        <f t="shared" si="10"/>
        <v>1.7061741273244301E-2</v>
      </c>
      <c r="AV15" s="10">
        <f t="shared" si="10"/>
        <v>1.6967466019389268E-2</v>
      </c>
      <c r="AW15" s="10">
        <f t="shared" si="10"/>
        <v>1.6872934862454579E-2</v>
      </c>
      <c r="AX15" s="10">
        <f t="shared" si="10"/>
        <v>1.677819953648851E-2</v>
      </c>
      <c r="AY15" s="10">
        <f t="shared" si="10"/>
        <v>1.6683309571652913E-2</v>
      </c>
      <c r="AZ15" s="10">
        <f t="shared" si="10"/>
        <v>1.6588312358932995E-2</v>
      </c>
      <c r="BA15" s="10">
        <f t="shared" si="10"/>
        <v>1.6493253214341773E-2</v>
      </c>
      <c r="BB15" s="10">
        <f t="shared" si="10"/>
        <v>1.6398175442495437E-2</v>
      </c>
      <c r="BC15" s="10">
        <f t="shared" si="10"/>
        <v>1.6303120399448024E-2</v>
      </c>
      <c r="BD15" s="10">
        <f t="shared" si="10"/>
        <v>1.6208127554684267E-2</v>
      </c>
      <c r="BE15" s="10">
        <f t="shared" si="10"/>
        <v>1.6113234533206372E-2</v>
      </c>
      <c r="BF15" s="10">
        <f t="shared" si="10"/>
        <v>1.6018477249547504E-2</v>
      </c>
      <c r="BG15" s="10">
        <f t="shared" si="10"/>
        <v>1.5923889858611845E-2</v>
      </c>
      <c r="BH15" s="10">
        <f t="shared" si="10"/>
        <v>1.5829504883907372E-2</v>
      </c>
      <c r="BI15" s="10">
        <f t="shared" si="10"/>
        <v>1.5735353257057039E-2</v>
      </c>
      <c r="BJ15" s="10">
        <f t="shared" si="10"/>
        <v>1.5641464373277639E-2</v>
      </c>
      <c r="BK15" s="10">
        <f t="shared" si="10"/>
        <v>1.5547866145611803E-2</v>
      </c>
      <c r="BL15" s="10">
        <f t="shared" si="10"/>
        <v>1.5454585057888369E-2</v>
      </c>
      <c r="BM15" s="10">
        <f t="shared" si="10"/>
        <v>1.5361646216389999E-2</v>
      </c>
      <c r="BN15" s="10">
        <f t="shared" si="10"/>
        <v>1.5269073400214245E-2</v>
      </c>
      <c r="BO15" s="10">
        <f t="shared" si="10"/>
        <v>1.5176889110321974E-2</v>
      </c>
      <c r="BP15" s="10">
        <f t="shared" si="10"/>
        <v>1.5085114617264066E-2</v>
      </c>
      <c r="BQ15" s="10">
        <f t="shared" si="10"/>
        <v>1.499377000759298E-2</v>
      </c>
      <c r="BR15" s="10">
        <f t="shared" si="10"/>
        <v>1.4902874228955384E-2</v>
      </c>
      <c r="BS15" s="10">
        <f t="shared" ref="BS15:CL15" si="11">RATE(84,1,BS43,0)</f>
        <v>1.4812445133881282E-2</v>
      </c>
      <c r="BT15" s="10">
        <f t="shared" si="11"/>
        <v>1.4722499522272801E-2</v>
      </c>
      <c r="BU15" s="10">
        <f t="shared" si="11"/>
        <v>1.4633053182610377E-2</v>
      </c>
      <c r="BV15" s="10">
        <f t="shared" si="11"/>
        <v>1.4544120931890156E-2</v>
      </c>
      <c r="BW15" s="10">
        <f t="shared" si="11"/>
        <v>1.4455716654309288E-2</v>
      </c>
      <c r="BX15" s="10">
        <f t="shared" si="11"/>
        <v>1.4367853338719518E-2</v>
      </c>
      <c r="BY15" s="10">
        <f t="shared" si="11"/>
        <v>1.4280543114869981E-2</v>
      </c>
      <c r="BZ15" s="10">
        <f t="shared" si="11"/>
        <v>1.4193797288461278E-2</v>
      </c>
      <c r="CA15" s="10">
        <f t="shared" si="11"/>
        <v>1.4107626375033024E-2</v>
      </c>
      <c r="CB15" s="10">
        <f t="shared" si="11"/>
        <v>1.4022040132711657E-2</v>
      </c>
      <c r="CC15" s="10">
        <f t="shared" si="11"/>
        <v>1.3937047593841137E-2</v>
      </c>
      <c r="CD15" s="10">
        <f t="shared" si="11"/>
        <v>1.3852657095523961E-2</v>
      </c>
      <c r="CE15" s="10">
        <f t="shared" si="11"/>
        <v>1.3768876309098696E-2</v>
      </c>
      <c r="CF15" s="10">
        <f t="shared" si="11"/>
        <v>1.3685712268578187E-2</v>
      </c>
      <c r="CG15" s="10">
        <f t="shared" si="11"/>
        <v>1.3603171398079856E-2</v>
      </c>
      <c r="CH15" s="10">
        <f t="shared" si="11"/>
        <v>1.3521259538269841E-2</v>
      </c>
      <c r="CI15" s="10">
        <f t="shared" si="11"/>
        <v>1.3439981971852434E-2</v>
      </c>
      <c r="CJ15" s="10">
        <f t="shared" si="11"/>
        <v>1.3359343448128511E-2</v>
      </c>
      <c r="CK15" s="10">
        <f t="shared" si="11"/>
        <v>1.3279348206650912E-2</v>
      </c>
      <c r="CL15" s="10">
        <f t="shared" si="11"/>
        <v>1.3200000000005284E-2</v>
      </c>
    </row>
    <row r="16" spans="5:90" ht="18" customHeight="1" x14ac:dyDescent="0.25">
      <c r="F16" s="18">
        <v>1.35E-2</v>
      </c>
      <c r="G16" s="10">
        <f t="shared" ref="G16:BR16" si="12">RATE(84,1,G44,0)</f>
        <v>1.9695254520870269E-2</v>
      </c>
      <c r="H16" s="10">
        <f t="shared" si="12"/>
        <v>1.9685921604269283E-2</v>
      </c>
      <c r="I16" s="10">
        <f t="shared" si="12"/>
        <v>1.9672158280320463E-2</v>
      </c>
      <c r="J16" s="10">
        <f t="shared" si="12"/>
        <v>1.9654120322071311E-2</v>
      </c>
      <c r="K16" s="10">
        <f t="shared" si="12"/>
        <v>1.9631962018531311E-2</v>
      </c>
      <c r="L16" s="10">
        <f t="shared" si="12"/>
        <v>1.9605835964292093E-2</v>
      </c>
      <c r="M16" s="10">
        <f t="shared" si="12"/>
        <v>1.9575892865791731E-2</v>
      </c>
      <c r="N16" s="10">
        <f t="shared" si="12"/>
        <v>1.9542281363910122E-2</v>
      </c>
      <c r="O16" s="10">
        <f t="shared" si="12"/>
        <v>1.9505147872507549E-2</v>
      </c>
      <c r="P16" s="10">
        <f t="shared" si="12"/>
        <v>1.946463643247006E-2</v>
      </c>
      <c r="Q16" s="10">
        <f t="shared" si="12"/>
        <v>1.9420888580766876E-2</v>
      </c>
      <c r="R16" s="10">
        <f t="shared" si="12"/>
        <v>1.9374043233991188E-2</v>
      </c>
      <c r="S16" s="10">
        <f t="shared" si="12"/>
        <v>1.932423658581749E-2</v>
      </c>
      <c r="T16" s="10">
        <f t="shared" si="12"/>
        <v>1.9271602017781213E-2</v>
      </c>
      <c r="U16" s="10">
        <f t="shared" si="12"/>
        <v>1.9216270022770141E-2</v>
      </c>
      <c r="V16" s="10">
        <f t="shared" si="12"/>
        <v>1.915836814059679E-2</v>
      </c>
      <c r="W16" s="10">
        <f t="shared" si="12"/>
        <v>1.9098020905016791E-2</v>
      </c>
      <c r="X16" s="10">
        <f t="shared" si="12"/>
        <v>1.9035349801551853E-2</v>
      </c>
      <c r="Y16" s="10">
        <f t="shared" si="12"/>
        <v>1.8970473235476685E-2</v>
      </c>
      <c r="Z16" s="10">
        <f t="shared" si="12"/>
        <v>1.8903506509335328E-2</v>
      </c>
      <c r="AA16" s="10">
        <f t="shared" si="12"/>
        <v>1.8834561809357726E-2</v>
      </c>
      <c r="AB16" s="10">
        <f t="shared" si="12"/>
        <v>1.8763748200162366E-2</v>
      </c>
      <c r="AC16" s="10">
        <f t="shared" si="12"/>
        <v>1.8691171627141165E-2</v>
      </c>
      <c r="AD16" s="10">
        <f t="shared" si="12"/>
        <v>1.861693492594178E-2</v>
      </c>
      <c r="AE16" s="10">
        <f t="shared" si="12"/>
        <v>1.8541137838478394E-2</v>
      </c>
      <c r="AF16" s="10">
        <f t="shared" si="12"/>
        <v>1.8463877034925864E-2</v>
      </c>
      <c r="AG16" s="10">
        <f t="shared" si="12"/>
        <v>1.8385246141166649E-2</v>
      </c>
      <c r="AH16" s="10">
        <f t="shared" si="12"/>
        <v>1.8305335771189656E-2</v>
      </c>
      <c r="AI16" s="10">
        <f t="shared" si="12"/>
        <v>1.822423356395628E-2</v>
      </c>
      <c r="AJ16" s="10">
        <f t="shared" si="12"/>
        <v>1.814202422427677E-2</v>
      </c>
      <c r="AK16" s="10">
        <f t="shared" si="12"/>
        <v>1.8058789567260067E-2</v>
      </c>
      <c r="AL16" s="10">
        <f t="shared" si="12"/>
        <v>1.7974608565927495E-2</v>
      </c>
      <c r="AM16" s="10">
        <f t="shared" si="12"/>
        <v>1.7889557401598817E-2</v>
      </c>
      <c r="AN16" s="10">
        <f t="shared" si="12"/>
        <v>1.7803709516690209E-2</v>
      </c>
      <c r="AO16" s="10">
        <f t="shared" si="12"/>
        <v>1.7717135669576341E-2</v>
      </c>
      <c r="AP16" s="10">
        <f t="shared" si="12"/>
        <v>1.7629903991199999E-2</v>
      </c>
      <c r="AQ16" s="10">
        <f t="shared" si="12"/>
        <v>1.7542080043131372E-2</v>
      </c>
      <c r="AR16" s="10">
        <f t="shared" si="12"/>
        <v>1.7453726876795465E-2</v>
      </c>
      <c r="AS16" s="21">
        <f t="shared" si="12"/>
        <v>1.7364905093615494E-2</v>
      </c>
      <c r="AT16" s="10">
        <f t="shared" si="12"/>
        <v>1.7275672905830763E-2</v>
      </c>
      <c r="AU16" s="10">
        <f t="shared" si="12"/>
        <v>1.7186086197772562E-2</v>
      </c>
      <c r="AV16" s="10">
        <f t="shared" si="12"/>
        <v>1.709619858739693E-2</v>
      </c>
      <c r="AW16" s="10">
        <f t="shared" si="12"/>
        <v>1.7006061487887934E-2</v>
      </c>
      <c r="AX16" s="10">
        <f t="shared" si="12"/>
        <v>1.6915724169168155E-2</v>
      </c>
      <c r="AY16" s="10">
        <f t="shared" si="12"/>
        <v>1.6825233819159825E-2</v>
      </c>
      <c r="AZ16" s="10">
        <f t="shared" si="12"/>
        <v>1.6734635604661326E-2</v>
      </c>
      <c r="BA16" s="10">
        <f t="shared" si="12"/>
        <v>1.664397273171352E-2</v>
      </c>
      <c r="BB16" s="10">
        <f t="shared" si="12"/>
        <v>1.6553286505347396E-2</v>
      </c>
      <c r="BC16" s="10">
        <f t="shared" si="12"/>
        <v>1.646261638860794E-2</v>
      </c>
      <c r="BD16" s="10">
        <f t="shared" si="12"/>
        <v>1.6372000060774168E-2</v>
      </c>
      <c r="BE16" s="10">
        <f t="shared" si="12"/>
        <v>1.6281473474690708E-2</v>
      </c>
      <c r="BF16" s="10">
        <f t="shared" si="12"/>
        <v>1.6191070895655118E-2</v>
      </c>
      <c r="BG16" s="10">
        <f t="shared" si="12"/>
        <v>1.6100825025018757E-2</v>
      </c>
      <c r="BH16" s="10">
        <f t="shared" si="12"/>
        <v>1.6010766954590128E-2</v>
      </c>
      <c r="BI16" s="10">
        <f t="shared" si="12"/>
        <v>1.5920926284901538E-2</v>
      </c>
      <c r="BJ16" s="10">
        <f t="shared" si="12"/>
        <v>1.5831331161368499E-2</v>
      </c>
      <c r="BK16" s="10">
        <f t="shared" si="12"/>
        <v>1.5742008325185412E-2</v>
      </c>
      <c r="BL16" s="10">
        <f t="shared" si="12"/>
        <v>1.5652983163029828E-2</v>
      </c>
      <c r="BM16" s="10">
        <f t="shared" si="12"/>
        <v>1.5564279755559112E-2</v>
      </c>
      <c r="BN16" s="10">
        <f t="shared" si="12"/>
        <v>1.5475920924689725E-2</v>
      </c>
      <c r="BO16" s="10">
        <f t="shared" si="12"/>
        <v>1.5387928279648603E-2</v>
      </c>
      <c r="BP16" s="10">
        <f t="shared" si="12"/>
        <v>1.5300322261795046E-2</v>
      </c>
      <c r="BQ16" s="10">
        <f t="shared" si="12"/>
        <v>1.5213122188213583E-2</v>
      </c>
      <c r="BR16" s="10">
        <f t="shared" si="12"/>
        <v>1.5126346294083673E-2</v>
      </c>
      <c r="BS16" s="10">
        <f t="shared" ref="BS16:CL16" si="13">RATE(84,1,BS44,0)</f>
        <v>1.5040011773829102E-2</v>
      </c>
      <c r="BT16" s="10">
        <f t="shared" si="13"/>
        <v>1.4954134821061629E-2</v>
      </c>
      <c r="BU16" s="10">
        <f t="shared" si="13"/>
        <v>1.4868730667327714E-2</v>
      </c>
      <c r="BV16" s="10">
        <f t="shared" si="13"/>
        <v>1.4783813619673979E-2</v>
      </c>
      <c r="BW16" s="10">
        <f t="shared" si="13"/>
        <v>1.4699397097049727E-2</v>
      </c>
      <c r="BX16" s="10">
        <f t="shared" si="13"/>
        <v>1.4615493665558685E-2</v>
      </c>
      <c r="BY16" s="10">
        <f t="shared" si="13"/>
        <v>1.4532115072586478E-2</v>
      </c>
      <c r="BZ16" s="10">
        <f t="shared" si="13"/>
        <v>1.4449272279819902E-2</v>
      </c>
      <c r="CA16" s="10">
        <f t="shared" si="13"/>
        <v>1.436697549517906E-2</v>
      </c>
      <c r="CB16" s="10">
        <f t="shared" si="13"/>
        <v>1.4285234203689068E-2</v>
      </c>
      <c r="CC16" s="10">
        <f t="shared" si="13"/>
        <v>1.420405719731011E-2</v>
      </c>
      <c r="CD16" s="10">
        <f t="shared" si="13"/>
        <v>1.412345260375061E-2</v>
      </c>
      <c r="CE16" s="10">
        <f t="shared" si="13"/>
        <v>1.4043427914291624E-2</v>
      </c>
      <c r="CF16" s="10">
        <f t="shared" si="13"/>
        <v>1.396399001063988E-2</v>
      </c>
      <c r="CG16" s="10">
        <f t="shared" si="13"/>
        <v>1.3885145190840532E-2</v>
      </c>
      <c r="CH16" s="10">
        <f t="shared" si="13"/>
        <v>1.3806899194271211E-2</v>
      </c>
      <c r="CI16" s="10">
        <f t="shared" si="13"/>
        <v>1.3729257225742296E-2</v>
      </c>
      <c r="CJ16" s="10">
        <f t="shared" si="13"/>
        <v>1.3652223978729838E-2</v>
      </c>
      <c r="CK16" s="10">
        <f t="shared" si="13"/>
        <v>1.3575803657765041E-2</v>
      </c>
      <c r="CL16" s="10">
        <f t="shared" si="13"/>
        <v>1.3500000000003523E-2</v>
      </c>
    </row>
    <row r="17" spans="6:90" ht="18" customHeight="1" x14ac:dyDescent="0.25">
      <c r="F17" s="18">
        <v>1.4E-2</v>
      </c>
      <c r="G17" s="10">
        <f t="shared" ref="G17:BR17" si="14">RATE(84,1,G45,0)</f>
        <v>1.969563933185231E-2</v>
      </c>
      <c r="H17" s="10">
        <f t="shared" si="14"/>
        <v>1.968706510727436E-2</v>
      </c>
      <c r="I17" s="10">
        <f t="shared" si="14"/>
        <v>1.9674423195177451E-2</v>
      </c>
      <c r="J17" s="10">
        <f t="shared" si="14"/>
        <v>1.9657858020708949E-2</v>
      </c>
      <c r="K17" s="10">
        <f t="shared" si="14"/>
        <v>1.9637512380797081E-2</v>
      </c>
      <c r="L17" s="10">
        <f t="shared" si="14"/>
        <v>1.9613527274114913E-2</v>
      </c>
      <c r="M17" s="10">
        <f t="shared" si="14"/>
        <v>1.9586041745469615E-2</v>
      </c>
      <c r="N17" s="10">
        <f t="shared" si="14"/>
        <v>1.9555192744257183E-2</v>
      </c>
      <c r="O17" s="10">
        <f t="shared" si="14"/>
        <v>1.9521114996579415E-2</v>
      </c>
      <c r="P17" s="10">
        <f t="shared" si="14"/>
        <v>1.9483940890579393E-2</v>
      </c>
      <c r="Q17" s="10">
        <f t="shared" si="14"/>
        <v>1.9443800374518275E-2</v>
      </c>
      <c r="R17" s="10">
        <f t="shared" si="14"/>
        <v>1.9400820867089576E-2</v>
      </c>
      <c r="S17" s="10">
        <f t="shared" si="14"/>
        <v>1.9355127179446194E-2</v>
      </c>
      <c r="T17" s="10">
        <f t="shared" si="14"/>
        <v>1.9306841448397703E-2</v>
      </c>
      <c r="U17" s="10">
        <f t="shared" si="14"/>
        <v>1.9256083080225576E-2</v>
      </c>
      <c r="V17" s="10">
        <f t="shared" si="14"/>
        <v>1.9202968704561216E-2</v>
      </c>
      <c r="W17" s="10">
        <f t="shared" si="14"/>
        <v>1.9147612137759895E-2</v>
      </c>
      <c r="X17" s="10">
        <f t="shared" si="14"/>
        <v>1.9090124355217387E-2</v>
      </c>
      <c r="Y17" s="10">
        <f t="shared" si="14"/>
        <v>1.9030613472069205E-2</v>
      </c>
      <c r="Z17" s="10">
        <f t="shared" si="14"/>
        <v>1.8969184731729594E-2</v>
      </c>
      <c r="AA17" s="10">
        <f t="shared" si="14"/>
        <v>1.890594050172939E-2</v>
      </c>
      <c r="AB17" s="10">
        <f t="shared" si="14"/>
        <v>1.8840980276331711E-2</v>
      </c>
      <c r="AC17" s="10">
        <f t="shared" si="14"/>
        <v>1.8774400685412865E-2</v>
      </c>
      <c r="AD17" s="10">
        <f t="shared" si="14"/>
        <v>1.8706295509114831E-2</v>
      </c>
      <c r="AE17" s="10">
        <f t="shared" si="14"/>
        <v>1.8636755697792402E-2</v>
      </c>
      <c r="AF17" s="10">
        <f t="shared" si="14"/>
        <v>1.8565869396795873E-2</v>
      </c>
      <c r="AG17" s="10">
        <f t="shared" si="14"/>
        <v>1.849372197564873E-2</v>
      </c>
      <c r="AH17" s="10">
        <f t="shared" si="14"/>
        <v>1.8420396061200019E-2</v>
      </c>
      <c r="AI17" s="10">
        <f t="shared" si="14"/>
        <v>1.8345971574352905E-2</v>
      </c>
      <c r="AJ17" s="10">
        <f t="shared" si="14"/>
        <v>1.8270525769984555E-2</v>
      </c>
      <c r="AK17" s="10">
        <f t="shared" si="14"/>
        <v>1.8194133279702908E-2</v>
      </c>
      <c r="AL17" s="10">
        <f t="shared" si="14"/>
        <v>1.8116866157095627E-2</v>
      </c>
      <c r="AM17" s="10">
        <f t="shared" si="14"/>
        <v>1.8038793925153312E-2</v>
      </c>
      <c r="AN17" s="10">
        <f t="shared" si="14"/>
        <v>1.795998362556692E-2</v>
      </c>
      <c r="AO17" s="10">
        <f t="shared" si="14"/>
        <v>1.7880499869614014E-2</v>
      </c>
      <c r="AP17" s="10">
        <f t="shared" si="14"/>
        <v>1.7800404890378471E-2</v>
      </c>
      <c r="AQ17" s="10">
        <f t="shared" si="14"/>
        <v>1.7719758596049896E-2</v>
      </c>
      <c r="AR17" s="10">
        <f t="shared" si="14"/>
        <v>1.7638618624082572E-2</v>
      </c>
      <c r="AS17" s="21">
        <f t="shared" si="14"/>
        <v>1.7557040396000409E-2</v>
      </c>
      <c r="AT17" s="10">
        <f t="shared" si="14"/>
        <v>1.7475077172654115E-2</v>
      </c>
      <c r="AU17" s="10">
        <f t="shared" si="14"/>
        <v>1.739278010975253E-2</v>
      </c>
      <c r="AV17" s="10">
        <f t="shared" si="14"/>
        <v>1.7310198313502227E-2</v>
      </c>
      <c r="AW17" s="10">
        <f t="shared" si="14"/>
        <v>1.7227378896209154E-2</v>
      </c>
      <c r="AX17" s="10">
        <f t="shared" si="14"/>
        <v>1.714436703170227E-2</v>
      </c>
      <c r="AY17" s="10">
        <f t="shared" si="14"/>
        <v>1.706120601045634E-2</v>
      </c>
      <c r="AZ17" s="10">
        <f t="shared" si="14"/>
        <v>1.6977937294303264E-2</v>
      </c>
      <c r="BA17" s="10">
        <f t="shared" si="14"/>
        <v>1.6894600570629026E-2</v>
      </c>
      <c r="BB17" s="10">
        <f t="shared" si="14"/>
        <v>1.6811233805967184E-2</v>
      </c>
      <c r="BC17" s="10">
        <f t="shared" si="14"/>
        <v>1.6727873298908846E-2</v>
      </c>
      <c r="BD17" s="10">
        <f t="shared" si="14"/>
        <v>1.6644553732257397E-2</v>
      </c>
      <c r="BE17" s="10">
        <f t="shared" si="14"/>
        <v>1.6561308224365481E-2</v>
      </c>
      <c r="BF17" s="10">
        <f t="shared" si="14"/>
        <v>1.6478168379599555E-2</v>
      </c>
      <c r="BG17" s="10">
        <f t="shared" si="14"/>
        <v>1.6395164337886223E-2</v>
      </c>
      <c r="BH17" s="10">
        <f t="shared" si="14"/>
        <v>1.6312324823298412E-2</v>
      </c>
      <c r="BI17" s="10">
        <f t="shared" si="14"/>
        <v>1.6229677191650017E-2</v>
      </c>
      <c r="BJ17" s="10">
        <f t="shared" si="14"/>
        <v>1.6147247458751329E-2</v>
      </c>
      <c r="BK17" s="10">
        <f t="shared" si="14"/>
        <v>1.6065060417560059E-2</v>
      </c>
      <c r="BL17" s="10">
        <f t="shared" si="14"/>
        <v>1.5983139577553974E-2</v>
      </c>
      <c r="BM17" s="10">
        <f t="shared" si="14"/>
        <v>1.5901507276714875E-2</v>
      </c>
      <c r="BN17" s="10">
        <f t="shared" si="14"/>
        <v>1.5820184707045548E-2</v>
      </c>
      <c r="BO17" s="10">
        <f t="shared" si="14"/>
        <v>1.5739191955795647E-2</v>
      </c>
      <c r="BP17" s="10">
        <f t="shared" si="14"/>
        <v>1.5658548045599234E-2</v>
      </c>
      <c r="BQ17" s="10">
        <f t="shared" si="14"/>
        <v>1.5578270973525597E-2</v>
      </c>
      <c r="BR17" s="10">
        <f t="shared" si="14"/>
        <v>1.5498377749044783E-2</v>
      </c>
      <c r="BS17" s="10">
        <f t="shared" ref="BS17:CL17" si="15">RATE(84,1,BS45,0)</f>
        <v>1.5418884430921508E-2</v>
      </c>
      <c r="BT17" s="10">
        <f t="shared" si="15"/>
        <v>1.5339806163037404E-2</v>
      </c>
      <c r="BU17" s="10">
        <f t="shared" si="15"/>
        <v>1.5261157209160848E-2</v>
      </c>
      <c r="BV17" s="10">
        <f t="shared" si="15"/>
        <v>1.5182950986673199E-2</v>
      </c>
      <c r="BW17" s="10">
        <f t="shared" si="15"/>
        <v>1.5105200099266008E-2</v>
      </c>
      <c r="BX17" s="10">
        <f t="shared" si="15"/>
        <v>1.5027916368626156E-2</v>
      </c>
      <c r="BY17" s="10">
        <f t="shared" si="15"/>
        <v>1.4951110865125829E-2</v>
      </c>
      <c r="BZ17" s="10">
        <f t="shared" si="15"/>
        <v>1.4874793937533508E-2</v>
      </c>
      <c r="CA17" s="10">
        <f t="shared" si="15"/>
        <v>1.4798975241768745E-2</v>
      </c>
      <c r="CB17" s="10">
        <f t="shared" si="15"/>
        <v>1.472366376871441E-2</v>
      </c>
      <c r="CC17" s="10">
        <f t="shared" si="15"/>
        <v>1.4648867871113424E-2</v>
      </c>
      <c r="CD17" s="10">
        <f t="shared" si="15"/>
        <v>1.4574595289564864E-2</v>
      </c>
      <c r="CE17" s="10">
        <f t="shared" si="15"/>
        <v>1.4500853177642671E-2</v>
      </c>
      <c r="CF17" s="10">
        <f t="shared" si="15"/>
        <v>1.4427648126160637E-2</v>
      </c>
      <c r="CG17" s="10">
        <f t="shared" si="15"/>
        <v>1.4354986186599156E-2</v>
      </c>
      <c r="CH17" s="10">
        <f t="shared" si="15"/>
        <v>1.4282872893722142E-2</v>
      </c>
      <c r="CI17" s="10">
        <f t="shared" si="15"/>
        <v>1.4211313287400759E-2</v>
      </c>
      <c r="CJ17" s="10">
        <f t="shared" si="15"/>
        <v>1.4140311933666928E-2</v>
      </c>
      <c r="CK17" s="10">
        <f t="shared" si="15"/>
        <v>1.4069872945019476E-2</v>
      </c>
      <c r="CL17" s="10">
        <f t="shared" si="15"/>
        <v>1.400000000000144E-2</v>
      </c>
    </row>
    <row r="18" spans="6:90" ht="18" customHeight="1" x14ac:dyDescent="0.25">
      <c r="F18" s="18">
        <v>1.47E-2</v>
      </c>
      <c r="G18" s="10">
        <f t="shared" ref="G18:BR18" si="16">RATE(84,1,G46,0)</f>
        <v>1.9696177442020804E-2</v>
      </c>
      <c r="H18" s="10">
        <f t="shared" si="16"/>
        <v>1.9688663595732105E-2</v>
      </c>
      <c r="I18" s="10">
        <f t="shared" si="16"/>
        <v>1.9677588255495305E-2</v>
      </c>
      <c r="J18" s="10">
        <f t="shared" si="16"/>
        <v>1.9663079595357544E-2</v>
      </c>
      <c r="K18" s="10">
        <f t="shared" si="16"/>
        <v>1.9645264037643387E-2</v>
      </c>
      <c r="L18" s="10">
        <f t="shared" si="16"/>
        <v>1.9624266132996952E-2</v>
      </c>
      <c r="M18" s="10">
        <f t="shared" si="16"/>
        <v>1.9600208451843772E-2</v>
      </c>
      <c r="N18" s="10">
        <f t="shared" si="16"/>
        <v>1.957321148689908E-2</v>
      </c>
      <c r="O18" s="10">
        <f t="shared" si="16"/>
        <v>1.9543393566327588E-2</v>
      </c>
      <c r="P18" s="10">
        <f t="shared" si="16"/>
        <v>1.9510870777137215E-2</v>
      </c>
      <c r="Q18" s="10">
        <f t="shared" si="16"/>
        <v>1.9475756898374091E-2</v>
      </c>
      <c r="R18" s="10">
        <f t="shared" si="16"/>
        <v>1.9438163343675086E-2</v>
      </c>
      <c r="S18" s="10">
        <f t="shared" si="16"/>
        <v>1.9398199112722062E-2</v>
      </c>
      <c r="T18" s="10">
        <f t="shared" si="16"/>
        <v>1.9355970751143193E-2</v>
      </c>
      <c r="U18" s="10">
        <f t="shared" si="16"/>
        <v>1.931158231839903E-2</v>
      </c>
      <c r="V18" s="10">
        <f t="shared" si="16"/>
        <v>1.9265135363197579E-2</v>
      </c>
      <c r="W18" s="10">
        <f t="shared" si="16"/>
        <v>1.921672890598165E-2</v>
      </c>
      <c r="X18" s="10">
        <f t="shared" si="16"/>
        <v>1.9166459428043327E-2</v>
      </c>
      <c r="Y18" s="10">
        <f t="shared" si="16"/>
        <v>1.911442086682185E-2</v>
      </c>
      <c r="Z18" s="10">
        <f t="shared" si="16"/>
        <v>1.9060704616958205E-2</v>
      </c>
      <c r="AA18" s="10">
        <f t="shared" si="16"/>
        <v>1.9005399536683763E-2</v>
      </c>
      <c r="AB18" s="10">
        <f t="shared" si="16"/>
        <v>1.8948591959139685E-2</v>
      </c>
      <c r="AC18" s="10">
        <f t="shared" si="16"/>
        <v>1.8890365708233318E-2</v>
      </c>
      <c r="AD18" s="10">
        <f t="shared" si="16"/>
        <v>1.8830802118650961E-2</v>
      </c>
      <c r="AE18" s="10">
        <f t="shared" si="16"/>
        <v>1.8769980059666316E-2</v>
      </c>
      <c r="AF18" s="10">
        <f t="shared" si="16"/>
        <v>1.8707975962395644E-2</v>
      </c>
      <c r="AG18" s="10">
        <f t="shared" si="16"/>
        <v>1.8644863850166581E-2</v>
      </c>
      <c r="AH18" s="10">
        <f t="shared" si="16"/>
        <v>1.8580715371685669E-2</v>
      </c>
      <c r="AI18" s="10">
        <f t="shared" si="16"/>
        <v>1.8515599836704633E-2</v>
      </c>
      <c r="AJ18" s="10">
        <f t="shared" si="16"/>
        <v>1.8449584253899559E-2</v>
      </c>
      <c r="AK18" s="10">
        <f t="shared" si="16"/>
        <v>1.8382733370696968E-2</v>
      </c>
      <c r="AL18" s="10">
        <f t="shared" si="16"/>
        <v>1.8315109714794352E-2</v>
      </c>
      <c r="AM18" s="10">
        <f t="shared" si="16"/>
        <v>1.8246773637135151E-2</v>
      </c>
      <c r="AN18" s="10">
        <f t="shared" si="16"/>
        <v>1.8177783356120292E-2</v>
      </c>
      <c r="AO18" s="10">
        <f t="shared" si="16"/>
        <v>1.810819500284502E-2</v>
      </c>
      <c r="AP18" s="10">
        <f t="shared" si="16"/>
        <v>1.8038062667171385E-2</v>
      </c>
      <c r="AQ18" s="10">
        <f t="shared" si="16"/>
        <v>1.7967438444452439E-2</v>
      </c>
      <c r="AR18" s="10">
        <f t="shared" si="16"/>
        <v>1.7896372482745854E-2</v>
      </c>
      <c r="AS18" s="21">
        <f t="shared" si="16"/>
        <v>1.7824913030361645E-2</v>
      </c>
      <c r="AT18" s="10">
        <f t="shared" si="16"/>
        <v>1.7753106483599228E-2</v>
      </c>
      <c r="AU18" s="10">
        <f t="shared" si="16"/>
        <v>1.7680997434549785E-2</v>
      </c>
      <c r="AV18" s="10">
        <f t="shared" si="16"/>
        <v>1.7608628718839E-2</v>
      </c>
      <c r="AW18" s="10">
        <f t="shared" si="16"/>
        <v>1.7536041463204845E-2</v>
      </c>
      <c r="AX18" s="10">
        <f t="shared" si="16"/>
        <v>1.7463275132808796E-2</v>
      </c>
      <c r="AY18" s="10">
        <f t="shared" si="16"/>
        <v>1.7390367578194357E-2</v>
      </c>
      <c r="AZ18" s="10">
        <f t="shared" si="16"/>
        <v>1.7317355081808965E-2</v>
      </c>
      <c r="BA18" s="10">
        <f t="shared" si="16"/>
        <v>1.7244272404017599E-2</v>
      </c>
      <c r="BB18" s="10">
        <f t="shared" si="16"/>
        <v>1.7171152828544145E-2</v>
      </c>
      <c r="BC18" s="10">
        <f t="shared" si="16"/>
        <v>1.7098028207283657E-2</v>
      </c>
      <c r="BD18" s="10">
        <f t="shared" si="16"/>
        <v>1.7024929004430873E-2</v>
      </c>
      <c r="BE18" s="10">
        <f t="shared" si="16"/>
        <v>1.6951884339886633E-2</v>
      </c>
      <c r="BF18" s="10">
        <f t="shared" si="16"/>
        <v>1.6878922031898037E-2</v>
      </c>
      <c r="BG18" s="10">
        <f t="shared" si="16"/>
        <v>1.6806068638903125E-2</v>
      </c>
      <c r="BH18" s="10">
        <f t="shared" si="16"/>
        <v>1.6733349500551453E-2</v>
      </c>
      <c r="BI18" s="10">
        <f t="shared" si="16"/>
        <v>1.6660788777875281E-2</v>
      </c>
      <c r="BJ18" s="10">
        <f t="shared" si="16"/>
        <v>1.6588409492594981E-2</v>
      </c>
      <c r="BK18" s="10">
        <f t="shared" si="16"/>
        <v>1.6516233565542965E-2</v>
      </c>
      <c r="BL18" s="10">
        <f t="shared" si="16"/>
        <v>1.6444281854193863E-2</v>
      </c>
      <c r="BM18" s="10">
        <f t="shared" si="16"/>
        <v>1.6372574189294831E-2</v>
      </c>
      <c r="BN18" s="10">
        <f t="shared" si="16"/>
        <v>1.6301129410589494E-2</v>
      </c>
      <c r="BO18" s="10">
        <f t="shared" si="16"/>
        <v>1.6229965401633593E-2</v>
      </c>
      <c r="BP18" s="10">
        <f t="shared" si="16"/>
        <v>1.6159099105615554E-2</v>
      </c>
      <c r="BQ18" s="10">
        <f t="shared" si="16"/>
        <v>1.6088546629331141E-2</v>
      </c>
      <c r="BR18" s="10">
        <f t="shared" si="16"/>
        <v>1.6018323170820026E-2</v>
      </c>
      <c r="BS18" s="10">
        <f t="shared" ref="BS18:CL18" si="17">RATE(84,1,BS46,0)</f>
        <v>1.5948443118953989E-2</v>
      </c>
      <c r="BT18" s="10">
        <f t="shared" si="17"/>
        <v>1.587892006697339E-2</v>
      </c>
      <c r="BU18" s="10">
        <f t="shared" si="17"/>
        <v>1.5809766841938484E-2</v>
      </c>
      <c r="BV18" s="10">
        <f t="shared" si="17"/>
        <v>1.5740995533316742E-2</v>
      </c>
      <c r="BW18" s="10">
        <f t="shared" si="17"/>
        <v>1.5672617520717951E-2</v>
      </c>
      <c r="BX18" s="10">
        <f t="shared" si="17"/>
        <v>1.5604643500791916E-2</v>
      </c>
      <c r="BY18" s="10">
        <f t="shared" si="17"/>
        <v>1.5537083513300444E-2</v>
      </c>
      <c r="BZ18" s="10">
        <f t="shared" si="17"/>
        <v>1.5469946966379626E-2</v>
      </c>
      <c r="CA18" s="10">
        <f t="shared" si="17"/>
        <v>1.5403242661009906E-2</v>
      </c>
      <c r="CB18" s="10">
        <f t="shared" si="17"/>
        <v>1.5336978814704836E-2</v>
      </c>
      <c r="CC18" s="10">
        <f t="shared" si="17"/>
        <v>1.5271163084440157E-2</v>
      </c>
      <c r="CD18" s="10">
        <f t="shared" si="17"/>
        <v>1.5205802588839044E-2</v>
      </c>
      <c r="CE18" s="10">
        <f t="shared" si="17"/>
        <v>1.5140903929625497E-2</v>
      </c>
      <c r="CF18" s="10">
        <f t="shared" si="17"/>
        <v>1.5076473212371487E-2</v>
      </c>
      <c r="CG18" s="10">
        <f t="shared" si="17"/>
        <v>1.5012516066547842E-2</v>
      </c>
      <c r="CH18" s="10">
        <f t="shared" si="17"/>
        <v>1.4949037664900029E-2</v>
      </c>
      <c r="CI18" s="10">
        <f t="shared" si="17"/>
        <v>1.4886042742167409E-2</v>
      </c>
      <c r="CJ18" s="10">
        <f t="shared" si="17"/>
        <v>1.4823535613157935E-2</v>
      </c>
      <c r="CK18" s="10">
        <f t="shared" si="17"/>
        <v>1.476152019020243E-2</v>
      </c>
      <c r="CL18" s="10">
        <f t="shared" si="17"/>
        <v>1.470000000000074E-2</v>
      </c>
    </row>
    <row r="19" spans="6:90" ht="18" customHeight="1" x14ac:dyDescent="0.25">
      <c r="F19" s="18">
        <v>1.4999999999999999E-2</v>
      </c>
      <c r="G19" s="10">
        <f t="shared" ref="G19:BR19" si="18">RATE(84,1,G47,0)</f>
        <v>1.9696407837700273E-2</v>
      </c>
      <c r="H19" s="10">
        <f t="shared" si="18"/>
        <v>1.9689347800964079E-2</v>
      </c>
      <c r="I19" s="10">
        <f t="shared" si="18"/>
        <v>1.9678942635404685E-2</v>
      </c>
      <c r="J19" s="10">
        <f t="shared" si="18"/>
        <v>1.9665313420957314E-2</v>
      </c>
      <c r="K19" s="10">
        <f t="shared" si="18"/>
        <v>1.9648579460823167E-2</v>
      </c>
      <c r="L19" s="10">
        <f t="shared" si="18"/>
        <v>1.9628858180633691E-2</v>
      </c>
      <c r="M19" s="10">
        <f t="shared" si="18"/>
        <v>1.9606265037799137E-2</v>
      </c>
      <c r="N19" s="10">
        <f t="shared" si="18"/>
        <v>1.9580913440678249E-2</v>
      </c>
      <c r="O19" s="10">
        <f t="shared" si="18"/>
        <v>1.9552914677185913E-2</v>
      </c>
      <c r="P19" s="10">
        <f t="shared" si="18"/>
        <v>1.9522377852444154E-2</v>
      </c>
      <c r="Q19" s="10">
        <f t="shared" si="18"/>
        <v>1.9489409835068611E-2</v>
      </c>
      <c r="R19" s="10">
        <f t="shared" si="18"/>
        <v>1.9454115211675845E-2</v>
      </c>
      <c r="S19" s="10">
        <f t="shared" si="18"/>
        <v>1.9416596249195128E-2</v>
      </c>
      <c r="T19" s="10">
        <f t="shared" si="18"/>
        <v>1.937695286456299E-2</v>
      </c>
      <c r="U19" s="10">
        <f t="shared" si="18"/>
        <v>1.9335282601383577E-2</v>
      </c>
      <c r="V19" s="10">
        <f t="shared" si="18"/>
        <v>1.9291680613139392E-2</v>
      </c>
      <c r="W19" s="10">
        <f t="shared" si="18"/>
        <v>1.9246239652543483E-2</v>
      </c>
      <c r="X19" s="10">
        <f t="shared" si="18"/>
        <v>1.9199050066629524E-2</v>
      </c>
      <c r="Y19" s="10">
        <f t="shared" si="18"/>
        <v>1.9150199797189172E-2</v>
      </c>
      <c r="Z19" s="10">
        <f t="shared" si="18"/>
        <v>1.9099774386170137E-2</v>
      </c>
      <c r="AA19" s="10">
        <f t="shared" si="18"/>
        <v>1.9047856985666363E-2</v>
      </c>
      <c r="AB19" s="10">
        <f t="shared" si="18"/>
        <v>1.8994528372137307E-2</v>
      </c>
      <c r="AC19" s="10">
        <f t="shared" si="18"/>
        <v>1.8939866964513257E-2</v>
      </c>
      <c r="AD19" s="10">
        <f t="shared" si="18"/>
        <v>1.8883948845849215E-2</v>
      </c>
      <c r="AE19" s="10">
        <f t="shared" si="18"/>
        <v>1.8826847788210924E-2</v>
      </c>
      <c r="AF19" s="10">
        <f t="shared" si="18"/>
        <v>1.876863528048775E-2</v>
      </c>
      <c r="AG19" s="10">
        <f t="shared" si="18"/>
        <v>1.8709380558839122E-2</v>
      </c>
      <c r="AH19" s="10">
        <f t="shared" si="18"/>
        <v>1.8649150639502159E-2</v>
      </c>
      <c r="AI19" s="10">
        <f t="shared" si="18"/>
        <v>1.8588010353695051E-2</v>
      </c>
      <c r="AJ19" s="10">
        <f t="shared" si="18"/>
        <v>1.8526022384372044E-2</v>
      </c>
      <c r="AK19" s="10">
        <f t="shared" si="18"/>
        <v>1.8463247304593679E-2</v>
      </c>
      <c r="AL19" s="10">
        <f t="shared" si="18"/>
        <v>1.8399743617295551E-2</v>
      </c>
      <c r="AM19" s="10">
        <f t="shared" si="18"/>
        <v>1.8335567796249428E-2</v>
      </c>
      <c r="AN19" s="10">
        <f t="shared" si="18"/>
        <v>1.8270774328021776E-2</v>
      </c>
      <c r="AO19" s="10">
        <f t="shared" si="18"/>
        <v>1.8205415754754442E-2</v>
      </c>
      <c r="AP19" s="10">
        <f t="shared" si="18"/>
        <v>1.8139542717595866E-2</v>
      </c>
      <c r="AQ19" s="10">
        <f t="shared" si="18"/>
        <v>1.8073204000631594E-2</v>
      </c>
      <c r="AR19" s="10">
        <f t="shared" si="18"/>
        <v>1.8006446575166622E-2</v>
      </c>
      <c r="AS19" s="21">
        <f t="shared" si="18"/>
        <v>1.7939315644231096E-2</v>
      </c>
      <c r="AT19" s="10">
        <f t="shared" si="18"/>
        <v>1.7871854687182928E-2</v>
      </c>
      <c r="AU19" s="10">
        <f t="shared" si="18"/>
        <v>1.7804105504299318E-2</v>
      </c>
      <c r="AV19" s="10">
        <f t="shared" si="18"/>
        <v>1.7736108261252079E-2</v>
      </c>
      <c r="AW19" s="10">
        <f t="shared" si="18"/>
        <v>1.7667901533372873E-2</v>
      </c>
      <c r="AX19" s="10">
        <f t="shared" si="18"/>
        <v>1.7599522349627618E-2</v>
      </c>
      <c r="AY19" s="10">
        <f t="shared" si="18"/>
        <v>1.7531006236218005E-2</v>
      </c>
      <c r="AZ19" s="10">
        <f t="shared" si="18"/>
        <v>1.7462387259744392E-2</v>
      </c>
      <c r="BA19" s="10">
        <f t="shared" si="18"/>
        <v>1.7393698069867132E-2</v>
      </c>
      <c r="BB19" s="10">
        <f t="shared" si="18"/>
        <v>1.7324969941412204E-2</v>
      </c>
      <c r="BC19" s="10">
        <f t="shared" si="18"/>
        <v>1.7256232815868515E-2</v>
      </c>
      <c r="BD19" s="10">
        <f t="shared" si="18"/>
        <v>1.7187515342240126E-2</v>
      </c>
      <c r="BE19" s="10">
        <f t="shared" si="18"/>
        <v>1.7118844917209528E-2</v>
      </c>
      <c r="BF19" s="10">
        <f t="shared" si="18"/>
        <v>1.7050247724583023E-2</v>
      </c>
      <c r="BG19" s="10">
        <f t="shared" si="18"/>
        <v>1.6981748773990907E-2</v>
      </c>
      <c r="BH19" s="10">
        <f t="shared" si="18"/>
        <v>1.6913371938816167E-2</v>
      </c>
      <c r="BI19" s="10">
        <f t="shared" si="18"/>
        <v>1.6845139993334896E-2</v>
      </c>
      <c r="BJ19" s="10">
        <f t="shared" si="18"/>
        <v>1.6777074649052752E-2</v>
      </c>
      <c r="BK19" s="10">
        <f t="shared" si="18"/>
        <v>1.6709196590224337E-2</v>
      </c>
      <c r="BL19" s="10">
        <f t="shared" si="18"/>
        <v>1.6641525508546692E-2</v>
      </c>
      <c r="BM19" s="10">
        <f t="shared" si="18"/>
        <v>1.6574080137021441E-2</v>
      </c>
      <c r="BN19" s="10">
        <f t="shared" si="18"/>
        <v>1.6506878282982921E-2</v>
      </c>
      <c r="BO19" s="10">
        <f t="shared" si="18"/>
        <v>1.643993686028809E-2</v>
      </c>
      <c r="BP19" s="10">
        <f t="shared" si="18"/>
        <v>1.6373271920674413E-2</v>
      </c>
      <c r="BQ19" s="10">
        <f t="shared" si="18"/>
        <v>1.6306898684283682E-2</v>
      </c>
      <c r="BR19" s="10">
        <f t="shared" si="18"/>
        <v>1.6240831569360101E-2</v>
      </c>
      <c r="BS19" s="10">
        <f t="shared" ref="BS19:CL19" si="19">RATE(84,1,BS47,0)</f>
        <v>1.6175084203340087E-2</v>
      </c>
      <c r="BT19" s="10">
        <f t="shared" si="19"/>
        <v>1.6109669520809763E-2</v>
      </c>
      <c r="BU19" s="10">
        <f t="shared" si="19"/>
        <v>1.6044599687747435E-2</v>
      </c>
      <c r="BV19" s="10">
        <f t="shared" si="19"/>
        <v>1.597988619550977E-2</v>
      </c>
      <c r="BW19" s="10">
        <f t="shared" si="19"/>
        <v>1.5915539869922703E-2</v>
      </c>
      <c r="BX19" s="10">
        <f t="shared" si="19"/>
        <v>1.5851570896200644E-2</v>
      </c>
      <c r="BY19" s="10">
        <f t="shared" si="19"/>
        <v>1.5787988843111184E-2</v>
      </c>
      <c r="BZ19" s="10">
        <f t="shared" si="19"/>
        <v>1.5724802686395836E-2</v>
      </c>
      <c r="CA19" s="10">
        <f t="shared" si="19"/>
        <v>1.5662020831465805E-2</v>
      </c>
      <c r="CB19" s="10">
        <f t="shared" si="19"/>
        <v>1.5599651135379471E-2</v>
      </c>
      <c r="CC19" s="10">
        <f t="shared" si="19"/>
        <v>1.5537700928125786E-2</v>
      </c>
      <c r="CD19" s="10">
        <f t="shared" si="19"/>
        <v>1.5476177033222013E-2</v>
      </c>
      <c r="CE19" s="10">
        <f t="shared" si="19"/>
        <v>1.5415085787644032E-2</v>
      </c>
      <c r="CF19" s="10">
        <f t="shared" si="19"/>
        <v>1.5354433061104978E-2</v>
      </c>
      <c r="CG19" s="10">
        <f t="shared" si="19"/>
        <v>1.5294224274697879E-2</v>
      </c>
      <c r="CH19" s="10">
        <f t="shared" si="19"/>
        <v>1.5234464418916778E-2</v>
      </c>
      <c r="CI19" s="10">
        <f t="shared" si="19"/>
        <v>1.517515807107471E-2</v>
      </c>
      <c r="CJ19" s="10">
        <f t="shared" si="19"/>
        <v>1.5116309412132031E-2</v>
      </c>
      <c r="CK19" s="10">
        <f t="shared" si="19"/>
        <v>1.5057922242952521E-2</v>
      </c>
      <c r="CL19" s="10">
        <f t="shared" si="19"/>
        <v>1.5000000000000433E-2</v>
      </c>
    </row>
    <row r="20" spans="6:90" ht="18" customHeight="1" x14ac:dyDescent="0.25">
      <c r="F20" s="18">
        <v>1.55E-2</v>
      </c>
      <c r="G20" s="10">
        <f t="shared" ref="G20:BR20" si="20">RATE(84,1,G48,0)</f>
        <v>1.9696791533644748E-2</v>
      </c>
      <c r="H20" s="10">
        <f t="shared" si="20"/>
        <v>1.9690486996702894E-2</v>
      </c>
      <c r="I20" s="10">
        <f t="shared" si="20"/>
        <v>1.96811971748647E-2</v>
      </c>
      <c r="J20" s="10">
        <f t="shared" si="20"/>
        <v>1.9669031152946739E-2</v>
      </c>
      <c r="K20" s="10">
        <f t="shared" si="20"/>
        <v>1.9654096234489288E-2</v>
      </c>
      <c r="L20" s="10">
        <f t="shared" si="20"/>
        <v>1.9636497869597397E-2</v>
      </c>
      <c r="M20" s="10">
        <f t="shared" si="20"/>
        <v>1.9616339591003742E-2</v>
      </c>
      <c r="N20" s="10">
        <f t="shared" si="20"/>
        <v>1.959372295801818E-2</v>
      </c>
      <c r="O20" s="10">
        <f t="shared" si="20"/>
        <v>1.9568747508015398E-2</v>
      </c>
      <c r="P20" s="10">
        <f t="shared" si="20"/>
        <v>1.9541510715106417E-2</v>
      </c>
      <c r="Q20" s="10">
        <f t="shared" si="20"/>
        <v>1.9512107955641105E-2</v>
      </c>
      <c r="R20" s="10">
        <f t="shared" si="20"/>
        <v>1.948063248018056E-2</v>
      </c>
      <c r="S20" s="10">
        <f t="shared" si="20"/>
        <v>1.9447175391584262E-2</v>
      </c>
      <c r="T20" s="10">
        <f t="shared" si="20"/>
        <v>1.9411825628857515E-2</v>
      </c>
      <c r="U20" s="10">
        <f t="shared" si="20"/>
        <v>1.9374669956408963E-2</v>
      </c>
      <c r="V20" s="10">
        <f t="shared" si="20"/>
        <v>1.9335792958375814E-2</v>
      </c>
      <c r="W20" s="10">
        <f t="shared" si="20"/>
        <v>1.9295277037678575E-2</v>
      </c>
      <c r="X20" s="10">
        <f t="shared" si="20"/>
        <v>1.9253202419477023E-2</v>
      </c>
      <c r="Y20" s="10">
        <f t="shared" si="20"/>
        <v>1.9209647158709445E-2</v>
      </c>
      <c r="Z20" s="10">
        <f t="shared" si="20"/>
        <v>1.9164687151404985E-2</v>
      </c>
      <c r="AA20" s="10">
        <f t="shared" si="20"/>
        <v>1.9118396149470175E-2</v>
      </c>
      <c r="AB20" s="10">
        <f t="shared" si="20"/>
        <v>1.9070845778663571E-2</v>
      </c>
      <c r="AC20" s="10">
        <f t="shared" si="20"/>
        <v>1.902210555948176E-2</v>
      </c>
      <c r="AD20" s="10">
        <f t="shared" si="20"/>
        <v>1.8972242930691923E-2</v>
      </c>
      <c r="AE20" s="10">
        <f t="shared" si="20"/>
        <v>1.892132327526062E-2</v>
      </c>
      <c r="AF20" s="10">
        <f t="shared" si="20"/>
        <v>1.8869409948438075E-2</v>
      </c>
      <c r="AG20" s="10">
        <f t="shared" si="20"/>
        <v>1.8816564307768832E-2</v>
      </c>
      <c r="AH20" s="10">
        <f t="shared" si="20"/>
        <v>1.8762845744814613E-2</v>
      </c>
      <c r="AI20" s="10">
        <f t="shared" si="20"/>
        <v>1.8708311718385068E-2</v>
      </c>
      <c r="AJ20" s="10">
        <f t="shared" si="20"/>
        <v>1.8653017789082321E-2</v>
      </c>
      <c r="AK20" s="10">
        <f t="shared" si="20"/>
        <v>1.8597017654981358E-2</v>
      </c>
      <c r="AL20" s="10">
        <f t="shared" si="20"/>
        <v>1.8540363188273741E-2</v>
      </c>
      <c r="AM20" s="10">
        <f t="shared" si="20"/>
        <v>1.8483104472717473E-2</v>
      </c>
      <c r="AN20" s="10">
        <f t="shared" si="20"/>
        <v>1.8425289841744269E-2</v>
      </c>
      <c r="AO20" s="10">
        <f t="shared" si="20"/>
        <v>1.8366965917087235E-2</v>
      </c>
      <c r="AP20" s="10">
        <f t="shared" si="20"/>
        <v>1.8308177647797654E-2</v>
      </c>
      <c r="AQ20" s="10">
        <f t="shared" si="20"/>
        <v>1.8248968349536293E-2</v>
      </c>
      <c r="AR20" s="10">
        <f t="shared" si="20"/>
        <v>1.8189379744025718E-2</v>
      </c>
      <c r="AS20" s="21">
        <f t="shared" si="20"/>
        <v>1.8129451998565367E-2</v>
      </c>
      <c r="AT20" s="10">
        <f t="shared" si="20"/>
        <v>1.8069223765513679E-2</v>
      </c>
      <c r="AU20" s="10">
        <f t="shared" si="20"/>
        <v>1.8008732221655502E-2</v>
      </c>
      <c r="AV20" s="10">
        <f t="shared" si="20"/>
        <v>1.7948013107373321E-2</v>
      </c>
      <c r="AW20" s="10">
        <f t="shared" si="20"/>
        <v>1.7887100765555199E-2</v>
      </c>
      <c r="AX20" s="10">
        <f t="shared" si="20"/>
        <v>1.7826028180173068E-2</v>
      </c>
      <c r="AY20" s="10">
        <f t="shared" si="20"/>
        <v>1.7764827014475067E-2</v>
      </c>
      <c r="AZ20" s="10">
        <f t="shared" si="20"/>
        <v>1.7703527648738795E-2</v>
      </c>
      <c r="BA20" s="10">
        <f t="shared" si="20"/>
        <v>1.7642159217540573E-2</v>
      </c>
      <c r="BB20" s="10">
        <f t="shared" si="20"/>
        <v>1.7580749646499239E-2</v>
      </c>
      <c r="BC20" s="10">
        <f t="shared" si="20"/>
        <v>1.7519325688456638E-2</v>
      </c>
      <c r="BD20" s="10">
        <f t="shared" si="20"/>
        <v>1.7457912959066006E-2</v>
      </c>
      <c r="BE20" s="10">
        <f t="shared" si="20"/>
        <v>1.7396535971758116E-2</v>
      </c>
      <c r="BF20" s="10">
        <f t="shared" si="20"/>
        <v>1.7335218172063713E-2</v>
      </c>
      <c r="BG20" s="10">
        <f t="shared" si="20"/>
        <v>1.7273981971269892E-2</v>
      </c>
      <c r="BH20" s="10">
        <f t="shared" si="20"/>
        <v>1.7212848779396057E-2</v>
      </c>
      <c r="BI20" s="10">
        <f t="shared" si="20"/>
        <v>1.7151839037476229E-2</v>
      </c>
      <c r="BJ20" s="10">
        <f t="shared" si="20"/>
        <v>1.7090972249133588E-2</v>
      </c>
      <c r="BK20" s="10">
        <f t="shared" si="20"/>
        <v>1.7030267011444465E-2</v>
      </c>
      <c r="BL20" s="10">
        <f t="shared" si="20"/>
        <v>1.6969741045081997E-2</v>
      </c>
      <c r="BM20" s="10">
        <f t="shared" si="20"/>
        <v>1.6909411223738593E-2</v>
      </c>
      <c r="BN20" s="10">
        <f t="shared" si="20"/>
        <v>1.6849293602824948E-2</v>
      </c>
      <c r="BO20" s="10">
        <f t="shared" si="20"/>
        <v>1.6789403447446026E-2</v>
      </c>
      <c r="BP20" s="10">
        <f t="shared" si="20"/>
        <v>1.6729755259658117E-2</v>
      </c>
      <c r="BQ20" s="10">
        <f t="shared" si="20"/>
        <v>1.6670362805007239E-2</v>
      </c>
      <c r="BR20" s="10">
        <f t="shared" si="20"/>
        <v>1.6611239138357794E-2</v>
      </c>
      <c r="BS20" s="10">
        <f t="shared" ref="BS20:CL20" si="21">RATE(84,1,BS48,0)</f>
        <v>1.6552396629014608E-2</v>
      </c>
      <c r="BT20" s="10">
        <f t="shared" si="21"/>
        <v>1.649384698514918E-2</v>
      </c>
      <c r="BU20" s="10">
        <f t="shared" si="21"/>
        <v>1.643560127753517E-2</v>
      </c>
      <c r="BV20" s="10">
        <f t="shared" si="21"/>
        <v>1.6377669962604282E-2</v>
      </c>
      <c r="BW20" s="10">
        <f t="shared" si="21"/>
        <v>1.6320062904832514E-2</v>
      </c>
      <c r="BX20" s="10">
        <f t="shared" si="21"/>
        <v>1.6262789398466961E-2</v>
      </c>
      <c r="BY20" s="10">
        <f t="shared" si="21"/>
        <v>1.6205858188605503E-2</v>
      </c>
      <c r="BZ20" s="10">
        <f t="shared" si="21"/>
        <v>1.6149277473360837E-2</v>
      </c>
      <c r="CA20" s="10">
        <f t="shared" si="21"/>
        <v>1.6093054995681807E-2</v>
      </c>
      <c r="CB20" s="10">
        <f t="shared" si="21"/>
        <v>1.6037197956165851E-2</v>
      </c>
      <c r="CC20" s="10">
        <f t="shared" si="21"/>
        <v>1.598171310156098E-2</v>
      </c>
      <c r="CD20" s="10">
        <f t="shared" si="21"/>
        <v>1.5926606725566457E-2</v>
      </c>
      <c r="CE20" s="10">
        <f t="shared" si="21"/>
        <v>1.5871884686282596E-2</v>
      </c>
      <c r="CF20" s="10">
        <f t="shared" si="21"/>
        <v>1.5817552423103006E-2</v>
      </c>
      <c r="CG20" s="10">
        <f t="shared" si="21"/>
        <v>1.5763614973059257E-2</v>
      </c>
      <c r="CH20" s="10">
        <f t="shared" si="21"/>
        <v>1.5710076986635024E-2</v>
      </c>
      <c r="CI20" s="10">
        <f t="shared" si="21"/>
        <v>1.5656942743058531E-2</v>
      </c>
      <c r="CJ20" s="10">
        <f t="shared" si="21"/>
        <v>1.560421616509188E-2</v>
      </c>
      <c r="CK20" s="10">
        <f t="shared" si="21"/>
        <v>1.5551900833326623E-2</v>
      </c>
      <c r="CL20" s="10">
        <f t="shared" si="21"/>
        <v>1.5499999999999918E-2</v>
      </c>
    </row>
    <row r="21" spans="6:90" ht="18" customHeight="1" x14ac:dyDescent="0.25">
      <c r="F21" s="18">
        <v>1.6E-2</v>
      </c>
      <c r="G21" s="10">
        <f t="shared" ref="G21:BR21" si="22">RATE(84,1,G49,0)</f>
        <v>1.9697174858987001E-2</v>
      </c>
      <c r="H21" s="10">
        <f t="shared" si="22"/>
        <v>1.9691624761731204E-2</v>
      </c>
      <c r="I21" s="10">
        <f t="shared" si="22"/>
        <v>1.9683448269919572E-2</v>
      </c>
      <c r="J21" s="10">
        <f t="shared" si="22"/>
        <v>1.9672742259697687E-2</v>
      </c>
      <c r="K21" s="10">
        <f t="shared" si="22"/>
        <v>1.9659601867730938E-2</v>
      </c>
      <c r="L21" s="10">
        <f t="shared" si="22"/>
        <v>1.9644120443654628E-2</v>
      </c>
      <c r="M21" s="10">
        <f t="shared" si="22"/>
        <v>1.9626389508931783E-2</v>
      </c>
      <c r="N21" s="10">
        <f t="shared" si="22"/>
        <v>1.9606498721813692E-2</v>
      </c>
      <c r="O21" s="10">
        <f t="shared" si="22"/>
        <v>1.9584535848105905E-2</v>
      </c>
      <c r="P21" s="10">
        <f t="shared" si="22"/>
        <v>1.9560586737438906E-2</v>
      </c>
      <c r="Q21" s="10">
        <f t="shared" si="22"/>
        <v>1.9534735304740002E-2</v>
      </c>
      <c r="R21" s="10">
        <f t="shared" si="22"/>
        <v>1.9507063516614052E-2</v>
      </c>
      <c r="S21" s="10">
        <f t="shared" si="22"/>
        <v>1.9477651382333993E-2</v>
      </c>
      <c r="T21" s="10">
        <f t="shared" si="22"/>
        <v>1.9446576949157288E-2</v>
      </c>
      <c r="U21" s="10">
        <f t="shared" si="22"/>
        <v>1.9413916301683116E-2</v>
      </c>
      <c r="V21" s="10">
        <f t="shared" si="22"/>
        <v>1.9379743564976286E-2</v>
      </c>
      <c r="W21" s="10">
        <f t="shared" si="22"/>
        <v>1.9344130911188605E-2</v>
      </c>
      <c r="X21" s="10">
        <f t="shared" si="22"/>
        <v>1.9307148569420795E-2</v>
      </c>
      <c r="Y21" s="10">
        <f t="shared" si="22"/>
        <v>1.9268864838571122E-2</v>
      </c>
      <c r="Z21" s="10">
        <f t="shared" si="22"/>
        <v>1.9229346102931189E-2</v>
      </c>
      <c r="AA21" s="10">
        <f t="shared" si="22"/>
        <v>1.9188656850297317E-2</v>
      </c>
      <c r="AB21" s="10">
        <f t="shared" si="22"/>
        <v>1.9146859692372821E-2</v>
      </c>
      <c r="AC21" s="10">
        <f t="shared" si="22"/>
        <v>1.910401538725227E-2</v>
      </c>
      <c r="AD21" s="10">
        <f t="shared" si="22"/>
        <v>1.9060182863780722E-2</v>
      </c>
      <c r="AE21" s="10">
        <f t="shared" si="22"/>
        <v>1.901541924760081E-2</v>
      </c>
      <c r="AF21" s="10">
        <f t="shared" si="22"/>
        <v>1.8969779888699721E-2</v>
      </c>
      <c r="AG21" s="10">
        <f t="shared" si="22"/>
        <v>1.892331839028677E-2</v>
      </c>
      <c r="AH21" s="10">
        <f t="shared" si="22"/>
        <v>1.8876086638836241E-2</v>
      </c>
      <c r="AI21" s="10">
        <f t="shared" si="22"/>
        <v>1.8828134835143027E-2</v>
      </c>
      <c r="AJ21" s="10">
        <f t="shared" si="22"/>
        <v>1.8779511526245872E-2</v>
      </c>
      <c r="AK21" s="10">
        <f t="shared" si="22"/>
        <v>1.8730263638081918E-2</v>
      </c>
      <c r="AL21" s="10">
        <f t="shared" si="22"/>
        <v>1.8680436508746696E-2</v>
      </c>
      <c r="AM21" s="10">
        <f t="shared" si="22"/>
        <v>1.8630073922241516E-2</v>
      </c>
      <c r="AN21" s="10">
        <f t="shared" si="22"/>
        <v>1.8579218142595107E-2</v>
      </c>
      <c r="AO21" s="10">
        <f t="shared" si="22"/>
        <v>1.8527909948262106E-2</v>
      </c>
      <c r="AP21" s="10">
        <f t="shared" si="22"/>
        <v>1.847618866669767E-2</v>
      </c>
      <c r="AQ21" s="10">
        <f t="shared" si="22"/>
        <v>1.8424092209025546E-2</v>
      </c>
      <c r="AR21" s="10">
        <f t="shared" si="22"/>
        <v>1.8371657104714442E-2</v>
      </c>
      <c r="AS21" s="21">
        <f t="shared" si="22"/>
        <v>1.8318918536192663E-2</v>
      </c>
      <c r="AT21" s="10">
        <f t="shared" si="22"/>
        <v>1.8265910373328777E-2</v>
      </c>
      <c r="AU21" s="10">
        <f t="shared" si="22"/>
        <v>1.8212665207719976E-2</v>
      </c>
      <c r="AV21" s="10">
        <f t="shared" si="22"/>
        <v>1.8159214386727747E-2</v>
      </c>
      <c r="AW21" s="10">
        <f t="shared" si="22"/>
        <v>1.8105588047214162E-2</v>
      </c>
      <c r="AX21" s="10">
        <f t="shared" si="22"/>
        <v>1.8051815148927029E-2</v>
      </c>
      <c r="AY21" s="10">
        <f t="shared" si="22"/>
        <v>1.7997923507497657E-2</v>
      </c>
      <c r="AZ21" s="10">
        <f t="shared" si="22"/>
        <v>1.794393982701107E-2</v>
      </c>
      <c r="BA21" s="10">
        <f t="shared" si="22"/>
        <v>1.7889889732115506E-2</v>
      </c>
      <c r="BB21" s="10">
        <f t="shared" si="22"/>
        <v>1.7835797799644022E-2</v>
      </c>
      <c r="BC21" s="10">
        <f t="shared" si="22"/>
        <v>1.778168758972077E-2</v>
      </c>
      <c r="BD21" s="10">
        <f t="shared" si="22"/>
        <v>1.7727581676330987E-2</v>
      </c>
      <c r="BE21" s="10">
        <f t="shared" si="22"/>
        <v>1.767350167733547E-2</v>
      </c>
      <c r="BF21" s="10">
        <f t="shared" si="22"/>
        <v>1.7619468283912816E-2</v>
      </c>
      <c r="BG21" s="10">
        <f t="shared" si="22"/>
        <v>1.7565501289417085E-2</v>
      </c>
      <c r="BH21" s="10">
        <f t="shared" si="22"/>
        <v>1.7511619617639609E-2</v>
      </c>
      <c r="BI21" s="10">
        <f t="shared" si="22"/>
        <v>1.7457841350465783E-2</v>
      </c>
      <c r="BJ21" s="10">
        <f t="shared" si="22"/>
        <v>1.7404183754921452E-2</v>
      </c>
      <c r="BK21" s="10">
        <f t="shared" si="22"/>
        <v>1.7350663309604206E-2</v>
      </c>
      <c r="BL21" s="10">
        <f t="shared" si="22"/>
        <v>1.7297295730496119E-2</v>
      </c>
      <c r="BM21" s="10">
        <f t="shared" si="22"/>
        <v>1.7244095996158101E-2</v>
      </c>
      <c r="BN21" s="10">
        <f t="shared" si="22"/>
        <v>1.7191078372305785E-2</v>
      </c>
      <c r="BO21" s="10">
        <f t="shared" si="22"/>
        <v>1.7138256435768037E-2</v>
      </c>
      <c r="BP21" s="10">
        <f t="shared" si="22"/>
        <v>1.7085643097833048E-2</v>
      </c>
      <c r="BQ21" s="10">
        <f t="shared" si="22"/>
        <v>1.7033250626984704E-2</v>
      </c>
      <c r="BR21" s="10">
        <f t="shared" si="22"/>
        <v>1.6981090671034732E-2</v>
      </c>
      <c r="BS21" s="10">
        <f t="shared" ref="BS21:CL21" si="23">RATE(84,1,BS49,0)</f>
        <v>1.6929174278657227E-2</v>
      </c>
      <c r="BT21" s="10">
        <f t="shared" si="23"/>
        <v>1.6877511920331285E-2</v>
      </c>
      <c r="BU21" s="10">
        <f t="shared" si="23"/>
        <v>1.6826113508702421E-2</v>
      </c>
      <c r="BV21" s="10">
        <f t="shared" si="23"/>
        <v>1.6774988418365482E-2</v>
      </c>
      <c r="BW21" s="10">
        <f t="shared" si="23"/>
        <v>1.6724145505084734E-2</v>
      </c>
      <c r="BX21" s="10">
        <f t="shared" si="23"/>
        <v>1.6673593124454732E-2</v>
      </c>
      <c r="BY21" s="10">
        <f t="shared" si="23"/>
        <v>1.6623339150014696E-2</v>
      </c>
      <c r="BZ21" s="10">
        <f t="shared" si="23"/>
        <v>1.6573390990825453E-2</v>
      </c>
      <c r="CA21" s="10">
        <f t="shared" si="23"/>
        <v>1.6523755608519951E-2</v>
      </c>
      <c r="CB21" s="10">
        <f t="shared" si="23"/>
        <v>1.6474439533836621E-2</v>
      </c>
      <c r="CC21" s="10">
        <f t="shared" si="23"/>
        <v>1.6425448882648401E-2</v>
      </c>
      <c r="CD21" s="10">
        <f t="shared" si="23"/>
        <v>1.6376789371496378E-2</v>
      </c>
      <c r="CE21" s="10">
        <f t="shared" si="23"/>
        <v>1.6328466332639874E-2</v>
      </c>
      <c r="CF21" s="10">
        <f t="shared" si="23"/>
        <v>1.6280484728635816E-2</v>
      </c>
      <c r="CG21" s="10">
        <f t="shared" si="23"/>
        <v>1.6232849166454202E-2</v>
      </c>
      <c r="CH21" s="10">
        <f t="shared" si="23"/>
        <v>1.6185563893551629E-2</v>
      </c>
      <c r="CI21" s="10">
        <f t="shared" si="23"/>
        <v>1.6138632880587034E-2</v>
      </c>
      <c r="CJ21" s="10">
        <f t="shared" si="23"/>
        <v>1.6092059731288015E-2</v>
      </c>
      <c r="CK21" s="10">
        <f t="shared" si="23"/>
        <v>1.6045847762615383E-2</v>
      </c>
      <c r="CL21" s="10">
        <f t="shared" si="23"/>
        <v>1.6000000000000066E-2</v>
      </c>
    </row>
    <row r="22" spans="6:90" ht="18" customHeight="1" x14ac:dyDescent="0.25">
      <c r="F22" s="18">
        <v>1.6500000000000001E-2</v>
      </c>
      <c r="G22" s="10">
        <f t="shared" ref="G22:BR22" si="24">RATE(84,1,G50,0)</f>
        <v>1.969755781426355E-2</v>
      </c>
      <c r="H22" s="10">
        <f t="shared" si="24"/>
        <v>1.9692761098561717E-2</v>
      </c>
      <c r="I22" s="10">
        <f t="shared" si="24"/>
        <v>1.9685695927570152E-2</v>
      </c>
      <c r="J22" s="10">
        <f t="shared" si="24"/>
        <v>1.9676446756298423E-2</v>
      </c>
      <c r="K22" s="10">
        <f t="shared" si="24"/>
        <v>1.9665096388304614E-2</v>
      </c>
      <c r="L22" s="10">
        <f t="shared" si="24"/>
        <v>1.9651725948607458E-2</v>
      </c>
      <c r="M22" s="10">
        <f t="shared" si="24"/>
        <v>1.9636414861352983E-2</v>
      </c>
      <c r="N22" s="10">
        <f t="shared" si="24"/>
        <v>1.9619240831985376E-2</v>
      </c>
      <c r="O22" s="10">
        <f t="shared" si="24"/>
        <v>1.9600279833675672E-2</v>
      </c>
      <c r="P22" s="10">
        <f t="shared" si="24"/>
        <v>1.957960609776303E-2</v>
      </c>
      <c r="Q22" s="10">
        <f t="shared" si="24"/>
        <v>1.9557292107968669E-2</v>
      </c>
      <c r="R22" s="10">
        <f t="shared" si="24"/>
        <v>1.953340859814429E-2</v>
      </c>
      <c r="S22" s="10">
        <f t="shared" si="24"/>
        <v>1.9508024553326137E-2</v>
      </c>
      <c r="T22" s="10">
        <f t="shared" si="24"/>
        <v>1.9481207213870276E-2</v>
      </c>
      <c r="U22" s="10">
        <f t="shared" si="24"/>
        <v>1.9453022082448049E-2</v>
      </c>
      <c r="V22" s="10">
        <f t="shared" si="24"/>
        <v>1.9423532933694004E-2</v>
      </c>
      <c r="W22" s="10">
        <f t="shared" si="24"/>
        <v>1.9392801826298524E-2</v>
      </c>
      <c r="X22" s="10">
        <f t="shared" si="24"/>
        <v>1.93608891173522E-2</v>
      </c>
      <c r="Y22" s="10">
        <f t="shared" si="24"/>
        <v>1.9327853478750313E-2</v>
      </c>
      <c r="Z22" s="10">
        <f t="shared" si="24"/>
        <v>1.9293751915479128E-2</v>
      </c>
      <c r="AA22" s="10">
        <f t="shared" si="24"/>
        <v>1.9258639785608732E-2</v>
      </c>
      <c r="AB22" s="10">
        <f t="shared" si="24"/>
        <v>1.9222570821829498E-2</v>
      </c>
      <c r="AC22" s="10">
        <f t="shared" si="24"/>
        <v>1.9185597154375244E-2</v>
      </c>
      <c r="AD22" s="10">
        <f t="shared" si="24"/>
        <v>1.9147769335182346E-2</v>
      </c>
      <c r="AE22" s="10">
        <f t="shared" si="24"/>
        <v>1.9109136363147101E-2</v>
      </c>
      <c r="AF22" s="10">
        <f t="shared" si="24"/>
        <v>1.9069745710345563E-2</v>
      </c>
      <c r="AG22" s="10">
        <f t="shared" si="24"/>
        <v>1.9029643349090318E-2</v>
      </c>
      <c r="AH22" s="10">
        <f t="shared" si="24"/>
        <v>1.8988873779708218E-2</v>
      </c>
      <c r="AI22" s="10">
        <f t="shared" si="24"/>
        <v>1.8947480058926089E-2</v>
      </c>
      <c r="AJ22" s="10">
        <f t="shared" si="24"/>
        <v>1.8905503828759704E-2</v>
      </c>
      <c r="AK22" s="10">
        <f t="shared" si="24"/>
        <v>1.8862985345812208E-2</v>
      </c>
      <c r="AL22" s="10">
        <f t="shared" si="24"/>
        <v>1.881996351088706E-2</v>
      </c>
      <c r="AM22" s="10">
        <f t="shared" si="24"/>
        <v>1.8776475898835531E-2</v>
      </c>
      <c r="AN22" s="10">
        <f t="shared" si="24"/>
        <v>1.8732558788556192E-2</v>
      </c>
      <c r="AO22" s="10">
        <f t="shared" si="24"/>
        <v>1.8688247193076633E-2</v>
      </c>
      <c r="AP22" s="10">
        <f t="shared" si="24"/>
        <v>1.8643574889650082E-2</v>
      </c>
      <c r="AQ22" s="10">
        <f t="shared" si="24"/>
        <v>1.8598574449804332E-2</v>
      </c>
      <c r="AR22" s="10">
        <f t="shared" si="24"/>
        <v>1.8553277269287318E-2</v>
      </c>
      <c r="AS22" s="21">
        <f t="shared" si="24"/>
        <v>1.8507713597856159E-2</v>
      </c>
      <c r="AT22" s="10">
        <f t="shared" si="24"/>
        <v>1.8461912568864463E-2</v>
      </c>
      <c r="AU22" s="10">
        <f t="shared" si="24"/>
        <v>1.8415902228602319E-2</v>
      </c>
      <c r="AV22" s="10">
        <f t="shared" si="24"/>
        <v>1.8369709565352454E-2</v>
      </c>
      <c r="AW22" s="10">
        <f t="shared" si="24"/>
        <v>1.8323360538124969E-2</v>
      </c>
      <c r="AX22" s="10">
        <f t="shared" si="24"/>
        <v>1.8276880105041738E-2</v>
      </c>
      <c r="AY22" s="10">
        <f t="shared" si="24"/>
        <v>1.8230292251339708E-2</v>
      </c>
      <c r="AZ22" s="10">
        <f t="shared" si="24"/>
        <v>1.8183620016970044E-2</v>
      </c>
      <c r="BA22" s="10">
        <f t="shared" si="24"/>
        <v>1.8136885523770414E-2</v>
      </c>
      <c r="BB22" s="10">
        <f t="shared" si="24"/>
        <v>1.809011000218998E-2</v>
      </c>
      <c r="BC22" s="10">
        <f t="shared" si="24"/>
        <v>1.8043313817553995E-2</v>
      </c>
      <c r="BD22" s="10">
        <f t="shared" si="24"/>
        <v>1.7996516495848769E-2</v>
      </c>
      <c r="BE22" s="10">
        <f t="shared" si="24"/>
        <v>1.7949736749019108E-2</v>
      </c>
      <c r="BF22" s="10">
        <f t="shared" si="24"/>
        <v>1.7902992499767144E-2</v>
      </c>
      <c r="BG22" s="10">
        <f t="shared" si="24"/>
        <v>1.7856300905842639E-2</v>
      </c>
      <c r="BH22" s="10">
        <f t="shared" si="24"/>
        <v>1.7809678383822327E-2</v>
      </c>
      <c r="BI22" s="10">
        <f t="shared" si="24"/>
        <v>1.7763140632370111E-2</v>
      </c>
      <c r="BJ22" s="10">
        <f t="shared" si="24"/>
        <v>1.7716702654976962E-2</v>
      </c>
      <c r="BK22" s="10">
        <f t="shared" si="24"/>
        <v>1.767037878217911E-2</v>
      </c>
      <c r="BL22" s="10">
        <f t="shared" si="24"/>
        <v>1.7624182693252863E-2</v>
      </c>
      <c r="BM22" s="10">
        <f t="shared" si="24"/>
        <v>1.7578127437387965E-2</v>
      </c>
      <c r="BN22" s="10">
        <f t="shared" si="24"/>
        <v>1.7532225454340331E-2</v>
      </c>
      <c r="BO22" s="10">
        <f t="shared" si="24"/>
        <v>1.7486488594568687E-2</v>
      </c>
      <c r="BP22" s="10">
        <f t="shared" si="24"/>
        <v>1.744092813885615E-2</v>
      </c>
      <c r="BQ22" s="10">
        <f t="shared" si="24"/>
        <v>1.739555481742457E-2</v>
      </c>
      <c r="BR22" s="10">
        <f t="shared" si="24"/>
        <v>1.7350378828542498E-2</v>
      </c>
      <c r="BS22" s="10">
        <f t="shared" ref="BS22:CL22" si="25">RATE(84,1,BS50,0)</f>
        <v>1.7305409856637692E-2</v>
      </c>
      <c r="BT22" s="10">
        <f t="shared" si="25"/>
        <v>1.7260657089915782E-2</v>
      </c>
      <c r="BU22" s="10">
        <f t="shared" si="25"/>
        <v>1.721612923749519E-2</v>
      </c>
      <c r="BV22" s="10">
        <f t="shared" si="25"/>
        <v>1.7171834546063618E-2</v>
      </c>
      <c r="BW22" s="10">
        <f t="shared" si="25"/>
        <v>1.7127780816065169E-2</v>
      </c>
      <c r="BX22" s="10">
        <f t="shared" si="25"/>
        <v>1.7083975417425085E-2</v>
      </c>
      <c r="BY22" s="10">
        <f t="shared" si="25"/>
        <v>1.7040425304820656E-2</v>
      </c>
      <c r="BZ22" s="10">
        <f t="shared" si="25"/>
        <v>1.6997137032508131E-2</v>
      </c>
      <c r="CA22" s="10">
        <f t="shared" si="25"/>
        <v>1.695411676871075E-2</v>
      </c>
      <c r="CB22" s="10">
        <f t="shared" si="25"/>
        <v>1.6911370309581092E-2</v>
      </c>
      <c r="CC22" s="10">
        <f t="shared" si="25"/>
        <v>1.6868903092744574E-2</v>
      </c>
      <c r="CD22" s="10">
        <f t="shared" si="25"/>
        <v>1.6826720210431946E-2</v>
      </c>
      <c r="CE22" s="10">
        <f t="shared" si="25"/>
        <v>1.6784826422212944E-2</v>
      </c>
      <c r="CF22" s="10">
        <f t="shared" si="25"/>
        <v>1.6743226167337942E-2</v>
      </c>
      <c r="CG22" s="10">
        <f t="shared" si="25"/>
        <v>1.6701923576696844E-2</v>
      </c>
      <c r="CH22" s="10">
        <f t="shared" si="25"/>
        <v>1.6660922484405798E-2</v>
      </c>
      <c r="CI22" s="10">
        <f t="shared" si="25"/>
        <v>1.6620226439030779E-2</v>
      </c>
      <c r="CJ22" s="10">
        <f t="shared" si="25"/>
        <v>1.6579838714453985E-2</v>
      </c>
      <c r="CK22" s="10">
        <f t="shared" si="25"/>
        <v>1.6539762320397403E-2</v>
      </c>
      <c r="CL22" s="10">
        <f t="shared" si="25"/>
        <v>1.650000001260761E-2</v>
      </c>
    </row>
    <row r="23" spans="6:90" ht="18" customHeight="1" x14ac:dyDescent="0.25">
      <c r="F23" s="18">
        <v>1.7000000000000001E-2</v>
      </c>
      <c r="G23" s="10">
        <f t="shared" ref="G23:BR23" si="26">RATE(84,1,G51,0)</f>
        <v>1.9697940400010366E-2</v>
      </c>
      <c r="H23" s="10">
        <f t="shared" si="26"/>
        <v>1.9693896009702203E-2</v>
      </c>
      <c r="I23" s="10">
        <f t="shared" si="26"/>
        <v>1.9687940154800479E-2</v>
      </c>
      <c r="J23" s="10">
        <f t="shared" si="26"/>
        <v>1.968014465779638E-2</v>
      </c>
      <c r="K23" s="10">
        <f t="shared" si="26"/>
        <v>1.967057982388971E-2</v>
      </c>
      <c r="L23" s="10">
        <f t="shared" si="26"/>
        <v>1.9659314430126716E-2</v>
      </c>
      <c r="M23" s="10">
        <f t="shared" si="26"/>
        <v>1.9646415717835548E-2</v>
      </c>
      <c r="N23" s="10">
        <f t="shared" si="26"/>
        <v>1.9631949388170814E-2</v>
      </c>
      <c r="O23" s="10">
        <f t="shared" si="26"/>
        <v>1.9615979600571501E-2</v>
      </c>
      <c r="P23" s="10">
        <f t="shared" si="26"/>
        <v>1.9598568973947756E-2</v>
      </c>
      <c r="Q23" s="10">
        <f t="shared" si="26"/>
        <v>1.9579778590415209E-2</v>
      </c>
      <c r="R23" s="10">
        <f t="shared" si="26"/>
        <v>1.9559668001397745E-2</v>
      </c>
      <c r="S23" s="10">
        <f t="shared" si="26"/>
        <v>1.9538295235931594E-2</v>
      </c>
      <c r="T23" s="10">
        <f t="shared" si="26"/>
        <v>1.9515716811001171E-2</v>
      </c>
      <c r="U23" s="10">
        <f t="shared" si="26"/>
        <v>1.9491987743751403E-2</v>
      </c>
      <c r="V23" s="10">
        <f t="shared" si="26"/>
        <v>1.9467161565421106E-2</v>
      </c>
      <c r="W23" s="10">
        <f t="shared" si="26"/>
        <v>1.9441290336850974E-2</v>
      </c>
      <c r="X23" s="10">
        <f t="shared" si="26"/>
        <v>1.941442466542688E-2</v>
      </c>
      <c r="Y23" s="10">
        <f t="shared" si="26"/>
        <v>1.9386613723322871E-2</v>
      </c>
      <c r="Z23" s="10">
        <f t="shared" si="26"/>
        <v>1.9357905266917504E-2</v>
      </c>
      <c r="AA23" s="10">
        <f t="shared" si="26"/>
        <v>1.9328345657260767E-2</v>
      </c>
      <c r="AB23" s="10">
        <f t="shared" si="26"/>
        <v>1.9297979881477766E-2</v>
      </c>
      <c r="AC23" s="10">
        <f t="shared" si="26"/>
        <v>1.9266851574998464E-2</v>
      </c>
      <c r="AD23" s="10">
        <f t="shared" si="26"/>
        <v>1.9235003044511433E-2</v>
      </c>
      <c r="AE23" s="10">
        <f t="shared" si="26"/>
        <v>1.9202475291544556E-2</v>
      </c>
      <c r="AF23" s="10">
        <f t="shared" si="26"/>
        <v>1.9169308036580859E-2</v>
      </c>
      <c r="AG23" s="10">
        <f t="shared" si="26"/>
        <v>1.9135539743622049E-2</v>
      </c>
      <c r="AH23" s="10">
        <f t="shared" si="26"/>
        <v>1.9101207645123072E-2</v>
      </c>
      <c r="AI23" s="10">
        <f t="shared" si="26"/>
        <v>1.9066347767217513E-2</v>
      </c>
      <c r="AJ23" s="10">
        <f t="shared" si="26"/>
        <v>1.9030994955168513E-2</v>
      </c>
      <c r="AK23" s="10">
        <f t="shared" si="26"/>
        <v>1.8995182898975477E-2</v>
      </c>
      <c r="AL23" s="10">
        <f t="shared" si="26"/>
        <v>1.8958944159078287E-2</v>
      </c>
      <c r="AM23" s="10">
        <f t="shared" si="26"/>
        <v>1.89223101921022E-2</v>
      </c>
      <c r="AN23" s="10">
        <f t="shared" si="26"/>
        <v>1.8885311376591812E-2</v>
      </c>
      <c r="AO23" s="10">
        <f t="shared" si="26"/>
        <v>1.8847977038684252E-2</v>
      </c>
      <c r="AP23" s="10">
        <f t="shared" si="26"/>
        <v>1.8810335477680136E-2</v>
      </c>
      <c r="AQ23" s="10">
        <f t="shared" si="26"/>
        <v>1.8772413991469648E-2</v>
      </c>
      <c r="AR23" s="10">
        <f t="shared" si="26"/>
        <v>1.8734238901778038E-2</v>
      </c>
      <c r="AS23" s="21">
        <f t="shared" si="26"/>
        <v>1.8695835579196501E-2</v>
      </c>
      <c r="AT23" s="10">
        <f t="shared" si="26"/>
        <v>1.8657228467967697E-2</v>
      </c>
      <c r="AU23" s="10">
        <f t="shared" si="26"/>
        <v>1.8618441110498919E-2</v>
      </c>
      <c r="AV23" s="10">
        <f t="shared" si="26"/>
        <v>1.8579496171577548E-2</v>
      </c>
      <c r="AW23" s="10">
        <f t="shared" si="26"/>
        <v>1.8540415462266931E-2</v>
      </c>
      <c r="AX23" s="10">
        <f t="shared" si="26"/>
        <v>1.8501219963462687E-2</v>
      </c>
      <c r="AY23" s="10">
        <f t="shared" si="26"/>
        <v>1.846192984909277E-2</v>
      </c>
      <c r="AZ23" s="10">
        <f t="shared" si="26"/>
        <v>1.8422564508945218E-2</v>
      </c>
      <c r="BA23" s="10">
        <f t="shared" si="26"/>
        <v>1.8383142571110331E-2</v>
      </c>
      <c r="BB23" s="10">
        <f t="shared" si="26"/>
        <v>1.8343681924026769E-2</v>
      </c>
      <c r="BC23" s="10">
        <f t="shared" si="26"/>
        <v>1.8304199738121165E-2</v>
      </c>
      <c r="BD23" s="10">
        <f t="shared" si="26"/>
        <v>1.8264712487033787E-2</v>
      </c>
      <c r="BE23" s="10">
        <f t="shared" si="26"/>
        <v>1.8225235968423528E-2</v>
      </c>
      <c r="BF23" s="10">
        <f t="shared" si="26"/>
        <v>1.8185785324346709E-2</v>
      </c>
      <c r="BG23" s="10">
        <f t="shared" si="26"/>
        <v>1.8146375061207188E-2</v>
      </c>
      <c r="BH23" s="10">
        <f t="shared" si="26"/>
        <v>1.8107019069274262E-2</v>
      </c>
      <c r="BI23" s="10">
        <f t="shared" si="26"/>
        <v>1.8067730641766425E-2</v>
      </c>
      <c r="BJ23" s="10">
        <f t="shared" si="26"/>
        <v>1.8028522493502352E-2</v>
      </c>
      <c r="BK23" s="10">
        <f t="shared" si="26"/>
        <v>1.7989406779116906E-2</v>
      </c>
      <c r="BL23" s="10">
        <f t="shared" si="26"/>
        <v>1.7950395110846378E-2</v>
      </c>
      <c r="BM23" s="10">
        <f t="shared" si="26"/>
        <v>1.7911498575882433E-2</v>
      </c>
      <c r="BN23" s="10">
        <f t="shared" si="26"/>
        <v>1.7872727753300174E-2</v>
      </c>
      <c r="BO23" s="10">
        <f t="shared" si="26"/>
        <v>1.7834092730560105E-2</v>
      </c>
      <c r="BP23" s="10">
        <f t="shared" si="26"/>
        <v>1.779560311959227E-2</v>
      </c>
      <c r="BQ23" s="10">
        <f t="shared" si="26"/>
        <v>1.7757268072463313E-2</v>
      </c>
      <c r="BR23" s="10">
        <f t="shared" si="26"/>
        <v>1.7719096296634526E-2</v>
      </c>
      <c r="BS23" s="10">
        <f t="shared" ref="BS23:CL23" si="27">RATE(84,1,BS51,0)</f>
        <v>1.7681096069813274E-2</v>
      </c>
      <c r="BT23" s="10">
        <f t="shared" si="27"/>
        <v>1.7643275254405184E-2</v>
      </c>
      <c r="BU23" s="10">
        <f t="shared" si="27"/>
        <v>1.7605641311573998E-2</v>
      </c>
      <c r="BV23" s="10">
        <f t="shared" si="27"/>
        <v>1.756820131491367E-2</v>
      </c>
      <c r="BW23" s="10">
        <f t="shared" si="27"/>
        <v>1.7530961963739031E-2</v>
      </c>
      <c r="BX23" s="10">
        <f t="shared" si="27"/>
        <v>1.7493929596003481E-2</v>
      </c>
      <c r="BY23" s="10">
        <f t="shared" si="27"/>
        <v>1.7457110200850029E-2</v>
      </c>
      <c r="BZ23" s="10">
        <f t="shared" si="27"/>
        <v>1.7420509430802079E-2</v>
      </c>
      <c r="CA23" s="10">
        <f t="shared" si="27"/>
        <v>1.7384132613600906E-2</v>
      </c>
      <c r="CB23" s="10">
        <f t="shared" si="27"/>
        <v>1.7347984763698837E-2</v>
      </c>
      <c r="CC23" s="10">
        <f t="shared" si="27"/>
        <v>1.7312070593413741E-2</v>
      </c>
      <c r="CD23" s="10">
        <f t="shared" si="27"/>
        <v>1.7276394523752348E-2</v>
      </c>
      <c r="CE23" s="10">
        <f t="shared" si="27"/>
        <v>1.7240960694910903E-2</v>
      </c>
      <c r="CF23" s="10">
        <f t="shared" si="27"/>
        <v>1.7205772976460049E-2</v>
      </c>
      <c r="CG23" s="10">
        <f t="shared" si="27"/>
        <v>1.7170834977220054E-2</v>
      </c>
      <c r="CH23" s="10">
        <f t="shared" si="27"/>
        <v>1.7136150054834962E-2</v>
      </c>
      <c r="CI23" s="10">
        <f t="shared" si="27"/>
        <v>1.7101721325054931E-2</v>
      </c>
      <c r="CJ23" s="10">
        <f t="shared" si="27"/>
        <v>1.7067551670728043E-2</v>
      </c>
      <c r="CK23" s="10">
        <f t="shared" si="27"/>
        <v>1.7033643750516782E-2</v>
      </c>
      <c r="CL23" s="10">
        <f t="shared" si="27"/>
        <v>1.7000000007338562E-2</v>
      </c>
    </row>
    <row r="24" spans="6:90" ht="18" customHeight="1" x14ac:dyDescent="0.25">
      <c r="F24" s="18">
        <v>1.7500000000000002E-2</v>
      </c>
      <c r="G24" s="10">
        <f t="shared" ref="G24:BR24" si="28">RATE(84,1,G52,0)</f>
        <v>1.9698322616761871E-2</v>
      </c>
      <c r="H24" s="10">
        <f t="shared" si="28"/>
        <v>1.969502949765398E-2</v>
      </c>
      <c r="I24" s="10">
        <f t="shared" si="28"/>
        <v>1.9690180958576838E-2</v>
      </c>
      <c r="J24" s="10">
        <f t="shared" si="28"/>
        <v>1.9683835979198764E-2</v>
      </c>
      <c r="K24" s="10">
        <f t="shared" si="28"/>
        <v>1.9676052202087856E-2</v>
      </c>
      <c r="L24" s="10">
        <f t="shared" si="28"/>
        <v>1.9666885933751096E-2</v>
      </c>
      <c r="M24" s="10">
        <f t="shared" si="28"/>
        <v>1.9656392147745911E-2</v>
      </c>
      <c r="N24" s="10">
        <f t="shared" si="28"/>
        <v>1.9644624489723702E-2</v>
      </c>
      <c r="O24" s="10">
        <f t="shared" si="28"/>
        <v>1.9631635284269516E-2</v>
      </c>
      <c r="P24" s="10">
        <f t="shared" si="28"/>
        <v>1.9617475543408109E-2</v>
      </c>
      <c r="Q24" s="10">
        <f t="shared" si="28"/>
        <v>1.9602194976650229E-2</v>
      </c>
      <c r="R24" s="10">
        <f t="shared" si="28"/>
        <v>1.9585842002456541E-2</v>
      </c>
      <c r="S24" s="10">
        <f t="shared" si="28"/>
        <v>1.9568463761003924E-2</v>
      </c>
      <c r="T24" s="10">
        <f t="shared" si="28"/>
        <v>1.9550106128141728E-2</v>
      </c>
      <c r="U24" s="10">
        <f t="shared" si="28"/>
        <v>1.9530813730431123E-2</v>
      </c>
      <c r="V24" s="10">
        <f t="shared" si="28"/>
        <v>1.9510629961165499E-2</v>
      </c>
      <c r="W24" s="10">
        <f t="shared" si="28"/>
        <v>1.9489596997275555E-2</v>
      </c>
      <c r="X24" s="10">
        <f t="shared" si="28"/>
        <v>1.9467755817025114E-2</v>
      </c>
      <c r="Y24" s="10">
        <f t="shared" si="28"/>
        <v>1.9445146218411896E-2</v>
      </c>
      <c r="Z24" s="10">
        <f t="shared" si="28"/>
        <v>1.9421806838188518E-2</v>
      </c>
      <c r="AA24" s="10">
        <f t="shared" si="28"/>
        <v>1.9397775171426126E-2</v>
      </c>
      <c r="AB24" s="10">
        <f t="shared" si="28"/>
        <v>1.9373087591547128E-2</v>
      </c>
      <c r="AC24" s="10">
        <f t="shared" si="28"/>
        <v>1.9347779370756723E-2</v>
      </c>
      <c r="AD24" s="10">
        <f t="shared" si="28"/>
        <v>1.932188470080563E-2</v>
      </c>
      <c r="AE24" s="10">
        <f t="shared" si="28"/>
        <v>1.929543671402795E-2</v>
      </c>
      <c r="AF24" s="10">
        <f t="shared" si="28"/>
        <v>1.9268467504591175E-2</v>
      </c>
      <c r="AG24" s="10">
        <f t="shared" si="28"/>
        <v>1.9241008149906178E-2</v>
      </c>
      <c r="AH24" s="10">
        <f t="shared" si="28"/>
        <v>1.9213088732149781E-2</v>
      </c>
      <c r="AI24" s="10">
        <f t="shared" si="28"/>
        <v>1.9184738359848755E-2</v>
      </c>
      <c r="AJ24" s="10">
        <f t="shared" si="28"/>
        <v>1.9155985189486767E-2</v>
      </c>
      <c r="AK24" s="10">
        <f t="shared" si="28"/>
        <v>1.9126856447089124E-2</v>
      </c>
      <c r="AL24" s="10">
        <f t="shared" si="28"/>
        <v>1.9097378449753271E-2</v>
      </c>
      <c r="AM24" s="10">
        <f t="shared" si="28"/>
        <v>1.906757662708769E-2</v>
      </c>
      <c r="AN24" s="10">
        <f t="shared" si="28"/>
        <v>1.9037475542528756E-2</v>
      </c>
      <c r="AO24" s="10">
        <f t="shared" si="28"/>
        <v>1.9007098914507733E-2</v>
      </c>
      <c r="AP24" s="10">
        <f t="shared" si="28"/>
        <v>1.8976469637440079E-2</v>
      </c>
      <c r="AQ24" s="10">
        <f t="shared" si="28"/>
        <v>1.8945609802515355E-2</v>
      </c>
      <c r="AR24" s="10">
        <f t="shared" si="28"/>
        <v>1.8914540718264088E-2</v>
      </c>
      <c r="AS24" s="21">
        <f t="shared" si="28"/>
        <v>1.888328293088375E-2</v>
      </c>
      <c r="AT24" s="10">
        <f t="shared" si="28"/>
        <v>1.8851856244306023E-2</v>
      </c>
      <c r="AU24" s="10">
        <f t="shared" si="28"/>
        <v>1.8820279739988188E-2</v>
      </c>
      <c r="AV24" s="10">
        <f t="shared" si="28"/>
        <v>1.878857179641771E-2</v>
      </c>
      <c r="AW24" s="10">
        <f t="shared" si="28"/>
        <v>1.8756750108315755E-2</v>
      </c>
      <c r="AX24" s="10">
        <f t="shared" si="28"/>
        <v>1.8724831705529261E-2</v>
      </c>
      <c r="AY24" s="10">
        <f t="shared" si="28"/>
        <v>1.8692832971603401E-2</v>
      </c>
      <c r="AZ24" s="10">
        <f t="shared" si="28"/>
        <v>1.866076966202497E-2</v>
      </c>
      <c r="BA24" s="10">
        <f t="shared" si="28"/>
        <v>1.8628656922132381E-2</v>
      </c>
      <c r="BB24" s="10">
        <f t="shared" si="28"/>
        <v>1.8596509304684285E-2</v>
      </c>
      <c r="BC24" s="10">
        <f t="shared" si="28"/>
        <v>1.8564340787085347E-2</v>
      </c>
      <c r="BD24" s="10">
        <f t="shared" si="28"/>
        <v>1.853216478826248E-2</v>
      </c>
      <c r="BE24" s="10">
        <f t="shared" si="28"/>
        <v>1.8499994185193571E-2</v>
      </c>
      <c r="BF24" s="10">
        <f t="shared" si="28"/>
        <v>1.8467841329081639E-2</v>
      </c>
      <c r="BG24" s="10">
        <f t="shared" si="28"/>
        <v>1.8435718061180446E-2</v>
      </c>
      <c r="BH24" s="10">
        <f t="shared" si="28"/>
        <v>1.8403635728264121E-2</v>
      </c>
      <c r="BI24" s="10">
        <f t="shared" si="28"/>
        <v>1.837160519774908E-2</v>
      </c>
      <c r="BJ24" s="10">
        <f t="shared" si="28"/>
        <v>1.8339636872462588E-2</v>
      </c>
      <c r="BK24" s="10">
        <f t="shared" si="28"/>
        <v>1.830774070506519E-2</v>
      </c>
      <c r="BL24" s="10">
        <f t="shared" si="28"/>
        <v>1.8275926212126651E-2</v>
      </c>
      <c r="BM24" s="10">
        <f t="shared" si="28"/>
        <v>1.8244202487858283E-2</v>
      </c>
      <c r="BN24" s="10">
        <f t="shared" si="28"/>
        <v>1.8212578217506291E-2</v>
      </c>
      <c r="BO24" s="10">
        <f t="shared" si="28"/>
        <v>1.8181061690409183E-2</v>
      </c>
      <c r="BP24" s="10">
        <f t="shared" si="28"/>
        <v>1.8149660812721829E-2</v>
      </c>
      <c r="BQ24" s="10">
        <f t="shared" si="28"/>
        <v>1.8118383119812918E-2</v>
      </c>
      <c r="BR24" s="10">
        <f t="shared" si="28"/>
        <v>1.8087235788338065E-2</v>
      </c>
      <c r="BS24" s="10">
        <f t="shared" ref="BS24:CL24" si="29">RATE(84,1,BS52,0)</f>
        <v>1.8056225647995538E-2</v>
      </c>
      <c r="BT24" s="10">
        <f t="shared" si="29"/>
        <v>1.8025359192967105E-2</v>
      </c>
      <c r="BU24" s="10">
        <f t="shared" si="29"/>
        <v>1.7994642593051106E-2</v>
      </c>
      <c r="BV24" s="10">
        <f t="shared" si="29"/>
        <v>1.7964081704492867E-2</v>
      </c>
      <c r="BW24" s="10">
        <f t="shared" si="29"/>
        <v>1.7933682080516128E-2</v>
      </c>
      <c r="BX24" s="10">
        <f t="shared" si="29"/>
        <v>1.7903448981563739E-2</v>
      </c>
      <c r="BY24" s="10">
        <f t="shared" si="29"/>
        <v>1.7873387385250575E-2</v>
      </c>
      <c r="BZ24" s="10">
        <f t="shared" si="29"/>
        <v>1.7843501996037077E-2</v>
      </c>
      <c r="CA24" s="10">
        <f t="shared" si="29"/>
        <v>1.7813797254625462E-2</v>
      </c>
      <c r="CB24" s="10">
        <f t="shared" si="29"/>
        <v>1.7784277347089393E-2</v>
      </c>
      <c r="CC24" s="10">
        <f t="shared" si="29"/>
        <v>1.7754946213738083E-2</v>
      </c>
      <c r="CD24" s="10">
        <f t="shared" si="29"/>
        <v>1.7725807557722906E-2</v>
      </c>
      <c r="CE24" s="10">
        <f t="shared" si="29"/>
        <v>1.7696864853393023E-2</v>
      </c>
      <c r="CF24" s="10">
        <f t="shared" si="29"/>
        <v>1.7668121354404244E-2</v>
      </c>
      <c r="CG24" s="10">
        <f t="shared" si="29"/>
        <v>1.763958010158706E-2</v>
      </c>
      <c r="CH24" s="10">
        <f t="shared" si="29"/>
        <v>1.7611243930580896E-2</v>
      </c>
      <c r="CI24" s="10">
        <f t="shared" si="29"/>
        <v>1.7583115479238243E-2</v>
      </c>
      <c r="CJ24" s="10">
        <f t="shared" si="29"/>
        <v>1.7555197194807103E-2</v>
      </c>
      <c r="CK24" s="10">
        <f t="shared" si="29"/>
        <v>1.7527491340893198E-2</v>
      </c>
      <c r="CL24" s="10">
        <f t="shared" si="29"/>
        <v>1.7500000004211563E-2</v>
      </c>
    </row>
    <row r="25" spans="6:90" ht="18" customHeight="1" x14ac:dyDescent="0.25">
      <c r="F25" s="18">
        <v>1.7999999999999999E-2</v>
      </c>
      <c r="G25" s="10">
        <f t="shared" ref="G25:BR25" si="30">RATE(84,1,G53,0)</f>
        <v>1.9698704465051637E-2</v>
      </c>
      <c r="H25" s="10">
        <f t="shared" si="30"/>
        <v>1.9696161564913581E-2</v>
      </c>
      <c r="I25" s="10">
        <f t="shared" si="30"/>
        <v>1.9692418345848183E-2</v>
      </c>
      <c r="J25" s="10">
        <f t="shared" si="30"/>
        <v>1.9687520735473134E-2</v>
      </c>
      <c r="K25" s="10">
        <f t="shared" si="30"/>
        <v>1.9681513550422663E-2</v>
      </c>
      <c r="L25" s="10">
        <f t="shared" si="30"/>
        <v>1.9674440504888209E-2</v>
      </c>
      <c r="M25" s="10">
        <f t="shared" si="30"/>
        <v>1.9666344220250244E-2</v>
      </c>
      <c r="N25" s="10">
        <f t="shared" si="30"/>
        <v>1.9657266235715506E-2</v>
      </c>
      <c r="O25" s="10">
        <f t="shared" si="30"/>
        <v>1.9647247019875823E-2</v>
      </c>
      <c r="P25" s="10">
        <f t="shared" si="30"/>
        <v>1.9636325983106346E-2</v>
      </c>
      <c r="Q25" s="10">
        <f t="shared" si="30"/>
        <v>1.9624541490727246E-2</v>
      </c>
      <c r="R25" s="10">
        <f t="shared" si="30"/>
        <v>1.9611930876855196E-2</v>
      </c>
      <c r="S25" s="10">
        <f t="shared" si="30"/>
        <v>1.9598530458874365E-2</v>
      </c>
      <c r="T25" s="10">
        <f t="shared" si="30"/>
        <v>1.9584375552461557E-2</v>
      </c>
      <c r="U25" s="10">
        <f t="shared" si="30"/>
        <v>1.9569500487101148E-2</v>
      </c>
      <c r="V25" s="10">
        <f t="shared" si="30"/>
        <v>1.9553938622030281E-2</v>
      </c>
      <c r="W25" s="10">
        <f t="shared" si="30"/>
        <v>1.9537722362559587E-2</v>
      </c>
      <c r="X25" s="10">
        <f t="shared" si="30"/>
        <v>1.9520883176712512E-2</v>
      </c>
      <c r="Y25" s="10">
        <f t="shared" si="30"/>
        <v>1.950345161213804E-2</v>
      </c>
      <c r="Z25" s="10">
        <f t="shared" si="30"/>
        <v>1.9485457313244938E-2</v>
      </c>
      <c r="AA25" s="10">
        <f t="shared" si="30"/>
        <v>1.9466929038516368E-2</v>
      </c>
      <c r="AB25" s="10">
        <f t="shared" si="30"/>
        <v>1.9447894677960757E-2</v>
      </c>
      <c r="AC25" s="10">
        <f t="shared" si="30"/>
        <v>1.9428381270663993E-2</v>
      </c>
      <c r="AD25" s="10">
        <f t="shared" si="30"/>
        <v>1.9408415022401732E-2</v>
      </c>
      <c r="AE25" s="10">
        <f t="shared" si="30"/>
        <v>1.9388021323283055E-2</v>
      </c>
      <c r="AF25" s="10">
        <f t="shared" si="30"/>
        <v>1.9367224765389105E-2</v>
      </c>
      <c r="AG25" s="10">
        <f t="shared" si="30"/>
        <v>1.9346049160383679E-2</v>
      </c>
      <c r="AH25" s="10">
        <f t="shared" si="30"/>
        <v>1.9324517557062649E-2</v>
      </c>
      <c r="AI25" s="10">
        <f t="shared" si="30"/>
        <v>1.9302652258821832E-2</v>
      </c>
      <c r="AJ25" s="10">
        <f t="shared" si="30"/>
        <v>1.9280474841018781E-2</v>
      </c>
      <c r="AK25" s="10">
        <f t="shared" si="30"/>
        <v>1.9258006168207779E-2</v>
      </c>
      <c r="AL25" s="10">
        <f t="shared" si="30"/>
        <v>1.9235266411228837E-2</v>
      </c>
      <c r="AM25" s="10">
        <f t="shared" si="30"/>
        <v>1.9212275064133515E-2</v>
      </c>
      <c r="AN25" s="10">
        <f t="shared" si="30"/>
        <v>1.918905096093218E-2</v>
      </c>
      <c r="AO25" s="10">
        <f t="shared" si="30"/>
        <v>1.9165612292146091E-2</v>
      </c>
      <c r="AP25" s="10">
        <f t="shared" si="30"/>
        <v>1.9141976621155379E-2</v>
      </c>
      <c r="AQ25" s="10">
        <f t="shared" si="30"/>
        <v>1.9118160900327551E-2</v>
      </c>
      <c r="AR25" s="10">
        <f t="shared" si="30"/>
        <v>1.9094181486918316E-2</v>
      </c>
      <c r="AS25" s="21">
        <f t="shared" si="30"/>
        <v>1.9070054158736062E-2</v>
      </c>
      <c r="AT25" s="10">
        <f t="shared" si="30"/>
        <v>1.9045794129559857E-2</v>
      </c>
      <c r="AU25" s="10">
        <f t="shared" si="30"/>
        <v>1.9021416064306292E-2</v>
      </c>
      <c r="AV25" s="10">
        <f t="shared" si="30"/>
        <v>1.8996934093938246E-2</v>
      </c>
      <c r="AW25" s="10">
        <f t="shared" si="30"/>
        <v>1.8972361830110702E-2</v>
      </c>
      <c r="AX25" s="10">
        <f t="shared" si="30"/>
        <v>1.8947712379549883E-2</v>
      </c>
      <c r="AY25" s="10">
        <f t="shared" si="30"/>
        <v>1.8922998358161403E-2</v>
      </c>
      <c r="AZ25" s="10">
        <f t="shared" si="30"/>
        <v>1.8898231904865209E-2</v>
      </c>
      <c r="BA25" s="10">
        <f t="shared" si="30"/>
        <v>1.8873424695157931E-2</v>
      </c>
      <c r="BB25" s="10">
        <f t="shared" si="30"/>
        <v>1.8848587954395361E-2</v>
      </c>
      <c r="BC25" s="10">
        <f t="shared" si="30"/>
        <v>1.8823732470801949E-2</v>
      </c>
      <c r="BD25" s="10">
        <f t="shared" si="30"/>
        <v>1.879886860820032E-2</v>
      </c>
      <c r="BE25" s="10">
        <f t="shared" si="30"/>
        <v>1.8774006318466367E-2</v>
      </c>
      <c r="BF25" s="10">
        <f t="shared" si="30"/>
        <v>1.8749155153707505E-2</v>
      </c>
      <c r="BG25" s="10">
        <f t="shared" si="30"/>
        <v>1.8724324278166775E-2</v>
      </c>
      <c r="BH25" s="10">
        <f t="shared" si="30"/>
        <v>1.8699522479854E-2</v>
      </c>
      <c r="BI25" s="10">
        <f t="shared" si="30"/>
        <v>1.8674758181906431E-2</v>
      </c>
      <c r="BJ25" s="10">
        <f t="shared" si="30"/>
        <v>1.865003945368043E-2</v>
      </c>
      <c r="BK25" s="10">
        <f t="shared" si="30"/>
        <v>1.8625374021577761E-2</v>
      </c>
      <c r="BL25" s="10">
        <f t="shared" si="30"/>
        <v>1.8600769279608239E-2</v>
      </c>
      <c r="BM25" s="10">
        <f t="shared" si="30"/>
        <v>1.857623229969254E-2</v>
      </c>
      <c r="BN25" s="10">
        <f t="shared" si="30"/>
        <v>1.8551769841709059E-2</v>
      </c>
      <c r="BO25" s="10">
        <f t="shared" si="30"/>
        <v>1.8527388363286552E-2</v>
      </c>
      <c r="BP25" s="10">
        <f t="shared" si="30"/>
        <v>1.8503094029347474E-2</v>
      </c>
      <c r="BQ25" s="10">
        <f t="shared" si="30"/>
        <v>1.8478892721406827E-2</v>
      </c>
      <c r="BR25" s="10">
        <f t="shared" si="30"/>
        <v>1.8454790046627159E-2</v>
      </c>
      <c r="BS25" s="10">
        <f t="shared" ref="BS25:CL25" si="31">RATE(84,1,BS53,0)</f>
        <v>1.8430791346637217E-2</v>
      </c>
      <c r="BT25" s="10">
        <f t="shared" si="31"/>
        <v>1.840690170611696E-2</v>
      </c>
      <c r="BU25" s="10">
        <f t="shared" si="31"/>
        <v>1.8383125961152078E-2</v>
      </c>
      <c r="BV25" s="10">
        <f t="shared" si="31"/>
        <v>1.8359468707364435E-2</v>
      </c>
      <c r="BW25" s="10">
        <f t="shared" si="31"/>
        <v>1.8335934307820639E-2</v>
      </c>
      <c r="BX25" s="10">
        <f t="shared" si="31"/>
        <v>1.8312526900724983E-2</v>
      </c>
      <c r="BY25" s="10">
        <f t="shared" si="31"/>
        <v>1.828925040689992E-2</v>
      </c>
      <c r="BZ25" s="10">
        <f t="shared" si="31"/>
        <v>1.8266108537057488E-2</v>
      </c>
      <c r="CA25" s="10">
        <f t="shared" si="31"/>
        <v>1.8243104798869446E-2</v>
      </c>
      <c r="CB25" s="10">
        <f t="shared" si="31"/>
        <v>1.8220242503836817E-2</v>
      </c>
      <c r="CC25" s="10">
        <f t="shared" si="31"/>
        <v>1.8197524773965339E-2</v>
      </c>
      <c r="CD25" s="10">
        <f t="shared" si="31"/>
        <v>1.8174954548249803E-2</v>
      </c>
      <c r="CE25" s="10">
        <f t="shared" si="31"/>
        <v>1.815253458897402E-2</v>
      </c>
      <c r="CF25" s="10">
        <f t="shared" si="31"/>
        <v>1.8130267487827686E-2</v>
      </c>
      <c r="CG25" s="10">
        <f t="shared" si="31"/>
        <v>1.8108155671846007E-2</v>
      </c>
      <c r="CH25" s="10">
        <f t="shared" si="31"/>
        <v>1.8086201409176422E-2</v>
      </c>
      <c r="CI25" s="10">
        <f t="shared" si="31"/>
        <v>1.8064406814676692E-2</v>
      </c>
      <c r="CJ25" s="10">
        <f t="shared" si="31"/>
        <v>1.8042773855346434E-2</v>
      </c>
      <c r="CK25" s="10">
        <f t="shared" si="31"/>
        <v>1.8021304355600457E-2</v>
      </c>
      <c r="CL25" s="10">
        <f t="shared" si="31"/>
        <v>1.8000000002382371E-2</v>
      </c>
    </row>
    <row r="26" spans="6:90" ht="18" customHeight="1" x14ac:dyDescent="0.25">
      <c r="F26" s="18">
        <v>1.8499999999999999E-2</v>
      </c>
      <c r="G26" s="10">
        <f t="shared" ref="G26:BR26" si="32">RATE(84,1,G54,0)</f>
        <v>1.969908594541243E-2</v>
      </c>
      <c r="H26" s="10">
        <f t="shared" si="32"/>
        <v>1.9697292213971426E-2</v>
      </c>
      <c r="I26" s="10">
        <f t="shared" si="32"/>
        <v>1.9694652323546669E-2</v>
      </c>
      <c r="J26" s="10">
        <f t="shared" si="32"/>
        <v>1.9691198941546605E-2</v>
      </c>
      <c r="K26" s="10">
        <f t="shared" si="32"/>
        <v>1.9686963896341215E-2</v>
      </c>
      <c r="L26" s="10">
        <f t="shared" si="32"/>
        <v>1.9681978188815404E-2</v>
      </c>
      <c r="M26" s="10">
        <f t="shared" si="32"/>
        <v>1.9676272004313891E-2</v>
      </c>
      <c r="N26" s="10">
        <f t="shared" si="32"/>
        <v>1.9669874724934519E-2</v>
      </c>
      <c r="O26" s="10">
        <f t="shared" si="32"/>
        <v>1.9662814942125958E-2</v>
      </c>
      <c r="P26" s="10">
        <f t="shared" si="32"/>
        <v>1.9655120469551025E-2</v>
      </c>
      <c r="Q26" s="10">
        <f t="shared" si="32"/>
        <v>1.964681835618046E-2</v>
      </c>
      <c r="R26" s="10">
        <f t="shared" si="32"/>
        <v>1.9637934899577891E-2</v>
      </c>
      <c r="S26" s="10">
        <f t="shared" si="32"/>
        <v>1.9628495659345664E-2</v>
      </c>
      <c r="T26" s="10">
        <f t="shared" si="32"/>
        <v>1.961852547069853E-2</v>
      </c>
      <c r="U26" s="10">
        <f t="shared" si="32"/>
        <v>1.9608048458137212E-2</v>
      </c>
      <c r="V26" s="10">
        <f t="shared" si="32"/>
        <v>1.9597088049193009E-2</v>
      </c>
      <c r="W26" s="10">
        <f t="shared" si="32"/>
        <v>1.9585666988218751E-2</v>
      </c>
      <c r="X26" s="10">
        <f t="shared" si="32"/>
        <v>1.9573807350200003E-2</v>
      </c>
      <c r="Y26" s="10">
        <f t="shared" si="32"/>
        <v>1.9561530554567438E-2</v>
      </c>
      <c r="Z26" s="10">
        <f t="shared" si="32"/>
        <v>1.9548857378985908E-2</v>
      </c>
      <c r="AA26" s="10">
        <f t="shared" si="32"/>
        <v>1.9535807973103402E-2</v>
      </c>
      <c r="AB26" s="10">
        <f t="shared" si="32"/>
        <v>1.9522401872240473E-2</v>
      </c>
      <c r="AC26" s="10">
        <f t="shared" si="32"/>
        <v>1.9508658011003922E-2</v>
      </c>
      <c r="AD26" s="10">
        <f t="shared" si="32"/>
        <v>1.9494594736810551E-2</v>
      </c>
      <c r="AE26" s="10">
        <f t="shared" si="32"/>
        <v>1.9480229823304801E-2</v>
      </c>
      <c r="AF26" s="10">
        <f t="shared" si="32"/>
        <v>1.9465580483659026E-2</v>
      </c>
      <c r="AG26" s="10">
        <f t="shared" si="32"/>
        <v>1.9450663383744751E-2</v>
      </c>
      <c r="AH26" s="10">
        <f t="shared" si="32"/>
        <v>1.9435494655162696E-2</v>
      </c>
      <c r="AI26" s="10">
        <f t="shared" si="32"/>
        <v>1.9420089908124268E-2</v>
      </c>
      <c r="AJ26" s="10">
        <f t="shared" si="32"/>
        <v>1.9404464244173029E-2</v>
      </c>
      <c r="AK26" s="10">
        <f t="shared" si="32"/>
        <v>1.938863226874098E-2</v>
      </c>
      <c r="AL26" s="10">
        <f t="shared" si="32"/>
        <v>1.9372608103530309E-2</v>
      </c>
      <c r="AM26" s="10">
        <f t="shared" si="32"/>
        <v>1.9356405398716657E-2</v>
      </c>
      <c r="AN26" s="10">
        <f t="shared" si="32"/>
        <v>1.9340037344966629E-2</v>
      </c>
      <c r="AO26" s="10">
        <f t="shared" si="32"/>
        <v>1.9323516685266145E-2</v>
      </c>
      <c r="AP26" s="10">
        <f t="shared" si="32"/>
        <v>1.9306855726554037E-2</v>
      </c>
      <c r="AQ26" s="10">
        <f t="shared" si="32"/>
        <v>1.9290066351159964E-2</v>
      </c>
      <c r="AR26" s="10">
        <f t="shared" si="32"/>
        <v>1.9273160028040456E-2</v>
      </c>
      <c r="AS26" s="21">
        <f t="shared" si="32"/>
        <v>1.9256147823813935E-2</v>
      </c>
      <c r="AT26" s="10">
        <f t="shared" si="32"/>
        <v>1.9239040413590563E-2</v>
      </c>
      <c r="AU26" s="10">
        <f t="shared" si="32"/>
        <v>1.9221848091597462E-2</v>
      </c>
      <c r="AV26" s="10">
        <f t="shared" si="32"/>
        <v>1.9204580781595929E-2</v>
      </c>
      <c r="AW26" s="10">
        <f t="shared" si="32"/>
        <v>1.9187248047092934E-2</v>
      </c>
      <c r="AX26" s="10">
        <f t="shared" si="32"/>
        <v>1.9169859101345263E-2</v>
      </c>
      <c r="AY26" s="10">
        <f t="shared" si="32"/>
        <v>1.9152422817155648E-2</v>
      </c>
      <c r="AZ26" s="10">
        <f t="shared" si="32"/>
        <v>1.9134947736463962E-2</v>
      </c>
      <c r="BA26" s="10">
        <f t="shared" si="32"/>
        <v>1.9117442079731546E-2</v>
      </c>
      <c r="BB26" s="10">
        <f t="shared" si="32"/>
        <v>1.9099913755121524E-2</v>
      </c>
      <c r="BC26" s="10">
        <f t="shared" si="32"/>
        <v>1.908237036747628E-2</v>
      </c>
      <c r="BD26" s="10">
        <f t="shared" si="32"/>
        <v>1.9064819227092505E-2</v>
      </c>
      <c r="BE26" s="10">
        <f t="shared" si="32"/>
        <v>1.9047267358296694E-2</v>
      </c>
      <c r="BF26" s="10">
        <f t="shared" si="32"/>
        <v>1.9029721507823238E-2</v>
      </c>
      <c r="BG26" s="10">
        <f t="shared" si="32"/>
        <v>1.901218815299632E-2</v>
      </c>
      <c r="BH26" s="10">
        <f t="shared" si="32"/>
        <v>1.8994673509717539E-2</v>
      </c>
      <c r="BI26" s="10">
        <f t="shared" si="32"/>
        <v>1.8977183540264335E-2</v>
      </c>
      <c r="BJ26" s="10">
        <f t="shared" si="32"/>
        <v>1.8959723960898036E-2</v>
      </c>
      <c r="BK26" s="10">
        <f t="shared" si="32"/>
        <v>1.8942300249286989E-2</v>
      </c>
      <c r="BL26" s="10">
        <f t="shared" si="32"/>
        <v>1.8924917651745855E-2</v>
      </c>
      <c r="BM26" s="10">
        <f t="shared" si="32"/>
        <v>1.8907581190295362E-2</v>
      </c>
      <c r="BN26" s="10">
        <f t="shared" si="32"/>
        <v>1.889029566954371E-2</v>
      </c>
      <c r="BO26" s="10">
        <f t="shared" si="32"/>
        <v>1.8873065683394294E-2</v>
      </c>
      <c r="BP26" s="10">
        <f t="shared" si="32"/>
        <v>1.8855895621580795E-2</v>
      </c>
      <c r="BQ26" s="10">
        <f t="shared" si="32"/>
        <v>1.8838789676035358E-2</v>
      </c>
      <c r="BR26" s="10">
        <f t="shared" si="32"/>
        <v>1.8821751847089525E-2</v>
      </c>
      <c r="BS26" s="10">
        <f t="shared" ref="BS26:CL26" si="33">RATE(84,1,BS54,0)</f>
        <v>1.8804785949514503E-2</v>
      </c>
      <c r="BT26" s="10">
        <f t="shared" si="33"/>
        <v>1.8787895618401156E-2</v>
      </c>
      <c r="BU26" s="10">
        <f t="shared" si="33"/>
        <v>1.8771084314884095E-2</v>
      </c>
      <c r="BV26" s="10">
        <f t="shared" si="33"/>
        <v>1.8754355331713442E-2</v>
      </c>
      <c r="BW26" s="10">
        <f t="shared" si="33"/>
        <v>1.8737711798676022E-2</v>
      </c>
      <c r="BX26" s="10">
        <f t="shared" si="33"/>
        <v>1.8721156687870312E-2</v>
      </c>
      <c r="BY26" s="10">
        <f t="shared" si="33"/>
        <v>1.8704692818837743E-2</v>
      </c>
      <c r="BZ26" s="10">
        <f t="shared" si="33"/>
        <v>1.8688322863553115E-2</v>
      </c>
      <c r="CA26" s="10">
        <f t="shared" si="33"/>
        <v>1.8672049351278554E-2</v>
      </c>
      <c r="CB26" s="10">
        <f t="shared" si="33"/>
        <v>1.865587467328211E-2</v>
      </c>
      <c r="CC26" s="10">
        <f t="shared" si="33"/>
        <v>1.8639801087425804E-2</v>
      </c>
      <c r="CD26" s="10">
        <f t="shared" si="33"/>
        <v>1.8623830722624409E-2</v>
      </c>
      <c r="CE26" s="10">
        <f t="shared" si="33"/>
        <v>1.8607965583180553E-2</v>
      </c>
      <c r="CF26" s="10">
        <f t="shared" si="33"/>
        <v>1.8592207552995507E-2</v>
      </c>
      <c r="CG26" s="10">
        <f t="shared" si="33"/>
        <v>1.8576558399661738E-2</v>
      </c>
      <c r="CH26" s="10">
        <f t="shared" si="33"/>
        <v>1.856101977843827E-2</v>
      </c>
      <c r="CI26" s="10">
        <f t="shared" si="33"/>
        <v>1.854559323611259E-2</v>
      </c>
      <c r="CJ26" s="10">
        <f t="shared" si="33"/>
        <v>1.8530280214750918E-2</v>
      </c>
      <c r="CK26" s="10">
        <f t="shared" si="33"/>
        <v>1.8515082055340873E-2</v>
      </c>
      <c r="CL26" s="10">
        <f t="shared" si="33"/>
        <v>1.8500000001327645E-2</v>
      </c>
    </row>
    <row r="27" spans="6:90" ht="18" customHeight="1" x14ac:dyDescent="0.25">
      <c r="F27" s="18">
        <v>1.9E-2</v>
      </c>
      <c r="G27" s="10">
        <f t="shared" ref="G27:BR27" si="34">RATE(84,1,G55,0)</f>
        <v>1.9699467058375764E-2</v>
      </c>
      <c r="H27" s="10">
        <f t="shared" si="34"/>
        <v>1.969842144731267E-2</v>
      </c>
      <c r="I27" s="10">
        <f t="shared" si="34"/>
        <v>1.9696882898586614E-2</v>
      </c>
      <c r="J27" s="10">
        <f t="shared" si="34"/>
        <v>1.9694870612306542E-2</v>
      </c>
      <c r="K27" s="10">
        <f t="shared" si="34"/>
        <v>1.9692403267213072E-2</v>
      </c>
      <c r="L27" s="10">
        <f t="shared" si="34"/>
        <v>1.968949903067856E-2</v>
      </c>
      <c r="M27" s="10">
        <f t="shared" si="34"/>
        <v>1.9686175568702797E-2</v>
      </c>
      <c r="N27" s="10">
        <f t="shared" si="34"/>
        <v>1.968245005588842E-2</v>
      </c>
      <c r="O27" s="10">
        <f t="shared" si="34"/>
        <v>1.9678339185385887E-2</v>
      </c>
      <c r="P27" s="10">
        <f t="shared" si="34"/>
        <v>1.9673859178796972E-2</v>
      </c>
      <c r="Q27" s="10">
        <f t="shared" si="34"/>
        <v>1.966902579602374E-2</v>
      </c>
      <c r="R27" s="10">
        <f t="shared" si="34"/>
        <v>1.9663854345056065E-2</v>
      </c>
      <c r="S27" s="10">
        <f t="shared" si="34"/>
        <v>1.9658359691687187E-2</v>
      </c>
      <c r="T27" s="10">
        <f t="shared" si="34"/>
        <v>1.9652556269149506E-2</v>
      </c>
      <c r="U27" s="10">
        <f t="shared" si="34"/>
        <v>1.9646458087662039E-2</v>
      </c>
      <c r="V27" s="10">
        <f t="shared" si="34"/>
        <v>1.9640078743884151E-2</v>
      </c>
      <c r="W27" s="10">
        <f t="shared" si="34"/>
        <v>1.9633431430268283E-2</v>
      </c>
      <c r="X27" s="10">
        <f t="shared" si="34"/>
        <v>1.9626528944306061E-2</v>
      </c>
      <c r="Y27" s="10">
        <f t="shared" si="34"/>
        <v>1.9619383697662262E-2</v>
      </c>
      <c r="Z27" s="10">
        <f t="shared" si="34"/>
        <v>1.9612007725192962E-2</v>
      </c>
      <c r="AA27" s="10">
        <f t="shared" si="34"/>
        <v>1.9604412693842228E-2</v>
      </c>
      <c r="AB27" s="10">
        <f t="shared" si="34"/>
        <v>1.9596609911414511E-2</v>
      </c>
      <c r="AC27" s="10">
        <f t="shared" si="34"/>
        <v>1.9588610335220712E-2</v>
      </c>
      <c r="AD27" s="10">
        <f t="shared" si="34"/>
        <v>1.9580424580591341E-2</v>
      </c>
      <c r="AE27" s="10">
        <f t="shared" si="34"/>
        <v>1.9572062929258494E-2</v>
      </c>
      <c r="AF27" s="10">
        <f t="shared" si="34"/>
        <v>1.9563535337602519E-2</v>
      </c>
      <c r="AG27" s="10">
        <f t="shared" si="34"/>
        <v>1.9554851444761E-2</v>
      </c>
      <c r="AH27" s="10">
        <f t="shared" si="34"/>
        <v>1.9546020580599739E-2</v>
      </c>
      <c r="AI27" s="10">
        <f t="shared" si="34"/>
        <v>1.953705177354504E-2</v>
      </c>
      <c r="AJ27" s="10">
        <f t="shared" si="34"/>
        <v>1.9527953758274225E-2</v>
      </c>
      <c r="AK27" s="10">
        <f t="shared" si="34"/>
        <v>1.951873498326686E-2</v>
      </c>
      <c r="AL27" s="10">
        <f t="shared" si="34"/>
        <v>1.9509403618213548E-2</v>
      </c>
      <c r="AM27" s="10">
        <f t="shared" si="34"/>
        <v>1.9499967561283731E-2</v>
      </c>
      <c r="AN27" s="10">
        <f t="shared" si="34"/>
        <v>1.9490434446252265E-2</v>
      </c>
      <c r="AO27" s="10">
        <f t="shared" si="34"/>
        <v>1.948081164948573E-2</v>
      </c>
      <c r="AP27" s="10">
        <f t="shared" si="34"/>
        <v>1.94711062967865E-2</v>
      </c>
      <c r="AQ27" s="10">
        <f t="shared" si="34"/>
        <v>1.9461325270098497E-2</v>
      </c>
      <c r="AR27" s="10">
        <f t="shared" si="34"/>
        <v>1.9451475214073498E-2</v>
      </c>
      <c r="AS27" s="21">
        <f t="shared" si="34"/>
        <v>1.9441562542499336E-2</v>
      </c>
      <c r="AT27" s="10">
        <f t="shared" si="34"/>
        <v>1.9431593444590084E-2</v>
      </c>
      <c r="AU27" s="10">
        <f t="shared" si="34"/>
        <v>1.9421573891142522E-2</v>
      </c>
      <c r="AV27" s="10">
        <f t="shared" si="34"/>
        <v>1.9411509640555383E-2</v>
      </c>
      <c r="AW27" s="10">
        <f t="shared" si="34"/>
        <v>1.9401406244717985E-2</v>
      </c>
      <c r="AX27" s="10">
        <f t="shared" si="34"/>
        <v>1.9391269054764893E-2</v>
      </c>
      <c r="AY27" s="10">
        <f t="shared" si="34"/>
        <v>1.9381103226702546E-2</v>
      </c>
      <c r="AZ27" s="10">
        <f t="shared" si="34"/>
        <v>1.9370913726905682E-2</v>
      </c>
      <c r="BA27" s="10">
        <f t="shared" si="34"/>
        <v>1.9360705337487901E-2</v>
      </c>
      <c r="BB27" s="10">
        <f t="shared" si="34"/>
        <v>1.9350482661547229E-2</v>
      </c>
      <c r="BC27" s="10">
        <f t="shared" si="34"/>
        <v>1.9340250128287866E-2</v>
      </c>
      <c r="BD27" s="10">
        <f t="shared" si="34"/>
        <v>1.9330011998020872E-2</v>
      </c>
      <c r="BE27" s="10">
        <f t="shared" si="34"/>
        <v>1.931977236704599E-2</v>
      </c>
      <c r="BF27" s="10">
        <f t="shared" si="34"/>
        <v>1.9309535172414936E-2</v>
      </c>
      <c r="BG27" s="10">
        <f t="shared" si="34"/>
        <v>1.929930419657936E-2</v>
      </c>
      <c r="BH27" s="10">
        <f t="shared" si="34"/>
        <v>1.9289083071925756E-2</v>
      </c>
      <c r="BI27" s="10">
        <f t="shared" si="34"/>
        <v>1.9278875285197582E-2</v>
      </c>
      <c r="BJ27" s="10">
        <f t="shared" si="34"/>
        <v>1.926868418180918E-2</v>
      </c>
      <c r="BK27" s="10">
        <f t="shared" si="34"/>
        <v>1.9258512970050747E-2</v>
      </c>
      <c r="BL27" s="10">
        <f t="shared" si="34"/>
        <v>1.9248364725187782E-2</v>
      </c>
      <c r="BM27" s="10">
        <f t="shared" si="34"/>
        <v>1.9238242393458147E-2</v>
      </c>
      <c r="BN27" s="10">
        <f t="shared" si="34"/>
        <v>1.9228148795966297E-2</v>
      </c>
      <c r="BO27" s="10">
        <f t="shared" si="34"/>
        <v>1.9218086632477687E-2</v>
      </c>
      <c r="BP27" s="10">
        <f t="shared" si="34"/>
        <v>1.9208058485116749E-2</v>
      </c>
      <c r="BQ27" s="10">
        <f t="shared" si="34"/>
        <v>1.9198066821968313E-2</v>
      </c>
      <c r="BR27" s="10">
        <f t="shared" si="34"/>
        <v>1.9188114000585749E-2</v>
      </c>
      <c r="BS27" s="10">
        <f t="shared" ref="BS27:CL27" si="35">RATE(84,1,BS55,0)</f>
        <v>1.9178202271406795E-2</v>
      </c>
      <c r="BT27" s="10">
        <f t="shared" si="35"/>
        <v>1.9168333781081313E-2</v>
      </c>
      <c r="BU27" s="10">
        <f t="shared" si="35"/>
        <v>1.9158510575708849E-2</v>
      </c>
      <c r="BV27" s="10">
        <f t="shared" si="35"/>
        <v>1.9148734603991874E-2</v>
      </c>
      <c r="BW27" s="10">
        <f t="shared" si="35"/>
        <v>1.9139007720305579E-2</v>
      </c>
      <c r="BX27" s="10">
        <f t="shared" si="35"/>
        <v>1.9129331687682945E-2</v>
      </c>
      <c r="BY27" s="10">
        <f t="shared" si="35"/>
        <v>1.9119708180722582E-2</v>
      </c>
      <c r="BZ27" s="10">
        <f t="shared" si="35"/>
        <v>1.9110138788416324E-2</v>
      </c>
      <c r="CA27" s="10">
        <f t="shared" si="35"/>
        <v>1.9100625016900283E-2</v>
      </c>
      <c r="CB27" s="10">
        <f t="shared" si="35"/>
        <v>1.9091168292131012E-2</v>
      </c>
      <c r="CC27" s="10">
        <f t="shared" si="35"/>
        <v>1.9081769962489666E-2</v>
      </c>
      <c r="CD27" s="10">
        <f t="shared" si="35"/>
        <v>1.9072431301312819E-2</v>
      </c>
      <c r="CE27" s="10">
        <f t="shared" si="35"/>
        <v>1.9063153509354922E-2</v>
      </c>
      <c r="CF27" s="10">
        <f t="shared" si="35"/>
        <v>1.9053937717182445E-2</v>
      </c>
      <c r="CG27" s="10">
        <f t="shared" si="35"/>
        <v>1.904478498750057E-2</v>
      </c>
      <c r="CH27" s="10">
        <f t="shared" si="35"/>
        <v>1.9035696317417052E-2</v>
      </c>
      <c r="CI27" s="10">
        <f t="shared" si="35"/>
        <v>1.9026672640640382E-2</v>
      </c>
      <c r="CJ27" s="10">
        <f t="shared" si="35"/>
        <v>1.901771482961814E-2</v>
      </c>
      <c r="CK27" s="10">
        <f t="shared" si="35"/>
        <v>1.900882369761454E-2</v>
      </c>
      <c r="CL27" s="10">
        <f t="shared" si="35"/>
        <v>1.9000000000728743E-2</v>
      </c>
    </row>
    <row r="28" spans="6:90" ht="18" customHeight="1" x14ac:dyDescent="0.25">
      <c r="F28" s="18">
        <v>1.95E-2</v>
      </c>
      <c r="G28" s="10">
        <f t="shared" ref="G28:BR29" si="36">RATE(84,1,G56,0)</f>
        <v>1.9699847804471926E-2</v>
      </c>
      <c r="H28" s="10">
        <f t="shared" si="36"/>
        <v>1.9699549267416738E-2</v>
      </c>
      <c r="I28" s="10">
        <f t="shared" si="36"/>
        <v>1.9699110077865796E-2</v>
      </c>
      <c r="J28" s="10">
        <f t="shared" si="36"/>
        <v>1.9698535762600819E-2</v>
      </c>
      <c r="K28" s="10">
        <f t="shared" si="36"/>
        <v>1.9697831690331017E-2</v>
      </c>
      <c r="L28" s="10">
        <f t="shared" si="36"/>
        <v>1.969700307549441E-2</v>
      </c>
      <c r="M28" s="10">
        <f t="shared" si="36"/>
        <v>1.9696054981983461E-2</v>
      </c>
      <c r="N28" s="10">
        <f t="shared" si="36"/>
        <v>1.9694992326802576E-2</v>
      </c>
      <c r="O28" s="10">
        <f t="shared" si="36"/>
        <v>1.9693819883652756E-2</v>
      </c>
      <c r="P28" s="10">
        <f t="shared" si="36"/>
        <v>1.9692542286445805E-2</v>
      </c>
      <c r="Q28" s="10">
        <f t="shared" si="36"/>
        <v>1.9691164032749644E-2</v>
      </c>
      <c r="R28" s="10">
        <f t="shared" si="36"/>
        <v>1.9689689487164513E-2</v>
      </c>
      <c r="S28" s="10">
        <f t="shared" si="36"/>
        <v>1.968812288462924E-2</v>
      </c>
      <c r="T28" s="10">
        <f t="shared" si="36"/>
        <v>1.9686468333661694E-2</v>
      </c>
      <c r="U28" s="10">
        <f t="shared" si="36"/>
        <v>1.9684729819531399E-2</v>
      </c>
      <c r="V28" s="10">
        <f t="shared" si="36"/>
        <v>1.9682911207366181E-2</v>
      </c>
      <c r="W28" s="10">
        <f t="shared" si="36"/>
        <v>1.9681016245193451E-2</v>
      </c>
      <c r="X28" s="10">
        <f t="shared" si="36"/>
        <v>1.9679048566916924E-2</v>
      </c>
      <c r="Y28" s="10">
        <f t="shared" si="36"/>
        <v>1.9677011695230531E-2</v>
      </c>
      <c r="Z28" s="10">
        <f t="shared" si="36"/>
        <v>1.9674909044468121E-2</v>
      </c>
      <c r="AA28" s="10">
        <f t="shared" si="36"/>
        <v>1.9672743923392938E-2</v>
      </c>
      <c r="AB28" s="10">
        <f t="shared" si="36"/>
        <v>1.9670519537925441E-2</v>
      </c>
      <c r="AC28" s="10">
        <f t="shared" si="36"/>
        <v>1.9668238993810389E-2</v>
      </c>
      <c r="AD28" s="10">
        <f t="shared" si="36"/>
        <v>1.9665905299226516E-2</v>
      </c>
      <c r="AE28" s="10">
        <f t="shared" si="36"/>
        <v>1.9663521367336689E-2</v>
      </c>
      <c r="AF28" s="10">
        <f t="shared" si="36"/>
        <v>1.9661090018781423E-2</v>
      </c>
      <c r="AG28" s="10">
        <f t="shared" si="36"/>
        <v>1.9658613984115614E-2</v>
      </c>
      <c r="AH28" s="10">
        <f t="shared" si="36"/>
        <v>1.9656095906191353E-2</v>
      </c>
      <c r="AI28" s="10">
        <f t="shared" si="36"/>
        <v>1.9653538342484605E-2</v>
      </c>
      <c r="AJ28" s="10">
        <f t="shared" si="36"/>
        <v>1.9650943767369242E-2</v>
      </c>
      <c r="AK28" s="10">
        <f t="shared" si="36"/>
        <v>1.9648314574338892E-2</v>
      </c>
      <c r="AL28" s="10">
        <f t="shared" si="36"/>
        <v>1.9645653078177179E-2</v>
      </c>
      <c r="AM28" s="10">
        <f t="shared" si="36"/>
        <v>1.9642961517076694E-2</v>
      </c>
      <c r="AN28" s="10">
        <f t="shared" si="36"/>
        <v>1.9640242054708826E-2</v>
      </c>
      <c r="AO28" s="10">
        <f t="shared" si="36"/>
        <v>1.9637496782245016E-2</v>
      </c>
      <c r="AP28" s="10">
        <f t="shared" si="36"/>
        <v>1.9634727720329991E-2</v>
      </c>
      <c r="AQ28" s="10">
        <f t="shared" si="36"/>
        <v>1.9631936821007924E-2</v>
      </c>
      <c r="AR28" s="10">
        <f t="shared" si="36"/>
        <v>1.9629125969603062E-2</v>
      </c>
      <c r="AS28" s="21">
        <f t="shared" si="36"/>
        <v>1.9626296986554447E-2</v>
      </c>
      <c r="AT28" s="10">
        <f t="shared" si="36"/>
        <v>1.9623451629207967E-2</v>
      </c>
      <c r="AU28" s="10">
        <f t="shared" si="36"/>
        <v>1.9620591593563077E-2</v>
      </c>
      <c r="AV28" s="10">
        <f t="shared" si="36"/>
        <v>1.961771851597963E-2</v>
      </c>
      <c r="AW28" s="10">
        <f t="shared" si="36"/>
        <v>1.9614833974839947E-2</v>
      </c>
      <c r="AX28" s="10">
        <f t="shared" si="36"/>
        <v>1.9611939492173564E-2</v>
      </c>
      <c r="AY28" s="10">
        <f t="shared" si="36"/>
        <v>1.9609036535239523E-2</v>
      </c>
      <c r="AZ28" s="10">
        <f t="shared" si="36"/>
        <v>1.9606126518071459E-2</v>
      </c>
      <c r="BA28" s="10">
        <f t="shared" si="36"/>
        <v>1.9603210802982638E-2</v>
      </c>
      <c r="BB28" s="10">
        <f t="shared" si="36"/>
        <v>1.9600290702035957E-2</v>
      </c>
      <c r="BC28" s="10">
        <f t="shared" si="36"/>
        <v>1.9597367478474986E-2</v>
      </c>
      <c r="BD28" s="10">
        <f t="shared" si="36"/>
        <v>1.9594442348121105E-2</v>
      </c>
      <c r="BE28" s="10">
        <f t="shared" si="36"/>
        <v>1.9591516480734282E-2</v>
      </c>
      <c r="BF28" s="10">
        <f t="shared" si="36"/>
        <v>1.9588591001340382E-2</v>
      </c>
      <c r="BG28" s="10">
        <f t="shared" si="36"/>
        <v>1.9585666991525325E-2</v>
      </c>
      <c r="BH28" s="10">
        <f t="shared" si="36"/>
        <v>1.958274549069455E-2</v>
      </c>
      <c r="BI28" s="10">
        <f t="shared" si="36"/>
        <v>1.9579827497303658E-2</v>
      </c>
      <c r="BJ28" s="10">
        <f t="shared" si="36"/>
        <v>1.9576913970054195E-2</v>
      </c>
      <c r="BK28" s="10">
        <f t="shared" si="36"/>
        <v>1.9574005829061714E-2</v>
      </c>
      <c r="BL28" s="10">
        <f t="shared" si="36"/>
        <v>1.9571103956992381E-2</v>
      </c>
      <c r="BM28" s="10">
        <f t="shared" si="36"/>
        <v>1.9568209200170838E-2</v>
      </c>
      <c r="BN28" s="10">
        <f t="shared" si="36"/>
        <v>1.9565322369659455E-2</v>
      </c>
      <c r="BO28" s="10">
        <f t="shared" si="36"/>
        <v>1.9562444242309233E-2</v>
      </c>
      <c r="BP28" s="10">
        <f t="shared" si="36"/>
        <v>1.9559575561784417E-2</v>
      </c>
      <c r="BQ28" s="10">
        <f t="shared" si="36"/>
        <v>1.9556717039559707E-2</v>
      </c>
      <c r="BR28" s="10">
        <f t="shared" si="36"/>
        <v>1.9553869355891557E-2</v>
      </c>
      <c r="BS28" s="10">
        <f t="shared" ref="BS28:CL29" si="37">RATE(84,1,BS56,0)</f>
        <v>1.9551033160764269E-2</v>
      </c>
      <c r="BT28" s="10">
        <f t="shared" si="37"/>
        <v>1.9548209074810963E-2</v>
      </c>
      <c r="BU28" s="10">
        <f t="shared" si="37"/>
        <v>1.954539769021094E-2</v>
      </c>
      <c r="BV28" s="10">
        <f t="shared" si="37"/>
        <v>1.9542599571562739E-2</v>
      </c>
      <c r="BW28" s="10">
        <f t="shared" si="37"/>
        <v>1.9539815256733931E-2</v>
      </c>
      <c r="BX28" s="10">
        <f t="shared" si="37"/>
        <v>1.9537045257690164E-2</v>
      </c>
      <c r="BY28" s="10">
        <f t="shared" si="37"/>
        <v>1.953429006129884E-2</v>
      </c>
      <c r="BZ28" s="10">
        <f t="shared" si="37"/>
        <v>1.9531550130115091E-2</v>
      </c>
      <c r="CA28" s="10">
        <f t="shared" si="37"/>
        <v>1.9528825903144028E-2</v>
      </c>
      <c r="CB28" s="10">
        <f t="shared" si="37"/>
        <v>1.9526117796583711E-2</v>
      </c>
      <c r="CC28" s="10">
        <f t="shared" si="37"/>
        <v>1.9523426204548434E-2</v>
      </c>
      <c r="CD28" s="10">
        <f t="shared" si="37"/>
        <v>1.9520751499771043E-2</v>
      </c>
      <c r="CE28" s="10">
        <f t="shared" si="37"/>
        <v>1.9518094034288631E-2</v>
      </c>
      <c r="CF28" s="10">
        <f t="shared" si="37"/>
        <v>1.9515454140106945E-2</v>
      </c>
      <c r="CG28" s="10">
        <f t="shared" si="37"/>
        <v>1.9512832129849448E-2</v>
      </c>
      <c r="CH28" s="10">
        <f t="shared" si="37"/>
        <v>1.9510228297386332E-2</v>
      </c>
      <c r="CI28" s="10">
        <f t="shared" si="37"/>
        <v>1.9507642918448278E-2</v>
      </c>
      <c r="CJ28" s="10">
        <f t="shared" si="37"/>
        <v>1.9505076251221748E-2</v>
      </c>
      <c r="CK28" s="10">
        <f t="shared" si="37"/>
        <v>1.9502528536929371E-2</v>
      </c>
      <c r="CL28" s="10">
        <f t="shared" si="37"/>
        <v>1.9500000000393654E-2</v>
      </c>
    </row>
    <row r="29" spans="6:90" ht="18" customHeight="1" thickBot="1" x14ac:dyDescent="0.3">
      <c r="F29" s="19">
        <v>1.9699999999999999E-2</v>
      </c>
      <c r="G29" s="10">
        <f>RATE(84,1,G57,0)</f>
        <v>1.9700000000306334E-2</v>
      </c>
      <c r="H29" s="10">
        <f t="shared" si="36"/>
        <v>1.9700000000306344E-2</v>
      </c>
      <c r="I29" s="10">
        <f t="shared" si="36"/>
        <v>1.9700000000306334E-2</v>
      </c>
      <c r="J29" s="10">
        <f t="shared" si="36"/>
        <v>1.9700000000306344E-2</v>
      </c>
      <c r="K29" s="10">
        <f t="shared" si="36"/>
        <v>1.9700000000306344E-2</v>
      </c>
      <c r="L29" s="10">
        <f t="shared" si="36"/>
        <v>1.9700000000306334E-2</v>
      </c>
      <c r="M29" s="10">
        <f t="shared" si="36"/>
        <v>1.9700000000306347E-2</v>
      </c>
      <c r="N29" s="10">
        <f t="shared" si="36"/>
        <v>1.9700000000306337E-2</v>
      </c>
      <c r="O29" s="10">
        <f t="shared" si="36"/>
        <v>1.9700000000306334E-2</v>
      </c>
      <c r="P29" s="10">
        <f t="shared" si="36"/>
        <v>1.9700000000306334E-2</v>
      </c>
      <c r="Q29" s="10">
        <f t="shared" si="36"/>
        <v>1.9700000000306344E-2</v>
      </c>
      <c r="R29" s="10">
        <f t="shared" si="36"/>
        <v>1.9700000000306344E-2</v>
      </c>
      <c r="S29" s="10">
        <f t="shared" si="36"/>
        <v>1.9700000000306334E-2</v>
      </c>
      <c r="T29" s="10">
        <f t="shared" si="36"/>
        <v>1.9700000000306334E-2</v>
      </c>
      <c r="U29" s="10">
        <f t="shared" si="36"/>
        <v>1.9700000000306334E-2</v>
      </c>
      <c r="V29" s="10">
        <f t="shared" si="36"/>
        <v>1.9700000000306334E-2</v>
      </c>
      <c r="W29" s="10">
        <f t="shared" si="36"/>
        <v>1.9700000000306334E-2</v>
      </c>
      <c r="X29" s="10">
        <f t="shared" si="36"/>
        <v>1.9700000000306334E-2</v>
      </c>
      <c r="Y29" s="10">
        <f t="shared" si="36"/>
        <v>1.9700000000306344E-2</v>
      </c>
      <c r="Z29" s="10">
        <f t="shared" si="36"/>
        <v>1.9700000000306334E-2</v>
      </c>
      <c r="AA29" s="10">
        <f t="shared" si="36"/>
        <v>1.9700000000306334E-2</v>
      </c>
      <c r="AB29" s="10">
        <f t="shared" si="36"/>
        <v>1.9700000000306334E-2</v>
      </c>
      <c r="AC29" s="10">
        <f t="shared" si="36"/>
        <v>1.9700000000306334E-2</v>
      </c>
      <c r="AD29" s="10">
        <f t="shared" si="36"/>
        <v>1.9700000000306334E-2</v>
      </c>
      <c r="AE29" s="10">
        <f t="shared" si="36"/>
        <v>1.9700000000306334E-2</v>
      </c>
      <c r="AF29" s="10">
        <f t="shared" si="36"/>
        <v>1.9700000000306347E-2</v>
      </c>
      <c r="AG29" s="10">
        <f t="shared" si="36"/>
        <v>1.9700000000306334E-2</v>
      </c>
      <c r="AH29" s="10">
        <f t="shared" si="36"/>
        <v>1.9700000000306334E-2</v>
      </c>
      <c r="AI29" s="10">
        <f t="shared" si="36"/>
        <v>1.9700000000306334E-2</v>
      </c>
      <c r="AJ29" s="10">
        <f t="shared" si="36"/>
        <v>1.9700000000306334E-2</v>
      </c>
      <c r="AK29" s="10">
        <f t="shared" si="36"/>
        <v>1.9700000000306344E-2</v>
      </c>
      <c r="AL29" s="10">
        <f t="shared" si="36"/>
        <v>1.9700000000306334E-2</v>
      </c>
      <c r="AM29" s="10">
        <f t="shared" si="36"/>
        <v>1.9700000000306334E-2</v>
      </c>
      <c r="AN29" s="10">
        <f t="shared" si="36"/>
        <v>1.9700000000306334E-2</v>
      </c>
      <c r="AO29" s="10">
        <f t="shared" si="36"/>
        <v>1.9700000000306344E-2</v>
      </c>
      <c r="AP29" s="10">
        <f t="shared" si="36"/>
        <v>1.9700000000306334E-2</v>
      </c>
      <c r="AQ29" s="10">
        <f t="shared" si="36"/>
        <v>1.9700000000306334E-2</v>
      </c>
      <c r="AR29" s="10">
        <f t="shared" si="36"/>
        <v>1.9700000000306334E-2</v>
      </c>
      <c r="AS29" s="21">
        <f t="shared" si="36"/>
        <v>1.9700000000306334E-2</v>
      </c>
      <c r="AT29" s="10">
        <f t="shared" si="36"/>
        <v>1.9700000000306334E-2</v>
      </c>
      <c r="AU29" s="10">
        <f t="shared" si="36"/>
        <v>1.9700000000306334E-2</v>
      </c>
      <c r="AV29" s="10">
        <f t="shared" si="36"/>
        <v>1.9700000000306344E-2</v>
      </c>
      <c r="AW29" s="10">
        <f t="shared" si="36"/>
        <v>1.9700000000306334E-2</v>
      </c>
      <c r="AX29" s="10">
        <f t="shared" si="36"/>
        <v>1.9700000000306334E-2</v>
      </c>
      <c r="AY29" s="10">
        <f t="shared" si="36"/>
        <v>1.9700000000306334E-2</v>
      </c>
      <c r="AZ29" s="10">
        <f t="shared" si="36"/>
        <v>1.9700000000306344E-2</v>
      </c>
      <c r="BA29" s="10">
        <f t="shared" si="36"/>
        <v>1.9700000000306334E-2</v>
      </c>
      <c r="BB29" s="10">
        <f t="shared" si="36"/>
        <v>1.9700000000306334E-2</v>
      </c>
      <c r="BC29" s="10">
        <f t="shared" si="36"/>
        <v>1.9700000000306334E-2</v>
      </c>
      <c r="BD29" s="10">
        <f t="shared" si="36"/>
        <v>1.9700000000306344E-2</v>
      </c>
      <c r="BE29" s="10">
        <f t="shared" si="36"/>
        <v>1.9700000000306334E-2</v>
      </c>
      <c r="BF29" s="10">
        <f t="shared" si="36"/>
        <v>1.9700000000306334E-2</v>
      </c>
      <c r="BG29" s="10">
        <f t="shared" si="36"/>
        <v>1.9700000000306344E-2</v>
      </c>
      <c r="BH29" s="10">
        <f t="shared" si="36"/>
        <v>1.9700000000306334E-2</v>
      </c>
      <c r="BI29" s="10">
        <f t="shared" si="36"/>
        <v>1.9700000000306334E-2</v>
      </c>
      <c r="BJ29" s="10">
        <f t="shared" si="36"/>
        <v>1.9700000000306344E-2</v>
      </c>
      <c r="BK29" s="10">
        <f t="shared" si="36"/>
        <v>1.9700000000306344E-2</v>
      </c>
      <c r="BL29" s="10">
        <f t="shared" si="36"/>
        <v>1.9700000000306344E-2</v>
      </c>
      <c r="BM29" s="10">
        <f t="shared" si="36"/>
        <v>1.9700000000306334E-2</v>
      </c>
      <c r="BN29" s="10">
        <f t="shared" si="36"/>
        <v>1.9700000000306334E-2</v>
      </c>
      <c r="BO29" s="10">
        <f t="shared" si="36"/>
        <v>1.9700000000306344E-2</v>
      </c>
      <c r="BP29" s="10">
        <f t="shared" si="36"/>
        <v>1.9700000000306334E-2</v>
      </c>
      <c r="BQ29" s="10">
        <f t="shared" si="36"/>
        <v>1.9700000000306334E-2</v>
      </c>
      <c r="BR29" s="10">
        <f t="shared" si="36"/>
        <v>1.9700000000306344E-2</v>
      </c>
      <c r="BS29" s="10">
        <f t="shared" si="37"/>
        <v>1.9700000000306344E-2</v>
      </c>
      <c r="BT29" s="10">
        <f t="shared" si="37"/>
        <v>1.9700000000306334E-2</v>
      </c>
      <c r="BU29" s="10">
        <f t="shared" si="37"/>
        <v>1.9700000000306334E-2</v>
      </c>
      <c r="BV29" s="10">
        <f t="shared" si="37"/>
        <v>1.9700000000306334E-2</v>
      </c>
      <c r="BW29" s="10">
        <f t="shared" si="37"/>
        <v>1.9700000000306344E-2</v>
      </c>
      <c r="BX29" s="10">
        <f t="shared" si="37"/>
        <v>1.9700000000306344E-2</v>
      </c>
      <c r="BY29" s="10">
        <f t="shared" si="37"/>
        <v>1.9700000000306344E-2</v>
      </c>
      <c r="BZ29" s="10">
        <f t="shared" si="37"/>
        <v>1.9700000000306344E-2</v>
      </c>
      <c r="CA29" s="10">
        <f t="shared" si="37"/>
        <v>1.9700000000306344E-2</v>
      </c>
      <c r="CB29" s="10">
        <f t="shared" si="37"/>
        <v>1.9700000000306334E-2</v>
      </c>
      <c r="CC29" s="10">
        <f t="shared" si="37"/>
        <v>1.9700000000306334E-2</v>
      </c>
      <c r="CD29" s="10">
        <f t="shared" si="37"/>
        <v>1.9700000000306334E-2</v>
      </c>
      <c r="CE29" s="10">
        <f t="shared" si="37"/>
        <v>1.9700000000306344E-2</v>
      </c>
      <c r="CF29" s="10">
        <f t="shared" si="37"/>
        <v>1.9700000000306334E-2</v>
      </c>
      <c r="CG29" s="10">
        <f t="shared" si="37"/>
        <v>1.9700000000306344E-2</v>
      </c>
      <c r="CH29" s="10">
        <f t="shared" si="37"/>
        <v>1.9700000000306344E-2</v>
      </c>
      <c r="CI29" s="10">
        <f t="shared" si="37"/>
        <v>1.9700000000306344E-2</v>
      </c>
      <c r="CJ29" s="10">
        <f t="shared" si="37"/>
        <v>1.9700000000306344E-2</v>
      </c>
      <c r="CK29" s="10">
        <f t="shared" si="37"/>
        <v>1.9700000000306344E-2</v>
      </c>
      <c r="CL29" s="10">
        <f t="shared" si="37"/>
        <v>1.9700000000306344E-2</v>
      </c>
    </row>
    <row r="30" spans="6:90" x14ac:dyDescent="0.25">
      <c r="F30" s="13"/>
      <c r="G30" s="10"/>
    </row>
    <row r="32" spans="6:90" hidden="1" x14ac:dyDescent="0.25"/>
    <row r="33" spans="7:91" hidden="1" x14ac:dyDescent="0.25"/>
    <row r="34" spans="7:91" hidden="1" x14ac:dyDescent="0.25"/>
    <row r="35" spans="7:91" hidden="1" x14ac:dyDescent="0.25"/>
    <row r="36" spans="7:91" hidden="1" x14ac:dyDescent="0.25"/>
    <row r="37" spans="7:91" hidden="1" x14ac:dyDescent="0.25"/>
    <row r="38" spans="7:91" hidden="1" x14ac:dyDescent="0.25">
      <c r="G38" s="11">
        <f>PV($F10,G$9,1,0)+(PV($G$6,84-G$9,1,0)/($G$6+1)^G$9)</f>
        <v>-40.910458914225757</v>
      </c>
      <c r="H38" s="11">
        <f t="shared" ref="H38:BS38" si="38">PV($F10,H$9,1,0)+(PV($G$6,84-H$9,1,0)/($G$6+1)^H$9)</f>
        <v>-40.927082238301857</v>
      </c>
      <c r="I38" s="11">
        <f t="shared" si="38"/>
        <v>-40.951640859818738</v>
      </c>
      <c r="J38" s="11">
        <f t="shared" si="38"/>
        <v>-40.983891640738477</v>
      </c>
      <c r="K38" s="11">
        <f t="shared" si="38"/>
        <v>-41.023597117715283</v>
      </c>
      <c r="L38" s="11">
        <f t="shared" si="38"/>
        <v>-41.070525381829228</v>
      </c>
      <c r="M38" s="11">
        <f t="shared" si="38"/>
        <v>-41.124449960759165</v>
      </c>
      <c r="N38" s="11">
        <f t="shared" si="38"/>
        <v>-41.185149703346625</v>
      </c>
      <c r="O38" s="11">
        <f t="shared" si="38"/>
        <v>-41.252408666502809</v>
      </c>
      <c r="P38" s="11">
        <f t="shared" si="38"/>
        <v>-41.326016004412665</v>
      </c>
      <c r="Q38" s="11">
        <f t="shared" si="38"/>
        <v>-41.405765859990098</v>
      </c>
      <c r="R38" s="11">
        <f t="shared" si="38"/>
        <v>-41.491457258539796</v>
      </c>
      <c r="S38" s="11">
        <f t="shared" si="38"/>
        <v>-41.582894003581771</v>
      </c>
      <c r="T38" s="11">
        <f t="shared" si="38"/>
        <v>-41.6798845747958</v>
      </c>
      <c r="U38" s="11">
        <f t="shared" si="38"/>
        <v>-41.782242028043299</v>
      </c>
      <c r="V38" s="11">
        <f t="shared" si="38"/>
        <v>-41.889783897425843</v>
      </c>
      <c r="W38" s="11">
        <f t="shared" si="38"/>
        <v>-42.002332099339384</v>
      </c>
      <c r="X38" s="11">
        <f t="shared" si="38"/>
        <v>-42.119712838484716</v>
      </c>
      <c r="Y38" s="11">
        <f t="shared" si="38"/>
        <v>-42.241756515795316</v>
      </c>
      <c r="Z38" s="11">
        <f t="shared" si="38"/>
        <v>-42.368297638244172</v>
      </c>
      <c r="AA38" s="11">
        <f t="shared" si="38"/>
        <v>-42.499174730492555</v>
      </c>
      <c r="AB38" s="11">
        <f t="shared" si="38"/>
        <v>-42.634230248343776</v>
      </c>
      <c r="AC38" s="11">
        <f t="shared" si="38"/>
        <v>-42.773310493966001</v>
      </c>
      <c r="AD38" s="11">
        <f t="shared" si="38"/>
        <v>-42.916265532849209</v>
      </c>
      <c r="AE38" s="11">
        <f t="shared" si="38"/>
        <v>-43.062949112461297</v>
      </c>
      <c r="AF38" s="11">
        <f t="shared" si="38"/>
        <v>-43.21321858256988</v>
      </c>
      <c r="AG38" s="11">
        <f t="shared" si="38"/>
        <v>-43.366934817196217</v>
      </c>
      <c r="AH38" s="11">
        <f t="shared" si="38"/>
        <v>-43.523962138169011</v>
      </c>
      <c r="AI38" s="11">
        <f t="shared" si="38"/>
        <v>-43.684168240246024</v>
      </c>
      <c r="AJ38" s="11">
        <f t="shared" si="38"/>
        <v>-43.84742411777232</v>
      </c>
      <c r="AK38" s="11">
        <f t="shared" si="38"/>
        <v>-44.013603992844324</v>
      </c>
      <c r="AL38" s="11">
        <f t="shared" si="38"/>
        <v>-44.18258524494977</v>
      </c>
      <c r="AM38" s="11">
        <f t="shared" si="38"/>
        <v>-44.354248342054049</v>
      </c>
      <c r="AN38" s="11">
        <f t="shared" si="38"/>
        <v>-44.528476773104025</v>
      </c>
      <c r="AO38" s="11">
        <f t="shared" si="38"/>
        <v>-44.705156981921</v>
      </c>
      <c r="AP38" s="11">
        <f t="shared" si="38"/>
        <v>-44.884178302455098</v>
      </c>
      <c r="AQ38" s="11">
        <f t="shared" si="38"/>
        <v>-45.06543289537381</v>
      </c>
      <c r="AR38" s="11">
        <f t="shared" si="38"/>
        <v>-45.248815685958121</v>
      </c>
      <c r="AS38" s="11">
        <f t="shared" si="38"/>
        <v>-45.434224303279777</v>
      </c>
      <c r="AT38" s="11">
        <f t="shared" si="38"/>
        <v>-45.621559020634535</v>
      </c>
      <c r="AU38" s="11">
        <f t="shared" si="38"/>
        <v>-45.810722697205733</v>
      </c>
      <c r="AV38" s="11">
        <f t="shared" si="38"/>
        <v>-46.001620720933907</v>
      </c>
      <c r="AW38" s="11">
        <f t="shared" si="38"/>
        <v>-46.194160952568154</v>
      </c>
      <c r="AX38" s="11">
        <f t="shared" si="38"/>
        <v>-46.38825367087555</v>
      </c>
      <c r="AY38" s="11">
        <f t="shared" si="38"/>
        <v>-46.583811518985456</v>
      </c>
      <c r="AZ38" s="11">
        <f t="shared" si="38"/>
        <v>-46.780749451845999</v>
      </c>
      <c r="BA38" s="11">
        <f t="shared" si="38"/>
        <v>-46.978984684770239</v>
      </c>
      <c r="BB38" s="11">
        <f t="shared" si="38"/>
        <v>-47.178436643050375</v>
      </c>
      <c r="BC38" s="11">
        <f t="shared" si="38"/>
        <v>-47.379026912618478</v>
      </c>
      <c r="BD38" s="11">
        <f t="shared" si="38"/>
        <v>-47.580679191732592</v>
      </c>
      <c r="BE38" s="11">
        <f t="shared" si="38"/>
        <v>-47.783319243667854</v>
      </c>
      <c r="BF38" s="11">
        <f t="shared" si="38"/>
        <v>-47.986874850392248</v>
      </c>
      <c r="BG38" s="11">
        <f t="shared" si="38"/>
        <v>-48.191275767207316</v>
      </c>
      <c r="BH38" s="11">
        <f t="shared" si="38"/>
        <v>-48.396453678334368</v>
      </c>
      <c r="BI38" s="11">
        <f t="shared" si="38"/>
        <v>-48.602342153427074</v>
      </c>
      <c r="BJ38" s="11">
        <f t="shared" si="38"/>
        <v>-48.808876604992115</v>
      </c>
      <c r="BK38" s="11">
        <f t="shared" si="38"/>
        <v>-49.015994246699123</v>
      </c>
      <c r="BL38" s="11">
        <f t="shared" si="38"/>
        <v>-49.223634052562602</v>
      </c>
      <c r="BM38" s="11">
        <f t="shared" si="38"/>
        <v>-49.431736716977639</v>
      </c>
      <c r="BN38" s="11">
        <f t="shared" si="38"/>
        <v>-49.640244615592657</v>
      </c>
      <c r="BO38" s="11">
        <f t="shared" si="38"/>
        <v>-49.849101767002132</v>
      </c>
      <c r="BP38" s="11">
        <f t="shared" si="38"/>
        <v>-50.058253795242869</v>
      </c>
      <c r="BQ38" s="11">
        <f t="shared" si="38"/>
        <v>-50.267647893077317</v>
      </c>
      <c r="BR38" s="11">
        <f t="shared" si="38"/>
        <v>-50.477232786048468</v>
      </c>
      <c r="BS38" s="11">
        <f t="shared" si="38"/>
        <v>-50.686958697290436</v>
      </c>
      <c r="BT38" s="11">
        <f t="shared" ref="BT38:CL38" si="39">PV($F10,BT$9,1,0)+(PV($G$6,84-BT$9,1,0)/($G$6+1)^BT$9)</f>
        <v>-50.89677731307961</v>
      </c>
      <c r="BU38" s="11">
        <f t="shared" si="39"/>
        <v>-51.106641749111255</v>
      </c>
      <c r="BV38" s="11">
        <f t="shared" si="39"/>
        <v>-51.316506517487056</v>
      </c>
      <c r="BW38" s="11">
        <f t="shared" si="39"/>
        <v>-51.52632749439929</v>
      </c>
      <c r="BX38" s="11">
        <f t="shared" si="39"/>
        <v>-51.73606188849714</v>
      </c>
      <c r="BY38" s="11">
        <f t="shared" si="39"/>
        <v>-51.94566820992182</v>
      </c>
      <c r="BZ38" s="11">
        <f t="shared" si="39"/>
        <v>-52.155106239996663</v>
      </c>
      <c r="CA38" s="11">
        <f t="shared" si="39"/>
        <v>-52.364337001558951</v>
      </c>
      <c r="CB38" s="11">
        <f t="shared" si="39"/>
        <v>-52.57332272992064</v>
      </c>
      <c r="CC38" s="11">
        <f t="shared" si="39"/>
        <v>-52.7820268444449</v>
      </c>
      <c r="CD38" s="11">
        <f t="shared" si="39"/>
        <v>-52.990413920726347</v>
      </c>
      <c r="CE38" s="11">
        <f t="shared" si="39"/>
        <v>-53.198449663362474</v>
      </c>
      <c r="CF38" s="11">
        <f t="shared" si="39"/>
        <v>-53.406100879304304</v>
      </c>
      <c r="CG38" s="11">
        <f t="shared" si="39"/>
        <v>-53.613335451774567</v>
      </c>
      <c r="CH38" s="11">
        <f t="shared" si="39"/>
        <v>-53.820122314741788</v>
      </c>
      <c r="CI38" s="11">
        <f t="shared" si="39"/>
        <v>-54.026431427939073</v>
      </c>
      <c r="CJ38" s="11">
        <f t="shared" si="39"/>
        <v>-54.23223375241642</v>
      </c>
      <c r="CK38" s="11">
        <f t="shared" si="39"/>
        <v>-54.437501226615701</v>
      </c>
      <c r="CL38" s="11">
        <f t="shared" si="39"/>
        <v>-54.642206742957747</v>
      </c>
      <c r="CM38" s="11"/>
    </row>
    <row r="39" spans="7:91" hidden="1" x14ac:dyDescent="0.25">
      <c r="G39" s="11">
        <f t="shared" ref="G39:BR39" si="40">PV($F11,G$9,1,0)+(PV($G$6,84-G$9,1,0)/($G$6+1)^G$9)</f>
        <v>-40.909676846873737</v>
      </c>
      <c r="H39" s="11">
        <f t="shared" si="40"/>
        <v>-40.924753666155787</v>
      </c>
      <c r="I39" s="11">
        <f t="shared" si="40"/>
        <v>-40.947018677157658</v>
      </c>
      <c r="J39" s="11">
        <f t="shared" si="40"/>
        <v>-40.976245779858523</v>
      </c>
      <c r="K39" s="11">
        <f t="shared" si="40"/>
        <v>-41.012214259647322</v>
      </c>
      <c r="L39" s="11">
        <f t="shared" si="40"/>
        <v>-41.054708671415739</v>
      </c>
      <c r="M39" s="11">
        <f t="shared" si="40"/>
        <v>-41.103518726028859</v>
      </c>
      <c r="N39" s="11">
        <f t="shared" si="40"/>
        <v>-41.158439179125928</v>
      </c>
      <c r="O39" s="11">
        <f t="shared" si="40"/>
        <v>-41.219269722204444</v>
      </c>
      <c r="P39" s="11">
        <f t="shared" si="40"/>
        <v>-41.285814875942243</v>
      </c>
      <c r="Q39" s="11">
        <f t="shared" si="40"/>
        <v>-41.35788388571229</v>
      </c>
      <c r="R39" s="11">
        <f t="shared" si="40"/>
        <v>-41.435290619246715</v>
      </c>
      <c r="S39" s="11">
        <f t="shared" si="40"/>
        <v>-41.517853466406862</v>
      </c>
      <c r="T39" s="11">
        <f t="shared" si="40"/>
        <v>-41.605395241017142</v>
      </c>
      <c r="U39" s="11">
        <f t="shared" si="40"/>
        <v>-41.697743084721338</v>
      </c>
      <c r="V39" s="11">
        <f t="shared" si="40"/>
        <v>-41.794728372820927</v>
      </c>
      <c r="W39" s="11">
        <f t="shared" si="40"/>
        <v>-41.896186622055524</v>
      </c>
      <c r="X39" s="11">
        <f t="shared" si="40"/>
        <v>-42.001957400286649</v>
      </c>
      <c r="Y39" s="11">
        <f t="shared" si="40"/>
        <v>-42.111884238046429</v>
      </c>
      <c r="Z39" s="11">
        <f t="shared" si="40"/>
        <v>-42.225814541914033</v>
      </c>
      <c r="AA39" s="11">
        <f t="shared" si="40"/>
        <v>-42.343599509682974</v>
      </c>
      <c r="AB39" s="11">
        <f t="shared" si="40"/>
        <v>-42.465094047283365</v>
      </c>
      <c r="AC39" s="11">
        <f t="shared" si="40"/>
        <v>-42.590156687423821</v>
      </c>
      <c r="AD39" s="11">
        <f t="shared" si="40"/>
        <v>-42.718649509918698</v>
      </c>
      <c r="AE39" s="11">
        <f t="shared" si="40"/>
        <v>-42.850438063666303</v>
      </c>
      <c r="AF39" s="11">
        <f t="shared" si="40"/>
        <v>-42.985391290245403</v>
      </c>
      <c r="AG39" s="11">
        <f t="shared" si="40"/>
        <v>-43.12338144909711</v>
      </c>
      <c r="AH39" s="11">
        <f t="shared" si="40"/>
        <v>-43.264284044260314</v>
      </c>
      <c r="AI39" s="11">
        <f t="shared" si="40"/>
        <v>-43.407977752629563</v>
      </c>
      <c r="AJ39" s="11">
        <f t="shared" si="40"/>
        <v>-43.554344353704579</v>
      </c>
      <c r="AK39" s="11">
        <f t="shared" si="40"/>
        <v>-43.703268660801228</v>
      </c>
      <c r="AL39" s="11">
        <f t="shared" si="40"/>
        <v>-43.854638453694861</v>
      </c>
      <c r="AM39" s="11">
        <f t="shared" si="40"/>
        <v>-44.008344412666773</v>
      </c>
      <c r="AN39" s="11">
        <f t="shared" si="40"/>
        <v>-44.164280053925765</v>
      </c>
      <c r="AO39" s="11">
        <f t="shared" si="40"/>
        <v>-44.322341666376857</v>
      </c>
      <c r="AP39" s="11">
        <f t="shared" si="40"/>
        <v>-44.48242824971009</v>
      </c>
      <c r="AQ39" s="11">
        <f t="shared" si="40"/>
        <v>-44.644441453782754</v>
      </c>
      <c r="AR39" s="11">
        <f t="shared" si="40"/>
        <v>-44.808285519268878</v>
      </c>
      <c r="AS39" s="11">
        <f t="shared" si="40"/>
        <v>-44.973867219550357</v>
      </c>
      <c r="AT39" s="11">
        <f t="shared" si="40"/>
        <v>-45.141095803824705</v>
      </c>
      <c r="AU39" s="11">
        <f t="shared" si="40"/>
        <v>-45.309882941404794</v>
      </c>
      <c r="AV39" s="11">
        <f t="shared" si="40"/>
        <v>-45.480142667186414</v>
      </c>
      <c r="AW39" s="11">
        <f t="shared" si="40"/>
        <v>-45.651791328260131</v>
      </c>
      <c r="AX39" s="11">
        <f t="shared" si="40"/>
        <v>-45.8247475316441</v>
      </c>
      <c r="AY39" s="11">
        <f t="shared" si="40"/>
        <v>-45.998932093115428</v>
      </c>
      <c r="AZ39" s="11">
        <f t="shared" si="40"/>
        <v>-46.174267987117489</v>
      </c>
      <c r="BA39" s="11">
        <f t="shared" si="40"/>
        <v>-46.350680297721581</v>
      </c>
      <c r="BB39" s="11">
        <f t="shared" si="40"/>
        <v>-46.528096170621581</v>
      </c>
      <c r="BC39" s="11">
        <f t="shared" si="40"/>
        <v>-46.706444766140457</v>
      </c>
      <c r="BD39" s="11">
        <f t="shared" si="40"/>
        <v>-46.885657213228363</v>
      </c>
      <c r="BE39" s="11">
        <f t="shared" si="40"/>
        <v>-47.065666564431844</v>
      </c>
      <c r="BF39" s="11">
        <f t="shared" si="40"/>
        <v>-47.246407751814857</v>
      </c>
      <c r="BG39" s="11">
        <f t="shared" si="40"/>
        <v>-47.427817543811798</v>
      </c>
      <c r="BH39" s="11">
        <f t="shared" si="40"/>
        <v>-47.609834502994019</v>
      </c>
      <c r="BI39" s="11">
        <f t="shared" si="40"/>
        <v>-47.792398944730905</v>
      </c>
      <c r="BJ39" s="11">
        <f t="shared" si="40"/>
        <v>-47.975452896727589</v>
      </c>
      <c r="BK39" s="11">
        <f t="shared" si="40"/>
        <v>-48.158940059421276</v>
      </c>
      <c r="BL39" s="11">
        <f t="shared" si="40"/>
        <v>-48.342805767218763</v>
      </c>
      <c r="BM39" s="11">
        <f t="shared" si="40"/>
        <v>-48.526996950558029</v>
      </c>
      <c r="BN39" s="11">
        <f t="shared" si="40"/>
        <v>-48.711462098776977</v>
      </c>
      <c r="BO39" s="11">
        <f t="shared" si="40"/>
        <v>-48.896151223773131</v>
      </c>
      <c r="BP39" s="11">
        <f t="shared" si="40"/>
        <v>-49.081015824437877</v>
      </c>
      <c r="BQ39" s="11">
        <f t="shared" si="40"/>
        <v>-49.266008851849541</v>
      </c>
      <c r="BR39" s="11">
        <f t="shared" si="40"/>
        <v>-49.451084675209806</v>
      </c>
      <c r="BS39" s="11">
        <f t="shared" ref="BS39:CL39" si="41">PV($F11,BS$9,1,0)+(PV($G$6,84-BS$9,1,0)/($G$6+1)^BS$9)</f>
        <v>-49.636199048508431</v>
      </c>
      <c r="BT39" s="11">
        <f t="shared" si="41"/>
        <v>-49.82130907790102</v>
      </c>
      <c r="BU39" s="11">
        <f t="shared" si="41"/>
        <v>-50.006373189785599</v>
      </c>
      <c r="BV39" s="11">
        <f t="shared" si="41"/>
        <v>-50.191351099563661</v>
      </c>
      <c r="BW39" s="11">
        <f t="shared" si="41"/>
        <v>-50.376203781071325</v>
      </c>
      <c r="BX39" s="11">
        <f t="shared" si="41"/>
        <v>-50.56089343666752</v>
      </c>
      <c r="BY39" s="11">
        <f t="shared" si="41"/>
        <v>-50.745383467964942</v>
      </c>
      <c r="BZ39" s="11">
        <f t="shared" si="41"/>
        <v>-50.92963844719138</v>
      </c>
      <c r="CA39" s="11">
        <f t="shared" si="41"/>
        <v>-51.11362408916785</v>
      </c>
      <c r="CB39" s="11">
        <f t="shared" si="41"/>
        <v>-51.297307223891345</v>
      </c>
      <c r="CC39" s="11">
        <f t="shared" si="41"/>
        <v>-51.480655769709415</v>
      </c>
      <c r="CD39" s="11">
        <f t="shared" si="41"/>
        <v>-51.663638707074696</v>
      </c>
      <c r="CE39" s="11">
        <f t="shared" si="41"/>
        <v>-51.846226052867337</v>
      </c>
      <c r="CF39" s="11">
        <f t="shared" si="41"/>
        <v>-52.02838883527361</v>
      </c>
      <c r="CG39" s="11">
        <f t="shared" si="41"/>
        <v>-52.210099069209349</v>
      </c>
      <c r="CH39" s="11">
        <f t="shared" si="41"/>
        <v>-52.391329732276965</v>
      </c>
      <c r="CI39" s="11">
        <f t="shared" si="41"/>
        <v>-52.572054741245005</v>
      </c>
      <c r="CJ39" s="11">
        <f t="shared" si="41"/>
        <v>-52.752248929039553</v>
      </c>
      <c r="CK39" s="11">
        <f t="shared" si="41"/>
        <v>-52.931888022236805</v>
      </c>
      <c r="CL39" s="11">
        <f t="shared" si="41"/>
        <v>-53.110948619046631</v>
      </c>
      <c r="CM39" s="11"/>
    </row>
    <row r="40" spans="7:91" hidden="1" x14ac:dyDescent="0.25">
      <c r="G40" s="11">
        <f t="shared" ref="G40:BR40" si="42">PV($F12,G$9,1,0)+(PV($G$6,84-G$9,1,0)/($G$6+1)^G$9)</f>
        <v>-40.909481523234184</v>
      </c>
      <c r="H40" s="11">
        <f t="shared" si="42"/>
        <v>-40.92417228926697</v>
      </c>
      <c r="I40" s="11">
        <f t="shared" si="42"/>
        <v>-40.945865030398885</v>
      </c>
      <c r="J40" s="11">
        <f t="shared" si="42"/>
        <v>-40.974338079827973</v>
      </c>
      <c r="K40" s="11">
        <f t="shared" si="42"/>
        <v>-41.009375077644115</v>
      </c>
      <c r="L40" s="11">
        <f t="shared" si="42"/>
        <v>-41.050764856155631</v>
      </c>
      <c r="M40" s="11">
        <f t="shared" si="42"/>
        <v>-41.098301327575484</v>
      </c>
      <c r="N40" s="11">
        <f t="shared" si="42"/>
        <v>-41.151783374019601</v>
      </c>
      <c r="O40" s="11">
        <f t="shared" si="42"/>
        <v>-41.211014739771088</v>
      </c>
      <c r="P40" s="11">
        <f t="shared" si="42"/>
        <v>-41.275803925764706</v>
      </c>
      <c r="Q40" s="11">
        <f t="shared" si="42"/>
        <v>-41.345964086247207</v>
      </c>
      <c r="R40" s="11">
        <f t="shared" si="42"/>
        <v>-41.421312927569865</v>
      </c>
      <c r="S40" s="11">
        <f t="shared" si="42"/>
        <v>-41.501672609070368</v>
      </c>
      <c r="T40" s="11">
        <f t="shared" si="42"/>
        <v>-41.586869646002</v>
      </c>
      <c r="U40" s="11">
        <f t="shared" si="42"/>
        <v>-41.67673481446927</v>
      </c>
      <c r="V40" s="11">
        <f t="shared" si="42"/>
        <v>-41.771103058329331</v>
      </c>
      <c r="W40" s="11">
        <f t="shared" si="42"/>
        <v>-41.869813398020099</v>
      </c>
      <c r="X40" s="11">
        <f t="shared" si="42"/>
        <v>-41.972708841275747</v>
      </c>
      <c r="Y40" s="11">
        <f t="shared" si="42"/>
        <v>-42.079636295692268</v>
      </c>
      <c r="Z40" s="11">
        <f t="shared" si="42"/>
        <v>-42.190446483105355</v>
      </c>
      <c r="AA40" s="11">
        <f t="shared" si="42"/>
        <v>-42.30499385574447</v>
      </c>
      <c r="AB40" s="11">
        <f t="shared" si="42"/>
        <v>-42.42313651412708</v>
      </c>
      <c r="AC40" s="11">
        <f t="shared" si="42"/>
        <v>-42.544736126658307</v>
      </c>
      <c r="AD40" s="11">
        <f t="shared" si="42"/>
        <v>-42.669657850901231</v>
      </c>
      <c r="AE40" s="11">
        <f t="shared" si="42"/>
        <v>-42.797770256484704</v>
      </c>
      <c r="AF40" s="11">
        <f t="shared" si="42"/>
        <v>-42.928945249615111</v>
      </c>
      <c r="AG40" s="11">
        <f t="shared" si="42"/>
        <v>-43.063057999160129</v>
      </c>
      <c r="AH40" s="11">
        <f t="shared" si="42"/>
        <v>-43.199986864272532</v>
      </c>
      <c r="AI40" s="11">
        <f t="shared" si="42"/>
        <v>-43.339613323523174</v>
      </c>
      <c r="AJ40" s="11">
        <f t="shared" si="42"/>
        <v>-43.481821905512483</v>
      </c>
      <c r="AK40" s="11">
        <f t="shared" si="42"/>
        <v>-43.626500120930636</v>
      </c>
      <c r="AL40" s="11">
        <f t="shared" si="42"/>
        <v>-43.773538396037239</v>
      </c>
      <c r="AM40" s="11">
        <f t="shared" si="42"/>
        <v>-43.92283000753185</v>
      </c>
      <c r="AN40" s="11">
        <f t="shared" si="42"/>
        <v>-44.074271018787016</v>
      </c>
      <c r="AO40" s="11">
        <f t="shared" si="42"/>
        <v>-44.227760217416417</v>
      </c>
      <c r="AP40" s="11">
        <f t="shared" si="42"/>
        <v>-44.383199054151099</v>
      </c>
      <c r="AQ40" s="11">
        <f t="shared" si="42"/>
        <v>-44.540491582997298</v>
      </c>
      <c r="AR40" s="11">
        <f t="shared" si="42"/>
        <v>-44.699544402649906</v>
      </c>
      <c r="AS40" s="11">
        <f t="shared" si="42"/>
        <v>-44.860266599136054</v>
      </c>
      <c r="AT40" s="11">
        <f t="shared" si="42"/>
        <v>-45.022569689663996</v>
      </c>
      <c r="AU40" s="11">
        <f t="shared" si="42"/>
        <v>-45.186367567652866</v>
      </c>
      <c r="AV40" s="11">
        <f t="shared" si="42"/>
        <v>-45.351576448919246</v>
      </c>
      <c r="AW40" s="11">
        <f t="shared" si="42"/>
        <v>-45.51811481899712</v>
      </c>
      <c r="AX40" s="11">
        <f t="shared" si="42"/>
        <v>-45.685903381568259</v>
      </c>
      <c r="AY40" s="11">
        <f t="shared" si="42"/>
        <v>-45.854865007980436</v>
      </c>
      <c r="AZ40" s="11">
        <f t="shared" si="42"/>
        <v>-46.024924687831295</v>
      </c>
      <c r="BA40" s="11">
        <f t="shared" si="42"/>
        <v>-46.196009480596473</v>
      </c>
      <c r="BB40" s="11">
        <f t="shared" si="42"/>
        <v>-46.368048468280335</v>
      </c>
      <c r="BC40" s="11">
        <f t="shared" si="42"/>
        <v>-46.54097270906896</v>
      </c>
      <c r="BD40" s="11">
        <f t="shared" si="42"/>
        <v>-46.714715191964579</v>
      </c>
      <c r="BE40" s="11">
        <f t="shared" si="42"/>
        <v>-46.889210792381832</v>
      </c>
      <c r="BF40" s="11">
        <f t="shared" si="42"/>
        <v>-47.064396228685951</v>
      </c>
      <c r="BG40" s="11">
        <f t="shared" si="42"/>
        <v>-47.240210019653915</v>
      </c>
      <c r="BH40" s="11">
        <f t="shared" si="42"/>
        <v>-47.416592442839587</v>
      </c>
      <c r="BI40" s="11">
        <f t="shared" si="42"/>
        <v>-47.593485493824474</v>
      </c>
      <c r="BJ40" s="11">
        <f t="shared" si="42"/>
        <v>-47.770832846336027</v>
      </c>
      <c r="BK40" s="11">
        <f t="shared" si="42"/>
        <v>-47.948579813215844</v>
      </c>
      <c r="BL40" s="11">
        <f t="shared" si="42"/>
        <v>-48.126673308220127</v>
      </c>
      <c r="BM40" s="11">
        <f t="shared" si="42"/>
        <v>-48.305061808635848</v>
      </c>
      <c r="BN40" s="11">
        <f t="shared" si="42"/>
        <v>-48.48369531869551</v>
      </c>
      <c r="BO40" s="11">
        <f t="shared" si="42"/>
        <v>-48.66252533377444</v>
      </c>
      <c r="BP40" s="11">
        <f t="shared" si="42"/>
        <v>-48.841504805354468</v>
      </c>
      <c r="BQ40" s="11">
        <f t="shared" si="42"/>
        <v>-49.020588106738394</v>
      </c>
      <c r="BR40" s="11">
        <f t="shared" si="42"/>
        <v>-49.199730999499657</v>
      </c>
      <c r="BS40" s="11">
        <f t="shared" ref="BS40:CL40" si="43">PV($F12,BS$9,1,0)+(PV($G$6,84-BS$9,1,0)/($G$6+1)^BS$9)</f>
        <v>-49.378890600652561</v>
      </c>
      <c r="BT40" s="11">
        <f t="shared" si="43"/>
        <v>-49.558025350527714</v>
      </c>
      <c r="BU40" s="11">
        <f t="shared" si="43"/>
        <v>-49.737094981338778</v>
      </c>
      <c r="BV40" s="11">
        <f t="shared" si="43"/>
        <v>-49.916060486425735</v>
      </c>
      <c r="BW40" s="11">
        <f t="shared" si="43"/>
        <v>-50.09488409016155</v>
      </c>
      <c r="BX40" s="11">
        <f t="shared" si="43"/>
        <v>-50.273529218507697</v>
      </c>
      <c r="BY40" s="11">
        <f t="shared" si="43"/>
        <v>-50.451960470206046</v>
      </c>
      <c r="BZ40" s="11">
        <f t="shared" si="43"/>
        <v>-50.630143588593334</v>
      </c>
      <c r="CA40" s="11">
        <f t="shared" si="43"/>
        <v>-50.808045434025978</v>
      </c>
      <c r="CB40" s="11">
        <f t="shared" si="43"/>
        <v>-50.985633956902205</v>
      </c>
      <c r="CC40" s="11">
        <f t="shared" si="43"/>
        <v>-51.162878171269483</v>
      </c>
      <c r="CD40" s="11">
        <f t="shared" si="43"/>
        <v>-51.339748129005017</v>
      </c>
      <c r="CE40" s="11">
        <f t="shared" si="43"/>
        <v>-51.516214894557642</v>
      </c>
      <c r="CF40" s="11">
        <f t="shared" si="43"/>
        <v>-51.692250520239341</v>
      </c>
      <c r="CG40" s="11">
        <f t="shared" si="43"/>
        <v>-51.867828022055249</v>
      </c>
      <c r="CH40" s="11">
        <f t="shared" si="43"/>
        <v>-52.042921356060774</v>
      </c>
      <c r="CI40" s="11">
        <f t="shared" si="43"/>
        <v>-52.217505395235214</v>
      </c>
      <c r="CJ40" s="11">
        <f t="shared" si="43"/>
        <v>-52.391555906860901</v>
      </c>
      <c r="CK40" s="11">
        <f t="shared" si="43"/>
        <v>-52.56504953039768</v>
      </c>
      <c r="CL40" s="11">
        <f t="shared" si="43"/>
        <v>-52.737963755842152</v>
      </c>
      <c r="CM40" s="11"/>
    </row>
    <row r="41" spans="7:91" hidden="1" x14ac:dyDescent="0.25">
      <c r="G41" s="11">
        <f t="shared" ref="G41:BR41" si="44">PV($F13,G$9,1,0)+(PV($G$6,84-G$9,1,0)/($G$6+1)^G$9)</f>
        <v>-40.908993551731719</v>
      </c>
      <c r="H41" s="11">
        <f t="shared" si="44"/>
        <v>-40.922720185322468</v>
      </c>
      <c r="I41" s="11">
        <f t="shared" si="44"/>
        <v>-40.942984229214865</v>
      </c>
      <c r="J41" s="11">
        <f t="shared" si="44"/>
        <v>-40.969575401789115</v>
      </c>
      <c r="K41" s="11">
        <f t="shared" si="44"/>
        <v>-41.002288520765518</v>
      </c>
      <c r="L41" s="11">
        <f t="shared" si="44"/>
        <v>-41.040923391887972</v>
      </c>
      <c r="M41" s="11">
        <f t="shared" si="44"/>
        <v>-41.085284699915974</v>
      </c>
      <c r="N41" s="11">
        <f t="shared" si="44"/>
        <v>-41.135181901878902</v>
      </c>
      <c r="O41" s="11">
        <f t="shared" si="44"/>
        <v>-41.19042912254632</v>
      </c>
      <c r="P41" s="11">
        <f t="shared" si="44"/>
        <v>-41.250845052070432</v>
      </c>
      <c r="Q41" s="11">
        <f t="shared" si="44"/>
        <v>-41.316252845756004</v>
      </c>
      <c r="R41" s="11">
        <f t="shared" si="44"/>
        <v>-41.386480025915517</v>
      </c>
      <c r="S41" s="11">
        <f t="shared" si="44"/>
        <v>-41.461358385766744</v>
      </c>
      <c r="T41" s="11">
        <f t="shared" si="44"/>
        <v>-41.540723895332192</v>
      </c>
      <c r="U41" s="11">
        <f t="shared" si="44"/>
        <v>-41.624416609299274</v>
      </c>
      <c r="V41" s="11">
        <f t="shared" si="44"/>
        <v>-41.712280576802172</v>
      </c>
      <c r="W41" s="11">
        <f t="shared" si="44"/>
        <v>-41.804163753085959</v>
      </c>
      <c r="X41" s="11">
        <f t="shared" si="44"/>
        <v>-41.899917913015386</v>
      </c>
      <c r="Y41" s="11">
        <f t="shared" si="44"/>
        <v>-41.99939856639056</v>
      </c>
      <c r="Z41" s="11">
        <f t="shared" si="44"/>
        <v>-42.102464875033405</v>
      </c>
      <c r="AA41" s="11">
        <f t="shared" si="44"/>
        <v>-42.208979571608445</v>
      </c>
      <c r="AB41" s="11">
        <f t="shared" si="44"/>
        <v>-42.318808880143379</v>
      </c>
      <c r="AC41" s="11">
        <f t="shared" si="44"/>
        <v>-42.431822438214425</v>
      </c>
      <c r="AD41" s="11">
        <f t="shared" si="44"/>
        <v>-42.547893220763243</v>
      </c>
      <c r="AE41" s="11">
        <f t="shared" si="44"/>
        <v>-42.666897465511695</v>
      </c>
      <c r="AF41" s="11">
        <f t="shared" si="44"/>
        <v>-42.788714599942679</v>
      </c>
      <c r="AG41" s="11">
        <f t="shared" si="44"/>
        <v>-42.913227169814633</v>
      </c>
      <c r="AH41" s="11">
        <f t="shared" si="44"/>
        <v>-43.040320769179075</v>
      </c>
      <c r="AI41" s="11">
        <f t="shared" si="44"/>
        <v>-43.16988397187022</v>
      </c>
      <c r="AJ41" s="11">
        <f t="shared" si="44"/>
        <v>-43.301808264437057</v>
      </c>
      <c r="AK41" s="11">
        <f t="shared" si="44"/>
        <v>-43.43598798048825</v>
      </c>
      <c r="AL41" s="11">
        <f t="shared" si="44"/>
        <v>-43.572320236421625</v>
      </c>
      <c r="AM41" s="11">
        <f t="shared" si="44"/>
        <v>-43.710704868509325</v>
      </c>
      <c r="AN41" s="11">
        <f t="shared" si="44"/>
        <v>-43.851044371311787</v>
      </c>
      <c r="AO41" s="11">
        <f t="shared" si="44"/>
        <v>-43.993243837392903</v>
      </c>
      <c r="AP41" s="11">
        <f t="shared" si="44"/>
        <v>-44.137210898310208</v>
      </c>
      <c r="AQ41" s="11">
        <f t="shared" si="44"/>
        <v>-44.282855666853877</v>
      </c>
      <c r="AR41" s="11">
        <f t="shared" si="44"/>
        <v>-44.43009068050921</v>
      </c>
      <c r="AS41" s="11">
        <f t="shared" si="44"/>
        <v>-44.578830846117519</v>
      </c>
      <c r="AT41" s="11">
        <f t="shared" si="44"/>
        <v>-44.728993385711121</v>
      </c>
      <c r="AU41" s="11">
        <f t="shared" si="44"/>
        <v>-44.880497783498228</v>
      </c>
      <c r="AV41" s="11">
        <f t="shared" si="44"/>
        <v>-45.033265733974439</v>
      </c>
      <c r="AW41" s="11">
        <f t="shared" si="44"/>
        <v>-45.187221091137715</v>
      </c>
      <c r="AX41" s="11">
        <f t="shared" si="44"/>
        <v>-45.342289818784351</v>
      </c>
      <c r="AY41" s="11">
        <f t="shared" si="44"/>
        <v>-45.498399941863568</v>
      </c>
      <c r="AZ41" s="11">
        <f t="shared" si="44"/>
        <v>-45.655481498869548</v>
      </c>
      <c r="BA41" s="11">
        <f t="shared" si="44"/>
        <v>-45.81346649524906</v>
      </c>
      <c r="BB41" s="11">
        <f t="shared" si="44"/>
        <v>-45.9722888578045</v>
      </c>
      <c r="BC41" s="11">
        <f t="shared" si="44"/>
        <v>-46.131884390071328</v>
      </c>
      <c r="BD41" s="11">
        <f t="shared" si="44"/>
        <v>-46.292190728650411</v>
      </c>
      <c r="BE41" s="11">
        <f t="shared" si="44"/>
        <v>-46.453147300475408</v>
      </c>
      <c r="BF41" s="11">
        <f t="shared" si="44"/>
        <v>-46.614695280996131</v>
      </c>
      <c r="BG41" s="11">
        <f t="shared" si="44"/>
        <v>-46.776777553258917</v>
      </c>
      <c r="BH41" s="11">
        <f t="shared" si="44"/>
        <v>-46.939338667865862</v>
      </c>
      <c r="BI41" s="11">
        <f t="shared" si="44"/>
        <v>-47.102324803794374</v>
      </c>
      <c r="BJ41" s="11">
        <f t="shared" si="44"/>
        <v>-47.265683730060061</v>
      </c>
      <c r="BK41" s="11">
        <f t="shared" si="44"/>
        <v>-47.429364768204742</v>
      </c>
      <c r="BL41" s="11">
        <f t="shared" si="44"/>
        <v>-47.593318755593387</v>
      </c>
      <c r="BM41" s="11">
        <f t="shared" si="44"/>
        <v>-47.757498009502726</v>
      </c>
      <c r="BN41" s="11">
        <f t="shared" si="44"/>
        <v>-47.921856291985655</v>
      </c>
      <c r="BO41" s="11">
        <f t="shared" si="44"/>
        <v>-48.08634877549504</v>
      </c>
      <c r="BP41" s="11">
        <f t="shared" si="44"/>
        <v>-48.250932009251635</v>
      </c>
      <c r="BQ41" s="11">
        <f t="shared" si="44"/>
        <v>-48.415563886340379</v>
      </c>
      <c r="BR41" s="11">
        <f t="shared" si="44"/>
        <v>-48.580203611520425</v>
      </c>
      <c r="BS41" s="11">
        <f t="shared" ref="BS41:CL41" si="45">PV($F13,BS$9,1,0)+(PV($G$6,84-BS$9,1,0)/($G$6+1)^BS$9)</f>
        <v>-48.744811669733757</v>
      </c>
      <c r="BT41" s="11">
        <f t="shared" si="45"/>
        <v>-48.909349795298269</v>
      </c>
      <c r="BU41" s="11">
        <f t="shared" si="45"/>
        <v>-49.073780941770856</v>
      </c>
      <c r="BV41" s="11">
        <f t="shared" si="45"/>
        <v>-49.238069252467056</v>
      </c>
      <c r="BW41" s="11">
        <f t="shared" si="45"/>
        <v>-49.402180031623068</v>
      </c>
      <c r="BX41" s="11">
        <f t="shared" si="45"/>
        <v>-49.566079716187438</v>
      </c>
      <c r="BY41" s="11">
        <f t="shared" si="45"/>
        <v>-49.72973584822887</v>
      </c>
      <c r="BZ41" s="11">
        <f t="shared" si="45"/>
        <v>-49.893117047947747</v>
      </c>
      <c r="CA41" s="11">
        <f t="shared" si="45"/>
        <v>-50.056192987278479</v>
      </c>
      <c r="CB41" s="11">
        <f t="shared" si="45"/>
        <v>-50.218934364070783</v>
      </c>
      <c r="CC41" s="11">
        <f t="shared" si="45"/>
        <v>-50.381312876837498</v>
      </c>
      <c r="CD41" s="11">
        <f t="shared" si="45"/>
        <v>-50.543301200057456</v>
      </c>
      <c r="CE41" s="11">
        <f t="shared" si="45"/>
        <v>-50.704872960021582</v>
      </c>
      <c r="CF41" s="11">
        <f t="shared" si="45"/>
        <v>-50.866002711211223</v>
      </c>
      <c r="CG41" s="11">
        <f t="shared" si="45"/>
        <v>-51.026665913197206</v>
      </c>
      <c r="CH41" s="11">
        <f t="shared" si="45"/>
        <v>-51.186838908049282</v>
      </c>
      <c r="CI41" s="11">
        <f t="shared" si="45"/>
        <v>-51.346498898244796</v>
      </c>
      <c r="CJ41" s="11">
        <f t="shared" si="45"/>
        <v>-51.505623925066551</v>
      </c>
      <c r="CK41" s="11">
        <f t="shared" si="45"/>
        <v>-51.664192847479335</v>
      </c>
      <c r="CL41" s="11">
        <f t="shared" si="45"/>
        <v>-51.82218532147548</v>
      </c>
      <c r="CM41" s="11"/>
    </row>
    <row r="42" spans="7:91" hidden="1" x14ac:dyDescent="0.25">
      <c r="G42" s="11">
        <f t="shared" ref="G42:BR42" si="46">PV($F14,G$9,1,0)+(PV($G$6,84-G$9,1,0)/($G$6+1)^G$9)</f>
        <v>-40.908506061938532</v>
      </c>
      <c r="H42" s="11">
        <f t="shared" si="46"/>
        <v>-40.921269990374228</v>
      </c>
      <c r="I42" s="11">
        <f t="shared" si="46"/>
        <v>-40.940108156360047</v>
      </c>
      <c r="J42" s="11">
        <f t="shared" si="46"/>
        <v>-40.964822092957782</v>
      </c>
      <c r="K42" s="11">
        <f t="shared" si="46"/>
        <v>-40.995218208471712</v>
      </c>
      <c r="L42" s="11">
        <f t="shared" si="46"/>
        <v>-41.031107678902693</v>
      </c>
      <c r="M42" s="11">
        <f t="shared" si="46"/>
        <v>-41.072306342651409</v>
      </c>
      <c r="N42" s="11">
        <f t="shared" si="46"/>
        <v>-41.118634597425327</v>
      </c>
      <c r="O42" s="11">
        <f t="shared" si="46"/>
        <v>-41.169917299304124</v>
      </c>
      <c r="P42" s="11">
        <f t="shared" si="46"/>
        <v>-41.225983663920339</v>
      </c>
      <c r="Q42" s="11">
        <f t="shared" si="46"/>
        <v>-41.286667169711691</v>
      </c>
      <c r="R42" s="11">
        <f t="shared" si="46"/>
        <v>-41.351805463203441</v>
      </c>
      <c r="S42" s="11">
        <f t="shared" si="46"/>
        <v>-41.421240266279099</v>
      </c>
      <c r="T42" s="11">
        <f t="shared" si="46"/>
        <v>-41.494817285399449</v>
      </c>
      <c r="U42" s="11">
        <f t="shared" si="46"/>
        <v>-41.572386122729732</v>
      </c>
      <c r="V42" s="11">
        <f t="shared" si="46"/>
        <v>-41.65380018913676</v>
      </c>
      <c r="W42" s="11">
        <f t="shared" si="46"/>
        <v>-41.738916619017253</v>
      </c>
      <c r="X42" s="11">
        <f t="shared" si="46"/>
        <v>-41.827596186920537</v>
      </c>
      <c r="Y42" s="11">
        <f t="shared" si="46"/>
        <v>-41.919703225928785</v>
      </c>
      <c r="Z42" s="11">
        <f t="shared" si="46"/>
        <v>-42.01510554775907</v>
      </c>
      <c r="AA42" s="11">
        <f t="shared" si="46"/>
        <v>-42.113674364552153</v>
      </c>
      <c r="AB42" s="11">
        <f t="shared" si="46"/>
        <v>-42.215284212313385</v>
      </c>
      <c r="AC42" s="11">
        <f t="shared" si="46"/>
        <v>-42.319812875972104</v>
      </c>
      <c r="AD42" s="11">
        <f t="shared" si="46"/>
        <v>-42.427141316026706</v>
      </c>
      <c r="AE42" s="11">
        <f t="shared" si="46"/>
        <v>-42.537153596742456</v>
      </c>
      <c r="AF42" s="11">
        <f t="shared" si="46"/>
        <v>-42.64973681587086</v>
      </c>
      <c r="AG42" s="11">
        <f t="shared" si="46"/>
        <v>-42.764781035859052</v>
      </c>
      <c r="AH42" s="11">
        <f t="shared" si="46"/>
        <v>-42.882179216519006</v>
      </c>
      <c r="AI42" s="11">
        <f t="shared" si="46"/>
        <v>-43.001827149126484</v>
      </c>
      <c r="AJ42" s="11">
        <f t="shared" si="46"/>
        <v>-43.123623391920631</v>
      </c>
      <c r="AK42" s="11">
        <f t="shared" si="46"/>
        <v>-43.247469206975268</v>
      </c>
      <c r="AL42" s="11">
        <f t="shared" si="46"/>
        <v>-43.373268498414092</v>
      </c>
      <c r="AM42" s="11">
        <f t="shared" si="46"/>
        <v>-43.500927751941973</v>
      </c>
      <c r="AN42" s="11">
        <f t="shared" si="46"/>
        <v>-43.630355975665424</v>
      </c>
      <c r="AO42" s="11">
        <f t="shared" si="46"/>
        <v>-43.761464642175817</v>
      </c>
      <c r="AP42" s="11">
        <f t="shared" si="46"/>
        <v>-43.894167631869394</v>
      </c>
      <c r="AQ42" s="11">
        <f t="shared" si="46"/>
        <v>-44.028381177478671</v>
      </c>
      <c r="AR42" s="11">
        <f t="shared" si="46"/>
        <v>-44.164023809790379</v>
      </c>
      <c r="AS42" s="11">
        <f t="shared" si="46"/>
        <v>-44.301016304525348</v>
      </c>
      <c r="AT42" s="11">
        <f t="shared" si="46"/>
        <v>-44.439281630356788</v>
      </c>
      <c r="AU42" s="11">
        <f t="shared" si="46"/>
        <v>-44.578744898043169</v>
      </c>
      <c r="AV42" s="11">
        <f t="shared" si="46"/>
        <v>-44.719333310653049</v>
      </c>
      <c r="AW42" s="11">
        <f t="shared" si="46"/>
        <v>-44.860976114859056</v>
      </c>
      <c r="AX42" s="11">
        <f t="shared" si="46"/>
        <v>-45.003604553279331</v>
      </c>
      <c r="AY42" s="11">
        <f t="shared" si="46"/>
        <v>-45.14715181784446</v>
      </c>
      <c r="AZ42" s="11">
        <f t="shared" si="46"/>
        <v>-45.291553004169096</v>
      </c>
      <c r="BA42" s="11">
        <f t="shared" si="46"/>
        <v>-45.436745066907235</v>
      </c>
      <c r="BB42" s="11">
        <f t="shared" si="46"/>
        <v>-45.582666776071065</v>
      </c>
      <c r="BC42" s="11">
        <f t="shared" si="46"/>
        <v>-45.729258674293241</v>
      </c>
      <c r="BD42" s="11">
        <f t="shared" si="46"/>
        <v>-45.876463035013288</v>
      </c>
      <c r="BE42" s="11">
        <f t="shared" si="46"/>
        <v>-46.024223821568953</v>
      </c>
      <c r="BF42" s="11">
        <f t="shared" si="46"/>
        <v>-46.172486647173685</v>
      </c>
      <c r="BG42" s="11">
        <f t="shared" si="46"/>
        <v>-46.321198735762032</v>
      </c>
      <c r="BH42" s="11">
        <f t="shared" si="46"/>
        <v>-46.470308883684901</v>
      </c>
      <c r="BI42" s="11">
        <f t="shared" si="46"/>
        <v>-46.619767422236947</v>
      </c>
      <c r="BJ42" s="11">
        <f t="shared" si="46"/>
        <v>-46.769526180999222</v>
      </c>
      <c r="BK42" s="11">
        <f t="shared" si="46"/>
        <v>-46.91953845197957</v>
      </c>
      <c r="BL42" s="11">
        <f t="shared" si="46"/>
        <v>-47.069758954534805</v>
      </c>
      <c r="BM42" s="11">
        <f t="shared" si="46"/>
        <v>-47.220143801057958</v>
      </c>
      <c r="BN42" s="11">
        <f t="shared" si="46"/>
        <v>-47.370650463415053</v>
      </c>
      <c r="BO42" s="11">
        <f t="shared" si="46"/>
        <v>-47.521237740115474</v>
      </c>
      <c r="BP42" s="11">
        <f t="shared" si="46"/>
        <v>-47.671865724201034</v>
      </c>
      <c r="BQ42" s="11">
        <f t="shared" si="46"/>
        <v>-47.822495771838383</v>
      </c>
      <c r="BR42" s="11">
        <f t="shared" si="46"/>
        <v>-47.973090471600401</v>
      </c>
      <c r="BS42" s="11">
        <f t="shared" ref="BS42:CL42" si="47">PV($F14,BS$9,1,0)+(PV($G$6,84-BS$9,1,0)/($G$6+1)^BS$9)</f>
        <v>-48.12361361442219</v>
      </c>
      <c r="BT42" s="11">
        <f t="shared" si="47"/>
        <v>-48.274030164217322</v>
      </c>
      <c r="BU42" s="11">
        <f t="shared" si="47"/>
        <v>-48.424306229140861</v>
      </c>
      <c r="BV42" s="11">
        <f t="shared" si="47"/>
        <v>-48.574409033485537</v>
      </c>
      <c r="BW42" s="11">
        <f t="shared" si="47"/>
        <v>-48.724306890197823</v>
      </c>
      <c r="BX42" s="11">
        <f t="shared" si="47"/>
        <v>-48.873969174000983</v>
      </c>
      <c r="BY42" s="11">
        <f t="shared" si="47"/>
        <v>-49.023366295112318</v>
      </c>
      <c r="BZ42" s="11">
        <f t="shared" si="47"/>
        <v>-49.172469673542288</v>
      </c>
      <c r="CA42" s="11">
        <f t="shared" si="47"/>
        <v>-49.321251713963228</v>
      </c>
      <c r="CB42" s="11">
        <f t="shared" si="47"/>
        <v>-49.469685781135773</v>
      </c>
      <c r="CC42" s="11">
        <f t="shared" si="47"/>
        <v>-49.61774617588118</v>
      </c>
      <c r="CD42" s="11">
        <f t="shared" si="47"/>
        <v>-49.765408111588286</v>
      </c>
      <c r="CE42" s="11">
        <f t="shared" si="47"/>
        <v>-49.91264769124362</v>
      </c>
      <c r="CF42" s="11">
        <f t="shared" si="47"/>
        <v>-50.059441884973928</v>
      </c>
      <c r="CG42" s="11">
        <f t="shared" si="47"/>
        <v>-50.205768508090102</v>
      </c>
      <c r="CH42" s="11">
        <f t="shared" si="47"/>
        <v>-50.35160619962214</v>
      </c>
      <c r="CI42" s="11">
        <f t="shared" si="47"/>
        <v>-50.496934401334684</v>
      </c>
      <c r="CJ42" s="11">
        <f t="shared" si="47"/>
        <v>-50.64173333721304</v>
      </c>
      <c r="CK42" s="11">
        <f t="shared" si="47"/>
        <v>-50.785983993409744</v>
      </c>
      <c r="CL42" s="11">
        <f t="shared" si="47"/>
        <v>-50.929668098641976</v>
      </c>
      <c r="CM42" s="11"/>
    </row>
    <row r="43" spans="7:91" hidden="1" x14ac:dyDescent="0.25">
      <c r="G43" s="11">
        <f t="shared" ref="G43:BR43" si="48">PV($F15,G$9,1,0)+(PV($G$6,84-G$9,1,0)/($G$6+1)^G$9)</f>
        <v>-40.90831120074013</v>
      </c>
      <c r="H43" s="11">
        <f t="shared" si="48"/>
        <v>-40.920690446123189</v>
      </c>
      <c r="I43" s="11">
        <f t="shared" si="48"/>
        <v>-40.93895904880187</v>
      </c>
      <c r="J43" s="11">
        <f t="shared" si="48"/>
        <v>-40.962923387378503</v>
      </c>
      <c r="K43" s="11">
        <f t="shared" si="48"/>
        <v>-40.992394621296711</v>
      </c>
      <c r="L43" s="11">
        <f t="shared" si="48"/>
        <v>-41.027188584926662</v>
      </c>
      <c r="M43" s="11">
        <f t="shared" si="48"/>
        <v>-41.067125683873208</v>
      </c>
      <c r="N43" s="11">
        <f t="shared" si="48"/>
        <v>-41.112030793461592</v>
      </c>
      <c r="O43" s="11">
        <f t="shared" si="48"/>
        <v>-41.161733159356061</v>
      </c>
      <c r="P43" s="11">
        <f t="shared" si="48"/>
        <v>-41.216066300268572</v>
      </c>
      <c r="Q43" s="11">
        <f t="shared" si="48"/>
        <v>-41.274867912714399</v>
      </c>
      <c r="R43" s="11">
        <f t="shared" si="48"/>
        <v>-41.337979777773157</v>
      </c>
      <c r="S43" s="11">
        <f t="shared" si="48"/>
        <v>-41.405247669814521</v>
      </c>
      <c r="T43" s="11">
        <f t="shared" si="48"/>
        <v>-41.476521267148058</v>
      </c>
      <c r="U43" s="11">
        <f t="shared" si="48"/>
        <v>-41.551654064558662</v>
      </c>
      <c r="V43" s="11">
        <f t="shared" si="48"/>
        <v>-41.63050328768815</v>
      </c>
      <c r="W43" s="11">
        <f t="shared" si="48"/>
        <v>-41.712929809226239</v>
      </c>
      <c r="X43" s="11">
        <f t="shared" si="48"/>
        <v>-41.798798066873225</v>
      </c>
      <c r="Y43" s="11">
        <f t="shared" si="48"/>
        <v>-41.887975983038537</v>
      </c>
      <c r="Z43" s="11">
        <f t="shared" si="48"/>
        <v>-41.980334886239511</v>
      </c>
      <c r="AA43" s="11">
        <f t="shared" si="48"/>
        <v>-42.075749434165644</v>
      </c>
      <c r="AB43" s="11">
        <f t="shared" si="48"/>
        <v>-42.174097538374234</v>
      </c>
      <c r="AC43" s="11">
        <f t="shared" si="48"/>
        <v>-42.275260290583937</v>
      </c>
      <c r="AD43" s="11">
        <f t="shared" si="48"/>
        <v>-42.379121890533696</v>
      </c>
      <c r="AE43" s="11">
        <f t="shared" si="48"/>
        <v>-42.485569575374583</v>
      </c>
      <c r="AF43" s="11">
        <f t="shared" si="48"/>
        <v>-42.594493550563662</v>
      </c>
      <c r="AG43" s="11">
        <f t="shared" si="48"/>
        <v>-42.705786922228505</v>
      </c>
      <c r="AH43" s="11">
        <f t="shared" si="48"/>
        <v>-42.819345630972578</v>
      </c>
      <c r="AI43" s="11">
        <f t="shared" si="48"/>
        <v>-42.935068387091761</v>
      </c>
      <c r="AJ43" s="11">
        <f t="shared" si="48"/>
        <v>-43.052856607172913</v>
      </c>
      <c r="AK43" s="11">
        <f t="shared" si="48"/>
        <v>-43.172614352046423</v>
      </c>
      <c r="AL43" s="11">
        <f t="shared" si="48"/>
        <v>-43.294248266064415</v>
      </c>
      <c r="AM43" s="11">
        <f t="shared" si="48"/>
        <v>-43.417667517677828</v>
      </c>
      <c r="AN43" s="11">
        <f t="shared" si="48"/>
        <v>-43.54278374128527</v>
      </c>
      <c r="AO43" s="11">
        <f t="shared" si="48"/>
        <v>-43.669510980327686</v>
      </c>
      <c r="AP43" s="11">
        <f t="shared" si="48"/>
        <v>-43.797765631603085</v>
      </c>
      <c r="AQ43" s="11">
        <f t="shared" si="48"/>
        <v>-43.927466390776232</v>
      </c>
      <c r="AR43" s="11">
        <f t="shared" si="48"/>
        <v>-44.058534199058549</v>
      </c>
      <c r="AS43" s="11">
        <f t="shared" si="48"/>
        <v>-44.190892191034301</v>
      </c>
      <c r="AT43" s="11">
        <f t="shared" si="48"/>
        <v>-44.324465643609173</v>
      </c>
      <c r="AU43" s="11">
        <f t="shared" si="48"/>
        <v>-44.459181926058214</v>
      </c>
      <c r="AV43" s="11">
        <f t="shared" si="48"/>
        <v>-44.594970451150388</v>
      </c>
      <c r="AW43" s="11">
        <f t="shared" si="48"/>
        <v>-44.731762627327527</v>
      </c>
      <c r="AX43" s="11">
        <f t="shared" si="48"/>
        <v>-44.869491811915729</v>
      </c>
      <c r="AY43" s="11">
        <f t="shared" si="48"/>
        <v>-45.00809326534808</v>
      </c>
      <c r="AZ43" s="11">
        <f t="shared" si="48"/>
        <v>-45.147504106377532</v>
      </c>
      <c r="BA43" s="11">
        <f t="shared" si="48"/>
        <v>-45.287663268259593</v>
      </c>
      <c r="BB43" s="11">
        <f t="shared" si="48"/>
        <v>-45.428511455884575</v>
      </c>
      <c r="BC43" s="11">
        <f t="shared" si="48"/>
        <v>-45.569991103839975</v>
      </c>
      <c r="BD43" s="11">
        <f t="shared" si="48"/>
        <v>-45.712046335383349</v>
      </c>
      <c r="BE43" s="11">
        <f t="shared" si="48"/>
        <v>-45.854622922307009</v>
      </c>
      <c r="BF43" s="11">
        <f t="shared" si="48"/>
        <v>-45.997668245676017</v>
      </c>
      <c r="BG43" s="11">
        <f t="shared" si="48"/>
        <v>-46.141131257421215</v>
      </c>
      <c r="BH43" s="11">
        <f t="shared" si="48"/>
        <v>-46.284962442769633</v>
      </c>
      <c r="BI43" s="11">
        <f t="shared" si="48"/>
        <v>-46.429113783494699</v>
      </c>
      <c r="BJ43" s="11">
        <f t="shared" si="48"/>
        <v>-46.573538721969506</v>
      </c>
      <c r="BK43" s="11">
        <f t="shared" si="48"/>
        <v>-46.718192126005846</v>
      </c>
      <c r="BL43" s="11">
        <f t="shared" si="48"/>
        <v>-46.863030254463375</v>
      </c>
      <c r="BM43" s="11">
        <f t="shared" si="48"/>
        <v>-47.008010723612124</v>
      </c>
      <c r="BN43" s="11">
        <f t="shared" si="48"/>
        <v>-47.153092474233226</v>
      </c>
      <c r="BO43" s="11">
        <f t="shared" si="48"/>
        <v>-47.298235739442077</v>
      </c>
      <c r="BP43" s="11">
        <f t="shared" si="48"/>
        <v>-47.443402013218936</v>
      </c>
      <c r="BQ43" s="11">
        <f t="shared" si="48"/>
        <v>-47.588554019632326</v>
      </c>
      <c r="BR43" s="11">
        <f t="shared" si="48"/>
        <v>-47.733655682740505</v>
      </c>
      <c r="BS43" s="11">
        <f t="shared" ref="BS43:CL43" si="49">PV($F15,BS$9,1,0)+(PV($G$6,84-BS$9,1,0)/($G$6+1)^BS$9)</f>
        <v>-47.878672097157029</v>
      </c>
      <c r="BT43" s="11">
        <f t="shared" si="49"/>
        <v>-48.023569499266358</v>
      </c>
      <c r="BU43" s="11">
        <f t="shared" si="49"/>
        <v>-48.168315239075973</v>
      </c>
      <c r="BV43" s="11">
        <f t="shared" si="49"/>
        <v>-48.31287775269162</v>
      </c>
      <c r="BW43" s="11">
        <f t="shared" si="49"/>
        <v>-48.457226535402604</v>
      </c>
      <c r="BX43" s="11">
        <f t="shared" si="49"/>
        <v>-48.601332115364357</v>
      </c>
      <c r="BY43" s="11">
        <f t="shared" si="49"/>
        <v>-48.745166027865714</v>
      </c>
      <c r="BZ43" s="11">
        <f t="shared" si="49"/>
        <v>-48.888700790168635</v>
      </c>
      <c r="CA43" s="11">
        <f t="shared" si="49"/>
        <v>-49.031909876908216</v>
      </c>
      <c r="CB43" s="11">
        <f t="shared" si="49"/>
        <v>-49.174767696041435</v>
      </c>
      <c r="CC43" s="11">
        <f t="shared" si="49"/>
        <v>-49.317249565332787</v>
      </c>
      <c r="CD43" s="11">
        <f t="shared" si="49"/>
        <v>-49.45933168936574</v>
      </c>
      <c r="CE43" s="11">
        <f t="shared" si="49"/>
        <v>-49.600991137068782</v>
      </c>
      <c r="CF43" s="11">
        <f t="shared" si="49"/>
        <v>-49.742205819745188</v>
      </c>
      <c r="CG43" s="11">
        <f t="shared" si="49"/>
        <v>-49.882954469596029</v>
      </c>
      <c r="CH43" s="11">
        <f t="shared" si="49"/>
        <v>-50.023216618725755</v>
      </c>
      <c r="CI43" s="11">
        <f t="shared" si="49"/>
        <v>-50.162972578620391</v>
      </c>
      <c r="CJ43" s="11">
        <f t="shared" si="49"/>
        <v>-50.302203420088183</v>
      </c>
      <c r="CK43" s="11">
        <f t="shared" si="49"/>
        <v>-50.440890953652882</v>
      </c>
      <c r="CL43" s="11">
        <f t="shared" si="49"/>
        <v>-50.579017710390318</v>
      </c>
      <c r="CM43" s="11"/>
    </row>
    <row r="44" spans="7:91" hidden="1" x14ac:dyDescent="0.25">
      <c r="G44" s="11">
        <f t="shared" ref="G44:BR44" si="50">PV($F16,G$9,1,0)+(PV($G$6,84-G$9,1,0)/($G$6+1)^G$9)</f>
        <v>-40.908019053141707</v>
      </c>
      <c r="H44" s="11">
        <f t="shared" si="50"/>
        <v>-40.919821700893493</v>
      </c>
      <c r="I44" s="11">
        <f t="shared" si="50"/>
        <v>-40.937236801354615</v>
      </c>
      <c r="J44" s="11">
        <f t="shared" si="50"/>
        <v>-40.960078129127162</v>
      </c>
      <c r="K44" s="11">
        <f t="shared" si="50"/>
        <v>-40.988164092836051</v>
      </c>
      <c r="L44" s="11">
        <f t="shared" si="50"/>
        <v>-41.021317631799143</v>
      </c>
      <c r="M44" s="11">
        <f t="shared" si="50"/>
        <v>-41.059366114877697</v>
      </c>
      <c r="N44" s="11">
        <f t="shared" si="50"/>
        <v>-41.102141241462441</v>
      </c>
      <c r="O44" s="11">
        <f t="shared" si="50"/>
        <v>-41.149478944551269</v>
      </c>
      <c r="P44" s="11">
        <f t="shared" si="50"/>
        <v>-41.201219295876321</v>
      </c>
      <c r="Q44" s="11">
        <f t="shared" si="50"/>
        <v>-41.257206413037991</v>
      </c>
      <c r="R44" s="11">
        <f t="shared" si="50"/>
        <v>-41.317288368605141</v>
      </c>
      <c r="S44" s="11">
        <f t="shared" si="50"/>
        <v>-41.381317101141029</v>
      </c>
      <c r="T44" s="11">
        <f t="shared" si="50"/>
        <v>-41.449148328115427</v>
      </c>
      <c r="U44" s="11">
        <f t="shared" si="50"/>
        <v>-41.520641460664692</v>
      </c>
      <c r="V44" s="11">
        <f t="shared" si="50"/>
        <v>-41.59565952016122</v>
      </c>
      <c r="W44" s="11">
        <f t="shared" si="50"/>
        <v>-41.674069056555801</v>
      </c>
      <c r="X44" s="11">
        <f t="shared" si="50"/>
        <v>-41.755740068456042</v>
      </c>
      <c r="Y44" s="11">
        <f t="shared" si="50"/>
        <v>-41.840545924905385</v>
      </c>
      <c r="Z44" s="11">
        <f t="shared" si="50"/>
        <v>-41.928363288827768</v>
      </c>
      <c r="AA44" s="11">
        <f t="shared" si="50"/>
        <v>-42.019072042103758</v>
      </c>
      <c r="AB44" s="11">
        <f t="shared" si="50"/>
        <v>-42.112555212244345</v>
      </c>
      <c r="AC44" s="11">
        <f t="shared" si="50"/>
        <v>-42.208698900629827</v>
      </c>
      <c r="AD44" s="11">
        <f t="shared" si="50"/>
        <v>-42.30739221228157</v>
      </c>
      <c r="AE44" s="11">
        <f t="shared" si="50"/>
        <v>-42.408527187134723</v>
      </c>
      <c r="AF44" s="11">
        <f t="shared" si="50"/>
        <v>-42.511998732781365</v>
      </c>
      <c r="AG44" s="11">
        <f t="shared" si="50"/>
        <v>-42.617704558653628</v>
      </c>
      <c r="AH44" s="11">
        <f t="shared" si="50"/>
        <v>-42.725545111617002</v>
      </c>
      <c r="AI44" s="11">
        <f t="shared" si="50"/>
        <v>-42.835423512944985</v>
      </c>
      <c r="AJ44" s="11">
        <f t="shared" si="50"/>
        <v>-42.947245496646204</v>
      </c>
      <c r="AK44" s="11">
        <f t="shared" si="50"/>
        <v>-43.06091934911646</v>
      </c>
      <c r="AL44" s="11">
        <f t="shared" si="50"/>
        <v>-43.176355850088058</v>
      </c>
      <c r="AM44" s="11">
        <f t="shared" si="50"/>
        <v>-43.293468214849781</v>
      </c>
      <c r="AN44" s="11">
        <f t="shared" si="50"/>
        <v>-43.412172037711031</v>
      </c>
      <c r="AO44" s="11">
        <f t="shared" si="50"/>
        <v>-43.532385236684611</v>
      </c>
      <c r="AP44" s="11">
        <f t="shared" si="50"/>
        <v>-43.654027999362789</v>
      </c>
      <c r="AQ44" s="11">
        <f t="shared" si="50"/>
        <v>-43.777022729961985</v>
      </c>
      <c r="AR44" s="11">
        <f t="shared" si="50"/>
        <v>-43.901293997511836</v>
      </c>
      <c r="AS44" s="11">
        <f t="shared" si="50"/>
        <v>-44.026768485164922</v>
      </c>
      <c r="AT44" s="11">
        <f t="shared" si="50"/>
        <v>-44.153374940603925</v>
      </c>
      <c r="AU44" s="11">
        <f t="shared" si="50"/>
        <v>-44.281044127523437</v>
      </c>
      <c r="AV44" s="11">
        <f t="shared" si="50"/>
        <v>-44.409708778164074</v>
      </c>
      <c r="AW44" s="11">
        <f t="shared" si="50"/>
        <v>-44.539303546877093</v>
      </c>
      <c r="AX44" s="11">
        <f t="shared" si="50"/>
        <v>-44.669764964698025</v>
      </c>
      <c r="AY44" s="11">
        <f t="shared" si="50"/>
        <v>-44.801031394908463</v>
      </c>
      <c r="AZ44" s="11">
        <f t="shared" si="50"/>
        <v>-44.933042989565166</v>
      </c>
      <c r="BA44" s="11">
        <f t="shared" si="50"/>
        <v>-45.065741646976733</v>
      </c>
      <c r="BB44" s="11">
        <f t="shared" si="50"/>
        <v>-45.199070970107798</v>
      </c>
      <c r="BC44" s="11">
        <f t="shared" si="50"/>
        <v>-45.332976225891514</v>
      </c>
      <c r="BD44" s="11">
        <f t="shared" si="50"/>
        <v>-45.467404305431423</v>
      </c>
      <c r="BE44" s="11">
        <f t="shared" si="50"/>
        <v>-45.602303685074105</v>
      </c>
      <c r="BF44" s="11">
        <f t="shared" si="50"/>
        <v>-45.737624388334403</v>
      </c>
      <c r="BG44" s="11">
        <f t="shared" si="50"/>
        <v>-45.87331794865554</v>
      </c>
      <c r="BH44" s="11">
        <f t="shared" si="50"/>
        <v>-46.009337372986508</v>
      </c>
      <c r="BI44" s="11">
        <f t="shared" si="50"/>
        <v>-46.145637106159668</v>
      </c>
      <c r="BJ44" s="11">
        <f t="shared" si="50"/>
        <v>-46.282172996052054</v>
      </c>
      <c r="BK44" s="11">
        <f t="shared" si="50"/>
        <v>-46.418902259513551</v>
      </c>
      <c r="BL44" s="11">
        <f t="shared" si="50"/>
        <v>-46.555783449046238</v>
      </c>
      <c r="BM44" s="11">
        <f t="shared" si="50"/>
        <v>-46.692776420218976</v>
      </c>
      <c r="BN44" s="11">
        <f t="shared" si="50"/>
        <v>-46.829842299801875</v>
      </c>
      <c r="BO44" s="11">
        <f t="shared" si="50"/>
        <v>-46.966943454605492</v>
      </c>
      <c r="BP44" s="11">
        <f t="shared" si="50"/>
        <v>-47.104043461009958</v>
      </c>
      <c r="BQ44" s="11">
        <f t="shared" si="50"/>
        <v>-47.241107075169651</v>
      </c>
      <c r="BR44" s="11">
        <f t="shared" si="50"/>
        <v>-47.378100203878908</v>
      </c>
      <c r="BS44" s="11">
        <f t="shared" ref="BS44:CL44" si="51">PV($F16,BS$9,1,0)+(PV($G$6,84-BS$9,1,0)/($G$6+1)^BS$9)</f>
        <v>-47.514989876085323</v>
      </c>
      <c r="BT44" s="11">
        <f t="shared" si="51"/>
        <v>-47.651744215036516</v>
      </c>
      <c r="BU44" s="11">
        <f t="shared" si="51"/>
        <v>-47.788332411047371</v>
      </c>
      <c r="BV44" s="11">
        <f t="shared" si="51"/>
        <v>-47.924724694874499</v>
      </c>
      <c r="BW44" s="11">
        <f t="shared" si="51"/>
        <v>-48.060892311685187</v>
      </c>
      <c r="BX44" s="11">
        <f t="shared" si="51"/>
        <v>-48.196807495608113</v>
      </c>
      <c r="BY44" s="11">
        <f t="shared" si="51"/>
        <v>-48.332443444853872</v>
      </c>
      <c r="BZ44" s="11">
        <f t="shared" si="51"/>
        <v>-48.467774297392886</v>
      </c>
      <c r="CA44" s="11">
        <f t="shared" si="51"/>
        <v>-48.602775107179191</v>
      </c>
      <c r="CB44" s="11">
        <f t="shared" si="51"/>
        <v>-48.737421820908359</v>
      </c>
      <c r="CC44" s="11">
        <f t="shared" si="51"/>
        <v>-48.871691255298387</v>
      </c>
      <c r="CD44" s="11">
        <f t="shared" si="51"/>
        <v>-49.005561074882294</v>
      </c>
      <c r="CE44" s="11">
        <f t="shared" si="51"/>
        <v>-49.139009770301826</v>
      </c>
      <c r="CF44" s="11">
        <f t="shared" si="51"/>
        <v>-49.272016637091255</v>
      </c>
      <c r="CG44" s="11">
        <f t="shared" si="51"/>
        <v>-49.404561754941284</v>
      </c>
      <c r="CH44" s="11">
        <f t="shared" si="51"/>
        <v>-49.536625967432514</v>
      </c>
      <c r="CI44" s="11">
        <f t="shared" si="51"/>
        <v>-49.668190862228649</v>
      </c>
      <c r="CJ44" s="11">
        <f t="shared" si="51"/>
        <v>-49.799238751719606</v>
      </c>
      <c r="CK44" s="11">
        <f t="shared" si="51"/>
        <v>-49.929752654104959</v>
      </c>
      <c r="CL44" s="11">
        <f t="shared" si="51"/>
        <v>-50.059716274908283</v>
      </c>
      <c r="CM44" s="11"/>
    </row>
    <row r="45" spans="7:91" hidden="1" x14ac:dyDescent="0.25">
      <c r="G45" s="11">
        <f t="shared" ref="G45:BR45" si="52">PV($F17,G$9,1,0)+(PV($G$6,84-G$9,1,0)/($G$6+1)^G$9)</f>
        <v>-40.907532524629673</v>
      </c>
      <c r="H45" s="11">
        <f t="shared" si="52"/>
        <v>-40.918375313359775</v>
      </c>
      <c r="I45" s="11">
        <f t="shared" si="52"/>
        <v>-40.934370153747615</v>
      </c>
      <c r="J45" s="11">
        <f t="shared" si="52"/>
        <v>-40.955343486166633</v>
      </c>
      <c r="K45" s="11">
        <f t="shared" si="52"/>
        <v>-40.981126126101486</v>
      </c>
      <c r="L45" s="11">
        <f t="shared" si="52"/>
        <v>-41.011553165512353</v>
      </c>
      <c r="M45" s="11">
        <f t="shared" si="52"/>
        <v>-41.046463876299782</v>
      </c>
      <c r="N45" s="11">
        <f t="shared" si="52"/>
        <v>-41.08570161582675</v>
      </c>
      <c r="O45" s="11">
        <f t="shared" si="52"/>
        <v>-41.12911373445516</v>
      </c>
      <c r="P45" s="11">
        <f t="shared" si="52"/>
        <v>-41.176551485055953</v>
      </c>
      <c r="Q45" s="11">
        <f t="shared" si="52"/>
        <v>-41.227869934451391</v>
      </c>
      <c r="R45" s="11">
        <f t="shared" si="52"/>
        <v>-41.282927876750158</v>
      </c>
      <c r="S45" s="11">
        <f t="shared" si="52"/>
        <v>-41.341587748535908</v>
      </c>
      <c r="T45" s="11">
        <f t="shared" si="52"/>
        <v>-41.403715545871115</v>
      </c>
      <c r="U45" s="11">
        <f t="shared" si="52"/>
        <v>-41.469180743078695</v>
      </c>
      <c r="V45" s="11">
        <f t="shared" si="52"/>
        <v>-41.537856213264604</v>
      </c>
      <c r="W45" s="11">
        <f t="shared" si="52"/>
        <v>-41.609618150545415</v>
      </c>
      <c r="X45" s="11">
        <f t="shared" si="52"/>
        <v>-41.684345993945719</v>
      </c>
      <c r="Y45" s="11">
        <f t="shared" si="52"/>
        <v>-41.761922352930497</v>
      </c>
      <c r="Z45" s="11">
        <f t="shared" si="52"/>
        <v>-41.842232934538927</v>
      </c>
      <c r="AA45" s="11">
        <f t="shared" si="52"/>
        <v>-41.925166472086218</v>
      </c>
      <c r="AB45" s="11">
        <f t="shared" si="52"/>
        <v>-42.010614655401056</v>
      </c>
      <c r="AC45" s="11">
        <f t="shared" si="52"/>
        <v>-42.098472062566735</v>
      </c>
      <c r="AD45" s="11">
        <f t="shared" si="52"/>
        <v>-42.188636093135003</v>
      </c>
      <c r="AE45" s="11">
        <f t="shared" si="52"/>
        <v>-42.281006902781584</v>
      </c>
      <c r="AF45" s="11">
        <f t="shared" si="52"/>
        <v>-42.375487339374011</v>
      </c>
      <c r="AG45" s="11">
        <f t="shared" si="52"/>
        <v>-42.471982880421905</v>
      </c>
      <c r="AH45" s="11">
        <f t="shared" si="52"/>
        <v>-42.570401571881298</v>
      </c>
      <c r="AI45" s="11">
        <f t="shared" si="52"/>
        <v>-42.670653968284654</v>
      </c>
      <c r="AJ45" s="11">
        <f t="shared" si="52"/>
        <v>-42.772653074169042</v>
      </c>
      <c r="AK45" s="11">
        <f t="shared" si="52"/>
        <v>-42.876314286775518</v>
      </c>
      <c r="AL45" s="11">
        <f t="shared" si="52"/>
        <v>-42.981555339992994</v>
      </c>
      <c r="AM45" s="11">
        <f t="shared" si="52"/>
        <v>-43.088296249520965</v>
      </c>
      <c r="AN45" s="11">
        <f t="shared" si="52"/>
        <v>-43.196459259225399</v>
      </c>
      <c r="AO45" s="11">
        <f t="shared" si="52"/>
        <v>-43.30596878866308</v>
      </c>
      <c r="AP45" s="11">
        <f t="shared" si="52"/>
        <v>-43.416751381749854</v>
      </c>
      <c r="AQ45" s="11">
        <f t="shared" si="52"/>
        <v>-43.528735656549024</v>
      </c>
      <c r="AR45" s="11">
        <f t="shared" si="52"/>
        <v>-43.641852256156383</v>
      </c>
      <c r="AS45" s="11">
        <f t="shared" si="52"/>
        <v>-43.756033800658983</v>
      </c>
      <c r="AT45" s="11">
        <f t="shared" si="52"/>
        <v>-43.871214840145186</v>
      </c>
      <c r="AU45" s="11">
        <f t="shared" si="52"/>
        <v>-43.987331808743974</v>
      </c>
      <c r="AV45" s="11">
        <f t="shared" si="52"/>
        <v>-44.104322979671892</v>
      </c>
      <c r="AW45" s="11">
        <f t="shared" si="52"/>
        <v>-44.222128421266689</v>
      </c>
      <c r="AX45" s="11">
        <f t="shared" si="52"/>
        <v>-44.340689953986718</v>
      </c>
      <c r="AY45" s="11">
        <f t="shared" si="52"/>
        <v>-44.459951108356023</v>
      </c>
      <c r="AZ45" s="11">
        <f t="shared" si="52"/>
        <v>-44.579857083835151</v>
      </c>
      <c r="BA45" s="11">
        <f t="shared" si="52"/>
        <v>-44.70035470859834</v>
      </c>
      <c r="BB45" s="11">
        <f t="shared" si="52"/>
        <v>-44.821392400197865</v>
      </c>
      <c r="BC45" s="11">
        <f t="shared" si="52"/>
        <v>-44.942920127097018</v>
      </c>
      <c r="BD45" s="11">
        <f t="shared" si="52"/>
        <v>-45.064889371053525</v>
      </c>
      <c r="BE45" s="11">
        <f t="shared" si="52"/>
        <v>-45.187253090335119</v>
      </c>
      <c r="BF45" s="11">
        <f t="shared" si="52"/>
        <v>-45.309965683750256</v>
      </c>
      <c r="BG45" s="11">
        <f t="shared" si="52"/>
        <v>-45.432982955476291</v>
      </c>
      <c r="BH45" s="11">
        <f t="shared" si="52"/>
        <v>-45.556262080668716</v>
      </c>
      <c r="BI45" s="11">
        <f t="shared" si="52"/>
        <v>-45.679761571834547</v>
      </c>
      <c r="BJ45" s="11">
        <f t="shared" si="52"/>
        <v>-45.803441245954104</v>
      </c>
      <c r="BK45" s="11">
        <f t="shared" si="52"/>
        <v>-45.927262192335192</v>
      </c>
      <c r="BL45" s="11">
        <f t="shared" si="52"/>
        <v>-46.051186741184047</v>
      </c>
      <c r="BM45" s="11">
        <f t="shared" si="52"/>
        <v>-46.175178432878234</v>
      </c>
      <c r="BN45" s="11">
        <f t="shared" si="52"/>
        <v>-46.299201987926224</v>
      </c>
      <c r="BO45" s="11">
        <f t="shared" si="52"/>
        <v>-46.423223277599476</v>
      </c>
      <c r="BP45" s="11">
        <f t="shared" si="52"/>
        <v>-46.547209295222416</v>
      </c>
      <c r="BQ45" s="11">
        <f t="shared" si="52"/>
        <v>-46.671128128106638</v>
      </c>
      <c r="BR45" s="11">
        <f t="shared" si="52"/>
        <v>-46.794948930115432</v>
      </c>
      <c r="BS45" s="11">
        <f t="shared" ref="BS45:CL45" si="53">PV($F17,BS$9,1,0)+(PV($G$6,84-BS$9,1,0)/($G$6+1)^BS$9)</f>
        <v>-46.918641894845429</v>
      </c>
      <c r="BT45" s="11">
        <f t="shared" si="53"/>
        <v>-47.042178229412073</v>
      </c>
      <c r="BU45" s="11">
        <f t="shared" si="53"/>
        <v>-47.165530128826134</v>
      </c>
      <c r="BV45" s="11">
        <f t="shared" si="53"/>
        <v>-47.288670750948739</v>
      </c>
      <c r="BW45" s="11">
        <f t="shared" si="53"/>
        <v>-47.411574192012566</v>
      </c>
      <c r="BX45" s="11">
        <f t="shared" si="53"/>
        <v>-47.534215462696906</v>
      </c>
      <c r="BY45" s="11">
        <f t="shared" si="53"/>
        <v>-47.656570464745251</v>
      </c>
      <c r="BZ45" s="11">
        <f t="shared" si="53"/>
        <v>-47.778615968113293</v>
      </c>
      <c r="CA45" s="11">
        <f t="shared" si="53"/>
        <v>-47.90032958863636</v>
      </c>
      <c r="CB45" s="11">
        <f t="shared" si="53"/>
        <v>-48.02168976620505</v>
      </c>
      <c r="CC45" s="11">
        <f t="shared" si="53"/>
        <v>-48.142675743438147</v>
      </c>
      <c r="CD45" s="11">
        <f t="shared" si="53"/>
        <v>-48.263267544842257</v>
      </c>
      <c r="CE45" s="11">
        <f t="shared" si="53"/>
        <v>-48.383445956447694</v>
      </c>
      <c r="CF45" s="11">
        <f t="shared" si="53"/>
        <v>-48.503192505910306</v>
      </c>
      <c r="CG45" s="11">
        <f t="shared" si="53"/>
        <v>-48.622489443069455</v>
      </c>
      <c r="CH45" s="11">
        <f t="shared" si="53"/>
        <v>-48.741319720952134</v>
      </c>
      <c r="CI45" s="11">
        <f t="shared" si="53"/>
        <v>-48.859666977213678</v>
      </c>
      <c r="CJ45" s="11">
        <f t="shared" si="53"/>
        <v>-48.97751551600583</v>
      </c>
      <c r="CK45" s="11">
        <f t="shared" si="53"/>
        <v>-49.094850290262656</v>
      </c>
      <c r="CL45" s="11">
        <f t="shared" si="53"/>
        <v>-49.211656884395701</v>
      </c>
      <c r="CM45" s="11"/>
    </row>
    <row r="46" spans="7:91" hidden="1" x14ac:dyDescent="0.25">
      <c r="G46" s="11">
        <f t="shared" ref="G46:BR46" si="54">PV($F18,G$9,1,0)+(PV($G$6,84-G$9,1,0)/($G$6+1)^G$9)</f>
        <v>-40.906852190239483</v>
      </c>
      <c r="H46" s="11">
        <f t="shared" si="54"/>
        <v>-40.916353559398047</v>
      </c>
      <c r="I46" s="11">
        <f t="shared" si="54"/>
        <v>-40.930364735688983</v>
      </c>
      <c r="J46" s="11">
        <f t="shared" si="54"/>
        <v>-40.948730599298052</v>
      </c>
      <c r="K46" s="11">
        <f t="shared" si="54"/>
        <v>-40.971300012251554</v>
      </c>
      <c r="L46" s="11">
        <f t="shared" si="54"/>
        <v>-40.997925727219389</v>
      </c>
      <c r="M46" s="11">
        <f t="shared" si="54"/>
        <v>-41.028464298286906</v>
      </c>
      <c r="N46" s="11">
        <f t="shared" si="54"/>
        <v>-41.062775993654355</v>
      </c>
      <c r="O46" s="11">
        <f t="shared" si="54"/>
        <v>-41.100724710223552</v>
      </c>
      <c r="P46" s="11">
        <f t="shared" si="54"/>
        <v>-41.142177890032698</v>
      </c>
      <c r="Q46" s="11">
        <f t="shared" si="54"/>
        <v>-41.187006438500596</v>
      </c>
      <c r="R46" s="11">
        <f t="shared" si="54"/>
        <v>-41.235084644442466</v>
      </c>
      <c r="S46" s="11">
        <f t="shared" si="54"/>
        <v>-41.286290101820519</v>
      </c>
      <c r="T46" s="11">
        <f t="shared" si="54"/>
        <v>-41.340503633192789</v>
      </c>
      <c r="U46" s="11">
        <f t="shared" si="54"/>
        <v>-41.397609214824961</v>
      </c>
      <c r="V46" s="11">
        <f t="shared" si="54"/>
        <v>-41.457493903430176</v>
      </c>
      <c r="W46" s="11">
        <f t="shared" si="54"/>
        <v>-41.520047764502934</v>
      </c>
      <c r="X46" s="11">
        <f t="shared" si="54"/>
        <v>-41.585163802213529</v>
      </c>
      <c r="Y46" s="11">
        <f t="shared" si="54"/>
        <v>-41.652737890830458</v>
      </c>
      <c r="Z46" s="11">
        <f t="shared" si="54"/>
        <v>-41.722668707638697</v>
      </c>
      <c r="AA46" s="11">
        <f t="shared" si="54"/>
        <v>-41.794857667322503</v>
      </c>
      <c r="AB46" s="11">
        <f t="shared" si="54"/>
        <v>-41.869208857781949</v>
      </c>
      <c r="AC46" s="11">
        <f t="shared" si="54"/>
        <v>-41.945628977353152</v>
      </c>
      <c r="AD46" s="11">
        <f t="shared" si="54"/>
        <v>-42.024027273402709</v>
      </c>
      <c r="AE46" s="11">
        <f t="shared" si="54"/>
        <v>-42.104315482267381</v>
      </c>
      <c r="AF46" s="11">
        <f t="shared" si="54"/>
        <v>-42.186407770510769</v>
      </c>
      <c r="AG46" s="11">
        <f t="shared" si="54"/>
        <v>-42.270220677469368</v>
      </c>
      <c r="AH46" s="11">
        <f t="shared" si="54"/>
        <v>-42.355673059060621</v>
      </c>
      <c r="AI46" s="11">
        <f t="shared" si="54"/>
        <v>-42.442686032826643</v>
      </c>
      <c r="AJ46" s="11">
        <f t="shared" si="54"/>
        <v>-42.531182924187391</v>
      </c>
      <c r="AK46" s="11">
        <f t="shared" si="54"/>
        <v>-42.621089213877916</v>
      </c>
      <c r="AL46" s="11">
        <f t="shared" si="54"/>
        <v>-42.712332486544497</v>
      </c>
      <c r="AM46" s="11">
        <f t="shared" si="54"/>
        <v>-42.804842380475449</v>
      </c>
      <c r="AN46" s="11">
        <f t="shared" si="54"/>
        <v>-42.898550538442464</v>
      </c>
      <c r="AO46" s="11">
        <f t="shared" si="54"/>
        <v>-42.993390559629077</v>
      </c>
      <c r="AP46" s="11">
        <f t="shared" si="54"/>
        <v>-43.089297952623149</v>
      </c>
      <c r="AQ46" s="11">
        <f t="shared" si="54"/>
        <v>-43.186210089451102</v>
      </c>
      <c r="AR46" s="11">
        <f t="shared" si="54"/>
        <v>-43.284066160631554</v>
      </c>
      <c r="AS46" s="11">
        <f t="shared" si="54"/>
        <v>-43.382807131226961</v>
      </c>
      <c r="AT46" s="11">
        <f t="shared" si="54"/>
        <v>-43.482375697871994</v>
      </c>
      <c r="AU46" s="11">
        <f t="shared" si="54"/>
        <v>-43.582716246758011</v>
      </c>
      <c r="AV46" s="11">
        <f t="shared" si="54"/>
        <v>-43.683774812553267</v>
      </c>
      <c r="AW46" s="11">
        <f t="shared" si="54"/>
        <v>-43.785499038239017</v>
      </c>
      <c r="AX46" s="11">
        <f t="shared" si="54"/>
        <v>-43.887838135842024</v>
      </c>
      <c r="AY46" s="11">
        <f t="shared" si="54"/>
        <v>-43.990742848044476</v>
      </c>
      <c r="AZ46" s="11">
        <f t="shared" si="54"/>
        <v>-44.094165410652494</v>
      </c>
      <c r="BA46" s="11">
        <f t="shared" si="54"/>
        <v>-44.198059515905186</v>
      </c>
      <c r="BB46" s="11">
        <f t="shared" si="54"/>
        <v>-44.302380276606016</v>
      </c>
      <c r="BC46" s="11">
        <f t="shared" si="54"/>
        <v>-44.407084191059333</v>
      </c>
      <c r="BD46" s="11">
        <f t="shared" si="54"/>
        <v>-44.512129108794511</v>
      </c>
      <c r="BE46" s="11">
        <f t="shared" si="54"/>
        <v>-44.617474197061163</v>
      </c>
      <c r="BF46" s="11">
        <f t="shared" si="54"/>
        <v>-44.723079908078773</v>
      </c>
      <c r="BG46" s="11">
        <f t="shared" si="54"/>
        <v>-44.828907947024831</v>
      </c>
      <c r="BH46" s="11">
        <f t="shared" si="54"/>
        <v>-44.934921240745368</v>
      </c>
      <c r="BI46" s="11">
        <f t="shared" si="54"/>
        <v>-45.041083907172691</v>
      </c>
      <c r="BJ46" s="11">
        <f t="shared" si="54"/>
        <v>-45.14736122543507</v>
      </c>
      <c r="BK46" s="11">
        <f t="shared" si="54"/>
        <v>-45.25371960664355</v>
      </c>
      <c r="BL46" s="11">
        <f t="shared" si="54"/>
        <v>-45.360126565341339</v>
      </c>
      <c r="BM46" s="11">
        <f t="shared" si="54"/>
        <v>-45.466550691601562</v>
      </c>
      <c r="BN46" s="11">
        <f t="shared" si="54"/>
        <v>-45.572961623759497</v>
      </c>
      <c r="BO46" s="11">
        <f t="shared" si="54"/>
        <v>-45.67933002176558</v>
      </c>
      <c r="BP46" s="11">
        <f t="shared" si="54"/>
        <v>-45.785627541145899</v>
      </c>
      <c r="BQ46" s="11">
        <f t="shared" si="54"/>
        <v>-45.891826807557045</v>
      </c>
      <c r="BR46" s="11">
        <f t="shared" si="54"/>
        <v>-45.99790139192249</v>
      </c>
      <c r="BS46" s="11">
        <f t="shared" ref="BS46:CL46" si="55">PV($F18,BS$9,1,0)+(PV($G$6,84-BS$9,1,0)/($G$6+1)^BS$9)</f>
        <v>-46.103825786138074</v>
      </c>
      <c r="BT46" s="11">
        <f t="shared" si="55"/>
        <v>-46.209575379334183</v>
      </c>
      <c r="BU46" s="11">
        <f t="shared" si="55"/>
        <v>-46.315126434682654</v>
      </c>
      <c r="BV46" s="11">
        <f t="shared" si="55"/>
        <v>-46.420456066736648</v>
      </c>
      <c r="BW46" s="11">
        <f t="shared" si="55"/>
        <v>-46.525542219292028</v>
      </c>
      <c r="BX46" s="11">
        <f t="shared" si="55"/>
        <v>-46.63036364375872</v>
      </c>
      <c r="BY46" s="11">
        <f t="shared" si="55"/>
        <v>-46.734899878031321</v>
      </c>
      <c r="BZ46" s="11">
        <f t="shared" si="55"/>
        <v>-46.8391312258479</v>
      </c>
      <c r="CA46" s="11">
        <f t="shared" si="55"/>
        <v>-46.943038736626519</v>
      </c>
      <c r="CB46" s="11">
        <f t="shared" si="55"/>
        <v>-47.046604185769048</v>
      </c>
      <c r="CC46" s="11">
        <f t="shared" si="55"/>
        <v>-47.149810055422122</v>
      </c>
      <c r="CD46" s="11">
        <f t="shared" si="55"/>
        <v>-47.252639515685352</v>
      </c>
      <c r="CE46" s="11">
        <f t="shared" si="55"/>
        <v>-47.355076406257005</v>
      </c>
      <c r="CF46" s="11">
        <f t="shared" si="55"/>
        <v>-47.457105218507564</v>
      </c>
      <c r="CG46" s="11">
        <f t="shared" si="55"/>
        <v>-47.558711077972056</v>
      </c>
      <c r="CH46" s="11">
        <f t="shared" si="55"/>
        <v>-47.659879727251663</v>
      </c>
      <c r="CI46" s="11">
        <f t="shared" si="55"/>
        <v>-47.760597509316092</v>
      </c>
      <c r="CJ46" s="11">
        <f t="shared" si="55"/>
        <v>-47.860851351197581</v>
      </c>
      <c r="CK46" s="11">
        <f t="shared" si="55"/>
        <v>-47.960628748068125</v>
      </c>
      <c r="CL46" s="11">
        <f t="shared" si="55"/>
        <v>-48.059917747691642</v>
      </c>
      <c r="CM46" s="11"/>
    </row>
    <row r="47" spans="7:91" hidden="1" x14ac:dyDescent="0.25">
      <c r="G47" s="11">
        <f t="shared" ref="G47:BR47" si="56">PV($F19,G$9,1,0)+(PV($G$6,84-G$9,1,0)/($G$6+1)^G$9)</f>
        <v>-40.906560905620907</v>
      </c>
      <c r="H47" s="11">
        <f t="shared" si="56"/>
        <v>-40.915488230093203</v>
      </c>
      <c r="I47" s="11">
        <f t="shared" si="56"/>
        <v>-40.928650939069264</v>
      </c>
      <c r="J47" s="11">
        <f t="shared" si="56"/>
        <v>-40.945902066713067</v>
      </c>
      <c r="K47" s="11">
        <f t="shared" si="56"/>
        <v>-40.967098449152239</v>
      </c>
      <c r="L47" s="11">
        <f t="shared" si="56"/>
        <v>-40.992100636799591</v>
      </c>
      <c r="M47" s="11">
        <f t="shared" si="56"/>
        <v>-41.020772808578975</v>
      </c>
      <c r="N47" s="11">
        <f t="shared" si="56"/>
        <v>-41.052982688015348</v>
      </c>
      <c r="O47" s="11">
        <f t="shared" si="56"/>
        <v>-41.088601461149885</v>
      </c>
      <c r="P47" s="11">
        <f t="shared" si="56"/>
        <v>-41.127503696242201</v>
      </c>
      <c r="Q47" s="11">
        <f t="shared" si="56"/>
        <v>-41.169567265221772</v>
      </c>
      <c r="R47" s="11">
        <f t="shared" si="56"/>
        <v>-41.214673266852117</v>
      </c>
      <c r="S47" s="11">
        <f t="shared" si="56"/>
        <v>-41.262705951571746</v>
      </c>
      <c r="T47" s="11">
        <f t="shared" si="56"/>
        <v>-41.313552647976358</v>
      </c>
      <c r="U47" s="11">
        <f t="shared" si="56"/>
        <v>-41.367103690908301</v>
      </c>
      <c r="V47" s="11">
        <f t="shared" si="56"/>
        <v>-41.42325235111889</v>
      </c>
      <c r="W47" s="11">
        <f t="shared" si="56"/>
        <v>-41.481894766470994</v>
      </c>
      <c r="X47" s="11">
        <f t="shared" si="56"/>
        <v>-41.542929874649083</v>
      </c>
      <c r="Y47" s="11">
        <f t="shared" si="56"/>
        <v>-41.606259347345187</v>
      </c>
      <c r="Z47" s="11">
        <f t="shared" si="56"/>
        <v>-41.671787525889606</v>
      </c>
      <c r="AA47" s="11">
        <f t="shared" si="56"/>
        <v>-41.739421358295886</v>
      </c>
      <c r="AB47" s="11">
        <f t="shared" si="56"/>
        <v>-41.809070337690116</v>
      </c>
      <c r="AC47" s="11">
        <f t="shared" si="56"/>
        <v>-41.880646442095554</v>
      </c>
      <c r="AD47" s="11">
        <f t="shared" si="56"/>
        <v>-41.954064075543734</v>
      </c>
      <c r="AE47" s="11">
        <f t="shared" si="56"/>
        <v>-42.029240010484109</v>
      </c>
      <c r="AF47" s="11">
        <f t="shared" si="56"/>
        <v>-42.10609333146472</v>
      </c>
      <c r="AG47" s="11">
        <f t="shared" si="56"/>
        <v>-42.184545380057095</v>
      </c>
      <c r="AH47" s="11">
        <f t="shared" si="56"/>
        <v>-42.264519700998846</v>
      </c>
      <c r="AI47" s="11">
        <f t="shared" si="56"/>
        <v>-42.345941989528463</v>
      </c>
      <c r="AJ47" s="11">
        <f t="shared" si="56"/>
        <v>-42.428740039886563</v>
      </c>
      <c r="AK47" s="11">
        <f t="shared" si="56"/>
        <v>-42.5128436949595</v>
      </c>
      <c r="AL47" s="11">
        <f t="shared" si="56"/>
        <v>-42.598184797040417</v>
      </c>
      <c r="AM47" s="11">
        <f t="shared" si="56"/>
        <v>-42.68469713968453</v>
      </c>
      <c r="AN47" s="11">
        <f t="shared" si="56"/>
        <v>-42.772316420635079</v>
      </c>
      <c r="AO47" s="11">
        <f t="shared" si="56"/>
        <v>-42.860980195797367</v>
      </c>
      <c r="AP47" s="11">
        <f t="shared" si="56"/>
        <v>-42.950627834238432</v>
      </c>
      <c r="AQ47" s="11">
        <f t="shared" si="56"/>
        <v>-43.041200474190752</v>
      </c>
      <c r="AR47" s="11">
        <f t="shared" si="56"/>
        <v>-43.132640980038289</v>
      </c>
      <c r="AS47" s="11">
        <f t="shared" si="56"/>
        <v>-43.224893900264171</v>
      </c>
      <c r="AT47" s="11">
        <f t="shared" si="56"/>
        <v>-43.317905426339479</v>
      </c>
      <c r="AU47" s="11">
        <f t="shared" si="56"/>
        <v>-43.411623352532921</v>
      </c>
      <c r="AV47" s="11">
        <f t="shared" si="56"/>
        <v>-43.505997036621864</v>
      </c>
      <c r="AW47" s="11">
        <f t="shared" si="56"/>
        <v>-43.600977361485455</v>
      </c>
      <c r="AX47" s="11">
        <f t="shared" si="56"/>
        <v>-43.696516697560803</v>
      </c>
      <c r="AY47" s="11">
        <f t="shared" si="56"/>
        <v>-43.792568866144109</v>
      </c>
      <c r="AZ47" s="11">
        <f t="shared" si="56"/>
        <v>-43.889089103518138</v>
      </c>
      <c r="BA47" s="11">
        <f t="shared" si="56"/>
        <v>-43.986034025888983</v>
      </c>
      <c r="BB47" s="11">
        <f t="shared" si="56"/>
        <v>-44.08336159511407</v>
      </c>
      <c r="BC47" s="11">
        <f t="shared" si="56"/>
        <v>-44.181031085205042</v>
      </c>
      <c r="BD47" s="11">
        <f t="shared" si="56"/>
        <v>-44.279003049588489</v>
      </c>
      <c r="BE47" s="11">
        <f t="shared" si="56"/>
        <v>-44.377239289108381</v>
      </c>
      <c r="BF47" s="11">
        <f t="shared" si="56"/>
        <v>-44.475702820754321</v>
      </c>
      <c r="BG47" s="11">
        <f t="shared" si="56"/>
        <v>-44.574357847099982</v>
      </c>
      <c r="BH47" s="11">
        <f t="shared" si="56"/>
        <v>-44.673169726436235</v>
      </c>
      <c r="BI47" s="11">
        <f t="shared" si="56"/>
        <v>-44.772104943584338</v>
      </c>
      <c r="BJ47" s="11">
        <f t="shared" si="56"/>
        <v>-44.871131081374294</v>
      </c>
      <c r="BK47" s="11">
        <f t="shared" si="56"/>
        <v>-44.970216792774131</v>
      </c>
      <c r="BL47" s="11">
        <f t="shared" si="56"/>
        <v>-45.069331773655975</v>
      </c>
      <c r="BM47" s="11">
        <f t="shared" si="56"/>
        <v>-45.168446736185231</v>
      </c>
      <c r="BN47" s="11">
        <f t="shared" si="56"/>
        <v>-45.267533382819373</v>
      </c>
      <c r="BO47" s="11">
        <f t="shared" si="56"/>
        <v>-45.366564380903178</v>
      </c>
      <c r="BP47" s="11">
        <f t="shared" si="56"/>
        <v>-45.465513337847391</v>
      </c>
      <c r="BQ47" s="11">
        <f t="shared" si="56"/>
        <v>-45.564354776878396</v>
      </c>
      <c r="BR47" s="11">
        <f t="shared" si="56"/>
        <v>-45.663064113346181</v>
      </c>
      <c r="BS47" s="11">
        <f t="shared" ref="BS47:CL47" si="57">PV($F19,BS$9,1,0)+(PV($G$6,84-BS$9,1,0)/($G$6+1)^BS$9)</f>
        <v>-45.761617631578879</v>
      </c>
      <c r="BT47" s="11">
        <f t="shared" si="57"/>
        <v>-45.859992462271663</v>
      </c>
      <c r="BU47" s="11">
        <f t="shared" si="57"/>
        <v>-45.95816656039856</v>
      </c>
      <c r="BV47" s="11">
        <f t="shared" si="57"/>
        <v>-46.056118683635816</v>
      </c>
      <c r="BW47" s="11">
        <f t="shared" si="57"/>
        <v>-46.153828371285641</v>
      </c>
      <c r="BX47" s="11">
        <f t="shared" si="57"/>
        <v>-46.25127592368932</v>
      </c>
      <c r="BY47" s="11">
        <f t="shared" si="57"/>
        <v>-46.348442382119288</v>
      </c>
      <c r="BZ47" s="11">
        <f t="shared" si="57"/>
        <v>-46.445309509139435</v>
      </c>
      <c r="CA47" s="11">
        <f t="shared" si="57"/>
        <v>-46.54185976942356</v>
      </c>
      <c r="CB47" s="11">
        <f t="shared" si="57"/>
        <v>-46.638076311022033</v>
      </c>
      <c r="CC47" s="11">
        <f t="shared" si="57"/>
        <v>-46.733942947066623</v>
      </c>
      <c r="CD47" s="11">
        <f t="shared" si="57"/>
        <v>-46.829444137904112</v>
      </c>
      <c r="CE47" s="11">
        <f t="shared" si="57"/>
        <v>-46.924564973649261</v>
      </c>
      <c r="CF47" s="11">
        <f t="shared" si="57"/>
        <v>-47.019291157147784</v>
      </c>
      <c r="CG47" s="11">
        <f t="shared" si="57"/>
        <v>-47.113608987340577</v>
      </c>
      <c r="CH47" s="11">
        <f t="shared" si="57"/>
        <v>-47.207505343020145</v>
      </c>
      <c r="CI47" s="11">
        <f t="shared" si="57"/>
        <v>-47.300967666970756</v>
      </c>
      <c r="CJ47" s="11">
        <f t="shared" si="57"/>
        <v>-47.393983950483829</v>
      </c>
      <c r="CK47" s="11">
        <f t="shared" si="57"/>
        <v>-47.486542718240209</v>
      </c>
      <c r="CL47" s="11">
        <f t="shared" si="57"/>
        <v>-47.578633013551517</v>
      </c>
      <c r="CM47" s="11"/>
    </row>
    <row r="48" spans="7:91" hidden="1" x14ac:dyDescent="0.25">
      <c r="G48" s="11">
        <f t="shared" ref="G48:BR48" si="58">PV($F20,G$9,1,0)+(PV($G$6,84-G$9,1,0)/($G$6+1)^G$9)</f>
        <v>-40.906075813708128</v>
      </c>
      <c r="H48" s="11">
        <f t="shared" si="58"/>
        <v>-40.914047527361028</v>
      </c>
      <c r="I48" s="11">
        <f t="shared" si="58"/>
        <v>-40.925798351239827</v>
      </c>
      <c r="J48" s="11">
        <f t="shared" si="58"/>
        <v>-40.941195242337692</v>
      </c>
      <c r="K48" s="11">
        <f t="shared" si="58"/>
        <v>-40.960108644266128</v>
      </c>
      <c r="L48" s="11">
        <f t="shared" si="58"/>
        <v>-40.982412405909564</v>
      </c>
      <c r="M48" s="11">
        <f t="shared" si="58"/>
        <v>-41.007983701864966</v>
      </c>
      <c r="N48" s="11">
        <f t="shared" si="58"/>
        <v>-41.036702954628872</v>
      </c>
      <c r="O48" s="11">
        <f t="shared" si="58"/>
        <v>-41.068453758494513</v>
      </c>
      <c r="P48" s="11">
        <f t="shared" si="58"/>
        <v>-41.103122805123256</v>
      </c>
      <c r="Q48" s="11">
        <f t="shared" si="58"/>
        <v>-41.140599810754537</v>
      </c>
      <c r="R48" s="11">
        <f t="shared" si="58"/>
        <v>-41.180777445019828</v>
      </c>
      <c r="S48" s="11">
        <f t="shared" si="58"/>
        <v>-41.223551261326456</v>
      </c>
      <c r="T48" s="11">
        <f t="shared" si="58"/>
        <v>-41.268819628778104</v>
      </c>
      <c r="U48" s="11">
        <f t="shared" si="58"/>
        <v>-41.316483665599343</v>
      </c>
      <c r="V48" s="11">
        <f t="shared" si="58"/>
        <v>-41.366447174032132</v>
      </c>
      <c r="W48" s="11">
        <f t="shared" si="58"/>
        <v>-41.41861657667323</v>
      </c>
      <c r="X48" s="11">
        <f t="shared" si="58"/>
        <v>-41.47290085422177</v>
      </c>
      <c r="Y48" s="11">
        <f t="shared" si="58"/>
        <v>-41.529211484606904</v>
      </c>
      <c r="Z48" s="11">
        <f t="shared" si="58"/>
        <v>-41.587462383466359</v>
      </c>
      <c r="AA48" s="11">
        <f t="shared" si="58"/>
        <v>-41.647569845947018</v>
      </c>
      <c r="AB48" s="11">
        <f t="shared" si="58"/>
        <v>-41.709452489799304</v>
      </c>
      <c r="AC48" s="11">
        <f t="shared" si="58"/>
        <v>-41.773031199737872</v>
      </c>
      <c r="AD48" s="11">
        <f t="shared" si="58"/>
        <v>-41.838229073041688</v>
      </c>
      <c r="AE48" s="11">
        <f t="shared" si="58"/>
        <v>-41.904971366366695</v>
      </c>
      <c r="AF48" s="11">
        <f t="shared" si="58"/>
        <v>-41.973185443745692</v>
      </c>
      <c r="AG48" s="11">
        <f t="shared" si="58"/>
        <v>-42.042800725749537</v>
      </c>
      <c r="AH48" s="11">
        <f t="shared" si="58"/>
        <v>-42.113748639785143</v>
      </c>
      <c r="AI48" s="11">
        <f t="shared" si="58"/>
        <v>-42.185962571505939</v>
      </c>
      <c r="AJ48" s="11">
        <f t="shared" si="58"/>
        <v>-42.259377817310856</v>
      </c>
      <c r="AK48" s="11">
        <f t="shared" si="58"/>
        <v>-42.333931537908626</v>
      </c>
      <c r="AL48" s="11">
        <f t="shared" si="58"/>
        <v>-42.409562712924412</v>
      </c>
      <c r="AM48" s="11">
        <f t="shared" si="58"/>
        <v>-42.4862120965267</v>
      </c>
      <c r="AN48" s="11">
        <f t="shared" si="58"/>
        <v>-42.56382217405222</v>
      </c>
      <c r="AO48" s="11">
        <f t="shared" si="58"/>
        <v>-42.642337119607689</v>
      </c>
      <c r="AP48" s="11">
        <f t="shared" si="58"/>
        <v>-42.721702754627323</v>
      </c>
      <c r="AQ48" s="11">
        <f t="shared" si="58"/>
        <v>-42.801866507365517</v>
      </c>
      <c r="AR48" s="11">
        <f t="shared" si="58"/>
        <v>-42.882777373304691</v>
      </c>
      <c r="AS48" s="11">
        <f t="shared" si="58"/>
        <v>-42.964385876458465</v>
      </c>
      <c r="AT48" s="11">
        <f t="shared" si="58"/>
        <v>-43.046644031550912</v>
      </c>
      <c r="AU48" s="11">
        <f t="shared" si="58"/>
        <v>-43.129505307053151</v>
      </c>
      <c r="AV48" s="11">
        <f t="shared" si="58"/>
        <v>-43.212924589058503</v>
      </c>
      <c r="AW48" s="11">
        <f t="shared" si="58"/>
        <v>-43.296858145978391</v>
      </c>
      <c r="AX48" s="11">
        <f t="shared" si="58"/>
        <v>-43.381263594041002</v>
      </c>
      <c r="AY48" s="11">
        <f t="shared" si="58"/>
        <v>-43.466099863575621</v>
      </c>
      <c r="AZ48" s="11">
        <f t="shared" si="58"/>
        <v>-43.551327166065427</v>
      </c>
      <c r="BA48" s="11">
        <f t="shared" si="58"/>
        <v>-43.63690696195215</v>
      </c>
      <c r="BB48" s="11">
        <f t="shared" si="58"/>
        <v>-43.722801929176498</v>
      </c>
      <c r="BC48" s="11">
        <f t="shared" si="58"/>
        <v>-43.808975932438031</v>
      </c>
      <c r="BD48" s="11">
        <f t="shared" si="58"/>
        <v>-43.895393993159352</v>
      </c>
      <c r="BE48" s="11">
        <f t="shared" si="58"/>
        <v>-43.982022260138827</v>
      </c>
      <c r="BF48" s="11">
        <f t="shared" si="58"/>
        <v>-44.068827980877323</v>
      </c>
      <c r="BG48" s="11">
        <f t="shared" si="58"/>
        <v>-44.155779473563967</v>
      </c>
      <c r="BH48" s="11">
        <f t="shared" si="58"/>
        <v>-44.242846099706838</v>
      </c>
      <c r="BI48" s="11">
        <f t="shared" si="58"/>
        <v>-44.329998237394278</v>
      </c>
      <c r="BJ48" s="11">
        <f t="shared" si="58"/>
        <v>-44.417207255173501</v>
      </c>
      <c r="BK48" s="11">
        <f t="shared" si="58"/>
        <v>-44.504445486532539</v>
      </c>
      <c r="BL48" s="11">
        <f t="shared" si="58"/>
        <v>-44.591686204972781</v>
      </c>
      <c r="BM48" s="11">
        <f t="shared" si="58"/>
        <v>-44.678903599658888</v>
      </c>
      <c r="BN48" s="11">
        <f t="shared" si="58"/>
        <v>-44.76607275163375</v>
      </c>
      <c r="BO48" s="11">
        <f t="shared" si="58"/>
        <v>-44.853169610585873</v>
      </c>
      <c r="BP48" s="11">
        <f t="shared" si="58"/>
        <v>-44.940170972157311</v>
      </c>
      <c r="BQ48" s="11">
        <f t="shared" si="58"/>
        <v>-45.027054455780146</v>
      </c>
      <c r="BR48" s="11">
        <f t="shared" si="58"/>
        <v>-45.113798483029946</v>
      </c>
      <c r="BS48" s="11">
        <f t="shared" ref="BS48:CL48" si="59">PV($F20,BS$9,1,0)+(PV($G$6,84-BS$9,1,0)/($G$6+1)^BS$9)</f>
        <v>-45.200382256485092</v>
      </c>
      <c r="BT48" s="11">
        <f t="shared" si="59"/>
        <v>-45.286785739080429</v>
      </c>
      <c r="BU48" s="11">
        <f t="shared" si="59"/>
        <v>-45.372989633944798</v>
      </c>
      <c r="BV48" s="11">
        <f t="shared" si="59"/>
        <v>-45.458975364711534</v>
      </c>
      <c r="BW48" s="11">
        <f t="shared" si="59"/>
        <v>-45.544725056291675</v>
      </c>
      <c r="BX48" s="11">
        <f t="shared" si="59"/>
        <v>-45.630221516099624</v>
      </c>
      <c r="BY48" s="11">
        <f t="shared" si="59"/>
        <v>-45.715448215721203</v>
      </c>
      <c r="BZ48" s="11">
        <f t="shared" si="59"/>
        <v>-45.800389273014517</v>
      </c>
      <c r="CA48" s="11">
        <f t="shared" si="59"/>
        <v>-45.885029434633935</v>
      </c>
      <c r="CB48" s="11">
        <f t="shared" si="59"/>
        <v>-45.969354058967866</v>
      </c>
      <c r="CC48" s="11">
        <f t="shared" si="59"/>
        <v>-46.053349099481181</v>
      </c>
      <c r="CD48" s="11">
        <f t="shared" si="59"/>
        <v>-46.137001088453289</v>
      </c>
      <c r="CE48" s="11">
        <f t="shared" si="59"/>
        <v>-46.220297121103172</v>
      </c>
      <c r="CF48" s="11">
        <f t="shared" si="59"/>
        <v>-46.303224840092682</v>
      </c>
      <c r="CG48" s="11">
        <f t="shared" si="59"/>
        <v>-46.385772420399789</v>
      </c>
      <c r="CH48" s="11">
        <f t="shared" si="59"/>
        <v>-46.467928554553517</v>
      </c>
      <c r="CI48" s="11">
        <f t="shared" si="59"/>
        <v>-46.549682438222561</v>
      </c>
      <c r="CJ48" s="11">
        <f t="shared" si="59"/>
        <v>-46.631023756149624</v>
      </c>
      <c r="CK48" s="11">
        <f t="shared" si="59"/>
        <v>-46.711942668423788</v>
      </c>
      <c r="CL48" s="11">
        <f t="shared" si="59"/>
        <v>-46.792429797083578</v>
      </c>
      <c r="CM48" s="11"/>
    </row>
    <row r="49" spans="7:91" hidden="1" x14ac:dyDescent="0.25">
      <c r="G49" s="11">
        <f t="shared" ref="G49:BR49" si="60">PV($F21,G$9,1,0)+(PV($G$6,84-G$9,1,0)/($G$6+1)^G$9)</f>
        <v>-40.905591199248008</v>
      </c>
      <c r="H49" s="11">
        <f t="shared" si="60"/>
        <v>-40.912608712577047</v>
      </c>
      <c r="I49" s="11">
        <f t="shared" si="60"/>
        <v>-40.922950429292278</v>
      </c>
      <c r="J49" s="11">
        <f t="shared" si="60"/>
        <v>-40.936497643066879</v>
      </c>
      <c r="K49" s="11">
        <f t="shared" si="60"/>
        <v>-40.95313479893656</v>
      </c>
      <c r="L49" s="11">
        <f t="shared" si="60"/>
        <v>-40.972749418904762</v>
      </c>
      <c r="M49" s="11">
        <f t="shared" si="60"/>
        <v>-40.995232029198121</v>
      </c>
      <c r="N49" s="11">
        <f t="shared" si="60"/>
        <v>-41.020476089136622</v>
      </c>
      <c r="O49" s="11">
        <f t="shared" si="60"/>
        <v>-41.048377921584091</v>
      </c>
      <c r="P49" s="11">
        <f t="shared" si="60"/>
        <v>-41.078836644945312</v>
      </c>
      <c r="Q49" s="11">
        <f t="shared" si="60"/>
        <v>-41.111754106676528</v>
      </c>
      <c r="R49" s="11">
        <f t="shared" si="60"/>
        <v>-41.14703481827712</v>
      </c>
      <c r="S49" s="11">
        <f t="shared" si="60"/>
        <v>-41.184585891730592</v>
      </c>
      <c r="T49" s="11">
        <f t="shared" si="60"/>
        <v>-41.224316977363912</v>
      </c>
      <c r="U49" s="11">
        <f t="shared" si="60"/>
        <v>-41.266140203094864</v>
      </c>
      <c r="V49" s="11">
        <f t="shared" si="60"/>
        <v>-41.30997011503743</v>
      </c>
      <c r="W49" s="11">
        <f t="shared" si="60"/>
        <v>-41.355723619436347</v>
      </c>
      <c r="X49" s="11">
        <f t="shared" si="60"/>
        <v>-41.403319925902032</v>
      </c>
      <c r="Y49" s="11">
        <f t="shared" si="60"/>
        <v>-41.452680491918116</v>
      </c>
      <c r="Z49" s="11">
        <f t="shared" si="60"/>
        <v>-41.503728968594196</v>
      </c>
      <c r="AA49" s="11">
        <f t="shared" si="60"/>
        <v>-41.556391147636951</v>
      </c>
      <c r="AB49" s="11">
        <f t="shared" si="60"/>
        <v>-41.61059490951348</v>
      </c>
      <c r="AC49" s="11">
        <f t="shared" si="60"/>
        <v>-41.666270172781111</v>
      </c>
      <c r="AD49" s="11">
        <f t="shared" si="60"/>
        <v>-41.723348844558714</v>
      </c>
      <c r="AE49" s="11">
        <f t="shared" si="60"/>
        <v>-41.781764772114641</v>
      </c>
      <c r="AF49" s="11">
        <f t="shared" si="60"/>
        <v>-41.841453695547401</v>
      </c>
      <c r="AG49" s="11">
        <f t="shared" si="60"/>
        <v>-41.902353201535504</v>
      </c>
      <c r="AH49" s="11">
        <f t="shared" si="60"/>
        <v>-41.964402678133155</v>
      </c>
      <c r="AI49" s="11">
        <f t="shared" si="60"/>
        <v>-42.027543270589462</v>
      </c>
      <c r="AJ49" s="11">
        <f t="shared" si="60"/>
        <v>-42.091717838168826</v>
      </c>
      <c r="AK49" s="11">
        <f t="shared" si="60"/>
        <v>-42.156870911950946</v>
      </c>
      <c r="AL49" s="11">
        <f t="shared" si="60"/>
        <v>-42.222948653589214</v>
      </c>
      <c r="AM49" s="11">
        <f t="shared" si="60"/>
        <v>-42.289898815006623</v>
      </c>
      <c r="AN49" s="11">
        <f t="shared" si="60"/>
        <v>-42.357670699009049</v>
      </c>
      <c r="AO49" s="11">
        <f t="shared" si="60"/>
        <v>-42.426215120795845</v>
      </c>
      <c r="AP49" s="11">
        <f t="shared" si="60"/>
        <v>-42.495484370348315</v>
      </c>
      <c r="AQ49" s="11">
        <f t="shared" si="60"/>
        <v>-42.56543217567701</v>
      </c>
      <c r="AR49" s="11">
        <f t="shared" si="60"/>
        <v>-42.636013666909136</v>
      </c>
      <c r="AS49" s="11">
        <f t="shared" si="60"/>
        <v>-42.707185341197857</v>
      </c>
      <c r="AT49" s="11">
        <f t="shared" si="60"/>
        <v>-42.77890502843546</v>
      </c>
      <c r="AU49" s="11">
        <f t="shared" si="60"/>
        <v>-42.851131857753089</v>
      </c>
      <c r="AV49" s="11">
        <f t="shared" si="60"/>
        <v>-42.923826224789693</v>
      </c>
      <c r="AW49" s="11">
        <f t="shared" si="60"/>
        <v>-42.996949759713495</v>
      </c>
      <c r="AX49" s="11">
        <f t="shared" si="60"/>
        <v>-43.070465295979531</v>
      </c>
      <c r="AY49" s="11">
        <f t="shared" si="60"/>
        <v>-43.144336839807252</v>
      </c>
      <c r="AZ49" s="11">
        <f t="shared" si="60"/>
        <v>-43.218529540362262</v>
      </c>
      <c r="BA49" s="11">
        <f t="shared" si="60"/>
        <v>-43.293009660627021</v>
      </c>
      <c r="BB49" s="11">
        <f t="shared" si="60"/>
        <v>-43.36774454894524</v>
      </c>
      <c r="BC49" s="11">
        <f t="shared" si="60"/>
        <v>-43.442702611225222</v>
      </c>
      <c r="BD49" s="11">
        <f t="shared" si="60"/>
        <v>-43.517853283787915</v>
      </c>
      <c r="BE49" s="11">
        <f t="shared" si="60"/>
        <v>-43.593167006845128</v>
      </c>
      <c r="BF49" s="11">
        <f t="shared" si="60"/>
        <v>-43.66861519859453</v>
      </c>
      <c r="BG49" s="11">
        <f t="shared" si="60"/>
        <v>-43.744170229917458</v>
      </c>
      <c r="BH49" s="11">
        <f t="shared" si="60"/>
        <v>-43.819805399666613</v>
      </c>
      <c r="BI49" s="11">
        <f t="shared" si="60"/>
        <v>-43.89549491053036</v>
      </c>
      <c r="BJ49" s="11">
        <f t="shared" si="60"/>
        <v>-43.971213845461222</v>
      </c>
      <c r="BK49" s="11">
        <f t="shared" si="60"/>
        <v>-44.046938144655869</v>
      </c>
      <c r="BL49" s="11">
        <f t="shared" si="60"/>
        <v>-44.122644583074624</v>
      </c>
      <c r="BM49" s="11">
        <f t="shared" si="60"/>
        <v>-44.198310748488403</v>
      </c>
      <c r="BN49" s="11">
        <f t="shared" si="60"/>
        <v>-44.273915020041649</v>
      </c>
      <c r="BO49" s="11">
        <f t="shared" si="60"/>
        <v>-44.349436547319598</v>
      </c>
      <c r="BP49" s="11">
        <f t="shared" si="60"/>
        <v>-44.424855229908871</v>
      </c>
      <c r="BQ49" s="11">
        <f t="shared" si="60"/>
        <v>-44.500151697440472</v>
      </c>
      <c r="BR49" s="11">
        <f t="shared" si="60"/>
        <v>-44.575307290104355</v>
      </c>
      <c r="BS49" s="11">
        <f t="shared" ref="BS49:CL49" si="61">PV($F21,BS$9,1,0)+(PV($G$6,84-BS$9,1,0)/($G$6+1)^BS$9)</f>
        <v>-44.65030403962529</v>
      </c>
      <c r="BT49" s="11">
        <f t="shared" si="61"/>
        <v>-44.725124650689565</v>
      </c>
      <c r="BU49" s="11">
        <f t="shared" si="61"/>
        <v>-44.7997524828127</v>
      </c>
      <c r="BV49" s="11">
        <f t="shared" si="61"/>
        <v>-44.874171532638201</v>
      </c>
      <c r="BW49" s="11">
        <f t="shared" si="61"/>
        <v>-44.948366416657905</v>
      </c>
      <c r="BX49" s="11">
        <f t="shared" si="61"/>
        <v>-45.022322354344347</v>
      </c>
      <c r="BY49" s="11">
        <f t="shared" si="61"/>
        <v>-45.096025151686113</v>
      </c>
      <c r="BZ49" s="11">
        <f t="shared" si="61"/>
        <v>-45.169461185117079</v>
      </c>
      <c r="CA49" s="11">
        <f t="shared" si="61"/>
        <v>-45.242617385830776</v>
      </c>
      <c r="CB49" s="11">
        <f t="shared" si="61"/>
        <v>-45.315481224471299</v>
      </c>
      <c r="CC49" s="11">
        <f t="shared" si="61"/>
        <v>-45.388040696192178</v>
      </c>
      <c r="CD49" s="11">
        <f t="shared" si="61"/>
        <v>-45.460284306075181</v>
      </c>
      <c r="CE49" s="11">
        <f t="shared" si="61"/>
        <v>-45.532201054900845</v>
      </c>
      <c r="CF49" s="11">
        <f t="shared" si="61"/>
        <v>-45.603780425262777</v>
      </c>
      <c r="CG49" s="11">
        <f t="shared" si="61"/>
        <v>-45.675012368018173</v>
      </c>
      <c r="CH49" s="11">
        <f t="shared" si="61"/>
        <v>-45.74588728906685</v>
      </c>
      <c r="CI49" s="11">
        <f t="shared" si="61"/>
        <v>-45.816396036451437</v>
      </c>
      <c r="CJ49" s="11">
        <f t="shared" si="61"/>
        <v>-45.886529887771516</v>
      </c>
      <c r="CK49" s="11">
        <f t="shared" si="61"/>
        <v>-45.956280537904526</v>
      </c>
      <c r="CL49" s="11">
        <f t="shared" si="61"/>
        <v>-46.025640087026687</v>
      </c>
      <c r="CM49" s="11"/>
    </row>
    <row r="50" spans="7:91" hidden="1" x14ac:dyDescent="0.25">
      <c r="G50" s="11">
        <f t="shared" ref="G50:BR50" si="62">PV($F22,G$9,1,0)+(PV($G$6,84-G$9,1,0)/($G$6+1)^G$9)</f>
        <v>-40.905107061536</v>
      </c>
      <c r="H50" s="11">
        <f t="shared" si="62"/>
        <v>-40.91117178226223</v>
      </c>
      <c r="I50" s="11">
        <f t="shared" si="62"/>
        <v>-40.920107162918875</v>
      </c>
      <c r="J50" s="11">
        <f t="shared" si="62"/>
        <v>-40.931809245147207</v>
      </c>
      <c r="K50" s="11">
        <f t="shared" si="62"/>
        <v>-40.946176866244919</v>
      </c>
      <c r="L50" s="11">
        <f t="shared" si="62"/>
        <v>-40.963111592377047</v>
      </c>
      <c r="M50" s="11">
        <f t="shared" si="62"/>
        <v>-40.982517653284589</v>
      </c>
      <c r="N50" s="11">
        <f t="shared" si="62"/>
        <v>-41.004301878458769</v>
      </c>
      <c r="O50" s="11">
        <f t="shared" si="62"/>
        <v>-41.028373634748725</v>
      </c>
      <c r="P50" s="11">
        <f t="shared" si="62"/>
        <v>-41.054644765372615</v>
      </c>
      <c r="Q50" s="11">
        <f t="shared" si="62"/>
        <v>-41.08302953030077</v>
      </c>
      <c r="R50" s="11">
        <f t="shared" si="62"/>
        <v>-41.113444547982034</v>
      </c>
      <c r="S50" s="11">
        <f t="shared" si="62"/>
        <v>-41.145808738383828</v>
      </c>
      <c r="T50" s="11">
        <f t="shared" si="62"/>
        <v>-41.180043267317679</v>
      </c>
      <c r="U50" s="11">
        <f t="shared" si="62"/>
        <v>-41.216071492022223</v>
      </c>
      <c r="V50" s="11">
        <f t="shared" si="62"/>
        <v>-41.253818907976679</v>
      </c>
      <c r="W50" s="11">
        <f t="shared" si="62"/>
        <v>-41.293213096917796</v>
      </c>
      <c r="X50" s="11">
        <f t="shared" si="62"/>
        <v>-41.334183676034485</v>
      </c>
      <c r="Y50" s="11">
        <f t="shared" si="62"/>
        <v>-41.376662248314318</v>
      </c>
      <c r="Z50" s="11">
        <f t="shared" si="62"/>
        <v>-41.420582354017029</v>
      </c>
      <c r="AA50" s="11">
        <f t="shared" si="62"/>
        <v>-41.465879423250449</v>
      </c>
      <c r="AB50" s="11">
        <f t="shared" si="62"/>
        <v>-41.512490729624957</v>
      </c>
      <c r="AC50" s="11">
        <f t="shared" si="62"/>
        <v>-41.560355344962822</v>
      </c>
      <c r="AD50" s="11">
        <f t="shared" si="62"/>
        <v>-41.609414095039824</v>
      </c>
      <c r="AE50" s="11">
        <f t="shared" si="62"/>
        <v>-41.659609516336083</v>
      </c>
      <c r="AF50" s="11">
        <f t="shared" si="62"/>
        <v>-41.710885813774794</v>
      </c>
      <c r="AG50" s="11">
        <f t="shared" si="62"/>
        <v>-41.763188819426645</v>
      </c>
      <c r="AH50" s="11">
        <f t="shared" si="62"/>
        <v>-41.816465952159305</v>
      </c>
      <c r="AI50" s="11">
        <f t="shared" si="62"/>
        <v>-41.870666178211152</v>
      </c>
      <c r="AJ50" s="11">
        <f t="shared" si="62"/>
        <v>-41.925739972669014</v>
      </c>
      <c r="AK50" s="11">
        <f t="shared" si="62"/>
        <v>-41.981639281830162</v>
      </c>
      <c r="AL50" s="11">
        <f t="shared" si="62"/>
        <v>-42.038317486429357</v>
      </c>
      <c r="AM50" s="11">
        <f t="shared" si="62"/>
        <v>-42.095729365711691</v>
      </c>
      <c r="AN50" s="11">
        <f t="shared" si="62"/>
        <v>-42.153831062333005</v>
      </c>
      <c r="AO50" s="11">
        <f t="shared" si="62"/>
        <v>-42.212580048069526</v>
      </c>
      <c r="AP50" s="11">
        <f t="shared" si="62"/>
        <v>-42.271935090319005</v>
      </c>
      <c r="AQ50" s="11">
        <f t="shared" si="62"/>
        <v>-42.331856219375993</v>
      </c>
      <c r="AR50" s="11">
        <f t="shared" si="62"/>
        <v>-42.392304696464294</v>
      </c>
      <c r="AS50" s="11">
        <f t="shared" si="62"/>
        <v>-42.453242982509778</v>
      </c>
      <c r="AT50" s="11">
        <f t="shared" si="62"/>
        <v>-42.514634707637427</v>
      </c>
      <c r="AU50" s="11">
        <f t="shared" si="62"/>
        <v>-42.576444641376504</v>
      </c>
      <c r="AV50" s="11">
        <f t="shared" si="62"/>
        <v>-42.63863866355851</v>
      </c>
      <c r="AW50" s="11">
        <f t="shared" si="62"/>
        <v>-42.701183735892172</v>
      </c>
      <c r="AX50" s="11">
        <f t="shared" si="62"/>
        <v>-42.76404787420104</v>
      </c>
      <c r="AY50" s="11">
        <f t="shared" si="62"/>
        <v>-42.827200121308657</v>
      </c>
      <c r="AZ50" s="11">
        <f t="shared" si="62"/>
        <v>-42.890610520557281</v>
      </c>
      <c r="BA50" s="11">
        <f t="shared" si="62"/>
        <v>-42.954250089945774</v>
      </c>
      <c r="BB50" s="11">
        <f t="shared" si="62"/>
        <v>-43.018090796873466</v>
      </c>
      <c r="BC50" s="11">
        <f t="shared" si="62"/>
        <v>-43.082105533475968</v>
      </c>
      <c r="BD50" s="11">
        <f t="shared" si="62"/>
        <v>-43.146268092540367</v>
      </c>
      <c r="BE50" s="11">
        <f t="shared" si="62"/>
        <v>-43.210553143986438</v>
      </c>
      <c r="BF50" s="11">
        <f t="shared" si="62"/>
        <v>-43.274936211901796</v>
      </c>
      <c r="BG50" s="11">
        <f t="shared" si="62"/>
        <v>-43.339393652118176</v>
      </c>
      <c r="BH50" s="11">
        <f t="shared" si="62"/>
        <v>-43.403902630317269</v>
      </c>
      <c r="BI50" s="11">
        <f t="shared" si="62"/>
        <v>-43.468441100653891</v>
      </c>
      <c r="BJ50" s="11">
        <f t="shared" si="62"/>
        <v>-43.532987784885357</v>
      </c>
      <c r="BK50" s="11">
        <f t="shared" si="62"/>
        <v>-43.597522151995413</v>
      </c>
      <c r="BL50" s="11">
        <f t="shared" si="62"/>
        <v>-43.662024398302009</v>
      </c>
      <c r="BM50" s="11">
        <f t="shared" si="62"/>
        <v>-43.726475428037766</v>
      </c>
      <c r="BN50" s="11">
        <f t="shared" si="62"/>
        <v>-43.790856834392933</v>
      </c>
      <c r="BO50" s="11">
        <f t="shared" si="62"/>
        <v>-43.855150881010175</v>
      </c>
      <c r="BP50" s="11">
        <f t="shared" si="62"/>
        <v>-43.919340483921232</v>
      </c>
      <c r="BQ50" s="11">
        <f t="shared" si="62"/>
        <v>-43.983409193915513</v>
      </c>
      <c r="BR50" s="11">
        <f t="shared" si="62"/>
        <v>-44.0473411793309</v>
      </c>
      <c r="BS50" s="11">
        <f t="shared" ref="BS50:CL50" si="63">PV($F22,BS$9,1,0)+(PV($G$6,84-BS$9,1,0)/($G$6+1)^BS$9)</f>
        <v>-44.111121209257362</v>
      </c>
      <c r="BT50" s="11">
        <f t="shared" si="63"/>
        <v>-44.174734637144027</v>
      </c>
      <c r="BU50" s="11">
        <f t="shared" si="63"/>
        <v>-44.238167384800576</v>
      </c>
      <c r="BV50" s="11">
        <f t="shared" si="63"/>
        <v>-44.301405926784312</v>
      </c>
      <c r="BW50" s="11">
        <f t="shared" si="63"/>
        <v>-44.364437275163887</v>
      </c>
      <c r="BX50" s="11">
        <f t="shared" si="63"/>
        <v>-44.427248964651561</v>
      </c>
      <c r="BY50" s="11">
        <f t="shared" si="63"/>
        <v>-44.489829038095216</v>
      </c>
      <c r="BZ50" s="11">
        <f t="shared" si="63"/>
        <v>-44.552166032322539</v>
      </c>
      <c r="CA50" s="11">
        <f t="shared" si="63"/>
        <v>-44.614248964328866</v>
      </c>
      <c r="CB50" s="11">
        <f t="shared" si="63"/>
        <v>-44.676067317801333</v>
      </c>
      <c r="CC50" s="11">
        <f t="shared" si="63"/>
        <v>-44.737611029971418</v>
      </c>
      <c r="CD50" s="11">
        <f t="shared" si="63"/>
        <v>-44.7988704787887</v>
      </c>
      <c r="CE50" s="11">
        <f t="shared" si="63"/>
        <v>-44.859836470408133</v>
      </c>
      <c r="CF50" s="11">
        <f t="shared" si="63"/>
        <v>-44.920500226984231</v>
      </c>
      <c r="CG50" s="11">
        <f t="shared" si="63"/>
        <v>-44.980853374764692</v>
      </c>
      <c r="CH50" s="11">
        <f t="shared" si="63"/>
        <v>-45.040887932477006</v>
      </c>
      <c r="CI50" s="11">
        <f t="shared" si="63"/>
        <v>-45.100596300001115</v>
      </c>
      <c r="CJ50" s="11">
        <f t="shared" si="63"/>
        <v>-45.159971247321785</v>
      </c>
      <c r="CK50" s="11">
        <f t="shared" si="63"/>
        <v>-45.219005903754066</v>
      </c>
      <c r="CL50" s="11">
        <f t="shared" si="63"/>
        <v>-45.277693747435954</v>
      </c>
      <c r="CM50" s="11"/>
    </row>
    <row r="51" spans="7:91" hidden="1" x14ac:dyDescent="0.25">
      <c r="G51" s="11">
        <f t="shared" ref="G51:BR51" si="64">PV($F23,G$9,1,0)+(PV($G$6,84-G$9,1,0)/($G$6+1)^G$9)</f>
        <v>-40.904623399868939</v>
      </c>
      <c r="H51" s="11">
        <f t="shared" si="64"/>
        <v>-40.909736732945696</v>
      </c>
      <c r="I51" s="11">
        <f t="shared" si="64"/>
        <v>-40.917268541840116</v>
      </c>
      <c r="J51" s="11">
        <f t="shared" si="64"/>
        <v>-40.927130024899661</v>
      </c>
      <c r="K51" s="11">
        <f t="shared" si="64"/>
        <v>-40.939234799438054</v>
      </c>
      <c r="L51" s="11">
        <f t="shared" si="64"/>
        <v>-40.953498843244901</v>
      </c>
      <c r="M51" s="11">
        <f t="shared" si="64"/>
        <v>-40.969840437421688</v>
      </c>
      <c r="N51" s="11">
        <f t="shared" si="64"/>
        <v>-40.9881801105157</v>
      </c>
      <c r="O51" s="11">
        <f t="shared" si="64"/>
        <v>-41.008440583922834</v>
      </c>
      <c r="P51" s="11">
        <f t="shared" si="64"/>
        <v>-41.030546718532506</v>
      </c>
      <c r="Q51" s="11">
        <f t="shared" si="64"/>
        <v>-41.054425462586707</v>
      </c>
      <c r="R51" s="11">
        <f t="shared" si="64"/>
        <v>-41.080005800727243</v>
      </c>
      <c r="S51" s="11">
        <f t="shared" si="64"/>
        <v>-41.107218704204868</v>
      </c>
      <c r="T51" s="11">
        <f t="shared" si="64"/>
        <v>-41.13599708222506</v>
      </c>
      <c r="U51" s="11">
        <f t="shared" si="64"/>
        <v>-41.166275734405524</v>
      </c>
      <c r="V51" s="11">
        <f t="shared" si="64"/>
        <v>-41.197991304321015</v>
      </c>
      <c r="W51" s="11">
        <f t="shared" si="64"/>
        <v>-41.231082234111739</v>
      </c>
      <c r="X51" s="11">
        <f t="shared" si="64"/>
        <v>-41.265488720131891</v>
      </c>
      <c r="Y51" s="11">
        <f t="shared" si="64"/>
        <v>-41.301152669615682</v>
      </c>
      <c r="Z51" s="11">
        <f t="shared" si="64"/>
        <v>-41.338017658338323</v>
      </c>
      <c r="AA51" s="11">
        <f t="shared" si="64"/>
        <v>-41.376028889250236</v>
      </c>
      <c r="AB51" s="11">
        <f t="shared" si="64"/>
        <v>-41.415133152063049</v>
      </c>
      <c r="AC51" s="11">
        <f t="shared" si="64"/>
        <v>-41.455278783766396</v>
      </c>
      <c r="AD51" s="11">
        <f t="shared" si="64"/>
        <v>-41.49641563005521</v>
      </c>
      <c r="AE51" s="11">
        <f t="shared" si="64"/>
        <v>-41.538495007647072</v>
      </c>
      <c r="AF51" s="11">
        <f t="shared" si="64"/>
        <v>-41.581469667470529</v>
      </c>
      <c r="AG51" s="11">
        <f t="shared" si="64"/>
        <v>-41.625293758704643</v>
      </c>
      <c r="AH51" s="11">
        <f t="shared" si="64"/>
        <v>-41.669922793651374</v>
      </c>
      <c r="AI51" s="11">
        <f t="shared" si="64"/>
        <v>-41.715313613422133</v>
      </c>
      <c r="AJ51" s="11">
        <f t="shared" si="64"/>
        <v>-41.761424354420697</v>
      </c>
      <c r="AK51" s="11">
        <f t="shared" si="64"/>
        <v>-41.808214415604766</v>
      </c>
      <c r="AL51" s="11">
        <f t="shared" si="64"/>
        <v>-41.85564442650896</v>
      </c>
      <c r="AM51" s="11">
        <f t="shared" si="64"/>
        <v>-41.903676216012386</v>
      </c>
      <c r="AN51" s="11">
        <f t="shared" si="64"/>
        <v>-41.952272781834253</v>
      </c>
      <c r="AO51" s="11">
        <f t="shared" si="64"/>
        <v>-42.00139826074146</v>
      </c>
      <c r="AP51" s="11">
        <f t="shared" si="64"/>
        <v>-42.051017899452205</v>
      </c>
      <c r="AQ51" s="11">
        <f t="shared" si="64"/>
        <v>-42.101098026220313</v>
      </c>
      <c r="AR51" s="11">
        <f t="shared" si="64"/>
        <v>-42.151606023085115</v>
      </c>
      <c r="AS51" s="11">
        <f t="shared" si="64"/>
        <v>-42.202510298771898</v>
      </c>
      <c r="AT51" s="11">
        <f t="shared" si="64"/>
        <v>-42.253780262228744</v>
      </c>
      <c r="AU51" s="11">
        <f t="shared" si="64"/>
        <v>-42.305386296785315</v>
      </c>
      <c r="AV51" s="11">
        <f t="shared" si="64"/>
        <v>-42.35729973491987</v>
      </c>
      <c r="AW51" s="11">
        <f t="shared" si="64"/>
        <v>-42.409492833620867</v>
      </c>
      <c r="AX51" s="11">
        <f t="shared" si="64"/>
        <v>-42.461938750329907</v>
      </c>
      <c r="AY51" s="11">
        <f t="shared" si="64"/>
        <v>-42.514611519453005</v>
      </c>
      <c r="AZ51" s="11">
        <f t="shared" si="64"/>
        <v>-42.567486029427542</v>
      </c>
      <c r="BA51" s="11">
        <f t="shared" si="64"/>
        <v>-42.620538000332303</v>
      </c>
      <c r="BB51" s="11">
        <f t="shared" si="64"/>
        <v>-42.673743962028666</v>
      </c>
      <c r="BC51" s="11">
        <f t="shared" si="64"/>
        <v>-42.727081232820844</v>
      </c>
      <c r="BD51" s="11">
        <f t="shared" si="64"/>
        <v>-42.780527898623561</v>
      </c>
      <c r="BE51" s="11">
        <f t="shared" si="64"/>
        <v>-42.834062792625879</v>
      </c>
      <c r="BF51" s="11">
        <f t="shared" si="64"/>
        <v>-42.887665475439952</v>
      </c>
      <c r="BG51" s="11">
        <f t="shared" si="64"/>
        <v>-42.941316215723702</v>
      </c>
      <c r="BH51" s="11">
        <f t="shared" si="64"/>
        <v>-42.994995971267002</v>
      </c>
      <c r="BI51" s="11">
        <f t="shared" si="64"/>
        <v>-43.048686370530575</v>
      </c>
      <c r="BJ51" s="11">
        <f t="shared" si="64"/>
        <v>-43.102369694627804</v>
      </c>
      <c r="BK51" s="11">
        <f t="shared" si="64"/>
        <v>-43.15602885973906</v>
      </c>
      <c r="BL51" s="11">
        <f t="shared" si="64"/>
        <v>-43.20964739994912</v>
      </c>
      <c r="BM51" s="11">
        <f t="shared" si="64"/>
        <v>-43.263209450497818</v>
      </c>
      <c r="BN51" s="11">
        <f t="shared" si="64"/>
        <v>-43.316699731434817</v>
      </c>
      <c r="BO51" s="11">
        <f t="shared" si="64"/>
        <v>-43.370103531669201</v>
      </c>
      <c r="BP51" s="11">
        <f t="shared" si="64"/>
        <v>-43.423406693405013</v>
      </c>
      <c r="BQ51" s="11">
        <f t="shared" si="64"/>
        <v>-43.476595596953914</v>
      </c>
      <c r="BR51" s="11">
        <f t="shared" si="64"/>
        <v>-43.52965714591646</v>
      </c>
      <c r="BS51" s="11">
        <f t="shared" ref="BS51:CL51" si="65">PV($F23,BS$9,1,0)+(PV($G$6,84-BS$9,1,0)/($G$6+1)^BS$9)</f>
        <v>-43.582578752723641</v>
      </c>
      <c r="BT51" s="11">
        <f t="shared" si="65"/>
        <v>-43.635348324530383</v>
      </c>
      <c r="BU51" s="11">
        <f t="shared" si="65"/>
        <v>-43.687954249453078</v>
      </c>
      <c r="BV51" s="11">
        <f t="shared" si="65"/>
        <v>-43.740385383143263</v>
      </c>
      <c r="BW51" s="11">
        <f t="shared" si="65"/>
        <v>-43.79263103568988</v>
      </c>
      <c r="BX51" s="11">
        <f t="shared" si="65"/>
        <v>-43.844680958842446</v>
      </c>
      <c r="BY51" s="11">
        <f t="shared" si="65"/>
        <v>-43.896525333547849</v>
      </c>
      <c r="BZ51" s="11">
        <f t="shared" si="65"/>
        <v>-43.948154757793802</v>
      </c>
      <c r="CA51" s="11">
        <f t="shared" si="65"/>
        <v>-43.999560234751527</v>
      </c>
      <c r="CB51" s="11">
        <f t="shared" si="65"/>
        <v>-44.050733161211241</v>
      </c>
      <c r="CC51" s="11">
        <f t="shared" si="65"/>
        <v>-44.101665316303382</v>
      </c>
      <c r="CD51" s="11">
        <f t="shared" si="65"/>
        <v>-44.152348850499259</v>
      </c>
      <c r="CE51" s="11">
        <f t="shared" si="65"/>
        <v>-44.202776274884492</v>
      </c>
      <c r="CF51" s="11">
        <f t="shared" si="65"/>
        <v>-44.252940450699136</v>
      </c>
      <c r="CG51" s="11">
        <f t="shared" si="65"/>
        <v>-44.302834579138249</v>
      </c>
      <c r="CH51" s="11">
        <f t="shared" si="65"/>
        <v>-44.352452191406947</v>
      </c>
      <c r="CI51" s="11">
        <f t="shared" si="65"/>
        <v>-44.401787139023988</v>
      </c>
      <c r="CJ51" s="11">
        <f t="shared" si="65"/>
        <v>-44.450833584368247</v>
      </c>
      <c r="CK51" s="11">
        <f t="shared" si="65"/>
        <v>-44.499585991462361</v>
      </c>
      <c r="CL51" s="11">
        <f t="shared" si="65"/>
        <v>-44.548039116988143</v>
      </c>
      <c r="CM51" s="11"/>
    </row>
    <row r="52" spans="7:91" hidden="1" x14ac:dyDescent="0.25">
      <c r="G52" s="11">
        <f t="shared" ref="G52:BR52" si="66">PV($F24,G$9,1,0)+(PV($G$6,84-G$9,1,0)/($G$6+1)^G$9)</f>
        <v>-40.904140213545055</v>
      </c>
      <c r="H52" s="11">
        <f t="shared" si="66"/>
        <v>-40.9083035611648</v>
      </c>
      <c r="I52" s="11">
        <f t="shared" si="66"/>
        <v>-40.914434555804831</v>
      </c>
      <c r="J52" s="11">
        <f t="shared" si="66"/>
        <v>-40.922459958719656</v>
      </c>
      <c r="K52" s="11">
        <f t="shared" si="66"/>
        <v>-40.932308551927875</v>
      </c>
      <c r="L52" s="11">
        <f t="shared" si="66"/>
        <v>-40.943911088752387</v>
      </c>
      <c r="M52" s="11">
        <f t="shared" si="66"/>
        <v>-40.9572002454954</v>
      </c>
      <c r="N52" s="11">
        <f t="shared" si="66"/>
        <v>-40.972110574223315</v>
      </c>
      <c r="O52" s="11">
        <f t="shared" si="66"/>
        <v>-40.988578456636517</v>
      </c>
      <c r="P52" s="11">
        <f t="shared" si="66"/>
        <v>-41.006542059000928</v>
      </c>
      <c r="Q52" s="11">
        <f t="shared" si="66"/>
        <v>-41.025941288117139</v>
      </c>
      <c r="R52" s="11">
        <f t="shared" si="66"/>
        <v>-41.046717748304651</v>
      </c>
      <c r="S52" s="11">
        <f t="shared" si="66"/>
        <v>-41.068814699378613</v>
      </c>
      <c r="T52" s="11">
        <f t="shared" si="66"/>
        <v>-41.09217701559713</v>
      </c>
      <c r="U52" s="11">
        <f t="shared" si="66"/>
        <v>-41.116751145557672</v>
      </c>
      <c r="V52" s="11">
        <f t="shared" si="66"/>
        <v>-41.14248507302166</v>
      </c>
      <c r="W52" s="11">
        <f t="shared" si="66"/>
        <v>-41.169328278646333</v>
      </c>
      <c r="X52" s="11">
        <f t="shared" si="66"/>
        <v>-41.197231702604313</v>
      </c>
      <c r="Y52" s="11">
        <f t="shared" si="66"/>
        <v>-41.226147708070584</v>
      </c>
      <c r="Z52" s="11">
        <f t="shared" si="66"/>
        <v>-41.25603004555812</v>
      </c>
      <c r="AA52" s="11">
        <f t="shared" si="66"/>
        <v>-41.286833818082954</v>
      </c>
      <c r="AB52" s="11">
        <f t="shared" si="66"/>
        <v>-41.318515447140456</v>
      </c>
      <c r="AC52" s="11">
        <f t="shared" si="66"/>
        <v>-41.35103263947466</v>
      </c>
      <c r="AD52" s="11">
        <f t="shared" si="66"/>
        <v>-41.38434435462311</v>
      </c>
      <c r="AE52" s="11">
        <f t="shared" si="66"/>
        <v>-41.418410773219691</v>
      </c>
      <c r="AF52" s="11">
        <f t="shared" si="66"/>
        <v>-41.453193266038937</v>
      </c>
      <c r="AG52" s="11">
        <f t="shared" si="66"/>
        <v>-41.48865436376488</v>
      </c>
      <c r="AH52" s="11">
        <f t="shared" si="66"/>
        <v>-41.524757727468497</v>
      </c>
      <c r="AI52" s="11">
        <f t="shared" si="66"/>
        <v>-41.561468119777928</v>
      </c>
      <c r="AJ52" s="11">
        <f t="shared" si="66"/>
        <v>-41.598751376725772</v>
      </c>
      <c r="AK52" s="11">
        <f t="shared" si="66"/>
        <v>-41.636574380258601</v>
      </c>
      <c r="AL52" s="11">
        <f t="shared" si="66"/>
        <v>-41.674905031393649</v>
      </c>
      <c r="AM52" s="11">
        <f t="shared" si="66"/>
        <v>-41.713712224008205</v>
      </c>
      <c r="AN52" s="11">
        <f t="shared" si="66"/>
        <v>-41.752965819247677</v>
      </c>
      <c r="AO52" s="11">
        <f t="shared" si="66"/>
        <v>-41.792636620538218</v>
      </c>
      <c r="AP52" s="11">
        <f t="shared" si="66"/>
        <v>-41.832696349190513</v>
      </c>
      <c r="AQ52" s="11">
        <f t="shared" si="66"/>
        <v>-41.873117620581375</v>
      </c>
      <c r="AR52" s="11">
        <f t="shared" si="66"/>
        <v>-41.913873920900151</v>
      </c>
      <c r="AS52" s="11">
        <f t="shared" si="66"/>
        <v>-41.954939584447246</v>
      </c>
      <c r="AT52" s="11">
        <f t="shared" si="66"/>
        <v>-41.996289771472306</v>
      </c>
      <c r="AU52" s="11">
        <f t="shared" si="66"/>
        <v>-42.037900446539901</v>
      </c>
      <c r="AV52" s="11">
        <f t="shared" si="66"/>
        <v>-42.079748357410885</v>
      </c>
      <c r="AW52" s="11">
        <f t="shared" si="66"/>
        <v>-42.121811014427635</v>
      </c>
      <c r="AX52" s="11">
        <f t="shared" si="66"/>
        <v>-42.16406667039189</v>
      </c>
      <c r="AY52" s="11">
        <f t="shared" si="66"/>
        <v>-42.20649430092412</v>
      </c>
      <c r="AZ52" s="11">
        <f t="shared" si="66"/>
        <v>-42.249073585293289</v>
      </c>
      <c r="BA52" s="11">
        <f t="shared" si="66"/>
        <v>-42.29178488770664</v>
      </c>
      <c r="BB52" s="11">
        <f t="shared" si="66"/>
        <v>-42.334609239048916</v>
      </c>
      <c r="BC52" s="11">
        <f t="shared" si="66"/>
        <v>-42.377528319060751</v>
      </c>
      <c r="BD52" s="11">
        <f t="shared" si="66"/>
        <v>-42.420524438946515</v>
      </c>
      <c r="BE52" s="11">
        <f t="shared" si="66"/>
        <v>-42.463580524401571</v>
      </c>
      <c r="BF52" s="11">
        <f t="shared" si="66"/>
        <v>-42.506680099049582</v>
      </c>
      <c r="BG52" s="11">
        <f t="shared" si="66"/>
        <v>-42.549807268280453</v>
      </c>
      <c r="BH52" s="11">
        <f t="shared" si="66"/>
        <v>-42.59294670347991</v>
      </c>
      <c r="BI52" s="11">
        <f t="shared" si="66"/>
        <v>-42.636083626641451</v>
      </c>
      <c r="BJ52" s="11">
        <f t="shared" si="66"/>
        <v>-42.679203795352521</v>
      </c>
      <c r="BK52" s="11">
        <f t="shared" si="66"/>
        <v>-42.722293488145638</v>
      </c>
      <c r="BL52" s="11">
        <f t="shared" si="66"/>
        <v>-42.765339490206848</v>
      </c>
      <c r="BM52" s="11">
        <f t="shared" si="66"/>
        <v>-42.808329079432724</v>
      </c>
      <c r="BN52" s="11">
        <f t="shared" si="66"/>
        <v>-42.851250012828352</v>
      </c>
      <c r="BO52" s="11">
        <f t="shared" si="66"/>
        <v>-42.894090513238304</v>
      </c>
      <c r="BP52" s="11">
        <f t="shared" si="66"/>
        <v>-42.936839256402891</v>
      </c>
      <c r="BQ52" s="11">
        <f t="shared" si="66"/>
        <v>-42.979485358332425</v>
      </c>
      <c r="BR52" s="11">
        <f t="shared" si="66"/>
        <v>-43.022018362991986</v>
      </c>
      <c r="BS52" s="11">
        <f t="shared" ref="BS52:CL52" si="67">PV($F24,BS$9,1,0)+(PV($G$6,84-BS$9,1,0)/($G$6+1)^BS$9)</f>
        <v>-43.064428230289685</v>
      </c>
      <c r="BT52" s="11">
        <f t="shared" si="67"/>
        <v>-43.106705324361343</v>
      </c>
      <c r="BU52" s="11">
        <f t="shared" si="67"/>
        <v>-43.148840402144835</v>
      </c>
      <c r="BV52" s="11">
        <f t="shared" si="67"/>
        <v>-43.190824602237257</v>
      </c>
      <c r="BW52" s="11">
        <f t="shared" si="67"/>
        <v>-43.232649434028673</v>
      </c>
      <c r="BX52" s="11">
        <f t="shared" si="67"/>
        <v>-43.274306767105671</v>
      </c>
      <c r="BY52" s="11">
        <f t="shared" si="67"/>
        <v>-43.315788820918804</v>
      </c>
      <c r="BZ52" s="11">
        <f t="shared" si="67"/>
        <v>-43.357088154707668</v>
      </c>
      <c r="CA52" s="11">
        <f t="shared" si="67"/>
        <v>-43.398197657677571</v>
      </c>
      <c r="CB52" s="11">
        <f t="shared" si="67"/>
        <v>-43.439110539422117</v>
      </c>
      <c r="CC52" s="11">
        <f t="shared" si="67"/>
        <v>-43.479820320585858</v>
      </c>
      <c r="CD52" s="11">
        <f t="shared" si="67"/>
        <v>-43.520320823761473</v>
      </c>
      <c r="CE52" s="11">
        <f t="shared" si="67"/>
        <v>-43.560606164616047</v>
      </c>
      <c r="CF52" s="11">
        <f t="shared" si="67"/>
        <v>-43.600670743241054</v>
      </c>
      <c r="CG52" s="11">
        <f t="shared" si="67"/>
        <v>-43.640509235720799</v>
      </c>
      <c r="CH52" s="11">
        <f t="shared" si="67"/>
        <v>-43.680116585914362</v>
      </c>
      <c r="CI52" s="11">
        <f t="shared" si="67"/>
        <v>-43.719487997445832</v>
      </c>
      <c r="CJ52" s="11">
        <f t="shared" si="67"/>
        <v>-43.75861892589819</v>
      </c>
      <c r="CK52" s="11">
        <f t="shared" si="67"/>
        <v>-43.797505071205791</v>
      </c>
      <c r="CL52" s="11">
        <f t="shared" si="67"/>
        <v>-43.836142370241156</v>
      </c>
      <c r="CM52" s="11"/>
    </row>
    <row r="53" spans="7:91" hidden="1" x14ac:dyDescent="0.25">
      <c r="G53" s="11">
        <f t="shared" ref="G53:BR53" si="68">PV($F25,G$9,1,0)+(PV($G$6,84-G$9,1,0)/($G$6+1)^G$9)</f>
        <v>-40.903657501863911</v>
      </c>
      <c r="H53" s="11">
        <f t="shared" si="68"/>
        <v>-40.906872263464955</v>
      </c>
      <c r="I53" s="11">
        <f t="shared" si="68"/>
        <v>-40.911605194589853</v>
      </c>
      <c r="J53" s="11">
        <f t="shared" si="68"/>
        <v>-40.917799023076476</v>
      </c>
      <c r="K53" s="11">
        <f t="shared" si="68"/>
        <v>-40.925398077290296</v>
      </c>
      <c r="L53" s="11">
        <f t="shared" si="68"/>
        <v>-40.934348246467223</v>
      </c>
      <c r="M53" s="11">
        <f t="shared" si="68"/>
        <v>-40.944596941977053</v>
      </c>
      <c r="N53" s="11">
        <f t="shared" si="68"/>
        <v>-40.956093059487131</v>
      </c>
      <c r="O53" s="11">
        <f t="shared" si="68"/>
        <v>-40.96878694200587</v>
      </c>
      <c r="P53" s="11">
        <f t="shared" si="68"/>
        <v>-40.982630343786838</v>
      </c>
      <c r="Q53" s="11">
        <f t="shared" si="68"/>
        <v>-40.997576395073835</v>
      </c>
      <c r="R53" s="11">
        <f t="shared" si="68"/>
        <v>-41.013579567668572</v>
      </c>
      <c r="S53" s="11">
        <f t="shared" si="68"/>
        <v>-41.030595641302206</v>
      </c>
      <c r="T53" s="11">
        <f t="shared" si="68"/>
        <v>-41.048581670792828</v>
      </c>
      <c r="U53" s="11">
        <f t="shared" si="68"/>
        <v>-41.067495953971601</v>
      </c>
      <c r="V53" s="11">
        <f t="shared" si="68"/>
        <v>-41.087298000359866</v>
      </c>
      <c r="W53" s="11">
        <f t="shared" si="68"/>
        <v>-41.107948500580761</v>
      </c>
      <c r="X53" s="11">
        <f t="shared" si="68"/>
        <v>-41.12940929648866</v>
      </c>
      <c r="Y53" s="11">
        <f t="shared" si="68"/>
        <v>-41.151643352000399</v>
      </c>
      <c r="Z53" s="11">
        <f t="shared" si="68"/>
        <v>-41.174614724612582</v>
      </c>
      <c r="AA53" s="11">
        <f t="shared" si="68"/>
        <v>-41.198288537589363</v>
      </c>
      <c r="AB53" s="11">
        <f t="shared" si="68"/>
        <v>-41.222630952805893</v>
      </c>
      <c r="AC53" s="11">
        <f t="shared" si="68"/>
        <v>-41.247609144232356</v>
      </c>
      <c r="AD53" s="11">
        <f t="shared" si="68"/>
        <v>-41.273191272044492</v>
      </c>
      <c r="AE53" s="11">
        <f t="shared" si="68"/>
        <v>-41.299346457346246</v>
      </c>
      <c r="AF53" s="11">
        <f t="shared" si="68"/>
        <v>-41.326044757490806</v>
      </c>
      <c r="AG53" s="11">
        <f t="shared" si="68"/>
        <v>-41.353257141986589</v>
      </c>
      <c r="AH53" s="11">
        <f t="shared" si="68"/>
        <v>-41.380955468974861</v>
      </c>
      <c r="AI53" s="11">
        <f t="shared" si="68"/>
        <v>-41.409112462266222</v>
      </c>
      <c r="AJ53" s="11">
        <f t="shared" si="68"/>
        <v>-41.437701688922978</v>
      </c>
      <c r="AK53" s="11">
        <f t="shared" si="68"/>
        <v>-41.46669753737558</v>
      </c>
      <c r="AL53" s="11">
        <f t="shared" si="68"/>
        <v>-41.496075196060502</v>
      </c>
      <c r="AM53" s="11">
        <f t="shared" si="68"/>
        <v>-41.525810632568039</v>
      </c>
      <c r="AN53" s="11">
        <f t="shared" si="68"/>
        <v>-41.555880573288398</v>
      </c>
      <c r="AO53" s="11">
        <f t="shared" si="68"/>
        <v>-41.586262483544694</v>
      </c>
      <c r="AP53" s="11">
        <f t="shared" si="68"/>
        <v>-41.616934548201876</v>
      </c>
      <c r="AQ53" s="11">
        <f t="shared" si="68"/>
        <v>-41.647875652740744</v>
      </c>
      <c r="AR53" s="11">
        <f t="shared" si="68"/>
        <v>-41.67906536478641</v>
      </c>
      <c r="AS53" s="11">
        <f t="shared" si="68"/>
        <v>-41.710483916080889</v>
      </c>
      <c r="AT53" s="11">
        <f t="shared" si="68"/>
        <v>-41.742112184889777</v>
      </c>
      <c r="AU53" s="11">
        <f t="shared" si="68"/>
        <v>-41.773931678832938</v>
      </c>
      <c r="AV53" s="11">
        <f t="shared" si="68"/>
        <v>-41.805924518129757</v>
      </c>
      <c r="AW53" s="11">
        <f t="shared" si="68"/>
        <v>-41.838073419249184</v>
      </c>
      <c r="AX53" s="11">
        <f t="shared" si="68"/>
        <v>-41.870361678955554</v>
      </c>
      <c r="AY53" s="11">
        <f t="shared" si="68"/>
        <v>-41.902773158741198</v>
      </c>
      <c r="AZ53" s="11">
        <f t="shared" si="68"/>
        <v>-41.935292269636534</v>
      </c>
      <c r="BA53" s="11">
        <f t="shared" si="68"/>
        <v>-41.967903957389566</v>
      </c>
      <c r="BB53" s="11">
        <f t="shared" si="68"/>
        <v>-42.000593688005836</v>
      </c>
      <c r="BC53" s="11">
        <f t="shared" si="68"/>
        <v>-42.033347433640962</v>
      </c>
      <c r="BD53" s="11">
        <f t="shared" si="68"/>
        <v>-42.066151658837242</v>
      </c>
      <c r="BE53" s="11">
        <f t="shared" si="68"/>
        <v>-42.098993307096691</v>
      </c>
      <c r="BF53" s="11">
        <f t="shared" si="68"/>
        <v>-42.131859787782794</v>
      </c>
      <c r="BG53" s="11">
        <f t="shared" si="68"/>
        <v>-42.164738963343126</v>
      </c>
      <c r="BH53" s="11">
        <f t="shared" si="68"/>
        <v>-42.197619136845759</v>
      </c>
      <c r="BI53" s="11">
        <f t="shared" si="68"/>
        <v>-42.230489039821933</v>
      </c>
      <c r="BJ53" s="11">
        <f t="shared" si="68"/>
        <v>-42.263337820408132</v>
      </c>
      <c r="BK53" s="11">
        <f t="shared" si="68"/>
        <v>-42.2961550317806</v>
      </c>
      <c r="BL53" s="11">
        <f t="shared" si="68"/>
        <v>-42.328930620875298</v>
      </c>
      <c r="BM53" s="11">
        <f t="shared" si="68"/>
        <v>-42.361654917387057</v>
      </c>
      <c r="BN53" s="11">
        <f t="shared" si="68"/>
        <v>-42.39431862304118</v>
      </c>
      <c r="BO53" s="11">
        <f t="shared" si="68"/>
        <v>-42.426912801131294</v>
      </c>
      <c r="BP53" s="11">
        <f t="shared" si="68"/>
        <v>-42.459428866317161</v>
      </c>
      <c r="BQ53" s="11">
        <f t="shared" si="68"/>
        <v>-42.49185857467657</v>
      </c>
      <c r="BR53" s="11">
        <f t="shared" si="68"/>
        <v>-42.524194014005182</v>
      </c>
      <c r="BS53" s="11">
        <f t="shared" ref="BS53:CL53" si="69">PV($F25,BS$9,1,0)+(PV($G$6,84-BS$9,1,0)/($G$6+1)^BS$9)</f>
        <v>-42.556427594358759</v>
      </c>
      <c r="BT53" s="11">
        <f t="shared" si="69"/>
        <v>-42.588552038832006</v>
      </c>
      <c r="BU53" s="11">
        <f t="shared" si="69"/>
        <v>-42.62056037456842</v>
      </c>
      <c r="BV53" s="11">
        <f t="shared" si="69"/>
        <v>-42.652445923996012</v>
      </c>
      <c r="BW53" s="11">
        <f t="shared" si="69"/>
        <v>-42.684202296283388</v>
      </c>
      <c r="BX53" s="11">
        <f t="shared" si="69"/>
        <v>-42.715823379010999</v>
      </c>
      <c r="BY53" s="11">
        <f t="shared" si="69"/>
        <v>-42.747303330052766</v>
      </c>
      <c r="BZ53" s="11">
        <f t="shared" si="69"/>
        <v>-42.778636569662879</v>
      </c>
      <c r="CA53" s="11">
        <f t="shared" si="69"/>
        <v>-42.809817772763154</v>
      </c>
      <c r="CB53" s="11">
        <f t="shared" si="69"/>
        <v>-42.840841861426043</v>
      </c>
      <c r="CC53" s="11">
        <f t="shared" si="69"/>
        <v>-42.871703997548835</v>
      </c>
      <c r="CD53" s="11">
        <f t="shared" si="69"/>
        <v>-42.90239957571449</v>
      </c>
      <c r="CE53" s="11">
        <f t="shared" si="69"/>
        <v>-42.932924216234724</v>
      </c>
      <c r="CF53" s="11">
        <f t="shared" si="69"/>
        <v>-42.96327375837096</v>
      </c>
      <c r="CG53" s="11">
        <f t="shared" si="69"/>
        <v>-42.993444253729095</v>
      </c>
      <c r="CH53" s="11">
        <f t="shared" si="69"/>
        <v>-43.02343195982376</v>
      </c>
      <c r="CI53" s="11">
        <f t="shared" si="69"/>
        <v>-43.053233333808301</v>
      </c>
      <c r="CJ53" s="11">
        <f t="shared" si="69"/>
        <v>-43.082845026366329</v>
      </c>
      <c r="CK53" s="11">
        <f t="shared" si="69"/>
        <v>-43.11226387576108</v>
      </c>
      <c r="CL53" s="11">
        <f t="shared" si="69"/>
        <v>-43.141486902038956</v>
      </c>
      <c r="CM53" s="11"/>
    </row>
    <row r="54" spans="7:91" hidden="1" x14ac:dyDescent="0.25">
      <c r="G54" s="11">
        <f t="shared" ref="G54:BR54" si="70">PV($F26,G$9,1,0)+(PV($G$6,84-G$9,1,0)/($G$6+1)^G$9)</f>
        <v>-40.903175264126489</v>
      </c>
      <c r="H54" s="11">
        <f t="shared" si="70"/>
        <v>-40.905442836399793</v>
      </c>
      <c r="I54" s="11">
        <f t="shared" si="70"/>
        <v>-40.908780448000208</v>
      </c>
      <c r="J54" s="11">
        <f t="shared" si="70"/>
        <v>-40.913147194513293</v>
      </c>
      <c r="K54" s="11">
        <f t="shared" si="70"/>
        <v>-40.918503329265036</v>
      </c>
      <c r="L54" s="11">
        <f t="shared" si="70"/>
        <v>-40.924810234279853</v>
      </c>
      <c r="M54" s="11">
        <f t="shared" si="70"/>
        <v>-40.932030391920954</v>
      </c>
      <c r="N54" s="11">
        <f t="shared" si="70"/>
        <v>-40.940127357197696</v>
      </c>
      <c r="O54" s="11">
        <f t="shared" si="70"/>
        <v>-40.949065730724648</v>
      </c>
      <c r="P54" s="11">
        <f t="shared" si="70"/>
        <v>-40.958811132318075</v>
      </c>
      <c r="Q54" s="11">
        <f t="shared" si="70"/>
        <v>-40.969330175214999</v>
      </c>
      <c r="R54" s="11">
        <f t="shared" si="70"/>
        <v>-40.980590440901054</v>
      </c>
      <c r="S54" s="11">
        <f t="shared" si="70"/>
        <v>-40.992560454533233</v>
      </c>
      <c r="T54" s="11">
        <f t="shared" si="70"/>
        <v>-41.005209660944097</v>
      </c>
      <c r="U54" s="11">
        <f t="shared" si="70"/>
        <v>-41.018508401214341</v>
      </c>
      <c r="V54" s="11">
        <f t="shared" si="70"/>
        <v>-41.032427889800665</v>
      </c>
      <c r="W54" s="11">
        <f t="shared" si="70"/>
        <v>-41.046940192206549</v>
      </c>
      <c r="X54" s="11">
        <f t="shared" si="70"/>
        <v>-41.062018203183499</v>
      </c>
      <c r="Y54" s="11">
        <f t="shared" si="70"/>
        <v>-41.077635625450654</v>
      </c>
      <c r="Z54" s="11">
        <f t="shared" si="70"/>
        <v>-41.093766948921214</v>
      </c>
      <c r="AA54" s="11">
        <f t="shared" si="70"/>
        <v>-41.110387430423884</v>
      </c>
      <c r="AB54" s="11">
        <f t="shared" si="70"/>
        <v>-41.127473073908192</v>
      </c>
      <c r="AC54" s="11">
        <f t="shared" si="70"/>
        <v>-41.145000611122697</v>
      </c>
      <c r="AD54" s="11">
        <f t="shared" si="70"/>
        <v>-41.162947482755271</v>
      </c>
      <c r="AE54" s="11">
        <f t="shared" si="70"/>
        <v>-41.181291820024853</v>
      </c>
      <c r="AF54" s="11">
        <f t="shared" si="70"/>
        <v>-41.200012426714487</v>
      </c>
      <c r="AG54" s="11">
        <f t="shared" si="70"/>
        <v>-41.21908876163549</v>
      </c>
      <c r="AH54" s="11">
        <f t="shared" si="70"/>
        <v>-41.238500921512845</v>
      </c>
      <c r="AI54" s="11">
        <f t="shared" si="70"/>
        <v>-41.258229624282365</v>
      </c>
      <c r="AJ54" s="11">
        <f t="shared" si="70"/>
        <v>-41.278256192789954</v>
      </c>
      <c r="AK54" s="11">
        <f t="shared" si="70"/>
        <v>-41.298562538883971</v>
      </c>
      <c r="AL54" s="11">
        <f t="shared" si="70"/>
        <v>-41.319131147891568</v>
      </c>
      <c r="AM54" s="11">
        <f t="shared" si="70"/>
        <v>-41.339945063470196</v>
      </c>
      <c r="AN54" s="11">
        <f t="shared" si="70"/>
        <v>-41.36098787282571</v>
      </c>
      <c r="AO54" s="11">
        <f t="shared" si="70"/>
        <v>-41.382243692288618</v>
      </c>
      <c r="AP54" s="11">
        <f t="shared" si="70"/>
        <v>-41.403697153240188</v>
      </c>
      <c r="AQ54" s="11">
        <f t="shared" si="70"/>
        <v>-41.425333388380515</v>
      </c>
      <c r="AR54" s="11">
        <f t="shared" si="70"/>
        <v>-41.447138018330506</v>
      </c>
      <c r="AS54" s="11">
        <f t="shared" si="70"/>
        <v>-41.469097138560088</v>
      </c>
      <c r="AT54" s="11">
        <f t="shared" si="70"/>
        <v>-41.491197306635321</v>
      </c>
      <c r="AU54" s="11">
        <f t="shared" si="70"/>
        <v>-41.51342552977674</v>
      </c>
      <c r="AV54" s="11">
        <f t="shared" si="70"/>
        <v>-41.535769252722012</v>
      </c>
      <c r="AW54" s="11">
        <f t="shared" si="70"/>
        <v>-41.558216345885697</v>
      </c>
      <c r="AX54" s="11">
        <f t="shared" si="70"/>
        <v>-41.580755093809273</v>
      </c>
      <c r="AY54" s="11">
        <f t="shared" si="70"/>
        <v>-41.6033741838948</v>
      </c>
      <c r="AZ54" s="11">
        <f t="shared" si="70"/>
        <v>-41.626062695415406</v>
      </c>
      <c r="BA54" s="11">
        <f t="shared" si="70"/>
        <v>-41.648810088796509</v>
      </c>
      <c r="BB54" s="11">
        <f t="shared" si="70"/>
        <v>-41.671606195161175</v>
      </c>
      <c r="BC54" s="11">
        <f t="shared" si="70"/>
        <v>-41.694441206133639</v>
      </c>
      <c r="BD54" s="11">
        <f t="shared" si="70"/>
        <v>-41.71730566389494</v>
      </c>
      <c r="BE54" s="11">
        <f t="shared" si="70"/>
        <v>-41.740190451484771</v>
      </c>
      <c r="BF54" s="11">
        <f t="shared" si="70"/>
        <v>-41.763086783343923</v>
      </c>
      <c r="BG54" s="11">
        <f t="shared" si="70"/>
        <v>-41.785986196091471</v>
      </c>
      <c r="BH54" s="11">
        <f t="shared" si="70"/>
        <v>-41.808880539531508</v>
      </c>
      <c r="BI54" s="11">
        <f t="shared" si="70"/>
        <v>-41.831761967883793</v>
      </c>
      <c r="BJ54" s="11">
        <f t="shared" si="70"/>
        <v>-41.854622931233365</v>
      </c>
      <c r="BK54" s="11">
        <f t="shared" si="70"/>
        <v>-41.877456167193635</v>
      </c>
      <c r="BL54" s="11">
        <f t="shared" si="70"/>
        <v>-41.900254692778326</v>
      </c>
      <c r="BM54" s="11">
        <f t="shared" si="70"/>
        <v>-41.923011796477006</v>
      </c>
      <c r="BN54" s="11">
        <f t="shared" si="70"/>
        <v>-41.945721030529803</v>
      </c>
      <c r="BO54" s="11">
        <f t="shared" si="70"/>
        <v>-41.968376203396311</v>
      </c>
      <c r="BP54" s="11">
        <f t="shared" si="70"/>
        <v>-41.990971372414165</v>
      </c>
      <c r="BQ54" s="11">
        <f t="shared" si="70"/>
        <v>-42.01350083664309</v>
      </c>
      <c r="BR54" s="11">
        <f t="shared" si="70"/>
        <v>-42.035959129889619</v>
      </c>
      <c r="BS54" s="11">
        <f t="shared" ref="BS54:CL54" si="71">PV($F26,BS$9,1,0)+(PV($G$6,84-BS$9,1,0)/($G$6+1)^BS$9)</f>
        <v>-42.058341013908624</v>
      </c>
      <c r="BT54" s="11">
        <f t="shared" si="71"/>
        <v>-42.080641471777184</v>
      </c>
      <c r="BU54" s="11">
        <f t="shared" si="71"/>
        <v>-42.102855701436887</v>
      </c>
      <c r="BV54" s="11">
        <f t="shared" si="71"/>
        <v>-42.124979109400471</v>
      </c>
      <c r="BW54" s="11">
        <f t="shared" si="71"/>
        <v>-42.147007304619038</v>
      </c>
      <c r="BX54" s="11">
        <f t="shared" si="71"/>
        <v>-42.168936092505952</v>
      </c>
      <c r="BY54" s="11">
        <f t="shared" si="71"/>
        <v>-42.190761469113546</v>
      </c>
      <c r="BZ54" s="11">
        <f t="shared" si="71"/>
        <v>-42.212479615459408</v>
      </c>
      <c r="CA54" s="11">
        <f t="shared" si="71"/>
        <v>-42.234086891998217</v>
      </c>
      <c r="CB54" s="11">
        <f t="shared" si="71"/>
        <v>-42.255579833236034</v>
      </c>
      <c r="CC54" s="11">
        <f t="shared" si="71"/>
        <v>-42.27695514248343</v>
      </c>
      <c r="CD54" s="11">
        <f t="shared" si="71"/>
        <v>-42.298209686744258</v>
      </c>
      <c r="CE54" s="11">
        <f t="shared" si="71"/>
        <v>-42.319340491736682</v>
      </c>
      <c r="CF54" s="11">
        <f t="shared" si="71"/>
        <v>-42.340344737043488</v>
      </c>
      <c r="CG54" s="11">
        <f t="shared" si="71"/>
        <v>-42.361219751388447</v>
      </c>
      <c r="CH54" s="11">
        <f t="shared" si="71"/>
        <v>-42.381963008035719</v>
      </c>
      <c r="CI54" s="11">
        <f t="shared" si="71"/>
        <v>-42.402572120309401</v>
      </c>
      <c r="CJ54" s="11">
        <f t="shared" si="71"/>
        <v>-42.423044837230307</v>
      </c>
      <c r="CK54" s="11">
        <f t="shared" si="71"/>
        <v>-42.443379039267064</v>
      </c>
      <c r="CL54" s="11">
        <f t="shared" si="71"/>
        <v>-42.463572734198962</v>
      </c>
      <c r="CM54" s="11"/>
    </row>
    <row r="55" spans="7:91" hidden="1" x14ac:dyDescent="0.25">
      <c r="G55" s="11">
        <f t="shared" ref="G55:BR55" si="72">PV($F27,G$9,1,0)+(PV($G$6,84-G$9,1,0)/($G$6+1)^G$9)</f>
        <v>-40.902693499635134</v>
      </c>
      <c r="H55" s="11">
        <f t="shared" si="72"/>
        <v>-40.90401527653102</v>
      </c>
      <c r="I55" s="11">
        <f t="shared" si="72"/>
        <v>-40.905960305868838</v>
      </c>
      <c r="J55" s="11">
        <f t="shared" si="72"/>
        <v>-40.908504449646699</v>
      </c>
      <c r="K55" s="11">
        <f t="shared" si="72"/>
        <v>-40.911624261754596</v>
      </c>
      <c r="L55" s="11">
        <f t="shared" si="72"/>
        <v>-40.915296970401634</v>
      </c>
      <c r="M55" s="11">
        <f t="shared" si="72"/>
        <v>-40.919500460961231</v>
      </c>
      <c r="N55" s="11">
        <f t="shared" si="72"/>
        <v>-40.924213259224885</v>
      </c>
      <c r="O55" s="11">
        <f t="shared" si="72"/>
        <v>-40.929414515054702</v>
      </c>
      <c r="P55" s="11">
        <f t="shared" si="72"/>
        <v>-40.935083986426108</v>
      </c>
      <c r="Q55" s="11">
        <f t="shared" si="72"/>
        <v>-40.94120202385141</v>
      </c>
      <c r="R55" s="11">
        <f t="shared" si="72"/>
        <v>-40.947749555175726</v>
      </c>
      <c r="S55" s="11">
        <f t="shared" si="72"/>
        <v>-40.954708070736736</v>
      </c>
      <c r="T55" s="11">
        <f t="shared" si="72"/>
        <v>-40.962059608879798</v>
      </c>
      <c r="U55" s="11">
        <f t="shared" si="72"/>
        <v>-40.969786741820364</v>
      </c>
      <c r="V55" s="11">
        <f t="shared" si="72"/>
        <v>-40.977872561845814</v>
      </c>
      <c r="W55" s="11">
        <f t="shared" si="72"/>
        <v>-40.986300667848766</v>
      </c>
      <c r="X55" s="11">
        <f t="shared" si="72"/>
        <v>-40.995055152184236</v>
      </c>
      <c r="Y55" s="11">
        <f t="shared" si="72"/>
        <v>-41.004120587843452</v>
      </c>
      <c r="Z55" s="11">
        <f t="shared" si="72"/>
        <v>-41.01348201593666</v>
      </c>
      <c r="AA55" s="11">
        <f t="shared" si="72"/>
        <v>-41.023124933478194</v>
      </c>
      <c r="AB55" s="11">
        <f t="shared" si="72"/>
        <v>-41.033035281466518</v>
      </c>
      <c r="AC55" s="11">
        <f t="shared" si="72"/>
        <v>-41.04319943325261</v>
      </c>
      <c r="AD55" s="11">
        <f t="shared" si="72"/>
        <v>-41.053604183190131</v>
      </c>
      <c r="AE55" s="11">
        <f t="shared" si="72"/>
        <v>-41.064236735560577</v>
      </c>
      <c r="AF55" s="11">
        <f t="shared" si="72"/>
        <v>-41.075084693767323</v>
      </c>
      <c r="AG55" s="11">
        <f t="shared" si="72"/>
        <v>-41.086136049792245</v>
      </c>
      <c r="AH55" s="11">
        <f t="shared" si="72"/>
        <v>-41.097379173908834</v>
      </c>
      <c r="AI55" s="11">
        <f t="shared" si="72"/>
        <v>-41.108802804645897</v>
      </c>
      <c r="AJ55" s="11">
        <f t="shared" si="72"/>
        <v>-41.120396038996006</v>
      </c>
      <c r="AK55" s="11">
        <f t="shared" si="72"/>
        <v>-41.132148322862975</v>
      </c>
      <c r="AL55" s="11">
        <f t="shared" si="72"/>
        <v>-41.144049441743022</v>
      </c>
      <c r="AM55" s="11">
        <f t="shared" si="72"/>
        <v>-41.156089511633866</v>
      </c>
      <c r="AN55" s="11">
        <f t="shared" si="72"/>
        <v>-41.168258970166733</v>
      </c>
      <c r="AO55" s="11">
        <f t="shared" si="72"/>
        <v>-41.18054856795596</v>
      </c>
      <c r="AP55" s="11">
        <f t="shared" si="72"/>
        <v>-41.192949360161101</v>
      </c>
      <c r="AQ55" s="11">
        <f t="shared" si="72"/>
        <v>-41.205452698256757</v>
      </c>
      <c r="AR55" s="11">
        <f t="shared" si="72"/>
        <v>-41.218050222005047</v>
      </c>
      <c r="AS55" s="11">
        <f t="shared" si="72"/>
        <v>-41.23073385162612</v>
      </c>
      <c r="AT55" s="11">
        <f t="shared" si="72"/>
        <v>-41.2434957801621</v>
      </c>
      <c r="AU55" s="11">
        <f t="shared" si="72"/>
        <v>-41.256328466029935</v>
      </c>
      <c r="AV55" s="11">
        <f t="shared" si="72"/>
        <v>-41.269224625758625</v>
      </c>
      <c r="AW55" s="11">
        <f t="shared" si="72"/>
        <v>-41.28217722690664</v>
      </c>
      <c r="AX55" s="11">
        <f t="shared" si="72"/>
        <v>-41.295179481155216</v>
      </c>
      <c r="AY55" s="11">
        <f t="shared" si="72"/>
        <v>-41.308224837573476</v>
      </c>
      <c r="AZ55" s="11">
        <f t="shared" si="72"/>
        <v>-41.321306976051289</v>
      </c>
      <c r="BA55" s="11">
        <f t="shared" si="72"/>
        <v>-41.334419800895915</v>
      </c>
      <c r="BB55" s="11">
        <f t="shared" si="72"/>
        <v>-41.347557434588637</v>
      </c>
      <c r="BC55" s="11">
        <f t="shared" si="72"/>
        <v>-41.360714211697584</v>
      </c>
      <c r="BD55" s="11">
        <f t="shared" si="72"/>
        <v>-41.373884672943035</v>
      </c>
      <c r="BE55" s="11">
        <f t="shared" si="72"/>
        <v>-41.387063559411629</v>
      </c>
      <c r="BF55" s="11">
        <f t="shared" si="72"/>
        <v>-41.400245806916054</v>
      </c>
      <c r="BG55" s="11">
        <f t="shared" si="72"/>
        <v>-41.41342654049658</v>
      </c>
      <c r="BH55" s="11">
        <f t="shared" si="72"/>
        <v>-41.426601069061299</v>
      </c>
      <c r="BI55" s="11">
        <f t="shared" si="72"/>
        <v>-41.439764880161547</v>
      </c>
      <c r="BJ55" s="11">
        <f t="shared" si="72"/>
        <v>-41.452913634899666</v>
      </c>
      <c r="BK55" s="11">
        <f t="shared" si="72"/>
        <v>-41.466043162965519</v>
      </c>
      <c r="BL55" s="11">
        <f t="shared" si="72"/>
        <v>-41.479149457799039</v>
      </c>
      <c r="BM55" s="11">
        <f t="shared" si="72"/>
        <v>-41.492228671875694</v>
      </c>
      <c r="BN55" s="11">
        <f t="shared" si="72"/>
        <v>-41.505277112111905</v>
      </c>
      <c r="BO55" s="11">
        <f t="shared" si="72"/>
        <v>-41.518291235387721</v>
      </c>
      <c r="BP55" s="11">
        <f t="shared" si="72"/>
        <v>-41.531267644183693</v>
      </c>
      <c r="BQ55" s="11">
        <f t="shared" si="72"/>
        <v>-41.544203082329489</v>
      </c>
      <c r="BR55" s="11">
        <f t="shared" si="72"/>
        <v>-41.557094430861397</v>
      </c>
      <c r="BS55" s="11">
        <f t="shared" ref="BS55:CL55" si="73">PV($F27,BS$9,1,0)+(PV($G$6,84-BS$9,1,0)/($G$6+1)^BS$9)</f>
        <v>-41.569938703986253</v>
      </c>
      <c r="BT55" s="11">
        <f t="shared" si="73"/>
        <v>-41.582733045149084</v>
      </c>
      <c r="BU55" s="11">
        <f t="shared" si="73"/>
        <v>-41.595474723202145</v>
      </c>
      <c r="BV55" s="11">
        <f t="shared" si="73"/>
        <v>-41.608161128672805</v>
      </c>
      <c r="BW55" s="11">
        <f t="shared" si="73"/>
        <v>-41.620789770127956</v>
      </c>
      <c r="BX55" s="11">
        <f t="shared" si="73"/>
        <v>-41.633358270632669</v>
      </c>
      <c r="BY55" s="11">
        <f t="shared" si="73"/>
        <v>-41.64586436430065</v>
      </c>
      <c r="BZ55" s="11">
        <f t="shared" si="73"/>
        <v>-41.658305892934557</v>
      </c>
      <c r="CA55" s="11">
        <f t="shared" si="73"/>
        <v>-41.670680802753758</v>
      </c>
      <c r="CB55" s="11">
        <f t="shared" si="73"/>
        <v>-41.682987141207612</v>
      </c>
      <c r="CC55" s="11">
        <f t="shared" si="73"/>
        <v>-41.69522305387207</v>
      </c>
      <c r="CD55" s="11">
        <f t="shared" si="73"/>
        <v>-41.707386781427616</v>
      </c>
      <c r="CE55" s="11">
        <f t="shared" si="73"/>
        <v>-41.719476656716644</v>
      </c>
      <c r="CF55" s="11">
        <f t="shared" si="73"/>
        <v>-41.731491101878269</v>
      </c>
      <c r="CG55" s="11">
        <f t="shared" si="73"/>
        <v>-41.743428625558685</v>
      </c>
      <c r="CH55" s="11">
        <f t="shared" si="73"/>
        <v>-41.755287820195342</v>
      </c>
      <c r="CI55" s="11">
        <f t="shared" si="73"/>
        <v>-41.76706735937298</v>
      </c>
      <c r="CJ55" s="11">
        <f t="shared" si="73"/>
        <v>-41.778765995249948</v>
      </c>
      <c r="CK55" s="11">
        <f t="shared" si="73"/>
        <v>-41.790382556052883</v>
      </c>
      <c r="CL55" s="11">
        <f t="shared" si="73"/>
        <v>-41.801915943638335</v>
      </c>
      <c r="CM55" s="11"/>
    </row>
    <row r="56" spans="7:91" hidden="1" x14ac:dyDescent="0.25">
      <c r="G56" s="11">
        <f t="shared" ref="G56:BR56" si="74">PV($F28,G$9,1,0)+(PV($G$6,84-G$9,1,0)/($G$6+1)^G$9)</f>
        <v>-40.902212207693559</v>
      </c>
      <c r="H56" s="11">
        <f t="shared" si="74"/>
        <v>-40.902589580428476</v>
      </c>
      <c r="I56" s="11">
        <f t="shared" si="74"/>
        <v>-40.903144758056598</v>
      </c>
      <c r="J56" s="11">
        <f t="shared" si="74"/>
        <v>-40.903870765166587</v>
      </c>
      <c r="K56" s="11">
        <f t="shared" si="74"/>
        <v>-40.904760828823868</v>
      </c>
      <c r="L56" s="11">
        <f t="shared" si="74"/>
        <v>-40.905808373363605</v>
      </c>
      <c r="M56" s="11">
        <f t="shared" si="74"/>
        <v>-40.907007015309162</v>
      </c>
      <c r="N56" s="11">
        <f t="shared" si="74"/>
        <v>-40.908350558413083</v>
      </c>
      <c r="O56" s="11">
        <f t="shared" si="74"/>
        <v>-40.90983298881752</v>
      </c>
      <c r="P56" s="11">
        <f t="shared" si="74"/>
        <v>-40.911448470331756</v>
      </c>
      <c r="Q56" s="11">
        <f t="shared" si="74"/>
        <v>-40.91319133982374</v>
      </c>
      <c r="R56" s="11">
        <f t="shared" si="74"/>
        <v>-40.915056102723241</v>
      </c>
      <c r="S56" s="11">
        <f t="shared" si="74"/>
        <v>-40.917037428633876</v>
      </c>
      <c r="T56" s="11">
        <f t="shared" si="74"/>
        <v>-40.919130147051582</v>
      </c>
      <c r="U56" s="11">
        <f t="shared" si="74"/>
        <v>-40.921329243187046</v>
      </c>
      <c r="V56" s="11">
        <f t="shared" si="74"/>
        <v>-40.923629853889615</v>
      </c>
      <c r="W56" s="11">
        <f t="shared" si="74"/>
        <v>-40.926027263670477</v>
      </c>
      <c r="X56" s="11">
        <f t="shared" si="74"/>
        <v>-40.928516900822565</v>
      </c>
      <c r="Y56" s="11">
        <f t="shared" si="74"/>
        <v>-40.931094333635166</v>
      </c>
      <c r="Z56" s="11">
        <f t="shared" si="74"/>
        <v>-40.933755266700913</v>
      </c>
      <c r="AA56" s="11">
        <f t="shared" si="74"/>
        <v>-40.936495537313043</v>
      </c>
      <c r="AB56" s="11">
        <f t="shared" si="74"/>
        <v>-40.939311111950772</v>
      </c>
      <c r="AC56" s="11">
        <f t="shared" si="74"/>
        <v>-40.942198082850702</v>
      </c>
      <c r="AD56" s="11">
        <f t="shared" si="74"/>
        <v>-40.94515266466253</v>
      </c>
      <c r="AE56" s="11">
        <f t="shared" si="74"/>
        <v>-40.948171191186546</v>
      </c>
      <c r="AF56" s="11">
        <f t="shared" si="74"/>
        <v>-40.951250112191602</v>
      </c>
      <c r="AG56" s="11">
        <f t="shared" si="74"/>
        <v>-40.954385990311238</v>
      </c>
      <c r="AH56" s="11">
        <f t="shared" si="74"/>
        <v>-40.95757549801629</v>
      </c>
      <c r="AI56" s="11">
        <f t="shared" si="74"/>
        <v>-40.960815414662321</v>
      </c>
      <c r="AJ56" s="11">
        <f t="shared" si="74"/>
        <v>-40.964102623609776</v>
      </c>
      <c r="AK56" s="11">
        <f t="shared" si="74"/>
        <v>-40.967434109415564</v>
      </c>
      <c r="AL56" s="11">
        <f t="shared" si="74"/>
        <v>-40.970806955093977</v>
      </c>
      <c r="AM56" s="11">
        <f t="shared" si="74"/>
        <v>-40.974218339445734</v>
      </c>
      <c r="AN56" s="11">
        <f t="shared" si="74"/>
        <v>-40.97766553445318</v>
      </c>
      <c r="AO56" s="11">
        <f t="shared" si="74"/>
        <v>-40.98114590274028</v>
      </c>
      <c r="AP56" s="11">
        <f t="shared" si="74"/>
        <v>-40.98465689509581</v>
      </c>
      <c r="AQ56" s="11">
        <f t="shared" si="74"/>
        <v>-40.988196048058384</v>
      </c>
      <c r="AR56" s="11">
        <f t="shared" si="74"/>
        <v>-40.991760981561598</v>
      </c>
      <c r="AS56" s="11">
        <f t="shared" si="74"/>
        <v>-40.99534939663814</v>
      </c>
      <c r="AT56" s="11">
        <f t="shared" si="74"/>
        <v>-40.998959073181254</v>
      </c>
      <c r="AU56" s="11">
        <f t="shared" si="74"/>
        <v>-41.002587867762415</v>
      </c>
      <c r="AV56" s="11">
        <f t="shared" si="74"/>
        <v>-41.006233711503683</v>
      </c>
      <c r="AW56" s="11">
        <f t="shared" si="74"/>
        <v>-41.009894608003535</v>
      </c>
      <c r="AX56" s="11">
        <f t="shared" si="74"/>
        <v>-41.013568631314882</v>
      </c>
      <c r="AY56" s="11">
        <f t="shared" si="74"/>
        <v>-41.017253923974131</v>
      </c>
      <c r="AZ56" s="11">
        <f t="shared" si="74"/>
        <v>-41.020948695079859</v>
      </c>
      <c r="BA56" s="11">
        <f t="shared" si="74"/>
        <v>-41.024651218420132</v>
      </c>
      <c r="BB56" s="11">
        <f t="shared" si="74"/>
        <v>-41.028359830647183</v>
      </c>
      <c r="BC56" s="11">
        <f t="shared" si="74"/>
        <v>-41.032072929498433</v>
      </c>
      <c r="BD56" s="11">
        <f t="shared" si="74"/>
        <v>-41.035788972062591</v>
      </c>
      <c r="BE56" s="11">
        <f t="shared" si="74"/>
        <v>-41.039506473089887</v>
      </c>
      <c r="BF56" s="11">
        <f t="shared" si="74"/>
        <v>-41.043224003345301</v>
      </c>
      <c r="BG56" s="11">
        <f t="shared" si="74"/>
        <v>-41.046940188003902</v>
      </c>
      <c r="BH56" s="11">
        <f t="shared" si="74"/>
        <v>-41.0506537050871</v>
      </c>
      <c r="BI56" s="11">
        <f t="shared" si="74"/>
        <v>-41.054363283938798</v>
      </c>
      <c r="BJ56" s="11">
        <f t="shared" si="74"/>
        <v>-41.058067703740896</v>
      </c>
      <c r="BK56" s="11">
        <f t="shared" si="74"/>
        <v>-41.061765792066637</v>
      </c>
      <c r="BL56" s="11">
        <f t="shared" si="74"/>
        <v>-41.065456423471282</v>
      </c>
      <c r="BM56" s="11">
        <f t="shared" si="74"/>
        <v>-41.069138518119033</v>
      </c>
      <c r="BN56" s="11">
        <f t="shared" si="74"/>
        <v>-41.07281104044543</v>
      </c>
      <c r="BO56" s="11">
        <f t="shared" si="74"/>
        <v>-41.07647299785431</v>
      </c>
      <c r="BP56" s="11">
        <f t="shared" si="74"/>
        <v>-41.080123439448471</v>
      </c>
      <c r="BQ56" s="11">
        <f t="shared" si="74"/>
        <v>-41.08376145479329</v>
      </c>
      <c r="BR56" s="11">
        <f t="shared" si="74"/>
        <v>-41.087386172712456</v>
      </c>
      <c r="BS56" s="11">
        <f t="shared" ref="BS56:CL56" si="75">PV($F28,BS$9,1,0)+(PV($G$6,84-BS$9,1,0)/($G$6+1)^BS$9)</f>
        <v>-41.090996760115083</v>
      </c>
      <c r="BT56" s="11">
        <f t="shared" si="75"/>
        <v>-41.094592420853346</v>
      </c>
      <c r="BU56" s="11">
        <f t="shared" si="75"/>
        <v>-41.098172394609975</v>
      </c>
      <c r="BV56" s="11">
        <f t="shared" si="75"/>
        <v>-41.101735955814974</v>
      </c>
      <c r="BW56" s="11">
        <f t="shared" si="75"/>
        <v>-41.105282412590618</v>
      </c>
      <c r="BX56" s="11">
        <f t="shared" si="75"/>
        <v>-41.108811105724193</v>
      </c>
      <c r="BY56" s="11">
        <f t="shared" si="75"/>
        <v>-41.112321407667856</v>
      </c>
      <c r="BZ56" s="11">
        <f t="shared" si="75"/>
        <v>-41.115812721564808</v>
      </c>
      <c r="CA56" s="11">
        <f t="shared" si="75"/>
        <v>-41.119284480301211</v>
      </c>
      <c r="CB56" s="11">
        <f t="shared" si="75"/>
        <v>-41.122736145583268</v>
      </c>
      <c r="CC56" s="11">
        <f t="shared" si="75"/>
        <v>-41.126167207038719</v>
      </c>
      <c r="CD56" s="11">
        <f t="shared" si="75"/>
        <v>-41.129577181342299</v>
      </c>
      <c r="CE56" s="11">
        <f t="shared" si="75"/>
        <v>-41.132965611364433</v>
      </c>
      <c r="CF56" s="11">
        <f t="shared" si="75"/>
        <v>-41.136332065342749</v>
      </c>
      <c r="CG56" s="11">
        <f t="shared" si="75"/>
        <v>-41.1396761360757</v>
      </c>
      <c r="CH56" s="11">
        <f t="shared" si="75"/>
        <v>-41.142997440137819</v>
      </c>
      <c r="CI56" s="11">
        <f t="shared" si="75"/>
        <v>-41.146295617116103</v>
      </c>
      <c r="CJ56" s="11">
        <f t="shared" si="75"/>
        <v>-41.149570328866965</v>
      </c>
      <c r="CK56" s="11">
        <f t="shared" si="75"/>
        <v>-41.152821258793182</v>
      </c>
      <c r="CL56" s="11">
        <f t="shared" si="75"/>
        <v>-41.156048111140521</v>
      </c>
      <c r="CM56" s="11"/>
    </row>
    <row r="57" spans="7:91" hidden="1" x14ac:dyDescent="0.25">
      <c r="G57" s="11">
        <f t="shared" ref="G57:BR57" si="76">PV($F29,G$9,1,0)+(PV($G$6,84-G$9,1,0)/($G$6+1)^G$9)</f>
        <v>-40.90201982307515</v>
      </c>
      <c r="H57" s="11">
        <f t="shared" si="76"/>
        <v>-40.902019823075143</v>
      </c>
      <c r="I57" s="11">
        <f t="shared" si="76"/>
        <v>-40.90201982307515</v>
      </c>
      <c r="J57" s="11">
        <f t="shared" si="76"/>
        <v>-40.902019823075143</v>
      </c>
      <c r="K57" s="11">
        <f t="shared" si="76"/>
        <v>-40.902019823075143</v>
      </c>
      <c r="L57" s="11">
        <f t="shared" si="76"/>
        <v>-40.90201982307515</v>
      </c>
      <c r="M57" s="11">
        <f t="shared" si="76"/>
        <v>-40.902019823075136</v>
      </c>
      <c r="N57" s="11">
        <f t="shared" si="76"/>
        <v>-40.902019823075157</v>
      </c>
      <c r="O57" s="11">
        <f t="shared" si="76"/>
        <v>-40.90201982307515</v>
      </c>
      <c r="P57" s="11">
        <f t="shared" si="76"/>
        <v>-40.90201982307515</v>
      </c>
      <c r="Q57" s="11">
        <f t="shared" si="76"/>
        <v>-40.902019823075143</v>
      </c>
      <c r="R57" s="11">
        <f t="shared" si="76"/>
        <v>-40.902019823075143</v>
      </c>
      <c r="S57" s="11">
        <f t="shared" si="76"/>
        <v>-40.90201982307515</v>
      </c>
      <c r="T57" s="11">
        <f t="shared" si="76"/>
        <v>-40.90201982307515</v>
      </c>
      <c r="U57" s="11">
        <f t="shared" si="76"/>
        <v>-40.90201982307515</v>
      </c>
      <c r="V57" s="11">
        <f t="shared" si="76"/>
        <v>-40.90201982307515</v>
      </c>
      <c r="W57" s="11">
        <f t="shared" si="76"/>
        <v>-40.90201982307515</v>
      </c>
      <c r="X57" s="11">
        <f t="shared" si="76"/>
        <v>-40.90201982307515</v>
      </c>
      <c r="Y57" s="11">
        <f t="shared" si="76"/>
        <v>-40.902019823075143</v>
      </c>
      <c r="Z57" s="11">
        <f t="shared" si="76"/>
        <v>-40.90201982307515</v>
      </c>
      <c r="AA57" s="11">
        <f t="shared" si="76"/>
        <v>-40.90201982307515</v>
      </c>
      <c r="AB57" s="11">
        <f t="shared" si="76"/>
        <v>-40.90201982307515</v>
      </c>
      <c r="AC57" s="11">
        <f t="shared" si="76"/>
        <v>-40.90201982307515</v>
      </c>
      <c r="AD57" s="11">
        <f t="shared" si="76"/>
        <v>-40.90201982307515</v>
      </c>
      <c r="AE57" s="11">
        <f t="shared" si="76"/>
        <v>-40.90201982307515</v>
      </c>
      <c r="AF57" s="11">
        <f t="shared" si="76"/>
        <v>-40.902019823075136</v>
      </c>
      <c r="AG57" s="11">
        <f t="shared" si="76"/>
        <v>-40.90201982307515</v>
      </c>
      <c r="AH57" s="11">
        <f t="shared" si="76"/>
        <v>-40.90201982307515</v>
      </c>
      <c r="AI57" s="11">
        <f t="shared" si="76"/>
        <v>-40.90201982307515</v>
      </c>
      <c r="AJ57" s="11">
        <f t="shared" si="76"/>
        <v>-40.90201982307515</v>
      </c>
      <c r="AK57" s="11">
        <f t="shared" si="76"/>
        <v>-40.902019823075143</v>
      </c>
      <c r="AL57" s="11">
        <f t="shared" si="76"/>
        <v>-40.90201982307515</v>
      </c>
      <c r="AM57" s="11">
        <f t="shared" si="76"/>
        <v>-40.90201982307515</v>
      </c>
      <c r="AN57" s="11">
        <f t="shared" si="76"/>
        <v>-40.90201982307515</v>
      </c>
      <c r="AO57" s="11">
        <f t="shared" si="76"/>
        <v>-40.902019823075143</v>
      </c>
      <c r="AP57" s="11">
        <f t="shared" si="76"/>
        <v>-40.90201982307515</v>
      </c>
      <c r="AQ57" s="11">
        <f t="shared" si="76"/>
        <v>-40.90201982307515</v>
      </c>
      <c r="AR57" s="11">
        <f t="shared" si="76"/>
        <v>-40.90201982307515</v>
      </c>
      <c r="AS57" s="11">
        <f t="shared" si="76"/>
        <v>-40.90201982307515</v>
      </c>
      <c r="AT57" s="11">
        <f t="shared" si="76"/>
        <v>-40.90201982307515</v>
      </c>
      <c r="AU57" s="11">
        <f t="shared" si="76"/>
        <v>-40.90201982307515</v>
      </c>
      <c r="AV57" s="11">
        <f t="shared" si="76"/>
        <v>-40.902019823075143</v>
      </c>
      <c r="AW57" s="11">
        <f t="shared" si="76"/>
        <v>-40.90201982307515</v>
      </c>
      <c r="AX57" s="11">
        <f t="shared" si="76"/>
        <v>-40.90201982307515</v>
      </c>
      <c r="AY57" s="11">
        <f t="shared" si="76"/>
        <v>-40.90201982307515</v>
      </c>
      <c r="AZ57" s="11">
        <f t="shared" si="76"/>
        <v>-40.902019823075143</v>
      </c>
      <c r="BA57" s="11">
        <f t="shared" si="76"/>
        <v>-40.90201982307515</v>
      </c>
      <c r="BB57" s="11">
        <f t="shared" si="76"/>
        <v>-40.90201982307515</v>
      </c>
      <c r="BC57" s="11">
        <f t="shared" si="76"/>
        <v>-40.90201982307515</v>
      </c>
      <c r="BD57" s="11">
        <f t="shared" si="76"/>
        <v>-40.902019823075143</v>
      </c>
      <c r="BE57" s="11">
        <f t="shared" si="76"/>
        <v>-40.90201982307515</v>
      </c>
      <c r="BF57" s="11">
        <f t="shared" si="76"/>
        <v>-40.90201982307515</v>
      </c>
      <c r="BG57" s="11">
        <f t="shared" si="76"/>
        <v>-40.902019823075143</v>
      </c>
      <c r="BH57" s="11">
        <f t="shared" si="76"/>
        <v>-40.90201982307515</v>
      </c>
      <c r="BI57" s="11">
        <f t="shared" si="76"/>
        <v>-40.90201982307515</v>
      </c>
      <c r="BJ57" s="11">
        <f t="shared" si="76"/>
        <v>-40.902019823075143</v>
      </c>
      <c r="BK57" s="11">
        <f t="shared" si="76"/>
        <v>-40.902019823075143</v>
      </c>
      <c r="BL57" s="11">
        <f t="shared" si="76"/>
        <v>-40.902019823075143</v>
      </c>
      <c r="BM57" s="11">
        <f t="shared" si="76"/>
        <v>-40.90201982307515</v>
      </c>
      <c r="BN57" s="11">
        <f t="shared" si="76"/>
        <v>-40.90201982307515</v>
      </c>
      <c r="BO57" s="11">
        <f t="shared" si="76"/>
        <v>-40.902019823075143</v>
      </c>
      <c r="BP57" s="11">
        <f t="shared" si="76"/>
        <v>-40.90201982307515</v>
      </c>
      <c r="BQ57" s="11">
        <f t="shared" si="76"/>
        <v>-40.90201982307515</v>
      </c>
      <c r="BR57" s="11">
        <f t="shared" si="76"/>
        <v>-40.902019823075143</v>
      </c>
      <c r="BS57" s="11">
        <f t="shared" ref="BS57:CL57" si="77">PV($F29,BS$9,1,0)+(PV($G$6,84-BS$9,1,0)/($G$6+1)^BS$9)</f>
        <v>-40.902019823075143</v>
      </c>
      <c r="BT57" s="11">
        <f t="shared" si="77"/>
        <v>-40.90201982307515</v>
      </c>
      <c r="BU57" s="11">
        <f t="shared" si="77"/>
        <v>-40.90201982307515</v>
      </c>
      <c r="BV57" s="11">
        <f t="shared" si="77"/>
        <v>-40.90201982307515</v>
      </c>
      <c r="BW57" s="11">
        <f t="shared" si="77"/>
        <v>-40.902019823075143</v>
      </c>
      <c r="BX57" s="11">
        <f t="shared" si="77"/>
        <v>-40.902019823075143</v>
      </c>
      <c r="BY57" s="11">
        <f t="shared" si="77"/>
        <v>-40.902019823075143</v>
      </c>
      <c r="BZ57" s="11">
        <f t="shared" si="77"/>
        <v>-40.902019823075143</v>
      </c>
      <c r="CA57" s="11">
        <f t="shared" si="77"/>
        <v>-40.902019823075143</v>
      </c>
      <c r="CB57" s="11">
        <f t="shared" si="77"/>
        <v>-40.90201982307515</v>
      </c>
      <c r="CC57" s="11">
        <f t="shared" si="77"/>
        <v>-40.90201982307515</v>
      </c>
      <c r="CD57" s="11">
        <f t="shared" si="77"/>
        <v>-40.90201982307515</v>
      </c>
      <c r="CE57" s="11">
        <f t="shared" si="77"/>
        <v>-40.902019823075143</v>
      </c>
      <c r="CF57" s="11">
        <f t="shared" si="77"/>
        <v>-40.90201982307515</v>
      </c>
      <c r="CG57" s="11">
        <f t="shared" si="77"/>
        <v>-40.902019823075143</v>
      </c>
      <c r="CH57" s="11">
        <f t="shared" si="77"/>
        <v>-40.902019823075143</v>
      </c>
      <c r="CI57" s="11">
        <f t="shared" si="77"/>
        <v>-40.902019823075143</v>
      </c>
      <c r="CJ57" s="11">
        <f t="shared" si="77"/>
        <v>-40.902019823075143</v>
      </c>
      <c r="CK57" s="11">
        <f t="shared" si="77"/>
        <v>-40.902019823075143</v>
      </c>
      <c r="CL57" s="11">
        <f t="shared" si="77"/>
        <v>-40.902019823075143</v>
      </c>
    </row>
    <row r="58" spans="7:91" hidden="1" x14ac:dyDescent="0.25">
      <c r="G58" s="11"/>
    </row>
    <row r="59" spans="7:91" hidden="1" x14ac:dyDescent="0.25">
      <c r="G59" s="11"/>
    </row>
  </sheetData>
  <conditionalFormatting sqref="G10:CL29">
    <cfRule type="cellIs" dxfId="63" priority="1" operator="greaterThan">
      <formula>0.016699999</formula>
    </cfRule>
  </conditionalFormatting>
  <pageMargins left="0.5118110236220472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EF92-BF86-420D-89B0-B637F00DD6A6}">
  <sheetPr codeName="Planilha8"/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1">
    <tabColor rgb="FF002060"/>
  </sheetPr>
  <dimension ref="B1:ER1335"/>
  <sheetViews>
    <sheetView showGridLines="0" zoomScale="90" zoomScaleNormal="90" workbookViewId="0">
      <selection activeCell="E26" sqref="E26"/>
    </sheetView>
  </sheetViews>
  <sheetFormatPr defaultColWidth="9.140625" defaultRowHeight="15" x14ac:dyDescent="0.25"/>
  <cols>
    <col min="1" max="1" width="0.7109375" customWidth="1"/>
    <col min="2" max="2" width="12.85546875" style="3" customWidth="1"/>
    <col min="3" max="3" width="20.7109375" style="3" customWidth="1"/>
    <col min="4" max="4" width="13.5703125" style="165" customWidth="1"/>
    <col min="5" max="5" width="25.140625" style="3" customWidth="1"/>
    <col min="6" max="6" width="36" style="3" customWidth="1"/>
    <col min="7" max="7" width="16.7109375" style="3" customWidth="1"/>
    <col min="8" max="8" width="14.7109375" style="3" customWidth="1"/>
    <col min="9" max="9" width="14.28515625" style="3" customWidth="1"/>
    <col min="10" max="10" width="15.7109375" style="3" customWidth="1"/>
    <col min="11" max="11" width="15.85546875" style="3" customWidth="1"/>
    <col min="12" max="12" width="19.28515625" style="3" customWidth="1"/>
    <col min="13" max="13" width="17.28515625" style="3" customWidth="1"/>
    <col min="14" max="20" width="15.42578125" style="3" customWidth="1"/>
    <col min="21" max="21" width="16.140625" style="3" customWidth="1"/>
    <col min="22" max="22" width="14.28515625" style="140" customWidth="1"/>
    <col min="23" max="23" width="12.140625" style="140" customWidth="1"/>
    <col min="24" max="24" width="9.140625" style="140" customWidth="1"/>
    <col min="25" max="25" width="14.28515625" style="140" customWidth="1"/>
    <col min="26" max="26" width="13" style="140" customWidth="1"/>
    <col min="27" max="27" width="12.42578125" style="140" customWidth="1"/>
    <col min="28" max="28" width="9.42578125" style="140" customWidth="1"/>
    <col min="29" max="29" width="10.7109375" style="140" customWidth="1"/>
    <col min="30" max="30" width="12.140625" style="140" customWidth="1"/>
    <col min="31" max="31" width="13.28515625" style="140" customWidth="1"/>
    <col min="32" max="32" width="10" style="140" customWidth="1"/>
    <col min="33" max="33" width="10.28515625" style="140" customWidth="1"/>
    <col min="34" max="39" width="13.85546875" style="140" customWidth="1"/>
    <col min="40" max="40" width="13.7109375" style="140" customWidth="1"/>
    <col min="41" max="41" width="13.85546875" style="140" hidden="1" customWidth="1"/>
    <col min="42" max="42" width="8.140625" style="140" hidden="1" customWidth="1"/>
    <col min="43" max="43" width="9.140625" style="424" hidden="1" customWidth="1"/>
    <col min="44" max="44" width="11.7109375" style="140" hidden="1" customWidth="1"/>
    <col min="45" max="45" width="13.85546875" style="140" hidden="1" customWidth="1"/>
    <col min="46" max="46" width="9.140625" style="140" hidden="1" customWidth="1"/>
    <col min="47" max="47" width="19.42578125" style="425" hidden="1" customWidth="1"/>
    <col min="48" max="48" width="11.28515625" style="140" hidden="1" customWidth="1"/>
    <col min="49" max="49" width="13.28515625" style="140" hidden="1" customWidth="1"/>
    <col min="50" max="50" width="18.7109375" style="140" hidden="1" customWidth="1"/>
    <col min="51" max="51" width="30" style="425" hidden="1" customWidth="1"/>
    <col min="52" max="52" width="11.28515625" style="140" hidden="1" customWidth="1"/>
    <col min="53" max="53" width="12.140625" style="140" hidden="1" customWidth="1"/>
    <col min="54" max="54" width="12.5703125" style="140" customWidth="1"/>
    <col min="55" max="55" width="21.85546875" style="140" customWidth="1"/>
    <col min="56" max="56" width="21.85546875" style="425" customWidth="1"/>
    <col min="57" max="57" width="15.85546875" style="425" customWidth="1"/>
    <col min="58" max="58" width="12.85546875" style="188" customWidth="1"/>
    <col min="59" max="59" width="13.42578125" style="87" customWidth="1"/>
    <col min="60" max="60" width="12.42578125" style="87" customWidth="1"/>
    <col min="61" max="61" width="15.85546875" style="87" customWidth="1"/>
    <col min="62" max="62" width="14.42578125" style="87" customWidth="1"/>
    <col min="63" max="63" width="18.7109375" style="87" customWidth="1"/>
    <col min="64" max="64" width="15" style="87" customWidth="1"/>
    <col min="65" max="65" width="6.5703125" style="87" customWidth="1"/>
    <col min="66" max="73" width="9.140625" style="87" customWidth="1"/>
    <col min="74" max="74" width="19.7109375" style="87" hidden="1" customWidth="1"/>
    <col min="75" max="75" width="9.140625" style="87" hidden="1" customWidth="1"/>
    <col min="76" max="76" width="16.7109375" style="87" hidden="1" customWidth="1"/>
    <col min="77" max="77" width="36.85546875" style="87" hidden="1" customWidth="1"/>
    <col min="78" max="78" width="12.140625" style="177" hidden="1" customWidth="1"/>
    <col min="79" max="79" width="9.85546875" style="188" hidden="1" customWidth="1"/>
    <col min="80" max="80" width="11.140625" style="87" hidden="1" customWidth="1"/>
    <col min="81" max="81" width="13.85546875" style="519" hidden="1" customWidth="1"/>
    <col min="82" max="82" width="9.140625" style="188" hidden="1" customWidth="1"/>
    <col min="83" max="83" width="9.140625" style="420" hidden="1" customWidth="1"/>
    <col min="84" max="84" width="43" style="188" hidden="1" customWidth="1"/>
    <col min="85" max="86" width="22.7109375" style="188" hidden="1" customWidth="1"/>
    <col min="87" max="87" width="14" style="188" hidden="1" customWidth="1"/>
    <col min="88" max="88" width="13.42578125" style="188" hidden="1" customWidth="1"/>
    <col min="89" max="89" width="24.85546875" style="188" hidden="1" customWidth="1"/>
    <col min="90" max="90" width="9.140625" style="87" hidden="1" customWidth="1"/>
    <col min="91" max="91" width="26" style="87" hidden="1" customWidth="1"/>
    <col min="92" max="92" width="25.7109375" style="87" hidden="1" customWidth="1"/>
    <col min="93" max="93" width="9.42578125" style="87" hidden="1" customWidth="1"/>
    <col min="94" max="94" width="4.42578125" style="87" hidden="1" customWidth="1"/>
    <col min="95" max="96" width="3.42578125" style="87" customWidth="1"/>
    <col min="97" max="97" width="4.42578125" style="87" customWidth="1"/>
    <col min="98" max="98" width="11.5703125" style="87" customWidth="1"/>
    <col min="99" max="99" width="19.140625" style="87" customWidth="1"/>
    <col min="100" max="102" width="17.85546875" style="87" customWidth="1"/>
    <col min="103" max="103" width="10.85546875" style="87" customWidth="1"/>
    <col min="104" max="105" width="9.85546875" style="87" customWidth="1"/>
    <col min="106" max="120" width="9.140625" style="87" customWidth="1"/>
    <col min="121" max="121" width="9.85546875" style="87" customWidth="1"/>
    <col min="122" max="122" width="9.140625" style="87" customWidth="1"/>
    <col min="123" max="123" width="11.42578125" style="87" customWidth="1"/>
    <col min="124" max="124" width="18.140625" style="87" customWidth="1"/>
    <col min="125" max="127" width="17.140625" style="87" customWidth="1"/>
    <col min="128" max="128" width="11.140625" style="87" customWidth="1"/>
    <col min="129" max="133" width="12.42578125" style="87" customWidth="1"/>
    <col min="134" max="137" width="10.140625" style="87" customWidth="1"/>
    <col min="138" max="138" width="8.5703125" style="87" customWidth="1"/>
    <col min="139" max="144" width="11.28515625" style="87" customWidth="1"/>
    <col min="145" max="146" width="8.5703125" style="87" customWidth="1"/>
    <col min="147" max="147" width="10.140625" style="87" customWidth="1"/>
    <col min="148" max="148" width="11.28515625" style="87" customWidth="1"/>
    <col min="149" max="150" width="9.140625" customWidth="1"/>
  </cols>
  <sheetData>
    <row r="1" spans="2:148" ht="19.5" thickBot="1" x14ac:dyDescent="0.3">
      <c r="E1" s="588" t="s">
        <v>31</v>
      </c>
      <c r="F1" s="589"/>
      <c r="G1" s="589"/>
      <c r="H1" s="589"/>
      <c r="I1" s="589"/>
      <c r="J1" s="589"/>
      <c r="K1" s="589"/>
      <c r="L1" s="589"/>
      <c r="M1" s="590"/>
      <c r="R1" s="157"/>
      <c r="S1" s="157"/>
      <c r="T1" s="157"/>
      <c r="CM1" s="520" t="s">
        <v>85</v>
      </c>
      <c r="CN1" s="87" t="s">
        <v>97</v>
      </c>
    </row>
    <row r="2" spans="2:148" ht="15.75" thickBot="1" x14ac:dyDescent="0.3">
      <c r="B2"/>
      <c r="C2"/>
      <c r="D2" s="148"/>
      <c r="N2"/>
      <c r="O2"/>
      <c r="P2"/>
      <c r="Q2"/>
      <c r="R2" s="158"/>
      <c r="S2" s="158"/>
      <c r="T2" s="158"/>
      <c r="U2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64"/>
      <c r="AR2" s="87"/>
      <c r="AS2" s="87"/>
      <c r="AT2" s="87"/>
      <c r="AU2" s="188"/>
      <c r="AV2" s="87"/>
      <c r="AW2" s="87"/>
      <c r="AX2" s="87"/>
      <c r="AY2" s="188"/>
      <c r="AZ2" s="87"/>
      <c r="BA2" s="87"/>
      <c r="BB2" s="87"/>
      <c r="BC2" s="87"/>
      <c r="BD2" s="87"/>
      <c r="BE2" s="87"/>
      <c r="BF2" s="87"/>
      <c r="CI2" s="268"/>
      <c r="CJ2" s="87"/>
      <c r="CK2" s="87"/>
      <c r="CM2" s="64" t="s">
        <v>319</v>
      </c>
      <c r="CN2" s="707">
        <v>44.833333333333336</v>
      </c>
    </row>
    <row r="3" spans="2:148" ht="15.75" thickBot="1" x14ac:dyDescent="0.3">
      <c r="B3"/>
      <c r="C3"/>
      <c r="D3" s="148"/>
      <c r="E3" s="600" t="s">
        <v>3148</v>
      </c>
      <c r="F3" s="601"/>
      <c r="G3" s="54" t="s">
        <v>46</v>
      </c>
      <c r="H3" s="54"/>
      <c r="I3" s="55" t="e">
        <f>VLOOKUP(F6,$BX$22:$CJ$42,10,FALSE)</f>
        <v>#N/A</v>
      </c>
      <c r="J3"/>
      <c r="K3"/>
      <c r="L3"/>
      <c r="M3"/>
      <c r="N3"/>
      <c r="O3"/>
      <c r="P3"/>
      <c r="Q3"/>
      <c r="R3" s="158"/>
      <c r="S3" s="158"/>
      <c r="T3" s="158"/>
      <c r="U3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64"/>
      <c r="AR3" s="87"/>
      <c r="AS3" s="87"/>
      <c r="AT3" s="87"/>
      <c r="AU3" s="188"/>
      <c r="AV3" s="87"/>
      <c r="AW3" s="87"/>
      <c r="AX3" s="87"/>
      <c r="AY3" s="188"/>
      <c r="AZ3" s="87"/>
      <c r="BA3" s="87"/>
      <c r="BB3" s="87"/>
      <c r="BC3" s="87"/>
      <c r="BD3" s="87"/>
      <c r="BE3" s="87"/>
      <c r="BF3" s="87"/>
      <c r="CI3" s="268"/>
      <c r="CJ3" s="87"/>
      <c r="CK3" s="87"/>
      <c r="CM3" s="64" t="s">
        <v>213</v>
      </c>
      <c r="CN3" s="707">
        <v>54.5</v>
      </c>
    </row>
    <row r="4" spans="2:148" ht="16.5" thickBot="1" x14ac:dyDescent="0.3">
      <c r="E4" s="602"/>
      <c r="F4" s="603"/>
      <c r="G4"/>
      <c r="H4" s="598" t="s">
        <v>1100</v>
      </c>
      <c r="I4" s="599"/>
      <c r="R4" s="157"/>
      <c r="S4" s="157"/>
      <c r="T4" s="157"/>
      <c r="CM4" s="64" t="s">
        <v>2994</v>
      </c>
      <c r="CN4" s="707">
        <v>46</v>
      </c>
    </row>
    <row r="5" spans="2:148" ht="15.75" thickBot="1" x14ac:dyDescent="0.3">
      <c r="B5"/>
      <c r="C5"/>
      <c r="D5" s="167"/>
      <c r="E5" s="604"/>
      <c r="F5" s="605"/>
      <c r="G5"/>
      <c r="H5"/>
      <c r="I5"/>
      <c r="J5" s="4"/>
      <c r="K5"/>
      <c r="L5"/>
      <c r="M5"/>
      <c r="N5"/>
      <c r="O5"/>
      <c r="P5"/>
      <c r="Q5"/>
      <c r="R5" s="158"/>
      <c r="S5" s="158"/>
      <c r="T5" s="158"/>
      <c r="U5"/>
      <c r="V5" s="87"/>
      <c r="W5" s="87"/>
      <c r="X5" s="87"/>
      <c r="Y5" s="521"/>
      <c r="Z5" s="269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64"/>
      <c r="AR5" s="87"/>
      <c r="AS5" s="87"/>
      <c r="AT5" s="87"/>
      <c r="AU5" s="177">
        <f>VLOOKUP(F6,$CM:$CN,2,FALSE)</f>
        <v>53</v>
      </c>
      <c r="AV5" s="87">
        <f>AU5/30</f>
        <v>1.7666666666666666</v>
      </c>
      <c r="AW5" s="87"/>
      <c r="AX5" s="87"/>
      <c r="AY5" s="188"/>
      <c r="AZ5" s="259"/>
      <c r="BA5" s="87"/>
      <c r="BB5" s="87"/>
      <c r="BC5" s="87"/>
      <c r="BD5" s="188"/>
      <c r="BE5" s="188"/>
      <c r="BY5" s="98"/>
      <c r="CM5" s="64" t="s">
        <v>941</v>
      </c>
      <c r="CN5" s="707">
        <v>43</v>
      </c>
    </row>
    <row r="6" spans="2:148" ht="16.5" thickTop="1" thickBot="1" x14ac:dyDescent="0.3">
      <c r="B6"/>
      <c r="C6"/>
      <c r="D6" s="168"/>
      <c r="E6" s="154" t="s">
        <v>51</v>
      </c>
      <c r="F6" s="23" t="s">
        <v>42</v>
      </c>
      <c r="G6"/>
      <c r="H6" s="594">
        <f ca="1">'CALCULAR SALDO APROXIMADO '!H54</f>
        <v>46162</v>
      </c>
      <c r="I6" s="595"/>
      <c r="J6" s="162"/>
      <c r="K6" s="596" t="s">
        <v>357</v>
      </c>
      <c r="L6" s="597"/>
      <c r="M6" s="283">
        <f ca="1">BA11</f>
        <v>46213</v>
      </c>
      <c r="N6"/>
      <c r="O6"/>
      <c r="P6"/>
      <c r="Q6"/>
      <c r="R6" s="158"/>
      <c r="S6" s="158"/>
      <c r="T6" s="158"/>
      <c r="U6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64"/>
      <c r="AR6" s="87"/>
      <c r="AS6" s="87"/>
      <c r="AT6" s="87"/>
      <c r="AU6" s="188"/>
      <c r="AV6" s="87"/>
      <c r="AW6" s="522">
        <f ca="1">EDATE(AW7,0-1)</f>
        <v>46183</v>
      </c>
      <c r="AX6" s="87"/>
      <c r="AY6" s="188"/>
      <c r="AZ6" s="87"/>
      <c r="BA6" s="87"/>
      <c r="BB6" s="87"/>
      <c r="BC6" s="87"/>
      <c r="BD6" s="87"/>
      <c r="BE6" s="87"/>
      <c r="BF6" s="87"/>
      <c r="BK6" s="259" t="str">
        <f ca="1">IF(AND(BC10=2,BJ10&lt;&gt;"FINAL MÊS",BG10&lt;=BH10,BG10&gt;=BM10),EDATE(AW6,1),"")</f>
        <v/>
      </c>
      <c r="BY6" s="98"/>
      <c r="CI6" s="268"/>
      <c r="CJ6" s="87"/>
      <c r="CK6" s="87"/>
      <c r="CM6" s="64" t="s">
        <v>500</v>
      </c>
      <c r="CN6" s="707"/>
    </row>
    <row r="7" spans="2:148" ht="15.75" thickTop="1" x14ac:dyDescent="0.25">
      <c r="B7"/>
      <c r="C7"/>
      <c r="D7" s="148"/>
      <c r="H7" s="148"/>
      <c r="L7" s="8"/>
      <c r="M7"/>
      <c r="N7"/>
      <c r="O7"/>
      <c r="P7"/>
      <c r="Q7"/>
      <c r="R7" s="158"/>
      <c r="S7" s="158"/>
      <c r="T7" s="158"/>
      <c r="U7"/>
      <c r="V7" s="87"/>
      <c r="W7" s="275"/>
      <c r="X7" s="87"/>
      <c r="Y7" s="87"/>
      <c r="Z7" s="87"/>
      <c r="AA7" s="137">
        <v>2.9999999999999997E-4</v>
      </c>
      <c r="AB7" s="87"/>
      <c r="AC7" s="87"/>
      <c r="AD7" s="87" t="s">
        <v>379</v>
      </c>
      <c r="AE7" s="523">
        <f>VLOOKUP(F6,'Base tabelas'!$A:$Q,15,FALSE)</f>
        <v>20</v>
      </c>
      <c r="AF7" s="137">
        <f>IF(F6="INSS",0%,0.03%)</f>
        <v>0</v>
      </c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426"/>
      <c r="AR7" s="138"/>
      <c r="AS7" s="138"/>
      <c r="AT7" s="138"/>
      <c r="AU7" s="278"/>
      <c r="AV7" s="138"/>
      <c r="AW7" s="524">
        <f ca="1">EDATE(IF(BC10=3,BK10,BL11),AX7)</f>
        <v>46213</v>
      </c>
      <c r="AX7" s="278">
        <f>IFERROR(IFERROR(VLOOKUP(F6,$BZ:$CA,2,FALSE),VLOOKUP(F6,$BX:$BY,2,FALSE)),0)</f>
        <v>0</v>
      </c>
      <c r="AY7" s="278"/>
      <c r="AZ7" s="138"/>
      <c r="BA7" s="138"/>
      <c r="BB7" s="87"/>
      <c r="BC7" s="87"/>
      <c r="BD7" s="188"/>
      <c r="BE7" s="188"/>
      <c r="BY7" s="98"/>
      <c r="CM7" s="64" t="s">
        <v>3841</v>
      </c>
      <c r="CN7" s="707"/>
    </row>
    <row r="8" spans="2:148" x14ac:dyDescent="0.25">
      <c r="B8"/>
      <c r="C8"/>
      <c r="D8" s="167"/>
      <c r="E8" s="2"/>
      <c r="F8" s="2"/>
      <c r="G8" s="2"/>
      <c r="I8" s="2"/>
      <c r="J8" s="2"/>
      <c r="K8" s="2"/>
      <c r="L8" s="2"/>
      <c r="M8"/>
      <c r="N8"/>
      <c r="O8"/>
      <c r="P8"/>
      <c r="Q8"/>
      <c r="R8" s="158"/>
      <c r="S8" s="158"/>
      <c r="T8" s="158"/>
      <c r="U8"/>
      <c r="V8" s="87"/>
      <c r="W8" s="259"/>
      <c r="X8" s="87"/>
      <c r="Y8" s="525"/>
      <c r="Z8" s="269"/>
      <c r="AA8" s="259"/>
      <c r="AB8" s="87"/>
      <c r="AC8" s="87"/>
      <c r="AD8" s="87" t="s">
        <v>40</v>
      </c>
      <c r="AE8" s="137">
        <f>VLOOKUP(F6,'Base tabelas'!$A:$U,20,0)</f>
        <v>1.8500000000000003E-2</v>
      </c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64" t="s">
        <v>8</v>
      </c>
      <c r="AR8" s="87"/>
      <c r="AS8" s="87"/>
      <c r="AT8" s="87"/>
      <c r="AU8" s="188" t="s">
        <v>9</v>
      </c>
      <c r="AV8" s="87"/>
      <c r="AW8" s="87"/>
      <c r="AX8" s="87"/>
      <c r="AY8" s="188" t="s">
        <v>10</v>
      </c>
      <c r="AZ8" s="87"/>
      <c r="BA8" s="87"/>
      <c r="BB8" s="87"/>
      <c r="BC8" s="87"/>
      <c r="BD8" s="87"/>
      <c r="BE8" s="87"/>
      <c r="BF8" s="87"/>
      <c r="BY8" s="98"/>
      <c r="CI8" s="268"/>
      <c r="CJ8" s="87"/>
      <c r="CK8" s="87"/>
      <c r="CM8" s="64" t="s">
        <v>2331</v>
      </c>
      <c r="CN8" s="707"/>
    </row>
    <row r="9" spans="2:148" ht="30" hidden="1" x14ac:dyDescent="0.25">
      <c r="B9"/>
      <c r="C9"/>
      <c r="D9" s="148"/>
      <c r="J9"/>
      <c r="K9"/>
      <c r="L9"/>
      <c r="M9"/>
      <c r="N9"/>
      <c r="O9"/>
      <c r="P9"/>
      <c r="Q9"/>
      <c r="R9" s="158"/>
      <c r="S9" s="158"/>
      <c r="T9" s="158"/>
      <c r="U9"/>
      <c r="V9" s="87"/>
      <c r="W9" s="259"/>
      <c r="X9" s="87"/>
      <c r="Y9" s="87"/>
      <c r="AA9" s="87"/>
      <c r="AB9" s="526"/>
      <c r="AC9" s="87"/>
      <c r="AD9" s="87" t="s">
        <v>41</v>
      </c>
      <c r="AE9" s="527">
        <f>VLOOKUP(F6,'Base tabelas'!$A:$I,9,0)</f>
        <v>10</v>
      </c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608" t="s">
        <v>11</v>
      </c>
      <c r="AR9" s="608"/>
      <c r="AS9" s="609"/>
      <c r="AT9" s="138"/>
      <c r="AU9" s="609" t="s">
        <v>12</v>
      </c>
      <c r="AV9" s="609"/>
      <c r="AW9" s="609"/>
      <c r="AX9" s="138"/>
      <c r="AY9" s="609" t="s">
        <v>13</v>
      </c>
      <c r="AZ9" s="609"/>
      <c r="BA9" s="609"/>
      <c r="BB9" s="270" t="s">
        <v>304</v>
      </c>
      <c r="BC9" s="270" t="s">
        <v>307</v>
      </c>
      <c r="BD9" s="253" t="s">
        <v>308</v>
      </c>
      <c r="BE9" s="253" t="s">
        <v>309</v>
      </c>
      <c r="BF9" s="253" t="s">
        <v>310</v>
      </c>
      <c r="BG9" s="253" t="s">
        <v>311</v>
      </c>
      <c r="BH9" s="253" t="s">
        <v>312</v>
      </c>
      <c r="BI9" s="253"/>
      <c r="BJ9" s="253"/>
      <c r="BK9" s="253" t="s">
        <v>313</v>
      </c>
      <c r="BL9" s="253" t="s">
        <v>314</v>
      </c>
      <c r="BN9" s="87" t="s">
        <v>562</v>
      </c>
      <c r="BY9" s="98"/>
      <c r="CM9" s="64" t="s">
        <v>3439</v>
      </c>
      <c r="CN9" s="707"/>
    </row>
    <row r="10" spans="2:148" ht="30" hidden="1" x14ac:dyDescent="0.25">
      <c r="B10"/>
      <c r="C10"/>
      <c r="D10" s="148"/>
      <c r="E10" s="135">
        <f ca="1">IFERROR(VLOOKUP((IF(E19&gt;$AE$8,Y164,E19)-0.015%),'Batalha Naval (2)'!$F$9:$ET$53,'SIMULADOR COM SALDO'!E17+1,TRUE),0)</f>
        <v>0</v>
      </c>
      <c r="F10" s="135">
        <f ca="1">IFERROR(VLOOKUP((IF(F19&gt;$AE$8,Z164,F19)-0.015%),'Batalha Naval (2)'!$F$9:$ET$53,'SIMULADOR COM SALDO'!F17+1,TRUE),0)</f>
        <v>1.6403994169356024E-2</v>
      </c>
      <c r="G10" s="135">
        <f ca="1">IFERROR(VLOOKUP((IF(G19&gt;$AE$8,AA164,G19)-0.015%),'Batalha Naval (2)'!$F$9:$ET$53,'SIMULADOR COM SALDO'!G17+1,TRUE),0)</f>
        <v>1.5298969089438631E-2</v>
      </c>
      <c r="H10" s="135">
        <f ca="1">IFERROR(VLOOKUP((IF(H19&gt;$AE$8,AB164,H19)-0.015%),'Batalha Naval (2)'!$F$9:$ET$53,'SIMULADOR COM SALDO'!H17+1,TRUE),0)</f>
        <v>1.5298969089438631E-2</v>
      </c>
      <c r="I10" s="135">
        <f>IFERROR(VLOOKUP((IF(I19&gt;$AE$8,AC164,I19)-0.015%),'Batalha Naval (2)'!$F$9:$ET$53,'SIMULADOR COM SALDO'!I17+1,TRUE),0)</f>
        <v>0</v>
      </c>
      <c r="J10" s="135">
        <f>IFERROR(VLOOKUP((IF(J19&gt;$AE$8,AD164,J19)-0.015%),'Batalha Naval (2)'!$F$9:$ET$53,'SIMULADOR COM SALDO'!J17+1,TRUE),0)</f>
        <v>0</v>
      </c>
      <c r="K10" s="135">
        <f>IFERROR(VLOOKUP((IF(K19&gt;$AE$8,AE164,K19)-0.015%),'Batalha Naval (2)'!$F$9:$ET$53,'SIMULADOR COM SALDO'!K17+1,TRUE),0)</f>
        <v>0</v>
      </c>
      <c r="L10" s="135">
        <f>IFERROR(VLOOKUP((IF(L19&gt;$AE$8,AF164,L19)-0.015%),'Batalha Naval (2)'!$F$9:$ET$53,'SIMULADOR COM SALDO'!L17+1,TRUE),0)</f>
        <v>0</v>
      </c>
      <c r="M10" s="135">
        <f>IFERROR(VLOOKUP((IF(M19&gt;$AE$8,AG164,M19)-0.015%),'Batalha Naval (2)'!$F$9:$ET$53,'SIMULADOR COM SALDO'!M17+1,TRUE),0)</f>
        <v>0</v>
      </c>
      <c r="N10" s="135">
        <f>IFERROR(VLOOKUP((IF(N19&gt;$AE$8,AH164,N19)-0.015%),'Batalha Naval (2)'!$F$9:$ET$53,'SIMULADOR COM SALDO'!N17+1,TRUE),0)</f>
        <v>0</v>
      </c>
      <c r="O10" s="135">
        <f>IFERROR(VLOOKUP((IF(O19&gt;$AE$8,AI164,O19)-0.015%),'Batalha Naval (2)'!$F$9:$ET$53,'SIMULADOR COM SALDO'!O17+1,TRUE),0)</f>
        <v>0</v>
      </c>
      <c r="P10" s="135">
        <f>IFERROR(VLOOKUP((IF(P19&gt;$AE$8,AJ164,P19)-0.015%),'Batalha Naval (2)'!$F$9:$ET$53,'SIMULADOR COM SALDO'!P17+1,TRUE),0)</f>
        <v>0</v>
      </c>
      <c r="Q10" s="135">
        <f>IFERROR(VLOOKUP((IF(Q19&gt;$AE$8,AK164,Q19)-0.015%),'Batalha Naval (2)'!$F$9:$ET$53,'SIMULADOR COM SALDO'!Q17+1,TRUE),0)</f>
        <v>0</v>
      </c>
      <c r="R10" s="135">
        <f>IFERROR(VLOOKUP((IF(R19&gt;$AE$8,AL164,R19)-0.015%),'Batalha Naval (2)'!$F$9:$ET$53,'SIMULADOR COM SALDO'!R17+1,TRUE),0)</f>
        <v>0</v>
      </c>
      <c r="S10" s="135">
        <f>IFERROR(VLOOKUP((IF(S19&gt;$AE$8,AM164,S19)-0.015%),'Batalha Naval (2)'!$F$9:$ET$53,'SIMULADOR COM SALDO'!S17+1,TRUE),0)</f>
        <v>0</v>
      </c>
      <c r="T10" s="135">
        <f>IFERROR(VLOOKUP((IF(T19&gt;$AE$8,AN164,T19)-0.015%),'Batalha Naval (2)'!$F$9:$ET$53,'SIMULADOR COM SALDO'!T17+1,TRUE),0)</f>
        <v>0</v>
      </c>
      <c r="U10" s="135">
        <f>IFERROR(VLOOKUP((IF(U19&gt;$AE$8,AO164,U19)-0.015%),'Batalha Naval (2)'!$F$9:$ET$53,'SIMULADOR COM SALDO'!U17+1,TRUE),0)</f>
        <v>0</v>
      </c>
      <c r="V10" s="87"/>
      <c r="W10" s="87"/>
      <c r="AE10" s="139">
        <f ca="1">IF(DAY(AS10)&gt;=AE9,EDATE(AS10-DAY(AS10)+AE9,1),EDATE(AS10-DAY(AS10)+AE9,0))</f>
        <v>46183</v>
      </c>
      <c r="AP10" s="87"/>
      <c r="AQ10" s="528" t="s">
        <v>14</v>
      </c>
      <c r="AR10" s="529"/>
      <c r="AS10" s="530">
        <f ca="1">H6</f>
        <v>46162</v>
      </c>
      <c r="AT10" s="138"/>
      <c r="AU10" s="531" t="s">
        <v>14</v>
      </c>
      <c r="AV10" s="529"/>
      <c r="AW10" s="532">
        <f ca="1">AS10</f>
        <v>46162</v>
      </c>
      <c r="AX10" s="138"/>
      <c r="AY10" s="533" t="s">
        <v>14</v>
      </c>
      <c r="AZ10" s="534"/>
      <c r="BA10" s="532">
        <f ca="1">AW10</f>
        <v>46162</v>
      </c>
      <c r="BB10" s="271">
        <f ca="1">VLOOKUP(H6,CALENDARIO!$C:$G,5,FALSE)</f>
        <v>13</v>
      </c>
      <c r="BC10" s="144">
        <f>_xlfn.NUMBERVALUE(VLOOKUP(F6,'Base tabelas'!$A:$N,14,FALSE))</f>
        <v>3</v>
      </c>
      <c r="BD10" s="141">
        <f>VLOOKUP(F6,'Base tabelas'!$A:$M,13,FALSE)</f>
        <v>3</v>
      </c>
      <c r="BE10" s="145"/>
      <c r="BF10" s="535">
        <f ca="1">IF(BC10=3,BK10,BL11)-AW10</f>
        <v>51</v>
      </c>
      <c r="BG10" s="177">
        <f ca="1">_xlfn.NUMBERVALUE(DAY(H6))</f>
        <v>20</v>
      </c>
      <c r="BH10" s="177">
        <f>_xlfn.NUMBERVALUE(BD10)</f>
        <v>3</v>
      </c>
      <c r="BI10" s="272" t="str">
        <f ca="1">IF(DAY(H6)&gt;AE9,"ALEM VENCIMENTO","")</f>
        <v>ALEM VENCIMENTO</v>
      </c>
      <c r="BJ10" s="188" t="str">
        <f>IF(AND(BC10=2,BD10&gt;=24),"FINAL MÊS","")</f>
        <v/>
      </c>
      <c r="BK10" s="259">
        <f ca="1">IF(BC10=3,IF(AND(BB10&gt;=BD10,BG10&lt;BM10),EDATE(AS11,2),IF(AND(BG10&gt;=BM10),EDATE(AS11,1),EDATE(AS11,1))))</f>
        <v>46213</v>
      </c>
      <c r="BL10" s="273">
        <f ca="1">IF(AND(BC10=2,BJ10&lt;&gt;"FINAL MÊS",BG10&lt;=BH10,BG10&gt;=BM10),EDATE(AS11,0),IF(AND(BC10=2,BJ10&lt;&gt;"FINAL MÊS",BG10&lt;=BH10,BG10&lt;BM10),EDATE(AS11,1),IF(AND(BC10=2,BJ10&lt;&gt;"FINAL MÊS",BG10&gt;BH10,BG10&gt;=BM10),EDATE(AS11,1),IF(AND(BC10=2,BJ10&lt;&gt;"FINAL MÊS",BG10&gt;BH10,BG10&lt;BM10),EDATE(AS11,2),IF(AND(BJ10="FINAL MÊS",BG10&gt;BM10,BG10&lt;BH10),EDATE(AS11,1),IF(AND(BJ10="FINAL MÊS",BG10&lt;=BH10,BG10&gt;=BM10),EDATE(AS11,1),EDATE(AS11,2)))))))</f>
        <v>46244</v>
      </c>
      <c r="BM10" s="274">
        <f>_xlfn.NUMBERVALUE(AE9)</f>
        <v>10</v>
      </c>
      <c r="BN10" s="87" t="str">
        <f>IF(_xlfn.NUMBERVALUE(BO10)=0,0,BO10)</f>
        <v>1</v>
      </c>
      <c r="BO10" s="87" t="str">
        <f>VLOOKUP(F6,'Base tabelas'!$A:$S,18,FALSE)</f>
        <v>1</v>
      </c>
      <c r="CM10" s="64" t="s">
        <v>2995</v>
      </c>
      <c r="CN10" s="707">
        <v>65.375</v>
      </c>
    </row>
    <row r="11" spans="2:148" hidden="1" x14ac:dyDescent="0.25">
      <c r="B11"/>
      <c r="C11"/>
      <c r="D11" s="148"/>
      <c r="E11" s="136">
        <f>VLOOKUP($F$6,'Batalha Naval (2)'!$H$6:$L$6,5,FALSE)</f>
        <v>1.5600000000000001E-2</v>
      </c>
      <c r="F11" s="136">
        <f>VLOOKUP($F$6,'Batalha Naval (2)'!$H$6:$L$6,5,FALSE)</f>
        <v>1.5600000000000001E-2</v>
      </c>
      <c r="G11" s="136">
        <f>VLOOKUP($F$6,'Batalha Naval (2)'!$H$6:$L$6,5,FALSE)</f>
        <v>1.5600000000000001E-2</v>
      </c>
      <c r="H11" s="136">
        <f>VLOOKUP($F$6,'Batalha Naval (2)'!$H$6:$L$6,5,FALSE)</f>
        <v>1.5600000000000001E-2</v>
      </c>
      <c r="I11" s="136">
        <f>VLOOKUP($F$6,'Batalha Naval (2)'!$H$6:$L$6,5,FALSE)</f>
        <v>1.5600000000000001E-2</v>
      </c>
      <c r="J11" s="136">
        <f>VLOOKUP($F$6,'Batalha Naval (2)'!$H$6:$L$6,5,FALSE)</f>
        <v>1.5600000000000001E-2</v>
      </c>
      <c r="K11" s="136">
        <f>VLOOKUP($F$6,'Batalha Naval (2)'!$H$6:$L$6,5,FALSE)</f>
        <v>1.5600000000000001E-2</v>
      </c>
      <c r="L11" s="136">
        <f>VLOOKUP($F$6,'Batalha Naval (2)'!$H$6:$L$6,5,FALSE)</f>
        <v>1.5600000000000001E-2</v>
      </c>
      <c r="M11" s="136">
        <f>VLOOKUP($F$6,'Batalha Naval (2)'!$H$6:$L$6,5,FALSE)</f>
        <v>1.5600000000000001E-2</v>
      </c>
      <c r="N11" s="136">
        <f>VLOOKUP($F$6,'Batalha Naval (2)'!$H$6:$L$6,5,FALSE)</f>
        <v>1.5600000000000001E-2</v>
      </c>
      <c r="O11" s="136">
        <f>VLOOKUP($F$6,'Batalha Naval (2)'!$H$6:$L$6,5,FALSE)</f>
        <v>1.5600000000000001E-2</v>
      </c>
      <c r="P11" s="136">
        <f>VLOOKUP($F$6,'Batalha Naval (2)'!$H$6:$L$6,5,FALSE)</f>
        <v>1.5600000000000001E-2</v>
      </c>
      <c r="Q11" s="136">
        <f>VLOOKUP($F$6,'Batalha Naval (2)'!$H$6:$L$6,5,FALSE)</f>
        <v>1.5600000000000001E-2</v>
      </c>
      <c r="R11" s="136">
        <f>VLOOKUP($F$6,'Batalha Naval (2)'!$H$6:$L$6,5,FALSE)</f>
        <v>1.5600000000000001E-2</v>
      </c>
      <c r="S11" s="136">
        <f>VLOOKUP($F$6,'Batalha Naval (2)'!$H$6:$L$6,5,FALSE)</f>
        <v>1.5600000000000001E-2</v>
      </c>
      <c r="T11" s="136">
        <f>VLOOKUP($F$6,'Batalha Naval (2)'!$H$6:$L$6,5,FALSE)</f>
        <v>1.5600000000000001E-2</v>
      </c>
      <c r="U11" s="136">
        <f>VLOOKUP($F$6,'Batalha Naval (2)'!$H$6:$L$6,5,FALSE)</f>
        <v>1.5600000000000001E-2</v>
      </c>
      <c r="V11" s="87"/>
      <c r="W11" s="259"/>
      <c r="AE11" s="140">
        <f ca="1">VLOOKUP(H6,CALENDARIO!$C:$G,5,FALSE)</f>
        <v>13</v>
      </c>
      <c r="AP11" s="87"/>
      <c r="AQ11" s="536" t="s">
        <v>15</v>
      </c>
      <c r="AR11" s="537"/>
      <c r="AS11" s="538">
        <f ca="1">AE10</f>
        <v>46183</v>
      </c>
      <c r="AT11" s="138"/>
      <c r="AU11" s="539" t="s">
        <v>15</v>
      </c>
      <c r="AV11" s="537"/>
      <c r="AW11" s="139">
        <f ca="1">AW7</f>
        <v>46213</v>
      </c>
      <c r="AX11" s="138"/>
      <c r="AY11" s="531" t="s">
        <v>15</v>
      </c>
      <c r="AZ11" s="529"/>
      <c r="BA11" s="522">
        <f ca="1">AW7</f>
        <v>46213</v>
      </c>
      <c r="BB11" s="87"/>
      <c r="BL11" s="259">
        <f ca="1">IF(AND(BC10=2,BJ10&lt;&gt;"FINAL MÊS",BG10&lt;=BH10,BG10&gt;=BM10),EDATE(AS11,BN10),IF(AND(BC10=2,BJ10&lt;&gt;"FINAL MÊS",BG10&lt;=BH10,BG10&lt;BM10),EDATE(AS11,1),IF(AND(BC10=2,BJ10&lt;&gt;"FINAL MÊS",BG10&gt;BH10,BG10&gt;=BM10),EDATE(AS11,BN10),IF(AND(BC10=2,BJ10&lt;&gt;"FINAL MÊS",BG10&gt;BH10,BG10&lt;BM10),EDATE(AS11,BN10+1),IF(AND(BJ10="FINAL MÊS",BG10&gt;BM10,BG10&lt;BH10),EDATE(AS11,BN10),IF(AND(BJ10="FINAL MÊS",BG10&lt;=BH10,BG10&gt;=BM10),EDATE(AS11,BN10),EDATE(AS11,BN10+1)))))))</f>
        <v>46244</v>
      </c>
      <c r="CM11" s="64" t="s">
        <v>2996</v>
      </c>
      <c r="CN11" s="707">
        <v>55</v>
      </c>
    </row>
    <row r="12" spans="2:148" ht="15.75" thickBot="1" x14ac:dyDescent="0.3">
      <c r="B12"/>
      <c r="C12"/>
      <c r="D12" s="148"/>
      <c r="E12" s="420">
        <f ca="1">IF(_xlfn.NUMBERVALUE(E19)&lt;$F$24,0,1)</f>
        <v>1</v>
      </c>
      <c r="F12" s="420">
        <f ca="1">IF(_xlfn.NUMBERVALUE(F19)&lt;$F$24,0,1)</f>
        <v>1</v>
      </c>
      <c r="G12" s="420">
        <f t="shared" ref="G12:U12" ca="1" si="0">IF(_xlfn.NUMBERVALUE(G19)&lt;$F$24,0,1)</f>
        <v>1</v>
      </c>
      <c r="H12" s="420">
        <f t="shared" ca="1" si="0"/>
        <v>1</v>
      </c>
      <c r="I12" s="420">
        <f t="shared" si="0"/>
        <v>0</v>
      </c>
      <c r="J12" s="420">
        <f t="shared" si="0"/>
        <v>0</v>
      </c>
      <c r="K12" s="420">
        <f t="shared" si="0"/>
        <v>0</v>
      </c>
      <c r="L12" s="420">
        <f t="shared" si="0"/>
        <v>0</v>
      </c>
      <c r="M12" s="420">
        <f t="shared" si="0"/>
        <v>0</v>
      </c>
      <c r="N12" s="420">
        <f t="shared" si="0"/>
        <v>0</v>
      </c>
      <c r="O12" s="420">
        <f t="shared" si="0"/>
        <v>0</v>
      </c>
      <c r="P12" s="420">
        <f t="shared" si="0"/>
        <v>0</v>
      </c>
      <c r="Q12" s="420">
        <f t="shared" si="0"/>
        <v>0</v>
      </c>
      <c r="R12" s="420">
        <f t="shared" si="0"/>
        <v>0</v>
      </c>
      <c r="S12" s="420">
        <f t="shared" si="0"/>
        <v>0</v>
      </c>
      <c r="T12" s="420">
        <f t="shared" si="0"/>
        <v>0</v>
      </c>
      <c r="U12" s="420">
        <f t="shared" si="0"/>
        <v>0</v>
      </c>
      <c r="V12" s="540">
        <f ca="1">SUM(E12:U12)</f>
        <v>4</v>
      </c>
      <c r="W12" s="87"/>
      <c r="AD12" s="140" t="s">
        <v>669</v>
      </c>
      <c r="AE12" s="541">
        <f>VLOOKUP(F6,'Base tabelas'!$A:$U,19,0)</f>
        <v>1.44E-2</v>
      </c>
      <c r="AP12" s="87"/>
      <c r="AQ12" s="607" t="s">
        <v>7</v>
      </c>
      <c r="AR12" s="607"/>
      <c r="AS12" s="542">
        <f>V16</f>
        <v>76500.429999999993</v>
      </c>
      <c r="AT12" s="138"/>
      <c r="AU12" s="607" t="s">
        <v>16</v>
      </c>
      <c r="AV12" s="607"/>
      <c r="AW12" s="277">
        <f ca="1">-AW18</f>
        <v>2167.4700000000003</v>
      </c>
      <c r="AX12" s="138"/>
      <c r="AY12" s="607" t="s">
        <v>17</v>
      </c>
      <c r="AZ12" s="607"/>
      <c r="BA12" s="277">
        <f ca="1">AS12+(AW12)</f>
        <v>78667.899999999994</v>
      </c>
      <c r="BB12" s="87"/>
      <c r="CM12" s="64" t="s">
        <v>651</v>
      </c>
      <c r="CN12" s="707">
        <v>52</v>
      </c>
    </row>
    <row r="13" spans="2:148" s="8" customFormat="1" ht="15.75" thickBot="1" x14ac:dyDescent="0.3">
      <c r="C13" s="610" t="s">
        <v>52</v>
      </c>
      <c r="D13" s="611"/>
      <c r="E13" s="7">
        <v>1</v>
      </c>
      <c r="F13" s="7">
        <v>2</v>
      </c>
      <c r="G13" s="7">
        <v>3</v>
      </c>
      <c r="H13" s="7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7">
        <v>10</v>
      </c>
      <c r="O13" s="7">
        <v>11</v>
      </c>
      <c r="P13" s="7">
        <v>12</v>
      </c>
      <c r="Q13" s="7">
        <v>13</v>
      </c>
      <c r="R13" s="7">
        <v>14</v>
      </c>
      <c r="S13" s="7">
        <v>15</v>
      </c>
      <c r="T13" s="7">
        <v>16</v>
      </c>
      <c r="U13" s="7">
        <v>17</v>
      </c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593" t="s">
        <v>18</v>
      </c>
      <c r="AR13" s="593"/>
      <c r="AS13" s="542">
        <f ca="1">V20</f>
        <v>1589.6100000000001</v>
      </c>
      <c r="AT13" s="276"/>
      <c r="AU13" s="593" t="s">
        <v>19</v>
      </c>
      <c r="AV13" s="593"/>
      <c r="AW13" s="542">
        <f>$E$24</f>
        <v>1589.6100000000001</v>
      </c>
      <c r="AX13" s="276"/>
      <c r="AY13" s="593" t="s">
        <v>18</v>
      </c>
      <c r="AZ13" s="593"/>
      <c r="BA13" s="277">
        <f>AW13</f>
        <v>1589.6100000000001</v>
      </c>
      <c r="BB13" s="133"/>
      <c r="BC13" s="133"/>
      <c r="BD13" s="177"/>
      <c r="BE13" s="177"/>
      <c r="BF13" s="177"/>
      <c r="BG13" s="133"/>
      <c r="BH13" s="133"/>
      <c r="BI13" s="133"/>
      <c r="BJ13" s="133"/>
      <c r="BK13" s="133"/>
      <c r="BL13" s="379" t="str">
        <f ca="1">IF(AND(BC10=2,BJ10&lt;&gt;"FINAL MÊS",BG10&lt;=BH10,BG10&gt;=BM10),EDATE(AS11,1),"")</f>
        <v/>
      </c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77"/>
      <c r="CA13" s="177"/>
      <c r="CB13" s="133"/>
      <c r="CC13" s="307"/>
      <c r="CD13" s="177"/>
      <c r="CE13" s="543"/>
      <c r="CF13" s="177"/>
      <c r="CG13" s="177"/>
      <c r="CH13" s="177"/>
      <c r="CI13" s="177"/>
      <c r="CJ13" s="177"/>
      <c r="CK13" s="177"/>
      <c r="CL13" s="133"/>
      <c r="CM13" s="64" t="s">
        <v>2997</v>
      </c>
      <c r="CN13" s="707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</row>
    <row r="14" spans="2:148" s="42" customFormat="1" hidden="1" x14ac:dyDescent="0.25">
      <c r="C14" s="88"/>
      <c r="D14" s="163"/>
      <c r="E14" s="135">
        <f ca="1">IFERROR(VLOOKUP(IF(E19&gt;$AE$8,Y164,E19),'Batalha Naval (2)'!$F$9:$ET$53,'SIMULADOR COM SALDO'!E17+1,TRUE),0)</f>
        <v>1.5966451111223811E-2</v>
      </c>
      <c r="F14" s="135">
        <f ca="1">IFERROR(VLOOKUP(IF(F19&gt;$AE$8,Z164,F19),'Batalha Naval (2)'!$F$9:$ET$53,'SIMULADOR COM SALDO'!F17+1,TRUE),0)</f>
        <v>1.6488003093821962E-2</v>
      </c>
      <c r="G14" s="135">
        <f ca="1">IFERROR(VLOOKUP(IF(G19&gt;$AE$8,AA164,G19),'Batalha Naval (2)'!$F$9:$ET$53,'SIMULADOR COM SALDO'!G17+1,TRUE),0)</f>
        <v>1.5390537123253176E-2</v>
      </c>
      <c r="H14" s="135">
        <f ca="1">IFERROR(VLOOKUP(IF(H19&gt;$AE$8,AB164,H19),'Batalha Naval (2)'!$F$9:$ET$53,'SIMULADOR COM SALDO'!H17+1,TRUE),0)</f>
        <v>1.5390537123253176E-2</v>
      </c>
      <c r="I14" s="135">
        <f>IFERROR(VLOOKUP(IF(I19&gt;$AE$8,AC164,I19),'Batalha Naval (2)'!$F$9:$ET$53,'SIMULADOR COM SALDO'!I17+1,TRUE),0)</f>
        <v>0</v>
      </c>
      <c r="J14" s="135">
        <f>IFERROR(VLOOKUP(IF(J19&gt;$AE$8,AD164,J19),'Batalha Naval (2)'!$F$9:$ET$53,'SIMULADOR COM SALDO'!J17+1,TRUE),0)</f>
        <v>0</v>
      </c>
      <c r="K14" s="135">
        <f>IFERROR(VLOOKUP(IF(K19&gt;$AE$8,AE164,K19),'Batalha Naval (2)'!$F$9:$ET$53,'SIMULADOR COM SALDO'!K17+1,TRUE),0)</f>
        <v>0</v>
      </c>
      <c r="L14" s="135">
        <f>IFERROR(VLOOKUP(IF(L19&gt;$AE$8,AF164,L19),'Batalha Naval (2)'!$F$9:$ET$53,'SIMULADOR COM SALDO'!L17+1,TRUE),0)</f>
        <v>0</v>
      </c>
      <c r="M14" s="135">
        <f>IFERROR(VLOOKUP(IF(M19&gt;$AE$8,AG164,M19),'Batalha Naval (2)'!$F$9:$ET$53,'SIMULADOR COM SALDO'!M17+1,TRUE),0)</f>
        <v>0</v>
      </c>
      <c r="N14" s="135">
        <f>IFERROR(VLOOKUP(IF(N19&gt;$AE$8,AH164,N19),'Batalha Naval (2)'!$F$9:$ET$53,'SIMULADOR COM SALDO'!N17+1,TRUE),0)</f>
        <v>0</v>
      </c>
      <c r="O14" s="135">
        <f>IFERROR(VLOOKUP(IF(O19&gt;$AE$8,AI164,O19),'Batalha Naval (2)'!$F$9:$ET$53,'SIMULADOR COM SALDO'!O17+1,TRUE),0)</f>
        <v>0</v>
      </c>
      <c r="P14" s="135">
        <f>IFERROR(VLOOKUP(IF(P19&gt;$AE$8,AJ164,P19),'Batalha Naval (2)'!$F$9:$ET$53,'SIMULADOR COM SALDO'!P17+1,TRUE),0)</f>
        <v>0</v>
      </c>
      <c r="Q14" s="135">
        <f>IFERROR(VLOOKUP(IF(Q19&gt;$AE$8,AK164,Q19),'Batalha Naval (2)'!$F$9:$ET$53,'SIMULADOR COM SALDO'!Q17+1,TRUE),0)</f>
        <v>0</v>
      </c>
      <c r="R14" s="135">
        <f>IFERROR(VLOOKUP(IF(R19&gt;$AE$8,AL164,R19),'Batalha Naval (2)'!$F$9:$ET$53,'SIMULADOR COM SALDO'!R17+1,TRUE),0)</f>
        <v>0</v>
      </c>
      <c r="S14" s="135">
        <f>IFERROR(VLOOKUP(IF(S19&gt;$AE$8,AM164,S19),'Batalha Naval (2)'!$F$9:$ET$53,'SIMULADOR COM SALDO'!S17+1,TRUE),0)</f>
        <v>0</v>
      </c>
      <c r="T14" s="135">
        <f>IFERROR(VLOOKUP(IF(T19&gt;$AE$8,AN164,T19),'Batalha Naval (2)'!$F$9:$ET$53,'SIMULADOR COM SALDO'!T17+1,TRUE),0)</f>
        <v>0</v>
      </c>
      <c r="U14" s="135">
        <f>IFERROR(VLOOKUP(IF(U19&gt;$AE$8,AO164,U19),'Batalha Naval (2)'!$F$9:$ET$53,'SIMULADOR COM SALDO'!U17+1,TRUE),0)</f>
        <v>0</v>
      </c>
      <c r="V14" s="544"/>
      <c r="W14" s="544"/>
      <c r="X14" s="544"/>
      <c r="Y14" s="544"/>
      <c r="Z14" s="544"/>
      <c r="AA14" s="544"/>
      <c r="AB14" s="544"/>
      <c r="AC14" s="544"/>
      <c r="AD14" s="544"/>
      <c r="AE14" s="544"/>
      <c r="AF14" s="544"/>
      <c r="AG14" s="141"/>
      <c r="AH14" s="141"/>
      <c r="AI14" s="141"/>
      <c r="AJ14" s="141"/>
      <c r="AK14" s="141"/>
      <c r="AL14" s="141"/>
      <c r="AM14" s="141"/>
      <c r="AN14" s="141"/>
      <c r="AO14" s="141"/>
      <c r="AP14" s="177"/>
      <c r="AQ14" s="612" t="s">
        <v>20</v>
      </c>
      <c r="AR14" s="612"/>
      <c r="AS14" s="545">
        <f>$V$17</f>
        <v>88.752525704757474</v>
      </c>
      <c r="AT14" s="427"/>
      <c r="AU14" s="612" t="s">
        <v>20</v>
      </c>
      <c r="AV14" s="612"/>
      <c r="AW14" s="546">
        <f>BA14-AS14</f>
        <v>7.247474295242526</v>
      </c>
      <c r="AX14" s="427"/>
      <c r="AY14" s="612" t="s">
        <v>20</v>
      </c>
      <c r="AZ14" s="612"/>
      <c r="BA14" s="547">
        <f>VLOOKUP($F$6,'Base tabelas'!$A:$F,6,0)</f>
        <v>96</v>
      </c>
      <c r="BB14" s="177"/>
      <c r="BC14" s="141"/>
      <c r="BD14" s="141"/>
      <c r="BE14" s="141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548"/>
      <c r="CD14" s="177"/>
      <c r="CE14" s="543"/>
      <c r="CF14" s="177"/>
      <c r="CG14" s="177"/>
      <c r="CH14" s="177"/>
      <c r="CI14" s="177"/>
      <c r="CJ14" s="177"/>
      <c r="CK14" s="177"/>
      <c r="CL14" s="177"/>
      <c r="CM14" s="64" t="s">
        <v>2998</v>
      </c>
      <c r="CN14" s="70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77"/>
      <c r="EK14" s="177"/>
      <c r="EL14" s="177"/>
      <c r="EM14" s="177"/>
      <c r="EN14" s="177"/>
      <c r="EO14" s="177"/>
      <c r="EP14" s="177"/>
      <c r="EQ14" s="177"/>
      <c r="ER14" s="177"/>
    </row>
    <row r="15" spans="2:148" s="8" customFormat="1" ht="15.75" x14ac:dyDescent="0.25">
      <c r="C15" s="606" t="s">
        <v>38</v>
      </c>
      <c r="D15" s="606"/>
      <c r="E15" s="95" t="str">
        <f ca="1">IF(E19&lt;$F$24,"Desvincular",IF(E16&lt;&gt;"",IF($E$26&lt;E11-0.03%,IFERROR(IF(E10&lt;(E11-$AF$7),"Desvincular","Manter"),""),""),""))</f>
        <v/>
      </c>
      <c r="F15" s="95" t="str">
        <f ca="1">IF(F19&lt;$F$24,"Desvincular",IF(F16&lt;&gt;"",IF($E$26&lt;F11-0.03%,IFERROR(IF(F10&lt;(F11-$AF$7),"Desvincular","Manter"),""),""),""))</f>
        <v/>
      </c>
      <c r="G15" s="95" t="str">
        <f t="shared" ref="G15:U15" ca="1" si="1">IF(G19&lt;$F$24,"Desvincular",IF(G16&lt;&gt;"",IF($E$26&lt;G11-0.03%,IFERROR(IF(G10&lt;(G11-$AF$7),"Desvincular","Manter"),""),""),""))</f>
        <v/>
      </c>
      <c r="H15" s="95" t="str">
        <f t="shared" ca="1" si="1"/>
        <v/>
      </c>
      <c r="I15" s="95" t="str">
        <f t="shared" si="1"/>
        <v/>
      </c>
      <c r="J15" s="95" t="str">
        <f t="shared" si="1"/>
        <v/>
      </c>
      <c r="K15" s="95" t="str">
        <f t="shared" si="1"/>
        <v/>
      </c>
      <c r="L15" s="95" t="str">
        <f t="shared" si="1"/>
        <v/>
      </c>
      <c r="M15" s="95" t="str">
        <f t="shared" si="1"/>
        <v/>
      </c>
      <c r="N15" s="95" t="str">
        <f t="shared" si="1"/>
        <v/>
      </c>
      <c r="O15" s="95" t="str">
        <f t="shared" si="1"/>
        <v/>
      </c>
      <c r="P15" s="95" t="str">
        <f t="shared" si="1"/>
        <v/>
      </c>
      <c r="Q15" s="95" t="str">
        <f t="shared" si="1"/>
        <v/>
      </c>
      <c r="R15" s="95" t="str">
        <f t="shared" si="1"/>
        <v/>
      </c>
      <c r="S15" s="95" t="str">
        <f t="shared" si="1"/>
        <v/>
      </c>
      <c r="T15" s="95" t="str">
        <f t="shared" si="1"/>
        <v/>
      </c>
      <c r="U15" s="95" t="str">
        <f t="shared" si="1"/>
        <v/>
      </c>
      <c r="V15" s="133"/>
      <c r="W15" s="133"/>
      <c r="X15" s="506"/>
      <c r="Y15" s="506"/>
      <c r="Z15" s="506"/>
      <c r="AA15" s="506"/>
      <c r="AB15" s="506"/>
      <c r="AC15" s="506"/>
      <c r="AD15" s="506"/>
      <c r="AE15" s="506"/>
      <c r="AF15" s="506"/>
      <c r="AG15" s="506"/>
      <c r="AH15" s="506"/>
      <c r="AI15" s="506"/>
      <c r="AJ15" s="506"/>
      <c r="AK15" s="506"/>
      <c r="AL15" s="506"/>
      <c r="AM15" s="506"/>
      <c r="AN15" s="506"/>
      <c r="AO15" s="506"/>
      <c r="AP15" s="133"/>
      <c r="AQ15" s="593" t="s">
        <v>21</v>
      </c>
      <c r="AR15" s="593"/>
      <c r="AS15" s="550">
        <f ca="1">AS167</f>
        <v>1.5507565581776461E-2</v>
      </c>
      <c r="AT15" s="276"/>
      <c r="AU15" s="593" t="s">
        <v>22</v>
      </c>
      <c r="AV15" s="593"/>
      <c r="AW15" s="551">
        <f>AE8</f>
        <v>1.8500000000000003E-2</v>
      </c>
      <c r="AX15" s="276"/>
      <c r="AY15" s="593" t="s">
        <v>23</v>
      </c>
      <c r="AZ15" s="593"/>
      <c r="BA15" s="552">
        <f ca="1">ROUND(BC167,4)</f>
        <v>1.5599999999999999E-2</v>
      </c>
      <c r="BB15" s="133"/>
      <c r="BC15" s="506"/>
      <c r="BD15" s="141"/>
      <c r="BE15" s="141"/>
      <c r="BF15" s="177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77"/>
      <c r="CA15" s="177"/>
      <c r="CB15" s="133"/>
      <c r="CC15" s="307"/>
      <c r="CD15" s="177"/>
      <c r="CE15" s="543"/>
      <c r="CF15" s="177"/>
      <c r="CG15" s="177"/>
      <c r="CH15" s="177"/>
      <c r="CI15" s="177"/>
      <c r="CJ15" s="177"/>
      <c r="CK15" s="177"/>
      <c r="CL15" s="133"/>
      <c r="CM15" s="549" t="s">
        <v>72</v>
      </c>
      <c r="CN15" s="708">
        <v>51.125</v>
      </c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</row>
    <row r="16" spans="2:148" ht="15.75" x14ac:dyDescent="0.25">
      <c r="B16" s="613" t="s">
        <v>64</v>
      </c>
      <c r="C16" s="621" t="s">
        <v>1</v>
      </c>
      <c r="D16" s="621"/>
      <c r="E16" s="39">
        <v>2809.77</v>
      </c>
      <c r="F16" s="39">
        <v>3196.9</v>
      </c>
      <c r="G16" s="39">
        <v>56970.47</v>
      </c>
      <c r="H16" s="39">
        <v>13523.29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182">
        <f>SUMIF(E21:U21,1,E16:U16)</f>
        <v>76500.429999999993</v>
      </c>
      <c r="W16" s="87"/>
      <c r="AP16" s="87"/>
      <c r="AQ16" s="426"/>
      <c r="AR16" s="138"/>
      <c r="AS16" s="138"/>
      <c r="AT16" s="138"/>
      <c r="AU16" s="278"/>
      <c r="AV16" s="138"/>
      <c r="AW16" s="138"/>
      <c r="AX16" s="138"/>
      <c r="AY16" s="278"/>
      <c r="AZ16" s="138"/>
      <c r="BA16" s="138"/>
      <c r="BB16" s="87"/>
      <c r="CM16" s="64" t="s">
        <v>2999</v>
      </c>
      <c r="CN16" s="707">
        <v>43</v>
      </c>
    </row>
    <row r="17" spans="2:148" ht="15.75" x14ac:dyDescent="0.25">
      <c r="B17" s="614"/>
      <c r="C17" s="621" t="s">
        <v>54</v>
      </c>
      <c r="D17" s="621"/>
      <c r="E17" s="40">
        <v>64</v>
      </c>
      <c r="F17" s="40">
        <v>83</v>
      </c>
      <c r="G17" s="40">
        <v>90</v>
      </c>
      <c r="H17" s="40">
        <v>90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182">
        <f>SUMPRODUCT(E17:U17,$E$16:$U$16)/V16</f>
        <v>88.752525704757474</v>
      </c>
      <c r="W17" s="87"/>
      <c r="Z17" s="87" t="s">
        <v>2</v>
      </c>
      <c r="AP17" s="87"/>
      <c r="AQ17" s="426"/>
      <c r="AR17" s="138"/>
      <c r="AS17" s="138"/>
      <c r="AT17" s="138"/>
      <c r="AU17" s="278"/>
      <c r="AV17" s="138"/>
      <c r="AW17" s="138"/>
      <c r="AX17" s="138"/>
      <c r="AY17" s="278"/>
      <c r="AZ17" s="138"/>
      <c r="BA17" s="138"/>
      <c r="BB17" s="87"/>
      <c r="CM17" s="64" t="s">
        <v>3000</v>
      </c>
      <c r="CN17" s="707">
        <v>34.6</v>
      </c>
      <c r="DR17" s="188"/>
      <c r="DS17" s="167" t="s">
        <v>467</v>
      </c>
      <c r="DT17" s="264">
        <f t="shared" ref="DT17:EH17" ca="1" si="2">IFERROR(((CU163+$AS$18)*-1)/1.03129,"")</f>
        <v>6726.9481013203722</v>
      </c>
      <c r="DU17" s="264">
        <f t="shared" ca="1" si="2"/>
        <v>5513.505025180064</v>
      </c>
      <c r="DV17" s="264">
        <f t="shared" ca="1" si="2"/>
        <v>4769.2010148453701</v>
      </c>
      <c r="DW17" s="264">
        <f t="shared" ca="1" si="2"/>
        <v>4012.4150644580141</v>
      </c>
      <c r="DX17" s="264">
        <f t="shared" ca="1" si="2"/>
        <v>3242.8924141322964</v>
      </c>
      <c r="DY17" s="264">
        <f t="shared" ca="1" si="2"/>
        <v>2460.3724972465375</v>
      </c>
      <c r="DZ17" s="264">
        <f t="shared" ca="1" si="2"/>
        <v>1931.3404855945632</v>
      </c>
      <c r="EA17" s="264">
        <f t="shared" ca="1" si="2"/>
        <v>855.26870698729419</v>
      </c>
      <c r="EB17" s="264">
        <f t="shared" ca="1" si="2"/>
        <v>308.06431712389457</v>
      </c>
      <c r="EC17" s="264">
        <f t="shared" ca="1" si="2"/>
        <v>-245.36424765791813</v>
      </c>
      <c r="ED17" s="264">
        <f t="shared" ca="1" si="2"/>
        <v>-805.1024685070513</v>
      </c>
      <c r="EE17" s="264" t="str">
        <f t="shared" ca="1" si="2"/>
        <v/>
      </c>
      <c r="EF17" s="264" t="str">
        <f t="shared" ca="1" si="2"/>
        <v/>
      </c>
      <c r="EG17" s="264" t="str">
        <f t="shared" ca="1" si="2"/>
        <v/>
      </c>
      <c r="EH17" s="264" t="str">
        <f t="shared" ca="1" si="2"/>
        <v/>
      </c>
      <c r="EI17" s="264" t="str">
        <f t="shared" ref="EI17:EP17" ca="1" si="3">IFERROR(((DJ163+$AS$18)*-1)/1.03129,"")</f>
        <v/>
      </c>
      <c r="EJ17" s="264" t="str">
        <f t="shared" ca="1" si="3"/>
        <v/>
      </c>
      <c r="EK17" s="264" t="str">
        <f t="shared" ca="1" si="3"/>
        <v/>
      </c>
      <c r="EL17" s="264" t="str">
        <f t="shared" ca="1" si="3"/>
        <v/>
      </c>
      <c r="EM17" s="264" t="str">
        <f t="shared" ca="1" si="3"/>
        <v/>
      </c>
      <c r="EN17" s="264" t="str">
        <f t="shared" ca="1" si="3"/>
        <v/>
      </c>
      <c r="EO17" s="264" t="str">
        <f t="shared" ca="1" si="3"/>
        <v/>
      </c>
      <c r="EP17" s="264" t="str">
        <f t="shared" ca="1" si="3"/>
        <v/>
      </c>
      <c r="EQ17" s="264"/>
      <c r="ER17" s="264"/>
    </row>
    <row r="18" spans="2:148" ht="15.75" x14ac:dyDescent="0.25">
      <c r="B18" s="614"/>
      <c r="C18" s="621" t="s">
        <v>59</v>
      </c>
      <c r="D18" s="621"/>
      <c r="E18" s="39">
        <v>67.81</v>
      </c>
      <c r="F18" s="39">
        <v>70.569999999999993</v>
      </c>
      <c r="G18" s="39">
        <v>1172.83</v>
      </c>
      <c r="H18" s="39">
        <v>278.39999999999998</v>
      </c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540">
        <f>SUMIF(E21:U21,1,E18:U18)</f>
        <v>1589.6100000000001</v>
      </c>
      <c r="W18" s="87"/>
      <c r="X18" s="87">
        <v>0</v>
      </c>
      <c r="Y18" s="553">
        <f>-E16</f>
        <v>-2809.77</v>
      </c>
      <c r="Z18" s="553">
        <f t="shared" ref="Z18:AO18" si="4">-F16</f>
        <v>-3196.9</v>
      </c>
      <c r="AA18" s="553">
        <f t="shared" si="4"/>
        <v>-56970.47</v>
      </c>
      <c r="AB18" s="553">
        <f t="shared" si="4"/>
        <v>-13523.29</v>
      </c>
      <c r="AC18" s="553">
        <f t="shared" si="4"/>
        <v>0</v>
      </c>
      <c r="AD18" s="553">
        <f t="shared" si="4"/>
        <v>0</v>
      </c>
      <c r="AE18" s="553">
        <f t="shared" si="4"/>
        <v>0</v>
      </c>
      <c r="AF18" s="553">
        <f t="shared" si="4"/>
        <v>0</v>
      </c>
      <c r="AG18" s="553">
        <f t="shared" si="4"/>
        <v>0</v>
      </c>
      <c r="AH18" s="553">
        <f t="shared" si="4"/>
        <v>0</v>
      </c>
      <c r="AI18" s="553">
        <f t="shared" si="4"/>
        <v>0</v>
      </c>
      <c r="AJ18" s="553">
        <f t="shared" si="4"/>
        <v>0</v>
      </c>
      <c r="AK18" s="553">
        <f t="shared" si="4"/>
        <v>0</v>
      </c>
      <c r="AL18" s="553">
        <f t="shared" si="4"/>
        <v>0</v>
      </c>
      <c r="AM18" s="553">
        <f t="shared" si="4"/>
        <v>0</v>
      </c>
      <c r="AN18" s="553">
        <f t="shared" si="4"/>
        <v>0</v>
      </c>
      <c r="AO18" s="553">
        <f t="shared" si="4"/>
        <v>0</v>
      </c>
      <c r="AP18" s="87"/>
      <c r="AQ18" s="426">
        <v>0</v>
      </c>
      <c r="AR18" s="258">
        <f ca="1">AS10</f>
        <v>46162</v>
      </c>
      <c r="AS18" s="554">
        <f>-AS12</f>
        <v>-76500.429999999993</v>
      </c>
      <c r="AT18" s="138"/>
      <c r="AU18" s="278">
        <v>0</v>
      </c>
      <c r="AV18" s="258">
        <f ca="1">AW10</f>
        <v>46162</v>
      </c>
      <c r="AW18" s="554">
        <f ca="1">-SUM(AX19:AX162)</f>
        <v>-2167.4700000000003</v>
      </c>
      <c r="AX18" s="138"/>
      <c r="AY18" s="278">
        <v>0</v>
      </c>
      <c r="AZ18" s="258">
        <f ca="1">BA10</f>
        <v>46162</v>
      </c>
      <c r="BA18" s="555">
        <f ca="1">ROUND(-BA12,2)</f>
        <v>-78667.899999999994</v>
      </c>
      <c r="BB18" s="259">
        <f ca="1">AR18</f>
        <v>46162</v>
      </c>
      <c r="BC18" s="428">
        <f ca="1">AW18</f>
        <v>-2167.4700000000003</v>
      </c>
      <c r="BD18" s="556">
        <f t="shared" ref="BD18:BT18" si="5">-E16</f>
        <v>-2809.77</v>
      </c>
      <c r="BE18" s="557">
        <f t="shared" si="5"/>
        <v>-3196.9</v>
      </c>
      <c r="BF18" s="557">
        <f t="shared" si="5"/>
        <v>-56970.47</v>
      </c>
      <c r="BG18" s="202">
        <f t="shared" si="5"/>
        <v>-13523.29</v>
      </c>
      <c r="BH18" s="202">
        <f t="shared" si="5"/>
        <v>0</v>
      </c>
      <c r="BI18" s="202">
        <f t="shared" si="5"/>
        <v>0</v>
      </c>
      <c r="BJ18" s="202">
        <f t="shared" si="5"/>
        <v>0</v>
      </c>
      <c r="BK18" s="202">
        <f t="shared" si="5"/>
        <v>0</v>
      </c>
      <c r="BL18" s="202">
        <f t="shared" si="5"/>
        <v>0</v>
      </c>
      <c r="BM18" s="202">
        <f t="shared" si="5"/>
        <v>0</v>
      </c>
      <c r="BN18" s="202">
        <f t="shared" si="5"/>
        <v>0</v>
      </c>
      <c r="BO18" s="202">
        <f t="shared" si="5"/>
        <v>0</v>
      </c>
      <c r="BP18" s="202">
        <f t="shared" si="5"/>
        <v>0</v>
      </c>
      <c r="BQ18" s="202">
        <f t="shared" si="5"/>
        <v>0</v>
      </c>
      <c r="BR18" s="202">
        <f t="shared" si="5"/>
        <v>0</v>
      </c>
      <c r="BS18" s="202">
        <f t="shared" si="5"/>
        <v>0</v>
      </c>
      <c r="BT18" s="202">
        <f t="shared" si="5"/>
        <v>0</v>
      </c>
      <c r="BU18" s="202"/>
      <c r="CM18" s="64" t="s">
        <v>3001</v>
      </c>
      <c r="CN18" s="707">
        <v>49.5</v>
      </c>
      <c r="CP18" s="87">
        <f>COUNTIFS($CM:$CM,"&lt;&gt;"&amp;CP16)-1</f>
        <v>274</v>
      </c>
      <c r="CS18" s="138">
        <v>0</v>
      </c>
      <c r="CT18" s="259">
        <f ca="1">AZ18</f>
        <v>46162</v>
      </c>
      <c r="CU18" s="265">
        <f>$I$28</f>
        <v>1.8500000000000003E-2</v>
      </c>
      <c r="CV18" s="265">
        <f>$I$29</f>
        <v>1.8000000000000002E-2</v>
      </c>
      <c r="CW18" s="265">
        <f>$I$30</f>
        <v>1.77E-2</v>
      </c>
      <c r="CX18" s="265">
        <f>$I$31</f>
        <v>1.7399999999999999E-2</v>
      </c>
      <c r="CY18" s="265">
        <f>$I$32</f>
        <v>1.7100000000000001E-2</v>
      </c>
      <c r="CZ18" s="266">
        <f>$I$33</f>
        <v>1.6799999999999999E-2</v>
      </c>
      <c r="DA18" s="266">
        <f>$I$34</f>
        <v>1.66E-2</v>
      </c>
      <c r="DB18" s="266">
        <f>$I$35</f>
        <v>1.6200000000000003E-2</v>
      </c>
      <c r="DC18" s="266">
        <f>$I$36</f>
        <v>1.6E-2</v>
      </c>
      <c r="DD18" s="266">
        <f>$I$37</f>
        <v>1.5800000000000002E-2</v>
      </c>
      <c r="DE18" s="266">
        <f>$I$38</f>
        <v>1.5600000000000001E-2</v>
      </c>
      <c r="DF18" s="266" t="str">
        <f>$I$39</f>
        <v/>
      </c>
      <c r="DG18" s="266" t="str">
        <f>$I$40</f>
        <v/>
      </c>
      <c r="DH18" s="266" t="str">
        <f>$I$41</f>
        <v/>
      </c>
      <c r="DI18" s="266" t="str">
        <f>$I$42</f>
        <v/>
      </c>
      <c r="DJ18" s="266" t="str">
        <f>$I$43</f>
        <v/>
      </c>
      <c r="DK18" s="266" t="str">
        <f>$I$44</f>
        <v/>
      </c>
      <c r="DL18" s="266" t="str">
        <f>$I$45</f>
        <v/>
      </c>
      <c r="DM18" s="266" t="str">
        <f>$I$46</f>
        <v/>
      </c>
      <c r="DN18" s="266" t="str">
        <f>$I$47</f>
        <v/>
      </c>
      <c r="DO18" s="266" t="str">
        <f>$I$48</f>
        <v/>
      </c>
      <c r="DP18" s="266" t="str">
        <f>$I$49</f>
        <v/>
      </c>
      <c r="DQ18" s="266" t="str">
        <f>$I$50</f>
        <v/>
      </c>
      <c r="DR18" s="278">
        <v>0</v>
      </c>
      <c r="DS18" s="558">
        <f ca="1">CT18</f>
        <v>46162</v>
      </c>
      <c r="DT18" s="559">
        <f t="shared" ref="DT18:EH18" ca="1" si="6">IFERROR(((CU163+$AS$18)*-1),"")</f>
        <v>6937.4343074106873</v>
      </c>
      <c r="DU18" s="559">
        <f t="shared" ca="1" si="6"/>
        <v>5686.0225974179484</v>
      </c>
      <c r="DV18" s="559">
        <f t="shared" ca="1" si="6"/>
        <v>4918.4293145998818</v>
      </c>
      <c r="DW18" s="559">
        <f t="shared" ca="1" si="6"/>
        <v>4137.9635318249057</v>
      </c>
      <c r="DX18" s="559">
        <f t="shared" ca="1" si="6"/>
        <v>3344.3625177704962</v>
      </c>
      <c r="DY18" s="559">
        <f t="shared" ca="1" si="6"/>
        <v>2537.357552685382</v>
      </c>
      <c r="DZ18" s="559">
        <f t="shared" ca="1" si="6"/>
        <v>1991.7721293888171</v>
      </c>
      <c r="EA18" s="559">
        <f t="shared" ca="1" si="6"/>
        <v>882.0300648289267</v>
      </c>
      <c r="EB18" s="559">
        <f t="shared" ca="1" si="6"/>
        <v>317.70364960670122</v>
      </c>
      <c r="EC18" s="559">
        <f t="shared" ca="1" si="6"/>
        <v>-253.04169496713439</v>
      </c>
      <c r="ED18" s="559">
        <f t="shared" ca="1" si="6"/>
        <v>-830.29412474663695</v>
      </c>
      <c r="EE18" s="559" t="str">
        <f t="shared" ca="1" si="6"/>
        <v/>
      </c>
      <c r="EF18" s="559" t="str">
        <f t="shared" ca="1" si="6"/>
        <v/>
      </c>
      <c r="EG18" s="559" t="str">
        <f t="shared" ca="1" si="6"/>
        <v/>
      </c>
      <c r="EH18" s="559" t="str">
        <f t="shared" ca="1" si="6"/>
        <v/>
      </c>
      <c r="EI18" s="559" t="str">
        <f t="shared" ref="EI18:EP18" ca="1" si="7">IFERROR(((DJ163+$AS$18)*-1),"")</f>
        <v/>
      </c>
      <c r="EJ18" s="559" t="str">
        <f t="shared" ca="1" si="7"/>
        <v/>
      </c>
      <c r="EK18" s="559" t="str">
        <f t="shared" ca="1" si="7"/>
        <v/>
      </c>
      <c r="EL18" s="559" t="str">
        <f t="shared" ca="1" si="7"/>
        <v/>
      </c>
      <c r="EM18" s="559" t="str">
        <f t="shared" ca="1" si="7"/>
        <v/>
      </c>
      <c r="EN18" s="559" t="str">
        <f t="shared" ca="1" si="7"/>
        <v/>
      </c>
      <c r="EO18" s="559" t="str">
        <f t="shared" ca="1" si="7"/>
        <v/>
      </c>
      <c r="EP18" s="559" t="str">
        <f t="shared" ca="1" si="7"/>
        <v/>
      </c>
      <c r="EQ18" s="559"/>
      <c r="ER18" s="559"/>
    </row>
    <row r="19" spans="2:148" ht="15.75" x14ac:dyDescent="0.25">
      <c r="B19" s="614"/>
      <c r="C19" s="623" t="s">
        <v>26</v>
      </c>
      <c r="D19" s="624"/>
      <c r="E19" s="200">
        <f t="shared" ref="E19:U19" ca="1" si="8">IFERROR(IF(E16="","",BD164),0)</f>
        <v>1.4520866432916391E-2</v>
      </c>
      <c r="F19" s="200">
        <f t="shared" ca="1" si="8"/>
        <v>1.6223327723757119E-2</v>
      </c>
      <c r="G19" s="200">
        <f t="shared" ca="1" si="8"/>
        <v>1.5277041642400624E-2</v>
      </c>
      <c r="H19" s="200">
        <f t="shared" ca="1" si="8"/>
        <v>1.5277146676963227E-2</v>
      </c>
      <c r="I19" s="200" t="str">
        <f t="shared" si="8"/>
        <v/>
      </c>
      <c r="J19" s="200" t="str">
        <f t="shared" si="8"/>
        <v/>
      </c>
      <c r="K19" s="200" t="str">
        <f t="shared" si="8"/>
        <v/>
      </c>
      <c r="L19" s="200" t="str">
        <f t="shared" si="8"/>
        <v/>
      </c>
      <c r="M19" s="200" t="str">
        <f t="shared" si="8"/>
        <v/>
      </c>
      <c r="N19" s="200" t="str">
        <f t="shared" si="8"/>
        <v/>
      </c>
      <c r="O19" s="200" t="str">
        <f t="shared" si="8"/>
        <v/>
      </c>
      <c r="P19" s="200" t="str">
        <f t="shared" si="8"/>
        <v/>
      </c>
      <c r="Q19" s="200" t="str">
        <f t="shared" si="8"/>
        <v/>
      </c>
      <c r="R19" s="200" t="str">
        <f t="shared" si="8"/>
        <v/>
      </c>
      <c r="S19" s="200" t="str">
        <f t="shared" si="8"/>
        <v/>
      </c>
      <c r="T19" s="200" t="str">
        <f t="shared" si="8"/>
        <v/>
      </c>
      <c r="U19" s="494" t="str">
        <f t="shared" si="8"/>
        <v/>
      </c>
      <c r="V19" s="540"/>
      <c r="W19" s="87"/>
      <c r="X19" s="87">
        <v>1</v>
      </c>
      <c r="Y19" s="87">
        <f ca="1">IF($X19&lt;=E$17,E$20,0)</f>
        <v>67.81</v>
      </c>
      <c r="Z19" s="87">
        <f t="shared" ref="Z19:AO19" ca="1" si="9">IF($X19&lt;=F$17,F$20,0)</f>
        <v>70.569999999999993</v>
      </c>
      <c r="AA19" s="87">
        <f t="shared" ca="1" si="9"/>
        <v>1172.83</v>
      </c>
      <c r="AB19" s="87">
        <f t="shared" ca="1" si="9"/>
        <v>278.39999999999998</v>
      </c>
      <c r="AC19" s="87">
        <f t="shared" si="9"/>
        <v>0</v>
      </c>
      <c r="AD19" s="87">
        <f t="shared" si="9"/>
        <v>0</v>
      </c>
      <c r="AE19" s="87">
        <f t="shared" si="9"/>
        <v>0</v>
      </c>
      <c r="AF19" s="87">
        <f t="shared" si="9"/>
        <v>0</v>
      </c>
      <c r="AG19" s="87">
        <f t="shared" si="9"/>
        <v>0</v>
      </c>
      <c r="AH19" s="87">
        <f t="shared" si="9"/>
        <v>0</v>
      </c>
      <c r="AI19" s="87">
        <f t="shared" si="9"/>
        <v>0</v>
      </c>
      <c r="AJ19" s="87">
        <f t="shared" si="9"/>
        <v>0</v>
      </c>
      <c r="AK19" s="87">
        <f t="shared" si="9"/>
        <v>0</v>
      </c>
      <c r="AL19" s="87">
        <f t="shared" si="9"/>
        <v>0</v>
      </c>
      <c r="AM19" s="87">
        <f t="shared" si="9"/>
        <v>0</v>
      </c>
      <c r="AN19" s="87">
        <f t="shared" si="9"/>
        <v>0</v>
      </c>
      <c r="AO19" s="87">
        <f t="shared" si="9"/>
        <v>0</v>
      </c>
      <c r="AP19" s="87"/>
      <c r="AQ19" s="426">
        <v>1</v>
      </c>
      <c r="AR19" s="258">
        <f ca="1">AS11</f>
        <v>46183</v>
      </c>
      <c r="AS19" s="429">
        <f t="shared" ref="AS19:AS50" ca="1" si="10">SUM(Y19:AO19)</f>
        <v>1589.6100000000001</v>
      </c>
      <c r="AT19" s="138"/>
      <c r="AU19" s="278">
        <v>1</v>
      </c>
      <c r="AV19" s="258">
        <f ca="1">AW11</f>
        <v>46213</v>
      </c>
      <c r="AW19" s="429">
        <f ca="1">IF(AU19&gt;$BA$14,0,BA19-AS19)</f>
        <v>0</v>
      </c>
      <c r="AX19" s="202">
        <f ca="1">ROUND(AW19/(1+$AW$15)^((AV19-$AV$18)/30),2)</f>
        <v>0</v>
      </c>
      <c r="AY19" s="278">
        <v>1</v>
      </c>
      <c r="AZ19" s="258">
        <f ca="1">BA11</f>
        <v>46213</v>
      </c>
      <c r="BA19" s="429">
        <f>IF(AY19&gt;$BA$14,0,$BA$13)</f>
        <v>1589.6100000000001</v>
      </c>
      <c r="BB19" s="259">
        <f t="shared" ref="BB19:BB82" ca="1" si="11">AR19</f>
        <v>46183</v>
      </c>
      <c r="BC19" s="428">
        <f ca="1">IFERROR(VLOOKUP(BB19,$AZ$18:$BA$164,2,FALSE),0)-IFERROR(VLOOKUP(BB19,$AR$18:$AS$164,2,FALSE),0)</f>
        <v>-1589.6100000000001</v>
      </c>
      <c r="BD19" s="188">
        <f t="shared" ref="BD19:BD50" si="12">IF($X19&lt;=E$17,E$18,0)</f>
        <v>67.81</v>
      </c>
      <c r="BE19" s="188">
        <f t="shared" ref="BE19:BE50" si="13">IF($X19&lt;=F$17,F$18,0)</f>
        <v>70.569999999999993</v>
      </c>
      <c r="BF19" s="188">
        <f t="shared" ref="BF19:BF50" si="14">IF($X19&lt;=G$17,G$18,0)</f>
        <v>1172.83</v>
      </c>
      <c r="BG19" s="87">
        <f t="shared" ref="BG19:BG50" si="15">IF($X19&lt;=H$17,H$18,0)</f>
        <v>278.39999999999998</v>
      </c>
      <c r="BH19" s="87">
        <f t="shared" ref="BH19:BH50" si="16">IF($X19&lt;=I$17,I$18,0)</f>
        <v>0</v>
      </c>
      <c r="BI19" s="87">
        <f t="shared" ref="BI19:BI50" si="17">IF($X19&lt;=J$17,J$18,0)</f>
        <v>0</v>
      </c>
      <c r="BJ19" s="87">
        <f t="shared" ref="BJ19:BJ50" si="18">IF($X19&lt;=K$17,K$18,0)</f>
        <v>0</v>
      </c>
      <c r="BK19" s="87">
        <f t="shared" ref="BK19:BK50" si="19">IF($X19&lt;=L$17,L$18,0)</f>
        <v>0</v>
      </c>
      <c r="BL19" s="87">
        <f t="shared" ref="BL19:BL50" si="20">IF($X19&lt;=M$17,M$18,0)</f>
        <v>0</v>
      </c>
      <c r="BM19" s="87">
        <f t="shared" ref="BM19:BM50" si="21">IF($X19&lt;=N$17,N$18,0)</f>
        <v>0</v>
      </c>
      <c r="BN19" s="87">
        <f t="shared" ref="BN19:BN50" si="22">IF($X19&lt;=O$17,O$18,0)</f>
        <v>0</v>
      </c>
      <c r="BO19" s="87">
        <f t="shared" ref="BO19:BO50" si="23">IF($X19&lt;=P$17,P$18,0)</f>
        <v>0</v>
      </c>
      <c r="BP19" s="87">
        <f t="shared" ref="BP19:BP50" si="24">IF($X19&lt;=Q$17,Q$18,0)</f>
        <v>0</v>
      </c>
      <c r="BQ19" s="87">
        <f t="shared" ref="BQ19:BQ50" si="25">IF($X19&lt;=R$17,R$18,0)</f>
        <v>0</v>
      </c>
      <c r="BR19" s="87">
        <f t="shared" ref="BR19:BR50" si="26">IF($X19&lt;=S$17,S$18,0)</f>
        <v>0</v>
      </c>
      <c r="BS19" s="87">
        <f t="shared" ref="BS19:BS50" si="27">IF($X19&lt;=T$17,T$18,0)</f>
        <v>0</v>
      </c>
      <c r="BT19" s="87">
        <f t="shared" ref="BT19:BT50" si="28">IF($X19&lt;=U$17,U$18,0)</f>
        <v>0</v>
      </c>
      <c r="CM19" s="64" t="s">
        <v>214</v>
      </c>
      <c r="CN19" s="707">
        <v>52</v>
      </c>
      <c r="CS19" s="87">
        <v>1</v>
      </c>
      <c r="CT19" s="259">
        <f t="shared" ref="CT19:CT82" ca="1" si="29">AZ19</f>
        <v>46213</v>
      </c>
      <c r="CU19" s="179">
        <f ca="1">(($AW19/(1+CU$18)^(($AZ19-$AZ$18)/30)))+($AS19/(1+CU$18)^(($AZ19-$AZ$18)/30))</f>
        <v>1540.8374645463352</v>
      </c>
      <c r="CV19" s="179">
        <f t="shared" ref="CV19:DK34" ca="1" si="30">(($AW19/(1+CV$18)^(($AZ19-$AZ$18)/30)))+($AS19/(1+CV$18)^(($AZ19-$AZ$18)/30))</f>
        <v>1542.1242395765278</v>
      </c>
      <c r="CW19" s="179">
        <f t="shared" ca="1" si="30"/>
        <v>1542.8971240260587</v>
      </c>
      <c r="CX19" s="179">
        <f t="shared" ca="1" si="30"/>
        <v>1543.670623868757</v>
      </c>
      <c r="CY19" s="179">
        <f t="shared" ca="1" si="30"/>
        <v>1544.4447397762951</v>
      </c>
      <c r="CZ19" s="179">
        <f t="shared" ca="1" si="30"/>
        <v>1545.2194724212741</v>
      </c>
      <c r="DA19" s="179">
        <f t="shared" ca="1" si="30"/>
        <v>1545.7363038157443</v>
      </c>
      <c r="DB19" s="179">
        <f t="shared" ca="1" si="30"/>
        <v>1546.7707906186358</v>
      </c>
      <c r="DC19" s="179">
        <f t="shared" ca="1" si="30"/>
        <v>1547.2884464272063</v>
      </c>
      <c r="DD19" s="179">
        <f t="shared" ca="1" si="30"/>
        <v>1547.8063774409334</v>
      </c>
      <c r="DE19" s="179">
        <f t="shared" ca="1" si="30"/>
        <v>1548.3245838603555</v>
      </c>
      <c r="DF19" s="179" t="e">
        <f t="shared" ca="1" si="30"/>
        <v>#VALUE!</v>
      </c>
      <c r="DG19" s="179" t="e">
        <f t="shared" ca="1" si="30"/>
        <v>#VALUE!</v>
      </c>
      <c r="DH19" s="179" t="e">
        <f t="shared" ca="1" si="30"/>
        <v>#VALUE!</v>
      </c>
      <c r="DI19" s="179" t="e">
        <f t="shared" ca="1" si="30"/>
        <v>#VALUE!</v>
      </c>
      <c r="DJ19" s="179" t="e">
        <f t="shared" ca="1" si="30"/>
        <v>#VALUE!</v>
      </c>
      <c r="DK19" s="179" t="e">
        <f t="shared" ca="1" si="30"/>
        <v>#VALUE!</v>
      </c>
      <c r="DL19" s="179" t="e">
        <f t="shared" ref="DL19:DQ34" ca="1" si="31">(($AW19/(1+DL$18)^(($AZ19-$AZ$18)/30)))+($AS19/(1+DL$18)^(($AZ19-$AZ$18)/30))</f>
        <v>#VALUE!</v>
      </c>
      <c r="DM19" s="179" t="e">
        <f t="shared" ca="1" si="31"/>
        <v>#VALUE!</v>
      </c>
      <c r="DN19" s="179" t="e">
        <f t="shared" ca="1" si="31"/>
        <v>#VALUE!</v>
      </c>
      <c r="DO19" s="179" t="e">
        <f t="shared" ca="1" si="31"/>
        <v>#VALUE!</v>
      </c>
      <c r="DP19" s="179" t="e">
        <f t="shared" ca="1" si="31"/>
        <v>#VALUE!</v>
      </c>
      <c r="DQ19" s="179" t="e">
        <f t="shared" ca="1" si="31"/>
        <v>#VALUE!</v>
      </c>
      <c r="DR19" s="188">
        <v>1</v>
      </c>
      <c r="DS19" s="430">
        <f ca="1">AR19</f>
        <v>46183</v>
      </c>
      <c r="DT19" s="180">
        <f t="shared" ref="DT19:EH19" ca="1" si="32">IFERROR(VLOOKUP($DS19,$AZ$19:$BA$162,2,FALSE),0)-IFERROR(VLOOKUP($DS19,$AR$19:$AS$162,2,FALSE),0)</f>
        <v>-1589.6100000000001</v>
      </c>
      <c r="DU19" s="180">
        <f t="shared" ca="1" si="32"/>
        <v>-1589.6100000000001</v>
      </c>
      <c r="DV19" s="180">
        <f t="shared" ca="1" si="32"/>
        <v>-1589.6100000000001</v>
      </c>
      <c r="DW19" s="180">
        <f t="shared" ca="1" si="32"/>
        <v>-1589.6100000000001</v>
      </c>
      <c r="DX19" s="180">
        <f t="shared" ca="1" si="32"/>
        <v>-1589.6100000000001</v>
      </c>
      <c r="DY19" s="180">
        <f t="shared" ca="1" si="32"/>
        <v>-1589.6100000000001</v>
      </c>
      <c r="DZ19" s="180">
        <f t="shared" ca="1" si="32"/>
        <v>-1589.6100000000001</v>
      </c>
      <c r="EA19" s="180">
        <f t="shared" ca="1" si="32"/>
        <v>-1589.6100000000001</v>
      </c>
      <c r="EB19" s="180">
        <f t="shared" ca="1" si="32"/>
        <v>-1589.6100000000001</v>
      </c>
      <c r="EC19" s="180">
        <f t="shared" ca="1" si="32"/>
        <v>-1589.6100000000001</v>
      </c>
      <c r="ED19" s="180">
        <f t="shared" ca="1" si="32"/>
        <v>-1589.6100000000001</v>
      </c>
      <c r="EE19" s="180">
        <f t="shared" ca="1" si="32"/>
        <v>-1589.6100000000001</v>
      </c>
      <c r="EF19" s="180">
        <f t="shared" ca="1" si="32"/>
        <v>-1589.6100000000001</v>
      </c>
      <c r="EG19" s="180">
        <f t="shared" ca="1" si="32"/>
        <v>-1589.6100000000001</v>
      </c>
      <c r="EH19" s="180">
        <f t="shared" ca="1" si="32"/>
        <v>-1589.6100000000001</v>
      </c>
      <c r="EI19" s="180">
        <f t="shared" ref="EI19:EP34" ca="1" si="33">IFERROR(VLOOKUP($DS19,$AZ$19:$BA$162,2,FALSE),0)-IFERROR(VLOOKUP($DS19,$AR$19:$AS$162,2,FALSE),0)</f>
        <v>-1589.6100000000001</v>
      </c>
      <c r="EJ19" s="180">
        <f t="shared" ca="1" si="33"/>
        <v>-1589.6100000000001</v>
      </c>
      <c r="EK19" s="180">
        <f t="shared" ca="1" si="33"/>
        <v>-1589.6100000000001</v>
      </c>
      <c r="EL19" s="180">
        <f t="shared" ca="1" si="33"/>
        <v>-1589.6100000000001</v>
      </c>
      <c r="EM19" s="180">
        <f t="shared" ca="1" si="33"/>
        <v>-1589.6100000000001</v>
      </c>
      <c r="EN19" s="180">
        <f t="shared" ca="1" si="33"/>
        <v>-1589.6100000000001</v>
      </c>
      <c r="EO19" s="180">
        <f ca="1">IFERROR(VLOOKUP($DS19,$AZ$19:$BA$162,2,FALSE),0)-IFERROR(VLOOKUP($DS19,$AR$19:$AS$162,2,FALSE),0)</f>
        <v>-1589.6100000000001</v>
      </c>
      <c r="EP19" s="180">
        <f t="shared" ca="1" si="33"/>
        <v>-1589.6100000000001</v>
      </c>
      <c r="EQ19" s="180"/>
      <c r="ER19" s="180"/>
    </row>
    <row r="20" spans="2:148" s="66" customFormat="1" ht="15.75" x14ac:dyDescent="0.25">
      <c r="B20" s="615"/>
      <c r="C20" s="622" t="s">
        <v>473</v>
      </c>
      <c r="D20" s="622"/>
      <c r="E20" s="91">
        <f t="shared" ref="E20:U20" ca="1" si="34">IF(OR(E19=0,E19=""),0,IF(E19&gt;=$AE$8,E206,E18))</f>
        <v>67.81</v>
      </c>
      <c r="F20" s="91">
        <f t="shared" ca="1" si="34"/>
        <v>70.569999999999993</v>
      </c>
      <c r="G20" s="91">
        <f t="shared" ca="1" si="34"/>
        <v>1172.83</v>
      </c>
      <c r="H20" s="91">
        <f t="shared" ca="1" si="34"/>
        <v>278.39999999999998</v>
      </c>
      <c r="I20" s="91">
        <f t="shared" si="34"/>
        <v>0</v>
      </c>
      <c r="J20" s="91">
        <f t="shared" si="34"/>
        <v>0</v>
      </c>
      <c r="K20" s="91">
        <f t="shared" si="34"/>
        <v>0</v>
      </c>
      <c r="L20" s="91">
        <f t="shared" si="34"/>
        <v>0</v>
      </c>
      <c r="M20" s="91">
        <f t="shared" si="34"/>
        <v>0</v>
      </c>
      <c r="N20" s="91">
        <f t="shared" si="34"/>
        <v>0</v>
      </c>
      <c r="O20" s="91">
        <f t="shared" si="34"/>
        <v>0</v>
      </c>
      <c r="P20" s="91">
        <f t="shared" si="34"/>
        <v>0</v>
      </c>
      <c r="Q20" s="91">
        <f t="shared" si="34"/>
        <v>0</v>
      </c>
      <c r="R20" s="91">
        <f t="shared" si="34"/>
        <v>0</v>
      </c>
      <c r="S20" s="91">
        <f t="shared" si="34"/>
        <v>0</v>
      </c>
      <c r="T20" s="91">
        <f t="shared" si="34"/>
        <v>0</v>
      </c>
      <c r="U20" s="91">
        <f t="shared" si="34"/>
        <v>0</v>
      </c>
      <c r="V20" s="183">
        <f ca="1">SUMIF(E21:U21,1,E20:U20)</f>
        <v>1589.6100000000001</v>
      </c>
      <c r="W20" s="178"/>
      <c r="X20" s="178">
        <v>2</v>
      </c>
      <c r="Y20" s="87">
        <f t="shared" ref="Y20:Y83" ca="1" si="35">IF($X20&lt;=E$17,E$20,0)</f>
        <v>67.81</v>
      </c>
      <c r="Z20" s="87">
        <f t="shared" ref="Z20:Z83" ca="1" si="36">IF($X20&lt;=F$17,F$20,0)</f>
        <v>70.569999999999993</v>
      </c>
      <c r="AA20" s="87">
        <f t="shared" ref="AA20:AA83" ca="1" si="37">IF($X20&lt;=G$17,G$20,0)</f>
        <v>1172.83</v>
      </c>
      <c r="AB20" s="87">
        <f t="shared" ref="AB20:AB83" ca="1" si="38">IF($X20&lt;=H$17,H$20,0)</f>
        <v>278.39999999999998</v>
      </c>
      <c r="AC20" s="87">
        <f t="shared" ref="AC20:AC83" si="39">IF($X20&lt;=I$17,I$20,0)</f>
        <v>0</v>
      </c>
      <c r="AD20" s="87">
        <f t="shared" ref="AD20:AD83" si="40">IF($X20&lt;=J$17,J$20,0)</f>
        <v>0</v>
      </c>
      <c r="AE20" s="87">
        <f t="shared" ref="AE20:AE83" si="41">IF($X20&lt;=K$17,K$20,0)</f>
        <v>0</v>
      </c>
      <c r="AF20" s="87">
        <f t="shared" ref="AF20:AF83" si="42">IF($X20&lt;=L$17,L$20,0)</f>
        <v>0</v>
      </c>
      <c r="AG20" s="87">
        <f t="shared" ref="AG20:AG83" si="43">IF($X20&lt;=M$17,M$20,0)</f>
        <v>0</v>
      </c>
      <c r="AH20" s="87">
        <f t="shared" ref="AH20:AH83" si="44">IF($X20&lt;=N$17,N$20,0)</f>
        <v>0</v>
      </c>
      <c r="AI20" s="87">
        <f t="shared" ref="AI20:AI83" si="45">IF($X20&lt;=O$17,O$20,0)</f>
        <v>0</v>
      </c>
      <c r="AJ20" s="87">
        <f t="shared" ref="AJ20:AJ83" si="46">IF($X20&lt;=P$17,P$20,0)</f>
        <v>0</v>
      </c>
      <c r="AK20" s="87">
        <f t="shared" ref="AK20:AK83" si="47">IF($X20&lt;=Q$17,Q$20,0)</f>
        <v>0</v>
      </c>
      <c r="AL20" s="87">
        <f t="shared" ref="AL20:AL83" si="48">IF($X20&lt;=R$17,R$20,0)</f>
        <v>0</v>
      </c>
      <c r="AM20" s="87">
        <f t="shared" ref="AM20:AM83" si="49">IF($X20&lt;=S$17,S$20,0)</f>
        <v>0</v>
      </c>
      <c r="AN20" s="87">
        <f t="shared" ref="AN20:AN83" si="50">IF($X20&lt;=T$17,T$20,0)</f>
        <v>0</v>
      </c>
      <c r="AO20" s="87">
        <f t="shared" ref="AO20:AO83" si="51">IF($X20&lt;=U$17,U$20,0)</f>
        <v>0</v>
      </c>
      <c r="AP20" s="178"/>
      <c r="AQ20" s="560">
        <v>2</v>
      </c>
      <c r="AR20" s="561">
        <f ca="1">EDATE(AR19,1)</f>
        <v>46213</v>
      </c>
      <c r="AS20" s="429">
        <f t="shared" ca="1" si="10"/>
        <v>1589.6100000000001</v>
      </c>
      <c r="AT20" s="562"/>
      <c r="AU20" s="563">
        <v>2</v>
      </c>
      <c r="AV20" s="561">
        <f ca="1">EDATE(AV19,1)</f>
        <v>46244</v>
      </c>
      <c r="AW20" s="564">
        <f t="shared" ref="AW20:AW83" ca="1" si="52">IF(AU20&gt;$BA$14,0,BA20-AS20)</f>
        <v>0</v>
      </c>
      <c r="AX20" s="202">
        <f t="shared" ref="AX20:AX83" ca="1" si="53">ROUND(AW20/(1+$AW$15)^((AV20-$AV$18)/30),2)</f>
        <v>0</v>
      </c>
      <c r="AY20" s="563">
        <v>2</v>
      </c>
      <c r="AZ20" s="561">
        <f ca="1">EDATE(AZ19,1)</f>
        <v>46244</v>
      </c>
      <c r="BA20" s="564">
        <f t="shared" ref="BA20:BA83" si="54">IF(AY20&gt;$BA$14,0,$BA$13)</f>
        <v>1589.6100000000001</v>
      </c>
      <c r="BB20" s="259">
        <f t="shared" ca="1" si="11"/>
        <v>46213</v>
      </c>
      <c r="BC20" s="428">
        <f t="shared" ref="BC20:BC83" ca="1" si="55">IFERROR(VLOOKUP(BB20,$AZ$18:$BA$164,2,FALSE),0)-IFERROR(VLOOKUP(BB20,$AR$18:$AS$164,2,FALSE),0)</f>
        <v>0</v>
      </c>
      <c r="BD20" s="431">
        <f t="shared" si="12"/>
        <v>67.81</v>
      </c>
      <c r="BE20" s="431">
        <f t="shared" si="13"/>
        <v>70.569999999999993</v>
      </c>
      <c r="BF20" s="431">
        <f t="shared" si="14"/>
        <v>1172.83</v>
      </c>
      <c r="BG20" s="178">
        <f t="shared" si="15"/>
        <v>278.39999999999998</v>
      </c>
      <c r="BH20" s="178">
        <f t="shared" si="16"/>
        <v>0</v>
      </c>
      <c r="BI20" s="178">
        <f t="shared" si="17"/>
        <v>0</v>
      </c>
      <c r="BJ20" s="178">
        <f t="shared" si="18"/>
        <v>0</v>
      </c>
      <c r="BK20" s="178">
        <f t="shared" si="19"/>
        <v>0</v>
      </c>
      <c r="BL20" s="178">
        <f t="shared" si="20"/>
        <v>0</v>
      </c>
      <c r="BM20" s="178">
        <f t="shared" si="21"/>
        <v>0</v>
      </c>
      <c r="BN20" s="178">
        <f t="shared" si="22"/>
        <v>0</v>
      </c>
      <c r="BO20" s="178">
        <f t="shared" si="23"/>
        <v>0</v>
      </c>
      <c r="BP20" s="178">
        <f t="shared" si="24"/>
        <v>0</v>
      </c>
      <c r="BQ20" s="178">
        <f t="shared" si="25"/>
        <v>0</v>
      </c>
      <c r="BR20" s="178">
        <f t="shared" si="26"/>
        <v>0</v>
      </c>
      <c r="BS20" s="178">
        <f t="shared" si="27"/>
        <v>0</v>
      </c>
      <c r="BT20" s="178">
        <f t="shared" si="28"/>
        <v>0</v>
      </c>
      <c r="BU20" s="178"/>
      <c r="BV20" s="178"/>
      <c r="BW20" s="178"/>
      <c r="BX20" s="178"/>
      <c r="BY20" s="178"/>
      <c r="BZ20" s="431"/>
      <c r="CA20" s="431"/>
      <c r="CB20" s="178"/>
      <c r="CC20" s="565"/>
      <c r="CD20" s="431"/>
      <c r="CE20" s="566"/>
      <c r="CF20" s="431"/>
      <c r="CG20" s="431"/>
      <c r="CH20" s="431"/>
      <c r="CI20" s="431"/>
      <c r="CJ20" s="431"/>
      <c r="CK20" s="431"/>
      <c r="CL20" s="178"/>
      <c r="CM20" s="64" t="s">
        <v>605</v>
      </c>
      <c r="CN20" s="707">
        <v>52</v>
      </c>
      <c r="CO20" s="178"/>
      <c r="CP20" s="178"/>
      <c r="CQ20" s="178"/>
      <c r="CR20" s="178"/>
      <c r="CS20" s="178">
        <v>2</v>
      </c>
      <c r="CT20" s="259">
        <f t="shared" ca="1" si="29"/>
        <v>46244</v>
      </c>
      <c r="CU20" s="179">
        <f ca="1">(($AW20/(1+CU$18)^(($AZ20-$AZ$18)/30)))+($AS20/(1+CU$18)^(($AZ20-$AZ$18)/30))</f>
        <v>1511.9256272006996</v>
      </c>
      <c r="CV20" s="179">
        <f t="shared" ref="CU20:DG83" ca="1" si="56">(($AW20/(1+CV$18)^(($AZ20-$AZ$18)/30)))+($AS20/(1+CV$18)^(($AZ20-$AZ$18)/30))</f>
        <v>1513.9562539458652</v>
      </c>
      <c r="CW20" s="179">
        <f t="shared" ca="1" si="56"/>
        <v>1515.1764183487344</v>
      </c>
      <c r="CX20" s="179">
        <f t="shared" ca="1" si="56"/>
        <v>1516.3979263071124</v>
      </c>
      <c r="CY20" s="179">
        <f t="shared" ca="1" si="56"/>
        <v>1517.6207796972521</v>
      </c>
      <c r="CZ20" s="179">
        <f t="shared" ca="1" si="56"/>
        <v>1518.8449803985793</v>
      </c>
      <c r="DA20" s="179">
        <f t="shared" ca="1" si="56"/>
        <v>1519.6618636352321</v>
      </c>
      <c r="DB20" s="179">
        <f t="shared" ca="1" si="56"/>
        <v>1521.2974312684196</v>
      </c>
      <c r="DC20" s="179">
        <f t="shared" ca="1" si="56"/>
        <v>1522.1161167840396</v>
      </c>
      <c r="DD20" s="179">
        <f t="shared" ca="1" si="56"/>
        <v>1522.9354041794531</v>
      </c>
      <c r="DE20" s="179">
        <f t="shared" ca="1" si="56"/>
        <v>1523.7552940157843</v>
      </c>
      <c r="DF20" s="179" t="e">
        <f t="shared" ca="1" si="56"/>
        <v>#VALUE!</v>
      </c>
      <c r="DG20" s="179" t="e">
        <f t="shared" ca="1" si="56"/>
        <v>#VALUE!</v>
      </c>
      <c r="DH20" s="179" t="e">
        <f t="shared" ca="1" si="30"/>
        <v>#VALUE!</v>
      </c>
      <c r="DI20" s="179" t="e">
        <f t="shared" ca="1" si="30"/>
        <v>#VALUE!</v>
      </c>
      <c r="DJ20" s="179" t="e">
        <f t="shared" ca="1" si="30"/>
        <v>#VALUE!</v>
      </c>
      <c r="DK20" s="179" t="e">
        <f t="shared" ca="1" si="30"/>
        <v>#VALUE!</v>
      </c>
      <c r="DL20" s="179" t="e">
        <f t="shared" ca="1" si="31"/>
        <v>#VALUE!</v>
      </c>
      <c r="DM20" s="179" t="e">
        <f t="shared" ca="1" si="31"/>
        <v>#VALUE!</v>
      </c>
      <c r="DN20" s="179" t="e">
        <f t="shared" ca="1" si="31"/>
        <v>#VALUE!</v>
      </c>
      <c r="DO20" s="179" t="e">
        <f t="shared" ca="1" si="31"/>
        <v>#VALUE!</v>
      </c>
      <c r="DP20" s="179" t="e">
        <f t="shared" ca="1" si="31"/>
        <v>#VALUE!</v>
      </c>
      <c r="DQ20" s="179" t="e">
        <f t="shared" ca="1" si="31"/>
        <v>#VALUE!</v>
      </c>
      <c r="DR20" s="431">
        <v>2</v>
      </c>
      <c r="DS20" s="430">
        <f ca="1">EDATE(DS$19,DR20-1)</f>
        <v>46213</v>
      </c>
      <c r="DT20" s="180">
        <f t="shared" ref="DT20:EI36" ca="1" si="57">IFERROR(VLOOKUP($DS20,$AZ$19:$BA$162,2,FALSE),0)-IFERROR(VLOOKUP($DS20,$AR$19:$AS$162,2,FALSE),0)</f>
        <v>0</v>
      </c>
      <c r="DU20" s="180">
        <f t="shared" ca="1" si="57"/>
        <v>0</v>
      </c>
      <c r="DV20" s="180">
        <f t="shared" ca="1" si="57"/>
        <v>0</v>
      </c>
      <c r="DW20" s="180">
        <f t="shared" ca="1" si="57"/>
        <v>0</v>
      </c>
      <c r="DX20" s="180">
        <f t="shared" ca="1" si="57"/>
        <v>0</v>
      </c>
      <c r="DY20" s="180">
        <f t="shared" ca="1" si="57"/>
        <v>0</v>
      </c>
      <c r="DZ20" s="180">
        <f t="shared" ca="1" si="57"/>
        <v>0</v>
      </c>
      <c r="EA20" s="180">
        <f t="shared" ca="1" si="57"/>
        <v>0</v>
      </c>
      <c r="EB20" s="180">
        <f t="shared" ca="1" si="57"/>
        <v>0</v>
      </c>
      <c r="EC20" s="180">
        <f t="shared" ca="1" si="57"/>
        <v>0</v>
      </c>
      <c r="ED20" s="180">
        <f t="shared" ca="1" si="57"/>
        <v>0</v>
      </c>
      <c r="EE20" s="180">
        <f t="shared" ca="1" si="57"/>
        <v>0</v>
      </c>
      <c r="EF20" s="180">
        <f t="shared" ca="1" si="57"/>
        <v>0</v>
      </c>
      <c r="EG20" s="180">
        <f t="shared" ca="1" si="57"/>
        <v>0</v>
      </c>
      <c r="EH20" s="180">
        <f t="shared" ca="1" si="57"/>
        <v>0</v>
      </c>
      <c r="EI20" s="180">
        <f t="shared" ca="1" si="33"/>
        <v>0</v>
      </c>
      <c r="EJ20" s="180">
        <f t="shared" ca="1" si="33"/>
        <v>0</v>
      </c>
      <c r="EK20" s="180">
        <f t="shared" ca="1" si="33"/>
        <v>0</v>
      </c>
      <c r="EL20" s="180">
        <f t="shared" ca="1" si="33"/>
        <v>0</v>
      </c>
      <c r="EM20" s="180">
        <f t="shared" ca="1" si="33"/>
        <v>0</v>
      </c>
      <c r="EN20" s="180">
        <f t="shared" ca="1" si="33"/>
        <v>0</v>
      </c>
      <c r="EO20" s="180">
        <f t="shared" ca="1" si="33"/>
        <v>0</v>
      </c>
      <c r="EP20" s="180">
        <f t="shared" ca="1" si="33"/>
        <v>0</v>
      </c>
      <c r="EQ20" s="180"/>
      <c r="ER20" s="180"/>
    </row>
    <row r="21" spans="2:148" x14ac:dyDescent="0.25">
      <c r="B21"/>
      <c r="C21" s="140"/>
      <c r="D21" s="139"/>
      <c r="E21" s="65">
        <v>1</v>
      </c>
      <c r="F21" s="65">
        <v>1</v>
      </c>
      <c r="G21" s="65">
        <v>1</v>
      </c>
      <c r="H21" s="65">
        <v>1</v>
      </c>
      <c r="I21" s="65">
        <v>1</v>
      </c>
      <c r="J21" s="65">
        <v>1</v>
      </c>
      <c r="K21" s="65">
        <v>1</v>
      </c>
      <c r="L21" s="65">
        <v>1</v>
      </c>
      <c r="M21" s="65">
        <v>1</v>
      </c>
      <c r="N21" s="65">
        <v>1</v>
      </c>
      <c r="O21" s="65">
        <v>1</v>
      </c>
      <c r="P21" s="65">
        <v>1</v>
      </c>
      <c r="Q21" s="65">
        <v>1</v>
      </c>
      <c r="R21" s="65">
        <v>1</v>
      </c>
      <c r="S21" s="65">
        <v>1</v>
      </c>
      <c r="T21" s="65">
        <v>1</v>
      </c>
      <c r="U21" s="65">
        <v>1</v>
      </c>
      <c r="V21" s="176"/>
      <c r="W21" s="87"/>
      <c r="X21" s="133">
        <v>3</v>
      </c>
      <c r="Y21" s="87">
        <f t="shared" ca="1" si="35"/>
        <v>67.81</v>
      </c>
      <c r="Z21" s="87">
        <f t="shared" ca="1" si="36"/>
        <v>70.569999999999993</v>
      </c>
      <c r="AA21" s="87">
        <f t="shared" ca="1" si="37"/>
        <v>1172.83</v>
      </c>
      <c r="AB21" s="87">
        <f t="shared" ca="1" si="38"/>
        <v>278.39999999999998</v>
      </c>
      <c r="AC21" s="87">
        <f t="shared" si="39"/>
        <v>0</v>
      </c>
      <c r="AD21" s="87">
        <f t="shared" si="40"/>
        <v>0</v>
      </c>
      <c r="AE21" s="87">
        <f t="shared" si="41"/>
        <v>0</v>
      </c>
      <c r="AF21" s="87">
        <f t="shared" si="42"/>
        <v>0</v>
      </c>
      <c r="AG21" s="87">
        <f t="shared" si="43"/>
        <v>0</v>
      </c>
      <c r="AH21" s="87">
        <f t="shared" si="44"/>
        <v>0</v>
      </c>
      <c r="AI21" s="87">
        <f t="shared" si="45"/>
        <v>0</v>
      </c>
      <c r="AJ21" s="87">
        <f t="shared" si="46"/>
        <v>0</v>
      </c>
      <c r="AK21" s="87">
        <f t="shared" si="47"/>
        <v>0</v>
      </c>
      <c r="AL21" s="87">
        <f t="shared" si="48"/>
        <v>0</v>
      </c>
      <c r="AM21" s="87">
        <f t="shared" si="49"/>
        <v>0</v>
      </c>
      <c r="AN21" s="87">
        <f t="shared" si="50"/>
        <v>0</v>
      </c>
      <c r="AO21" s="87">
        <f t="shared" si="51"/>
        <v>0</v>
      </c>
      <c r="AP21" s="87"/>
      <c r="AQ21" s="426">
        <v>3</v>
      </c>
      <c r="AR21" s="258">
        <f ca="1">EDATE(AR20,1)</f>
        <v>46244</v>
      </c>
      <c r="AS21" s="429">
        <f t="shared" ca="1" si="10"/>
        <v>1589.6100000000001</v>
      </c>
      <c r="AT21" s="138"/>
      <c r="AU21" s="278">
        <v>3</v>
      </c>
      <c r="AV21" s="258">
        <f ca="1">EDATE(AV20,1)</f>
        <v>46275</v>
      </c>
      <c r="AW21" s="429">
        <f t="shared" ca="1" si="52"/>
        <v>0</v>
      </c>
      <c r="AX21" s="202">
        <f t="shared" ca="1" si="53"/>
        <v>0</v>
      </c>
      <c r="AY21" s="278">
        <v>3</v>
      </c>
      <c r="AZ21" s="258">
        <f ca="1">EDATE(AZ20,1)</f>
        <v>46275</v>
      </c>
      <c r="BA21" s="429">
        <f t="shared" si="54"/>
        <v>1589.6100000000001</v>
      </c>
      <c r="BB21" s="259">
        <f t="shared" ca="1" si="11"/>
        <v>46244</v>
      </c>
      <c r="BC21" s="428">
        <f t="shared" ca="1" si="55"/>
        <v>0</v>
      </c>
      <c r="BD21" s="188">
        <f t="shared" si="12"/>
        <v>67.81</v>
      </c>
      <c r="BE21" s="188">
        <f t="shared" si="13"/>
        <v>70.569999999999993</v>
      </c>
      <c r="BF21" s="188">
        <f t="shared" si="14"/>
        <v>1172.83</v>
      </c>
      <c r="BG21" s="87">
        <f t="shared" si="15"/>
        <v>278.39999999999998</v>
      </c>
      <c r="BH21" s="87">
        <f t="shared" si="16"/>
        <v>0</v>
      </c>
      <c r="BI21" s="87">
        <f t="shared" si="17"/>
        <v>0</v>
      </c>
      <c r="BJ21" s="87">
        <f t="shared" si="18"/>
        <v>0</v>
      </c>
      <c r="BK21" s="87">
        <f t="shared" si="19"/>
        <v>0</v>
      </c>
      <c r="BL21" s="87">
        <f t="shared" si="20"/>
        <v>0</v>
      </c>
      <c r="BM21" s="87">
        <f t="shared" si="21"/>
        <v>0</v>
      </c>
      <c r="BN21" s="87">
        <f t="shared" si="22"/>
        <v>0</v>
      </c>
      <c r="BO21" s="87">
        <f t="shared" si="23"/>
        <v>0</v>
      </c>
      <c r="BP21" s="87">
        <f t="shared" si="24"/>
        <v>0</v>
      </c>
      <c r="BQ21" s="87">
        <f t="shared" si="25"/>
        <v>0</v>
      </c>
      <c r="BR21" s="87">
        <f t="shared" si="26"/>
        <v>0</v>
      </c>
      <c r="BS21" s="87">
        <f t="shared" si="27"/>
        <v>0</v>
      </c>
      <c r="BT21" s="87">
        <f t="shared" si="28"/>
        <v>0</v>
      </c>
      <c r="CM21" s="64" t="s">
        <v>3450</v>
      </c>
      <c r="CN21" s="707">
        <v>69</v>
      </c>
      <c r="CS21" s="138">
        <v>3</v>
      </c>
      <c r="CT21" s="259">
        <f t="shared" ca="1" si="29"/>
        <v>46275</v>
      </c>
      <c r="CU21" s="179">
        <f ca="1">(($AW21/(1+CU$18)^(($AZ21-$AZ$18)/30)))+($AS21/(1+CU$18)^(($AZ21-$AZ$18)/30))</f>
        <v>1483.5562833742927</v>
      </c>
      <c r="CV21" s="179">
        <f t="shared" ca="1" si="56"/>
        <v>1486.3027764165129</v>
      </c>
      <c r="CW21" s="179">
        <f t="shared" ca="1" si="56"/>
        <v>1487.9537611227829</v>
      </c>
      <c r="CX21" s="179">
        <f t="shared" ca="1" si="56"/>
        <v>1489.6070673066135</v>
      </c>
      <c r="CY21" s="179">
        <f t="shared" ca="1" si="56"/>
        <v>1491.2626989182522</v>
      </c>
      <c r="CZ21" s="179">
        <f t="shared" ca="1" si="56"/>
        <v>1492.9206599158315</v>
      </c>
      <c r="DA21" s="179">
        <f t="shared" ca="1" si="56"/>
        <v>1494.0272633090658</v>
      </c>
      <c r="DB21" s="179">
        <f t="shared" ca="1" si="56"/>
        <v>1496.2435859409147</v>
      </c>
      <c r="DC21" s="179">
        <f t="shared" ca="1" si="56"/>
        <v>1497.3533075383964</v>
      </c>
      <c r="DD21" s="179">
        <f t="shared" ca="1" si="56"/>
        <v>1498.4640708987799</v>
      </c>
      <c r="DE21" s="179">
        <f t="shared" ca="1" si="30"/>
        <v>1499.5758772054326</v>
      </c>
      <c r="DF21" s="179" t="e">
        <f t="shared" ca="1" si="30"/>
        <v>#VALUE!</v>
      </c>
      <c r="DG21" s="179" t="e">
        <f t="shared" ca="1" si="30"/>
        <v>#VALUE!</v>
      </c>
      <c r="DH21" s="179" t="e">
        <f t="shared" ca="1" si="30"/>
        <v>#VALUE!</v>
      </c>
      <c r="DI21" s="179" t="e">
        <f t="shared" ca="1" si="30"/>
        <v>#VALUE!</v>
      </c>
      <c r="DJ21" s="179" t="e">
        <f t="shared" ca="1" si="30"/>
        <v>#VALUE!</v>
      </c>
      <c r="DK21" s="179" t="e">
        <f t="shared" ca="1" si="30"/>
        <v>#VALUE!</v>
      </c>
      <c r="DL21" s="179" t="e">
        <f t="shared" ca="1" si="31"/>
        <v>#VALUE!</v>
      </c>
      <c r="DM21" s="179" t="e">
        <f t="shared" ca="1" si="31"/>
        <v>#VALUE!</v>
      </c>
      <c r="DN21" s="179" t="e">
        <f t="shared" ca="1" si="31"/>
        <v>#VALUE!</v>
      </c>
      <c r="DO21" s="179" t="e">
        <f t="shared" ca="1" si="31"/>
        <v>#VALUE!</v>
      </c>
      <c r="DP21" s="179" t="e">
        <f t="shared" ca="1" si="31"/>
        <v>#VALUE!</v>
      </c>
      <c r="DQ21" s="179" t="e">
        <f t="shared" ca="1" si="31"/>
        <v>#VALUE!</v>
      </c>
      <c r="DR21" s="278">
        <v>3</v>
      </c>
      <c r="DS21" s="430">
        <f ca="1">EDATE(DS$19,DR21-1)</f>
        <v>46244</v>
      </c>
      <c r="DT21" s="180">
        <f t="shared" ca="1" si="57"/>
        <v>0</v>
      </c>
      <c r="DU21" s="180">
        <f t="shared" ca="1" si="57"/>
        <v>0</v>
      </c>
      <c r="DV21" s="180">
        <f t="shared" ca="1" si="57"/>
        <v>0</v>
      </c>
      <c r="DW21" s="180">
        <f t="shared" ca="1" si="57"/>
        <v>0</v>
      </c>
      <c r="DX21" s="180">
        <f t="shared" ca="1" si="57"/>
        <v>0</v>
      </c>
      <c r="DY21" s="180">
        <f t="shared" ca="1" si="57"/>
        <v>0</v>
      </c>
      <c r="DZ21" s="180">
        <f t="shared" ca="1" si="57"/>
        <v>0</v>
      </c>
      <c r="EA21" s="180">
        <f t="shared" ca="1" si="57"/>
        <v>0</v>
      </c>
      <c r="EB21" s="180">
        <f t="shared" ca="1" si="57"/>
        <v>0</v>
      </c>
      <c r="EC21" s="180">
        <f t="shared" ca="1" si="57"/>
        <v>0</v>
      </c>
      <c r="ED21" s="180">
        <f t="shared" ca="1" si="57"/>
        <v>0</v>
      </c>
      <c r="EE21" s="180">
        <f t="shared" ca="1" si="57"/>
        <v>0</v>
      </c>
      <c r="EF21" s="180">
        <f t="shared" ca="1" si="57"/>
        <v>0</v>
      </c>
      <c r="EG21" s="180">
        <f t="shared" ca="1" si="57"/>
        <v>0</v>
      </c>
      <c r="EH21" s="180">
        <f t="shared" ca="1" si="57"/>
        <v>0</v>
      </c>
      <c r="EI21" s="180">
        <f t="shared" ca="1" si="33"/>
        <v>0</v>
      </c>
      <c r="EJ21" s="180">
        <f t="shared" ca="1" si="33"/>
        <v>0</v>
      </c>
      <c r="EK21" s="180">
        <f t="shared" ca="1" si="33"/>
        <v>0</v>
      </c>
      <c r="EL21" s="180">
        <f t="shared" ca="1" si="33"/>
        <v>0</v>
      </c>
      <c r="EM21" s="180">
        <f t="shared" ca="1" si="33"/>
        <v>0</v>
      </c>
      <c r="EN21" s="180">
        <f t="shared" ca="1" si="33"/>
        <v>0</v>
      </c>
      <c r="EO21" s="180">
        <f t="shared" ca="1" si="33"/>
        <v>0</v>
      </c>
      <c r="EP21" s="180">
        <f t="shared" ca="1" si="33"/>
        <v>0</v>
      </c>
      <c r="EQ21" s="180"/>
      <c r="ER21" s="180"/>
    </row>
    <row r="22" spans="2:148" s="8" customFormat="1" x14ac:dyDescent="0.25">
      <c r="B22" s="616" t="s">
        <v>63</v>
      </c>
      <c r="C22" s="619" t="s">
        <v>206</v>
      </c>
      <c r="D22" s="619"/>
      <c r="E22" s="39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159"/>
      <c r="S22" s="159"/>
      <c r="T22" s="159"/>
      <c r="U22" s="43"/>
      <c r="V22" s="187">
        <f>SUMIF(E21:U21,1,E22:U22)</f>
        <v>0</v>
      </c>
      <c r="W22" s="187" t="s">
        <v>24</v>
      </c>
      <c r="X22" s="133">
        <v>4</v>
      </c>
      <c r="Y22" s="87">
        <f t="shared" ca="1" si="35"/>
        <v>67.81</v>
      </c>
      <c r="Z22" s="87">
        <f t="shared" ca="1" si="36"/>
        <v>70.569999999999993</v>
      </c>
      <c r="AA22" s="87">
        <f t="shared" ca="1" si="37"/>
        <v>1172.83</v>
      </c>
      <c r="AB22" s="87">
        <f t="shared" ca="1" si="38"/>
        <v>278.39999999999998</v>
      </c>
      <c r="AC22" s="87">
        <f t="shared" si="39"/>
        <v>0</v>
      </c>
      <c r="AD22" s="87">
        <f t="shared" si="40"/>
        <v>0</v>
      </c>
      <c r="AE22" s="87">
        <f t="shared" si="41"/>
        <v>0</v>
      </c>
      <c r="AF22" s="87">
        <f t="shared" si="42"/>
        <v>0</v>
      </c>
      <c r="AG22" s="87">
        <f t="shared" si="43"/>
        <v>0</v>
      </c>
      <c r="AH22" s="87">
        <f t="shared" si="44"/>
        <v>0</v>
      </c>
      <c r="AI22" s="87">
        <f t="shared" si="45"/>
        <v>0</v>
      </c>
      <c r="AJ22" s="87">
        <f t="shared" si="46"/>
        <v>0</v>
      </c>
      <c r="AK22" s="87">
        <f t="shared" si="47"/>
        <v>0</v>
      </c>
      <c r="AL22" s="87">
        <f t="shared" si="48"/>
        <v>0</v>
      </c>
      <c r="AM22" s="87">
        <f t="shared" si="49"/>
        <v>0</v>
      </c>
      <c r="AN22" s="87">
        <f t="shared" si="50"/>
        <v>0</v>
      </c>
      <c r="AO22" s="87">
        <f t="shared" si="51"/>
        <v>0</v>
      </c>
      <c r="AP22" s="133"/>
      <c r="AQ22" s="432">
        <v>4</v>
      </c>
      <c r="AR22" s="279">
        <f t="shared" ref="AR22:AR85" ca="1" si="58">EDATE(AR21,1)</f>
        <v>46275</v>
      </c>
      <c r="AS22" s="429">
        <f t="shared" ca="1" si="10"/>
        <v>1589.6100000000001</v>
      </c>
      <c r="AT22" s="276"/>
      <c r="AU22" s="427">
        <v>4</v>
      </c>
      <c r="AV22" s="279">
        <f t="shared" ref="AV22:AV85" ca="1" si="59">EDATE(AV21,1)</f>
        <v>46305</v>
      </c>
      <c r="AW22" s="433">
        <f t="shared" ca="1" si="52"/>
        <v>0</v>
      </c>
      <c r="AX22" s="202">
        <f t="shared" ca="1" si="53"/>
        <v>0</v>
      </c>
      <c r="AY22" s="427">
        <v>4</v>
      </c>
      <c r="AZ22" s="279">
        <f t="shared" ref="AZ22:AZ85" ca="1" si="60">EDATE(AZ21,1)</f>
        <v>46305</v>
      </c>
      <c r="BA22" s="433">
        <f t="shared" si="54"/>
        <v>1589.6100000000001</v>
      </c>
      <c r="BB22" s="259">
        <f t="shared" ca="1" si="11"/>
        <v>46275</v>
      </c>
      <c r="BC22" s="428">
        <f t="shared" ca="1" si="55"/>
        <v>0</v>
      </c>
      <c r="BD22" s="177">
        <f t="shared" si="12"/>
        <v>67.81</v>
      </c>
      <c r="BE22" s="177">
        <f t="shared" si="13"/>
        <v>70.569999999999993</v>
      </c>
      <c r="BF22" s="177">
        <f t="shared" si="14"/>
        <v>1172.83</v>
      </c>
      <c r="BG22" s="133">
        <f t="shared" si="15"/>
        <v>278.39999999999998</v>
      </c>
      <c r="BH22" s="133">
        <f t="shared" si="16"/>
        <v>0</v>
      </c>
      <c r="BI22" s="133">
        <f t="shared" si="17"/>
        <v>0</v>
      </c>
      <c r="BJ22" s="133">
        <f t="shared" si="18"/>
        <v>0</v>
      </c>
      <c r="BK22" s="133">
        <f t="shared" si="19"/>
        <v>0</v>
      </c>
      <c r="BL22" s="133">
        <f t="shared" si="20"/>
        <v>0</v>
      </c>
      <c r="BM22" s="133">
        <f t="shared" si="21"/>
        <v>0</v>
      </c>
      <c r="BN22" s="133">
        <f t="shared" si="22"/>
        <v>0</v>
      </c>
      <c r="BO22" s="133">
        <f t="shared" si="23"/>
        <v>0</v>
      </c>
      <c r="BP22" s="133">
        <f t="shared" si="24"/>
        <v>0</v>
      </c>
      <c r="BQ22" s="133">
        <f t="shared" si="25"/>
        <v>0</v>
      </c>
      <c r="BR22" s="133">
        <f t="shared" si="26"/>
        <v>0</v>
      </c>
      <c r="BS22" s="133">
        <f t="shared" si="27"/>
        <v>0</v>
      </c>
      <c r="BT22" s="133">
        <f t="shared" si="28"/>
        <v>0</v>
      </c>
      <c r="BU22" s="133"/>
      <c r="BV22" s="133"/>
      <c r="BW22" s="133"/>
      <c r="BX22" s="280" t="s">
        <v>2585</v>
      </c>
      <c r="BY22" s="280"/>
      <c r="BZ22" s="280" t="s">
        <v>2586</v>
      </c>
      <c r="CA22" s="280"/>
      <c r="CB22" s="280"/>
      <c r="CC22" s="280"/>
      <c r="CD22" s="280"/>
      <c r="CE22" s="567"/>
      <c r="CF22" s="280"/>
      <c r="CG22" s="280"/>
      <c r="CH22" s="280"/>
      <c r="CI22" s="280"/>
      <c r="CJ22" s="280"/>
      <c r="CK22" s="177"/>
      <c r="CL22" s="133"/>
      <c r="CM22" s="64" t="s">
        <v>3843</v>
      </c>
      <c r="CN22" s="707">
        <v>44</v>
      </c>
      <c r="CO22" s="87"/>
      <c r="CP22" s="87"/>
      <c r="CQ22" s="87"/>
      <c r="CR22" s="87"/>
      <c r="CS22" s="87">
        <v>4</v>
      </c>
      <c r="CT22" s="259">
        <f t="shared" ca="1" si="29"/>
        <v>46305</v>
      </c>
      <c r="CU22" s="179">
        <f ca="1">(($AW22/(1+CU$18)^(($AZ22-$AZ$18)/30)))+($AS22/(1+CU$18)^(($AZ22-$AZ$18)/30))</f>
        <v>1456.6090165677883</v>
      </c>
      <c r="CV22" s="179">
        <f t="shared" ca="1" si="56"/>
        <v>1460.0223736900909</v>
      </c>
      <c r="CW22" s="179">
        <f t="shared" ca="1" si="56"/>
        <v>1462.0750330380101</v>
      </c>
      <c r="CX22" s="179">
        <f t="shared" ca="1" si="56"/>
        <v>1464.1311846929564</v>
      </c>
      <c r="CY22" s="179">
        <f t="shared" ca="1" si="56"/>
        <v>1466.1908356289966</v>
      </c>
      <c r="CZ22" s="179">
        <f t="shared" ca="1" si="56"/>
        <v>1468.2539928361834</v>
      </c>
      <c r="DA22" s="179">
        <f t="shared" ca="1" si="56"/>
        <v>1469.6313823618591</v>
      </c>
      <c r="DB22" s="179">
        <f t="shared" ca="1" si="56"/>
        <v>1472.3908541044232</v>
      </c>
      <c r="DC22" s="179">
        <f t="shared" ca="1" si="56"/>
        <v>1473.7729404905474</v>
      </c>
      <c r="DD22" s="179">
        <f t="shared" ca="1" si="56"/>
        <v>1475.1565966713722</v>
      </c>
      <c r="DE22" s="179">
        <f t="shared" ca="1" si="30"/>
        <v>1476.5418247394964</v>
      </c>
      <c r="DF22" s="179" t="e">
        <f t="shared" ca="1" si="30"/>
        <v>#VALUE!</v>
      </c>
      <c r="DG22" s="179" t="e">
        <f t="shared" ca="1" si="30"/>
        <v>#VALUE!</v>
      </c>
      <c r="DH22" s="179" t="e">
        <f t="shared" ca="1" si="30"/>
        <v>#VALUE!</v>
      </c>
      <c r="DI22" s="179" t="e">
        <f t="shared" ca="1" si="30"/>
        <v>#VALUE!</v>
      </c>
      <c r="DJ22" s="179" t="e">
        <f t="shared" ca="1" si="30"/>
        <v>#VALUE!</v>
      </c>
      <c r="DK22" s="179" t="e">
        <f t="shared" ca="1" si="30"/>
        <v>#VALUE!</v>
      </c>
      <c r="DL22" s="179" t="e">
        <f t="shared" ca="1" si="31"/>
        <v>#VALUE!</v>
      </c>
      <c r="DM22" s="179" t="e">
        <f t="shared" ca="1" si="31"/>
        <v>#VALUE!</v>
      </c>
      <c r="DN22" s="179" t="e">
        <f t="shared" ca="1" si="31"/>
        <v>#VALUE!</v>
      </c>
      <c r="DO22" s="179" t="e">
        <f t="shared" ca="1" si="31"/>
        <v>#VALUE!</v>
      </c>
      <c r="DP22" s="179" t="e">
        <f t="shared" ca="1" si="31"/>
        <v>#VALUE!</v>
      </c>
      <c r="DQ22" s="179" t="e">
        <f t="shared" ca="1" si="31"/>
        <v>#VALUE!</v>
      </c>
      <c r="DR22" s="188">
        <v>4</v>
      </c>
      <c r="DS22" s="430">
        <f ca="1">EDATE(DS$19,DR22-1)</f>
        <v>46275</v>
      </c>
      <c r="DT22" s="180">
        <f t="shared" ca="1" si="57"/>
        <v>0</v>
      </c>
      <c r="DU22" s="180">
        <f t="shared" ca="1" si="57"/>
        <v>0</v>
      </c>
      <c r="DV22" s="180">
        <f t="shared" ca="1" si="57"/>
        <v>0</v>
      </c>
      <c r="DW22" s="180">
        <f t="shared" ca="1" si="57"/>
        <v>0</v>
      </c>
      <c r="DX22" s="180">
        <f t="shared" ca="1" si="57"/>
        <v>0</v>
      </c>
      <c r="DY22" s="180">
        <f t="shared" ca="1" si="57"/>
        <v>0</v>
      </c>
      <c r="DZ22" s="180">
        <f t="shared" ca="1" si="57"/>
        <v>0</v>
      </c>
      <c r="EA22" s="180">
        <f t="shared" ca="1" si="57"/>
        <v>0</v>
      </c>
      <c r="EB22" s="180">
        <f t="shared" ca="1" si="57"/>
        <v>0</v>
      </c>
      <c r="EC22" s="180">
        <f t="shared" ca="1" si="57"/>
        <v>0</v>
      </c>
      <c r="ED22" s="180">
        <f t="shared" ca="1" si="57"/>
        <v>0</v>
      </c>
      <c r="EE22" s="180">
        <f t="shared" ca="1" si="57"/>
        <v>0</v>
      </c>
      <c r="EF22" s="180">
        <f t="shared" ca="1" si="57"/>
        <v>0</v>
      </c>
      <c r="EG22" s="180">
        <f t="shared" ca="1" si="57"/>
        <v>0</v>
      </c>
      <c r="EH22" s="180">
        <f t="shared" ca="1" si="57"/>
        <v>0</v>
      </c>
      <c r="EI22" s="180">
        <f t="shared" ca="1" si="33"/>
        <v>0</v>
      </c>
      <c r="EJ22" s="180">
        <f t="shared" ca="1" si="33"/>
        <v>0</v>
      </c>
      <c r="EK22" s="180">
        <f t="shared" ca="1" si="33"/>
        <v>0</v>
      </c>
      <c r="EL22" s="180">
        <f t="shared" ca="1" si="33"/>
        <v>0</v>
      </c>
      <c r="EM22" s="180">
        <f t="shared" ca="1" si="33"/>
        <v>0</v>
      </c>
      <c r="EN22" s="180">
        <f t="shared" ca="1" si="33"/>
        <v>0</v>
      </c>
      <c r="EO22" s="180">
        <f t="shared" ca="1" si="33"/>
        <v>0</v>
      </c>
      <c r="EP22" s="180">
        <f t="shared" ca="1" si="33"/>
        <v>0</v>
      </c>
      <c r="EQ22" s="180"/>
      <c r="ER22" s="180"/>
    </row>
    <row r="23" spans="2:148" s="42" customFormat="1" ht="15.75" x14ac:dyDescent="0.25">
      <c r="B23" s="617"/>
      <c r="C23" s="618" t="s">
        <v>485</v>
      </c>
      <c r="D23" s="618"/>
      <c r="E23" s="39"/>
      <c r="F23" s="39"/>
      <c r="G23" s="39"/>
      <c r="H23" s="90"/>
      <c r="I23" s="90"/>
      <c r="J23" s="90"/>
      <c r="K23" s="90"/>
      <c r="L23" s="92"/>
      <c r="M23" s="92"/>
      <c r="N23" s="92"/>
      <c r="O23" s="92"/>
      <c r="P23" s="92"/>
      <c r="Q23" s="92"/>
      <c r="R23" s="160"/>
      <c r="S23" s="160"/>
      <c r="T23" s="160"/>
      <c r="U23" s="92"/>
      <c r="V23" s="568">
        <f>SUMIF(E21:U21,1,E23:U23)</f>
        <v>0</v>
      </c>
      <c r="W23" s="434"/>
      <c r="X23" s="177">
        <v>5</v>
      </c>
      <c r="Y23" s="87">
        <f t="shared" ca="1" si="35"/>
        <v>67.81</v>
      </c>
      <c r="Z23" s="87">
        <f t="shared" ca="1" si="36"/>
        <v>70.569999999999993</v>
      </c>
      <c r="AA23" s="87">
        <f t="shared" ca="1" si="37"/>
        <v>1172.83</v>
      </c>
      <c r="AB23" s="87">
        <f t="shared" ca="1" si="38"/>
        <v>278.39999999999998</v>
      </c>
      <c r="AC23" s="87">
        <f t="shared" si="39"/>
        <v>0</v>
      </c>
      <c r="AD23" s="87">
        <f t="shared" si="40"/>
        <v>0</v>
      </c>
      <c r="AE23" s="87">
        <f t="shared" si="41"/>
        <v>0</v>
      </c>
      <c r="AF23" s="87">
        <f t="shared" si="42"/>
        <v>0</v>
      </c>
      <c r="AG23" s="87">
        <f t="shared" si="43"/>
        <v>0</v>
      </c>
      <c r="AH23" s="87">
        <f t="shared" si="44"/>
        <v>0</v>
      </c>
      <c r="AI23" s="87">
        <f t="shared" si="45"/>
        <v>0</v>
      </c>
      <c r="AJ23" s="87">
        <f t="shared" si="46"/>
        <v>0</v>
      </c>
      <c r="AK23" s="87">
        <f t="shared" si="47"/>
        <v>0</v>
      </c>
      <c r="AL23" s="87">
        <f t="shared" si="48"/>
        <v>0</v>
      </c>
      <c r="AM23" s="87">
        <f t="shared" si="49"/>
        <v>0</v>
      </c>
      <c r="AN23" s="87">
        <f t="shared" si="50"/>
        <v>0</v>
      </c>
      <c r="AO23" s="87">
        <f t="shared" si="51"/>
        <v>0</v>
      </c>
      <c r="AP23" s="177"/>
      <c r="AQ23" s="432">
        <v>5</v>
      </c>
      <c r="AR23" s="569">
        <f t="shared" ca="1" si="58"/>
        <v>46305</v>
      </c>
      <c r="AS23" s="429">
        <f t="shared" ca="1" si="10"/>
        <v>1589.6100000000001</v>
      </c>
      <c r="AT23" s="427"/>
      <c r="AU23" s="427">
        <v>5</v>
      </c>
      <c r="AV23" s="569">
        <f t="shared" ca="1" si="59"/>
        <v>46336</v>
      </c>
      <c r="AW23" s="570">
        <f t="shared" ca="1" si="52"/>
        <v>0</v>
      </c>
      <c r="AX23" s="202">
        <f t="shared" ca="1" si="53"/>
        <v>0</v>
      </c>
      <c r="AY23" s="427">
        <v>5</v>
      </c>
      <c r="AZ23" s="569">
        <f t="shared" ca="1" si="60"/>
        <v>46336</v>
      </c>
      <c r="BA23" s="570">
        <f t="shared" si="54"/>
        <v>1589.6100000000001</v>
      </c>
      <c r="BB23" s="259">
        <f t="shared" ca="1" si="11"/>
        <v>46305</v>
      </c>
      <c r="BC23" s="428">
        <f t="shared" ca="1" si="55"/>
        <v>0</v>
      </c>
      <c r="BD23" s="177">
        <f t="shared" si="12"/>
        <v>67.81</v>
      </c>
      <c r="BE23" s="177">
        <f t="shared" si="13"/>
        <v>70.569999999999993</v>
      </c>
      <c r="BF23" s="177">
        <f t="shared" si="14"/>
        <v>1172.83</v>
      </c>
      <c r="BG23" s="177">
        <f t="shared" si="15"/>
        <v>278.39999999999998</v>
      </c>
      <c r="BH23" s="177">
        <f t="shared" si="16"/>
        <v>0</v>
      </c>
      <c r="BI23" s="177">
        <f t="shared" si="17"/>
        <v>0</v>
      </c>
      <c r="BJ23" s="177">
        <f t="shared" si="18"/>
        <v>0</v>
      </c>
      <c r="BK23" s="177">
        <f t="shared" si="19"/>
        <v>0</v>
      </c>
      <c r="BL23" s="177">
        <f t="shared" si="20"/>
        <v>0</v>
      </c>
      <c r="BM23" s="177">
        <f t="shared" si="21"/>
        <v>0</v>
      </c>
      <c r="BN23" s="177">
        <f t="shared" si="22"/>
        <v>0</v>
      </c>
      <c r="BO23" s="177">
        <f t="shared" si="23"/>
        <v>0</v>
      </c>
      <c r="BP23" s="177">
        <f t="shared" si="24"/>
        <v>0</v>
      </c>
      <c r="BQ23" s="177">
        <f t="shared" si="25"/>
        <v>0</v>
      </c>
      <c r="BR23" s="177">
        <f t="shared" si="26"/>
        <v>0</v>
      </c>
      <c r="BS23" s="177">
        <f t="shared" si="27"/>
        <v>0</v>
      </c>
      <c r="BT23" s="177">
        <f t="shared" si="28"/>
        <v>0</v>
      </c>
      <c r="BU23" s="177"/>
      <c r="BV23" s="177"/>
      <c r="BW23" s="177"/>
      <c r="BX23" s="267" t="s">
        <v>1046</v>
      </c>
      <c r="BY23" s="267">
        <v>1</v>
      </c>
      <c r="BZ23" s="64" t="s">
        <v>568</v>
      </c>
      <c r="CA23" s="267">
        <v>-1</v>
      </c>
      <c r="CB23" s="267"/>
      <c r="CC23" s="267"/>
      <c r="CD23" s="267"/>
      <c r="CE23" s="267"/>
      <c r="CF23" s="267"/>
      <c r="CG23" s="267"/>
      <c r="CH23" s="267"/>
      <c r="CI23" s="435"/>
      <c r="CJ23" s="436"/>
      <c r="CK23" s="437"/>
      <c r="CL23" s="177"/>
      <c r="CM23" s="64" t="s">
        <v>3844</v>
      </c>
      <c r="CN23" s="707"/>
      <c r="CO23" s="87"/>
      <c r="CP23" s="87"/>
      <c r="CQ23" s="87"/>
      <c r="CR23" s="87"/>
      <c r="CS23" s="178">
        <v>5</v>
      </c>
      <c r="CT23" s="259">
        <f t="shared" ca="1" si="29"/>
        <v>46336</v>
      </c>
      <c r="CU23" s="179">
        <f t="shared" ca="1" si="56"/>
        <v>1429.2776179406183</v>
      </c>
      <c r="CV23" s="179">
        <f t="shared" ca="1" si="56"/>
        <v>1433.3540364789194</v>
      </c>
      <c r="CW23" s="179">
        <f t="shared" ca="1" si="56"/>
        <v>1435.8064302660689</v>
      </c>
      <c r="CX23" s="179">
        <f t="shared" ca="1" si="56"/>
        <v>1438.2637448561929</v>
      </c>
      <c r="CY23" s="179">
        <f t="shared" ca="1" si="56"/>
        <v>1440.7259915783977</v>
      </c>
      <c r="CZ23" s="179">
        <f t="shared" ca="1" si="56"/>
        <v>1443.1931817912205</v>
      </c>
      <c r="DA23" s="179">
        <f t="shared" ca="1" si="56"/>
        <v>1444.8407272726292</v>
      </c>
      <c r="DB23" s="179">
        <f t="shared" ca="1" si="56"/>
        <v>1448.1424382705729</v>
      </c>
      <c r="DC23" s="179">
        <f t="shared" ca="1" si="56"/>
        <v>1449.7966105677915</v>
      </c>
      <c r="DD23" s="179">
        <f t="shared" ca="1" si="56"/>
        <v>1451.4529985940926</v>
      </c>
      <c r="DE23" s="179">
        <f t="shared" ca="1" si="30"/>
        <v>1453.1116057545289</v>
      </c>
      <c r="DF23" s="179" t="e">
        <f t="shared" ca="1" si="30"/>
        <v>#VALUE!</v>
      </c>
      <c r="DG23" s="179" t="e">
        <f t="shared" ca="1" si="30"/>
        <v>#VALUE!</v>
      </c>
      <c r="DH23" s="179" t="e">
        <f t="shared" ca="1" si="30"/>
        <v>#VALUE!</v>
      </c>
      <c r="DI23" s="179" t="e">
        <f t="shared" ca="1" si="30"/>
        <v>#VALUE!</v>
      </c>
      <c r="DJ23" s="179" t="e">
        <f t="shared" ca="1" si="30"/>
        <v>#VALUE!</v>
      </c>
      <c r="DK23" s="179" t="e">
        <f t="shared" ca="1" si="30"/>
        <v>#VALUE!</v>
      </c>
      <c r="DL23" s="179" t="e">
        <f t="shared" ca="1" si="31"/>
        <v>#VALUE!</v>
      </c>
      <c r="DM23" s="179" t="e">
        <f t="shared" ca="1" si="31"/>
        <v>#VALUE!</v>
      </c>
      <c r="DN23" s="179" t="e">
        <f t="shared" ca="1" si="31"/>
        <v>#VALUE!</v>
      </c>
      <c r="DO23" s="179" t="e">
        <f t="shared" ca="1" si="31"/>
        <v>#VALUE!</v>
      </c>
      <c r="DP23" s="179" t="e">
        <f t="shared" ca="1" si="31"/>
        <v>#VALUE!</v>
      </c>
      <c r="DQ23" s="179" t="e">
        <f t="shared" ca="1" si="31"/>
        <v>#VALUE!</v>
      </c>
      <c r="DR23" s="431">
        <v>5</v>
      </c>
      <c r="DS23" s="430">
        <f t="shared" ref="DS23:DS86" ca="1" si="61">EDATE(DS$19,DR23-1)</f>
        <v>46305</v>
      </c>
      <c r="DT23" s="180">
        <f t="shared" ca="1" si="57"/>
        <v>0</v>
      </c>
      <c r="DU23" s="180">
        <f t="shared" ca="1" si="57"/>
        <v>0</v>
      </c>
      <c r="DV23" s="180">
        <f t="shared" ca="1" si="57"/>
        <v>0</v>
      </c>
      <c r="DW23" s="180">
        <f t="shared" ca="1" si="57"/>
        <v>0</v>
      </c>
      <c r="DX23" s="180">
        <f t="shared" ca="1" si="57"/>
        <v>0</v>
      </c>
      <c r="DY23" s="180">
        <f t="shared" ca="1" si="57"/>
        <v>0</v>
      </c>
      <c r="DZ23" s="180">
        <f t="shared" ca="1" si="57"/>
        <v>0</v>
      </c>
      <c r="EA23" s="180">
        <f t="shared" ca="1" si="57"/>
        <v>0</v>
      </c>
      <c r="EB23" s="180">
        <f t="shared" ca="1" si="57"/>
        <v>0</v>
      </c>
      <c r="EC23" s="180">
        <f t="shared" ca="1" si="57"/>
        <v>0</v>
      </c>
      <c r="ED23" s="180">
        <f t="shared" ca="1" si="57"/>
        <v>0</v>
      </c>
      <c r="EE23" s="180">
        <f t="shared" ca="1" si="57"/>
        <v>0</v>
      </c>
      <c r="EF23" s="180">
        <f t="shared" ca="1" si="57"/>
        <v>0</v>
      </c>
      <c r="EG23" s="180">
        <f t="shared" ca="1" si="57"/>
        <v>0</v>
      </c>
      <c r="EH23" s="180">
        <f t="shared" ca="1" si="57"/>
        <v>0</v>
      </c>
      <c r="EI23" s="180">
        <f t="shared" ca="1" si="33"/>
        <v>0</v>
      </c>
      <c r="EJ23" s="180">
        <f t="shared" ca="1" si="33"/>
        <v>0</v>
      </c>
      <c r="EK23" s="180">
        <f t="shared" ca="1" si="33"/>
        <v>0</v>
      </c>
      <c r="EL23" s="180">
        <f t="shared" ca="1" si="33"/>
        <v>0</v>
      </c>
      <c r="EM23" s="180">
        <f t="shared" ca="1" si="33"/>
        <v>0</v>
      </c>
      <c r="EN23" s="180">
        <f t="shared" ca="1" si="33"/>
        <v>0</v>
      </c>
      <c r="EO23" s="180">
        <f t="shared" ca="1" si="33"/>
        <v>0</v>
      </c>
      <c r="EP23" s="180">
        <f t="shared" ca="1" si="33"/>
        <v>0</v>
      </c>
      <c r="EQ23" s="180"/>
      <c r="ER23" s="180"/>
    </row>
    <row r="24" spans="2:148" s="42" customFormat="1" ht="15.75" x14ac:dyDescent="0.25">
      <c r="C24" s="620" t="s">
        <v>58</v>
      </c>
      <c r="D24" s="620"/>
      <c r="E24" s="93">
        <f>IF($V$18=0,0,IF($V$23=0,$V$18+$E$25,$V$23+$E$25))</f>
        <v>1589.6100000000001</v>
      </c>
      <c r="F24" s="174">
        <f>VLOOKUP(F6,'Base tabelas'!$A:$T,19,FALSE)-0.03%</f>
        <v>1.41E-2</v>
      </c>
      <c r="G24" s="169"/>
      <c r="H24" s="169"/>
      <c r="I24" s="169"/>
      <c r="J24" s="169"/>
      <c r="K24" s="169"/>
      <c r="L24" s="169"/>
      <c r="M24" s="169"/>
      <c r="N24" s="43"/>
      <c r="O24" s="43"/>
      <c r="P24" s="43"/>
      <c r="Q24" s="43"/>
      <c r="R24" s="159"/>
      <c r="S24" s="159"/>
      <c r="T24" s="159"/>
      <c r="U24" s="43"/>
      <c r="V24" s="141">
        <f>I29-0.03%</f>
        <v>1.77E-2</v>
      </c>
      <c r="W24" s="434"/>
      <c r="X24" s="177">
        <v>6</v>
      </c>
      <c r="Y24" s="87">
        <f t="shared" ca="1" si="35"/>
        <v>67.81</v>
      </c>
      <c r="Z24" s="87">
        <f t="shared" ca="1" si="36"/>
        <v>70.569999999999993</v>
      </c>
      <c r="AA24" s="87">
        <f t="shared" ca="1" si="37"/>
        <v>1172.83</v>
      </c>
      <c r="AB24" s="87">
        <f t="shared" ca="1" si="38"/>
        <v>278.39999999999998</v>
      </c>
      <c r="AC24" s="87">
        <f t="shared" si="39"/>
        <v>0</v>
      </c>
      <c r="AD24" s="87">
        <f t="shared" si="40"/>
        <v>0</v>
      </c>
      <c r="AE24" s="87">
        <f t="shared" si="41"/>
        <v>0</v>
      </c>
      <c r="AF24" s="87">
        <f t="shared" si="42"/>
        <v>0</v>
      </c>
      <c r="AG24" s="87">
        <f t="shared" si="43"/>
        <v>0</v>
      </c>
      <c r="AH24" s="87">
        <f t="shared" si="44"/>
        <v>0</v>
      </c>
      <c r="AI24" s="87">
        <f t="shared" si="45"/>
        <v>0</v>
      </c>
      <c r="AJ24" s="87">
        <f t="shared" si="46"/>
        <v>0</v>
      </c>
      <c r="AK24" s="87">
        <f t="shared" si="47"/>
        <v>0</v>
      </c>
      <c r="AL24" s="87">
        <f t="shared" si="48"/>
        <v>0</v>
      </c>
      <c r="AM24" s="87">
        <f t="shared" si="49"/>
        <v>0</v>
      </c>
      <c r="AN24" s="87">
        <f t="shared" si="50"/>
        <v>0</v>
      </c>
      <c r="AO24" s="87">
        <f t="shared" si="51"/>
        <v>0</v>
      </c>
      <c r="AP24" s="177"/>
      <c r="AQ24" s="432">
        <v>6</v>
      </c>
      <c r="AR24" s="569">
        <f t="shared" ca="1" si="58"/>
        <v>46336</v>
      </c>
      <c r="AS24" s="429">
        <f t="shared" ca="1" si="10"/>
        <v>1589.6100000000001</v>
      </c>
      <c r="AT24" s="427"/>
      <c r="AU24" s="427">
        <v>6</v>
      </c>
      <c r="AV24" s="569">
        <f t="shared" ca="1" si="59"/>
        <v>46366</v>
      </c>
      <c r="AW24" s="570">
        <f t="shared" ca="1" si="52"/>
        <v>0</v>
      </c>
      <c r="AX24" s="202">
        <f t="shared" ca="1" si="53"/>
        <v>0</v>
      </c>
      <c r="AY24" s="427">
        <v>6</v>
      </c>
      <c r="AZ24" s="569">
        <f t="shared" ca="1" si="60"/>
        <v>46366</v>
      </c>
      <c r="BA24" s="570">
        <f t="shared" si="54"/>
        <v>1589.6100000000001</v>
      </c>
      <c r="BB24" s="259">
        <f t="shared" ca="1" si="11"/>
        <v>46336</v>
      </c>
      <c r="BC24" s="428">
        <f t="shared" ca="1" si="55"/>
        <v>0</v>
      </c>
      <c r="BD24" s="177">
        <f t="shared" si="12"/>
        <v>67.81</v>
      </c>
      <c r="BE24" s="177">
        <f t="shared" si="13"/>
        <v>70.569999999999993</v>
      </c>
      <c r="BF24" s="177">
        <f t="shared" si="14"/>
        <v>1172.83</v>
      </c>
      <c r="BG24" s="177">
        <f t="shared" si="15"/>
        <v>278.39999999999998</v>
      </c>
      <c r="BH24" s="177">
        <f t="shared" si="16"/>
        <v>0</v>
      </c>
      <c r="BI24" s="177">
        <f t="shared" si="17"/>
        <v>0</v>
      </c>
      <c r="BJ24" s="177">
        <f t="shared" si="18"/>
        <v>0</v>
      </c>
      <c r="BK24" s="177">
        <f t="shared" si="19"/>
        <v>0</v>
      </c>
      <c r="BL24" s="177">
        <f t="shared" si="20"/>
        <v>0</v>
      </c>
      <c r="BM24" s="177">
        <f t="shared" si="21"/>
        <v>0</v>
      </c>
      <c r="BN24" s="177">
        <f t="shared" si="22"/>
        <v>0</v>
      </c>
      <c r="BO24" s="177">
        <f t="shared" si="23"/>
        <v>0</v>
      </c>
      <c r="BP24" s="177">
        <f t="shared" si="24"/>
        <v>0</v>
      </c>
      <c r="BQ24" s="177">
        <f t="shared" si="25"/>
        <v>0</v>
      </c>
      <c r="BR24" s="177">
        <f t="shared" si="26"/>
        <v>0</v>
      </c>
      <c r="BS24" s="177">
        <f t="shared" si="27"/>
        <v>0</v>
      </c>
      <c r="BT24" s="177">
        <f t="shared" si="28"/>
        <v>0</v>
      </c>
      <c r="BU24" s="177"/>
      <c r="BV24" s="177"/>
      <c r="BW24" s="177"/>
      <c r="BX24" s="267" t="s">
        <v>366</v>
      </c>
      <c r="BY24" s="267">
        <v>1</v>
      </c>
      <c r="BZ24" s="267"/>
      <c r="CA24" s="267"/>
      <c r="CB24" s="267"/>
      <c r="CC24" s="267"/>
      <c r="CD24" s="267"/>
      <c r="CE24" s="267"/>
      <c r="CF24" s="267"/>
      <c r="CG24" s="267"/>
      <c r="CH24" s="267"/>
      <c r="CI24" s="435"/>
      <c r="CJ24" s="436"/>
      <c r="CK24" s="437"/>
      <c r="CL24" s="177"/>
      <c r="CM24" s="64" t="s">
        <v>3836</v>
      </c>
      <c r="CN24" s="707"/>
      <c r="CO24" s="87"/>
      <c r="CP24" s="87"/>
      <c r="CQ24" s="87"/>
      <c r="CR24" s="87"/>
      <c r="CS24" s="138">
        <v>6</v>
      </c>
      <c r="CT24" s="259">
        <f t="shared" ca="1" si="29"/>
        <v>46366</v>
      </c>
      <c r="CU24" s="179">
        <f t="shared" ca="1" si="56"/>
        <v>1403.3162670010979</v>
      </c>
      <c r="CV24" s="179">
        <f t="shared" ca="1" si="56"/>
        <v>1408.0098590166203</v>
      </c>
      <c r="CW24" s="179">
        <f t="shared" ca="1" si="56"/>
        <v>1410.8346568400009</v>
      </c>
      <c r="CX24" s="179">
        <f t="shared" ca="1" si="56"/>
        <v>1413.6659572008973</v>
      </c>
      <c r="CY24" s="179">
        <f t="shared" ca="1" si="56"/>
        <v>1416.5037769918376</v>
      </c>
      <c r="CZ24" s="179">
        <f t="shared" ca="1" si="56"/>
        <v>1419.3481331542293</v>
      </c>
      <c r="DA24" s="179">
        <f t="shared" ca="1" si="56"/>
        <v>1421.2480103016223</v>
      </c>
      <c r="DB24" s="179">
        <f t="shared" ca="1" si="56"/>
        <v>1425.0565226043821</v>
      </c>
      <c r="DC24" s="179">
        <f t="shared" ca="1" si="56"/>
        <v>1426.9651678816847</v>
      </c>
      <c r="DD24" s="179">
        <f t="shared" ca="1" si="56"/>
        <v>1428.8767460071792</v>
      </c>
      <c r="DE24" s="179">
        <f t="shared" ca="1" si="30"/>
        <v>1430.7912620662944</v>
      </c>
      <c r="DF24" s="179" t="e">
        <f t="shared" ca="1" si="30"/>
        <v>#VALUE!</v>
      </c>
      <c r="DG24" s="179" t="e">
        <f t="shared" ca="1" si="30"/>
        <v>#VALUE!</v>
      </c>
      <c r="DH24" s="179" t="e">
        <f t="shared" ca="1" si="30"/>
        <v>#VALUE!</v>
      </c>
      <c r="DI24" s="179" t="e">
        <f t="shared" ca="1" si="30"/>
        <v>#VALUE!</v>
      </c>
      <c r="DJ24" s="179" t="e">
        <f t="shared" ca="1" si="30"/>
        <v>#VALUE!</v>
      </c>
      <c r="DK24" s="179" t="e">
        <f t="shared" ca="1" si="30"/>
        <v>#VALUE!</v>
      </c>
      <c r="DL24" s="179" t="e">
        <f t="shared" ca="1" si="31"/>
        <v>#VALUE!</v>
      </c>
      <c r="DM24" s="179" t="e">
        <f t="shared" ca="1" si="31"/>
        <v>#VALUE!</v>
      </c>
      <c r="DN24" s="179" t="e">
        <f t="shared" ca="1" si="31"/>
        <v>#VALUE!</v>
      </c>
      <c r="DO24" s="179" t="e">
        <f t="shared" ca="1" si="31"/>
        <v>#VALUE!</v>
      </c>
      <c r="DP24" s="179" t="e">
        <f t="shared" ca="1" si="31"/>
        <v>#VALUE!</v>
      </c>
      <c r="DQ24" s="179" t="e">
        <f t="shared" ca="1" si="31"/>
        <v>#VALUE!</v>
      </c>
      <c r="DR24" s="278">
        <v>6</v>
      </c>
      <c r="DS24" s="430">
        <f t="shared" ca="1" si="61"/>
        <v>46336</v>
      </c>
      <c r="DT24" s="180">
        <f t="shared" ca="1" si="57"/>
        <v>0</v>
      </c>
      <c r="DU24" s="180">
        <f t="shared" ca="1" si="57"/>
        <v>0</v>
      </c>
      <c r="DV24" s="180">
        <f t="shared" ca="1" si="57"/>
        <v>0</v>
      </c>
      <c r="DW24" s="180">
        <f t="shared" ca="1" si="57"/>
        <v>0</v>
      </c>
      <c r="DX24" s="180">
        <f t="shared" ca="1" si="57"/>
        <v>0</v>
      </c>
      <c r="DY24" s="180">
        <f t="shared" ca="1" si="57"/>
        <v>0</v>
      </c>
      <c r="DZ24" s="180">
        <f t="shared" ca="1" si="57"/>
        <v>0</v>
      </c>
      <c r="EA24" s="180">
        <f t="shared" ca="1" si="57"/>
        <v>0</v>
      </c>
      <c r="EB24" s="180">
        <f t="shared" ca="1" si="57"/>
        <v>0</v>
      </c>
      <c r="EC24" s="180">
        <f t="shared" ca="1" si="57"/>
        <v>0</v>
      </c>
      <c r="ED24" s="180">
        <f t="shared" ca="1" si="57"/>
        <v>0</v>
      </c>
      <c r="EE24" s="180">
        <f t="shared" ca="1" si="57"/>
        <v>0</v>
      </c>
      <c r="EF24" s="180">
        <f t="shared" ca="1" si="57"/>
        <v>0</v>
      </c>
      <c r="EG24" s="180">
        <f t="shared" ca="1" si="57"/>
        <v>0</v>
      </c>
      <c r="EH24" s="180">
        <f t="shared" ca="1" si="57"/>
        <v>0</v>
      </c>
      <c r="EI24" s="180">
        <f t="shared" ca="1" si="33"/>
        <v>0</v>
      </c>
      <c r="EJ24" s="180">
        <f t="shared" ca="1" si="33"/>
        <v>0</v>
      </c>
      <c r="EK24" s="180">
        <f t="shared" ca="1" si="33"/>
        <v>0</v>
      </c>
      <c r="EL24" s="180">
        <f t="shared" ca="1" si="33"/>
        <v>0</v>
      </c>
      <c r="EM24" s="180">
        <f t="shared" ca="1" si="33"/>
        <v>0</v>
      </c>
      <c r="EN24" s="180">
        <f t="shared" ca="1" si="33"/>
        <v>0</v>
      </c>
      <c r="EO24" s="180">
        <f t="shared" ca="1" si="33"/>
        <v>0</v>
      </c>
      <c r="EP24" s="180">
        <f t="shared" ca="1" si="33"/>
        <v>0</v>
      </c>
      <c r="EQ24" s="180"/>
      <c r="ER24" s="180"/>
    </row>
    <row r="25" spans="2:148" ht="15.75" x14ac:dyDescent="0.25">
      <c r="B25"/>
      <c r="C25" s="620" t="s">
        <v>57</v>
      </c>
      <c r="D25" s="620"/>
      <c r="E25" s="94"/>
      <c r="F25" s="173"/>
      <c r="G25" s="591"/>
      <c r="H25" s="592"/>
      <c r="I25" s="592"/>
      <c r="J25" s="592"/>
      <c r="K25" s="171"/>
      <c r="L25" s="170"/>
      <c r="M25" s="170"/>
      <c r="N25" s="38"/>
      <c r="O25" s="38"/>
      <c r="P25" s="38"/>
      <c r="Q25" s="38"/>
      <c r="R25" s="161"/>
      <c r="S25" s="161"/>
      <c r="T25" s="161"/>
      <c r="U25" s="38"/>
      <c r="W25" s="98"/>
      <c r="X25" s="87">
        <v>7</v>
      </c>
      <c r="Y25" s="87">
        <f t="shared" ca="1" si="35"/>
        <v>67.81</v>
      </c>
      <c r="Z25" s="87">
        <f t="shared" ca="1" si="36"/>
        <v>70.569999999999993</v>
      </c>
      <c r="AA25" s="87">
        <f t="shared" ca="1" si="37"/>
        <v>1172.83</v>
      </c>
      <c r="AB25" s="87">
        <f t="shared" ca="1" si="38"/>
        <v>278.39999999999998</v>
      </c>
      <c r="AC25" s="87">
        <f t="shared" si="39"/>
        <v>0</v>
      </c>
      <c r="AD25" s="87">
        <f t="shared" si="40"/>
        <v>0</v>
      </c>
      <c r="AE25" s="87">
        <f t="shared" si="41"/>
        <v>0</v>
      </c>
      <c r="AF25" s="87">
        <f t="shared" si="42"/>
        <v>0</v>
      </c>
      <c r="AG25" s="87">
        <f t="shared" si="43"/>
        <v>0</v>
      </c>
      <c r="AH25" s="87">
        <f t="shared" si="44"/>
        <v>0</v>
      </c>
      <c r="AI25" s="87">
        <f t="shared" si="45"/>
        <v>0</v>
      </c>
      <c r="AJ25" s="87">
        <f t="shared" si="46"/>
        <v>0</v>
      </c>
      <c r="AK25" s="87">
        <f t="shared" si="47"/>
        <v>0</v>
      </c>
      <c r="AL25" s="87">
        <f t="shared" si="48"/>
        <v>0</v>
      </c>
      <c r="AM25" s="87">
        <f t="shared" si="49"/>
        <v>0</v>
      </c>
      <c r="AN25" s="87">
        <f t="shared" si="50"/>
        <v>0</v>
      </c>
      <c r="AO25" s="87">
        <f t="shared" si="51"/>
        <v>0</v>
      </c>
      <c r="AP25" s="87"/>
      <c r="AQ25" s="426">
        <v>7</v>
      </c>
      <c r="AR25" s="258">
        <f t="shared" ca="1" si="58"/>
        <v>46366</v>
      </c>
      <c r="AS25" s="429">
        <f t="shared" ca="1" si="10"/>
        <v>1589.6100000000001</v>
      </c>
      <c r="AT25" s="138"/>
      <c r="AU25" s="278">
        <v>7</v>
      </c>
      <c r="AV25" s="258">
        <f t="shared" ca="1" si="59"/>
        <v>46397</v>
      </c>
      <c r="AW25" s="429">
        <f t="shared" ca="1" si="52"/>
        <v>0</v>
      </c>
      <c r="AX25" s="202">
        <f t="shared" ca="1" si="53"/>
        <v>0</v>
      </c>
      <c r="AY25" s="278">
        <v>7</v>
      </c>
      <c r="AZ25" s="258">
        <f t="shared" ca="1" si="60"/>
        <v>46397</v>
      </c>
      <c r="BA25" s="429">
        <f t="shared" si="54"/>
        <v>1589.6100000000001</v>
      </c>
      <c r="BB25" s="259">
        <f t="shared" ca="1" si="11"/>
        <v>46366</v>
      </c>
      <c r="BC25" s="428">
        <f t="shared" ca="1" si="55"/>
        <v>0</v>
      </c>
      <c r="BD25" s="188">
        <f t="shared" si="12"/>
        <v>67.81</v>
      </c>
      <c r="BE25" s="188">
        <f t="shared" si="13"/>
        <v>70.569999999999993</v>
      </c>
      <c r="BF25" s="188">
        <f t="shared" si="14"/>
        <v>1172.83</v>
      </c>
      <c r="BG25" s="87">
        <f t="shared" si="15"/>
        <v>278.39999999999998</v>
      </c>
      <c r="BH25" s="87">
        <f t="shared" si="16"/>
        <v>0</v>
      </c>
      <c r="BI25" s="87">
        <f t="shared" si="17"/>
        <v>0</v>
      </c>
      <c r="BJ25" s="87">
        <f t="shared" si="18"/>
        <v>0</v>
      </c>
      <c r="BK25" s="87">
        <f t="shared" si="19"/>
        <v>0</v>
      </c>
      <c r="BL25" s="87">
        <f t="shared" si="20"/>
        <v>0</v>
      </c>
      <c r="BM25" s="87">
        <f t="shared" si="21"/>
        <v>0</v>
      </c>
      <c r="BN25" s="87">
        <f t="shared" si="22"/>
        <v>0</v>
      </c>
      <c r="BO25" s="87">
        <f t="shared" si="23"/>
        <v>0</v>
      </c>
      <c r="BP25" s="87">
        <f t="shared" si="24"/>
        <v>0</v>
      </c>
      <c r="BQ25" s="87">
        <f t="shared" si="25"/>
        <v>0</v>
      </c>
      <c r="BR25" s="87">
        <f t="shared" si="26"/>
        <v>0</v>
      </c>
      <c r="BS25" s="87">
        <f t="shared" si="27"/>
        <v>0</v>
      </c>
      <c r="BT25" s="87">
        <f t="shared" si="28"/>
        <v>0</v>
      </c>
      <c r="BV25" s="177"/>
      <c r="BW25" s="177"/>
      <c r="BX25" s="267"/>
      <c r="BY25" s="267"/>
      <c r="BZ25" s="267"/>
      <c r="CA25" s="267"/>
      <c r="CB25" s="267"/>
      <c r="CC25" s="267"/>
      <c r="CD25" s="267"/>
      <c r="CE25" s="267"/>
      <c r="CF25" s="267"/>
      <c r="CG25" s="267"/>
      <c r="CH25" s="267"/>
      <c r="CI25" s="435"/>
      <c r="CJ25" s="436"/>
      <c r="CK25" s="437"/>
      <c r="CM25" s="64" t="s">
        <v>3869</v>
      </c>
      <c r="CN25" s="707"/>
      <c r="CS25" s="87">
        <v>7</v>
      </c>
      <c r="CT25" s="259">
        <f t="shared" ca="1" si="29"/>
        <v>46397</v>
      </c>
      <c r="CU25" s="179">
        <f t="shared" ca="1" si="56"/>
        <v>1376.9848384178983</v>
      </c>
      <c r="CV25" s="179">
        <f t="shared" ca="1" si="56"/>
        <v>1382.2915670277062</v>
      </c>
      <c r="CW25" s="179">
        <f t="shared" ca="1" si="56"/>
        <v>1385.4866724069377</v>
      </c>
      <c r="CX25" s="179">
        <f t="shared" ca="1" si="56"/>
        <v>1388.6901083975379</v>
      </c>
      <c r="CY25" s="179">
        <f t="shared" ca="1" si="56"/>
        <v>1391.9018991860016</v>
      </c>
      <c r="CZ25" s="179">
        <f t="shared" ca="1" si="56"/>
        <v>1395.1220690362015</v>
      </c>
      <c r="DA25" s="179">
        <f t="shared" ca="1" si="56"/>
        <v>1397.2735159879408</v>
      </c>
      <c r="DB25" s="179">
        <f t="shared" ca="1" si="56"/>
        <v>1401.58764336588</v>
      </c>
      <c r="DC25" s="179">
        <f t="shared" ca="1" si="56"/>
        <v>1403.7503383014755</v>
      </c>
      <c r="DD25" s="179">
        <f t="shared" ca="1" si="56"/>
        <v>1405.9167971002289</v>
      </c>
      <c r="DE25" s="179">
        <f t="shared" ca="1" si="30"/>
        <v>1408.0870270556093</v>
      </c>
      <c r="DF25" s="179" t="e">
        <f t="shared" ca="1" si="30"/>
        <v>#VALUE!</v>
      </c>
      <c r="DG25" s="179" t="e">
        <f t="shared" ca="1" si="30"/>
        <v>#VALUE!</v>
      </c>
      <c r="DH25" s="179" t="e">
        <f t="shared" ca="1" si="30"/>
        <v>#VALUE!</v>
      </c>
      <c r="DI25" s="179" t="e">
        <f t="shared" ca="1" si="30"/>
        <v>#VALUE!</v>
      </c>
      <c r="DJ25" s="179" t="e">
        <f t="shared" ca="1" si="30"/>
        <v>#VALUE!</v>
      </c>
      <c r="DK25" s="179" t="e">
        <f t="shared" ca="1" si="30"/>
        <v>#VALUE!</v>
      </c>
      <c r="DL25" s="179" t="e">
        <f t="shared" ca="1" si="31"/>
        <v>#VALUE!</v>
      </c>
      <c r="DM25" s="179" t="e">
        <f t="shared" ca="1" si="31"/>
        <v>#VALUE!</v>
      </c>
      <c r="DN25" s="179" t="e">
        <f t="shared" ca="1" si="31"/>
        <v>#VALUE!</v>
      </c>
      <c r="DO25" s="179" t="e">
        <f t="shared" ca="1" si="31"/>
        <v>#VALUE!</v>
      </c>
      <c r="DP25" s="179" t="e">
        <f t="shared" ca="1" si="31"/>
        <v>#VALUE!</v>
      </c>
      <c r="DQ25" s="179" t="e">
        <f t="shared" ca="1" si="31"/>
        <v>#VALUE!</v>
      </c>
      <c r="DR25" s="188">
        <v>7</v>
      </c>
      <c r="DS25" s="430">
        <f t="shared" ca="1" si="61"/>
        <v>46366</v>
      </c>
      <c r="DT25" s="180">
        <f t="shared" ca="1" si="57"/>
        <v>0</v>
      </c>
      <c r="DU25" s="180">
        <f t="shared" ca="1" si="57"/>
        <v>0</v>
      </c>
      <c r="DV25" s="180">
        <f t="shared" ca="1" si="57"/>
        <v>0</v>
      </c>
      <c r="DW25" s="180">
        <f t="shared" ca="1" si="57"/>
        <v>0</v>
      </c>
      <c r="DX25" s="180">
        <f t="shared" ca="1" si="57"/>
        <v>0</v>
      </c>
      <c r="DY25" s="180">
        <f t="shared" ca="1" si="57"/>
        <v>0</v>
      </c>
      <c r="DZ25" s="180">
        <f t="shared" ca="1" si="57"/>
        <v>0</v>
      </c>
      <c r="EA25" s="180">
        <f t="shared" ca="1" si="57"/>
        <v>0</v>
      </c>
      <c r="EB25" s="180">
        <f t="shared" ca="1" si="57"/>
        <v>0</v>
      </c>
      <c r="EC25" s="180">
        <f t="shared" ca="1" si="57"/>
        <v>0</v>
      </c>
      <c r="ED25" s="180">
        <f t="shared" ca="1" si="57"/>
        <v>0</v>
      </c>
      <c r="EE25" s="180">
        <f t="shared" ca="1" si="57"/>
        <v>0</v>
      </c>
      <c r="EF25" s="180">
        <f t="shared" ca="1" si="57"/>
        <v>0</v>
      </c>
      <c r="EG25" s="180">
        <f t="shared" ca="1" si="57"/>
        <v>0</v>
      </c>
      <c r="EH25" s="180">
        <f t="shared" ca="1" si="57"/>
        <v>0</v>
      </c>
      <c r="EI25" s="180">
        <f t="shared" ca="1" si="33"/>
        <v>0</v>
      </c>
      <c r="EJ25" s="180">
        <f t="shared" ca="1" si="33"/>
        <v>0</v>
      </c>
      <c r="EK25" s="180">
        <f t="shared" ca="1" si="33"/>
        <v>0</v>
      </c>
      <c r="EL25" s="180">
        <f t="shared" ca="1" si="33"/>
        <v>0</v>
      </c>
      <c r="EM25" s="180">
        <f t="shared" ca="1" si="33"/>
        <v>0</v>
      </c>
      <c r="EN25" s="180">
        <f t="shared" ca="1" si="33"/>
        <v>0</v>
      </c>
      <c r="EO25" s="180">
        <f t="shared" ca="1" si="33"/>
        <v>0</v>
      </c>
      <c r="EP25" s="180">
        <f t="shared" ca="1" si="33"/>
        <v>0</v>
      </c>
      <c r="EQ25" s="180"/>
      <c r="ER25" s="180"/>
    </row>
    <row r="26" spans="2:148" ht="16.5" thickBot="1" x14ac:dyDescent="0.3">
      <c r="B26"/>
      <c r="C26" s="620" t="s">
        <v>28</v>
      </c>
      <c r="D26" s="620"/>
      <c r="E26" s="189">
        <f ca="1">IF(MAX(R28:R37)=0%,BA15,MAX(R28:R37))</f>
        <v>1.5599999999999999E-2</v>
      </c>
      <c r="F26" s="170"/>
      <c r="G26" s="170"/>
      <c r="H26" s="170"/>
      <c r="I26" s="170"/>
      <c r="J26" s="170"/>
      <c r="K26" s="170"/>
      <c r="L26" s="172"/>
      <c r="M26" s="170"/>
      <c r="N26" s="351"/>
      <c r="O26" s="351"/>
      <c r="P26" s="184"/>
      <c r="Q26" s="184"/>
      <c r="R26" s="184"/>
      <c r="S26" s="184"/>
      <c r="T26" s="184"/>
      <c r="U26" s="184"/>
      <c r="W26" s="98"/>
      <c r="X26" s="87">
        <v>8</v>
      </c>
      <c r="Y26" s="87">
        <f t="shared" ca="1" si="35"/>
        <v>67.81</v>
      </c>
      <c r="Z26" s="87">
        <f t="shared" ca="1" si="36"/>
        <v>70.569999999999993</v>
      </c>
      <c r="AA26" s="87">
        <f t="shared" ca="1" si="37"/>
        <v>1172.83</v>
      </c>
      <c r="AB26" s="87">
        <f t="shared" ca="1" si="38"/>
        <v>278.39999999999998</v>
      </c>
      <c r="AC26" s="87">
        <f t="shared" si="39"/>
        <v>0</v>
      </c>
      <c r="AD26" s="87">
        <f t="shared" si="40"/>
        <v>0</v>
      </c>
      <c r="AE26" s="87">
        <f t="shared" si="41"/>
        <v>0</v>
      </c>
      <c r="AF26" s="87">
        <f t="shared" si="42"/>
        <v>0</v>
      </c>
      <c r="AG26" s="87">
        <f t="shared" si="43"/>
        <v>0</v>
      </c>
      <c r="AH26" s="87">
        <f t="shared" si="44"/>
        <v>0</v>
      </c>
      <c r="AI26" s="87">
        <f t="shared" si="45"/>
        <v>0</v>
      </c>
      <c r="AJ26" s="87">
        <f t="shared" si="46"/>
        <v>0</v>
      </c>
      <c r="AK26" s="87">
        <f t="shared" si="47"/>
        <v>0</v>
      </c>
      <c r="AL26" s="87">
        <f t="shared" si="48"/>
        <v>0</v>
      </c>
      <c r="AM26" s="87">
        <f t="shared" si="49"/>
        <v>0</v>
      </c>
      <c r="AN26" s="87">
        <f t="shared" si="50"/>
        <v>0</v>
      </c>
      <c r="AO26" s="87">
        <f t="shared" si="51"/>
        <v>0</v>
      </c>
      <c r="AP26" s="87"/>
      <c r="AQ26" s="426">
        <v>8</v>
      </c>
      <c r="AR26" s="258">
        <f t="shared" ca="1" si="58"/>
        <v>46397</v>
      </c>
      <c r="AS26" s="429">
        <f t="shared" ca="1" si="10"/>
        <v>1589.6100000000001</v>
      </c>
      <c r="AT26" s="138"/>
      <c r="AU26" s="278">
        <v>8</v>
      </c>
      <c r="AV26" s="258">
        <f t="shared" ca="1" si="59"/>
        <v>46428</v>
      </c>
      <c r="AW26" s="429">
        <f t="shared" ca="1" si="52"/>
        <v>0</v>
      </c>
      <c r="AX26" s="202">
        <f t="shared" ca="1" si="53"/>
        <v>0</v>
      </c>
      <c r="AY26" s="278">
        <v>8</v>
      </c>
      <c r="AZ26" s="258">
        <f t="shared" ca="1" si="60"/>
        <v>46428</v>
      </c>
      <c r="BA26" s="429">
        <f t="shared" si="54"/>
        <v>1589.6100000000001</v>
      </c>
      <c r="BB26" s="259">
        <f t="shared" ca="1" si="11"/>
        <v>46397</v>
      </c>
      <c r="BC26" s="428">
        <f t="shared" ca="1" si="55"/>
        <v>0</v>
      </c>
      <c r="BD26" s="188">
        <f t="shared" si="12"/>
        <v>67.81</v>
      </c>
      <c r="BE26" s="188">
        <f t="shared" si="13"/>
        <v>70.569999999999993</v>
      </c>
      <c r="BF26" s="188">
        <f t="shared" si="14"/>
        <v>1172.83</v>
      </c>
      <c r="BG26" s="87">
        <f t="shared" si="15"/>
        <v>278.39999999999998</v>
      </c>
      <c r="BH26" s="87">
        <f t="shared" si="16"/>
        <v>0</v>
      </c>
      <c r="BI26" s="87">
        <f t="shared" si="17"/>
        <v>0</v>
      </c>
      <c r="BJ26" s="87">
        <f t="shared" si="18"/>
        <v>0</v>
      </c>
      <c r="BK26" s="87">
        <f t="shared" si="19"/>
        <v>0</v>
      </c>
      <c r="BL26" s="87">
        <f t="shared" si="20"/>
        <v>0</v>
      </c>
      <c r="BM26" s="87">
        <f t="shared" si="21"/>
        <v>0</v>
      </c>
      <c r="BN26" s="87">
        <f t="shared" si="22"/>
        <v>0</v>
      </c>
      <c r="BO26" s="87">
        <f t="shared" si="23"/>
        <v>0</v>
      </c>
      <c r="BP26" s="87">
        <f t="shared" si="24"/>
        <v>0</v>
      </c>
      <c r="BQ26" s="87">
        <f t="shared" si="25"/>
        <v>0</v>
      </c>
      <c r="BR26" s="87">
        <f t="shared" si="26"/>
        <v>0</v>
      </c>
      <c r="BS26" s="87">
        <f t="shared" si="27"/>
        <v>0</v>
      </c>
      <c r="BT26" s="87">
        <f t="shared" si="28"/>
        <v>0</v>
      </c>
      <c r="BV26" s="177"/>
      <c r="BW26" s="177"/>
      <c r="BX26" s="267"/>
      <c r="BY26" s="267"/>
      <c r="BZ26" s="267"/>
      <c r="CA26" s="267"/>
      <c r="CB26" s="267"/>
      <c r="CC26" s="267"/>
      <c r="CD26" s="267"/>
      <c r="CE26" s="267"/>
      <c r="CF26" s="267"/>
      <c r="CG26" s="267"/>
      <c r="CH26" s="267"/>
      <c r="CI26" s="435"/>
      <c r="CJ26" s="436"/>
      <c r="CK26" s="437"/>
      <c r="CM26" s="64" t="s">
        <v>215</v>
      </c>
      <c r="CN26" s="707">
        <v>60</v>
      </c>
      <c r="CS26" s="178">
        <v>8</v>
      </c>
      <c r="CT26" s="259">
        <f t="shared" ca="1" si="29"/>
        <v>46428</v>
      </c>
      <c r="CU26" s="179">
        <f t="shared" ca="1" si="56"/>
        <v>1351.1474852954741</v>
      </c>
      <c r="CV26" s="179">
        <f t="shared" ca="1" si="56"/>
        <v>1357.0430377599769</v>
      </c>
      <c r="CW26" s="179">
        <f t="shared" ca="1" si="56"/>
        <v>1360.5941065530139</v>
      </c>
      <c r="CX26" s="179">
        <f t="shared" ca="1" si="56"/>
        <v>1364.1555187334193</v>
      </c>
      <c r="CY26" s="179">
        <f t="shared" ca="1" si="56"/>
        <v>1367.7273074922143</v>
      </c>
      <c r="CZ26" s="179">
        <f t="shared" ca="1" si="56"/>
        <v>1371.3095061367558</v>
      </c>
      <c r="DA26" s="179">
        <f t="shared" ca="1" si="56"/>
        <v>1373.7034383372422</v>
      </c>
      <c r="DB26" s="179">
        <f t="shared" ca="1" si="56"/>
        <v>1378.5052668968997</v>
      </c>
      <c r="DC26" s="179">
        <f t="shared" ca="1" si="56"/>
        <v>1380.9131831905302</v>
      </c>
      <c r="DD26" s="179">
        <f t="shared" ca="1" si="56"/>
        <v>1383.3257808218507</v>
      </c>
      <c r="DE26" s="179">
        <f t="shared" ca="1" si="30"/>
        <v>1385.743069816453</v>
      </c>
      <c r="DF26" s="179" t="e">
        <f t="shared" ca="1" si="30"/>
        <v>#VALUE!</v>
      </c>
      <c r="DG26" s="179" t="e">
        <f t="shared" ca="1" si="30"/>
        <v>#VALUE!</v>
      </c>
      <c r="DH26" s="179" t="e">
        <f t="shared" ca="1" si="30"/>
        <v>#VALUE!</v>
      </c>
      <c r="DI26" s="179" t="e">
        <f t="shared" ca="1" si="30"/>
        <v>#VALUE!</v>
      </c>
      <c r="DJ26" s="179" t="e">
        <f t="shared" ca="1" si="30"/>
        <v>#VALUE!</v>
      </c>
      <c r="DK26" s="179" t="e">
        <f t="shared" ca="1" si="30"/>
        <v>#VALUE!</v>
      </c>
      <c r="DL26" s="179" t="e">
        <f t="shared" ca="1" si="31"/>
        <v>#VALUE!</v>
      </c>
      <c r="DM26" s="179" t="e">
        <f t="shared" ca="1" si="31"/>
        <v>#VALUE!</v>
      </c>
      <c r="DN26" s="179" t="e">
        <f t="shared" ca="1" si="31"/>
        <v>#VALUE!</v>
      </c>
      <c r="DO26" s="179" t="e">
        <f t="shared" ca="1" si="31"/>
        <v>#VALUE!</v>
      </c>
      <c r="DP26" s="179" t="e">
        <f t="shared" ca="1" si="31"/>
        <v>#VALUE!</v>
      </c>
      <c r="DQ26" s="179" t="e">
        <f t="shared" ca="1" si="31"/>
        <v>#VALUE!</v>
      </c>
      <c r="DR26" s="431">
        <v>8</v>
      </c>
      <c r="DS26" s="430">
        <f t="shared" ca="1" si="61"/>
        <v>46397</v>
      </c>
      <c r="DT26" s="180">
        <f t="shared" ca="1" si="57"/>
        <v>0</v>
      </c>
      <c r="DU26" s="180">
        <f t="shared" ca="1" si="57"/>
        <v>0</v>
      </c>
      <c r="DV26" s="180">
        <f t="shared" ca="1" si="57"/>
        <v>0</v>
      </c>
      <c r="DW26" s="180">
        <f t="shared" ca="1" si="57"/>
        <v>0</v>
      </c>
      <c r="DX26" s="180">
        <f t="shared" ca="1" si="57"/>
        <v>0</v>
      </c>
      <c r="DY26" s="180">
        <f t="shared" ca="1" si="57"/>
        <v>0</v>
      </c>
      <c r="DZ26" s="180">
        <f t="shared" ca="1" si="57"/>
        <v>0</v>
      </c>
      <c r="EA26" s="180">
        <f t="shared" ca="1" si="57"/>
        <v>0</v>
      </c>
      <c r="EB26" s="180">
        <f t="shared" ca="1" si="57"/>
        <v>0</v>
      </c>
      <c r="EC26" s="180">
        <f t="shared" ca="1" si="57"/>
        <v>0</v>
      </c>
      <c r="ED26" s="180">
        <f t="shared" ca="1" si="57"/>
        <v>0</v>
      </c>
      <c r="EE26" s="180">
        <f t="shared" ca="1" si="57"/>
        <v>0</v>
      </c>
      <c r="EF26" s="180">
        <f t="shared" ca="1" si="57"/>
        <v>0</v>
      </c>
      <c r="EG26" s="180">
        <f t="shared" ca="1" si="57"/>
        <v>0</v>
      </c>
      <c r="EH26" s="180">
        <f t="shared" ca="1" si="57"/>
        <v>0</v>
      </c>
      <c r="EI26" s="180">
        <f t="shared" ca="1" si="33"/>
        <v>0</v>
      </c>
      <c r="EJ26" s="180">
        <f t="shared" ca="1" si="33"/>
        <v>0</v>
      </c>
      <c r="EK26" s="180">
        <f t="shared" ca="1" si="33"/>
        <v>0</v>
      </c>
      <c r="EL26" s="180">
        <f t="shared" ca="1" si="33"/>
        <v>0</v>
      </c>
      <c r="EM26" s="180">
        <f t="shared" ca="1" si="33"/>
        <v>0</v>
      </c>
      <c r="EN26" s="180">
        <f t="shared" ca="1" si="33"/>
        <v>0</v>
      </c>
      <c r="EO26" s="180">
        <f t="shared" ca="1" si="33"/>
        <v>0</v>
      </c>
      <c r="EP26" s="180">
        <f t="shared" ca="1" si="33"/>
        <v>0</v>
      </c>
      <c r="EQ26" s="180"/>
      <c r="ER26" s="180"/>
    </row>
    <row r="27" spans="2:148" s="42" customFormat="1" ht="32.25" thickBot="1" x14ac:dyDescent="0.3">
      <c r="C27" s="625" t="s">
        <v>474</v>
      </c>
      <c r="D27" s="626"/>
      <c r="E27" s="320" t="s">
        <v>34</v>
      </c>
      <c r="F27" s="630" t="s">
        <v>3</v>
      </c>
      <c r="G27" s="631"/>
      <c r="H27" s="632"/>
      <c r="I27" s="41" t="s">
        <v>35</v>
      </c>
      <c r="J27" s="41" t="s">
        <v>5</v>
      </c>
      <c r="K27" s="41" t="s">
        <v>4</v>
      </c>
      <c r="L27" s="41" t="s">
        <v>1</v>
      </c>
      <c r="M27" s="41" t="s">
        <v>6</v>
      </c>
      <c r="N27" s="80" t="s">
        <v>27</v>
      </c>
      <c r="O27" s="70" t="s">
        <v>94</v>
      </c>
      <c r="P27" s="177"/>
      <c r="Q27" s="305" t="s">
        <v>358</v>
      </c>
      <c r="R27" s="184"/>
      <c r="S27" s="184"/>
      <c r="T27" s="150"/>
      <c r="U27" s="150"/>
      <c r="V27" s="150"/>
      <c r="W27" s="434"/>
      <c r="X27" s="177">
        <v>9</v>
      </c>
      <c r="Y27" s="87">
        <f t="shared" ca="1" si="35"/>
        <v>67.81</v>
      </c>
      <c r="Z27" s="87">
        <f t="shared" ca="1" si="36"/>
        <v>70.569999999999993</v>
      </c>
      <c r="AA27" s="87">
        <f t="shared" ca="1" si="37"/>
        <v>1172.83</v>
      </c>
      <c r="AB27" s="87">
        <f t="shared" ca="1" si="38"/>
        <v>278.39999999999998</v>
      </c>
      <c r="AC27" s="87">
        <f t="shared" si="39"/>
        <v>0</v>
      </c>
      <c r="AD27" s="87">
        <f t="shared" si="40"/>
        <v>0</v>
      </c>
      <c r="AE27" s="87">
        <f t="shared" si="41"/>
        <v>0</v>
      </c>
      <c r="AF27" s="87">
        <f t="shared" si="42"/>
        <v>0</v>
      </c>
      <c r="AG27" s="87">
        <f t="shared" si="43"/>
        <v>0</v>
      </c>
      <c r="AH27" s="87">
        <f t="shared" si="44"/>
        <v>0</v>
      </c>
      <c r="AI27" s="87">
        <f t="shared" si="45"/>
        <v>0</v>
      </c>
      <c r="AJ27" s="87">
        <f t="shared" si="46"/>
        <v>0</v>
      </c>
      <c r="AK27" s="87">
        <f t="shared" si="47"/>
        <v>0</v>
      </c>
      <c r="AL27" s="87">
        <f t="shared" si="48"/>
        <v>0</v>
      </c>
      <c r="AM27" s="87">
        <f t="shared" si="49"/>
        <v>0</v>
      </c>
      <c r="AN27" s="87">
        <f t="shared" si="50"/>
        <v>0</v>
      </c>
      <c r="AO27" s="87">
        <f t="shared" si="51"/>
        <v>0</v>
      </c>
      <c r="AP27" s="177"/>
      <c r="AQ27" s="432">
        <v>9</v>
      </c>
      <c r="AR27" s="569">
        <f t="shared" ca="1" si="58"/>
        <v>46428</v>
      </c>
      <c r="AS27" s="429">
        <f t="shared" ca="1" si="10"/>
        <v>1589.6100000000001</v>
      </c>
      <c r="AT27" s="427"/>
      <c r="AU27" s="427">
        <v>9</v>
      </c>
      <c r="AV27" s="569">
        <f t="shared" ca="1" si="59"/>
        <v>46456</v>
      </c>
      <c r="AW27" s="570">
        <f t="shared" ca="1" si="52"/>
        <v>0</v>
      </c>
      <c r="AX27" s="202">
        <f t="shared" ca="1" si="53"/>
        <v>0</v>
      </c>
      <c r="AY27" s="427">
        <v>9</v>
      </c>
      <c r="AZ27" s="569">
        <f t="shared" ca="1" si="60"/>
        <v>46456</v>
      </c>
      <c r="BA27" s="570">
        <f t="shared" si="54"/>
        <v>1589.6100000000001</v>
      </c>
      <c r="BB27" s="259">
        <f t="shared" ca="1" si="11"/>
        <v>46428</v>
      </c>
      <c r="BC27" s="428">
        <f t="shared" ca="1" si="55"/>
        <v>0</v>
      </c>
      <c r="BD27" s="177">
        <f t="shared" si="12"/>
        <v>67.81</v>
      </c>
      <c r="BE27" s="177">
        <f t="shared" si="13"/>
        <v>70.569999999999993</v>
      </c>
      <c r="BF27" s="177">
        <f t="shared" si="14"/>
        <v>1172.83</v>
      </c>
      <c r="BG27" s="177">
        <f t="shared" si="15"/>
        <v>278.39999999999998</v>
      </c>
      <c r="BH27" s="177">
        <f t="shared" si="16"/>
        <v>0</v>
      </c>
      <c r="BI27" s="177">
        <f t="shared" si="17"/>
        <v>0</v>
      </c>
      <c r="BJ27" s="177">
        <f t="shared" si="18"/>
        <v>0</v>
      </c>
      <c r="BK27" s="177">
        <f t="shared" si="19"/>
        <v>0</v>
      </c>
      <c r="BL27" s="177">
        <f t="shared" si="20"/>
        <v>0</v>
      </c>
      <c r="BM27" s="177">
        <f t="shared" si="21"/>
        <v>0</v>
      </c>
      <c r="BN27" s="177">
        <f t="shared" si="22"/>
        <v>0</v>
      </c>
      <c r="BO27" s="177">
        <f t="shared" si="23"/>
        <v>0</v>
      </c>
      <c r="BP27" s="177">
        <f t="shared" si="24"/>
        <v>0</v>
      </c>
      <c r="BQ27" s="177">
        <f t="shared" si="25"/>
        <v>0</v>
      </c>
      <c r="BR27" s="177">
        <f t="shared" si="26"/>
        <v>0</v>
      </c>
      <c r="BS27" s="177">
        <f t="shared" si="27"/>
        <v>0</v>
      </c>
      <c r="BT27" s="177">
        <f t="shared" si="28"/>
        <v>0</v>
      </c>
      <c r="BU27" s="177"/>
      <c r="BV27" s="177"/>
      <c r="BW27" s="177"/>
      <c r="BX27" s="267"/>
      <c r="BY27" s="267"/>
      <c r="BZ27" s="267"/>
      <c r="CA27" s="267"/>
      <c r="CB27" s="267"/>
      <c r="CC27" s="267"/>
      <c r="CD27" s="267"/>
      <c r="CE27" s="267"/>
      <c r="CF27" s="267"/>
      <c r="CG27" s="267"/>
      <c r="CH27" s="267"/>
      <c r="CI27" s="435"/>
      <c r="CJ27" s="436"/>
      <c r="CK27" s="437"/>
      <c r="CL27" s="177"/>
      <c r="CM27" s="64" t="s">
        <v>3002</v>
      </c>
      <c r="CN27" s="707">
        <v>52.545454545454547</v>
      </c>
      <c r="CO27" s="133"/>
      <c r="CP27" s="133"/>
      <c r="CQ27" s="133"/>
      <c r="CR27" s="133"/>
      <c r="CS27" s="138">
        <v>9</v>
      </c>
      <c r="CT27" s="259">
        <f t="shared" ca="1" si="29"/>
        <v>46456</v>
      </c>
      <c r="CU27" s="179">
        <f t="shared" ca="1" si="56"/>
        <v>1328.2274747542488</v>
      </c>
      <c r="CV27" s="179">
        <f t="shared" ca="1" si="56"/>
        <v>1334.6345452087378</v>
      </c>
      <c r="CW27" s="179">
        <f t="shared" ca="1" si="56"/>
        <v>1338.4951316619799</v>
      </c>
      <c r="CX27" s="179">
        <f t="shared" ca="1" si="56"/>
        <v>1342.3680284556365</v>
      </c>
      <c r="CY27" s="179">
        <f t="shared" ca="1" si="56"/>
        <v>1346.2532784912921</v>
      </c>
      <c r="CZ27" s="179">
        <f t="shared" ca="1" si="56"/>
        <v>1350.1509248327543</v>
      </c>
      <c r="DA27" s="179">
        <f t="shared" ca="1" si="56"/>
        <v>1352.7562639034215</v>
      </c>
      <c r="DB27" s="179">
        <f t="shared" ca="1" si="56"/>
        <v>1357.9835795034862</v>
      </c>
      <c r="DC27" s="179">
        <f t="shared" ca="1" si="56"/>
        <v>1360.6055818266971</v>
      </c>
      <c r="DD27" s="179">
        <f t="shared" ca="1" si="56"/>
        <v>1363.2331644154629</v>
      </c>
      <c r="DE27" s="179">
        <f t="shared" ca="1" si="30"/>
        <v>1365.8663402481639</v>
      </c>
      <c r="DF27" s="179" t="e">
        <f t="shared" ca="1" si="30"/>
        <v>#VALUE!</v>
      </c>
      <c r="DG27" s="179" t="e">
        <f t="shared" ca="1" si="30"/>
        <v>#VALUE!</v>
      </c>
      <c r="DH27" s="179" t="e">
        <f t="shared" ca="1" si="30"/>
        <v>#VALUE!</v>
      </c>
      <c r="DI27" s="179" t="e">
        <f t="shared" ca="1" si="30"/>
        <v>#VALUE!</v>
      </c>
      <c r="DJ27" s="179" t="e">
        <f t="shared" ca="1" si="30"/>
        <v>#VALUE!</v>
      </c>
      <c r="DK27" s="179" t="e">
        <f t="shared" ca="1" si="30"/>
        <v>#VALUE!</v>
      </c>
      <c r="DL27" s="179" t="e">
        <f t="shared" ca="1" si="31"/>
        <v>#VALUE!</v>
      </c>
      <c r="DM27" s="179" t="e">
        <f t="shared" ca="1" si="31"/>
        <v>#VALUE!</v>
      </c>
      <c r="DN27" s="179" t="e">
        <f t="shared" ca="1" si="31"/>
        <v>#VALUE!</v>
      </c>
      <c r="DO27" s="179" t="e">
        <f t="shared" ca="1" si="31"/>
        <v>#VALUE!</v>
      </c>
      <c r="DP27" s="179" t="e">
        <f t="shared" ca="1" si="31"/>
        <v>#VALUE!</v>
      </c>
      <c r="DQ27" s="179" t="e">
        <f t="shared" ca="1" si="31"/>
        <v>#VALUE!</v>
      </c>
      <c r="DR27" s="278">
        <v>9</v>
      </c>
      <c r="DS27" s="430">
        <f t="shared" ca="1" si="61"/>
        <v>46428</v>
      </c>
      <c r="DT27" s="180">
        <f t="shared" ca="1" si="57"/>
        <v>0</v>
      </c>
      <c r="DU27" s="180">
        <f t="shared" ca="1" si="57"/>
        <v>0</v>
      </c>
      <c r="DV27" s="180">
        <f t="shared" ca="1" si="57"/>
        <v>0</v>
      </c>
      <c r="DW27" s="180">
        <f t="shared" ca="1" si="57"/>
        <v>0</v>
      </c>
      <c r="DX27" s="180">
        <f t="shared" ca="1" si="57"/>
        <v>0</v>
      </c>
      <c r="DY27" s="180">
        <f t="shared" ca="1" si="57"/>
        <v>0</v>
      </c>
      <c r="DZ27" s="180">
        <f t="shared" ca="1" si="57"/>
        <v>0</v>
      </c>
      <c r="EA27" s="180">
        <f t="shared" ca="1" si="57"/>
        <v>0</v>
      </c>
      <c r="EB27" s="180">
        <f t="shared" ca="1" si="57"/>
        <v>0</v>
      </c>
      <c r="EC27" s="180">
        <f t="shared" ca="1" si="57"/>
        <v>0</v>
      </c>
      <c r="ED27" s="180">
        <f t="shared" ca="1" si="57"/>
        <v>0</v>
      </c>
      <c r="EE27" s="180">
        <f t="shared" ca="1" si="57"/>
        <v>0</v>
      </c>
      <c r="EF27" s="180">
        <f t="shared" ca="1" si="57"/>
        <v>0</v>
      </c>
      <c r="EG27" s="180">
        <f t="shared" ca="1" si="57"/>
        <v>0</v>
      </c>
      <c r="EH27" s="180">
        <f t="shared" ca="1" si="57"/>
        <v>0</v>
      </c>
      <c r="EI27" s="180">
        <f t="shared" ca="1" si="33"/>
        <v>0</v>
      </c>
      <c r="EJ27" s="180">
        <f t="shared" ca="1" si="33"/>
        <v>0</v>
      </c>
      <c r="EK27" s="180">
        <f t="shared" ca="1" si="33"/>
        <v>0</v>
      </c>
      <c r="EL27" s="180">
        <f t="shared" ca="1" si="33"/>
        <v>0</v>
      </c>
      <c r="EM27" s="180">
        <f t="shared" ca="1" si="33"/>
        <v>0</v>
      </c>
      <c r="EN27" s="180">
        <f t="shared" ca="1" si="33"/>
        <v>0</v>
      </c>
      <c r="EO27" s="180">
        <f t="shared" ca="1" si="33"/>
        <v>0</v>
      </c>
      <c r="EP27" s="180">
        <f t="shared" ca="1" si="33"/>
        <v>0</v>
      </c>
      <c r="EQ27" s="180"/>
      <c r="ER27" s="180"/>
    </row>
    <row r="28" spans="2:148" ht="15.75" thickBot="1" x14ac:dyDescent="0.3">
      <c r="B28" s="151" t="str">
        <f t="shared" ref="B28:B35" si="62">IF(F6="AERONAUTICA - ESPECIAL",IF(K28&gt;=99999,"SIM","NÃO"),"NÃO")</f>
        <v>NÃO</v>
      </c>
      <c r="C28" s="146" t="str">
        <f>IF(OR(F28="795739 - Tabela ",F28="745170 - Tabela ",F28="795042 - Tabela 4",F28="795046 - Tabela 5"),"Válido somente para Portabilidade Especial","")</f>
        <v/>
      </c>
      <c r="D28" s="201">
        <v>1</v>
      </c>
      <c r="E28" s="25" t="str">
        <f t="shared" ref="E28:E52" si="63">$F$6</f>
        <v>INSS</v>
      </c>
      <c r="F28" s="627" t="str">
        <f>IFERROR(VLOOKUP(CONCATENATE(D28,E28),'Base tabelas'!$B:$K,10,FALSE),"")</f>
        <v xml:space="preserve">805971 - RFN - INSS 1   </v>
      </c>
      <c r="G28" s="628"/>
      <c r="H28" s="629"/>
      <c r="I28" s="45">
        <f>IFERROR(VLOOKUP(CONCATENATE(D28,E28),'Base tabelas'!$B:$E,4,FALSE),"")</f>
        <v>1.8500000000000003E-2</v>
      </c>
      <c r="J28" s="34">
        <f t="shared" ref="J28:J42" ca="1" si="64">IFERROR($E$24/K28,"")</f>
        <v>2.2851373552466841E-2</v>
      </c>
      <c r="K28" s="46">
        <f ca="1">IFERROR(CU163,"")</f>
        <v>69562.995692589306</v>
      </c>
      <c r="L28" s="46">
        <f t="shared" ref="L28:L42" ca="1" si="65">IF(F28="","",IF(K28=0,0,$V$16))</f>
        <v>76500.429999999993</v>
      </c>
      <c r="M28" s="58">
        <f ca="1">IFERROR(DT17*-1,"")</f>
        <v>-6726.9481013203722</v>
      </c>
      <c r="N28" s="59" t="str">
        <f t="shared" ref="N28:N42" ca="1" si="66">IFERROR(IF(K28&gt;=P28,IF($V$12&gt;=1,IF(F28="","",IF(M28&lt;100,"Não Libera Troco",IF((I28)&lt;=$E$26,IF(M28&gt;100,"TAB disponivel","Não Libera Troco"),"Tabela Superior Taxa Ponderada"))),"Não Disponível"),"Não Disponível"),"")</f>
        <v>Não Libera Troco</v>
      </c>
      <c r="O28" s="69" t="str">
        <f t="shared" ref="O28:O42" ca="1" si="67">IF(L28="","",IF(AND(E$28&gt;0,$V$22&gt;0),IF(N28=$G$47,"Tabela Superior Taxa Ponderada",IF(OR(IFERROR(K28/$E$22-1,"")&gt;9.98%,IFERROR(K28/$E$22-1,"")&lt;-9.98%),"Gera Reassinatura","Sem Reassinatura")),""))</f>
        <v/>
      </c>
      <c r="P28" s="302">
        <f>IFERROR(VLOOKUP(CONCATENATE(D28,E28),'Base tabelas'!$B:$O,14,FALSE),"")</f>
        <v>20</v>
      </c>
      <c r="Q28" s="376">
        <f ca="1">DT167</f>
        <v>4.0132697165518039E-10</v>
      </c>
      <c r="R28" s="307" t="str">
        <f t="shared" ref="R28:R50" ca="1" si="68">IFERROR(IF(AND(ROUND(S28,4)&lt;=$AE$8,M28&gt;0),I28,""),"")</f>
        <v/>
      </c>
      <c r="S28" s="308">
        <f t="shared" ref="S28:S50" ca="1" si="69">Q28*98.75%</f>
        <v>3.9631038450949064E-10</v>
      </c>
      <c r="T28" s="309"/>
      <c r="U28" s="460">
        <f t="shared" ref="U28:U50" ca="1" si="70">IF(K28&lt;P28,1,0)</f>
        <v>0</v>
      </c>
      <c r="V28" s="497">
        <f>$V$22</f>
        <v>0</v>
      </c>
      <c r="W28" s="98" t="e">
        <f ca="1">#REF!/M28-1</f>
        <v>#REF!</v>
      </c>
      <c r="X28" s="87">
        <v>10</v>
      </c>
      <c r="Y28" s="87">
        <f t="shared" ca="1" si="35"/>
        <v>67.81</v>
      </c>
      <c r="Z28" s="87">
        <f t="shared" ca="1" si="36"/>
        <v>70.569999999999993</v>
      </c>
      <c r="AA28" s="87">
        <f t="shared" ca="1" si="37"/>
        <v>1172.83</v>
      </c>
      <c r="AB28" s="87">
        <f t="shared" ca="1" si="38"/>
        <v>278.39999999999998</v>
      </c>
      <c r="AC28" s="87">
        <f t="shared" si="39"/>
        <v>0</v>
      </c>
      <c r="AD28" s="87">
        <f t="shared" si="40"/>
        <v>0</v>
      </c>
      <c r="AE28" s="87">
        <f t="shared" si="41"/>
        <v>0</v>
      </c>
      <c r="AF28" s="87">
        <f t="shared" si="42"/>
        <v>0</v>
      </c>
      <c r="AG28" s="87">
        <f t="shared" si="43"/>
        <v>0</v>
      </c>
      <c r="AH28" s="87">
        <f t="shared" si="44"/>
        <v>0</v>
      </c>
      <c r="AI28" s="87">
        <f t="shared" si="45"/>
        <v>0</v>
      </c>
      <c r="AJ28" s="87">
        <f t="shared" si="46"/>
        <v>0</v>
      </c>
      <c r="AK28" s="87">
        <f t="shared" si="47"/>
        <v>0</v>
      </c>
      <c r="AL28" s="87">
        <f t="shared" si="48"/>
        <v>0</v>
      </c>
      <c r="AM28" s="87">
        <f t="shared" si="49"/>
        <v>0</v>
      </c>
      <c r="AN28" s="87">
        <f t="shared" si="50"/>
        <v>0</v>
      </c>
      <c r="AO28" s="87">
        <f t="shared" si="51"/>
        <v>0</v>
      </c>
      <c r="AP28" s="87"/>
      <c r="AQ28" s="426">
        <v>10</v>
      </c>
      <c r="AR28" s="258">
        <f t="shared" ca="1" si="58"/>
        <v>46456</v>
      </c>
      <c r="AS28" s="429">
        <f t="shared" ca="1" si="10"/>
        <v>1589.6100000000001</v>
      </c>
      <c r="AT28" s="138"/>
      <c r="AU28" s="278">
        <v>10</v>
      </c>
      <c r="AV28" s="258">
        <f t="shared" ca="1" si="59"/>
        <v>46487</v>
      </c>
      <c r="AW28" s="429">
        <f t="shared" ca="1" si="52"/>
        <v>0</v>
      </c>
      <c r="AX28" s="202">
        <f t="shared" ca="1" si="53"/>
        <v>0</v>
      </c>
      <c r="AY28" s="278">
        <v>10</v>
      </c>
      <c r="AZ28" s="258">
        <f t="shared" ca="1" si="60"/>
        <v>46487</v>
      </c>
      <c r="BA28" s="429">
        <f t="shared" si="54"/>
        <v>1589.6100000000001</v>
      </c>
      <c r="BB28" s="259">
        <f t="shared" ca="1" si="11"/>
        <v>46456</v>
      </c>
      <c r="BC28" s="428">
        <f t="shared" ca="1" si="55"/>
        <v>0</v>
      </c>
      <c r="BD28" s="188">
        <f t="shared" si="12"/>
        <v>67.81</v>
      </c>
      <c r="BE28" s="188">
        <f t="shared" si="13"/>
        <v>70.569999999999993</v>
      </c>
      <c r="BF28" s="188">
        <f t="shared" si="14"/>
        <v>1172.83</v>
      </c>
      <c r="BG28" s="87">
        <f t="shared" si="15"/>
        <v>278.39999999999998</v>
      </c>
      <c r="BH28" s="87">
        <f t="shared" si="16"/>
        <v>0</v>
      </c>
      <c r="BI28" s="87">
        <f t="shared" si="17"/>
        <v>0</v>
      </c>
      <c r="BJ28" s="87">
        <f t="shared" si="18"/>
        <v>0</v>
      </c>
      <c r="BK28" s="87">
        <f t="shared" si="19"/>
        <v>0</v>
      </c>
      <c r="BL28" s="87">
        <f t="shared" si="20"/>
        <v>0</v>
      </c>
      <c r="BM28" s="87">
        <f t="shared" si="21"/>
        <v>0</v>
      </c>
      <c r="BN28" s="87">
        <f t="shared" si="22"/>
        <v>0</v>
      </c>
      <c r="BO28" s="87">
        <f t="shared" si="23"/>
        <v>0</v>
      </c>
      <c r="BP28" s="87">
        <f t="shared" si="24"/>
        <v>0</v>
      </c>
      <c r="BQ28" s="87">
        <f t="shared" si="25"/>
        <v>0</v>
      </c>
      <c r="BR28" s="87">
        <f t="shared" si="26"/>
        <v>0</v>
      </c>
      <c r="BS28" s="87">
        <f t="shared" si="27"/>
        <v>0</v>
      </c>
      <c r="BT28" s="87">
        <f t="shared" si="28"/>
        <v>0</v>
      </c>
      <c r="BV28" s="177"/>
      <c r="BW28" s="177"/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267"/>
      <c r="CI28" s="435"/>
      <c r="CJ28" s="436"/>
      <c r="CK28" s="437"/>
      <c r="CM28" s="64" t="s">
        <v>3003</v>
      </c>
      <c r="CN28" s="707">
        <v>38.111111111111114</v>
      </c>
      <c r="CO28" s="98"/>
      <c r="CS28" s="87">
        <v>10</v>
      </c>
      <c r="CT28" s="259">
        <f t="shared" ca="1" si="29"/>
        <v>46487</v>
      </c>
      <c r="CU28" s="179">
        <f t="shared" ca="1" si="56"/>
        <v>1303.3049909805266</v>
      </c>
      <c r="CV28" s="179">
        <f t="shared" ca="1" si="56"/>
        <v>1310.2565050179235</v>
      </c>
      <c r="CW28" s="179">
        <f t="shared" ca="1" si="56"/>
        <v>1314.446846771466</v>
      </c>
      <c r="CX28" s="179">
        <f t="shared" ca="1" si="56"/>
        <v>1318.6518310425251</v>
      </c>
      <c r="CY28" s="179">
        <f t="shared" ca="1" si="56"/>
        <v>1322.8715133374531</v>
      </c>
      <c r="CZ28" s="179">
        <f t="shared" ca="1" si="56"/>
        <v>1327.1059493894686</v>
      </c>
      <c r="DA28" s="179">
        <f t="shared" ca="1" si="56"/>
        <v>1329.9371309148962</v>
      </c>
      <c r="DB28" s="179">
        <f t="shared" ca="1" si="56"/>
        <v>1335.6193068380126</v>
      </c>
      <c r="DC28" s="179">
        <f t="shared" ca="1" si="56"/>
        <v>1338.4703346469234</v>
      </c>
      <c r="DD28" s="179">
        <f t="shared" ca="1" si="56"/>
        <v>1341.3280113708058</v>
      </c>
      <c r="DE28" s="179">
        <f t="shared" ca="1" si="30"/>
        <v>1344.1923538293524</v>
      </c>
      <c r="DF28" s="179" t="e">
        <f t="shared" ca="1" si="30"/>
        <v>#VALUE!</v>
      </c>
      <c r="DG28" s="179" t="e">
        <f t="shared" ca="1" si="30"/>
        <v>#VALUE!</v>
      </c>
      <c r="DH28" s="179" t="e">
        <f t="shared" ca="1" si="30"/>
        <v>#VALUE!</v>
      </c>
      <c r="DI28" s="179" t="e">
        <f t="shared" ca="1" si="30"/>
        <v>#VALUE!</v>
      </c>
      <c r="DJ28" s="179" t="e">
        <f t="shared" ca="1" si="30"/>
        <v>#VALUE!</v>
      </c>
      <c r="DK28" s="179" t="e">
        <f t="shared" ca="1" si="30"/>
        <v>#VALUE!</v>
      </c>
      <c r="DL28" s="179" t="e">
        <f t="shared" ca="1" si="31"/>
        <v>#VALUE!</v>
      </c>
      <c r="DM28" s="179" t="e">
        <f t="shared" ca="1" si="31"/>
        <v>#VALUE!</v>
      </c>
      <c r="DN28" s="179" t="e">
        <f t="shared" ca="1" si="31"/>
        <v>#VALUE!</v>
      </c>
      <c r="DO28" s="179" t="e">
        <f t="shared" ca="1" si="31"/>
        <v>#VALUE!</v>
      </c>
      <c r="DP28" s="179" t="e">
        <f t="shared" ca="1" si="31"/>
        <v>#VALUE!</v>
      </c>
      <c r="DQ28" s="179" t="e">
        <f t="shared" ca="1" si="31"/>
        <v>#VALUE!</v>
      </c>
      <c r="DR28" s="188">
        <v>10</v>
      </c>
      <c r="DS28" s="430">
        <f t="shared" ca="1" si="61"/>
        <v>46456</v>
      </c>
      <c r="DT28" s="180">
        <f t="shared" ca="1" si="57"/>
        <v>0</v>
      </c>
      <c r="DU28" s="180">
        <f t="shared" ca="1" si="57"/>
        <v>0</v>
      </c>
      <c r="DV28" s="180">
        <f t="shared" ca="1" si="57"/>
        <v>0</v>
      </c>
      <c r="DW28" s="180">
        <f t="shared" ca="1" si="57"/>
        <v>0</v>
      </c>
      <c r="DX28" s="180">
        <f t="shared" ca="1" si="57"/>
        <v>0</v>
      </c>
      <c r="DY28" s="180">
        <f t="shared" ca="1" si="57"/>
        <v>0</v>
      </c>
      <c r="DZ28" s="180">
        <f t="shared" ca="1" si="57"/>
        <v>0</v>
      </c>
      <c r="EA28" s="180">
        <f t="shared" ca="1" si="57"/>
        <v>0</v>
      </c>
      <c r="EB28" s="180">
        <f t="shared" ca="1" si="57"/>
        <v>0</v>
      </c>
      <c r="EC28" s="180">
        <f t="shared" ca="1" si="57"/>
        <v>0</v>
      </c>
      <c r="ED28" s="180">
        <f t="shared" ca="1" si="57"/>
        <v>0</v>
      </c>
      <c r="EE28" s="180">
        <f t="shared" ca="1" si="57"/>
        <v>0</v>
      </c>
      <c r="EF28" s="180">
        <f t="shared" ca="1" si="57"/>
        <v>0</v>
      </c>
      <c r="EG28" s="180">
        <f t="shared" ca="1" si="57"/>
        <v>0</v>
      </c>
      <c r="EH28" s="180">
        <f t="shared" ca="1" si="57"/>
        <v>0</v>
      </c>
      <c r="EI28" s="180">
        <f t="shared" ca="1" si="33"/>
        <v>0</v>
      </c>
      <c r="EJ28" s="180">
        <f t="shared" ca="1" si="33"/>
        <v>0</v>
      </c>
      <c r="EK28" s="180">
        <f t="shared" ca="1" si="33"/>
        <v>0</v>
      </c>
      <c r="EL28" s="180">
        <f t="shared" ca="1" si="33"/>
        <v>0</v>
      </c>
      <c r="EM28" s="180">
        <f t="shared" ca="1" si="33"/>
        <v>0</v>
      </c>
      <c r="EN28" s="180">
        <f t="shared" ca="1" si="33"/>
        <v>0</v>
      </c>
      <c r="EO28" s="180">
        <f t="shared" ca="1" si="33"/>
        <v>0</v>
      </c>
      <c r="EP28" s="180">
        <f t="shared" ca="1" si="33"/>
        <v>0</v>
      </c>
      <c r="EQ28" s="180"/>
      <c r="ER28" s="180"/>
    </row>
    <row r="29" spans="2:148" ht="15.75" thickBot="1" x14ac:dyDescent="0.3">
      <c r="B29" s="151" t="str">
        <f t="shared" si="62"/>
        <v>NÃO</v>
      </c>
      <c r="C29" s="146" t="str">
        <f t="shared" ref="C29:C35" si="71">IF(OR(F29="795739 - Tabela ",F29="745170 - Tabela ",F29="795042 - Tabela 4",F29="795046 - Tabela 5"),"Válido somente para Portabilidade Especial","")</f>
        <v/>
      </c>
      <c r="D29" s="201">
        <v>2</v>
      </c>
      <c r="E29" s="25" t="str">
        <f t="shared" si="63"/>
        <v>INSS</v>
      </c>
      <c r="F29" s="627" t="str">
        <f>IFERROR(VLOOKUP(CONCATENATE(D29,E29),'Base tabelas'!$B:$K,10,FALSE),"")</f>
        <v xml:space="preserve">805972 - RFN - INSS 2   </v>
      </c>
      <c r="G29" s="628"/>
      <c r="H29" s="629"/>
      <c r="I29" s="45">
        <f>IFERROR(VLOOKUP(CONCATENATE(D29,E29),'Base tabelas'!$B:$E,4,FALSE),"")</f>
        <v>1.8000000000000002E-2</v>
      </c>
      <c r="J29" s="34">
        <f t="shared" ca="1" si="64"/>
        <v>2.2447550693505337E-2</v>
      </c>
      <c r="K29" s="46">
        <f ca="1">IFERROR(CV163,"")</f>
        <v>70814.407402582045</v>
      </c>
      <c r="L29" s="46">
        <f t="shared" ca="1" si="65"/>
        <v>76500.429999999993</v>
      </c>
      <c r="M29" s="58">
        <f ca="1">IFERROR(DU17*-1,"")</f>
        <v>-5513.505025180064</v>
      </c>
      <c r="N29" s="59" t="str">
        <f t="shared" ca="1" si="66"/>
        <v>Não Libera Troco</v>
      </c>
      <c r="O29" s="69" t="str">
        <f t="shared" ca="1" si="67"/>
        <v/>
      </c>
      <c r="P29" s="302">
        <f>IFERROR(VLOOKUP(CONCATENATE(D29,E29),'Base tabelas'!$B:$O,14,FALSE),"")</f>
        <v>20</v>
      </c>
      <c r="Q29" s="306">
        <f ca="1">DU167</f>
        <v>4.0132697165518039E-10</v>
      </c>
      <c r="R29" s="307" t="str">
        <f t="shared" ca="1" si="68"/>
        <v/>
      </c>
      <c r="S29" s="308">
        <f t="shared" ca="1" si="69"/>
        <v>3.9631038450949064E-10</v>
      </c>
      <c r="T29" s="309"/>
      <c r="U29" s="460">
        <f t="shared" ca="1" si="70"/>
        <v>0</v>
      </c>
      <c r="V29" s="497">
        <f t="shared" ref="V29:V37" si="72">$V$22</f>
        <v>0</v>
      </c>
      <c r="W29" s="98" t="e">
        <f ca="1">#REF!/M29-1</f>
        <v>#REF!</v>
      </c>
      <c r="X29" s="87">
        <v>11</v>
      </c>
      <c r="Y29" s="87">
        <f t="shared" ca="1" si="35"/>
        <v>67.81</v>
      </c>
      <c r="Z29" s="87">
        <f t="shared" ca="1" si="36"/>
        <v>70.569999999999993</v>
      </c>
      <c r="AA29" s="87">
        <f t="shared" ca="1" si="37"/>
        <v>1172.83</v>
      </c>
      <c r="AB29" s="87">
        <f t="shared" ca="1" si="38"/>
        <v>278.39999999999998</v>
      </c>
      <c r="AC29" s="87">
        <f t="shared" si="39"/>
        <v>0</v>
      </c>
      <c r="AD29" s="87">
        <f t="shared" si="40"/>
        <v>0</v>
      </c>
      <c r="AE29" s="87">
        <f t="shared" si="41"/>
        <v>0</v>
      </c>
      <c r="AF29" s="87">
        <f t="shared" si="42"/>
        <v>0</v>
      </c>
      <c r="AG29" s="87">
        <f t="shared" si="43"/>
        <v>0</v>
      </c>
      <c r="AH29" s="87">
        <f t="shared" si="44"/>
        <v>0</v>
      </c>
      <c r="AI29" s="87">
        <f t="shared" si="45"/>
        <v>0</v>
      </c>
      <c r="AJ29" s="87">
        <f t="shared" si="46"/>
        <v>0</v>
      </c>
      <c r="AK29" s="87">
        <f t="shared" si="47"/>
        <v>0</v>
      </c>
      <c r="AL29" s="87">
        <f t="shared" si="48"/>
        <v>0</v>
      </c>
      <c r="AM29" s="87">
        <f t="shared" si="49"/>
        <v>0</v>
      </c>
      <c r="AN29" s="87">
        <f t="shared" si="50"/>
        <v>0</v>
      </c>
      <c r="AO29" s="87">
        <f t="shared" si="51"/>
        <v>0</v>
      </c>
      <c r="AP29" s="87"/>
      <c r="AQ29" s="426">
        <v>11</v>
      </c>
      <c r="AR29" s="258">
        <f t="shared" ca="1" si="58"/>
        <v>46487</v>
      </c>
      <c r="AS29" s="429">
        <f t="shared" ca="1" si="10"/>
        <v>1589.6100000000001</v>
      </c>
      <c r="AT29" s="138"/>
      <c r="AU29" s="278">
        <v>11</v>
      </c>
      <c r="AV29" s="258">
        <f t="shared" ca="1" si="59"/>
        <v>46517</v>
      </c>
      <c r="AW29" s="429">
        <f t="shared" ca="1" si="52"/>
        <v>0</v>
      </c>
      <c r="AX29" s="202">
        <f t="shared" ca="1" si="53"/>
        <v>0</v>
      </c>
      <c r="AY29" s="278">
        <v>11</v>
      </c>
      <c r="AZ29" s="258">
        <f t="shared" ca="1" si="60"/>
        <v>46517</v>
      </c>
      <c r="BA29" s="429">
        <f t="shared" si="54"/>
        <v>1589.6100000000001</v>
      </c>
      <c r="BB29" s="259">
        <f t="shared" ca="1" si="11"/>
        <v>46487</v>
      </c>
      <c r="BC29" s="428">
        <f t="shared" ca="1" si="55"/>
        <v>0</v>
      </c>
      <c r="BD29" s="188">
        <f t="shared" si="12"/>
        <v>67.81</v>
      </c>
      <c r="BE29" s="188">
        <f t="shared" si="13"/>
        <v>70.569999999999993</v>
      </c>
      <c r="BF29" s="188">
        <f t="shared" si="14"/>
        <v>1172.83</v>
      </c>
      <c r="BG29" s="87">
        <f t="shared" si="15"/>
        <v>278.39999999999998</v>
      </c>
      <c r="BH29" s="87">
        <f t="shared" si="16"/>
        <v>0</v>
      </c>
      <c r="BI29" s="87">
        <f t="shared" si="17"/>
        <v>0</v>
      </c>
      <c r="BJ29" s="87">
        <f t="shared" si="18"/>
        <v>0</v>
      </c>
      <c r="BK29" s="87">
        <f t="shared" si="19"/>
        <v>0</v>
      </c>
      <c r="BL29" s="87">
        <f t="shared" si="20"/>
        <v>0</v>
      </c>
      <c r="BM29" s="87">
        <f t="shared" si="21"/>
        <v>0</v>
      </c>
      <c r="BN29" s="87">
        <f t="shared" si="22"/>
        <v>0</v>
      </c>
      <c r="BO29" s="87">
        <f t="shared" si="23"/>
        <v>0</v>
      </c>
      <c r="BP29" s="87">
        <f t="shared" si="24"/>
        <v>0</v>
      </c>
      <c r="BQ29" s="87">
        <f t="shared" si="25"/>
        <v>0</v>
      </c>
      <c r="BR29" s="87">
        <f t="shared" si="26"/>
        <v>0</v>
      </c>
      <c r="BS29" s="87">
        <f t="shared" si="27"/>
        <v>0</v>
      </c>
      <c r="BT29" s="87">
        <f t="shared" si="28"/>
        <v>0</v>
      </c>
      <c r="BV29" s="177"/>
      <c r="BW29" s="17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435"/>
      <c r="CJ29" s="436"/>
      <c r="CK29" s="437"/>
      <c r="CM29" s="64" t="s">
        <v>3004</v>
      </c>
      <c r="CN29" s="707">
        <v>55.333333333333336</v>
      </c>
      <c r="CO29" s="98"/>
      <c r="CS29" s="178">
        <v>11</v>
      </c>
      <c r="CT29" s="259">
        <f t="shared" ca="1" si="29"/>
        <v>46517</v>
      </c>
      <c r="CU29" s="179">
        <f t="shared" ca="1" si="56"/>
        <v>1279.6318026318377</v>
      </c>
      <c r="CV29" s="179">
        <f t="shared" ca="1" si="56"/>
        <v>1287.0889047327341</v>
      </c>
      <c r="CW29" s="179">
        <f t="shared" ca="1" si="56"/>
        <v>1291.5857784921548</v>
      </c>
      <c r="CX29" s="179">
        <f t="shared" ca="1" si="56"/>
        <v>1296.0996963264449</v>
      </c>
      <c r="CY29" s="179">
        <f t="shared" ca="1" si="56"/>
        <v>1300.6307278905251</v>
      </c>
      <c r="CZ29" s="179">
        <f t="shared" ca="1" si="56"/>
        <v>1305.1789431446389</v>
      </c>
      <c r="DA29" s="179">
        <f t="shared" ca="1" si="56"/>
        <v>1308.220667828936</v>
      </c>
      <c r="DB29" s="179">
        <f t="shared" ca="1" si="56"/>
        <v>1314.3272060992056</v>
      </c>
      <c r="DC29" s="179">
        <f t="shared" ca="1" si="56"/>
        <v>1317.3920616603577</v>
      </c>
      <c r="DD29" s="179">
        <f t="shared" ca="1" si="56"/>
        <v>1320.4646695912636</v>
      </c>
      <c r="DE29" s="179">
        <f t="shared" ca="1" si="30"/>
        <v>1323.5450510332341</v>
      </c>
      <c r="DF29" s="179" t="e">
        <f t="shared" ca="1" si="30"/>
        <v>#VALUE!</v>
      </c>
      <c r="DG29" s="179" t="e">
        <f t="shared" ca="1" si="30"/>
        <v>#VALUE!</v>
      </c>
      <c r="DH29" s="179" t="e">
        <f t="shared" ca="1" si="30"/>
        <v>#VALUE!</v>
      </c>
      <c r="DI29" s="179" t="e">
        <f t="shared" ca="1" si="30"/>
        <v>#VALUE!</v>
      </c>
      <c r="DJ29" s="179" t="e">
        <f t="shared" ca="1" si="30"/>
        <v>#VALUE!</v>
      </c>
      <c r="DK29" s="179" t="e">
        <f t="shared" ca="1" si="30"/>
        <v>#VALUE!</v>
      </c>
      <c r="DL29" s="179" t="e">
        <f t="shared" ca="1" si="31"/>
        <v>#VALUE!</v>
      </c>
      <c r="DM29" s="179" t="e">
        <f t="shared" ca="1" si="31"/>
        <v>#VALUE!</v>
      </c>
      <c r="DN29" s="179" t="e">
        <f t="shared" ca="1" si="31"/>
        <v>#VALUE!</v>
      </c>
      <c r="DO29" s="179" t="e">
        <f t="shared" ca="1" si="31"/>
        <v>#VALUE!</v>
      </c>
      <c r="DP29" s="179" t="e">
        <f t="shared" ca="1" si="31"/>
        <v>#VALUE!</v>
      </c>
      <c r="DQ29" s="179" t="e">
        <f t="shared" ca="1" si="31"/>
        <v>#VALUE!</v>
      </c>
      <c r="DR29" s="431">
        <v>11</v>
      </c>
      <c r="DS29" s="430">
        <f t="shared" ca="1" si="61"/>
        <v>46487</v>
      </c>
      <c r="DT29" s="180">
        <f t="shared" ca="1" si="57"/>
        <v>0</v>
      </c>
      <c r="DU29" s="180">
        <f t="shared" ca="1" si="57"/>
        <v>0</v>
      </c>
      <c r="DV29" s="180">
        <f t="shared" ca="1" si="57"/>
        <v>0</v>
      </c>
      <c r="DW29" s="180">
        <f t="shared" ca="1" si="57"/>
        <v>0</v>
      </c>
      <c r="DX29" s="180">
        <f t="shared" ca="1" si="57"/>
        <v>0</v>
      </c>
      <c r="DY29" s="180">
        <f t="shared" ca="1" si="57"/>
        <v>0</v>
      </c>
      <c r="DZ29" s="180">
        <f t="shared" ca="1" si="57"/>
        <v>0</v>
      </c>
      <c r="EA29" s="180">
        <f t="shared" ca="1" si="57"/>
        <v>0</v>
      </c>
      <c r="EB29" s="180">
        <f t="shared" ca="1" si="57"/>
        <v>0</v>
      </c>
      <c r="EC29" s="180">
        <f t="shared" ca="1" si="57"/>
        <v>0</v>
      </c>
      <c r="ED29" s="180">
        <f t="shared" ca="1" si="57"/>
        <v>0</v>
      </c>
      <c r="EE29" s="180">
        <f t="shared" ca="1" si="57"/>
        <v>0</v>
      </c>
      <c r="EF29" s="180">
        <f t="shared" ca="1" si="57"/>
        <v>0</v>
      </c>
      <c r="EG29" s="180">
        <f t="shared" ca="1" si="57"/>
        <v>0</v>
      </c>
      <c r="EH29" s="180">
        <f t="shared" ca="1" si="57"/>
        <v>0</v>
      </c>
      <c r="EI29" s="180">
        <f t="shared" ca="1" si="33"/>
        <v>0</v>
      </c>
      <c r="EJ29" s="180">
        <f t="shared" ca="1" si="33"/>
        <v>0</v>
      </c>
      <c r="EK29" s="180">
        <f t="shared" ca="1" si="33"/>
        <v>0</v>
      </c>
      <c r="EL29" s="180">
        <f t="shared" ca="1" si="33"/>
        <v>0</v>
      </c>
      <c r="EM29" s="180">
        <f t="shared" ca="1" si="33"/>
        <v>0</v>
      </c>
      <c r="EN29" s="180">
        <f t="shared" ca="1" si="33"/>
        <v>0</v>
      </c>
      <c r="EO29" s="180">
        <f t="shared" ca="1" si="33"/>
        <v>0</v>
      </c>
      <c r="EP29" s="180">
        <f t="shared" ca="1" si="33"/>
        <v>0</v>
      </c>
      <c r="EQ29" s="180"/>
      <c r="ER29" s="180"/>
    </row>
    <row r="30" spans="2:148" ht="15.75" thickBot="1" x14ac:dyDescent="0.3">
      <c r="B30" s="151" t="str">
        <f t="shared" si="62"/>
        <v>NÃO</v>
      </c>
      <c r="C30" s="146" t="str">
        <f t="shared" si="71"/>
        <v/>
      </c>
      <c r="D30" s="201">
        <v>3</v>
      </c>
      <c r="E30" s="25" t="str">
        <f t="shared" si="63"/>
        <v>INSS</v>
      </c>
      <c r="F30" s="627" t="str">
        <f>IFERROR(VLOOKUP(CONCATENATE(D30,E30),'Base tabelas'!$B:$K,10,FALSE),"")</f>
        <v xml:space="preserve">805973 - RFN - INSS 3   </v>
      </c>
      <c r="G30" s="628"/>
      <c r="H30" s="629"/>
      <c r="I30" s="45">
        <f>IFERROR(VLOOKUP(CONCATENATE(D30,E30),'Base tabelas'!$B:$E,4,FALSE),"")</f>
        <v>1.77E-2</v>
      </c>
      <c r="J30" s="34">
        <f t="shared" ca="1" si="64"/>
        <v>2.2206839495675309E-2</v>
      </c>
      <c r="K30" s="46">
        <f ca="1">IFERROR(CW163,"")</f>
        <v>71582.000685400111</v>
      </c>
      <c r="L30" s="46">
        <f t="shared" ca="1" si="65"/>
        <v>76500.429999999993</v>
      </c>
      <c r="M30" s="58">
        <f ca="1">IFERROR(DV17*-1,"")</f>
        <v>-4769.2010148453701</v>
      </c>
      <c r="N30" s="59" t="str">
        <f t="shared" ca="1" si="66"/>
        <v>Não Libera Troco</v>
      </c>
      <c r="O30" s="69" t="str">
        <f t="shared" ca="1" si="67"/>
        <v/>
      </c>
      <c r="P30" s="302">
        <f>IFERROR(VLOOKUP(CONCATENATE(D30,E30),'Base tabelas'!$B:$O,14,FALSE),"")</f>
        <v>20</v>
      </c>
      <c r="Q30" s="306">
        <f ca="1">DV167</f>
        <v>4.0132697165518039E-10</v>
      </c>
      <c r="R30" s="307" t="str">
        <f t="shared" ca="1" si="68"/>
        <v/>
      </c>
      <c r="S30" s="308">
        <f t="shared" ca="1" si="69"/>
        <v>3.9631038450949064E-10</v>
      </c>
      <c r="T30" s="309"/>
      <c r="U30" s="460">
        <f t="shared" ca="1" si="70"/>
        <v>0</v>
      </c>
      <c r="V30" s="497">
        <f t="shared" si="72"/>
        <v>0</v>
      </c>
      <c r="W30" s="98" t="e">
        <f ca="1">#REF!/M30-1</f>
        <v>#REF!</v>
      </c>
      <c r="X30" s="87">
        <v>12</v>
      </c>
      <c r="Y30" s="87">
        <f t="shared" ca="1" si="35"/>
        <v>67.81</v>
      </c>
      <c r="Z30" s="87">
        <f t="shared" ca="1" si="36"/>
        <v>70.569999999999993</v>
      </c>
      <c r="AA30" s="87">
        <f t="shared" ca="1" si="37"/>
        <v>1172.83</v>
      </c>
      <c r="AB30" s="87">
        <f t="shared" ca="1" si="38"/>
        <v>278.39999999999998</v>
      </c>
      <c r="AC30" s="87">
        <f t="shared" si="39"/>
        <v>0</v>
      </c>
      <c r="AD30" s="87">
        <f t="shared" si="40"/>
        <v>0</v>
      </c>
      <c r="AE30" s="87">
        <f t="shared" si="41"/>
        <v>0</v>
      </c>
      <c r="AF30" s="87">
        <f t="shared" si="42"/>
        <v>0</v>
      </c>
      <c r="AG30" s="87">
        <f t="shared" si="43"/>
        <v>0</v>
      </c>
      <c r="AH30" s="87">
        <f t="shared" si="44"/>
        <v>0</v>
      </c>
      <c r="AI30" s="87">
        <f t="shared" si="45"/>
        <v>0</v>
      </c>
      <c r="AJ30" s="87">
        <f t="shared" si="46"/>
        <v>0</v>
      </c>
      <c r="AK30" s="87">
        <f t="shared" si="47"/>
        <v>0</v>
      </c>
      <c r="AL30" s="87">
        <f t="shared" si="48"/>
        <v>0</v>
      </c>
      <c r="AM30" s="87">
        <f t="shared" si="49"/>
        <v>0</v>
      </c>
      <c r="AN30" s="87">
        <f t="shared" si="50"/>
        <v>0</v>
      </c>
      <c r="AO30" s="87">
        <f t="shared" si="51"/>
        <v>0</v>
      </c>
      <c r="AP30" s="87"/>
      <c r="AQ30" s="426">
        <v>12</v>
      </c>
      <c r="AR30" s="258">
        <f t="shared" ca="1" si="58"/>
        <v>46517</v>
      </c>
      <c r="AS30" s="429">
        <f t="shared" ca="1" si="10"/>
        <v>1589.6100000000001</v>
      </c>
      <c r="AT30" s="138"/>
      <c r="AU30" s="278">
        <v>12</v>
      </c>
      <c r="AV30" s="258">
        <f t="shared" ca="1" si="59"/>
        <v>46548</v>
      </c>
      <c r="AW30" s="429">
        <f t="shared" ca="1" si="52"/>
        <v>0</v>
      </c>
      <c r="AX30" s="202">
        <f t="shared" ca="1" si="53"/>
        <v>0</v>
      </c>
      <c r="AY30" s="278">
        <v>12</v>
      </c>
      <c r="AZ30" s="258">
        <f t="shared" ca="1" si="60"/>
        <v>46548</v>
      </c>
      <c r="BA30" s="429">
        <f t="shared" si="54"/>
        <v>1589.6100000000001</v>
      </c>
      <c r="BB30" s="259">
        <f t="shared" ca="1" si="11"/>
        <v>46517</v>
      </c>
      <c r="BC30" s="428">
        <f t="shared" ca="1" si="55"/>
        <v>0</v>
      </c>
      <c r="BD30" s="188">
        <f t="shared" si="12"/>
        <v>67.81</v>
      </c>
      <c r="BE30" s="188">
        <f t="shared" si="13"/>
        <v>70.569999999999993</v>
      </c>
      <c r="BF30" s="188">
        <f t="shared" si="14"/>
        <v>1172.83</v>
      </c>
      <c r="BG30" s="87">
        <f t="shared" si="15"/>
        <v>278.39999999999998</v>
      </c>
      <c r="BH30" s="87">
        <f t="shared" si="16"/>
        <v>0</v>
      </c>
      <c r="BI30" s="87">
        <f t="shared" si="17"/>
        <v>0</v>
      </c>
      <c r="BJ30" s="87">
        <f t="shared" si="18"/>
        <v>0</v>
      </c>
      <c r="BK30" s="87">
        <f t="shared" si="19"/>
        <v>0</v>
      </c>
      <c r="BL30" s="87">
        <f t="shared" si="20"/>
        <v>0</v>
      </c>
      <c r="BM30" s="87">
        <f t="shared" si="21"/>
        <v>0</v>
      </c>
      <c r="BN30" s="87">
        <f t="shared" si="22"/>
        <v>0</v>
      </c>
      <c r="BO30" s="87">
        <f t="shared" si="23"/>
        <v>0</v>
      </c>
      <c r="BP30" s="87">
        <f t="shared" si="24"/>
        <v>0</v>
      </c>
      <c r="BQ30" s="87">
        <f t="shared" si="25"/>
        <v>0</v>
      </c>
      <c r="BR30" s="87">
        <f t="shared" si="26"/>
        <v>0</v>
      </c>
      <c r="BS30" s="87">
        <f t="shared" si="27"/>
        <v>0</v>
      </c>
      <c r="BT30" s="87">
        <f t="shared" si="28"/>
        <v>0</v>
      </c>
      <c r="BV30" s="177"/>
      <c r="BW30" s="177"/>
      <c r="BX30" s="267"/>
      <c r="BY30" s="267"/>
      <c r="BZ30" s="267"/>
      <c r="CA30" s="267"/>
      <c r="CB30" s="267"/>
      <c r="CC30" s="267"/>
      <c r="CD30" s="267"/>
      <c r="CE30" s="267"/>
      <c r="CF30" s="267"/>
      <c r="CG30" s="267"/>
      <c r="CH30" s="267"/>
      <c r="CI30" s="435"/>
      <c r="CJ30" s="436"/>
      <c r="CK30" s="437"/>
      <c r="CM30" s="64" t="s">
        <v>3005</v>
      </c>
      <c r="CN30" s="707">
        <v>53</v>
      </c>
      <c r="CO30" s="98"/>
      <c r="CS30" s="138">
        <v>12</v>
      </c>
      <c r="CT30" s="259">
        <f t="shared" ca="1" si="29"/>
        <v>46548</v>
      </c>
      <c r="CU30" s="179">
        <f t="shared" ca="1" si="56"/>
        <v>1255.6211542725787</v>
      </c>
      <c r="CV30" s="179">
        <f t="shared" ca="1" si="56"/>
        <v>1263.5793191601394</v>
      </c>
      <c r="CW30" s="179">
        <f t="shared" ca="1" si="56"/>
        <v>1268.380297928958</v>
      </c>
      <c r="CX30" s="179">
        <f t="shared" ca="1" si="56"/>
        <v>1273.2009415784526</v>
      </c>
      <c r="CY30" s="179">
        <f t="shared" ca="1" si="56"/>
        <v>1278.0413364905032</v>
      </c>
      <c r="CZ30" s="179">
        <f t="shared" ca="1" si="56"/>
        <v>1282.9015694520738</v>
      </c>
      <c r="DA30" s="179">
        <f t="shared" ca="1" si="56"/>
        <v>1286.1527889404026</v>
      </c>
      <c r="DB30" s="179">
        <f t="shared" ca="1" si="56"/>
        <v>1292.681898709259</v>
      </c>
      <c r="DC30" s="179">
        <f t="shared" ca="1" si="56"/>
        <v>1295.9598411057621</v>
      </c>
      <c r="DD30" s="179">
        <f t="shared" ca="1" si="56"/>
        <v>1299.2467433901636</v>
      </c>
      <c r="DE30" s="179">
        <f t="shared" ca="1" si="30"/>
        <v>1302.5426318246552</v>
      </c>
      <c r="DF30" s="179" t="e">
        <f t="shared" ca="1" si="30"/>
        <v>#VALUE!</v>
      </c>
      <c r="DG30" s="179" t="e">
        <f t="shared" ca="1" si="30"/>
        <v>#VALUE!</v>
      </c>
      <c r="DH30" s="179" t="e">
        <f t="shared" ca="1" si="30"/>
        <v>#VALUE!</v>
      </c>
      <c r="DI30" s="179" t="e">
        <f t="shared" ca="1" si="30"/>
        <v>#VALUE!</v>
      </c>
      <c r="DJ30" s="179" t="e">
        <f t="shared" ca="1" si="30"/>
        <v>#VALUE!</v>
      </c>
      <c r="DK30" s="179" t="e">
        <f t="shared" ca="1" si="30"/>
        <v>#VALUE!</v>
      </c>
      <c r="DL30" s="179" t="e">
        <f t="shared" ca="1" si="31"/>
        <v>#VALUE!</v>
      </c>
      <c r="DM30" s="179" t="e">
        <f t="shared" ca="1" si="31"/>
        <v>#VALUE!</v>
      </c>
      <c r="DN30" s="179" t="e">
        <f t="shared" ca="1" si="31"/>
        <v>#VALUE!</v>
      </c>
      <c r="DO30" s="179" t="e">
        <f t="shared" ca="1" si="31"/>
        <v>#VALUE!</v>
      </c>
      <c r="DP30" s="179" t="e">
        <f t="shared" ca="1" si="31"/>
        <v>#VALUE!</v>
      </c>
      <c r="DQ30" s="179" t="e">
        <f t="shared" ca="1" si="31"/>
        <v>#VALUE!</v>
      </c>
      <c r="DR30" s="278">
        <v>12</v>
      </c>
      <c r="DS30" s="430">
        <f t="shared" ca="1" si="61"/>
        <v>46517</v>
      </c>
      <c r="DT30" s="180">
        <f t="shared" ca="1" si="57"/>
        <v>0</v>
      </c>
      <c r="DU30" s="180">
        <f t="shared" ca="1" si="57"/>
        <v>0</v>
      </c>
      <c r="DV30" s="180">
        <f t="shared" ca="1" si="57"/>
        <v>0</v>
      </c>
      <c r="DW30" s="180">
        <f t="shared" ca="1" si="57"/>
        <v>0</v>
      </c>
      <c r="DX30" s="180">
        <f t="shared" ca="1" si="57"/>
        <v>0</v>
      </c>
      <c r="DY30" s="180">
        <f t="shared" ca="1" si="57"/>
        <v>0</v>
      </c>
      <c r="DZ30" s="180">
        <f t="shared" ca="1" si="57"/>
        <v>0</v>
      </c>
      <c r="EA30" s="180">
        <f t="shared" ca="1" si="57"/>
        <v>0</v>
      </c>
      <c r="EB30" s="180">
        <f t="shared" ca="1" si="57"/>
        <v>0</v>
      </c>
      <c r="EC30" s="180">
        <f t="shared" ca="1" si="57"/>
        <v>0</v>
      </c>
      <c r="ED30" s="180">
        <f t="shared" ca="1" si="57"/>
        <v>0</v>
      </c>
      <c r="EE30" s="180">
        <f t="shared" ca="1" si="57"/>
        <v>0</v>
      </c>
      <c r="EF30" s="180">
        <f t="shared" ca="1" si="57"/>
        <v>0</v>
      </c>
      <c r="EG30" s="180">
        <f t="shared" ca="1" si="57"/>
        <v>0</v>
      </c>
      <c r="EH30" s="180">
        <f t="shared" ca="1" si="57"/>
        <v>0</v>
      </c>
      <c r="EI30" s="180">
        <f t="shared" ca="1" si="33"/>
        <v>0</v>
      </c>
      <c r="EJ30" s="180">
        <f t="shared" ca="1" si="33"/>
        <v>0</v>
      </c>
      <c r="EK30" s="180">
        <f t="shared" ca="1" si="33"/>
        <v>0</v>
      </c>
      <c r="EL30" s="180">
        <f t="shared" ca="1" si="33"/>
        <v>0</v>
      </c>
      <c r="EM30" s="180">
        <f t="shared" ca="1" si="33"/>
        <v>0</v>
      </c>
      <c r="EN30" s="180">
        <f t="shared" ca="1" si="33"/>
        <v>0</v>
      </c>
      <c r="EO30" s="180">
        <f t="shared" ca="1" si="33"/>
        <v>0</v>
      </c>
      <c r="EP30" s="180">
        <f t="shared" ca="1" si="33"/>
        <v>0</v>
      </c>
      <c r="EQ30" s="180"/>
      <c r="ER30" s="180"/>
    </row>
    <row r="31" spans="2:148" ht="15.75" thickBot="1" x14ac:dyDescent="0.3">
      <c r="B31" s="151" t="str">
        <f t="shared" si="62"/>
        <v>NÃO</v>
      </c>
      <c r="C31" s="147" t="str">
        <f>'CALCULAR SALDO APROXIMADO '!B31</f>
        <v>Versão data 20/05/2026</v>
      </c>
      <c r="D31" s="201">
        <v>4</v>
      </c>
      <c r="E31" s="25" t="str">
        <f t="shared" si="63"/>
        <v>INSS</v>
      </c>
      <c r="F31" s="627" t="str">
        <f>IFERROR(VLOOKUP(CONCATENATE(D31,E31),'Base tabelas'!$B:$K,10,FALSE),"")</f>
        <v xml:space="preserve">805974 - RFN - INSS 4   </v>
      </c>
      <c r="G31" s="628"/>
      <c r="H31" s="629"/>
      <c r="I31" s="45">
        <f>IFERROR(VLOOKUP(CONCATENATE(D31,E31),'Base tabelas'!$B:$E,4,FALSE),"")</f>
        <v>1.7399999999999999E-2</v>
      </c>
      <c r="J31" s="34">
        <f t="shared" ca="1" si="64"/>
        <v>2.1967327505331903E-2</v>
      </c>
      <c r="K31" s="46">
        <f ca="1">IFERROR(CX163,"")</f>
        <v>72362.466468175087</v>
      </c>
      <c r="L31" s="46">
        <f t="shared" ca="1" si="65"/>
        <v>76500.429999999993</v>
      </c>
      <c r="M31" s="58">
        <f ca="1">IFERROR(DW17*-1,"")</f>
        <v>-4012.4150644580141</v>
      </c>
      <c r="N31" s="59" t="str">
        <f t="shared" ca="1" si="66"/>
        <v>Não Libera Troco</v>
      </c>
      <c r="O31" s="69" t="str">
        <f t="shared" ca="1" si="67"/>
        <v/>
      </c>
      <c r="P31" s="302">
        <f>IFERROR(VLOOKUP(CONCATENATE(D31,E31),'Base tabelas'!$B:$O,14,FALSE),"")</f>
        <v>20</v>
      </c>
      <c r="Q31" s="306">
        <f ca="1">DW167</f>
        <v>4.0132697165518039E-10</v>
      </c>
      <c r="R31" s="307" t="str">
        <f t="shared" ca="1" si="68"/>
        <v/>
      </c>
      <c r="S31" s="308">
        <f t="shared" ca="1" si="69"/>
        <v>3.9631038450949064E-10</v>
      </c>
      <c r="T31" s="309"/>
      <c r="U31" s="460">
        <f t="shared" ca="1" si="70"/>
        <v>0</v>
      </c>
      <c r="V31" s="497">
        <f t="shared" si="72"/>
        <v>0</v>
      </c>
      <c r="W31" s="98" t="e">
        <f ca="1">#REF!/M31-1</f>
        <v>#REF!</v>
      </c>
      <c r="X31" s="87">
        <v>13</v>
      </c>
      <c r="Y31" s="87">
        <f t="shared" ca="1" si="35"/>
        <v>67.81</v>
      </c>
      <c r="Z31" s="87">
        <f t="shared" ca="1" si="36"/>
        <v>70.569999999999993</v>
      </c>
      <c r="AA31" s="87">
        <f t="shared" ca="1" si="37"/>
        <v>1172.83</v>
      </c>
      <c r="AB31" s="87">
        <f t="shared" ca="1" si="38"/>
        <v>278.39999999999998</v>
      </c>
      <c r="AC31" s="87">
        <f t="shared" si="39"/>
        <v>0</v>
      </c>
      <c r="AD31" s="87">
        <f t="shared" si="40"/>
        <v>0</v>
      </c>
      <c r="AE31" s="87">
        <f t="shared" si="41"/>
        <v>0</v>
      </c>
      <c r="AF31" s="87">
        <f t="shared" si="42"/>
        <v>0</v>
      </c>
      <c r="AG31" s="87">
        <f t="shared" si="43"/>
        <v>0</v>
      </c>
      <c r="AH31" s="87">
        <f t="shared" si="44"/>
        <v>0</v>
      </c>
      <c r="AI31" s="87">
        <f t="shared" si="45"/>
        <v>0</v>
      </c>
      <c r="AJ31" s="87">
        <f t="shared" si="46"/>
        <v>0</v>
      </c>
      <c r="AK31" s="87">
        <f t="shared" si="47"/>
        <v>0</v>
      </c>
      <c r="AL31" s="87">
        <f t="shared" si="48"/>
        <v>0</v>
      </c>
      <c r="AM31" s="87">
        <f t="shared" si="49"/>
        <v>0</v>
      </c>
      <c r="AN31" s="87">
        <f t="shared" si="50"/>
        <v>0</v>
      </c>
      <c r="AO31" s="87">
        <f t="shared" si="51"/>
        <v>0</v>
      </c>
      <c r="AP31" s="87"/>
      <c r="AQ31" s="426">
        <v>13</v>
      </c>
      <c r="AR31" s="258">
        <f t="shared" ca="1" si="58"/>
        <v>46548</v>
      </c>
      <c r="AS31" s="429">
        <f t="shared" ca="1" si="10"/>
        <v>1589.6100000000001</v>
      </c>
      <c r="AT31" s="138"/>
      <c r="AU31" s="278">
        <v>13</v>
      </c>
      <c r="AV31" s="258">
        <f t="shared" ca="1" si="59"/>
        <v>46578</v>
      </c>
      <c r="AW31" s="429">
        <f t="shared" ca="1" si="52"/>
        <v>0</v>
      </c>
      <c r="AX31" s="202">
        <f t="shared" ca="1" si="53"/>
        <v>0</v>
      </c>
      <c r="AY31" s="278">
        <v>13</v>
      </c>
      <c r="AZ31" s="258">
        <f t="shared" ca="1" si="60"/>
        <v>46578</v>
      </c>
      <c r="BA31" s="429">
        <f t="shared" si="54"/>
        <v>1589.6100000000001</v>
      </c>
      <c r="BB31" s="259">
        <f t="shared" ca="1" si="11"/>
        <v>46548</v>
      </c>
      <c r="BC31" s="428">
        <f t="shared" ca="1" si="55"/>
        <v>0</v>
      </c>
      <c r="BD31" s="188">
        <f t="shared" si="12"/>
        <v>67.81</v>
      </c>
      <c r="BE31" s="188">
        <f t="shared" si="13"/>
        <v>70.569999999999993</v>
      </c>
      <c r="BF31" s="188">
        <f t="shared" si="14"/>
        <v>1172.83</v>
      </c>
      <c r="BG31" s="87">
        <f t="shared" si="15"/>
        <v>278.39999999999998</v>
      </c>
      <c r="BH31" s="87">
        <f t="shared" si="16"/>
        <v>0</v>
      </c>
      <c r="BI31" s="87">
        <f t="shared" si="17"/>
        <v>0</v>
      </c>
      <c r="BJ31" s="87">
        <f t="shared" si="18"/>
        <v>0</v>
      </c>
      <c r="BK31" s="87">
        <f t="shared" si="19"/>
        <v>0</v>
      </c>
      <c r="BL31" s="87">
        <f t="shared" si="20"/>
        <v>0</v>
      </c>
      <c r="BM31" s="87">
        <f t="shared" si="21"/>
        <v>0</v>
      </c>
      <c r="BN31" s="87">
        <f t="shared" si="22"/>
        <v>0</v>
      </c>
      <c r="BO31" s="87">
        <f t="shared" si="23"/>
        <v>0</v>
      </c>
      <c r="BP31" s="87">
        <f t="shared" si="24"/>
        <v>0</v>
      </c>
      <c r="BQ31" s="87">
        <f t="shared" si="25"/>
        <v>0</v>
      </c>
      <c r="BR31" s="87">
        <f t="shared" si="26"/>
        <v>0</v>
      </c>
      <c r="BS31" s="87">
        <f t="shared" si="27"/>
        <v>0</v>
      </c>
      <c r="BT31" s="87">
        <f t="shared" si="28"/>
        <v>0</v>
      </c>
      <c r="BV31" s="177"/>
      <c r="BW31" s="177"/>
      <c r="BX31" s="267"/>
      <c r="BY31" s="267"/>
      <c r="BZ31" s="267"/>
      <c r="CA31" s="267"/>
      <c r="CB31" s="267"/>
      <c r="CC31" s="267"/>
      <c r="CD31" s="267"/>
      <c r="CE31" s="267"/>
      <c r="CF31" s="267"/>
      <c r="CG31" s="267"/>
      <c r="CH31" s="267"/>
      <c r="CI31" s="435"/>
      <c r="CJ31" s="436"/>
      <c r="CK31" s="437"/>
      <c r="CM31" s="64" t="s">
        <v>3006</v>
      </c>
      <c r="CN31" s="707">
        <v>36.583333333333336</v>
      </c>
      <c r="CO31" s="98"/>
      <c r="CS31" s="87">
        <v>13</v>
      </c>
      <c r="CT31" s="259">
        <f t="shared" ca="1" si="29"/>
        <v>46578</v>
      </c>
      <c r="CU31" s="179">
        <f t="shared" ca="1" si="56"/>
        <v>1232.8140935420506</v>
      </c>
      <c r="CV31" s="179">
        <f t="shared" ca="1" si="56"/>
        <v>1241.2370522201761</v>
      </c>
      <c r="CW31" s="179">
        <f t="shared" ca="1" si="56"/>
        <v>1246.3204263819966</v>
      </c>
      <c r="CX31" s="179">
        <f t="shared" ca="1" si="56"/>
        <v>1251.4261269691885</v>
      </c>
      <c r="CY31" s="179">
        <f t="shared" ca="1" si="56"/>
        <v>1256.5542586672927</v>
      </c>
      <c r="CZ31" s="179">
        <f t="shared" ca="1" si="56"/>
        <v>1261.7049266837862</v>
      </c>
      <c r="DA31" s="179">
        <f t="shared" ca="1" si="56"/>
        <v>1265.1512777300834</v>
      </c>
      <c r="DB31" s="179">
        <f t="shared" ca="1" si="56"/>
        <v>1272.0742951281825</v>
      </c>
      <c r="DC31" s="179">
        <f t="shared" ca="1" si="56"/>
        <v>1275.5510247103957</v>
      </c>
      <c r="DD31" s="179">
        <f t="shared" ca="1" si="56"/>
        <v>1279.0379438769085</v>
      </c>
      <c r="DE31" s="179">
        <f t="shared" ca="1" si="30"/>
        <v>1282.535084506356</v>
      </c>
      <c r="DF31" s="179" t="e">
        <f t="shared" ca="1" si="30"/>
        <v>#VALUE!</v>
      </c>
      <c r="DG31" s="179" t="e">
        <f t="shared" ca="1" si="30"/>
        <v>#VALUE!</v>
      </c>
      <c r="DH31" s="179" t="e">
        <f t="shared" ca="1" si="30"/>
        <v>#VALUE!</v>
      </c>
      <c r="DI31" s="179" t="e">
        <f t="shared" ca="1" si="30"/>
        <v>#VALUE!</v>
      </c>
      <c r="DJ31" s="179" t="e">
        <f t="shared" ca="1" si="30"/>
        <v>#VALUE!</v>
      </c>
      <c r="DK31" s="179" t="e">
        <f t="shared" ca="1" si="30"/>
        <v>#VALUE!</v>
      </c>
      <c r="DL31" s="179" t="e">
        <f t="shared" ca="1" si="31"/>
        <v>#VALUE!</v>
      </c>
      <c r="DM31" s="179" t="e">
        <f t="shared" ca="1" si="31"/>
        <v>#VALUE!</v>
      </c>
      <c r="DN31" s="179" t="e">
        <f t="shared" ca="1" si="31"/>
        <v>#VALUE!</v>
      </c>
      <c r="DO31" s="179" t="e">
        <f t="shared" ca="1" si="31"/>
        <v>#VALUE!</v>
      </c>
      <c r="DP31" s="179" t="e">
        <f t="shared" ca="1" si="31"/>
        <v>#VALUE!</v>
      </c>
      <c r="DQ31" s="179" t="e">
        <f t="shared" ca="1" si="31"/>
        <v>#VALUE!</v>
      </c>
      <c r="DR31" s="188">
        <v>13</v>
      </c>
      <c r="DS31" s="430">
        <f t="shared" ca="1" si="61"/>
        <v>46548</v>
      </c>
      <c r="DT31" s="180">
        <f t="shared" ca="1" si="57"/>
        <v>0</v>
      </c>
      <c r="DU31" s="180">
        <f t="shared" ca="1" si="57"/>
        <v>0</v>
      </c>
      <c r="DV31" s="180">
        <f t="shared" ca="1" si="57"/>
        <v>0</v>
      </c>
      <c r="DW31" s="180">
        <f t="shared" ca="1" si="57"/>
        <v>0</v>
      </c>
      <c r="DX31" s="180">
        <f t="shared" ca="1" si="57"/>
        <v>0</v>
      </c>
      <c r="DY31" s="180">
        <f t="shared" ca="1" si="57"/>
        <v>0</v>
      </c>
      <c r="DZ31" s="180">
        <f t="shared" ca="1" si="57"/>
        <v>0</v>
      </c>
      <c r="EA31" s="180">
        <f t="shared" ca="1" si="57"/>
        <v>0</v>
      </c>
      <c r="EB31" s="180">
        <f t="shared" ca="1" si="57"/>
        <v>0</v>
      </c>
      <c r="EC31" s="180">
        <f t="shared" ca="1" si="57"/>
        <v>0</v>
      </c>
      <c r="ED31" s="180">
        <f t="shared" ca="1" si="57"/>
        <v>0</v>
      </c>
      <c r="EE31" s="180">
        <f t="shared" ca="1" si="57"/>
        <v>0</v>
      </c>
      <c r="EF31" s="180">
        <f t="shared" ca="1" si="57"/>
        <v>0</v>
      </c>
      <c r="EG31" s="180">
        <f t="shared" ca="1" si="57"/>
        <v>0</v>
      </c>
      <c r="EH31" s="180">
        <f t="shared" ca="1" si="57"/>
        <v>0</v>
      </c>
      <c r="EI31" s="180">
        <f t="shared" ca="1" si="33"/>
        <v>0</v>
      </c>
      <c r="EJ31" s="180">
        <f t="shared" ca="1" si="33"/>
        <v>0</v>
      </c>
      <c r="EK31" s="180">
        <f t="shared" ca="1" si="33"/>
        <v>0</v>
      </c>
      <c r="EL31" s="180">
        <f t="shared" ca="1" si="33"/>
        <v>0</v>
      </c>
      <c r="EM31" s="180">
        <f t="shared" ca="1" si="33"/>
        <v>0</v>
      </c>
      <c r="EN31" s="180">
        <f t="shared" ca="1" si="33"/>
        <v>0</v>
      </c>
      <c r="EO31" s="180">
        <f t="shared" ca="1" si="33"/>
        <v>0</v>
      </c>
      <c r="EP31" s="180">
        <f t="shared" ca="1" si="33"/>
        <v>0</v>
      </c>
      <c r="EQ31" s="180"/>
      <c r="ER31" s="180"/>
    </row>
    <row r="32" spans="2:148" ht="15.75" thickBot="1" x14ac:dyDescent="0.3">
      <c r="B32" s="151" t="str">
        <f t="shared" ca="1" si="62"/>
        <v>NÃO</v>
      </c>
      <c r="C32" s="146" t="str">
        <f t="shared" si="71"/>
        <v/>
      </c>
      <c r="D32" s="201">
        <v>5</v>
      </c>
      <c r="E32" s="25" t="str">
        <f t="shared" si="63"/>
        <v>INSS</v>
      </c>
      <c r="F32" s="627" t="str">
        <f>IFERROR(VLOOKUP(CONCATENATE(D32,E32),'Base tabelas'!$B:$K,10,FALSE),"")</f>
        <v xml:space="preserve">805975 - RFN - INSS 5   </v>
      </c>
      <c r="G32" s="628"/>
      <c r="H32" s="629"/>
      <c r="I32" s="45">
        <f>IFERROR(VLOOKUP(CONCATENATE(D32,E32),'Base tabelas'!$B:$E,4,FALSE),"")</f>
        <v>1.7100000000000001E-2</v>
      </c>
      <c r="J32" s="34">
        <f t="shared" ca="1" si="64"/>
        <v>2.1729024737232299E-2</v>
      </c>
      <c r="K32" s="46">
        <f ca="1">IFERROR(CY163,"")</f>
        <v>73156.067482229497</v>
      </c>
      <c r="L32" s="46">
        <f t="shared" ca="1" si="65"/>
        <v>76500.429999999993</v>
      </c>
      <c r="M32" s="58">
        <f ca="1">IFERROR(DX17*-1,"")</f>
        <v>-3242.8924141322964</v>
      </c>
      <c r="N32" s="59" t="str">
        <f t="shared" ca="1" si="66"/>
        <v>Não Libera Troco</v>
      </c>
      <c r="O32" s="69" t="str">
        <f t="shared" ca="1" si="67"/>
        <v/>
      </c>
      <c r="P32" s="302">
        <f>IFERROR(VLOOKUP(CONCATENATE(D32,E32),'Base tabelas'!$B:$O,14,FALSE),"")</f>
        <v>20</v>
      </c>
      <c r="Q32" s="306">
        <f ca="1">DX167</f>
        <v>4.0132697165518039E-10</v>
      </c>
      <c r="R32" s="307" t="str">
        <f t="shared" ca="1" si="68"/>
        <v/>
      </c>
      <c r="S32" s="308">
        <f t="shared" ca="1" si="69"/>
        <v>3.9631038450949064E-10</v>
      </c>
      <c r="T32" s="309"/>
      <c r="U32" s="460">
        <f t="shared" ca="1" si="70"/>
        <v>0</v>
      </c>
      <c r="V32" s="497">
        <f t="shared" si="72"/>
        <v>0</v>
      </c>
      <c r="W32" s="98" t="e">
        <f ca="1">#REF!/M32-1</f>
        <v>#REF!</v>
      </c>
      <c r="X32" s="87">
        <v>14</v>
      </c>
      <c r="Y32" s="87">
        <f t="shared" ca="1" si="35"/>
        <v>67.81</v>
      </c>
      <c r="Z32" s="87">
        <f t="shared" ca="1" si="36"/>
        <v>70.569999999999993</v>
      </c>
      <c r="AA32" s="87">
        <f t="shared" ca="1" si="37"/>
        <v>1172.83</v>
      </c>
      <c r="AB32" s="87">
        <f t="shared" ca="1" si="38"/>
        <v>278.39999999999998</v>
      </c>
      <c r="AC32" s="87">
        <f t="shared" si="39"/>
        <v>0</v>
      </c>
      <c r="AD32" s="87">
        <f t="shared" si="40"/>
        <v>0</v>
      </c>
      <c r="AE32" s="87">
        <f t="shared" si="41"/>
        <v>0</v>
      </c>
      <c r="AF32" s="87">
        <f t="shared" si="42"/>
        <v>0</v>
      </c>
      <c r="AG32" s="87">
        <f t="shared" si="43"/>
        <v>0</v>
      </c>
      <c r="AH32" s="87">
        <f t="shared" si="44"/>
        <v>0</v>
      </c>
      <c r="AI32" s="87">
        <f t="shared" si="45"/>
        <v>0</v>
      </c>
      <c r="AJ32" s="87">
        <f t="shared" si="46"/>
        <v>0</v>
      </c>
      <c r="AK32" s="87">
        <f t="shared" si="47"/>
        <v>0</v>
      </c>
      <c r="AL32" s="87">
        <f t="shared" si="48"/>
        <v>0</v>
      </c>
      <c r="AM32" s="87">
        <f t="shared" si="49"/>
        <v>0</v>
      </c>
      <c r="AN32" s="87">
        <f t="shared" si="50"/>
        <v>0</v>
      </c>
      <c r="AO32" s="87">
        <f t="shared" si="51"/>
        <v>0</v>
      </c>
      <c r="AP32" s="87"/>
      <c r="AQ32" s="426">
        <v>14</v>
      </c>
      <c r="AR32" s="258">
        <f t="shared" ca="1" si="58"/>
        <v>46578</v>
      </c>
      <c r="AS32" s="429">
        <f t="shared" ca="1" si="10"/>
        <v>1589.6100000000001</v>
      </c>
      <c r="AT32" s="138"/>
      <c r="AU32" s="278">
        <v>14</v>
      </c>
      <c r="AV32" s="258">
        <f t="shared" ca="1" si="59"/>
        <v>46609</v>
      </c>
      <c r="AW32" s="429">
        <f t="shared" ca="1" si="52"/>
        <v>0</v>
      </c>
      <c r="AX32" s="202">
        <f t="shared" ca="1" si="53"/>
        <v>0</v>
      </c>
      <c r="AY32" s="278">
        <v>14</v>
      </c>
      <c r="AZ32" s="258">
        <f t="shared" ca="1" si="60"/>
        <v>46609</v>
      </c>
      <c r="BA32" s="429">
        <f t="shared" si="54"/>
        <v>1589.6100000000001</v>
      </c>
      <c r="BB32" s="259">
        <f t="shared" ca="1" si="11"/>
        <v>46578</v>
      </c>
      <c r="BC32" s="428">
        <f t="shared" ca="1" si="55"/>
        <v>0</v>
      </c>
      <c r="BD32" s="188">
        <f t="shared" si="12"/>
        <v>67.81</v>
      </c>
      <c r="BE32" s="188">
        <f t="shared" si="13"/>
        <v>70.569999999999993</v>
      </c>
      <c r="BF32" s="188">
        <f t="shared" si="14"/>
        <v>1172.83</v>
      </c>
      <c r="BG32" s="87">
        <f t="shared" si="15"/>
        <v>278.39999999999998</v>
      </c>
      <c r="BH32" s="87">
        <f t="shared" si="16"/>
        <v>0</v>
      </c>
      <c r="BI32" s="87">
        <f t="shared" si="17"/>
        <v>0</v>
      </c>
      <c r="BJ32" s="87">
        <f t="shared" si="18"/>
        <v>0</v>
      </c>
      <c r="BK32" s="87">
        <f t="shared" si="19"/>
        <v>0</v>
      </c>
      <c r="BL32" s="87">
        <f t="shared" si="20"/>
        <v>0</v>
      </c>
      <c r="BM32" s="87">
        <f t="shared" si="21"/>
        <v>0</v>
      </c>
      <c r="BN32" s="87">
        <f t="shared" si="22"/>
        <v>0</v>
      </c>
      <c r="BO32" s="87">
        <f t="shared" si="23"/>
        <v>0</v>
      </c>
      <c r="BP32" s="87">
        <f t="shared" si="24"/>
        <v>0</v>
      </c>
      <c r="BQ32" s="87">
        <f t="shared" si="25"/>
        <v>0</v>
      </c>
      <c r="BR32" s="87">
        <f t="shared" si="26"/>
        <v>0</v>
      </c>
      <c r="BS32" s="87">
        <f t="shared" si="27"/>
        <v>0</v>
      </c>
      <c r="BT32" s="87">
        <f t="shared" si="28"/>
        <v>0</v>
      </c>
      <c r="BV32" s="177"/>
      <c r="BW32" s="177"/>
      <c r="BX32" s="267"/>
      <c r="BY32" s="267"/>
      <c r="BZ32" s="267"/>
      <c r="CA32" s="267"/>
      <c r="CB32" s="267"/>
      <c r="CC32" s="267"/>
      <c r="CD32" s="267"/>
      <c r="CE32" s="267"/>
      <c r="CF32" s="267"/>
      <c r="CG32" s="267"/>
      <c r="CH32" s="267"/>
      <c r="CI32" s="435"/>
      <c r="CJ32" s="436"/>
      <c r="CK32" s="437"/>
      <c r="CM32" s="64" t="s">
        <v>366</v>
      </c>
      <c r="CN32" s="707">
        <v>74.75</v>
      </c>
      <c r="CO32" s="98"/>
      <c r="CS32" s="178">
        <v>14</v>
      </c>
      <c r="CT32" s="259">
        <f t="shared" ca="1" si="29"/>
        <v>46609</v>
      </c>
      <c r="CU32" s="179">
        <f t="shared" ca="1" si="56"/>
        <v>1209.6819194029767</v>
      </c>
      <c r="CV32" s="179">
        <f t="shared" ca="1" si="56"/>
        <v>1218.56498303541</v>
      </c>
      <c r="CW32" s="179">
        <f t="shared" ca="1" si="56"/>
        <v>1223.9282129405588</v>
      </c>
      <c r="CX32" s="179">
        <f t="shared" ca="1" si="56"/>
        <v>1229.3166395216426</v>
      </c>
      <c r="CY32" s="179">
        <f t="shared" ca="1" si="56"/>
        <v>1234.7303886358372</v>
      </c>
      <c r="CZ32" s="179">
        <f t="shared" ca="1" si="56"/>
        <v>1240.1695868063555</v>
      </c>
      <c r="DA32" s="179">
        <f t="shared" ca="1" si="56"/>
        <v>1243.8099200683412</v>
      </c>
      <c r="DB32" s="179">
        <f t="shared" ca="1" si="56"/>
        <v>1251.1248397618749</v>
      </c>
      <c r="DC32" s="179">
        <f t="shared" ca="1" si="56"/>
        <v>1254.7995023004466</v>
      </c>
      <c r="DD32" s="179">
        <f t="shared" ca="1" si="56"/>
        <v>1258.4856842621266</v>
      </c>
      <c r="DE32" s="179">
        <f t="shared" ca="1" si="30"/>
        <v>1262.1834240370092</v>
      </c>
      <c r="DF32" s="179" t="e">
        <f t="shared" ca="1" si="30"/>
        <v>#VALUE!</v>
      </c>
      <c r="DG32" s="179" t="e">
        <f t="shared" ca="1" si="30"/>
        <v>#VALUE!</v>
      </c>
      <c r="DH32" s="179" t="e">
        <f t="shared" ca="1" si="30"/>
        <v>#VALUE!</v>
      </c>
      <c r="DI32" s="179" t="e">
        <f t="shared" ca="1" si="30"/>
        <v>#VALUE!</v>
      </c>
      <c r="DJ32" s="179" t="e">
        <f t="shared" ca="1" si="30"/>
        <v>#VALUE!</v>
      </c>
      <c r="DK32" s="179" t="e">
        <f t="shared" ca="1" si="30"/>
        <v>#VALUE!</v>
      </c>
      <c r="DL32" s="179" t="e">
        <f t="shared" ca="1" si="31"/>
        <v>#VALUE!</v>
      </c>
      <c r="DM32" s="179" t="e">
        <f t="shared" ca="1" si="31"/>
        <v>#VALUE!</v>
      </c>
      <c r="DN32" s="179" t="e">
        <f t="shared" ca="1" si="31"/>
        <v>#VALUE!</v>
      </c>
      <c r="DO32" s="179" t="e">
        <f t="shared" ca="1" si="31"/>
        <v>#VALUE!</v>
      </c>
      <c r="DP32" s="179" t="e">
        <f t="shared" ca="1" si="31"/>
        <v>#VALUE!</v>
      </c>
      <c r="DQ32" s="179" t="e">
        <f t="shared" ca="1" si="31"/>
        <v>#VALUE!</v>
      </c>
      <c r="DR32" s="431">
        <v>14</v>
      </c>
      <c r="DS32" s="430">
        <f t="shared" ca="1" si="61"/>
        <v>46578</v>
      </c>
      <c r="DT32" s="180">
        <f t="shared" ca="1" si="57"/>
        <v>0</v>
      </c>
      <c r="DU32" s="180">
        <f t="shared" ca="1" si="57"/>
        <v>0</v>
      </c>
      <c r="DV32" s="180">
        <f t="shared" ca="1" si="57"/>
        <v>0</v>
      </c>
      <c r="DW32" s="180">
        <f t="shared" ca="1" si="57"/>
        <v>0</v>
      </c>
      <c r="DX32" s="180">
        <f t="shared" ca="1" si="57"/>
        <v>0</v>
      </c>
      <c r="DY32" s="180">
        <f t="shared" ca="1" si="57"/>
        <v>0</v>
      </c>
      <c r="DZ32" s="180">
        <f t="shared" ca="1" si="57"/>
        <v>0</v>
      </c>
      <c r="EA32" s="180">
        <f t="shared" ca="1" si="57"/>
        <v>0</v>
      </c>
      <c r="EB32" s="180">
        <f t="shared" ca="1" si="57"/>
        <v>0</v>
      </c>
      <c r="EC32" s="180">
        <f t="shared" ca="1" si="57"/>
        <v>0</v>
      </c>
      <c r="ED32" s="180">
        <f t="shared" ca="1" si="57"/>
        <v>0</v>
      </c>
      <c r="EE32" s="180">
        <f t="shared" ca="1" si="57"/>
        <v>0</v>
      </c>
      <c r="EF32" s="180">
        <f t="shared" ca="1" si="57"/>
        <v>0</v>
      </c>
      <c r="EG32" s="180">
        <f t="shared" ca="1" si="57"/>
        <v>0</v>
      </c>
      <c r="EH32" s="180">
        <f t="shared" ca="1" si="57"/>
        <v>0</v>
      </c>
      <c r="EI32" s="180">
        <f t="shared" ca="1" si="33"/>
        <v>0</v>
      </c>
      <c r="EJ32" s="180">
        <f t="shared" ca="1" si="33"/>
        <v>0</v>
      </c>
      <c r="EK32" s="180">
        <f t="shared" ca="1" si="33"/>
        <v>0</v>
      </c>
      <c r="EL32" s="180">
        <f t="shared" ca="1" si="33"/>
        <v>0</v>
      </c>
      <c r="EM32" s="180">
        <f t="shared" ca="1" si="33"/>
        <v>0</v>
      </c>
      <c r="EN32" s="180">
        <f t="shared" ca="1" si="33"/>
        <v>0</v>
      </c>
      <c r="EO32" s="180">
        <f t="shared" ca="1" si="33"/>
        <v>0</v>
      </c>
      <c r="EP32" s="180">
        <f t="shared" ca="1" si="33"/>
        <v>0</v>
      </c>
      <c r="EQ32" s="180"/>
      <c r="ER32" s="180"/>
    </row>
    <row r="33" spans="2:148" s="8" customFormat="1" ht="15.75" thickBot="1" x14ac:dyDescent="0.3">
      <c r="B33" s="151" t="str">
        <f t="shared" si="62"/>
        <v>NÃO</v>
      </c>
      <c r="C33" s="146" t="str">
        <f t="shared" si="71"/>
        <v/>
      </c>
      <c r="D33" s="201">
        <v>6</v>
      </c>
      <c r="E33" s="25" t="str">
        <f t="shared" si="63"/>
        <v>INSS</v>
      </c>
      <c r="F33" s="627" t="str">
        <f>IFERROR(VLOOKUP(CONCATENATE(D33,E33),'Base tabelas'!$B:$K,10,FALSE),"")</f>
        <v xml:space="preserve">805976 - RFN - INSS 6   </v>
      </c>
      <c r="G33" s="628"/>
      <c r="H33" s="629"/>
      <c r="I33" s="45">
        <f>IFERROR(VLOOKUP(CONCATENATE(D33,E33),'Base tabelas'!$B:$E,4,FALSE),"")</f>
        <v>1.6799999999999999E-2</v>
      </c>
      <c r="J33" s="34">
        <f t="shared" ca="1" si="64"/>
        <v>2.1491941145796931E-2</v>
      </c>
      <c r="K33" s="46">
        <f ca="1">IFERROR(CZ163,"")</f>
        <v>73963.072447314611</v>
      </c>
      <c r="L33" s="46">
        <f t="shared" ca="1" si="65"/>
        <v>76500.429999999993</v>
      </c>
      <c r="M33" s="58">
        <f ca="1">IFERROR(DY17*-1,"")</f>
        <v>-2460.3724972465375</v>
      </c>
      <c r="N33" s="59" t="str">
        <f t="shared" ca="1" si="66"/>
        <v>Não Libera Troco</v>
      </c>
      <c r="O33" s="69" t="str">
        <f t="shared" ca="1" si="67"/>
        <v/>
      </c>
      <c r="P33" s="302">
        <f>IFERROR(VLOOKUP(CONCATENATE(D33,E33),'Base tabelas'!$B:$O,14,FALSE),"")</f>
        <v>20</v>
      </c>
      <c r="Q33" s="306">
        <f ca="1">DY167</f>
        <v>4.0132697165518039E-10</v>
      </c>
      <c r="R33" s="307" t="str">
        <f t="shared" ca="1" si="68"/>
        <v/>
      </c>
      <c r="S33" s="308">
        <f t="shared" ca="1" si="69"/>
        <v>3.9631038450949064E-10</v>
      </c>
      <c r="T33" s="309"/>
      <c r="U33" s="460">
        <f t="shared" ca="1" si="70"/>
        <v>0</v>
      </c>
      <c r="V33" s="497">
        <f t="shared" si="72"/>
        <v>0</v>
      </c>
      <c r="W33" s="98" t="e">
        <f ca="1">#REF!/M33-1</f>
        <v>#REF!</v>
      </c>
      <c r="X33" s="133">
        <v>15</v>
      </c>
      <c r="Y33" s="87">
        <f t="shared" ca="1" si="35"/>
        <v>67.81</v>
      </c>
      <c r="Z33" s="87">
        <f t="shared" ca="1" si="36"/>
        <v>70.569999999999993</v>
      </c>
      <c r="AA33" s="87">
        <f t="shared" ca="1" si="37"/>
        <v>1172.83</v>
      </c>
      <c r="AB33" s="87">
        <f t="shared" ca="1" si="38"/>
        <v>278.39999999999998</v>
      </c>
      <c r="AC33" s="87">
        <f t="shared" si="39"/>
        <v>0</v>
      </c>
      <c r="AD33" s="87">
        <f t="shared" si="40"/>
        <v>0</v>
      </c>
      <c r="AE33" s="87">
        <f t="shared" si="41"/>
        <v>0</v>
      </c>
      <c r="AF33" s="87">
        <f t="shared" si="42"/>
        <v>0</v>
      </c>
      <c r="AG33" s="87">
        <f t="shared" si="43"/>
        <v>0</v>
      </c>
      <c r="AH33" s="87">
        <f t="shared" si="44"/>
        <v>0</v>
      </c>
      <c r="AI33" s="87">
        <f t="shared" si="45"/>
        <v>0</v>
      </c>
      <c r="AJ33" s="87">
        <f t="shared" si="46"/>
        <v>0</v>
      </c>
      <c r="AK33" s="87">
        <f t="shared" si="47"/>
        <v>0</v>
      </c>
      <c r="AL33" s="87">
        <f t="shared" si="48"/>
        <v>0</v>
      </c>
      <c r="AM33" s="87">
        <f t="shared" si="49"/>
        <v>0</v>
      </c>
      <c r="AN33" s="87">
        <f t="shared" si="50"/>
        <v>0</v>
      </c>
      <c r="AO33" s="87">
        <f t="shared" si="51"/>
        <v>0</v>
      </c>
      <c r="AP33" s="133"/>
      <c r="AQ33" s="432">
        <v>15</v>
      </c>
      <c r="AR33" s="279">
        <f t="shared" ca="1" si="58"/>
        <v>46609</v>
      </c>
      <c r="AS33" s="429">
        <f t="shared" ca="1" si="10"/>
        <v>1589.6100000000001</v>
      </c>
      <c r="AT33" s="276"/>
      <c r="AU33" s="427">
        <v>15</v>
      </c>
      <c r="AV33" s="279">
        <f t="shared" ca="1" si="59"/>
        <v>46640</v>
      </c>
      <c r="AW33" s="433">
        <f t="shared" ca="1" si="52"/>
        <v>0</v>
      </c>
      <c r="AX33" s="202">
        <f t="shared" ca="1" si="53"/>
        <v>0</v>
      </c>
      <c r="AY33" s="427">
        <v>15</v>
      </c>
      <c r="AZ33" s="279">
        <f t="shared" ca="1" si="60"/>
        <v>46640</v>
      </c>
      <c r="BA33" s="433">
        <f t="shared" si="54"/>
        <v>1589.6100000000001</v>
      </c>
      <c r="BB33" s="259">
        <f t="shared" ca="1" si="11"/>
        <v>46609</v>
      </c>
      <c r="BC33" s="428">
        <f t="shared" ca="1" si="55"/>
        <v>0</v>
      </c>
      <c r="BD33" s="177">
        <f t="shared" si="12"/>
        <v>67.81</v>
      </c>
      <c r="BE33" s="177">
        <f t="shared" si="13"/>
        <v>70.569999999999993</v>
      </c>
      <c r="BF33" s="177">
        <f t="shared" si="14"/>
        <v>1172.83</v>
      </c>
      <c r="BG33" s="133">
        <f t="shared" si="15"/>
        <v>278.39999999999998</v>
      </c>
      <c r="BH33" s="133">
        <f t="shared" si="16"/>
        <v>0</v>
      </c>
      <c r="BI33" s="133">
        <f t="shared" si="17"/>
        <v>0</v>
      </c>
      <c r="BJ33" s="133">
        <f t="shared" si="18"/>
        <v>0</v>
      </c>
      <c r="BK33" s="133">
        <f t="shared" si="19"/>
        <v>0</v>
      </c>
      <c r="BL33" s="133">
        <f t="shared" si="20"/>
        <v>0</v>
      </c>
      <c r="BM33" s="133">
        <f t="shared" si="21"/>
        <v>0</v>
      </c>
      <c r="BN33" s="133">
        <f t="shared" si="22"/>
        <v>0</v>
      </c>
      <c r="BO33" s="133">
        <f t="shared" si="23"/>
        <v>0</v>
      </c>
      <c r="BP33" s="133">
        <f t="shared" si="24"/>
        <v>0</v>
      </c>
      <c r="BQ33" s="133">
        <f t="shared" si="25"/>
        <v>0</v>
      </c>
      <c r="BR33" s="133">
        <f t="shared" si="26"/>
        <v>0</v>
      </c>
      <c r="BS33" s="133">
        <f t="shared" si="27"/>
        <v>0</v>
      </c>
      <c r="BT33" s="133">
        <f t="shared" si="28"/>
        <v>0</v>
      </c>
      <c r="BU33" s="133"/>
      <c r="BV33" s="177"/>
      <c r="BW33" s="177"/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67"/>
      <c r="CI33" s="435"/>
      <c r="CJ33" s="436"/>
      <c r="CK33" s="437"/>
      <c r="CL33" s="133"/>
      <c r="CM33" s="64" t="s">
        <v>3451</v>
      </c>
      <c r="CN33" s="707">
        <v>75.5</v>
      </c>
      <c r="CO33" s="87"/>
      <c r="CP33" s="87"/>
      <c r="CQ33" s="87"/>
      <c r="CR33" s="87"/>
      <c r="CS33" s="138">
        <v>15</v>
      </c>
      <c r="CT33" s="259">
        <f t="shared" ca="1" si="29"/>
        <v>46640</v>
      </c>
      <c r="CU33" s="179">
        <f t="shared" ca="1" si="56"/>
        <v>1186.9837908213017</v>
      </c>
      <c r="CV33" s="179">
        <f t="shared" ca="1" si="56"/>
        <v>1196.3070351663098</v>
      </c>
      <c r="CW33" s="179">
        <f t="shared" ca="1" si="56"/>
        <v>1201.9383127503463</v>
      </c>
      <c r="CX33" s="179">
        <f t="shared" ca="1" si="56"/>
        <v>1207.5977699656837</v>
      </c>
      <c r="CY33" s="179">
        <f t="shared" ca="1" si="56"/>
        <v>1213.2855561985523</v>
      </c>
      <c r="CZ33" s="179">
        <f t="shared" ca="1" si="56"/>
        <v>1219.0018216715039</v>
      </c>
      <c r="DA33" s="179">
        <f t="shared" ca="1" si="56"/>
        <v>1222.8285616848382</v>
      </c>
      <c r="DB33" s="179">
        <f t="shared" ca="1" si="56"/>
        <v>1230.5203954392036</v>
      </c>
      <c r="DC33" s="179">
        <f t="shared" ca="1" si="56"/>
        <v>1234.3855796211151</v>
      </c>
      <c r="DD33" s="179">
        <f t="shared" ca="1" si="56"/>
        <v>1238.2636692482147</v>
      </c>
      <c r="DE33" s="179">
        <f t="shared" ca="1" si="30"/>
        <v>1242.1547099641109</v>
      </c>
      <c r="DF33" s="179" t="e">
        <f t="shared" ca="1" si="30"/>
        <v>#VALUE!</v>
      </c>
      <c r="DG33" s="179" t="e">
        <f t="shared" ca="1" si="30"/>
        <v>#VALUE!</v>
      </c>
      <c r="DH33" s="179" t="e">
        <f t="shared" ca="1" si="30"/>
        <v>#VALUE!</v>
      </c>
      <c r="DI33" s="179" t="e">
        <f t="shared" ca="1" si="30"/>
        <v>#VALUE!</v>
      </c>
      <c r="DJ33" s="179" t="e">
        <f t="shared" ca="1" si="30"/>
        <v>#VALUE!</v>
      </c>
      <c r="DK33" s="179" t="e">
        <f t="shared" ca="1" si="30"/>
        <v>#VALUE!</v>
      </c>
      <c r="DL33" s="179" t="e">
        <f t="shared" ca="1" si="31"/>
        <v>#VALUE!</v>
      </c>
      <c r="DM33" s="179" t="e">
        <f t="shared" ca="1" si="31"/>
        <v>#VALUE!</v>
      </c>
      <c r="DN33" s="179" t="e">
        <f t="shared" ca="1" si="31"/>
        <v>#VALUE!</v>
      </c>
      <c r="DO33" s="179" t="e">
        <f t="shared" ca="1" si="31"/>
        <v>#VALUE!</v>
      </c>
      <c r="DP33" s="179" t="e">
        <f t="shared" ca="1" si="31"/>
        <v>#VALUE!</v>
      </c>
      <c r="DQ33" s="179" t="e">
        <f t="shared" ca="1" si="31"/>
        <v>#VALUE!</v>
      </c>
      <c r="DR33" s="278">
        <v>15</v>
      </c>
      <c r="DS33" s="430">
        <f t="shared" ca="1" si="61"/>
        <v>46609</v>
      </c>
      <c r="DT33" s="180">
        <f t="shared" ca="1" si="57"/>
        <v>0</v>
      </c>
      <c r="DU33" s="180">
        <f t="shared" ca="1" si="57"/>
        <v>0</v>
      </c>
      <c r="DV33" s="180">
        <f t="shared" ca="1" si="57"/>
        <v>0</v>
      </c>
      <c r="DW33" s="180">
        <f t="shared" ca="1" si="57"/>
        <v>0</v>
      </c>
      <c r="DX33" s="180">
        <f t="shared" ca="1" si="57"/>
        <v>0</v>
      </c>
      <c r="DY33" s="180">
        <f t="shared" ca="1" si="57"/>
        <v>0</v>
      </c>
      <c r="DZ33" s="180">
        <f t="shared" ca="1" si="57"/>
        <v>0</v>
      </c>
      <c r="EA33" s="180">
        <f t="shared" ca="1" si="57"/>
        <v>0</v>
      </c>
      <c r="EB33" s="180">
        <f t="shared" ca="1" si="57"/>
        <v>0</v>
      </c>
      <c r="EC33" s="180">
        <f t="shared" ca="1" si="57"/>
        <v>0</v>
      </c>
      <c r="ED33" s="180">
        <f t="shared" ca="1" si="57"/>
        <v>0</v>
      </c>
      <c r="EE33" s="180">
        <f t="shared" ca="1" si="57"/>
        <v>0</v>
      </c>
      <c r="EF33" s="180">
        <f t="shared" ca="1" si="57"/>
        <v>0</v>
      </c>
      <c r="EG33" s="180">
        <f t="shared" ca="1" si="57"/>
        <v>0</v>
      </c>
      <c r="EH33" s="180">
        <f t="shared" ca="1" si="57"/>
        <v>0</v>
      </c>
      <c r="EI33" s="180">
        <f t="shared" ca="1" si="33"/>
        <v>0</v>
      </c>
      <c r="EJ33" s="180">
        <f t="shared" ca="1" si="33"/>
        <v>0</v>
      </c>
      <c r="EK33" s="180">
        <f t="shared" ca="1" si="33"/>
        <v>0</v>
      </c>
      <c r="EL33" s="180">
        <f t="shared" ca="1" si="33"/>
        <v>0</v>
      </c>
      <c r="EM33" s="180">
        <f t="shared" ca="1" si="33"/>
        <v>0</v>
      </c>
      <c r="EN33" s="180">
        <f t="shared" ca="1" si="33"/>
        <v>0</v>
      </c>
      <c r="EO33" s="180">
        <f t="shared" ca="1" si="33"/>
        <v>0</v>
      </c>
      <c r="EP33" s="180">
        <f t="shared" ca="1" si="33"/>
        <v>0</v>
      </c>
      <c r="EQ33" s="180"/>
      <c r="ER33" s="180"/>
    </row>
    <row r="34" spans="2:148" s="8" customFormat="1" ht="15.75" thickBot="1" x14ac:dyDescent="0.3">
      <c r="B34" s="151" t="str">
        <f t="shared" ca="1" si="62"/>
        <v>NÃO</v>
      </c>
      <c r="C34" s="146" t="str">
        <f t="shared" si="71"/>
        <v/>
      </c>
      <c r="D34" s="201">
        <v>7</v>
      </c>
      <c r="E34" s="25" t="str">
        <f t="shared" si="63"/>
        <v>INSS</v>
      </c>
      <c r="F34" s="627" t="str">
        <f>IFERROR(VLOOKUP(CONCATENATE(D34,E34),'Base tabelas'!$B:$K,10,FALSE),"")</f>
        <v xml:space="preserve">805977 - RFN - INSS 7   </v>
      </c>
      <c r="G34" s="628"/>
      <c r="H34" s="629"/>
      <c r="I34" s="45">
        <f>IFERROR(VLOOKUP(CONCATENATE(D34,E34),'Base tabelas'!$B:$E,4,FALSE),"")</f>
        <v>1.66E-2</v>
      </c>
      <c r="J34" s="34">
        <f t="shared" ca="1" si="64"/>
        <v>2.1334567625153775E-2</v>
      </c>
      <c r="K34" s="46">
        <f ca="1">IFERROR(DA163,"")</f>
        <v>74508.657870611176</v>
      </c>
      <c r="L34" s="46">
        <f t="shared" ca="1" si="65"/>
        <v>76500.429999999993</v>
      </c>
      <c r="M34" s="58">
        <f ca="1">IFERROR(DZ17*-1,"")</f>
        <v>-1931.3404855945632</v>
      </c>
      <c r="N34" s="59" t="str">
        <f t="shared" ca="1" si="66"/>
        <v>Não Libera Troco</v>
      </c>
      <c r="O34" s="69" t="str">
        <f t="shared" ca="1" si="67"/>
        <v/>
      </c>
      <c r="P34" s="302">
        <f>IFERROR(VLOOKUP(CONCATENATE(D34,E34),'Base tabelas'!$B:$O,14,FALSE),"")</f>
        <v>20</v>
      </c>
      <c r="Q34" s="186">
        <f ca="1">DZ167</f>
        <v>4.0132697165518039E-10</v>
      </c>
      <c r="R34" s="307" t="str">
        <f t="shared" ca="1" si="68"/>
        <v/>
      </c>
      <c r="S34" s="308">
        <f t="shared" ca="1" si="69"/>
        <v>3.9631038450949064E-10</v>
      </c>
      <c r="T34" s="309"/>
      <c r="U34" s="460">
        <f t="shared" ca="1" si="70"/>
        <v>0</v>
      </c>
      <c r="V34" s="497">
        <f t="shared" si="72"/>
        <v>0</v>
      </c>
      <c r="W34" s="98" t="e">
        <f ca="1">#REF!/M34-1</f>
        <v>#REF!</v>
      </c>
      <c r="X34" s="133">
        <v>16</v>
      </c>
      <c r="Y34" s="87">
        <f t="shared" ca="1" si="35"/>
        <v>67.81</v>
      </c>
      <c r="Z34" s="87">
        <f t="shared" ca="1" si="36"/>
        <v>70.569999999999993</v>
      </c>
      <c r="AA34" s="87">
        <f t="shared" ca="1" si="37"/>
        <v>1172.83</v>
      </c>
      <c r="AB34" s="87">
        <f t="shared" ca="1" si="38"/>
        <v>278.39999999999998</v>
      </c>
      <c r="AC34" s="87">
        <f t="shared" si="39"/>
        <v>0</v>
      </c>
      <c r="AD34" s="87">
        <f t="shared" si="40"/>
        <v>0</v>
      </c>
      <c r="AE34" s="87">
        <f t="shared" si="41"/>
        <v>0</v>
      </c>
      <c r="AF34" s="87">
        <f t="shared" si="42"/>
        <v>0</v>
      </c>
      <c r="AG34" s="87">
        <f t="shared" si="43"/>
        <v>0</v>
      </c>
      <c r="AH34" s="87">
        <f t="shared" si="44"/>
        <v>0</v>
      </c>
      <c r="AI34" s="87">
        <f t="shared" si="45"/>
        <v>0</v>
      </c>
      <c r="AJ34" s="87">
        <f t="shared" si="46"/>
        <v>0</v>
      </c>
      <c r="AK34" s="87">
        <f t="shared" si="47"/>
        <v>0</v>
      </c>
      <c r="AL34" s="87">
        <f t="shared" si="48"/>
        <v>0</v>
      </c>
      <c r="AM34" s="87">
        <f t="shared" si="49"/>
        <v>0</v>
      </c>
      <c r="AN34" s="87">
        <f t="shared" si="50"/>
        <v>0</v>
      </c>
      <c r="AO34" s="87">
        <f t="shared" si="51"/>
        <v>0</v>
      </c>
      <c r="AP34" s="133"/>
      <c r="AQ34" s="432">
        <v>16</v>
      </c>
      <c r="AR34" s="279">
        <f t="shared" ca="1" si="58"/>
        <v>46640</v>
      </c>
      <c r="AS34" s="429">
        <f t="shared" ca="1" si="10"/>
        <v>1589.6100000000001</v>
      </c>
      <c r="AT34" s="276"/>
      <c r="AU34" s="427">
        <v>16</v>
      </c>
      <c r="AV34" s="279">
        <f t="shared" ca="1" si="59"/>
        <v>46670</v>
      </c>
      <c r="AW34" s="433">
        <f t="shared" ca="1" si="52"/>
        <v>0</v>
      </c>
      <c r="AX34" s="202">
        <f t="shared" ca="1" si="53"/>
        <v>0</v>
      </c>
      <c r="AY34" s="427">
        <v>16</v>
      </c>
      <c r="AZ34" s="279">
        <f t="shared" ca="1" si="60"/>
        <v>46670</v>
      </c>
      <c r="BA34" s="433">
        <f t="shared" si="54"/>
        <v>1589.6100000000001</v>
      </c>
      <c r="BB34" s="259">
        <f t="shared" ca="1" si="11"/>
        <v>46640</v>
      </c>
      <c r="BC34" s="428">
        <f t="shared" ca="1" si="55"/>
        <v>0</v>
      </c>
      <c r="BD34" s="177">
        <f t="shared" si="12"/>
        <v>67.81</v>
      </c>
      <c r="BE34" s="177">
        <f t="shared" si="13"/>
        <v>70.569999999999993</v>
      </c>
      <c r="BF34" s="177">
        <f t="shared" si="14"/>
        <v>1172.83</v>
      </c>
      <c r="BG34" s="133">
        <f t="shared" si="15"/>
        <v>278.39999999999998</v>
      </c>
      <c r="BH34" s="133">
        <f t="shared" si="16"/>
        <v>0</v>
      </c>
      <c r="BI34" s="133">
        <f t="shared" si="17"/>
        <v>0</v>
      </c>
      <c r="BJ34" s="133">
        <f t="shared" si="18"/>
        <v>0</v>
      </c>
      <c r="BK34" s="133">
        <f t="shared" si="19"/>
        <v>0</v>
      </c>
      <c r="BL34" s="133">
        <f t="shared" si="20"/>
        <v>0</v>
      </c>
      <c r="BM34" s="133">
        <f t="shared" si="21"/>
        <v>0</v>
      </c>
      <c r="BN34" s="133">
        <f t="shared" si="22"/>
        <v>0</v>
      </c>
      <c r="BO34" s="133">
        <f t="shared" si="23"/>
        <v>0</v>
      </c>
      <c r="BP34" s="133">
        <f t="shared" si="24"/>
        <v>0</v>
      </c>
      <c r="BQ34" s="133">
        <f t="shared" si="25"/>
        <v>0</v>
      </c>
      <c r="BR34" s="133">
        <f t="shared" si="26"/>
        <v>0</v>
      </c>
      <c r="BS34" s="133">
        <f t="shared" si="27"/>
        <v>0</v>
      </c>
      <c r="BT34" s="133">
        <f t="shared" si="28"/>
        <v>0</v>
      </c>
      <c r="BU34" s="133"/>
      <c r="BV34" s="177"/>
      <c r="BW34" s="177"/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267"/>
      <c r="CI34" s="435"/>
      <c r="CJ34" s="436"/>
      <c r="CK34" s="437"/>
      <c r="CL34" s="133"/>
      <c r="CM34" s="64" t="s">
        <v>1046</v>
      </c>
      <c r="CN34" s="707">
        <v>54.666666666666664</v>
      </c>
      <c r="CO34" s="87"/>
      <c r="CP34" s="87"/>
      <c r="CQ34" s="87"/>
      <c r="CR34" s="87"/>
      <c r="CS34" s="87">
        <v>16</v>
      </c>
      <c r="CT34" s="259">
        <f t="shared" ca="1" si="29"/>
        <v>46670</v>
      </c>
      <c r="CU34" s="179">
        <f t="shared" ca="1" si="56"/>
        <v>1165.4234568692211</v>
      </c>
      <c r="CV34" s="179">
        <f t="shared" ca="1" si="56"/>
        <v>1175.1542585130744</v>
      </c>
      <c r="CW34" s="179">
        <f t="shared" ca="1" si="56"/>
        <v>1181.0340107598961</v>
      </c>
      <c r="CX34" s="179">
        <f t="shared" ca="1" si="56"/>
        <v>1186.9449282147471</v>
      </c>
      <c r="CY34" s="179">
        <f t="shared" ca="1" si="56"/>
        <v>1192.8871853294193</v>
      </c>
      <c r="CZ34" s="179">
        <f t="shared" ca="1" si="56"/>
        <v>1198.8609575840912</v>
      </c>
      <c r="DA34" s="179">
        <f t="shared" ca="1" si="56"/>
        <v>1202.861067956756</v>
      </c>
      <c r="DB34" s="179">
        <f t="shared" ca="1" si="56"/>
        <v>1210.9037546144493</v>
      </c>
      <c r="DC34" s="179">
        <f t="shared" ca="1" si="56"/>
        <v>1214.9464366349557</v>
      </c>
      <c r="DD34" s="179">
        <f t="shared" ca="1" si="56"/>
        <v>1219.0034152866851</v>
      </c>
      <c r="DE34" s="179">
        <f t="shared" ca="1" si="30"/>
        <v>1223.0747439583602</v>
      </c>
      <c r="DF34" s="179" t="e">
        <f t="shared" ca="1" si="30"/>
        <v>#VALUE!</v>
      </c>
      <c r="DG34" s="179" t="e">
        <f t="shared" ca="1" si="30"/>
        <v>#VALUE!</v>
      </c>
      <c r="DH34" s="179" t="e">
        <f t="shared" ca="1" si="30"/>
        <v>#VALUE!</v>
      </c>
      <c r="DI34" s="179" t="e">
        <f t="shared" ca="1" si="30"/>
        <v>#VALUE!</v>
      </c>
      <c r="DJ34" s="179" t="e">
        <f t="shared" ca="1" si="30"/>
        <v>#VALUE!</v>
      </c>
      <c r="DK34" s="179" t="e">
        <f t="shared" ca="1" si="30"/>
        <v>#VALUE!</v>
      </c>
      <c r="DL34" s="179" t="e">
        <f t="shared" ca="1" si="31"/>
        <v>#VALUE!</v>
      </c>
      <c r="DM34" s="179" t="e">
        <f t="shared" ca="1" si="31"/>
        <v>#VALUE!</v>
      </c>
      <c r="DN34" s="179" t="e">
        <f t="shared" ca="1" si="31"/>
        <v>#VALUE!</v>
      </c>
      <c r="DO34" s="179" t="e">
        <f t="shared" ca="1" si="31"/>
        <v>#VALUE!</v>
      </c>
      <c r="DP34" s="179" t="e">
        <f t="shared" ca="1" si="31"/>
        <v>#VALUE!</v>
      </c>
      <c r="DQ34" s="179" t="e">
        <f t="shared" ca="1" si="31"/>
        <v>#VALUE!</v>
      </c>
      <c r="DR34" s="188">
        <v>16</v>
      </c>
      <c r="DS34" s="430">
        <f t="shared" ca="1" si="61"/>
        <v>46640</v>
      </c>
      <c r="DT34" s="180">
        <f t="shared" ca="1" si="57"/>
        <v>0</v>
      </c>
      <c r="DU34" s="180">
        <f t="shared" ca="1" si="57"/>
        <v>0</v>
      </c>
      <c r="DV34" s="180">
        <f t="shared" ca="1" si="57"/>
        <v>0</v>
      </c>
      <c r="DW34" s="180">
        <f t="shared" ca="1" si="57"/>
        <v>0</v>
      </c>
      <c r="DX34" s="180">
        <f t="shared" ca="1" si="57"/>
        <v>0</v>
      </c>
      <c r="DY34" s="180">
        <f t="shared" ca="1" si="57"/>
        <v>0</v>
      </c>
      <c r="DZ34" s="180">
        <f t="shared" ca="1" si="57"/>
        <v>0</v>
      </c>
      <c r="EA34" s="180">
        <f t="shared" ca="1" si="57"/>
        <v>0</v>
      </c>
      <c r="EB34" s="180">
        <f t="shared" ca="1" si="57"/>
        <v>0</v>
      </c>
      <c r="EC34" s="180">
        <f t="shared" ca="1" si="57"/>
        <v>0</v>
      </c>
      <c r="ED34" s="180">
        <f t="shared" ca="1" si="57"/>
        <v>0</v>
      </c>
      <c r="EE34" s="180">
        <f t="shared" ca="1" si="57"/>
        <v>0</v>
      </c>
      <c r="EF34" s="180">
        <f t="shared" ca="1" si="57"/>
        <v>0</v>
      </c>
      <c r="EG34" s="180">
        <f t="shared" ca="1" si="57"/>
        <v>0</v>
      </c>
      <c r="EH34" s="180">
        <f t="shared" ca="1" si="57"/>
        <v>0</v>
      </c>
      <c r="EI34" s="180">
        <f t="shared" ca="1" si="33"/>
        <v>0</v>
      </c>
      <c r="EJ34" s="180">
        <f t="shared" ca="1" si="33"/>
        <v>0</v>
      </c>
      <c r="EK34" s="180">
        <f t="shared" ca="1" si="33"/>
        <v>0</v>
      </c>
      <c r="EL34" s="180">
        <f t="shared" ca="1" si="33"/>
        <v>0</v>
      </c>
      <c r="EM34" s="180">
        <f t="shared" ca="1" si="33"/>
        <v>0</v>
      </c>
      <c r="EN34" s="180">
        <f t="shared" ca="1" si="33"/>
        <v>0</v>
      </c>
      <c r="EO34" s="180">
        <f t="shared" ca="1" si="33"/>
        <v>0</v>
      </c>
      <c r="EP34" s="180">
        <f t="shared" ca="1" si="33"/>
        <v>0</v>
      </c>
      <c r="EQ34" s="180"/>
      <c r="ER34" s="180"/>
    </row>
    <row r="35" spans="2:148" s="8" customFormat="1" ht="15.75" thickBot="1" x14ac:dyDescent="0.3">
      <c r="B35" s="151" t="str">
        <f t="shared" si="62"/>
        <v>NÃO</v>
      </c>
      <c r="C35" s="146" t="str">
        <f t="shared" si="71"/>
        <v/>
      </c>
      <c r="D35" s="201">
        <v>8</v>
      </c>
      <c r="E35" s="25" t="str">
        <f t="shared" si="63"/>
        <v>INSS</v>
      </c>
      <c r="F35" s="627" t="str">
        <f>IFERROR(VLOOKUP(CONCATENATE(D35,E35),'Base tabelas'!$B:$K,10,FALSE),"")</f>
        <v xml:space="preserve">805978 - RFN - INSS 10K 8   </v>
      </c>
      <c r="G35" s="628"/>
      <c r="H35" s="629"/>
      <c r="I35" s="45">
        <f>IFERROR(VLOOKUP(CONCATENATE(D35,E35),'Base tabelas'!$B:$E,4,FALSE),"")</f>
        <v>1.6200000000000003E-2</v>
      </c>
      <c r="J35" s="34">
        <f t="shared" ca="1" si="64"/>
        <v>2.1021470982760804E-2</v>
      </c>
      <c r="K35" s="46">
        <f ca="1">IFERROR(DB163,"")</f>
        <v>75618.399935171066</v>
      </c>
      <c r="L35" s="46">
        <f t="shared" ca="1" si="65"/>
        <v>76500.429999999993</v>
      </c>
      <c r="M35" s="58">
        <f ca="1">IFERROR(EA17*-1,"")</f>
        <v>-855.26870698729419</v>
      </c>
      <c r="N35" s="59" t="str">
        <f t="shared" ca="1" si="66"/>
        <v>Não Libera Troco</v>
      </c>
      <c r="O35" s="69" t="str">
        <f t="shared" ca="1" si="67"/>
        <v/>
      </c>
      <c r="P35" s="302">
        <f>IFERROR(VLOOKUP(CONCATENATE(D35,E35),'Base tabelas'!$B:$O,14,FALSE),"")</f>
        <v>10000</v>
      </c>
      <c r="Q35" s="186">
        <f ca="1">EA167</f>
        <v>4.0132697165518039E-10</v>
      </c>
      <c r="R35" s="307" t="str">
        <f t="shared" ca="1" si="68"/>
        <v/>
      </c>
      <c r="S35" s="308">
        <f t="shared" ca="1" si="69"/>
        <v>3.9631038450949064E-10</v>
      </c>
      <c r="T35" s="309"/>
      <c r="U35" s="460">
        <f t="shared" ca="1" si="70"/>
        <v>0</v>
      </c>
      <c r="V35" s="497">
        <f t="shared" si="72"/>
        <v>0</v>
      </c>
      <c r="W35" s="98" t="e">
        <f ca="1">#REF!/M35-1</f>
        <v>#REF!</v>
      </c>
      <c r="X35" s="133">
        <v>17</v>
      </c>
      <c r="Y35" s="87">
        <f t="shared" ca="1" si="35"/>
        <v>67.81</v>
      </c>
      <c r="Z35" s="87">
        <f t="shared" ca="1" si="36"/>
        <v>70.569999999999993</v>
      </c>
      <c r="AA35" s="87">
        <f t="shared" ca="1" si="37"/>
        <v>1172.83</v>
      </c>
      <c r="AB35" s="87">
        <f t="shared" ca="1" si="38"/>
        <v>278.39999999999998</v>
      </c>
      <c r="AC35" s="87">
        <f t="shared" si="39"/>
        <v>0</v>
      </c>
      <c r="AD35" s="87">
        <f t="shared" si="40"/>
        <v>0</v>
      </c>
      <c r="AE35" s="87">
        <f t="shared" si="41"/>
        <v>0</v>
      </c>
      <c r="AF35" s="87">
        <f t="shared" si="42"/>
        <v>0</v>
      </c>
      <c r="AG35" s="87">
        <f t="shared" si="43"/>
        <v>0</v>
      </c>
      <c r="AH35" s="87">
        <f t="shared" si="44"/>
        <v>0</v>
      </c>
      <c r="AI35" s="87">
        <f t="shared" si="45"/>
        <v>0</v>
      </c>
      <c r="AJ35" s="87">
        <f t="shared" si="46"/>
        <v>0</v>
      </c>
      <c r="AK35" s="87">
        <f t="shared" si="47"/>
        <v>0</v>
      </c>
      <c r="AL35" s="87">
        <f t="shared" si="48"/>
        <v>0</v>
      </c>
      <c r="AM35" s="87">
        <f t="shared" si="49"/>
        <v>0</v>
      </c>
      <c r="AN35" s="87">
        <f t="shared" si="50"/>
        <v>0</v>
      </c>
      <c r="AO35" s="87">
        <f t="shared" si="51"/>
        <v>0</v>
      </c>
      <c r="AP35" s="133"/>
      <c r="AQ35" s="432">
        <v>17</v>
      </c>
      <c r="AR35" s="279">
        <f t="shared" ca="1" si="58"/>
        <v>46670</v>
      </c>
      <c r="AS35" s="429">
        <f t="shared" ca="1" si="10"/>
        <v>1589.6100000000001</v>
      </c>
      <c r="AT35" s="276"/>
      <c r="AU35" s="427">
        <v>17</v>
      </c>
      <c r="AV35" s="279">
        <f t="shared" ca="1" si="59"/>
        <v>46701</v>
      </c>
      <c r="AW35" s="433">
        <f t="shared" ca="1" si="52"/>
        <v>0</v>
      </c>
      <c r="AX35" s="202">
        <f t="shared" ca="1" si="53"/>
        <v>0</v>
      </c>
      <c r="AY35" s="427">
        <v>17</v>
      </c>
      <c r="AZ35" s="279">
        <f t="shared" ca="1" si="60"/>
        <v>46701</v>
      </c>
      <c r="BA35" s="433">
        <f t="shared" si="54"/>
        <v>1589.6100000000001</v>
      </c>
      <c r="BB35" s="259">
        <f t="shared" ca="1" si="11"/>
        <v>46670</v>
      </c>
      <c r="BC35" s="428">
        <f t="shared" ca="1" si="55"/>
        <v>0</v>
      </c>
      <c r="BD35" s="177">
        <f t="shared" si="12"/>
        <v>67.81</v>
      </c>
      <c r="BE35" s="177">
        <f t="shared" si="13"/>
        <v>70.569999999999993</v>
      </c>
      <c r="BF35" s="177">
        <f t="shared" si="14"/>
        <v>1172.83</v>
      </c>
      <c r="BG35" s="133">
        <f t="shared" si="15"/>
        <v>278.39999999999998</v>
      </c>
      <c r="BH35" s="133">
        <f t="shared" si="16"/>
        <v>0</v>
      </c>
      <c r="BI35" s="133">
        <f t="shared" si="17"/>
        <v>0</v>
      </c>
      <c r="BJ35" s="133">
        <f t="shared" si="18"/>
        <v>0</v>
      </c>
      <c r="BK35" s="133">
        <f t="shared" si="19"/>
        <v>0</v>
      </c>
      <c r="BL35" s="133">
        <f t="shared" si="20"/>
        <v>0</v>
      </c>
      <c r="BM35" s="133">
        <f t="shared" si="21"/>
        <v>0</v>
      </c>
      <c r="BN35" s="133">
        <f t="shared" si="22"/>
        <v>0</v>
      </c>
      <c r="BO35" s="133">
        <f t="shared" si="23"/>
        <v>0</v>
      </c>
      <c r="BP35" s="133">
        <f t="shared" si="24"/>
        <v>0</v>
      </c>
      <c r="BQ35" s="133">
        <f t="shared" si="25"/>
        <v>0</v>
      </c>
      <c r="BR35" s="133">
        <f t="shared" si="26"/>
        <v>0</v>
      </c>
      <c r="BS35" s="133">
        <f t="shared" si="27"/>
        <v>0</v>
      </c>
      <c r="BT35" s="133">
        <f t="shared" si="28"/>
        <v>0</v>
      </c>
      <c r="BU35" s="133"/>
      <c r="BV35" s="177"/>
      <c r="BW35" s="177"/>
      <c r="BX35" s="267"/>
      <c r="BY35" s="267"/>
      <c r="BZ35" s="267"/>
      <c r="CA35" s="267"/>
      <c r="CB35" s="267"/>
      <c r="CC35" s="267"/>
      <c r="CD35" s="267"/>
      <c r="CE35" s="267"/>
      <c r="CF35" s="267"/>
      <c r="CG35" s="267"/>
      <c r="CH35" s="267"/>
      <c r="CI35" s="435"/>
      <c r="CJ35" s="436"/>
      <c r="CK35" s="437"/>
      <c r="CL35" s="133"/>
      <c r="CM35" s="64" t="s">
        <v>74</v>
      </c>
      <c r="CN35" s="707">
        <v>53</v>
      </c>
      <c r="CO35" s="87"/>
      <c r="CP35" s="87"/>
      <c r="CQ35" s="87"/>
      <c r="CR35" s="87"/>
      <c r="CS35" s="178">
        <v>17</v>
      </c>
      <c r="CT35" s="259">
        <f t="shared" ca="1" si="29"/>
        <v>46701</v>
      </c>
      <c r="CU35" s="179">
        <f t="shared" ca="1" si="56"/>
        <v>1143.5557815309194</v>
      </c>
      <c r="CV35" s="179">
        <f t="shared" ca="1" si="56"/>
        <v>1153.6892381093371</v>
      </c>
      <c r="CW35" s="179">
        <f t="shared" ca="1" si="56"/>
        <v>1159.8147760504846</v>
      </c>
      <c r="CX35" s="179">
        <f t="shared" ca="1" si="56"/>
        <v>1165.9746580359961</v>
      </c>
      <c r="CY35" s="179">
        <f t="shared" ca="1" si="56"/>
        <v>1172.1690868348671</v>
      </c>
      <c r="CZ35" s="179">
        <f t="shared" ca="1" si="56"/>
        <v>1178.3982664735686</v>
      </c>
      <c r="DA35" s="179">
        <f t="shared" ca="1" si="56"/>
        <v>1182.5704602480018</v>
      </c>
      <c r="DB35" s="179">
        <f t="shared" ca="1" si="56"/>
        <v>1190.9617007129252</v>
      </c>
      <c r="DC35" s="179">
        <f t="shared" ca="1" si="56"/>
        <v>1195.1808704456755</v>
      </c>
      <c r="DD35" s="179">
        <f t="shared" ca="1" si="56"/>
        <v>1199.4158222975839</v>
      </c>
      <c r="DE35" s="179">
        <f t="shared" ref="DE35:DQ50" ca="1" si="73">(($AW35/(1+DE$18)^(($AZ35-$AZ$18)/30)))+($AS35/(1+DE$18)^(($AZ35-$AZ$18)/30))</f>
        <v>1203.6666184276232</v>
      </c>
      <c r="DF35" s="179" t="e">
        <f t="shared" ca="1" si="73"/>
        <v>#VALUE!</v>
      </c>
      <c r="DG35" s="179" t="e">
        <f t="shared" ca="1" si="73"/>
        <v>#VALUE!</v>
      </c>
      <c r="DH35" s="179" t="e">
        <f t="shared" ca="1" si="73"/>
        <v>#VALUE!</v>
      </c>
      <c r="DI35" s="179" t="e">
        <f t="shared" ca="1" si="73"/>
        <v>#VALUE!</v>
      </c>
      <c r="DJ35" s="179" t="e">
        <f t="shared" ca="1" si="73"/>
        <v>#VALUE!</v>
      </c>
      <c r="DK35" s="179" t="e">
        <f t="shared" ca="1" si="73"/>
        <v>#VALUE!</v>
      </c>
      <c r="DL35" s="179" t="e">
        <f t="shared" ca="1" si="73"/>
        <v>#VALUE!</v>
      </c>
      <c r="DM35" s="179" t="e">
        <f t="shared" ca="1" si="73"/>
        <v>#VALUE!</v>
      </c>
      <c r="DN35" s="179" t="e">
        <f t="shared" ca="1" si="73"/>
        <v>#VALUE!</v>
      </c>
      <c r="DO35" s="179" t="e">
        <f t="shared" ca="1" si="73"/>
        <v>#VALUE!</v>
      </c>
      <c r="DP35" s="179" t="e">
        <f t="shared" ca="1" si="73"/>
        <v>#VALUE!</v>
      </c>
      <c r="DQ35" s="179" t="e">
        <f t="shared" ca="1" si="73"/>
        <v>#VALUE!</v>
      </c>
      <c r="DR35" s="431">
        <v>17</v>
      </c>
      <c r="DS35" s="430">
        <f t="shared" ca="1" si="61"/>
        <v>46670</v>
      </c>
      <c r="DT35" s="180">
        <f t="shared" ca="1" si="57"/>
        <v>0</v>
      </c>
      <c r="DU35" s="180">
        <f t="shared" ca="1" si="57"/>
        <v>0</v>
      </c>
      <c r="DV35" s="180">
        <f t="shared" ca="1" si="57"/>
        <v>0</v>
      </c>
      <c r="DW35" s="180">
        <f t="shared" ca="1" si="57"/>
        <v>0</v>
      </c>
      <c r="DX35" s="180">
        <f t="shared" ca="1" si="57"/>
        <v>0</v>
      </c>
      <c r="DY35" s="180">
        <f t="shared" ca="1" si="57"/>
        <v>0</v>
      </c>
      <c r="DZ35" s="180">
        <f t="shared" ca="1" si="57"/>
        <v>0</v>
      </c>
      <c r="EA35" s="180">
        <f t="shared" ca="1" si="57"/>
        <v>0</v>
      </c>
      <c r="EB35" s="180">
        <f t="shared" ca="1" si="57"/>
        <v>0</v>
      </c>
      <c r="EC35" s="180">
        <f t="shared" ca="1" si="57"/>
        <v>0</v>
      </c>
      <c r="ED35" s="180">
        <f t="shared" ca="1" si="57"/>
        <v>0</v>
      </c>
      <c r="EE35" s="180">
        <f t="shared" ca="1" si="57"/>
        <v>0</v>
      </c>
      <c r="EF35" s="180">
        <f t="shared" ca="1" si="57"/>
        <v>0</v>
      </c>
      <c r="EG35" s="180">
        <f t="shared" ca="1" si="57"/>
        <v>0</v>
      </c>
      <c r="EH35" s="180">
        <f t="shared" ca="1" si="57"/>
        <v>0</v>
      </c>
      <c r="EI35" s="180">
        <f t="shared" ca="1" si="57"/>
        <v>0</v>
      </c>
      <c r="EJ35" s="180">
        <f t="shared" ref="EI35:EP60" ca="1" si="74">IFERROR(VLOOKUP($DS35,$AZ$19:$BA$162,2,FALSE),0)-IFERROR(VLOOKUP($DS35,$AR$19:$AS$162,2,FALSE),0)</f>
        <v>0</v>
      </c>
      <c r="EK35" s="180">
        <f t="shared" ca="1" si="74"/>
        <v>0</v>
      </c>
      <c r="EL35" s="180">
        <f t="shared" ca="1" si="74"/>
        <v>0</v>
      </c>
      <c r="EM35" s="180">
        <f t="shared" ca="1" si="74"/>
        <v>0</v>
      </c>
      <c r="EN35" s="180">
        <f t="shared" ca="1" si="74"/>
        <v>0</v>
      </c>
      <c r="EO35" s="180">
        <f t="shared" ca="1" si="74"/>
        <v>0</v>
      </c>
      <c r="EP35" s="180">
        <f t="shared" ca="1" si="74"/>
        <v>0</v>
      </c>
      <c r="EQ35" s="180"/>
      <c r="ER35" s="180"/>
    </row>
    <row r="36" spans="2:148" s="8" customFormat="1" ht="15.75" thickBot="1" x14ac:dyDescent="0.3">
      <c r="B36" s="156"/>
      <c r="D36" s="201">
        <v>9</v>
      </c>
      <c r="E36" s="25" t="str">
        <f t="shared" si="63"/>
        <v>INSS</v>
      </c>
      <c r="F36" s="627" t="str">
        <f>IFERROR(VLOOKUP(CONCATENATE(D36,E36),'Base tabelas'!$B:$K,10,FALSE),"")</f>
        <v xml:space="preserve">805979 - RFN - INSS 15K 9   </v>
      </c>
      <c r="G36" s="628"/>
      <c r="H36" s="629"/>
      <c r="I36" s="45">
        <f>IFERROR(VLOOKUP(CONCATENATE(D36,E36),'Base tabelas'!$B:$E,4,FALSE),"")</f>
        <v>1.6E-2</v>
      </c>
      <c r="J36" s="34">
        <f t="shared" ca="1" si="64"/>
        <v>2.0865753644583158E-2</v>
      </c>
      <c r="K36" s="46">
        <f ca="1">IFERROR(DC163,"")</f>
        <v>76182.726350393292</v>
      </c>
      <c r="L36" s="46">
        <f t="shared" ca="1" si="65"/>
        <v>76500.429999999993</v>
      </c>
      <c r="M36" s="58">
        <f ca="1">IFERROR(EB17*-1,"")</f>
        <v>-308.06431712389457</v>
      </c>
      <c r="N36" s="59" t="str">
        <f t="shared" ca="1" si="66"/>
        <v>Não Libera Troco</v>
      </c>
      <c r="O36" s="69" t="str">
        <f t="shared" ca="1" si="67"/>
        <v/>
      </c>
      <c r="P36" s="302">
        <f>IFERROR(VLOOKUP(CONCATENATE(D36,E36),'Base tabelas'!$B:$O,14,FALSE),"")</f>
        <v>15000</v>
      </c>
      <c r="Q36" s="186">
        <f ca="1">EB167</f>
        <v>4.0132697165518039E-10</v>
      </c>
      <c r="R36" s="307" t="str">
        <f t="shared" ca="1" si="68"/>
        <v/>
      </c>
      <c r="S36" s="308">
        <f t="shared" ca="1" si="69"/>
        <v>3.9631038450949064E-10</v>
      </c>
      <c r="T36" s="309"/>
      <c r="U36" s="460">
        <f t="shared" ca="1" si="70"/>
        <v>0</v>
      </c>
      <c r="V36" s="497">
        <f t="shared" si="72"/>
        <v>0</v>
      </c>
      <c r="W36" s="98" t="e">
        <f ca="1">#REF!/M36-1</f>
        <v>#REF!</v>
      </c>
      <c r="X36" s="133">
        <v>18</v>
      </c>
      <c r="Y36" s="87">
        <f t="shared" ca="1" si="35"/>
        <v>67.81</v>
      </c>
      <c r="Z36" s="87">
        <f t="shared" ca="1" si="36"/>
        <v>70.569999999999993</v>
      </c>
      <c r="AA36" s="87">
        <f t="shared" ca="1" si="37"/>
        <v>1172.83</v>
      </c>
      <c r="AB36" s="87">
        <f t="shared" ca="1" si="38"/>
        <v>278.39999999999998</v>
      </c>
      <c r="AC36" s="87">
        <f t="shared" si="39"/>
        <v>0</v>
      </c>
      <c r="AD36" s="87">
        <f t="shared" si="40"/>
        <v>0</v>
      </c>
      <c r="AE36" s="87">
        <f t="shared" si="41"/>
        <v>0</v>
      </c>
      <c r="AF36" s="87">
        <f t="shared" si="42"/>
        <v>0</v>
      </c>
      <c r="AG36" s="87">
        <f t="shared" si="43"/>
        <v>0</v>
      </c>
      <c r="AH36" s="87">
        <f t="shared" si="44"/>
        <v>0</v>
      </c>
      <c r="AI36" s="87">
        <f t="shared" si="45"/>
        <v>0</v>
      </c>
      <c r="AJ36" s="87">
        <f t="shared" si="46"/>
        <v>0</v>
      </c>
      <c r="AK36" s="87">
        <f t="shared" si="47"/>
        <v>0</v>
      </c>
      <c r="AL36" s="87">
        <f t="shared" si="48"/>
        <v>0</v>
      </c>
      <c r="AM36" s="87">
        <f t="shared" si="49"/>
        <v>0</v>
      </c>
      <c r="AN36" s="87">
        <f t="shared" si="50"/>
        <v>0</v>
      </c>
      <c r="AO36" s="87">
        <f t="shared" si="51"/>
        <v>0</v>
      </c>
      <c r="AP36" s="133"/>
      <c r="AQ36" s="432">
        <v>18</v>
      </c>
      <c r="AR36" s="279">
        <f t="shared" ca="1" si="58"/>
        <v>46701</v>
      </c>
      <c r="AS36" s="429">
        <f t="shared" ca="1" si="10"/>
        <v>1589.6100000000001</v>
      </c>
      <c r="AT36" s="276"/>
      <c r="AU36" s="427">
        <v>18</v>
      </c>
      <c r="AV36" s="279">
        <f t="shared" ca="1" si="59"/>
        <v>46731</v>
      </c>
      <c r="AW36" s="433">
        <f t="shared" ca="1" si="52"/>
        <v>0</v>
      </c>
      <c r="AX36" s="202">
        <f t="shared" ca="1" si="53"/>
        <v>0</v>
      </c>
      <c r="AY36" s="427">
        <v>18</v>
      </c>
      <c r="AZ36" s="279">
        <f t="shared" ca="1" si="60"/>
        <v>46731</v>
      </c>
      <c r="BA36" s="433">
        <f t="shared" si="54"/>
        <v>1589.6100000000001</v>
      </c>
      <c r="BB36" s="259">
        <f t="shared" ca="1" si="11"/>
        <v>46701</v>
      </c>
      <c r="BC36" s="428">
        <f t="shared" ca="1" si="55"/>
        <v>0</v>
      </c>
      <c r="BD36" s="177">
        <f t="shared" si="12"/>
        <v>67.81</v>
      </c>
      <c r="BE36" s="177">
        <f t="shared" si="13"/>
        <v>70.569999999999993</v>
      </c>
      <c r="BF36" s="177">
        <f t="shared" si="14"/>
        <v>1172.83</v>
      </c>
      <c r="BG36" s="133">
        <f t="shared" si="15"/>
        <v>278.39999999999998</v>
      </c>
      <c r="BH36" s="133">
        <f t="shared" si="16"/>
        <v>0</v>
      </c>
      <c r="BI36" s="133">
        <f t="shared" si="17"/>
        <v>0</v>
      </c>
      <c r="BJ36" s="133">
        <f t="shared" si="18"/>
        <v>0</v>
      </c>
      <c r="BK36" s="133">
        <f t="shared" si="19"/>
        <v>0</v>
      </c>
      <c r="BL36" s="133">
        <f t="shared" si="20"/>
        <v>0</v>
      </c>
      <c r="BM36" s="133">
        <f t="shared" si="21"/>
        <v>0</v>
      </c>
      <c r="BN36" s="133">
        <f t="shared" si="22"/>
        <v>0</v>
      </c>
      <c r="BO36" s="133">
        <f t="shared" si="23"/>
        <v>0</v>
      </c>
      <c r="BP36" s="133">
        <f t="shared" si="24"/>
        <v>0</v>
      </c>
      <c r="BQ36" s="133">
        <f t="shared" si="25"/>
        <v>0</v>
      </c>
      <c r="BR36" s="133">
        <f t="shared" si="26"/>
        <v>0</v>
      </c>
      <c r="BS36" s="133">
        <f t="shared" si="27"/>
        <v>0</v>
      </c>
      <c r="BT36" s="133">
        <f t="shared" si="28"/>
        <v>0</v>
      </c>
      <c r="BU36" s="133"/>
      <c r="BV36" s="177"/>
      <c r="BW36" s="177"/>
      <c r="BX36" s="267"/>
      <c r="BY36" s="267"/>
      <c r="BZ36" s="267"/>
      <c r="CA36" s="267"/>
      <c r="CB36" s="267"/>
      <c r="CC36" s="267"/>
      <c r="CD36" s="267"/>
      <c r="CE36" s="267"/>
      <c r="CF36" s="267"/>
      <c r="CG36" s="267"/>
      <c r="CH36" s="267"/>
      <c r="CI36" s="435"/>
      <c r="CJ36" s="436"/>
      <c r="CK36" s="437"/>
      <c r="CL36" s="133"/>
      <c r="CM36" s="64" t="s">
        <v>216</v>
      </c>
      <c r="CN36" s="707">
        <v>50.083333333333336</v>
      </c>
      <c r="CO36" s="87"/>
      <c r="CP36" s="87"/>
      <c r="CQ36" s="87"/>
      <c r="CR36" s="87"/>
      <c r="CS36" s="138">
        <v>18</v>
      </c>
      <c r="CT36" s="259">
        <f t="shared" ca="1" si="29"/>
        <v>46731</v>
      </c>
      <c r="CU36" s="179">
        <f t="shared" ca="1" si="56"/>
        <v>1122.7842724898571</v>
      </c>
      <c r="CV36" s="179">
        <f t="shared" ca="1" si="56"/>
        <v>1133.2900177891327</v>
      </c>
      <c r="CW36" s="179">
        <f t="shared" ca="1" si="56"/>
        <v>1139.6430932990907</v>
      </c>
      <c r="CX36" s="179">
        <f t="shared" ca="1" si="56"/>
        <v>1146.0336721407471</v>
      </c>
      <c r="CY36" s="179">
        <f t="shared" ca="1" si="56"/>
        <v>1152.4619868595687</v>
      </c>
      <c r="CZ36" s="179">
        <f t="shared" ca="1" si="56"/>
        <v>1158.9282715121644</v>
      </c>
      <c r="DA36" s="179">
        <f t="shared" ca="1" si="56"/>
        <v>1163.260338626797</v>
      </c>
      <c r="DB36" s="179">
        <f t="shared" ca="1" si="56"/>
        <v>1171.9756944626306</v>
      </c>
      <c r="DC36" s="179">
        <f t="shared" ca="1" si="56"/>
        <v>1176.359124454405</v>
      </c>
      <c r="DD36" s="179">
        <f t="shared" ca="1" si="56"/>
        <v>1180.7598171860443</v>
      </c>
      <c r="DE36" s="179">
        <f t="shared" ca="1" si="73"/>
        <v>1185.1778440602827</v>
      </c>
      <c r="DF36" s="179" t="e">
        <f t="shared" ca="1" si="73"/>
        <v>#VALUE!</v>
      </c>
      <c r="DG36" s="179" t="e">
        <f t="shared" ca="1" si="73"/>
        <v>#VALUE!</v>
      </c>
      <c r="DH36" s="179" t="e">
        <f t="shared" ca="1" si="73"/>
        <v>#VALUE!</v>
      </c>
      <c r="DI36" s="179" t="e">
        <f t="shared" ca="1" si="73"/>
        <v>#VALUE!</v>
      </c>
      <c r="DJ36" s="179" t="e">
        <f t="shared" ca="1" si="73"/>
        <v>#VALUE!</v>
      </c>
      <c r="DK36" s="179" t="e">
        <f t="shared" ca="1" si="73"/>
        <v>#VALUE!</v>
      </c>
      <c r="DL36" s="179" t="e">
        <f t="shared" ca="1" si="73"/>
        <v>#VALUE!</v>
      </c>
      <c r="DM36" s="179" t="e">
        <f t="shared" ca="1" si="73"/>
        <v>#VALUE!</v>
      </c>
      <c r="DN36" s="179" t="e">
        <f t="shared" ca="1" si="73"/>
        <v>#VALUE!</v>
      </c>
      <c r="DO36" s="179" t="e">
        <f t="shared" ca="1" si="73"/>
        <v>#VALUE!</v>
      </c>
      <c r="DP36" s="179" t="e">
        <f t="shared" ca="1" si="73"/>
        <v>#VALUE!</v>
      </c>
      <c r="DQ36" s="179" t="e">
        <f t="shared" ca="1" si="73"/>
        <v>#VALUE!</v>
      </c>
      <c r="DR36" s="278">
        <v>18</v>
      </c>
      <c r="DS36" s="430">
        <f t="shared" ca="1" si="61"/>
        <v>46701</v>
      </c>
      <c r="DT36" s="180">
        <f t="shared" ca="1" si="57"/>
        <v>0</v>
      </c>
      <c r="DU36" s="180">
        <f t="shared" ca="1" si="57"/>
        <v>0</v>
      </c>
      <c r="DV36" s="180">
        <f t="shared" ca="1" si="57"/>
        <v>0</v>
      </c>
      <c r="DW36" s="180">
        <f t="shared" ca="1" si="57"/>
        <v>0</v>
      </c>
      <c r="DX36" s="180">
        <f t="shared" ca="1" si="57"/>
        <v>0</v>
      </c>
      <c r="DY36" s="180">
        <f t="shared" ca="1" si="57"/>
        <v>0</v>
      </c>
      <c r="DZ36" s="180">
        <f t="shared" ca="1" si="57"/>
        <v>0</v>
      </c>
      <c r="EA36" s="180">
        <f t="shared" ca="1" si="57"/>
        <v>0</v>
      </c>
      <c r="EB36" s="180">
        <f t="shared" ca="1" si="57"/>
        <v>0</v>
      </c>
      <c r="EC36" s="180">
        <f t="shared" ca="1" si="57"/>
        <v>0</v>
      </c>
      <c r="ED36" s="180">
        <f t="shared" ca="1" si="57"/>
        <v>0</v>
      </c>
      <c r="EE36" s="180">
        <f t="shared" ca="1" si="57"/>
        <v>0</v>
      </c>
      <c r="EF36" s="180">
        <f t="shared" ca="1" si="57"/>
        <v>0</v>
      </c>
      <c r="EG36" s="180">
        <f t="shared" ca="1" si="57"/>
        <v>0</v>
      </c>
      <c r="EH36" s="180">
        <f t="shared" ref="EH36:EH99" ca="1" si="75">IFERROR(VLOOKUP($DS36,$AZ$19:$BA$162,2,FALSE),0)-IFERROR(VLOOKUP($DS36,$AR$19:$AS$162,2,FALSE),0)</f>
        <v>0</v>
      </c>
      <c r="EI36" s="180">
        <f t="shared" ca="1" si="74"/>
        <v>0</v>
      </c>
      <c r="EJ36" s="180">
        <f t="shared" ca="1" si="74"/>
        <v>0</v>
      </c>
      <c r="EK36" s="180">
        <f t="shared" ca="1" si="74"/>
        <v>0</v>
      </c>
      <c r="EL36" s="180">
        <f t="shared" ca="1" si="74"/>
        <v>0</v>
      </c>
      <c r="EM36" s="180">
        <f t="shared" ca="1" si="74"/>
        <v>0</v>
      </c>
      <c r="EN36" s="180">
        <f t="shared" ca="1" si="74"/>
        <v>0</v>
      </c>
      <c r="EO36" s="180">
        <f t="shared" ca="1" si="74"/>
        <v>0</v>
      </c>
      <c r="EP36" s="180">
        <f t="shared" ca="1" si="74"/>
        <v>0</v>
      </c>
      <c r="EQ36" s="180"/>
      <c r="ER36" s="180"/>
    </row>
    <row r="37" spans="2:148" s="8" customFormat="1" ht="26.25" thickBot="1" x14ac:dyDescent="0.3">
      <c r="B37" s="156"/>
      <c r="D37" s="201">
        <v>10</v>
      </c>
      <c r="E37" s="25" t="str">
        <f t="shared" si="63"/>
        <v>INSS</v>
      </c>
      <c r="F37" s="627" t="str">
        <f>IFERROR(VLOOKUP(CONCATENATE(D37,E37),'Base tabelas'!$B:$K,10,FALSE),"")</f>
        <v xml:space="preserve">805980 - RFN - INSS 30K 10   </v>
      </c>
      <c r="G37" s="628"/>
      <c r="H37" s="629"/>
      <c r="I37" s="45">
        <f>IFERROR(VLOOKUP(CONCATENATE(D37,E37),'Base tabelas'!$B:$E,4,FALSE),"")</f>
        <v>1.5800000000000002E-2</v>
      </c>
      <c r="J37" s="34">
        <f t="shared" ca="1" si="64"/>
        <v>2.0710594125532354E-2</v>
      </c>
      <c r="K37" s="46">
        <f ca="1">IFERROR(DD163,"")</f>
        <v>76753.471694967127</v>
      </c>
      <c r="L37" s="46">
        <f t="shared" ca="1" si="65"/>
        <v>76500.429999999993</v>
      </c>
      <c r="M37" s="326">
        <f ca="1">IFERROR(EC17*-1,"")</f>
        <v>245.36424765791813</v>
      </c>
      <c r="N37" s="59" t="str">
        <f t="shared" ca="1" si="66"/>
        <v>Tabela Superior Taxa Ponderada</v>
      </c>
      <c r="O37" s="69" t="str">
        <f t="shared" ca="1" si="67"/>
        <v/>
      </c>
      <c r="P37" s="302">
        <f>IFERROR(VLOOKUP(CONCATENATE(D37,E37),'Base tabelas'!$B:$O,14,FALSE),"")</f>
        <v>30000</v>
      </c>
      <c r="Q37" s="186">
        <f ca="1">EC167</f>
        <v>2.1915829153364763E-2</v>
      </c>
      <c r="R37" s="307" t="str">
        <f t="shared" ca="1" si="68"/>
        <v/>
      </c>
      <c r="S37" s="308">
        <f t="shared" ca="1" si="69"/>
        <v>2.1641881288947704E-2</v>
      </c>
      <c r="T37" s="309"/>
      <c r="U37" s="460">
        <f t="shared" ca="1" si="70"/>
        <v>0</v>
      </c>
      <c r="V37" s="497">
        <f t="shared" si="72"/>
        <v>0</v>
      </c>
      <c r="W37" s="98" t="e">
        <f ca="1">#REF!/M37-1</f>
        <v>#REF!</v>
      </c>
      <c r="X37" s="133">
        <v>19</v>
      </c>
      <c r="Y37" s="87">
        <f t="shared" ca="1" si="35"/>
        <v>67.81</v>
      </c>
      <c r="Z37" s="87">
        <f t="shared" ca="1" si="36"/>
        <v>70.569999999999993</v>
      </c>
      <c r="AA37" s="87">
        <f t="shared" ca="1" si="37"/>
        <v>1172.83</v>
      </c>
      <c r="AB37" s="87">
        <f t="shared" ca="1" si="38"/>
        <v>278.39999999999998</v>
      </c>
      <c r="AC37" s="87">
        <f t="shared" si="39"/>
        <v>0</v>
      </c>
      <c r="AD37" s="87">
        <f t="shared" si="40"/>
        <v>0</v>
      </c>
      <c r="AE37" s="87">
        <f t="shared" si="41"/>
        <v>0</v>
      </c>
      <c r="AF37" s="87">
        <f t="shared" si="42"/>
        <v>0</v>
      </c>
      <c r="AG37" s="87">
        <f t="shared" si="43"/>
        <v>0</v>
      </c>
      <c r="AH37" s="87">
        <f t="shared" si="44"/>
        <v>0</v>
      </c>
      <c r="AI37" s="87">
        <f t="shared" si="45"/>
        <v>0</v>
      </c>
      <c r="AJ37" s="87">
        <f t="shared" si="46"/>
        <v>0</v>
      </c>
      <c r="AK37" s="87">
        <f t="shared" si="47"/>
        <v>0</v>
      </c>
      <c r="AL37" s="87">
        <f t="shared" si="48"/>
        <v>0</v>
      </c>
      <c r="AM37" s="87">
        <f t="shared" si="49"/>
        <v>0</v>
      </c>
      <c r="AN37" s="87">
        <f t="shared" si="50"/>
        <v>0</v>
      </c>
      <c r="AO37" s="87">
        <f t="shared" si="51"/>
        <v>0</v>
      </c>
      <c r="AP37" s="133"/>
      <c r="AQ37" s="432">
        <v>19</v>
      </c>
      <c r="AR37" s="279">
        <f t="shared" ca="1" si="58"/>
        <v>46731</v>
      </c>
      <c r="AS37" s="429">
        <f t="shared" ca="1" si="10"/>
        <v>1589.6100000000001</v>
      </c>
      <c r="AT37" s="276"/>
      <c r="AU37" s="427">
        <v>19</v>
      </c>
      <c r="AV37" s="279">
        <f t="shared" ca="1" si="59"/>
        <v>46762</v>
      </c>
      <c r="AW37" s="433">
        <f t="shared" ca="1" si="52"/>
        <v>0</v>
      </c>
      <c r="AX37" s="202">
        <f t="shared" ca="1" si="53"/>
        <v>0</v>
      </c>
      <c r="AY37" s="427">
        <v>19</v>
      </c>
      <c r="AZ37" s="279">
        <f t="shared" ca="1" si="60"/>
        <v>46762</v>
      </c>
      <c r="BA37" s="433">
        <f t="shared" si="54"/>
        <v>1589.6100000000001</v>
      </c>
      <c r="BB37" s="259">
        <f t="shared" ca="1" si="11"/>
        <v>46731</v>
      </c>
      <c r="BC37" s="428">
        <f t="shared" ca="1" si="55"/>
        <v>0</v>
      </c>
      <c r="BD37" s="177">
        <f t="shared" si="12"/>
        <v>67.81</v>
      </c>
      <c r="BE37" s="177">
        <f t="shared" si="13"/>
        <v>70.569999999999993</v>
      </c>
      <c r="BF37" s="177">
        <f t="shared" si="14"/>
        <v>1172.83</v>
      </c>
      <c r="BG37" s="133">
        <f t="shared" si="15"/>
        <v>278.39999999999998</v>
      </c>
      <c r="BH37" s="133">
        <f t="shared" si="16"/>
        <v>0</v>
      </c>
      <c r="BI37" s="133">
        <f t="shared" si="17"/>
        <v>0</v>
      </c>
      <c r="BJ37" s="133">
        <f t="shared" si="18"/>
        <v>0</v>
      </c>
      <c r="BK37" s="133">
        <f t="shared" si="19"/>
        <v>0</v>
      </c>
      <c r="BL37" s="133">
        <f t="shared" si="20"/>
        <v>0</v>
      </c>
      <c r="BM37" s="133">
        <f t="shared" si="21"/>
        <v>0</v>
      </c>
      <c r="BN37" s="133">
        <f t="shared" si="22"/>
        <v>0</v>
      </c>
      <c r="BO37" s="133">
        <f t="shared" si="23"/>
        <v>0</v>
      </c>
      <c r="BP37" s="133">
        <f t="shared" si="24"/>
        <v>0</v>
      </c>
      <c r="BQ37" s="133">
        <f t="shared" si="25"/>
        <v>0</v>
      </c>
      <c r="BR37" s="133">
        <f t="shared" si="26"/>
        <v>0</v>
      </c>
      <c r="BS37" s="133">
        <f t="shared" si="27"/>
        <v>0</v>
      </c>
      <c r="BT37" s="133">
        <f t="shared" si="28"/>
        <v>0</v>
      </c>
      <c r="BU37" s="133"/>
      <c r="BV37" s="177"/>
      <c r="BW37" s="17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  <c r="CH37" s="267"/>
      <c r="CI37" s="435"/>
      <c r="CJ37" s="436"/>
      <c r="CK37" s="437"/>
      <c r="CL37" s="133"/>
      <c r="CM37" s="64" t="s">
        <v>380</v>
      </c>
      <c r="CN37" s="707">
        <v>65</v>
      </c>
      <c r="CO37" s="87"/>
      <c r="CP37" s="87"/>
      <c r="CQ37" s="87"/>
      <c r="CR37" s="87"/>
      <c r="CS37" s="87">
        <v>19</v>
      </c>
      <c r="CT37" s="259">
        <f t="shared" ca="1" si="29"/>
        <v>46762</v>
      </c>
      <c r="CU37" s="179">
        <f t="shared" ca="1" si="56"/>
        <v>1101.7166667187159</v>
      </c>
      <c r="CV37" s="179">
        <f t="shared" ca="1" si="56"/>
        <v>1112.5896772347141</v>
      </c>
      <c r="CW37" s="179">
        <f t="shared" ca="1" si="56"/>
        <v>1119.1675150673391</v>
      </c>
      <c r="CX37" s="179">
        <f t="shared" ca="1" si="56"/>
        <v>1125.7861988439993</v>
      </c>
      <c r="CY37" s="179">
        <f t="shared" ca="1" si="56"/>
        <v>1132.4459943594989</v>
      </c>
      <c r="CZ37" s="179">
        <f t="shared" ca="1" si="56"/>
        <v>1139.1471692173702</v>
      </c>
      <c r="DA37" s="179">
        <f t="shared" ca="1" si="56"/>
        <v>1143.6377406202605</v>
      </c>
      <c r="DB37" s="179">
        <f t="shared" ca="1" si="56"/>
        <v>1152.6747364953387</v>
      </c>
      <c r="DC37" s="179">
        <f t="shared" ca="1" si="56"/>
        <v>1157.2213226257361</v>
      </c>
      <c r="DD37" s="179">
        <f t="shared" ca="1" si="56"/>
        <v>1161.7867426016003</v>
      </c>
      <c r="DE37" s="179">
        <f t="shared" ca="1" si="73"/>
        <v>1166.3710781717759</v>
      </c>
      <c r="DF37" s="179" t="e">
        <f t="shared" ca="1" si="73"/>
        <v>#VALUE!</v>
      </c>
      <c r="DG37" s="179" t="e">
        <f t="shared" ca="1" si="73"/>
        <v>#VALUE!</v>
      </c>
      <c r="DH37" s="179" t="e">
        <f t="shared" ca="1" si="73"/>
        <v>#VALUE!</v>
      </c>
      <c r="DI37" s="179" t="e">
        <f t="shared" ca="1" si="73"/>
        <v>#VALUE!</v>
      </c>
      <c r="DJ37" s="179" t="e">
        <f t="shared" ca="1" si="73"/>
        <v>#VALUE!</v>
      </c>
      <c r="DK37" s="179" t="e">
        <f t="shared" ca="1" si="73"/>
        <v>#VALUE!</v>
      </c>
      <c r="DL37" s="179" t="e">
        <f t="shared" ca="1" si="73"/>
        <v>#VALUE!</v>
      </c>
      <c r="DM37" s="179" t="e">
        <f t="shared" ca="1" si="73"/>
        <v>#VALUE!</v>
      </c>
      <c r="DN37" s="179" t="e">
        <f t="shared" ca="1" si="73"/>
        <v>#VALUE!</v>
      </c>
      <c r="DO37" s="179" t="e">
        <f t="shared" ca="1" si="73"/>
        <v>#VALUE!</v>
      </c>
      <c r="DP37" s="179" t="e">
        <f t="shared" ca="1" si="73"/>
        <v>#VALUE!</v>
      </c>
      <c r="DQ37" s="179" t="e">
        <f t="shared" ca="1" si="73"/>
        <v>#VALUE!</v>
      </c>
      <c r="DR37" s="188">
        <v>19</v>
      </c>
      <c r="DS37" s="430">
        <f t="shared" ca="1" si="61"/>
        <v>46731</v>
      </c>
      <c r="DT37" s="180">
        <f t="shared" ref="DT37:EG55" ca="1" si="76">IFERROR(VLOOKUP($DS37,$AZ$19:$BA$162,2,FALSE),0)-IFERROR(VLOOKUP($DS37,$AR$19:$AS$162,2,FALSE),0)</f>
        <v>0</v>
      </c>
      <c r="DU37" s="180">
        <f t="shared" ca="1" si="76"/>
        <v>0</v>
      </c>
      <c r="DV37" s="180">
        <f t="shared" ca="1" si="76"/>
        <v>0</v>
      </c>
      <c r="DW37" s="180">
        <f t="shared" ca="1" si="76"/>
        <v>0</v>
      </c>
      <c r="DX37" s="180">
        <f t="shared" ca="1" si="76"/>
        <v>0</v>
      </c>
      <c r="DY37" s="180">
        <f t="shared" ca="1" si="76"/>
        <v>0</v>
      </c>
      <c r="DZ37" s="180">
        <f t="shared" ca="1" si="76"/>
        <v>0</v>
      </c>
      <c r="EA37" s="180">
        <f t="shared" ca="1" si="76"/>
        <v>0</v>
      </c>
      <c r="EB37" s="180">
        <f t="shared" ca="1" si="76"/>
        <v>0</v>
      </c>
      <c r="EC37" s="180">
        <f t="shared" ca="1" si="76"/>
        <v>0</v>
      </c>
      <c r="ED37" s="180">
        <f t="shared" ca="1" si="76"/>
        <v>0</v>
      </c>
      <c r="EE37" s="180">
        <f t="shared" ca="1" si="76"/>
        <v>0</v>
      </c>
      <c r="EF37" s="180">
        <f t="shared" ca="1" si="76"/>
        <v>0</v>
      </c>
      <c r="EG37" s="180">
        <f t="shared" ca="1" si="76"/>
        <v>0</v>
      </c>
      <c r="EH37" s="180">
        <f t="shared" ca="1" si="75"/>
        <v>0</v>
      </c>
      <c r="EI37" s="180">
        <f t="shared" ca="1" si="74"/>
        <v>0</v>
      </c>
      <c r="EJ37" s="180">
        <f t="shared" ca="1" si="74"/>
        <v>0</v>
      </c>
      <c r="EK37" s="180">
        <f t="shared" ca="1" si="74"/>
        <v>0</v>
      </c>
      <c r="EL37" s="180">
        <f t="shared" ca="1" si="74"/>
        <v>0</v>
      </c>
      <c r="EM37" s="180">
        <f t="shared" ca="1" si="74"/>
        <v>0</v>
      </c>
      <c r="EN37" s="180">
        <f t="shared" ca="1" si="74"/>
        <v>0</v>
      </c>
      <c r="EO37" s="180">
        <f t="shared" ca="1" si="74"/>
        <v>0</v>
      </c>
      <c r="EP37" s="180">
        <f t="shared" ca="1" si="74"/>
        <v>0</v>
      </c>
      <c r="EQ37" s="180"/>
      <c r="ER37" s="180"/>
    </row>
    <row r="38" spans="2:148" s="8" customFormat="1" ht="15.75" thickBot="1" x14ac:dyDescent="0.3">
      <c r="B38" s="156"/>
      <c r="D38" s="201">
        <v>11</v>
      </c>
      <c r="E38" s="25" t="str">
        <f t="shared" si="63"/>
        <v>INSS</v>
      </c>
      <c r="F38" s="627" t="str">
        <f>IFERROR(VLOOKUP(CONCATENATE(D38,E38),'Base tabelas'!$B:$K,10,FALSE),"")</f>
        <v xml:space="preserve">805981 - RFN - INSS 50K 11   </v>
      </c>
      <c r="G38" s="628"/>
      <c r="H38" s="629"/>
      <c r="I38" s="45">
        <f>IFERROR(VLOOKUP(CONCATENATE(D38,E38),'Base tabelas'!$B:$E,4,FALSE),"")</f>
        <v>1.5600000000000001E-2</v>
      </c>
      <c r="J38" s="34">
        <f t="shared" ca="1" si="64"/>
        <v>2.0555995278612793E-2</v>
      </c>
      <c r="K38" s="46">
        <f ca="1">IFERROR(DE163,"")</f>
        <v>77330.72412474663</v>
      </c>
      <c r="L38" s="46">
        <f t="shared" ca="1" si="65"/>
        <v>76500.429999999993</v>
      </c>
      <c r="M38" s="326">
        <f ca="1">IFERROR(ED17*-1,"")</f>
        <v>805.1024685070513</v>
      </c>
      <c r="N38" s="59" t="str">
        <f t="shared" ca="1" si="66"/>
        <v>TAB disponivel</v>
      </c>
      <c r="O38" s="69" t="str">
        <f t="shared" ca="1" si="67"/>
        <v/>
      </c>
      <c r="P38" s="302">
        <f>IFERROR(VLOOKUP(CONCATENATE(D38,E38),'Base tabelas'!$B:$O,14,FALSE),"")</f>
        <v>50000</v>
      </c>
      <c r="Q38" s="186">
        <f ca="1">ED167</f>
        <v>1.8828553452212349E-2</v>
      </c>
      <c r="R38" s="307" t="str">
        <f t="shared" ca="1" si="68"/>
        <v/>
      </c>
      <c r="S38" s="308">
        <f t="shared" ca="1" si="69"/>
        <v>1.8593196534059695E-2</v>
      </c>
      <c r="T38" s="309"/>
      <c r="U38" s="460">
        <f t="shared" ca="1" si="70"/>
        <v>0</v>
      </c>
      <c r="V38" s="371"/>
      <c r="W38" s="371"/>
      <c r="X38" s="133">
        <v>20</v>
      </c>
      <c r="Y38" s="87">
        <f t="shared" ca="1" si="35"/>
        <v>67.81</v>
      </c>
      <c r="Z38" s="87">
        <f t="shared" ca="1" si="36"/>
        <v>70.569999999999993</v>
      </c>
      <c r="AA38" s="87">
        <f t="shared" ca="1" si="37"/>
        <v>1172.83</v>
      </c>
      <c r="AB38" s="87">
        <f t="shared" ca="1" si="38"/>
        <v>278.39999999999998</v>
      </c>
      <c r="AC38" s="87">
        <f t="shared" si="39"/>
        <v>0</v>
      </c>
      <c r="AD38" s="87">
        <f t="shared" si="40"/>
        <v>0</v>
      </c>
      <c r="AE38" s="87">
        <f t="shared" si="41"/>
        <v>0</v>
      </c>
      <c r="AF38" s="87">
        <f t="shared" si="42"/>
        <v>0</v>
      </c>
      <c r="AG38" s="87">
        <f t="shared" si="43"/>
        <v>0</v>
      </c>
      <c r="AH38" s="87">
        <f t="shared" si="44"/>
        <v>0</v>
      </c>
      <c r="AI38" s="87">
        <f t="shared" si="45"/>
        <v>0</v>
      </c>
      <c r="AJ38" s="87">
        <f t="shared" si="46"/>
        <v>0</v>
      </c>
      <c r="AK38" s="87">
        <f t="shared" si="47"/>
        <v>0</v>
      </c>
      <c r="AL38" s="87">
        <f t="shared" si="48"/>
        <v>0</v>
      </c>
      <c r="AM38" s="87">
        <f t="shared" si="49"/>
        <v>0</v>
      </c>
      <c r="AN38" s="87">
        <f t="shared" si="50"/>
        <v>0</v>
      </c>
      <c r="AO38" s="87">
        <f t="shared" si="51"/>
        <v>0</v>
      </c>
      <c r="AP38" s="133"/>
      <c r="AQ38" s="432">
        <v>20</v>
      </c>
      <c r="AR38" s="279">
        <f t="shared" ca="1" si="58"/>
        <v>46762</v>
      </c>
      <c r="AS38" s="429">
        <f t="shared" ca="1" si="10"/>
        <v>1589.6100000000001</v>
      </c>
      <c r="AT38" s="276"/>
      <c r="AU38" s="427">
        <v>20</v>
      </c>
      <c r="AV38" s="279">
        <f t="shared" ca="1" si="59"/>
        <v>46793</v>
      </c>
      <c r="AW38" s="433">
        <f t="shared" ca="1" si="52"/>
        <v>0</v>
      </c>
      <c r="AX38" s="202">
        <f t="shared" ca="1" si="53"/>
        <v>0</v>
      </c>
      <c r="AY38" s="427">
        <v>20</v>
      </c>
      <c r="AZ38" s="279">
        <f t="shared" ca="1" si="60"/>
        <v>46793</v>
      </c>
      <c r="BA38" s="433">
        <f t="shared" si="54"/>
        <v>1589.6100000000001</v>
      </c>
      <c r="BB38" s="259">
        <f t="shared" ca="1" si="11"/>
        <v>46762</v>
      </c>
      <c r="BC38" s="428">
        <f t="shared" ca="1" si="55"/>
        <v>0</v>
      </c>
      <c r="BD38" s="177">
        <f t="shared" si="12"/>
        <v>67.81</v>
      </c>
      <c r="BE38" s="177">
        <f t="shared" si="13"/>
        <v>70.569999999999993</v>
      </c>
      <c r="BF38" s="177">
        <f t="shared" si="14"/>
        <v>1172.83</v>
      </c>
      <c r="BG38" s="133">
        <f t="shared" si="15"/>
        <v>278.39999999999998</v>
      </c>
      <c r="BH38" s="133">
        <f t="shared" si="16"/>
        <v>0</v>
      </c>
      <c r="BI38" s="133">
        <f t="shared" si="17"/>
        <v>0</v>
      </c>
      <c r="BJ38" s="133">
        <f t="shared" si="18"/>
        <v>0</v>
      </c>
      <c r="BK38" s="133">
        <f t="shared" si="19"/>
        <v>0</v>
      </c>
      <c r="BL38" s="133">
        <f t="shared" si="20"/>
        <v>0</v>
      </c>
      <c r="BM38" s="133">
        <f t="shared" si="21"/>
        <v>0</v>
      </c>
      <c r="BN38" s="133">
        <f t="shared" si="22"/>
        <v>0</v>
      </c>
      <c r="BO38" s="133">
        <f t="shared" si="23"/>
        <v>0</v>
      </c>
      <c r="BP38" s="133">
        <f t="shared" si="24"/>
        <v>0</v>
      </c>
      <c r="BQ38" s="133">
        <f t="shared" si="25"/>
        <v>0</v>
      </c>
      <c r="BR38" s="133">
        <f t="shared" si="26"/>
        <v>0</v>
      </c>
      <c r="BS38" s="133">
        <f t="shared" si="27"/>
        <v>0</v>
      </c>
      <c r="BT38" s="133">
        <f t="shared" si="28"/>
        <v>0</v>
      </c>
      <c r="BU38" s="133"/>
      <c r="BV38" s="177"/>
      <c r="BW38" s="17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  <c r="CH38" s="267"/>
      <c r="CI38" s="435"/>
      <c r="CJ38" s="436"/>
      <c r="CK38" s="437"/>
      <c r="CL38" s="133"/>
      <c r="CM38" s="64" t="s">
        <v>75</v>
      </c>
      <c r="CN38" s="707">
        <v>56.666666666666664</v>
      </c>
      <c r="CO38" s="87"/>
      <c r="CP38" s="87"/>
      <c r="CQ38" s="87"/>
      <c r="CR38" s="87"/>
      <c r="CS38" s="178">
        <v>20</v>
      </c>
      <c r="CT38" s="259">
        <f t="shared" ca="1" si="29"/>
        <v>46793</v>
      </c>
      <c r="CU38" s="179">
        <f t="shared" ca="1" si="56"/>
        <v>1081.0443675294414</v>
      </c>
      <c r="CV38" s="179">
        <f t="shared" ca="1" si="56"/>
        <v>1092.267442983486</v>
      </c>
      <c r="CW38" s="179">
        <f t="shared" ca="1" si="56"/>
        <v>1099.0598145565955</v>
      </c>
      <c r="CX38" s="179">
        <f t="shared" ca="1" si="56"/>
        <v>1105.8964464282947</v>
      </c>
      <c r="CY38" s="179">
        <f t="shared" ca="1" si="56"/>
        <v>1112.7776401853168</v>
      </c>
      <c r="CZ38" s="179">
        <f t="shared" ca="1" si="56"/>
        <v>1119.7036995592248</v>
      </c>
      <c r="DA38" s="179">
        <f t="shared" ca="1" si="56"/>
        <v>1124.346148786409</v>
      </c>
      <c r="DB38" s="179">
        <f t="shared" ca="1" si="56"/>
        <v>1133.6916409037037</v>
      </c>
      <c r="DC38" s="179">
        <f t="shared" ca="1" si="56"/>
        <v>1138.3948674353676</v>
      </c>
      <c r="DD38" s="179">
        <f t="shared" ca="1" si="56"/>
        <v>1143.1185374359391</v>
      </c>
      <c r="DE38" s="179">
        <f t="shared" ca="1" si="73"/>
        <v>1147.8627438182139</v>
      </c>
      <c r="DF38" s="179" t="e">
        <f t="shared" ca="1" si="73"/>
        <v>#VALUE!</v>
      </c>
      <c r="DG38" s="179" t="e">
        <f t="shared" ca="1" si="73"/>
        <v>#VALUE!</v>
      </c>
      <c r="DH38" s="179" t="e">
        <f t="shared" ca="1" si="73"/>
        <v>#VALUE!</v>
      </c>
      <c r="DI38" s="179" t="e">
        <f t="shared" ca="1" si="73"/>
        <v>#VALUE!</v>
      </c>
      <c r="DJ38" s="179" t="e">
        <f t="shared" ca="1" si="73"/>
        <v>#VALUE!</v>
      </c>
      <c r="DK38" s="179" t="e">
        <f t="shared" ca="1" si="73"/>
        <v>#VALUE!</v>
      </c>
      <c r="DL38" s="179" t="e">
        <f t="shared" ca="1" si="73"/>
        <v>#VALUE!</v>
      </c>
      <c r="DM38" s="179" t="e">
        <f t="shared" ca="1" si="73"/>
        <v>#VALUE!</v>
      </c>
      <c r="DN38" s="179" t="e">
        <f t="shared" ca="1" si="73"/>
        <v>#VALUE!</v>
      </c>
      <c r="DO38" s="179" t="e">
        <f t="shared" ca="1" si="73"/>
        <v>#VALUE!</v>
      </c>
      <c r="DP38" s="179" t="e">
        <f t="shared" ca="1" si="73"/>
        <v>#VALUE!</v>
      </c>
      <c r="DQ38" s="179" t="e">
        <f t="shared" ca="1" si="73"/>
        <v>#VALUE!</v>
      </c>
      <c r="DR38" s="431">
        <v>20</v>
      </c>
      <c r="DS38" s="430">
        <f t="shared" ca="1" si="61"/>
        <v>46762</v>
      </c>
      <c r="DT38" s="180">
        <f t="shared" ca="1" si="76"/>
        <v>0</v>
      </c>
      <c r="DU38" s="180">
        <f t="shared" ca="1" si="76"/>
        <v>0</v>
      </c>
      <c r="DV38" s="180">
        <f t="shared" ca="1" si="76"/>
        <v>0</v>
      </c>
      <c r="DW38" s="180">
        <f t="shared" ca="1" si="76"/>
        <v>0</v>
      </c>
      <c r="DX38" s="180">
        <f t="shared" ca="1" si="76"/>
        <v>0</v>
      </c>
      <c r="DY38" s="180">
        <f t="shared" ca="1" si="76"/>
        <v>0</v>
      </c>
      <c r="DZ38" s="180">
        <f t="shared" ca="1" si="76"/>
        <v>0</v>
      </c>
      <c r="EA38" s="180">
        <f t="shared" ca="1" si="76"/>
        <v>0</v>
      </c>
      <c r="EB38" s="180">
        <f t="shared" ca="1" si="76"/>
        <v>0</v>
      </c>
      <c r="EC38" s="180">
        <f t="shared" ca="1" si="76"/>
        <v>0</v>
      </c>
      <c r="ED38" s="180">
        <f t="shared" ca="1" si="76"/>
        <v>0</v>
      </c>
      <c r="EE38" s="180">
        <f t="shared" ca="1" si="76"/>
        <v>0</v>
      </c>
      <c r="EF38" s="180">
        <f t="shared" ca="1" si="76"/>
        <v>0</v>
      </c>
      <c r="EG38" s="180">
        <f t="shared" ca="1" si="76"/>
        <v>0</v>
      </c>
      <c r="EH38" s="180">
        <f t="shared" ca="1" si="75"/>
        <v>0</v>
      </c>
      <c r="EI38" s="180">
        <f t="shared" ca="1" si="74"/>
        <v>0</v>
      </c>
      <c r="EJ38" s="180">
        <f t="shared" ca="1" si="74"/>
        <v>0</v>
      </c>
      <c r="EK38" s="180">
        <f t="shared" ca="1" si="74"/>
        <v>0</v>
      </c>
      <c r="EL38" s="180">
        <f t="shared" ca="1" si="74"/>
        <v>0</v>
      </c>
      <c r="EM38" s="180">
        <f t="shared" ca="1" si="74"/>
        <v>0</v>
      </c>
      <c r="EN38" s="180">
        <f t="shared" ca="1" si="74"/>
        <v>0</v>
      </c>
      <c r="EO38" s="180">
        <f t="shared" ca="1" si="74"/>
        <v>0</v>
      </c>
      <c r="EP38" s="180">
        <f t="shared" ca="1" si="74"/>
        <v>0</v>
      </c>
      <c r="EQ38" s="180"/>
      <c r="ER38" s="180"/>
    </row>
    <row r="39" spans="2:148" s="8" customFormat="1" ht="15.75" thickBot="1" x14ac:dyDescent="0.3">
      <c r="B39" s="156"/>
      <c r="C39" s="448"/>
      <c r="D39" s="201">
        <v>12</v>
      </c>
      <c r="E39" s="25" t="str">
        <f t="shared" si="63"/>
        <v>INSS</v>
      </c>
      <c r="F39" s="627" t="str">
        <f>IFERROR(VLOOKUP(CONCATENATE(D39,E39),'Base tabelas'!$B:$K,10,FALSE),"")</f>
        <v/>
      </c>
      <c r="G39" s="628"/>
      <c r="H39" s="629"/>
      <c r="I39" s="45" t="str">
        <f>IFERROR(VLOOKUP(CONCATENATE(D39,E39),'Base tabelas'!$B:$E,4,FALSE),"")</f>
        <v/>
      </c>
      <c r="J39" s="34" t="str">
        <f t="shared" ca="1" si="64"/>
        <v/>
      </c>
      <c r="K39" s="46" t="str">
        <f ca="1">IFERROR(DF163,"")</f>
        <v/>
      </c>
      <c r="L39" s="46" t="str">
        <f t="shared" si="65"/>
        <v/>
      </c>
      <c r="M39" s="326" t="str">
        <f ca="1">IFERROR(EE17*-1,"")</f>
        <v/>
      </c>
      <c r="N39" s="59" t="str">
        <f t="shared" ca="1" si="66"/>
        <v/>
      </c>
      <c r="O39" s="69" t="str">
        <f t="shared" si="67"/>
        <v/>
      </c>
      <c r="P39" s="302" t="str">
        <f>IFERROR(VLOOKUP(CONCATENATE(D39,E39),'Base tabelas'!$B:$O,14,FALSE),"")</f>
        <v/>
      </c>
      <c r="Q39" s="186" t="str">
        <f ca="1">EE167</f>
        <v/>
      </c>
      <c r="R39" s="307" t="str">
        <f t="shared" ca="1" si="68"/>
        <v/>
      </c>
      <c r="S39" s="308" t="e">
        <f t="shared" ca="1" si="69"/>
        <v>#VALUE!</v>
      </c>
      <c r="T39" s="309"/>
      <c r="U39" s="460">
        <f t="shared" ca="1" si="70"/>
        <v>0</v>
      </c>
      <c r="V39" s="371"/>
      <c r="W39" s="371"/>
      <c r="X39" s="133">
        <v>21</v>
      </c>
      <c r="Y39" s="87">
        <f t="shared" ca="1" si="35"/>
        <v>67.81</v>
      </c>
      <c r="Z39" s="87">
        <f t="shared" ca="1" si="36"/>
        <v>70.569999999999993</v>
      </c>
      <c r="AA39" s="87">
        <f t="shared" ca="1" si="37"/>
        <v>1172.83</v>
      </c>
      <c r="AB39" s="87">
        <f t="shared" ca="1" si="38"/>
        <v>278.39999999999998</v>
      </c>
      <c r="AC39" s="87">
        <f t="shared" si="39"/>
        <v>0</v>
      </c>
      <c r="AD39" s="87">
        <f t="shared" si="40"/>
        <v>0</v>
      </c>
      <c r="AE39" s="87">
        <f t="shared" si="41"/>
        <v>0</v>
      </c>
      <c r="AF39" s="87">
        <f t="shared" si="42"/>
        <v>0</v>
      </c>
      <c r="AG39" s="87">
        <f t="shared" si="43"/>
        <v>0</v>
      </c>
      <c r="AH39" s="87">
        <f t="shared" si="44"/>
        <v>0</v>
      </c>
      <c r="AI39" s="87">
        <f t="shared" si="45"/>
        <v>0</v>
      </c>
      <c r="AJ39" s="87">
        <f t="shared" si="46"/>
        <v>0</v>
      </c>
      <c r="AK39" s="87">
        <f t="shared" si="47"/>
        <v>0</v>
      </c>
      <c r="AL39" s="87">
        <f t="shared" si="48"/>
        <v>0</v>
      </c>
      <c r="AM39" s="87">
        <f t="shared" si="49"/>
        <v>0</v>
      </c>
      <c r="AN39" s="87">
        <f t="shared" si="50"/>
        <v>0</v>
      </c>
      <c r="AO39" s="87">
        <f t="shared" si="51"/>
        <v>0</v>
      </c>
      <c r="AP39" s="133"/>
      <c r="AQ39" s="432">
        <v>21</v>
      </c>
      <c r="AR39" s="279">
        <f t="shared" ca="1" si="58"/>
        <v>46793</v>
      </c>
      <c r="AS39" s="429">
        <f t="shared" ca="1" si="10"/>
        <v>1589.6100000000001</v>
      </c>
      <c r="AT39" s="276"/>
      <c r="AU39" s="427">
        <v>21</v>
      </c>
      <c r="AV39" s="279">
        <f t="shared" ca="1" si="59"/>
        <v>46822</v>
      </c>
      <c r="AW39" s="433">
        <f t="shared" ca="1" si="52"/>
        <v>0</v>
      </c>
      <c r="AX39" s="202">
        <f t="shared" ca="1" si="53"/>
        <v>0</v>
      </c>
      <c r="AY39" s="427">
        <v>21</v>
      </c>
      <c r="AZ39" s="279">
        <f t="shared" ca="1" si="60"/>
        <v>46822</v>
      </c>
      <c r="BA39" s="433">
        <f t="shared" si="54"/>
        <v>1589.6100000000001</v>
      </c>
      <c r="BB39" s="259">
        <f t="shared" ca="1" si="11"/>
        <v>46793</v>
      </c>
      <c r="BC39" s="428">
        <f t="shared" ca="1" si="55"/>
        <v>0</v>
      </c>
      <c r="BD39" s="177">
        <f t="shared" si="12"/>
        <v>67.81</v>
      </c>
      <c r="BE39" s="177">
        <f t="shared" si="13"/>
        <v>70.569999999999993</v>
      </c>
      <c r="BF39" s="177">
        <f t="shared" si="14"/>
        <v>1172.83</v>
      </c>
      <c r="BG39" s="133">
        <f t="shared" si="15"/>
        <v>278.39999999999998</v>
      </c>
      <c r="BH39" s="133">
        <f t="shared" si="16"/>
        <v>0</v>
      </c>
      <c r="BI39" s="133">
        <f t="shared" si="17"/>
        <v>0</v>
      </c>
      <c r="BJ39" s="133">
        <f t="shared" si="18"/>
        <v>0</v>
      </c>
      <c r="BK39" s="133">
        <f t="shared" si="19"/>
        <v>0</v>
      </c>
      <c r="BL39" s="133">
        <f t="shared" si="20"/>
        <v>0</v>
      </c>
      <c r="BM39" s="133">
        <f t="shared" si="21"/>
        <v>0</v>
      </c>
      <c r="BN39" s="133">
        <f t="shared" si="22"/>
        <v>0</v>
      </c>
      <c r="BO39" s="133">
        <f t="shared" si="23"/>
        <v>0</v>
      </c>
      <c r="BP39" s="133">
        <f t="shared" si="24"/>
        <v>0</v>
      </c>
      <c r="BQ39" s="133">
        <f t="shared" si="25"/>
        <v>0</v>
      </c>
      <c r="BR39" s="133">
        <f t="shared" si="26"/>
        <v>0</v>
      </c>
      <c r="BS39" s="133">
        <f t="shared" si="27"/>
        <v>0</v>
      </c>
      <c r="BT39" s="133">
        <f t="shared" si="28"/>
        <v>0</v>
      </c>
      <c r="BU39" s="133"/>
      <c r="BV39" s="177"/>
      <c r="BW39" s="17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267"/>
      <c r="CI39" s="435"/>
      <c r="CJ39" s="436"/>
      <c r="CK39" s="437"/>
      <c r="CL39" s="133"/>
      <c r="CM39" s="64" t="s">
        <v>573</v>
      </c>
      <c r="CN39" s="707">
        <v>48.2</v>
      </c>
      <c r="CO39" s="87"/>
      <c r="CP39" s="87"/>
      <c r="CQ39" s="87"/>
      <c r="CR39" s="87"/>
      <c r="CS39" s="138">
        <v>21</v>
      </c>
      <c r="CT39" s="259">
        <f t="shared" ca="1" si="29"/>
        <v>46822</v>
      </c>
      <c r="CU39" s="179">
        <f t="shared" ca="1" si="56"/>
        <v>1062.0570662370262</v>
      </c>
      <c r="CV39" s="179">
        <f t="shared" ca="1" si="56"/>
        <v>1073.5925031502834</v>
      </c>
      <c r="CW39" s="179">
        <f t="shared" ca="1" si="56"/>
        <v>1080.5765706331131</v>
      </c>
      <c r="CX39" s="179">
        <f t="shared" ca="1" si="56"/>
        <v>1087.6081509472538</v>
      </c>
      <c r="CY39" s="179">
        <f t="shared" ca="1" si="56"/>
        <v>1094.6875814772766</v>
      </c>
      <c r="CZ39" s="179">
        <f t="shared" ca="1" si="56"/>
        <v>1101.8152021040328</v>
      </c>
      <c r="DA39" s="179">
        <f t="shared" ca="1" si="56"/>
        <v>1106.5938904450345</v>
      </c>
      <c r="DB39" s="179">
        <f t="shared" ca="1" si="56"/>
        <v>1116.2163857681692</v>
      </c>
      <c r="DC39" s="179">
        <f t="shared" ca="1" si="56"/>
        <v>1121.0603984144786</v>
      </c>
      <c r="DD39" s="179">
        <f t="shared" ca="1" si="56"/>
        <v>1125.9263923391011</v>
      </c>
      <c r="DE39" s="179">
        <f t="shared" ca="1" si="73"/>
        <v>1130.8144716465827</v>
      </c>
      <c r="DF39" s="179" t="e">
        <f t="shared" ca="1" si="73"/>
        <v>#VALUE!</v>
      </c>
      <c r="DG39" s="179" t="e">
        <f t="shared" ca="1" si="73"/>
        <v>#VALUE!</v>
      </c>
      <c r="DH39" s="179" t="e">
        <f t="shared" ca="1" si="73"/>
        <v>#VALUE!</v>
      </c>
      <c r="DI39" s="179" t="e">
        <f t="shared" ca="1" si="73"/>
        <v>#VALUE!</v>
      </c>
      <c r="DJ39" s="179" t="e">
        <f t="shared" ca="1" si="73"/>
        <v>#VALUE!</v>
      </c>
      <c r="DK39" s="179" t="e">
        <f t="shared" ca="1" si="73"/>
        <v>#VALUE!</v>
      </c>
      <c r="DL39" s="179" t="e">
        <f t="shared" ca="1" si="73"/>
        <v>#VALUE!</v>
      </c>
      <c r="DM39" s="179" t="e">
        <f t="shared" ca="1" si="73"/>
        <v>#VALUE!</v>
      </c>
      <c r="DN39" s="179" t="e">
        <f t="shared" ca="1" si="73"/>
        <v>#VALUE!</v>
      </c>
      <c r="DO39" s="179" t="e">
        <f t="shared" ca="1" si="73"/>
        <v>#VALUE!</v>
      </c>
      <c r="DP39" s="179" t="e">
        <f t="shared" ca="1" si="73"/>
        <v>#VALUE!</v>
      </c>
      <c r="DQ39" s="179" t="e">
        <f t="shared" ca="1" si="73"/>
        <v>#VALUE!</v>
      </c>
      <c r="DR39" s="278">
        <v>21</v>
      </c>
      <c r="DS39" s="430">
        <f t="shared" ca="1" si="61"/>
        <v>46793</v>
      </c>
      <c r="DT39" s="180">
        <f t="shared" ca="1" si="76"/>
        <v>0</v>
      </c>
      <c r="DU39" s="180">
        <f t="shared" ca="1" si="76"/>
        <v>0</v>
      </c>
      <c r="DV39" s="180">
        <f t="shared" ca="1" si="76"/>
        <v>0</v>
      </c>
      <c r="DW39" s="180">
        <f t="shared" ca="1" si="76"/>
        <v>0</v>
      </c>
      <c r="DX39" s="180">
        <f t="shared" ca="1" si="76"/>
        <v>0</v>
      </c>
      <c r="DY39" s="180">
        <f t="shared" ca="1" si="76"/>
        <v>0</v>
      </c>
      <c r="DZ39" s="180">
        <f t="shared" ca="1" si="76"/>
        <v>0</v>
      </c>
      <c r="EA39" s="180">
        <f t="shared" ca="1" si="76"/>
        <v>0</v>
      </c>
      <c r="EB39" s="180">
        <f t="shared" ca="1" si="76"/>
        <v>0</v>
      </c>
      <c r="EC39" s="180">
        <f t="shared" ca="1" si="76"/>
        <v>0</v>
      </c>
      <c r="ED39" s="180">
        <f t="shared" ca="1" si="76"/>
        <v>0</v>
      </c>
      <c r="EE39" s="180">
        <f t="shared" ca="1" si="76"/>
        <v>0</v>
      </c>
      <c r="EF39" s="180">
        <f t="shared" ca="1" si="76"/>
        <v>0</v>
      </c>
      <c r="EG39" s="180">
        <f t="shared" ca="1" si="76"/>
        <v>0</v>
      </c>
      <c r="EH39" s="180">
        <f t="shared" ca="1" si="75"/>
        <v>0</v>
      </c>
      <c r="EI39" s="180">
        <f t="shared" ca="1" si="74"/>
        <v>0</v>
      </c>
      <c r="EJ39" s="180">
        <f t="shared" ca="1" si="74"/>
        <v>0</v>
      </c>
      <c r="EK39" s="180">
        <f t="shared" ca="1" si="74"/>
        <v>0</v>
      </c>
      <c r="EL39" s="180">
        <f t="shared" ca="1" si="74"/>
        <v>0</v>
      </c>
      <c r="EM39" s="180">
        <f t="shared" ca="1" si="74"/>
        <v>0</v>
      </c>
      <c r="EN39" s="180">
        <f t="shared" ca="1" si="74"/>
        <v>0</v>
      </c>
      <c r="EO39" s="180">
        <f t="shared" ca="1" si="74"/>
        <v>0</v>
      </c>
      <c r="EP39" s="180">
        <f t="shared" ca="1" si="74"/>
        <v>0</v>
      </c>
      <c r="EQ39" s="180"/>
      <c r="ER39" s="180"/>
    </row>
    <row r="40" spans="2:148" s="8" customFormat="1" ht="15.75" thickBot="1" x14ac:dyDescent="0.3">
      <c r="B40" s="156"/>
      <c r="C40" s="448"/>
      <c r="D40" s="201">
        <v>13</v>
      </c>
      <c r="E40" s="25" t="str">
        <f t="shared" si="63"/>
        <v>INSS</v>
      </c>
      <c r="F40" s="627" t="str">
        <f>IFERROR(VLOOKUP(CONCATENATE(D40,E40),'Base tabelas'!$B:$K,10,FALSE),"")</f>
        <v/>
      </c>
      <c r="G40" s="628"/>
      <c r="H40" s="629"/>
      <c r="I40" s="45" t="str">
        <f>IFERROR(VLOOKUP(CONCATENATE(D40,E40),'Base tabelas'!$B:$E,4,FALSE),"")</f>
        <v/>
      </c>
      <c r="J40" s="34" t="str">
        <f t="shared" ca="1" si="64"/>
        <v/>
      </c>
      <c r="K40" s="46" t="str">
        <f ca="1">IFERROR(DG163,"")</f>
        <v/>
      </c>
      <c r="L40" s="46" t="str">
        <f t="shared" si="65"/>
        <v/>
      </c>
      <c r="M40" s="326" t="str">
        <f ca="1">IFERROR(EF17*-1,"")</f>
        <v/>
      </c>
      <c r="N40" s="59" t="str">
        <f t="shared" ca="1" si="66"/>
        <v/>
      </c>
      <c r="O40" s="69" t="str">
        <f t="shared" si="67"/>
        <v/>
      </c>
      <c r="P40" s="302" t="str">
        <f>IFERROR(VLOOKUP(CONCATENATE(D40,E40),'Base tabelas'!$B:$O,14,FALSE),"")</f>
        <v/>
      </c>
      <c r="Q40" s="186" t="str">
        <f ca="1">EF167</f>
        <v/>
      </c>
      <c r="R40" s="307" t="str">
        <f t="shared" ca="1" si="68"/>
        <v/>
      </c>
      <c r="S40" s="308" t="e">
        <f t="shared" ca="1" si="69"/>
        <v>#VALUE!</v>
      </c>
      <c r="T40" s="309"/>
      <c r="U40" s="460">
        <f t="shared" ca="1" si="70"/>
        <v>0</v>
      </c>
      <c r="V40" s="371"/>
      <c r="W40" s="371"/>
      <c r="X40" s="133">
        <v>22</v>
      </c>
      <c r="Y40" s="87">
        <f t="shared" ca="1" si="35"/>
        <v>67.81</v>
      </c>
      <c r="Z40" s="87">
        <f t="shared" ca="1" si="36"/>
        <v>70.569999999999993</v>
      </c>
      <c r="AA40" s="87">
        <f t="shared" ca="1" si="37"/>
        <v>1172.83</v>
      </c>
      <c r="AB40" s="87">
        <f t="shared" ca="1" si="38"/>
        <v>278.39999999999998</v>
      </c>
      <c r="AC40" s="87">
        <f t="shared" si="39"/>
        <v>0</v>
      </c>
      <c r="AD40" s="87">
        <f t="shared" si="40"/>
        <v>0</v>
      </c>
      <c r="AE40" s="87">
        <f t="shared" si="41"/>
        <v>0</v>
      </c>
      <c r="AF40" s="87">
        <f t="shared" si="42"/>
        <v>0</v>
      </c>
      <c r="AG40" s="87">
        <f t="shared" si="43"/>
        <v>0</v>
      </c>
      <c r="AH40" s="87">
        <f t="shared" si="44"/>
        <v>0</v>
      </c>
      <c r="AI40" s="87">
        <f t="shared" si="45"/>
        <v>0</v>
      </c>
      <c r="AJ40" s="87">
        <f t="shared" si="46"/>
        <v>0</v>
      </c>
      <c r="AK40" s="87">
        <f t="shared" si="47"/>
        <v>0</v>
      </c>
      <c r="AL40" s="87">
        <f t="shared" si="48"/>
        <v>0</v>
      </c>
      <c r="AM40" s="87">
        <f t="shared" si="49"/>
        <v>0</v>
      </c>
      <c r="AN40" s="87">
        <f t="shared" si="50"/>
        <v>0</v>
      </c>
      <c r="AO40" s="87">
        <f t="shared" si="51"/>
        <v>0</v>
      </c>
      <c r="AP40" s="133"/>
      <c r="AQ40" s="432">
        <v>22</v>
      </c>
      <c r="AR40" s="279">
        <f t="shared" ca="1" si="58"/>
        <v>46822</v>
      </c>
      <c r="AS40" s="429">
        <f t="shared" ca="1" si="10"/>
        <v>1589.6100000000001</v>
      </c>
      <c r="AT40" s="276"/>
      <c r="AU40" s="427">
        <v>22</v>
      </c>
      <c r="AV40" s="279">
        <f t="shared" ca="1" si="59"/>
        <v>46853</v>
      </c>
      <c r="AW40" s="433">
        <f t="shared" ca="1" si="52"/>
        <v>0</v>
      </c>
      <c r="AX40" s="202">
        <f t="shared" ca="1" si="53"/>
        <v>0</v>
      </c>
      <c r="AY40" s="427">
        <v>22</v>
      </c>
      <c r="AZ40" s="279">
        <f t="shared" ca="1" si="60"/>
        <v>46853</v>
      </c>
      <c r="BA40" s="433">
        <f t="shared" si="54"/>
        <v>1589.6100000000001</v>
      </c>
      <c r="BB40" s="259">
        <f t="shared" ca="1" si="11"/>
        <v>46822</v>
      </c>
      <c r="BC40" s="428">
        <f t="shared" ca="1" si="55"/>
        <v>0</v>
      </c>
      <c r="BD40" s="177">
        <f t="shared" si="12"/>
        <v>67.81</v>
      </c>
      <c r="BE40" s="177">
        <f t="shared" si="13"/>
        <v>70.569999999999993</v>
      </c>
      <c r="BF40" s="177">
        <f t="shared" si="14"/>
        <v>1172.83</v>
      </c>
      <c r="BG40" s="133">
        <f t="shared" si="15"/>
        <v>278.39999999999998</v>
      </c>
      <c r="BH40" s="133">
        <f t="shared" si="16"/>
        <v>0</v>
      </c>
      <c r="BI40" s="133">
        <f t="shared" si="17"/>
        <v>0</v>
      </c>
      <c r="BJ40" s="133">
        <f t="shared" si="18"/>
        <v>0</v>
      </c>
      <c r="BK40" s="133">
        <f t="shared" si="19"/>
        <v>0</v>
      </c>
      <c r="BL40" s="133">
        <f t="shared" si="20"/>
        <v>0</v>
      </c>
      <c r="BM40" s="133">
        <f t="shared" si="21"/>
        <v>0</v>
      </c>
      <c r="BN40" s="133">
        <f t="shared" si="22"/>
        <v>0</v>
      </c>
      <c r="BO40" s="133">
        <f t="shared" si="23"/>
        <v>0</v>
      </c>
      <c r="BP40" s="133">
        <f t="shared" si="24"/>
        <v>0</v>
      </c>
      <c r="BQ40" s="133">
        <f t="shared" si="25"/>
        <v>0</v>
      </c>
      <c r="BR40" s="133">
        <f t="shared" si="26"/>
        <v>0</v>
      </c>
      <c r="BS40" s="133">
        <f t="shared" si="27"/>
        <v>0</v>
      </c>
      <c r="BT40" s="133">
        <f t="shared" si="28"/>
        <v>0</v>
      </c>
      <c r="BU40" s="133"/>
      <c r="BV40" s="177"/>
      <c r="BW40" s="17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267"/>
      <c r="CI40" s="435"/>
      <c r="CJ40" s="436"/>
      <c r="CK40" s="437"/>
      <c r="CL40" s="133"/>
      <c r="CM40" s="64" t="s">
        <v>3007</v>
      </c>
      <c r="CN40" s="707">
        <v>44.25</v>
      </c>
      <c r="CO40" s="87"/>
      <c r="CP40" s="87"/>
      <c r="CQ40" s="87"/>
      <c r="CR40" s="87"/>
      <c r="CS40" s="87">
        <v>22</v>
      </c>
      <c r="CT40" s="259">
        <f t="shared" ca="1" si="29"/>
        <v>46853</v>
      </c>
      <c r="CU40" s="179">
        <f t="shared" ca="1" si="56"/>
        <v>1042.1289285473924</v>
      </c>
      <c r="CV40" s="179">
        <f t="shared" ca="1" si="56"/>
        <v>1053.982579756414</v>
      </c>
      <c r="CW40" s="179">
        <f t="shared" ca="1" si="56"/>
        <v>1061.1622204409439</v>
      </c>
      <c r="CX40" s="179">
        <f t="shared" ca="1" si="56"/>
        <v>1068.3929066407807</v>
      </c>
      <c r="CY40" s="179">
        <f t="shared" ca="1" si="56"/>
        <v>1075.6750164897944</v>
      </c>
      <c r="CZ40" s="179">
        <f t="shared" ca="1" si="56"/>
        <v>1083.0089310357289</v>
      </c>
      <c r="DA40" s="179">
        <f t="shared" ca="1" si="56"/>
        <v>1087.9271772874911</v>
      </c>
      <c r="DB40" s="179">
        <f t="shared" ca="1" si="56"/>
        <v>1097.8337131189778</v>
      </c>
      <c r="DC40" s="179">
        <f t="shared" ca="1" si="56"/>
        <v>1102.8222334724792</v>
      </c>
      <c r="DD40" s="179">
        <f t="shared" ca="1" si="56"/>
        <v>1107.8344102886338</v>
      </c>
      <c r="DE40" s="179">
        <f t="shared" ca="1" si="73"/>
        <v>1112.8703604415214</v>
      </c>
      <c r="DF40" s="179" t="e">
        <f t="shared" ca="1" si="73"/>
        <v>#VALUE!</v>
      </c>
      <c r="DG40" s="179" t="e">
        <f t="shared" ca="1" si="73"/>
        <v>#VALUE!</v>
      </c>
      <c r="DH40" s="179" t="e">
        <f t="shared" ca="1" si="73"/>
        <v>#VALUE!</v>
      </c>
      <c r="DI40" s="179" t="e">
        <f t="shared" ca="1" si="73"/>
        <v>#VALUE!</v>
      </c>
      <c r="DJ40" s="179" t="e">
        <f t="shared" ca="1" si="73"/>
        <v>#VALUE!</v>
      </c>
      <c r="DK40" s="179" t="e">
        <f t="shared" ca="1" si="73"/>
        <v>#VALUE!</v>
      </c>
      <c r="DL40" s="179" t="e">
        <f t="shared" ca="1" si="73"/>
        <v>#VALUE!</v>
      </c>
      <c r="DM40" s="179" t="e">
        <f t="shared" ca="1" si="73"/>
        <v>#VALUE!</v>
      </c>
      <c r="DN40" s="179" t="e">
        <f t="shared" ca="1" si="73"/>
        <v>#VALUE!</v>
      </c>
      <c r="DO40" s="179" t="e">
        <f t="shared" ca="1" si="73"/>
        <v>#VALUE!</v>
      </c>
      <c r="DP40" s="179" t="e">
        <f t="shared" ca="1" si="73"/>
        <v>#VALUE!</v>
      </c>
      <c r="DQ40" s="179" t="e">
        <f t="shared" ca="1" si="73"/>
        <v>#VALUE!</v>
      </c>
      <c r="DR40" s="188">
        <v>22</v>
      </c>
      <c r="DS40" s="430">
        <f t="shared" ca="1" si="61"/>
        <v>46822</v>
      </c>
      <c r="DT40" s="180">
        <f t="shared" ca="1" si="76"/>
        <v>0</v>
      </c>
      <c r="DU40" s="180">
        <f t="shared" ca="1" si="76"/>
        <v>0</v>
      </c>
      <c r="DV40" s="180">
        <f t="shared" ca="1" si="76"/>
        <v>0</v>
      </c>
      <c r="DW40" s="180">
        <f t="shared" ca="1" si="76"/>
        <v>0</v>
      </c>
      <c r="DX40" s="180">
        <f t="shared" ca="1" si="76"/>
        <v>0</v>
      </c>
      <c r="DY40" s="180">
        <f t="shared" ca="1" si="76"/>
        <v>0</v>
      </c>
      <c r="DZ40" s="180">
        <f t="shared" ca="1" si="76"/>
        <v>0</v>
      </c>
      <c r="EA40" s="180">
        <f t="shared" ca="1" si="76"/>
        <v>0</v>
      </c>
      <c r="EB40" s="180">
        <f t="shared" ca="1" si="76"/>
        <v>0</v>
      </c>
      <c r="EC40" s="180">
        <f t="shared" ca="1" si="76"/>
        <v>0</v>
      </c>
      <c r="ED40" s="180">
        <f t="shared" ca="1" si="76"/>
        <v>0</v>
      </c>
      <c r="EE40" s="180">
        <f t="shared" ca="1" si="76"/>
        <v>0</v>
      </c>
      <c r="EF40" s="180">
        <f t="shared" ca="1" si="76"/>
        <v>0</v>
      </c>
      <c r="EG40" s="180">
        <f t="shared" ca="1" si="76"/>
        <v>0</v>
      </c>
      <c r="EH40" s="180">
        <f t="shared" ca="1" si="75"/>
        <v>0</v>
      </c>
      <c r="EI40" s="180">
        <f t="shared" ca="1" si="74"/>
        <v>0</v>
      </c>
      <c r="EJ40" s="180">
        <f t="shared" ca="1" si="74"/>
        <v>0</v>
      </c>
      <c r="EK40" s="180">
        <f t="shared" ca="1" si="74"/>
        <v>0</v>
      </c>
      <c r="EL40" s="180">
        <f t="shared" ca="1" si="74"/>
        <v>0</v>
      </c>
      <c r="EM40" s="180">
        <f t="shared" ca="1" si="74"/>
        <v>0</v>
      </c>
      <c r="EN40" s="180">
        <f t="shared" ca="1" si="74"/>
        <v>0</v>
      </c>
      <c r="EO40" s="180">
        <f t="shared" ca="1" si="74"/>
        <v>0</v>
      </c>
      <c r="EP40" s="180">
        <f t="shared" ca="1" si="74"/>
        <v>0</v>
      </c>
      <c r="EQ40" s="180"/>
      <c r="ER40" s="180"/>
    </row>
    <row r="41" spans="2:148" s="8" customFormat="1" ht="15.75" thickBot="1" x14ac:dyDescent="0.3">
      <c r="B41" s="156"/>
      <c r="C41" s="448"/>
      <c r="D41" s="201">
        <v>14</v>
      </c>
      <c r="E41" s="25" t="str">
        <f t="shared" si="63"/>
        <v>INSS</v>
      </c>
      <c r="F41" s="627" t="str">
        <f>IFERROR(VLOOKUP(CONCATENATE(D41,E41),'Base tabelas'!$B:$K,10,FALSE),"")</f>
        <v/>
      </c>
      <c r="G41" s="628"/>
      <c r="H41" s="629"/>
      <c r="I41" s="45" t="str">
        <f>IFERROR(VLOOKUP(CONCATENATE(D41,E41),'Base tabelas'!$B:$E,4,FALSE),"")</f>
        <v/>
      </c>
      <c r="J41" s="34" t="str">
        <f t="shared" ca="1" si="64"/>
        <v/>
      </c>
      <c r="K41" s="46" t="str">
        <f ca="1">IFERROR(DH163,"")</f>
        <v/>
      </c>
      <c r="L41" s="46" t="str">
        <f t="shared" si="65"/>
        <v/>
      </c>
      <c r="M41" s="326" t="str">
        <f ca="1">IFERROR(EG17*-1,"")</f>
        <v/>
      </c>
      <c r="N41" s="59" t="str">
        <f t="shared" ca="1" si="66"/>
        <v/>
      </c>
      <c r="O41" s="69" t="str">
        <f t="shared" si="67"/>
        <v/>
      </c>
      <c r="P41" s="302" t="str">
        <f>IFERROR(VLOOKUP(CONCATENATE(D41,E41),'Base tabelas'!$B:$O,14,FALSE),"")</f>
        <v/>
      </c>
      <c r="Q41" s="186" t="str">
        <f ca="1">EG167</f>
        <v/>
      </c>
      <c r="R41" s="307" t="str">
        <f t="shared" ca="1" si="68"/>
        <v/>
      </c>
      <c r="S41" s="308" t="e">
        <f t="shared" ca="1" si="69"/>
        <v>#VALUE!</v>
      </c>
      <c r="T41" s="309"/>
      <c r="U41" s="460">
        <f t="shared" ca="1" si="70"/>
        <v>0</v>
      </c>
      <c r="V41" s="371"/>
      <c r="W41" s="371"/>
      <c r="X41" s="133">
        <v>23</v>
      </c>
      <c r="Y41" s="87">
        <f t="shared" ca="1" si="35"/>
        <v>67.81</v>
      </c>
      <c r="Z41" s="87">
        <f t="shared" ca="1" si="36"/>
        <v>70.569999999999993</v>
      </c>
      <c r="AA41" s="87">
        <f t="shared" ca="1" si="37"/>
        <v>1172.83</v>
      </c>
      <c r="AB41" s="87">
        <f t="shared" ca="1" si="38"/>
        <v>278.39999999999998</v>
      </c>
      <c r="AC41" s="87">
        <f t="shared" si="39"/>
        <v>0</v>
      </c>
      <c r="AD41" s="87">
        <f t="shared" si="40"/>
        <v>0</v>
      </c>
      <c r="AE41" s="87">
        <f t="shared" si="41"/>
        <v>0</v>
      </c>
      <c r="AF41" s="87">
        <f t="shared" si="42"/>
        <v>0</v>
      </c>
      <c r="AG41" s="87">
        <f t="shared" si="43"/>
        <v>0</v>
      </c>
      <c r="AH41" s="87">
        <f t="shared" si="44"/>
        <v>0</v>
      </c>
      <c r="AI41" s="87">
        <f t="shared" si="45"/>
        <v>0</v>
      </c>
      <c r="AJ41" s="87">
        <f t="shared" si="46"/>
        <v>0</v>
      </c>
      <c r="AK41" s="87">
        <f t="shared" si="47"/>
        <v>0</v>
      </c>
      <c r="AL41" s="87">
        <f t="shared" si="48"/>
        <v>0</v>
      </c>
      <c r="AM41" s="87">
        <f t="shared" si="49"/>
        <v>0</v>
      </c>
      <c r="AN41" s="87">
        <f t="shared" si="50"/>
        <v>0</v>
      </c>
      <c r="AO41" s="87">
        <f t="shared" si="51"/>
        <v>0</v>
      </c>
      <c r="AP41" s="133"/>
      <c r="AQ41" s="432">
        <v>23</v>
      </c>
      <c r="AR41" s="279">
        <f t="shared" ca="1" si="58"/>
        <v>46853</v>
      </c>
      <c r="AS41" s="429">
        <f t="shared" ca="1" si="10"/>
        <v>1589.6100000000001</v>
      </c>
      <c r="AT41" s="276"/>
      <c r="AU41" s="427">
        <v>23</v>
      </c>
      <c r="AV41" s="279">
        <f t="shared" ca="1" si="59"/>
        <v>46883</v>
      </c>
      <c r="AW41" s="433">
        <f t="shared" ca="1" si="52"/>
        <v>0</v>
      </c>
      <c r="AX41" s="202">
        <f t="shared" ca="1" si="53"/>
        <v>0</v>
      </c>
      <c r="AY41" s="427">
        <v>23</v>
      </c>
      <c r="AZ41" s="279">
        <f t="shared" ca="1" si="60"/>
        <v>46883</v>
      </c>
      <c r="BA41" s="433">
        <f t="shared" si="54"/>
        <v>1589.6100000000001</v>
      </c>
      <c r="BB41" s="259">
        <f t="shared" ca="1" si="11"/>
        <v>46853</v>
      </c>
      <c r="BC41" s="428">
        <f t="shared" ca="1" si="55"/>
        <v>0</v>
      </c>
      <c r="BD41" s="177">
        <f t="shared" si="12"/>
        <v>67.81</v>
      </c>
      <c r="BE41" s="177">
        <f t="shared" si="13"/>
        <v>70.569999999999993</v>
      </c>
      <c r="BF41" s="177">
        <f t="shared" si="14"/>
        <v>1172.83</v>
      </c>
      <c r="BG41" s="133">
        <f t="shared" si="15"/>
        <v>278.39999999999998</v>
      </c>
      <c r="BH41" s="133">
        <f t="shared" si="16"/>
        <v>0</v>
      </c>
      <c r="BI41" s="133">
        <f t="shared" si="17"/>
        <v>0</v>
      </c>
      <c r="BJ41" s="133">
        <f t="shared" si="18"/>
        <v>0</v>
      </c>
      <c r="BK41" s="133">
        <f t="shared" si="19"/>
        <v>0</v>
      </c>
      <c r="BL41" s="133">
        <f t="shared" si="20"/>
        <v>0</v>
      </c>
      <c r="BM41" s="133">
        <f t="shared" si="21"/>
        <v>0</v>
      </c>
      <c r="BN41" s="133">
        <f t="shared" si="22"/>
        <v>0</v>
      </c>
      <c r="BO41" s="133">
        <f t="shared" si="23"/>
        <v>0</v>
      </c>
      <c r="BP41" s="133">
        <f t="shared" si="24"/>
        <v>0</v>
      </c>
      <c r="BQ41" s="133">
        <f t="shared" si="25"/>
        <v>0</v>
      </c>
      <c r="BR41" s="133">
        <f t="shared" si="26"/>
        <v>0</v>
      </c>
      <c r="BS41" s="133">
        <f t="shared" si="27"/>
        <v>0</v>
      </c>
      <c r="BT41" s="133">
        <f t="shared" si="28"/>
        <v>0</v>
      </c>
      <c r="BU41" s="133"/>
      <c r="BV41" s="177"/>
      <c r="BW41" s="17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  <c r="CH41" s="267"/>
      <c r="CI41" s="435"/>
      <c r="CJ41" s="436"/>
      <c r="CK41" s="437"/>
      <c r="CL41" s="133"/>
      <c r="CM41" s="64" t="s">
        <v>1013</v>
      </c>
      <c r="CN41" s="707">
        <v>33.166666666666664</v>
      </c>
      <c r="CO41" s="87"/>
      <c r="CP41" s="87"/>
      <c r="CQ41" s="87"/>
      <c r="CR41" s="87"/>
      <c r="CS41" s="178">
        <v>23</v>
      </c>
      <c r="CT41" s="259">
        <f t="shared" ca="1" si="29"/>
        <v>46883</v>
      </c>
      <c r="CU41" s="179">
        <f t="shared" ca="1" si="56"/>
        <v>1023.1997334780488</v>
      </c>
      <c r="CV41" s="179">
        <f t="shared" ca="1" si="56"/>
        <v>1035.3463455367526</v>
      </c>
      <c r="CW41" s="179">
        <f t="shared" ca="1" si="56"/>
        <v>1042.706318601694</v>
      </c>
      <c r="CX41" s="179">
        <f t="shared" ref="CV41:DK56" ca="1" si="77">(($AW41/(1+CX$18)^(($AZ41-$AZ$18)/30)))+($AS41/(1+CX$18)^(($AZ41-$AZ$18)/30))</f>
        <v>1050.1208046400441</v>
      </c>
      <c r="CY41" s="179">
        <f t="shared" ca="1" si="77"/>
        <v>1057.5902236651209</v>
      </c>
      <c r="CZ41" s="179">
        <f t="shared" ca="1" si="77"/>
        <v>1065.114999051661</v>
      </c>
      <c r="DA41" s="179">
        <f t="shared" ca="1" si="77"/>
        <v>1070.1624801175399</v>
      </c>
      <c r="DB41" s="179">
        <f t="shared" ca="1" si="77"/>
        <v>1080.3323293829737</v>
      </c>
      <c r="DC41" s="179">
        <f t="shared" ca="1" si="77"/>
        <v>1085.4549542051961</v>
      </c>
      <c r="DD41" s="179">
        <f t="shared" ca="1" si="77"/>
        <v>1090.6028847102123</v>
      </c>
      <c r="DE41" s="179">
        <f t="shared" ca="1" si="77"/>
        <v>1095.7762509270592</v>
      </c>
      <c r="DF41" s="179" t="e">
        <f t="shared" ca="1" si="77"/>
        <v>#VALUE!</v>
      </c>
      <c r="DG41" s="179" t="e">
        <f t="shared" ca="1" si="77"/>
        <v>#VALUE!</v>
      </c>
      <c r="DH41" s="179" t="e">
        <f t="shared" ca="1" si="77"/>
        <v>#VALUE!</v>
      </c>
      <c r="DI41" s="179" t="e">
        <f t="shared" ca="1" si="77"/>
        <v>#VALUE!</v>
      </c>
      <c r="DJ41" s="179" t="e">
        <f t="shared" ca="1" si="73"/>
        <v>#VALUE!</v>
      </c>
      <c r="DK41" s="179" t="e">
        <f t="shared" ca="1" si="73"/>
        <v>#VALUE!</v>
      </c>
      <c r="DL41" s="179" t="e">
        <f t="shared" ca="1" si="73"/>
        <v>#VALUE!</v>
      </c>
      <c r="DM41" s="179" t="e">
        <f t="shared" ca="1" si="73"/>
        <v>#VALUE!</v>
      </c>
      <c r="DN41" s="179" t="e">
        <f t="shared" ca="1" si="73"/>
        <v>#VALUE!</v>
      </c>
      <c r="DO41" s="179" t="e">
        <f t="shared" ca="1" si="73"/>
        <v>#VALUE!</v>
      </c>
      <c r="DP41" s="179" t="e">
        <f t="shared" ca="1" si="73"/>
        <v>#VALUE!</v>
      </c>
      <c r="DQ41" s="179" t="e">
        <f t="shared" ca="1" si="73"/>
        <v>#VALUE!</v>
      </c>
      <c r="DR41" s="431">
        <v>23</v>
      </c>
      <c r="DS41" s="430">
        <f t="shared" ca="1" si="61"/>
        <v>46853</v>
      </c>
      <c r="DT41" s="180">
        <f t="shared" ca="1" si="76"/>
        <v>0</v>
      </c>
      <c r="DU41" s="180">
        <f t="shared" ca="1" si="76"/>
        <v>0</v>
      </c>
      <c r="DV41" s="180">
        <f t="shared" ca="1" si="76"/>
        <v>0</v>
      </c>
      <c r="DW41" s="180">
        <f t="shared" ca="1" si="76"/>
        <v>0</v>
      </c>
      <c r="DX41" s="180">
        <f t="shared" ca="1" si="76"/>
        <v>0</v>
      </c>
      <c r="DY41" s="180">
        <f t="shared" ca="1" si="76"/>
        <v>0</v>
      </c>
      <c r="DZ41" s="180">
        <f t="shared" ca="1" si="76"/>
        <v>0</v>
      </c>
      <c r="EA41" s="180">
        <f t="shared" ca="1" si="76"/>
        <v>0</v>
      </c>
      <c r="EB41" s="180">
        <f t="shared" ca="1" si="76"/>
        <v>0</v>
      </c>
      <c r="EC41" s="180">
        <f t="shared" ca="1" si="76"/>
        <v>0</v>
      </c>
      <c r="ED41" s="180">
        <f t="shared" ca="1" si="76"/>
        <v>0</v>
      </c>
      <c r="EE41" s="180">
        <f t="shared" ca="1" si="76"/>
        <v>0</v>
      </c>
      <c r="EF41" s="180">
        <f t="shared" ca="1" si="76"/>
        <v>0</v>
      </c>
      <c r="EG41" s="180">
        <f t="shared" ca="1" si="76"/>
        <v>0</v>
      </c>
      <c r="EH41" s="180">
        <f t="shared" ca="1" si="75"/>
        <v>0</v>
      </c>
      <c r="EI41" s="180">
        <f t="shared" ca="1" si="74"/>
        <v>0</v>
      </c>
      <c r="EJ41" s="180">
        <f t="shared" ca="1" si="74"/>
        <v>0</v>
      </c>
      <c r="EK41" s="180">
        <f t="shared" ca="1" si="74"/>
        <v>0</v>
      </c>
      <c r="EL41" s="180">
        <f t="shared" ca="1" si="74"/>
        <v>0</v>
      </c>
      <c r="EM41" s="180">
        <f t="shared" ca="1" si="74"/>
        <v>0</v>
      </c>
      <c r="EN41" s="180">
        <f t="shared" ca="1" si="74"/>
        <v>0</v>
      </c>
      <c r="EO41" s="180">
        <f t="shared" ca="1" si="74"/>
        <v>0</v>
      </c>
      <c r="EP41" s="180">
        <f t="shared" ca="1" si="74"/>
        <v>0</v>
      </c>
      <c r="EQ41" s="180"/>
      <c r="ER41" s="180"/>
    </row>
    <row r="42" spans="2:148" s="8" customFormat="1" ht="15.75" thickBot="1" x14ac:dyDescent="0.3">
      <c r="D42" s="201">
        <v>15</v>
      </c>
      <c r="E42" s="25" t="str">
        <f t="shared" si="63"/>
        <v>INSS</v>
      </c>
      <c r="F42" s="627" t="str">
        <f>IFERROR(VLOOKUP(CONCATENATE(D42,E42),'Base tabelas'!$B:$K,10,FALSE),"")</f>
        <v/>
      </c>
      <c r="G42" s="628"/>
      <c r="H42" s="629"/>
      <c r="I42" s="45" t="str">
        <f>IFERROR(VLOOKUP(CONCATENATE(D42,E42),'Base tabelas'!$B:$E,4,FALSE),"")</f>
        <v/>
      </c>
      <c r="J42" s="34" t="str">
        <f t="shared" ca="1" si="64"/>
        <v/>
      </c>
      <c r="K42" s="46" t="str">
        <f ca="1">IFERROR(DI163,"")</f>
        <v/>
      </c>
      <c r="L42" s="46" t="str">
        <f t="shared" si="65"/>
        <v/>
      </c>
      <c r="M42" s="326" t="str">
        <f ca="1">IFERROR(EH17*-1,"")</f>
        <v/>
      </c>
      <c r="N42" s="59" t="str">
        <f t="shared" ca="1" si="66"/>
        <v/>
      </c>
      <c r="O42" s="69" t="str">
        <f t="shared" si="67"/>
        <v/>
      </c>
      <c r="P42" s="302" t="str">
        <f>IFERROR(VLOOKUP(CONCATENATE(D42,E42),'Base tabelas'!$B:$O,14,FALSE),"")</f>
        <v/>
      </c>
      <c r="Q42" s="186" t="str">
        <f ca="1">EH167</f>
        <v/>
      </c>
      <c r="R42" s="307" t="str">
        <f t="shared" ca="1" si="68"/>
        <v/>
      </c>
      <c r="S42" s="308" t="e">
        <f t="shared" ca="1" si="69"/>
        <v>#VALUE!</v>
      </c>
      <c r="T42" s="309"/>
      <c r="U42" s="460">
        <f t="shared" ca="1" si="70"/>
        <v>0</v>
      </c>
      <c r="V42" s="371"/>
      <c r="W42" s="371"/>
      <c r="X42" s="133">
        <v>24</v>
      </c>
      <c r="Y42" s="87">
        <f t="shared" ca="1" si="35"/>
        <v>67.81</v>
      </c>
      <c r="Z42" s="87">
        <f t="shared" ca="1" si="36"/>
        <v>70.569999999999993</v>
      </c>
      <c r="AA42" s="87">
        <f t="shared" ca="1" si="37"/>
        <v>1172.83</v>
      </c>
      <c r="AB42" s="87">
        <f t="shared" ca="1" si="38"/>
        <v>278.39999999999998</v>
      </c>
      <c r="AC42" s="87">
        <f t="shared" si="39"/>
        <v>0</v>
      </c>
      <c r="AD42" s="87">
        <f t="shared" si="40"/>
        <v>0</v>
      </c>
      <c r="AE42" s="87">
        <f t="shared" si="41"/>
        <v>0</v>
      </c>
      <c r="AF42" s="87">
        <f t="shared" si="42"/>
        <v>0</v>
      </c>
      <c r="AG42" s="87">
        <f t="shared" si="43"/>
        <v>0</v>
      </c>
      <c r="AH42" s="87">
        <f t="shared" si="44"/>
        <v>0</v>
      </c>
      <c r="AI42" s="87">
        <f t="shared" si="45"/>
        <v>0</v>
      </c>
      <c r="AJ42" s="87">
        <f t="shared" si="46"/>
        <v>0</v>
      </c>
      <c r="AK42" s="87">
        <f t="shared" si="47"/>
        <v>0</v>
      </c>
      <c r="AL42" s="87">
        <f t="shared" si="48"/>
        <v>0</v>
      </c>
      <c r="AM42" s="87">
        <f t="shared" si="49"/>
        <v>0</v>
      </c>
      <c r="AN42" s="87">
        <f t="shared" si="50"/>
        <v>0</v>
      </c>
      <c r="AO42" s="87">
        <f t="shared" si="51"/>
        <v>0</v>
      </c>
      <c r="AP42" s="133"/>
      <c r="AQ42" s="432">
        <v>24</v>
      </c>
      <c r="AR42" s="279">
        <f t="shared" ca="1" si="58"/>
        <v>46883</v>
      </c>
      <c r="AS42" s="429">
        <f t="shared" ca="1" si="10"/>
        <v>1589.6100000000001</v>
      </c>
      <c r="AT42" s="276"/>
      <c r="AU42" s="427">
        <v>24</v>
      </c>
      <c r="AV42" s="279">
        <f t="shared" ca="1" si="59"/>
        <v>46914</v>
      </c>
      <c r="AW42" s="433">
        <f t="shared" ca="1" si="52"/>
        <v>0</v>
      </c>
      <c r="AX42" s="202">
        <f t="shared" ca="1" si="53"/>
        <v>0</v>
      </c>
      <c r="AY42" s="427">
        <v>24</v>
      </c>
      <c r="AZ42" s="279">
        <f t="shared" ca="1" si="60"/>
        <v>46914</v>
      </c>
      <c r="BA42" s="433">
        <f t="shared" si="54"/>
        <v>1589.6100000000001</v>
      </c>
      <c r="BB42" s="259">
        <f t="shared" ca="1" si="11"/>
        <v>46883</v>
      </c>
      <c r="BC42" s="428">
        <f t="shared" ca="1" si="55"/>
        <v>0</v>
      </c>
      <c r="BD42" s="177">
        <f t="shared" si="12"/>
        <v>67.81</v>
      </c>
      <c r="BE42" s="177">
        <f t="shared" si="13"/>
        <v>70.569999999999993</v>
      </c>
      <c r="BF42" s="177">
        <f t="shared" si="14"/>
        <v>1172.83</v>
      </c>
      <c r="BG42" s="133">
        <f t="shared" si="15"/>
        <v>278.39999999999998</v>
      </c>
      <c r="BH42" s="133">
        <f t="shared" si="16"/>
        <v>0</v>
      </c>
      <c r="BI42" s="133">
        <f t="shared" si="17"/>
        <v>0</v>
      </c>
      <c r="BJ42" s="133">
        <f t="shared" si="18"/>
        <v>0</v>
      </c>
      <c r="BK42" s="133">
        <f t="shared" si="19"/>
        <v>0</v>
      </c>
      <c r="BL42" s="133">
        <f t="shared" si="20"/>
        <v>0</v>
      </c>
      <c r="BM42" s="133">
        <f t="shared" si="21"/>
        <v>0</v>
      </c>
      <c r="BN42" s="133">
        <f t="shared" si="22"/>
        <v>0</v>
      </c>
      <c r="BO42" s="133">
        <f t="shared" si="23"/>
        <v>0</v>
      </c>
      <c r="BP42" s="133">
        <f t="shared" si="24"/>
        <v>0</v>
      </c>
      <c r="BQ42" s="133">
        <f t="shared" si="25"/>
        <v>0</v>
      </c>
      <c r="BR42" s="133">
        <f t="shared" si="26"/>
        <v>0</v>
      </c>
      <c r="BS42" s="133">
        <f t="shared" si="27"/>
        <v>0</v>
      </c>
      <c r="BT42" s="133">
        <f t="shared" si="28"/>
        <v>0</v>
      </c>
      <c r="BU42" s="133"/>
      <c r="BV42" s="177"/>
      <c r="BW42" s="177"/>
      <c r="BX42" s="267"/>
      <c r="BY42" s="267"/>
      <c r="BZ42" s="267"/>
      <c r="CA42" s="267"/>
      <c r="CB42" s="267"/>
      <c r="CC42" s="267"/>
      <c r="CD42" s="267"/>
      <c r="CE42" s="267"/>
      <c r="CF42" s="267"/>
      <c r="CG42" s="267"/>
      <c r="CH42" s="267"/>
      <c r="CI42" s="435"/>
      <c r="CJ42" s="436"/>
      <c r="CK42" s="437"/>
      <c r="CL42" s="133"/>
      <c r="CM42" s="64" t="s">
        <v>66</v>
      </c>
      <c r="CN42" s="707">
        <v>48.272727272727273</v>
      </c>
      <c r="CO42" s="87"/>
      <c r="CP42" s="87"/>
      <c r="CQ42" s="87"/>
      <c r="CR42" s="87"/>
      <c r="CS42" s="138">
        <v>24</v>
      </c>
      <c r="CT42" s="259">
        <f t="shared" ca="1" si="29"/>
        <v>46914</v>
      </c>
      <c r="CU42" s="179">
        <f t="shared" ca="1" si="56"/>
        <v>1004.0007037639542</v>
      </c>
      <c r="CV42" s="179">
        <f t="shared" ca="1" si="77"/>
        <v>1016.4350151553257</v>
      </c>
      <c r="CW42" s="179">
        <f t="shared" ca="1" si="77"/>
        <v>1023.972370293838</v>
      </c>
      <c r="CX42" s="179">
        <f t="shared" ca="1" si="77"/>
        <v>1031.5678655186384</v>
      </c>
      <c r="CY42" s="179">
        <f t="shared" ca="1" si="77"/>
        <v>1039.2219666411188</v>
      </c>
      <c r="CZ42" s="179">
        <f t="shared" ca="1" si="77"/>
        <v>1046.9351433437066</v>
      </c>
      <c r="DA42" s="179">
        <f t="shared" ca="1" si="77"/>
        <v>1052.1103146205076</v>
      </c>
      <c r="DB42" s="179">
        <f t="shared" ca="1" si="77"/>
        <v>1062.5406217744908</v>
      </c>
      <c r="DC42" s="179">
        <f t="shared" ca="1" si="77"/>
        <v>1067.7960425891019</v>
      </c>
      <c r="DD42" s="179">
        <f t="shared" ca="1" si="77"/>
        <v>1073.0784995029574</v>
      </c>
      <c r="DE42" s="179">
        <f t="shared" ca="1" si="77"/>
        <v>1078.3881369653857</v>
      </c>
      <c r="DF42" s="179" t="e">
        <f t="shared" ca="1" si="77"/>
        <v>#VALUE!</v>
      </c>
      <c r="DG42" s="179" t="e">
        <f t="shared" ca="1" si="77"/>
        <v>#VALUE!</v>
      </c>
      <c r="DH42" s="179" t="e">
        <f t="shared" ca="1" si="77"/>
        <v>#VALUE!</v>
      </c>
      <c r="DI42" s="179" t="e">
        <f t="shared" ca="1" si="77"/>
        <v>#VALUE!</v>
      </c>
      <c r="DJ42" s="179" t="e">
        <f t="shared" ca="1" si="73"/>
        <v>#VALUE!</v>
      </c>
      <c r="DK42" s="179" t="e">
        <f t="shared" ca="1" si="73"/>
        <v>#VALUE!</v>
      </c>
      <c r="DL42" s="179" t="e">
        <f t="shared" ca="1" si="73"/>
        <v>#VALUE!</v>
      </c>
      <c r="DM42" s="179" t="e">
        <f t="shared" ca="1" si="73"/>
        <v>#VALUE!</v>
      </c>
      <c r="DN42" s="179" t="e">
        <f t="shared" ca="1" si="73"/>
        <v>#VALUE!</v>
      </c>
      <c r="DO42" s="179" t="e">
        <f t="shared" ca="1" si="73"/>
        <v>#VALUE!</v>
      </c>
      <c r="DP42" s="179" t="e">
        <f t="shared" ca="1" si="73"/>
        <v>#VALUE!</v>
      </c>
      <c r="DQ42" s="179" t="e">
        <f t="shared" ca="1" si="73"/>
        <v>#VALUE!</v>
      </c>
      <c r="DR42" s="278">
        <v>24</v>
      </c>
      <c r="DS42" s="430">
        <f t="shared" ca="1" si="61"/>
        <v>46883</v>
      </c>
      <c r="DT42" s="180">
        <f t="shared" ca="1" si="76"/>
        <v>0</v>
      </c>
      <c r="DU42" s="180">
        <f t="shared" ca="1" si="76"/>
        <v>0</v>
      </c>
      <c r="DV42" s="180">
        <f t="shared" ca="1" si="76"/>
        <v>0</v>
      </c>
      <c r="DW42" s="180">
        <f t="shared" ca="1" si="76"/>
        <v>0</v>
      </c>
      <c r="DX42" s="180">
        <f t="shared" ca="1" si="76"/>
        <v>0</v>
      </c>
      <c r="DY42" s="180">
        <f t="shared" ca="1" si="76"/>
        <v>0</v>
      </c>
      <c r="DZ42" s="180">
        <f t="shared" ca="1" si="76"/>
        <v>0</v>
      </c>
      <c r="EA42" s="180">
        <f t="shared" ca="1" si="76"/>
        <v>0</v>
      </c>
      <c r="EB42" s="180">
        <f t="shared" ca="1" si="76"/>
        <v>0</v>
      </c>
      <c r="EC42" s="180">
        <f t="shared" ca="1" si="76"/>
        <v>0</v>
      </c>
      <c r="ED42" s="180">
        <f t="shared" ca="1" si="76"/>
        <v>0</v>
      </c>
      <c r="EE42" s="180">
        <f t="shared" ca="1" si="76"/>
        <v>0</v>
      </c>
      <c r="EF42" s="180">
        <f t="shared" ca="1" si="76"/>
        <v>0</v>
      </c>
      <c r="EG42" s="180">
        <f t="shared" ca="1" si="76"/>
        <v>0</v>
      </c>
      <c r="EH42" s="180">
        <f t="shared" ca="1" si="75"/>
        <v>0</v>
      </c>
      <c r="EI42" s="180">
        <f t="shared" ca="1" si="74"/>
        <v>0</v>
      </c>
      <c r="EJ42" s="180">
        <f t="shared" ca="1" si="74"/>
        <v>0</v>
      </c>
      <c r="EK42" s="180">
        <f t="shared" ca="1" si="74"/>
        <v>0</v>
      </c>
      <c r="EL42" s="180">
        <f t="shared" ca="1" si="74"/>
        <v>0</v>
      </c>
      <c r="EM42" s="180">
        <f t="shared" ca="1" si="74"/>
        <v>0</v>
      </c>
      <c r="EN42" s="180">
        <f t="shared" ca="1" si="74"/>
        <v>0</v>
      </c>
      <c r="EO42" s="180">
        <f t="shared" ca="1" si="74"/>
        <v>0</v>
      </c>
      <c r="EP42" s="180">
        <f t="shared" ca="1" si="74"/>
        <v>0</v>
      </c>
      <c r="EQ42" s="180"/>
      <c r="ER42" s="180"/>
    </row>
    <row r="43" spans="2:148" s="8" customFormat="1" ht="15.75" thickBot="1" x14ac:dyDescent="0.3">
      <c r="D43" s="201">
        <v>16</v>
      </c>
      <c r="E43" s="25" t="str">
        <f t="shared" si="63"/>
        <v>INSS</v>
      </c>
      <c r="F43" s="627" t="str">
        <f>IFERROR(VLOOKUP(CONCATENATE(D43,E43),'Base tabelas'!$B:$K,10,FALSE),"")</f>
        <v/>
      </c>
      <c r="G43" s="628"/>
      <c r="H43" s="629"/>
      <c r="I43" s="45" t="str">
        <f>IFERROR(VLOOKUP(CONCATENATE(D43,E43),'Base tabelas'!$B:$E,4,FALSE),"")</f>
        <v/>
      </c>
      <c r="J43" s="34" t="str">
        <f t="shared" ref="J43:J52" ca="1" si="78">IFERROR($E$24/K43,"")</f>
        <v/>
      </c>
      <c r="K43" s="46" t="str">
        <f ca="1">IFERROR(DJ163,"")</f>
        <v/>
      </c>
      <c r="L43" s="46" t="str">
        <f t="shared" ref="L43:L52" si="79">IF(F43="","",IF(K43=0,0,$V$16))</f>
        <v/>
      </c>
      <c r="M43" s="326" t="str">
        <f ca="1">IFERROR(EI17*-1,"")</f>
        <v/>
      </c>
      <c r="N43" s="59" t="str">
        <f t="shared" ref="N43:N52" ca="1" si="80">IFERROR(IF(K43&gt;=P43,IF($V$12&gt;=1,IF(F43="","",IF(M43&lt;100,"Não Libera Troco",IF((I43)&lt;=$E$26,IF(M43&gt;100,"TAB disponivel","Não Libera Troco"),"Tabela Superior Taxa Ponderada"))),"Não Disponível"),"Não Disponível"),"")</f>
        <v/>
      </c>
      <c r="O43" s="69" t="str">
        <f t="shared" ref="O43:O52" si="81">IF(L43="","",IF(AND(E$28&gt;0,$V$22&gt;0),IF(N43=$G$47,"Tabela Superior Taxa Ponderada",IF(OR(IFERROR(K43/$E$22-1,"")&gt;9.98%,IFERROR(K43/$E$22-1,"")&lt;-9.98%),"Gera Reassinatura","Sem Reassinatura")),""))</f>
        <v/>
      </c>
      <c r="P43" s="302" t="str">
        <f>IFERROR(VLOOKUP(CONCATENATE(D43,E43),'Base tabelas'!$B:$O,14,FALSE),"")</f>
        <v/>
      </c>
      <c r="Q43" s="186" t="str">
        <f ca="1">EI167</f>
        <v/>
      </c>
      <c r="R43" s="307" t="str">
        <f t="shared" ca="1" si="68"/>
        <v/>
      </c>
      <c r="S43" s="308" t="e">
        <f t="shared" ca="1" si="69"/>
        <v>#VALUE!</v>
      </c>
      <c r="T43" s="133"/>
      <c r="U43" s="460">
        <f t="shared" ca="1" si="70"/>
        <v>0</v>
      </c>
      <c r="V43" s="371"/>
      <c r="W43" s="371"/>
      <c r="X43" s="133">
        <v>25</v>
      </c>
      <c r="Y43" s="87">
        <f t="shared" ca="1" si="35"/>
        <v>67.81</v>
      </c>
      <c r="Z43" s="87">
        <f t="shared" ca="1" si="36"/>
        <v>70.569999999999993</v>
      </c>
      <c r="AA43" s="87">
        <f t="shared" ca="1" si="37"/>
        <v>1172.83</v>
      </c>
      <c r="AB43" s="87">
        <f t="shared" ca="1" si="38"/>
        <v>278.39999999999998</v>
      </c>
      <c r="AC43" s="87">
        <f t="shared" si="39"/>
        <v>0</v>
      </c>
      <c r="AD43" s="87">
        <f t="shared" si="40"/>
        <v>0</v>
      </c>
      <c r="AE43" s="87">
        <f t="shared" si="41"/>
        <v>0</v>
      </c>
      <c r="AF43" s="87">
        <f t="shared" si="42"/>
        <v>0</v>
      </c>
      <c r="AG43" s="87">
        <f t="shared" si="43"/>
        <v>0</v>
      </c>
      <c r="AH43" s="87">
        <f t="shared" si="44"/>
        <v>0</v>
      </c>
      <c r="AI43" s="87">
        <f t="shared" si="45"/>
        <v>0</v>
      </c>
      <c r="AJ43" s="87">
        <f t="shared" si="46"/>
        <v>0</v>
      </c>
      <c r="AK43" s="87">
        <f t="shared" si="47"/>
        <v>0</v>
      </c>
      <c r="AL43" s="87">
        <f t="shared" si="48"/>
        <v>0</v>
      </c>
      <c r="AM43" s="87">
        <f t="shared" si="49"/>
        <v>0</v>
      </c>
      <c r="AN43" s="87">
        <f t="shared" si="50"/>
        <v>0</v>
      </c>
      <c r="AO43" s="87">
        <f t="shared" si="51"/>
        <v>0</v>
      </c>
      <c r="AP43" s="133"/>
      <c r="AQ43" s="432">
        <v>25</v>
      </c>
      <c r="AR43" s="279">
        <f t="shared" ca="1" si="58"/>
        <v>46914</v>
      </c>
      <c r="AS43" s="429">
        <f t="shared" ca="1" si="10"/>
        <v>1589.6100000000001</v>
      </c>
      <c r="AT43" s="276"/>
      <c r="AU43" s="427">
        <v>25</v>
      </c>
      <c r="AV43" s="279">
        <f t="shared" ca="1" si="59"/>
        <v>46944</v>
      </c>
      <c r="AW43" s="433">
        <f t="shared" ca="1" si="52"/>
        <v>0</v>
      </c>
      <c r="AX43" s="202">
        <f t="shared" ca="1" si="53"/>
        <v>0</v>
      </c>
      <c r="AY43" s="427">
        <v>25</v>
      </c>
      <c r="AZ43" s="279">
        <f t="shared" ca="1" si="60"/>
        <v>46944</v>
      </c>
      <c r="BA43" s="433">
        <f t="shared" si="54"/>
        <v>1589.6100000000001</v>
      </c>
      <c r="BB43" s="259">
        <f t="shared" ca="1" si="11"/>
        <v>46914</v>
      </c>
      <c r="BC43" s="428">
        <f t="shared" ca="1" si="55"/>
        <v>0</v>
      </c>
      <c r="BD43" s="177">
        <f t="shared" si="12"/>
        <v>67.81</v>
      </c>
      <c r="BE43" s="177">
        <f t="shared" si="13"/>
        <v>70.569999999999993</v>
      </c>
      <c r="BF43" s="177">
        <f t="shared" si="14"/>
        <v>1172.83</v>
      </c>
      <c r="BG43" s="133">
        <f t="shared" si="15"/>
        <v>278.39999999999998</v>
      </c>
      <c r="BH43" s="133">
        <f t="shared" si="16"/>
        <v>0</v>
      </c>
      <c r="BI43" s="133">
        <f t="shared" si="17"/>
        <v>0</v>
      </c>
      <c r="BJ43" s="133">
        <f t="shared" si="18"/>
        <v>0</v>
      </c>
      <c r="BK43" s="133">
        <f t="shared" si="19"/>
        <v>0</v>
      </c>
      <c r="BL43" s="133">
        <f t="shared" si="20"/>
        <v>0</v>
      </c>
      <c r="BM43" s="133">
        <f t="shared" si="21"/>
        <v>0</v>
      </c>
      <c r="BN43" s="133">
        <f t="shared" si="22"/>
        <v>0</v>
      </c>
      <c r="BO43" s="133">
        <f t="shared" si="23"/>
        <v>0</v>
      </c>
      <c r="BP43" s="133">
        <f t="shared" si="24"/>
        <v>0</v>
      </c>
      <c r="BQ43" s="133">
        <f t="shared" si="25"/>
        <v>0</v>
      </c>
      <c r="BR43" s="133">
        <f t="shared" si="26"/>
        <v>0</v>
      </c>
      <c r="BS43" s="133">
        <f t="shared" si="27"/>
        <v>0</v>
      </c>
      <c r="BT43" s="133">
        <f t="shared" si="28"/>
        <v>0</v>
      </c>
      <c r="BU43" s="133"/>
      <c r="BV43" s="177"/>
      <c r="BW43" s="177"/>
      <c r="BX43" s="267"/>
      <c r="BY43" s="267"/>
      <c r="BZ43" s="267"/>
      <c r="CA43" s="267"/>
      <c r="CB43" s="267"/>
      <c r="CC43" s="267"/>
      <c r="CD43" s="267"/>
      <c r="CE43" s="267"/>
      <c r="CF43" s="267"/>
      <c r="CG43" s="267"/>
      <c r="CH43" s="267"/>
      <c r="CI43" s="435"/>
      <c r="CJ43" s="436"/>
      <c r="CK43" s="437"/>
      <c r="CL43" s="370"/>
      <c r="CM43" s="64" t="s">
        <v>2775</v>
      </c>
      <c r="CN43" s="707"/>
      <c r="CO43" s="87"/>
      <c r="CP43" s="87"/>
      <c r="CQ43" s="87"/>
      <c r="CR43" s="87"/>
      <c r="CS43" s="87">
        <v>25</v>
      </c>
      <c r="CT43" s="259">
        <f t="shared" ca="1" si="29"/>
        <v>46944</v>
      </c>
      <c r="CU43" s="179">
        <f t="shared" ca="1" si="56"/>
        <v>985.76406849676425</v>
      </c>
      <c r="CV43" s="179">
        <f t="shared" ca="1" si="77"/>
        <v>998.46268679305092</v>
      </c>
      <c r="CW43" s="179">
        <f t="shared" ca="1" si="77"/>
        <v>1006.1632802337014</v>
      </c>
      <c r="CX43" s="179">
        <f t="shared" ca="1" si="77"/>
        <v>1013.9255607613901</v>
      </c>
      <c r="CY43" s="179">
        <f t="shared" ca="1" si="77"/>
        <v>1021.7500409410272</v>
      </c>
      <c r="CZ43" s="179">
        <f t="shared" ca="1" si="77"/>
        <v>1029.6372377495147</v>
      </c>
      <c r="DA43" s="179">
        <f t="shared" ca="1" si="77"/>
        <v>1034.9304688378002</v>
      </c>
      <c r="DB43" s="179">
        <f t="shared" ca="1" si="77"/>
        <v>1045.6018714568891</v>
      </c>
      <c r="DC43" s="179">
        <f t="shared" ca="1" si="77"/>
        <v>1050.9803568790373</v>
      </c>
      <c r="DD43" s="179">
        <f t="shared" ca="1" si="77"/>
        <v>1056.3875758052345</v>
      </c>
      <c r="DE43" s="179">
        <f t="shared" ca="1" si="77"/>
        <v>1061.8236874413012</v>
      </c>
      <c r="DF43" s="179" t="e">
        <f t="shared" ca="1" si="77"/>
        <v>#VALUE!</v>
      </c>
      <c r="DG43" s="179" t="e">
        <f t="shared" ca="1" si="77"/>
        <v>#VALUE!</v>
      </c>
      <c r="DH43" s="179" t="e">
        <f t="shared" ca="1" si="77"/>
        <v>#VALUE!</v>
      </c>
      <c r="DI43" s="179" t="e">
        <f t="shared" ca="1" si="77"/>
        <v>#VALUE!</v>
      </c>
      <c r="DJ43" s="179" t="e">
        <f t="shared" ca="1" si="73"/>
        <v>#VALUE!</v>
      </c>
      <c r="DK43" s="179" t="e">
        <f t="shared" ca="1" si="73"/>
        <v>#VALUE!</v>
      </c>
      <c r="DL43" s="179" t="e">
        <f t="shared" ca="1" si="73"/>
        <v>#VALUE!</v>
      </c>
      <c r="DM43" s="179" t="e">
        <f t="shared" ca="1" si="73"/>
        <v>#VALUE!</v>
      </c>
      <c r="DN43" s="179" t="e">
        <f t="shared" ca="1" si="73"/>
        <v>#VALUE!</v>
      </c>
      <c r="DO43" s="179" t="e">
        <f t="shared" ca="1" si="73"/>
        <v>#VALUE!</v>
      </c>
      <c r="DP43" s="179" t="e">
        <f t="shared" ca="1" si="73"/>
        <v>#VALUE!</v>
      </c>
      <c r="DQ43" s="179" t="e">
        <f t="shared" ca="1" si="73"/>
        <v>#VALUE!</v>
      </c>
      <c r="DR43" s="188">
        <v>25</v>
      </c>
      <c r="DS43" s="430">
        <f t="shared" ca="1" si="61"/>
        <v>46914</v>
      </c>
      <c r="DT43" s="180">
        <f t="shared" ca="1" si="76"/>
        <v>0</v>
      </c>
      <c r="DU43" s="180">
        <f t="shared" ca="1" si="76"/>
        <v>0</v>
      </c>
      <c r="DV43" s="180">
        <f t="shared" ca="1" si="76"/>
        <v>0</v>
      </c>
      <c r="DW43" s="180">
        <f t="shared" ca="1" si="76"/>
        <v>0</v>
      </c>
      <c r="DX43" s="180">
        <f t="shared" ca="1" si="76"/>
        <v>0</v>
      </c>
      <c r="DY43" s="180">
        <f t="shared" ca="1" si="76"/>
        <v>0</v>
      </c>
      <c r="DZ43" s="180">
        <f t="shared" ca="1" si="76"/>
        <v>0</v>
      </c>
      <c r="EA43" s="180">
        <f t="shared" ca="1" si="76"/>
        <v>0</v>
      </c>
      <c r="EB43" s="180">
        <f t="shared" ca="1" si="76"/>
        <v>0</v>
      </c>
      <c r="EC43" s="180">
        <f t="shared" ca="1" si="76"/>
        <v>0</v>
      </c>
      <c r="ED43" s="180">
        <f t="shared" ca="1" si="76"/>
        <v>0</v>
      </c>
      <c r="EE43" s="180">
        <f t="shared" ca="1" si="76"/>
        <v>0</v>
      </c>
      <c r="EF43" s="180">
        <f t="shared" ca="1" si="76"/>
        <v>0</v>
      </c>
      <c r="EG43" s="180">
        <f t="shared" ca="1" si="76"/>
        <v>0</v>
      </c>
      <c r="EH43" s="180">
        <f t="shared" ca="1" si="75"/>
        <v>0</v>
      </c>
      <c r="EI43" s="180">
        <f t="shared" ca="1" si="74"/>
        <v>0</v>
      </c>
      <c r="EJ43" s="180">
        <f t="shared" ca="1" si="74"/>
        <v>0</v>
      </c>
      <c r="EK43" s="180">
        <f t="shared" ca="1" si="74"/>
        <v>0</v>
      </c>
      <c r="EL43" s="180">
        <f t="shared" ca="1" si="74"/>
        <v>0</v>
      </c>
      <c r="EM43" s="180">
        <f t="shared" ca="1" si="74"/>
        <v>0</v>
      </c>
      <c r="EN43" s="180">
        <f t="shared" ca="1" si="74"/>
        <v>0</v>
      </c>
      <c r="EO43" s="180">
        <f t="shared" ca="1" si="74"/>
        <v>0</v>
      </c>
      <c r="EP43" s="180">
        <f t="shared" ca="1" si="74"/>
        <v>0</v>
      </c>
      <c r="EQ43" s="180"/>
      <c r="ER43" s="180"/>
    </row>
    <row r="44" spans="2:148" ht="15.75" thickBot="1" x14ac:dyDescent="0.3">
      <c r="D44" s="201">
        <v>17</v>
      </c>
      <c r="E44" s="25" t="str">
        <f t="shared" si="63"/>
        <v>INSS</v>
      </c>
      <c r="F44" s="627" t="str">
        <f>IFERROR(VLOOKUP(CONCATENATE(D44,E44),'Base tabelas'!$B:$K,10,FALSE),"")</f>
        <v/>
      </c>
      <c r="G44" s="628"/>
      <c r="H44" s="629"/>
      <c r="I44" s="45" t="str">
        <f>IFERROR(VLOOKUP(CONCATENATE(D44,E44),'Base tabelas'!$B:$E,4,FALSE),"")</f>
        <v/>
      </c>
      <c r="J44" s="34" t="str">
        <f t="shared" ca="1" si="78"/>
        <v/>
      </c>
      <c r="K44" s="46" t="str">
        <f ca="1">IFERROR(DK163,"")</f>
        <v/>
      </c>
      <c r="L44" s="46" t="str">
        <f t="shared" si="79"/>
        <v/>
      </c>
      <c r="M44" s="326" t="str">
        <f ca="1">IFERROR(EJ17*-1,"")</f>
        <v/>
      </c>
      <c r="N44" s="59" t="str">
        <f t="shared" ca="1" si="80"/>
        <v/>
      </c>
      <c r="O44" s="69" t="str">
        <f t="shared" si="81"/>
        <v/>
      </c>
      <c r="P44" s="302" t="str">
        <f>IFERROR(VLOOKUP(CONCATENATE(D44,E44),'Base tabelas'!$B:$O,14,FALSE),"")</f>
        <v/>
      </c>
      <c r="Q44" s="186" t="str">
        <f ca="1">EJ167</f>
        <v/>
      </c>
      <c r="R44" s="307" t="str">
        <f t="shared" ca="1" si="68"/>
        <v/>
      </c>
      <c r="S44" s="308" t="e">
        <f t="shared" ca="1" si="69"/>
        <v>#VALUE!</v>
      </c>
      <c r="T44" s="140"/>
      <c r="U44" s="460">
        <f t="shared" ca="1" si="70"/>
        <v>0</v>
      </c>
      <c r="V44" s="372"/>
      <c r="W44" s="372"/>
      <c r="X44" s="87">
        <v>26</v>
      </c>
      <c r="Y44" s="87">
        <f t="shared" ca="1" si="35"/>
        <v>67.81</v>
      </c>
      <c r="Z44" s="87">
        <f t="shared" ca="1" si="36"/>
        <v>70.569999999999993</v>
      </c>
      <c r="AA44" s="87">
        <f t="shared" ca="1" si="37"/>
        <v>1172.83</v>
      </c>
      <c r="AB44" s="87">
        <f t="shared" ca="1" si="38"/>
        <v>278.39999999999998</v>
      </c>
      <c r="AC44" s="87">
        <f t="shared" si="39"/>
        <v>0</v>
      </c>
      <c r="AD44" s="87">
        <f t="shared" si="40"/>
        <v>0</v>
      </c>
      <c r="AE44" s="87">
        <f t="shared" si="41"/>
        <v>0</v>
      </c>
      <c r="AF44" s="87">
        <f t="shared" si="42"/>
        <v>0</v>
      </c>
      <c r="AG44" s="87">
        <f t="shared" si="43"/>
        <v>0</v>
      </c>
      <c r="AH44" s="87">
        <f t="shared" si="44"/>
        <v>0</v>
      </c>
      <c r="AI44" s="87">
        <f t="shared" si="45"/>
        <v>0</v>
      </c>
      <c r="AJ44" s="87">
        <f t="shared" si="46"/>
        <v>0</v>
      </c>
      <c r="AK44" s="87">
        <f t="shared" si="47"/>
        <v>0</v>
      </c>
      <c r="AL44" s="87">
        <f t="shared" si="48"/>
        <v>0</v>
      </c>
      <c r="AM44" s="87">
        <f t="shared" si="49"/>
        <v>0</v>
      </c>
      <c r="AN44" s="87">
        <f t="shared" si="50"/>
        <v>0</v>
      </c>
      <c r="AO44" s="87">
        <f t="shared" si="51"/>
        <v>0</v>
      </c>
      <c r="AP44" s="87"/>
      <c r="AQ44" s="426">
        <v>26</v>
      </c>
      <c r="AR44" s="258">
        <f t="shared" ca="1" si="58"/>
        <v>46944</v>
      </c>
      <c r="AS44" s="429">
        <f t="shared" ca="1" si="10"/>
        <v>1589.6100000000001</v>
      </c>
      <c r="AT44" s="138"/>
      <c r="AU44" s="278">
        <v>26</v>
      </c>
      <c r="AV44" s="258">
        <f t="shared" ca="1" si="59"/>
        <v>46975</v>
      </c>
      <c r="AW44" s="429">
        <f t="shared" ca="1" si="52"/>
        <v>0</v>
      </c>
      <c r="AX44" s="202">
        <f t="shared" ca="1" si="53"/>
        <v>0</v>
      </c>
      <c r="AY44" s="278">
        <v>26</v>
      </c>
      <c r="AZ44" s="258">
        <f t="shared" ca="1" si="60"/>
        <v>46975</v>
      </c>
      <c r="BA44" s="429">
        <f t="shared" si="54"/>
        <v>1589.6100000000001</v>
      </c>
      <c r="BB44" s="259">
        <f t="shared" ca="1" si="11"/>
        <v>46944</v>
      </c>
      <c r="BC44" s="428">
        <f t="shared" ca="1" si="55"/>
        <v>0</v>
      </c>
      <c r="BD44" s="188">
        <f t="shared" si="12"/>
        <v>67.81</v>
      </c>
      <c r="BE44" s="188">
        <f t="shared" si="13"/>
        <v>70.569999999999993</v>
      </c>
      <c r="BF44" s="188">
        <f t="shared" si="14"/>
        <v>1172.83</v>
      </c>
      <c r="BG44" s="87">
        <f t="shared" si="15"/>
        <v>278.39999999999998</v>
      </c>
      <c r="BH44" s="87">
        <f t="shared" si="16"/>
        <v>0</v>
      </c>
      <c r="BI44" s="87">
        <f t="shared" si="17"/>
        <v>0</v>
      </c>
      <c r="BJ44" s="87">
        <f t="shared" si="18"/>
        <v>0</v>
      </c>
      <c r="BK44" s="87">
        <f t="shared" si="19"/>
        <v>0</v>
      </c>
      <c r="BL44" s="87">
        <f t="shared" si="20"/>
        <v>0</v>
      </c>
      <c r="BM44" s="87">
        <f t="shared" si="21"/>
        <v>0</v>
      </c>
      <c r="BN44" s="87">
        <f t="shared" si="22"/>
        <v>0</v>
      </c>
      <c r="BO44" s="87">
        <f t="shared" si="23"/>
        <v>0</v>
      </c>
      <c r="BP44" s="87">
        <f t="shared" si="24"/>
        <v>0</v>
      </c>
      <c r="BQ44" s="87">
        <f t="shared" si="25"/>
        <v>0</v>
      </c>
      <c r="BR44" s="87">
        <f t="shared" si="26"/>
        <v>0</v>
      </c>
      <c r="BS44" s="87">
        <f t="shared" si="27"/>
        <v>0</v>
      </c>
      <c r="BT44" s="87">
        <f t="shared" si="28"/>
        <v>0</v>
      </c>
      <c r="BV44" s="177"/>
      <c r="BW44" s="177"/>
      <c r="BX44" s="267"/>
      <c r="BY44" s="267"/>
      <c r="BZ44" s="267"/>
      <c r="CA44" s="267"/>
      <c r="CB44" s="267"/>
      <c r="CC44" s="267"/>
      <c r="CD44" s="267"/>
      <c r="CE44" s="267"/>
      <c r="CF44" s="267"/>
      <c r="CG44" s="267"/>
      <c r="CH44" s="267"/>
      <c r="CI44" s="435"/>
      <c r="CJ44" s="436"/>
      <c r="CK44" s="437"/>
      <c r="CL44" s="98"/>
      <c r="CM44" s="64" t="s">
        <v>788</v>
      </c>
      <c r="CN44" s="707">
        <v>66</v>
      </c>
      <c r="CS44" s="178">
        <v>26</v>
      </c>
      <c r="CT44" s="259">
        <f t="shared" ca="1" si="29"/>
        <v>46975</v>
      </c>
      <c r="CU44" s="179">
        <f t="shared" ca="1" si="56"/>
        <v>967.26747098708358</v>
      </c>
      <c r="CV44" s="179">
        <f t="shared" ca="1" si="77"/>
        <v>980.22506242235636</v>
      </c>
      <c r="CW44" s="179">
        <f t="shared" ca="1" si="77"/>
        <v>988.08588821555497</v>
      </c>
      <c r="CX44" s="179">
        <f t="shared" ca="1" si="77"/>
        <v>996.01209869176569</v>
      </c>
      <c r="CY44" s="179">
        <f t="shared" ca="1" si="77"/>
        <v>1004.0042572278901</v>
      </c>
      <c r="CZ44" s="179">
        <f t="shared" ca="1" si="77"/>
        <v>1012.0629322233607</v>
      </c>
      <c r="DA44" s="179">
        <f t="shared" ca="1" si="77"/>
        <v>1017.4726187930765</v>
      </c>
      <c r="DB44" s="179">
        <f t="shared" ca="1" si="77"/>
        <v>1028.3821305809786</v>
      </c>
      <c r="DC44" s="179">
        <f t="shared" ca="1" si="77"/>
        <v>1033.8823012107878</v>
      </c>
      <c r="DD44" s="179">
        <f t="shared" ca="1" si="77"/>
        <v>1039.4129803167141</v>
      </c>
      <c r="DE44" s="179">
        <f t="shared" ca="1" si="77"/>
        <v>1044.9743431807249</v>
      </c>
      <c r="DF44" s="179" t="e">
        <f t="shared" ca="1" si="77"/>
        <v>#VALUE!</v>
      </c>
      <c r="DG44" s="179" t="e">
        <f t="shared" ca="1" si="77"/>
        <v>#VALUE!</v>
      </c>
      <c r="DH44" s="179" t="e">
        <f t="shared" ca="1" si="77"/>
        <v>#VALUE!</v>
      </c>
      <c r="DI44" s="179" t="e">
        <f t="shared" ca="1" si="77"/>
        <v>#VALUE!</v>
      </c>
      <c r="DJ44" s="179" t="e">
        <f t="shared" ca="1" si="73"/>
        <v>#VALUE!</v>
      </c>
      <c r="DK44" s="179" t="e">
        <f t="shared" ca="1" si="73"/>
        <v>#VALUE!</v>
      </c>
      <c r="DL44" s="179" t="e">
        <f t="shared" ca="1" si="73"/>
        <v>#VALUE!</v>
      </c>
      <c r="DM44" s="179" t="e">
        <f t="shared" ca="1" si="73"/>
        <v>#VALUE!</v>
      </c>
      <c r="DN44" s="179" t="e">
        <f t="shared" ca="1" si="73"/>
        <v>#VALUE!</v>
      </c>
      <c r="DO44" s="179" t="e">
        <f t="shared" ca="1" si="73"/>
        <v>#VALUE!</v>
      </c>
      <c r="DP44" s="179" t="e">
        <f t="shared" ca="1" si="73"/>
        <v>#VALUE!</v>
      </c>
      <c r="DQ44" s="179" t="e">
        <f t="shared" ca="1" si="73"/>
        <v>#VALUE!</v>
      </c>
      <c r="DR44" s="431">
        <v>26</v>
      </c>
      <c r="DS44" s="430">
        <f t="shared" ca="1" si="61"/>
        <v>46944</v>
      </c>
      <c r="DT44" s="180">
        <f t="shared" ca="1" si="76"/>
        <v>0</v>
      </c>
      <c r="DU44" s="180">
        <f t="shared" ca="1" si="76"/>
        <v>0</v>
      </c>
      <c r="DV44" s="180">
        <f t="shared" ca="1" si="76"/>
        <v>0</v>
      </c>
      <c r="DW44" s="180">
        <f t="shared" ca="1" si="76"/>
        <v>0</v>
      </c>
      <c r="DX44" s="180">
        <f t="shared" ca="1" si="76"/>
        <v>0</v>
      </c>
      <c r="DY44" s="180">
        <f t="shared" ca="1" si="76"/>
        <v>0</v>
      </c>
      <c r="DZ44" s="180">
        <f t="shared" ca="1" si="76"/>
        <v>0</v>
      </c>
      <c r="EA44" s="180">
        <f t="shared" ca="1" si="76"/>
        <v>0</v>
      </c>
      <c r="EB44" s="180">
        <f t="shared" ca="1" si="76"/>
        <v>0</v>
      </c>
      <c r="EC44" s="180">
        <f t="shared" ca="1" si="76"/>
        <v>0</v>
      </c>
      <c r="ED44" s="180">
        <f t="shared" ca="1" si="76"/>
        <v>0</v>
      </c>
      <c r="EE44" s="180">
        <f t="shared" ca="1" si="76"/>
        <v>0</v>
      </c>
      <c r="EF44" s="180">
        <f t="shared" ca="1" si="76"/>
        <v>0</v>
      </c>
      <c r="EG44" s="180">
        <f t="shared" ca="1" si="76"/>
        <v>0</v>
      </c>
      <c r="EH44" s="180">
        <f t="shared" ca="1" si="75"/>
        <v>0</v>
      </c>
      <c r="EI44" s="180">
        <f t="shared" ca="1" si="74"/>
        <v>0</v>
      </c>
      <c r="EJ44" s="180">
        <f t="shared" ca="1" si="74"/>
        <v>0</v>
      </c>
      <c r="EK44" s="180">
        <f t="shared" ca="1" si="74"/>
        <v>0</v>
      </c>
      <c r="EL44" s="180">
        <f t="shared" ca="1" si="74"/>
        <v>0</v>
      </c>
      <c r="EM44" s="180">
        <f t="shared" ca="1" si="74"/>
        <v>0</v>
      </c>
      <c r="EN44" s="180">
        <f t="shared" ca="1" si="74"/>
        <v>0</v>
      </c>
      <c r="EO44" s="180">
        <f t="shared" ca="1" si="74"/>
        <v>0</v>
      </c>
      <c r="EP44" s="180">
        <f t="shared" ca="1" si="74"/>
        <v>0</v>
      </c>
      <c r="EQ44" s="180"/>
      <c r="ER44" s="180"/>
    </row>
    <row r="45" spans="2:148" ht="15.75" thickBot="1" x14ac:dyDescent="0.3">
      <c r="D45" s="201">
        <v>18</v>
      </c>
      <c r="E45" s="25" t="str">
        <f t="shared" si="63"/>
        <v>INSS</v>
      </c>
      <c r="F45" s="627" t="str">
        <f>IFERROR(VLOOKUP(CONCATENATE(D45,E45),'Base tabelas'!$B:$K,10,FALSE),"")</f>
        <v/>
      </c>
      <c r="G45" s="628"/>
      <c r="H45" s="629"/>
      <c r="I45" s="45" t="str">
        <f>IFERROR(VLOOKUP(CONCATENATE(D45,E45),'Base tabelas'!$B:$E,4,FALSE),"")</f>
        <v/>
      </c>
      <c r="J45" s="34" t="str">
        <f t="shared" ca="1" si="78"/>
        <v/>
      </c>
      <c r="K45" s="46" t="str">
        <f ca="1">IFERROR(DL163,"")</f>
        <v/>
      </c>
      <c r="L45" s="46" t="str">
        <f t="shared" si="79"/>
        <v/>
      </c>
      <c r="M45" s="326" t="str">
        <f ca="1">IFERROR(EK17*-1,"")</f>
        <v/>
      </c>
      <c r="N45" s="59" t="str">
        <f t="shared" ca="1" si="80"/>
        <v/>
      </c>
      <c r="O45" s="69" t="str">
        <f t="shared" si="81"/>
        <v/>
      </c>
      <c r="P45" s="302" t="str">
        <f>IFERROR(VLOOKUP(CONCATENATE(D45,E45),'Base tabelas'!$B:$O,14,FALSE),"")</f>
        <v/>
      </c>
      <c r="Q45" s="186" t="str">
        <f ca="1">EK167</f>
        <v/>
      </c>
      <c r="R45" s="307" t="str">
        <f t="shared" ca="1" si="68"/>
        <v/>
      </c>
      <c r="S45" s="308" t="e">
        <f t="shared" ca="1" si="69"/>
        <v>#VALUE!</v>
      </c>
      <c r="T45" s="140"/>
      <c r="U45" s="460">
        <f t="shared" ca="1" si="70"/>
        <v>0</v>
      </c>
      <c r="V45" s="372"/>
      <c r="W45" s="372"/>
      <c r="X45" s="87">
        <v>27</v>
      </c>
      <c r="Y45" s="87">
        <f t="shared" ca="1" si="35"/>
        <v>67.81</v>
      </c>
      <c r="Z45" s="87">
        <f t="shared" ca="1" si="36"/>
        <v>70.569999999999993</v>
      </c>
      <c r="AA45" s="87">
        <f t="shared" ca="1" si="37"/>
        <v>1172.83</v>
      </c>
      <c r="AB45" s="87">
        <f t="shared" ca="1" si="38"/>
        <v>278.39999999999998</v>
      </c>
      <c r="AC45" s="87">
        <f t="shared" si="39"/>
        <v>0</v>
      </c>
      <c r="AD45" s="87">
        <f t="shared" si="40"/>
        <v>0</v>
      </c>
      <c r="AE45" s="87">
        <f t="shared" si="41"/>
        <v>0</v>
      </c>
      <c r="AF45" s="87">
        <f t="shared" si="42"/>
        <v>0</v>
      </c>
      <c r="AG45" s="87">
        <f t="shared" si="43"/>
        <v>0</v>
      </c>
      <c r="AH45" s="87">
        <f t="shared" si="44"/>
        <v>0</v>
      </c>
      <c r="AI45" s="87">
        <f t="shared" si="45"/>
        <v>0</v>
      </c>
      <c r="AJ45" s="87">
        <f t="shared" si="46"/>
        <v>0</v>
      </c>
      <c r="AK45" s="87">
        <f t="shared" si="47"/>
        <v>0</v>
      </c>
      <c r="AL45" s="87">
        <f t="shared" si="48"/>
        <v>0</v>
      </c>
      <c r="AM45" s="87">
        <f t="shared" si="49"/>
        <v>0</v>
      </c>
      <c r="AN45" s="87">
        <f t="shared" si="50"/>
        <v>0</v>
      </c>
      <c r="AO45" s="87">
        <f t="shared" si="51"/>
        <v>0</v>
      </c>
      <c r="AP45" s="87"/>
      <c r="AQ45" s="426">
        <v>27</v>
      </c>
      <c r="AR45" s="258">
        <f t="shared" ca="1" si="58"/>
        <v>46975</v>
      </c>
      <c r="AS45" s="429">
        <f t="shared" ca="1" si="10"/>
        <v>1589.6100000000001</v>
      </c>
      <c r="AT45" s="138"/>
      <c r="AU45" s="278">
        <v>27</v>
      </c>
      <c r="AV45" s="258">
        <f t="shared" ca="1" si="59"/>
        <v>47006</v>
      </c>
      <c r="AW45" s="429">
        <f t="shared" ca="1" si="52"/>
        <v>0</v>
      </c>
      <c r="AX45" s="202">
        <f t="shared" ca="1" si="53"/>
        <v>0</v>
      </c>
      <c r="AY45" s="278">
        <v>27</v>
      </c>
      <c r="AZ45" s="258">
        <f t="shared" ca="1" si="60"/>
        <v>47006</v>
      </c>
      <c r="BA45" s="429">
        <f t="shared" si="54"/>
        <v>1589.6100000000001</v>
      </c>
      <c r="BB45" s="259">
        <f t="shared" ca="1" si="11"/>
        <v>46975</v>
      </c>
      <c r="BC45" s="428">
        <f t="shared" ca="1" si="55"/>
        <v>0</v>
      </c>
      <c r="BD45" s="188">
        <f t="shared" si="12"/>
        <v>67.81</v>
      </c>
      <c r="BE45" s="188">
        <f t="shared" si="13"/>
        <v>70.569999999999993</v>
      </c>
      <c r="BF45" s="188">
        <f t="shared" si="14"/>
        <v>1172.83</v>
      </c>
      <c r="BG45" s="87">
        <f t="shared" si="15"/>
        <v>278.39999999999998</v>
      </c>
      <c r="BH45" s="87">
        <f t="shared" si="16"/>
        <v>0</v>
      </c>
      <c r="BI45" s="87">
        <f t="shared" si="17"/>
        <v>0</v>
      </c>
      <c r="BJ45" s="87">
        <f t="shared" si="18"/>
        <v>0</v>
      </c>
      <c r="BK45" s="87">
        <f t="shared" si="19"/>
        <v>0</v>
      </c>
      <c r="BL45" s="87">
        <f t="shared" si="20"/>
        <v>0</v>
      </c>
      <c r="BM45" s="87">
        <f t="shared" si="21"/>
        <v>0</v>
      </c>
      <c r="BN45" s="87">
        <f t="shared" si="22"/>
        <v>0</v>
      </c>
      <c r="BO45" s="87">
        <f t="shared" si="23"/>
        <v>0</v>
      </c>
      <c r="BP45" s="87">
        <f t="shared" si="24"/>
        <v>0</v>
      </c>
      <c r="BQ45" s="87">
        <f t="shared" si="25"/>
        <v>0</v>
      </c>
      <c r="BR45" s="87">
        <f t="shared" si="26"/>
        <v>0</v>
      </c>
      <c r="BS45" s="87">
        <f t="shared" si="27"/>
        <v>0</v>
      </c>
      <c r="BT45" s="87">
        <f t="shared" si="28"/>
        <v>0</v>
      </c>
      <c r="BV45" s="177"/>
      <c r="BW45" s="177"/>
      <c r="BX45" s="267"/>
      <c r="BY45" s="267"/>
      <c r="BZ45" s="267"/>
      <c r="CA45" s="267"/>
      <c r="CB45" s="267"/>
      <c r="CC45" s="267"/>
      <c r="CD45" s="267"/>
      <c r="CE45" s="267"/>
      <c r="CF45" s="267"/>
      <c r="CG45" s="267"/>
      <c r="CH45" s="267"/>
      <c r="CI45" s="435"/>
      <c r="CJ45" s="436"/>
      <c r="CK45" s="437"/>
      <c r="CL45" s="98"/>
      <c r="CM45" s="64" t="s">
        <v>3010</v>
      </c>
      <c r="CN45" s="707">
        <v>47.6</v>
      </c>
      <c r="CS45" s="138">
        <v>27</v>
      </c>
      <c r="CT45" s="259">
        <f t="shared" ca="1" si="29"/>
        <v>47006</v>
      </c>
      <c r="CU45" s="179">
        <f t="shared" ca="1" si="56"/>
        <v>949.11793838914878</v>
      </c>
      <c r="CV45" s="179">
        <f t="shared" ca="1" si="77"/>
        <v>962.32056110882388</v>
      </c>
      <c r="CW45" s="179">
        <f t="shared" ca="1" si="77"/>
        <v>970.33328652577563</v>
      </c>
      <c r="CX45" s="179">
        <f t="shared" ca="1" si="77"/>
        <v>978.41512151584368</v>
      </c>
      <c r="CY45" s="179">
        <f t="shared" ca="1" si="77"/>
        <v>986.56668278999155</v>
      </c>
      <c r="CZ45" s="179">
        <f t="shared" ca="1" si="77"/>
        <v>994.78859274680462</v>
      </c>
      <c r="DA45" s="179">
        <f t="shared" ca="1" si="77"/>
        <v>1000.3092586076828</v>
      </c>
      <c r="DB45" s="179">
        <f t="shared" ca="1" si="77"/>
        <v>1011.4459770664989</v>
      </c>
      <c r="DC45" s="179">
        <f t="shared" ca="1" si="77"/>
        <v>1017.0624082177212</v>
      </c>
      <c r="DD45" s="179">
        <f t="shared" ca="1" si="77"/>
        <v>1022.7111416256024</v>
      </c>
      <c r="DE45" s="179">
        <f t="shared" ca="1" si="77"/>
        <v>1028.3923694877569</v>
      </c>
      <c r="DF45" s="179" t="e">
        <f t="shared" ca="1" si="77"/>
        <v>#VALUE!</v>
      </c>
      <c r="DG45" s="179" t="e">
        <f t="shared" ca="1" si="77"/>
        <v>#VALUE!</v>
      </c>
      <c r="DH45" s="179" t="e">
        <f t="shared" ca="1" si="77"/>
        <v>#VALUE!</v>
      </c>
      <c r="DI45" s="179" t="e">
        <f t="shared" ca="1" si="77"/>
        <v>#VALUE!</v>
      </c>
      <c r="DJ45" s="179" t="e">
        <f t="shared" ca="1" si="73"/>
        <v>#VALUE!</v>
      </c>
      <c r="DK45" s="179" t="e">
        <f t="shared" ca="1" si="73"/>
        <v>#VALUE!</v>
      </c>
      <c r="DL45" s="179" t="e">
        <f t="shared" ca="1" si="73"/>
        <v>#VALUE!</v>
      </c>
      <c r="DM45" s="179" t="e">
        <f t="shared" ca="1" si="73"/>
        <v>#VALUE!</v>
      </c>
      <c r="DN45" s="179" t="e">
        <f t="shared" ca="1" si="73"/>
        <v>#VALUE!</v>
      </c>
      <c r="DO45" s="179" t="e">
        <f t="shared" ca="1" si="73"/>
        <v>#VALUE!</v>
      </c>
      <c r="DP45" s="179" t="e">
        <f t="shared" ca="1" si="73"/>
        <v>#VALUE!</v>
      </c>
      <c r="DQ45" s="179" t="e">
        <f t="shared" ca="1" si="73"/>
        <v>#VALUE!</v>
      </c>
      <c r="DR45" s="278">
        <v>27</v>
      </c>
      <c r="DS45" s="430">
        <f t="shared" ca="1" si="61"/>
        <v>46975</v>
      </c>
      <c r="DT45" s="180">
        <f t="shared" ca="1" si="76"/>
        <v>0</v>
      </c>
      <c r="DU45" s="180">
        <f t="shared" ca="1" si="76"/>
        <v>0</v>
      </c>
      <c r="DV45" s="180">
        <f t="shared" ca="1" si="76"/>
        <v>0</v>
      </c>
      <c r="DW45" s="180">
        <f t="shared" ca="1" si="76"/>
        <v>0</v>
      </c>
      <c r="DX45" s="180">
        <f t="shared" ca="1" si="76"/>
        <v>0</v>
      </c>
      <c r="DY45" s="180">
        <f t="shared" ca="1" si="76"/>
        <v>0</v>
      </c>
      <c r="DZ45" s="180">
        <f t="shared" ca="1" si="76"/>
        <v>0</v>
      </c>
      <c r="EA45" s="180">
        <f t="shared" ca="1" si="76"/>
        <v>0</v>
      </c>
      <c r="EB45" s="180">
        <f t="shared" ca="1" si="76"/>
        <v>0</v>
      </c>
      <c r="EC45" s="180">
        <f t="shared" ca="1" si="76"/>
        <v>0</v>
      </c>
      <c r="ED45" s="180">
        <f t="shared" ca="1" si="76"/>
        <v>0</v>
      </c>
      <c r="EE45" s="180">
        <f t="shared" ca="1" si="76"/>
        <v>0</v>
      </c>
      <c r="EF45" s="180">
        <f t="shared" ca="1" si="76"/>
        <v>0</v>
      </c>
      <c r="EG45" s="180">
        <f t="shared" ca="1" si="76"/>
        <v>0</v>
      </c>
      <c r="EH45" s="180">
        <f t="shared" ca="1" si="75"/>
        <v>0</v>
      </c>
      <c r="EI45" s="180">
        <f t="shared" ca="1" si="74"/>
        <v>0</v>
      </c>
      <c r="EJ45" s="180">
        <f t="shared" ca="1" si="74"/>
        <v>0</v>
      </c>
      <c r="EK45" s="180">
        <f t="shared" ca="1" si="74"/>
        <v>0</v>
      </c>
      <c r="EL45" s="180">
        <f t="shared" ca="1" si="74"/>
        <v>0</v>
      </c>
      <c r="EM45" s="180">
        <f t="shared" ca="1" si="74"/>
        <v>0</v>
      </c>
      <c r="EN45" s="180">
        <f t="shared" ca="1" si="74"/>
        <v>0</v>
      </c>
      <c r="EO45" s="180">
        <f t="shared" ca="1" si="74"/>
        <v>0</v>
      </c>
      <c r="EP45" s="180">
        <f t="shared" ca="1" si="74"/>
        <v>0</v>
      </c>
      <c r="EQ45" s="180"/>
      <c r="ER45" s="180"/>
    </row>
    <row r="46" spans="2:148" ht="15.75" thickBot="1" x14ac:dyDescent="0.3">
      <c r="D46" s="201">
        <v>19</v>
      </c>
      <c r="E46" s="25" t="str">
        <f t="shared" si="63"/>
        <v>INSS</v>
      </c>
      <c r="F46" s="627" t="str">
        <f>IFERROR(VLOOKUP(CONCATENATE(D46,E46),'Base tabelas'!$B:$K,10,FALSE),"")</f>
        <v/>
      </c>
      <c r="G46" s="628"/>
      <c r="H46" s="629"/>
      <c r="I46" s="45" t="str">
        <f>IFERROR(VLOOKUP(CONCATENATE(D46,E46),'Base tabelas'!$B:$E,4,FALSE),"")</f>
        <v/>
      </c>
      <c r="J46" s="34" t="str">
        <f t="shared" ca="1" si="78"/>
        <v/>
      </c>
      <c r="K46" s="46" t="str">
        <f ca="1">IFERROR(DM163,"")</f>
        <v/>
      </c>
      <c r="L46" s="46" t="str">
        <f t="shared" si="79"/>
        <v/>
      </c>
      <c r="M46" s="326" t="str">
        <f ca="1">IFERROR(EL17*-1,"")</f>
        <v/>
      </c>
      <c r="N46" s="59" t="str">
        <f t="shared" ca="1" si="80"/>
        <v/>
      </c>
      <c r="O46" s="69" t="str">
        <f t="shared" si="81"/>
        <v/>
      </c>
      <c r="P46" s="302" t="str">
        <f>IFERROR(VLOOKUP(CONCATENATE(D46,E46),'Base tabelas'!$B:$O,14,FALSE),"")</f>
        <v/>
      </c>
      <c r="Q46" s="186" t="str">
        <f ca="1">EL167</f>
        <v/>
      </c>
      <c r="R46" s="307" t="str">
        <f t="shared" ca="1" si="68"/>
        <v/>
      </c>
      <c r="S46" s="308" t="e">
        <f t="shared" ca="1" si="69"/>
        <v>#VALUE!</v>
      </c>
      <c r="T46" s="140"/>
      <c r="U46" s="460">
        <f t="shared" ca="1" si="70"/>
        <v>0</v>
      </c>
      <c r="V46" s="372"/>
      <c r="W46" s="372"/>
      <c r="X46" s="87">
        <v>28</v>
      </c>
      <c r="Y46" s="87">
        <f t="shared" ca="1" si="35"/>
        <v>67.81</v>
      </c>
      <c r="Z46" s="87">
        <f t="shared" ca="1" si="36"/>
        <v>70.569999999999993</v>
      </c>
      <c r="AA46" s="87">
        <f t="shared" ca="1" si="37"/>
        <v>1172.83</v>
      </c>
      <c r="AB46" s="87">
        <f t="shared" ca="1" si="38"/>
        <v>278.39999999999998</v>
      </c>
      <c r="AC46" s="87">
        <f t="shared" si="39"/>
        <v>0</v>
      </c>
      <c r="AD46" s="87">
        <f t="shared" si="40"/>
        <v>0</v>
      </c>
      <c r="AE46" s="87">
        <f t="shared" si="41"/>
        <v>0</v>
      </c>
      <c r="AF46" s="87">
        <f t="shared" si="42"/>
        <v>0</v>
      </c>
      <c r="AG46" s="87">
        <f t="shared" si="43"/>
        <v>0</v>
      </c>
      <c r="AH46" s="87">
        <f t="shared" si="44"/>
        <v>0</v>
      </c>
      <c r="AI46" s="87">
        <f t="shared" si="45"/>
        <v>0</v>
      </c>
      <c r="AJ46" s="87">
        <f t="shared" si="46"/>
        <v>0</v>
      </c>
      <c r="AK46" s="87">
        <f t="shared" si="47"/>
        <v>0</v>
      </c>
      <c r="AL46" s="87">
        <f t="shared" si="48"/>
        <v>0</v>
      </c>
      <c r="AM46" s="87">
        <f t="shared" si="49"/>
        <v>0</v>
      </c>
      <c r="AN46" s="87">
        <f t="shared" si="50"/>
        <v>0</v>
      </c>
      <c r="AO46" s="87">
        <f t="shared" si="51"/>
        <v>0</v>
      </c>
      <c r="AP46" s="87"/>
      <c r="AQ46" s="426">
        <v>28</v>
      </c>
      <c r="AR46" s="258">
        <f t="shared" ca="1" si="58"/>
        <v>47006</v>
      </c>
      <c r="AS46" s="429">
        <f t="shared" ca="1" si="10"/>
        <v>1589.6100000000001</v>
      </c>
      <c r="AT46" s="138"/>
      <c r="AU46" s="278">
        <v>28</v>
      </c>
      <c r="AV46" s="258">
        <f t="shared" ca="1" si="59"/>
        <v>47036</v>
      </c>
      <c r="AW46" s="429">
        <f t="shared" ca="1" si="52"/>
        <v>0</v>
      </c>
      <c r="AX46" s="202">
        <f t="shared" ca="1" si="53"/>
        <v>0</v>
      </c>
      <c r="AY46" s="278">
        <v>28</v>
      </c>
      <c r="AZ46" s="258">
        <f t="shared" ca="1" si="60"/>
        <v>47036</v>
      </c>
      <c r="BA46" s="429">
        <f t="shared" si="54"/>
        <v>1589.6100000000001</v>
      </c>
      <c r="BB46" s="259">
        <f t="shared" ca="1" si="11"/>
        <v>47006</v>
      </c>
      <c r="BC46" s="428">
        <f t="shared" ca="1" si="55"/>
        <v>0</v>
      </c>
      <c r="BD46" s="188">
        <f t="shared" si="12"/>
        <v>67.81</v>
      </c>
      <c r="BE46" s="188">
        <f t="shared" si="13"/>
        <v>70.569999999999993</v>
      </c>
      <c r="BF46" s="188">
        <f t="shared" si="14"/>
        <v>1172.83</v>
      </c>
      <c r="BG46" s="87">
        <f t="shared" si="15"/>
        <v>278.39999999999998</v>
      </c>
      <c r="BH46" s="87">
        <f t="shared" si="16"/>
        <v>0</v>
      </c>
      <c r="BI46" s="87">
        <f t="shared" si="17"/>
        <v>0</v>
      </c>
      <c r="BJ46" s="87">
        <f t="shared" si="18"/>
        <v>0</v>
      </c>
      <c r="BK46" s="87">
        <f t="shared" si="19"/>
        <v>0</v>
      </c>
      <c r="BL46" s="87">
        <f t="shared" si="20"/>
        <v>0</v>
      </c>
      <c r="BM46" s="87">
        <f t="shared" si="21"/>
        <v>0</v>
      </c>
      <c r="BN46" s="87">
        <f t="shared" si="22"/>
        <v>0</v>
      </c>
      <c r="BO46" s="87">
        <f t="shared" si="23"/>
        <v>0</v>
      </c>
      <c r="BP46" s="87">
        <f t="shared" si="24"/>
        <v>0</v>
      </c>
      <c r="BQ46" s="87">
        <f t="shared" si="25"/>
        <v>0</v>
      </c>
      <c r="BR46" s="87">
        <f t="shared" si="26"/>
        <v>0</v>
      </c>
      <c r="BS46" s="87">
        <f t="shared" si="27"/>
        <v>0</v>
      </c>
      <c r="BT46" s="87">
        <f t="shared" si="28"/>
        <v>0</v>
      </c>
      <c r="BV46" s="177"/>
      <c r="BW46" s="177"/>
      <c r="BX46" s="267"/>
      <c r="BY46" s="267"/>
      <c r="BZ46" s="267"/>
      <c r="CA46" s="267"/>
      <c r="CB46" s="267"/>
      <c r="CC46" s="267"/>
      <c r="CD46" s="267"/>
      <c r="CE46" s="267"/>
      <c r="CF46" s="267"/>
      <c r="CG46" s="267"/>
      <c r="CH46" s="267"/>
      <c r="CI46" s="435"/>
      <c r="CJ46" s="436"/>
      <c r="CK46" s="437"/>
      <c r="CL46" s="98"/>
      <c r="CM46" s="64" t="s">
        <v>512</v>
      </c>
      <c r="CN46" s="707">
        <v>49.166666666666664</v>
      </c>
      <c r="CS46" s="87">
        <v>28</v>
      </c>
      <c r="CT46" s="259">
        <f t="shared" ca="1" si="29"/>
        <v>47036</v>
      </c>
      <c r="CU46" s="179">
        <f t="shared" ca="1" si="56"/>
        <v>931.87819184010675</v>
      </c>
      <c r="CV46" s="179">
        <f t="shared" ca="1" si="77"/>
        <v>945.30506985149702</v>
      </c>
      <c r="CW46" s="179">
        <f t="shared" ca="1" si="77"/>
        <v>953.45709592785249</v>
      </c>
      <c r="CX46" s="179">
        <f t="shared" ca="1" si="77"/>
        <v>961.68185720055396</v>
      </c>
      <c r="CY46" s="179">
        <f t="shared" ca="1" si="77"/>
        <v>969.98002437320974</v>
      </c>
      <c r="CZ46" s="179">
        <f t="shared" ca="1" si="77"/>
        <v>978.35227453462312</v>
      </c>
      <c r="DA46" s="179">
        <f t="shared" ca="1" si="77"/>
        <v>983.97526913995955</v>
      </c>
      <c r="DB46" s="179">
        <f t="shared" ca="1" si="77"/>
        <v>995.32176448189227</v>
      </c>
      <c r="DC46" s="179">
        <f t="shared" ca="1" si="77"/>
        <v>1001.0456773796468</v>
      </c>
      <c r="DD46" s="179">
        <f t="shared" ca="1" si="77"/>
        <v>1006.8036440496186</v>
      </c>
      <c r="DE46" s="179">
        <f t="shared" ca="1" si="77"/>
        <v>1012.5958738556095</v>
      </c>
      <c r="DF46" s="179" t="e">
        <f t="shared" ca="1" si="77"/>
        <v>#VALUE!</v>
      </c>
      <c r="DG46" s="179" t="e">
        <f t="shared" ca="1" si="77"/>
        <v>#VALUE!</v>
      </c>
      <c r="DH46" s="179" t="e">
        <f t="shared" ca="1" si="77"/>
        <v>#VALUE!</v>
      </c>
      <c r="DI46" s="179" t="e">
        <f t="shared" ca="1" si="77"/>
        <v>#VALUE!</v>
      </c>
      <c r="DJ46" s="179" t="e">
        <f t="shared" ca="1" si="73"/>
        <v>#VALUE!</v>
      </c>
      <c r="DK46" s="179" t="e">
        <f t="shared" ca="1" si="73"/>
        <v>#VALUE!</v>
      </c>
      <c r="DL46" s="179" t="e">
        <f t="shared" ca="1" si="73"/>
        <v>#VALUE!</v>
      </c>
      <c r="DM46" s="179" t="e">
        <f t="shared" ca="1" si="73"/>
        <v>#VALUE!</v>
      </c>
      <c r="DN46" s="179" t="e">
        <f t="shared" ca="1" si="73"/>
        <v>#VALUE!</v>
      </c>
      <c r="DO46" s="179" t="e">
        <f t="shared" ca="1" si="73"/>
        <v>#VALUE!</v>
      </c>
      <c r="DP46" s="179" t="e">
        <f t="shared" ca="1" si="73"/>
        <v>#VALUE!</v>
      </c>
      <c r="DQ46" s="179" t="e">
        <f t="shared" ca="1" si="73"/>
        <v>#VALUE!</v>
      </c>
      <c r="DR46" s="188">
        <v>28</v>
      </c>
      <c r="DS46" s="430">
        <f t="shared" ca="1" si="61"/>
        <v>47006</v>
      </c>
      <c r="DT46" s="180">
        <f t="shared" ca="1" si="76"/>
        <v>0</v>
      </c>
      <c r="DU46" s="180">
        <f t="shared" ca="1" si="76"/>
        <v>0</v>
      </c>
      <c r="DV46" s="180">
        <f t="shared" ca="1" si="76"/>
        <v>0</v>
      </c>
      <c r="DW46" s="180">
        <f t="shared" ca="1" si="76"/>
        <v>0</v>
      </c>
      <c r="DX46" s="180">
        <f t="shared" ca="1" si="76"/>
        <v>0</v>
      </c>
      <c r="DY46" s="180">
        <f t="shared" ca="1" si="76"/>
        <v>0</v>
      </c>
      <c r="DZ46" s="180">
        <f t="shared" ca="1" si="76"/>
        <v>0</v>
      </c>
      <c r="EA46" s="180">
        <f t="shared" ca="1" si="76"/>
        <v>0</v>
      </c>
      <c r="EB46" s="180">
        <f t="shared" ca="1" si="76"/>
        <v>0</v>
      </c>
      <c r="EC46" s="180">
        <f t="shared" ca="1" si="76"/>
        <v>0</v>
      </c>
      <c r="ED46" s="180">
        <f t="shared" ca="1" si="76"/>
        <v>0</v>
      </c>
      <c r="EE46" s="180">
        <f t="shared" ca="1" si="76"/>
        <v>0</v>
      </c>
      <c r="EF46" s="180">
        <f t="shared" ca="1" si="76"/>
        <v>0</v>
      </c>
      <c r="EG46" s="180">
        <f t="shared" ca="1" si="76"/>
        <v>0</v>
      </c>
      <c r="EH46" s="180">
        <f t="shared" ca="1" si="75"/>
        <v>0</v>
      </c>
      <c r="EI46" s="180">
        <f t="shared" ca="1" si="74"/>
        <v>0</v>
      </c>
      <c r="EJ46" s="180">
        <f t="shared" ca="1" si="74"/>
        <v>0</v>
      </c>
      <c r="EK46" s="180">
        <f t="shared" ca="1" si="74"/>
        <v>0</v>
      </c>
      <c r="EL46" s="180">
        <f t="shared" ca="1" si="74"/>
        <v>0</v>
      </c>
      <c r="EM46" s="180">
        <f t="shared" ca="1" si="74"/>
        <v>0</v>
      </c>
      <c r="EN46" s="180">
        <f t="shared" ca="1" si="74"/>
        <v>0</v>
      </c>
      <c r="EO46" s="180">
        <f t="shared" ca="1" si="74"/>
        <v>0</v>
      </c>
      <c r="EP46" s="180">
        <f t="shared" ca="1" si="74"/>
        <v>0</v>
      </c>
      <c r="EQ46" s="180"/>
      <c r="ER46" s="180"/>
    </row>
    <row r="47" spans="2:148" ht="15.75" thickBot="1" x14ac:dyDescent="0.3">
      <c r="B47" s="156"/>
      <c r="D47" s="201">
        <v>20</v>
      </c>
      <c r="E47" s="25" t="str">
        <f t="shared" si="63"/>
        <v>INSS</v>
      </c>
      <c r="F47" s="627" t="str">
        <f>IFERROR(VLOOKUP(CONCATENATE(D47,E47),'Base tabelas'!$B:$K,10,FALSE),"")</f>
        <v/>
      </c>
      <c r="G47" s="628"/>
      <c r="H47" s="629"/>
      <c r="I47" s="45" t="str">
        <f>IFERROR(VLOOKUP(CONCATENATE(D47,E47),'Base tabelas'!$B:$E,4,FALSE),"")</f>
        <v/>
      </c>
      <c r="J47" s="34" t="str">
        <f t="shared" ca="1" si="78"/>
        <v/>
      </c>
      <c r="K47" s="46" t="str">
        <f ca="1">IFERROR(DN163,"")</f>
        <v/>
      </c>
      <c r="L47" s="46" t="str">
        <f t="shared" si="79"/>
        <v/>
      </c>
      <c r="M47" s="326" t="str">
        <f ca="1">IFERROR(EM17*-1,"")</f>
        <v/>
      </c>
      <c r="N47" s="59" t="str">
        <f t="shared" ca="1" si="80"/>
        <v/>
      </c>
      <c r="O47" s="69" t="str">
        <f t="shared" si="81"/>
        <v/>
      </c>
      <c r="P47" s="302" t="str">
        <f>IFERROR(VLOOKUP(CONCATENATE(D47,E47),'Base tabelas'!$B:$O,14,FALSE),"")</f>
        <v/>
      </c>
      <c r="Q47" s="186" t="str">
        <f ca="1">EM167</f>
        <v/>
      </c>
      <c r="R47" s="307" t="str">
        <f t="shared" ca="1" si="68"/>
        <v/>
      </c>
      <c r="S47" s="308" t="e">
        <f t="shared" ca="1" si="69"/>
        <v>#VALUE!</v>
      </c>
      <c r="T47" s="371"/>
      <c r="U47" s="460">
        <f t="shared" ca="1" si="70"/>
        <v>0</v>
      </c>
      <c r="V47" s="372"/>
      <c r="W47" s="372"/>
      <c r="X47" s="87">
        <v>29</v>
      </c>
      <c r="Y47" s="87">
        <f t="shared" ca="1" si="35"/>
        <v>67.81</v>
      </c>
      <c r="Z47" s="87">
        <f t="shared" ca="1" si="36"/>
        <v>70.569999999999993</v>
      </c>
      <c r="AA47" s="87">
        <f t="shared" ca="1" si="37"/>
        <v>1172.83</v>
      </c>
      <c r="AB47" s="87">
        <f t="shared" ca="1" si="38"/>
        <v>278.39999999999998</v>
      </c>
      <c r="AC47" s="87">
        <f t="shared" si="39"/>
        <v>0</v>
      </c>
      <c r="AD47" s="87">
        <f t="shared" si="40"/>
        <v>0</v>
      </c>
      <c r="AE47" s="87">
        <f t="shared" si="41"/>
        <v>0</v>
      </c>
      <c r="AF47" s="87">
        <f t="shared" si="42"/>
        <v>0</v>
      </c>
      <c r="AG47" s="87">
        <f t="shared" si="43"/>
        <v>0</v>
      </c>
      <c r="AH47" s="87">
        <f t="shared" si="44"/>
        <v>0</v>
      </c>
      <c r="AI47" s="87">
        <f t="shared" si="45"/>
        <v>0</v>
      </c>
      <c r="AJ47" s="87">
        <f t="shared" si="46"/>
        <v>0</v>
      </c>
      <c r="AK47" s="87">
        <f t="shared" si="47"/>
        <v>0</v>
      </c>
      <c r="AL47" s="87">
        <f t="shared" si="48"/>
        <v>0</v>
      </c>
      <c r="AM47" s="87">
        <f t="shared" si="49"/>
        <v>0</v>
      </c>
      <c r="AN47" s="87">
        <f t="shared" si="50"/>
        <v>0</v>
      </c>
      <c r="AO47" s="87">
        <f t="shared" si="51"/>
        <v>0</v>
      </c>
      <c r="AP47" s="87"/>
      <c r="AQ47" s="426">
        <v>29</v>
      </c>
      <c r="AR47" s="258">
        <f t="shared" ca="1" si="58"/>
        <v>47036</v>
      </c>
      <c r="AS47" s="429">
        <f t="shared" ca="1" si="10"/>
        <v>1589.6100000000001</v>
      </c>
      <c r="AT47" s="138"/>
      <c r="AU47" s="278">
        <v>29</v>
      </c>
      <c r="AV47" s="258">
        <f t="shared" ca="1" si="59"/>
        <v>47067</v>
      </c>
      <c r="AW47" s="429">
        <f t="shared" ca="1" si="52"/>
        <v>0</v>
      </c>
      <c r="AX47" s="202">
        <f t="shared" ca="1" si="53"/>
        <v>0</v>
      </c>
      <c r="AY47" s="278">
        <v>29</v>
      </c>
      <c r="AZ47" s="258">
        <f t="shared" ca="1" si="60"/>
        <v>47067</v>
      </c>
      <c r="BA47" s="429">
        <f t="shared" si="54"/>
        <v>1589.6100000000001</v>
      </c>
      <c r="BB47" s="259">
        <f t="shared" ca="1" si="11"/>
        <v>47036</v>
      </c>
      <c r="BC47" s="428">
        <f t="shared" ca="1" si="55"/>
        <v>0</v>
      </c>
      <c r="BD47" s="188">
        <f t="shared" si="12"/>
        <v>67.81</v>
      </c>
      <c r="BE47" s="188">
        <f t="shared" si="13"/>
        <v>70.569999999999993</v>
      </c>
      <c r="BF47" s="188">
        <f t="shared" si="14"/>
        <v>1172.83</v>
      </c>
      <c r="BG47" s="87">
        <f t="shared" si="15"/>
        <v>278.39999999999998</v>
      </c>
      <c r="BH47" s="87">
        <f t="shared" si="16"/>
        <v>0</v>
      </c>
      <c r="BI47" s="87">
        <f t="shared" si="17"/>
        <v>0</v>
      </c>
      <c r="BJ47" s="87">
        <f t="shared" si="18"/>
        <v>0</v>
      </c>
      <c r="BK47" s="87">
        <f t="shared" si="19"/>
        <v>0</v>
      </c>
      <c r="BL47" s="87">
        <f t="shared" si="20"/>
        <v>0</v>
      </c>
      <c r="BM47" s="87">
        <f t="shared" si="21"/>
        <v>0</v>
      </c>
      <c r="BN47" s="87">
        <f t="shared" si="22"/>
        <v>0</v>
      </c>
      <c r="BO47" s="87">
        <f t="shared" si="23"/>
        <v>0</v>
      </c>
      <c r="BP47" s="87">
        <f t="shared" si="24"/>
        <v>0</v>
      </c>
      <c r="BQ47" s="87">
        <f t="shared" si="25"/>
        <v>0</v>
      </c>
      <c r="BR47" s="87">
        <f t="shared" si="26"/>
        <v>0</v>
      </c>
      <c r="BS47" s="87">
        <f t="shared" si="27"/>
        <v>0</v>
      </c>
      <c r="BT47" s="87">
        <f t="shared" si="28"/>
        <v>0</v>
      </c>
      <c r="BV47" s="177"/>
      <c r="BW47" s="177"/>
      <c r="BX47" s="267"/>
      <c r="BY47" s="267"/>
      <c r="BZ47" s="267"/>
      <c r="CA47" s="267"/>
      <c r="CB47" s="267"/>
      <c r="CC47" s="267"/>
      <c r="CD47" s="267"/>
      <c r="CE47" s="267"/>
      <c r="CF47" s="267"/>
      <c r="CG47" s="267"/>
      <c r="CH47" s="267"/>
      <c r="CI47" s="435"/>
      <c r="CJ47" s="436"/>
      <c r="CK47" s="437"/>
      <c r="CM47" s="64" t="s">
        <v>42</v>
      </c>
      <c r="CN47" s="707">
        <v>53</v>
      </c>
      <c r="CS47" s="178">
        <v>29</v>
      </c>
      <c r="CT47" s="259">
        <f t="shared" ca="1" si="29"/>
        <v>47067</v>
      </c>
      <c r="CU47" s="179">
        <f t="shared" ca="1" si="56"/>
        <v>914.39269364295683</v>
      </c>
      <c r="CV47" s="179">
        <f t="shared" ca="1" si="77"/>
        <v>928.03840680268729</v>
      </c>
      <c r="CW47" s="179">
        <f t="shared" ca="1" si="77"/>
        <v>936.326657922236</v>
      </c>
      <c r="CX47" s="179">
        <f t="shared" ca="1" si="77"/>
        <v>944.69140727139757</v>
      </c>
      <c r="CY47" s="179">
        <f t="shared" ca="1" si="77"/>
        <v>953.13338377729906</v>
      </c>
      <c r="CZ47" s="179">
        <f t="shared" ca="1" si="77"/>
        <v>961.65332353081135</v>
      </c>
      <c r="DA47" s="179">
        <f t="shared" ca="1" si="77"/>
        <v>967.37696305698898</v>
      </c>
      <c r="DB47" s="179">
        <f t="shared" ca="1" si="77"/>
        <v>978.93007339907956</v>
      </c>
      <c r="DC47" s="179">
        <f t="shared" ca="1" si="77"/>
        <v>984.75999267938755</v>
      </c>
      <c r="DD47" s="179">
        <f t="shared" ca="1" si="77"/>
        <v>990.62578945767712</v>
      </c>
      <c r="DE47" s="179">
        <f t="shared" ca="1" si="77"/>
        <v>996.52769165433835</v>
      </c>
      <c r="DF47" s="179" t="e">
        <f t="shared" ca="1" si="77"/>
        <v>#VALUE!</v>
      </c>
      <c r="DG47" s="179" t="e">
        <f t="shared" ca="1" si="77"/>
        <v>#VALUE!</v>
      </c>
      <c r="DH47" s="179" t="e">
        <f t="shared" ca="1" si="77"/>
        <v>#VALUE!</v>
      </c>
      <c r="DI47" s="179" t="e">
        <f t="shared" ca="1" si="77"/>
        <v>#VALUE!</v>
      </c>
      <c r="DJ47" s="179" t="e">
        <f t="shared" ca="1" si="73"/>
        <v>#VALUE!</v>
      </c>
      <c r="DK47" s="179" t="e">
        <f t="shared" ca="1" si="73"/>
        <v>#VALUE!</v>
      </c>
      <c r="DL47" s="179" t="e">
        <f t="shared" ca="1" si="73"/>
        <v>#VALUE!</v>
      </c>
      <c r="DM47" s="179" t="e">
        <f t="shared" ca="1" si="73"/>
        <v>#VALUE!</v>
      </c>
      <c r="DN47" s="179" t="e">
        <f t="shared" ca="1" si="73"/>
        <v>#VALUE!</v>
      </c>
      <c r="DO47" s="179" t="e">
        <f t="shared" ca="1" si="73"/>
        <v>#VALUE!</v>
      </c>
      <c r="DP47" s="179" t="e">
        <f t="shared" ca="1" si="73"/>
        <v>#VALUE!</v>
      </c>
      <c r="DQ47" s="179" t="e">
        <f t="shared" ca="1" si="73"/>
        <v>#VALUE!</v>
      </c>
      <c r="DR47" s="431">
        <v>29</v>
      </c>
      <c r="DS47" s="430">
        <f t="shared" ca="1" si="61"/>
        <v>47036</v>
      </c>
      <c r="DT47" s="180">
        <f t="shared" ca="1" si="76"/>
        <v>0</v>
      </c>
      <c r="DU47" s="180">
        <f t="shared" ca="1" si="76"/>
        <v>0</v>
      </c>
      <c r="DV47" s="180">
        <f t="shared" ca="1" si="76"/>
        <v>0</v>
      </c>
      <c r="DW47" s="180">
        <f t="shared" ca="1" si="76"/>
        <v>0</v>
      </c>
      <c r="DX47" s="180">
        <f t="shared" ca="1" si="76"/>
        <v>0</v>
      </c>
      <c r="DY47" s="180">
        <f t="shared" ca="1" si="76"/>
        <v>0</v>
      </c>
      <c r="DZ47" s="180">
        <f t="shared" ca="1" si="76"/>
        <v>0</v>
      </c>
      <c r="EA47" s="180">
        <f t="shared" ca="1" si="76"/>
        <v>0</v>
      </c>
      <c r="EB47" s="180">
        <f t="shared" ca="1" si="76"/>
        <v>0</v>
      </c>
      <c r="EC47" s="180">
        <f t="shared" ca="1" si="76"/>
        <v>0</v>
      </c>
      <c r="ED47" s="180">
        <f t="shared" ca="1" si="76"/>
        <v>0</v>
      </c>
      <c r="EE47" s="180">
        <f t="shared" ca="1" si="76"/>
        <v>0</v>
      </c>
      <c r="EF47" s="180">
        <f t="shared" ca="1" si="76"/>
        <v>0</v>
      </c>
      <c r="EG47" s="180">
        <f t="shared" ca="1" si="76"/>
        <v>0</v>
      </c>
      <c r="EH47" s="180">
        <f t="shared" ca="1" si="75"/>
        <v>0</v>
      </c>
      <c r="EI47" s="180">
        <f t="shared" ca="1" si="74"/>
        <v>0</v>
      </c>
      <c r="EJ47" s="180">
        <f t="shared" ca="1" si="74"/>
        <v>0</v>
      </c>
      <c r="EK47" s="180">
        <f t="shared" ca="1" si="74"/>
        <v>0</v>
      </c>
      <c r="EL47" s="180">
        <f t="shared" ca="1" si="74"/>
        <v>0</v>
      </c>
      <c r="EM47" s="180">
        <f t="shared" ca="1" si="74"/>
        <v>0</v>
      </c>
      <c r="EN47" s="180">
        <f t="shared" ca="1" si="74"/>
        <v>0</v>
      </c>
      <c r="EO47" s="180">
        <f t="shared" ca="1" si="74"/>
        <v>0</v>
      </c>
      <c r="EP47" s="180">
        <f t="shared" ca="1" si="74"/>
        <v>0</v>
      </c>
      <c r="EQ47" s="180"/>
      <c r="ER47" s="180"/>
    </row>
    <row r="48" spans="2:148" ht="15.75" thickBot="1" x14ac:dyDescent="0.3">
      <c r="B48" s="156"/>
      <c r="C48" s="448"/>
      <c r="D48" s="201">
        <v>21</v>
      </c>
      <c r="E48" s="25" t="str">
        <f t="shared" si="63"/>
        <v>INSS</v>
      </c>
      <c r="F48" s="627" t="str">
        <f>IFERROR(VLOOKUP(CONCATENATE(D48,E48),'Base tabelas'!$B:$K,10,FALSE),"")</f>
        <v/>
      </c>
      <c r="G48" s="628"/>
      <c r="H48" s="629"/>
      <c r="I48" s="45" t="str">
        <f>IFERROR(VLOOKUP(CONCATENATE(D48,E48),'Base tabelas'!$B:$E,4,FALSE),"")</f>
        <v/>
      </c>
      <c r="J48" s="34" t="str">
        <f t="shared" ca="1" si="78"/>
        <v/>
      </c>
      <c r="K48" s="46" t="str">
        <f ca="1">IFERROR(DO163,"")</f>
        <v/>
      </c>
      <c r="L48" s="46" t="str">
        <f t="shared" si="79"/>
        <v/>
      </c>
      <c r="M48" s="326" t="str">
        <f ca="1">IFERROR(EN17*-1,"")</f>
        <v/>
      </c>
      <c r="N48" s="59" t="str">
        <f t="shared" ca="1" si="80"/>
        <v/>
      </c>
      <c r="O48" s="69" t="str">
        <f t="shared" si="81"/>
        <v/>
      </c>
      <c r="P48" s="302" t="str">
        <f>IFERROR(VLOOKUP(CONCATENATE(D48,E48),'Base tabelas'!$B:$O,14,FALSE),"")</f>
        <v/>
      </c>
      <c r="Q48" s="186" t="str">
        <f ca="1">EN167</f>
        <v/>
      </c>
      <c r="R48" s="307" t="str">
        <f t="shared" ca="1" si="68"/>
        <v/>
      </c>
      <c r="S48" s="308" t="e">
        <f t="shared" ca="1" si="69"/>
        <v>#VALUE!</v>
      </c>
      <c r="T48" s="371"/>
      <c r="U48" s="460">
        <f t="shared" ca="1" si="70"/>
        <v>0</v>
      </c>
      <c r="V48" s="372"/>
      <c r="W48" s="372"/>
      <c r="X48" s="87">
        <v>30</v>
      </c>
      <c r="Y48" s="87">
        <f t="shared" ca="1" si="35"/>
        <v>67.81</v>
      </c>
      <c r="Z48" s="87">
        <f t="shared" ca="1" si="36"/>
        <v>70.569999999999993</v>
      </c>
      <c r="AA48" s="87">
        <f t="shared" ca="1" si="37"/>
        <v>1172.83</v>
      </c>
      <c r="AB48" s="87">
        <f t="shared" ca="1" si="38"/>
        <v>278.39999999999998</v>
      </c>
      <c r="AC48" s="87">
        <f t="shared" si="39"/>
        <v>0</v>
      </c>
      <c r="AD48" s="87">
        <f t="shared" si="40"/>
        <v>0</v>
      </c>
      <c r="AE48" s="87">
        <f t="shared" si="41"/>
        <v>0</v>
      </c>
      <c r="AF48" s="87">
        <f t="shared" si="42"/>
        <v>0</v>
      </c>
      <c r="AG48" s="87">
        <f t="shared" si="43"/>
        <v>0</v>
      </c>
      <c r="AH48" s="87">
        <f t="shared" si="44"/>
        <v>0</v>
      </c>
      <c r="AI48" s="87">
        <f t="shared" si="45"/>
        <v>0</v>
      </c>
      <c r="AJ48" s="87">
        <f t="shared" si="46"/>
        <v>0</v>
      </c>
      <c r="AK48" s="87">
        <f t="shared" si="47"/>
        <v>0</v>
      </c>
      <c r="AL48" s="87">
        <f t="shared" si="48"/>
        <v>0</v>
      </c>
      <c r="AM48" s="87">
        <f t="shared" si="49"/>
        <v>0</v>
      </c>
      <c r="AN48" s="87">
        <f t="shared" si="50"/>
        <v>0</v>
      </c>
      <c r="AO48" s="87">
        <f t="shared" si="51"/>
        <v>0</v>
      </c>
      <c r="AP48" s="87"/>
      <c r="AQ48" s="426">
        <v>30</v>
      </c>
      <c r="AR48" s="258">
        <f t="shared" ca="1" si="58"/>
        <v>47067</v>
      </c>
      <c r="AS48" s="429">
        <f t="shared" ca="1" si="10"/>
        <v>1589.6100000000001</v>
      </c>
      <c r="AT48" s="138"/>
      <c r="AU48" s="278">
        <v>30</v>
      </c>
      <c r="AV48" s="258">
        <f t="shared" ca="1" si="59"/>
        <v>47097</v>
      </c>
      <c r="AW48" s="429">
        <f t="shared" ca="1" si="52"/>
        <v>0</v>
      </c>
      <c r="AX48" s="202">
        <f t="shared" ca="1" si="53"/>
        <v>0</v>
      </c>
      <c r="AY48" s="278">
        <v>30</v>
      </c>
      <c r="AZ48" s="258">
        <f t="shared" ca="1" si="60"/>
        <v>47097</v>
      </c>
      <c r="BA48" s="429">
        <f t="shared" si="54"/>
        <v>1589.6100000000001</v>
      </c>
      <c r="BB48" s="259">
        <f t="shared" ca="1" si="11"/>
        <v>47067</v>
      </c>
      <c r="BC48" s="428">
        <f t="shared" ca="1" si="55"/>
        <v>0</v>
      </c>
      <c r="BD48" s="188">
        <f t="shared" si="12"/>
        <v>67.81</v>
      </c>
      <c r="BE48" s="188">
        <f t="shared" si="13"/>
        <v>70.569999999999993</v>
      </c>
      <c r="BF48" s="188">
        <f t="shared" si="14"/>
        <v>1172.83</v>
      </c>
      <c r="BG48" s="87">
        <f t="shared" si="15"/>
        <v>278.39999999999998</v>
      </c>
      <c r="BH48" s="87">
        <f t="shared" si="16"/>
        <v>0</v>
      </c>
      <c r="BI48" s="87">
        <f t="shared" si="17"/>
        <v>0</v>
      </c>
      <c r="BJ48" s="87">
        <f t="shared" si="18"/>
        <v>0</v>
      </c>
      <c r="BK48" s="87">
        <f t="shared" si="19"/>
        <v>0</v>
      </c>
      <c r="BL48" s="87">
        <f t="shared" si="20"/>
        <v>0</v>
      </c>
      <c r="BM48" s="87">
        <f t="shared" si="21"/>
        <v>0</v>
      </c>
      <c r="BN48" s="87">
        <f t="shared" si="22"/>
        <v>0</v>
      </c>
      <c r="BO48" s="87">
        <f t="shared" si="23"/>
        <v>0</v>
      </c>
      <c r="BP48" s="87">
        <f t="shared" si="24"/>
        <v>0</v>
      </c>
      <c r="BQ48" s="87">
        <f t="shared" si="25"/>
        <v>0</v>
      </c>
      <c r="BR48" s="87">
        <f t="shared" si="26"/>
        <v>0</v>
      </c>
      <c r="BS48" s="87">
        <f t="shared" si="27"/>
        <v>0</v>
      </c>
      <c r="BT48" s="87">
        <f t="shared" si="28"/>
        <v>0</v>
      </c>
      <c r="BV48" s="177"/>
      <c r="BW48" s="177"/>
      <c r="BX48" s="267"/>
      <c r="BY48" s="267"/>
      <c r="BZ48" s="267"/>
      <c r="CA48" s="267"/>
      <c r="CB48" s="267"/>
      <c r="CC48" s="267"/>
      <c r="CD48" s="267"/>
      <c r="CE48" s="267"/>
      <c r="CF48" s="267"/>
      <c r="CG48" s="267"/>
      <c r="CH48" s="267"/>
      <c r="CI48" s="435"/>
      <c r="CJ48" s="436"/>
      <c r="CK48" s="437"/>
      <c r="CM48" s="64" t="s">
        <v>3011</v>
      </c>
      <c r="CN48" s="707"/>
      <c r="CS48" s="138">
        <v>30</v>
      </c>
      <c r="CT48" s="259">
        <f t="shared" ca="1" si="29"/>
        <v>47097</v>
      </c>
      <c r="CU48" s="179">
        <f t="shared" ca="1" si="56"/>
        <v>897.78369528027179</v>
      </c>
      <c r="CV48" s="179">
        <f t="shared" ca="1" si="77"/>
        <v>911.62908330322921</v>
      </c>
      <c r="CW48" s="179">
        <f t="shared" ca="1" si="77"/>
        <v>920.04191600887884</v>
      </c>
      <c r="CX48" s="179">
        <f t="shared" ca="1" si="77"/>
        <v>928.53490001120258</v>
      </c>
      <c r="CY48" s="179">
        <f t="shared" ca="1" si="77"/>
        <v>937.10882290561312</v>
      </c>
      <c r="CZ48" s="179">
        <f t="shared" ca="1" si="77"/>
        <v>945.76448026240303</v>
      </c>
      <c r="DA48" s="179">
        <f t="shared" ca="1" si="77"/>
        <v>951.580723054288</v>
      </c>
      <c r="DB48" s="179">
        <f t="shared" ca="1" si="77"/>
        <v>963.32422101857856</v>
      </c>
      <c r="DC48" s="179">
        <f t="shared" ca="1" si="77"/>
        <v>969.25196129860979</v>
      </c>
      <c r="DD48" s="179">
        <f t="shared" ca="1" si="77"/>
        <v>975.21735524480903</v>
      </c>
      <c r="DE48" s="179">
        <f t="shared" ca="1" si="77"/>
        <v>981.22064952179835</v>
      </c>
      <c r="DF48" s="179" t="e">
        <f t="shared" ca="1" si="77"/>
        <v>#VALUE!</v>
      </c>
      <c r="DG48" s="179" t="e">
        <f t="shared" ca="1" si="77"/>
        <v>#VALUE!</v>
      </c>
      <c r="DH48" s="179" t="e">
        <f t="shared" ca="1" si="77"/>
        <v>#VALUE!</v>
      </c>
      <c r="DI48" s="179" t="e">
        <f t="shared" ca="1" si="77"/>
        <v>#VALUE!</v>
      </c>
      <c r="DJ48" s="179" t="e">
        <f t="shared" ca="1" si="73"/>
        <v>#VALUE!</v>
      </c>
      <c r="DK48" s="179" t="e">
        <f t="shared" ca="1" si="73"/>
        <v>#VALUE!</v>
      </c>
      <c r="DL48" s="179" t="e">
        <f t="shared" ca="1" si="73"/>
        <v>#VALUE!</v>
      </c>
      <c r="DM48" s="179" t="e">
        <f t="shared" ca="1" si="73"/>
        <v>#VALUE!</v>
      </c>
      <c r="DN48" s="179" t="e">
        <f t="shared" ca="1" si="73"/>
        <v>#VALUE!</v>
      </c>
      <c r="DO48" s="179" t="e">
        <f t="shared" ca="1" si="73"/>
        <v>#VALUE!</v>
      </c>
      <c r="DP48" s="179" t="e">
        <f t="shared" ca="1" si="73"/>
        <v>#VALUE!</v>
      </c>
      <c r="DQ48" s="179" t="e">
        <f t="shared" ca="1" si="73"/>
        <v>#VALUE!</v>
      </c>
      <c r="DR48" s="278">
        <v>30</v>
      </c>
      <c r="DS48" s="430">
        <f t="shared" ca="1" si="61"/>
        <v>47067</v>
      </c>
      <c r="DT48" s="180">
        <f t="shared" ca="1" si="76"/>
        <v>0</v>
      </c>
      <c r="DU48" s="180">
        <f t="shared" ca="1" si="76"/>
        <v>0</v>
      </c>
      <c r="DV48" s="180">
        <f t="shared" ca="1" si="76"/>
        <v>0</v>
      </c>
      <c r="DW48" s="180">
        <f t="shared" ca="1" si="76"/>
        <v>0</v>
      </c>
      <c r="DX48" s="180">
        <f t="shared" ca="1" si="76"/>
        <v>0</v>
      </c>
      <c r="DY48" s="180">
        <f t="shared" ca="1" si="76"/>
        <v>0</v>
      </c>
      <c r="DZ48" s="180">
        <f t="shared" ca="1" si="76"/>
        <v>0</v>
      </c>
      <c r="EA48" s="180">
        <f t="shared" ca="1" si="76"/>
        <v>0</v>
      </c>
      <c r="EB48" s="180">
        <f t="shared" ca="1" si="76"/>
        <v>0</v>
      </c>
      <c r="EC48" s="180">
        <f t="shared" ca="1" si="76"/>
        <v>0</v>
      </c>
      <c r="ED48" s="180">
        <f t="shared" ca="1" si="76"/>
        <v>0</v>
      </c>
      <c r="EE48" s="180">
        <f t="shared" ca="1" si="76"/>
        <v>0</v>
      </c>
      <c r="EF48" s="180">
        <f t="shared" ca="1" si="76"/>
        <v>0</v>
      </c>
      <c r="EG48" s="180">
        <f t="shared" ca="1" si="76"/>
        <v>0</v>
      </c>
      <c r="EH48" s="180">
        <f t="shared" ca="1" si="75"/>
        <v>0</v>
      </c>
      <c r="EI48" s="180">
        <f t="shared" ca="1" si="74"/>
        <v>0</v>
      </c>
      <c r="EJ48" s="180">
        <f t="shared" ca="1" si="74"/>
        <v>0</v>
      </c>
      <c r="EK48" s="180">
        <f t="shared" ca="1" si="74"/>
        <v>0</v>
      </c>
      <c r="EL48" s="180">
        <f t="shared" ca="1" si="74"/>
        <v>0</v>
      </c>
      <c r="EM48" s="180">
        <f t="shared" ca="1" si="74"/>
        <v>0</v>
      </c>
      <c r="EN48" s="180">
        <f t="shared" ca="1" si="74"/>
        <v>0</v>
      </c>
      <c r="EO48" s="180">
        <f t="shared" ca="1" si="74"/>
        <v>0</v>
      </c>
      <c r="EP48" s="180">
        <f t="shared" ca="1" si="74"/>
        <v>0</v>
      </c>
      <c r="EQ48" s="180"/>
      <c r="ER48" s="180"/>
    </row>
    <row r="49" spans="2:148" ht="15.75" thickBot="1" x14ac:dyDescent="0.3">
      <c r="B49" s="78"/>
      <c r="C49" s="450"/>
      <c r="D49" s="201">
        <v>22</v>
      </c>
      <c r="E49" s="25" t="str">
        <f t="shared" si="63"/>
        <v>INSS</v>
      </c>
      <c r="F49" s="627" t="str">
        <f>IFERROR(VLOOKUP(CONCATENATE(D49,E49),'Base tabelas'!$B:$K,10,FALSE),"")</f>
        <v/>
      </c>
      <c r="G49" s="628"/>
      <c r="H49" s="629"/>
      <c r="I49" s="45" t="str">
        <f>IFERROR(VLOOKUP(CONCATENATE(D49,E49),'Base tabelas'!$B:$E,4,FALSE),"")</f>
        <v/>
      </c>
      <c r="J49" s="34" t="str">
        <f t="shared" ca="1" si="78"/>
        <v/>
      </c>
      <c r="K49" s="46" t="str">
        <f ca="1">IFERROR(DP163,"")</f>
        <v/>
      </c>
      <c r="L49" s="46" t="str">
        <f t="shared" si="79"/>
        <v/>
      </c>
      <c r="M49" s="326" t="str">
        <f ca="1">IFERROR(EO17*-1,"")</f>
        <v/>
      </c>
      <c r="N49" s="59" t="str">
        <f t="shared" ca="1" si="80"/>
        <v/>
      </c>
      <c r="O49" s="69" t="str">
        <f t="shared" si="81"/>
        <v/>
      </c>
      <c r="P49" s="302" t="str">
        <f>IFERROR(VLOOKUP(CONCATENATE(D49,E49),'Base tabelas'!$B:$O,14,FALSE),"")</f>
        <v/>
      </c>
      <c r="Q49" s="186" t="str">
        <f ca="1">EO167</f>
        <v/>
      </c>
      <c r="R49" s="307" t="str">
        <f t="shared" ca="1" si="68"/>
        <v/>
      </c>
      <c r="S49" s="308" t="e">
        <f t="shared" ca="1" si="69"/>
        <v>#VALUE!</v>
      </c>
      <c r="T49" s="372"/>
      <c r="U49" s="460">
        <f t="shared" ca="1" si="70"/>
        <v>0</v>
      </c>
      <c r="V49" s="176"/>
      <c r="W49" s="372"/>
      <c r="X49" s="87">
        <v>31</v>
      </c>
      <c r="Y49" s="87">
        <f t="shared" ca="1" si="35"/>
        <v>67.81</v>
      </c>
      <c r="Z49" s="87">
        <f t="shared" ca="1" si="36"/>
        <v>70.569999999999993</v>
      </c>
      <c r="AA49" s="87">
        <f t="shared" ca="1" si="37"/>
        <v>1172.83</v>
      </c>
      <c r="AB49" s="87">
        <f t="shared" ca="1" si="38"/>
        <v>278.39999999999998</v>
      </c>
      <c r="AC49" s="87">
        <f t="shared" si="39"/>
        <v>0</v>
      </c>
      <c r="AD49" s="87">
        <f t="shared" si="40"/>
        <v>0</v>
      </c>
      <c r="AE49" s="87">
        <f t="shared" si="41"/>
        <v>0</v>
      </c>
      <c r="AF49" s="87">
        <f t="shared" si="42"/>
        <v>0</v>
      </c>
      <c r="AG49" s="87">
        <f t="shared" si="43"/>
        <v>0</v>
      </c>
      <c r="AH49" s="87">
        <f t="shared" si="44"/>
        <v>0</v>
      </c>
      <c r="AI49" s="87">
        <f t="shared" si="45"/>
        <v>0</v>
      </c>
      <c r="AJ49" s="87">
        <f t="shared" si="46"/>
        <v>0</v>
      </c>
      <c r="AK49" s="87">
        <f t="shared" si="47"/>
        <v>0</v>
      </c>
      <c r="AL49" s="87">
        <f t="shared" si="48"/>
        <v>0</v>
      </c>
      <c r="AM49" s="87">
        <f t="shared" si="49"/>
        <v>0</v>
      </c>
      <c r="AN49" s="87">
        <f t="shared" si="50"/>
        <v>0</v>
      </c>
      <c r="AO49" s="87">
        <f t="shared" si="51"/>
        <v>0</v>
      </c>
      <c r="AP49" s="87"/>
      <c r="AQ49" s="426">
        <v>31</v>
      </c>
      <c r="AR49" s="258">
        <f t="shared" ca="1" si="58"/>
        <v>47097</v>
      </c>
      <c r="AS49" s="429">
        <f t="shared" ca="1" si="10"/>
        <v>1589.6100000000001</v>
      </c>
      <c r="AT49" s="138"/>
      <c r="AU49" s="278">
        <v>31</v>
      </c>
      <c r="AV49" s="258">
        <f t="shared" ca="1" si="59"/>
        <v>47128</v>
      </c>
      <c r="AW49" s="429">
        <f t="shared" ca="1" si="52"/>
        <v>0</v>
      </c>
      <c r="AX49" s="202">
        <f t="shared" ca="1" si="53"/>
        <v>0</v>
      </c>
      <c r="AY49" s="278">
        <v>31</v>
      </c>
      <c r="AZ49" s="258">
        <f t="shared" ca="1" si="60"/>
        <v>47128</v>
      </c>
      <c r="BA49" s="429">
        <f t="shared" si="54"/>
        <v>1589.6100000000001</v>
      </c>
      <c r="BB49" s="259">
        <f t="shared" ca="1" si="11"/>
        <v>47097</v>
      </c>
      <c r="BC49" s="428">
        <f t="shared" ca="1" si="55"/>
        <v>0</v>
      </c>
      <c r="BD49" s="188">
        <f t="shared" si="12"/>
        <v>67.81</v>
      </c>
      <c r="BE49" s="188">
        <f t="shared" si="13"/>
        <v>70.569999999999993</v>
      </c>
      <c r="BF49" s="188">
        <f t="shared" si="14"/>
        <v>1172.83</v>
      </c>
      <c r="BG49" s="87">
        <f t="shared" si="15"/>
        <v>278.39999999999998</v>
      </c>
      <c r="BH49" s="87">
        <f t="shared" si="16"/>
        <v>0</v>
      </c>
      <c r="BI49" s="87">
        <f t="shared" si="17"/>
        <v>0</v>
      </c>
      <c r="BJ49" s="87">
        <f t="shared" si="18"/>
        <v>0</v>
      </c>
      <c r="BK49" s="87">
        <f t="shared" si="19"/>
        <v>0</v>
      </c>
      <c r="BL49" s="87">
        <f t="shared" si="20"/>
        <v>0</v>
      </c>
      <c r="BM49" s="87">
        <f t="shared" si="21"/>
        <v>0</v>
      </c>
      <c r="BN49" s="87">
        <f t="shared" si="22"/>
        <v>0</v>
      </c>
      <c r="BO49" s="87">
        <f t="shared" si="23"/>
        <v>0</v>
      </c>
      <c r="BP49" s="87">
        <f t="shared" si="24"/>
        <v>0</v>
      </c>
      <c r="BQ49" s="87">
        <f t="shared" si="25"/>
        <v>0</v>
      </c>
      <c r="BR49" s="87">
        <f t="shared" si="26"/>
        <v>0</v>
      </c>
      <c r="BS49" s="87">
        <f t="shared" si="27"/>
        <v>0</v>
      </c>
      <c r="BT49" s="87">
        <f t="shared" si="28"/>
        <v>0</v>
      </c>
      <c r="BV49" s="177"/>
      <c r="BW49" s="177"/>
      <c r="BX49" s="267"/>
      <c r="BY49" s="267"/>
      <c r="BZ49" s="267"/>
      <c r="CA49" s="267"/>
      <c r="CB49" s="267"/>
      <c r="CC49" s="267"/>
      <c r="CD49" s="267"/>
      <c r="CE49" s="267"/>
      <c r="CF49" s="267"/>
      <c r="CG49" s="267"/>
      <c r="CH49" s="267"/>
      <c r="CI49" s="435"/>
      <c r="CJ49" s="436"/>
      <c r="CK49" s="437"/>
      <c r="CM49" s="64" t="s">
        <v>2902</v>
      </c>
      <c r="CN49" s="707"/>
      <c r="CS49" s="87">
        <v>31</v>
      </c>
      <c r="CT49" s="259">
        <f t="shared" ca="1" si="29"/>
        <v>47128</v>
      </c>
      <c r="CU49" s="179">
        <f t="shared" ca="1" si="56"/>
        <v>880.93793655052195</v>
      </c>
      <c r="CV49" s="179">
        <f t="shared" ca="1" si="77"/>
        <v>894.9775358727635</v>
      </c>
      <c r="CW49" s="179">
        <f t="shared" ca="1" si="77"/>
        <v>903.5118371284849</v>
      </c>
      <c r="CX49" s="179">
        <f t="shared" ca="1" si="77"/>
        <v>912.13007173250446</v>
      </c>
      <c r="CY49" s="179">
        <f t="shared" ca="1" si="77"/>
        <v>920.83309026983102</v>
      </c>
      <c r="CZ49" s="179">
        <f t="shared" ca="1" si="77"/>
        <v>929.62175219999858</v>
      </c>
      <c r="DA49" s="179">
        <f t="shared" ca="1" si="77"/>
        <v>935.52886829810609</v>
      </c>
      <c r="DB49" s="179">
        <f t="shared" ca="1" si="77"/>
        <v>947.45948902234079</v>
      </c>
      <c r="DC49" s="179">
        <f t="shared" ca="1" si="77"/>
        <v>953.48351816608863</v>
      </c>
      <c r="DD49" s="179">
        <f t="shared" ca="1" si="77"/>
        <v>959.54704588316497</v>
      </c>
      <c r="DE49" s="179">
        <f t="shared" ca="1" si="77"/>
        <v>965.65033901269771</v>
      </c>
      <c r="DF49" s="179" t="e">
        <f t="shared" ca="1" si="77"/>
        <v>#VALUE!</v>
      </c>
      <c r="DG49" s="179" t="e">
        <f t="shared" ca="1" si="77"/>
        <v>#VALUE!</v>
      </c>
      <c r="DH49" s="179" t="e">
        <f t="shared" ca="1" si="77"/>
        <v>#VALUE!</v>
      </c>
      <c r="DI49" s="179" t="e">
        <f t="shared" ca="1" si="77"/>
        <v>#VALUE!</v>
      </c>
      <c r="DJ49" s="179" t="e">
        <f t="shared" ca="1" si="73"/>
        <v>#VALUE!</v>
      </c>
      <c r="DK49" s="179" t="e">
        <f t="shared" ca="1" si="73"/>
        <v>#VALUE!</v>
      </c>
      <c r="DL49" s="179" t="e">
        <f t="shared" ca="1" si="73"/>
        <v>#VALUE!</v>
      </c>
      <c r="DM49" s="179" t="e">
        <f t="shared" ca="1" si="73"/>
        <v>#VALUE!</v>
      </c>
      <c r="DN49" s="179" t="e">
        <f t="shared" ca="1" si="73"/>
        <v>#VALUE!</v>
      </c>
      <c r="DO49" s="179" t="e">
        <f t="shared" ca="1" si="73"/>
        <v>#VALUE!</v>
      </c>
      <c r="DP49" s="179" t="e">
        <f t="shared" ca="1" si="73"/>
        <v>#VALUE!</v>
      </c>
      <c r="DQ49" s="179" t="e">
        <f t="shared" ca="1" si="73"/>
        <v>#VALUE!</v>
      </c>
      <c r="DR49" s="188">
        <v>31</v>
      </c>
      <c r="DS49" s="430">
        <f t="shared" ca="1" si="61"/>
        <v>47097</v>
      </c>
      <c r="DT49" s="180">
        <f t="shared" ca="1" si="76"/>
        <v>0</v>
      </c>
      <c r="DU49" s="180">
        <f t="shared" ca="1" si="76"/>
        <v>0</v>
      </c>
      <c r="DV49" s="180">
        <f t="shared" ca="1" si="76"/>
        <v>0</v>
      </c>
      <c r="DW49" s="180">
        <f t="shared" ca="1" si="76"/>
        <v>0</v>
      </c>
      <c r="DX49" s="180">
        <f t="shared" ca="1" si="76"/>
        <v>0</v>
      </c>
      <c r="DY49" s="180">
        <f t="shared" ca="1" si="76"/>
        <v>0</v>
      </c>
      <c r="DZ49" s="180">
        <f t="shared" ca="1" si="76"/>
        <v>0</v>
      </c>
      <c r="EA49" s="180">
        <f t="shared" ca="1" si="76"/>
        <v>0</v>
      </c>
      <c r="EB49" s="180">
        <f t="shared" ca="1" si="76"/>
        <v>0</v>
      </c>
      <c r="EC49" s="180">
        <f t="shared" ca="1" si="76"/>
        <v>0</v>
      </c>
      <c r="ED49" s="180">
        <f t="shared" ca="1" si="76"/>
        <v>0</v>
      </c>
      <c r="EE49" s="180">
        <f t="shared" ca="1" si="76"/>
        <v>0</v>
      </c>
      <c r="EF49" s="180">
        <f t="shared" ca="1" si="76"/>
        <v>0</v>
      </c>
      <c r="EG49" s="180">
        <f t="shared" ca="1" si="76"/>
        <v>0</v>
      </c>
      <c r="EH49" s="180">
        <f t="shared" ca="1" si="75"/>
        <v>0</v>
      </c>
      <c r="EI49" s="180">
        <f t="shared" ca="1" si="74"/>
        <v>0</v>
      </c>
      <c r="EJ49" s="180">
        <f t="shared" ca="1" si="74"/>
        <v>0</v>
      </c>
      <c r="EK49" s="180">
        <f t="shared" ca="1" si="74"/>
        <v>0</v>
      </c>
      <c r="EL49" s="180">
        <f t="shared" ca="1" si="74"/>
        <v>0</v>
      </c>
      <c r="EM49" s="180">
        <f t="shared" ca="1" si="74"/>
        <v>0</v>
      </c>
      <c r="EN49" s="180">
        <f t="shared" ca="1" si="74"/>
        <v>0</v>
      </c>
      <c r="EO49" s="180">
        <f t="shared" ca="1" si="74"/>
        <v>0</v>
      </c>
      <c r="EP49" s="180">
        <f t="shared" ca="1" si="74"/>
        <v>0</v>
      </c>
      <c r="EQ49" s="180"/>
      <c r="ER49" s="180"/>
    </row>
    <row r="50" spans="2:148" ht="15.75" thickBot="1" x14ac:dyDescent="0.3">
      <c r="B50" s="78"/>
      <c r="D50" s="201">
        <v>23</v>
      </c>
      <c r="E50" s="25" t="str">
        <f t="shared" si="63"/>
        <v>INSS</v>
      </c>
      <c r="F50" s="627" t="str">
        <f>IFERROR(VLOOKUP(CONCATENATE(D50,E50),'Base tabelas'!$B:$K,10,FALSE),"")</f>
        <v/>
      </c>
      <c r="G50" s="628"/>
      <c r="H50" s="629"/>
      <c r="I50" s="45" t="str">
        <f>IFERROR(VLOOKUP(CONCATENATE(D50,E50),'Base tabelas'!$B:$E,4,FALSE),"")</f>
        <v/>
      </c>
      <c r="J50" s="34" t="str">
        <f t="shared" ca="1" si="78"/>
        <v/>
      </c>
      <c r="K50" s="46" t="str">
        <f ca="1">IFERROR(DQ163,"")</f>
        <v/>
      </c>
      <c r="L50" s="46" t="str">
        <f t="shared" si="79"/>
        <v/>
      </c>
      <c r="M50" s="326" t="str">
        <f ca="1">IFERROR(EP17*-1,"")</f>
        <v/>
      </c>
      <c r="N50" s="59" t="str">
        <f t="shared" ca="1" si="80"/>
        <v/>
      </c>
      <c r="O50" s="69" t="str">
        <f t="shared" si="81"/>
        <v/>
      </c>
      <c r="P50" s="302" t="str">
        <f>IFERROR(VLOOKUP(CONCATENATE(D50,E50),'Base tabelas'!$B:$O,14,FALSE),"")</f>
        <v/>
      </c>
      <c r="Q50" s="186" t="str">
        <f ca="1">EP167</f>
        <v/>
      </c>
      <c r="R50" s="307" t="str">
        <f t="shared" ca="1" si="68"/>
        <v/>
      </c>
      <c r="S50" s="308" t="e">
        <f t="shared" ca="1" si="69"/>
        <v>#VALUE!</v>
      </c>
      <c r="T50" s="372"/>
      <c r="U50" s="460">
        <f t="shared" ca="1" si="70"/>
        <v>0</v>
      </c>
      <c r="V50" s="175"/>
      <c r="W50" s="372"/>
      <c r="X50" s="87">
        <v>32</v>
      </c>
      <c r="Y50" s="87">
        <f t="shared" ca="1" si="35"/>
        <v>67.81</v>
      </c>
      <c r="Z50" s="87">
        <f t="shared" ca="1" si="36"/>
        <v>70.569999999999993</v>
      </c>
      <c r="AA50" s="87">
        <f t="shared" ca="1" si="37"/>
        <v>1172.83</v>
      </c>
      <c r="AB50" s="87">
        <f t="shared" ca="1" si="38"/>
        <v>278.39999999999998</v>
      </c>
      <c r="AC50" s="87">
        <f t="shared" si="39"/>
        <v>0</v>
      </c>
      <c r="AD50" s="87">
        <f t="shared" si="40"/>
        <v>0</v>
      </c>
      <c r="AE50" s="87">
        <f t="shared" si="41"/>
        <v>0</v>
      </c>
      <c r="AF50" s="87">
        <f t="shared" si="42"/>
        <v>0</v>
      </c>
      <c r="AG50" s="87">
        <f t="shared" si="43"/>
        <v>0</v>
      </c>
      <c r="AH50" s="87">
        <f t="shared" si="44"/>
        <v>0</v>
      </c>
      <c r="AI50" s="87">
        <f t="shared" si="45"/>
        <v>0</v>
      </c>
      <c r="AJ50" s="87">
        <f t="shared" si="46"/>
        <v>0</v>
      </c>
      <c r="AK50" s="87">
        <f t="shared" si="47"/>
        <v>0</v>
      </c>
      <c r="AL50" s="87">
        <f t="shared" si="48"/>
        <v>0</v>
      </c>
      <c r="AM50" s="87">
        <f t="shared" si="49"/>
        <v>0</v>
      </c>
      <c r="AN50" s="87">
        <f t="shared" si="50"/>
        <v>0</v>
      </c>
      <c r="AO50" s="87">
        <f t="shared" si="51"/>
        <v>0</v>
      </c>
      <c r="AP50" s="87"/>
      <c r="AQ50" s="426">
        <v>32</v>
      </c>
      <c r="AR50" s="258">
        <f t="shared" ca="1" si="58"/>
        <v>47128</v>
      </c>
      <c r="AS50" s="429">
        <f t="shared" ca="1" si="10"/>
        <v>1589.6100000000001</v>
      </c>
      <c r="AT50" s="138"/>
      <c r="AU50" s="278">
        <v>32</v>
      </c>
      <c r="AV50" s="258">
        <f t="shared" ca="1" si="59"/>
        <v>47159</v>
      </c>
      <c r="AW50" s="429">
        <f t="shared" ca="1" si="52"/>
        <v>0</v>
      </c>
      <c r="AX50" s="202">
        <f t="shared" ca="1" si="53"/>
        <v>0</v>
      </c>
      <c r="AY50" s="278">
        <v>32</v>
      </c>
      <c r="AZ50" s="258">
        <f t="shared" ca="1" si="60"/>
        <v>47159</v>
      </c>
      <c r="BA50" s="429">
        <f t="shared" si="54"/>
        <v>1589.6100000000001</v>
      </c>
      <c r="BB50" s="259">
        <f t="shared" ca="1" si="11"/>
        <v>47128</v>
      </c>
      <c r="BC50" s="428">
        <f t="shared" ca="1" si="55"/>
        <v>0</v>
      </c>
      <c r="BD50" s="188">
        <f t="shared" si="12"/>
        <v>67.81</v>
      </c>
      <c r="BE50" s="188">
        <f t="shared" si="13"/>
        <v>70.569999999999993</v>
      </c>
      <c r="BF50" s="188">
        <f t="shared" si="14"/>
        <v>1172.83</v>
      </c>
      <c r="BG50" s="87">
        <f t="shared" si="15"/>
        <v>278.39999999999998</v>
      </c>
      <c r="BH50" s="87">
        <f t="shared" si="16"/>
        <v>0</v>
      </c>
      <c r="BI50" s="87">
        <f t="shared" si="17"/>
        <v>0</v>
      </c>
      <c r="BJ50" s="87">
        <f t="shared" si="18"/>
        <v>0</v>
      </c>
      <c r="BK50" s="87">
        <f t="shared" si="19"/>
        <v>0</v>
      </c>
      <c r="BL50" s="87">
        <f t="shared" si="20"/>
        <v>0</v>
      </c>
      <c r="BM50" s="87">
        <f t="shared" si="21"/>
        <v>0</v>
      </c>
      <c r="BN50" s="87">
        <f t="shared" si="22"/>
        <v>0</v>
      </c>
      <c r="BO50" s="87">
        <f t="shared" si="23"/>
        <v>0</v>
      </c>
      <c r="BP50" s="87">
        <f t="shared" si="24"/>
        <v>0</v>
      </c>
      <c r="BQ50" s="87">
        <f t="shared" si="25"/>
        <v>0</v>
      </c>
      <c r="BR50" s="87">
        <f t="shared" si="26"/>
        <v>0</v>
      </c>
      <c r="BS50" s="87">
        <f t="shared" si="27"/>
        <v>0</v>
      </c>
      <c r="BT50" s="87">
        <f t="shared" si="28"/>
        <v>0</v>
      </c>
      <c r="BV50" s="177"/>
      <c r="BW50" s="177"/>
      <c r="BX50" s="267"/>
      <c r="BY50" s="267"/>
      <c r="BZ50" s="267"/>
      <c r="CA50" s="267"/>
      <c r="CB50" s="267"/>
      <c r="CC50" s="267"/>
      <c r="CD50" s="267"/>
      <c r="CE50" s="267"/>
      <c r="CF50" s="267"/>
      <c r="CG50" s="267"/>
      <c r="CH50" s="267"/>
      <c r="CI50" s="435"/>
      <c r="CJ50" s="436"/>
      <c r="CK50" s="437"/>
      <c r="CM50" s="64" t="s">
        <v>2514</v>
      </c>
      <c r="CN50" s="707">
        <v>28</v>
      </c>
      <c r="CS50" s="178">
        <v>32</v>
      </c>
      <c r="CT50" s="259">
        <f t="shared" ca="1" si="29"/>
        <v>47159</v>
      </c>
      <c r="CU50" s="179">
        <f t="shared" ca="1" si="56"/>
        <v>864.40826686167702</v>
      </c>
      <c r="CV50" s="179">
        <f t="shared" ca="1" si="77"/>
        <v>878.63014068678763</v>
      </c>
      <c r="CW50" s="179">
        <f t="shared" ca="1" si="77"/>
        <v>887.27874852977016</v>
      </c>
      <c r="CX50" s="179">
        <f t="shared" ca="1" si="77"/>
        <v>896.01507466085138</v>
      </c>
      <c r="CY50" s="179">
        <f t="shared" ca="1" si="77"/>
        <v>904.84003502044914</v>
      </c>
      <c r="CZ50" s="179">
        <f t="shared" ca="1" si="77"/>
        <v>913.75455538742983</v>
      </c>
      <c r="DA50" s="179">
        <f t="shared" ca="1" si="77"/>
        <v>919.74778619932624</v>
      </c>
      <c r="DB50" s="179">
        <f t="shared" ca="1" si="77"/>
        <v>931.85602910441366</v>
      </c>
      <c r="DC50" s="179">
        <f t="shared" ca="1" si="77"/>
        <v>937.97160667730066</v>
      </c>
      <c r="DD50" s="179">
        <f t="shared" ca="1" si="77"/>
        <v>944.12853535812792</v>
      </c>
      <c r="DE50" s="179">
        <f t="shared" ca="1" si="77"/>
        <v>950.32710297096389</v>
      </c>
      <c r="DF50" s="179" t="e">
        <f t="shared" ca="1" si="77"/>
        <v>#VALUE!</v>
      </c>
      <c r="DG50" s="179" t="e">
        <f t="shared" ca="1" si="77"/>
        <v>#VALUE!</v>
      </c>
      <c r="DH50" s="179" t="e">
        <f t="shared" ca="1" si="77"/>
        <v>#VALUE!</v>
      </c>
      <c r="DI50" s="179" t="e">
        <f t="shared" ca="1" si="77"/>
        <v>#VALUE!</v>
      </c>
      <c r="DJ50" s="179" t="e">
        <f t="shared" ca="1" si="73"/>
        <v>#VALUE!</v>
      </c>
      <c r="DK50" s="179" t="e">
        <f t="shared" ca="1" si="73"/>
        <v>#VALUE!</v>
      </c>
      <c r="DL50" s="179" t="e">
        <f t="shared" ca="1" si="73"/>
        <v>#VALUE!</v>
      </c>
      <c r="DM50" s="179" t="e">
        <f t="shared" ca="1" si="73"/>
        <v>#VALUE!</v>
      </c>
      <c r="DN50" s="179" t="e">
        <f t="shared" ca="1" si="73"/>
        <v>#VALUE!</v>
      </c>
      <c r="DO50" s="179" t="e">
        <f t="shared" ca="1" si="73"/>
        <v>#VALUE!</v>
      </c>
      <c r="DP50" s="179" t="e">
        <f t="shared" ca="1" si="73"/>
        <v>#VALUE!</v>
      </c>
      <c r="DQ50" s="179" t="e">
        <f t="shared" ca="1" si="73"/>
        <v>#VALUE!</v>
      </c>
      <c r="DR50" s="431">
        <v>32</v>
      </c>
      <c r="DS50" s="430">
        <f t="shared" ca="1" si="61"/>
        <v>47128</v>
      </c>
      <c r="DT50" s="180">
        <f t="shared" ca="1" si="76"/>
        <v>0</v>
      </c>
      <c r="DU50" s="180">
        <f t="shared" ca="1" si="76"/>
        <v>0</v>
      </c>
      <c r="DV50" s="180">
        <f t="shared" ca="1" si="76"/>
        <v>0</v>
      </c>
      <c r="DW50" s="180">
        <f t="shared" ca="1" si="76"/>
        <v>0</v>
      </c>
      <c r="DX50" s="180">
        <f t="shared" ca="1" si="76"/>
        <v>0</v>
      </c>
      <c r="DY50" s="180">
        <f t="shared" ca="1" si="76"/>
        <v>0</v>
      </c>
      <c r="DZ50" s="180">
        <f t="shared" ca="1" si="76"/>
        <v>0</v>
      </c>
      <c r="EA50" s="180">
        <f t="shared" ca="1" si="76"/>
        <v>0</v>
      </c>
      <c r="EB50" s="180">
        <f t="shared" ca="1" si="76"/>
        <v>0</v>
      </c>
      <c r="EC50" s="180">
        <f t="shared" ca="1" si="76"/>
        <v>0</v>
      </c>
      <c r="ED50" s="180">
        <f t="shared" ca="1" si="76"/>
        <v>0</v>
      </c>
      <c r="EE50" s="180">
        <f t="shared" ca="1" si="76"/>
        <v>0</v>
      </c>
      <c r="EF50" s="180">
        <f t="shared" ca="1" si="76"/>
        <v>0</v>
      </c>
      <c r="EG50" s="180">
        <f t="shared" ca="1" si="76"/>
        <v>0</v>
      </c>
      <c r="EH50" s="180">
        <f t="shared" ca="1" si="75"/>
        <v>0</v>
      </c>
      <c r="EI50" s="180">
        <f t="shared" ca="1" si="74"/>
        <v>0</v>
      </c>
      <c r="EJ50" s="180">
        <f t="shared" ca="1" si="74"/>
        <v>0</v>
      </c>
      <c r="EK50" s="180">
        <f t="shared" ca="1" si="74"/>
        <v>0</v>
      </c>
      <c r="EL50" s="180">
        <f t="shared" ca="1" si="74"/>
        <v>0</v>
      </c>
      <c r="EM50" s="180">
        <f t="shared" ca="1" si="74"/>
        <v>0</v>
      </c>
      <c r="EN50" s="180">
        <f t="shared" ca="1" si="74"/>
        <v>0</v>
      </c>
      <c r="EO50" s="180">
        <f t="shared" ca="1" si="74"/>
        <v>0</v>
      </c>
      <c r="EP50" s="180">
        <f t="shared" ca="1" si="74"/>
        <v>0</v>
      </c>
      <c r="EQ50" s="180"/>
      <c r="ER50" s="180"/>
    </row>
    <row r="51" spans="2:148" ht="15.75" hidden="1" thickBot="1" x14ac:dyDescent="0.3">
      <c r="B51" s="78"/>
      <c r="D51" s="201">
        <v>24</v>
      </c>
      <c r="E51" s="25" t="str">
        <f t="shared" si="63"/>
        <v>INSS</v>
      </c>
      <c r="F51" s="627" t="str">
        <f>IFERROR(VLOOKUP(CONCATENATE(D51,E51),'Base tabelas'!$B:$K,10,FALSE),"")</f>
        <v/>
      </c>
      <c r="G51" s="628"/>
      <c r="H51" s="629"/>
      <c r="I51" s="45" t="str">
        <f>IFERROR(VLOOKUP(CONCATENATE(D51,E51),'Base tabelas'!$B:$E,4,FALSE),"")</f>
        <v/>
      </c>
      <c r="J51" s="34" t="str">
        <f t="shared" si="78"/>
        <v/>
      </c>
      <c r="K51" s="46">
        <f t="shared" ref="K51:K52" si="82">IFERROR(DI172,"")</f>
        <v>0</v>
      </c>
      <c r="L51" s="46" t="str">
        <f t="shared" si="79"/>
        <v/>
      </c>
      <c r="M51" s="326">
        <f t="shared" ref="M51:M52" ca="1" si="83">IFERROR(EH26*-1,"")</f>
        <v>0</v>
      </c>
      <c r="N51" s="59" t="str">
        <f t="shared" si="80"/>
        <v>Não Disponível</v>
      </c>
      <c r="O51" s="69" t="str">
        <f t="shared" si="81"/>
        <v/>
      </c>
      <c r="P51" s="302" t="str">
        <f>IFERROR(VLOOKUP(CONCATENATE(D51,E51),'Base tabelas'!$B:$O,14,FALSE),"")</f>
        <v/>
      </c>
      <c r="Q51" s="372"/>
      <c r="R51" s="372"/>
      <c r="S51" s="372"/>
      <c r="T51" s="372"/>
      <c r="U51" s="372"/>
      <c r="V51" s="175"/>
      <c r="W51" s="372"/>
      <c r="X51" s="87">
        <v>33</v>
      </c>
      <c r="Y51" s="87">
        <f t="shared" ca="1" si="35"/>
        <v>67.81</v>
      </c>
      <c r="Z51" s="87">
        <f t="shared" ca="1" si="36"/>
        <v>70.569999999999993</v>
      </c>
      <c r="AA51" s="87">
        <f t="shared" ca="1" si="37"/>
        <v>1172.83</v>
      </c>
      <c r="AB51" s="87">
        <f t="shared" ca="1" si="38"/>
        <v>278.39999999999998</v>
      </c>
      <c r="AC51" s="87">
        <f t="shared" si="39"/>
        <v>0</v>
      </c>
      <c r="AD51" s="87">
        <f t="shared" si="40"/>
        <v>0</v>
      </c>
      <c r="AE51" s="87">
        <f t="shared" si="41"/>
        <v>0</v>
      </c>
      <c r="AF51" s="87">
        <f t="shared" si="42"/>
        <v>0</v>
      </c>
      <c r="AG51" s="87">
        <f t="shared" si="43"/>
        <v>0</v>
      </c>
      <c r="AH51" s="87">
        <f t="shared" si="44"/>
        <v>0</v>
      </c>
      <c r="AI51" s="87">
        <f t="shared" si="45"/>
        <v>0</v>
      </c>
      <c r="AJ51" s="87">
        <f t="shared" si="46"/>
        <v>0</v>
      </c>
      <c r="AK51" s="87">
        <f t="shared" si="47"/>
        <v>0</v>
      </c>
      <c r="AL51" s="87">
        <f t="shared" si="48"/>
        <v>0</v>
      </c>
      <c r="AM51" s="87">
        <f t="shared" si="49"/>
        <v>0</v>
      </c>
      <c r="AN51" s="87">
        <f t="shared" si="50"/>
        <v>0</v>
      </c>
      <c r="AO51" s="87">
        <f t="shared" si="51"/>
        <v>0</v>
      </c>
      <c r="AP51" s="87"/>
      <c r="AQ51" s="426">
        <v>33</v>
      </c>
      <c r="AR51" s="258">
        <f t="shared" ca="1" si="58"/>
        <v>47159</v>
      </c>
      <c r="AS51" s="429">
        <f t="shared" ref="AS51:AS82" ca="1" si="84">SUM(Y51:AO51)</f>
        <v>1589.6100000000001</v>
      </c>
      <c r="AT51" s="138"/>
      <c r="AU51" s="278">
        <v>33</v>
      </c>
      <c r="AV51" s="258">
        <f t="shared" ca="1" si="59"/>
        <v>47187</v>
      </c>
      <c r="AW51" s="429">
        <f t="shared" ca="1" si="52"/>
        <v>0</v>
      </c>
      <c r="AX51" s="202">
        <f t="shared" ca="1" si="53"/>
        <v>0</v>
      </c>
      <c r="AY51" s="278">
        <v>33</v>
      </c>
      <c r="AZ51" s="258">
        <f t="shared" ca="1" si="60"/>
        <v>47187</v>
      </c>
      <c r="BA51" s="429">
        <f t="shared" si="54"/>
        <v>1589.6100000000001</v>
      </c>
      <c r="BB51" s="259">
        <f t="shared" ca="1" si="11"/>
        <v>47159</v>
      </c>
      <c r="BC51" s="428">
        <f t="shared" ca="1" si="55"/>
        <v>0</v>
      </c>
      <c r="BD51" s="188">
        <f t="shared" ref="BD51:BD82" si="85">IF($X51&lt;=E$17,E$18,0)</f>
        <v>67.81</v>
      </c>
      <c r="BE51" s="188">
        <f t="shared" ref="BE51:BE82" si="86">IF($X51&lt;=F$17,F$18,0)</f>
        <v>70.569999999999993</v>
      </c>
      <c r="BF51" s="188">
        <f t="shared" ref="BF51:BF82" si="87">IF($X51&lt;=G$17,G$18,0)</f>
        <v>1172.83</v>
      </c>
      <c r="BG51" s="87">
        <f t="shared" ref="BG51:BG82" si="88">IF($X51&lt;=H$17,H$18,0)</f>
        <v>278.39999999999998</v>
      </c>
      <c r="BH51" s="87">
        <f t="shared" ref="BH51:BH82" si="89">IF($X51&lt;=I$17,I$18,0)</f>
        <v>0</v>
      </c>
      <c r="BI51" s="87">
        <f t="shared" ref="BI51:BI82" si="90">IF($X51&lt;=J$17,J$18,0)</f>
        <v>0</v>
      </c>
      <c r="BJ51" s="87">
        <f t="shared" ref="BJ51:BJ82" si="91">IF($X51&lt;=K$17,K$18,0)</f>
        <v>0</v>
      </c>
      <c r="BK51" s="87">
        <f t="shared" ref="BK51:BK82" si="92">IF($X51&lt;=L$17,L$18,0)</f>
        <v>0</v>
      </c>
      <c r="BL51" s="87">
        <f t="shared" ref="BL51:BL82" si="93">IF($X51&lt;=M$17,M$18,0)</f>
        <v>0</v>
      </c>
      <c r="BM51" s="87">
        <f t="shared" ref="BM51:BM82" si="94">IF($X51&lt;=N$17,N$18,0)</f>
        <v>0</v>
      </c>
      <c r="BN51" s="87">
        <f t="shared" ref="BN51:BN82" si="95">IF($X51&lt;=O$17,O$18,0)</f>
        <v>0</v>
      </c>
      <c r="BO51" s="87">
        <f t="shared" ref="BO51:BO82" si="96">IF($X51&lt;=P$17,P$18,0)</f>
        <v>0</v>
      </c>
      <c r="BP51" s="87">
        <f t="shared" ref="BP51:BP82" si="97">IF($X51&lt;=Q$17,Q$18,0)</f>
        <v>0</v>
      </c>
      <c r="BQ51" s="87">
        <f t="shared" ref="BQ51:BQ82" si="98">IF($X51&lt;=R$17,R$18,0)</f>
        <v>0</v>
      </c>
      <c r="BR51" s="87">
        <f t="shared" ref="BR51:BR82" si="99">IF($X51&lt;=S$17,S$18,0)</f>
        <v>0</v>
      </c>
      <c r="BS51" s="87">
        <f t="shared" ref="BS51:BS82" si="100">IF($X51&lt;=T$17,T$18,0)</f>
        <v>0</v>
      </c>
      <c r="BT51" s="87">
        <f t="shared" ref="BT51:BT82" si="101">IF($X51&lt;=U$17,U$18,0)</f>
        <v>0</v>
      </c>
      <c r="BV51" s="177"/>
      <c r="BW51" s="177"/>
      <c r="BX51" s="267"/>
      <c r="BY51" s="267"/>
      <c r="BZ51" s="267"/>
      <c r="CA51" s="267"/>
      <c r="CB51" s="267"/>
      <c r="CC51" s="267"/>
      <c r="CD51" s="267"/>
      <c r="CE51" s="267"/>
      <c r="CF51" s="267"/>
      <c r="CG51" s="267"/>
      <c r="CH51" s="267"/>
      <c r="CI51" s="435"/>
      <c r="CJ51" s="436"/>
      <c r="CK51" s="437"/>
      <c r="CM51" s="64" t="s">
        <v>2523</v>
      </c>
      <c r="CN51" s="707"/>
      <c r="CS51" s="138">
        <v>33</v>
      </c>
      <c r="CT51" s="259">
        <f t="shared" ca="1" si="29"/>
        <v>47187</v>
      </c>
      <c r="CU51" s="179">
        <f t="shared" ca="1" si="56"/>
        <v>849.74499227173874</v>
      </c>
      <c r="CV51" s="179">
        <f t="shared" ca="1" si="77"/>
        <v>864.12155369652282</v>
      </c>
      <c r="CW51" s="179">
        <f t="shared" ca="1" si="77"/>
        <v>872.86743314138948</v>
      </c>
      <c r="CX51" s="179">
        <f t="shared" ca="1" si="77"/>
        <v>881.70444844570693</v>
      </c>
      <c r="CY51" s="179">
        <f t="shared" ca="1" si="77"/>
        <v>890.63357657892573</v>
      </c>
      <c r="CZ51" s="179">
        <f t="shared" ca="1" si="77"/>
        <v>899.65580527628003</v>
      </c>
      <c r="DA51" s="179">
        <f t="shared" ca="1" si="77"/>
        <v>905.72283963883888</v>
      </c>
      <c r="DB51" s="179">
        <f t="shared" ca="1" si="77"/>
        <v>917.98356986601277</v>
      </c>
      <c r="DC51" s="179">
        <f t="shared" ca="1" si="77"/>
        <v>924.1778695250581</v>
      </c>
      <c r="DD51" s="179">
        <f t="shared" ca="1" si="77"/>
        <v>930.41519844048196</v>
      </c>
      <c r="DE51" s="179">
        <f t="shared" ca="1" si="77"/>
        <v>936.69586407927557</v>
      </c>
      <c r="DF51" s="179" t="e">
        <f t="shared" ca="1" si="77"/>
        <v>#VALUE!</v>
      </c>
      <c r="DG51" s="179" t="e">
        <f t="shared" ca="1" si="77"/>
        <v>#VALUE!</v>
      </c>
      <c r="DH51" s="179" t="e">
        <f t="shared" ca="1" si="77"/>
        <v>#VALUE!</v>
      </c>
      <c r="DI51" s="179" t="e">
        <f t="shared" ca="1" si="77"/>
        <v>#VALUE!</v>
      </c>
      <c r="DJ51" s="179" t="e">
        <f t="shared" ca="1" si="77"/>
        <v>#VALUE!</v>
      </c>
      <c r="DK51" s="179" t="e">
        <f t="shared" ca="1" si="77"/>
        <v>#VALUE!</v>
      </c>
      <c r="DL51" s="179" t="e">
        <f t="shared" ref="DL51:DQ93" ca="1" si="102">(($AW51/(1+DL$18)^(($AZ51-$AZ$18)/30)))+($AS51/(1+DL$18)^(($AZ51-$AZ$18)/30))</f>
        <v>#VALUE!</v>
      </c>
      <c r="DM51" s="179" t="e">
        <f t="shared" ca="1" si="102"/>
        <v>#VALUE!</v>
      </c>
      <c r="DN51" s="179" t="e">
        <f t="shared" ca="1" si="102"/>
        <v>#VALUE!</v>
      </c>
      <c r="DO51" s="179" t="e">
        <f t="shared" ca="1" si="102"/>
        <v>#VALUE!</v>
      </c>
      <c r="DP51" s="179" t="e">
        <f t="shared" ca="1" si="102"/>
        <v>#VALUE!</v>
      </c>
      <c r="DQ51" s="179" t="e">
        <f t="shared" ca="1" si="102"/>
        <v>#VALUE!</v>
      </c>
      <c r="DR51" s="278">
        <v>33</v>
      </c>
      <c r="DS51" s="430">
        <f t="shared" ca="1" si="61"/>
        <v>47159</v>
      </c>
      <c r="DT51" s="180">
        <f t="shared" ca="1" si="76"/>
        <v>0</v>
      </c>
      <c r="DU51" s="180">
        <f t="shared" ca="1" si="76"/>
        <v>0</v>
      </c>
      <c r="DV51" s="180">
        <f t="shared" ca="1" si="76"/>
        <v>0</v>
      </c>
      <c r="DW51" s="180">
        <f t="shared" ca="1" si="76"/>
        <v>0</v>
      </c>
      <c r="DX51" s="180">
        <f t="shared" ca="1" si="76"/>
        <v>0</v>
      </c>
      <c r="DY51" s="180">
        <f t="shared" ca="1" si="76"/>
        <v>0</v>
      </c>
      <c r="DZ51" s="180">
        <f t="shared" ca="1" si="76"/>
        <v>0</v>
      </c>
      <c r="EA51" s="180">
        <f t="shared" ca="1" si="76"/>
        <v>0</v>
      </c>
      <c r="EB51" s="180">
        <f t="shared" ca="1" si="76"/>
        <v>0</v>
      </c>
      <c r="EC51" s="180">
        <f t="shared" ca="1" si="76"/>
        <v>0</v>
      </c>
      <c r="ED51" s="180">
        <f t="shared" ca="1" si="76"/>
        <v>0</v>
      </c>
      <c r="EE51" s="180">
        <f t="shared" ca="1" si="76"/>
        <v>0</v>
      </c>
      <c r="EF51" s="180">
        <f t="shared" ca="1" si="76"/>
        <v>0</v>
      </c>
      <c r="EG51" s="180">
        <f t="shared" ca="1" si="76"/>
        <v>0</v>
      </c>
      <c r="EH51" s="180">
        <f t="shared" ca="1" si="75"/>
        <v>0</v>
      </c>
      <c r="EI51" s="180">
        <f t="shared" ca="1" si="74"/>
        <v>0</v>
      </c>
      <c r="EJ51" s="180">
        <f t="shared" ca="1" si="74"/>
        <v>0</v>
      </c>
      <c r="EK51" s="180">
        <f t="shared" ca="1" si="74"/>
        <v>0</v>
      </c>
      <c r="EL51" s="180">
        <f t="shared" ca="1" si="74"/>
        <v>0</v>
      </c>
      <c r="EM51" s="180">
        <f t="shared" ca="1" si="74"/>
        <v>0</v>
      </c>
      <c r="EN51" s="180">
        <f t="shared" ca="1" si="74"/>
        <v>0</v>
      </c>
      <c r="EO51" s="180">
        <f t="shared" ca="1" si="74"/>
        <v>0</v>
      </c>
      <c r="EP51" s="180">
        <f t="shared" ca="1" si="74"/>
        <v>0</v>
      </c>
      <c r="EQ51" s="180"/>
      <c r="ER51" s="180"/>
    </row>
    <row r="52" spans="2:148" ht="15.75" hidden="1" thickBot="1" x14ac:dyDescent="0.3">
      <c r="B52" s="78"/>
      <c r="D52" s="201">
        <v>25</v>
      </c>
      <c r="E52" s="25" t="str">
        <f t="shared" si="63"/>
        <v>INSS</v>
      </c>
      <c r="F52" s="627" t="str">
        <f>IFERROR(VLOOKUP(CONCATENATE(D52,E52),'Base tabelas'!$B:$K,10,FALSE),"")</f>
        <v/>
      </c>
      <c r="G52" s="628"/>
      <c r="H52" s="629"/>
      <c r="I52" s="45" t="str">
        <f>IFERROR(VLOOKUP(CONCATENATE(D52,E52),'Base tabelas'!$B:$E,4,FALSE),"")</f>
        <v/>
      </c>
      <c r="J52" s="34" t="str">
        <f t="shared" si="78"/>
        <v/>
      </c>
      <c r="K52" s="46">
        <f t="shared" si="82"/>
        <v>0</v>
      </c>
      <c r="L52" s="46" t="str">
        <f t="shared" si="79"/>
        <v/>
      </c>
      <c r="M52" s="326">
        <f t="shared" ca="1" si="83"/>
        <v>0</v>
      </c>
      <c r="N52" s="59" t="str">
        <f t="shared" si="80"/>
        <v>Não Disponível</v>
      </c>
      <c r="O52" s="69" t="str">
        <f t="shared" si="81"/>
        <v/>
      </c>
      <c r="P52" s="302" t="str">
        <f>IFERROR(VLOOKUP(CONCATENATE(D52,E52),'Base tabelas'!$B:$O,14,FALSE),"")</f>
        <v/>
      </c>
      <c r="Q52" s="372"/>
      <c r="R52" s="372"/>
      <c r="S52" s="372"/>
      <c r="T52" s="372"/>
      <c r="U52" s="372"/>
      <c r="V52" s="175"/>
      <c r="W52" s="372"/>
      <c r="X52" s="87">
        <v>34</v>
      </c>
      <c r="Y52" s="87">
        <f t="shared" ca="1" si="35"/>
        <v>67.81</v>
      </c>
      <c r="Z52" s="87">
        <f t="shared" ca="1" si="36"/>
        <v>70.569999999999993</v>
      </c>
      <c r="AA52" s="87">
        <f t="shared" ca="1" si="37"/>
        <v>1172.83</v>
      </c>
      <c r="AB52" s="87">
        <f t="shared" ca="1" si="38"/>
        <v>278.39999999999998</v>
      </c>
      <c r="AC52" s="87">
        <f t="shared" si="39"/>
        <v>0</v>
      </c>
      <c r="AD52" s="87">
        <f t="shared" si="40"/>
        <v>0</v>
      </c>
      <c r="AE52" s="87">
        <f t="shared" si="41"/>
        <v>0</v>
      </c>
      <c r="AF52" s="87">
        <f t="shared" si="42"/>
        <v>0</v>
      </c>
      <c r="AG52" s="87">
        <f t="shared" si="43"/>
        <v>0</v>
      </c>
      <c r="AH52" s="87">
        <f t="shared" si="44"/>
        <v>0</v>
      </c>
      <c r="AI52" s="87">
        <f t="shared" si="45"/>
        <v>0</v>
      </c>
      <c r="AJ52" s="87">
        <f t="shared" si="46"/>
        <v>0</v>
      </c>
      <c r="AK52" s="87">
        <f t="shared" si="47"/>
        <v>0</v>
      </c>
      <c r="AL52" s="87">
        <f t="shared" si="48"/>
        <v>0</v>
      </c>
      <c r="AM52" s="87">
        <f t="shared" si="49"/>
        <v>0</v>
      </c>
      <c r="AN52" s="87">
        <f t="shared" si="50"/>
        <v>0</v>
      </c>
      <c r="AO52" s="87">
        <f t="shared" si="51"/>
        <v>0</v>
      </c>
      <c r="AP52" s="87"/>
      <c r="AQ52" s="426">
        <v>34</v>
      </c>
      <c r="AR52" s="258">
        <f t="shared" ca="1" si="58"/>
        <v>47187</v>
      </c>
      <c r="AS52" s="429">
        <f t="shared" ca="1" si="84"/>
        <v>1589.6100000000001</v>
      </c>
      <c r="AT52" s="138"/>
      <c r="AU52" s="278">
        <v>34</v>
      </c>
      <c r="AV52" s="258">
        <f t="shared" ca="1" si="59"/>
        <v>47218</v>
      </c>
      <c r="AW52" s="429">
        <f t="shared" ca="1" si="52"/>
        <v>0</v>
      </c>
      <c r="AX52" s="202">
        <f t="shared" ca="1" si="53"/>
        <v>0</v>
      </c>
      <c r="AY52" s="278">
        <v>34</v>
      </c>
      <c r="AZ52" s="258">
        <f t="shared" ca="1" si="60"/>
        <v>47218</v>
      </c>
      <c r="BA52" s="429">
        <f t="shared" si="54"/>
        <v>1589.6100000000001</v>
      </c>
      <c r="BB52" s="259">
        <f t="shared" ca="1" si="11"/>
        <v>47187</v>
      </c>
      <c r="BC52" s="428">
        <f t="shared" ca="1" si="55"/>
        <v>0</v>
      </c>
      <c r="BD52" s="188">
        <f t="shared" si="85"/>
        <v>67.81</v>
      </c>
      <c r="BE52" s="188">
        <f t="shared" si="86"/>
        <v>70.569999999999993</v>
      </c>
      <c r="BF52" s="188">
        <f t="shared" si="87"/>
        <v>1172.83</v>
      </c>
      <c r="BG52" s="87">
        <f t="shared" si="88"/>
        <v>278.39999999999998</v>
      </c>
      <c r="BH52" s="87">
        <f t="shared" si="89"/>
        <v>0</v>
      </c>
      <c r="BI52" s="87">
        <f t="shared" si="90"/>
        <v>0</v>
      </c>
      <c r="BJ52" s="87">
        <f t="shared" si="91"/>
        <v>0</v>
      </c>
      <c r="BK52" s="87">
        <f t="shared" si="92"/>
        <v>0</v>
      </c>
      <c r="BL52" s="87">
        <f t="shared" si="93"/>
        <v>0</v>
      </c>
      <c r="BM52" s="87">
        <f t="shared" si="94"/>
        <v>0</v>
      </c>
      <c r="BN52" s="87">
        <f t="shared" si="95"/>
        <v>0</v>
      </c>
      <c r="BO52" s="87">
        <f t="shared" si="96"/>
        <v>0</v>
      </c>
      <c r="BP52" s="87">
        <f t="shared" si="97"/>
        <v>0</v>
      </c>
      <c r="BQ52" s="87">
        <f t="shared" si="98"/>
        <v>0</v>
      </c>
      <c r="BR52" s="87">
        <f t="shared" si="99"/>
        <v>0</v>
      </c>
      <c r="BS52" s="87">
        <f t="shared" si="100"/>
        <v>0</v>
      </c>
      <c r="BT52" s="87">
        <f t="shared" si="101"/>
        <v>0</v>
      </c>
      <c r="BV52" s="177"/>
      <c r="BW52" s="177"/>
      <c r="BX52" s="267"/>
      <c r="BY52" s="267"/>
      <c r="BZ52" s="267"/>
      <c r="CA52" s="267"/>
      <c r="CB52" s="267"/>
      <c r="CC52" s="267"/>
      <c r="CD52" s="267"/>
      <c r="CE52" s="267"/>
      <c r="CF52" s="267"/>
      <c r="CG52" s="267"/>
      <c r="CH52" s="267"/>
      <c r="CI52" s="435"/>
      <c r="CJ52" s="436"/>
      <c r="CK52" s="437"/>
      <c r="CM52" s="64" t="s">
        <v>2611</v>
      </c>
      <c r="CN52" s="707"/>
      <c r="CS52" s="87">
        <v>34</v>
      </c>
      <c r="CT52" s="259">
        <f t="shared" ca="1" si="29"/>
        <v>47218</v>
      </c>
      <c r="CU52" s="179">
        <f t="shared" ca="1" si="56"/>
        <v>833.80061814590431</v>
      </c>
      <c r="CV52" s="179">
        <f t="shared" ca="1" si="77"/>
        <v>848.33776476240064</v>
      </c>
      <c r="CW52" s="179">
        <f t="shared" ca="1" si="77"/>
        <v>857.18492208304008</v>
      </c>
      <c r="CX52" s="179">
        <f t="shared" ca="1" si="77"/>
        <v>866.12699403969418</v>
      </c>
      <c r="CY52" s="179">
        <f t="shared" ca="1" si="77"/>
        <v>875.16502734053165</v>
      </c>
      <c r="CZ52" s="179">
        <f t="shared" ca="1" si="77"/>
        <v>884.30008055049086</v>
      </c>
      <c r="DA52" s="179">
        <f t="shared" ca="1" si="77"/>
        <v>890.44454414691802</v>
      </c>
      <c r="DB52" s="179">
        <f t="shared" ca="1" si="77"/>
        <v>902.86554107039592</v>
      </c>
      <c r="DC52" s="179">
        <f t="shared" ca="1" si="77"/>
        <v>909.14272204863141</v>
      </c>
      <c r="DD52" s="179">
        <f t="shared" ca="1" si="77"/>
        <v>915.46479388100011</v>
      </c>
      <c r="DE52" s="179">
        <f t="shared" ca="1" si="77"/>
        <v>921.83208653503755</v>
      </c>
      <c r="DF52" s="179" t="e">
        <f t="shared" ca="1" si="77"/>
        <v>#VALUE!</v>
      </c>
      <c r="DG52" s="179" t="e">
        <f t="shared" ca="1" si="77"/>
        <v>#VALUE!</v>
      </c>
      <c r="DH52" s="179" t="e">
        <f t="shared" ca="1" si="77"/>
        <v>#VALUE!</v>
      </c>
      <c r="DI52" s="179" t="e">
        <f t="shared" ca="1" si="77"/>
        <v>#VALUE!</v>
      </c>
      <c r="DJ52" s="179" t="e">
        <f t="shared" ca="1" si="77"/>
        <v>#VALUE!</v>
      </c>
      <c r="DK52" s="179" t="e">
        <f t="shared" ca="1" si="77"/>
        <v>#VALUE!</v>
      </c>
      <c r="DL52" s="179" t="e">
        <f t="shared" ca="1" si="102"/>
        <v>#VALUE!</v>
      </c>
      <c r="DM52" s="179" t="e">
        <f t="shared" ca="1" si="102"/>
        <v>#VALUE!</v>
      </c>
      <c r="DN52" s="179" t="e">
        <f t="shared" ca="1" si="102"/>
        <v>#VALUE!</v>
      </c>
      <c r="DO52" s="179" t="e">
        <f t="shared" ca="1" si="102"/>
        <v>#VALUE!</v>
      </c>
      <c r="DP52" s="179" t="e">
        <f t="shared" ca="1" si="102"/>
        <v>#VALUE!</v>
      </c>
      <c r="DQ52" s="179" t="e">
        <f t="shared" ca="1" si="102"/>
        <v>#VALUE!</v>
      </c>
      <c r="DR52" s="188">
        <v>34</v>
      </c>
      <c r="DS52" s="430">
        <f t="shared" ca="1" si="61"/>
        <v>47187</v>
      </c>
      <c r="DT52" s="180">
        <f t="shared" ca="1" si="76"/>
        <v>0</v>
      </c>
      <c r="DU52" s="180">
        <f t="shared" ca="1" si="76"/>
        <v>0</v>
      </c>
      <c r="DV52" s="180">
        <f t="shared" ca="1" si="76"/>
        <v>0</v>
      </c>
      <c r="DW52" s="180">
        <f t="shared" ca="1" si="76"/>
        <v>0</v>
      </c>
      <c r="DX52" s="180">
        <f t="shared" ca="1" si="76"/>
        <v>0</v>
      </c>
      <c r="DY52" s="180">
        <f t="shared" ca="1" si="76"/>
        <v>0</v>
      </c>
      <c r="DZ52" s="180">
        <f t="shared" ca="1" si="76"/>
        <v>0</v>
      </c>
      <c r="EA52" s="180">
        <f t="shared" ca="1" si="76"/>
        <v>0</v>
      </c>
      <c r="EB52" s="180">
        <f t="shared" ca="1" si="76"/>
        <v>0</v>
      </c>
      <c r="EC52" s="180">
        <f t="shared" ca="1" si="76"/>
        <v>0</v>
      </c>
      <c r="ED52" s="180">
        <f t="shared" ca="1" si="76"/>
        <v>0</v>
      </c>
      <c r="EE52" s="180">
        <f t="shared" ca="1" si="76"/>
        <v>0</v>
      </c>
      <c r="EF52" s="180">
        <f t="shared" ca="1" si="76"/>
        <v>0</v>
      </c>
      <c r="EG52" s="180">
        <f t="shared" ca="1" si="76"/>
        <v>0</v>
      </c>
      <c r="EH52" s="180">
        <f t="shared" ca="1" si="75"/>
        <v>0</v>
      </c>
      <c r="EI52" s="180">
        <f t="shared" ca="1" si="74"/>
        <v>0</v>
      </c>
      <c r="EJ52" s="180">
        <f t="shared" ca="1" si="74"/>
        <v>0</v>
      </c>
      <c r="EK52" s="180">
        <f t="shared" ca="1" si="74"/>
        <v>0</v>
      </c>
      <c r="EL52" s="180">
        <f t="shared" ca="1" si="74"/>
        <v>0</v>
      </c>
      <c r="EM52" s="180">
        <f t="shared" ca="1" si="74"/>
        <v>0</v>
      </c>
      <c r="EN52" s="180">
        <f t="shared" ca="1" si="74"/>
        <v>0</v>
      </c>
      <c r="EO52" s="180">
        <f t="shared" ca="1" si="74"/>
        <v>0</v>
      </c>
      <c r="EP52" s="180">
        <f t="shared" ca="1" si="74"/>
        <v>0</v>
      </c>
      <c r="EQ52" s="180"/>
      <c r="ER52" s="180"/>
    </row>
    <row r="53" spans="2:148" hidden="1" x14ac:dyDescent="0.25">
      <c r="B53" s="78"/>
      <c r="D53" s="201">
        <v>26</v>
      </c>
      <c r="P53" s="140"/>
      <c r="Q53" s="140"/>
      <c r="R53" s="140"/>
      <c r="S53" s="140"/>
      <c r="V53" s="175"/>
      <c r="W53" s="372"/>
      <c r="X53" s="87">
        <v>35</v>
      </c>
      <c r="Y53" s="87">
        <f t="shared" ca="1" si="35"/>
        <v>67.81</v>
      </c>
      <c r="Z53" s="87">
        <f t="shared" ca="1" si="36"/>
        <v>70.569999999999993</v>
      </c>
      <c r="AA53" s="87">
        <f t="shared" ca="1" si="37"/>
        <v>1172.83</v>
      </c>
      <c r="AB53" s="87">
        <f t="shared" ca="1" si="38"/>
        <v>278.39999999999998</v>
      </c>
      <c r="AC53" s="87">
        <f t="shared" si="39"/>
        <v>0</v>
      </c>
      <c r="AD53" s="87">
        <f t="shared" si="40"/>
        <v>0</v>
      </c>
      <c r="AE53" s="87">
        <f t="shared" si="41"/>
        <v>0</v>
      </c>
      <c r="AF53" s="87">
        <f t="shared" si="42"/>
        <v>0</v>
      </c>
      <c r="AG53" s="87">
        <f t="shared" si="43"/>
        <v>0</v>
      </c>
      <c r="AH53" s="87">
        <f t="shared" si="44"/>
        <v>0</v>
      </c>
      <c r="AI53" s="87">
        <f t="shared" si="45"/>
        <v>0</v>
      </c>
      <c r="AJ53" s="87">
        <f t="shared" si="46"/>
        <v>0</v>
      </c>
      <c r="AK53" s="87">
        <f t="shared" si="47"/>
        <v>0</v>
      </c>
      <c r="AL53" s="87">
        <f t="shared" si="48"/>
        <v>0</v>
      </c>
      <c r="AM53" s="87">
        <f t="shared" si="49"/>
        <v>0</v>
      </c>
      <c r="AN53" s="87">
        <f t="shared" si="50"/>
        <v>0</v>
      </c>
      <c r="AO53" s="87">
        <f t="shared" si="51"/>
        <v>0</v>
      </c>
      <c r="AP53" s="87"/>
      <c r="AQ53" s="426">
        <v>35</v>
      </c>
      <c r="AR53" s="258">
        <f t="shared" ca="1" si="58"/>
        <v>47218</v>
      </c>
      <c r="AS53" s="429">
        <f t="shared" ca="1" si="84"/>
        <v>1589.6100000000001</v>
      </c>
      <c r="AT53" s="138"/>
      <c r="AU53" s="278">
        <v>35</v>
      </c>
      <c r="AV53" s="258">
        <f t="shared" ca="1" si="59"/>
        <v>47248</v>
      </c>
      <c r="AW53" s="429">
        <f t="shared" ca="1" si="52"/>
        <v>0</v>
      </c>
      <c r="AX53" s="202">
        <f t="shared" ca="1" si="53"/>
        <v>0</v>
      </c>
      <c r="AY53" s="278">
        <v>35</v>
      </c>
      <c r="AZ53" s="258">
        <f t="shared" ca="1" si="60"/>
        <v>47248</v>
      </c>
      <c r="BA53" s="429">
        <f t="shared" si="54"/>
        <v>1589.6100000000001</v>
      </c>
      <c r="BB53" s="259">
        <f t="shared" ca="1" si="11"/>
        <v>47218</v>
      </c>
      <c r="BC53" s="428">
        <f t="shared" ca="1" si="55"/>
        <v>0</v>
      </c>
      <c r="BD53" s="188">
        <f t="shared" si="85"/>
        <v>67.81</v>
      </c>
      <c r="BE53" s="188">
        <f t="shared" si="86"/>
        <v>70.569999999999993</v>
      </c>
      <c r="BF53" s="188">
        <f t="shared" si="87"/>
        <v>1172.83</v>
      </c>
      <c r="BG53" s="87">
        <f t="shared" si="88"/>
        <v>278.39999999999998</v>
      </c>
      <c r="BH53" s="87">
        <f t="shared" si="89"/>
        <v>0</v>
      </c>
      <c r="BI53" s="87">
        <f t="shared" si="90"/>
        <v>0</v>
      </c>
      <c r="BJ53" s="87">
        <f t="shared" si="91"/>
        <v>0</v>
      </c>
      <c r="BK53" s="87">
        <f t="shared" si="92"/>
        <v>0</v>
      </c>
      <c r="BL53" s="87">
        <f t="shared" si="93"/>
        <v>0</v>
      </c>
      <c r="BM53" s="87">
        <f t="shared" si="94"/>
        <v>0</v>
      </c>
      <c r="BN53" s="87">
        <f t="shared" si="95"/>
        <v>0</v>
      </c>
      <c r="BO53" s="87">
        <f t="shared" si="96"/>
        <v>0</v>
      </c>
      <c r="BP53" s="87">
        <f t="shared" si="97"/>
        <v>0</v>
      </c>
      <c r="BQ53" s="87">
        <f t="shared" si="98"/>
        <v>0</v>
      </c>
      <c r="BR53" s="87">
        <f t="shared" si="99"/>
        <v>0</v>
      </c>
      <c r="BS53" s="87">
        <f t="shared" si="100"/>
        <v>0</v>
      </c>
      <c r="BT53" s="87">
        <f t="shared" si="101"/>
        <v>0</v>
      </c>
      <c r="BV53" s="177"/>
      <c r="BW53" s="177"/>
      <c r="BX53" s="267"/>
      <c r="BY53" s="267"/>
      <c r="BZ53" s="267"/>
      <c r="CA53" s="267"/>
      <c r="CB53" s="267"/>
      <c r="CC53" s="267"/>
      <c r="CD53" s="267"/>
      <c r="CE53" s="267"/>
      <c r="CF53" s="267"/>
      <c r="CG53" s="267"/>
      <c r="CH53" s="267"/>
      <c r="CI53" s="435"/>
      <c r="CJ53" s="436"/>
      <c r="CK53" s="437"/>
      <c r="CM53" s="64" t="s">
        <v>2338</v>
      </c>
      <c r="CN53" s="707"/>
      <c r="CS53" s="178">
        <v>35</v>
      </c>
      <c r="CT53" s="259">
        <f t="shared" ca="1" si="29"/>
        <v>47248</v>
      </c>
      <c r="CU53" s="179">
        <f t="shared" ca="1" si="56"/>
        <v>818.65549155218889</v>
      </c>
      <c r="CV53" s="179">
        <f t="shared" ca="1" si="77"/>
        <v>833.33768640707331</v>
      </c>
      <c r="CW53" s="179">
        <f t="shared" ca="1" si="77"/>
        <v>842.27662580626907</v>
      </c>
      <c r="CX53" s="179">
        <f t="shared" ca="1" si="77"/>
        <v>851.31412820885987</v>
      </c>
      <c r="CY53" s="179">
        <f t="shared" ca="1" si="77"/>
        <v>860.45130994054819</v>
      </c>
      <c r="CZ53" s="179">
        <f t="shared" ca="1" si="77"/>
        <v>869.6893003053608</v>
      </c>
      <c r="DA53" s="179">
        <f t="shared" ca="1" si="77"/>
        <v>875.9045289660811</v>
      </c>
      <c r="DB53" s="179">
        <f t="shared" ca="1" si="77"/>
        <v>888.47228997283605</v>
      </c>
      <c r="DC53" s="179">
        <f t="shared" ca="1" si="77"/>
        <v>894.82551382739302</v>
      </c>
      <c r="DD53" s="179">
        <f t="shared" ca="1" si="77"/>
        <v>901.22543205453826</v>
      </c>
      <c r="DE53" s="179">
        <f t="shared" ca="1" si="77"/>
        <v>907.67239713965887</v>
      </c>
      <c r="DF53" s="179" t="e">
        <f t="shared" ca="1" si="77"/>
        <v>#VALUE!</v>
      </c>
      <c r="DG53" s="179" t="e">
        <f t="shared" ca="1" si="77"/>
        <v>#VALUE!</v>
      </c>
      <c r="DH53" s="179" t="e">
        <f t="shared" ca="1" si="77"/>
        <v>#VALUE!</v>
      </c>
      <c r="DI53" s="179" t="e">
        <f t="shared" ca="1" si="77"/>
        <v>#VALUE!</v>
      </c>
      <c r="DJ53" s="179" t="e">
        <f t="shared" ca="1" si="77"/>
        <v>#VALUE!</v>
      </c>
      <c r="DK53" s="179" t="e">
        <f t="shared" ca="1" si="77"/>
        <v>#VALUE!</v>
      </c>
      <c r="DL53" s="179" t="e">
        <f t="shared" ca="1" si="102"/>
        <v>#VALUE!</v>
      </c>
      <c r="DM53" s="179" t="e">
        <f t="shared" ca="1" si="102"/>
        <v>#VALUE!</v>
      </c>
      <c r="DN53" s="179" t="e">
        <f t="shared" ca="1" si="102"/>
        <v>#VALUE!</v>
      </c>
      <c r="DO53" s="179" t="e">
        <f t="shared" ca="1" si="102"/>
        <v>#VALUE!</v>
      </c>
      <c r="DP53" s="179" t="e">
        <f t="shared" ca="1" si="102"/>
        <v>#VALUE!</v>
      </c>
      <c r="DQ53" s="179" t="e">
        <f t="shared" ca="1" si="102"/>
        <v>#VALUE!</v>
      </c>
      <c r="DR53" s="431">
        <v>35</v>
      </c>
      <c r="DS53" s="430">
        <f t="shared" ca="1" si="61"/>
        <v>47218</v>
      </c>
      <c r="DT53" s="180">
        <f t="shared" ca="1" si="76"/>
        <v>0</v>
      </c>
      <c r="DU53" s="180">
        <f t="shared" ca="1" si="76"/>
        <v>0</v>
      </c>
      <c r="DV53" s="180">
        <f t="shared" ca="1" si="76"/>
        <v>0</v>
      </c>
      <c r="DW53" s="180">
        <f t="shared" ca="1" si="76"/>
        <v>0</v>
      </c>
      <c r="DX53" s="180">
        <f t="shared" ca="1" si="76"/>
        <v>0</v>
      </c>
      <c r="DY53" s="180">
        <f t="shared" ca="1" si="76"/>
        <v>0</v>
      </c>
      <c r="DZ53" s="180">
        <f t="shared" ca="1" si="76"/>
        <v>0</v>
      </c>
      <c r="EA53" s="180">
        <f t="shared" ca="1" si="76"/>
        <v>0</v>
      </c>
      <c r="EB53" s="180">
        <f t="shared" ca="1" si="76"/>
        <v>0</v>
      </c>
      <c r="EC53" s="180">
        <f t="shared" ca="1" si="76"/>
        <v>0</v>
      </c>
      <c r="ED53" s="180">
        <f t="shared" ca="1" si="76"/>
        <v>0</v>
      </c>
      <c r="EE53" s="180">
        <f t="shared" ca="1" si="76"/>
        <v>0</v>
      </c>
      <c r="EF53" s="180">
        <f t="shared" ca="1" si="76"/>
        <v>0</v>
      </c>
      <c r="EG53" s="180">
        <f t="shared" ca="1" si="76"/>
        <v>0</v>
      </c>
      <c r="EH53" s="180">
        <f t="shared" ca="1" si="75"/>
        <v>0</v>
      </c>
      <c r="EI53" s="180">
        <f t="shared" ca="1" si="74"/>
        <v>0</v>
      </c>
      <c r="EJ53" s="180">
        <f t="shared" ca="1" si="74"/>
        <v>0</v>
      </c>
      <c r="EK53" s="180">
        <f t="shared" ca="1" si="74"/>
        <v>0</v>
      </c>
      <c r="EL53" s="180">
        <f t="shared" ca="1" si="74"/>
        <v>0</v>
      </c>
      <c r="EM53" s="180">
        <f t="shared" ca="1" si="74"/>
        <v>0</v>
      </c>
      <c r="EN53" s="180">
        <f t="shared" ca="1" si="74"/>
        <v>0</v>
      </c>
      <c r="EO53" s="180">
        <f t="shared" ca="1" si="74"/>
        <v>0</v>
      </c>
      <c r="EP53" s="180">
        <f t="shared" ca="1" si="74"/>
        <v>0</v>
      </c>
      <c r="EQ53" s="180"/>
      <c r="ER53" s="180"/>
    </row>
    <row r="54" spans="2:148" hidden="1" x14ac:dyDescent="0.25">
      <c r="B54" s="78"/>
      <c r="P54" s="140"/>
      <c r="Q54" s="140"/>
      <c r="R54" s="140"/>
      <c r="S54" s="140"/>
      <c r="V54" s="175"/>
      <c r="W54" s="372"/>
      <c r="X54" s="87">
        <v>36</v>
      </c>
      <c r="Y54" s="87">
        <f t="shared" ca="1" si="35"/>
        <v>67.81</v>
      </c>
      <c r="Z54" s="87">
        <f t="shared" ca="1" si="36"/>
        <v>70.569999999999993</v>
      </c>
      <c r="AA54" s="87">
        <f t="shared" ca="1" si="37"/>
        <v>1172.83</v>
      </c>
      <c r="AB54" s="87">
        <f t="shared" ca="1" si="38"/>
        <v>278.39999999999998</v>
      </c>
      <c r="AC54" s="87">
        <f t="shared" si="39"/>
        <v>0</v>
      </c>
      <c r="AD54" s="87">
        <f t="shared" si="40"/>
        <v>0</v>
      </c>
      <c r="AE54" s="87">
        <f t="shared" si="41"/>
        <v>0</v>
      </c>
      <c r="AF54" s="87">
        <f t="shared" si="42"/>
        <v>0</v>
      </c>
      <c r="AG54" s="87">
        <f t="shared" si="43"/>
        <v>0</v>
      </c>
      <c r="AH54" s="87">
        <f t="shared" si="44"/>
        <v>0</v>
      </c>
      <c r="AI54" s="87">
        <f t="shared" si="45"/>
        <v>0</v>
      </c>
      <c r="AJ54" s="87">
        <f t="shared" si="46"/>
        <v>0</v>
      </c>
      <c r="AK54" s="87">
        <f t="shared" si="47"/>
        <v>0</v>
      </c>
      <c r="AL54" s="87">
        <f t="shared" si="48"/>
        <v>0</v>
      </c>
      <c r="AM54" s="87">
        <f t="shared" si="49"/>
        <v>0</v>
      </c>
      <c r="AN54" s="87">
        <f t="shared" si="50"/>
        <v>0</v>
      </c>
      <c r="AO54" s="87">
        <f t="shared" si="51"/>
        <v>0</v>
      </c>
      <c r="AP54" s="87"/>
      <c r="AQ54" s="426">
        <v>36</v>
      </c>
      <c r="AR54" s="258">
        <f t="shared" ca="1" si="58"/>
        <v>47248</v>
      </c>
      <c r="AS54" s="429">
        <f t="shared" ca="1" si="84"/>
        <v>1589.6100000000001</v>
      </c>
      <c r="AT54" s="138"/>
      <c r="AU54" s="278">
        <v>36</v>
      </c>
      <c r="AV54" s="258">
        <f t="shared" ca="1" si="59"/>
        <v>47279</v>
      </c>
      <c r="AW54" s="429">
        <f t="shared" ca="1" si="52"/>
        <v>0</v>
      </c>
      <c r="AX54" s="202">
        <f t="shared" ca="1" si="53"/>
        <v>0</v>
      </c>
      <c r="AY54" s="278">
        <v>36</v>
      </c>
      <c r="AZ54" s="258">
        <f t="shared" ca="1" si="60"/>
        <v>47279</v>
      </c>
      <c r="BA54" s="429">
        <f t="shared" si="54"/>
        <v>1589.6100000000001</v>
      </c>
      <c r="BB54" s="259">
        <f t="shared" ca="1" si="11"/>
        <v>47248</v>
      </c>
      <c r="BC54" s="428">
        <f t="shared" ca="1" si="55"/>
        <v>0</v>
      </c>
      <c r="BD54" s="188">
        <f t="shared" si="85"/>
        <v>67.81</v>
      </c>
      <c r="BE54" s="188">
        <f t="shared" si="86"/>
        <v>70.569999999999993</v>
      </c>
      <c r="BF54" s="188">
        <f t="shared" si="87"/>
        <v>1172.83</v>
      </c>
      <c r="BG54" s="87">
        <f t="shared" si="88"/>
        <v>278.39999999999998</v>
      </c>
      <c r="BH54" s="87">
        <f t="shared" si="89"/>
        <v>0</v>
      </c>
      <c r="BI54" s="87">
        <f t="shared" si="90"/>
        <v>0</v>
      </c>
      <c r="BJ54" s="87">
        <f t="shared" si="91"/>
        <v>0</v>
      </c>
      <c r="BK54" s="87">
        <f t="shared" si="92"/>
        <v>0</v>
      </c>
      <c r="BL54" s="87">
        <f t="shared" si="93"/>
        <v>0</v>
      </c>
      <c r="BM54" s="87">
        <f t="shared" si="94"/>
        <v>0</v>
      </c>
      <c r="BN54" s="87">
        <f t="shared" si="95"/>
        <v>0</v>
      </c>
      <c r="BO54" s="87">
        <f t="shared" si="96"/>
        <v>0</v>
      </c>
      <c r="BP54" s="87">
        <f t="shared" si="97"/>
        <v>0</v>
      </c>
      <c r="BQ54" s="87">
        <f t="shared" si="98"/>
        <v>0</v>
      </c>
      <c r="BR54" s="87">
        <f t="shared" si="99"/>
        <v>0</v>
      </c>
      <c r="BS54" s="87">
        <f t="shared" si="100"/>
        <v>0</v>
      </c>
      <c r="BT54" s="87">
        <f t="shared" si="101"/>
        <v>0</v>
      </c>
      <c r="BV54" s="177"/>
      <c r="BW54" s="177"/>
      <c r="BX54" s="267"/>
      <c r="BY54" s="267"/>
      <c r="BZ54" s="267"/>
      <c r="CA54" s="267"/>
      <c r="CB54" s="267"/>
      <c r="CC54" s="267"/>
      <c r="CD54" s="267"/>
      <c r="CE54" s="267"/>
      <c r="CF54" s="267"/>
      <c r="CG54" s="267"/>
      <c r="CH54" s="267"/>
      <c r="CI54" s="435"/>
      <c r="CJ54" s="436"/>
      <c r="CK54" s="437"/>
      <c r="CM54" s="64" t="s">
        <v>536</v>
      </c>
      <c r="CN54" s="707">
        <v>50</v>
      </c>
      <c r="CS54" s="138">
        <v>36</v>
      </c>
      <c r="CT54" s="259">
        <f t="shared" ca="1" si="29"/>
        <v>47279</v>
      </c>
      <c r="CU54" s="179">
        <f t="shared" ca="1" si="56"/>
        <v>803.29447200374682</v>
      </c>
      <c r="CV54" s="179">
        <f t="shared" ca="1" si="77"/>
        <v>818.11618649559409</v>
      </c>
      <c r="CW54" s="179">
        <f t="shared" ca="1" si="77"/>
        <v>827.14372933554444</v>
      </c>
      <c r="CX54" s="179">
        <f t="shared" ca="1" si="77"/>
        <v>836.2735927542127</v>
      </c>
      <c r="CY54" s="179">
        <f t="shared" ca="1" si="77"/>
        <v>845.50696716584434</v>
      </c>
      <c r="CZ54" s="179">
        <f t="shared" ca="1" si="77"/>
        <v>854.84505719134893</v>
      </c>
      <c r="DA54" s="179">
        <f t="shared" ca="1" si="77"/>
        <v>861.12922726165266</v>
      </c>
      <c r="DB54" s="179">
        <f t="shared" ca="1" si="77"/>
        <v>873.84027464615951</v>
      </c>
      <c r="DC54" s="179">
        <f t="shared" ca="1" si="77"/>
        <v>880.26789022515493</v>
      </c>
      <c r="DD54" s="179">
        <f t="shared" ca="1" si="77"/>
        <v>886.74406413289103</v>
      </c>
      <c r="DE54" s="179">
        <f t="shared" ca="1" si="77"/>
        <v>893.26917287925255</v>
      </c>
      <c r="DF54" s="179" t="e">
        <f t="shared" ca="1" si="77"/>
        <v>#VALUE!</v>
      </c>
      <c r="DG54" s="179" t="e">
        <f t="shared" ca="1" si="77"/>
        <v>#VALUE!</v>
      </c>
      <c r="DH54" s="179" t="e">
        <f t="shared" ca="1" si="77"/>
        <v>#VALUE!</v>
      </c>
      <c r="DI54" s="179" t="e">
        <f t="shared" ca="1" si="77"/>
        <v>#VALUE!</v>
      </c>
      <c r="DJ54" s="179" t="e">
        <f t="shared" ca="1" si="77"/>
        <v>#VALUE!</v>
      </c>
      <c r="DK54" s="179" t="e">
        <f t="shared" ca="1" si="77"/>
        <v>#VALUE!</v>
      </c>
      <c r="DL54" s="179" t="e">
        <f t="shared" ca="1" si="102"/>
        <v>#VALUE!</v>
      </c>
      <c r="DM54" s="179" t="e">
        <f t="shared" ca="1" si="102"/>
        <v>#VALUE!</v>
      </c>
      <c r="DN54" s="179" t="e">
        <f t="shared" ca="1" si="102"/>
        <v>#VALUE!</v>
      </c>
      <c r="DO54" s="179" t="e">
        <f t="shared" ca="1" si="102"/>
        <v>#VALUE!</v>
      </c>
      <c r="DP54" s="179" t="e">
        <f t="shared" ca="1" si="102"/>
        <v>#VALUE!</v>
      </c>
      <c r="DQ54" s="179" t="e">
        <f t="shared" ca="1" si="102"/>
        <v>#VALUE!</v>
      </c>
      <c r="DR54" s="278">
        <v>36</v>
      </c>
      <c r="DS54" s="430">
        <f t="shared" ca="1" si="61"/>
        <v>47248</v>
      </c>
      <c r="DT54" s="180">
        <f t="shared" ca="1" si="76"/>
        <v>0</v>
      </c>
      <c r="DU54" s="180">
        <f t="shared" ca="1" si="76"/>
        <v>0</v>
      </c>
      <c r="DV54" s="180">
        <f t="shared" ca="1" si="76"/>
        <v>0</v>
      </c>
      <c r="DW54" s="180">
        <f t="shared" ca="1" si="76"/>
        <v>0</v>
      </c>
      <c r="DX54" s="180">
        <f t="shared" ca="1" si="76"/>
        <v>0</v>
      </c>
      <c r="DY54" s="180">
        <f t="shared" ca="1" si="76"/>
        <v>0</v>
      </c>
      <c r="DZ54" s="180">
        <f t="shared" ca="1" si="76"/>
        <v>0</v>
      </c>
      <c r="EA54" s="180">
        <f t="shared" ca="1" si="76"/>
        <v>0</v>
      </c>
      <c r="EB54" s="180">
        <f t="shared" ca="1" si="76"/>
        <v>0</v>
      </c>
      <c r="EC54" s="180">
        <f t="shared" ca="1" si="76"/>
        <v>0</v>
      </c>
      <c r="ED54" s="180">
        <f t="shared" ca="1" si="76"/>
        <v>0</v>
      </c>
      <c r="EE54" s="180">
        <f t="shared" ca="1" si="76"/>
        <v>0</v>
      </c>
      <c r="EF54" s="180">
        <f t="shared" ca="1" si="76"/>
        <v>0</v>
      </c>
      <c r="EG54" s="180">
        <f t="shared" ca="1" si="76"/>
        <v>0</v>
      </c>
      <c r="EH54" s="180">
        <f t="shared" ca="1" si="75"/>
        <v>0</v>
      </c>
      <c r="EI54" s="180">
        <f t="shared" ca="1" si="74"/>
        <v>0</v>
      </c>
      <c r="EJ54" s="180">
        <f t="shared" ca="1" si="74"/>
        <v>0</v>
      </c>
      <c r="EK54" s="180">
        <f t="shared" ca="1" si="74"/>
        <v>0</v>
      </c>
      <c r="EL54" s="180">
        <f t="shared" ca="1" si="74"/>
        <v>0</v>
      </c>
      <c r="EM54" s="180">
        <f t="shared" ca="1" si="74"/>
        <v>0</v>
      </c>
      <c r="EN54" s="180">
        <f t="shared" ca="1" si="74"/>
        <v>0</v>
      </c>
      <c r="EO54" s="180">
        <f t="shared" ca="1" si="74"/>
        <v>0</v>
      </c>
      <c r="EP54" s="180">
        <f t="shared" ca="1" si="74"/>
        <v>0</v>
      </c>
      <c r="EQ54" s="180"/>
      <c r="ER54" s="180"/>
    </row>
    <row r="55" spans="2:148" hidden="1" x14ac:dyDescent="0.25">
      <c r="B55" s="78"/>
      <c r="P55" s="140"/>
      <c r="Q55" s="140"/>
      <c r="R55" s="140"/>
      <c r="S55" s="140"/>
      <c r="V55" s="175"/>
      <c r="W55" s="372"/>
      <c r="X55" s="87">
        <v>37</v>
      </c>
      <c r="Y55" s="87">
        <f t="shared" ca="1" si="35"/>
        <v>67.81</v>
      </c>
      <c r="Z55" s="87">
        <f t="shared" ca="1" si="36"/>
        <v>70.569999999999993</v>
      </c>
      <c r="AA55" s="87">
        <f t="shared" ca="1" si="37"/>
        <v>1172.83</v>
      </c>
      <c r="AB55" s="87">
        <f t="shared" ca="1" si="38"/>
        <v>278.39999999999998</v>
      </c>
      <c r="AC55" s="87">
        <f t="shared" si="39"/>
        <v>0</v>
      </c>
      <c r="AD55" s="87">
        <f t="shared" si="40"/>
        <v>0</v>
      </c>
      <c r="AE55" s="87">
        <f t="shared" si="41"/>
        <v>0</v>
      </c>
      <c r="AF55" s="87">
        <f t="shared" si="42"/>
        <v>0</v>
      </c>
      <c r="AG55" s="87">
        <f t="shared" si="43"/>
        <v>0</v>
      </c>
      <c r="AH55" s="87">
        <f t="shared" si="44"/>
        <v>0</v>
      </c>
      <c r="AI55" s="87">
        <f t="shared" si="45"/>
        <v>0</v>
      </c>
      <c r="AJ55" s="87">
        <f t="shared" si="46"/>
        <v>0</v>
      </c>
      <c r="AK55" s="87">
        <f t="shared" si="47"/>
        <v>0</v>
      </c>
      <c r="AL55" s="87">
        <f t="shared" si="48"/>
        <v>0</v>
      </c>
      <c r="AM55" s="87">
        <f t="shared" si="49"/>
        <v>0</v>
      </c>
      <c r="AN55" s="87">
        <f t="shared" si="50"/>
        <v>0</v>
      </c>
      <c r="AO55" s="87">
        <f t="shared" si="51"/>
        <v>0</v>
      </c>
      <c r="AP55" s="87"/>
      <c r="AQ55" s="426">
        <v>37</v>
      </c>
      <c r="AR55" s="258">
        <f t="shared" ca="1" si="58"/>
        <v>47279</v>
      </c>
      <c r="AS55" s="429">
        <f t="shared" ca="1" si="84"/>
        <v>1589.6100000000001</v>
      </c>
      <c r="AT55" s="138"/>
      <c r="AU55" s="278">
        <v>37</v>
      </c>
      <c r="AV55" s="258">
        <f t="shared" ca="1" si="59"/>
        <v>47309</v>
      </c>
      <c r="AW55" s="429">
        <f t="shared" ca="1" si="52"/>
        <v>0</v>
      </c>
      <c r="AX55" s="202">
        <f t="shared" ca="1" si="53"/>
        <v>0</v>
      </c>
      <c r="AY55" s="278">
        <v>37</v>
      </c>
      <c r="AZ55" s="258">
        <f t="shared" ca="1" si="60"/>
        <v>47309</v>
      </c>
      <c r="BA55" s="429">
        <f t="shared" si="54"/>
        <v>1589.6100000000001</v>
      </c>
      <c r="BB55" s="259">
        <f t="shared" ca="1" si="11"/>
        <v>47279</v>
      </c>
      <c r="BC55" s="428">
        <f t="shared" ca="1" si="55"/>
        <v>0</v>
      </c>
      <c r="BD55" s="188">
        <f t="shared" si="85"/>
        <v>67.81</v>
      </c>
      <c r="BE55" s="188">
        <f t="shared" si="86"/>
        <v>70.569999999999993</v>
      </c>
      <c r="BF55" s="188">
        <f t="shared" si="87"/>
        <v>1172.83</v>
      </c>
      <c r="BG55" s="87">
        <f t="shared" si="88"/>
        <v>278.39999999999998</v>
      </c>
      <c r="BH55" s="87">
        <f t="shared" si="89"/>
        <v>0</v>
      </c>
      <c r="BI55" s="87">
        <f t="shared" si="90"/>
        <v>0</v>
      </c>
      <c r="BJ55" s="87">
        <f t="shared" si="91"/>
        <v>0</v>
      </c>
      <c r="BK55" s="87">
        <f t="shared" si="92"/>
        <v>0</v>
      </c>
      <c r="BL55" s="87">
        <f t="shared" si="93"/>
        <v>0</v>
      </c>
      <c r="BM55" s="87">
        <f t="shared" si="94"/>
        <v>0</v>
      </c>
      <c r="BN55" s="87">
        <f t="shared" si="95"/>
        <v>0</v>
      </c>
      <c r="BO55" s="87">
        <f t="shared" si="96"/>
        <v>0</v>
      </c>
      <c r="BP55" s="87">
        <f t="shared" si="97"/>
        <v>0</v>
      </c>
      <c r="BQ55" s="87">
        <f t="shared" si="98"/>
        <v>0</v>
      </c>
      <c r="BR55" s="87">
        <f t="shared" si="99"/>
        <v>0</v>
      </c>
      <c r="BS55" s="87">
        <f t="shared" si="100"/>
        <v>0</v>
      </c>
      <c r="BT55" s="87">
        <f t="shared" si="101"/>
        <v>0</v>
      </c>
      <c r="BV55" s="177"/>
      <c r="BW55" s="177"/>
      <c r="BX55" s="267"/>
      <c r="BY55" s="267"/>
      <c r="BZ55" s="267"/>
      <c r="CA55" s="267"/>
      <c r="CB55" s="267"/>
      <c r="CC55" s="267"/>
      <c r="CD55" s="267"/>
      <c r="CE55" s="267"/>
      <c r="CF55" s="267"/>
      <c r="CG55" s="267"/>
      <c r="CH55" s="267"/>
      <c r="CI55" s="435"/>
      <c r="CJ55" s="436"/>
      <c r="CK55" s="437"/>
      <c r="CM55" s="64" t="s">
        <v>209</v>
      </c>
      <c r="CN55" s="707">
        <v>51</v>
      </c>
      <c r="CS55" s="87">
        <v>37</v>
      </c>
      <c r="CT55" s="259">
        <f t="shared" ca="1" si="29"/>
        <v>47309</v>
      </c>
      <c r="CU55" s="179">
        <f t="shared" ca="1" si="56"/>
        <v>788.70345803018836</v>
      </c>
      <c r="CV55" s="179">
        <f t="shared" ca="1" si="77"/>
        <v>803.65047789351081</v>
      </c>
      <c r="CW55" s="179">
        <f t="shared" ca="1" si="77"/>
        <v>812.75791425326156</v>
      </c>
      <c r="CX55" s="179">
        <f t="shared" ca="1" si="77"/>
        <v>821.97129226873653</v>
      </c>
      <c r="CY55" s="179">
        <f t="shared" ca="1" si="77"/>
        <v>831.29187608479447</v>
      </c>
      <c r="CZ55" s="179">
        <f t="shared" ca="1" si="77"/>
        <v>840.72094531013875</v>
      </c>
      <c r="DA55" s="179">
        <f t="shared" ca="1" si="77"/>
        <v>847.06790011966632</v>
      </c>
      <c r="DB55" s="179">
        <f t="shared" ca="1" si="77"/>
        <v>859.9097369082458</v>
      </c>
      <c r="DC55" s="179">
        <f t="shared" ca="1" si="77"/>
        <v>866.4054037649164</v>
      </c>
      <c r="DD55" s="179">
        <f t="shared" ca="1" si="77"/>
        <v>872.95143151495449</v>
      </c>
      <c r="DE55" s="179">
        <f t="shared" ca="1" si="77"/>
        <v>879.54822063731046</v>
      </c>
      <c r="DF55" s="179" t="e">
        <f t="shared" ca="1" si="77"/>
        <v>#VALUE!</v>
      </c>
      <c r="DG55" s="179" t="e">
        <f t="shared" ca="1" si="77"/>
        <v>#VALUE!</v>
      </c>
      <c r="DH55" s="179" t="e">
        <f t="shared" ca="1" si="77"/>
        <v>#VALUE!</v>
      </c>
      <c r="DI55" s="179" t="e">
        <f t="shared" ca="1" si="77"/>
        <v>#VALUE!</v>
      </c>
      <c r="DJ55" s="179" t="e">
        <f t="shared" ca="1" si="77"/>
        <v>#VALUE!</v>
      </c>
      <c r="DK55" s="179" t="e">
        <f t="shared" ca="1" si="77"/>
        <v>#VALUE!</v>
      </c>
      <c r="DL55" s="179" t="e">
        <f t="shared" ca="1" si="102"/>
        <v>#VALUE!</v>
      </c>
      <c r="DM55" s="179" t="e">
        <f t="shared" ca="1" si="102"/>
        <v>#VALUE!</v>
      </c>
      <c r="DN55" s="179" t="e">
        <f t="shared" ca="1" si="102"/>
        <v>#VALUE!</v>
      </c>
      <c r="DO55" s="179" t="e">
        <f t="shared" ca="1" si="102"/>
        <v>#VALUE!</v>
      </c>
      <c r="DP55" s="179" t="e">
        <f t="shared" ca="1" si="102"/>
        <v>#VALUE!</v>
      </c>
      <c r="DQ55" s="179" t="e">
        <f t="shared" ca="1" si="102"/>
        <v>#VALUE!</v>
      </c>
      <c r="DR55" s="188">
        <v>37</v>
      </c>
      <c r="DS55" s="430">
        <f t="shared" ca="1" si="61"/>
        <v>47279</v>
      </c>
      <c r="DT55" s="180">
        <f t="shared" ca="1" si="76"/>
        <v>0</v>
      </c>
      <c r="DU55" s="180">
        <f t="shared" ca="1" si="76"/>
        <v>0</v>
      </c>
      <c r="DV55" s="180">
        <f t="shared" ca="1" si="76"/>
        <v>0</v>
      </c>
      <c r="DW55" s="180">
        <f t="shared" ref="DW55:EG78" ca="1" si="103">IFERROR(VLOOKUP($DS55,$AZ$19:$BA$162,2,FALSE),0)-IFERROR(VLOOKUP($DS55,$AR$19:$AS$162,2,FALSE),0)</f>
        <v>0</v>
      </c>
      <c r="DX55" s="180">
        <f t="shared" ca="1" si="103"/>
        <v>0</v>
      </c>
      <c r="DY55" s="180">
        <f t="shared" ca="1" si="103"/>
        <v>0</v>
      </c>
      <c r="DZ55" s="180">
        <f t="shared" ca="1" si="103"/>
        <v>0</v>
      </c>
      <c r="EA55" s="180">
        <f t="shared" ca="1" si="103"/>
        <v>0</v>
      </c>
      <c r="EB55" s="180">
        <f t="shared" ca="1" si="103"/>
        <v>0</v>
      </c>
      <c r="EC55" s="180">
        <f t="shared" ca="1" si="103"/>
        <v>0</v>
      </c>
      <c r="ED55" s="180">
        <f t="shared" ca="1" si="103"/>
        <v>0</v>
      </c>
      <c r="EE55" s="180">
        <f t="shared" ca="1" si="103"/>
        <v>0</v>
      </c>
      <c r="EF55" s="180">
        <f t="shared" ca="1" si="103"/>
        <v>0</v>
      </c>
      <c r="EG55" s="180">
        <f t="shared" ca="1" si="103"/>
        <v>0</v>
      </c>
      <c r="EH55" s="180">
        <f t="shared" ca="1" si="75"/>
        <v>0</v>
      </c>
      <c r="EI55" s="180">
        <f t="shared" ca="1" si="74"/>
        <v>0</v>
      </c>
      <c r="EJ55" s="180">
        <f t="shared" ca="1" si="74"/>
        <v>0</v>
      </c>
      <c r="EK55" s="180">
        <f t="shared" ca="1" si="74"/>
        <v>0</v>
      </c>
      <c r="EL55" s="180">
        <f t="shared" ca="1" si="74"/>
        <v>0</v>
      </c>
      <c r="EM55" s="180">
        <f t="shared" ca="1" si="74"/>
        <v>0</v>
      </c>
      <c r="EN55" s="180">
        <f t="shared" ca="1" si="74"/>
        <v>0</v>
      </c>
      <c r="EO55" s="180">
        <f t="shared" ca="1" si="74"/>
        <v>0</v>
      </c>
      <c r="EP55" s="180">
        <f t="shared" ca="1" si="74"/>
        <v>0</v>
      </c>
      <c r="EQ55" s="180"/>
      <c r="ER55" s="180"/>
    </row>
    <row r="56" spans="2:148" hidden="1" x14ac:dyDescent="0.25">
      <c r="B56" s="78"/>
      <c r="P56" s="140"/>
      <c r="Q56" s="140"/>
      <c r="R56" s="140"/>
      <c r="S56" s="140"/>
      <c r="V56" s="175"/>
      <c r="W56" s="372"/>
      <c r="X56" s="87">
        <v>38</v>
      </c>
      <c r="Y56" s="87">
        <f t="shared" ca="1" si="35"/>
        <v>67.81</v>
      </c>
      <c r="Z56" s="87">
        <f t="shared" ca="1" si="36"/>
        <v>70.569999999999993</v>
      </c>
      <c r="AA56" s="87">
        <f t="shared" ca="1" si="37"/>
        <v>1172.83</v>
      </c>
      <c r="AB56" s="87">
        <f t="shared" ca="1" si="38"/>
        <v>278.39999999999998</v>
      </c>
      <c r="AC56" s="87">
        <f t="shared" si="39"/>
        <v>0</v>
      </c>
      <c r="AD56" s="87">
        <f t="shared" si="40"/>
        <v>0</v>
      </c>
      <c r="AE56" s="87">
        <f t="shared" si="41"/>
        <v>0</v>
      </c>
      <c r="AF56" s="87">
        <f t="shared" si="42"/>
        <v>0</v>
      </c>
      <c r="AG56" s="87">
        <f t="shared" si="43"/>
        <v>0</v>
      </c>
      <c r="AH56" s="87">
        <f t="shared" si="44"/>
        <v>0</v>
      </c>
      <c r="AI56" s="87">
        <f t="shared" si="45"/>
        <v>0</v>
      </c>
      <c r="AJ56" s="87">
        <f t="shared" si="46"/>
        <v>0</v>
      </c>
      <c r="AK56" s="87">
        <f t="shared" si="47"/>
        <v>0</v>
      </c>
      <c r="AL56" s="87">
        <f t="shared" si="48"/>
        <v>0</v>
      </c>
      <c r="AM56" s="87">
        <f t="shared" si="49"/>
        <v>0</v>
      </c>
      <c r="AN56" s="87">
        <f t="shared" si="50"/>
        <v>0</v>
      </c>
      <c r="AO56" s="87">
        <f t="shared" si="51"/>
        <v>0</v>
      </c>
      <c r="AP56" s="87"/>
      <c r="AQ56" s="426">
        <v>38</v>
      </c>
      <c r="AR56" s="258">
        <f t="shared" ca="1" si="58"/>
        <v>47309</v>
      </c>
      <c r="AS56" s="429">
        <f t="shared" ca="1" si="84"/>
        <v>1589.6100000000001</v>
      </c>
      <c r="AT56" s="138"/>
      <c r="AU56" s="278">
        <v>38</v>
      </c>
      <c r="AV56" s="258">
        <f t="shared" ca="1" si="59"/>
        <v>47340</v>
      </c>
      <c r="AW56" s="429">
        <f t="shared" ca="1" si="52"/>
        <v>0</v>
      </c>
      <c r="AX56" s="202">
        <f t="shared" ca="1" si="53"/>
        <v>0</v>
      </c>
      <c r="AY56" s="278">
        <v>38</v>
      </c>
      <c r="AZ56" s="258">
        <f t="shared" ca="1" si="60"/>
        <v>47340</v>
      </c>
      <c r="BA56" s="429">
        <f t="shared" si="54"/>
        <v>1589.6100000000001</v>
      </c>
      <c r="BB56" s="259">
        <f t="shared" ca="1" si="11"/>
        <v>47309</v>
      </c>
      <c r="BC56" s="428">
        <f t="shared" ca="1" si="55"/>
        <v>0</v>
      </c>
      <c r="BD56" s="188">
        <f t="shared" si="85"/>
        <v>67.81</v>
      </c>
      <c r="BE56" s="188">
        <f t="shared" si="86"/>
        <v>70.569999999999993</v>
      </c>
      <c r="BF56" s="188">
        <f t="shared" si="87"/>
        <v>1172.83</v>
      </c>
      <c r="BG56" s="87">
        <f t="shared" si="88"/>
        <v>278.39999999999998</v>
      </c>
      <c r="BH56" s="87">
        <f t="shared" si="89"/>
        <v>0</v>
      </c>
      <c r="BI56" s="87">
        <f t="shared" si="90"/>
        <v>0</v>
      </c>
      <c r="BJ56" s="87">
        <f t="shared" si="91"/>
        <v>0</v>
      </c>
      <c r="BK56" s="87">
        <f t="shared" si="92"/>
        <v>0</v>
      </c>
      <c r="BL56" s="87">
        <f t="shared" si="93"/>
        <v>0</v>
      </c>
      <c r="BM56" s="87">
        <f t="shared" si="94"/>
        <v>0</v>
      </c>
      <c r="BN56" s="87">
        <f t="shared" si="95"/>
        <v>0</v>
      </c>
      <c r="BO56" s="87">
        <f t="shared" si="96"/>
        <v>0</v>
      </c>
      <c r="BP56" s="87">
        <f t="shared" si="97"/>
        <v>0</v>
      </c>
      <c r="BQ56" s="87">
        <f t="shared" si="98"/>
        <v>0</v>
      </c>
      <c r="BR56" s="87">
        <f t="shared" si="99"/>
        <v>0</v>
      </c>
      <c r="BS56" s="87">
        <f t="shared" si="100"/>
        <v>0</v>
      </c>
      <c r="BT56" s="87">
        <f t="shared" si="101"/>
        <v>0</v>
      </c>
      <c r="BV56" s="177"/>
      <c r="BW56" s="177"/>
      <c r="BX56" s="267"/>
      <c r="BY56" s="267"/>
      <c r="BZ56" s="267"/>
      <c r="CA56" s="267"/>
      <c r="CB56" s="267"/>
      <c r="CC56" s="267"/>
      <c r="CD56" s="267"/>
      <c r="CE56" s="267"/>
      <c r="CF56" s="267"/>
      <c r="CG56" s="267"/>
      <c r="CH56" s="267"/>
      <c r="CI56" s="435"/>
      <c r="CJ56" s="436"/>
      <c r="CK56" s="437"/>
      <c r="CM56" s="64" t="s">
        <v>3748</v>
      </c>
      <c r="CN56" s="707">
        <v>69</v>
      </c>
      <c r="CS56" s="178">
        <v>38</v>
      </c>
      <c r="CT56" s="259">
        <f t="shared" ca="1" si="29"/>
        <v>47340</v>
      </c>
      <c r="CU56" s="179">
        <f t="shared" ca="1" si="56"/>
        <v>773.90444994712436</v>
      </c>
      <c r="CV56" s="179">
        <f t="shared" ca="1" si="77"/>
        <v>788.97123575955948</v>
      </c>
      <c r="CW56" s="179">
        <f t="shared" ca="1" si="77"/>
        <v>798.15537039140008</v>
      </c>
      <c r="CX56" s="179">
        <f t="shared" ca="1" si="77"/>
        <v>807.44916940666053</v>
      </c>
      <c r="CY56" s="179">
        <f t="shared" ca="1" si="77"/>
        <v>816.85397518497916</v>
      </c>
      <c r="CZ56" s="179">
        <f t="shared" ca="1" si="77"/>
        <v>826.37114694094669</v>
      </c>
      <c r="DA56" s="179">
        <f t="shared" ca="1" si="77"/>
        <v>832.77903258386505</v>
      </c>
      <c r="DB56" s="179">
        <f t="shared" ca="1" si="77"/>
        <v>845.74811071911097</v>
      </c>
      <c r="DC56" s="179">
        <f t="shared" ca="1" si="77"/>
        <v>852.31013763754947</v>
      </c>
      <c r="DD56" s="179">
        <f t="shared" ca="1" si="77"/>
        <v>858.92438522013606</v>
      </c>
      <c r="DE56" s="179">
        <f t="shared" ca="1" si="77"/>
        <v>865.59127944398756</v>
      </c>
      <c r="DF56" s="179" t="e">
        <f t="shared" ca="1" si="77"/>
        <v>#VALUE!</v>
      </c>
      <c r="DG56" s="179" t="e">
        <f t="shared" ca="1" si="77"/>
        <v>#VALUE!</v>
      </c>
      <c r="DH56" s="179" t="e">
        <f t="shared" ca="1" si="77"/>
        <v>#VALUE!</v>
      </c>
      <c r="DI56" s="179" t="e">
        <f t="shared" ca="1" si="77"/>
        <v>#VALUE!</v>
      </c>
      <c r="DJ56" s="179" t="e">
        <f t="shared" ca="1" si="77"/>
        <v>#VALUE!</v>
      </c>
      <c r="DK56" s="179" t="e">
        <f t="shared" ca="1" si="77"/>
        <v>#VALUE!</v>
      </c>
      <c r="DL56" s="179" t="e">
        <f t="shared" ca="1" si="102"/>
        <v>#VALUE!</v>
      </c>
      <c r="DM56" s="179" t="e">
        <f t="shared" ca="1" si="102"/>
        <v>#VALUE!</v>
      </c>
      <c r="DN56" s="179" t="e">
        <f t="shared" ca="1" si="102"/>
        <v>#VALUE!</v>
      </c>
      <c r="DO56" s="179" t="e">
        <f t="shared" ca="1" si="102"/>
        <v>#VALUE!</v>
      </c>
      <c r="DP56" s="179" t="e">
        <f t="shared" ca="1" si="102"/>
        <v>#VALUE!</v>
      </c>
      <c r="DQ56" s="179" t="e">
        <f t="shared" ca="1" si="102"/>
        <v>#VALUE!</v>
      </c>
      <c r="DR56" s="431">
        <v>38</v>
      </c>
      <c r="DS56" s="430">
        <f t="shared" ca="1" si="61"/>
        <v>47309</v>
      </c>
      <c r="DT56" s="180">
        <f t="shared" ref="DT56:DX87" ca="1" si="104">IFERROR(VLOOKUP($DS56,$AZ$19:$BA$162,2,FALSE),0)-IFERROR(VLOOKUP($DS56,$AR$19:$AS$162,2,FALSE),0)</f>
        <v>0</v>
      </c>
      <c r="DU56" s="180">
        <f t="shared" ca="1" si="104"/>
        <v>0</v>
      </c>
      <c r="DV56" s="180">
        <f t="shared" ca="1" si="104"/>
        <v>0</v>
      </c>
      <c r="DW56" s="180">
        <f t="shared" ca="1" si="103"/>
        <v>0</v>
      </c>
      <c r="DX56" s="180">
        <f t="shared" ca="1" si="103"/>
        <v>0</v>
      </c>
      <c r="DY56" s="180">
        <f t="shared" ca="1" si="103"/>
        <v>0</v>
      </c>
      <c r="DZ56" s="180">
        <f t="shared" ca="1" si="103"/>
        <v>0</v>
      </c>
      <c r="EA56" s="180">
        <f t="shared" ca="1" si="103"/>
        <v>0</v>
      </c>
      <c r="EB56" s="180">
        <f t="shared" ca="1" si="103"/>
        <v>0</v>
      </c>
      <c r="EC56" s="180">
        <f t="shared" ca="1" si="103"/>
        <v>0</v>
      </c>
      <c r="ED56" s="180">
        <f t="shared" ca="1" si="103"/>
        <v>0</v>
      </c>
      <c r="EE56" s="180">
        <f t="shared" ca="1" si="103"/>
        <v>0</v>
      </c>
      <c r="EF56" s="180">
        <f t="shared" ca="1" si="103"/>
        <v>0</v>
      </c>
      <c r="EG56" s="180">
        <f t="shared" ca="1" si="103"/>
        <v>0</v>
      </c>
      <c r="EH56" s="180">
        <f t="shared" ca="1" si="75"/>
        <v>0</v>
      </c>
      <c r="EI56" s="180">
        <f t="shared" ca="1" si="74"/>
        <v>0</v>
      </c>
      <c r="EJ56" s="180">
        <f t="shared" ca="1" si="74"/>
        <v>0</v>
      </c>
      <c r="EK56" s="180">
        <f t="shared" ca="1" si="74"/>
        <v>0</v>
      </c>
      <c r="EL56" s="180">
        <f t="shared" ca="1" si="74"/>
        <v>0</v>
      </c>
      <c r="EM56" s="180">
        <f t="shared" ca="1" si="74"/>
        <v>0</v>
      </c>
      <c r="EN56" s="180">
        <f t="shared" ca="1" si="74"/>
        <v>0</v>
      </c>
      <c r="EO56" s="180">
        <f t="shared" ca="1" si="74"/>
        <v>0</v>
      </c>
      <c r="EP56" s="180">
        <f t="shared" ca="1" si="74"/>
        <v>0</v>
      </c>
      <c r="EQ56" s="180"/>
      <c r="ER56" s="180"/>
    </row>
    <row r="57" spans="2:148" x14ac:dyDescent="0.25">
      <c r="B57" s="78"/>
      <c r="E57" s="452" t="str">
        <f ca="1">IF(U43&gt;0,"* Tabelas com condições mínimas para liberação","")</f>
        <v/>
      </c>
      <c r="P57" s="140"/>
      <c r="Q57" s="140"/>
      <c r="R57" s="140"/>
      <c r="S57" s="140"/>
      <c r="V57" s="175"/>
      <c r="W57" s="372"/>
      <c r="X57" s="87">
        <v>39</v>
      </c>
      <c r="Y57" s="87">
        <f t="shared" ca="1" si="35"/>
        <v>67.81</v>
      </c>
      <c r="Z57" s="87">
        <f t="shared" ca="1" si="36"/>
        <v>70.569999999999993</v>
      </c>
      <c r="AA57" s="87">
        <f t="shared" ca="1" si="37"/>
        <v>1172.83</v>
      </c>
      <c r="AB57" s="87">
        <f t="shared" ca="1" si="38"/>
        <v>278.39999999999998</v>
      </c>
      <c r="AC57" s="87">
        <f t="shared" si="39"/>
        <v>0</v>
      </c>
      <c r="AD57" s="87">
        <f t="shared" si="40"/>
        <v>0</v>
      </c>
      <c r="AE57" s="87">
        <f t="shared" si="41"/>
        <v>0</v>
      </c>
      <c r="AF57" s="87">
        <f t="shared" si="42"/>
        <v>0</v>
      </c>
      <c r="AG57" s="87">
        <f t="shared" si="43"/>
        <v>0</v>
      </c>
      <c r="AH57" s="87">
        <f t="shared" si="44"/>
        <v>0</v>
      </c>
      <c r="AI57" s="87">
        <f t="shared" si="45"/>
        <v>0</v>
      </c>
      <c r="AJ57" s="87">
        <f t="shared" si="46"/>
        <v>0</v>
      </c>
      <c r="AK57" s="87">
        <f t="shared" si="47"/>
        <v>0</v>
      </c>
      <c r="AL57" s="87">
        <f t="shared" si="48"/>
        <v>0</v>
      </c>
      <c r="AM57" s="87">
        <f t="shared" si="49"/>
        <v>0</v>
      </c>
      <c r="AN57" s="87">
        <f t="shared" si="50"/>
        <v>0</v>
      </c>
      <c r="AO57" s="87">
        <f t="shared" si="51"/>
        <v>0</v>
      </c>
      <c r="AP57" s="87"/>
      <c r="AQ57" s="426">
        <v>39</v>
      </c>
      <c r="AR57" s="258">
        <f t="shared" ca="1" si="58"/>
        <v>47340</v>
      </c>
      <c r="AS57" s="429">
        <f t="shared" ca="1" si="84"/>
        <v>1589.6100000000001</v>
      </c>
      <c r="AT57" s="138"/>
      <c r="AU57" s="278">
        <v>39</v>
      </c>
      <c r="AV57" s="258">
        <f t="shared" ca="1" si="59"/>
        <v>47371</v>
      </c>
      <c r="AW57" s="429">
        <f t="shared" ca="1" si="52"/>
        <v>0</v>
      </c>
      <c r="AX57" s="202">
        <f t="shared" ca="1" si="53"/>
        <v>0</v>
      </c>
      <c r="AY57" s="278">
        <v>39</v>
      </c>
      <c r="AZ57" s="258">
        <f t="shared" ca="1" si="60"/>
        <v>47371</v>
      </c>
      <c r="BA57" s="429">
        <f t="shared" si="54"/>
        <v>1589.6100000000001</v>
      </c>
      <c r="BB57" s="259">
        <f t="shared" ca="1" si="11"/>
        <v>47340</v>
      </c>
      <c r="BC57" s="428">
        <f t="shared" ca="1" si="55"/>
        <v>0</v>
      </c>
      <c r="BD57" s="188">
        <f t="shared" si="85"/>
        <v>67.81</v>
      </c>
      <c r="BE57" s="188">
        <f t="shared" si="86"/>
        <v>70.569999999999993</v>
      </c>
      <c r="BF57" s="188">
        <f t="shared" si="87"/>
        <v>1172.83</v>
      </c>
      <c r="BG57" s="87">
        <f t="shared" si="88"/>
        <v>278.39999999999998</v>
      </c>
      <c r="BH57" s="87">
        <f t="shared" si="89"/>
        <v>0</v>
      </c>
      <c r="BI57" s="87">
        <f t="shared" si="90"/>
        <v>0</v>
      </c>
      <c r="BJ57" s="87">
        <f t="shared" si="91"/>
        <v>0</v>
      </c>
      <c r="BK57" s="87">
        <f t="shared" si="92"/>
        <v>0</v>
      </c>
      <c r="BL57" s="87">
        <f t="shared" si="93"/>
        <v>0</v>
      </c>
      <c r="BM57" s="87">
        <f t="shared" si="94"/>
        <v>0</v>
      </c>
      <c r="BN57" s="87">
        <f t="shared" si="95"/>
        <v>0</v>
      </c>
      <c r="BO57" s="87">
        <f t="shared" si="96"/>
        <v>0</v>
      </c>
      <c r="BP57" s="87">
        <f t="shared" si="97"/>
        <v>0</v>
      </c>
      <c r="BQ57" s="87">
        <f t="shared" si="98"/>
        <v>0</v>
      </c>
      <c r="BR57" s="87">
        <f t="shared" si="99"/>
        <v>0</v>
      </c>
      <c r="BS57" s="87">
        <f t="shared" si="100"/>
        <v>0</v>
      </c>
      <c r="BT57" s="87">
        <f t="shared" si="101"/>
        <v>0</v>
      </c>
      <c r="BV57" s="177"/>
      <c r="BW57" s="177"/>
      <c r="BX57" s="267"/>
      <c r="BY57" s="267"/>
      <c r="BZ57" s="267"/>
      <c r="CA57" s="267"/>
      <c r="CB57" s="267"/>
      <c r="CC57" s="267"/>
      <c r="CD57" s="267"/>
      <c r="CE57" s="267"/>
      <c r="CF57" s="267"/>
      <c r="CG57" s="267"/>
      <c r="CH57" s="267"/>
      <c r="CI57" s="435"/>
      <c r="CJ57" s="436"/>
      <c r="CK57" s="437"/>
      <c r="CM57" s="64" t="s">
        <v>3012</v>
      </c>
      <c r="CN57" s="707">
        <v>34</v>
      </c>
      <c r="CS57" s="138">
        <v>39</v>
      </c>
      <c r="CT57" s="259">
        <f t="shared" ca="1" si="29"/>
        <v>47371</v>
      </c>
      <c r="CU57" s="179">
        <f t="shared" ca="1" si="56"/>
        <v>759.3831262560999</v>
      </c>
      <c r="CV57" s="179">
        <f t="shared" ref="CV57:DK72" ca="1" si="105">(($AW57/(1+CV$18)^(($AZ57-$AZ$18)/30)))+($AS57/(1+CV$18)^(($AZ57-$AZ$18)/30))</f>
        <v>774.56012032440867</v>
      </c>
      <c r="CW57" s="179">
        <f t="shared" ca="1" si="105"/>
        <v>783.81518544785604</v>
      </c>
      <c r="CX57" s="179">
        <f t="shared" ca="1" si="105"/>
        <v>793.1836151795294</v>
      </c>
      <c r="CY57" s="179">
        <f t="shared" ca="1" si="105"/>
        <v>802.66683215780733</v>
      </c>
      <c r="CZ57" s="179">
        <f t="shared" ca="1" si="105"/>
        <v>812.26627730153746</v>
      </c>
      <c r="DA57" s="179">
        <f t="shared" ca="1" si="105"/>
        <v>818.73119854186871</v>
      </c>
      <c r="DB57" s="179">
        <f t="shared" ca="1" si="105"/>
        <v>831.81970860886815</v>
      </c>
      <c r="DC57" s="179">
        <f t="shared" ca="1" si="105"/>
        <v>838.44418278448688</v>
      </c>
      <c r="DD57" s="179">
        <f t="shared" ca="1" si="105"/>
        <v>845.12273293998282</v>
      </c>
      <c r="DE57" s="179">
        <f t="shared" ca="1" si="105"/>
        <v>851.85581127841158</v>
      </c>
      <c r="DF57" s="179" t="e">
        <f t="shared" ca="1" si="105"/>
        <v>#VALUE!</v>
      </c>
      <c r="DG57" s="179" t="e">
        <f t="shared" ca="1" si="105"/>
        <v>#VALUE!</v>
      </c>
      <c r="DH57" s="179" t="e">
        <f t="shared" ca="1" si="105"/>
        <v>#VALUE!</v>
      </c>
      <c r="DI57" s="179" t="e">
        <f t="shared" ca="1" si="105"/>
        <v>#VALUE!</v>
      </c>
      <c r="DJ57" s="179" t="e">
        <f t="shared" ca="1" si="105"/>
        <v>#VALUE!</v>
      </c>
      <c r="DK57" s="179" t="e">
        <f t="shared" ca="1" si="105"/>
        <v>#VALUE!</v>
      </c>
      <c r="DL57" s="179" t="e">
        <f t="shared" ca="1" si="102"/>
        <v>#VALUE!</v>
      </c>
      <c r="DM57" s="179" t="e">
        <f t="shared" ca="1" si="102"/>
        <v>#VALUE!</v>
      </c>
      <c r="DN57" s="179" t="e">
        <f t="shared" ca="1" si="102"/>
        <v>#VALUE!</v>
      </c>
      <c r="DO57" s="179" t="e">
        <f t="shared" ca="1" si="102"/>
        <v>#VALUE!</v>
      </c>
      <c r="DP57" s="179" t="e">
        <f t="shared" ca="1" si="102"/>
        <v>#VALUE!</v>
      </c>
      <c r="DQ57" s="179" t="e">
        <f t="shared" ca="1" si="102"/>
        <v>#VALUE!</v>
      </c>
      <c r="DR57" s="278">
        <v>39</v>
      </c>
      <c r="DS57" s="430">
        <f t="shared" ca="1" si="61"/>
        <v>47340</v>
      </c>
      <c r="DT57" s="180">
        <f t="shared" ca="1" si="104"/>
        <v>0</v>
      </c>
      <c r="DU57" s="180">
        <f t="shared" ca="1" si="104"/>
        <v>0</v>
      </c>
      <c r="DV57" s="180">
        <f t="shared" ca="1" si="104"/>
        <v>0</v>
      </c>
      <c r="DW57" s="180">
        <f t="shared" ca="1" si="103"/>
        <v>0</v>
      </c>
      <c r="DX57" s="180">
        <f t="shared" ca="1" si="103"/>
        <v>0</v>
      </c>
      <c r="DY57" s="180">
        <f t="shared" ca="1" si="103"/>
        <v>0</v>
      </c>
      <c r="DZ57" s="180">
        <f t="shared" ca="1" si="103"/>
        <v>0</v>
      </c>
      <c r="EA57" s="180">
        <f t="shared" ca="1" si="103"/>
        <v>0</v>
      </c>
      <c r="EB57" s="180">
        <f t="shared" ca="1" si="103"/>
        <v>0</v>
      </c>
      <c r="EC57" s="180">
        <f t="shared" ca="1" si="103"/>
        <v>0</v>
      </c>
      <c r="ED57" s="180">
        <f t="shared" ca="1" si="103"/>
        <v>0</v>
      </c>
      <c r="EE57" s="180">
        <f t="shared" ca="1" si="103"/>
        <v>0</v>
      </c>
      <c r="EF57" s="180">
        <f t="shared" ca="1" si="103"/>
        <v>0</v>
      </c>
      <c r="EG57" s="180">
        <f t="shared" ca="1" si="103"/>
        <v>0</v>
      </c>
      <c r="EH57" s="180">
        <f t="shared" ca="1" si="75"/>
        <v>0</v>
      </c>
      <c r="EI57" s="180">
        <f t="shared" ca="1" si="74"/>
        <v>0</v>
      </c>
      <c r="EJ57" s="180">
        <f t="shared" ca="1" si="74"/>
        <v>0</v>
      </c>
      <c r="EK57" s="180">
        <f t="shared" ca="1" si="74"/>
        <v>0</v>
      </c>
      <c r="EL57" s="180">
        <f t="shared" ca="1" si="74"/>
        <v>0</v>
      </c>
      <c r="EM57" s="180">
        <f t="shared" ca="1" si="74"/>
        <v>0</v>
      </c>
      <c r="EN57" s="180">
        <f t="shared" ca="1" si="74"/>
        <v>0</v>
      </c>
      <c r="EO57" s="180">
        <f t="shared" ca="1" si="74"/>
        <v>0</v>
      </c>
      <c r="EP57" s="180">
        <f t="shared" ca="1" si="74"/>
        <v>0</v>
      </c>
      <c r="EQ57" s="180"/>
      <c r="ER57" s="180"/>
    </row>
    <row r="58" spans="2:148" s="87" customFormat="1" hidden="1" x14ac:dyDescent="0.25">
      <c r="B58" s="151"/>
      <c r="C58" s="140"/>
      <c r="D58" s="139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75"/>
      <c r="W58" s="372"/>
      <c r="X58" s="87">
        <v>40</v>
      </c>
      <c r="Y58" s="87">
        <f t="shared" ca="1" si="35"/>
        <v>67.81</v>
      </c>
      <c r="Z58" s="87">
        <f t="shared" ca="1" si="36"/>
        <v>70.569999999999993</v>
      </c>
      <c r="AA58" s="87">
        <f t="shared" ca="1" si="37"/>
        <v>1172.83</v>
      </c>
      <c r="AB58" s="87">
        <f t="shared" ca="1" si="38"/>
        <v>278.39999999999998</v>
      </c>
      <c r="AC58" s="87">
        <f t="shared" si="39"/>
        <v>0</v>
      </c>
      <c r="AD58" s="87">
        <f t="shared" si="40"/>
        <v>0</v>
      </c>
      <c r="AE58" s="87">
        <f t="shared" si="41"/>
        <v>0</v>
      </c>
      <c r="AF58" s="87">
        <f t="shared" si="42"/>
        <v>0</v>
      </c>
      <c r="AG58" s="87">
        <f t="shared" si="43"/>
        <v>0</v>
      </c>
      <c r="AH58" s="87">
        <f t="shared" si="44"/>
        <v>0</v>
      </c>
      <c r="AI58" s="87">
        <f t="shared" si="45"/>
        <v>0</v>
      </c>
      <c r="AJ58" s="87">
        <f t="shared" si="46"/>
        <v>0</v>
      </c>
      <c r="AK58" s="87">
        <f t="shared" si="47"/>
        <v>0</v>
      </c>
      <c r="AL58" s="87">
        <f t="shared" si="48"/>
        <v>0</v>
      </c>
      <c r="AM58" s="87">
        <f t="shared" si="49"/>
        <v>0</v>
      </c>
      <c r="AN58" s="87">
        <f t="shared" si="50"/>
        <v>0</v>
      </c>
      <c r="AO58" s="87">
        <f t="shared" si="51"/>
        <v>0</v>
      </c>
      <c r="AQ58" s="426">
        <v>40</v>
      </c>
      <c r="AR58" s="258">
        <f t="shared" ca="1" si="58"/>
        <v>47371</v>
      </c>
      <c r="AS58" s="429">
        <f t="shared" ca="1" si="84"/>
        <v>1589.6100000000001</v>
      </c>
      <c r="AT58" s="138"/>
      <c r="AU58" s="278">
        <v>40</v>
      </c>
      <c r="AV58" s="258">
        <f t="shared" ca="1" si="59"/>
        <v>47401</v>
      </c>
      <c r="AW58" s="429">
        <f t="shared" ca="1" si="52"/>
        <v>0</v>
      </c>
      <c r="AX58" s="202">
        <f t="shared" ca="1" si="53"/>
        <v>0</v>
      </c>
      <c r="AY58" s="278">
        <v>40</v>
      </c>
      <c r="AZ58" s="258">
        <f t="shared" ca="1" si="60"/>
        <v>47401</v>
      </c>
      <c r="BA58" s="429">
        <f t="shared" si="54"/>
        <v>1589.6100000000001</v>
      </c>
      <c r="BB58" s="259">
        <f t="shared" ca="1" si="11"/>
        <v>47371</v>
      </c>
      <c r="BC58" s="428">
        <f t="shared" ca="1" si="55"/>
        <v>0</v>
      </c>
      <c r="BD58" s="188">
        <f t="shared" si="85"/>
        <v>67.81</v>
      </c>
      <c r="BE58" s="188">
        <f t="shared" si="86"/>
        <v>70.569999999999993</v>
      </c>
      <c r="BF58" s="188">
        <f t="shared" si="87"/>
        <v>1172.83</v>
      </c>
      <c r="BG58" s="87">
        <f t="shared" si="88"/>
        <v>278.39999999999998</v>
      </c>
      <c r="BH58" s="87">
        <f t="shared" si="89"/>
        <v>0</v>
      </c>
      <c r="BI58" s="87">
        <f t="shared" si="90"/>
        <v>0</v>
      </c>
      <c r="BJ58" s="87">
        <f t="shared" si="91"/>
        <v>0</v>
      </c>
      <c r="BK58" s="87">
        <f t="shared" si="92"/>
        <v>0</v>
      </c>
      <c r="BL58" s="87">
        <f t="shared" si="93"/>
        <v>0</v>
      </c>
      <c r="BM58" s="87">
        <f t="shared" si="94"/>
        <v>0</v>
      </c>
      <c r="BN58" s="87">
        <f t="shared" si="95"/>
        <v>0</v>
      </c>
      <c r="BO58" s="87">
        <f t="shared" si="96"/>
        <v>0</v>
      </c>
      <c r="BP58" s="87">
        <f t="shared" si="97"/>
        <v>0</v>
      </c>
      <c r="BQ58" s="87">
        <f t="shared" si="98"/>
        <v>0</v>
      </c>
      <c r="BR58" s="87">
        <f t="shared" si="99"/>
        <v>0</v>
      </c>
      <c r="BS58" s="87">
        <f t="shared" si="100"/>
        <v>0</v>
      </c>
      <c r="BT58" s="87">
        <f t="shared" si="101"/>
        <v>0</v>
      </c>
      <c r="BV58" s="177"/>
      <c r="BW58" s="177"/>
      <c r="BX58" s="267"/>
      <c r="BY58" s="267"/>
      <c r="BZ58" s="267"/>
      <c r="CA58" s="267"/>
      <c r="CB58" s="267"/>
      <c r="CC58" s="267"/>
      <c r="CD58" s="267"/>
      <c r="CE58" s="267"/>
      <c r="CF58" s="267"/>
      <c r="CG58" s="267"/>
      <c r="CH58" s="267"/>
      <c r="CI58" s="435"/>
      <c r="CJ58" s="436"/>
      <c r="CK58" s="437"/>
      <c r="CM58" s="64" t="s">
        <v>3013</v>
      </c>
      <c r="CN58" s="707">
        <v>32</v>
      </c>
      <c r="CS58" s="87">
        <v>40</v>
      </c>
      <c r="CT58" s="259">
        <f t="shared" ca="1" si="29"/>
        <v>47401</v>
      </c>
      <c r="CU58" s="179">
        <f t="shared" ca="1" si="56"/>
        <v>745.58971650083447</v>
      </c>
      <c r="CV58" s="179">
        <f t="shared" ca="1" si="105"/>
        <v>760.86455827545058</v>
      </c>
      <c r="CW58" s="179">
        <f t="shared" ca="1" si="105"/>
        <v>770.1829472809826</v>
      </c>
      <c r="CX58" s="179">
        <f t="shared" ca="1" si="105"/>
        <v>779.61825749904574</v>
      </c>
      <c r="CY58" s="179">
        <f t="shared" ca="1" si="105"/>
        <v>789.17199110982938</v>
      </c>
      <c r="CZ58" s="179">
        <f t="shared" ca="1" si="105"/>
        <v>798.84567004478504</v>
      </c>
      <c r="DA58" s="179">
        <f t="shared" ca="1" si="105"/>
        <v>805.36218625011668</v>
      </c>
      <c r="DB58" s="179">
        <f t="shared" ca="1" si="105"/>
        <v>818.5590519670028</v>
      </c>
      <c r="DC58" s="179">
        <f t="shared" ca="1" si="105"/>
        <v>825.24033738630601</v>
      </c>
      <c r="DD58" s="179">
        <f t="shared" ca="1" si="105"/>
        <v>831.97748861979017</v>
      </c>
      <c r="DE58" s="179">
        <f t="shared" ca="1" si="105"/>
        <v>838.77098392911739</v>
      </c>
      <c r="DF58" s="179" t="e">
        <f t="shared" ca="1" si="105"/>
        <v>#VALUE!</v>
      </c>
      <c r="DG58" s="179" t="e">
        <f t="shared" ca="1" si="105"/>
        <v>#VALUE!</v>
      </c>
      <c r="DH58" s="179" t="e">
        <f t="shared" ca="1" si="105"/>
        <v>#VALUE!</v>
      </c>
      <c r="DI58" s="179" t="e">
        <f t="shared" ca="1" si="105"/>
        <v>#VALUE!</v>
      </c>
      <c r="DJ58" s="179" t="e">
        <f t="shared" ca="1" si="105"/>
        <v>#VALUE!</v>
      </c>
      <c r="DK58" s="179" t="e">
        <f t="shared" ca="1" si="105"/>
        <v>#VALUE!</v>
      </c>
      <c r="DL58" s="179" t="e">
        <f t="shared" ca="1" si="102"/>
        <v>#VALUE!</v>
      </c>
      <c r="DM58" s="179" t="e">
        <f t="shared" ca="1" si="102"/>
        <v>#VALUE!</v>
      </c>
      <c r="DN58" s="179" t="e">
        <f t="shared" ca="1" si="102"/>
        <v>#VALUE!</v>
      </c>
      <c r="DO58" s="179" t="e">
        <f t="shared" ca="1" si="102"/>
        <v>#VALUE!</v>
      </c>
      <c r="DP58" s="179" t="e">
        <f t="shared" ca="1" si="102"/>
        <v>#VALUE!</v>
      </c>
      <c r="DQ58" s="179" t="e">
        <f t="shared" ca="1" si="102"/>
        <v>#VALUE!</v>
      </c>
      <c r="DR58" s="188">
        <v>40</v>
      </c>
      <c r="DS58" s="430">
        <f t="shared" ca="1" si="61"/>
        <v>47371</v>
      </c>
      <c r="DT58" s="180">
        <f t="shared" ca="1" si="104"/>
        <v>0</v>
      </c>
      <c r="DU58" s="180">
        <f t="shared" ca="1" si="104"/>
        <v>0</v>
      </c>
      <c r="DV58" s="180">
        <f t="shared" ca="1" si="104"/>
        <v>0</v>
      </c>
      <c r="DW58" s="180">
        <f t="shared" ca="1" si="103"/>
        <v>0</v>
      </c>
      <c r="DX58" s="180">
        <f t="shared" ca="1" si="103"/>
        <v>0</v>
      </c>
      <c r="DY58" s="180">
        <f t="shared" ca="1" si="103"/>
        <v>0</v>
      </c>
      <c r="DZ58" s="180">
        <f t="shared" ca="1" si="103"/>
        <v>0</v>
      </c>
      <c r="EA58" s="180">
        <f t="shared" ca="1" si="103"/>
        <v>0</v>
      </c>
      <c r="EB58" s="180">
        <f t="shared" ca="1" si="103"/>
        <v>0</v>
      </c>
      <c r="EC58" s="180">
        <f t="shared" ca="1" si="103"/>
        <v>0</v>
      </c>
      <c r="ED58" s="180">
        <f t="shared" ca="1" si="103"/>
        <v>0</v>
      </c>
      <c r="EE58" s="180">
        <f t="shared" ca="1" si="103"/>
        <v>0</v>
      </c>
      <c r="EF58" s="180">
        <f t="shared" ca="1" si="103"/>
        <v>0</v>
      </c>
      <c r="EG58" s="180">
        <f t="shared" ca="1" si="103"/>
        <v>0</v>
      </c>
      <c r="EH58" s="180">
        <f t="shared" ca="1" si="75"/>
        <v>0</v>
      </c>
      <c r="EI58" s="180">
        <f t="shared" ca="1" si="74"/>
        <v>0</v>
      </c>
      <c r="EJ58" s="180">
        <f t="shared" ca="1" si="74"/>
        <v>0</v>
      </c>
      <c r="EK58" s="180">
        <f t="shared" ca="1" si="74"/>
        <v>0</v>
      </c>
      <c r="EL58" s="180">
        <f t="shared" ca="1" si="74"/>
        <v>0</v>
      </c>
      <c r="EM58" s="180">
        <f t="shared" ca="1" si="74"/>
        <v>0</v>
      </c>
      <c r="EN58" s="180">
        <f t="shared" ca="1" si="74"/>
        <v>0</v>
      </c>
      <c r="EO58" s="180">
        <f t="shared" ca="1" si="74"/>
        <v>0</v>
      </c>
      <c r="EP58" s="180">
        <f t="shared" ca="1" si="74"/>
        <v>0</v>
      </c>
      <c r="EQ58" s="180"/>
      <c r="ER58" s="180"/>
    </row>
    <row r="59" spans="2:148" s="87" customFormat="1" hidden="1" x14ac:dyDescent="0.25">
      <c r="B59" s="151"/>
      <c r="C59" s="140" t="s">
        <v>45</v>
      </c>
      <c r="D59" s="577"/>
      <c r="E59" s="176" t="s">
        <v>103</v>
      </c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75"/>
      <c r="W59" s="372"/>
      <c r="X59" s="87">
        <v>41</v>
      </c>
      <c r="Y59" s="87">
        <f t="shared" ca="1" si="35"/>
        <v>67.81</v>
      </c>
      <c r="Z59" s="87">
        <f t="shared" ca="1" si="36"/>
        <v>70.569999999999993</v>
      </c>
      <c r="AA59" s="87">
        <f t="shared" ca="1" si="37"/>
        <v>1172.83</v>
      </c>
      <c r="AB59" s="87">
        <f t="shared" ca="1" si="38"/>
        <v>278.39999999999998</v>
      </c>
      <c r="AC59" s="87">
        <f t="shared" si="39"/>
        <v>0</v>
      </c>
      <c r="AD59" s="87">
        <f t="shared" si="40"/>
        <v>0</v>
      </c>
      <c r="AE59" s="87">
        <f t="shared" si="41"/>
        <v>0</v>
      </c>
      <c r="AF59" s="87">
        <f t="shared" si="42"/>
        <v>0</v>
      </c>
      <c r="AG59" s="87">
        <f t="shared" si="43"/>
        <v>0</v>
      </c>
      <c r="AH59" s="87">
        <f t="shared" si="44"/>
        <v>0</v>
      </c>
      <c r="AI59" s="87">
        <f t="shared" si="45"/>
        <v>0</v>
      </c>
      <c r="AJ59" s="87">
        <f t="shared" si="46"/>
        <v>0</v>
      </c>
      <c r="AK59" s="87">
        <f t="shared" si="47"/>
        <v>0</v>
      </c>
      <c r="AL59" s="87">
        <f t="shared" si="48"/>
        <v>0</v>
      </c>
      <c r="AM59" s="87">
        <f t="shared" si="49"/>
        <v>0</v>
      </c>
      <c r="AN59" s="87">
        <f t="shared" si="50"/>
        <v>0</v>
      </c>
      <c r="AO59" s="87">
        <f t="shared" si="51"/>
        <v>0</v>
      </c>
      <c r="AQ59" s="426">
        <v>41</v>
      </c>
      <c r="AR59" s="258">
        <f t="shared" ca="1" si="58"/>
        <v>47401</v>
      </c>
      <c r="AS59" s="429">
        <f t="shared" ca="1" si="84"/>
        <v>1589.6100000000001</v>
      </c>
      <c r="AT59" s="138"/>
      <c r="AU59" s="278">
        <v>41</v>
      </c>
      <c r="AV59" s="258">
        <f t="shared" ca="1" si="59"/>
        <v>47432</v>
      </c>
      <c r="AW59" s="429">
        <f t="shared" ca="1" si="52"/>
        <v>0</v>
      </c>
      <c r="AX59" s="202">
        <f t="shared" ca="1" si="53"/>
        <v>0</v>
      </c>
      <c r="AY59" s="278">
        <v>41</v>
      </c>
      <c r="AZ59" s="258">
        <f t="shared" ca="1" si="60"/>
        <v>47432</v>
      </c>
      <c r="BA59" s="429">
        <f t="shared" si="54"/>
        <v>1589.6100000000001</v>
      </c>
      <c r="BB59" s="259">
        <f t="shared" ca="1" si="11"/>
        <v>47401</v>
      </c>
      <c r="BC59" s="428">
        <f t="shared" ca="1" si="55"/>
        <v>0</v>
      </c>
      <c r="BD59" s="188">
        <f t="shared" si="85"/>
        <v>67.81</v>
      </c>
      <c r="BE59" s="188">
        <f t="shared" si="86"/>
        <v>70.569999999999993</v>
      </c>
      <c r="BF59" s="188">
        <f t="shared" si="87"/>
        <v>1172.83</v>
      </c>
      <c r="BG59" s="87">
        <f t="shared" si="88"/>
        <v>278.39999999999998</v>
      </c>
      <c r="BH59" s="87">
        <f t="shared" si="89"/>
        <v>0</v>
      </c>
      <c r="BI59" s="87">
        <f t="shared" si="90"/>
        <v>0</v>
      </c>
      <c r="BJ59" s="87">
        <f t="shared" si="91"/>
        <v>0</v>
      </c>
      <c r="BK59" s="87">
        <f t="shared" si="92"/>
        <v>0</v>
      </c>
      <c r="BL59" s="87">
        <f t="shared" si="93"/>
        <v>0</v>
      </c>
      <c r="BM59" s="87">
        <f t="shared" si="94"/>
        <v>0</v>
      </c>
      <c r="BN59" s="87">
        <f t="shared" si="95"/>
        <v>0</v>
      </c>
      <c r="BO59" s="87">
        <f t="shared" si="96"/>
        <v>0</v>
      </c>
      <c r="BP59" s="87">
        <f t="shared" si="97"/>
        <v>0</v>
      </c>
      <c r="BQ59" s="87">
        <f t="shared" si="98"/>
        <v>0</v>
      </c>
      <c r="BR59" s="87">
        <f t="shared" si="99"/>
        <v>0</v>
      </c>
      <c r="BS59" s="87">
        <f t="shared" si="100"/>
        <v>0</v>
      </c>
      <c r="BT59" s="87">
        <f t="shared" si="101"/>
        <v>0</v>
      </c>
      <c r="BV59" s="177"/>
      <c r="BW59" s="177"/>
      <c r="BX59" s="267"/>
      <c r="BY59" s="267"/>
      <c r="BZ59" s="267"/>
      <c r="CA59" s="267"/>
      <c r="CB59" s="267"/>
      <c r="CC59" s="267"/>
      <c r="CD59" s="267"/>
      <c r="CE59" s="267"/>
      <c r="CF59" s="267"/>
      <c r="CG59" s="267"/>
      <c r="CH59" s="267"/>
      <c r="CI59" s="435"/>
      <c r="CJ59" s="436"/>
      <c r="CK59" s="437"/>
      <c r="CM59" s="64" t="s">
        <v>810</v>
      </c>
      <c r="CN59" s="707">
        <v>37</v>
      </c>
      <c r="CS59" s="178">
        <v>41</v>
      </c>
      <c r="CT59" s="259">
        <f t="shared" ca="1" si="29"/>
        <v>47432</v>
      </c>
      <c r="CU59" s="179">
        <f t="shared" ca="1" si="56"/>
        <v>731.59968244075424</v>
      </c>
      <c r="CV59" s="179">
        <f t="shared" ca="1" si="105"/>
        <v>746.96683110512299</v>
      </c>
      <c r="CW59" s="179">
        <f t="shared" ca="1" si="105"/>
        <v>756.34533330996214</v>
      </c>
      <c r="CX59" s="179">
        <f t="shared" ca="1" si="105"/>
        <v>765.84440404770498</v>
      </c>
      <c r="CY59" s="179">
        <f t="shared" ca="1" si="105"/>
        <v>775.46562956781963</v>
      </c>
      <c r="CZ59" s="179">
        <f t="shared" ca="1" si="105"/>
        <v>785.21061746617215</v>
      </c>
      <c r="DA59" s="179">
        <f t="shared" ca="1" si="105"/>
        <v>791.77683660335822</v>
      </c>
      <c r="DB59" s="179">
        <f t="shared" ca="1" si="105"/>
        <v>805.07841927947436</v>
      </c>
      <c r="DC59" s="179">
        <f t="shared" ca="1" si="105"/>
        <v>811.814772259459</v>
      </c>
      <c r="DD59" s="179">
        <f t="shared" ca="1" si="105"/>
        <v>818.60883335696087</v>
      </c>
      <c r="DE59" s="179">
        <f t="shared" ca="1" si="105"/>
        <v>825.46110844681368</v>
      </c>
      <c r="DF59" s="179" t="e">
        <f t="shared" ca="1" si="105"/>
        <v>#VALUE!</v>
      </c>
      <c r="DG59" s="179" t="e">
        <f t="shared" ca="1" si="105"/>
        <v>#VALUE!</v>
      </c>
      <c r="DH59" s="179" t="e">
        <f t="shared" ca="1" si="105"/>
        <v>#VALUE!</v>
      </c>
      <c r="DI59" s="179" t="e">
        <f t="shared" ca="1" si="105"/>
        <v>#VALUE!</v>
      </c>
      <c r="DJ59" s="179" t="e">
        <f t="shared" ca="1" si="105"/>
        <v>#VALUE!</v>
      </c>
      <c r="DK59" s="179" t="e">
        <f t="shared" ca="1" si="105"/>
        <v>#VALUE!</v>
      </c>
      <c r="DL59" s="179" t="e">
        <f t="shared" ca="1" si="102"/>
        <v>#VALUE!</v>
      </c>
      <c r="DM59" s="179" t="e">
        <f t="shared" ca="1" si="102"/>
        <v>#VALUE!</v>
      </c>
      <c r="DN59" s="179" t="e">
        <f t="shared" ca="1" si="102"/>
        <v>#VALUE!</v>
      </c>
      <c r="DO59" s="179" t="e">
        <f t="shared" ca="1" si="102"/>
        <v>#VALUE!</v>
      </c>
      <c r="DP59" s="179" t="e">
        <f t="shared" ca="1" si="102"/>
        <v>#VALUE!</v>
      </c>
      <c r="DQ59" s="179" t="e">
        <f t="shared" ca="1" si="102"/>
        <v>#VALUE!</v>
      </c>
      <c r="DR59" s="431">
        <v>41</v>
      </c>
      <c r="DS59" s="430">
        <f t="shared" ca="1" si="61"/>
        <v>47401</v>
      </c>
      <c r="DT59" s="180">
        <f t="shared" ca="1" si="104"/>
        <v>0</v>
      </c>
      <c r="DU59" s="180">
        <f t="shared" ca="1" si="104"/>
        <v>0</v>
      </c>
      <c r="DV59" s="180">
        <f t="shared" ca="1" si="104"/>
        <v>0</v>
      </c>
      <c r="DW59" s="180">
        <f t="shared" ca="1" si="103"/>
        <v>0</v>
      </c>
      <c r="DX59" s="180">
        <f t="shared" ca="1" si="103"/>
        <v>0</v>
      </c>
      <c r="DY59" s="180">
        <f t="shared" ca="1" si="103"/>
        <v>0</v>
      </c>
      <c r="DZ59" s="180">
        <f t="shared" ca="1" si="103"/>
        <v>0</v>
      </c>
      <c r="EA59" s="180">
        <f t="shared" ca="1" si="103"/>
        <v>0</v>
      </c>
      <c r="EB59" s="180">
        <f t="shared" ca="1" si="103"/>
        <v>0</v>
      </c>
      <c r="EC59" s="180">
        <f t="shared" ca="1" si="103"/>
        <v>0</v>
      </c>
      <c r="ED59" s="180">
        <f t="shared" ca="1" si="103"/>
        <v>0</v>
      </c>
      <c r="EE59" s="180">
        <f t="shared" ca="1" si="103"/>
        <v>0</v>
      </c>
      <c r="EF59" s="180">
        <f t="shared" ca="1" si="103"/>
        <v>0</v>
      </c>
      <c r="EG59" s="180">
        <f t="shared" ca="1" si="103"/>
        <v>0</v>
      </c>
      <c r="EH59" s="180">
        <f t="shared" ca="1" si="75"/>
        <v>0</v>
      </c>
      <c r="EI59" s="180">
        <f t="shared" ca="1" si="74"/>
        <v>0</v>
      </c>
      <c r="EJ59" s="180">
        <f t="shared" ca="1" si="74"/>
        <v>0</v>
      </c>
      <c r="EK59" s="180">
        <f t="shared" ca="1" si="74"/>
        <v>0</v>
      </c>
      <c r="EL59" s="180">
        <f t="shared" ca="1" si="74"/>
        <v>0</v>
      </c>
      <c r="EM59" s="180">
        <f t="shared" ca="1" si="74"/>
        <v>0</v>
      </c>
      <c r="EN59" s="180">
        <f t="shared" ca="1" si="74"/>
        <v>0</v>
      </c>
      <c r="EO59" s="180">
        <f t="shared" ca="1" si="74"/>
        <v>0</v>
      </c>
      <c r="EP59" s="180">
        <f t="shared" ca="1" si="74"/>
        <v>0</v>
      </c>
      <c r="EQ59" s="180"/>
      <c r="ER59" s="180"/>
    </row>
    <row r="60" spans="2:148" s="87" customFormat="1" hidden="1" x14ac:dyDescent="0.25">
      <c r="B60" s="151"/>
      <c r="C60" s="140"/>
      <c r="D60" s="578">
        <f>$AE$8-$AF$7</f>
        <v>1.8500000000000003E-2</v>
      </c>
      <c r="E60" s="140"/>
      <c r="F60" s="140"/>
      <c r="G60" s="372"/>
      <c r="H60" s="372"/>
      <c r="I60" s="372"/>
      <c r="J60" s="372"/>
      <c r="K60" s="372"/>
      <c r="L60" s="372"/>
      <c r="M60" s="372"/>
      <c r="N60" s="372"/>
      <c r="O60" s="372"/>
      <c r="P60" s="372"/>
      <c r="Q60" s="372"/>
      <c r="R60" s="372"/>
      <c r="S60" s="372"/>
      <c r="T60" s="372"/>
      <c r="U60" s="372"/>
      <c r="V60" s="175"/>
      <c r="W60" s="372"/>
      <c r="X60" s="87">
        <v>42</v>
      </c>
      <c r="Y60" s="87">
        <f t="shared" ca="1" si="35"/>
        <v>67.81</v>
      </c>
      <c r="Z60" s="87">
        <f t="shared" ca="1" si="36"/>
        <v>70.569999999999993</v>
      </c>
      <c r="AA60" s="87">
        <f t="shared" ca="1" si="37"/>
        <v>1172.83</v>
      </c>
      <c r="AB60" s="87">
        <f t="shared" ca="1" si="38"/>
        <v>278.39999999999998</v>
      </c>
      <c r="AC60" s="87">
        <f t="shared" si="39"/>
        <v>0</v>
      </c>
      <c r="AD60" s="87">
        <f t="shared" si="40"/>
        <v>0</v>
      </c>
      <c r="AE60" s="87">
        <f t="shared" si="41"/>
        <v>0</v>
      </c>
      <c r="AF60" s="87">
        <f t="shared" si="42"/>
        <v>0</v>
      </c>
      <c r="AG60" s="87">
        <f t="shared" si="43"/>
        <v>0</v>
      </c>
      <c r="AH60" s="87">
        <f t="shared" si="44"/>
        <v>0</v>
      </c>
      <c r="AI60" s="87">
        <f t="shared" si="45"/>
        <v>0</v>
      </c>
      <c r="AJ60" s="87">
        <f t="shared" si="46"/>
        <v>0</v>
      </c>
      <c r="AK60" s="87">
        <f t="shared" si="47"/>
        <v>0</v>
      </c>
      <c r="AL60" s="87">
        <f t="shared" si="48"/>
        <v>0</v>
      </c>
      <c r="AM60" s="87">
        <f t="shared" si="49"/>
        <v>0</v>
      </c>
      <c r="AN60" s="87">
        <f t="shared" si="50"/>
        <v>0</v>
      </c>
      <c r="AO60" s="87">
        <f t="shared" si="51"/>
        <v>0</v>
      </c>
      <c r="AQ60" s="426">
        <v>42</v>
      </c>
      <c r="AR60" s="258">
        <f t="shared" ca="1" si="58"/>
        <v>47432</v>
      </c>
      <c r="AS60" s="429">
        <f t="shared" ca="1" si="84"/>
        <v>1589.6100000000001</v>
      </c>
      <c r="AT60" s="138"/>
      <c r="AU60" s="278">
        <v>42</v>
      </c>
      <c r="AV60" s="258">
        <f t="shared" ca="1" si="59"/>
        <v>47462</v>
      </c>
      <c r="AW60" s="429">
        <f t="shared" ca="1" si="52"/>
        <v>0</v>
      </c>
      <c r="AX60" s="202">
        <f t="shared" ca="1" si="53"/>
        <v>0</v>
      </c>
      <c r="AY60" s="278">
        <v>42</v>
      </c>
      <c r="AZ60" s="258">
        <f t="shared" ca="1" si="60"/>
        <v>47462</v>
      </c>
      <c r="BA60" s="429">
        <f t="shared" si="54"/>
        <v>1589.6100000000001</v>
      </c>
      <c r="BB60" s="259">
        <f t="shared" ca="1" si="11"/>
        <v>47432</v>
      </c>
      <c r="BC60" s="428">
        <f t="shared" ca="1" si="55"/>
        <v>0</v>
      </c>
      <c r="BD60" s="188">
        <f t="shared" si="85"/>
        <v>67.81</v>
      </c>
      <c r="BE60" s="188">
        <f t="shared" si="86"/>
        <v>70.569999999999993</v>
      </c>
      <c r="BF60" s="188">
        <f t="shared" si="87"/>
        <v>1172.83</v>
      </c>
      <c r="BG60" s="87">
        <f t="shared" si="88"/>
        <v>278.39999999999998</v>
      </c>
      <c r="BH60" s="87">
        <f t="shared" si="89"/>
        <v>0</v>
      </c>
      <c r="BI60" s="87">
        <f t="shared" si="90"/>
        <v>0</v>
      </c>
      <c r="BJ60" s="87">
        <f t="shared" si="91"/>
        <v>0</v>
      </c>
      <c r="BK60" s="87">
        <f t="shared" si="92"/>
        <v>0</v>
      </c>
      <c r="BL60" s="87">
        <f t="shared" si="93"/>
        <v>0</v>
      </c>
      <c r="BM60" s="87">
        <f t="shared" si="94"/>
        <v>0</v>
      </c>
      <c r="BN60" s="87">
        <f t="shared" si="95"/>
        <v>0</v>
      </c>
      <c r="BO60" s="87">
        <f t="shared" si="96"/>
        <v>0</v>
      </c>
      <c r="BP60" s="87">
        <f t="shared" si="97"/>
        <v>0</v>
      </c>
      <c r="BQ60" s="87">
        <f t="shared" si="98"/>
        <v>0</v>
      </c>
      <c r="BR60" s="87">
        <f t="shared" si="99"/>
        <v>0</v>
      </c>
      <c r="BS60" s="87">
        <f t="shared" si="100"/>
        <v>0</v>
      </c>
      <c r="BT60" s="87">
        <f t="shared" si="101"/>
        <v>0</v>
      </c>
      <c r="BV60" s="177"/>
      <c r="BW60" s="177"/>
      <c r="BX60" s="267"/>
      <c r="BY60" s="267"/>
      <c r="BZ60" s="267"/>
      <c r="CA60" s="267"/>
      <c r="CB60" s="267"/>
      <c r="CC60" s="267"/>
      <c r="CD60" s="267"/>
      <c r="CE60" s="267"/>
      <c r="CF60" s="267"/>
      <c r="CG60" s="267"/>
      <c r="CH60" s="267"/>
      <c r="CI60" s="435"/>
      <c r="CJ60" s="436"/>
      <c r="CK60" s="437"/>
      <c r="CM60" s="64" t="s">
        <v>610</v>
      </c>
      <c r="CN60" s="707">
        <v>50</v>
      </c>
      <c r="CS60" s="138">
        <v>42</v>
      </c>
      <c r="CT60" s="259">
        <f t="shared" ca="1" si="29"/>
        <v>47462</v>
      </c>
      <c r="CU60" s="179">
        <f t="shared" ca="1" si="56"/>
        <v>718.31093023147196</v>
      </c>
      <c r="CV60" s="179">
        <f t="shared" ca="1" si="105"/>
        <v>733.75916611505204</v>
      </c>
      <c r="CW60" s="179">
        <f t="shared" ca="1" si="105"/>
        <v>743.19085517339306</v>
      </c>
      <c r="CX60" s="179">
        <f t="shared" ca="1" si="105"/>
        <v>752.74661298182127</v>
      </c>
      <c r="CY60" s="179">
        <f t="shared" ca="1" si="105"/>
        <v>762.42810890553505</v>
      </c>
      <c r="CZ60" s="179">
        <f t="shared" ca="1" si="105"/>
        <v>772.23703527357623</v>
      </c>
      <c r="DA60" s="179">
        <f t="shared" ca="1" si="105"/>
        <v>778.84796045972678</v>
      </c>
      <c r="DB60" s="179">
        <f t="shared" ca="1" si="105"/>
        <v>792.24406541967551</v>
      </c>
      <c r="DC60" s="179">
        <f t="shared" ca="1" si="105"/>
        <v>799.03028765694785</v>
      </c>
      <c r="DD60" s="179">
        <f t="shared" ca="1" si="105"/>
        <v>805.87599267273174</v>
      </c>
      <c r="DE60" s="179">
        <f t="shared" ca="1" si="105"/>
        <v>812.78171371289261</v>
      </c>
      <c r="DF60" s="179" t="e">
        <f t="shared" ca="1" si="105"/>
        <v>#VALUE!</v>
      </c>
      <c r="DG60" s="179" t="e">
        <f t="shared" ca="1" si="105"/>
        <v>#VALUE!</v>
      </c>
      <c r="DH60" s="179" t="e">
        <f t="shared" ca="1" si="105"/>
        <v>#VALUE!</v>
      </c>
      <c r="DI60" s="179" t="e">
        <f t="shared" ca="1" si="105"/>
        <v>#VALUE!</v>
      </c>
      <c r="DJ60" s="179" t="e">
        <f t="shared" ca="1" si="105"/>
        <v>#VALUE!</v>
      </c>
      <c r="DK60" s="179" t="e">
        <f t="shared" ca="1" si="105"/>
        <v>#VALUE!</v>
      </c>
      <c r="DL60" s="179" t="e">
        <f t="shared" ca="1" si="102"/>
        <v>#VALUE!</v>
      </c>
      <c r="DM60" s="179" t="e">
        <f t="shared" ca="1" si="102"/>
        <v>#VALUE!</v>
      </c>
      <c r="DN60" s="179" t="e">
        <f t="shared" ca="1" si="102"/>
        <v>#VALUE!</v>
      </c>
      <c r="DO60" s="179" t="e">
        <f t="shared" ca="1" si="102"/>
        <v>#VALUE!</v>
      </c>
      <c r="DP60" s="179" t="e">
        <f t="shared" ca="1" si="102"/>
        <v>#VALUE!</v>
      </c>
      <c r="DQ60" s="179" t="e">
        <f t="shared" ca="1" si="102"/>
        <v>#VALUE!</v>
      </c>
      <c r="DR60" s="278">
        <v>42</v>
      </c>
      <c r="DS60" s="430">
        <f t="shared" ca="1" si="61"/>
        <v>47432</v>
      </c>
      <c r="DT60" s="180">
        <f t="shared" ca="1" si="104"/>
        <v>0</v>
      </c>
      <c r="DU60" s="180">
        <f t="shared" ca="1" si="104"/>
        <v>0</v>
      </c>
      <c r="DV60" s="180">
        <f t="shared" ca="1" si="104"/>
        <v>0</v>
      </c>
      <c r="DW60" s="180">
        <f t="shared" ca="1" si="103"/>
        <v>0</v>
      </c>
      <c r="DX60" s="180">
        <f t="shared" ca="1" si="103"/>
        <v>0</v>
      </c>
      <c r="DY60" s="180">
        <f t="shared" ca="1" si="103"/>
        <v>0</v>
      </c>
      <c r="DZ60" s="180">
        <f t="shared" ca="1" si="103"/>
        <v>0</v>
      </c>
      <c r="EA60" s="180">
        <f t="shared" ca="1" si="103"/>
        <v>0</v>
      </c>
      <c r="EB60" s="180">
        <f t="shared" ca="1" si="103"/>
        <v>0</v>
      </c>
      <c r="EC60" s="180">
        <f t="shared" ca="1" si="103"/>
        <v>0</v>
      </c>
      <c r="ED60" s="180">
        <f t="shared" ca="1" si="103"/>
        <v>0</v>
      </c>
      <c r="EE60" s="180">
        <f t="shared" ca="1" si="103"/>
        <v>0</v>
      </c>
      <c r="EF60" s="180">
        <f t="shared" ca="1" si="103"/>
        <v>0</v>
      </c>
      <c r="EG60" s="180">
        <f t="shared" ca="1" si="103"/>
        <v>0</v>
      </c>
      <c r="EH60" s="180">
        <f t="shared" ca="1" si="75"/>
        <v>0</v>
      </c>
      <c r="EI60" s="180">
        <f t="shared" ca="1" si="74"/>
        <v>0</v>
      </c>
      <c r="EJ60" s="180">
        <f t="shared" ca="1" si="74"/>
        <v>0</v>
      </c>
      <c r="EK60" s="180">
        <f t="shared" ca="1" si="74"/>
        <v>0</v>
      </c>
      <c r="EL60" s="180">
        <f t="shared" ca="1" si="74"/>
        <v>0</v>
      </c>
      <c r="EM60" s="180">
        <f t="shared" ca="1" si="74"/>
        <v>0</v>
      </c>
      <c r="EN60" s="180">
        <f t="shared" ca="1" si="74"/>
        <v>0</v>
      </c>
      <c r="EO60" s="180">
        <f t="shared" ref="EI60:EP86" ca="1" si="106">IFERROR(VLOOKUP($DS60,$AZ$19:$BA$162,2,FALSE),0)-IFERROR(VLOOKUP($DS60,$AR$19:$AS$162,2,FALSE),0)</f>
        <v>0</v>
      </c>
      <c r="EP60" s="180">
        <f t="shared" ca="1" si="106"/>
        <v>0</v>
      </c>
      <c r="EQ60" s="180"/>
      <c r="ER60" s="180"/>
    </row>
    <row r="61" spans="2:148" s="87" customFormat="1" hidden="1" x14ac:dyDescent="0.25">
      <c r="B61" s="151"/>
      <c r="C61" s="87">
        <v>0</v>
      </c>
      <c r="D61" s="258">
        <f ca="1">AS10</f>
        <v>46162</v>
      </c>
      <c r="E61" s="182">
        <f t="shared" ref="E61:U61" si="107">-E16</f>
        <v>-2809.77</v>
      </c>
      <c r="F61" s="182">
        <f t="shared" si="107"/>
        <v>-3196.9</v>
      </c>
      <c r="G61" s="182">
        <f t="shared" si="107"/>
        <v>-56970.47</v>
      </c>
      <c r="H61" s="182">
        <f t="shared" si="107"/>
        <v>-13523.29</v>
      </c>
      <c r="I61" s="182">
        <f t="shared" si="107"/>
        <v>0</v>
      </c>
      <c r="J61" s="182">
        <f t="shared" si="107"/>
        <v>0</v>
      </c>
      <c r="K61" s="182">
        <f t="shared" si="107"/>
        <v>0</v>
      </c>
      <c r="L61" s="182">
        <f t="shared" si="107"/>
        <v>0</v>
      </c>
      <c r="M61" s="182">
        <f t="shared" si="107"/>
        <v>0</v>
      </c>
      <c r="N61" s="182">
        <f t="shared" si="107"/>
        <v>0</v>
      </c>
      <c r="O61" s="182">
        <f t="shared" si="107"/>
        <v>0</v>
      </c>
      <c r="P61" s="182">
        <f t="shared" si="107"/>
        <v>0</v>
      </c>
      <c r="Q61" s="182">
        <f t="shared" si="107"/>
        <v>0</v>
      </c>
      <c r="R61" s="182">
        <f t="shared" si="107"/>
        <v>0</v>
      </c>
      <c r="S61" s="182">
        <f t="shared" si="107"/>
        <v>0</v>
      </c>
      <c r="T61" s="182">
        <f t="shared" si="107"/>
        <v>0</v>
      </c>
      <c r="U61" s="182">
        <f t="shared" si="107"/>
        <v>0</v>
      </c>
      <c r="V61" s="175"/>
      <c r="W61" s="372"/>
      <c r="X61" s="87">
        <v>43</v>
      </c>
      <c r="Y61" s="87">
        <f t="shared" ca="1" si="35"/>
        <v>67.81</v>
      </c>
      <c r="Z61" s="87">
        <f t="shared" ca="1" si="36"/>
        <v>70.569999999999993</v>
      </c>
      <c r="AA61" s="87">
        <f t="shared" ca="1" si="37"/>
        <v>1172.83</v>
      </c>
      <c r="AB61" s="87">
        <f t="shared" ca="1" si="38"/>
        <v>278.39999999999998</v>
      </c>
      <c r="AC61" s="87">
        <f t="shared" si="39"/>
        <v>0</v>
      </c>
      <c r="AD61" s="87">
        <f t="shared" si="40"/>
        <v>0</v>
      </c>
      <c r="AE61" s="87">
        <f t="shared" si="41"/>
        <v>0</v>
      </c>
      <c r="AF61" s="87">
        <f t="shared" si="42"/>
        <v>0</v>
      </c>
      <c r="AG61" s="87">
        <f t="shared" si="43"/>
        <v>0</v>
      </c>
      <c r="AH61" s="87">
        <f t="shared" si="44"/>
        <v>0</v>
      </c>
      <c r="AI61" s="87">
        <f t="shared" si="45"/>
        <v>0</v>
      </c>
      <c r="AJ61" s="87">
        <f t="shared" si="46"/>
        <v>0</v>
      </c>
      <c r="AK61" s="87">
        <f t="shared" si="47"/>
        <v>0</v>
      </c>
      <c r="AL61" s="87">
        <f t="shared" si="48"/>
        <v>0</v>
      </c>
      <c r="AM61" s="87">
        <f t="shared" si="49"/>
        <v>0</v>
      </c>
      <c r="AN61" s="87">
        <f t="shared" si="50"/>
        <v>0</v>
      </c>
      <c r="AO61" s="87">
        <f t="shared" si="51"/>
        <v>0</v>
      </c>
      <c r="AQ61" s="426">
        <v>43</v>
      </c>
      <c r="AR61" s="258">
        <f t="shared" ca="1" si="58"/>
        <v>47462</v>
      </c>
      <c r="AS61" s="429">
        <f t="shared" ca="1" si="84"/>
        <v>1589.6100000000001</v>
      </c>
      <c r="AT61" s="138"/>
      <c r="AU61" s="278">
        <v>43</v>
      </c>
      <c r="AV61" s="258">
        <f t="shared" ca="1" si="59"/>
        <v>47493</v>
      </c>
      <c r="AW61" s="429">
        <f t="shared" ca="1" si="52"/>
        <v>0</v>
      </c>
      <c r="AX61" s="202">
        <f t="shared" ca="1" si="53"/>
        <v>0</v>
      </c>
      <c r="AY61" s="278">
        <v>43</v>
      </c>
      <c r="AZ61" s="258">
        <f t="shared" ca="1" si="60"/>
        <v>47493</v>
      </c>
      <c r="BA61" s="429">
        <f t="shared" si="54"/>
        <v>1589.6100000000001</v>
      </c>
      <c r="BB61" s="259">
        <f t="shared" ca="1" si="11"/>
        <v>47462</v>
      </c>
      <c r="BC61" s="428">
        <f t="shared" ca="1" si="55"/>
        <v>0</v>
      </c>
      <c r="BD61" s="188">
        <f t="shared" si="85"/>
        <v>67.81</v>
      </c>
      <c r="BE61" s="188">
        <f t="shared" si="86"/>
        <v>70.569999999999993</v>
      </c>
      <c r="BF61" s="188">
        <f t="shared" si="87"/>
        <v>1172.83</v>
      </c>
      <c r="BG61" s="87">
        <f t="shared" si="88"/>
        <v>278.39999999999998</v>
      </c>
      <c r="BH61" s="87">
        <f t="shared" si="89"/>
        <v>0</v>
      </c>
      <c r="BI61" s="87">
        <f t="shared" si="90"/>
        <v>0</v>
      </c>
      <c r="BJ61" s="87">
        <f t="shared" si="91"/>
        <v>0</v>
      </c>
      <c r="BK61" s="87">
        <f t="shared" si="92"/>
        <v>0</v>
      </c>
      <c r="BL61" s="87">
        <f t="shared" si="93"/>
        <v>0</v>
      </c>
      <c r="BM61" s="87">
        <f t="shared" si="94"/>
        <v>0</v>
      </c>
      <c r="BN61" s="87">
        <f t="shared" si="95"/>
        <v>0</v>
      </c>
      <c r="BO61" s="87">
        <f t="shared" si="96"/>
        <v>0</v>
      </c>
      <c r="BP61" s="87">
        <f t="shared" si="97"/>
        <v>0</v>
      </c>
      <c r="BQ61" s="87">
        <f t="shared" si="98"/>
        <v>0</v>
      </c>
      <c r="BR61" s="87">
        <f t="shared" si="99"/>
        <v>0</v>
      </c>
      <c r="BS61" s="87">
        <f t="shared" si="100"/>
        <v>0</v>
      </c>
      <c r="BT61" s="87">
        <f t="shared" si="101"/>
        <v>0</v>
      </c>
      <c r="BV61" s="177"/>
      <c r="BW61" s="177"/>
      <c r="BX61" s="267"/>
      <c r="BY61" s="267"/>
      <c r="BZ61" s="267"/>
      <c r="CA61" s="267"/>
      <c r="CB61" s="267"/>
      <c r="CC61" s="267"/>
      <c r="CD61" s="267"/>
      <c r="CE61" s="267"/>
      <c r="CF61" s="267"/>
      <c r="CG61" s="267"/>
      <c r="CH61" s="267"/>
      <c r="CI61" s="435"/>
      <c r="CJ61" s="436"/>
      <c r="CK61" s="437"/>
      <c r="CM61" s="64" t="s">
        <v>1166</v>
      </c>
      <c r="CN61" s="707"/>
      <c r="CS61" s="87">
        <v>43</v>
      </c>
      <c r="CT61" s="259">
        <f t="shared" ca="1" si="29"/>
        <v>47493</v>
      </c>
      <c r="CU61" s="179">
        <f t="shared" ca="1" si="56"/>
        <v>704.83274758320749</v>
      </c>
      <c r="CV61" s="179">
        <f t="shared" ca="1" si="105"/>
        <v>720.35653802772538</v>
      </c>
      <c r="CW61" s="179">
        <f t="shared" ca="1" si="105"/>
        <v>729.83819890258349</v>
      </c>
      <c r="CX61" s="179">
        <f t="shared" ca="1" si="105"/>
        <v>739.44751251377272</v>
      </c>
      <c r="CY61" s="179">
        <f t="shared" ca="1" si="105"/>
        <v>749.18623586876697</v>
      </c>
      <c r="CZ61" s="179">
        <f t="shared" ca="1" si="105"/>
        <v>759.05615068729958</v>
      </c>
      <c r="DA61" s="179">
        <f t="shared" ca="1" si="105"/>
        <v>765.70986924417514</v>
      </c>
      <c r="DB61" s="179">
        <f t="shared" ca="1" si="105"/>
        <v>779.19680729073173</v>
      </c>
      <c r="DC61" s="179">
        <f t="shared" ca="1" si="105"/>
        <v>786.03112525628603</v>
      </c>
      <c r="DD61" s="179">
        <f t="shared" ca="1" si="105"/>
        <v>792.9267500814392</v>
      </c>
      <c r="DE61" s="179">
        <f t="shared" ca="1" si="105"/>
        <v>799.88424394929132</v>
      </c>
      <c r="DF61" s="179" t="e">
        <f t="shared" ca="1" si="105"/>
        <v>#VALUE!</v>
      </c>
      <c r="DG61" s="179" t="e">
        <f t="shared" ca="1" si="105"/>
        <v>#VALUE!</v>
      </c>
      <c r="DH61" s="179" t="e">
        <f t="shared" ca="1" si="105"/>
        <v>#VALUE!</v>
      </c>
      <c r="DI61" s="179" t="e">
        <f t="shared" ca="1" si="105"/>
        <v>#VALUE!</v>
      </c>
      <c r="DJ61" s="179" t="e">
        <f t="shared" ca="1" si="105"/>
        <v>#VALUE!</v>
      </c>
      <c r="DK61" s="179" t="e">
        <f t="shared" ca="1" si="105"/>
        <v>#VALUE!</v>
      </c>
      <c r="DL61" s="179" t="e">
        <f t="shared" ca="1" si="102"/>
        <v>#VALUE!</v>
      </c>
      <c r="DM61" s="179" t="e">
        <f t="shared" ca="1" si="102"/>
        <v>#VALUE!</v>
      </c>
      <c r="DN61" s="179" t="e">
        <f t="shared" ca="1" si="102"/>
        <v>#VALUE!</v>
      </c>
      <c r="DO61" s="179" t="e">
        <f t="shared" ca="1" si="102"/>
        <v>#VALUE!</v>
      </c>
      <c r="DP61" s="179" t="e">
        <f t="shared" ca="1" si="102"/>
        <v>#VALUE!</v>
      </c>
      <c r="DQ61" s="179" t="e">
        <f t="shared" ca="1" si="102"/>
        <v>#VALUE!</v>
      </c>
      <c r="DR61" s="188">
        <v>43</v>
      </c>
      <c r="DS61" s="430">
        <f t="shared" ca="1" si="61"/>
        <v>47462</v>
      </c>
      <c r="DT61" s="180">
        <f t="shared" ca="1" si="104"/>
        <v>0</v>
      </c>
      <c r="DU61" s="180">
        <f t="shared" ca="1" si="104"/>
        <v>0</v>
      </c>
      <c r="DV61" s="180">
        <f t="shared" ca="1" si="104"/>
        <v>0</v>
      </c>
      <c r="DW61" s="180">
        <f t="shared" ca="1" si="103"/>
        <v>0</v>
      </c>
      <c r="DX61" s="180">
        <f t="shared" ca="1" si="103"/>
        <v>0</v>
      </c>
      <c r="DY61" s="180">
        <f t="shared" ca="1" si="103"/>
        <v>0</v>
      </c>
      <c r="DZ61" s="180">
        <f t="shared" ca="1" si="103"/>
        <v>0</v>
      </c>
      <c r="EA61" s="180">
        <f t="shared" ca="1" si="103"/>
        <v>0</v>
      </c>
      <c r="EB61" s="180">
        <f t="shared" ca="1" si="103"/>
        <v>0</v>
      </c>
      <c r="EC61" s="180">
        <f t="shared" ca="1" si="103"/>
        <v>0</v>
      </c>
      <c r="ED61" s="180">
        <f t="shared" ca="1" si="103"/>
        <v>0</v>
      </c>
      <c r="EE61" s="180">
        <f t="shared" ca="1" si="103"/>
        <v>0</v>
      </c>
      <c r="EF61" s="180">
        <f t="shared" ca="1" si="103"/>
        <v>0</v>
      </c>
      <c r="EG61" s="180">
        <f t="shared" ca="1" si="103"/>
        <v>0</v>
      </c>
      <c r="EH61" s="180">
        <f t="shared" ca="1" si="75"/>
        <v>0</v>
      </c>
      <c r="EI61" s="180">
        <f t="shared" ca="1" si="106"/>
        <v>0</v>
      </c>
      <c r="EJ61" s="180">
        <f t="shared" ca="1" si="106"/>
        <v>0</v>
      </c>
      <c r="EK61" s="180">
        <f t="shared" ca="1" si="106"/>
        <v>0</v>
      </c>
      <c r="EL61" s="180">
        <f t="shared" ca="1" si="106"/>
        <v>0</v>
      </c>
      <c r="EM61" s="180">
        <f t="shared" ca="1" si="106"/>
        <v>0</v>
      </c>
      <c r="EN61" s="180">
        <f t="shared" ca="1" si="106"/>
        <v>0</v>
      </c>
      <c r="EO61" s="180">
        <f t="shared" ca="1" si="106"/>
        <v>0</v>
      </c>
      <c r="EP61" s="180">
        <f t="shared" ca="1" si="106"/>
        <v>0</v>
      </c>
      <c r="EQ61" s="180"/>
      <c r="ER61" s="180"/>
    </row>
    <row r="62" spans="2:148" s="87" customFormat="1" hidden="1" x14ac:dyDescent="0.25">
      <c r="B62" s="151"/>
      <c r="C62" s="87">
        <v>1</v>
      </c>
      <c r="D62" s="258">
        <f ca="1">AE10</f>
        <v>46183</v>
      </c>
      <c r="E62" s="175">
        <f t="shared" ref="E62:N71" ca="1" si="108">IF($C62&lt;=E$17,1/(($D$60+1)^(($D62-$D$61)/30)),0)</f>
        <v>0.98725030519463397</v>
      </c>
      <c r="F62" s="175">
        <f t="shared" ca="1" si="108"/>
        <v>0.98725030519463397</v>
      </c>
      <c r="G62" s="175">
        <f t="shared" ca="1" si="108"/>
        <v>0.98725030519463397</v>
      </c>
      <c r="H62" s="175">
        <f t="shared" ca="1" si="108"/>
        <v>0.98725030519463397</v>
      </c>
      <c r="I62" s="175">
        <f t="shared" si="108"/>
        <v>0</v>
      </c>
      <c r="J62" s="175">
        <f t="shared" si="108"/>
        <v>0</v>
      </c>
      <c r="K62" s="175">
        <f t="shared" si="108"/>
        <v>0</v>
      </c>
      <c r="L62" s="175">
        <f t="shared" si="108"/>
        <v>0</v>
      </c>
      <c r="M62" s="175">
        <f t="shared" si="108"/>
        <v>0</v>
      </c>
      <c r="N62" s="175">
        <f t="shared" si="108"/>
        <v>0</v>
      </c>
      <c r="O62" s="175">
        <f t="shared" ref="O62:U71" si="109">IF($C62&lt;=O$17,1/(($D$60+1)^(($D62-$D$61)/30)),0)</f>
        <v>0</v>
      </c>
      <c r="P62" s="175">
        <f t="shared" si="109"/>
        <v>0</v>
      </c>
      <c r="Q62" s="175">
        <f t="shared" si="109"/>
        <v>0</v>
      </c>
      <c r="R62" s="175">
        <f t="shared" si="109"/>
        <v>0</v>
      </c>
      <c r="S62" s="175">
        <f t="shared" si="109"/>
        <v>0</v>
      </c>
      <c r="T62" s="175">
        <f t="shared" si="109"/>
        <v>0</v>
      </c>
      <c r="U62" s="175">
        <f t="shared" si="109"/>
        <v>0</v>
      </c>
      <c r="V62" s="175"/>
      <c r="W62" s="372"/>
      <c r="X62" s="87">
        <v>44</v>
      </c>
      <c r="Y62" s="87">
        <f t="shared" ca="1" si="35"/>
        <v>67.81</v>
      </c>
      <c r="Z62" s="87">
        <f t="shared" ca="1" si="36"/>
        <v>70.569999999999993</v>
      </c>
      <c r="AA62" s="87">
        <f t="shared" ca="1" si="37"/>
        <v>1172.83</v>
      </c>
      <c r="AB62" s="87">
        <f t="shared" ca="1" si="38"/>
        <v>278.39999999999998</v>
      </c>
      <c r="AC62" s="87">
        <f t="shared" si="39"/>
        <v>0</v>
      </c>
      <c r="AD62" s="87">
        <f t="shared" si="40"/>
        <v>0</v>
      </c>
      <c r="AE62" s="87">
        <f t="shared" si="41"/>
        <v>0</v>
      </c>
      <c r="AF62" s="87">
        <f t="shared" si="42"/>
        <v>0</v>
      </c>
      <c r="AG62" s="87">
        <f t="shared" si="43"/>
        <v>0</v>
      </c>
      <c r="AH62" s="87">
        <f t="shared" si="44"/>
        <v>0</v>
      </c>
      <c r="AI62" s="87">
        <f t="shared" si="45"/>
        <v>0</v>
      </c>
      <c r="AJ62" s="87">
        <f t="shared" si="46"/>
        <v>0</v>
      </c>
      <c r="AK62" s="87">
        <f t="shared" si="47"/>
        <v>0</v>
      </c>
      <c r="AL62" s="87">
        <f t="shared" si="48"/>
        <v>0</v>
      </c>
      <c r="AM62" s="87">
        <f t="shared" si="49"/>
        <v>0</v>
      </c>
      <c r="AN62" s="87">
        <f t="shared" si="50"/>
        <v>0</v>
      </c>
      <c r="AO62" s="87">
        <f t="shared" si="51"/>
        <v>0</v>
      </c>
      <c r="AQ62" s="426">
        <v>44</v>
      </c>
      <c r="AR62" s="258">
        <f t="shared" ca="1" si="58"/>
        <v>47493</v>
      </c>
      <c r="AS62" s="429">
        <f t="shared" ca="1" si="84"/>
        <v>1589.6100000000001</v>
      </c>
      <c r="AT62" s="138"/>
      <c r="AU62" s="278">
        <v>44</v>
      </c>
      <c r="AV62" s="258">
        <f t="shared" ca="1" si="59"/>
        <v>47524</v>
      </c>
      <c r="AW62" s="429">
        <f t="shared" ca="1" si="52"/>
        <v>0</v>
      </c>
      <c r="AX62" s="202">
        <f t="shared" ca="1" si="53"/>
        <v>0</v>
      </c>
      <c r="AY62" s="278">
        <v>44</v>
      </c>
      <c r="AZ62" s="258">
        <f t="shared" ca="1" si="60"/>
        <v>47524</v>
      </c>
      <c r="BA62" s="429">
        <f t="shared" si="54"/>
        <v>1589.6100000000001</v>
      </c>
      <c r="BB62" s="259">
        <f t="shared" ca="1" si="11"/>
        <v>47493</v>
      </c>
      <c r="BC62" s="428">
        <f t="shared" ca="1" si="55"/>
        <v>0</v>
      </c>
      <c r="BD62" s="188">
        <f t="shared" si="85"/>
        <v>67.81</v>
      </c>
      <c r="BE62" s="188">
        <f t="shared" si="86"/>
        <v>70.569999999999993</v>
      </c>
      <c r="BF62" s="188">
        <f t="shared" si="87"/>
        <v>1172.83</v>
      </c>
      <c r="BG62" s="87">
        <f t="shared" si="88"/>
        <v>278.39999999999998</v>
      </c>
      <c r="BH62" s="87">
        <f t="shared" si="89"/>
        <v>0</v>
      </c>
      <c r="BI62" s="87">
        <f t="shared" si="90"/>
        <v>0</v>
      </c>
      <c r="BJ62" s="87">
        <f t="shared" si="91"/>
        <v>0</v>
      </c>
      <c r="BK62" s="87">
        <f t="shared" si="92"/>
        <v>0</v>
      </c>
      <c r="BL62" s="87">
        <f t="shared" si="93"/>
        <v>0</v>
      </c>
      <c r="BM62" s="87">
        <f t="shared" si="94"/>
        <v>0</v>
      </c>
      <c r="BN62" s="87">
        <f t="shared" si="95"/>
        <v>0</v>
      </c>
      <c r="BO62" s="87">
        <f t="shared" si="96"/>
        <v>0</v>
      </c>
      <c r="BP62" s="87">
        <f t="shared" si="97"/>
        <v>0</v>
      </c>
      <c r="BQ62" s="87">
        <f t="shared" si="98"/>
        <v>0</v>
      </c>
      <c r="BR62" s="87">
        <f t="shared" si="99"/>
        <v>0</v>
      </c>
      <c r="BS62" s="87">
        <f t="shared" si="100"/>
        <v>0</v>
      </c>
      <c r="BT62" s="87">
        <f t="shared" si="101"/>
        <v>0</v>
      </c>
      <c r="BV62" s="177"/>
      <c r="BW62" s="177"/>
      <c r="BX62" s="267"/>
      <c r="BY62" s="267"/>
      <c r="BZ62" s="267"/>
      <c r="CA62" s="267"/>
      <c r="CB62" s="267"/>
      <c r="CC62" s="267"/>
      <c r="CD62" s="267"/>
      <c r="CE62" s="267"/>
      <c r="CF62" s="267"/>
      <c r="CG62" s="267"/>
      <c r="CH62" s="267"/>
      <c r="CI62" s="435"/>
      <c r="CJ62" s="436"/>
      <c r="CK62" s="437"/>
      <c r="CM62" s="64" t="s">
        <v>1509</v>
      </c>
      <c r="CN62" s="707"/>
      <c r="CS62" s="178">
        <v>44</v>
      </c>
      <c r="CT62" s="259">
        <f t="shared" ca="1" si="29"/>
        <v>47524</v>
      </c>
      <c r="CU62" s="179">
        <f t="shared" ca="1" si="56"/>
        <v>691.60746573298786</v>
      </c>
      <c r="CV62" s="179">
        <f t="shared" ca="1" si="105"/>
        <v>707.19871838428924</v>
      </c>
      <c r="CW62" s="179">
        <f t="shared" ca="1" si="105"/>
        <v>716.72544524662078</v>
      </c>
      <c r="CX62" s="179">
        <f t="shared" ca="1" si="105"/>
        <v>726.38337301427464</v>
      </c>
      <c r="CY62" s="179">
        <f t="shared" ca="1" si="105"/>
        <v>736.17434805876792</v>
      </c>
      <c r="CZ62" s="179">
        <f t="shared" ca="1" si="105"/>
        <v>746.10024329136843</v>
      </c>
      <c r="DA62" s="179">
        <f t="shared" ca="1" si="105"/>
        <v>752.79339951259874</v>
      </c>
      <c r="DB62" s="179">
        <f t="shared" ca="1" si="105"/>
        <v>766.36442100761633</v>
      </c>
      <c r="DC62" s="179">
        <f t="shared" ca="1" si="105"/>
        <v>773.24344197691551</v>
      </c>
      <c r="DD62" s="179">
        <f t="shared" ca="1" si="105"/>
        <v>780.18558278363207</v>
      </c>
      <c r="DE62" s="179">
        <f t="shared" ca="1" si="105"/>
        <v>787.19143519552404</v>
      </c>
      <c r="DF62" s="179" t="e">
        <f t="shared" ca="1" si="105"/>
        <v>#VALUE!</v>
      </c>
      <c r="DG62" s="179" t="e">
        <f t="shared" ca="1" si="105"/>
        <v>#VALUE!</v>
      </c>
      <c r="DH62" s="179" t="e">
        <f t="shared" ca="1" si="105"/>
        <v>#VALUE!</v>
      </c>
      <c r="DI62" s="179" t="e">
        <f t="shared" ca="1" si="105"/>
        <v>#VALUE!</v>
      </c>
      <c r="DJ62" s="179" t="e">
        <f t="shared" ca="1" si="105"/>
        <v>#VALUE!</v>
      </c>
      <c r="DK62" s="179" t="e">
        <f t="shared" ca="1" si="105"/>
        <v>#VALUE!</v>
      </c>
      <c r="DL62" s="179" t="e">
        <f t="shared" ca="1" si="102"/>
        <v>#VALUE!</v>
      </c>
      <c r="DM62" s="179" t="e">
        <f t="shared" ca="1" si="102"/>
        <v>#VALUE!</v>
      </c>
      <c r="DN62" s="179" t="e">
        <f t="shared" ca="1" si="102"/>
        <v>#VALUE!</v>
      </c>
      <c r="DO62" s="179" t="e">
        <f t="shared" ca="1" si="102"/>
        <v>#VALUE!</v>
      </c>
      <c r="DP62" s="179" t="e">
        <f t="shared" ca="1" si="102"/>
        <v>#VALUE!</v>
      </c>
      <c r="DQ62" s="179" t="e">
        <f t="shared" ca="1" si="102"/>
        <v>#VALUE!</v>
      </c>
      <c r="DR62" s="431">
        <v>44</v>
      </c>
      <c r="DS62" s="430">
        <f t="shared" ca="1" si="61"/>
        <v>47493</v>
      </c>
      <c r="DT62" s="180">
        <f t="shared" ca="1" si="104"/>
        <v>0</v>
      </c>
      <c r="DU62" s="180">
        <f t="shared" ca="1" si="104"/>
        <v>0</v>
      </c>
      <c r="DV62" s="180">
        <f t="shared" ca="1" si="104"/>
        <v>0</v>
      </c>
      <c r="DW62" s="180">
        <f t="shared" ca="1" si="103"/>
        <v>0</v>
      </c>
      <c r="DX62" s="180">
        <f t="shared" ca="1" si="103"/>
        <v>0</v>
      </c>
      <c r="DY62" s="180">
        <f t="shared" ca="1" si="103"/>
        <v>0</v>
      </c>
      <c r="DZ62" s="180">
        <f t="shared" ca="1" si="103"/>
        <v>0</v>
      </c>
      <c r="EA62" s="180">
        <f t="shared" ca="1" si="103"/>
        <v>0</v>
      </c>
      <c r="EB62" s="180">
        <f t="shared" ca="1" si="103"/>
        <v>0</v>
      </c>
      <c r="EC62" s="180">
        <f t="shared" ca="1" si="103"/>
        <v>0</v>
      </c>
      <c r="ED62" s="180">
        <f t="shared" ca="1" si="103"/>
        <v>0</v>
      </c>
      <c r="EE62" s="180">
        <f t="shared" ca="1" si="103"/>
        <v>0</v>
      </c>
      <c r="EF62" s="180">
        <f t="shared" ca="1" si="103"/>
        <v>0</v>
      </c>
      <c r="EG62" s="180">
        <f t="shared" ca="1" si="103"/>
        <v>0</v>
      </c>
      <c r="EH62" s="180">
        <f t="shared" ca="1" si="75"/>
        <v>0</v>
      </c>
      <c r="EI62" s="180">
        <f t="shared" ca="1" si="106"/>
        <v>0</v>
      </c>
      <c r="EJ62" s="180">
        <f t="shared" ca="1" si="106"/>
        <v>0</v>
      </c>
      <c r="EK62" s="180">
        <f t="shared" ca="1" si="106"/>
        <v>0</v>
      </c>
      <c r="EL62" s="180">
        <f t="shared" ca="1" si="106"/>
        <v>0</v>
      </c>
      <c r="EM62" s="180">
        <f t="shared" ca="1" si="106"/>
        <v>0</v>
      </c>
      <c r="EN62" s="180">
        <f t="shared" ca="1" si="106"/>
        <v>0</v>
      </c>
      <c r="EO62" s="180">
        <f t="shared" ca="1" si="106"/>
        <v>0</v>
      </c>
      <c r="EP62" s="180">
        <f t="shared" ca="1" si="106"/>
        <v>0</v>
      </c>
      <c r="EQ62" s="180"/>
      <c r="ER62" s="180"/>
    </row>
    <row r="63" spans="2:148" s="87" customFormat="1" hidden="1" x14ac:dyDescent="0.25">
      <c r="B63" s="151"/>
      <c r="C63" s="87">
        <v>2</v>
      </c>
      <c r="D63" s="258">
        <f t="shared" ref="D63:D94" ca="1" si="110">EDATE(D62,1)</f>
        <v>46213</v>
      </c>
      <c r="E63" s="175">
        <f t="shared" ca="1" si="108"/>
        <v>0.96931792360788815</v>
      </c>
      <c r="F63" s="175">
        <f t="shared" ca="1" si="108"/>
        <v>0.96931792360788815</v>
      </c>
      <c r="G63" s="175">
        <f t="shared" ca="1" si="108"/>
        <v>0.96931792360788815</v>
      </c>
      <c r="H63" s="175">
        <f t="shared" ca="1" si="108"/>
        <v>0.96931792360788815</v>
      </c>
      <c r="I63" s="175">
        <f t="shared" si="108"/>
        <v>0</v>
      </c>
      <c r="J63" s="175">
        <f t="shared" si="108"/>
        <v>0</v>
      </c>
      <c r="K63" s="175">
        <f t="shared" si="108"/>
        <v>0</v>
      </c>
      <c r="L63" s="175">
        <f t="shared" si="108"/>
        <v>0</v>
      </c>
      <c r="M63" s="175">
        <f t="shared" si="108"/>
        <v>0</v>
      </c>
      <c r="N63" s="175">
        <f t="shared" si="108"/>
        <v>0</v>
      </c>
      <c r="O63" s="175">
        <f t="shared" si="109"/>
        <v>0</v>
      </c>
      <c r="P63" s="175">
        <f t="shared" si="109"/>
        <v>0</v>
      </c>
      <c r="Q63" s="175">
        <f t="shared" si="109"/>
        <v>0</v>
      </c>
      <c r="R63" s="175">
        <f t="shared" si="109"/>
        <v>0</v>
      </c>
      <c r="S63" s="175">
        <f t="shared" si="109"/>
        <v>0</v>
      </c>
      <c r="T63" s="175">
        <f t="shared" si="109"/>
        <v>0</v>
      </c>
      <c r="U63" s="175">
        <f t="shared" si="109"/>
        <v>0</v>
      </c>
      <c r="V63" s="175"/>
      <c r="W63" s="372"/>
      <c r="X63" s="87">
        <v>45</v>
      </c>
      <c r="Y63" s="87">
        <f t="shared" ca="1" si="35"/>
        <v>67.81</v>
      </c>
      <c r="Z63" s="87">
        <f t="shared" ca="1" si="36"/>
        <v>70.569999999999993</v>
      </c>
      <c r="AA63" s="87">
        <f t="shared" ca="1" si="37"/>
        <v>1172.83</v>
      </c>
      <c r="AB63" s="87">
        <f t="shared" ca="1" si="38"/>
        <v>278.39999999999998</v>
      </c>
      <c r="AC63" s="87">
        <f t="shared" si="39"/>
        <v>0</v>
      </c>
      <c r="AD63" s="87">
        <f t="shared" si="40"/>
        <v>0</v>
      </c>
      <c r="AE63" s="87">
        <f t="shared" si="41"/>
        <v>0</v>
      </c>
      <c r="AF63" s="87">
        <f t="shared" si="42"/>
        <v>0</v>
      </c>
      <c r="AG63" s="87">
        <f t="shared" si="43"/>
        <v>0</v>
      </c>
      <c r="AH63" s="87">
        <f t="shared" si="44"/>
        <v>0</v>
      </c>
      <c r="AI63" s="87">
        <f t="shared" si="45"/>
        <v>0</v>
      </c>
      <c r="AJ63" s="87">
        <f t="shared" si="46"/>
        <v>0</v>
      </c>
      <c r="AK63" s="87">
        <f t="shared" si="47"/>
        <v>0</v>
      </c>
      <c r="AL63" s="87">
        <f t="shared" si="48"/>
        <v>0</v>
      </c>
      <c r="AM63" s="87">
        <f t="shared" si="49"/>
        <v>0</v>
      </c>
      <c r="AN63" s="87">
        <f t="shared" si="50"/>
        <v>0</v>
      </c>
      <c r="AO63" s="87">
        <f t="shared" si="51"/>
        <v>0</v>
      </c>
      <c r="AQ63" s="426">
        <v>45</v>
      </c>
      <c r="AR63" s="258">
        <f t="shared" ca="1" si="58"/>
        <v>47524</v>
      </c>
      <c r="AS63" s="429">
        <f t="shared" ca="1" si="84"/>
        <v>1589.6100000000001</v>
      </c>
      <c r="AT63" s="138"/>
      <c r="AU63" s="278">
        <v>45</v>
      </c>
      <c r="AV63" s="258">
        <f t="shared" ca="1" si="59"/>
        <v>47552</v>
      </c>
      <c r="AW63" s="429">
        <f t="shared" ca="1" si="52"/>
        <v>0</v>
      </c>
      <c r="AX63" s="202">
        <f t="shared" ca="1" si="53"/>
        <v>0</v>
      </c>
      <c r="AY63" s="278">
        <v>45</v>
      </c>
      <c r="AZ63" s="258">
        <f t="shared" ca="1" si="60"/>
        <v>47552</v>
      </c>
      <c r="BA63" s="429">
        <f t="shared" si="54"/>
        <v>1589.6100000000001</v>
      </c>
      <c r="BB63" s="259">
        <f t="shared" ca="1" si="11"/>
        <v>47524</v>
      </c>
      <c r="BC63" s="428">
        <f t="shared" ca="1" si="55"/>
        <v>0</v>
      </c>
      <c r="BD63" s="188">
        <f t="shared" si="85"/>
        <v>67.81</v>
      </c>
      <c r="BE63" s="188">
        <f t="shared" si="86"/>
        <v>70.569999999999993</v>
      </c>
      <c r="BF63" s="188">
        <f t="shared" si="87"/>
        <v>1172.83</v>
      </c>
      <c r="BG63" s="87">
        <f t="shared" si="88"/>
        <v>278.39999999999998</v>
      </c>
      <c r="BH63" s="87">
        <f t="shared" si="89"/>
        <v>0</v>
      </c>
      <c r="BI63" s="87">
        <f t="shared" si="90"/>
        <v>0</v>
      </c>
      <c r="BJ63" s="87">
        <f t="shared" si="91"/>
        <v>0</v>
      </c>
      <c r="BK63" s="87">
        <f t="shared" si="92"/>
        <v>0</v>
      </c>
      <c r="BL63" s="87">
        <f t="shared" si="93"/>
        <v>0</v>
      </c>
      <c r="BM63" s="87">
        <f t="shared" si="94"/>
        <v>0</v>
      </c>
      <c r="BN63" s="87">
        <f t="shared" si="95"/>
        <v>0</v>
      </c>
      <c r="BO63" s="87">
        <f t="shared" si="96"/>
        <v>0</v>
      </c>
      <c r="BP63" s="87">
        <f t="shared" si="97"/>
        <v>0</v>
      </c>
      <c r="BQ63" s="87">
        <f t="shared" si="98"/>
        <v>0</v>
      </c>
      <c r="BR63" s="87">
        <f t="shared" si="99"/>
        <v>0</v>
      </c>
      <c r="BS63" s="87">
        <f t="shared" si="100"/>
        <v>0</v>
      </c>
      <c r="BT63" s="87">
        <f t="shared" si="101"/>
        <v>0</v>
      </c>
      <c r="BV63" s="177"/>
      <c r="BW63" s="177"/>
      <c r="BX63" s="267"/>
      <c r="BY63" s="267"/>
      <c r="BZ63" s="267"/>
      <c r="CA63" s="267"/>
      <c r="CB63" s="267"/>
      <c r="CC63" s="267"/>
      <c r="CD63" s="267"/>
      <c r="CE63" s="267"/>
      <c r="CF63" s="267"/>
      <c r="CG63" s="267"/>
      <c r="CH63" s="267"/>
      <c r="CI63" s="435"/>
      <c r="CJ63" s="436"/>
      <c r="CK63" s="437"/>
      <c r="CM63" s="64" t="s">
        <v>3014</v>
      </c>
      <c r="CN63" s="707">
        <v>35</v>
      </c>
      <c r="CS63" s="138">
        <v>45</v>
      </c>
      <c r="CT63" s="259">
        <f t="shared" ca="1" si="29"/>
        <v>47552</v>
      </c>
      <c r="CU63" s="179">
        <f t="shared" ca="1" si="56"/>
        <v>679.87547453476282</v>
      </c>
      <c r="CV63" s="179">
        <f t="shared" ca="1" si="105"/>
        <v>695.52093310246153</v>
      </c>
      <c r="CW63" s="179">
        <f t="shared" ca="1" si="105"/>
        <v>705.08428235903693</v>
      </c>
      <c r="CX63" s="179">
        <f t="shared" ca="1" si="105"/>
        <v>714.7820046510941</v>
      </c>
      <c r="CY63" s="179">
        <f t="shared" ca="1" si="105"/>
        <v>724.61602849217604</v>
      </c>
      <c r="CZ63" s="179">
        <f t="shared" ca="1" si="105"/>
        <v>734.5883106547393</v>
      </c>
      <c r="DA63" s="179">
        <f t="shared" ca="1" si="105"/>
        <v>741.31428821962106</v>
      </c>
      <c r="DB63" s="179">
        <f t="shared" ca="1" si="105"/>
        <v>754.95562087096175</v>
      </c>
      <c r="DC63" s="179">
        <f t="shared" ca="1" si="105"/>
        <v>761.87218434246722</v>
      </c>
      <c r="DD63" s="179">
        <f t="shared" ca="1" si="105"/>
        <v>768.85349466816842</v>
      </c>
      <c r="DE63" s="179">
        <f t="shared" ca="1" si="105"/>
        <v>775.90017087916874</v>
      </c>
      <c r="DF63" s="179" t="e">
        <f t="shared" ca="1" si="105"/>
        <v>#VALUE!</v>
      </c>
      <c r="DG63" s="179" t="e">
        <f t="shared" ca="1" si="105"/>
        <v>#VALUE!</v>
      </c>
      <c r="DH63" s="179" t="e">
        <f t="shared" ca="1" si="105"/>
        <v>#VALUE!</v>
      </c>
      <c r="DI63" s="179" t="e">
        <f t="shared" ca="1" si="105"/>
        <v>#VALUE!</v>
      </c>
      <c r="DJ63" s="179" t="e">
        <f t="shared" ca="1" si="105"/>
        <v>#VALUE!</v>
      </c>
      <c r="DK63" s="179" t="e">
        <f t="shared" ca="1" si="105"/>
        <v>#VALUE!</v>
      </c>
      <c r="DL63" s="179" t="e">
        <f t="shared" ca="1" si="102"/>
        <v>#VALUE!</v>
      </c>
      <c r="DM63" s="179" t="e">
        <f t="shared" ca="1" si="102"/>
        <v>#VALUE!</v>
      </c>
      <c r="DN63" s="179" t="e">
        <f t="shared" ca="1" si="102"/>
        <v>#VALUE!</v>
      </c>
      <c r="DO63" s="179" t="e">
        <f t="shared" ca="1" si="102"/>
        <v>#VALUE!</v>
      </c>
      <c r="DP63" s="179" t="e">
        <f t="shared" ca="1" si="102"/>
        <v>#VALUE!</v>
      </c>
      <c r="DQ63" s="179" t="e">
        <f t="shared" ca="1" si="102"/>
        <v>#VALUE!</v>
      </c>
      <c r="DR63" s="278">
        <v>45</v>
      </c>
      <c r="DS63" s="430">
        <f t="shared" ca="1" si="61"/>
        <v>47524</v>
      </c>
      <c r="DT63" s="180">
        <f t="shared" ca="1" si="104"/>
        <v>0</v>
      </c>
      <c r="DU63" s="180">
        <f t="shared" ca="1" si="104"/>
        <v>0</v>
      </c>
      <c r="DV63" s="180">
        <f t="shared" ca="1" si="104"/>
        <v>0</v>
      </c>
      <c r="DW63" s="180">
        <f t="shared" ca="1" si="103"/>
        <v>0</v>
      </c>
      <c r="DX63" s="180">
        <f t="shared" ca="1" si="103"/>
        <v>0</v>
      </c>
      <c r="DY63" s="180">
        <f t="shared" ca="1" si="103"/>
        <v>0</v>
      </c>
      <c r="DZ63" s="180">
        <f t="shared" ca="1" si="103"/>
        <v>0</v>
      </c>
      <c r="EA63" s="180">
        <f t="shared" ca="1" si="103"/>
        <v>0</v>
      </c>
      <c r="EB63" s="180">
        <f t="shared" ca="1" si="103"/>
        <v>0</v>
      </c>
      <c r="EC63" s="180">
        <f t="shared" ca="1" si="103"/>
        <v>0</v>
      </c>
      <c r="ED63" s="180">
        <f t="shared" ca="1" si="103"/>
        <v>0</v>
      </c>
      <c r="EE63" s="180">
        <f t="shared" ca="1" si="103"/>
        <v>0</v>
      </c>
      <c r="EF63" s="180">
        <f t="shared" ca="1" si="103"/>
        <v>0</v>
      </c>
      <c r="EG63" s="180">
        <f t="shared" ca="1" si="103"/>
        <v>0</v>
      </c>
      <c r="EH63" s="180">
        <f t="shared" ca="1" si="75"/>
        <v>0</v>
      </c>
      <c r="EI63" s="180">
        <f t="shared" ca="1" si="106"/>
        <v>0</v>
      </c>
      <c r="EJ63" s="180">
        <f t="shared" ca="1" si="106"/>
        <v>0</v>
      </c>
      <c r="EK63" s="180">
        <f t="shared" ca="1" si="106"/>
        <v>0</v>
      </c>
      <c r="EL63" s="180">
        <f t="shared" ca="1" si="106"/>
        <v>0</v>
      </c>
      <c r="EM63" s="180">
        <f t="shared" ca="1" si="106"/>
        <v>0</v>
      </c>
      <c r="EN63" s="180">
        <f t="shared" ca="1" si="106"/>
        <v>0</v>
      </c>
      <c r="EO63" s="180">
        <f t="shared" ca="1" si="106"/>
        <v>0</v>
      </c>
      <c r="EP63" s="180">
        <f t="shared" ca="1" si="106"/>
        <v>0</v>
      </c>
      <c r="EQ63" s="180"/>
      <c r="ER63" s="180"/>
    </row>
    <row r="64" spans="2:148" s="87" customFormat="1" hidden="1" x14ac:dyDescent="0.25">
      <c r="B64" s="151"/>
      <c r="C64" s="87">
        <v>3</v>
      </c>
      <c r="D64" s="258">
        <f t="shared" ca="1" si="110"/>
        <v>46244</v>
      </c>
      <c r="E64" s="175">
        <f t="shared" ca="1" si="108"/>
        <v>0.95112991689829551</v>
      </c>
      <c r="F64" s="175">
        <f t="shared" ca="1" si="108"/>
        <v>0.95112991689829551</v>
      </c>
      <c r="G64" s="175">
        <f t="shared" ca="1" si="108"/>
        <v>0.95112991689829551</v>
      </c>
      <c r="H64" s="175">
        <f t="shared" ca="1" si="108"/>
        <v>0.95112991689829551</v>
      </c>
      <c r="I64" s="175">
        <f t="shared" si="108"/>
        <v>0</v>
      </c>
      <c r="J64" s="175">
        <f t="shared" si="108"/>
        <v>0</v>
      </c>
      <c r="K64" s="175">
        <f t="shared" si="108"/>
        <v>0</v>
      </c>
      <c r="L64" s="175">
        <f t="shared" si="108"/>
        <v>0</v>
      </c>
      <c r="M64" s="175">
        <f t="shared" si="108"/>
        <v>0</v>
      </c>
      <c r="N64" s="175">
        <f t="shared" si="108"/>
        <v>0</v>
      </c>
      <c r="O64" s="175">
        <f t="shared" si="109"/>
        <v>0</v>
      </c>
      <c r="P64" s="175">
        <f t="shared" si="109"/>
        <v>0</v>
      </c>
      <c r="Q64" s="175">
        <f t="shared" si="109"/>
        <v>0</v>
      </c>
      <c r="R64" s="175">
        <f t="shared" si="109"/>
        <v>0</v>
      </c>
      <c r="S64" s="175">
        <f t="shared" si="109"/>
        <v>0</v>
      </c>
      <c r="T64" s="175">
        <f t="shared" si="109"/>
        <v>0</v>
      </c>
      <c r="U64" s="175">
        <f t="shared" si="109"/>
        <v>0</v>
      </c>
      <c r="V64" s="175"/>
      <c r="W64" s="372"/>
      <c r="X64" s="87">
        <v>46</v>
      </c>
      <c r="Y64" s="87">
        <f t="shared" ca="1" si="35"/>
        <v>67.81</v>
      </c>
      <c r="Z64" s="87">
        <f t="shared" ca="1" si="36"/>
        <v>70.569999999999993</v>
      </c>
      <c r="AA64" s="87">
        <f t="shared" ca="1" si="37"/>
        <v>1172.83</v>
      </c>
      <c r="AB64" s="87">
        <f t="shared" ca="1" si="38"/>
        <v>278.39999999999998</v>
      </c>
      <c r="AC64" s="87">
        <f t="shared" si="39"/>
        <v>0</v>
      </c>
      <c r="AD64" s="87">
        <f t="shared" si="40"/>
        <v>0</v>
      </c>
      <c r="AE64" s="87">
        <f t="shared" si="41"/>
        <v>0</v>
      </c>
      <c r="AF64" s="87">
        <f t="shared" si="42"/>
        <v>0</v>
      </c>
      <c r="AG64" s="87">
        <f t="shared" si="43"/>
        <v>0</v>
      </c>
      <c r="AH64" s="87">
        <f t="shared" si="44"/>
        <v>0</v>
      </c>
      <c r="AI64" s="87">
        <f t="shared" si="45"/>
        <v>0</v>
      </c>
      <c r="AJ64" s="87">
        <f t="shared" si="46"/>
        <v>0</v>
      </c>
      <c r="AK64" s="87">
        <f t="shared" si="47"/>
        <v>0</v>
      </c>
      <c r="AL64" s="87">
        <f t="shared" si="48"/>
        <v>0</v>
      </c>
      <c r="AM64" s="87">
        <f t="shared" si="49"/>
        <v>0</v>
      </c>
      <c r="AN64" s="87">
        <f t="shared" si="50"/>
        <v>0</v>
      </c>
      <c r="AO64" s="87">
        <f t="shared" si="51"/>
        <v>0</v>
      </c>
      <c r="AQ64" s="426">
        <v>46</v>
      </c>
      <c r="AR64" s="258">
        <f t="shared" ca="1" si="58"/>
        <v>47552</v>
      </c>
      <c r="AS64" s="429">
        <f t="shared" ca="1" si="84"/>
        <v>1589.6100000000001</v>
      </c>
      <c r="AT64" s="138"/>
      <c r="AU64" s="278">
        <v>46</v>
      </c>
      <c r="AV64" s="258">
        <f t="shared" ca="1" si="59"/>
        <v>47583</v>
      </c>
      <c r="AW64" s="429">
        <f t="shared" ca="1" si="52"/>
        <v>0</v>
      </c>
      <c r="AX64" s="202">
        <f t="shared" ca="1" si="53"/>
        <v>0</v>
      </c>
      <c r="AY64" s="278">
        <v>46</v>
      </c>
      <c r="AZ64" s="258">
        <f t="shared" ca="1" si="60"/>
        <v>47583</v>
      </c>
      <c r="BA64" s="429">
        <f t="shared" si="54"/>
        <v>1589.6100000000001</v>
      </c>
      <c r="BB64" s="259">
        <f t="shared" ca="1" si="11"/>
        <v>47552</v>
      </c>
      <c r="BC64" s="428">
        <f t="shared" ca="1" si="55"/>
        <v>0</v>
      </c>
      <c r="BD64" s="188">
        <f t="shared" si="85"/>
        <v>67.81</v>
      </c>
      <c r="BE64" s="188">
        <f t="shared" si="86"/>
        <v>70.569999999999993</v>
      </c>
      <c r="BF64" s="188">
        <f t="shared" si="87"/>
        <v>1172.83</v>
      </c>
      <c r="BG64" s="87">
        <f t="shared" si="88"/>
        <v>278.39999999999998</v>
      </c>
      <c r="BH64" s="87">
        <f t="shared" si="89"/>
        <v>0</v>
      </c>
      <c r="BI64" s="87">
        <f t="shared" si="90"/>
        <v>0</v>
      </c>
      <c r="BJ64" s="87">
        <f t="shared" si="91"/>
        <v>0</v>
      </c>
      <c r="BK64" s="87">
        <f t="shared" si="92"/>
        <v>0</v>
      </c>
      <c r="BL64" s="87">
        <f t="shared" si="93"/>
        <v>0</v>
      </c>
      <c r="BM64" s="87">
        <f t="shared" si="94"/>
        <v>0</v>
      </c>
      <c r="BN64" s="87">
        <f t="shared" si="95"/>
        <v>0</v>
      </c>
      <c r="BO64" s="87">
        <f t="shared" si="96"/>
        <v>0</v>
      </c>
      <c r="BP64" s="87">
        <f t="shared" si="97"/>
        <v>0</v>
      </c>
      <c r="BQ64" s="87">
        <f t="shared" si="98"/>
        <v>0</v>
      </c>
      <c r="BR64" s="87">
        <f t="shared" si="99"/>
        <v>0</v>
      </c>
      <c r="BS64" s="87">
        <f t="shared" si="100"/>
        <v>0</v>
      </c>
      <c r="BT64" s="87">
        <f t="shared" si="101"/>
        <v>0</v>
      </c>
      <c r="BV64" s="177"/>
      <c r="BW64" s="177"/>
      <c r="BX64" s="267"/>
      <c r="BY64" s="267"/>
      <c r="BZ64" s="267"/>
      <c r="CA64" s="267"/>
      <c r="CB64" s="267"/>
      <c r="CC64" s="267"/>
      <c r="CD64" s="267"/>
      <c r="CE64" s="267"/>
      <c r="CF64" s="267"/>
      <c r="CG64" s="267"/>
      <c r="CH64" s="267"/>
      <c r="CI64" s="435"/>
      <c r="CJ64" s="436"/>
      <c r="CK64" s="437"/>
      <c r="CM64" s="64" t="s">
        <v>3015</v>
      </c>
      <c r="CN64" s="707"/>
      <c r="CS64" s="87">
        <v>46</v>
      </c>
      <c r="CT64" s="259">
        <f t="shared" ca="1" si="29"/>
        <v>47583</v>
      </c>
      <c r="CU64" s="179">
        <f t="shared" ca="1" si="56"/>
        <v>667.1184838804478</v>
      </c>
      <c r="CV64" s="179">
        <f t="shared" ca="1" si="105"/>
        <v>682.81675327915821</v>
      </c>
      <c r="CW64" s="179">
        <f t="shared" ca="1" si="105"/>
        <v>692.41627386733649</v>
      </c>
      <c r="CX64" s="179">
        <f t="shared" ca="1" si="105"/>
        <v>702.15364136301173</v>
      </c>
      <c r="CY64" s="179">
        <f t="shared" ca="1" si="105"/>
        <v>712.03087674131189</v>
      </c>
      <c r="CZ64" s="179">
        <f t="shared" ca="1" si="105"/>
        <v>722.05003121604602</v>
      </c>
      <c r="DA64" s="179">
        <f t="shared" ca="1" si="105"/>
        <v>728.8093383032442</v>
      </c>
      <c r="DB64" s="179">
        <f t="shared" ca="1" si="105"/>
        <v>742.52245628022104</v>
      </c>
      <c r="DC64" s="179">
        <f t="shared" ca="1" si="105"/>
        <v>749.47753497084466</v>
      </c>
      <c r="DD64" s="179">
        <f t="shared" ca="1" si="105"/>
        <v>756.49914919796606</v>
      </c>
      <c r="DE64" s="179">
        <f t="shared" ca="1" si="105"/>
        <v>763.58794876017794</v>
      </c>
      <c r="DF64" s="179" t="e">
        <f t="shared" ca="1" si="105"/>
        <v>#VALUE!</v>
      </c>
      <c r="DG64" s="179" t="e">
        <f t="shared" ca="1" si="105"/>
        <v>#VALUE!</v>
      </c>
      <c r="DH64" s="179" t="e">
        <f t="shared" ca="1" si="105"/>
        <v>#VALUE!</v>
      </c>
      <c r="DI64" s="179" t="e">
        <f t="shared" ca="1" si="105"/>
        <v>#VALUE!</v>
      </c>
      <c r="DJ64" s="179" t="e">
        <f t="shared" ca="1" si="105"/>
        <v>#VALUE!</v>
      </c>
      <c r="DK64" s="179" t="e">
        <f t="shared" ca="1" si="105"/>
        <v>#VALUE!</v>
      </c>
      <c r="DL64" s="179" t="e">
        <f t="shared" ca="1" si="102"/>
        <v>#VALUE!</v>
      </c>
      <c r="DM64" s="179" t="e">
        <f t="shared" ca="1" si="102"/>
        <v>#VALUE!</v>
      </c>
      <c r="DN64" s="179" t="e">
        <f t="shared" ca="1" si="102"/>
        <v>#VALUE!</v>
      </c>
      <c r="DO64" s="179" t="e">
        <f t="shared" ca="1" si="102"/>
        <v>#VALUE!</v>
      </c>
      <c r="DP64" s="179" t="e">
        <f t="shared" ca="1" si="102"/>
        <v>#VALUE!</v>
      </c>
      <c r="DQ64" s="179" t="e">
        <f t="shared" ca="1" si="102"/>
        <v>#VALUE!</v>
      </c>
      <c r="DR64" s="188">
        <v>46</v>
      </c>
      <c r="DS64" s="430">
        <f t="shared" ca="1" si="61"/>
        <v>47552</v>
      </c>
      <c r="DT64" s="180">
        <f t="shared" ca="1" si="104"/>
        <v>0</v>
      </c>
      <c r="DU64" s="180">
        <f t="shared" ca="1" si="104"/>
        <v>0</v>
      </c>
      <c r="DV64" s="180">
        <f t="shared" ca="1" si="104"/>
        <v>0</v>
      </c>
      <c r="DW64" s="180">
        <f t="shared" ca="1" si="103"/>
        <v>0</v>
      </c>
      <c r="DX64" s="180">
        <f t="shared" ca="1" si="103"/>
        <v>0</v>
      </c>
      <c r="DY64" s="180">
        <f t="shared" ca="1" si="103"/>
        <v>0</v>
      </c>
      <c r="DZ64" s="180">
        <f t="shared" ca="1" si="103"/>
        <v>0</v>
      </c>
      <c r="EA64" s="180">
        <f t="shared" ca="1" si="103"/>
        <v>0</v>
      </c>
      <c r="EB64" s="180">
        <f t="shared" ca="1" si="103"/>
        <v>0</v>
      </c>
      <c r="EC64" s="180">
        <f t="shared" ca="1" si="103"/>
        <v>0</v>
      </c>
      <c r="ED64" s="180">
        <f t="shared" ca="1" si="103"/>
        <v>0</v>
      </c>
      <c r="EE64" s="180">
        <f t="shared" ca="1" si="103"/>
        <v>0</v>
      </c>
      <c r="EF64" s="180">
        <f t="shared" ca="1" si="103"/>
        <v>0</v>
      </c>
      <c r="EG64" s="180">
        <f t="shared" ca="1" si="103"/>
        <v>0</v>
      </c>
      <c r="EH64" s="180">
        <f t="shared" ca="1" si="75"/>
        <v>0</v>
      </c>
      <c r="EI64" s="180">
        <f t="shared" ca="1" si="106"/>
        <v>0</v>
      </c>
      <c r="EJ64" s="180">
        <f t="shared" ca="1" si="106"/>
        <v>0</v>
      </c>
      <c r="EK64" s="180">
        <f t="shared" ca="1" si="106"/>
        <v>0</v>
      </c>
      <c r="EL64" s="180">
        <f t="shared" ca="1" si="106"/>
        <v>0</v>
      </c>
      <c r="EM64" s="180">
        <f t="shared" ca="1" si="106"/>
        <v>0</v>
      </c>
      <c r="EN64" s="180">
        <f t="shared" ca="1" si="106"/>
        <v>0</v>
      </c>
      <c r="EO64" s="180">
        <f t="shared" ca="1" si="106"/>
        <v>0</v>
      </c>
      <c r="EP64" s="180">
        <f t="shared" ca="1" si="106"/>
        <v>0</v>
      </c>
      <c r="EQ64" s="180"/>
      <c r="ER64" s="180"/>
    </row>
    <row r="65" spans="2:148" s="87" customFormat="1" hidden="1" x14ac:dyDescent="0.25">
      <c r="B65" s="151"/>
      <c r="C65" s="87">
        <v>4</v>
      </c>
      <c r="D65" s="258">
        <f t="shared" ca="1" si="110"/>
        <v>46275</v>
      </c>
      <c r="E65" s="461">
        <f t="shared" ca="1" si="108"/>
        <v>0.93328318479016392</v>
      </c>
      <c r="F65" s="461">
        <f t="shared" ca="1" si="108"/>
        <v>0.93328318479016392</v>
      </c>
      <c r="G65" s="461">
        <f t="shared" ca="1" si="108"/>
        <v>0.93328318479016392</v>
      </c>
      <c r="H65" s="461">
        <f t="shared" ca="1" si="108"/>
        <v>0.93328318479016392</v>
      </c>
      <c r="I65" s="461">
        <f t="shared" si="108"/>
        <v>0</v>
      </c>
      <c r="J65" s="461">
        <f t="shared" si="108"/>
        <v>0</v>
      </c>
      <c r="K65" s="461">
        <f t="shared" si="108"/>
        <v>0</v>
      </c>
      <c r="L65" s="461">
        <f t="shared" si="108"/>
        <v>0</v>
      </c>
      <c r="M65" s="461">
        <f t="shared" si="108"/>
        <v>0</v>
      </c>
      <c r="N65" s="461">
        <f t="shared" si="108"/>
        <v>0</v>
      </c>
      <c r="O65" s="461">
        <f t="shared" si="109"/>
        <v>0</v>
      </c>
      <c r="P65" s="461">
        <f t="shared" si="109"/>
        <v>0</v>
      </c>
      <c r="Q65" s="461">
        <f t="shared" si="109"/>
        <v>0</v>
      </c>
      <c r="R65" s="461">
        <f t="shared" si="109"/>
        <v>0</v>
      </c>
      <c r="S65" s="461">
        <f t="shared" si="109"/>
        <v>0</v>
      </c>
      <c r="T65" s="461">
        <f t="shared" si="109"/>
        <v>0</v>
      </c>
      <c r="U65" s="461">
        <f t="shared" si="109"/>
        <v>0</v>
      </c>
      <c r="V65" s="175"/>
      <c r="W65" s="372"/>
      <c r="X65" s="87">
        <v>47</v>
      </c>
      <c r="Y65" s="87">
        <f t="shared" ca="1" si="35"/>
        <v>67.81</v>
      </c>
      <c r="Z65" s="87">
        <f t="shared" ca="1" si="36"/>
        <v>70.569999999999993</v>
      </c>
      <c r="AA65" s="87">
        <f t="shared" ca="1" si="37"/>
        <v>1172.83</v>
      </c>
      <c r="AB65" s="87">
        <f t="shared" ca="1" si="38"/>
        <v>278.39999999999998</v>
      </c>
      <c r="AC65" s="87">
        <f t="shared" si="39"/>
        <v>0</v>
      </c>
      <c r="AD65" s="87">
        <f t="shared" si="40"/>
        <v>0</v>
      </c>
      <c r="AE65" s="87">
        <f t="shared" si="41"/>
        <v>0</v>
      </c>
      <c r="AF65" s="87">
        <f t="shared" si="42"/>
        <v>0</v>
      </c>
      <c r="AG65" s="87">
        <f t="shared" si="43"/>
        <v>0</v>
      </c>
      <c r="AH65" s="87">
        <f t="shared" si="44"/>
        <v>0</v>
      </c>
      <c r="AI65" s="87">
        <f t="shared" si="45"/>
        <v>0</v>
      </c>
      <c r="AJ65" s="87">
        <f t="shared" si="46"/>
        <v>0</v>
      </c>
      <c r="AK65" s="87">
        <f t="shared" si="47"/>
        <v>0</v>
      </c>
      <c r="AL65" s="87">
        <f t="shared" si="48"/>
        <v>0</v>
      </c>
      <c r="AM65" s="87">
        <f t="shared" si="49"/>
        <v>0</v>
      </c>
      <c r="AN65" s="87">
        <f t="shared" si="50"/>
        <v>0</v>
      </c>
      <c r="AO65" s="87">
        <f t="shared" si="51"/>
        <v>0</v>
      </c>
      <c r="AQ65" s="426">
        <v>47</v>
      </c>
      <c r="AR65" s="258">
        <f t="shared" ca="1" si="58"/>
        <v>47583</v>
      </c>
      <c r="AS65" s="429">
        <f t="shared" ca="1" si="84"/>
        <v>1589.6100000000001</v>
      </c>
      <c r="AT65" s="138"/>
      <c r="AU65" s="278">
        <v>47</v>
      </c>
      <c r="AV65" s="258">
        <f t="shared" ca="1" si="59"/>
        <v>47613</v>
      </c>
      <c r="AW65" s="429">
        <f t="shared" ca="1" si="52"/>
        <v>0</v>
      </c>
      <c r="AX65" s="202">
        <f t="shared" ca="1" si="53"/>
        <v>0</v>
      </c>
      <c r="AY65" s="278">
        <v>47</v>
      </c>
      <c r="AZ65" s="258">
        <f t="shared" ca="1" si="60"/>
        <v>47613</v>
      </c>
      <c r="BA65" s="429">
        <f t="shared" si="54"/>
        <v>1589.6100000000001</v>
      </c>
      <c r="BB65" s="259">
        <f t="shared" ca="1" si="11"/>
        <v>47583</v>
      </c>
      <c r="BC65" s="428">
        <f t="shared" ca="1" si="55"/>
        <v>0</v>
      </c>
      <c r="BD65" s="188">
        <f t="shared" si="85"/>
        <v>67.81</v>
      </c>
      <c r="BE65" s="188">
        <f t="shared" si="86"/>
        <v>70.569999999999993</v>
      </c>
      <c r="BF65" s="188">
        <f t="shared" si="87"/>
        <v>1172.83</v>
      </c>
      <c r="BG65" s="87">
        <f t="shared" si="88"/>
        <v>278.39999999999998</v>
      </c>
      <c r="BH65" s="87">
        <f t="shared" si="89"/>
        <v>0</v>
      </c>
      <c r="BI65" s="87">
        <f t="shared" si="90"/>
        <v>0</v>
      </c>
      <c r="BJ65" s="87">
        <f t="shared" si="91"/>
        <v>0</v>
      </c>
      <c r="BK65" s="87">
        <f t="shared" si="92"/>
        <v>0</v>
      </c>
      <c r="BL65" s="87">
        <f t="shared" si="93"/>
        <v>0</v>
      </c>
      <c r="BM65" s="87">
        <f t="shared" si="94"/>
        <v>0</v>
      </c>
      <c r="BN65" s="87">
        <f t="shared" si="95"/>
        <v>0</v>
      </c>
      <c r="BO65" s="87">
        <f t="shared" si="96"/>
        <v>0</v>
      </c>
      <c r="BP65" s="87">
        <f t="shared" si="97"/>
        <v>0</v>
      </c>
      <c r="BQ65" s="87">
        <f t="shared" si="98"/>
        <v>0</v>
      </c>
      <c r="BR65" s="87">
        <f t="shared" si="99"/>
        <v>0</v>
      </c>
      <c r="BS65" s="87">
        <f t="shared" si="100"/>
        <v>0</v>
      </c>
      <c r="BT65" s="87">
        <f t="shared" si="101"/>
        <v>0</v>
      </c>
      <c r="BV65" s="177"/>
      <c r="BW65" s="177"/>
      <c r="BX65" s="267"/>
      <c r="BY65" s="267"/>
      <c r="BZ65" s="267"/>
      <c r="CA65" s="267"/>
      <c r="CB65" s="267"/>
      <c r="CC65" s="267"/>
      <c r="CD65" s="267"/>
      <c r="CE65" s="267"/>
      <c r="CF65" s="267"/>
      <c r="CG65" s="267"/>
      <c r="CH65" s="267"/>
      <c r="CI65" s="435"/>
      <c r="CJ65" s="436"/>
      <c r="CK65" s="437"/>
      <c r="CM65" s="64" t="s">
        <v>3016</v>
      </c>
      <c r="CN65" s="707">
        <v>44</v>
      </c>
      <c r="CS65" s="178">
        <v>47</v>
      </c>
      <c r="CT65" s="259">
        <f t="shared" ca="1" si="29"/>
        <v>47613</v>
      </c>
      <c r="CU65" s="179">
        <f t="shared" ca="1" si="56"/>
        <v>655.00096600927634</v>
      </c>
      <c r="CV65" s="179">
        <f t="shared" ca="1" si="105"/>
        <v>670.74337257284708</v>
      </c>
      <c r="CW65" s="179">
        <f t="shared" ca="1" si="105"/>
        <v>680.3736600838522</v>
      </c>
      <c r="CX65" s="179">
        <f t="shared" ca="1" si="105"/>
        <v>690.14511633871803</v>
      </c>
      <c r="CY65" s="179">
        <f t="shared" ca="1" si="105"/>
        <v>700.05985325072447</v>
      </c>
      <c r="CZ65" s="179">
        <f t="shared" ca="1" si="105"/>
        <v>710.12001496464018</v>
      </c>
      <c r="DA65" s="179">
        <f t="shared" ca="1" si="105"/>
        <v>716.90865463628199</v>
      </c>
      <c r="DB65" s="179">
        <f t="shared" ca="1" si="105"/>
        <v>730.68535355266783</v>
      </c>
      <c r="DC65" s="179">
        <f t="shared" ca="1" si="105"/>
        <v>737.67473914453205</v>
      </c>
      <c r="DD65" s="179">
        <f t="shared" ca="1" si="105"/>
        <v>744.73237763139014</v>
      </c>
      <c r="DE65" s="179">
        <f t="shared" ca="1" si="105"/>
        <v>751.85894915338508</v>
      </c>
      <c r="DF65" s="179" t="e">
        <f t="shared" ca="1" si="105"/>
        <v>#VALUE!</v>
      </c>
      <c r="DG65" s="179" t="e">
        <f t="shared" ca="1" si="105"/>
        <v>#VALUE!</v>
      </c>
      <c r="DH65" s="179" t="e">
        <f t="shared" ca="1" si="105"/>
        <v>#VALUE!</v>
      </c>
      <c r="DI65" s="179" t="e">
        <f t="shared" ca="1" si="105"/>
        <v>#VALUE!</v>
      </c>
      <c r="DJ65" s="179" t="e">
        <f t="shared" ca="1" si="105"/>
        <v>#VALUE!</v>
      </c>
      <c r="DK65" s="179" t="e">
        <f t="shared" ca="1" si="105"/>
        <v>#VALUE!</v>
      </c>
      <c r="DL65" s="179" t="e">
        <f t="shared" ca="1" si="102"/>
        <v>#VALUE!</v>
      </c>
      <c r="DM65" s="179" t="e">
        <f t="shared" ca="1" si="102"/>
        <v>#VALUE!</v>
      </c>
      <c r="DN65" s="179" t="e">
        <f t="shared" ca="1" si="102"/>
        <v>#VALUE!</v>
      </c>
      <c r="DO65" s="179" t="e">
        <f t="shared" ca="1" si="102"/>
        <v>#VALUE!</v>
      </c>
      <c r="DP65" s="179" t="e">
        <f t="shared" ca="1" si="102"/>
        <v>#VALUE!</v>
      </c>
      <c r="DQ65" s="179" t="e">
        <f t="shared" ca="1" si="102"/>
        <v>#VALUE!</v>
      </c>
      <c r="DR65" s="431">
        <v>47</v>
      </c>
      <c r="DS65" s="430">
        <f t="shared" ca="1" si="61"/>
        <v>47583</v>
      </c>
      <c r="DT65" s="180">
        <f t="shared" ca="1" si="104"/>
        <v>0</v>
      </c>
      <c r="DU65" s="180">
        <f t="shared" ca="1" si="104"/>
        <v>0</v>
      </c>
      <c r="DV65" s="180">
        <f t="shared" ca="1" si="104"/>
        <v>0</v>
      </c>
      <c r="DW65" s="180">
        <f t="shared" ca="1" si="103"/>
        <v>0</v>
      </c>
      <c r="DX65" s="180">
        <f t="shared" ca="1" si="103"/>
        <v>0</v>
      </c>
      <c r="DY65" s="180">
        <f t="shared" ca="1" si="103"/>
        <v>0</v>
      </c>
      <c r="DZ65" s="180">
        <f t="shared" ca="1" si="103"/>
        <v>0</v>
      </c>
      <c r="EA65" s="180">
        <f t="shared" ca="1" si="103"/>
        <v>0</v>
      </c>
      <c r="EB65" s="180">
        <f t="shared" ca="1" si="103"/>
        <v>0</v>
      </c>
      <c r="EC65" s="180">
        <f t="shared" ca="1" si="103"/>
        <v>0</v>
      </c>
      <c r="ED65" s="180">
        <f t="shared" ca="1" si="103"/>
        <v>0</v>
      </c>
      <c r="EE65" s="180">
        <f t="shared" ca="1" si="103"/>
        <v>0</v>
      </c>
      <c r="EF65" s="180">
        <f t="shared" ca="1" si="103"/>
        <v>0</v>
      </c>
      <c r="EG65" s="180">
        <f t="shared" ca="1" si="103"/>
        <v>0</v>
      </c>
      <c r="EH65" s="180">
        <f t="shared" ca="1" si="75"/>
        <v>0</v>
      </c>
      <c r="EI65" s="180">
        <f t="shared" ca="1" si="106"/>
        <v>0</v>
      </c>
      <c r="EJ65" s="180">
        <f t="shared" ca="1" si="106"/>
        <v>0</v>
      </c>
      <c r="EK65" s="180">
        <f t="shared" ca="1" si="106"/>
        <v>0</v>
      </c>
      <c r="EL65" s="180">
        <f t="shared" ca="1" si="106"/>
        <v>0</v>
      </c>
      <c r="EM65" s="180">
        <f t="shared" ca="1" si="106"/>
        <v>0</v>
      </c>
      <c r="EN65" s="180">
        <f t="shared" ca="1" si="106"/>
        <v>0</v>
      </c>
      <c r="EO65" s="180">
        <f t="shared" ca="1" si="106"/>
        <v>0</v>
      </c>
      <c r="EP65" s="180">
        <f t="shared" ca="1" si="106"/>
        <v>0</v>
      </c>
      <c r="EQ65" s="180"/>
      <c r="ER65" s="180"/>
    </row>
    <row r="66" spans="2:148" s="87" customFormat="1" hidden="1" x14ac:dyDescent="0.25">
      <c r="B66" s="151"/>
      <c r="C66" s="87">
        <v>5</v>
      </c>
      <c r="D66" s="258">
        <f t="shared" ca="1" si="110"/>
        <v>46305</v>
      </c>
      <c r="E66" s="175">
        <f t="shared" ca="1" si="108"/>
        <v>0.91633106017689137</v>
      </c>
      <c r="F66" s="175">
        <f t="shared" ca="1" si="108"/>
        <v>0.91633106017689137</v>
      </c>
      <c r="G66" s="175">
        <f t="shared" ca="1" si="108"/>
        <v>0.91633106017689137</v>
      </c>
      <c r="H66" s="175">
        <f t="shared" ca="1" si="108"/>
        <v>0.91633106017689137</v>
      </c>
      <c r="I66" s="175">
        <f t="shared" si="108"/>
        <v>0</v>
      </c>
      <c r="J66" s="175">
        <f t="shared" si="108"/>
        <v>0</v>
      </c>
      <c r="K66" s="175">
        <f t="shared" si="108"/>
        <v>0</v>
      </c>
      <c r="L66" s="175">
        <f t="shared" si="108"/>
        <v>0</v>
      </c>
      <c r="M66" s="175">
        <f t="shared" si="108"/>
        <v>0</v>
      </c>
      <c r="N66" s="175">
        <f t="shared" si="108"/>
        <v>0</v>
      </c>
      <c r="O66" s="175">
        <f t="shared" si="109"/>
        <v>0</v>
      </c>
      <c r="P66" s="175">
        <f t="shared" si="109"/>
        <v>0</v>
      </c>
      <c r="Q66" s="175">
        <f t="shared" si="109"/>
        <v>0</v>
      </c>
      <c r="R66" s="175">
        <f t="shared" si="109"/>
        <v>0</v>
      </c>
      <c r="S66" s="175">
        <f t="shared" si="109"/>
        <v>0</v>
      </c>
      <c r="T66" s="175">
        <f t="shared" si="109"/>
        <v>0</v>
      </c>
      <c r="U66" s="175">
        <f t="shared" si="109"/>
        <v>0</v>
      </c>
      <c r="V66" s="175"/>
      <c r="W66" s="372"/>
      <c r="X66" s="87">
        <v>48</v>
      </c>
      <c r="Y66" s="87">
        <f t="shared" ca="1" si="35"/>
        <v>67.81</v>
      </c>
      <c r="Z66" s="87">
        <f t="shared" ca="1" si="36"/>
        <v>70.569999999999993</v>
      </c>
      <c r="AA66" s="87">
        <f t="shared" ca="1" si="37"/>
        <v>1172.83</v>
      </c>
      <c r="AB66" s="87">
        <f t="shared" ca="1" si="38"/>
        <v>278.39999999999998</v>
      </c>
      <c r="AC66" s="87">
        <f t="shared" si="39"/>
        <v>0</v>
      </c>
      <c r="AD66" s="87">
        <f t="shared" si="40"/>
        <v>0</v>
      </c>
      <c r="AE66" s="87">
        <f t="shared" si="41"/>
        <v>0</v>
      </c>
      <c r="AF66" s="87">
        <f t="shared" si="42"/>
        <v>0</v>
      </c>
      <c r="AG66" s="87">
        <f t="shared" si="43"/>
        <v>0</v>
      </c>
      <c r="AH66" s="87">
        <f t="shared" si="44"/>
        <v>0</v>
      </c>
      <c r="AI66" s="87">
        <f t="shared" si="45"/>
        <v>0</v>
      </c>
      <c r="AJ66" s="87">
        <f t="shared" si="46"/>
        <v>0</v>
      </c>
      <c r="AK66" s="87">
        <f t="shared" si="47"/>
        <v>0</v>
      </c>
      <c r="AL66" s="87">
        <f t="shared" si="48"/>
        <v>0</v>
      </c>
      <c r="AM66" s="87">
        <f t="shared" si="49"/>
        <v>0</v>
      </c>
      <c r="AN66" s="87">
        <f t="shared" si="50"/>
        <v>0</v>
      </c>
      <c r="AO66" s="87">
        <f t="shared" si="51"/>
        <v>0</v>
      </c>
      <c r="AQ66" s="426">
        <v>48</v>
      </c>
      <c r="AR66" s="258">
        <f t="shared" ca="1" si="58"/>
        <v>47613</v>
      </c>
      <c r="AS66" s="429">
        <f t="shared" ca="1" si="84"/>
        <v>1589.6100000000001</v>
      </c>
      <c r="AT66" s="138"/>
      <c r="AU66" s="278">
        <v>48</v>
      </c>
      <c r="AV66" s="258">
        <f t="shared" ca="1" si="59"/>
        <v>47644</v>
      </c>
      <c r="AW66" s="429">
        <f t="shared" ca="1" si="52"/>
        <v>0</v>
      </c>
      <c r="AX66" s="202">
        <f t="shared" ca="1" si="53"/>
        <v>0</v>
      </c>
      <c r="AY66" s="278">
        <v>48</v>
      </c>
      <c r="AZ66" s="258">
        <f t="shared" ca="1" si="60"/>
        <v>47644</v>
      </c>
      <c r="BA66" s="429">
        <f t="shared" si="54"/>
        <v>1589.6100000000001</v>
      </c>
      <c r="BB66" s="259">
        <f t="shared" ca="1" si="11"/>
        <v>47613</v>
      </c>
      <c r="BC66" s="428">
        <f t="shared" ca="1" si="55"/>
        <v>0</v>
      </c>
      <c r="BD66" s="188">
        <f t="shared" si="85"/>
        <v>67.81</v>
      </c>
      <c r="BE66" s="188">
        <f t="shared" si="86"/>
        <v>70.569999999999993</v>
      </c>
      <c r="BF66" s="188">
        <f t="shared" si="87"/>
        <v>1172.83</v>
      </c>
      <c r="BG66" s="87">
        <f t="shared" si="88"/>
        <v>278.39999999999998</v>
      </c>
      <c r="BH66" s="87">
        <f t="shared" si="89"/>
        <v>0</v>
      </c>
      <c r="BI66" s="87">
        <f t="shared" si="90"/>
        <v>0</v>
      </c>
      <c r="BJ66" s="87">
        <f t="shared" si="91"/>
        <v>0</v>
      </c>
      <c r="BK66" s="87">
        <f t="shared" si="92"/>
        <v>0</v>
      </c>
      <c r="BL66" s="87">
        <f t="shared" si="93"/>
        <v>0</v>
      </c>
      <c r="BM66" s="87">
        <f t="shared" si="94"/>
        <v>0</v>
      </c>
      <c r="BN66" s="87">
        <f t="shared" si="95"/>
        <v>0</v>
      </c>
      <c r="BO66" s="87">
        <f t="shared" si="96"/>
        <v>0</v>
      </c>
      <c r="BP66" s="87">
        <f t="shared" si="97"/>
        <v>0</v>
      </c>
      <c r="BQ66" s="87">
        <f t="shared" si="98"/>
        <v>0</v>
      </c>
      <c r="BR66" s="87">
        <f t="shared" si="99"/>
        <v>0</v>
      </c>
      <c r="BS66" s="87">
        <f t="shared" si="100"/>
        <v>0</v>
      </c>
      <c r="BT66" s="87">
        <f t="shared" si="101"/>
        <v>0</v>
      </c>
      <c r="BV66" s="177"/>
      <c r="BW66" s="177"/>
      <c r="BX66" s="267"/>
      <c r="BY66" s="267"/>
      <c r="BZ66" s="267"/>
      <c r="CA66" s="267"/>
      <c r="CB66" s="267"/>
      <c r="CC66" s="267"/>
      <c r="CD66" s="267"/>
      <c r="CE66" s="267"/>
      <c r="CF66" s="267"/>
      <c r="CG66" s="267"/>
      <c r="CH66" s="267"/>
      <c r="CI66" s="435"/>
      <c r="CJ66" s="436"/>
      <c r="CK66" s="437"/>
      <c r="CM66" s="64" t="s">
        <v>3017</v>
      </c>
      <c r="CN66" s="707">
        <v>54.333333333333336</v>
      </c>
      <c r="CS66" s="138">
        <v>48</v>
      </c>
      <c r="CT66" s="259">
        <f t="shared" ca="1" si="29"/>
        <v>47644</v>
      </c>
      <c r="CU66" s="179">
        <f t="shared" ca="1" si="56"/>
        <v>642.7107135808219</v>
      </c>
      <c r="CV66" s="179">
        <f t="shared" ca="1" si="105"/>
        <v>658.49177234789852</v>
      </c>
      <c r="CW66" s="179">
        <f t="shared" ca="1" si="105"/>
        <v>668.14961890308086</v>
      </c>
      <c r="CX66" s="179">
        <f t="shared" ca="1" si="105"/>
        <v>677.95202362805935</v>
      </c>
      <c r="CY66" s="179">
        <f t="shared" ca="1" si="105"/>
        <v>687.90119384847355</v>
      </c>
      <c r="CZ66" s="179">
        <f t="shared" ca="1" si="105"/>
        <v>697.99937126054988</v>
      </c>
      <c r="DA66" s="179">
        <f t="shared" ca="1" si="105"/>
        <v>704.81539410791106</v>
      </c>
      <c r="DB66" s="179">
        <f t="shared" ca="1" si="105"/>
        <v>718.6518895799336</v>
      </c>
      <c r="DC66" s="179">
        <f t="shared" ca="1" si="105"/>
        <v>725.67375009426155</v>
      </c>
      <c r="DD66" s="179">
        <f t="shared" ca="1" si="105"/>
        <v>732.7656230547276</v>
      </c>
      <c r="DE66" s="179">
        <f t="shared" ca="1" si="105"/>
        <v>739.92822052158397</v>
      </c>
      <c r="DF66" s="179" t="e">
        <f t="shared" ca="1" si="105"/>
        <v>#VALUE!</v>
      </c>
      <c r="DG66" s="179" t="e">
        <f t="shared" ca="1" si="105"/>
        <v>#VALUE!</v>
      </c>
      <c r="DH66" s="179" t="e">
        <f t="shared" ca="1" si="105"/>
        <v>#VALUE!</v>
      </c>
      <c r="DI66" s="179" t="e">
        <f t="shared" ca="1" si="105"/>
        <v>#VALUE!</v>
      </c>
      <c r="DJ66" s="179" t="e">
        <f t="shared" ca="1" si="105"/>
        <v>#VALUE!</v>
      </c>
      <c r="DK66" s="179" t="e">
        <f t="shared" ca="1" si="105"/>
        <v>#VALUE!</v>
      </c>
      <c r="DL66" s="179" t="e">
        <f t="shared" ca="1" si="102"/>
        <v>#VALUE!</v>
      </c>
      <c r="DM66" s="179" t="e">
        <f t="shared" ca="1" si="102"/>
        <v>#VALUE!</v>
      </c>
      <c r="DN66" s="179" t="e">
        <f t="shared" ca="1" si="102"/>
        <v>#VALUE!</v>
      </c>
      <c r="DO66" s="179" t="e">
        <f t="shared" ca="1" si="102"/>
        <v>#VALUE!</v>
      </c>
      <c r="DP66" s="179" t="e">
        <f t="shared" ca="1" si="102"/>
        <v>#VALUE!</v>
      </c>
      <c r="DQ66" s="179" t="e">
        <f t="shared" ca="1" si="102"/>
        <v>#VALUE!</v>
      </c>
      <c r="DR66" s="278">
        <v>48</v>
      </c>
      <c r="DS66" s="430">
        <f t="shared" ca="1" si="61"/>
        <v>47613</v>
      </c>
      <c r="DT66" s="180">
        <f t="shared" ca="1" si="104"/>
        <v>0</v>
      </c>
      <c r="DU66" s="180">
        <f t="shared" ca="1" si="104"/>
        <v>0</v>
      </c>
      <c r="DV66" s="180">
        <f t="shared" ca="1" si="104"/>
        <v>0</v>
      </c>
      <c r="DW66" s="180">
        <f t="shared" ca="1" si="103"/>
        <v>0</v>
      </c>
      <c r="DX66" s="180">
        <f t="shared" ca="1" si="103"/>
        <v>0</v>
      </c>
      <c r="DY66" s="180">
        <f t="shared" ca="1" si="103"/>
        <v>0</v>
      </c>
      <c r="DZ66" s="180">
        <f t="shared" ca="1" si="103"/>
        <v>0</v>
      </c>
      <c r="EA66" s="180">
        <f t="shared" ca="1" si="103"/>
        <v>0</v>
      </c>
      <c r="EB66" s="180">
        <f t="shared" ca="1" si="103"/>
        <v>0</v>
      </c>
      <c r="EC66" s="180">
        <f t="shared" ca="1" si="103"/>
        <v>0</v>
      </c>
      <c r="ED66" s="180">
        <f t="shared" ca="1" si="103"/>
        <v>0</v>
      </c>
      <c r="EE66" s="180">
        <f t="shared" ca="1" si="103"/>
        <v>0</v>
      </c>
      <c r="EF66" s="180">
        <f t="shared" ca="1" si="103"/>
        <v>0</v>
      </c>
      <c r="EG66" s="180">
        <f t="shared" ca="1" si="103"/>
        <v>0</v>
      </c>
      <c r="EH66" s="180">
        <f t="shared" ca="1" si="75"/>
        <v>0</v>
      </c>
      <c r="EI66" s="180">
        <f t="shared" ca="1" si="106"/>
        <v>0</v>
      </c>
      <c r="EJ66" s="180">
        <f t="shared" ca="1" si="106"/>
        <v>0</v>
      </c>
      <c r="EK66" s="180">
        <f t="shared" ca="1" si="106"/>
        <v>0</v>
      </c>
      <c r="EL66" s="180">
        <f t="shared" ca="1" si="106"/>
        <v>0</v>
      </c>
      <c r="EM66" s="180">
        <f t="shared" ca="1" si="106"/>
        <v>0</v>
      </c>
      <c r="EN66" s="180">
        <f t="shared" ca="1" si="106"/>
        <v>0</v>
      </c>
      <c r="EO66" s="180">
        <f t="shared" ca="1" si="106"/>
        <v>0</v>
      </c>
      <c r="EP66" s="180">
        <f t="shared" ca="1" si="106"/>
        <v>0</v>
      </c>
      <c r="EQ66" s="180"/>
      <c r="ER66" s="180"/>
    </row>
    <row r="67" spans="2:148" s="87" customFormat="1" hidden="1" x14ac:dyDescent="0.25">
      <c r="B67" s="151"/>
      <c r="C67" s="87">
        <v>6</v>
      </c>
      <c r="D67" s="258">
        <f t="shared" ca="1" si="110"/>
        <v>46336</v>
      </c>
      <c r="E67" s="175">
        <f t="shared" ca="1" si="108"/>
        <v>0.89913728395054027</v>
      </c>
      <c r="F67" s="175">
        <f t="shared" ca="1" si="108"/>
        <v>0.89913728395054027</v>
      </c>
      <c r="G67" s="175">
        <f t="shared" ca="1" si="108"/>
        <v>0.89913728395054027</v>
      </c>
      <c r="H67" s="175">
        <f t="shared" ca="1" si="108"/>
        <v>0.89913728395054027</v>
      </c>
      <c r="I67" s="175">
        <f t="shared" si="108"/>
        <v>0</v>
      </c>
      <c r="J67" s="175">
        <f t="shared" si="108"/>
        <v>0</v>
      </c>
      <c r="K67" s="175">
        <f t="shared" si="108"/>
        <v>0</v>
      </c>
      <c r="L67" s="175">
        <f t="shared" si="108"/>
        <v>0</v>
      </c>
      <c r="M67" s="175">
        <f t="shared" si="108"/>
        <v>0</v>
      </c>
      <c r="N67" s="175">
        <f t="shared" si="108"/>
        <v>0</v>
      </c>
      <c r="O67" s="175">
        <f t="shared" si="109"/>
        <v>0</v>
      </c>
      <c r="P67" s="175">
        <f t="shared" si="109"/>
        <v>0</v>
      </c>
      <c r="Q67" s="175">
        <f t="shared" si="109"/>
        <v>0</v>
      </c>
      <c r="R67" s="175">
        <f t="shared" si="109"/>
        <v>0</v>
      </c>
      <c r="S67" s="175">
        <f t="shared" si="109"/>
        <v>0</v>
      </c>
      <c r="T67" s="175">
        <f t="shared" si="109"/>
        <v>0</v>
      </c>
      <c r="U67" s="175">
        <f t="shared" si="109"/>
        <v>0</v>
      </c>
      <c r="V67" s="175"/>
      <c r="W67" s="372"/>
      <c r="X67" s="87">
        <v>49</v>
      </c>
      <c r="Y67" s="87">
        <f t="shared" ca="1" si="35"/>
        <v>67.81</v>
      </c>
      <c r="Z67" s="87">
        <f t="shared" ca="1" si="36"/>
        <v>70.569999999999993</v>
      </c>
      <c r="AA67" s="87">
        <f t="shared" ca="1" si="37"/>
        <v>1172.83</v>
      </c>
      <c r="AB67" s="87">
        <f t="shared" ca="1" si="38"/>
        <v>278.39999999999998</v>
      </c>
      <c r="AC67" s="87">
        <f t="shared" si="39"/>
        <v>0</v>
      </c>
      <c r="AD67" s="87">
        <f t="shared" si="40"/>
        <v>0</v>
      </c>
      <c r="AE67" s="87">
        <f t="shared" si="41"/>
        <v>0</v>
      </c>
      <c r="AF67" s="87">
        <f t="shared" si="42"/>
        <v>0</v>
      </c>
      <c r="AG67" s="87">
        <f t="shared" si="43"/>
        <v>0</v>
      </c>
      <c r="AH67" s="87">
        <f t="shared" si="44"/>
        <v>0</v>
      </c>
      <c r="AI67" s="87">
        <f t="shared" si="45"/>
        <v>0</v>
      </c>
      <c r="AJ67" s="87">
        <f t="shared" si="46"/>
        <v>0</v>
      </c>
      <c r="AK67" s="87">
        <f t="shared" si="47"/>
        <v>0</v>
      </c>
      <c r="AL67" s="87">
        <f t="shared" si="48"/>
        <v>0</v>
      </c>
      <c r="AM67" s="87">
        <f t="shared" si="49"/>
        <v>0</v>
      </c>
      <c r="AN67" s="87">
        <f t="shared" si="50"/>
        <v>0</v>
      </c>
      <c r="AO67" s="87">
        <f t="shared" si="51"/>
        <v>0</v>
      </c>
      <c r="AQ67" s="426">
        <v>49</v>
      </c>
      <c r="AR67" s="258">
        <f t="shared" ca="1" si="58"/>
        <v>47644</v>
      </c>
      <c r="AS67" s="429">
        <f t="shared" ca="1" si="84"/>
        <v>1589.6100000000001</v>
      </c>
      <c r="AT67" s="138"/>
      <c r="AU67" s="278">
        <v>49</v>
      </c>
      <c r="AV67" s="258">
        <f t="shared" ca="1" si="59"/>
        <v>47674</v>
      </c>
      <c r="AW67" s="429">
        <f t="shared" ca="1" si="52"/>
        <v>0</v>
      </c>
      <c r="AX67" s="202">
        <f t="shared" ca="1" si="53"/>
        <v>0</v>
      </c>
      <c r="AY67" s="278">
        <v>49</v>
      </c>
      <c r="AZ67" s="258">
        <f t="shared" ca="1" si="60"/>
        <v>47674</v>
      </c>
      <c r="BA67" s="429">
        <f t="shared" si="54"/>
        <v>1589.6100000000001</v>
      </c>
      <c r="BB67" s="259">
        <f t="shared" ca="1" si="11"/>
        <v>47644</v>
      </c>
      <c r="BC67" s="428">
        <f t="shared" ca="1" si="55"/>
        <v>0</v>
      </c>
      <c r="BD67" s="188">
        <f t="shared" si="85"/>
        <v>67.81</v>
      </c>
      <c r="BE67" s="188">
        <f t="shared" si="86"/>
        <v>70.569999999999993</v>
      </c>
      <c r="BF67" s="188">
        <f t="shared" si="87"/>
        <v>1172.83</v>
      </c>
      <c r="BG67" s="87">
        <f t="shared" si="88"/>
        <v>278.39999999999998</v>
      </c>
      <c r="BH67" s="87">
        <f t="shared" si="89"/>
        <v>0</v>
      </c>
      <c r="BI67" s="87">
        <f t="shared" si="90"/>
        <v>0</v>
      </c>
      <c r="BJ67" s="87">
        <f t="shared" si="91"/>
        <v>0</v>
      </c>
      <c r="BK67" s="87">
        <f t="shared" si="92"/>
        <v>0</v>
      </c>
      <c r="BL67" s="87">
        <f t="shared" si="93"/>
        <v>0</v>
      </c>
      <c r="BM67" s="87">
        <f t="shared" si="94"/>
        <v>0</v>
      </c>
      <c r="BN67" s="87">
        <f t="shared" si="95"/>
        <v>0</v>
      </c>
      <c r="BO67" s="87">
        <f t="shared" si="96"/>
        <v>0</v>
      </c>
      <c r="BP67" s="87">
        <f t="shared" si="97"/>
        <v>0</v>
      </c>
      <c r="BQ67" s="87">
        <f t="shared" si="98"/>
        <v>0</v>
      </c>
      <c r="BR67" s="87">
        <f t="shared" si="99"/>
        <v>0</v>
      </c>
      <c r="BS67" s="87">
        <f t="shared" si="100"/>
        <v>0</v>
      </c>
      <c r="BT67" s="87">
        <f t="shared" si="101"/>
        <v>0</v>
      </c>
      <c r="BV67" s="177"/>
      <c r="BW67" s="177"/>
      <c r="BX67" s="267"/>
      <c r="BY67" s="267"/>
      <c r="BZ67" s="267"/>
      <c r="CA67" s="267"/>
      <c r="CB67" s="267"/>
      <c r="CC67" s="267"/>
      <c r="CD67" s="267"/>
      <c r="CE67" s="267"/>
      <c r="CF67" s="267"/>
      <c r="CG67" s="267"/>
      <c r="CH67" s="267"/>
      <c r="CI67" s="435"/>
      <c r="CJ67" s="436"/>
      <c r="CK67" s="437"/>
      <c r="CM67" s="64" t="s">
        <v>3018</v>
      </c>
      <c r="CN67" s="707"/>
      <c r="CS67" s="87">
        <v>49</v>
      </c>
      <c r="CT67" s="259">
        <f t="shared" ca="1" si="29"/>
        <v>47674</v>
      </c>
      <c r="CU67" s="179">
        <f t="shared" ca="1" si="56"/>
        <v>631.03653763458203</v>
      </c>
      <c r="CV67" s="179">
        <f t="shared" ca="1" si="105"/>
        <v>646.84849935942884</v>
      </c>
      <c r="CW67" s="179">
        <f t="shared" ca="1" si="105"/>
        <v>656.52905463602315</v>
      </c>
      <c r="CX67" s="179">
        <f t="shared" ca="1" si="105"/>
        <v>666.35740478480375</v>
      </c>
      <c r="CY67" s="179">
        <f t="shared" ca="1" si="105"/>
        <v>676.33585079979719</v>
      </c>
      <c r="CZ67" s="179">
        <f t="shared" ca="1" si="105"/>
        <v>686.4667301933024</v>
      </c>
      <c r="DA67" s="179">
        <f t="shared" ca="1" si="105"/>
        <v>693.30650610654243</v>
      </c>
      <c r="DB67" s="179">
        <f t="shared" ca="1" si="105"/>
        <v>707.19532530991296</v>
      </c>
      <c r="DC67" s="179">
        <f t="shared" ca="1" si="105"/>
        <v>714.24581702191085</v>
      </c>
      <c r="DD67" s="179">
        <f t="shared" ca="1" si="105"/>
        <v>721.3680085201097</v>
      </c>
      <c r="DE67" s="179">
        <f t="shared" ca="1" si="105"/>
        <v>728.56264328631744</v>
      </c>
      <c r="DF67" s="179" t="e">
        <f t="shared" ca="1" si="105"/>
        <v>#VALUE!</v>
      </c>
      <c r="DG67" s="179" t="e">
        <f t="shared" ca="1" si="105"/>
        <v>#VALUE!</v>
      </c>
      <c r="DH67" s="179" t="e">
        <f t="shared" ca="1" si="105"/>
        <v>#VALUE!</v>
      </c>
      <c r="DI67" s="179" t="e">
        <f t="shared" ca="1" si="105"/>
        <v>#VALUE!</v>
      </c>
      <c r="DJ67" s="179" t="e">
        <f t="shared" ca="1" si="105"/>
        <v>#VALUE!</v>
      </c>
      <c r="DK67" s="179" t="e">
        <f t="shared" ca="1" si="105"/>
        <v>#VALUE!</v>
      </c>
      <c r="DL67" s="179" t="e">
        <f t="shared" ca="1" si="102"/>
        <v>#VALUE!</v>
      </c>
      <c r="DM67" s="179" t="e">
        <f t="shared" ca="1" si="102"/>
        <v>#VALUE!</v>
      </c>
      <c r="DN67" s="179" t="e">
        <f t="shared" ca="1" si="102"/>
        <v>#VALUE!</v>
      </c>
      <c r="DO67" s="179" t="e">
        <f t="shared" ca="1" si="102"/>
        <v>#VALUE!</v>
      </c>
      <c r="DP67" s="179" t="e">
        <f t="shared" ca="1" si="102"/>
        <v>#VALUE!</v>
      </c>
      <c r="DQ67" s="179" t="e">
        <f t="shared" ca="1" si="102"/>
        <v>#VALUE!</v>
      </c>
      <c r="DR67" s="188">
        <v>49</v>
      </c>
      <c r="DS67" s="430">
        <f t="shared" ca="1" si="61"/>
        <v>47644</v>
      </c>
      <c r="DT67" s="180">
        <f t="shared" ca="1" si="104"/>
        <v>0</v>
      </c>
      <c r="DU67" s="180">
        <f t="shared" ca="1" si="104"/>
        <v>0</v>
      </c>
      <c r="DV67" s="180">
        <f t="shared" ca="1" si="104"/>
        <v>0</v>
      </c>
      <c r="DW67" s="180">
        <f t="shared" ca="1" si="103"/>
        <v>0</v>
      </c>
      <c r="DX67" s="180">
        <f t="shared" ca="1" si="103"/>
        <v>0</v>
      </c>
      <c r="DY67" s="180">
        <f t="shared" ca="1" si="103"/>
        <v>0</v>
      </c>
      <c r="DZ67" s="180">
        <f t="shared" ca="1" si="103"/>
        <v>0</v>
      </c>
      <c r="EA67" s="180">
        <f t="shared" ca="1" si="103"/>
        <v>0</v>
      </c>
      <c r="EB67" s="180">
        <f t="shared" ca="1" si="103"/>
        <v>0</v>
      </c>
      <c r="EC67" s="180">
        <f t="shared" ca="1" si="103"/>
        <v>0</v>
      </c>
      <c r="ED67" s="180">
        <f t="shared" ca="1" si="103"/>
        <v>0</v>
      </c>
      <c r="EE67" s="180">
        <f t="shared" ca="1" si="103"/>
        <v>0</v>
      </c>
      <c r="EF67" s="180">
        <f t="shared" ca="1" si="103"/>
        <v>0</v>
      </c>
      <c r="EG67" s="180">
        <f t="shared" ca="1" si="103"/>
        <v>0</v>
      </c>
      <c r="EH67" s="180">
        <f t="shared" ca="1" si="75"/>
        <v>0</v>
      </c>
      <c r="EI67" s="180">
        <f t="shared" ca="1" si="106"/>
        <v>0</v>
      </c>
      <c r="EJ67" s="180">
        <f t="shared" ca="1" si="106"/>
        <v>0</v>
      </c>
      <c r="EK67" s="180">
        <f t="shared" ca="1" si="106"/>
        <v>0</v>
      </c>
      <c r="EL67" s="180">
        <f t="shared" ca="1" si="106"/>
        <v>0</v>
      </c>
      <c r="EM67" s="180">
        <f t="shared" ca="1" si="106"/>
        <v>0</v>
      </c>
      <c r="EN67" s="180">
        <f t="shared" ca="1" si="106"/>
        <v>0</v>
      </c>
      <c r="EO67" s="180">
        <f t="shared" ca="1" si="106"/>
        <v>0</v>
      </c>
      <c r="EP67" s="180">
        <f t="shared" ca="1" si="106"/>
        <v>0</v>
      </c>
      <c r="EQ67" s="180"/>
      <c r="ER67" s="180"/>
    </row>
    <row r="68" spans="2:148" s="87" customFormat="1" hidden="1" x14ac:dyDescent="0.25">
      <c r="B68" s="151"/>
      <c r="C68" s="87">
        <v>7</v>
      </c>
      <c r="D68" s="258">
        <f t="shared" ca="1" si="110"/>
        <v>46366</v>
      </c>
      <c r="E68" s="175">
        <f t="shared" ca="1" si="108"/>
        <v>0.88280538434024558</v>
      </c>
      <c r="F68" s="175">
        <f t="shared" ca="1" si="108"/>
        <v>0.88280538434024558</v>
      </c>
      <c r="G68" s="175">
        <f t="shared" ca="1" si="108"/>
        <v>0.88280538434024558</v>
      </c>
      <c r="H68" s="175">
        <f t="shared" ca="1" si="108"/>
        <v>0.88280538434024558</v>
      </c>
      <c r="I68" s="175">
        <f t="shared" si="108"/>
        <v>0</v>
      </c>
      <c r="J68" s="175">
        <f t="shared" si="108"/>
        <v>0</v>
      </c>
      <c r="K68" s="175">
        <f t="shared" si="108"/>
        <v>0</v>
      </c>
      <c r="L68" s="175">
        <f t="shared" si="108"/>
        <v>0</v>
      </c>
      <c r="M68" s="175">
        <f t="shared" si="108"/>
        <v>0</v>
      </c>
      <c r="N68" s="175">
        <f t="shared" si="108"/>
        <v>0</v>
      </c>
      <c r="O68" s="175">
        <f t="shared" si="109"/>
        <v>0</v>
      </c>
      <c r="P68" s="175">
        <f t="shared" si="109"/>
        <v>0</v>
      </c>
      <c r="Q68" s="175">
        <f t="shared" si="109"/>
        <v>0</v>
      </c>
      <c r="R68" s="175">
        <f t="shared" si="109"/>
        <v>0</v>
      </c>
      <c r="S68" s="175">
        <f t="shared" si="109"/>
        <v>0</v>
      </c>
      <c r="T68" s="175">
        <f t="shared" si="109"/>
        <v>0</v>
      </c>
      <c r="U68" s="175">
        <f t="shared" si="109"/>
        <v>0</v>
      </c>
      <c r="V68" s="175"/>
      <c r="W68" s="372"/>
      <c r="X68" s="87">
        <v>50</v>
      </c>
      <c r="Y68" s="87">
        <f t="shared" ca="1" si="35"/>
        <v>67.81</v>
      </c>
      <c r="Z68" s="87">
        <f t="shared" ca="1" si="36"/>
        <v>70.569999999999993</v>
      </c>
      <c r="AA68" s="87">
        <f t="shared" ca="1" si="37"/>
        <v>1172.83</v>
      </c>
      <c r="AB68" s="87">
        <f t="shared" ca="1" si="38"/>
        <v>278.39999999999998</v>
      </c>
      <c r="AC68" s="87">
        <f t="shared" si="39"/>
        <v>0</v>
      </c>
      <c r="AD68" s="87">
        <f t="shared" si="40"/>
        <v>0</v>
      </c>
      <c r="AE68" s="87">
        <f t="shared" si="41"/>
        <v>0</v>
      </c>
      <c r="AF68" s="87">
        <f t="shared" si="42"/>
        <v>0</v>
      </c>
      <c r="AG68" s="87">
        <f t="shared" si="43"/>
        <v>0</v>
      </c>
      <c r="AH68" s="87">
        <f t="shared" si="44"/>
        <v>0</v>
      </c>
      <c r="AI68" s="87">
        <f t="shared" si="45"/>
        <v>0</v>
      </c>
      <c r="AJ68" s="87">
        <f t="shared" si="46"/>
        <v>0</v>
      </c>
      <c r="AK68" s="87">
        <f t="shared" si="47"/>
        <v>0</v>
      </c>
      <c r="AL68" s="87">
        <f t="shared" si="48"/>
        <v>0</v>
      </c>
      <c r="AM68" s="87">
        <f t="shared" si="49"/>
        <v>0</v>
      </c>
      <c r="AN68" s="87">
        <f t="shared" si="50"/>
        <v>0</v>
      </c>
      <c r="AO68" s="87">
        <f t="shared" si="51"/>
        <v>0</v>
      </c>
      <c r="AQ68" s="426">
        <v>50</v>
      </c>
      <c r="AR68" s="258">
        <f t="shared" ca="1" si="58"/>
        <v>47674</v>
      </c>
      <c r="AS68" s="429">
        <f t="shared" ca="1" si="84"/>
        <v>1589.6100000000001</v>
      </c>
      <c r="AT68" s="138"/>
      <c r="AU68" s="278">
        <v>50</v>
      </c>
      <c r="AV68" s="258">
        <f t="shared" ca="1" si="59"/>
        <v>47705</v>
      </c>
      <c r="AW68" s="429">
        <f t="shared" ca="1" si="52"/>
        <v>0</v>
      </c>
      <c r="AX68" s="202">
        <f t="shared" ca="1" si="53"/>
        <v>0</v>
      </c>
      <c r="AY68" s="278">
        <v>50</v>
      </c>
      <c r="AZ68" s="258">
        <f t="shared" ca="1" si="60"/>
        <v>47705</v>
      </c>
      <c r="BA68" s="429">
        <f t="shared" si="54"/>
        <v>1589.6100000000001</v>
      </c>
      <c r="BB68" s="259">
        <f t="shared" ca="1" si="11"/>
        <v>47674</v>
      </c>
      <c r="BC68" s="428">
        <f t="shared" ca="1" si="55"/>
        <v>0</v>
      </c>
      <c r="BD68" s="188">
        <f t="shared" si="85"/>
        <v>67.81</v>
      </c>
      <c r="BE68" s="188">
        <f t="shared" si="86"/>
        <v>70.569999999999993</v>
      </c>
      <c r="BF68" s="188">
        <f t="shared" si="87"/>
        <v>1172.83</v>
      </c>
      <c r="BG68" s="87">
        <f t="shared" si="88"/>
        <v>278.39999999999998</v>
      </c>
      <c r="BH68" s="87">
        <f t="shared" si="89"/>
        <v>0</v>
      </c>
      <c r="BI68" s="87">
        <f t="shared" si="90"/>
        <v>0</v>
      </c>
      <c r="BJ68" s="87">
        <f t="shared" si="91"/>
        <v>0</v>
      </c>
      <c r="BK68" s="87">
        <f t="shared" si="92"/>
        <v>0</v>
      </c>
      <c r="BL68" s="87">
        <f t="shared" si="93"/>
        <v>0</v>
      </c>
      <c r="BM68" s="87">
        <f t="shared" si="94"/>
        <v>0</v>
      </c>
      <c r="BN68" s="87">
        <f t="shared" si="95"/>
        <v>0</v>
      </c>
      <c r="BO68" s="87">
        <f t="shared" si="96"/>
        <v>0</v>
      </c>
      <c r="BP68" s="87">
        <f t="shared" si="97"/>
        <v>0</v>
      </c>
      <c r="BQ68" s="87">
        <f t="shared" si="98"/>
        <v>0</v>
      </c>
      <c r="BR68" s="87">
        <f t="shared" si="99"/>
        <v>0</v>
      </c>
      <c r="BS68" s="87">
        <f t="shared" si="100"/>
        <v>0</v>
      </c>
      <c r="BT68" s="87">
        <f t="shared" si="101"/>
        <v>0</v>
      </c>
      <c r="BV68" s="177"/>
      <c r="BW68" s="177"/>
      <c r="BX68" s="267"/>
      <c r="BY68" s="267"/>
      <c r="BZ68" s="267"/>
      <c r="CA68" s="267"/>
      <c r="CB68" s="267"/>
      <c r="CC68" s="267"/>
      <c r="CD68" s="267"/>
      <c r="CE68" s="267"/>
      <c r="CF68" s="267"/>
      <c r="CG68" s="267"/>
      <c r="CH68" s="267"/>
      <c r="CI68" s="435"/>
      <c r="CJ68" s="436"/>
      <c r="CK68" s="437"/>
      <c r="CM68" s="64" t="s">
        <v>3019</v>
      </c>
      <c r="CN68" s="707">
        <v>40.333333333333336</v>
      </c>
      <c r="CS68" s="178">
        <v>50</v>
      </c>
      <c r="CT68" s="259">
        <f t="shared" ca="1" si="29"/>
        <v>47705</v>
      </c>
      <c r="CU68" s="179">
        <f t="shared" ca="1" si="56"/>
        <v>619.19594694605303</v>
      </c>
      <c r="CV68" s="179">
        <f t="shared" ca="1" si="105"/>
        <v>635.03335582717011</v>
      </c>
      <c r="CW68" s="179">
        <f t="shared" ca="1" si="105"/>
        <v>644.73342133761696</v>
      </c>
      <c r="CX68" s="179">
        <f t="shared" ca="1" si="105"/>
        <v>654.58457987795134</v>
      </c>
      <c r="CY68" s="179">
        <f t="shared" ca="1" si="105"/>
        <v>664.58923054551258</v>
      </c>
      <c r="CZ68" s="179">
        <f t="shared" ca="1" si="105"/>
        <v>674.74981125559418</v>
      </c>
      <c r="DA68" s="179">
        <f t="shared" ca="1" si="105"/>
        <v>681.61138128117011</v>
      </c>
      <c r="DB68" s="179">
        <f t="shared" ca="1" si="105"/>
        <v>695.54871240406192</v>
      </c>
      <c r="DC68" s="179">
        <f t="shared" ca="1" si="105"/>
        <v>702.625985442451</v>
      </c>
      <c r="DD68" s="179">
        <f t="shared" ca="1" si="105"/>
        <v>709.77668501021844</v>
      </c>
      <c r="DE68" s="179">
        <f t="shared" ca="1" si="105"/>
        <v>717.00158758816485</v>
      </c>
      <c r="DF68" s="179" t="e">
        <f t="shared" ca="1" si="105"/>
        <v>#VALUE!</v>
      </c>
      <c r="DG68" s="179" t="e">
        <f t="shared" ca="1" si="105"/>
        <v>#VALUE!</v>
      </c>
      <c r="DH68" s="179" t="e">
        <f t="shared" ca="1" si="105"/>
        <v>#VALUE!</v>
      </c>
      <c r="DI68" s="179" t="e">
        <f t="shared" ca="1" si="105"/>
        <v>#VALUE!</v>
      </c>
      <c r="DJ68" s="179" t="e">
        <f t="shared" ca="1" si="105"/>
        <v>#VALUE!</v>
      </c>
      <c r="DK68" s="179" t="e">
        <f t="shared" ca="1" si="105"/>
        <v>#VALUE!</v>
      </c>
      <c r="DL68" s="179" t="e">
        <f t="shared" ca="1" si="102"/>
        <v>#VALUE!</v>
      </c>
      <c r="DM68" s="179" t="e">
        <f t="shared" ca="1" si="102"/>
        <v>#VALUE!</v>
      </c>
      <c r="DN68" s="179" t="e">
        <f t="shared" ca="1" si="102"/>
        <v>#VALUE!</v>
      </c>
      <c r="DO68" s="179" t="e">
        <f t="shared" ca="1" si="102"/>
        <v>#VALUE!</v>
      </c>
      <c r="DP68" s="179" t="e">
        <f t="shared" ca="1" si="102"/>
        <v>#VALUE!</v>
      </c>
      <c r="DQ68" s="179" t="e">
        <f t="shared" ca="1" si="102"/>
        <v>#VALUE!</v>
      </c>
      <c r="DR68" s="431">
        <v>50</v>
      </c>
      <c r="DS68" s="430">
        <f t="shared" ca="1" si="61"/>
        <v>47674</v>
      </c>
      <c r="DT68" s="180">
        <f t="shared" ca="1" si="104"/>
        <v>0</v>
      </c>
      <c r="DU68" s="180">
        <f t="shared" ca="1" si="104"/>
        <v>0</v>
      </c>
      <c r="DV68" s="180">
        <f t="shared" ca="1" si="104"/>
        <v>0</v>
      </c>
      <c r="DW68" s="180">
        <f t="shared" ca="1" si="103"/>
        <v>0</v>
      </c>
      <c r="DX68" s="180">
        <f t="shared" ca="1" si="103"/>
        <v>0</v>
      </c>
      <c r="DY68" s="180">
        <f t="shared" ca="1" si="103"/>
        <v>0</v>
      </c>
      <c r="DZ68" s="180">
        <f t="shared" ca="1" si="103"/>
        <v>0</v>
      </c>
      <c r="EA68" s="180">
        <f t="shared" ca="1" si="103"/>
        <v>0</v>
      </c>
      <c r="EB68" s="180">
        <f t="shared" ca="1" si="103"/>
        <v>0</v>
      </c>
      <c r="EC68" s="180">
        <f t="shared" ca="1" si="103"/>
        <v>0</v>
      </c>
      <c r="ED68" s="180">
        <f t="shared" ca="1" si="103"/>
        <v>0</v>
      </c>
      <c r="EE68" s="180">
        <f t="shared" ca="1" si="103"/>
        <v>0</v>
      </c>
      <c r="EF68" s="180">
        <f t="shared" ca="1" si="103"/>
        <v>0</v>
      </c>
      <c r="EG68" s="180">
        <f t="shared" ca="1" si="103"/>
        <v>0</v>
      </c>
      <c r="EH68" s="180">
        <f t="shared" ca="1" si="75"/>
        <v>0</v>
      </c>
      <c r="EI68" s="180">
        <f t="shared" ca="1" si="106"/>
        <v>0</v>
      </c>
      <c r="EJ68" s="180">
        <f t="shared" ca="1" si="106"/>
        <v>0</v>
      </c>
      <c r="EK68" s="180">
        <f t="shared" ca="1" si="106"/>
        <v>0</v>
      </c>
      <c r="EL68" s="180">
        <f t="shared" ca="1" si="106"/>
        <v>0</v>
      </c>
      <c r="EM68" s="180">
        <f t="shared" ca="1" si="106"/>
        <v>0</v>
      </c>
      <c r="EN68" s="180">
        <f t="shared" ca="1" si="106"/>
        <v>0</v>
      </c>
      <c r="EO68" s="180">
        <f t="shared" ca="1" si="106"/>
        <v>0</v>
      </c>
      <c r="EP68" s="180">
        <f t="shared" ca="1" si="106"/>
        <v>0</v>
      </c>
      <c r="EQ68" s="180"/>
      <c r="ER68" s="180"/>
    </row>
    <row r="69" spans="2:148" s="87" customFormat="1" hidden="1" x14ac:dyDescent="0.25">
      <c r="B69" s="151"/>
      <c r="C69" s="87">
        <v>8</v>
      </c>
      <c r="D69" s="258">
        <f t="shared" ca="1" si="110"/>
        <v>46397</v>
      </c>
      <c r="E69" s="175">
        <f t="shared" ca="1" si="108"/>
        <v>0.86624067439050978</v>
      </c>
      <c r="F69" s="175">
        <f t="shared" ca="1" si="108"/>
        <v>0.86624067439050978</v>
      </c>
      <c r="G69" s="175">
        <f t="shared" ca="1" si="108"/>
        <v>0.86624067439050978</v>
      </c>
      <c r="H69" s="175">
        <f t="shared" ca="1" si="108"/>
        <v>0.86624067439050978</v>
      </c>
      <c r="I69" s="175">
        <f t="shared" si="108"/>
        <v>0</v>
      </c>
      <c r="J69" s="175">
        <f t="shared" si="108"/>
        <v>0</v>
      </c>
      <c r="K69" s="175">
        <f t="shared" si="108"/>
        <v>0</v>
      </c>
      <c r="L69" s="175">
        <f t="shared" si="108"/>
        <v>0</v>
      </c>
      <c r="M69" s="175">
        <f t="shared" si="108"/>
        <v>0</v>
      </c>
      <c r="N69" s="175">
        <f t="shared" si="108"/>
        <v>0</v>
      </c>
      <c r="O69" s="175">
        <f t="shared" si="109"/>
        <v>0</v>
      </c>
      <c r="P69" s="175">
        <f t="shared" si="109"/>
        <v>0</v>
      </c>
      <c r="Q69" s="175">
        <f t="shared" si="109"/>
        <v>0</v>
      </c>
      <c r="R69" s="175">
        <f t="shared" si="109"/>
        <v>0</v>
      </c>
      <c r="S69" s="175">
        <f t="shared" si="109"/>
        <v>0</v>
      </c>
      <c r="T69" s="175">
        <f t="shared" si="109"/>
        <v>0</v>
      </c>
      <c r="U69" s="175">
        <f t="shared" si="109"/>
        <v>0</v>
      </c>
      <c r="V69" s="175"/>
      <c r="W69" s="372"/>
      <c r="X69" s="87">
        <v>51</v>
      </c>
      <c r="Y69" s="87">
        <f t="shared" ca="1" si="35"/>
        <v>67.81</v>
      </c>
      <c r="Z69" s="87">
        <f t="shared" ca="1" si="36"/>
        <v>70.569999999999993</v>
      </c>
      <c r="AA69" s="87">
        <f t="shared" ca="1" si="37"/>
        <v>1172.83</v>
      </c>
      <c r="AB69" s="87">
        <f t="shared" ca="1" si="38"/>
        <v>278.39999999999998</v>
      </c>
      <c r="AC69" s="87">
        <f t="shared" si="39"/>
        <v>0</v>
      </c>
      <c r="AD69" s="87">
        <f t="shared" si="40"/>
        <v>0</v>
      </c>
      <c r="AE69" s="87">
        <f t="shared" si="41"/>
        <v>0</v>
      </c>
      <c r="AF69" s="87">
        <f t="shared" si="42"/>
        <v>0</v>
      </c>
      <c r="AG69" s="87">
        <f t="shared" si="43"/>
        <v>0</v>
      </c>
      <c r="AH69" s="87">
        <f t="shared" si="44"/>
        <v>0</v>
      </c>
      <c r="AI69" s="87">
        <f t="shared" si="45"/>
        <v>0</v>
      </c>
      <c r="AJ69" s="87">
        <f t="shared" si="46"/>
        <v>0</v>
      </c>
      <c r="AK69" s="87">
        <f t="shared" si="47"/>
        <v>0</v>
      </c>
      <c r="AL69" s="87">
        <f t="shared" si="48"/>
        <v>0</v>
      </c>
      <c r="AM69" s="87">
        <f t="shared" si="49"/>
        <v>0</v>
      </c>
      <c r="AN69" s="87">
        <f t="shared" si="50"/>
        <v>0</v>
      </c>
      <c r="AO69" s="87">
        <f t="shared" si="51"/>
        <v>0</v>
      </c>
      <c r="AQ69" s="426">
        <v>51</v>
      </c>
      <c r="AR69" s="258">
        <f t="shared" ca="1" si="58"/>
        <v>47705</v>
      </c>
      <c r="AS69" s="429">
        <f t="shared" ca="1" si="84"/>
        <v>1589.6100000000001</v>
      </c>
      <c r="AT69" s="138"/>
      <c r="AU69" s="278">
        <v>51</v>
      </c>
      <c r="AV69" s="258">
        <f t="shared" ca="1" si="59"/>
        <v>47736</v>
      </c>
      <c r="AW69" s="429">
        <f t="shared" ca="1" si="52"/>
        <v>0</v>
      </c>
      <c r="AX69" s="202">
        <f t="shared" ca="1" si="53"/>
        <v>0</v>
      </c>
      <c r="AY69" s="278">
        <v>51</v>
      </c>
      <c r="AZ69" s="258">
        <f t="shared" ca="1" si="60"/>
        <v>47736</v>
      </c>
      <c r="BA69" s="429">
        <f t="shared" si="54"/>
        <v>1589.6100000000001</v>
      </c>
      <c r="BB69" s="259">
        <f t="shared" ca="1" si="11"/>
        <v>47705</v>
      </c>
      <c r="BC69" s="428">
        <f t="shared" ca="1" si="55"/>
        <v>0</v>
      </c>
      <c r="BD69" s="188">
        <f t="shared" si="85"/>
        <v>67.81</v>
      </c>
      <c r="BE69" s="188">
        <f t="shared" si="86"/>
        <v>70.569999999999993</v>
      </c>
      <c r="BF69" s="188">
        <f t="shared" si="87"/>
        <v>1172.83</v>
      </c>
      <c r="BG69" s="87">
        <f t="shared" si="88"/>
        <v>278.39999999999998</v>
      </c>
      <c r="BH69" s="87">
        <f t="shared" si="89"/>
        <v>0</v>
      </c>
      <c r="BI69" s="87">
        <f t="shared" si="90"/>
        <v>0</v>
      </c>
      <c r="BJ69" s="87">
        <f t="shared" si="91"/>
        <v>0</v>
      </c>
      <c r="BK69" s="87">
        <f t="shared" si="92"/>
        <v>0</v>
      </c>
      <c r="BL69" s="87">
        <f t="shared" si="93"/>
        <v>0</v>
      </c>
      <c r="BM69" s="87">
        <f t="shared" si="94"/>
        <v>0</v>
      </c>
      <c r="BN69" s="87">
        <f t="shared" si="95"/>
        <v>0</v>
      </c>
      <c r="BO69" s="87">
        <f t="shared" si="96"/>
        <v>0</v>
      </c>
      <c r="BP69" s="87">
        <f t="shared" si="97"/>
        <v>0</v>
      </c>
      <c r="BQ69" s="87">
        <f t="shared" si="98"/>
        <v>0</v>
      </c>
      <c r="BR69" s="87">
        <f t="shared" si="99"/>
        <v>0</v>
      </c>
      <c r="BS69" s="87">
        <f t="shared" si="100"/>
        <v>0</v>
      </c>
      <c r="BT69" s="87">
        <f t="shared" si="101"/>
        <v>0</v>
      </c>
      <c r="BV69" s="177"/>
      <c r="BW69" s="177"/>
      <c r="BX69" s="267"/>
      <c r="BY69" s="267"/>
      <c r="BZ69" s="267"/>
      <c r="CA69" s="267"/>
      <c r="CB69" s="267"/>
      <c r="CC69" s="267"/>
      <c r="CD69" s="267"/>
      <c r="CE69" s="267"/>
      <c r="CF69" s="267"/>
      <c r="CG69" s="267"/>
      <c r="CH69" s="267"/>
      <c r="CI69" s="435"/>
      <c r="CJ69" s="436"/>
      <c r="CK69" s="437"/>
      <c r="CM69" s="64" t="s">
        <v>2393</v>
      </c>
      <c r="CN69" s="707"/>
      <c r="CS69" s="138">
        <v>51</v>
      </c>
      <c r="CT69" s="259">
        <f t="shared" ca="1" si="29"/>
        <v>47736</v>
      </c>
      <c r="CU69" s="179">
        <f t="shared" ca="1" si="56"/>
        <v>607.57752974430616</v>
      </c>
      <c r="CV69" s="179">
        <f t="shared" ca="1" si="105"/>
        <v>623.43402421505357</v>
      </c>
      <c r="CW69" s="179">
        <f t="shared" ca="1" si="105"/>
        <v>633.14971615408672</v>
      </c>
      <c r="CX69" s="179">
        <f t="shared" ca="1" si="105"/>
        <v>643.01975056819458</v>
      </c>
      <c r="CY69" s="179">
        <f t="shared" ca="1" si="105"/>
        <v>653.04662592522891</v>
      </c>
      <c r="CZ69" s="179">
        <f t="shared" ca="1" si="105"/>
        <v>663.23288189255038</v>
      </c>
      <c r="DA69" s="179">
        <f t="shared" ca="1" si="105"/>
        <v>670.11353708633601</v>
      </c>
      <c r="DB69" s="179">
        <f t="shared" ca="1" si="105"/>
        <v>684.09390448804061</v>
      </c>
      <c r="DC69" s="179">
        <f t="shared" ca="1" si="105"/>
        <v>691.19519310230771</v>
      </c>
      <c r="DD69" s="179">
        <f t="shared" ca="1" si="105"/>
        <v>698.37161703027004</v>
      </c>
      <c r="DE69" s="179">
        <f t="shared" ca="1" si="105"/>
        <v>705.6239862711659</v>
      </c>
      <c r="DF69" s="179" t="e">
        <f t="shared" ca="1" si="105"/>
        <v>#VALUE!</v>
      </c>
      <c r="DG69" s="179" t="e">
        <f t="shared" ca="1" si="105"/>
        <v>#VALUE!</v>
      </c>
      <c r="DH69" s="179" t="e">
        <f t="shared" ca="1" si="105"/>
        <v>#VALUE!</v>
      </c>
      <c r="DI69" s="179" t="e">
        <f t="shared" ca="1" si="105"/>
        <v>#VALUE!</v>
      </c>
      <c r="DJ69" s="179" t="e">
        <f t="shared" ca="1" si="105"/>
        <v>#VALUE!</v>
      </c>
      <c r="DK69" s="179" t="e">
        <f t="shared" ca="1" si="105"/>
        <v>#VALUE!</v>
      </c>
      <c r="DL69" s="179" t="e">
        <f t="shared" ca="1" si="102"/>
        <v>#VALUE!</v>
      </c>
      <c r="DM69" s="179" t="e">
        <f t="shared" ca="1" si="102"/>
        <v>#VALUE!</v>
      </c>
      <c r="DN69" s="179" t="e">
        <f t="shared" ca="1" si="102"/>
        <v>#VALUE!</v>
      </c>
      <c r="DO69" s="179" t="e">
        <f t="shared" ca="1" si="102"/>
        <v>#VALUE!</v>
      </c>
      <c r="DP69" s="179" t="e">
        <f t="shared" ca="1" si="102"/>
        <v>#VALUE!</v>
      </c>
      <c r="DQ69" s="179" t="e">
        <f t="shared" ca="1" si="102"/>
        <v>#VALUE!</v>
      </c>
      <c r="DR69" s="278">
        <v>51</v>
      </c>
      <c r="DS69" s="430">
        <f t="shared" ca="1" si="61"/>
        <v>47705</v>
      </c>
      <c r="DT69" s="180">
        <f t="shared" ca="1" si="104"/>
        <v>0</v>
      </c>
      <c r="DU69" s="180">
        <f t="shared" ca="1" si="104"/>
        <v>0</v>
      </c>
      <c r="DV69" s="180">
        <f t="shared" ca="1" si="104"/>
        <v>0</v>
      </c>
      <c r="DW69" s="180">
        <f t="shared" ca="1" si="103"/>
        <v>0</v>
      </c>
      <c r="DX69" s="180">
        <f t="shared" ca="1" si="103"/>
        <v>0</v>
      </c>
      <c r="DY69" s="180">
        <f t="shared" ca="1" si="103"/>
        <v>0</v>
      </c>
      <c r="DZ69" s="180">
        <f t="shared" ca="1" si="103"/>
        <v>0</v>
      </c>
      <c r="EA69" s="180">
        <f t="shared" ca="1" si="103"/>
        <v>0</v>
      </c>
      <c r="EB69" s="180">
        <f t="shared" ca="1" si="103"/>
        <v>0</v>
      </c>
      <c r="EC69" s="180">
        <f t="shared" ca="1" si="103"/>
        <v>0</v>
      </c>
      <c r="ED69" s="180">
        <f t="shared" ca="1" si="103"/>
        <v>0</v>
      </c>
      <c r="EE69" s="180">
        <f t="shared" ca="1" si="103"/>
        <v>0</v>
      </c>
      <c r="EF69" s="180">
        <f t="shared" ca="1" si="103"/>
        <v>0</v>
      </c>
      <c r="EG69" s="180">
        <f t="shared" ca="1" si="103"/>
        <v>0</v>
      </c>
      <c r="EH69" s="180">
        <f t="shared" ca="1" si="75"/>
        <v>0</v>
      </c>
      <c r="EI69" s="180">
        <f t="shared" ca="1" si="106"/>
        <v>0</v>
      </c>
      <c r="EJ69" s="180">
        <f t="shared" ca="1" si="106"/>
        <v>0</v>
      </c>
      <c r="EK69" s="180">
        <f t="shared" ca="1" si="106"/>
        <v>0</v>
      </c>
      <c r="EL69" s="180">
        <f t="shared" ca="1" si="106"/>
        <v>0</v>
      </c>
      <c r="EM69" s="180">
        <f t="shared" ca="1" si="106"/>
        <v>0</v>
      </c>
      <c r="EN69" s="180">
        <f t="shared" ca="1" si="106"/>
        <v>0</v>
      </c>
      <c r="EO69" s="180">
        <f t="shared" ca="1" si="106"/>
        <v>0</v>
      </c>
      <c r="EP69" s="180">
        <f t="shared" ca="1" si="106"/>
        <v>0</v>
      </c>
      <c r="EQ69" s="180"/>
      <c r="ER69" s="180"/>
    </row>
    <row r="70" spans="2:148" s="87" customFormat="1" hidden="1" x14ac:dyDescent="0.25">
      <c r="B70" s="151"/>
      <c r="C70" s="87">
        <v>9</v>
      </c>
      <c r="D70" s="258">
        <f t="shared" ca="1" si="110"/>
        <v>46428</v>
      </c>
      <c r="E70" s="175">
        <f t="shared" ca="1" si="108"/>
        <v>0.84998677996204974</v>
      </c>
      <c r="F70" s="175">
        <f t="shared" ca="1" si="108"/>
        <v>0.84998677996204974</v>
      </c>
      <c r="G70" s="175">
        <f t="shared" ca="1" si="108"/>
        <v>0.84998677996204974</v>
      </c>
      <c r="H70" s="175">
        <f t="shared" ca="1" si="108"/>
        <v>0.84998677996204974</v>
      </c>
      <c r="I70" s="175">
        <f t="shared" si="108"/>
        <v>0</v>
      </c>
      <c r="J70" s="175">
        <f t="shared" si="108"/>
        <v>0</v>
      </c>
      <c r="K70" s="175">
        <f t="shared" si="108"/>
        <v>0</v>
      </c>
      <c r="L70" s="175">
        <f t="shared" si="108"/>
        <v>0</v>
      </c>
      <c r="M70" s="175">
        <f t="shared" si="108"/>
        <v>0</v>
      </c>
      <c r="N70" s="175">
        <f t="shared" si="108"/>
        <v>0</v>
      </c>
      <c r="O70" s="175">
        <f t="shared" si="109"/>
        <v>0</v>
      </c>
      <c r="P70" s="175">
        <f t="shared" si="109"/>
        <v>0</v>
      </c>
      <c r="Q70" s="175">
        <f t="shared" si="109"/>
        <v>0</v>
      </c>
      <c r="R70" s="175">
        <f t="shared" si="109"/>
        <v>0</v>
      </c>
      <c r="S70" s="175">
        <f t="shared" si="109"/>
        <v>0</v>
      </c>
      <c r="T70" s="175">
        <f t="shared" si="109"/>
        <v>0</v>
      </c>
      <c r="U70" s="175">
        <f t="shared" si="109"/>
        <v>0</v>
      </c>
      <c r="V70" s="175"/>
      <c r="W70" s="372"/>
      <c r="X70" s="87">
        <v>52</v>
      </c>
      <c r="Y70" s="87">
        <f t="shared" ca="1" si="35"/>
        <v>67.81</v>
      </c>
      <c r="Z70" s="87">
        <f t="shared" ca="1" si="36"/>
        <v>70.569999999999993</v>
      </c>
      <c r="AA70" s="87">
        <f t="shared" ca="1" si="37"/>
        <v>1172.83</v>
      </c>
      <c r="AB70" s="87">
        <f t="shared" ca="1" si="38"/>
        <v>278.39999999999998</v>
      </c>
      <c r="AC70" s="87">
        <f t="shared" si="39"/>
        <v>0</v>
      </c>
      <c r="AD70" s="87">
        <f t="shared" si="40"/>
        <v>0</v>
      </c>
      <c r="AE70" s="87">
        <f t="shared" si="41"/>
        <v>0</v>
      </c>
      <c r="AF70" s="87">
        <f t="shared" si="42"/>
        <v>0</v>
      </c>
      <c r="AG70" s="87">
        <f t="shared" si="43"/>
        <v>0</v>
      </c>
      <c r="AH70" s="87">
        <f t="shared" si="44"/>
        <v>0</v>
      </c>
      <c r="AI70" s="87">
        <f t="shared" si="45"/>
        <v>0</v>
      </c>
      <c r="AJ70" s="87">
        <f t="shared" si="46"/>
        <v>0</v>
      </c>
      <c r="AK70" s="87">
        <f t="shared" si="47"/>
        <v>0</v>
      </c>
      <c r="AL70" s="87">
        <f t="shared" si="48"/>
        <v>0</v>
      </c>
      <c r="AM70" s="87">
        <f t="shared" si="49"/>
        <v>0</v>
      </c>
      <c r="AN70" s="87">
        <f t="shared" si="50"/>
        <v>0</v>
      </c>
      <c r="AO70" s="87">
        <f t="shared" si="51"/>
        <v>0</v>
      </c>
      <c r="AQ70" s="426">
        <v>52</v>
      </c>
      <c r="AR70" s="258">
        <f t="shared" ca="1" si="58"/>
        <v>47736</v>
      </c>
      <c r="AS70" s="429">
        <f t="shared" ca="1" si="84"/>
        <v>1589.6100000000001</v>
      </c>
      <c r="AT70" s="138"/>
      <c r="AU70" s="278">
        <v>52</v>
      </c>
      <c r="AV70" s="258">
        <f t="shared" ca="1" si="59"/>
        <v>47766</v>
      </c>
      <c r="AW70" s="429">
        <f t="shared" ca="1" si="52"/>
        <v>0</v>
      </c>
      <c r="AX70" s="202">
        <f t="shared" ca="1" si="53"/>
        <v>0</v>
      </c>
      <c r="AY70" s="278">
        <v>52</v>
      </c>
      <c r="AZ70" s="258">
        <f t="shared" ca="1" si="60"/>
        <v>47766</v>
      </c>
      <c r="BA70" s="429">
        <f t="shared" si="54"/>
        <v>1589.6100000000001</v>
      </c>
      <c r="BB70" s="259">
        <f t="shared" ca="1" si="11"/>
        <v>47736</v>
      </c>
      <c r="BC70" s="428">
        <f t="shared" ca="1" si="55"/>
        <v>0</v>
      </c>
      <c r="BD70" s="188">
        <f t="shared" si="85"/>
        <v>67.81</v>
      </c>
      <c r="BE70" s="188">
        <f t="shared" si="86"/>
        <v>70.569999999999993</v>
      </c>
      <c r="BF70" s="188">
        <f t="shared" si="87"/>
        <v>1172.83</v>
      </c>
      <c r="BG70" s="87">
        <f t="shared" si="88"/>
        <v>278.39999999999998</v>
      </c>
      <c r="BH70" s="87">
        <f t="shared" si="89"/>
        <v>0</v>
      </c>
      <c r="BI70" s="87">
        <f t="shared" si="90"/>
        <v>0</v>
      </c>
      <c r="BJ70" s="87">
        <f t="shared" si="91"/>
        <v>0</v>
      </c>
      <c r="BK70" s="87">
        <f t="shared" si="92"/>
        <v>0</v>
      </c>
      <c r="BL70" s="87">
        <f t="shared" si="93"/>
        <v>0</v>
      </c>
      <c r="BM70" s="87">
        <f t="shared" si="94"/>
        <v>0</v>
      </c>
      <c r="BN70" s="87">
        <f t="shared" si="95"/>
        <v>0</v>
      </c>
      <c r="BO70" s="87">
        <f t="shared" si="96"/>
        <v>0</v>
      </c>
      <c r="BP70" s="87">
        <f t="shared" si="97"/>
        <v>0</v>
      </c>
      <c r="BQ70" s="87">
        <f t="shared" si="98"/>
        <v>0</v>
      </c>
      <c r="BR70" s="87">
        <f t="shared" si="99"/>
        <v>0</v>
      </c>
      <c r="BS70" s="87">
        <f t="shared" si="100"/>
        <v>0</v>
      </c>
      <c r="BT70" s="87">
        <f t="shared" si="101"/>
        <v>0</v>
      </c>
      <c r="BV70" s="177"/>
      <c r="BW70" s="177"/>
      <c r="BX70" s="267"/>
      <c r="BY70" s="267"/>
      <c r="BZ70" s="267"/>
      <c r="CA70" s="267"/>
      <c r="CB70" s="267"/>
      <c r="CC70" s="267"/>
      <c r="CD70" s="267"/>
      <c r="CE70" s="267"/>
      <c r="CF70" s="267"/>
      <c r="CG70" s="267"/>
      <c r="CH70" s="267"/>
      <c r="CI70" s="435"/>
      <c r="CJ70" s="436"/>
      <c r="CK70" s="437"/>
      <c r="CM70" s="64" t="s">
        <v>3772</v>
      </c>
      <c r="CN70" s="707"/>
      <c r="CS70" s="87">
        <v>52</v>
      </c>
      <c r="CT70" s="259">
        <f t="shared" ca="1" si="29"/>
        <v>47766</v>
      </c>
      <c r="CU70" s="179">
        <f t="shared" ca="1" si="56"/>
        <v>596.54151177644201</v>
      </c>
      <c r="CV70" s="179">
        <f t="shared" ca="1" si="105"/>
        <v>612.4106328242176</v>
      </c>
      <c r="CW70" s="179">
        <f t="shared" ca="1" si="105"/>
        <v>622.13787575325409</v>
      </c>
      <c r="CX70" s="179">
        <f t="shared" ca="1" si="105"/>
        <v>632.02255805798552</v>
      </c>
      <c r="CY70" s="179">
        <f t="shared" ca="1" si="105"/>
        <v>642.06727551394067</v>
      </c>
      <c r="CZ70" s="179">
        <f t="shared" ca="1" si="105"/>
        <v>652.2746674789048</v>
      </c>
      <c r="DA70" s="179">
        <f t="shared" ca="1" si="105"/>
        <v>659.17129361237073</v>
      </c>
      <c r="DB70" s="179">
        <f t="shared" ca="1" si="105"/>
        <v>673.18825476091376</v>
      </c>
      <c r="DC70" s="179">
        <f t="shared" ca="1" si="105"/>
        <v>680.31022943140522</v>
      </c>
      <c r="DD70" s="179">
        <f t="shared" ca="1" si="105"/>
        <v>687.50897522176626</v>
      </c>
      <c r="DE70" s="179">
        <f t="shared" ca="1" si="105"/>
        <v>694.78533504447205</v>
      </c>
      <c r="DF70" s="179" t="e">
        <f t="shared" ca="1" si="105"/>
        <v>#VALUE!</v>
      </c>
      <c r="DG70" s="179" t="e">
        <f t="shared" ca="1" si="105"/>
        <v>#VALUE!</v>
      </c>
      <c r="DH70" s="179" t="e">
        <f t="shared" ca="1" si="105"/>
        <v>#VALUE!</v>
      </c>
      <c r="DI70" s="179" t="e">
        <f t="shared" ca="1" si="105"/>
        <v>#VALUE!</v>
      </c>
      <c r="DJ70" s="179" t="e">
        <f t="shared" ca="1" si="105"/>
        <v>#VALUE!</v>
      </c>
      <c r="DK70" s="179" t="e">
        <f t="shared" ca="1" si="105"/>
        <v>#VALUE!</v>
      </c>
      <c r="DL70" s="179" t="e">
        <f t="shared" ca="1" si="102"/>
        <v>#VALUE!</v>
      </c>
      <c r="DM70" s="179" t="e">
        <f t="shared" ca="1" si="102"/>
        <v>#VALUE!</v>
      </c>
      <c r="DN70" s="179" t="e">
        <f t="shared" ca="1" si="102"/>
        <v>#VALUE!</v>
      </c>
      <c r="DO70" s="179" t="e">
        <f t="shared" ca="1" si="102"/>
        <v>#VALUE!</v>
      </c>
      <c r="DP70" s="179" t="e">
        <f t="shared" ca="1" si="102"/>
        <v>#VALUE!</v>
      </c>
      <c r="DQ70" s="179" t="e">
        <f t="shared" ca="1" si="102"/>
        <v>#VALUE!</v>
      </c>
      <c r="DR70" s="188">
        <v>52</v>
      </c>
      <c r="DS70" s="430">
        <f t="shared" ca="1" si="61"/>
        <v>47736</v>
      </c>
      <c r="DT70" s="180">
        <f t="shared" ca="1" si="104"/>
        <v>0</v>
      </c>
      <c r="DU70" s="180">
        <f t="shared" ca="1" si="104"/>
        <v>0</v>
      </c>
      <c r="DV70" s="180">
        <f t="shared" ca="1" si="104"/>
        <v>0</v>
      </c>
      <c r="DW70" s="180">
        <f t="shared" ca="1" si="103"/>
        <v>0</v>
      </c>
      <c r="DX70" s="180">
        <f t="shared" ca="1" si="103"/>
        <v>0</v>
      </c>
      <c r="DY70" s="180">
        <f t="shared" ca="1" si="103"/>
        <v>0</v>
      </c>
      <c r="DZ70" s="180">
        <f t="shared" ca="1" si="103"/>
        <v>0</v>
      </c>
      <c r="EA70" s="180">
        <f t="shared" ca="1" si="103"/>
        <v>0</v>
      </c>
      <c r="EB70" s="180">
        <f t="shared" ca="1" si="103"/>
        <v>0</v>
      </c>
      <c r="EC70" s="180">
        <f t="shared" ca="1" si="103"/>
        <v>0</v>
      </c>
      <c r="ED70" s="180">
        <f t="shared" ca="1" si="103"/>
        <v>0</v>
      </c>
      <c r="EE70" s="180">
        <f t="shared" ca="1" si="103"/>
        <v>0</v>
      </c>
      <c r="EF70" s="180">
        <f t="shared" ca="1" si="103"/>
        <v>0</v>
      </c>
      <c r="EG70" s="180">
        <f t="shared" ca="1" si="103"/>
        <v>0</v>
      </c>
      <c r="EH70" s="180">
        <f t="shared" ca="1" si="75"/>
        <v>0</v>
      </c>
      <c r="EI70" s="180">
        <f t="shared" ca="1" si="106"/>
        <v>0</v>
      </c>
      <c r="EJ70" s="180">
        <f t="shared" ca="1" si="106"/>
        <v>0</v>
      </c>
      <c r="EK70" s="180">
        <f t="shared" ca="1" si="106"/>
        <v>0</v>
      </c>
      <c r="EL70" s="180">
        <f t="shared" ca="1" si="106"/>
        <v>0</v>
      </c>
      <c r="EM70" s="180">
        <f t="shared" ca="1" si="106"/>
        <v>0</v>
      </c>
      <c r="EN70" s="180">
        <f t="shared" ca="1" si="106"/>
        <v>0</v>
      </c>
      <c r="EO70" s="180">
        <f t="shared" ca="1" si="106"/>
        <v>0</v>
      </c>
      <c r="EP70" s="180">
        <f t="shared" ca="1" si="106"/>
        <v>0</v>
      </c>
      <c r="EQ70" s="180"/>
      <c r="ER70" s="180"/>
    </row>
    <row r="71" spans="2:148" s="87" customFormat="1" hidden="1" x14ac:dyDescent="0.25">
      <c r="B71" s="151"/>
      <c r="C71" s="87">
        <v>10</v>
      </c>
      <c r="D71" s="258">
        <f t="shared" ca="1" si="110"/>
        <v>46456</v>
      </c>
      <c r="E71" s="175">
        <f t="shared" ca="1" si="108"/>
        <v>0.83556814234576315</v>
      </c>
      <c r="F71" s="175">
        <f t="shared" ca="1" si="108"/>
        <v>0.83556814234576315</v>
      </c>
      <c r="G71" s="175">
        <f t="shared" ca="1" si="108"/>
        <v>0.83556814234576315</v>
      </c>
      <c r="H71" s="175">
        <f t="shared" ca="1" si="108"/>
        <v>0.83556814234576315</v>
      </c>
      <c r="I71" s="175">
        <f t="shared" si="108"/>
        <v>0</v>
      </c>
      <c r="J71" s="175">
        <f t="shared" si="108"/>
        <v>0</v>
      </c>
      <c r="K71" s="175">
        <f t="shared" si="108"/>
        <v>0</v>
      </c>
      <c r="L71" s="175">
        <f t="shared" si="108"/>
        <v>0</v>
      </c>
      <c r="M71" s="175">
        <f t="shared" si="108"/>
        <v>0</v>
      </c>
      <c r="N71" s="175">
        <f t="shared" si="108"/>
        <v>0</v>
      </c>
      <c r="O71" s="175">
        <f t="shared" si="109"/>
        <v>0</v>
      </c>
      <c r="P71" s="175">
        <f t="shared" si="109"/>
        <v>0</v>
      </c>
      <c r="Q71" s="175">
        <f t="shared" si="109"/>
        <v>0</v>
      </c>
      <c r="R71" s="175">
        <f t="shared" si="109"/>
        <v>0</v>
      </c>
      <c r="S71" s="175">
        <f t="shared" si="109"/>
        <v>0</v>
      </c>
      <c r="T71" s="175">
        <f t="shared" si="109"/>
        <v>0</v>
      </c>
      <c r="U71" s="175">
        <f t="shared" si="109"/>
        <v>0</v>
      </c>
      <c r="V71" s="175"/>
      <c r="W71" s="372"/>
      <c r="X71" s="87">
        <v>53</v>
      </c>
      <c r="Y71" s="87">
        <f t="shared" ca="1" si="35"/>
        <v>67.81</v>
      </c>
      <c r="Z71" s="87">
        <f t="shared" ca="1" si="36"/>
        <v>70.569999999999993</v>
      </c>
      <c r="AA71" s="87">
        <f t="shared" ca="1" si="37"/>
        <v>1172.83</v>
      </c>
      <c r="AB71" s="87">
        <f t="shared" ca="1" si="38"/>
        <v>278.39999999999998</v>
      </c>
      <c r="AC71" s="87">
        <f t="shared" si="39"/>
        <v>0</v>
      </c>
      <c r="AD71" s="87">
        <f t="shared" si="40"/>
        <v>0</v>
      </c>
      <c r="AE71" s="87">
        <f t="shared" si="41"/>
        <v>0</v>
      </c>
      <c r="AF71" s="87">
        <f t="shared" si="42"/>
        <v>0</v>
      </c>
      <c r="AG71" s="87">
        <f t="shared" si="43"/>
        <v>0</v>
      </c>
      <c r="AH71" s="87">
        <f t="shared" si="44"/>
        <v>0</v>
      </c>
      <c r="AI71" s="87">
        <f t="shared" si="45"/>
        <v>0</v>
      </c>
      <c r="AJ71" s="87">
        <f t="shared" si="46"/>
        <v>0</v>
      </c>
      <c r="AK71" s="87">
        <f t="shared" si="47"/>
        <v>0</v>
      </c>
      <c r="AL71" s="87">
        <f t="shared" si="48"/>
        <v>0</v>
      </c>
      <c r="AM71" s="87">
        <f t="shared" si="49"/>
        <v>0</v>
      </c>
      <c r="AN71" s="87">
        <f t="shared" si="50"/>
        <v>0</v>
      </c>
      <c r="AO71" s="87">
        <f t="shared" si="51"/>
        <v>0</v>
      </c>
      <c r="AQ71" s="426">
        <v>53</v>
      </c>
      <c r="AR71" s="258">
        <f t="shared" ca="1" si="58"/>
        <v>47766</v>
      </c>
      <c r="AS71" s="429">
        <f t="shared" ca="1" si="84"/>
        <v>1589.6100000000001</v>
      </c>
      <c r="AT71" s="138"/>
      <c r="AU71" s="278">
        <v>53</v>
      </c>
      <c r="AV71" s="258">
        <f t="shared" ca="1" si="59"/>
        <v>47797</v>
      </c>
      <c r="AW71" s="429">
        <f t="shared" ca="1" si="52"/>
        <v>0</v>
      </c>
      <c r="AX71" s="202">
        <f t="shared" ca="1" si="53"/>
        <v>0</v>
      </c>
      <c r="AY71" s="278">
        <v>53</v>
      </c>
      <c r="AZ71" s="258">
        <f t="shared" ca="1" si="60"/>
        <v>47797</v>
      </c>
      <c r="BA71" s="429">
        <f t="shared" si="54"/>
        <v>1589.6100000000001</v>
      </c>
      <c r="BB71" s="259">
        <f t="shared" ca="1" si="11"/>
        <v>47766</v>
      </c>
      <c r="BC71" s="428">
        <f t="shared" ca="1" si="55"/>
        <v>0</v>
      </c>
      <c r="BD71" s="188">
        <f t="shared" si="85"/>
        <v>67.81</v>
      </c>
      <c r="BE71" s="188">
        <f t="shared" si="86"/>
        <v>70.569999999999993</v>
      </c>
      <c r="BF71" s="188">
        <f t="shared" si="87"/>
        <v>1172.83</v>
      </c>
      <c r="BG71" s="87">
        <f t="shared" si="88"/>
        <v>278.39999999999998</v>
      </c>
      <c r="BH71" s="87">
        <f t="shared" si="89"/>
        <v>0</v>
      </c>
      <c r="BI71" s="87">
        <f t="shared" si="90"/>
        <v>0</v>
      </c>
      <c r="BJ71" s="87">
        <f t="shared" si="91"/>
        <v>0</v>
      </c>
      <c r="BK71" s="87">
        <f t="shared" si="92"/>
        <v>0</v>
      </c>
      <c r="BL71" s="87">
        <f t="shared" si="93"/>
        <v>0</v>
      </c>
      <c r="BM71" s="87">
        <f t="shared" si="94"/>
        <v>0</v>
      </c>
      <c r="BN71" s="87">
        <f t="shared" si="95"/>
        <v>0</v>
      </c>
      <c r="BO71" s="87">
        <f t="shared" si="96"/>
        <v>0</v>
      </c>
      <c r="BP71" s="87">
        <f t="shared" si="97"/>
        <v>0</v>
      </c>
      <c r="BQ71" s="87">
        <f t="shared" si="98"/>
        <v>0</v>
      </c>
      <c r="BR71" s="87">
        <f t="shared" si="99"/>
        <v>0</v>
      </c>
      <c r="BS71" s="87">
        <f t="shared" si="100"/>
        <v>0</v>
      </c>
      <c r="BT71" s="87">
        <f t="shared" si="101"/>
        <v>0</v>
      </c>
      <c r="BV71" s="177"/>
      <c r="BW71" s="177"/>
      <c r="BX71" s="267"/>
      <c r="BY71" s="267"/>
      <c r="BZ71" s="267"/>
      <c r="CA71" s="267"/>
      <c r="CB71" s="267"/>
      <c r="CC71" s="267"/>
      <c r="CD71" s="267"/>
      <c r="CE71" s="267"/>
      <c r="CF71" s="267"/>
      <c r="CG71" s="267"/>
      <c r="CH71" s="267"/>
      <c r="CI71" s="435"/>
      <c r="CJ71" s="436"/>
      <c r="CK71" s="437"/>
      <c r="CM71" s="64" t="s">
        <v>3020</v>
      </c>
      <c r="CN71" s="707">
        <v>45</v>
      </c>
      <c r="CS71" s="178">
        <v>53</v>
      </c>
      <c r="CT71" s="259">
        <f t="shared" ca="1" si="29"/>
        <v>47797</v>
      </c>
      <c r="CU71" s="179">
        <f t="shared" ca="1" si="56"/>
        <v>585.34817597351355</v>
      </c>
      <c r="CV71" s="179">
        <f t="shared" ca="1" si="105"/>
        <v>601.22452118499291</v>
      </c>
      <c r="CW71" s="179">
        <f t="shared" ca="1" si="105"/>
        <v>610.96013702011726</v>
      </c>
      <c r="CX71" s="179">
        <f t="shared" ca="1" si="105"/>
        <v>620.85634176059102</v>
      </c>
      <c r="CY71" s="179">
        <f t="shared" ca="1" si="105"/>
        <v>630.91583284792432</v>
      </c>
      <c r="CZ71" s="179">
        <f t="shared" ca="1" si="105"/>
        <v>641.14135384865961</v>
      </c>
      <c r="DA71" s="179">
        <f t="shared" ca="1" si="105"/>
        <v>648.05198275606358</v>
      </c>
      <c r="DB71" s="179">
        <f t="shared" ca="1" si="105"/>
        <v>662.10169531210806</v>
      </c>
      <c r="DC71" s="179">
        <f t="shared" ca="1" si="105"/>
        <v>669.24248482670112</v>
      </c>
      <c r="DD71" s="179">
        <f t="shared" ca="1" si="105"/>
        <v>676.46171660532411</v>
      </c>
      <c r="DE71" s="179">
        <f t="shared" ca="1" si="105"/>
        <v>683.76026804340142</v>
      </c>
      <c r="DF71" s="179" t="e">
        <f t="shared" ca="1" si="105"/>
        <v>#VALUE!</v>
      </c>
      <c r="DG71" s="179" t="e">
        <f t="shared" ca="1" si="105"/>
        <v>#VALUE!</v>
      </c>
      <c r="DH71" s="179" t="e">
        <f t="shared" ca="1" si="105"/>
        <v>#VALUE!</v>
      </c>
      <c r="DI71" s="179" t="e">
        <f t="shared" ca="1" si="105"/>
        <v>#VALUE!</v>
      </c>
      <c r="DJ71" s="179" t="e">
        <f t="shared" ca="1" si="105"/>
        <v>#VALUE!</v>
      </c>
      <c r="DK71" s="179" t="e">
        <f t="shared" ca="1" si="105"/>
        <v>#VALUE!</v>
      </c>
      <c r="DL71" s="179" t="e">
        <f t="shared" ca="1" si="102"/>
        <v>#VALUE!</v>
      </c>
      <c r="DM71" s="179" t="e">
        <f t="shared" ca="1" si="102"/>
        <v>#VALUE!</v>
      </c>
      <c r="DN71" s="179" t="e">
        <f t="shared" ca="1" si="102"/>
        <v>#VALUE!</v>
      </c>
      <c r="DO71" s="179" t="e">
        <f t="shared" ca="1" si="102"/>
        <v>#VALUE!</v>
      </c>
      <c r="DP71" s="179" t="e">
        <f t="shared" ca="1" si="102"/>
        <v>#VALUE!</v>
      </c>
      <c r="DQ71" s="179" t="e">
        <f t="shared" ca="1" si="102"/>
        <v>#VALUE!</v>
      </c>
      <c r="DR71" s="431">
        <v>53</v>
      </c>
      <c r="DS71" s="430">
        <f t="shared" ca="1" si="61"/>
        <v>47766</v>
      </c>
      <c r="DT71" s="180">
        <f t="shared" ca="1" si="104"/>
        <v>0</v>
      </c>
      <c r="DU71" s="180">
        <f t="shared" ca="1" si="104"/>
        <v>0</v>
      </c>
      <c r="DV71" s="180">
        <f t="shared" ca="1" si="104"/>
        <v>0</v>
      </c>
      <c r="DW71" s="180">
        <f t="shared" ca="1" si="103"/>
        <v>0</v>
      </c>
      <c r="DX71" s="180">
        <f t="shared" ca="1" si="103"/>
        <v>0</v>
      </c>
      <c r="DY71" s="180">
        <f t="shared" ca="1" si="103"/>
        <v>0</v>
      </c>
      <c r="DZ71" s="180">
        <f t="shared" ca="1" si="103"/>
        <v>0</v>
      </c>
      <c r="EA71" s="180">
        <f t="shared" ca="1" si="103"/>
        <v>0</v>
      </c>
      <c r="EB71" s="180">
        <f t="shared" ca="1" si="103"/>
        <v>0</v>
      </c>
      <c r="EC71" s="180">
        <f t="shared" ca="1" si="103"/>
        <v>0</v>
      </c>
      <c r="ED71" s="180">
        <f t="shared" ca="1" si="103"/>
        <v>0</v>
      </c>
      <c r="EE71" s="180">
        <f t="shared" ca="1" si="103"/>
        <v>0</v>
      </c>
      <c r="EF71" s="180">
        <f t="shared" ca="1" si="103"/>
        <v>0</v>
      </c>
      <c r="EG71" s="180">
        <f t="shared" ca="1" si="103"/>
        <v>0</v>
      </c>
      <c r="EH71" s="180">
        <f t="shared" ca="1" si="75"/>
        <v>0</v>
      </c>
      <c r="EI71" s="180">
        <f t="shared" ca="1" si="106"/>
        <v>0</v>
      </c>
      <c r="EJ71" s="180">
        <f t="shared" ca="1" si="106"/>
        <v>0</v>
      </c>
      <c r="EK71" s="180">
        <f t="shared" ca="1" si="106"/>
        <v>0</v>
      </c>
      <c r="EL71" s="180">
        <f t="shared" ca="1" si="106"/>
        <v>0</v>
      </c>
      <c r="EM71" s="180">
        <f t="shared" ca="1" si="106"/>
        <v>0</v>
      </c>
      <c r="EN71" s="180">
        <f t="shared" ca="1" si="106"/>
        <v>0</v>
      </c>
      <c r="EO71" s="180">
        <f t="shared" ca="1" si="106"/>
        <v>0</v>
      </c>
      <c r="EP71" s="180">
        <f t="shared" ca="1" si="106"/>
        <v>0</v>
      </c>
      <c r="EQ71" s="180"/>
      <c r="ER71" s="180"/>
    </row>
    <row r="72" spans="2:148" s="87" customFormat="1" hidden="1" x14ac:dyDescent="0.25">
      <c r="B72" s="151"/>
      <c r="C72" s="87">
        <v>11</v>
      </c>
      <c r="D72" s="258">
        <f t="shared" ca="1" si="110"/>
        <v>46487</v>
      </c>
      <c r="E72" s="175">
        <f t="shared" ref="E72:N81" ca="1" si="111">IF($C72&lt;=E$17,1/(($D$60+1)^(($D72-$D$61)/30)),0)</f>
        <v>0.81988977861269519</v>
      </c>
      <c r="F72" s="175">
        <f t="shared" ca="1" si="111"/>
        <v>0.81988977861269519</v>
      </c>
      <c r="G72" s="175">
        <f t="shared" ca="1" si="111"/>
        <v>0.81988977861269519</v>
      </c>
      <c r="H72" s="175">
        <f t="shared" ca="1" si="111"/>
        <v>0.81988977861269519</v>
      </c>
      <c r="I72" s="175">
        <f t="shared" si="111"/>
        <v>0</v>
      </c>
      <c r="J72" s="175">
        <f t="shared" si="111"/>
        <v>0</v>
      </c>
      <c r="K72" s="175">
        <f t="shared" si="111"/>
        <v>0</v>
      </c>
      <c r="L72" s="175">
        <f t="shared" si="111"/>
        <v>0</v>
      </c>
      <c r="M72" s="175">
        <f t="shared" si="111"/>
        <v>0</v>
      </c>
      <c r="N72" s="175">
        <f t="shared" si="111"/>
        <v>0</v>
      </c>
      <c r="O72" s="175">
        <f t="shared" ref="O72:U81" si="112">IF($C72&lt;=O$17,1/(($D$60+1)^(($D72-$D$61)/30)),0)</f>
        <v>0</v>
      </c>
      <c r="P72" s="175">
        <f t="shared" si="112"/>
        <v>0</v>
      </c>
      <c r="Q72" s="175">
        <f t="shared" si="112"/>
        <v>0</v>
      </c>
      <c r="R72" s="175">
        <f t="shared" si="112"/>
        <v>0</v>
      </c>
      <c r="S72" s="175">
        <f t="shared" si="112"/>
        <v>0</v>
      </c>
      <c r="T72" s="175">
        <f t="shared" si="112"/>
        <v>0</v>
      </c>
      <c r="U72" s="175">
        <f t="shared" si="112"/>
        <v>0</v>
      </c>
      <c r="V72" s="175"/>
      <c r="W72" s="372"/>
      <c r="X72" s="87">
        <v>54</v>
      </c>
      <c r="Y72" s="87">
        <f t="shared" ca="1" si="35"/>
        <v>67.81</v>
      </c>
      <c r="Z72" s="87">
        <f t="shared" ca="1" si="36"/>
        <v>70.569999999999993</v>
      </c>
      <c r="AA72" s="87">
        <f t="shared" ca="1" si="37"/>
        <v>1172.83</v>
      </c>
      <c r="AB72" s="87">
        <f t="shared" ca="1" si="38"/>
        <v>278.39999999999998</v>
      </c>
      <c r="AC72" s="87">
        <f t="shared" si="39"/>
        <v>0</v>
      </c>
      <c r="AD72" s="87">
        <f t="shared" si="40"/>
        <v>0</v>
      </c>
      <c r="AE72" s="87">
        <f t="shared" si="41"/>
        <v>0</v>
      </c>
      <c r="AF72" s="87">
        <f t="shared" si="42"/>
        <v>0</v>
      </c>
      <c r="AG72" s="87">
        <f t="shared" si="43"/>
        <v>0</v>
      </c>
      <c r="AH72" s="87">
        <f t="shared" si="44"/>
        <v>0</v>
      </c>
      <c r="AI72" s="87">
        <f t="shared" si="45"/>
        <v>0</v>
      </c>
      <c r="AJ72" s="87">
        <f t="shared" si="46"/>
        <v>0</v>
      </c>
      <c r="AK72" s="87">
        <f t="shared" si="47"/>
        <v>0</v>
      </c>
      <c r="AL72" s="87">
        <f t="shared" si="48"/>
        <v>0</v>
      </c>
      <c r="AM72" s="87">
        <f t="shared" si="49"/>
        <v>0</v>
      </c>
      <c r="AN72" s="87">
        <f t="shared" si="50"/>
        <v>0</v>
      </c>
      <c r="AO72" s="87">
        <f t="shared" si="51"/>
        <v>0</v>
      </c>
      <c r="AQ72" s="426">
        <v>54</v>
      </c>
      <c r="AR72" s="258">
        <f t="shared" ca="1" si="58"/>
        <v>47797</v>
      </c>
      <c r="AS72" s="429">
        <f t="shared" ca="1" si="84"/>
        <v>1589.6100000000001</v>
      </c>
      <c r="AT72" s="138"/>
      <c r="AU72" s="278">
        <v>54</v>
      </c>
      <c r="AV72" s="258">
        <f t="shared" ca="1" si="59"/>
        <v>47827</v>
      </c>
      <c r="AW72" s="429">
        <f t="shared" ca="1" si="52"/>
        <v>0</v>
      </c>
      <c r="AX72" s="202">
        <f t="shared" ca="1" si="53"/>
        <v>0</v>
      </c>
      <c r="AY72" s="278">
        <v>54</v>
      </c>
      <c r="AZ72" s="258">
        <f t="shared" ca="1" si="60"/>
        <v>47827</v>
      </c>
      <c r="BA72" s="429">
        <f t="shared" si="54"/>
        <v>1589.6100000000001</v>
      </c>
      <c r="BB72" s="259">
        <f t="shared" ca="1" si="11"/>
        <v>47797</v>
      </c>
      <c r="BC72" s="428">
        <f t="shared" ca="1" si="55"/>
        <v>0</v>
      </c>
      <c r="BD72" s="188">
        <f t="shared" si="85"/>
        <v>67.81</v>
      </c>
      <c r="BE72" s="188">
        <f t="shared" si="86"/>
        <v>70.569999999999993</v>
      </c>
      <c r="BF72" s="188">
        <f t="shared" si="87"/>
        <v>1172.83</v>
      </c>
      <c r="BG72" s="87">
        <f t="shared" si="88"/>
        <v>278.39999999999998</v>
      </c>
      <c r="BH72" s="87">
        <f t="shared" si="89"/>
        <v>0</v>
      </c>
      <c r="BI72" s="87">
        <f t="shared" si="90"/>
        <v>0</v>
      </c>
      <c r="BJ72" s="87">
        <f t="shared" si="91"/>
        <v>0</v>
      </c>
      <c r="BK72" s="87">
        <f t="shared" si="92"/>
        <v>0</v>
      </c>
      <c r="BL72" s="87">
        <f t="shared" si="93"/>
        <v>0</v>
      </c>
      <c r="BM72" s="87">
        <f t="shared" si="94"/>
        <v>0</v>
      </c>
      <c r="BN72" s="87">
        <f t="shared" si="95"/>
        <v>0</v>
      </c>
      <c r="BO72" s="87">
        <f t="shared" si="96"/>
        <v>0</v>
      </c>
      <c r="BP72" s="87">
        <f t="shared" si="97"/>
        <v>0</v>
      </c>
      <c r="BQ72" s="87">
        <f t="shared" si="98"/>
        <v>0</v>
      </c>
      <c r="BR72" s="87">
        <f t="shared" si="99"/>
        <v>0</v>
      </c>
      <c r="BS72" s="87">
        <f t="shared" si="100"/>
        <v>0</v>
      </c>
      <c r="BT72" s="87">
        <f t="shared" si="101"/>
        <v>0</v>
      </c>
      <c r="BV72" s="177"/>
      <c r="BW72" s="177"/>
      <c r="BX72" s="267"/>
      <c r="BY72" s="267"/>
      <c r="BZ72" s="267"/>
      <c r="CA72" s="267"/>
      <c r="CB72" s="267"/>
      <c r="CC72" s="267"/>
      <c r="CD72" s="267"/>
      <c r="CE72" s="267"/>
      <c r="CF72" s="267"/>
      <c r="CG72" s="267"/>
      <c r="CH72" s="267"/>
      <c r="CI72" s="435"/>
      <c r="CJ72" s="436"/>
      <c r="CK72" s="437"/>
      <c r="CM72" s="64" t="s">
        <v>542</v>
      </c>
      <c r="CN72" s="707">
        <v>57</v>
      </c>
      <c r="CS72" s="138">
        <v>54</v>
      </c>
      <c r="CT72" s="259">
        <f t="shared" ca="1" si="29"/>
        <v>47827</v>
      </c>
      <c r="CU72" s="179">
        <f t="shared" ca="1" si="56"/>
        <v>574.71593124547223</v>
      </c>
      <c r="CV72" s="179">
        <f t="shared" ca="1" si="105"/>
        <v>590.59383220529753</v>
      </c>
      <c r="CW72" s="179">
        <f t="shared" ca="1" si="105"/>
        <v>600.33422130305314</v>
      </c>
      <c r="CX72" s="179">
        <f t="shared" ca="1" si="105"/>
        <v>610.23819713051989</v>
      </c>
      <c r="CY72" s="179">
        <f t="shared" ca="1" si="105"/>
        <v>620.30855653124024</v>
      </c>
      <c r="CZ72" s="179">
        <f t="shared" ca="1" si="105"/>
        <v>630.5481450124505</v>
      </c>
      <c r="DA72" s="179">
        <f t="shared" ca="1" si="105"/>
        <v>637.46998107029663</v>
      </c>
      <c r="DB72" s="179">
        <f t="shared" ca="1" si="105"/>
        <v>651.54663974818743</v>
      </c>
      <c r="DC72" s="179">
        <f t="shared" ca="1" si="105"/>
        <v>658.70323309714695</v>
      </c>
      <c r="DD72" s="179">
        <f t="shared" ca="1" si="105"/>
        <v>665.93986671128584</v>
      </c>
      <c r="DE72" s="179">
        <f t="shared" ca="1" si="105"/>
        <v>673.25745179539319</v>
      </c>
      <c r="DF72" s="179" t="e">
        <f t="shared" ca="1" si="105"/>
        <v>#VALUE!</v>
      </c>
      <c r="DG72" s="179" t="e">
        <f t="shared" ca="1" si="105"/>
        <v>#VALUE!</v>
      </c>
      <c r="DH72" s="179" t="e">
        <f t="shared" ca="1" si="105"/>
        <v>#VALUE!</v>
      </c>
      <c r="DI72" s="179" t="e">
        <f t="shared" ca="1" si="105"/>
        <v>#VALUE!</v>
      </c>
      <c r="DJ72" s="179" t="e">
        <f t="shared" ca="1" si="105"/>
        <v>#VALUE!</v>
      </c>
      <c r="DK72" s="179" t="e">
        <f t="shared" ref="DJ72:DK135" ca="1" si="113">(($AW72/(1+DK$18)^(($AZ72-$AZ$18)/30)))+($AS72/(1+DK$18)^(($AZ72-$AZ$18)/30))</f>
        <v>#VALUE!</v>
      </c>
      <c r="DL72" s="179" t="e">
        <f t="shared" ca="1" si="102"/>
        <v>#VALUE!</v>
      </c>
      <c r="DM72" s="179" t="e">
        <f t="shared" ca="1" si="102"/>
        <v>#VALUE!</v>
      </c>
      <c r="DN72" s="179" t="e">
        <f t="shared" ca="1" si="102"/>
        <v>#VALUE!</v>
      </c>
      <c r="DO72" s="179" t="e">
        <f t="shared" ca="1" si="102"/>
        <v>#VALUE!</v>
      </c>
      <c r="DP72" s="179" t="e">
        <f t="shared" ca="1" si="102"/>
        <v>#VALUE!</v>
      </c>
      <c r="DQ72" s="179" t="e">
        <f t="shared" ca="1" si="102"/>
        <v>#VALUE!</v>
      </c>
      <c r="DR72" s="278">
        <v>54</v>
      </c>
      <c r="DS72" s="430">
        <f t="shared" ca="1" si="61"/>
        <v>47797</v>
      </c>
      <c r="DT72" s="180">
        <f t="shared" ca="1" si="104"/>
        <v>0</v>
      </c>
      <c r="DU72" s="180">
        <f t="shared" ca="1" si="104"/>
        <v>0</v>
      </c>
      <c r="DV72" s="180">
        <f t="shared" ca="1" si="104"/>
        <v>0</v>
      </c>
      <c r="DW72" s="180">
        <f t="shared" ca="1" si="103"/>
        <v>0</v>
      </c>
      <c r="DX72" s="180">
        <f t="shared" ca="1" si="103"/>
        <v>0</v>
      </c>
      <c r="DY72" s="180">
        <f t="shared" ca="1" si="103"/>
        <v>0</v>
      </c>
      <c r="DZ72" s="180">
        <f t="shared" ca="1" si="103"/>
        <v>0</v>
      </c>
      <c r="EA72" s="180">
        <f t="shared" ca="1" si="103"/>
        <v>0</v>
      </c>
      <c r="EB72" s="180">
        <f t="shared" ca="1" si="103"/>
        <v>0</v>
      </c>
      <c r="EC72" s="180">
        <f t="shared" ca="1" si="103"/>
        <v>0</v>
      </c>
      <c r="ED72" s="180">
        <f t="shared" ca="1" si="103"/>
        <v>0</v>
      </c>
      <c r="EE72" s="180">
        <f t="shared" ca="1" si="103"/>
        <v>0</v>
      </c>
      <c r="EF72" s="180">
        <f t="shared" ca="1" si="103"/>
        <v>0</v>
      </c>
      <c r="EG72" s="180">
        <f t="shared" ca="1" si="103"/>
        <v>0</v>
      </c>
      <c r="EH72" s="180">
        <f t="shared" ca="1" si="75"/>
        <v>0</v>
      </c>
      <c r="EI72" s="180">
        <f t="shared" ca="1" si="106"/>
        <v>0</v>
      </c>
      <c r="EJ72" s="180">
        <f t="shared" ca="1" si="106"/>
        <v>0</v>
      </c>
      <c r="EK72" s="180">
        <f t="shared" ca="1" si="106"/>
        <v>0</v>
      </c>
      <c r="EL72" s="180">
        <f t="shared" ca="1" si="106"/>
        <v>0</v>
      </c>
      <c r="EM72" s="180">
        <f t="shared" ca="1" si="106"/>
        <v>0</v>
      </c>
      <c r="EN72" s="180">
        <f t="shared" ca="1" si="106"/>
        <v>0</v>
      </c>
      <c r="EO72" s="180">
        <f t="shared" ca="1" si="106"/>
        <v>0</v>
      </c>
      <c r="EP72" s="180">
        <f t="shared" ca="1" si="106"/>
        <v>0</v>
      </c>
      <c r="EQ72" s="180"/>
      <c r="ER72" s="180"/>
    </row>
    <row r="73" spans="2:148" s="87" customFormat="1" hidden="1" x14ac:dyDescent="0.25">
      <c r="B73" s="151"/>
      <c r="C73" s="87">
        <v>12</v>
      </c>
      <c r="D73" s="258">
        <f t="shared" ca="1" si="110"/>
        <v>46517</v>
      </c>
      <c r="E73" s="175">
        <f t="shared" ca="1" si="111"/>
        <v>0.80499732804388335</v>
      </c>
      <c r="F73" s="175">
        <f t="shared" ca="1" si="111"/>
        <v>0.80499732804388335</v>
      </c>
      <c r="G73" s="175">
        <f t="shared" ca="1" si="111"/>
        <v>0.80499732804388335</v>
      </c>
      <c r="H73" s="175">
        <f t="shared" ca="1" si="111"/>
        <v>0.80499732804388335</v>
      </c>
      <c r="I73" s="175">
        <f t="shared" si="111"/>
        <v>0</v>
      </c>
      <c r="J73" s="175">
        <f t="shared" si="111"/>
        <v>0</v>
      </c>
      <c r="K73" s="175">
        <f t="shared" si="111"/>
        <v>0</v>
      </c>
      <c r="L73" s="175">
        <f t="shared" si="111"/>
        <v>0</v>
      </c>
      <c r="M73" s="175">
        <f t="shared" si="111"/>
        <v>0</v>
      </c>
      <c r="N73" s="175">
        <f t="shared" si="111"/>
        <v>0</v>
      </c>
      <c r="O73" s="175">
        <f t="shared" si="112"/>
        <v>0</v>
      </c>
      <c r="P73" s="175">
        <f t="shared" si="112"/>
        <v>0</v>
      </c>
      <c r="Q73" s="175">
        <f t="shared" si="112"/>
        <v>0</v>
      </c>
      <c r="R73" s="175">
        <f t="shared" si="112"/>
        <v>0</v>
      </c>
      <c r="S73" s="175">
        <f t="shared" si="112"/>
        <v>0</v>
      </c>
      <c r="T73" s="175">
        <f t="shared" si="112"/>
        <v>0</v>
      </c>
      <c r="U73" s="175">
        <f t="shared" si="112"/>
        <v>0</v>
      </c>
      <c r="V73" s="175"/>
      <c r="W73" s="372"/>
      <c r="X73" s="87">
        <v>55</v>
      </c>
      <c r="Y73" s="87">
        <f t="shared" ca="1" si="35"/>
        <v>67.81</v>
      </c>
      <c r="Z73" s="87">
        <f t="shared" ca="1" si="36"/>
        <v>70.569999999999993</v>
      </c>
      <c r="AA73" s="87">
        <f t="shared" ca="1" si="37"/>
        <v>1172.83</v>
      </c>
      <c r="AB73" s="87">
        <f t="shared" ca="1" si="38"/>
        <v>278.39999999999998</v>
      </c>
      <c r="AC73" s="87">
        <f t="shared" si="39"/>
        <v>0</v>
      </c>
      <c r="AD73" s="87">
        <f t="shared" si="40"/>
        <v>0</v>
      </c>
      <c r="AE73" s="87">
        <f t="shared" si="41"/>
        <v>0</v>
      </c>
      <c r="AF73" s="87">
        <f t="shared" si="42"/>
        <v>0</v>
      </c>
      <c r="AG73" s="87">
        <f t="shared" si="43"/>
        <v>0</v>
      </c>
      <c r="AH73" s="87">
        <f t="shared" si="44"/>
        <v>0</v>
      </c>
      <c r="AI73" s="87">
        <f t="shared" si="45"/>
        <v>0</v>
      </c>
      <c r="AJ73" s="87">
        <f t="shared" si="46"/>
        <v>0</v>
      </c>
      <c r="AK73" s="87">
        <f t="shared" si="47"/>
        <v>0</v>
      </c>
      <c r="AL73" s="87">
        <f t="shared" si="48"/>
        <v>0</v>
      </c>
      <c r="AM73" s="87">
        <f t="shared" si="49"/>
        <v>0</v>
      </c>
      <c r="AN73" s="87">
        <f t="shared" si="50"/>
        <v>0</v>
      </c>
      <c r="AO73" s="87">
        <f t="shared" si="51"/>
        <v>0</v>
      </c>
      <c r="AQ73" s="426">
        <v>55</v>
      </c>
      <c r="AR73" s="258">
        <f t="shared" ca="1" si="58"/>
        <v>47827</v>
      </c>
      <c r="AS73" s="429">
        <f t="shared" ca="1" si="84"/>
        <v>1589.6100000000001</v>
      </c>
      <c r="AT73" s="138"/>
      <c r="AU73" s="278">
        <v>55</v>
      </c>
      <c r="AV73" s="258">
        <f t="shared" ca="1" si="59"/>
        <v>47858</v>
      </c>
      <c r="AW73" s="429">
        <f t="shared" ca="1" si="52"/>
        <v>0</v>
      </c>
      <c r="AX73" s="202">
        <f t="shared" ca="1" si="53"/>
        <v>0</v>
      </c>
      <c r="AY73" s="278">
        <v>55</v>
      </c>
      <c r="AZ73" s="258">
        <f t="shared" ca="1" si="60"/>
        <v>47858</v>
      </c>
      <c r="BA73" s="429">
        <f t="shared" si="54"/>
        <v>1589.6100000000001</v>
      </c>
      <c r="BB73" s="259">
        <f t="shared" ca="1" si="11"/>
        <v>47827</v>
      </c>
      <c r="BC73" s="428">
        <f t="shared" ca="1" si="55"/>
        <v>0</v>
      </c>
      <c r="BD73" s="188">
        <f t="shared" si="85"/>
        <v>67.81</v>
      </c>
      <c r="BE73" s="188">
        <f t="shared" si="86"/>
        <v>70.569999999999993</v>
      </c>
      <c r="BF73" s="188">
        <f t="shared" si="87"/>
        <v>1172.83</v>
      </c>
      <c r="BG73" s="87">
        <f t="shared" si="88"/>
        <v>278.39999999999998</v>
      </c>
      <c r="BH73" s="87">
        <f t="shared" si="89"/>
        <v>0</v>
      </c>
      <c r="BI73" s="87">
        <f t="shared" si="90"/>
        <v>0</v>
      </c>
      <c r="BJ73" s="87">
        <f t="shared" si="91"/>
        <v>0</v>
      </c>
      <c r="BK73" s="87">
        <f t="shared" si="92"/>
        <v>0</v>
      </c>
      <c r="BL73" s="87">
        <f t="shared" si="93"/>
        <v>0</v>
      </c>
      <c r="BM73" s="87">
        <f t="shared" si="94"/>
        <v>0</v>
      </c>
      <c r="BN73" s="87">
        <f t="shared" si="95"/>
        <v>0</v>
      </c>
      <c r="BO73" s="87">
        <f t="shared" si="96"/>
        <v>0</v>
      </c>
      <c r="BP73" s="87">
        <f t="shared" si="97"/>
        <v>0</v>
      </c>
      <c r="BQ73" s="87">
        <f t="shared" si="98"/>
        <v>0</v>
      </c>
      <c r="BR73" s="87">
        <f t="shared" si="99"/>
        <v>0</v>
      </c>
      <c r="BS73" s="87">
        <f t="shared" si="100"/>
        <v>0</v>
      </c>
      <c r="BT73" s="87">
        <f t="shared" si="101"/>
        <v>0</v>
      </c>
      <c r="BV73" s="177"/>
      <c r="BW73" s="177"/>
      <c r="BX73" s="267"/>
      <c r="BY73" s="267"/>
      <c r="BZ73" s="267"/>
      <c r="CA73" s="267"/>
      <c r="CB73" s="267"/>
      <c r="CC73" s="267"/>
      <c r="CD73" s="267"/>
      <c r="CE73" s="267"/>
      <c r="CF73" s="267"/>
      <c r="CG73" s="267"/>
      <c r="CH73" s="267"/>
      <c r="CI73" s="435"/>
      <c r="CJ73" s="436"/>
      <c r="CK73" s="437"/>
      <c r="CM73" s="64" t="s">
        <v>3124</v>
      </c>
      <c r="CN73" s="707">
        <v>52</v>
      </c>
      <c r="CS73" s="87">
        <v>55</v>
      </c>
      <c r="CT73" s="259">
        <f t="shared" ca="1" si="29"/>
        <v>47858</v>
      </c>
      <c r="CU73" s="179">
        <f t="shared" ca="1" si="56"/>
        <v>563.93212444790925</v>
      </c>
      <c r="CV73" s="179">
        <f t="shared" ref="CV73:DI88" ca="1" si="114">(($AW73/(1+CV$18)^(($AZ73-$AZ$18)/30)))+($AS73/(1+CV$18)^(($AZ73-$AZ$18)/30))</f>
        <v>579.8062197988645</v>
      </c>
      <c r="CW73" s="179">
        <f t="shared" ca="1" si="114"/>
        <v>589.54822138275858</v>
      </c>
      <c r="CX73" s="179">
        <f t="shared" ca="1" si="114"/>
        <v>599.45685457365141</v>
      </c>
      <c r="CY73" s="179">
        <f t="shared" ca="1" si="114"/>
        <v>609.53501991413032</v>
      </c>
      <c r="CZ73" s="179">
        <f t="shared" ca="1" si="114"/>
        <v>619.78566931409762</v>
      </c>
      <c r="DA73" s="179">
        <f t="shared" ca="1" si="114"/>
        <v>626.71674143475343</v>
      </c>
      <c r="DB73" s="179">
        <f t="shared" ca="1" si="114"/>
        <v>640.81649033730184</v>
      </c>
      <c r="DC73" s="179">
        <f t="shared" ca="1" si="114"/>
        <v>647.98700564852345</v>
      </c>
      <c r="DD73" s="179">
        <f t="shared" ca="1" si="114"/>
        <v>655.2391919627338</v>
      </c>
      <c r="DE73" s="179">
        <f t="shared" ca="1" si="114"/>
        <v>662.5739958549492</v>
      </c>
      <c r="DF73" s="179" t="e">
        <f t="shared" ca="1" si="114"/>
        <v>#VALUE!</v>
      </c>
      <c r="DG73" s="179" t="e">
        <f t="shared" ca="1" si="114"/>
        <v>#VALUE!</v>
      </c>
      <c r="DH73" s="179" t="e">
        <f t="shared" ca="1" si="114"/>
        <v>#VALUE!</v>
      </c>
      <c r="DI73" s="179" t="e">
        <f t="shared" ca="1" si="114"/>
        <v>#VALUE!</v>
      </c>
      <c r="DJ73" s="179" t="e">
        <f t="shared" ca="1" si="113"/>
        <v>#VALUE!</v>
      </c>
      <c r="DK73" s="179" t="e">
        <f t="shared" ca="1" si="113"/>
        <v>#VALUE!</v>
      </c>
      <c r="DL73" s="179" t="e">
        <f t="shared" ca="1" si="102"/>
        <v>#VALUE!</v>
      </c>
      <c r="DM73" s="179" t="e">
        <f t="shared" ca="1" si="102"/>
        <v>#VALUE!</v>
      </c>
      <c r="DN73" s="179" t="e">
        <f t="shared" ca="1" si="102"/>
        <v>#VALUE!</v>
      </c>
      <c r="DO73" s="179" t="e">
        <f t="shared" ca="1" si="102"/>
        <v>#VALUE!</v>
      </c>
      <c r="DP73" s="179" t="e">
        <f t="shared" ca="1" si="102"/>
        <v>#VALUE!</v>
      </c>
      <c r="DQ73" s="179" t="e">
        <f t="shared" ca="1" si="102"/>
        <v>#VALUE!</v>
      </c>
      <c r="DR73" s="188">
        <v>55</v>
      </c>
      <c r="DS73" s="430">
        <f t="shared" ca="1" si="61"/>
        <v>47827</v>
      </c>
      <c r="DT73" s="180">
        <f t="shared" ca="1" si="104"/>
        <v>0</v>
      </c>
      <c r="DU73" s="180">
        <f t="shared" ca="1" si="104"/>
        <v>0</v>
      </c>
      <c r="DV73" s="180">
        <f t="shared" ca="1" si="104"/>
        <v>0</v>
      </c>
      <c r="DW73" s="180">
        <f t="shared" ca="1" si="103"/>
        <v>0</v>
      </c>
      <c r="DX73" s="180">
        <f t="shared" ca="1" si="103"/>
        <v>0</v>
      </c>
      <c r="DY73" s="180">
        <f t="shared" ca="1" si="103"/>
        <v>0</v>
      </c>
      <c r="DZ73" s="180">
        <f t="shared" ca="1" si="103"/>
        <v>0</v>
      </c>
      <c r="EA73" s="180">
        <f t="shared" ca="1" si="103"/>
        <v>0</v>
      </c>
      <c r="EB73" s="180">
        <f t="shared" ca="1" si="103"/>
        <v>0</v>
      </c>
      <c r="EC73" s="180">
        <f t="shared" ca="1" si="103"/>
        <v>0</v>
      </c>
      <c r="ED73" s="180">
        <f t="shared" ca="1" si="103"/>
        <v>0</v>
      </c>
      <c r="EE73" s="180">
        <f t="shared" ca="1" si="103"/>
        <v>0</v>
      </c>
      <c r="EF73" s="180">
        <f t="shared" ca="1" si="103"/>
        <v>0</v>
      </c>
      <c r="EG73" s="180">
        <f t="shared" ca="1" si="103"/>
        <v>0</v>
      </c>
      <c r="EH73" s="180">
        <f t="shared" ca="1" si="75"/>
        <v>0</v>
      </c>
      <c r="EI73" s="180">
        <f t="shared" ca="1" si="106"/>
        <v>0</v>
      </c>
      <c r="EJ73" s="180">
        <f t="shared" ca="1" si="106"/>
        <v>0</v>
      </c>
      <c r="EK73" s="180">
        <f t="shared" ca="1" si="106"/>
        <v>0</v>
      </c>
      <c r="EL73" s="180">
        <f t="shared" ca="1" si="106"/>
        <v>0</v>
      </c>
      <c r="EM73" s="180">
        <f t="shared" ca="1" si="106"/>
        <v>0</v>
      </c>
      <c r="EN73" s="180">
        <f t="shared" ca="1" si="106"/>
        <v>0</v>
      </c>
      <c r="EO73" s="180">
        <f t="shared" ca="1" si="106"/>
        <v>0</v>
      </c>
      <c r="EP73" s="180">
        <f t="shared" ca="1" si="106"/>
        <v>0</v>
      </c>
      <c r="EQ73" s="180"/>
      <c r="ER73" s="180"/>
    </row>
    <row r="74" spans="2:148" s="87" customFormat="1" hidden="1" x14ac:dyDescent="0.25">
      <c r="B74" s="151"/>
      <c r="C74" s="87">
        <v>13</v>
      </c>
      <c r="D74" s="258">
        <f t="shared" ca="1" si="110"/>
        <v>46548</v>
      </c>
      <c r="E74" s="175">
        <f t="shared" ca="1" si="111"/>
        <v>0.78989258640331805</v>
      </c>
      <c r="F74" s="175">
        <f t="shared" ca="1" si="111"/>
        <v>0.78989258640331805</v>
      </c>
      <c r="G74" s="175">
        <f t="shared" ca="1" si="111"/>
        <v>0.78989258640331805</v>
      </c>
      <c r="H74" s="175">
        <f t="shared" ca="1" si="111"/>
        <v>0.78989258640331805</v>
      </c>
      <c r="I74" s="175">
        <f t="shared" si="111"/>
        <v>0</v>
      </c>
      <c r="J74" s="175">
        <f t="shared" si="111"/>
        <v>0</v>
      </c>
      <c r="K74" s="175">
        <f t="shared" si="111"/>
        <v>0</v>
      </c>
      <c r="L74" s="175">
        <f t="shared" si="111"/>
        <v>0</v>
      </c>
      <c r="M74" s="175">
        <f t="shared" si="111"/>
        <v>0</v>
      </c>
      <c r="N74" s="175">
        <f t="shared" si="111"/>
        <v>0</v>
      </c>
      <c r="O74" s="175">
        <f t="shared" si="112"/>
        <v>0</v>
      </c>
      <c r="P74" s="175">
        <f t="shared" si="112"/>
        <v>0</v>
      </c>
      <c r="Q74" s="175">
        <f t="shared" si="112"/>
        <v>0</v>
      </c>
      <c r="R74" s="175">
        <f t="shared" si="112"/>
        <v>0</v>
      </c>
      <c r="S74" s="175">
        <f t="shared" si="112"/>
        <v>0</v>
      </c>
      <c r="T74" s="175">
        <f t="shared" si="112"/>
        <v>0</v>
      </c>
      <c r="U74" s="175">
        <f t="shared" si="112"/>
        <v>0</v>
      </c>
      <c r="V74" s="175"/>
      <c r="W74" s="372"/>
      <c r="X74" s="87">
        <v>56</v>
      </c>
      <c r="Y74" s="87">
        <f t="shared" ca="1" si="35"/>
        <v>67.81</v>
      </c>
      <c r="Z74" s="87">
        <f t="shared" ca="1" si="36"/>
        <v>70.569999999999993</v>
      </c>
      <c r="AA74" s="87">
        <f t="shared" ca="1" si="37"/>
        <v>1172.83</v>
      </c>
      <c r="AB74" s="87">
        <f t="shared" ca="1" si="38"/>
        <v>278.39999999999998</v>
      </c>
      <c r="AC74" s="87">
        <f t="shared" si="39"/>
        <v>0</v>
      </c>
      <c r="AD74" s="87">
        <f t="shared" si="40"/>
        <v>0</v>
      </c>
      <c r="AE74" s="87">
        <f t="shared" si="41"/>
        <v>0</v>
      </c>
      <c r="AF74" s="87">
        <f t="shared" si="42"/>
        <v>0</v>
      </c>
      <c r="AG74" s="87">
        <f t="shared" si="43"/>
        <v>0</v>
      </c>
      <c r="AH74" s="87">
        <f t="shared" si="44"/>
        <v>0</v>
      </c>
      <c r="AI74" s="87">
        <f t="shared" si="45"/>
        <v>0</v>
      </c>
      <c r="AJ74" s="87">
        <f t="shared" si="46"/>
        <v>0</v>
      </c>
      <c r="AK74" s="87">
        <f t="shared" si="47"/>
        <v>0</v>
      </c>
      <c r="AL74" s="87">
        <f t="shared" si="48"/>
        <v>0</v>
      </c>
      <c r="AM74" s="87">
        <f t="shared" si="49"/>
        <v>0</v>
      </c>
      <c r="AN74" s="87">
        <f t="shared" si="50"/>
        <v>0</v>
      </c>
      <c r="AO74" s="87">
        <f t="shared" si="51"/>
        <v>0</v>
      </c>
      <c r="AQ74" s="426">
        <v>56</v>
      </c>
      <c r="AR74" s="258">
        <f t="shared" ca="1" si="58"/>
        <v>47858</v>
      </c>
      <c r="AS74" s="429">
        <f t="shared" ca="1" si="84"/>
        <v>1589.6100000000001</v>
      </c>
      <c r="AT74" s="138"/>
      <c r="AU74" s="278">
        <v>56</v>
      </c>
      <c r="AV74" s="258">
        <f t="shared" ca="1" si="59"/>
        <v>47889</v>
      </c>
      <c r="AW74" s="429">
        <f t="shared" ca="1" si="52"/>
        <v>0</v>
      </c>
      <c r="AX74" s="202">
        <f t="shared" ca="1" si="53"/>
        <v>0</v>
      </c>
      <c r="AY74" s="278">
        <v>56</v>
      </c>
      <c r="AZ74" s="258">
        <f t="shared" ca="1" si="60"/>
        <v>47889</v>
      </c>
      <c r="BA74" s="429">
        <f t="shared" si="54"/>
        <v>1589.6100000000001</v>
      </c>
      <c r="BB74" s="259">
        <f t="shared" ca="1" si="11"/>
        <v>47858</v>
      </c>
      <c r="BC74" s="428">
        <f t="shared" ca="1" si="55"/>
        <v>0</v>
      </c>
      <c r="BD74" s="188">
        <f t="shared" si="85"/>
        <v>67.81</v>
      </c>
      <c r="BE74" s="188">
        <f t="shared" si="86"/>
        <v>70.569999999999993</v>
      </c>
      <c r="BF74" s="188">
        <f t="shared" si="87"/>
        <v>1172.83</v>
      </c>
      <c r="BG74" s="87">
        <f t="shared" si="88"/>
        <v>278.39999999999998</v>
      </c>
      <c r="BH74" s="87">
        <f t="shared" si="89"/>
        <v>0</v>
      </c>
      <c r="BI74" s="87">
        <f t="shared" si="90"/>
        <v>0</v>
      </c>
      <c r="BJ74" s="87">
        <f t="shared" si="91"/>
        <v>0</v>
      </c>
      <c r="BK74" s="87">
        <f t="shared" si="92"/>
        <v>0</v>
      </c>
      <c r="BL74" s="87">
        <f t="shared" si="93"/>
        <v>0</v>
      </c>
      <c r="BM74" s="87">
        <f t="shared" si="94"/>
        <v>0</v>
      </c>
      <c r="BN74" s="87">
        <f t="shared" si="95"/>
        <v>0</v>
      </c>
      <c r="BO74" s="87">
        <f t="shared" si="96"/>
        <v>0</v>
      </c>
      <c r="BP74" s="87">
        <f t="shared" si="97"/>
        <v>0</v>
      </c>
      <c r="BQ74" s="87">
        <f t="shared" si="98"/>
        <v>0</v>
      </c>
      <c r="BR74" s="87">
        <f t="shared" si="99"/>
        <v>0</v>
      </c>
      <c r="BS74" s="87">
        <f t="shared" si="100"/>
        <v>0</v>
      </c>
      <c r="BT74" s="87">
        <f t="shared" si="101"/>
        <v>0</v>
      </c>
      <c r="BV74" s="177"/>
      <c r="BW74" s="177"/>
      <c r="BX74" s="267"/>
      <c r="BY74" s="267"/>
      <c r="BZ74" s="267"/>
      <c r="CA74" s="267"/>
      <c r="CB74" s="267"/>
      <c r="CC74" s="267"/>
      <c r="CD74" s="267"/>
      <c r="CE74" s="267"/>
      <c r="CF74" s="267"/>
      <c r="CG74" s="267"/>
      <c r="CH74" s="267"/>
      <c r="CI74" s="435"/>
      <c r="CJ74" s="436"/>
      <c r="CK74" s="437"/>
      <c r="CM74" s="64" t="s">
        <v>3021</v>
      </c>
      <c r="CN74" s="707"/>
      <c r="CS74" s="178">
        <v>56</v>
      </c>
      <c r="CT74" s="259">
        <f t="shared" ca="1" si="29"/>
        <v>47889</v>
      </c>
      <c r="CU74" s="179">
        <f t="shared" ca="1" si="56"/>
        <v>553.35066194380454</v>
      </c>
      <c r="CV74" s="179">
        <f t="shared" ca="1" si="114"/>
        <v>569.21565073268584</v>
      </c>
      <c r="CW74" s="179">
        <f t="shared" ca="1" si="114"/>
        <v>578.95600983925885</v>
      </c>
      <c r="CX74" s="179">
        <f t="shared" ca="1" si="114"/>
        <v>588.86599066573501</v>
      </c>
      <c r="CY74" s="179">
        <f t="shared" ca="1" si="114"/>
        <v>598.94859838678997</v>
      </c>
      <c r="CZ74" s="179">
        <f t="shared" ca="1" si="114"/>
        <v>609.20689232943323</v>
      </c>
      <c r="DA74" s="179">
        <f t="shared" ca="1" si="114"/>
        <v>616.14489412526962</v>
      </c>
      <c r="DB74" s="179">
        <f t="shared" ca="1" si="114"/>
        <v>630.26305292116228</v>
      </c>
      <c r="DC74" s="179">
        <f t="shared" ca="1" si="114"/>
        <v>637.44511699916586</v>
      </c>
      <c r="DD74" s="179">
        <f t="shared" ca="1" si="114"/>
        <v>644.71046132775416</v>
      </c>
      <c r="DE74" s="179">
        <f t="shared" ca="1" si="114"/>
        <v>652.06006827327337</v>
      </c>
      <c r="DF74" s="179" t="e">
        <f t="shared" ca="1" si="114"/>
        <v>#VALUE!</v>
      </c>
      <c r="DG74" s="179" t="e">
        <f t="shared" ca="1" si="114"/>
        <v>#VALUE!</v>
      </c>
      <c r="DH74" s="179" t="e">
        <f t="shared" ca="1" si="114"/>
        <v>#VALUE!</v>
      </c>
      <c r="DI74" s="179" t="e">
        <f t="shared" ca="1" si="114"/>
        <v>#VALUE!</v>
      </c>
      <c r="DJ74" s="179" t="e">
        <f t="shared" ca="1" si="113"/>
        <v>#VALUE!</v>
      </c>
      <c r="DK74" s="179" t="e">
        <f t="shared" ca="1" si="113"/>
        <v>#VALUE!</v>
      </c>
      <c r="DL74" s="179" t="e">
        <f t="shared" ca="1" si="102"/>
        <v>#VALUE!</v>
      </c>
      <c r="DM74" s="179" t="e">
        <f t="shared" ca="1" si="102"/>
        <v>#VALUE!</v>
      </c>
      <c r="DN74" s="179" t="e">
        <f t="shared" ca="1" si="102"/>
        <v>#VALUE!</v>
      </c>
      <c r="DO74" s="179" t="e">
        <f t="shared" ca="1" si="102"/>
        <v>#VALUE!</v>
      </c>
      <c r="DP74" s="179" t="e">
        <f t="shared" ca="1" si="102"/>
        <v>#VALUE!</v>
      </c>
      <c r="DQ74" s="179" t="e">
        <f t="shared" ca="1" si="102"/>
        <v>#VALUE!</v>
      </c>
      <c r="DR74" s="431">
        <v>56</v>
      </c>
      <c r="DS74" s="430">
        <f t="shared" ca="1" si="61"/>
        <v>47858</v>
      </c>
      <c r="DT74" s="180">
        <f t="shared" ca="1" si="104"/>
        <v>0</v>
      </c>
      <c r="DU74" s="180">
        <f t="shared" ca="1" si="104"/>
        <v>0</v>
      </c>
      <c r="DV74" s="180">
        <f t="shared" ca="1" si="104"/>
        <v>0</v>
      </c>
      <c r="DW74" s="180">
        <f t="shared" ca="1" si="103"/>
        <v>0</v>
      </c>
      <c r="DX74" s="180">
        <f t="shared" ca="1" si="103"/>
        <v>0</v>
      </c>
      <c r="DY74" s="180">
        <f t="shared" ca="1" si="103"/>
        <v>0</v>
      </c>
      <c r="DZ74" s="180">
        <f t="shared" ca="1" si="103"/>
        <v>0</v>
      </c>
      <c r="EA74" s="180">
        <f t="shared" ca="1" si="103"/>
        <v>0</v>
      </c>
      <c r="EB74" s="180">
        <f t="shared" ca="1" si="103"/>
        <v>0</v>
      </c>
      <c r="EC74" s="180">
        <f t="shared" ca="1" si="103"/>
        <v>0</v>
      </c>
      <c r="ED74" s="180">
        <f t="shared" ca="1" si="103"/>
        <v>0</v>
      </c>
      <c r="EE74" s="180">
        <f t="shared" ca="1" si="103"/>
        <v>0</v>
      </c>
      <c r="EF74" s="180">
        <f t="shared" ca="1" si="103"/>
        <v>0</v>
      </c>
      <c r="EG74" s="180">
        <f t="shared" ca="1" si="103"/>
        <v>0</v>
      </c>
      <c r="EH74" s="180">
        <f t="shared" ca="1" si="75"/>
        <v>0</v>
      </c>
      <c r="EI74" s="180">
        <f t="shared" ca="1" si="106"/>
        <v>0</v>
      </c>
      <c r="EJ74" s="180">
        <f t="shared" ca="1" si="106"/>
        <v>0</v>
      </c>
      <c r="EK74" s="180">
        <f t="shared" ca="1" si="106"/>
        <v>0</v>
      </c>
      <c r="EL74" s="180">
        <f t="shared" ca="1" si="106"/>
        <v>0</v>
      </c>
      <c r="EM74" s="180">
        <f t="shared" ca="1" si="106"/>
        <v>0</v>
      </c>
      <c r="EN74" s="180">
        <f t="shared" ca="1" si="106"/>
        <v>0</v>
      </c>
      <c r="EO74" s="180">
        <f t="shared" ca="1" si="106"/>
        <v>0</v>
      </c>
      <c r="EP74" s="180">
        <f t="shared" ca="1" si="106"/>
        <v>0</v>
      </c>
      <c r="EQ74" s="180"/>
      <c r="ER74" s="180"/>
    </row>
    <row r="75" spans="2:148" s="87" customFormat="1" hidden="1" x14ac:dyDescent="0.25">
      <c r="B75" s="151"/>
      <c r="C75" s="87">
        <v>14</v>
      </c>
      <c r="D75" s="258">
        <f t="shared" ca="1" si="110"/>
        <v>46578</v>
      </c>
      <c r="E75" s="175">
        <f t="shared" ca="1" si="111"/>
        <v>0.77554500383241842</v>
      </c>
      <c r="F75" s="175">
        <f t="shared" ca="1" si="111"/>
        <v>0.77554500383241842</v>
      </c>
      <c r="G75" s="175">
        <f t="shared" ca="1" si="111"/>
        <v>0.77554500383241842</v>
      </c>
      <c r="H75" s="175">
        <f t="shared" ca="1" si="111"/>
        <v>0.77554500383241842</v>
      </c>
      <c r="I75" s="175">
        <f t="shared" si="111"/>
        <v>0</v>
      </c>
      <c r="J75" s="175">
        <f t="shared" si="111"/>
        <v>0</v>
      </c>
      <c r="K75" s="175">
        <f t="shared" si="111"/>
        <v>0</v>
      </c>
      <c r="L75" s="175">
        <f t="shared" si="111"/>
        <v>0</v>
      </c>
      <c r="M75" s="175">
        <f t="shared" si="111"/>
        <v>0</v>
      </c>
      <c r="N75" s="175">
        <f t="shared" si="111"/>
        <v>0</v>
      </c>
      <c r="O75" s="175">
        <f t="shared" si="112"/>
        <v>0</v>
      </c>
      <c r="P75" s="175">
        <f t="shared" si="112"/>
        <v>0</v>
      </c>
      <c r="Q75" s="175">
        <f t="shared" si="112"/>
        <v>0</v>
      </c>
      <c r="R75" s="175">
        <f t="shared" si="112"/>
        <v>0</v>
      </c>
      <c r="S75" s="175">
        <f t="shared" si="112"/>
        <v>0</v>
      </c>
      <c r="T75" s="175">
        <f t="shared" si="112"/>
        <v>0</v>
      </c>
      <c r="U75" s="175">
        <f t="shared" si="112"/>
        <v>0</v>
      </c>
      <c r="V75" s="175"/>
      <c r="W75" s="372"/>
      <c r="X75" s="87">
        <v>57</v>
      </c>
      <c r="Y75" s="87">
        <f t="shared" ca="1" si="35"/>
        <v>67.81</v>
      </c>
      <c r="Z75" s="87">
        <f t="shared" ca="1" si="36"/>
        <v>70.569999999999993</v>
      </c>
      <c r="AA75" s="87">
        <f t="shared" ca="1" si="37"/>
        <v>1172.83</v>
      </c>
      <c r="AB75" s="87">
        <f t="shared" ca="1" si="38"/>
        <v>278.39999999999998</v>
      </c>
      <c r="AC75" s="87">
        <f t="shared" si="39"/>
        <v>0</v>
      </c>
      <c r="AD75" s="87">
        <f t="shared" si="40"/>
        <v>0</v>
      </c>
      <c r="AE75" s="87">
        <f t="shared" si="41"/>
        <v>0</v>
      </c>
      <c r="AF75" s="87">
        <f t="shared" si="42"/>
        <v>0</v>
      </c>
      <c r="AG75" s="87">
        <f t="shared" si="43"/>
        <v>0</v>
      </c>
      <c r="AH75" s="87">
        <f t="shared" si="44"/>
        <v>0</v>
      </c>
      <c r="AI75" s="87">
        <f t="shared" si="45"/>
        <v>0</v>
      </c>
      <c r="AJ75" s="87">
        <f t="shared" si="46"/>
        <v>0</v>
      </c>
      <c r="AK75" s="87">
        <f t="shared" si="47"/>
        <v>0</v>
      </c>
      <c r="AL75" s="87">
        <f t="shared" si="48"/>
        <v>0</v>
      </c>
      <c r="AM75" s="87">
        <f t="shared" si="49"/>
        <v>0</v>
      </c>
      <c r="AN75" s="87">
        <f t="shared" si="50"/>
        <v>0</v>
      </c>
      <c r="AO75" s="87">
        <f t="shared" si="51"/>
        <v>0</v>
      </c>
      <c r="AQ75" s="426">
        <v>57</v>
      </c>
      <c r="AR75" s="258">
        <f t="shared" ca="1" si="58"/>
        <v>47889</v>
      </c>
      <c r="AS75" s="429">
        <f t="shared" ca="1" si="84"/>
        <v>1589.6100000000001</v>
      </c>
      <c r="AT75" s="138"/>
      <c r="AU75" s="278">
        <v>57</v>
      </c>
      <c r="AV75" s="258">
        <f t="shared" ca="1" si="59"/>
        <v>47917</v>
      </c>
      <c r="AW75" s="429">
        <f t="shared" ca="1" si="52"/>
        <v>0</v>
      </c>
      <c r="AX75" s="202">
        <f t="shared" ca="1" si="53"/>
        <v>0</v>
      </c>
      <c r="AY75" s="278">
        <v>57</v>
      </c>
      <c r="AZ75" s="258">
        <f t="shared" ca="1" si="60"/>
        <v>47917</v>
      </c>
      <c r="BA75" s="429">
        <f t="shared" si="54"/>
        <v>1589.6100000000001</v>
      </c>
      <c r="BB75" s="259">
        <f t="shared" ca="1" si="11"/>
        <v>47889</v>
      </c>
      <c r="BC75" s="428">
        <f t="shared" ca="1" si="55"/>
        <v>0</v>
      </c>
      <c r="BD75" s="188">
        <f t="shared" si="85"/>
        <v>67.81</v>
      </c>
      <c r="BE75" s="188">
        <f t="shared" si="86"/>
        <v>70.569999999999993</v>
      </c>
      <c r="BF75" s="188">
        <f t="shared" si="87"/>
        <v>1172.83</v>
      </c>
      <c r="BG75" s="87">
        <f t="shared" si="88"/>
        <v>278.39999999999998</v>
      </c>
      <c r="BH75" s="87">
        <f t="shared" si="89"/>
        <v>0</v>
      </c>
      <c r="BI75" s="87">
        <f t="shared" si="90"/>
        <v>0</v>
      </c>
      <c r="BJ75" s="87">
        <f t="shared" si="91"/>
        <v>0</v>
      </c>
      <c r="BK75" s="87">
        <f t="shared" si="92"/>
        <v>0</v>
      </c>
      <c r="BL75" s="87">
        <f t="shared" si="93"/>
        <v>0</v>
      </c>
      <c r="BM75" s="87">
        <f t="shared" si="94"/>
        <v>0</v>
      </c>
      <c r="BN75" s="87">
        <f t="shared" si="95"/>
        <v>0</v>
      </c>
      <c r="BO75" s="87">
        <f t="shared" si="96"/>
        <v>0</v>
      </c>
      <c r="BP75" s="87">
        <f t="shared" si="97"/>
        <v>0</v>
      </c>
      <c r="BQ75" s="87">
        <f t="shared" si="98"/>
        <v>0</v>
      </c>
      <c r="BR75" s="87">
        <f t="shared" si="99"/>
        <v>0</v>
      </c>
      <c r="BS75" s="87">
        <f t="shared" si="100"/>
        <v>0</v>
      </c>
      <c r="BT75" s="87">
        <f t="shared" si="101"/>
        <v>0</v>
      </c>
      <c r="BV75" s="177"/>
      <c r="BW75" s="177"/>
      <c r="BX75" s="267"/>
      <c r="BY75" s="267"/>
      <c r="BZ75" s="267"/>
      <c r="CA75" s="267"/>
      <c r="CB75" s="267"/>
      <c r="CC75" s="267"/>
      <c r="CD75" s="267"/>
      <c r="CE75" s="267"/>
      <c r="CF75" s="267"/>
      <c r="CG75" s="267"/>
      <c r="CH75" s="267"/>
      <c r="CI75" s="435"/>
      <c r="CJ75" s="436"/>
      <c r="CK75" s="437"/>
      <c r="CM75" s="64" t="s">
        <v>236</v>
      </c>
      <c r="CN75" s="707">
        <v>47.333333333333336</v>
      </c>
      <c r="CS75" s="138">
        <v>57</v>
      </c>
      <c r="CT75" s="259">
        <f t="shared" ca="1" si="29"/>
        <v>47917</v>
      </c>
      <c r="CU75" s="179">
        <f t="shared" ca="1" si="56"/>
        <v>543.96397163591973</v>
      </c>
      <c r="CV75" s="179">
        <f t="shared" ca="1" si="114"/>
        <v>559.81634333080228</v>
      </c>
      <c r="CW75" s="179">
        <f t="shared" ca="1" si="114"/>
        <v>569.55251892096817</v>
      </c>
      <c r="CX75" s="179">
        <f t="shared" ca="1" si="114"/>
        <v>579.46096911917493</v>
      </c>
      <c r="CY75" s="179">
        <f t="shared" ca="1" si="114"/>
        <v>589.54479435263465</v>
      </c>
      <c r="CZ75" s="179">
        <f t="shared" ca="1" si="114"/>
        <v>599.80715178608682</v>
      </c>
      <c r="DA75" s="179">
        <f t="shared" ca="1" si="114"/>
        <v>606.74949318678739</v>
      </c>
      <c r="DB75" s="179">
        <f t="shared" ca="1" si="114"/>
        <v>620.88038195264164</v>
      </c>
      <c r="DC75" s="179">
        <f t="shared" ca="1" si="114"/>
        <v>628.07089892020429</v>
      </c>
      <c r="DD75" s="179">
        <f t="shared" ca="1" si="114"/>
        <v>635.34613068906117</v>
      </c>
      <c r="DE75" s="179">
        <f t="shared" ca="1" si="114"/>
        <v>642.70709229839451</v>
      </c>
      <c r="DF75" s="179" t="e">
        <f t="shared" ca="1" si="114"/>
        <v>#VALUE!</v>
      </c>
      <c r="DG75" s="179" t="e">
        <f t="shared" ca="1" si="114"/>
        <v>#VALUE!</v>
      </c>
      <c r="DH75" s="179" t="e">
        <f t="shared" ca="1" si="114"/>
        <v>#VALUE!</v>
      </c>
      <c r="DI75" s="179" t="e">
        <f t="shared" ca="1" si="114"/>
        <v>#VALUE!</v>
      </c>
      <c r="DJ75" s="179" t="e">
        <f t="shared" ca="1" si="113"/>
        <v>#VALUE!</v>
      </c>
      <c r="DK75" s="179" t="e">
        <f t="shared" ca="1" si="113"/>
        <v>#VALUE!</v>
      </c>
      <c r="DL75" s="179" t="e">
        <f t="shared" ca="1" si="102"/>
        <v>#VALUE!</v>
      </c>
      <c r="DM75" s="179" t="e">
        <f t="shared" ca="1" si="102"/>
        <v>#VALUE!</v>
      </c>
      <c r="DN75" s="179" t="e">
        <f t="shared" ca="1" si="102"/>
        <v>#VALUE!</v>
      </c>
      <c r="DO75" s="179" t="e">
        <f t="shared" ca="1" si="102"/>
        <v>#VALUE!</v>
      </c>
      <c r="DP75" s="179" t="e">
        <f t="shared" ca="1" si="102"/>
        <v>#VALUE!</v>
      </c>
      <c r="DQ75" s="179" t="e">
        <f t="shared" ca="1" si="102"/>
        <v>#VALUE!</v>
      </c>
      <c r="DR75" s="278">
        <v>57</v>
      </c>
      <c r="DS75" s="430">
        <f t="shared" ca="1" si="61"/>
        <v>47889</v>
      </c>
      <c r="DT75" s="180">
        <f t="shared" ca="1" si="104"/>
        <v>0</v>
      </c>
      <c r="DU75" s="180">
        <f t="shared" ca="1" si="104"/>
        <v>0</v>
      </c>
      <c r="DV75" s="180">
        <f t="shared" ca="1" si="104"/>
        <v>0</v>
      </c>
      <c r="DW75" s="180">
        <f t="shared" ca="1" si="103"/>
        <v>0</v>
      </c>
      <c r="DX75" s="180">
        <f t="shared" ca="1" si="103"/>
        <v>0</v>
      </c>
      <c r="DY75" s="180">
        <f t="shared" ca="1" si="103"/>
        <v>0</v>
      </c>
      <c r="DZ75" s="180">
        <f t="shared" ca="1" si="103"/>
        <v>0</v>
      </c>
      <c r="EA75" s="180">
        <f t="shared" ca="1" si="103"/>
        <v>0</v>
      </c>
      <c r="EB75" s="180">
        <f t="shared" ca="1" si="103"/>
        <v>0</v>
      </c>
      <c r="EC75" s="180">
        <f t="shared" ca="1" si="103"/>
        <v>0</v>
      </c>
      <c r="ED75" s="180">
        <f t="shared" ca="1" si="103"/>
        <v>0</v>
      </c>
      <c r="EE75" s="180">
        <f t="shared" ca="1" si="103"/>
        <v>0</v>
      </c>
      <c r="EF75" s="180">
        <f t="shared" ca="1" si="103"/>
        <v>0</v>
      </c>
      <c r="EG75" s="180">
        <f t="shared" ca="1" si="103"/>
        <v>0</v>
      </c>
      <c r="EH75" s="180">
        <f t="shared" ca="1" si="75"/>
        <v>0</v>
      </c>
      <c r="EI75" s="180">
        <f t="shared" ca="1" si="106"/>
        <v>0</v>
      </c>
      <c r="EJ75" s="180">
        <f t="shared" ca="1" si="106"/>
        <v>0</v>
      </c>
      <c r="EK75" s="180">
        <f t="shared" ca="1" si="106"/>
        <v>0</v>
      </c>
      <c r="EL75" s="180">
        <f t="shared" ca="1" si="106"/>
        <v>0</v>
      </c>
      <c r="EM75" s="180">
        <f t="shared" ca="1" si="106"/>
        <v>0</v>
      </c>
      <c r="EN75" s="180">
        <f t="shared" ca="1" si="106"/>
        <v>0</v>
      </c>
      <c r="EO75" s="180">
        <f t="shared" ca="1" si="106"/>
        <v>0</v>
      </c>
      <c r="EP75" s="180">
        <f t="shared" ca="1" si="106"/>
        <v>0</v>
      </c>
      <c r="EQ75" s="180"/>
      <c r="ER75" s="180"/>
    </row>
    <row r="76" spans="2:148" s="87" customFormat="1" hidden="1" x14ac:dyDescent="0.25">
      <c r="B76" s="151"/>
      <c r="C76" s="87">
        <v>15</v>
      </c>
      <c r="D76" s="258">
        <f t="shared" ca="1" si="110"/>
        <v>46609</v>
      </c>
      <c r="E76" s="175">
        <f t="shared" ca="1" si="111"/>
        <v>0.76099289725339969</v>
      </c>
      <c r="F76" s="175">
        <f t="shared" ca="1" si="111"/>
        <v>0.76099289725339969</v>
      </c>
      <c r="G76" s="175">
        <f t="shared" ca="1" si="111"/>
        <v>0.76099289725339969</v>
      </c>
      <c r="H76" s="175">
        <f t="shared" ca="1" si="111"/>
        <v>0.76099289725339969</v>
      </c>
      <c r="I76" s="175">
        <f t="shared" si="111"/>
        <v>0</v>
      </c>
      <c r="J76" s="175">
        <f t="shared" si="111"/>
        <v>0</v>
      </c>
      <c r="K76" s="175">
        <f t="shared" si="111"/>
        <v>0</v>
      </c>
      <c r="L76" s="175">
        <f t="shared" si="111"/>
        <v>0</v>
      </c>
      <c r="M76" s="175">
        <f t="shared" si="111"/>
        <v>0</v>
      </c>
      <c r="N76" s="175">
        <f t="shared" si="111"/>
        <v>0</v>
      </c>
      <c r="O76" s="175">
        <f t="shared" si="112"/>
        <v>0</v>
      </c>
      <c r="P76" s="175">
        <f t="shared" si="112"/>
        <v>0</v>
      </c>
      <c r="Q76" s="175">
        <f t="shared" si="112"/>
        <v>0</v>
      </c>
      <c r="R76" s="175">
        <f t="shared" si="112"/>
        <v>0</v>
      </c>
      <c r="S76" s="175">
        <f t="shared" si="112"/>
        <v>0</v>
      </c>
      <c r="T76" s="175">
        <f t="shared" si="112"/>
        <v>0</v>
      </c>
      <c r="U76" s="175">
        <f t="shared" si="112"/>
        <v>0</v>
      </c>
      <c r="V76" s="175"/>
      <c r="W76" s="372"/>
      <c r="X76" s="87">
        <v>58</v>
      </c>
      <c r="Y76" s="87">
        <f t="shared" ca="1" si="35"/>
        <v>67.81</v>
      </c>
      <c r="Z76" s="87">
        <f t="shared" ca="1" si="36"/>
        <v>70.569999999999993</v>
      </c>
      <c r="AA76" s="87">
        <f t="shared" ca="1" si="37"/>
        <v>1172.83</v>
      </c>
      <c r="AB76" s="87">
        <f t="shared" ca="1" si="38"/>
        <v>278.39999999999998</v>
      </c>
      <c r="AC76" s="87">
        <f t="shared" si="39"/>
        <v>0</v>
      </c>
      <c r="AD76" s="87">
        <f t="shared" si="40"/>
        <v>0</v>
      </c>
      <c r="AE76" s="87">
        <f t="shared" si="41"/>
        <v>0</v>
      </c>
      <c r="AF76" s="87">
        <f t="shared" si="42"/>
        <v>0</v>
      </c>
      <c r="AG76" s="87">
        <f t="shared" si="43"/>
        <v>0</v>
      </c>
      <c r="AH76" s="87">
        <f t="shared" si="44"/>
        <v>0</v>
      </c>
      <c r="AI76" s="87">
        <f t="shared" si="45"/>
        <v>0</v>
      </c>
      <c r="AJ76" s="87">
        <f t="shared" si="46"/>
        <v>0</v>
      </c>
      <c r="AK76" s="87">
        <f t="shared" si="47"/>
        <v>0</v>
      </c>
      <c r="AL76" s="87">
        <f t="shared" si="48"/>
        <v>0</v>
      </c>
      <c r="AM76" s="87">
        <f t="shared" si="49"/>
        <v>0</v>
      </c>
      <c r="AN76" s="87">
        <f t="shared" si="50"/>
        <v>0</v>
      </c>
      <c r="AO76" s="87">
        <f t="shared" si="51"/>
        <v>0</v>
      </c>
      <c r="AQ76" s="426">
        <v>58</v>
      </c>
      <c r="AR76" s="258">
        <f t="shared" ca="1" si="58"/>
        <v>47917</v>
      </c>
      <c r="AS76" s="429">
        <f t="shared" ca="1" si="84"/>
        <v>1589.6100000000001</v>
      </c>
      <c r="AT76" s="138"/>
      <c r="AU76" s="278">
        <v>58</v>
      </c>
      <c r="AV76" s="258">
        <f t="shared" ca="1" si="59"/>
        <v>47948</v>
      </c>
      <c r="AW76" s="429">
        <f t="shared" ca="1" si="52"/>
        <v>0</v>
      </c>
      <c r="AX76" s="202">
        <f t="shared" ca="1" si="53"/>
        <v>0</v>
      </c>
      <c r="AY76" s="278">
        <v>58</v>
      </c>
      <c r="AZ76" s="258">
        <f t="shared" ca="1" si="60"/>
        <v>47948</v>
      </c>
      <c r="BA76" s="429">
        <f t="shared" si="54"/>
        <v>1589.6100000000001</v>
      </c>
      <c r="BB76" s="259">
        <f t="shared" ca="1" si="11"/>
        <v>47917</v>
      </c>
      <c r="BC76" s="428">
        <f t="shared" ca="1" si="55"/>
        <v>0</v>
      </c>
      <c r="BD76" s="188">
        <f t="shared" si="85"/>
        <v>67.81</v>
      </c>
      <c r="BE76" s="188">
        <f t="shared" si="86"/>
        <v>70.569999999999993</v>
      </c>
      <c r="BF76" s="188">
        <f t="shared" si="87"/>
        <v>1172.83</v>
      </c>
      <c r="BG76" s="87">
        <f t="shared" si="88"/>
        <v>278.39999999999998</v>
      </c>
      <c r="BH76" s="87">
        <f t="shared" si="89"/>
        <v>0</v>
      </c>
      <c r="BI76" s="87">
        <f t="shared" si="90"/>
        <v>0</v>
      </c>
      <c r="BJ76" s="87">
        <f t="shared" si="91"/>
        <v>0</v>
      </c>
      <c r="BK76" s="87">
        <f t="shared" si="92"/>
        <v>0</v>
      </c>
      <c r="BL76" s="87">
        <f t="shared" si="93"/>
        <v>0</v>
      </c>
      <c r="BM76" s="87">
        <f t="shared" si="94"/>
        <v>0</v>
      </c>
      <c r="BN76" s="87">
        <f t="shared" si="95"/>
        <v>0</v>
      </c>
      <c r="BO76" s="87">
        <f t="shared" si="96"/>
        <v>0</v>
      </c>
      <c r="BP76" s="87">
        <f t="shared" si="97"/>
        <v>0</v>
      </c>
      <c r="BQ76" s="87">
        <f t="shared" si="98"/>
        <v>0</v>
      </c>
      <c r="BR76" s="87">
        <f t="shared" si="99"/>
        <v>0</v>
      </c>
      <c r="BS76" s="87">
        <f t="shared" si="100"/>
        <v>0</v>
      </c>
      <c r="BT76" s="87">
        <f t="shared" si="101"/>
        <v>0</v>
      </c>
      <c r="BV76" s="177"/>
      <c r="BW76" s="177"/>
      <c r="BX76" s="267"/>
      <c r="BY76" s="267"/>
      <c r="BZ76" s="267"/>
      <c r="CA76" s="267"/>
      <c r="CB76" s="267"/>
      <c r="CC76" s="267"/>
      <c r="CD76" s="267"/>
      <c r="CE76" s="267"/>
      <c r="CF76" s="267"/>
      <c r="CG76" s="267"/>
      <c r="CH76" s="267"/>
      <c r="CI76" s="435"/>
      <c r="CJ76" s="436"/>
      <c r="CK76" s="437"/>
      <c r="CM76" s="64" t="s">
        <v>77</v>
      </c>
      <c r="CN76" s="707">
        <v>65.5</v>
      </c>
      <c r="CS76" s="87">
        <v>58</v>
      </c>
      <c r="CT76" s="259">
        <f t="shared" ca="1" si="29"/>
        <v>47948</v>
      </c>
      <c r="CU76" s="179">
        <f t="shared" ca="1" si="56"/>
        <v>533.75718589005646</v>
      </c>
      <c r="CV76" s="179">
        <f t="shared" ca="1" si="114"/>
        <v>549.59090344076958</v>
      </c>
      <c r="CW76" s="179">
        <f t="shared" ca="1" si="114"/>
        <v>559.31956333441019</v>
      </c>
      <c r="CX76" s="179">
        <f t="shared" ca="1" si="114"/>
        <v>569.223381180915</v>
      </c>
      <c r="CY76" s="179">
        <f t="shared" ca="1" si="114"/>
        <v>579.30556363026301</v>
      </c>
      <c r="CZ76" s="179">
        <f t="shared" ca="1" si="114"/>
        <v>589.56937700892286</v>
      </c>
      <c r="DA76" s="179">
        <f t="shared" ca="1" si="114"/>
        <v>596.5144658243579</v>
      </c>
      <c r="DB76" s="179">
        <f t="shared" ca="1" si="114"/>
        <v>610.65526703651778</v>
      </c>
      <c r="DC76" s="179">
        <f t="shared" ca="1" si="114"/>
        <v>617.85301889698962</v>
      </c>
      <c r="DD76" s="179">
        <f t="shared" ca="1" si="114"/>
        <v>625.13705230660992</v>
      </c>
      <c r="DE76" s="179">
        <f t="shared" ca="1" si="114"/>
        <v>632.5084188416505</v>
      </c>
      <c r="DF76" s="179" t="e">
        <f t="shared" ca="1" si="114"/>
        <v>#VALUE!</v>
      </c>
      <c r="DG76" s="179" t="e">
        <f t="shared" ca="1" si="114"/>
        <v>#VALUE!</v>
      </c>
      <c r="DH76" s="179" t="e">
        <f t="shared" ca="1" si="114"/>
        <v>#VALUE!</v>
      </c>
      <c r="DI76" s="179" t="e">
        <f t="shared" ca="1" si="114"/>
        <v>#VALUE!</v>
      </c>
      <c r="DJ76" s="179" t="e">
        <f t="shared" ca="1" si="113"/>
        <v>#VALUE!</v>
      </c>
      <c r="DK76" s="179" t="e">
        <f t="shared" ca="1" si="113"/>
        <v>#VALUE!</v>
      </c>
      <c r="DL76" s="179" t="e">
        <f t="shared" ca="1" si="102"/>
        <v>#VALUE!</v>
      </c>
      <c r="DM76" s="179" t="e">
        <f t="shared" ca="1" si="102"/>
        <v>#VALUE!</v>
      </c>
      <c r="DN76" s="179" t="e">
        <f t="shared" ca="1" si="102"/>
        <v>#VALUE!</v>
      </c>
      <c r="DO76" s="179" t="e">
        <f t="shared" ca="1" si="102"/>
        <v>#VALUE!</v>
      </c>
      <c r="DP76" s="179" t="e">
        <f t="shared" ca="1" si="102"/>
        <v>#VALUE!</v>
      </c>
      <c r="DQ76" s="179" t="e">
        <f t="shared" ca="1" si="102"/>
        <v>#VALUE!</v>
      </c>
      <c r="DR76" s="188">
        <v>58</v>
      </c>
      <c r="DS76" s="430">
        <f t="shared" ca="1" si="61"/>
        <v>47917</v>
      </c>
      <c r="DT76" s="180">
        <f t="shared" ca="1" si="104"/>
        <v>0</v>
      </c>
      <c r="DU76" s="180">
        <f t="shared" ca="1" si="104"/>
        <v>0</v>
      </c>
      <c r="DV76" s="180">
        <f t="shared" ca="1" si="104"/>
        <v>0</v>
      </c>
      <c r="DW76" s="180">
        <f t="shared" ca="1" si="103"/>
        <v>0</v>
      </c>
      <c r="DX76" s="180">
        <f t="shared" ca="1" si="103"/>
        <v>0</v>
      </c>
      <c r="DY76" s="180">
        <f t="shared" ca="1" si="103"/>
        <v>0</v>
      </c>
      <c r="DZ76" s="180">
        <f t="shared" ca="1" si="103"/>
        <v>0</v>
      </c>
      <c r="EA76" s="180">
        <f t="shared" ca="1" si="103"/>
        <v>0</v>
      </c>
      <c r="EB76" s="180">
        <f t="shared" ca="1" si="103"/>
        <v>0</v>
      </c>
      <c r="EC76" s="180">
        <f t="shared" ca="1" si="103"/>
        <v>0</v>
      </c>
      <c r="ED76" s="180">
        <f t="shared" ca="1" si="103"/>
        <v>0</v>
      </c>
      <c r="EE76" s="180">
        <f t="shared" ca="1" si="103"/>
        <v>0</v>
      </c>
      <c r="EF76" s="180">
        <f t="shared" ca="1" si="103"/>
        <v>0</v>
      </c>
      <c r="EG76" s="180">
        <f t="shared" ca="1" si="103"/>
        <v>0</v>
      </c>
      <c r="EH76" s="180">
        <f t="shared" ca="1" si="75"/>
        <v>0</v>
      </c>
      <c r="EI76" s="180">
        <f t="shared" ca="1" si="106"/>
        <v>0</v>
      </c>
      <c r="EJ76" s="180">
        <f t="shared" ca="1" si="106"/>
        <v>0</v>
      </c>
      <c r="EK76" s="180">
        <f t="shared" ca="1" si="106"/>
        <v>0</v>
      </c>
      <c r="EL76" s="180">
        <f t="shared" ca="1" si="106"/>
        <v>0</v>
      </c>
      <c r="EM76" s="180">
        <f t="shared" ca="1" si="106"/>
        <v>0</v>
      </c>
      <c r="EN76" s="180">
        <f t="shared" ca="1" si="106"/>
        <v>0</v>
      </c>
      <c r="EO76" s="180">
        <f t="shared" ca="1" si="106"/>
        <v>0</v>
      </c>
      <c r="EP76" s="180">
        <f t="shared" ca="1" si="106"/>
        <v>0</v>
      </c>
      <c r="EQ76" s="180"/>
      <c r="ER76" s="180"/>
    </row>
    <row r="77" spans="2:148" s="87" customFormat="1" hidden="1" x14ac:dyDescent="0.25">
      <c r="B77" s="151"/>
      <c r="C77" s="87">
        <v>16</v>
      </c>
      <c r="D77" s="258">
        <f t="shared" ca="1" si="110"/>
        <v>46640</v>
      </c>
      <c r="E77" s="175">
        <f t="shared" ca="1" si="111"/>
        <v>0.7467138422765971</v>
      </c>
      <c r="F77" s="175">
        <f t="shared" ca="1" si="111"/>
        <v>0.7467138422765971</v>
      </c>
      <c r="G77" s="175">
        <f t="shared" ca="1" si="111"/>
        <v>0.7467138422765971</v>
      </c>
      <c r="H77" s="175">
        <f t="shared" ca="1" si="111"/>
        <v>0.7467138422765971</v>
      </c>
      <c r="I77" s="175">
        <f t="shared" si="111"/>
        <v>0</v>
      </c>
      <c r="J77" s="175">
        <f t="shared" si="111"/>
        <v>0</v>
      </c>
      <c r="K77" s="175">
        <f t="shared" si="111"/>
        <v>0</v>
      </c>
      <c r="L77" s="175">
        <f t="shared" si="111"/>
        <v>0</v>
      </c>
      <c r="M77" s="175">
        <f t="shared" si="111"/>
        <v>0</v>
      </c>
      <c r="N77" s="175">
        <f t="shared" si="111"/>
        <v>0</v>
      </c>
      <c r="O77" s="175">
        <f t="shared" si="112"/>
        <v>0</v>
      </c>
      <c r="P77" s="175">
        <f t="shared" si="112"/>
        <v>0</v>
      </c>
      <c r="Q77" s="175">
        <f t="shared" si="112"/>
        <v>0</v>
      </c>
      <c r="R77" s="175">
        <f t="shared" si="112"/>
        <v>0</v>
      </c>
      <c r="S77" s="175">
        <f t="shared" si="112"/>
        <v>0</v>
      </c>
      <c r="T77" s="175">
        <f t="shared" si="112"/>
        <v>0</v>
      </c>
      <c r="U77" s="175">
        <f t="shared" si="112"/>
        <v>0</v>
      </c>
      <c r="V77" s="175"/>
      <c r="W77" s="372"/>
      <c r="X77" s="87">
        <v>59</v>
      </c>
      <c r="Y77" s="87">
        <f t="shared" ca="1" si="35"/>
        <v>67.81</v>
      </c>
      <c r="Z77" s="87">
        <f t="shared" ca="1" si="36"/>
        <v>70.569999999999993</v>
      </c>
      <c r="AA77" s="87">
        <f t="shared" ca="1" si="37"/>
        <v>1172.83</v>
      </c>
      <c r="AB77" s="87">
        <f t="shared" ca="1" si="38"/>
        <v>278.39999999999998</v>
      </c>
      <c r="AC77" s="87">
        <f t="shared" si="39"/>
        <v>0</v>
      </c>
      <c r="AD77" s="87">
        <f t="shared" si="40"/>
        <v>0</v>
      </c>
      <c r="AE77" s="87">
        <f t="shared" si="41"/>
        <v>0</v>
      </c>
      <c r="AF77" s="87">
        <f t="shared" si="42"/>
        <v>0</v>
      </c>
      <c r="AG77" s="87">
        <f t="shared" si="43"/>
        <v>0</v>
      </c>
      <c r="AH77" s="87">
        <f t="shared" si="44"/>
        <v>0</v>
      </c>
      <c r="AI77" s="87">
        <f t="shared" si="45"/>
        <v>0</v>
      </c>
      <c r="AJ77" s="87">
        <f t="shared" si="46"/>
        <v>0</v>
      </c>
      <c r="AK77" s="87">
        <f t="shared" si="47"/>
        <v>0</v>
      </c>
      <c r="AL77" s="87">
        <f t="shared" si="48"/>
        <v>0</v>
      </c>
      <c r="AM77" s="87">
        <f t="shared" si="49"/>
        <v>0</v>
      </c>
      <c r="AN77" s="87">
        <f t="shared" si="50"/>
        <v>0</v>
      </c>
      <c r="AO77" s="87">
        <f t="shared" si="51"/>
        <v>0</v>
      </c>
      <c r="AQ77" s="426">
        <v>59</v>
      </c>
      <c r="AR77" s="258">
        <f t="shared" ca="1" si="58"/>
        <v>47948</v>
      </c>
      <c r="AS77" s="429">
        <f t="shared" ca="1" si="84"/>
        <v>1589.6100000000001</v>
      </c>
      <c r="AT77" s="138"/>
      <c r="AU77" s="278">
        <v>59</v>
      </c>
      <c r="AV77" s="258">
        <f t="shared" ca="1" si="59"/>
        <v>47978</v>
      </c>
      <c r="AW77" s="429">
        <f t="shared" ca="1" si="52"/>
        <v>0</v>
      </c>
      <c r="AX77" s="202">
        <f t="shared" ca="1" si="53"/>
        <v>0</v>
      </c>
      <c r="AY77" s="278">
        <v>59</v>
      </c>
      <c r="AZ77" s="258">
        <f t="shared" ca="1" si="60"/>
        <v>47978</v>
      </c>
      <c r="BA77" s="429">
        <f t="shared" si="54"/>
        <v>1589.6100000000001</v>
      </c>
      <c r="BB77" s="259">
        <f t="shared" ca="1" si="11"/>
        <v>47948</v>
      </c>
      <c r="BC77" s="428">
        <f t="shared" ca="1" si="55"/>
        <v>0</v>
      </c>
      <c r="BD77" s="188">
        <f t="shared" si="85"/>
        <v>67.81</v>
      </c>
      <c r="BE77" s="188">
        <f t="shared" si="86"/>
        <v>70.569999999999993</v>
      </c>
      <c r="BF77" s="188">
        <f t="shared" si="87"/>
        <v>1172.83</v>
      </c>
      <c r="BG77" s="87">
        <f t="shared" si="88"/>
        <v>278.39999999999998</v>
      </c>
      <c r="BH77" s="87">
        <f t="shared" si="89"/>
        <v>0</v>
      </c>
      <c r="BI77" s="87">
        <f t="shared" si="90"/>
        <v>0</v>
      </c>
      <c r="BJ77" s="87">
        <f t="shared" si="91"/>
        <v>0</v>
      </c>
      <c r="BK77" s="87">
        <f t="shared" si="92"/>
        <v>0</v>
      </c>
      <c r="BL77" s="87">
        <f t="shared" si="93"/>
        <v>0</v>
      </c>
      <c r="BM77" s="87">
        <f t="shared" si="94"/>
        <v>0</v>
      </c>
      <c r="BN77" s="87">
        <f t="shared" si="95"/>
        <v>0</v>
      </c>
      <c r="BO77" s="87">
        <f t="shared" si="96"/>
        <v>0</v>
      </c>
      <c r="BP77" s="87">
        <f t="shared" si="97"/>
        <v>0</v>
      </c>
      <c r="BQ77" s="87">
        <f t="shared" si="98"/>
        <v>0</v>
      </c>
      <c r="BR77" s="87">
        <f t="shared" si="99"/>
        <v>0</v>
      </c>
      <c r="BS77" s="87">
        <f t="shared" si="100"/>
        <v>0</v>
      </c>
      <c r="BT77" s="87">
        <f t="shared" si="101"/>
        <v>0</v>
      </c>
      <c r="BV77" s="177"/>
      <c r="BW77" s="177"/>
      <c r="BX77" s="267"/>
      <c r="BY77" s="267"/>
      <c r="BZ77" s="267"/>
      <c r="CA77" s="267"/>
      <c r="CB77" s="267"/>
      <c r="CC77" s="267"/>
      <c r="CD77" s="267"/>
      <c r="CE77" s="267"/>
      <c r="CF77" s="267"/>
      <c r="CG77" s="267"/>
      <c r="CH77" s="267"/>
      <c r="CI77" s="435"/>
      <c r="CJ77" s="436"/>
      <c r="CK77" s="437"/>
      <c r="CM77" s="64" t="s">
        <v>3022</v>
      </c>
      <c r="CN77" s="707">
        <v>53.666666666666664</v>
      </c>
      <c r="CS77" s="178">
        <v>59</v>
      </c>
      <c r="CT77" s="259">
        <f t="shared" ca="1" si="29"/>
        <v>47978</v>
      </c>
      <c r="CU77" s="179">
        <f t="shared" ca="1" si="56"/>
        <v>524.06203818365884</v>
      </c>
      <c r="CV77" s="179">
        <f t="shared" ca="1" si="114"/>
        <v>539.87318609112924</v>
      </c>
      <c r="CW77" s="179">
        <f t="shared" ca="1" si="114"/>
        <v>549.59178867486492</v>
      </c>
      <c r="CX77" s="179">
        <f t="shared" ca="1" si="114"/>
        <v>559.48828502154015</v>
      </c>
      <c r="CY77" s="179">
        <f t="shared" ca="1" si="114"/>
        <v>569.56598528194195</v>
      </c>
      <c r="CZ77" s="179">
        <f t="shared" ca="1" si="114"/>
        <v>579.82826220389734</v>
      </c>
      <c r="DA77" s="179">
        <f t="shared" ca="1" si="114"/>
        <v>586.77401713983659</v>
      </c>
      <c r="DB77" s="179">
        <f t="shared" ca="1" si="114"/>
        <v>600.92035724908271</v>
      </c>
      <c r="DC77" s="179">
        <f t="shared" ca="1" si="114"/>
        <v>608.1230500954623</v>
      </c>
      <c r="DD77" s="179">
        <f t="shared" ca="1" si="114"/>
        <v>615.4135187109764</v>
      </c>
      <c r="DE77" s="179">
        <f t="shared" ca="1" si="114"/>
        <v>622.79285037578813</v>
      </c>
      <c r="DF77" s="179" t="e">
        <f t="shared" ca="1" si="114"/>
        <v>#VALUE!</v>
      </c>
      <c r="DG77" s="179" t="e">
        <f t="shared" ca="1" si="114"/>
        <v>#VALUE!</v>
      </c>
      <c r="DH77" s="179" t="e">
        <f t="shared" ca="1" si="114"/>
        <v>#VALUE!</v>
      </c>
      <c r="DI77" s="179" t="e">
        <f t="shared" ca="1" si="114"/>
        <v>#VALUE!</v>
      </c>
      <c r="DJ77" s="179" t="e">
        <f t="shared" ca="1" si="113"/>
        <v>#VALUE!</v>
      </c>
      <c r="DK77" s="179" t="e">
        <f t="shared" ca="1" si="113"/>
        <v>#VALUE!</v>
      </c>
      <c r="DL77" s="179" t="e">
        <f t="shared" ca="1" si="102"/>
        <v>#VALUE!</v>
      </c>
      <c r="DM77" s="179" t="e">
        <f t="shared" ca="1" si="102"/>
        <v>#VALUE!</v>
      </c>
      <c r="DN77" s="179" t="e">
        <f t="shared" ca="1" si="102"/>
        <v>#VALUE!</v>
      </c>
      <c r="DO77" s="179" t="e">
        <f t="shared" ca="1" si="102"/>
        <v>#VALUE!</v>
      </c>
      <c r="DP77" s="179" t="e">
        <f t="shared" ca="1" si="102"/>
        <v>#VALUE!</v>
      </c>
      <c r="DQ77" s="179" t="e">
        <f t="shared" ca="1" si="102"/>
        <v>#VALUE!</v>
      </c>
      <c r="DR77" s="431">
        <v>59</v>
      </c>
      <c r="DS77" s="430">
        <f t="shared" ca="1" si="61"/>
        <v>47948</v>
      </c>
      <c r="DT77" s="180">
        <f t="shared" ca="1" si="104"/>
        <v>0</v>
      </c>
      <c r="DU77" s="180">
        <f t="shared" ca="1" si="104"/>
        <v>0</v>
      </c>
      <c r="DV77" s="180">
        <f t="shared" ca="1" si="104"/>
        <v>0</v>
      </c>
      <c r="DW77" s="180">
        <f t="shared" ca="1" si="103"/>
        <v>0</v>
      </c>
      <c r="DX77" s="180">
        <f t="shared" ca="1" si="103"/>
        <v>0</v>
      </c>
      <c r="DY77" s="180">
        <f t="shared" ca="1" si="103"/>
        <v>0</v>
      </c>
      <c r="DZ77" s="180">
        <f t="shared" ca="1" si="103"/>
        <v>0</v>
      </c>
      <c r="EA77" s="180">
        <f t="shared" ca="1" si="103"/>
        <v>0</v>
      </c>
      <c r="EB77" s="180">
        <f t="shared" ca="1" si="103"/>
        <v>0</v>
      </c>
      <c r="EC77" s="180">
        <f t="shared" ca="1" si="103"/>
        <v>0</v>
      </c>
      <c r="ED77" s="180">
        <f t="shared" ca="1" si="103"/>
        <v>0</v>
      </c>
      <c r="EE77" s="180">
        <f t="shared" ca="1" si="103"/>
        <v>0</v>
      </c>
      <c r="EF77" s="180">
        <f t="shared" ca="1" si="103"/>
        <v>0</v>
      </c>
      <c r="EG77" s="180">
        <f t="shared" ca="1" si="103"/>
        <v>0</v>
      </c>
      <c r="EH77" s="180">
        <f t="shared" ca="1" si="75"/>
        <v>0</v>
      </c>
      <c r="EI77" s="180">
        <f t="shared" ca="1" si="106"/>
        <v>0</v>
      </c>
      <c r="EJ77" s="180">
        <f t="shared" ca="1" si="106"/>
        <v>0</v>
      </c>
      <c r="EK77" s="180">
        <f t="shared" ca="1" si="106"/>
        <v>0</v>
      </c>
      <c r="EL77" s="180">
        <f t="shared" ca="1" si="106"/>
        <v>0</v>
      </c>
      <c r="EM77" s="180">
        <f t="shared" ca="1" si="106"/>
        <v>0</v>
      </c>
      <c r="EN77" s="180">
        <f t="shared" ca="1" si="106"/>
        <v>0</v>
      </c>
      <c r="EO77" s="180">
        <f t="shared" ca="1" si="106"/>
        <v>0</v>
      </c>
      <c r="EP77" s="180">
        <f t="shared" ca="1" si="106"/>
        <v>0</v>
      </c>
      <c r="EQ77" s="180"/>
      <c r="ER77" s="180"/>
    </row>
    <row r="78" spans="2:148" s="87" customFormat="1" hidden="1" x14ac:dyDescent="0.25">
      <c r="B78" s="151"/>
      <c r="C78" s="87">
        <v>17</v>
      </c>
      <c r="D78" s="258">
        <f t="shared" ca="1" si="110"/>
        <v>46670</v>
      </c>
      <c r="E78" s="175">
        <f t="shared" ca="1" si="111"/>
        <v>0.73315055697260401</v>
      </c>
      <c r="F78" s="175">
        <f t="shared" ca="1" si="111"/>
        <v>0.73315055697260401</v>
      </c>
      <c r="G78" s="175">
        <f t="shared" ca="1" si="111"/>
        <v>0.73315055697260401</v>
      </c>
      <c r="H78" s="175">
        <f t="shared" ca="1" si="111"/>
        <v>0.73315055697260401</v>
      </c>
      <c r="I78" s="175">
        <f t="shared" si="111"/>
        <v>0</v>
      </c>
      <c r="J78" s="175">
        <f t="shared" si="111"/>
        <v>0</v>
      </c>
      <c r="K78" s="175">
        <f t="shared" si="111"/>
        <v>0</v>
      </c>
      <c r="L78" s="175">
        <f t="shared" si="111"/>
        <v>0</v>
      </c>
      <c r="M78" s="175">
        <f t="shared" si="111"/>
        <v>0</v>
      </c>
      <c r="N78" s="175">
        <f t="shared" si="111"/>
        <v>0</v>
      </c>
      <c r="O78" s="175">
        <f t="shared" si="112"/>
        <v>0</v>
      </c>
      <c r="P78" s="175">
        <f t="shared" si="112"/>
        <v>0</v>
      </c>
      <c r="Q78" s="175">
        <f t="shared" si="112"/>
        <v>0</v>
      </c>
      <c r="R78" s="175">
        <f t="shared" si="112"/>
        <v>0</v>
      </c>
      <c r="S78" s="175">
        <f t="shared" si="112"/>
        <v>0</v>
      </c>
      <c r="T78" s="175">
        <f t="shared" si="112"/>
        <v>0</v>
      </c>
      <c r="U78" s="175">
        <f t="shared" si="112"/>
        <v>0</v>
      </c>
      <c r="V78" s="175"/>
      <c r="W78" s="372"/>
      <c r="X78" s="87">
        <v>60</v>
      </c>
      <c r="Y78" s="87">
        <f t="shared" ca="1" si="35"/>
        <v>67.81</v>
      </c>
      <c r="Z78" s="87">
        <f t="shared" ca="1" si="36"/>
        <v>70.569999999999993</v>
      </c>
      <c r="AA78" s="87">
        <f t="shared" ca="1" si="37"/>
        <v>1172.83</v>
      </c>
      <c r="AB78" s="87">
        <f t="shared" ca="1" si="38"/>
        <v>278.39999999999998</v>
      </c>
      <c r="AC78" s="87">
        <f t="shared" si="39"/>
        <v>0</v>
      </c>
      <c r="AD78" s="87">
        <f t="shared" si="40"/>
        <v>0</v>
      </c>
      <c r="AE78" s="87">
        <f t="shared" si="41"/>
        <v>0</v>
      </c>
      <c r="AF78" s="87">
        <f t="shared" si="42"/>
        <v>0</v>
      </c>
      <c r="AG78" s="87">
        <f t="shared" si="43"/>
        <v>0</v>
      </c>
      <c r="AH78" s="87">
        <f t="shared" si="44"/>
        <v>0</v>
      </c>
      <c r="AI78" s="87">
        <f t="shared" si="45"/>
        <v>0</v>
      </c>
      <c r="AJ78" s="87">
        <f t="shared" si="46"/>
        <v>0</v>
      </c>
      <c r="AK78" s="87">
        <f t="shared" si="47"/>
        <v>0</v>
      </c>
      <c r="AL78" s="87">
        <f t="shared" si="48"/>
        <v>0</v>
      </c>
      <c r="AM78" s="87">
        <f t="shared" si="49"/>
        <v>0</v>
      </c>
      <c r="AN78" s="87">
        <f t="shared" si="50"/>
        <v>0</v>
      </c>
      <c r="AO78" s="87">
        <f t="shared" si="51"/>
        <v>0</v>
      </c>
      <c r="AQ78" s="426">
        <v>60</v>
      </c>
      <c r="AR78" s="258">
        <f t="shared" ca="1" si="58"/>
        <v>47978</v>
      </c>
      <c r="AS78" s="429">
        <f t="shared" ca="1" si="84"/>
        <v>1589.6100000000001</v>
      </c>
      <c r="AT78" s="138"/>
      <c r="AU78" s="278">
        <v>60</v>
      </c>
      <c r="AV78" s="258">
        <f t="shared" ca="1" si="59"/>
        <v>48009</v>
      </c>
      <c r="AW78" s="429">
        <f t="shared" ca="1" si="52"/>
        <v>0</v>
      </c>
      <c r="AX78" s="202">
        <f t="shared" ca="1" si="53"/>
        <v>0</v>
      </c>
      <c r="AY78" s="278">
        <v>60</v>
      </c>
      <c r="AZ78" s="258">
        <f t="shared" ca="1" si="60"/>
        <v>48009</v>
      </c>
      <c r="BA78" s="429">
        <f t="shared" si="54"/>
        <v>1589.6100000000001</v>
      </c>
      <c r="BB78" s="259">
        <f t="shared" ca="1" si="11"/>
        <v>47978</v>
      </c>
      <c r="BC78" s="428">
        <f t="shared" ca="1" si="55"/>
        <v>0</v>
      </c>
      <c r="BD78" s="188">
        <f t="shared" si="85"/>
        <v>67.81</v>
      </c>
      <c r="BE78" s="188">
        <f t="shared" si="86"/>
        <v>70.569999999999993</v>
      </c>
      <c r="BF78" s="188">
        <f t="shared" si="87"/>
        <v>1172.83</v>
      </c>
      <c r="BG78" s="87">
        <f t="shared" si="88"/>
        <v>278.39999999999998</v>
      </c>
      <c r="BH78" s="87">
        <f t="shared" si="89"/>
        <v>0</v>
      </c>
      <c r="BI78" s="87">
        <f t="shared" si="90"/>
        <v>0</v>
      </c>
      <c r="BJ78" s="87">
        <f t="shared" si="91"/>
        <v>0</v>
      </c>
      <c r="BK78" s="87">
        <f t="shared" si="92"/>
        <v>0</v>
      </c>
      <c r="BL78" s="87">
        <f t="shared" si="93"/>
        <v>0</v>
      </c>
      <c r="BM78" s="87">
        <f t="shared" si="94"/>
        <v>0</v>
      </c>
      <c r="BN78" s="87">
        <f t="shared" si="95"/>
        <v>0</v>
      </c>
      <c r="BO78" s="87">
        <f t="shared" si="96"/>
        <v>0</v>
      </c>
      <c r="BP78" s="87">
        <f t="shared" si="97"/>
        <v>0</v>
      </c>
      <c r="BQ78" s="87">
        <f t="shared" si="98"/>
        <v>0</v>
      </c>
      <c r="BR78" s="87">
        <f t="shared" si="99"/>
        <v>0</v>
      </c>
      <c r="BS78" s="87">
        <f t="shared" si="100"/>
        <v>0</v>
      </c>
      <c r="BT78" s="87">
        <f t="shared" si="101"/>
        <v>0</v>
      </c>
      <c r="BV78" s="177"/>
      <c r="BW78" s="177"/>
      <c r="BX78" s="267"/>
      <c r="BY78" s="267"/>
      <c r="BZ78" s="267"/>
      <c r="CA78" s="267"/>
      <c r="CB78" s="267"/>
      <c r="CC78" s="267"/>
      <c r="CD78" s="267"/>
      <c r="CE78" s="267"/>
      <c r="CF78" s="267"/>
      <c r="CG78" s="267"/>
      <c r="CH78" s="267"/>
      <c r="CI78" s="435"/>
      <c r="CJ78" s="436"/>
      <c r="CK78" s="437"/>
      <c r="CM78" s="64" t="s">
        <v>246</v>
      </c>
      <c r="CN78" s="707">
        <v>57</v>
      </c>
      <c r="CS78" s="138">
        <v>60</v>
      </c>
      <c r="CT78" s="259">
        <f t="shared" ca="1" si="29"/>
        <v>48009</v>
      </c>
      <c r="CU78" s="179">
        <f t="shared" ca="1" si="56"/>
        <v>514.22868667474461</v>
      </c>
      <c r="CV78" s="179">
        <f t="shared" ca="1" si="114"/>
        <v>530.01202201762317</v>
      </c>
      <c r="CW78" s="179">
        <f t="shared" ca="1" si="114"/>
        <v>539.71746071139353</v>
      </c>
      <c r="CX78" s="179">
        <f t="shared" ca="1" si="114"/>
        <v>549.60356314451542</v>
      </c>
      <c r="CY78" s="179">
        <f t="shared" ca="1" si="114"/>
        <v>559.67374708260263</v>
      </c>
      <c r="CZ78" s="179">
        <f t="shared" ca="1" si="114"/>
        <v>569.93149598461912</v>
      </c>
      <c r="DA78" s="179">
        <f t="shared" ca="1" si="114"/>
        <v>576.87594851608571</v>
      </c>
      <c r="DB78" s="179">
        <f t="shared" ca="1" si="114"/>
        <v>591.02395870450948</v>
      </c>
      <c r="DC78" s="179">
        <f t="shared" ca="1" si="114"/>
        <v>598.22969510017492</v>
      </c>
      <c r="DD78" s="179">
        <f t="shared" ca="1" si="114"/>
        <v>605.52472810273491</v>
      </c>
      <c r="DE78" s="179">
        <f t="shared" ca="1" si="114"/>
        <v>612.91018222370155</v>
      </c>
      <c r="DF78" s="179" t="e">
        <f t="shared" ca="1" si="114"/>
        <v>#VALUE!</v>
      </c>
      <c r="DG78" s="179" t="e">
        <f t="shared" ca="1" si="114"/>
        <v>#VALUE!</v>
      </c>
      <c r="DH78" s="179" t="e">
        <f t="shared" ca="1" si="114"/>
        <v>#VALUE!</v>
      </c>
      <c r="DI78" s="179" t="e">
        <f t="shared" ca="1" si="114"/>
        <v>#VALUE!</v>
      </c>
      <c r="DJ78" s="179" t="e">
        <f t="shared" ca="1" si="113"/>
        <v>#VALUE!</v>
      </c>
      <c r="DK78" s="179" t="e">
        <f t="shared" ca="1" si="113"/>
        <v>#VALUE!</v>
      </c>
      <c r="DL78" s="179" t="e">
        <f t="shared" ca="1" si="102"/>
        <v>#VALUE!</v>
      </c>
      <c r="DM78" s="179" t="e">
        <f t="shared" ca="1" si="102"/>
        <v>#VALUE!</v>
      </c>
      <c r="DN78" s="179" t="e">
        <f t="shared" ca="1" si="102"/>
        <v>#VALUE!</v>
      </c>
      <c r="DO78" s="179" t="e">
        <f t="shared" ca="1" si="102"/>
        <v>#VALUE!</v>
      </c>
      <c r="DP78" s="179" t="e">
        <f t="shared" ca="1" si="102"/>
        <v>#VALUE!</v>
      </c>
      <c r="DQ78" s="179" t="e">
        <f t="shared" ca="1" si="102"/>
        <v>#VALUE!</v>
      </c>
      <c r="DR78" s="278">
        <v>60</v>
      </c>
      <c r="DS78" s="430">
        <f t="shared" ca="1" si="61"/>
        <v>47978</v>
      </c>
      <c r="DT78" s="180">
        <f t="shared" ca="1" si="104"/>
        <v>0</v>
      </c>
      <c r="DU78" s="180">
        <f t="shared" ca="1" si="104"/>
        <v>0</v>
      </c>
      <c r="DV78" s="180">
        <f t="shared" ca="1" si="104"/>
        <v>0</v>
      </c>
      <c r="DW78" s="180">
        <f t="shared" ca="1" si="103"/>
        <v>0</v>
      </c>
      <c r="DX78" s="180">
        <f t="shared" ca="1" si="103"/>
        <v>0</v>
      </c>
      <c r="DY78" s="180">
        <f t="shared" ref="DY78:EH105" ca="1" si="115">IFERROR(VLOOKUP($DS78,$AZ$19:$BA$162,2,FALSE),0)-IFERROR(VLOOKUP($DS78,$AR$19:$AS$162,2,FALSE),0)</f>
        <v>0</v>
      </c>
      <c r="DZ78" s="180">
        <f t="shared" ca="1" si="115"/>
        <v>0</v>
      </c>
      <c r="EA78" s="180">
        <f t="shared" ca="1" si="115"/>
        <v>0</v>
      </c>
      <c r="EB78" s="180">
        <f t="shared" ca="1" si="115"/>
        <v>0</v>
      </c>
      <c r="EC78" s="180">
        <f t="shared" ca="1" si="115"/>
        <v>0</v>
      </c>
      <c r="ED78" s="180">
        <f t="shared" ca="1" si="115"/>
        <v>0</v>
      </c>
      <c r="EE78" s="180">
        <f t="shared" ca="1" si="115"/>
        <v>0</v>
      </c>
      <c r="EF78" s="180">
        <f t="shared" ca="1" si="115"/>
        <v>0</v>
      </c>
      <c r="EG78" s="180">
        <f t="shared" ca="1" si="115"/>
        <v>0</v>
      </c>
      <c r="EH78" s="180">
        <f t="shared" ca="1" si="75"/>
        <v>0</v>
      </c>
      <c r="EI78" s="180">
        <f t="shared" ca="1" si="106"/>
        <v>0</v>
      </c>
      <c r="EJ78" s="180">
        <f t="shared" ca="1" si="106"/>
        <v>0</v>
      </c>
      <c r="EK78" s="180">
        <f t="shared" ca="1" si="106"/>
        <v>0</v>
      </c>
      <c r="EL78" s="180">
        <f t="shared" ca="1" si="106"/>
        <v>0</v>
      </c>
      <c r="EM78" s="180">
        <f t="shared" ca="1" si="106"/>
        <v>0</v>
      </c>
      <c r="EN78" s="180">
        <f t="shared" ca="1" si="106"/>
        <v>0</v>
      </c>
      <c r="EO78" s="180">
        <f t="shared" ca="1" si="106"/>
        <v>0</v>
      </c>
      <c r="EP78" s="180">
        <f t="shared" ca="1" si="106"/>
        <v>0</v>
      </c>
      <c r="EQ78" s="180"/>
      <c r="ER78" s="180"/>
    </row>
    <row r="79" spans="2:148" s="87" customFormat="1" hidden="1" x14ac:dyDescent="0.25">
      <c r="B79" s="151"/>
      <c r="C79" s="87">
        <v>18</v>
      </c>
      <c r="D79" s="258">
        <f t="shared" ca="1" si="110"/>
        <v>46701</v>
      </c>
      <c r="E79" s="175">
        <f t="shared" ca="1" si="111"/>
        <v>0.71939392777531552</v>
      </c>
      <c r="F79" s="175">
        <f t="shared" ca="1" si="111"/>
        <v>0.71939392777531552</v>
      </c>
      <c r="G79" s="175">
        <f t="shared" ca="1" si="111"/>
        <v>0.71939392777531552</v>
      </c>
      <c r="H79" s="175">
        <f t="shared" ca="1" si="111"/>
        <v>0.71939392777531552</v>
      </c>
      <c r="I79" s="175">
        <f t="shared" si="111"/>
        <v>0</v>
      </c>
      <c r="J79" s="175">
        <f t="shared" si="111"/>
        <v>0</v>
      </c>
      <c r="K79" s="175">
        <f t="shared" si="111"/>
        <v>0</v>
      </c>
      <c r="L79" s="175">
        <f t="shared" si="111"/>
        <v>0</v>
      </c>
      <c r="M79" s="175">
        <f t="shared" si="111"/>
        <v>0</v>
      </c>
      <c r="N79" s="175">
        <f t="shared" si="111"/>
        <v>0</v>
      </c>
      <c r="O79" s="175">
        <f t="shared" si="112"/>
        <v>0</v>
      </c>
      <c r="P79" s="175">
        <f t="shared" si="112"/>
        <v>0</v>
      </c>
      <c r="Q79" s="175">
        <f t="shared" si="112"/>
        <v>0</v>
      </c>
      <c r="R79" s="175">
        <f t="shared" si="112"/>
        <v>0</v>
      </c>
      <c r="S79" s="175">
        <f t="shared" si="112"/>
        <v>0</v>
      </c>
      <c r="T79" s="175">
        <f t="shared" si="112"/>
        <v>0</v>
      </c>
      <c r="U79" s="175">
        <f t="shared" si="112"/>
        <v>0</v>
      </c>
      <c r="V79" s="175"/>
      <c r="W79" s="372"/>
      <c r="X79" s="87">
        <v>61</v>
      </c>
      <c r="Y79" s="87">
        <f t="shared" ca="1" si="35"/>
        <v>67.81</v>
      </c>
      <c r="Z79" s="87">
        <f t="shared" ca="1" si="36"/>
        <v>70.569999999999993</v>
      </c>
      <c r="AA79" s="87">
        <f t="shared" ca="1" si="37"/>
        <v>1172.83</v>
      </c>
      <c r="AB79" s="87">
        <f t="shared" ca="1" si="38"/>
        <v>278.39999999999998</v>
      </c>
      <c r="AC79" s="87">
        <f t="shared" si="39"/>
        <v>0</v>
      </c>
      <c r="AD79" s="87">
        <f t="shared" si="40"/>
        <v>0</v>
      </c>
      <c r="AE79" s="87">
        <f t="shared" si="41"/>
        <v>0</v>
      </c>
      <c r="AF79" s="87">
        <f t="shared" si="42"/>
        <v>0</v>
      </c>
      <c r="AG79" s="87">
        <f t="shared" si="43"/>
        <v>0</v>
      </c>
      <c r="AH79" s="87">
        <f t="shared" si="44"/>
        <v>0</v>
      </c>
      <c r="AI79" s="87">
        <f t="shared" si="45"/>
        <v>0</v>
      </c>
      <c r="AJ79" s="87">
        <f t="shared" si="46"/>
        <v>0</v>
      </c>
      <c r="AK79" s="87">
        <f t="shared" si="47"/>
        <v>0</v>
      </c>
      <c r="AL79" s="87">
        <f t="shared" si="48"/>
        <v>0</v>
      </c>
      <c r="AM79" s="87">
        <f t="shared" si="49"/>
        <v>0</v>
      </c>
      <c r="AN79" s="87">
        <f t="shared" si="50"/>
        <v>0</v>
      </c>
      <c r="AO79" s="87">
        <f t="shared" si="51"/>
        <v>0</v>
      </c>
      <c r="AQ79" s="426">
        <v>61</v>
      </c>
      <c r="AR79" s="258">
        <f t="shared" ca="1" si="58"/>
        <v>48009</v>
      </c>
      <c r="AS79" s="429">
        <f t="shared" ca="1" si="84"/>
        <v>1589.6100000000001</v>
      </c>
      <c r="AT79" s="138"/>
      <c r="AU79" s="278">
        <v>61</v>
      </c>
      <c r="AV79" s="258">
        <f t="shared" ca="1" si="59"/>
        <v>48039</v>
      </c>
      <c r="AW79" s="429">
        <f t="shared" ca="1" si="52"/>
        <v>0</v>
      </c>
      <c r="AX79" s="202">
        <f t="shared" ca="1" si="53"/>
        <v>0</v>
      </c>
      <c r="AY79" s="278">
        <v>61</v>
      </c>
      <c r="AZ79" s="258">
        <f t="shared" ca="1" si="60"/>
        <v>48039</v>
      </c>
      <c r="BA79" s="429">
        <f t="shared" si="54"/>
        <v>1589.6100000000001</v>
      </c>
      <c r="BB79" s="259">
        <f t="shared" ca="1" si="11"/>
        <v>48009</v>
      </c>
      <c r="BC79" s="428">
        <f t="shared" ca="1" si="55"/>
        <v>0</v>
      </c>
      <c r="BD79" s="188">
        <f t="shared" si="85"/>
        <v>67.81</v>
      </c>
      <c r="BE79" s="188">
        <f t="shared" si="86"/>
        <v>70.569999999999993</v>
      </c>
      <c r="BF79" s="188">
        <f t="shared" si="87"/>
        <v>1172.83</v>
      </c>
      <c r="BG79" s="87">
        <f t="shared" si="88"/>
        <v>278.39999999999998</v>
      </c>
      <c r="BH79" s="87">
        <f t="shared" si="89"/>
        <v>0</v>
      </c>
      <c r="BI79" s="87">
        <f t="shared" si="90"/>
        <v>0</v>
      </c>
      <c r="BJ79" s="87">
        <f t="shared" si="91"/>
        <v>0</v>
      </c>
      <c r="BK79" s="87">
        <f t="shared" si="92"/>
        <v>0</v>
      </c>
      <c r="BL79" s="87">
        <f t="shared" si="93"/>
        <v>0</v>
      </c>
      <c r="BM79" s="87">
        <f t="shared" si="94"/>
        <v>0</v>
      </c>
      <c r="BN79" s="87">
        <f t="shared" si="95"/>
        <v>0</v>
      </c>
      <c r="BO79" s="87">
        <f t="shared" si="96"/>
        <v>0</v>
      </c>
      <c r="BP79" s="87">
        <f t="shared" si="97"/>
        <v>0</v>
      </c>
      <c r="BQ79" s="87">
        <f t="shared" si="98"/>
        <v>0</v>
      </c>
      <c r="BR79" s="87">
        <f t="shared" si="99"/>
        <v>0</v>
      </c>
      <c r="BS79" s="87">
        <f t="shared" si="100"/>
        <v>0</v>
      </c>
      <c r="BT79" s="87">
        <f t="shared" si="101"/>
        <v>0</v>
      </c>
      <c r="BV79" s="177"/>
      <c r="BW79" s="177"/>
      <c r="BX79" s="267"/>
      <c r="BY79" s="267"/>
      <c r="BZ79" s="267"/>
      <c r="CA79" s="267"/>
      <c r="CB79" s="267"/>
      <c r="CC79" s="267"/>
      <c r="CD79" s="267"/>
      <c r="CE79" s="267"/>
      <c r="CF79" s="267"/>
      <c r="CG79" s="267"/>
      <c r="CH79" s="267"/>
      <c r="CI79" s="435"/>
      <c r="CJ79" s="436"/>
      <c r="CK79" s="437"/>
      <c r="CM79" s="64" t="s">
        <v>394</v>
      </c>
      <c r="CN79" s="707">
        <v>35.5</v>
      </c>
      <c r="CS79" s="87">
        <v>61</v>
      </c>
      <c r="CT79" s="259">
        <f t="shared" ca="1" si="29"/>
        <v>48039</v>
      </c>
      <c r="CU79" s="179">
        <f t="shared" ca="1" si="56"/>
        <v>504.88825397618518</v>
      </c>
      <c r="CV79" s="179">
        <f t="shared" ca="1" si="114"/>
        <v>520.64049314108365</v>
      </c>
      <c r="CW79" s="179">
        <f t="shared" ca="1" si="114"/>
        <v>530.33060893327456</v>
      </c>
      <c r="CX79" s="179">
        <f t="shared" ca="1" si="114"/>
        <v>540.20401331287144</v>
      </c>
      <c r="CY79" s="179">
        <f t="shared" ca="1" si="114"/>
        <v>550.26422877062498</v>
      </c>
      <c r="CZ79" s="179">
        <f t="shared" ca="1" si="114"/>
        <v>560.51484656237142</v>
      </c>
      <c r="DA79" s="179">
        <f t="shared" ca="1" si="114"/>
        <v>567.4561759945758</v>
      </c>
      <c r="DB79" s="179">
        <f t="shared" ca="1" si="114"/>
        <v>581.60200620400474</v>
      </c>
      <c r="DC79" s="179">
        <f t="shared" ca="1" si="114"/>
        <v>588.80875501985724</v>
      </c>
      <c r="DD79" s="179">
        <f t="shared" ca="1" si="114"/>
        <v>596.1062493628026</v>
      </c>
      <c r="DE79" s="179">
        <f t="shared" ca="1" si="114"/>
        <v>603.49565008241586</v>
      </c>
      <c r="DF79" s="179" t="e">
        <f t="shared" ca="1" si="114"/>
        <v>#VALUE!</v>
      </c>
      <c r="DG79" s="179" t="e">
        <f t="shared" ca="1" si="114"/>
        <v>#VALUE!</v>
      </c>
      <c r="DH79" s="179" t="e">
        <f t="shared" ca="1" si="114"/>
        <v>#VALUE!</v>
      </c>
      <c r="DI79" s="179" t="e">
        <f t="shared" ca="1" si="114"/>
        <v>#VALUE!</v>
      </c>
      <c r="DJ79" s="179" t="e">
        <f t="shared" ca="1" si="113"/>
        <v>#VALUE!</v>
      </c>
      <c r="DK79" s="179" t="e">
        <f t="shared" ca="1" si="113"/>
        <v>#VALUE!</v>
      </c>
      <c r="DL79" s="179" t="e">
        <f t="shared" ca="1" si="102"/>
        <v>#VALUE!</v>
      </c>
      <c r="DM79" s="179" t="e">
        <f t="shared" ca="1" si="102"/>
        <v>#VALUE!</v>
      </c>
      <c r="DN79" s="179" t="e">
        <f t="shared" ca="1" si="102"/>
        <v>#VALUE!</v>
      </c>
      <c r="DO79" s="179" t="e">
        <f t="shared" ca="1" si="102"/>
        <v>#VALUE!</v>
      </c>
      <c r="DP79" s="179" t="e">
        <f t="shared" ca="1" si="102"/>
        <v>#VALUE!</v>
      </c>
      <c r="DQ79" s="179" t="e">
        <f t="shared" ca="1" si="102"/>
        <v>#VALUE!</v>
      </c>
      <c r="DR79" s="188">
        <v>61</v>
      </c>
      <c r="DS79" s="430">
        <f t="shared" ca="1" si="61"/>
        <v>48009</v>
      </c>
      <c r="DT79" s="180">
        <f t="shared" ca="1" si="104"/>
        <v>0</v>
      </c>
      <c r="DU79" s="180">
        <f t="shared" ca="1" si="104"/>
        <v>0</v>
      </c>
      <c r="DV79" s="180">
        <f t="shared" ca="1" si="104"/>
        <v>0</v>
      </c>
      <c r="DW79" s="180">
        <f t="shared" ca="1" si="104"/>
        <v>0</v>
      </c>
      <c r="DX79" s="180">
        <f t="shared" ca="1" si="104"/>
        <v>0</v>
      </c>
      <c r="DY79" s="180">
        <f t="shared" ca="1" si="115"/>
        <v>0</v>
      </c>
      <c r="DZ79" s="180">
        <f t="shared" ca="1" si="115"/>
        <v>0</v>
      </c>
      <c r="EA79" s="180">
        <f t="shared" ca="1" si="115"/>
        <v>0</v>
      </c>
      <c r="EB79" s="180">
        <f t="shared" ca="1" si="115"/>
        <v>0</v>
      </c>
      <c r="EC79" s="180">
        <f t="shared" ca="1" si="115"/>
        <v>0</v>
      </c>
      <c r="ED79" s="180">
        <f t="shared" ca="1" si="115"/>
        <v>0</v>
      </c>
      <c r="EE79" s="180">
        <f t="shared" ca="1" si="115"/>
        <v>0</v>
      </c>
      <c r="EF79" s="180">
        <f t="shared" ca="1" si="115"/>
        <v>0</v>
      </c>
      <c r="EG79" s="180">
        <f t="shared" ca="1" si="115"/>
        <v>0</v>
      </c>
      <c r="EH79" s="180">
        <f t="shared" ca="1" si="75"/>
        <v>0</v>
      </c>
      <c r="EI79" s="180">
        <f t="shared" ca="1" si="106"/>
        <v>0</v>
      </c>
      <c r="EJ79" s="180">
        <f t="shared" ca="1" si="106"/>
        <v>0</v>
      </c>
      <c r="EK79" s="180">
        <f t="shared" ca="1" si="106"/>
        <v>0</v>
      </c>
      <c r="EL79" s="180">
        <f t="shared" ca="1" si="106"/>
        <v>0</v>
      </c>
      <c r="EM79" s="180">
        <f t="shared" ca="1" si="106"/>
        <v>0</v>
      </c>
      <c r="EN79" s="180">
        <f t="shared" ca="1" si="106"/>
        <v>0</v>
      </c>
      <c r="EO79" s="180">
        <f t="shared" ca="1" si="106"/>
        <v>0</v>
      </c>
      <c r="EP79" s="180">
        <f t="shared" ca="1" si="106"/>
        <v>0</v>
      </c>
      <c r="EQ79" s="180"/>
      <c r="ER79" s="180"/>
    </row>
    <row r="80" spans="2:148" s="87" customFormat="1" hidden="1" x14ac:dyDescent="0.25">
      <c r="B80" s="151"/>
      <c r="C80" s="87">
        <v>19</v>
      </c>
      <c r="D80" s="258">
        <f t="shared" ca="1" si="110"/>
        <v>46731</v>
      </c>
      <c r="E80" s="175">
        <f t="shared" ca="1" si="111"/>
        <v>0.70632688048631864</v>
      </c>
      <c r="F80" s="175">
        <f t="shared" ca="1" si="111"/>
        <v>0.70632688048631864</v>
      </c>
      <c r="G80" s="175">
        <f t="shared" ca="1" si="111"/>
        <v>0.70632688048631864</v>
      </c>
      <c r="H80" s="175">
        <f t="shared" ca="1" si="111"/>
        <v>0.70632688048631864</v>
      </c>
      <c r="I80" s="175">
        <f t="shared" si="111"/>
        <v>0</v>
      </c>
      <c r="J80" s="175">
        <f t="shared" si="111"/>
        <v>0</v>
      </c>
      <c r="K80" s="175">
        <f t="shared" si="111"/>
        <v>0</v>
      </c>
      <c r="L80" s="175">
        <f t="shared" si="111"/>
        <v>0</v>
      </c>
      <c r="M80" s="175">
        <f t="shared" si="111"/>
        <v>0</v>
      </c>
      <c r="N80" s="175">
        <f t="shared" si="111"/>
        <v>0</v>
      </c>
      <c r="O80" s="175">
        <f t="shared" si="112"/>
        <v>0</v>
      </c>
      <c r="P80" s="175">
        <f t="shared" si="112"/>
        <v>0</v>
      </c>
      <c r="Q80" s="175">
        <f t="shared" si="112"/>
        <v>0</v>
      </c>
      <c r="R80" s="175">
        <f t="shared" si="112"/>
        <v>0</v>
      </c>
      <c r="S80" s="175">
        <f t="shared" si="112"/>
        <v>0</v>
      </c>
      <c r="T80" s="175">
        <f t="shared" si="112"/>
        <v>0</v>
      </c>
      <c r="U80" s="175">
        <f t="shared" si="112"/>
        <v>0</v>
      </c>
      <c r="V80" s="175"/>
      <c r="W80" s="372"/>
      <c r="X80" s="87">
        <v>62</v>
      </c>
      <c r="Y80" s="87">
        <f t="shared" ca="1" si="35"/>
        <v>67.81</v>
      </c>
      <c r="Z80" s="87">
        <f t="shared" ca="1" si="36"/>
        <v>70.569999999999993</v>
      </c>
      <c r="AA80" s="87">
        <f t="shared" ca="1" si="37"/>
        <v>1172.83</v>
      </c>
      <c r="AB80" s="87">
        <f t="shared" ca="1" si="38"/>
        <v>278.39999999999998</v>
      </c>
      <c r="AC80" s="87">
        <f t="shared" si="39"/>
        <v>0</v>
      </c>
      <c r="AD80" s="87">
        <f t="shared" si="40"/>
        <v>0</v>
      </c>
      <c r="AE80" s="87">
        <f t="shared" si="41"/>
        <v>0</v>
      </c>
      <c r="AF80" s="87">
        <f t="shared" si="42"/>
        <v>0</v>
      </c>
      <c r="AG80" s="87">
        <f t="shared" si="43"/>
        <v>0</v>
      </c>
      <c r="AH80" s="87">
        <f t="shared" si="44"/>
        <v>0</v>
      </c>
      <c r="AI80" s="87">
        <f t="shared" si="45"/>
        <v>0</v>
      </c>
      <c r="AJ80" s="87">
        <f t="shared" si="46"/>
        <v>0</v>
      </c>
      <c r="AK80" s="87">
        <f t="shared" si="47"/>
        <v>0</v>
      </c>
      <c r="AL80" s="87">
        <f t="shared" si="48"/>
        <v>0</v>
      </c>
      <c r="AM80" s="87">
        <f t="shared" si="49"/>
        <v>0</v>
      </c>
      <c r="AN80" s="87">
        <f t="shared" si="50"/>
        <v>0</v>
      </c>
      <c r="AO80" s="87">
        <f t="shared" si="51"/>
        <v>0</v>
      </c>
      <c r="AQ80" s="426">
        <v>62</v>
      </c>
      <c r="AR80" s="258">
        <f t="shared" ca="1" si="58"/>
        <v>48039</v>
      </c>
      <c r="AS80" s="429">
        <f t="shared" ca="1" si="84"/>
        <v>1589.6100000000001</v>
      </c>
      <c r="AT80" s="138"/>
      <c r="AU80" s="278">
        <v>62</v>
      </c>
      <c r="AV80" s="258">
        <f t="shared" ca="1" si="59"/>
        <v>48070</v>
      </c>
      <c r="AW80" s="429">
        <f t="shared" ca="1" si="52"/>
        <v>0</v>
      </c>
      <c r="AX80" s="202">
        <f t="shared" ca="1" si="53"/>
        <v>0</v>
      </c>
      <c r="AY80" s="278">
        <v>62</v>
      </c>
      <c r="AZ80" s="258">
        <f t="shared" ca="1" si="60"/>
        <v>48070</v>
      </c>
      <c r="BA80" s="429">
        <f t="shared" si="54"/>
        <v>1589.6100000000001</v>
      </c>
      <c r="BB80" s="259">
        <f t="shared" ca="1" si="11"/>
        <v>48039</v>
      </c>
      <c r="BC80" s="428">
        <f t="shared" ca="1" si="55"/>
        <v>0</v>
      </c>
      <c r="BD80" s="188">
        <f t="shared" si="85"/>
        <v>67.81</v>
      </c>
      <c r="BE80" s="188">
        <f t="shared" si="86"/>
        <v>70.569999999999993</v>
      </c>
      <c r="BF80" s="188">
        <f t="shared" si="87"/>
        <v>1172.83</v>
      </c>
      <c r="BG80" s="87">
        <f t="shared" si="88"/>
        <v>278.39999999999998</v>
      </c>
      <c r="BH80" s="87">
        <f t="shared" si="89"/>
        <v>0</v>
      </c>
      <c r="BI80" s="87">
        <f t="shared" si="90"/>
        <v>0</v>
      </c>
      <c r="BJ80" s="87">
        <f t="shared" si="91"/>
        <v>0</v>
      </c>
      <c r="BK80" s="87">
        <f t="shared" si="92"/>
        <v>0</v>
      </c>
      <c r="BL80" s="87">
        <f t="shared" si="93"/>
        <v>0</v>
      </c>
      <c r="BM80" s="87">
        <f t="shared" si="94"/>
        <v>0</v>
      </c>
      <c r="BN80" s="87">
        <f t="shared" si="95"/>
        <v>0</v>
      </c>
      <c r="BO80" s="87">
        <f t="shared" si="96"/>
        <v>0</v>
      </c>
      <c r="BP80" s="87">
        <f t="shared" si="97"/>
        <v>0</v>
      </c>
      <c r="BQ80" s="87">
        <f t="shared" si="98"/>
        <v>0</v>
      </c>
      <c r="BR80" s="87">
        <f t="shared" si="99"/>
        <v>0</v>
      </c>
      <c r="BS80" s="87">
        <f t="shared" si="100"/>
        <v>0</v>
      </c>
      <c r="BT80" s="87">
        <f t="shared" si="101"/>
        <v>0</v>
      </c>
      <c r="BV80" s="177"/>
      <c r="BW80" s="17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435"/>
      <c r="CJ80" s="436"/>
      <c r="CK80" s="437"/>
      <c r="CM80" s="64" t="s">
        <v>1081</v>
      </c>
      <c r="CN80" s="707"/>
      <c r="CS80" s="178">
        <v>62</v>
      </c>
      <c r="CT80" s="259">
        <f t="shared" ca="1" si="29"/>
        <v>48070</v>
      </c>
      <c r="CU80" s="179">
        <f t="shared" ca="1" si="56"/>
        <v>495.41467391822681</v>
      </c>
      <c r="CV80" s="179">
        <f t="shared" ca="1" si="114"/>
        <v>511.13062775334669</v>
      </c>
      <c r="CW80" s="179">
        <f t="shared" ca="1" si="114"/>
        <v>520.80234000789471</v>
      </c>
      <c r="CX80" s="179">
        <f t="shared" ca="1" si="114"/>
        <v>530.65999501721637</v>
      </c>
      <c r="CY80" s="179">
        <f t="shared" ca="1" si="114"/>
        <v>540.70722402624904</v>
      </c>
      <c r="CZ80" s="179">
        <f t="shared" ca="1" si="114"/>
        <v>550.94773029629391</v>
      </c>
      <c r="DA80" s="179">
        <f t="shared" ca="1" si="114"/>
        <v>557.88397271546046</v>
      </c>
      <c r="DB80" s="179">
        <f t="shared" ca="1" si="114"/>
        <v>572.02375647709084</v>
      </c>
      <c r="DC80" s="179">
        <f t="shared" ca="1" si="114"/>
        <v>579.22961797377718</v>
      </c>
      <c r="DD80" s="179">
        <f t="shared" ca="1" si="114"/>
        <v>586.52769819194123</v>
      </c>
      <c r="DE80" s="179">
        <f t="shared" ca="1" si="114"/>
        <v>593.91919582897731</v>
      </c>
      <c r="DF80" s="179" t="e">
        <f t="shared" ca="1" si="114"/>
        <v>#VALUE!</v>
      </c>
      <c r="DG80" s="179" t="e">
        <f t="shared" ca="1" si="114"/>
        <v>#VALUE!</v>
      </c>
      <c r="DH80" s="179" t="e">
        <f t="shared" ca="1" si="114"/>
        <v>#VALUE!</v>
      </c>
      <c r="DI80" s="179" t="e">
        <f t="shared" ca="1" si="114"/>
        <v>#VALUE!</v>
      </c>
      <c r="DJ80" s="179" t="e">
        <f t="shared" ca="1" si="113"/>
        <v>#VALUE!</v>
      </c>
      <c r="DK80" s="179" t="e">
        <f t="shared" ca="1" si="113"/>
        <v>#VALUE!</v>
      </c>
      <c r="DL80" s="179" t="e">
        <f t="shared" ca="1" si="102"/>
        <v>#VALUE!</v>
      </c>
      <c r="DM80" s="179" t="e">
        <f t="shared" ca="1" si="102"/>
        <v>#VALUE!</v>
      </c>
      <c r="DN80" s="179" t="e">
        <f t="shared" ca="1" si="102"/>
        <v>#VALUE!</v>
      </c>
      <c r="DO80" s="179" t="e">
        <f t="shared" ca="1" si="102"/>
        <v>#VALUE!</v>
      </c>
      <c r="DP80" s="179" t="e">
        <f t="shared" ca="1" si="102"/>
        <v>#VALUE!</v>
      </c>
      <c r="DQ80" s="179" t="e">
        <f t="shared" ca="1" si="102"/>
        <v>#VALUE!</v>
      </c>
      <c r="DR80" s="431">
        <v>62</v>
      </c>
      <c r="DS80" s="430">
        <f t="shared" ca="1" si="61"/>
        <v>48039</v>
      </c>
      <c r="DT80" s="180">
        <f t="shared" ca="1" si="104"/>
        <v>0</v>
      </c>
      <c r="DU80" s="180">
        <f t="shared" ca="1" si="104"/>
        <v>0</v>
      </c>
      <c r="DV80" s="180">
        <f t="shared" ca="1" si="104"/>
        <v>0</v>
      </c>
      <c r="DW80" s="180">
        <f t="shared" ca="1" si="104"/>
        <v>0</v>
      </c>
      <c r="DX80" s="180">
        <f t="shared" ca="1" si="104"/>
        <v>0</v>
      </c>
      <c r="DY80" s="180">
        <f t="shared" ca="1" si="115"/>
        <v>0</v>
      </c>
      <c r="DZ80" s="180">
        <f t="shared" ca="1" si="115"/>
        <v>0</v>
      </c>
      <c r="EA80" s="180">
        <f t="shared" ca="1" si="115"/>
        <v>0</v>
      </c>
      <c r="EB80" s="180">
        <f t="shared" ca="1" si="115"/>
        <v>0</v>
      </c>
      <c r="EC80" s="180">
        <f t="shared" ca="1" si="115"/>
        <v>0</v>
      </c>
      <c r="ED80" s="180">
        <f t="shared" ca="1" si="115"/>
        <v>0</v>
      </c>
      <c r="EE80" s="180">
        <f t="shared" ca="1" si="115"/>
        <v>0</v>
      </c>
      <c r="EF80" s="180">
        <f t="shared" ca="1" si="115"/>
        <v>0</v>
      </c>
      <c r="EG80" s="180">
        <f t="shared" ca="1" si="115"/>
        <v>0</v>
      </c>
      <c r="EH80" s="180">
        <f t="shared" ca="1" si="75"/>
        <v>0</v>
      </c>
      <c r="EI80" s="180">
        <f t="shared" ca="1" si="106"/>
        <v>0</v>
      </c>
      <c r="EJ80" s="180">
        <f t="shared" ca="1" si="106"/>
        <v>0</v>
      </c>
      <c r="EK80" s="180">
        <f t="shared" ca="1" si="106"/>
        <v>0</v>
      </c>
      <c r="EL80" s="180">
        <f t="shared" ca="1" si="106"/>
        <v>0</v>
      </c>
      <c r="EM80" s="180">
        <f t="shared" ca="1" si="106"/>
        <v>0</v>
      </c>
      <c r="EN80" s="180">
        <f t="shared" ca="1" si="106"/>
        <v>0</v>
      </c>
      <c r="EO80" s="180">
        <f t="shared" ca="1" si="106"/>
        <v>0</v>
      </c>
      <c r="EP80" s="180">
        <f t="shared" ca="1" si="106"/>
        <v>0</v>
      </c>
      <c r="EQ80" s="180"/>
      <c r="ER80" s="180"/>
    </row>
    <row r="81" spans="2:148" s="87" customFormat="1" hidden="1" x14ac:dyDescent="0.25">
      <c r="B81" s="151"/>
      <c r="C81" s="87">
        <v>20</v>
      </c>
      <c r="D81" s="258">
        <f t="shared" ca="1" si="110"/>
        <v>46762</v>
      </c>
      <c r="E81" s="175">
        <f t="shared" ca="1" si="111"/>
        <v>0.69307356314990209</v>
      </c>
      <c r="F81" s="175">
        <f t="shared" ca="1" si="111"/>
        <v>0.69307356314990209</v>
      </c>
      <c r="G81" s="175">
        <f t="shared" ca="1" si="111"/>
        <v>0.69307356314990209</v>
      </c>
      <c r="H81" s="175">
        <f t="shared" ca="1" si="111"/>
        <v>0.69307356314990209</v>
      </c>
      <c r="I81" s="175">
        <f t="shared" si="111"/>
        <v>0</v>
      </c>
      <c r="J81" s="175">
        <f t="shared" si="111"/>
        <v>0</v>
      </c>
      <c r="K81" s="175">
        <f t="shared" si="111"/>
        <v>0</v>
      </c>
      <c r="L81" s="175">
        <f t="shared" si="111"/>
        <v>0</v>
      </c>
      <c r="M81" s="175">
        <f t="shared" si="111"/>
        <v>0</v>
      </c>
      <c r="N81" s="175">
        <f t="shared" si="111"/>
        <v>0</v>
      </c>
      <c r="O81" s="175">
        <f t="shared" si="112"/>
        <v>0</v>
      </c>
      <c r="P81" s="175">
        <f t="shared" si="112"/>
        <v>0</v>
      </c>
      <c r="Q81" s="175">
        <f t="shared" si="112"/>
        <v>0</v>
      </c>
      <c r="R81" s="175">
        <f t="shared" si="112"/>
        <v>0</v>
      </c>
      <c r="S81" s="175">
        <f t="shared" si="112"/>
        <v>0</v>
      </c>
      <c r="T81" s="175">
        <f t="shared" si="112"/>
        <v>0</v>
      </c>
      <c r="U81" s="175">
        <f t="shared" si="112"/>
        <v>0</v>
      </c>
      <c r="V81" s="175"/>
      <c r="W81" s="372"/>
      <c r="X81" s="87">
        <v>63</v>
      </c>
      <c r="Y81" s="87">
        <f t="shared" ca="1" si="35"/>
        <v>67.81</v>
      </c>
      <c r="Z81" s="87">
        <f t="shared" ca="1" si="36"/>
        <v>70.569999999999993</v>
      </c>
      <c r="AA81" s="87">
        <f t="shared" ca="1" si="37"/>
        <v>1172.83</v>
      </c>
      <c r="AB81" s="87">
        <f t="shared" ca="1" si="38"/>
        <v>278.39999999999998</v>
      </c>
      <c r="AC81" s="87">
        <f t="shared" si="39"/>
        <v>0</v>
      </c>
      <c r="AD81" s="87">
        <f t="shared" si="40"/>
        <v>0</v>
      </c>
      <c r="AE81" s="87">
        <f t="shared" si="41"/>
        <v>0</v>
      </c>
      <c r="AF81" s="87">
        <f t="shared" si="42"/>
        <v>0</v>
      </c>
      <c r="AG81" s="87">
        <f t="shared" si="43"/>
        <v>0</v>
      </c>
      <c r="AH81" s="87">
        <f t="shared" si="44"/>
        <v>0</v>
      </c>
      <c r="AI81" s="87">
        <f t="shared" si="45"/>
        <v>0</v>
      </c>
      <c r="AJ81" s="87">
        <f t="shared" si="46"/>
        <v>0</v>
      </c>
      <c r="AK81" s="87">
        <f t="shared" si="47"/>
        <v>0</v>
      </c>
      <c r="AL81" s="87">
        <f t="shared" si="48"/>
        <v>0</v>
      </c>
      <c r="AM81" s="87">
        <f t="shared" si="49"/>
        <v>0</v>
      </c>
      <c r="AN81" s="87">
        <f t="shared" si="50"/>
        <v>0</v>
      </c>
      <c r="AO81" s="87">
        <f t="shared" si="51"/>
        <v>0</v>
      </c>
      <c r="AQ81" s="426">
        <v>63</v>
      </c>
      <c r="AR81" s="258">
        <f t="shared" ca="1" si="58"/>
        <v>48070</v>
      </c>
      <c r="AS81" s="429">
        <f t="shared" ca="1" si="84"/>
        <v>1589.6100000000001</v>
      </c>
      <c r="AT81" s="138"/>
      <c r="AU81" s="278">
        <v>63</v>
      </c>
      <c r="AV81" s="258">
        <f t="shared" ca="1" si="59"/>
        <v>48101</v>
      </c>
      <c r="AW81" s="429">
        <f t="shared" ca="1" si="52"/>
        <v>0</v>
      </c>
      <c r="AX81" s="202">
        <f t="shared" ca="1" si="53"/>
        <v>0</v>
      </c>
      <c r="AY81" s="278">
        <v>63</v>
      </c>
      <c r="AZ81" s="258">
        <f t="shared" ca="1" si="60"/>
        <v>48101</v>
      </c>
      <c r="BA81" s="429">
        <f t="shared" si="54"/>
        <v>1589.6100000000001</v>
      </c>
      <c r="BB81" s="259">
        <f t="shared" ca="1" si="11"/>
        <v>48070</v>
      </c>
      <c r="BC81" s="428">
        <f t="shared" ca="1" si="55"/>
        <v>0</v>
      </c>
      <c r="BD81" s="188">
        <f t="shared" si="85"/>
        <v>67.81</v>
      </c>
      <c r="BE81" s="188">
        <f t="shared" si="86"/>
        <v>70.569999999999993</v>
      </c>
      <c r="BF81" s="188">
        <f t="shared" si="87"/>
        <v>1172.83</v>
      </c>
      <c r="BG81" s="87">
        <f t="shared" si="88"/>
        <v>278.39999999999998</v>
      </c>
      <c r="BH81" s="87">
        <f t="shared" si="89"/>
        <v>0</v>
      </c>
      <c r="BI81" s="87">
        <f t="shared" si="90"/>
        <v>0</v>
      </c>
      <c r="BJ81" s="87">
        <f t="shared" si="91"/>
        <v>0</v>
      </c>
      <c r="BK81" s="87">
        <f t="shared" si="92"/>
        <v>0</v>
      </c>
      <c r="BL81" s="87">
        <f t="shared" si="93"/>
        <v>0</v>
      </c>
      <c r="BM81" s="87">
        <f t="shared" si="94"/>
        <v>0</v>
      </c>
      <c r="BN81" s="87">
        <f t="shared" si="95"/>
        <v>0</v>
      </c>
      <c r="BO81" s="87">
        <f t="shared" si="96"/>
        <v>0</v>
      </c>
      <c r="BP81" s="87">
        <f t="shared" si="97"/>
        <v>0</v>
      </c>
      <c r="BQ81" s="87">
        <f t="shared" si="98"/>
        <v>0</v>
      </c>
      <c r="BR81" s="87">
        <f t="shared" si="99"/>
        <v>0</v>
      </c>
      <c r="BS81" s="87">
        <f t="shared" si="100"/>
        <v>0</v>
      </c>
      <c r="BT81" s="87">
        <f t="shared" si="101"/>
        <v>0</v>
      </c>
      <c r="BV81" s="177"/>
      <c r="BW81" s="177"/>
      <c r="BX81" s="267"/>
      <c r="BY81" s="267"/>
      <c r="BZ81" s="267"/>
      <c r="CA81" s="267"/>
      <c r="CB81" s="267"/>
      <c r="CC81" s="267"/>
      <c r="CD81" s="267"/>
      <c r="CE81" s="267"/>
      <c r="CF81" s="267"/>
      <c r="CG81" s="267"/>
      <c r="CH81" s="267"/>
      <c r="CI81" s="435"/>
      <c r="CJ81" s="436"/>
      <c r="CK81" s="437"/>
      <c r="CM81" s="64" t="s">
        <v>3023</v>
      </c>
      <c r="CN81" s="707">
        <v>56</v>
      </c>
      <c r="CS81" s="138">
        <v>63</v>
      </c>
      <c r="CT81" s="259">
        <f t="shared" ca="1" si="29"/>
        <v>48101</v>
      </c>
      <c r="CU81" s="179">
        <f t="shared" ca="1" si="56"/>
        <v>486.11885343064392</v>
      </c>
      <c r="CV81" s="179">
        <f t="shared" ca="1" si="114"/>
        <v>501.79446675642106</v>
      </c>
      <c r="CW81" s="179">
        <f t="shared" ca="1" si="114"/>
        <v>511.44526223608028</v>
      </c>
      <c r="CX81" s="179">
        <f t="shared" ca="1" si="114"/>
        <v>521.28459502683654</v>
      </c>
      <c r="CY81" s="179">
        <f t="shared" ca="1" si="114"/>
        <v>531.31620561154602</v>
      </c>
      <c r="CZ81" s="179">
        <f t="shared" ca="1" si="114"/>
        <v>541.54390981838333</v>
      </c>
      <c r="DA81" s="179">
        <f t="shared" ca="1" si="114"/>
        <v>548.47323930748735</v>
      </c>
      <c r="DB81" s="179">
        <f t="shared" ca="1" si="114"/>
        <v>562.60324841346642</v>
      </c>
      <c r="DC81" s="179">
        <f t="shared" ca="1" si="114"/>
        <v>569.80632077512689</v>
      </c>
      <c r="DD81" s="179">
        <f t="shared" ca="1" si="114"/>
        <v>577.10306025824343</v>
      </c>
      <c r="DE81" s="179">
        <f t="shared" ca="1" si="114"/>
        <v>584.49470369167943</v>
      </c>
      <c r="DF81" s="179" t="e">
        <f t="shared" ca="1" si="114"/>
        <v>#VALUE!</v>
      </c>
      <c r="DG81" s="179" t="e">
        <f t="shared" ca="1" si="114"/>
        <v>#VALUE!</v>
      </c>
      <c r="DH81" s="179" t="e">
        <f t="shared" ca="1" si="114"/>
        <v>#VALUE!</v>
      </c>
      <c r="DI81" s="179" t="e">
        <f t="shared" ca="1" si="114"/>
        <v>#VALUE!</v>
      </c>
      <c r="DJ81" s="179" t="e">
        <f t="shared" ca="1" si="113"/>
        <v>#VALUE!</v>
      </c>
      <c r="DK81" s="179" t="e">
        <f t="shared" ca="1" si="113"/>
        <v>#VALUE!</v>
      </c>
      <c r="DL81" s="179" t="e">
        <f t="shared" ca="1" si="102"/>
        <v>#VALUE!</v>
      </c>
      <c r="DM81" s="179" t="e">
        <f t="shared" ca="1" si="102"/>
        <v>#VALUE!</v>
      </c>
      <c r="DN81" s="179" t="e">
        <f t="shared" ca="1" si="102"/>
        <v>#VALUE!</v>
      </c>
      <c r="DO81" s="179" t="e">
        <f t="shared" ca="1" si="102"/>
        <v>#VALUE!</v>
      </c>
      <c r="DP81" s="179" t="e">
        <f t="shared" ca="1" si="102"/>
        <v>#VALUE!</v>
      </c>
      <c r="DQ81" s="179" t="e">
        <f t="shared" ca="1" si="102"/>
        <v>#VALUE!</v>
      </c>
      <c r="DR81" s="278">
        <v>63</v>
      </c>
      <c r="DS81" s="430">
        <f t="shared" ca="1" si="61"/>
        <v>48070</v>
      </c>
      <c r="DT81" s="180">
        <f t="shared" ca="1" si="104"/>
        <v>0</v>
      </c>
      <c r="DU81" s="180">
        <f t="shared" ca="1" si="104"/>
        <v>0</v>
      </c>
      <c r="DV81" s="180">
        <f t="shared" ca="1" si="104"/>
        <v>0</v>
      </c>
      <c r="DW81" s="180">
        <f t="shared" ca="1" si="104"/>
        <v>0</v>
      </c>
      <c r="DX81" s="180">
        <f t="shared" ca="1" si="104"/>
        <v>0</v>
      </c>
      <c r="DY81" s="180">
        <f t="shared" ca="1" si="115"/>
        <v>0</v>
      </c>
      <c r="DZ81" s="180">
        <f t="shared" ca="1" si="115"/>
        <v>0</v>
      </c>
      <c r="EA81" s="180">
        <f t="shared" ca="1" si="115"/>
        <v>0</v>
      </c>
      <c r="EB81" s="180">
        <f t="shared" ca="1" si="115"/>
        <v>0</v>
      </c>
      <c r="EC81" s="180">
        <f t="shared" ca="1" si="115"/>
        <v>0</v>
      </c>
      <c r="ED81" s="180">
        <f t="shared" ca="1" si="115"/>
        <v>0</v>
      </c>
      <c r="EE81" s="180">
        <f t="shared" ca="1" si="115"/>
        <v>0</v>
      </c>
      <c r="EF81" s="180">
        <f t="shared" ca="1" si="115"/>
        <v>0</v>
      </c>
      <c r="EG81" s="180">
        <f t="shared" ca="1" si="115"/>
        <v>0</v>
      </c>
      <c r="EH81" s="180">
        <f t="shared" ca="1" si="75"/>
        <v>0</v>
      </c>
      <c r="EI81" s="180">
        <f t="shared" ca="1" si="106"/>
        <v>0</v>
      </c>
      <c r="EJ81" s="180">
        <f t="shared" ca="1" si="106"/>
        <v>0</v>
      </c>
      <c r="EK81" s="180">
        <f t="shared" ca="1" si="106"/>
        <v>0</v>
      </c>
      <c r="EL81" s="180">
        <f t="shared" ca="1" si="106"/>
        <v>0</v>
      </c>
      <c r="EM81" s="180">
        <f t="shared" ca="1" si="106"/>
        <v>0</v>
      </c>
      <c r="EN81" s="180">
        <f t="shared" ca="1" si="106"/>
        <v>0</v>
      </c>
      <c r="EO81" s="180">
        <f t="shared" ca="1" si="106"/>
        <v>0</v>
      </c>
      <c r="EP81" s="180">
        <f t="shared" ca="1" si="106"/>
        <v>0</v>
      </c>
      <c r="EQ81" s="180"/>
      <c r="ER81" s="180"/>
    </row>
    <row r="82" spans="2:148" s="87" customFormat="1" hidden="1" x14ac:dyDescent="0.25">
      <c r="B82" s="151"/>
      <c r="C82" s="87">
        <v>21</v>
      </c>
      <c r="D82" s="258">
        <f t="shared" ca="1" si="110"/>
        <v>46793</v>
      </c>
      <c r="E82" s="175">
        <f t="shared" ref="E82:N91" ca="1" si="116">IF($C82&lt;=E$17,1/(($D$60+1)^(($D82-$D$61)/30)),0)</f>
        <v>0.68006892730257185</v>
      </c>
      <c r="F82" s="175">
        <f t="shared" ca="1" si="116"/>
        <v>0.68006892730257185</v>
      </c>
      <c r="G82" s="175">
        <f t="shared" ca="1" si="116"/>
        <v>0.68006892730257185</v>
      </c>
      <c r="H82" s="175">
        <f t="shared" ca="1" si="116"/>
        <v>0.68006892730257185</v>
      </c>
      <c r="I82" s="175">
        <f t="shared" si="116"/>
        <v>0</v>
      </c>
      <c r="J82" s="175">
        <f t="shared" si="116"/>
        <v>0</v>
      </c>
      <c r="K82" s="175">
        <f t="shared" si="116"/>
        <v>0</v>
      </c>
      <c r="L82" s="175">
        <f t="shared" si="116"/>
        <v>0</v>
      </c>
      <c r="M82" s="175">
        <f t="shared" si="116"/>
        <v>0</v>
      </c>
      <c r="N82" s="175">
        <f t="shared" si="116"/>
        <v>0</v>
      </c>
      <c r="O82" s="175">
        <f t="shared" ref="O82:U91" si="117">IF($C82&lt;=O$17,1/(($D$60+1)^(($D82-$D$61)/30)),0)</f>
        <v>0</v>
      </c>
      <c r="P82" s="175">
        <f t="shared" si="117"/>
        <v>0</v>
      </c>
      <c r="Q82" s="175">
        <f t="shared" si="117"/>
        <v>0</v>
      </c>
      <c r="R82" s="175">
        <f t="shared" si="117"/>
        <v>0</v>
      </c>
      <c r="S82" s="175">
        <f t="shared" si="117"/>
        <v>0</v>
      </c>
      <c r="T82" s="175">
        <f t="shared" si="117"/>
        <v>0</v>
      </c>
      <c r="U82" s="175">
        <f t="shared" si="117"/>
        <v>0</v>
      </c>
      <c r="V82" s="175"/>
      <c r="W82" s="372"/>
      <c r="X82" s="87">
        <v>64</v>
      </c>
      <c r="Y82" s="87">
        <f t="shared" ca="1" si="35"/>
        <v>67.81</v>
      </c>
      <c r="Z82" s="87">
        <f t="shared" ca="1" si="36"/>
        <v>70.569999999999993</v>
      </c>
      <c r="AA82" s="87">
        <f t="shared" ca="1" si="37"/>
        <v>1172.83</v>
      </c>
      <c r="AB82" s="87">
        <f t="shared" ca="1" si="38"/>
        <v>278.39999999999998</v>
      </c>
      <c r="AC82" s="87">
        <f t="shared" si="39"/>
        <v>0</v>
      </c>
      <c r="AD82" s="87">
        <f t="shared" si="40"/>
        <v>0</v>
      </c>
      <c r="AE82" s="87">
        <f t="shared" si="41"/>
        <v>0</v>
      </c>
      <c r="AF82" s="87">
        <f t="shared" si="42"/>
        <v>0</v>
      </c>
      <c r="AG82" s="87">
        <f t="shared" si="43"/>
        <v>0</v>
      </c>
      <c r="AH82" s="87">
        <f t="shared" si="44"/>
        <v>0</v>
      </c>
      <c r="AI82" s="87">
        <f t="shared" si="45"/>
        <v>0</v>
      </c>
      <c r="AJ82" s="87">
        <f t="shared" si="46"/>
        <v>0</v>
      </c>
      <c r="AK82" s="87">
        <f t="shared" si="47"/>
        <v>0</v>
      </c>
      <c r="AL82" s="87">
        <f t="shared" si="48"/>
        <v>0</v>
      </c>
      <c r="AM82" s="87">
        <f t="shared" si="49"/>
        <v>0</v>
      </c>
      <c r="AN82" s="87">
        <f t="shared" si="50"/>
        <v>0</v>
      </c>
      <c r="AO82" s="87">
        <f t="shared" si="51"/>
        <v>0</v>
      </c>
      <c r="AQ82" s="426">
        <v>64</v>
      </c>
      <c r="AR82" s="258">
        <f t="shared" ca="1" si="58"/>
        <v>48101</v>
      </c>
      <c r="AS82" s="429">
        <f t="shared" ca="1" si="84"/>
        <v>1589.6100000000001</v>
      </c>
      <c r="AT82" s="138"/>
      <c r="AU82" s="278">
        <v>64</v>
      </c>
      <c r="AV82" s="258">
        <f t="shared" ca="1" si="59"/>
        <v>48131</v>
      </c>
      <c r="AW82" s="429">
        <f t="shared" ca="1" si="52"/>
        <v>0</v>
      </c>
      <c r="AX82" s="202">
        <f t="shared" ca="1" si="53"/>
        <v>0</v>
      </c>
      <c r="AY82" s="278">
        <v>64</v>
      </c>
      <c r="AZ82" s="258">
        <f t="shared" ca="1" si="60"/>
        <v>48131</v>
      </c>
      <c r="BA82" s="429">
        <f t="shared" si="54"/>
        <v>1589.6100000000001</v>
      </c>
      <c r="BB82" s="259">
        <f t="shared" ca="1" si="11"/>
        <v>48101</v>
      </c>
      <c r="BC82" s="428">
        <f t="shared" ca="1" si="55"/>
        <v>0</v>
      </c>
      <c r="BD82" s="188">
        <f t="shared" si="85"/>
        <v>67.81</v>
      </c>
      <c r="BE82" s="188">
        <f t="shared" si="86"/>
        <v>70.569999999999993</v>
      </c>
      <c r="BF82" s="188">
        <f t="shared" si="87"/>
        <v>1172.83</v>
      </c>
      <c r="BG82" s="87">
        <f t="shared" si="88"/>
        <v>278.39999999999998</v>
      </c>
      <c r="BH82" s="87">
        <f t="shared" si="89"/>
        <v>0</v>
      </c>
      <c r="BI82" s="87">
        <f t="shared" si="90"/>
        <v>0</v>
      </c>
      <c r="BJ82" s="87">
        <f t="shared" si="91"/>
        <v>0</v>
      </c>
      <c r="BK82" s="87">
        <f t="shared" si="92"/>
        <v>0</v>
      </c>
      <c r="BL82" s="87">
        <f t="shared" si="93"/>
        <v>0</v>
      </c>
      <c r="BM82" s="87">
        <f t="shared" si="94"/>
        <v>0</v>
      </c>
      <c r="BN82" s="87">
        <f t="shared" si="95"/>
        <v>0</v>
      </c>
      <c r="BO82" s="87">
        <f t="shared" si="96"/>
        <v>0</v>
      </c>
      <c r="BP82" s="87">
        <f t="shared" si="97"/>
        <v>0</v>
      </c>
      <c r="BQ82" s="87">
        <f t="shared" si="98"/>
        <v>0</v>
      </c>
      <c r="BR82" s="87">
        <f t="shared" si="99"/>
        <v>0</v>
      </c>
      <c r="BS82" s="87">
        <f t="shared" si="100"/>
        <v>0</v>
      </c>
      <c r="BT82" s="87">
        <f t="shared" si="101"/>
        <v>0</v>
      </c>
      <c r="BV82" s="177"/>
      <c r="BW82" s="177"/>
      <c r="BX82" s="267"/>
      <c r="BY82" s="267"/>
      <c r="BZ82" s="267"/>
      <c r="CA82" s="267"/>
      <c r="CB82" s="267"/>
      <c r="CC82" s="267"/>
      <c r="CD82" s="267"/>
      <c r="CE82" s="267"/>
      <c r="CF82" s="267"/>
      <c r="CG82" s="267"/>
      <c r="CH82" s="267"/>
      <c r="CI82" s="435"/>
      <c r="CJ82" s="436"/>
      <c r="CK82" s="437"/>
      <c r="CM82" s="64" t="s">
        <v>3024</v>
      </c>
      <c r="CN82" s="707"/>
      <c r="CS82" s="87">
        <v>64</v>
      </c>
      <c r="CT82" s="259">
        <f t="shared" ca="1" si="29"/>
        <v>48131</v>
      </c>
      <c r="CU82" s="179">
        <f t="shared" ca="1" si="56"/>
        <v>477.28900680475601</v>
      </c>
      <c r="CV82" s="179">
        <f t="shared" ca="1" si="114"/>
        <v>492.92187304167095</v>
      </c>
      <c r="CW82" s="179">
        <f t="shared" ca="1" si="114"/>
        <v>502.5501250231701</v>
      </c>
      <c r="CX82" s="179">
        <f t="shared" ca="1" si="114"/>
        <v>512.36936802323225</v>
      </c>
      <c r="CY82" s="179">
        <f t="shared" ca="1" si="114"/>
        <v>522.38344863980547</v>
      </c>
      <c r="CZ82" s="179">
        <f t="shared" ca="1" si="114"/>
        <v>532.59629211091988</v>
      </c>
      <c r="DA82" s="179">
        <f t="shared" ca="1" si="114"/>
        <v>539.51725290919467</v>
      </c>
      <c r="DB82" s="179">
        <f t="shared" ca="1" si="114"/>
        <v>553.63437159364923</v>
      </c>
      <c r="DC82" s="179">
        <f t="shared" ca="1" si="114"/>
        <v>560.83299288890453</v>
      </c>
      <c r="DD82" s="179">
        <f t="shared" ca="1" si="114"/>
        <v>568.12665904532719</v>
      </c>
      <c r="DE82" s="179">
        <f t="shared" ca="1" si="114"/>
        <v>575.51664404458393</v>
      </c>
      <c r="DF82" s="179" t="e">
        <f t="shared" ca="1" si="114"/>
        <v>#VALUE!</v>
      </c>
      <c r="DG82" s="179" t="e">
        <f t="shared" ca="1" si="114"/>
        <v>#VALUE!</v>
      </c>
      <c r="DH82" s="179" t="e">
        <f t="shared" ca="1" si="114"/>
        <v>#VALUE!</v>
      </c>
      <c r="DI82" s="179" t="e">
        <f t="shared" ca="1" si="114"/>
        <v>#VALUE!</v>
      </c>
      <c r="DJ82" s="179" t="e">
        <f t="shared" ca="1" si="113"/>
        <v>#VALUE!</v>
      </c>
      <c r="DK82" s="179" t="e">
        <f t="shared" ca="1" si="113"/>
        <v>#VALUE!</v>
      </c>
      <c r="DL82" s="179" t="e">
        <f t="shared" ca="1" si="102"/>
        <v>#VALUE!</v>
      </c>
      <c r="DM82" s="179" t="e">
        <f t="shared" ca="1" si="102"/>
        <v>#VALUE!</v>
      </c>
      <c r="DN82" s="179" t="e">
        <f t="shared" ca="1" si="102"/>
        <v>#VALUE!</v>
      </c>
      <c r="DO82" s="179" t="e">
        <f t="shared" ca="1" si="102"/>
        <v>#VALUE!</v>
      </c>
      <c r="DP82" s="179" t="e">
        <f t="shared" ca="1" si="102"/>
        <v>#VALUE!</v>
      </c>
      <c r="DQ82" s="179" t="e">
        <f t="shared" ca="1" si="102"/>
        <v>#VALUE!</v>
      </c>
      <c r="DR82" s="188">
        <v>64</v>
      </c>
      <c r="DS82" s="430">
        <f t="shared" ca="1" si="61"/>
        <v>48101</v>
      </c>
      <c r="DT82" s="180">
        <f t="shared" ca="1" si="104"/>
        <v>0</v>
      </c>
      <c r="DU82" s="180">
        <f t="shared" ca="1" si="104"/>
        <v>0</v>
      </c>
      <c r="DV82" s="180">
        <f t="shared" ca="1" si="104"/>
        <v>0</v>
      </c>
      <c r="DW82" s="180">
        <f t="shared" ca="1" si="104"/>
        <v>0</v>
      </c>
      <c r="DX82" s="180">
        <f t="shared" ca="1" si="104"/>
        <v>0</v>
      </c>
      <c r="DY82" s="180">
        <f t="shared" ca="1" si="115"/>
        <v>0</v>
      </c>
      <c r="DZ82" s="180">
        <f t="shared" ca="1" si="115"/>
        <v>0</v>
      </c>
      <c r="EA82" s="180">
        <f t="shared" ca="1" si="115"/>
        <v>0</v>
      </c>
      <c r="EB82" s="180">
        <f t="shared" ca="1" si="115"/>
        <v>0</v>
      </c>
      <c r="EC82" s="180">
        <f t="shared" ca="1" si="115"/>
        <v>0</v>
      </c>
      <c r="ED82" s="180">
        <f t="shared" ca="1" si="115"/>
        <v>0</v>
      </c>
      <c r="EE82" s="180">
        <f t="shared" ca="1" si="115"/>
        <v>0</v>
      </c>
      <c r="EF82" s="180">
        <f t="shared" ca="1" si="115"/>
        <v>0</v>
      </c>
      <c r="EG82" s="180">
        <f t="shared" ca="1" si="115"/>
        <v>0</v>
      </c>
      <c r="EH82" s="180">
        <f t="shared" ca="1" si="75"/>
        <v>0</v>
      </c>
      <c r="EI82" s="180">
        <f t="shared" ca="1" si="106"/>
        <v>0</v>
      </c>
      <c r="EJ82" s="180">
        <f t="shared" ca="1" si="106"/>
        <v>0</v>
      </c>
      <c r="EK82" s="180">
        <f t="shared" ca="1" si="106"/>
        <v>0</v>
      </c>
      <c r="EL82" s="180">
        <f t="shared" ca="1" si="106"/>
        <v>0</v>
      </c>
      <c r="EM82" s="180">
        <f t="shared" ca="1" si="106"/>
        <v>0</v>
      </c>
      <c r="EN82" s="180">
        <f t="shared" ca="1" si="106"/>
        <v>0</v>
      </c>
      <c r="EO82" s="180">
        <f t="shared" ca="1" si="106"/>
        <v>0</v>
      </c>
      <c r="EP82" s="180">
        <f t="shared" ca="1" si="106"/>
        <v>0</v>
      </c>
      <c r="EQ82" s="180"/>
      <c r="ER82" s="180"/>
    </row>
    <row r="83" spans="2:148" s="87" customFormat="1" hidden="1" x14ac:dyDescent="0.25">
      <c r="B83" s="151"/>
      <c r="C83" s="87">
        <v>22</v>
      </c>
      <c r="D83" s="258">
        <f t="shared" ca="1" si="110"/>
        <v>46822</v>
      </c>
      <c r="E83" s="175">
        <f t="shared" ca="1" si="116"/>
        <v>0.6681242985619279</v>
      </c>
      <c r="F83" s="175">
        <f t="shared" ca="1" si="116"/>
        <v>0.6681242985619279</v>
      </c>
      <c r="G83" s="175">
        <f t="shared" ca="1" si="116"/>
        <v>0.6681242985619279</v>
      </c>
      <c r="H83" s="175">
        <f t="shared" ca="1" si="116"/>
        <v>0.6681242985619279</v>
      </c>
      <c r="I83" s="175">
        <f t="shared" si="116"/>
        <v>0</v>
      </c>
      <c r="J83" s="175">
        <f t="shared" si="116"/>
        <v>0</v>
      </c>
      <c r="K83" s="175">
        <f t="shared" si="116"/>
        <v>0</v>
      </c>
      <c r="L83" s="175">
        <f t="shared" si="116"/>
        <v>0</v>
      </c>
      <c r="M83" s="175">
        <f t="shared" si="116"/>
        <v>0</v>
      </c>
      <c r="N83" s="175">
        <f t="shared" si="116"/>
        <v>0</v>
      </c>
      <c r="O83" s="175">
        <f t="shared" si="117"/>
        <v>0</v>
      </c>
      <c r="P83" s="175">
        <f t="shared" si="117"/>
        <v>0</v>
      </c>
      <c r="Q83" s="175">
        <f t="shared" si="117"/>
        <v>0</v>
      </c>
      <c r="R83" s="175">
        <f t="shared" si="117"/>
        <v>0</v>
      </c>
      <c r="S83" s="175">
        <f t="shared" si="117"/>
        <v>0</v>
      </c>
      <c r="T83" s="175">
        <f t="shared" si="117"/>
        <v>0</v>
      </c>
      <c r="U83" s="175">
        <f t="shared" si="117"/>
        <v>0</v>
      </c>
      <c r="V83" s="175"/>
      <c r="W83" s="372"/>
      <c r="X83" s="87">
        <v>65</v>
      </c>
      <c r="Y83" s="87">
        <f t="shared" si="35"/>
        <v>0</v>
      </c>
      <c r="Z83" s="87">
        <f t="shared" ca="1" si="36"/>
        <v>70.569999999999993</v>
      </c>
      <c r="AA83" s="87">
        <f t="shared" ca="1" si="37"/>
        <v>1172.83</v>
      </c>
      <c r="AB83" s="87">
        <f t="shared" ca="1" si="38"/>
        <v>278.39999999999998</v>
      </c>
      <c r="AC83" s="87">
        <f t="shared" si="39"/>
        <v>0</v>
      </c>
      <c r="AD83" s="87">
        <f t="shared" si="40"/>
        <v>0</v>
      </c>
      <c r="AE83" s="87">
        <f t="shared" si="41"/>
        <v>0</v>
      </c>
      <c r="AF83" s="87">
        <f t="shared" si="42"/>
        <v>0</v>
      </c>
      <c r="AG83" s="87">
        <f t="shared" si="43"/>
        <v>0</v>
      </c>
      <c r="AH83" s="87">
        <f t="shared" si="44"/>
        <v>0</v>
      </c>
      <c r="AI83" s="87">
        <f t="shared" si="45"/>
        <v>0</v>
      </c>
      <c r="AJ83" s="87">
        <f t="shared" si="46"/>
        <v>0</v>
      </c>
      <c r="AK83" s="87">
        <f t="shared" si="47"/>
        <v>0</v>
      </c>
      <c r="AL83" s="87">
        <f t="shared" si="48"/>
        <v>0</v>
      </c>
      <c r="AM83" s="87">
        <f t="shared" si="49"/>
        <v>0</v>
      </c>
      <c r="AN83" s="87">
        <f t="shared" si="50"/>
        <v>0</v>
      </c>
      <c r="AO83" s="87">
        <f t="shared" si="51"/>
        <v>0</v>
      </c>
      <c r="AQ83" s="426">
        <v>65</v>
      </c>
      <c r="AR83" s="258">
        <f t="shared" ca="1" si="58"/>
        <v>48131</v>
      </c>
      <c r="AS83" s="429">
        <f t="shared" ref="AS83:AS114" ca="1" si="118">SUM(Y83:AO83)</f>
        <v>1521.7999999999997</v>
      </c>
      <c r="AT83" s="138"/>
      <c r="AU83" s="278">
        <v>65</v>
      </c>
      <c r="AV83" s="258">
        <f t="shared" ca="1" si="59"/>
        <v>48162</v>
      </c>
      <c r="AW83" s="429">
        <f t="shared" ca="1" si="52"/>
        <v>67.8100000000004</v>
      </c>
      <c r="AX83" s="202">
        <f t="shared" ca="1" si="53"/>
        <v>19.98</v>
      </c>
      <c r="AY83" s="278">
        <v>65</v>
      </c>
      <c r="AZ83" s="258">
        <f t="shared" ca="1" si="60"/>
        <v>48162</v>
      </c>
      <c r="BA83" s="429">
        <f t="shared" si="54"/>
        <v>1589.6100000000001</v>
      </c>
      <c r="BB83" s="259">
        <f t="shared" ref="BB83:BB146" ca="1" si="119">AR83</f>
        <v>48131</v>
      </c>
      <c r="BC83" s="428">
        <f t="shared" ca="1" si="55"/>
        <v>67.8100000000004</v>
      </c>
      <c r="BD83" s="188">
        <f t="shared" ref="BD83:BD114" si="120">IF($X83&lt;=E$17,E$18,0)</f>
        <v>0</v>
      </c>
      <c r="BE83" s="188">
        <f t="shared" ref="BE83:BE114" si="121">IF($X83&lt;=F$17,F$18,0)</f>
        <v>70.569999999999993</v>
      </c>
      <c r="BF83" s="188">
        <f t="shared" ref="BF83:BF114" si="122">IF($X83&lt;=G$17,G$18,0)</f>
        <v>1172.83</v>
      </c>
      <c r="BG83" s="87">
        <f t="shared" ref="BG83:BG114" si="123">IF($X83&lt;=H$17,H$18,0)</f>
        <v>278.39999999999998</v>
      </c>
      <c r="BH83" s="87">
        <f t="shared" ref="BH83:BH114" si="124">IF($X83&lt;=I$17,I$18,0)</f>
        <v>0</v>
      </c>
      <c r="BI83" s="87">
        <f t="shared" ref="BI83:BI114" si="125">IF($X83&lt;=J$17,J$18,0)</f>
        <v>0</v>
      </c>
      <c r="BJ83" s="87">
        <f t="shared" ref="BJ83:BJ114" si="126">IF($X83&lt;=K$17,K$18,0)</f>
        <v>0</v>
      </c>
      <c r="BK83" s="87">
        <f t="shared" ref="BK83:BK114" si="127">IF($X83&lt;=L$17,L$18,0)</f>
        <v>0</v>
      </c>
      <c r="BL83" s="87">
        <f t="shared" ref="BL83:BL114" si="128">IF($X83&lt;=M$17,M$18,0)</f>
        <v>0</v>
      </c>
      <c r="BM83" s="87">
        <f t="shared" ref="BM83:BM114" si="129">IF($X83&lt;=N$17,N$18,0)</f>
        <v>0</v>
      </c>
      <c r="BN83" s="87">
        <f t="shared" ref="BN83:BN114" si="130">IF($X83&lt;=O$17,O$18,0)</f>
        <v>0</v>
      </c>
      <c r="BO83" s="87">
        <f t="shared" ref="BO83:BO114" si="131">IF($X83&lt;=P$17,P$18,0)</f>
        <v>0</v>
      </c>
      <c r="BP83" s="87">
        <f t="shared" ref="BP83:BP114" si="132">IF($X83&lt;=Q$17,Q$18,0)</f>
        <v>0</v>
      </c>
      <c r="BQ83" s="87">
        <f t="shared" ref="BQ83:BQ114" si="133">IF($X83&lt;=R$17,R$18,0)</f>
        <v>0</v>
      </c>
      <c r="BR83" s="87">
        <f t="shared" ref="BR83:BR114" si="134">IF($X83&lt;=S$17,S$18,0)</f>
        <v>0</v>
      </c>
      <c r="BS83" s="87">
        <f t="shared" ref="BS83:BS114" si="135">IF($X83&lt;=T$17,T$18,0)</f>
        <v>0</v>
      </c>
      <c r="BT83" s="87">
        <f t="shared" ref="BT83:BT114" si="136">IF($X83&lt;=U$17,U$18,0)</f>
        <v>0</v>
      </c>
      <c r="BV83" s="177"/>
      <c r="BW83" s="177"/>
      <c r="BX83" s="267"/>
      <c r="BY83" s="267"/>
      <c r="BZ83" s="267"/>
      <c r="CA83" s="267"/>
      <c r="CB83" s="267"/>
      <c r="CC83" s="267"/>
      <c r="CD83" s="267"/>
      <c r="CE83" s="267"/>
      <c r="CF83" s="267"/>
      <c r="CG83" s="267"/>
      <c r="CH83" s="267"/>
      <c r="CI83" s="435"/>
      <c r="CJ83" s="436"/>
      <c r="CK83" s="437"/>
      <c r="CM83" s="64" t="s">
        <v>218</v>
      </c>
      <c r="CN83" s="707">
        <v>47.111111111111114</v>
      </c>
      <c r="CS83" s="178">
        <v>65</v>
      </c>
      <c r="CT83" s="259">
        <f t="shared" ref="CT83:CT146" ca="1" si="137">AZ83</f>
        <v>48162</v>
      </c>
      <c r="CU83" s="179">
        <f t="shared" ca="1" si="56"/>
        <v>468.33329119612631</v>
      </c>
      <c r="CV83" s="179">
        <f t="shared" ca="1" si="114"/>
        <v>483.91830777724721</v>
      </c>
      <c r="CW83" s="179">
        <f t="shared" ca="1" si="114"/>
        <v>493.5209785642553</v>
      </c>
      <c r="CX83" s="179">
        <f t="shared" ca="1" si="114"/>
        <v>503.31711646264506</v>
      </c>
      <c r="CY83" s="179">
        <f t="shared" ca="1" si="114"/>
        <v>513.31067807612931</v>
      </c>
      <c r="CZ83" s="179">
        <f t="shared" ca="1" si="114"/>
        <v>523.5057021278767</v>
      </c>
      <c r="DA83" s="179">
        <f t="shared" ca="1" si="114"/>
        <v>530.41634074027672</v>
      </c>
      <c r="DB83" s="179">
        <f t="shared" ca="1" si="114"/>
        <v>544.51671344948704</v>
      </c>
      <c r="DC83" s="179">
        <f t="shared" ca="1" si="114"/>
        <v>551.70898436653658</v>
      </c>
      <c r="DD83" s="179">
        <f t="shared" ca="1" si="114"/>
        <v>558.99769876179857</v>
      </c>
      <c r="DE83" s="179">
        <f t="shared" ca="1" si="114"/>
        <v>566.38416924872968</v>
      </c>
      <c r="DF83" s="179" t="e">
        <f t="shared" ca="1" si="114"/>
        <v>#VALUE!</v>
      </c>
      <c r="DG83" s="179" t="e">
        <f t="shared" ca="1" si="114"/>
        <v>#VALUE!</v>
      </c>
      <c r="DH83" s="179" t="e">
        <f t="shared" ca="1" si="114"/>
        <v>#VALUE!</v>
      </c>
      <c r="DI83" s="179" t="e">
        <f t="shared" ca="1" si="114"/>
        <v>#VALUE!</v>
      </c>
      <c r="DJ83" s="179" t="e">
        <f t="shared" ca="1" si="113"/>
        <v>#VALUE!</v>
      </c>
      <c r="DK83" s="179" t="e">
        <f t="shared" ca="1" si="113"/>
        <v>#VALUE!</v>
      </c>
      <c r="DL83" s="179" t="e">
        <f t="shared" ca="1" si="102"/>
        <v>#VALUE!</v>
      </c>
      <c r="DM83" s="179" t="e">
        <f t="shared" ca="1" si="102"/>
        <v>#VALUE!</v>
      </c>
      <c r="DN83" s="179" t="e">
        <f t="shared" ca="1" si="102"/>
        <v>#VALUE!</v>
      </c>
      <c r="DO83" s="179" t="e">
        <f t="shared" ca="1" si="102"/>
        <v>#VALUE!</v>
      </c>
      <c r="DP83" s="179" t="e">
        <f t="shared" ca="1" si="102"/>
        <v>#VALUE!</v>
      </c>
      <c r="DQ83" s="179" t="e">
        <f t="shared" ca="1" si="102"/>
        <v>#VALUE!</v>
      </c>
      <c r="DR83" s="431">
        <v>65</v>
      </c>
      <c r="DS83" s="430">
        <f t="shared" ca="1" si="61"/>
        <v>48131</v>
      </c>
      <c r="DT83" s="180">
        <f t="shared" ca="1" si="104"/>
        <v>67.8100000000004</v>
      </c>
      <c r="DU83" s="180">
        <f t="shared" ca="1" si="104"/>
        <v>67.8100000000004</v>
      </c>
      <c r="DV83" s="180">
        <f t="shared" ca="1" si="104"/>
        <v>67.8100000000004</v>
      </c>
      <c r="DW83" s="180">
        <f t="shared" ca="1" si="104"/>
        <v>67.8100000000004</v>
      </c>
      <c r="DX83" s="180">
        <f t="shared" ca="1" si="104"/>
        <v>67.8100000000004</v>
      </c>
      <c r="DY83" s="180">
        <f t="shared" ca="1" si="115"/>
        <v>67.8100000000004</v>
      </c>
      <c r="DZ83" s="180">
        <f t="shared" ca="1" si="115"/>
        <v>67.8100000000004</v>
      </c>
      <c r="EA83" s="180">
        <f t="shared" ca="1" si="115"/>
        <v>67.8100000000004</v>
      </c>
      <c r="EB83" s="180">
        <f t="shared" ca="1" si="115"/>
        <v>67.8100000000004</v>
      </c>
      <c r="EC83" s="180">
        <f t="shared" ca="1" si="115"/>
        <v>67.8100000000004</v>
      </c>
      <c r="ED83" s="180">
        <f t="shared" ca="1" si="115"/>
        <v>67.8100000000004</v>
      </c>
      <c r="EE83" s="180">
        <f t="shared" ca="1" si="115"/>
        <v>67.8100000000004</v>
      </c>
      <c r="EF83" s="180">
        <f t="shared" ca="1" si="115"/>
        <v>67.8100000000004</v>
      </c>
      <c r="EG83" s="180">
        <f t="shared" ca="1" si="115"/>
        <v>67.8100000000004</v>
      </c>
      <c r="EH83" s="180">
        <f t="shared" ca="1" si="75"/>
        <v>67.8100000000004</v>
      </c>
      <c r="EI83" s="180">
        <f t="shared" ca="1" si="106"/>
        <v>67.8100000000004</v>
      </c>
      <c r="EJ83" s="180">
        <f t="shared" ca="1" si="106"/>
        <v>67.8100000000004</v>
      </c>
      <c r="EK83" s="180">
        <f t="shared" ca="1" si="106"/>
        <v>67.8100000000004</v>
      </c>
      <c r="EL83" s="180">
        <f t="shared" ca="1" si="106"/>
        <v>67.8100000000004</v>
      </c>
      <c r="EM83" s="180">
        <f t="shared" ca="1" si="106"/>
        <v>67.8100000000004</v>
      </c>
      <c r="EN83" s="180">
        <f t="shared" ca="1" si="106"/>
        <v>67.8100000000004</v>
      </c>
      <c r="EO83" s="180">
        <f t="shared" ca="1" si="106"/>
        <v>67.8100000000004</v>
      </c>
      <c r="EP83" s="180">
        <f t="shared" ca="1" si="106"/>
        <v>67.8100000000004</v>
      </c>
      <c r="EQ83" s="180"/>
      <c r="ER83" s="180"/>
    </row>
    <row r="84" spans="2:148" s="87" customFormat="1" hidden="1" x14ac:dyDescent="0.25">
      <c r="B84" s="151"/>
      <c r="C84" s="87">
        <v>23</v>
      </c>
      <c r="D84" s="258">
        <f t="shared" ca="1" si="110"/>
        <v>46853</v>
      </c>
      <c r="E84" s="175">
        <f t="shared" ca="1" si="116"/>
        <v>0.65558780364202063</v>
      </c>
      <c r="F84" s="175">
        <f t="shared" ca="1" si="116"/>
        <v>0.65558780364202063</v>
      </c>
      <c r="G84" s="175">
        <f t="shared" ca="1" si="116"/>
        <v>0.65558780364202063</v>
      </c>
      <c r="H84" s="175">
        <f t="shared" ca="1" si="116"/>
        <v>0.65558780364202063</v>
      </c>
      <c r="I84" s="175">
        <f t="shared" si="116"/>
        <v>0</v>
      </c>
      <c r="J84" s="175">
        <f t="shared" si="116"/>
        <v>0</v>
      </c>
      <c r="K84" s="175">
        <f t="shared" si="116"/>
        <v>0</v>
      </c>
      <c r="L84" s="175">
        <f t="shared" si="116"/>
        <v>0</v>
      </c>
      <c r="M84" s="175">
        <f t="shared" si="116"/>
        <v>0</v>
      </c>
      <c r="N84" s="175">
        <f t="shared" si="116"/>
        <v>0</v>
      </c>
      <c r="O84" s="175">
        <f t="shared" si="117"/>
        <v>0</v>
      </c>
      <c r="P84" s="175">
        <f t="shared" si="117"/>
        <v>0</v>
      </c>
      <c r="Q84" s="175">
        <f t="shared" si="117"/>
        <v>0</v>
      </c>
      <c r="R84" s="175">
        <f t="shared" si="117"/>
        <v>0</v>
      </c>
      <c r="S84" s="175">
        <f t="shared" si="117"/>
        <v>0</v>
      </c>
      <c r="T84" s="175">
        <f t="shared" si="117"/>
        <v>0</v>
      </c>
      <c r="U84" s="175">
        <f t="shared" si="117"/>
        <v>0</v>
      </c>
      <c r="V84" s="175"/>
      <c r="W84" s="372"/>
      <c r="X84" s="87">
        <v>66</v>
      </c>
      <c r="Y84" s="87">
        <f t="shared" ref="Y84:Y147" si="138">IF($X84&lt;=E$17,E$20,0)</f>
        <v>0</v>
      </c>
      <c r="Z84" s="87">
        <f t="shared" ref="Z84:Z147" ca="1" si="139">IF($X84&lt;=F$17,F$20,0)</f>
        <v>70.569999999999993</v>
      </c>
      <c r="AA84" s="87">
        <f t="shared" ref="AA84:AA147" ca="1" si="140">IF($X84&lt;=G$17,G$20,0)</f>
        <v>1172.83</v>
      </c>
      <c r="AB84" s="87">
        <f t="shared" ref="AB84:AB147" ca="1" si="141">IF($X84&lt;=H$17,H$20,0)</f>
        <v>278.39999999999998</v>
      </c>
      <c r="AC84" s="87">
        <f t="shared" ref="AC84:AC147" si="142">IF($X84&lt;=I$17,I$20,0)</f>
        <v>0</v>
      </c>
      <c r="AD84" s="87">
        <f t="shared" ref="AD84:AD147" si="143">IF($X84&lt;=J$17,J$20,0)</f>
        <v>0</v>
      </c>
      <c r="AE84" s="87">
        <f t="shared" ref="AE84:AE147" si="144">IF($X84&lt;=K$17,K$20,0)</f>
        <v>0</v>
      </c>
      <c r="AF84" s="87">
        <f t="shared" ref="AF84:AF147" si="145">IF($X84&lt;=L$17,L$20,0)</f>
        <v>0</v>
      </c>
      <c r="AG84" s="87">
        <f t="shared" ref="AG84:AG147" si="146">IF($X84&lt;=M$17,M$20,0)</f>
        <v>0</v>
      </c>
      <c r="AH84" s="87">
        <f t="shared" ref="AH84:AH147" si="147">IF($X84&lt;=N$17,N$20,0)</f>
        <v>0</v>
      </c>
      <c r="AI84" s="87">
        <f t="shared" ref="AI84:AI147" si="148">IF($X84&lt;=O$17,O$20,0)</f>
        <v>0</v>
      </c>
      <c r="AJ84" s="87">
        <f t="shared" ref="AJ84:AJ147" si="149">IF($X84&lt;=P$17,P$20,0)</f>
        <v>0</v>
      </c>
      <c r="AK84" s="87">
        <f t="shared" ref="AK84:AK147" si="150">IF($X84&lt;=Q$17,Q$20,0)</f>
        <v>0</v>
      </c>
      <c r="AL84" s="87">
        <f t="shared" ref="AL84:AL147" si="151">IF($X84&lt;=R$17,R$20,0)</f>
        <v>0</v>
      </c>
      <c r="AM84" s="87">
        <f t="shared" ref="AM84:AM147" si="152">IF($X84&lt;=S$17,S$20,0)</f>
        <v>0</v>
      </c>
      <c r="AN84" s="87">
        <f t="shared" ref="AN84:AN147" si="153">IF($X84&lt;=T$17,T$20,0)</f>
        <v>0</v>
      </c>
      <c r="AO84" s="87">
        <f t="shared" ref="AO84:AO147" si="154">IF($X84&lt;=U$17,U$20,0)</f>
        <v>0</v>
      </c>
      <c r="AQ84" s="426">
        <v>66</v>
      </c>
      <c r="AR84" s="258">
        <f t="shared" ca="1" si="58"/>
        <v>48162</v>
      </c>
      <c r="AS84" s="429">
        <f t="shared" ca="1" si="118"/>
        <v>1521.7999999999997</v>
      </c>
      <c r="AT84" s="138"/>
      <c r="AU84" s="278">
        <v>66</v>
      </c>
      <c r="AV84" s="258">
        <f t="shared" ca="1" si="59"/>
        <v>48192</v>
      </c>
      <c r="AW84" s="429">
        <f t="shared" ref="AW84:AW147" ca="1" si="155">IF(AU84&gt;$BA$14,0,BA84-AS84)</f>
        <v>67.8100000000004</v>
      </c>
      <c r="AX84" s="202">
        <f t="shared" ref="AX84:AX147" ca="1" si="156">ROUND(AW84/(1+$AW$15)^((AV84-$AV$18)/30),2)</f>
        <v>19.62</v>
      </c>
      <c r="AY84" s="278">
        <v>66</v>
      </c>
      <c r="AZ84" s="258">
        <f t="shared" ca="1" si="60"/>
        <v>48192</v>
      </c>
      <c r="BA84" s="429">
        <f t="shared" ref="BA84:BA147" si="157">IF(AY84&gt;$BA$14,0,$BA$13)</f>
        <v>1589.6100000000001</v>
      </c>
      <c r="BB84" s="259">
        <f t="shared" ca="1" si="119"/>
        <v>48162</v>
      </c>
      <c r="BC84" s="428">
        <f t="shared" ref="BC84:BC147" ca="1" si="158">IFERROR(VLOOKUP(BB84,$AZ$18:$BA$164,2,FALSE),0)-IFERROR(VLOOKUP(BB84,$AR$18:$AS$164,2,FALSE),0)</f>
        <v>67.8100000000004</v>
      </c>
      <c r="BD84" s="188">
        <f t="shared" si="120"/>
        <v>0</v>
      </c>
      <c r="BE84" s="188">
        <f t="shared" si="121"/>
        <v>70.569999999999993</v>
      </c>
      <c r="BF84" s="188">
        <f t="shared" si="122"/>
        <v>1172.83</v>
      </c>
      <c r="BG84" s="87">
        <f t="shared" si="123"/>
        <v>278.39999999999998</v>
      </c>
      <c r="BH84" s="87">
        <f t="shared" si="124"/>
        <v>0</v>
      </c>
      <c r="BI84" s="87">
        <f t="shared" si="125"/>
        <v>0</v>
      </c>
      <c r="BJ84" s="87">
        <f t="shared" si="126"/>
        <v>0</v>
      </c>
      <c r="BK84" s="87">
        <f t="shared" si="127"/>
        <v>0</v>
      </c>
      <c r="BL84" s="87">
        <f t="shared" si="128"/>
        <v>0</v>
      </c>
      <c r="BM84" s="87">
        <f t="shared" si="129"/>
        <v>0</v>
      </c>
      <c r="BN84" s="87">
        <f t="shared" si="130"/>
        <v>0</v>
      </c>
      <c r="BO84" s="87">
        <f t="shared" si="131"/>
        <v>0</v>
      </c>
      <c r="BP84" s="87">
        <f t="shared" si="132"/>
        <v>0</v>
      </c>
      <c r="BQ84" s="87">
        <f t="shared" si="133"/>
        <v>0</v>
      </c>
      <c r="BR84" s="87">
        <f t="shared" si="134"/>
        <v>0</v>
      </c>
      <c r="BS84" s="87">
        <f t="shared" si="135"/>
        <v>0</v>
      </c>
      <c r="BT84" s="87">
        <f t="shared" si="136"/>
        <v>0</v>
      </c>
      <c r="BV84" s="177"/>
      <c r="BW84" s="177"/>
      <c r="BX84" s="267"/>
      <c r="BY84" s="267"/>
      <c r="BZ84" s="267"/>
      <c r="CA84" s="267"/>
      <c r="CB84" s="267"/>
      <c r="CC84" s="267"/>
      <c r="CD84" s="267"/>
      <c r="CE84" s="267"/>
      <c r="CF84" s="267"/>
      <c r="CG84" s="267"/>
      <c r="CH84" s="267"/>
      <c r="CI84" s="435"/>
      <c r="CJ84" s="436"/>
      <c r="CK84" s="437"/>
      <c r="CM84" s="64" t="s">
        <v>3343</v>
      </c>
      <c r="CN84" s="707"/>
      <c r="CS84" s="138">
        <v>66</v>
      </c>
      <c r="CT84" s="259">
        <f t="shared" ca="1" si="137"/>
        <v>48192</v>
      </c>
      <c r="CU84" s="179">
        <f t="shared" ref="CU84:DD147" ca="1" si="159">(($AW84/(1+CU$18)^(($AZ84-$AZ$18)/30)))+($AS84/(1+CU$18)^(($AZ84-$AZ$18)/30))</f>
        <v>459.8265009289409</v>
      </c>
      <c r="CV84" s="179">
        <f t="shared" ca="1" si="159"/>
        <v>475.36179545898545</v>
      </c>
      <c r="CW84" s="179">
        <f t="shared" ca="1" si="159"/>
        <v>484.93758333915218</v>
      </c>
      <c r="CX84" s="179">
        <f t="shared" ca="1" si="159"/>
        <v>494.70917678655894</v>
      </c>
      <c r="CY84" s="179">
        <f t="shared" ca="1" si="159"/>
        <v>504.68063914672041</v>
      </c>
      <c r="CZ84" s="179">
        <f t="shared" ca="1" si="159"/>
        <v>514.85611932324616</v>
      </c>
      <c r="DA84" s="179">
        <f t="shared" ca="1" si="159"/>
        <v>521.75520434809835</v>
      </c>
      <c r="DB84" s="179">
        <f t="shared" ca="1" si="159"/>
        <v>535.83616753541344</v>
      </c>
      <c r="DC84" s="179">
        <f t="shared" ca="1" si="159"/>
        <v>543.02065390407142</v>
      </c>
      <c r="DD84" s="179">
        <f t="shared" ca="1" si="159"/>
        <v>550.30291274049875</v>
      </c>
      <c r="DE84" s="179">
        <f t="shared" ca="1" si="114"/>
        <v>557.68429425830016</v>
      </c>
      <c r="DF84" s="179" t="e">
        <f t="shared" ca="1" si="114"/>
        <v>#VALUE!</v>
      </c>
      <c r="DG84" s="179" t="e">
        <f t="shared" ca="1" si="114"/>
        <v>#VALUE!</v>
      </c>
      <c r="DH84" s="179" t="e">
        <f t="shared" ca="1" si="114"/>
        <v>#VALUE!</v>
      </c>
      <c r="DI84" s="179" t="e">
        <f t="shared" ca="1" si="114"/>
        <v>#VALUE!</v>
      </c>
      <c r="DJ84" s="179" t="e">
        <f t="shared" ca="1" si="113"/>
        <v>#VALUE!</v>
      </c>
      <c r="DK84" s="179" t="e">
        <f t="shared" ca="1" si="113"/>
        <v>#VALUE!</v>
      </c>
      <c r="DL84" s="179" t="e">
        <f t="shared" ca="1" si="102"/>
        <v>#VALUE!</v>
      </c>
      <c r="DM84" s="179" t="e">
        <f t="shared" ca="1" si="102"/>
        <v>#VALUE!</v>
      </c>
      <c r="DN84" s="179" t="e">
        <f t="shared" ca="1" si="102"/>
        <v>#VALUE!</v>
      </c>
      <c r="DO84" s="179" t="e">
        <f t="shared" ca="1" si="102"/>
        <v>#VALUE!</v>
      </c>
      <c r="DP84" s="179" t="e">
        <f t="shared" ca="1" si="102"/>
        <v>#VALUE!</v>
      </c>
      <c r="DQ84" s="179" t="e">
        <f t="shared" ca="1" si="102"/>
        <v>#VALUE!</v>
      </c>
      <c r="DR84" s="278">
        <v>66</v>
      </c>
      <c r="DS84" s="430">
        <f t="shared" ca="1" si="61"/>
        <v>48162</v>
      </c>
      <c r="DT84" s="180">
        <f t="shared" ca="1" si="104"/>
        <v>67.8100000000004</v>
      </c>
      <c r="DU84" s="180">
        <f t="shared" ca="1" si="104"/>
        <v>67.8100000000004</v>
      </c>
      <c r="DV84" s="180">
        <f t="shared" ca="1" si="104"/>
        <v>67.8100000000004</v>
      </c>
      <c r="DW84" s="180">
        <f t="shared" ca="1" si="104"/>
        <v>67.8100000000004</v>
      </c>
      <c r="DX84" s="180">
        <f t="shared" ca="1" si="104"/>
        <v>67.8100000000004</v>
      </c>
      <c r="DY84" s="180">
        <f t="shared" ca="1" si="115"/>
        <v>67.8100000000004</v>
      </c>
      <c r="DZ84" s="180">
        <f t="shared" ca="1" si="115"/>
        <v>67.8100000000004</v>
      </c>
      <c r="EA84" s="180">
        <f t="shared" ca="1" si="115"/>
        <v>67.8100000000004</v>
      </c>
      <c r="EB84" s="180">
        <f t="shared" ca="1" si="115"/>
        <v>67.8100000000004</v>
      </c>
      <c r="EC84" s="180">
        <f t="shared" ca="1" si="115"/>
        <v>67.8100000000004</v>
      </c>
      <c r="ED84" s="180">
        <f t="shared" ca="1" si="115"/>
        <v>67.8100000000004</v>
      </c>
      <c r="EE84" s="180">
        <f t="shared" ca="1" si="115"/>
        <v>67.8100000000004</v>
      </c>
      <c r="EF84" s="180">
        <f t="shared" ca="1" si="115"/>
        <v>67.8100000000004</v>
      </c>
      <c r="EG84" s="180">
        <f t="shared" ca="1" si="115"/>
        <v>67.8100000000004</v>
      </c>
      <c r="EH84" s="180">
        <f t="shared" ca="1" si="75"/>
        <v>67.8100000000004</v>
      </c>
      <c r="EI84" s="180">
        <f t="shared" ca="1" si="106"/>
        <v>67.8100000000004</v>
      </c>
      <c r="EJ84" s="180">
        <f t="shared" ca="1" si="106"/>
        <v>67.8100000000004</v>
      </c>
      <c r="EK84" s="180">
        <f t="shared" ca="1" si="106"/>
        <v>67.8100000000004</v>
      </c>
      <c r="EL84" s="180">
        <f t="shared" ca="1" si="106"/>
        <v>67.8100000000004</v>
      </c>
      <c r="EM84" s="180">
        <f t="shared" ca="1" si="106"/>
        <v>67.8100000000004</v>
      </c>
      <c r="EN84" s="180">
        <f t="shared" ca="1" si="106"/>
        <v>67.8100000000004</v>
      </c>
      <c r="EO84" s="180">
        <f t="shared" ca="1" si="106"/>
        <v>67.8100000000004</v>
      </c>
      <c r="EP84" s="180">
        <f t="shared" ca="1" si="106"/>
        <v>67.8100000000004</v>
      </c>
      <c r="EQ84" s="180"/>
      <c r="ER84" s="180"/>
    </row>
    <row r="85" spans="2:148" s="87" customFormat="1" hidden="1" x14ac:dyDescent="0.25">
      <c r="B85" s="151"/>
      <c r="C85" s="87">
        <v>24</v>
      </c>
      <c r="D85" s="258">
        <f t="shared" ca="1" si="110"/>
        <v>46883</v>
      </c>
      <c r="E85" s="175">
        <f t="shared" ca="1" si="116"/>
        <v>0.64367972866177781</v>
      </c>
      <c r="F85" s="175">
        <f t="shared" ca="1" si="116"/>
        <v>0.64367972866177781</v>
      </c>
      <c r="G85" s="175">
        <f t="shared" ca="1" si="116"/>
        <v>0.64367972866177781</v>
      </c>
      <c r="H85" s="175">
        <f t="shared" ca="1" si="116"/>
        <v>0.64367972866177781</v>
      </c>
      <c r="I85" s="175">
        <f t="shared" si="116"/>
        <v>0</v>
      </c>
      <c r="J85" s="175">
        <f t="shared" si="116"/>
        <v>0</v>
      </c>
      <c r="K85" s="175">
        <f t="shared" si="116"/>
        <v>0</v>
      </c>
      <c r="L85" s="175">
        <f t="shared" si="116"/>
        <v>0</v>
      </c>
      <c r="M85" s="175">
        <f t="shared" si="116"/>
        <v>0</v>
      </c>
      <c r="N85" s="175">
        <f t="shared" si="116"/>
        <v>0</v>
      </c>
      <c r="O85" s="175">
        <f t="shared" si="117"/>
        <v>0</v>
      </c>
      <c r="P85" s="175">
        <f t="shared" si="117"/>
        <v>0</v>
      </c>
      <c r="Q85" s="175">
        <f t="shared" si="117"/>
        <v>0</v>
      </c>
      <c r="R85" s="175">
        <f t="shared" si="117"/>
        <v>0</v>
      </c>
      <c r="S85" s="175">
        <f t="shared" si="117"/>
        <v>0</v>
      </c>
      <c r="T85" s="175">
        <f t="shared" si="117"/>
        <v>0</v>
      </c>
      <c r="U85" s="175">
        <f t="shared" si="117"/>
        <v>0</v>
      </c>
      <c r="V85" s="175"/>
      <c r="W85" s="372"/>
      <c r="X85" s="87">
        <v>67</v>
      </c>
      <c r="Y85" s="87">
        <f t="shared" si="138"/>
        <v>0</v>
      </c>
      <c r="Z85" s="87">
        <f t="shared" ca="1" si="139"/>
        <v>70.569999999999993</v>
      </c>
      <c r="AA85" s="87">
        <f t="shared" ca="1" si="140"/>
        <v>1172.83</v>
      </c>
      <c r="AB85" s="87">
        <f t="shared" ca="1" si="141"/>
        <v>278.39999999999998</v>
      </c>
      <c r="AC85" s="87">
        <f t="shared" si="142"/>
        <v>0</v>
      </c>
      <c r="AD85" s="87">
        <f t="shared" si="143"/>
        <v>0</v>
      </c>
      <c r="AE85" s="87">
        <f t="shared" si="144"/>
        <v>0</v>
      </c>
      <c r="AF85" s="87">
        <f t="shared" si="145"/>
        <v>0</v>
      </c>
      <c r="AG85" s="87">
        <f t="shared" si="146"/>
        <v>0</v>
      </c>
      <c r="AH85" s="87">
        <f t="shared" si="147"/>
        <v>0</v>
      </c>
      <c r="AI85" s="87">
        <f t="shared" si="148"/>
        <v>0</v>
      </c>
      <c r="AJ85" s="87">
        <f t="shared" si="149"/>
        <v>0</v>
      </c>
      <c r="AK85" s="87">
        <f t="shared" si="150"/>
        <v>0</v>
      </c>
      <c r="AL85" s="87">
        <f t="shared" si="151"/>
        <v>0</v>
      </c>
      <c r="AM85" s="87">
        <f t="shared" si="152"/>
        <v>0</v>
      </c>
      <c r="AN85" s="87">
        <f t="shared" si="153"/>
        <v>0</v>
      </c>
      <c r="AO85" s="87">
        <f t="shared" si="154"/>
        <v>0</v>
      </c>
      <c r="AQ85" s="426">
        <v>67</v>
      </c>
      <c r="AR85" s="258">
        <f t="shared" ca="1" si="58"/>
        <v>48192</v>
      </c>
      <c r="AS85" s="429">
        <f t="shared" ca="1" si="118"/>
        <v>1521.7999999999997</v>
      </c>
      <c r="AT85" s="138"/>
      <c r="AU85" s="278">
        <v>67</v>
      </c>
      <c r="AV85" s="258">
        <f t="shared" ca="1" si="59"/>
        <v>48223</v>
      </c>
      <c r="AW85" s="429">
        <f t="shared" ca="1" si="155"/>
        <v>67.8100000000004</v>
      </c>
      <c r="AX85" s="202">
        <f t="shared" ca="1" si="156"/>
        <v>19.25</v>
      </c>
      <c r="AY85" s="278">
        <v>67</v>
      </c>
      <c r="AZ85" s="258">
        <f t="shared" ca="1" si="60"/>
        <v>48223</v>
      </c>
      <c r="BA85" s="429">
        <f t="shared" si="157"/>
        <v>1589.6100000000001</v>
      </c>
      <c r="BB85" s="259">
        <f t="shared" ca="1" si="119"/>
        <v>48192</v>
      </c>
      <c r="BC85" s="428">
        <f t="shared" ca="1" si="158"/>
        <v>67.8100000000004</v>
      </c>
      <c r="BD85" s="188">
        <f t="shared" si="120"/>
        <v>0</v>
      </c>
      <c r="BE85" s="188">
        <f t="shared" si="121"/>
        <v>70.569999999999993</v>
      </c>
      <c r="BF85" s="188">
        <f t="shared" si="122"/>
        <v>1172.83</v>
      </c>
      <c r="BG85" s="87">
        <f t="shared" si="123"/>
        <v>278.39999999999998</v>
      </c>
      <c r="BH85" s="87">
        <f t="shared" si="124"/>
        <v>0</v>
      </c>
      <c r="BI85" s="87">
        <f t="shared" si="125"/>
        <v>0</v>
      </c>
      <c r="BJ85" s="87">
        <f t="shared" si="126"/>
        <v>0</v>
      </c>
      <c r="BK85" s="87">
        <f t="shared" si="127"/>
        <v>0</v>
      </c>
      <c r="BL85" s="87">
        <f t="shared" si="128"/>
        <v>0</v>
      </c>
      <c r="BM85" s="87">
        <f t="shared" si="129"/>
        <v>0</v>
      </c>
      <c r="BN85" s="87">
        <f t="shared" si="130"/>
        <v>0</v>
      </c>
      <c r="BO85" s="87">
        <f t="shared" si="131"/>
        <v>0</v>
      </c>
      <c r="BP85" s="87">
        <f t="shared" si="132"/>
        <v>0</v>
      </c>
      <c r="BQ85" s="87">
        <f t="shared" si="133"/>
        <v>0</v>
      </c>
      <c r="BR85" s="87">
        <f t="shared" si="134"/>
        <v>0</v>
      </c>
      <c r="BS85" s="87">
        <f t="shared" si="135"/>
        <v>0</v>
      </c>
      <c r="BT85" s="87">
        <f t="shared" si="136"/>
        <v>0</v>
      </c>
      <c r="BV85" s="177"/>
      <c r="BW85" s="177"/>
      <c r="BX85" s="267"/>
      <c r="BY85" s="267"/>
      <c r="BZ85" s="267"/>
      <c r="CA85" s="267"/>
      <c r="CB85" s="267"/>
      <c r="CC85" s="267"/>
      <c r="CD85" s="267"/>
      <c r="CE85" s="267"/>
      <c r="CF85" s="267"/>
      <c r="CG85" s="267"/>
      <c r="CH85" s="267"/>
      <c r="CI85" s="435"/>
      <c r="CJ85" s="436"/>
      <c r="CK85" s="437"/>
      <c r="CM85" s="64" t="s">
        <v>3025</v>
      </c>
      <c r="CN85" s="707"/>
      <c r="CS85" s="87">
        <v>67</v>
      </c>
      <c r="CT85" s="259">
        <f t="shared" ca="1" si="137"/>
        <v>48223</v>
      </c>
      <c r="CU85" s="179">
        <f t="shared" ca="1" si="159"/>
        <v>451.1984468298121</v>
      </c>
      <c r="CV85" s="179">
        <f t="shared" ca="1" si="159"/>
        <v>466.67897738232284</v>
      </c>
      <c r="CW85" s="179">
        <f t="shared" ca="1" si="159"/>
        <v>476.22487540141259</v>
      </c>
      <c r="CX85" s="179">
        <f t="shared" ca="1" si="159"/>
        <v>485.96893547416266</v>
      </c>
      <c r="CY85" s="179">
        <f t="shared" ca="1" si="159"/>
        <v>495.91533148080913</v>
      </c>
      <c r="CZ85" s="179">
        <f t="shared" ca="1" si="159"/>
        <v>506.06832648586442</v>
      </c>
      <c r="DA85" s="179">
        <f t="shared" ca="1" si="159"/>
        <v>512.95391344805171</v>
      </c>
      <c r="DB85" s="179">
        <f t="shared" ca="1" si="159"/>
        <v>527.01162330994794</v>
      </c>
      <c r="DC85" s="179">
        <f t="shared" ca="1" si="159"/>
        <v>534.18642849853438</v>
      </c>
      <c r="DD85" s="179">
        <f t="shared" ca="1" si="159"/>
        <v>541.46035385977336</v>
      </c>
      <c r="DE85" s="179">
        <f t="shared" ca="1" si="114"/>
        <v>548.83478866352664</v>
      </c>
      <c r="DF85" s="179" t="e">
        <f t="shared" ca="1" si="114"/>
        <v>#VALUE!</v>
      </c>
      <c r="DG85" s="179" t="e">
        <f t="shared" ca="1" si="114"/>
        <v>#VALUE!</v>
      </c>
      <c r="DH85" s="179" t="e">
        <f t="shared" ca="1" si="114"/>
        <v>#VALUE!</v>
      </c>
      <c r="DI85" s="179" t="e">
        <f t="shared" ca="1" si="114"/>
        <v>#VALUE!</v>
      </c>
      <c r="DJ85" s="179" t="e">
        <f t="shared" ca="1" si="113"/>
        <v>#VALUE!</v>
      </c>
      <c r="DK85" s="179" t="e">
        <f t="shared" ca="1" si="113"/>
        <v>#VALUE!</v>
      </c>
      <c r="DL85" s="179" t="e">
        <f t="shared" ca="1" si="102"/>
        <v>#VALUE!</v>
      </c>
      <c r="DM85" s="179" t="e">
        <f t="shared" ca="1" si="102"/>
        <v>#VALUE!</v>
      </c>
      <c r="DN85" s="179" t="e">
        <f t="shared" ca="1" si="102"/>
        <v>#VALUE!</v>
      </c>
      <c r="DO85" s="179" t="e">
        <f t="shared" ca="1" si="102"/>
        <v>#VALUE!</v>
      </c>
      <c r="DP85" s="179" t="e">
        <f t="shared" ca="1" si="102"/>
        <v>#VALUE!</v>
      </c>
      <c r="DQ85" s="179" t="e">
        <f t="shared" ca="1" si="102"/>
        <v>#VALUE!</v>
      </c>
      <c r="DR85" s="188">
        <v>67</v>
      </c>
      <c r="DS85" s="430">
        <f t="shared" ca="1" si="61"/>
        <v>48192</v>
      </c>
      <c r="DT85" s="180">
        <f t="shared" ca="1" si="104"/>
        <v>67.8100000000004</v>
      </c>
      <c r="DU85" s="180">
        <f t="shared" ca="1" si="104"/>
        <v>67.8100000000004</v>
      </c>
      <c r="DV85" s="180">
        <f t="shared" ca="1" si="104"/>
        <v>67.8100000000004</v>
      </c>
      <c r="DW85" s="180">
        <f t="shared" ca="1" si="104"/>
        <v>67.8100000000004</v>
      </c>
      <c r="DX85" s="180">
        <f t="shared" ca="1" si="104"/>
        <v>67.8100000000004</v>
      </c>
      <c r="DY85" s="180">
        <f t="shared" ca="1" si="115"/>
        <v>67.8100000000004</v>
      </c>
      <c r="DZ85" s="180">
        <f t="shared" ca="1" si="115"/>
        <v>67.8100000000004</v>
      </c>
      <c r="EA85" s="180">
        <f t="shared" ca="1" si="115"/>
        <v>67.8100000000004</v>
      </c>
      <c r="EB85" s="180">
        <f t="shared" ca="1" si="115"/>
        <v>67.8100000000004</v>
      </c>
      <c r="EC85" s="180">
        <f t="shared" ca="1" si="115"/>
        <v>67.8100000000004</v>
      </c>
      <c r="ED85" s="180">
        <f t="shared" ca="1" si="115"/>
        <v>67.8100000000004</v>
      </c>
      <c r="EE85" s="180">
        <f t="shared" ca="1" si="115"/>
        <v>67.8100000000004</v>
      </c>
      <c r="EF85" s="180">
        <f t="shared" ca="1" si="115"/>
        <v>67.8100000000004</v>
      </c>
      <c r="EG85" s="180">
        <f t="shared" ca="1" si="115"/>
        <v>67.8100000000004</v>
      </c>
      <c r="EH85" s="180">
        <f t="shared" ca="1" si="75"/>
        <v>67.8100000000004</v>
      </c>
      <c r="EI85" s="180">
        <f t="shared" ca="1" si="106"/>
        <v>67.8100000000004</v>
      </c>
      <c r="EJ85" s="180">
        <f t="shared" ca="1" si="106"/>
        <v>67.8100000000004</v>
      </c>
      <c r="EK85" s="180">
        <f t="shared" ca="1" si="106"/>
        <v>67.8100000000004</v>
      </c>
      <c r="EL85" s="180">
        <f t="shared" ca="1" si="106"/>
        <v>67.8100000000004</v>
      </c>
      <c r="EM85" s="180">
        <f t="shared" ca="1" si="106"/>
        <v>67.8100000000004</v>
      </c>
      <c r="EN85" s="180">
        <f t="shared" ca="1" si="106"/>
        <v>67.8100000000004</v>
      </c>
      <c r="EO85" s="180">
        <f t="shared" ca="1" si="106"/>
        <v>67.8100000000004</v>
      </c>
      <c r="EP85" s="180">
        <f t="shared" ca="1" si="106"/>
        <v>67.8100000000004</v>
      </c>
      <c r="EQ85" s="180"/>
      <c r="ER85" s="180"/>
    </row>
    <row r="86" spans="2:148" s="87" customFormat="1" hidden="1" x14ac:dyDescent="0.25">
      <c r="B86" s="151"/>
      <c r="C86" s="87">
        <v>25</v>
      </c>
      <c r="D86" s="258">
        <f t="shared" ca="1" si="110"/>
        <v>46914</v>
      </c>
      <c r="E86" s="175">
        <f t="shared" ca="1" si="116"/>
        <v>0.63160190472125499</v>
      </c>
      <c r="F86" s="175">
        <f t="shared" ca="1" si="116"/>
        <v>0.63160190472125499</v>
      </c>
      <c r="G86" s="175">
        <f t="shared" ca="1" si="116"/>
        <v>0.63160190472125499</v>
      </c>
      <c r="H86" s="175">
        <f t="shared" ca="1" si="116"/>
        <v>0.63160190472125499</v>
      </c>
      <c r="I86" s="175">
        <f t="shared" si="116"/>
        <v>0</v>
      </c>
      <c r="J86" s="175">
        <f t="shared" si="116"/>
        <v>0</v>
      </c>
      <c r="K86" s="175">
        <f t="shared" si="116"/>
        <v>0</v>
      </c>
      <c r="L86" s="175">
        <f t="shared" si="116"/>
        <v>0</v>
      </c>
      <c r="M86" s="175">
        <f t="shared" si="116"/>
        <v>0</v>
      </c>
      <c r="N86" s="175">
        <f t="shared" si="116"/>
        <v>0</v>
      </c>
      <c r="O86" s="175">
        <f t="shared" si="117"/>
        <v>0</v>
      </c>
      <c r="P86" s="175">
        <f t="shared" si="117"/>
        <v>0</v>
      </c>
      <c r="Q86" s="175">
        <f t="shared" si="117"/>
        <v>0</v>
      </c>
      <c r="R86" s="175">
        <f t="shared" si="117"/>
        <v>0</v>
      </c>
      <c r="S86" s="175">
        <f t="shared" si="117"/>
        <v>0</v>
      </c>
      <c r="T86" s="175">
        <f t="shared" si="117"/>
        <v>0</v>
      </c>
      <c r="U86" s="175">
        <f t="shared" si="117"/>
        <v>0</v>
      </c>
      <c r="V86" s="175"/>
      <c r="W86" s="372"/>
      <c r="X86" s="87">
        <v>68</v>
      </c>
      <c r="Y86" s="87">
        <f t="shared" si="138"/>
        <v>0</v>
      </c>
      <c r="Z86" s="87">
        <f t="shared" ca="1" si="139"/>
        <v>70.569999999999993</v>
      </c>
      <c r="AA86" s="87">
        <f t="shared" ca="1" si="140"/>
        <v>1172.83</v>
      </c>
      <c r="AB86" s="87">
        <f t="shared" ca="1" si="141"/>
        <v>278.39999999999998</v>
      </c>
      <c r="AC86" s="87">
        <f t="shared" si="142"/>
        <v>0</v>
      </c>
      <c r="AD86" s="87">
        <f t="shared" si="143"/>
        <v>0</v>
      </c>
      <c r="AE86" s="87">
        <f t="shared" si="144"/>
        <v>0</v>
      </c>
      <c r="AF86" s="87">
        <f t="shared" si="145"/>
        <v>0</v>
      </c>
      <c r="AG86" s="87">
        <f t="shared" si="146"/>
        <v>0</v>
      </c>
      <c r="AH86" s="87">
        <f t="shared" si="147"/>
        <v>0</v>
      </c>
      <c r="AI86" s="87">
        <f t="shared" si="148"/>
        <v>0</v>
      </c>
      <c r="AJ86" s="87">
        <f t="shared" si="149"/>
        <v>0</v>
      </c>
      <c r="AK86" s="87">
        <f t="shared" si="150"/>
        <v>0</v>
      </c>
      <c r="AL86" s="87">
        <f t="shared" si="151"/>
        <v>0</v>
      </c>
      <c r="AM86" s="87">
        <f t="shared" si="152"/>
        <v>0</v>
      </c>
      <c r="AN86" s="87">
        <f t="shared" si="153"/>
        <v>0</v>
      </c>
      <c r="AO86" s="87">
        <f t="shared" si="154"/>
        <v>0</v>
      </c>
      <c r="AQ86" s="426">
        <v>68</v>
      </c>
      <c r="AR86" s="258">
        <f t="shared" ref="AR86:AR149" ca="1" si="160">EDATE(AR85,1)</f>
        <v>48223</v>
      </c>
      <c r="AS86" s="429">
        <f t="shared" ca="1" si="118"/>
        <v>1521.7999999999997</v>
      </c>
      <c r="AT86" s="138"/>
      <c r="AU86" s="278">
        <v>68</v>
      </c>
      <c r="AV86" s="258">
        <f t="shared" ref="AV86:AV149" ca="1" si="161">EDATE(AV85,1)</f>
        <v>48254</v>
      </c>
      <c r="AW86" s="429">
        <f t="shared" ca="1" si="155"/>
        <v>67.8100000000004</v>
      </c>
      <c r="AX86" s="202">
        <f t="shared" ca="1" si="156"/>
        <v>18.89</v>
      </c>
      <c r="AY86" s="278">
        <v>68</v>
      </c>
      <c r="AZ86" s="258">
        <f t="shared" ref="AZ86:AZ149" ca="1" si="162">EDATE(AZ85,1)</f>
        <v>48254</v>
      </c>
      <c r="BA86" s="429">
        <f t="shared" si="157"/>
        <v>1589.6100000000001</v>
      </c>
      <c r="BB86" s="259">
        <f t="shared" ca="1" si="119"/>
        <v>48223</v>
      </c>
      <c r="BC86" s="428">
        <f t="shared" ca="1" si="158"/>
        <v>67.8100000000004</v>
      </c>
      <c r="BD86" s="188">
        <f t="shared" si="120"/>
        <v>0</v>
      </c>
      <c r="BE86" s="188">
        <f t="shared" si="121"/>
        <v>70.569999999999993</v>
      </c>
      <c r="BF86" s="188">
        <f t="shared" si="122"/>
        <v>1172.83</v>
      </c>
      <c r="BG86" s="87">
        <f t="shared" si="123"/>
        <v>278.39999999999998</v>
      </c>
      <c r="BH86" s="87">
        <f t="shared" si="124"/>
        <v>0</v>
      </c>
      <c r="BI86" s="87">
        <f t="shared" si="125"/>
        <v>0</v>
      </c>
      <c r="BJ86" s="87">
        <f t="shared" si="126"/>
        <v>0</v>
      </c>
      <c r="BK86" s="87">
        <f t="shared" si="127"/>
        <v>0</v>
      </c>
      <c r="BL86" s="87">
        <f t="shared" si="128"/>
        <v>0</v>
      </c>
      <c r="BM86" s="87">
        <f t="shared" si="129"/>
        <v>0</v>
      </c>
      <c r="BN86" s="87">
        <f t="shared" si="130"/>
        <v>0</v>
      </c>
      <c r="BO86" s="87">
        <f t="shared" si="131"/>
        <v>0</v>
      </c>
      <c r="BP86" s="87">
        <f t="shared" si="132"/>
        <v>0</v>
      </c>
      <c r="BQ86" s="87">
        <f t="shared" si="133"/>
        <v>0</v>
      </c>
      <c r="BR86" s="87">
        <f t="shared" si="134"/>
        <v>0</v>
      </c>
      <c r="BS86" s="87">
        <f t="shared" si="135"/>
        <v>0</v>
      </c>
      <c r="BT86" s="87">
        <f t="shared" si="136"/>
        <v>0</v>
      </c>
      <c r="BV86" s="177"/>
      <c r="BW86" s="177"/>
      <c r="BX86" s="267"/>
      <c r="BY86" s="267"/>
      <c r="BZ86" s="267"/>
      <c r="CA86" s="267"/>
      <c r="CB86" s="267"/>
      <c r="CC86" s="267"/>
      <c r="CD86" s="267"/>
      <c r="CE86" s="267"/>
      <c r="CF86" s="267"/>
      <c r="CG86" s="267"/>
      <c r="CH86" s="267"/>
      <c r="CI86" s="435"/>
      <c r="CJ86" s="436"/>
      <c r="CK86" s="437"/>
      <c r="CM86" s="64" t="s">
        <v>3026</v>
      </c>
      <c r="CN86" s="707"/>
      <c r="CS86" s="178">
        <v>68</v>
      </c>
      <c r="CT86" s="259">
        <f t="shared" ca="1" si="137"/>
        <v>48254</v>
      </c>
      <c r="CU86" s="179">
        <f t="shared" ca="1" si="159"/>
        <v>442.73228709168058</v>
      </c>
      <c r="CV86" s="179">
        <f t="shared" ca="1" si="159"/>
        <v>458.15475709469712</v>
      </c>
      <c r="CW86" s="179">
        <f t="shared" ca="1" si="159"/>
        <v>467.66870571151435</v>
      </c>
      <c r="CX86" s="179">
        <f t="shared" ca="1" si="159"/>
        <v>477.38311179091806</v>
      </c>
      <c r="CY86" s="179">
        <f t="shared" ca="1" si="159"/>
        <v>487.30225992724013</v>
      </c>
      <c r="CZ86" s="179">
        <f t="shared" ca="1" si="159"/>
        <v>497.43052759835416</v>
      </c>
      <c r="DA86" s="179">
        <f t="shared" ca="1" si="159"/>
        <v>504.30108819024821</v>
      </c>
      <c r="DB86" s="179">
        <f t="shared" ca="1" si="159"/>
        <v>518.33240817106764</v>
      </c>
      <c r="DC86" s="179">
        <f t="shared" ca="1" si="159"/>
        <v>525.49592421659486</v>
      </c>
      <c r="DD86" s="179">
        <f t="shared" ca="1" si="159"/>
        <v>532.75988190199337</v>
      </c>
      <c r="DE86" s="179">
        <f t="shared" ca="1" si="114"/>
        <v>540.12570974039932</v>
      </c>
      <c r="DF86" s="179" t="e">
        <f t="shared" ca="1" si="114"/>
        <v>#VALUE!</v>
      </c>
      <c r="DG86" s="179" t="e">
        <f t="shared" ca="1" si="114"/>
        <v>#VALUE!</v>
      </c>
      <c r="DH86" s="179" t="e">
        <f t="shared" ca="1" si="114"/>
        <v>#VALUE!</v>
      </c>
      <c r="DI86" s="179" t="e">
        <f t="shared" ca="1" si="114"/>
        <v>#VALUE!</v>
      </c>
      <c r="DJ86" s="179" t="e">
        <f t="shared" ca="1" si="113"/>
        <v>#VALUE!</v>
      </c>
      <c r="DK86" s="179" t="e">
        <f t="shared" ca="1" si="113"/>
        <v>#VALUE!</v>
      </c>
      <c r="DL86" s="179" t="e">
        <f t="shared" ca="1" si="102"/>
        <v>#VALUE!</v>
      </c>
      <c r="DM86" s="179" t="e">
        <f t="shared" ca="1" si="102"/>
        <v>#VALUE!</v>
      </c>
      <c r="DN86" s="179" t="e">
        <f t="shared" ca="1" si="102"/>
        <v>#VALUE!</v>
      </c>
      <c r="DO86" s="179" t="e">
        <f t="shared" ca="1" si="102"/>
        <v>#VALUE!</v>
      </c>
      <c r="DP86" s="179" t="e">
        <f t="shared" ca="1" si="102"/>
        <v>#VALUE!</v>
      </c>
      <c r="DQ86" s="179" t="e">
        <f t="shared" ca="1" si="102"/>
        <v>#VALUE!</v>
      </c>
      <c r="DR86" s="431">
        <v>68</v>
      </c>
      <c r="DS86" s="430">
        <f t="shared" ca="1" si="61"/>
        <v>48223</v>
      </c>
      <c r="DT86" s="180">
        <f t="shared" ca="1" si="104"/>
        <v>67.8100000000004</v>
      </c>
      <c r="DU86" s="180">
        <f t="shared" ca="1" si="104"/>
        <v>67.8100000000004</v>
      </c>
      <c r="DV86" s="180">
        <f t="shared" ca="1" si="104"/>
        <v>67.8100000000004</v>
      </c>
      <c r="DW86" s="180">
        <f t="shared" ca="1" si="104"/>
        <v>67.8100000000004</v>
      </c>
      <c r="DX86" s="180">
        <f t="shared" ca="1" si="104"/>
        <v>67.8100000000004</v>
      </c>
      <c r="DY86" s="180">
        <f t="shared" ca="1" si="115"/>
        <v>67.8100000000004</v>
      </c>
      <c r="DZ86" s="180">
        <f t="shared" ca="1" si="115"/>
        <v>67.8100000000004</v>
      </c>
      <c r="EA86" s="180">
        <f t="shared" ca="1" si="115"/>
        <v>67.8100000000004</v>
      </c>
      <c r="EB86" s="180">
        <f t="shared" ca="1" si="115"/>
        <v>67.8100000000004</v>
      </c>
      <c r="EC86" s="180">
        <f t="shared" ca="1" si="115"/>
        <v>67.8100000000004</v>
      </c>
      <c r="ED86" s="180">
        <f t="shared" ca="1" si="115"/>
        <v>67.8100000000004</v>
      </c>
      <c r="EE86" s="180">
        <f t="shared" ca="1" si="115"/>
        <v>67.8100000000004</v>
      </c>
      <c r="EF86" s="180">
        <f t="shared" ca="1" si="115"/>
        <v>67.8100000000004</v>
      </c>
      <c r="EG86" s="180">
        <f t="shared" ca="1" si="115"/>
        <v>67.8100000000004</v>
      </c>
      <c r="EH86" s="180">
        <f t="shared" ca="1" si="75"/>
        <v>67.8100000000004</v>
      </c>
      <c r="EI86" s="180">
        <f t="shared" ca="1" si="106"/>
        <v>67.8100000000004</v>
      </c>
      <c r="EJ86" s="180">
        <f t="shared" ref="EI86:EP111" ca="1" si="163">IFERROR(VLOOKUP($DS86,$AZ$19:$BA$162,2,FALSE),0)-IFERROR(VLOOKUP($DS86,$AR$19:$AS$162,2,FALSE),0)</f>
        <v>67.8100000000004</v>
      </c>
      <c r="EK86" s="180">
        <f t="shared" ca="1" si="163"/>
        <v>67.8100000000004</v>
      </c>
      <c r="EL86" s="180">
        <f t="shared" ca="1" si="163"/>
        <v>67.8100000000004</v>
      </c>
      <c r="EM86" s="180">
        <f t="shared" ca="1" si="163"/>
        <v>67.8100000000004</v>
      </c>
      <c r="EN86" s="180">
        <f t="shared" ca="1" si="163"/>
        <v>67.8100000000004</v>
      </c>
      <c r="EO86" s="180">
        <f t="shared" ca="1" si="163"/>
        <v>67.8100000000004</v>
      </c>
      <c r="EP86" s="180">
        <f t="shared" ca="1" si="163"/>
        <v>67.8100000000004</v>
      </c>
      <c r="EQ86" s="180"/>
      <c r="ER86" s="180"/>
    </row>
    <row r="87" spans="2:148" s="87" customFormat="1" hidden="1" x14ac:dyDescent="0.25">
      <c r="B87" s="151"/>
      <c r="C87" s="87">
        <v>26</v>
      </c>
      <c r="D87" s="258">
        <f t="shared" ca="1" si="110"/>
        <v>46944</v>
      </c>
      <c r="E87" s="175">
        <f t="shared" ca="1" si="116"/>
        <v>0.62012950880830153</v>
      </c>
      <c r="F87" s="175">
        <f t="shared" ca="1" si="116"/>
        <v>0.62012950880830153</v>
      </c>
      <c r="G87" s="175">
        <f t="shared" ca="1" si="116"/>
        <v>0.62012950880830153</v>
      </c>
      <c r="H87" s="175">
        <f t="shared" ca="1" si="116"/>
        <v>0.62012950880830153</v>
      </c>
      <c r="I87" s="175">
        <f t="shared" si="116"/>
        <v>0</v>
      </c>
      <c r="J87" s="175">
        <f t="shared" si="116"/>
        <v>0</v>
      </c>
      <c r="K87" s="175">
        <f t="shared" si="116"/>
        <v>0</v>
      </c>
      <c r="L87" s="175">
        <f t="shared" si="116"/>
        <v>0</v>
      </c>
      <c r="M87" s="175">
        <f t="shared" si="116"/>
        <v>0</v>
      </c>
      <c r="N87" s="175">
        <f t="shared" si="116"/>
        <v>0</v>
      </c>
      <c r="O87" s="175">
        <f t="shared" si="117"/>
        <v>0</v>
      </c>
      <c r="P87" s="175">
        <f t="shared" si="117"/>
        <v>0</v>
      </c>
      <c r="Q87" s="175">
        <f t="shared" si="117"/>
        <v>0</v>
      </c>
      <c r="R87" s="175">
        <f t="shared" si="117"/>
        <v>0</v>
      </c>
      <c r="S87" s="175">
        <f t="shared" si="117"/>
        <v>0</v>
      </c>
      <c r="T87" s="175">
        <f t="shared" si="117"/>
        <v>0</v>
      </c>
      <c r="U87" s="175">
        <f t="shared" si="117"/>
        <v>0</v>
      </c>
      <c r="V87" s="175"/>
      <c r="W87" s="372"/>
      <c r="X87" s="87">
        <v>69</v>
      </c>
      <c r="Y87" s="87">
        <f t="shared" si="138"/>
        <v>0</v>
      </c>
      <c r="Z87" s="87">
        <f t="shared" ca="1" si="139"/>
        <v>70.569999999999993</v>
      </c>
      <c r="AA87" s="87">
        <f t="shared" ca="1" si="140"/>
        <v>1172.83</v>
      </c>
      <c r="AB87" s="87">
        <f t="shared" ca="1" si="141"/>
        <v>278.39999999999998</v>
      </c>
      <c r="AC87" s="87">
        <f t="shared" si="142"/>
        <v>0</v>
      </c>
      <c r="AD87" s="87">
        <f t="shared" si="143"/>
        <v>0</v>
      </c>
      <c r="AE87" s="87">
        <f t="shared" si="144"/>
        <v>0</v>
      </c>
      <c r="AF87" s="87">
        <f t="shared" si="145"/>
        <v>0</v>
      </c>
      <c r="AG87" s="87">
        <f t="shared" si="146"/>
        <v>0</v>
      </c>
      <c r="AH87" s="87">
        <f t="shared" si="147"/>
        <v>0</v>
      </c>
      <c r="AI87" s="87">
        <f t="shared" si="148"/>
        <v>0</v>
      </c>
      <c r="AJ87" s="87">
        <f t="shared" si="149"/>
        <v>0</v>
      </c>
      <c r="AK87" s="87">
        <f t="shared" si="150"/>
        <v>0</v>
      </c>
      <c r="AL87" s="87">
        <f t="shared" si="151"/>
        <v>0</v>
      </c>
      <c r="AM87" s="87">
        <f t="shared" si="152"/>
        <v>0</v>
      </c>
      <c r="AN87" s="87">
        <f t="shared" si="153"/>
        <v>0</v>
      </c>
      <c r="AO87" s="87">
        <f t="shared" si="154"/>
        <v>0</v>
      </c>
      <c r="AQ87" s="426">
        <v>69</v>
      </c>
      <c r="AR87" s="258">
        <f t="shared" ca="1" si="160"/>
        <v>48254</v>
      </c>
      <c r="AS87" s="429">
        <f t="shared" ca="1" si="118"/>
        <v>1521.7999999999997</v>
      </c>
      <c r="AT87" s="138"/>
      <c r="AU87" s="278">
        <v>69</v>
      </c>
      <c r="AV87" s="258">
        <f t="shared" ca="1" si="161"/>
        <v>48283</v>
      </c>
      <c r="AW87" s="429">
        <f t="shared" ca="1" si="155"/>
        <v>67.8100000000004</v>
      </c>
      <c r="AX87" s="202">
        <f t="shared" ca="1" si="156"/>
        <v>18.55</v>
      </c>
      <c r="AY87" s="278">
        <v>69</v>
      </c>
      <c r="AZ87" s="258">
        <f t="shared" ca="1" si="162"/>
        <v>48283</v>
      </c>
      <c r="BA87" s="429">
        <f t="shared" si="157"/>
        <v>1589.6100000000001</v>
      </c>
      <c r="BB87" s="259">
        <f t="shared" ca="1" si="119"/>
        <v>48254</v>
      </c>
      <c r="BC87" s="428">
        <f t="shared" ca="1" si="158"/>
        <v>67.8100000000004</v>
      </c>
      <c r="BD87" s="188">
        <f t="shared" si="120"/>
        <v>0</v>
      </c>
      <c r="BE87" s="188">
        <f t="shared" si="121"/>
        <v>70.569999999999993</v>
      </c>
      <c r="BF87" s="188">
        <f t="shared" si="122"/>
        <v>1172.83</v>
      </c>
      <c r="BG87" s="87">
        <f t="shared" si="123"/>
        <v>278.39999999999998</v>
      </c>
      <c r="BH87" s="87">
        <f t="shared" si="124"/>
        <v>0</v>
      </c>
      <c r="BI87" s="87">
        <f t="shared" si="125"/>
        <v>0</v>
      </c>
      <c r="BJ87" s="87">
        <f t="shared" si="126"/>
        <v>0</v>
      </c>
      <c r="BK87" s="87">
        <f t="shared" si="127"/>
        <v>0</v>
      </c>
      <c r="BL87" s="87">
        <f t="shared" si="128"/>
        <v>0</v>
      </c>
      <c r="BM87" s="87">
        <f t="shared" si="129"/>
        <v>0</v>
      </c>
      <c r="BN87" s="87">
        <f t="shared" si="130"/>
        <v>0</v>
      </c>
      <c r="BO87" s="87">
        <f t="shared" si="131"/>
        <v>0</v>
      </c>
      <c r="BP87" s="87">
        <f t="shared" si="132"/>
        <v>0</v>
      </c>
      <c r="BQ87" s="87">
        <f t="shared" si="133"/>
        <v>0</v>
      </c>
      <c r="BR87" s="87">
        <f t="shared" si="134"/>
        <v>0</v>
      </c>
      <c r="BS87" s="87">
        <f t="shared" si="135"/>
        <v>0</v>
      </c>
      <c r="BT87" s="87">
        <f t="shared" si="136"/>
        <v>0</v>
      </c>
      <c r="BV87" s="177"/>
      <c r="BW87" s="177"/>
      <c r="BX87" s="267"/>
      <c r="BY87" s="267"/>
      <c r="BZ87" s="267"/>
      <c r="CA87" s="267"/>
      <c r="CB87" s="267"/>
      <c r="CC87" s="267"/>
      <c r="CD87" s="267"/>
      <c r="CE87" s="267"/>
      <c r="CF87" s="267"/>
      <c r="CG87" s="267"/>
      <c r="CH87" s="267"/>
      <c r="CI87" s="435"/>
      <c r="CJ87" s="436"/>
      <c r="CK87" s="437"/>
      <c r="CM87" s="64" t="s">
        <v>3027</v>
      </c>
      <c r="CN87" s="707">
        <v>40.5</v>
      </c>
      <c r="CS87" s="138">
        <v>69</v>
      </c>
      <c r="CT87" s="259">
        <f t="shared" ca="1" si="137"/>
        <v>48283</v>
      </c>
      <c r="CU87" s="179">
        <f t="shared" ca="1" si="159"/>
        <v>434.95620353823648</v>
      </c>
      <c r="CV87" s="179">
        <f t="shared" ca="1" si="159"/>
        <v>450.32149924379127</v>
      </c>
      <c r="CW87" s="179">
        <f t="shared" ca="1" si="159"/>
        <v>459.80377001960886</v>
      </c>
      <c r="CX87" s="179">
        <f t="shared" ca="1" si="159"/>
        <v>469.48859017066337</v>
      </c>
      <c r="CY87" s="179">
        <f t="shared" ca="1" si="159"/>
        <v>479.38034797259581</v>
      </c>
      <c r="CZ87" s="179">
        <f t="shared" ca="1" si="159"/>
        <v>489.48352811038188</v>
      </c>
      <c r="DA87" s="179">
        <f t="shared" ca="1" si="159"/>
        <v>496.33869759634354</v>
      </c>
      <c r="DB87" s="179">
        <f t="shared" ca="1" si="159"/>
        <v>510.34258911358097</v>
      </c>
      <c r="DC87" s="179">
        <f t="shared" ca="1" si="159"/>
        <v>517.4941375962303</v>
      </c>
      <c r="DD87" s="179">
        <f t="shared" ca="1" si="159"/>
        <v>524.74733999013006</v>
      </c>
      <c r="DE87" s="179">
        <f t="shared" ca="1" si="114"/>
        <v>532.10366167224788</v>
      </c>
      <c r="DF87" s="179" t="e">
        <f t="shared" ca="1" si="114"/>
        <v>#VALUE!</v>
      </c>
      <c r="DG87" s="179" t="e">
        <f t="shared" ca="1" si="114"/>
        <v>#VALUE!</v>
      </c>
      <c r="DH87" s="179" t="e">
        <f t="shared" ca="1" si="114"/>
        <v>#VALUE!</v>
      </c>
      <c r="DI87" s="179" t="e">
        <f t="shared" ca="1" si="114"/>
        <v>#VALUE!</v>
      </c>
      <c r="DJ87" s="179" t="e">
        <f t="shared" ca="1" si="113"/>
        <v>#VALUE!</v>
      </c>
      <c r="DK87" s="179" t="e">
        <f t="shared" ca="1" si="113"/>
        <v>#VALUE!</v>
      </c>
      <c r="DL87" s="179" t="e">
        <f t="shared" ca="1" si="102"/>
        <v>#VALUE!</v>
      </c>
      <c r="DM87" s="179" t="e">
        <f t="shared" ca="1" si="102"/>
        <v>#VALUE!</v>
      </c>
      <c r="DN87" s="179" t="e">
        <f t="shared" ca="1" si="102"/>
        <v>#VALUE!</v>
      </c>
      <c r="DO87" s="179" t="e">
        <f t="shared" ca="1" si="102"/>
        <v>#VALUE!</v>
      </c>
      <c r="DP87" s="179" t="e">
        <f t="shared" ca="1" si="102"/>
        <v>#VALUE!</v>
      </c>
      <c r="DQ87" s="179" t="e">
        <f t="shared" ca="1" si="102"/>
        <v>#VALUE!</v>
      </c>
      <c r="DR87" s="278">
        <v>69</v>
      </c>
      <c r="DS87" s="430">
        <f t="shared" ref="DS87:DS150" ca="1" si="164">EDATE(DS$19,DR87-1)</f>
        <v>48254</v>
      </c>
      <c r="DT87" s="180">
        <f t="shared" ca="1" si="104"/>
        <v>67.8100000000004</v>
      </c>
      <c r="DU87" s="180">
        <f t="shared" ca="1" si="104"/>
        <v>67.8100000000004</v>
      </c>
      <c r="DV87" s="180">
        <f t="shared" ca="1" si="104"/>
        <v>67.8100000000004</v>
      </c>
      <c r="DW87" s="180">
        <f t="shared" ca="1" si="104"/>
        <v>67.8100000000004</v>
      </c>
      <c r="DX87" s="180">
        <f t="shared" ca="1" si="104"/>
        <v>67.8100000000004</v>
      </c>
      <c r="DY87" s="180">
        <f t="shared" ca="1" si="115"/>
        <v>67.8100000000004</v>
      </c>
      <c r="DZ87" s="180">
        <f t="shared" ca="1" si="115"/>
        <v>67.8100000000004</v>
      </c>
      <c r="EA87" s="180">
        <f t="shared" ca="1" si="115"/>
        <v>67.8100000000004</v>
      </c>
      <c r="EB87" s="180">
        <f t="shared" ca="1" si="115"/>
        <v>67.8100000000004</v>
      </c>
      <c r="EC87" s="180">
        <f t="shared" ca="1" si="115"/>
        <v>67.8100000000004</v>
      </c>
      <c r="ED87" s="180">
        <f t="shared" ca="1" si="115"/>
        <v>67.8100000000004</v>
      </c>
      <c r="EE87" s="180">
        <f t="shared" ca="1" si="115"/>
        <v>67.8100000000004</v>
      </c>
      <c r="EF87" s="180">
        <f t="shared" ca="1" si="115"/>
        <v>67.8100000000004</v>
      </c>
      <c r="EG87" s="180">
        <f t="shared" ca="1" si="115"/>
        <v>67.8100000000004</v>
      </c>
      <c r="EH87" s="180">
        <f t="shared" ca="1" si="75"/>
        <v>67.8100000000004</v>
      </c>
      <c r="EI87" s="180">
        <f t="shared" ca="1" si="163"/>
        <v>67.8100000000004</v>
      </c>
      <c r="EJ87" s="180">
        <f t="shared" ca="1" si="163"/>
        <v>67.8100000000004</v>
      </c>
      <c r="EK87" s="180">
        <f t="shared" ca="1" si="163"/>
        <v>67.8100000000004</v>
      </c>
      <c r="EL87" s="180">
        <f t="shared" ca="1" si="163"/>
        <v>67.8100000000004</v>
      </c>
      <c r="EM87" s="180">
        <f t="shared" ca="1" si="163"/>
        <v>67.8100000000004</v>
      </c>
      <c r="EN87" s="180">
        <f t="shared" ca="1" si="163"/>
        <v>67.8100000000004</v>
      </c>
      <c r="EO87" s="180">
        <f t="shared" ca="1" si="163"/>
        <v>67.8100000000004</v>
      </c>
      <c r="EP87" s="180">
        <f t="shared" ca="1" si="163"/>
        <v>67.8100000000004</v>
      </c>
      <c r="EQ87" s="180"/>
      <c r="ER87" s="180"/>
    </row>
    <row r="88" spans="2:148" s="87" customFormat="1" hidden="1" x14ac:dyDescent="0.25">
      <c r="B88" s="151"/>
      <c r="C88" s="87">
        <v>27</v>
      </c>
      <c r="D88" s="258">
        <f t="shared" ca="1" si="110"/>
        <v>46975</v>
      </c>
      <c r="E88" s="175">
        <f t="shared" ca="1" si="116"/>
        <v>0.60849357451644337</v>
      </c>
      <c r="F88" s="175">
        <f t="shared" ca="1" si="116"/>
        <v>0.60849357451644337</v>
      </c>
      <c r="G88" s="175">
        <f t="shared" ca="1" si="116"/>
        <v>0.60849357451644337</v>
      </c>
      <c r="H88" s="175">
        <f t="shared" ca="1" si="116"/>
        <v>0.60849357451644337</v>
      </c>
      <c r="I88" s="175">
        <f t="shared" si="116"/>
        <v>0</v>
      </c>
      <c r="J88" s="175">
        <f t="shared" si="116"/>
        <v>0</v>
      </c>
      <c r="K88" s="175">
        <f t="shared" si="116"/>
        <v>0</v>
      </c>
      <c r="L88" s="175">
        <f t="shared" si="116"/>
        <v>0</v>
      </c>
      <c r="M88" s="175">
        <f t="shared" si="116"/>
        <v>0</v>
      </c>
      <c r="N88" s="175">
        <f t="shared" si="116"/>
        <v>0</v>
      </c>
      <c r="O88" s="175">
        <f t="shared" si="117"/>
        <v>0</v>
      </c>
      <c r="P88" s="175">
        <f t="shared" si="117"/>
        <v>0</v>
      </c>
      <c r="Q88" s="175">
        <f t="shared" si="117"/>
        <v>0</v>
      </c>
      <c r="R88" s="175">
        <f t="shared" si="117"/>
        <v>0</v>
      </c>
      <c r="S88" s="175">
        <f t="shared" si="117"/>
        <v>0</v>
      </c>
      <c r="T88" s="175">
        <f t="shared" si="117"/>
        <v>0</v>
      </c>
      <c r="U88" s="175">
        <f t="shared" si="117"/>
        <v>0</v>
      </c>
      <c r="V88" s="175"/>
      <c r="W88" s="372"/>
      <c r="X88" s="87">
        <v>70</v>
      </c>
      <c r="Y88" s="87">
        <f t="shared" si="138"/>
        <v>0</v>
      </c>
      <c r="Z88" s="87">
        <f t="shared" ca="1" si="139"/>
        <v>70.569999999999993</v>
      </c>
      <c r="AA88" s="87">
        <f t="shared" ca="1" si="140"/>
        <v>1172.83</v>
      </c>
      <c r="AB88" s="87">
        <f t="shared" ca="1" si="141"/>
        <v>278.39999999999998</v>
      </c>
      <c r="AC88" s="87">
        <f t="shared" si="142"/>
        <v>0</v>
      </c>
      <c r="AD88" s="87">
        <f t="shared" si="143"/>
        <v>0</v>
      </c>
      <c r="AE88" s="87">
        <f t="shared" si="144"/>
        <v>0</v>
      </c>
      <c r="AF88" s="87">
        <f t="shared" si="145"/>
        <v>0</v>
      </c>
      <c r="AG88" s="87">
        <f t="shared" si="146"/>
        <v>0</v>
      </c>
      <c r="AH88" s="87">
        <f t="shared" si="147"/>
        <v>0</v>
      </c>
      <c r="AI88" s="87">
        <f t="shared" si="148"/>
        <v>0</v>
      </c>
      <c r="AJ88" s="87">
        <f t="shared" si="149"/>
        <v>0</v>
      </c>
      <c r="AK88" s="87">
        <f t="shared" si="150"/>
        <v>0</v>
      </c>
      <c r="AL88" s="87">
        <f t="shared" si="151"/>
        <v>0</v>
      </c>
      <c r="AM88" s="87">
        <f t="shared" si="152"/>
        <v>0</v>
      </c>
      <c r="AN88" s="87">
        <f t="shared" si="153"/>
        <v>0</v>
      </c>
      <c r="AO88" s="87">
        <f t="shared" si="154"/>
        <v>0</v>
      </c>
      <c r="AQ88" s="426">
        <v>70</v>
      </c>
      <c r="AR88" s="258">
        <f t="shared" ca="1" si="160"/>
        <v>48283</v>
      </c>
      <c r="AS88" s="429">
        <f t="shared" ca="1" si="118"/>
        <v>1521.7999999999997</v>
      </c>
      <c r="AT88" s="138"/>
      <c r="AU88" s="278">
        <v>70</v>
      </c>
      <c r="AV88" s="258">
        <f t="shared" ca="1" si="161"/>
        <v>48314</v>
      </c>
      <c r="AW88" s="429">
        <f t="shared" ca="1" si="155"/>
        <v>67.8100000000004</v>
      </c>
      <c r="AX88" s="202">
        <f t="shared" ca="1" si="156"/>
        <v>18.21</v>
      </c>
      <c r="AY88" s="278">
        <v>70</v>
      </c>
      <c r="AZ88" s="258">
        <f t="shared" ca="1" si="162"/>
        <v>48314</v>
      </c>
      <c r="BA88" s="429">
        <f t="shared" si="157"/>
        <v>1589.6100000000001</v>
      </c>
      <c r="BB88" s="259">
        <f t="shared" ca="1" si="119"/>
        <v>48283</v>
      </c>
      <c r="BC88" s="428">
        <f t="shared" ca="1" si="158"/>
        <v>67.8100000000004</v>
      </c>
      <c r="BD88" s="188">
        <f t="shared" si="120"/>
        <v>0</v>
      </c>
      <c r="BE88" s="188">
        <f t="shared" si="121"/>
        <v>70.569999999999993</v>
      </c>
      <c r="BF88" s="188">
        <f t="shared" si="122"/>
        <v>1172.83</v>
      </c>
      <c r="BG88" s="87">
        <f t="shared" si="123"/>
        <v>278.39999999999998</v>
      </c>
      <c r="BH88" s="87">
        <f t="shared" si="124"/>
        <v>0</v>
      </c>
      <c r="BI88" s="87">
        <f t="shared" si="125"/>
        <v>0</v>
      </c>
      <c r="BJ88" s="87">
        <f t="shared" si="126"/>
        <v>0</v>
      </c>
      <c r="BK88" s="87">
        <f t="shared" si="127"/>
        <v>0</v>
      </c>
      <c r="BL88" s="87">
        <f t="shared" si="128"/>
        <v>0</v>
      </c>
      <c r="BM88" s="87">
        <f t="shared" si="129"/>
        <v>0</v>
      </c>
      <c r="BN88" s="87">
        <f t="shared" si="130"/>
        <v>0</v>
      </c>
      <c r="BO88" s="87">
        <f t="shared" si="131"/>
        <v>0</v>
      </c>
      <c r="BP88" s="87">
        <f t="shared" si="132"/>
        <v>0</v>
      </c>
      <c r="BQ88" s="87">
        <f t="shared" si="133"/>
        <v>0</v>
      </c>
      <c r="BR88" s="87">
        <f t="shared" si="134"/>
        <v>0</v>
      </c>
      <c r="BS88" s="87">
        <f t="shared" si="135"/>
        <v>0</v>
      </c>
      <c r="BT88" s="87">
        <f t="shared" si="136"/>
        <v>0</v>
      </c>
      <c r="BV88" s="177"/>
      <c r="BW88" s="177"/>
      <c r="BX88" s="267"/>
      <c r="BY88" s="267"/>
      <c r="BZ88" s="267"/>
      <c r="CA88" s="267"/>
      <c r="CB88" s="267"/>
      <c r="CC88" s="267"/>
      <c r="CD88" s="267"/>
      <c r="CE88" s="267"/>
      <c r="CF88" s="267"/>
      <c r="CG88" s="267"/>
      <c r="CH88" s="267"/>
      <c r="CI88" s="435"/>
      <c r="CJ88" s="436"/>
      <c r="CK88" s="437"/>
      <c r="CM88" s="64" t="s">
        <v>211</v>
      </c>
      <c r="CN88" s="707">
        <v>59</v>
      </c>
      <c r="CS88" s="87">
        <v>70</v>
      </c>
      <c r="CT88" s="259">
        <f t="shared" ca="1" si="137"/>
        <v>48314</v>
      </c>
      <c r="CU88" s="179">
        <f t="shared" ca="1" si="159"/>
        <v>426.79480864842878</v>
      </c>
      <c r="CV88" s="179">
        <f t="shared" ca="1" si="159"/>
        <v>442.09605981787274</v>
      </c>
      <c r="CW88" s="179">
        <f t="shared" ca="1" si="159"/>
        <v>451.54263272175859</v>
      </c>
      <c r="CX88" s="179">
        <f t="shared" ca="1" si="159"/>
        <v>461.19393188645154</v>
      </c>
      <c r="CY88" s="179">
        <f t="shared" ca="1" si="159"/>
        <v>471.05445648193813</v>
      </c>
      <c r="CZ88" s="179">
        <f t="shared" ca="1" si="159"/>
        <v>481.12880592508691</v>
      </c>
      <c r="DA88" s="179">
        <f t="shared" ca="1" si="159"/>
        <v>487.96614812085954</v>
      </c>
      <c r="DB88" s="179">
        <f t="shared" ca="1" si="159"/>
        <v>501.93789189337383</v>
      </c>
      <c r="DC88" s="179">
        <f t="shared" ca="1" si="159"/>
        <v>509.07519473521586</v>
      </c>
      <c r="DD88" s="179">
        <f t="shared" ca="1" si="159"/>
        <v>516.31542159765968</v>
      </c>
      <c r="DE88" s="179">
        <f t="shared" ca="1" si="114"/>
        <v>523.66007740880639</v>
      </c>
      <c r="DF88" s="179" t="e">
        <f t="shared" ca="1" si="114"/>
        <v>#VALUE!</v>
      </c>
      <c r="DG88" s="179" t="e">
        <f t="shared" ca="1" si="114"/>
        <v>#VALUE!</v>
      </c>
      <c r="DH88" s="179" t="e">
        <f t="shared" ca="1" si="114"/>
        <v>#VALUE!</v>
      </c>
      <c r="DI88" s="179" t="e">
        <f t="shared" ca="1" si="114"/>
        <v>#VALUE!</v>
      </c>
      <c r="DJ88" s="179" t="e">
        <f t="shared" ca="1" si="113"/>
        <v>#VALUE!</v>
      </c>
      <c r="DK88" s="179" t="e">
        <f t="shared" ca="1" si="113"/>
        <v>#VALUE!</v>
      </c>
      <c r="DL88" s="179" t="e">
        <f t="shared" ca="1" si="102"/>
        <v>#VALUE!</v>
      </c>
      <c r="DM88" s="179" t="e">
        <f t="shared" ca="1" si="102"/>
        <v>#VALUE!</v>
      </c>
      <c r="DN88" s="179" t="e">
        <f t="shared" ca="1" si="102"/>
        <v>#VALUE!</v>
      </c>
      <c r="DO88" s="179" t="e">
        <f t="shared" ca="1" si="102"/>
        <v>#VALUE!</v>
      </c>
      <c r="DP88" s="179" t="e">
        <f t="shared" ca="1" si="102"/>
        <v>#VALUE!</v>
      </c>
      <c r="DQ88" s="179" t="e">
        <f t="shared" ca="1" si="102"/>
        <v>#VALUE!</v>
      </c>
      <c r="DR88" s="188">
        <v>70</v>
      </c>
      <c r="DS88" s="430">
        <f t="shared" ca="1" si="164"/>
        <v>48283</v>
      </c>
      <c r="DT88" s="180">
        <f t="shared" ref="DT88:EE119" ca="1" si="165">IFERROR(VLOOKUP($DS88,$AZ$19:$BA$162,2,FALSE),0)-IFERROR(VLOOKUP($DS88,$AR$19:$AS$162,2,FALSE),0)</f>
        <v>67.8100000000004</v>
      </c>
      <c r="DU88" s="180">
        <f t="shared" ca="1" si="165"/>
        <v>67.8100000000004</v>
      </c>
      <c r="DV88" s="180">
        <f t="shared" ca="1" si="165"/>
        <v>67.8100000000004</v>
      </c>
      <c r="DW88" s="180">
        <f t="shared" ca="1" si="165"/>
        <v>67.8100000000004</v>
      </c>
      <c r="DX88" s="180">
        <f t="shared" ca="1" si="165"/>
        <v>67.8100000000004</v>
      </c>
      <c r="DY88" s="180">
        <f t="shared" ca="1" si="115"/>
        <v>67.8100000000004</v>
      </c>
      <c r="DZ88" s="180">
        <f t="shared" ca="1" si="115"/>
        <v>67.8100000000004</v>
      </c>
      <c r="EA88" s="180">
        <f t="shared" ca="1" si="115"/>
        <v>67.8100000000004</v>
      </c>
      <c r="EB88" s="180">
        <f t="shared" ca="1" si="115"/>
        <v>67.8100000000004</v>
      </c>
      <c r="EC88" s="180">
        <f t="shared" ca="1" si="115"/>
        <v>67.8100000000004</v>
      </c>
      <c r="ED88" s="180">
        <f t="shared" ca="1" si="115"/>
        <v>67.8100000000004</v>
      </c>
      <c r="EE88" s="180">
        <f t="shared" ca="1" si="115"/>
        <v>67.8100000000004</v>
      </c>
      <c r="EF88" s="180">
        <f t="shared" ca="1" si="115"/>
        <v>67.8100000000004</v>
      </c>
      <c r="EG88" s="180">
        <f t="shared" ca="1" si="115"/>
        <v>67.8100000000004</v>
      </c>
      <c r="EH88" s="180">
        <f t="shared" ca="1" si="75"/>
        <v>67.8100000000004</v>
      </c>
      <c r="EI88" s="180">
        <f t="shared" ca="1" si="163"/>
        <v>67.8100000000004</v>
      </c>
      <c r="EJ88" s="180">
        <f t="shared" ca="1" si="163"/>
        <v>67.8100000000004</v>
      </c>
      <c r="EK88" s="180">
        <f t="shared" ca="1" si="163"/>
        <v>67.8100000000004</v>
      </c>
      <c r="EL88" s="180">
        <f t="shared" ca="1" si="163"/>
        <v>67.8100000000004</v>
      </c>
      <c r="EM88" s="180">
        <f t="shared" ca="1" si="163"/>
        <v>67.8100000000004</v>
      </c>
      <c r="EN88" s="180">
        <f t="shared" ca="1" si="163"/>
        <v>67.8100000000004</v>
      </c>
      <c r="EO88" s="180">
        <f t="shared" ca="1" si="163"/>
        <v>67.8100000000004</v>
      </c>
      <c r="EP88" s="180">
        <f t="shared" ca="1" si="163"/>
        <v>67.8100000000004</v>
      </c>
      <c r="EQ88" s="180"/>
      <c r="ER88" s="180"/>
    </row>
    <row r="89" spans="2:148" s="87" customFormat="1" hidden="1" x14ac:dyDescent="0.25">
      <c r="B89" s="151"/>
      <c r="C89" s="87">
        <v>28</v>
      </c>
      <c r="D89" s="258">
        <f t="shared" ca="1" si="110"/>
        <v>47006</v>
      </c>
      <c r="E89" s="175">
        <f t="shared" ca="1" si="116"/>
        <v>0.5970759735967619</v>
      </c>
      <c r="F89" s="175">
        <f t="shared" ca="1" si="116"/>
        <v>0.5970759735967619</v>
      </c>
      <c r="G89" s="175">
        <f t="shared" ca="1" si="116"/>
        <v>0.5970759735967619</v>
      </c>
      <c r="H89" s="175">
        <f t="shared" ca="1" si="116"/>
        <v>0.5970759735967619</v>
      </c>
      <c r="I89" s="175">
        <f t="shared" si="116"/>
        <v>0</v>
      </c>
      <c r="J89" s="175">
        <f t="shared" si="116"/>
        <v>0</v>
      </c>
      <c r="K89" s="175">
        <f t="shared" si="116"/>
        <v>0</v>
      </c>
      <c r="L89" s="175">
        <f t="shared" si="116"/>
        <v>0</v>
      </c>
      <c r="M89" s="175">
        <f t="shared" si="116"/>
        <v>0</v>
      </c>
      <c r="N89" s="175">
        <f t="shared" si="116"/>
        <v>0</v>
      </c>
      <c r="O89" s="175">
        <f t="shared" si="117"/>
        <v>0</v>
      </c>
      <c r="P89" s="175">
        <f t="shared" si="117"/>
        <v>0</v>
      </c>
      <c r="Q89" s="175">
        <f t="shared" si="117"/>
        <v>0</v>
      </c>
      <c r="R89" s="175">
        <f t="shared" si="117"/>
        <v>0</v>
      </c>
      <c r="S89" s="175">
        <f t="shared" si="117"/>
        <v>0</v>
      </c>
      <c r="T89" s="175">
        <f t="shared" si="117"/>
        <v>0</v>
      </c>
      <c r="U89" s="175">
        <f t="shared" si="117"/>
        <v>0</v>
      </c>
      <c r="V89" s="175"/>
      <c r="W89" s="372"/>
      <c r="X89" s="87">
        <v>71</v>
      </c>
      <c r="Y89" s="87">
        <f t="shared" si="138"/>
        <v>0</v>
      </c>
      <c r="Z89" s="87">
        <f t="shared" ca="1" si="139"/>
        <v>70.569999999999993</v>
      </c>
      <c r="AA89" s="87">
        <f t="shared" ca="1" si="140"/>
        <v>1172.83</v>
      </c>
      <c r="AB89" s="87">
        <f t="shared" ca="1" si="141"/>
        <v>278.39999999999998</v>
      </c>
      <c r="AC89" s="87">
        <f t="shared" si="142"/>
        <v>0</v>
      </c>
      <c r="AD89" s="87">
        <f t="shared" si="143"/>
        <v>0</v>
      </c>
      <c r="AE89" s="87">
        <f t="shared" si="144"/>
        <v>0</v>
      </c>
      <c r="AF89" s="87">
        <f t="shared" si="145"/>
        <v>0</v>
      </c>
      <c r="AG89" s="87">
        <f t="shared" si="146"/>
        <v>0</v>
      </c>
      <c r="AH89" s="87">
        <f t="shared" si="147"/>
        <v>0</v>
      </c>
      <c r="AI89" s="87">
        <f t="shared" si="148"/>
        <v>0</v>
      </c>
      <c r="AJ89" s="87">
        <f t="shared" si="149"/>
        <v>0</v>
      </c>
      <c r="AK89" s="87">
        <f t="shared" si="150"/>
        <v>0</v>
      </c>
      <c r="AL89" s="87">
        <f t="shared" si="151"/>
        <v>0</v>
      </c>
      <c r="AM89" s="87">
        <f t="shared" si="152"/>
        <v>0</v>
      </c>
      <c r="AN89" s="87">
        <f t="shared" si="153"/>
        <v>0</v>
      </c>
      <c r="AO89" s="87">
        <f t="shared" si="154"/>
        <v>0</v>
      </c>
      <c r="AQ89" s="426">
        <v>71</v>
      </c>
      <c r="AR89" s="258">
        <f t="shared" ca="1" si="160"/>
        <v>48314</v>
      </c>
      <c r="AS89" s="429">
        <f t="shared" ca="1" si="118"/>
        <v>1521.7999999999997</v>
      </c>
      <c r="AT89" s="138"/>
      <c r="AU89" s="278">
        <v>71</v>
      </c>
      <c r="AV89" s="258">
        <f t="shared" ca="1" si="161"/>
        <v>48344</v>
      </c>
      <c r="AW89" s="429">
        <f t="shared" ca="1" si="155"/>
        <v>67.8100000000004</v>
      </c>
      <c r="AX89" s="202">
        <f t="shared" ca="1" si="156"/>
        <v>17.88</v>
      </c>
      <c r="AY89" s="278">
        <v>71</v>
      </c>
      <c r="AZ89" s="258">
        <f t="shared" ca="1" si="162"/>
        <v>48344</v>
      </c>
      <c r="BA89" s="429">
        <f t="shared" si="157"/>
        <v>1589.6100000000001</v>
      </c>
      <c r="BB89" s="259">
        <f t="shared" ca="1" si="119"/>
        <v>48314</v>
      </c>
      <c r="BC89" s="428">
        <f t="shared" ca="1" si="158"/>
        <v>67.8100000000004</v>
      </c>
      <c r="BD89" s="188">
        <f t="shared" si="120"/>
        <v>0</v>
      </c>
      <c r="BE89" s="188">
        <f t="shared" si="121"/>
        <v>70.569999999999993</v>
      </c>
      <c r="BF89" s="188">
        <f t="shared" si="122"/>
        <v>1172.83</v>
      </c>
      <c r="BG89" s="87">
        <f t="shared" si="123"/>
        <v>278.39999999999998</v>
      </c>
      <c r="BH89" s="87">
        <f t="shared" si="124"/>
        <v>0</v>
      </c>
      <c r="BI89" s="87">
        <f t="shared" si="125"/>
        <v>0</v>
      </c>
      <c r="BJ89" s="87">
        <f t="shared" si="126"/>
        <v>0</v>
      </c>
      <c r="BK89" s="87">
        <f t="shared" si="127"/>
        <v>0</v>
      </c>
      <c r="BL89" s="87">
        <f t="shared" si="128"/>
        <v>0</v>
      </c>
      <c r="BM89" s="87">
        <f t="shared" si="129"/>
        <v>0</v>
      </c>
      <c r="BN89" s="87">
        <f t="shared" si="130"/>
        <v>0</v>
      </c>
      <c r="BO89" s="87">
        <f t="shared" si="131"/>
        <v>0</v>
      </c>
      <c r="BP89" s="87">
        <f t="shared" si="132"/>
        <v>0</v>
      </c>
      <c r="BQ89" s="87">
        <f t="shared" si="133"/>
        <v>0</v>
      </c>
      <c r="BR89" s="87">
        <f t="shared" si="134"/>
        <v>0</v>
      </c>
      <c r="BS89" s="87">
        <f t="shared" si="135"/>
        <v>0</v>
      </c>
      <c r="BT89" s="87">
        <f t="shared" si="136"/>
        <v>0</v>
      </c>
      <c r="BV89" s="177"/>
      <c r="BW89" s="177"/>
      <c r="BX89" s="267"/>
      <c r="BY89" s="267"/>
      <c r="BZ89" s="267"/>
      <c r="CA89" s="267"/>
      <c r="CB89" s="267"/>
      <c r="CC89" s="267"/>
      <c r="CD89" s="267"/>
      <c r="CE89" s="267"/>
      <c r="CF89" s="267"/>
      <c r="CG89" s="267"/>
      <c r="CH89" s="267"/>
      <c r="CI89" s="435"/>
      <c r="CJ89" s="436"/>
      <c r="CK89" s="437"/>
      <c r="CM89" s="64" t="s">
        <v>360</v>
      </c>
      <c r="CN89" s="707">
        <v>56.5</v>
      </c>
      <c r="CS89" s="178">
        <v>71</v>
      </c>
      <c r="CT89" s="259">
        <f t="shared" ca="1" si="137"/>
        <v>48344</v>
      </c>
      <c r="CU89" s="179">
        <f t="shared" ca="1" si="159"/>
        <v>419.04252199158447</v>
      </c>
      <c r="CV89" s="179">
        <f t="shared" ca="1" si="159"/>
        <v>434.27903714918727</v>
      </c>
      <c r="CW89" s="179">
        <f t="shared" ca="1" si="159"/>
        <v>443.68933155326579</v>
      </c>
      <c r="CX89" s="179">
        <f t="shared" ca="1" si="159"/>
        <v>453.30640051744791</v>
      </c>
      <c r="CY89" s="179">
        <f t="shared" ca="1" si="159"/>
        <v>463.13485053774269</v>
      </c>
      <c r="CZ89" s="179">
        <f t="shared" ca="1" si="159"/>
        <v>473.17939213718239</v>
      </c>
      <c r="DA89" s="179">
        <f t="shared" ca="1" si="159"/>
        <v>479.99817836008219</v>
      </c>
      <c r="DB89" s="179">
        <f t="shared" ca="1" si="159"/>
        <v>493.93612664177704</v>
      </c>
      <c r="DC89" s="179">
        <f t="shared" ca="1" si="159"/>
        <v>501.05826253466125</v>
      </c>
      <c r="DD89" s="179">
        <f t="shared" ca="1" si="159"/>
        <v>508.28452608550856</v>
      </c>
      <c r="DE89" s="179">
        <f t="shared" ref="DE89:DI104" ca="1" si="166">(($AW89/(1+DE$18)^(($AZ89-$AZ$18)/30)))+($AS89/(1+DE$18)^(($AZ89-$AZ$18)/30))</f>
        <v>515.61646062308614</v>
      </c>
      <c r="DF89" s="179" t="e">
        <f t="shared" ca="1" si="166"/>
        <v>#VALUE!</v>
      </c>
      <c r="DG89" s="179" t="e">
        <f t="shared" ca="1" si="166"/>
        <v>#VALUE!</v>
      </c>
      <c r="DH89" s="179" t="e">
        <f t="shared" ca="1" si="166"/>
        <v>#VALUE!</v>
      </c>
      <c r="DI89" s="179" t="e">
        <f t="shared" ca="1" si="166"/>
        <v>#VALUE!</v>
      </c>
      <c r="DJ89" s="179" t="e">
        <f t="shared" ca="1" si="113"/>
        <v>#VALUE!</v>
      </c>
      <c r="DK89" s="179" t="e">
        <f t="shared" ca="1" si="113"/>
        <v>#VALUE!</v>
      </c>
      <c r="DL89" s="179" t="e">
        <f t="shared" ca="1" si="102"/>
        <v>#VALUE!</v>
      </c>
      <c r="DM89" s="179" t="e">
        <f t="shared" ca="1" si="102"/>
        <v>#VALUE!</v>
      </c>
      <c r="DN89" s="179" t="e">
        <f t="shared" ca="1" si="102"/>
        <v>#VALUE!</v>
      </c>
      <c r="DO89" s="179" t="e">
        <f t="shared" ca="1" si="102"/>
        <v>#VALUE!</v>
      </c>
      <c r="DP89" s="179" t="e">
        <f t="shared" ca="1" si="102"/>
        <v>#VALUE!</v>
      </c>
      <c r="DQ89" s="179" t="e">
        <f t="shared" ca="1" si="102"/>
        <v>#VALUE!</v>
      </c>
      <c r="DR89" s="431">
        <v>71</v>
      </c>
      <c r="DS89" s="430">
        <f t="shared" ca="1" si="164"/>
        <v>48314</v>
      </c>
      <c r="DT89" s="180">
        <f t="shared" ca="1" si="165"/>
        <v>67.8100000000004</v>
      </c>
      <c r="DU89" s="180">
        <f t="shared" ca="1" si="165"/>
        <v>67.8100000000004</v>
      </c>
      <c r="DV89" s="180">
        <f t="shared" ca="1" si="165"/>
        <v>67.8100000000004</v>
      </c>
      <c r="DW89" s="180">
        <f t="shared" ca="1" si="165"/>
        <v>67.8100000000004</v>
      </c>
      <c r="DX89" s="180">
        <f t="shared" ca="1" si="165"/>
        <v>67.8100000000004</v>
      </c>
      <c r="DY89" s="180">
        <f t="shared" ca="1" si="115"/>
        <v>67.8100000000004</v>
      </c>
      <c r="DZ89" s="180">
        <f t="shared" ca="1" si="115"/>
        <v>67.8100000000004</v>
      </c>
      <c r="EA89" s="180">
        <f t="shared" ca="1" si="115"/>
        <v>67.8100000000004</v>
      </c>
      <c r="EB89" s="180">
        <f t="shared" ca="1" si="115"/>
        <v>67.8100000000004</v>
      </c>
      <c r="EC89" s="180">
        <f t="shared" ca="1" si="115"/>
        <v>67.8100000000004</v>
      </c>
      <c r="ED89" s="180">
        <f t="shared" ca="1" si="115"/>
        <v>67.8100000000004</v>
      </c>
      <c r="EE89" s="180">
        <f t="shared" ca="1" si="115"/>
        <v>67.8100000000004</v>
      </c>
      <c r="EF89" s="180">
        <f t="shared" ca="1" si="115"/>
        <v>67.8100000000004</v>
      </c>
      <c r="EG89" s="180">
        <f t="shared" ca="1" si="115"/>
        <v>67.8100000000004</v>
      </c>
      <c r="EH89" s="180">
        <f t="shared" ca="1" si="75"/>
        <v>67.8100000000004</v>
      </c>
      <c r="EI89" s="180">
        <f t="shared" ca="1" si="163"/>
        <v>67.8100000000004</v>
      </c>
      <c r="EJ89" s="180">
        <f t="shared" ca="1" si="163"/>
        <v>67.8100000000004</v>
      </c>
      <c r="EK89" s="180">
        <f t="shared" ca="1" si="163"/>
        <v>67.8100000000004</v>
      </c>
      <c r="EL89" s="180">
        <f t="shared" ca="1" si="163"/>
        <v>67.8100000000004</v>
      </c>
      <c r="EM89" s="180">
        <f t="shared" ca="1" si="163"/>
        <v>67.8100000000004</v>
      </c>
      <c r="EN89" s="180">
        <f t="shared" ca="1" si="163"/>
        <v>67.8100000000004</v>
      </c>
      <c r="EO89" s="180">
        <f t="shared" ca="1" si="163"/>
        <v>67.8100000000004</v>
      </c>
      <c r="EP89" s="180">
        <f t="shared" ca="1" si="163"/>
        <v>67.8100000000004</v>
      </c>
      <c r="EQ89" s="180"/>
      <c r="ER89" s="180"/>
    </row>
    <row r="90" spans="2:148" s="87" customFormat="1" hidden="1" x14ac:dyDescent="0.25">
      <c r="B90" s="151"/>
      <c r="C90" s="87">
        <v>29</v>
      </c>
      <c r="D90" s="258">
        <f t="shared" ca="1" si="110"/>
        <v>47036</v>
      </c>
      <c r="E90" s="175">
        <f t="shared" ca="1" si="116"/>
        <v>0.58623070554419432</v>
      </c>
      <c r="F90" s="175">
        <f t="shared" ca="1" si="116"/>
        <v>0.58623070554419432</v>
      </c>
      <c r="G90" s="175">
        <f t="shared" ca="1" si="116"/>
        <v>0.58623070554419432</v>
      </c>
      <c r="H90" s="175">
        <f t="shared" ca="1" si="116"/>
        <v>0.58623070554419432</v>
      </c>
      <c r="I90" s="175">
        <f t="shared" si="116"/>
        <v>0</v>
      </c>
      <c r="J90" s="175">
        <f t="shared" si="116"/>
        <v>0</v>
      </c>
      <c r="K90" s="175">
        <f t="shared" si="116"/>
        <v>0</v>
      </c>
      <c r="L90" s="175">
        <f t="shared" si="116"/>
        <v>0</v>
      </c>
      <c r="M90" s="175">
        <f t="shared" si="116"/>
        <v>0</v>
      </c>
      <c r="N90" s="175">
        <f t="shared" si="116"/>
        <v>0</v>
      </c>
      <c r="O90" s="175">
        <f t="shared" si="117"/>
        <v>0</v>
      </c>
      <c r="P90" s="175">
        <f t="shared" si="117"/>
        <v>0</v>
      </c>
      <c r="Q90" s="175">
        <f t="shared" si="117"/>
        <v>0</v>
      </c>
      <c r="R90" s="175">
        <f t="shared" si="117"/>
        <v>0</v>
      </c>
      <c r="S90" s="175">
        <f t="shared" si="117"/>
        <v>0</v>
      </c>
      <c r="T90" s="175">
        <f t="shared" si="117"/>
        <v>0</v>
      </c>
      <c r="U90" s="175">
        <f t="shared" si="117"/>
        <v>0</v>
      </c>
      <c r="V90" s="175"/>
      <c r="W90" s="372"/>
      <c r="X90" s="87">
        <v>72</v>
      </c>
      <c r="Y90" s="87">
        <f t="shared" si="138"/>
        <v>0</v>
      </c>
      <c r="Z90" s="87">
        <f t="shared" ca="1" si="139"/>
        <v>70.569999999999993</v>
      </c>
      <c r="AA90" s="87">
        <f t="shared" ca="1" si="140"/>
        <v>1172.83</v>
      </c>
      <c r="AB90" s="87">
        <f t="shared" ca="1" si="141"/>
        <v>278.39999999999998</v>
      </c>
      <c r="AC90" s="87">
        <f t="shared" si="142"/>
        <v>0</v>
      </c>
      <c r="AD90" s="87">
        <f t="shared" si="143"/>
        <v>0</v>
      </c>
      <c r="AE90" s="87">
        <f t="shared" si="144"/>
        <v>0</v>
      </c>
      <c r="AF90" s="87">
        <f t="shared" si="145"/>
        <v>0</v>
      </c>
      <c r="AG90" s="87">
        <f t="shared" si="146"/>
        <v>0</v>
      </c>
      <c r="AH90" s="87">
        <f t="shared" si="147"/>
        <v>0</v>
      </c>
      <c r="AI90" s="87">
        <f t="shared" si="148"/>
        <v>0</v>
      </c>
      <c r="AJ90" s="87">
        <f t="shared" si="149"/>
        <v>0</v>
      </c>
      <c r="AK90" s="87">
        <f t="shared" si="150"/>
        <v>0</v>
      </c>
      <c r="AL90" s="87">
        <f t="shared" si="151"/>
        <v>0</v>
      </c>
      <c r="AM90" s="87">
        <f t="shared" si="152"/>
        <v>0</v>
      </c>
      <c r="AN90" s="87">
        <f t="shared" si="153"/>
        <v>0</v>
      </c>
      <c r="AO90" s="87">
        <f t="shared" si="154"/>
        <v>0</v>
      </c>
      <c r="AQ90" s="426">
        <v>72</v>
      </c>
      <c r="AR90" s="258">
        <f t="shared" ca="1" si="160"/>
        <v>48344</v>
      </c>
      <c r="AS90" s="429">
        <f t="shared" ca="1" si="118"/>
        <v>1521.7999999999997</v>
      </c>
      <c r="AT90" s="138"/>
      <c r="AU90" s="278">
        <v>72</v>
      </c>
      <c r="AV90" s="258">
        <f t="shared" ca="1" si="161"/>
        <v>48375</v>
      </c>
      <c r="AW90" s="429">
        <f t="shared" ca="1" si="155"/>
        <v>67.8100000000004</v>
      </c>
      <c r="AX90" s="202">
        <f t="shared" ca="1" si="156"/>
        <v>17.54</v>
      </c>
      <c r="AY90" s="278">
        <v>72</v>
      </c>
      <c r="AZ90" s="258">
        <f t="shared" ca="1" si="162"/>
        <v>48375</v>
      </c>
      <c r="BA90" s="429">
        <f t="shared" si="157"/>
        <v>1589.6100000000001</v>
      </c>
      <c r="BB90" s="259">
        <f t="shared" ca="1" si="119"/>
        <v>48344</v>
      </c>
      <c r="BC90" s="428">
        <f t="shared" ca="1" si="158"/>
        <v>67.8100000000004</v>
      </c>
      <c r="BD90" s="188">
        <f t="shared" si="120"/>
        <v>0</v>
      </c>
      <c r="BE90" s="188">
        <f t="shared" si="121"/>
        <v>70.569999999999993</v>
      </c>
      <c r="BF90" s="188">
        <f t="shared" si="122"/>
        <v>1172.83</v>
      </c>
      <c r="BG90" s="87">
        <f t="shared" si="123"/>
        <v>278.39999999999998</v>
      </c>
      <c r="BH90" s="87">
        <f t="shared" si="124"/>
        <v>0</v>
      </c>
      <c r="BI90" s="87">
        <f t="shared" si="125"/>
        <v>0</v>
      </c>
      <c r="BJ90" s="87">
        <f t="shared" si="126"/>
        <v>0</v>
      </c>
      <c r="BK90" s="87">
        <f t="shared" si="127"/>
        <v>0</v>
      </c>
      <c r="BL90" s="87">
        <f t="shared" si="128"/>
        <v>0</v>
      </c>
      <c r="BM90" s="87">
        <f t="shared" si="129"/>
        <v>0</v>
      </c>
      <c r="BN90" s="87">
        <f t="shared" si="130"/>
        <v>0</v>
      </c>
      <c r="BO90" s="87">
        <f t="shared" si="131"/>
        <v>0</v>
      </c>
      <c r="BP90" s="87">
        <f t="shared" si="132"/>
        <v>0</v>
      </c>
      <c r="BQ90" s="87">
        <f t="shared" si="133"/>
        <v>0</v>
      </c>
      <c r="BR90" s="87">
        <f t="shared" si="134"/>
        <v>0</v>
      </c>
      <c r="BS90" s="87">
        <f t="shared" si="135"/>
        <v>0</v>
      </c>
      <c r="BT90" s="87">
        <f t="shared" si="136"/>
        <v>0</v>
      </c>
      <c r="BV90" s="177"/>
      <c r="BW90" s="177"/>
      <c r="BX90" s="267"/>
      <c r="BY90" s="267"/>
      <c r="BZ90" s="267"/>
      <c r="CA90" s="267"/>
      <c r="CB90" s="267"/>
      <c r="CC90" s="267"/>
      <c r="CD90" s="267"/>
      <c r="CE90" s="267"/>
      <c r="CF90" s="267"/>
      <c r="CG90" s="267"/>
      <c r="CH90" s="267"/>
      <c r="CI90" s="435"/>
      <c r="CJ90" s="436"/>
      <c r="CK90" s="437"/>
      <c r="CM90" s="64" t="s">
        <v>381</v>
      </c>
      <c r="CN90" s="707">
        <v>42</v>
      </c>
      <c r="CS90" s="138">
        <v>72</v>
      </c>
      <c r="CT90" s="259">
        <f t="shared" ca="1" si="137"/>
        <v>48375</v>
      </c>
      <c r="CU90" s="179">
        <f t="shared" ca="1" si="159"/>
        <v>411.17972691066871</v>
      </c>
      <c r="CV90" s="179">
        <f t="shared" ca="1" si="159"/>
        <v>426.34662459501112</v>
      </c>
      <c r="CW90" s="179">
        <f t="shared" ca="1" si="159"/>
        <v>435.71771686773013</v>
      </c>
      <c r="CX90" s="179">
        <f t="shared" ca="1" si="159"/>
        <v>445.29763998724729</v>
      </c>
      <c r="CY90" s="179">
        <f t="shared" ca="1" si="159"/>
        <v>455.09111130765712</v>
      </c>
      <c r="CZ90" s="179">
        <f t="shared" ca="1" si="159"/>
        <v>465.10295618360846</v>
      </c>
      <c r="DA90" s="179">
        <f t="shared" ca="1" si="159"/>
        <v>471.90127091376752</v>
      </c>
      <c r="DB90" s="179">
        <f t="shared" ca="1" si="159"/>
        <v>485.80162311590709</v>
      </c>
      <c r="DC90" s="179">
        <f t="shared" ca="1" si="159"/>
        <v>492.90670954912798</v>
      </c>
      <c r="DD90" s="179">
        <f t="shared" ca="1" si="159"/>
        <v>500.11714091269539</v>
      </c>
      <c r="DE90" s="179">
        <f t="shared" ca="1" si="166"/>
        <v>507.43450032759353</v>
      </c>
      <c r="DF90" s="179" t="e">
        <f t="shared" ca="1" si="166"/>
        <v>#VALUE!</v>
      </c>
      <c r="DG90" s="179" t="e">
        <f t="shared" ca="1" si="166"/>
        <v>#VALUE!</v>
      </c>
      <c r="DH90" s="179" t="e">
        <f t="shared" ca="1" si="166"/>
        <v>#VALUE!</v>
      </c>
      <c r="DI90" s="179" t="e">
        <f t="shared" ca="1" si="166"/>
        <v>#VALUE!</v>
      </c>
      <c r="DJ90" s="179" t="e">
        <f t="shared" ca="1" si="113"/>
        <v>#VALUE!</v>
      </c>
      <c r="DK90" s="179" t="e">
        <f t="shared" ca="1" si="113"/>
        <v>#VALUE!</v>
      </c>
      <c r="DL90" s="179" t="e">
        <f t="shared" ca="1" si="102"/>
        <v>#VALUE!</v>
      </c>
      <c r="DM90" s="179" t="e">
        <f t="shared" ca="1" si="102"/>
        <v>#VALUE!</v>
      </c>
      <c r="DN90" s="179" t="e">
        <f t="shared" ca="1" si="102"/>
        <v>#VALUE!</v>
      </c>
      <c r="DO90" s="179" t="e">
        <f t="shared" ca="1" si="102"/>
        <v>#VALUE!</v>
      </c>
      <c r="DP90" s="179" t="e">
        <f t="shared" ca="1" si="102"/>
        <v>#VALUE!</v>
      </c>
      <c r="DQ90" s="179" t="e">
        <f t="shared" ca="1" si="102"/>
        <v>#VALUE!</v>
      </c>
      <c r="DR90" s="278">
        <v>72</v>
      </c>
      <c r="DS90" s="430">
        <f t="shared" ca="1" si="164"/>
        <v>48344</v>
      </c>
      <c r="DT90" s="180">
        <f t="shared" ca="1" si="165"/>
        <v>67.8100000000004</v>
      </c>
      <c r="DU90" s="180">
        <f t="shared" ca="1" si="165"/>
        <v>67.8100000000004</v>
      </c>
      <c r="DV90" s="180">
        <f t="shared" ca="1" si="165"/>
        <v>67.8100000000004</v>
      </c>
      <c r="DW90" s="180">
        <f t="shared" ca="1" si="165"/>
        <v>67.8100000000004</v>
      </c>
      <c r="DX90" s="180">
        <f t="shared" ca="1" si="165"/>
        <v>67.8100000000004</v>
      </c>
      <c r="DY90" s="180">
        <f t="shared" ca="1" si="115"/>
        <v>67.8100000000004</v>
      </c>
      <c r="DZ90" s="180">
        <f t="shared" ca="1" si="115"/>
        <v>67.8100000000004</v>
      </c>
      <c r="EA90" s="180">
        <f t="shared" ca="1" si="115"/>
        <v>67.8100000000004</v>
      </c>
      <c r="EB90" s="180">
        <f t="shared" ca="1" si="115"/>
        <v>67.8100000000004</v>
      </c>
      <c r="EC90" s="180">
        <f t="shared" ca="1" si="115"/>
        <v>67.8100000000004</v>
      </c>
      <c r="ED90" s="180">
        <f t="shared" ca="1" si="115"/>
        <v>67.8100000000004</v>
      </c>
      <c r="EE90" s="180">
        <f t="shared" ca="1" si="115"/>
        <v>67.8100000000004</v>
      </c>
      <c r="EF90" s="180">
        <f t="shared" ca="1" si="115"/>
        <v>67.8100000000004</v>
      </c>
      <c r="EG90" s="180">
        <f t="shared" ca="1" si="115"/>
        <v>67.8100000000004</v>
      </c>
      <c r="EH90" s="180">
        <f t="shared" ca="1" si="75"/>
        <v>67.8100000000004</v>
      </c>
      <c r="EI90" s="180">
        <f t="shared" ca="1" si="163"/>
        <v>67.8100000000004</v>
      </c>
      <c r="EJ90" s="180">
        <f t="shared" ca="1" si="163"/>
        <v>67.8100000000004</v>
      </c>
      <c r="EK90" s="180">
        <f t="shared" ca="1" si="163"/>
        <v>67.8100000000004</v>
      </c>
      <c r="EL90" s="180">
        <f t="shared" ca="1" si="163"/>
        <v>67.8100000000004</v>
      </c>
      <c r="EM90" s="180">
        <f t="shared" ca="1" si="163"/>
        <v>67.8100000000004</v>
      </c>
      <c r="EN90" s="180">
        <f t="shared" ca="1" si="163"/>
        <v>67.8100000000004</v>
      </c>
      <c r="EO90" s="180">
        <f t="shared" ca="1" si="163"/>
        <v>67.8100000000004</v>
      </c>
      <c r="EP90" s="180">
        <f t="shared" ca="1" si="163"/>
        <v>67.8100000000004</v>
      </c>
      <c r="EQ90" s="180"/>
      <c r="ER90" s="180"/>
    </row>
    <row r="91" spans="2:148" s="87" customFormat="1" hidden="1" x14ac:dyDescent="0.25">
      <c r="B91" s="151"/>
      <c r="C91" s="87">
        <v>30</v>
      </c>
      <c r="D91" s="258">
        <f t="shared" ca="1" si="110"/>
        <v>47067</v>
      </c>
      <c r="E91" s="175">
        <f t="shared" ca="1" si="116"/>
        <v>0.57523083878621595</v>
      </c>
      <c r="F91" s="175">
        <f t="shared" ca="1" si="116"/>
        <v>0.57523083878621595</v>
      </c>
      <c r="G91" s="175">
        <f t="shared" ca="1" si="116"/>
        <v>0.57523083878621595</v>
      </c>
      <c r="H91" s="175">
        <f t="shared" ca="1" si="116"/>
        <v>0.57523083878621595</v>
      </c>
      <c r="I91" s="175">
        <f t="shared" si="116"/>
        <v>0</v>
      </c>
      <c r="J91" s="175">
        <f t="shared" si="116"/>
        <v>0</v>
      </c>
      <c r="K91" s="175">
        <f t="shared" si="116"/>
        <v>0</v>
      </c>
      <c r="L91" s="175">
        <f t="shared" si="116"/>
        <v>0</v>
      </c>
      <c r="M91" s="175">
        <f t="shared" si="116"/>
        <v>0</v>
      </c>
      <c r="N91" s="175">
        <f t="shared" si="116"/>
        <v>0</v>
      </c>
      <c r="O91" s="175">
        <f t="shared" si="117"/>
        <v>0</v>
      </c>
      <c r="P91" s="175">
        <f t="shared" si="117"/>
        <v>0</v>
      </c>
      <c r="Q91" s="175">
        <f t="shared" si="117"/>
        <v>0</v>
      </c>
      <c r="R91" s="175">
        <f t="shared" si="117"/>
        <v>0</v>
      </c>
      <c r="S91" s="175">
        <f t="shared" si="117"/>
        <v>0</v>
      </c>
      <c r="T91" s="175">
        <f t="shared" si="117"/>
        <v>0</v>
      </c>
      <c r="U91" s="175">
        <f t="shared" si="117"/>
        <v>0</v>
      </c>
      <c r="V91" s="175"/>
      <c r="W91" s="372"/>
      <c r="X91" s="87">
        <v>73</v>
      </c>
      <c r="Y91" s="87">
        <f t="shared" si="138"/>
        <v>0</v>
      </c>
      <c r="Z91" s="87">
        <f t="shared" ca="1" si="139"/>
        <v>70.569999999999993</v>
      </c>
      <c r="AA91" s="87">
        <f t="shared" ca="1" si="140"/>
        <v>1172.83</v>
      </c>
      <c r="AB91" s="87">
        <f t="shared" ca="1" si="141"/>
        <v>278.39999999999998</v>
      </c>
      <c r="AC91" s="87">
        <f t="shared" si="142"/>
        <v>0</v>
      </c>
      <c r="AD91" s="87">
        <f t="shared" si="143"/>
        <v>0</v>
      </c>
      <c r="AE91" s="87">
        <f t="shared" si="144"/>
        <v>0</v>
      </c>
      <c r="AF91" s="87">
        <f t="shared" si="145"/>
        <v>0</v>
      </c>
      <c r="AG91" s="87">
        <f t="shared" si="146"/>
        <v>0</v>
      </c>
      <c r="AH91" s="87">
        <f t="shared" si="147"/>
        <v>0</v>
      </c>
      <c r="AI91" s="87">
        <f t="shared" si="148"/>
        <v>0</v>
      </c>
      <c r="AJ91" s="87">
        <f t="shared" si="149"/>
        <v>0</v>
      </c>
      <c r="AK91" s="87">
        <f t="shared" si="150"/>
        <v>0</v>
      </c>
      <c r="AL91" s="87">
        <f t="shared" si="151"/>
        <v>0</v>
      </c>
      <c r="AM91" s="87">
        <f t="shared" si="152"/>
        <v>0</v>
      </c>
      <c r="AN91" s="87">
        <f t="shared" si="153"/>
        <v>0</v>
      </c>
      <c r="AO91" s="87">
        <f t="shared" si="154"/>
        <v>0</v>
      </c>
      <c r="AQ91" s="426">
        <v>73</v>
      </c>
      <c r="AR91" s="258">
        <f t="shared" ca="1" si="160"/>
        <v>48375</v>
      </c>
      <c r="AS91" s="429">
        <f t="shared" ca="1" si="118"/>
        <v>1521.7999999999997</v>
      </c>
      <c r="AT91" s="138"/>
      <c r="AU91" s="278">
        <v>73</v>
      </c>
      <c r="AV91" s="258">
        <f t="shared" ca="1" si="161"/>
        <v>48405</v>
      </c>
      <c r="AW91" s="429">
        <f t="shared" ca="1" si="155"/>
        <v>67.8100000000004</v>
      </c>
      <c r="AX91" s="202">
        <f t="shared" ca="1" si="156"/>
        <v>17.22</v>
      </c>
      <c r="AY91" s="278">
        <v>73</v>
      </c>
      <c r="AZ91" s="258">
        <f t="shared" ca="1" si="162"/>
        <v>48405</v>
      </c>
      <c r="BA91" s="429">
        <f t="shared" si="157"/>
        <v>1589.6100000000001</v>
      </c>
      <c r="BB91" s="259">
        <f t="shared" ca="1" si="119"/>
        <v>48375</v>
      </c>
      <c r="BC91" s="428">
        <f t="shared" ca="1" si="158"/>
        <v>67.8100000000004</v>
      </c>
      <c r="BD91" s="188">
        <f t="shared" si="120"/>
        <v>0</v>
      </c>
      <c r="BE91" s="188">
        <f t="shared" si="121"/>
        <v>70.569999999999993</v>
      </c>
      <c r="BF91" s="188">
        <f t="shared" si="122"/>
        <v>1172.83</v>
      </c>
      <c r="BG91" s="87">
        <f t="shared" si="123"/>
        <v>278.39999999999998</v>
      </c>
      <c r="BH91" s="87">
        <f t="shared" si="124"/>
        <v>0</v>
      </c>
      <c r="BI91" s="87">
        <f t="shared" si="125"/>
        <v>0</v>
      </c>
      <c r="BJ91" s="87">
        <f t="shared" si="126"/>
        <v>0</v>
      </c>
      <c r="BK91" s="87">
        <f t="shared" si="127"/>
        <v>0</v>
      </c>
      <c r="BL91" s="87">
        <f t="shared" si="128"/>
        <v>0</v>
      </c>
      <c r="BM91" s="87">
        <f t="shared" si="129"/>
        <v>0</v>
      </c>
      <c r="BN91" s="87">
        <f t="shared" si="130"/>
        <v>0</v>
      </c>
      <c r="BO91" s="87">
        <f t="shared" si="131"/>
        <v>0</v>
      </c>
      <c r="BP91" s="87">
        <f t="shared" si="132"/>
        <v>0</v>
      </c>
      <c r="BQ91" s="87">
        <f t="shared" si="133"/>
        <v>0</v>
      </c>
      <c r="BR91" s="87">
        <f t="shared" si="134"/>
        <v>0</v>
      </c>
      <c r="BS91" s="87">
        <f t="shared" si="135"/>
        <v>0</v>
      </c>
      <c r="BT91" s="87">
        <f t="shared" si="136"/>
        <v>0</v>
      </c>
      <c r="BV91" s="177"/>
      <c r="BW91" s="177"/>
      <c r="BX91" s="267"/>
      <c r="BY91" s="267"/>
      <c r="BZ91" s="267"/>
      <c r="CA91" s="267"/>
      <c r="CB91" s="267"/>
      <c r="CC91" s="267"/>
      <c r="CD91" s="267"/>
      <c r="CE91" s="267"/>
      <c r="CF91" s="267"/>
      <c r="CG91" s="267"/>
      <c r="CH91" s="267"/>
      <c r="CI91" s="435"/>
      <c r="CJ91" s="436"/>
      <c r="CK91" s="437"/>
      <c r="CM91" s="64" t="s">
        <v>220</v>
      </c>
      <c r="CN91" s="707">
        <v>64.8</v>
      </c>
      <c r="CS91" s="87">
        <v>73</v>
      </c>
      <c r="CT91" s="259">
        <f t="shared" ca="1" si="137"/>
        <v>48405</v>
      </c>
      <c r="CU91" s="179">
        <f t="shared" ca="1" si="159"/>
        <v>403.71107207723986</v>
      </c>
      <c r="CV91" s="179">
        <f t="shared" ca="1" si="159"/>
        <v>418.80807916995195</v>
      </c>
      <c r="CW91" s="179">
        <f t="shared" ca="1" si="159"/>
        <v>428.13964514859987</v>
      </c>
      <c r="CX91" s="179">
        <f t="shared" ca="1" si="159"/>
        <v>437.68197364581022</v>
      </c>
      <c r="CY91" s="179">
        <f t="shared" ca="1" si="159"/>
        <v>447.43988920229782</v>
      </c>
      <c r="CZ91" s="179">
        <f t="shared" ca="1" si="159"/>
        <v>457.41832826869449</v>
      </c>
      <c r="DA91" s="179">
        <f t="shared" ca="1" si="159"/>
        <v>464.19562356262787</v>
      </c>
      <c r="DB91" s="179">
        <f t="shared" ca="1" si="159"/>
        <v>478.05709812626174</v>
      </c>
      <c r="DC91" s="179">
        <f t="shared" ca="1" si="159"/>
        <v>485.14439916252752</v>
      </c>
      <c r="DD91" s="179">
        <f t="shared" ca="1" si="159"/>
        <v>492.33819739387212</v>
      </c>
      <c r="DE91" s="179">
        <f t="shared" ca="1" si="166"/>
        <v>499.64011454075774</v>
      </c>
      <c r="DF91" s="179" t="e">
        <f t="shared" ca="1" si="166"/>
        <v>#VALUE!</v>
      </c>
      <c r="DG91" s="179" t="e">
        <f t="shared" ca="1" si="166"/>
        <v>#VALUE!</v>
      </c>
      <c r="DH91" s="179" t="e">
        <f t="shared" ca="1" si="166"/>
        <v>#VALUE!</v>
      </c>
      <c r="DI91" s="179" t="e">
        <f t="shared" ca="1" si="166"/>
        <v>#VALUE!</v>
      </c>
      <c r="DJ91" s="179" t="e">
        <f t="shared" ca="1" si="113"/>
        <v>#VALUE!</v>
      </c>
      <c r="DK91" s="179" t="e">
        <f t="shared" ca="1" si="113"/>
        <v>#VALUE!</v>
      </c>
      <c r="DL91" s="179" t="e">
        <f t="shared" ca="1" si="102"/>
        <v>#VALUE!</v>
      </c>
      <c r="DM91" s="179" t="e">
        <f t="shared" ca="1" si="102"/>
        <v>#VALUE!</v>
      </c>
      <c r="DN91" s="179" t="e">
        <f t="shared" ca="1" si="102"/>
        <v>#VALUE!</v>
      </c>
      <c r="DO91" s="179" t="e">
        <f t="shared" ca="1" si="102"/>
        <v>#VALUE!</v>
      </c>
      <c r="DP91" s="179" t="e">
        <f t="shared" ca="1" si="102"/>
        <v>#VALUE!</v>
      </c>
      <c r="DQ91" s="179" t="e">
        <f t="shared" ca="1" si="102"/>
        <v>#VALUE!</v>
      </c>
      <c r="DR91" s="188">
        <v>73</v>
      </c>
      <c r="DS91" s="430">
        <f t="shared" ca="1" si="164"/>
        <v>48375</v>
      </c>
      <c r="DT91" s="180">
        <f t="shared" ca="1" si="165"/>
        <v>67.8100000000004</v>
      </c>
      <c r="DU91" s="180">
        <f t="shared" ca="1" si="165"/>
        <v>67.8100000000004</v>
      </c>
      <c r="DV91" s="180">
        <f t="shared" ca="1" si="165"/>
        <v>67.8100000000004</v>
      </c>
      <c r="DW91" s="180">
        <f t="shared" ca="1" si="165"/>
        <v>67.8100000000004</v>
      </c>
      <c r="DX91" s="180">
        <f t="shared" ca="1" si="165"/>
        <v>67.8100000000004</v>
      </c>
      <c r="DY91" s="180">
        <f t="shared" ca="1" si="115"/>
        <v>67.8100000000004</v>
      </c>
      <c r="DZ91" s="180">
        <f t="shared" ca="1" si="115"/>
        <v>67.8100000000004</v>
      </c>
      <c r="EA91" s="180">
        <f t="shared" ca="1" si="115"/>
        <v>67.8100000000004</v>
      </c>
      <c r="EB91" s="180">
        <f t="shared" ca="1" si="115"/>
        <v>67.8100000000004</v>
      </c>
      <c r="EC91" s="180">
        <f t="shared" ca="1" si="115"/>
        <v>67.8100000000004</v>
      </c>
      <c r="ED91" s="180">
        <f t="shared" ca="1" si="115"/>
        <v>67.8100000000004</v>
      </c>
      <c r="EE91" s="180">
        <f t="shared" ca="1" si="115"/>
        <v>67.8100000000004</v>
      </c>
      <c r="EF91" s="180">
        <f t="shared" ca="1" si="115"/>
        <v>67.8100000000004</v>
      </c>
      <c r="EG91" s="180">
        <f t="shared" ca="1" si="115"/>
        <v>67.8100000000004</v>
      </c>
      <c r="EH91" s="180">
        <f t="shared" ca="1" si="75"/>
        <v>67.8100000000004</v>
      </c>
      <c r="EI91" s="180">
        <f t="shared" ca="1" si="163"/>
        <v>67.8100000000004</v>
      </c>
      <c r="EJ91" s="180">
        <f t="shared" ca="1" si="163"/>
        <v>67.8100000000004</v>
      </c>
      <c r="EK91" s="180">
        <f t="shared" ca="1" si="163"/>
        <v>67.8100000000004</v>
      </c>
      <c r="EL91" s="180">
        <f t="shared" ca="1" si="163"/>
        <v>67.8100000000004</v>
      </c>
      <c r="EM91" s="180">
        <f t="shared" ca="1" si="163"/>
        <v>67.8100000000004</v>
      </c>
      <c r="EN91" s="180">
        <f t="shared" ca="1" si="163"/>
        <v>67.8100000000004</v>
      </c>
      <c r="EO91" s="180">
        <f t="shared" ca="1" si="163"/>
        <v>67.8100000000004</v>
      </c>
      <c r="EP91" s="180">
        <f t="shared" ca="1" si="163"/>
        <v>67.8100000000004</v>
      </c>
      <c r="EQ91" s="180"/>
      <c r="ER91" s="180"/>
    </row>
    <row r="92" spans="2:148" s="87" customFormat="1" hidden="1" x14ac:dyDescent="0.25">
      <c r="B92" s="151"/>
      <c r="C92" s="87">
        <v>31</v>
      </c>
      <c r="D92" s="258">
        <f t="shared" ca="1" si="110"/>
        <v>47097</v>
      </c>
      <c r="E92" s="175">
        <f t="shared" ref="E92:N101" ca="1" si="167">IF($C92&lt;=E$17,1/(($D$60+1)^(($D92-$D$61)/30)),0)</f>
        <v>0.56478236503310353</v>
      </c>
      <c r="F92" s="175">
        <f t="shared" ca="1" si="167"/>
        <v>0.56478236503310353</v>
      </c>
      <c r="G92" s="175">
        <f t="shared" ca="1" si="167"/>
        <v>0.56478236503310353</v>
      </c>
      <c r="H92" s="175">
        <f t="shared" ca="1" si="167"/>
        <v>0.56478236503310353</v>
      </c>
      <c r="I92" s="175">
        <f t="shared" si="167"/>
        <v>0</v>
      </c>
      <c r="J92" s="175">
        <f t="shared" si="167"/>
        <v>0</v>
      </c>
      <c r="K92" s="175">
        <f t="shared" si="167"/>
        <v>0</v>
      </c>
      <c r="L92" s="175">
        <f t="shared" si="167"/>
        <v>0</v>
      </c>
      <c r="M92" s="175">
        <f t="shared" si="167"/>
        <v>0</v>
      </c>
      <c r="N92" s="175">
        <f t="shared" si="167"/>
        <v>0</v>
      </c>
      <c r="O92" s="175">
        <f t="shared" ref="O92:U101" si="168">IF($C92&lt;=O$17,1/(($D$60+1)^(($D92-$D$61)/30)),0)</f>
        <v>0</v>
      </c>
      <c r="P92" s="175">
        <f t="shared" si="168"/>
        <v>0</v>
      </c>
      <c r="Q92" s="175">
        <f t="shared" si="168"/>
        <v>0</v>
      </c>
      <c r="R92" s="175">
        <f t="shared" si="168"/>
        <v>0</v>
      </c>
      <c r="S92" s="175">
        <f t="shared" si="168"/>
        <v>0</v>
      </c>
      <c r="T92" s="175">
        <f t="shared" si="168"/>
        <v>0</v>
      </c>
      <c r="U92" s="175">
        <f t="shared" si="168"/>
        <v>0</v>
      </c>
      <c r="V92" s="175"/>
      <c r="W92" s="372"/>
      <c r="X92" s="87">
        <v>74</v>
      </c>
      <c r="Y92" s="87">
        <f t="shared" si="138"/>
        <v>0</v>
      </c>
      <c r="Z92" s="87">
        <f t="shared" ca="1" si="139"/>
        <v>70.569999999999993</v>
      </c>
      <c r="AA92" s="87">
        <f t="shared" ca="1" si="140"/>
        <v>1172.83</v>
      </c>
      <c r="AB92" s="87">
        <f t="shared" ca="1" si="141"/>
        <v>278.39999999999998</v>
      </c>
      <c r="AC92" s="87">
        <f t="shared" si="142"/>
        <v>0</v>
      </c>
      <c r="AD92" s="87">
        <f t="shared" si="143"/>
        <v>0</v>
      </c>
      <c r="AE92" s="87">
        <f t="shared" si="144"/>
        <v>0</v>
      </c>
      <c r="AF92" s="87">
        <f t="shared" si="145"/>
        <v>0</v>
      </c>
      <c r="AG92" s="87">
        <f t="shared" si="146"/>
        <v>0</v>
      </c>
      <c r="AH92" s="87">
        <f t="shared" si="147"/>
        <v>0</v>
      </c>
      <c r="AI92" s="87">
        <f t="shared" si="148"/>
        <v>0</v>
      </c>
      <c r="AJ92" s="87">
        <f t="shared" si="149"/>
        <v>0</v>
      </c>
      <c r="AK92" s="87">
        <f t="shared" si="150"/>
        <v>0</v>
      </c>
      <c r="AL92" s="87">
        <f t="shared" si="151"/>
        <v>0</v>
      </c>
      <c r="AM92" s="87">
        <f t="shared" si="152"/>
        <v>0</v>
      </c>
      <c r="AN92" s="87">
        <f t="shared" si="153"/>
        <v>0</v>
      </c>
      <c r="AO92" s="87">
        <f t="shared" si="154"/>
        <v>0</v>
      </c>
      <c r="AQ92" s="426">
        <v>74</v>
      </c>
      <c r="AR92" s="258">
        <f t="shared" ca="1" si="160"/>
        <v>48405</v>
      </c>
      <c r="AS92" s="429">
        <f t="shared" ca="1" si="118"/>
        <v>1521.7999999999997</v>
      </c>
      <c r="AT92" s="138"/>
      <c r="AU92" s="278">
        <v>74</v>
      </c>
      <c r="AV92" s="258">
        <f t="shared" ca="1" si="161"/>
        <v>48436</v>
      </c>
      <c r="AW92" s="429">
        <f t="shared" ca="1" si="155"/>
        <v>67.8100000000004</v>
      </c>
      <c r="AX92" s="202">
        <f t="shared" ca="1" si="156"/>
        <v>16.899999999999999</v>
      </c>
      <c r="AY92" s="278">
        <v>74</v>
      </c>
      <c r="AZ92" s="258">
        <f t="shared" ca="1" si="162"/>
        <v>48436</v>
      </c>
      <c r="BA92" s="429">
        <f t="shared" si="157"/>
        <v>1589.6100000000001</v>
      </c>
      <c r="BB92" s="259">
        <f t="shared" ca="1" si="119"/>
        <v>48405</v>
      </c>
      <c r="BC92" s="428">
        <f t="shared" ca="1" si="158"/>
        <v>67.8100000000004</v>
      </c>
      <c r="BD92" s="188">
        <f t="shared" si="120"/>
        <v>0</v>
      </c>
      <c r="BE92" s="188">
        <f t="shared" si="121"/>
        <v>70.569999999999993</v>
      </c>
      <c r="BF92" s="188">
        <f t="shared" si="122"/>
        <v>1172.83</v>
      </c>
      <c r="BG92" s="87">
        <f t="shared" si="123"/>
        <v>278.39999999999998</v>
      </c>
      <c r="BH92" s="87">
        <f t="shared" si="124"/>
        <v>0</v>
      </c>
      <c r="BI92" s="87">
        <f t="shared" si="125"/>
        <v>0</v>
      </c>
      <c r="BJ92" s="87">
        <f t="shared" si="126"/>
        <v>0</v>
      </c>
      <c r="BK92" s="87">
        <f t="shared" si="127"/>
        <v>0</v>
      </c>
      <c r="BL92" s="87">
        <f t="shared" si="128"/>
        <v>0</v>
      </c>
      <c r="BM92" s="87">
        <f t="shared" si="129"/>
        <v>0</v>
      </c>
      <c r="BN92" s="87">
        <f t="shared" si="130"/>
        <v>0</v>
      </c>
      <c r="BO92" s="87">
        <f t="shared" si="131"/>
        <v>0</v>
      </c>
      <c r="BP92" s="87">
        <f t="shared" si="132"/>
        <v>0</v>
      </c>
      <c r="BQ92" s="87">
        <f t="shared" si="133"/>
        <v>0</v>
      </c>
      <c r="BR92" s="87">
        <f t="shared" si="134"/>
        <v>0</v>
      </c>
      <c r="BS92" s="87">
        <f t="shared" si="135"/>
        <v>0</v>
      </c>
      <c r="BT92" s="87">
        <f t="shared" si="136"/>
        <v>0</v>
      </c>
      <c r="BV92" s="177"/>
      <c r="BW92" s="177"/>
      <c r="BX92" s="267"/>
      <c r="BY92" s="267"/>
      <c r="BZ92" s="267"/>
      <c r="CA92" s="267"/>
      <c r="CB92" s="267"/>
      <c r="CC92" s="267"/>
      <c r="CD92" s="267"/>
      <c r="CE92" s="267"/>
      <c r="CF92" s="267"/>
      <c r="CG92" s="267"/>
      <c r="CH92" s="267"/>
      <c r="CI92" s="435"/>
      <c r="CJ92" s="436"/>
      <c r="CK92" s="437"/>
      <c r="CM92" s="64" t="s">
        <v>390</v>
      </c>
      <c r="CN92" s="707">
        <v>61</v>
      </c>
      <c r="CS92" s="178">
        <v>74</v>
      </c>
      <c r="CT92" s="259">
        <f t="shared" ca="1" si="137"/>
        <v>48436</v>
      </c>
      <c r="CU92" s="179">
        <f t="shared" ca="1" si="159"/>
        <v>396.13595197593452</v>
      </c>
      <c r="CV92" s="179">
        <f t="shared" ca="1" si="159"/>
        <v>411.15825456223803</v>
      </c>
      <c r="CW92" s="179">
        <f t="shared" ca="1" si="159"/>
        <v>420.4474063679682</v>
      </c>
      <c r="CX92" s="179">
        <f t="shared" ca="1" si="159"/>
        <v>429.94925663296067</v>
      </c>
      <c r="CY92" s="179">
        <f t="shared" ca="1" si="159"/>
        <v>439.6687405061831</v>
      </c>
      <c r="CZ92" s="179">
        <f t="shared" ca="1" si="159"/>
        <v>449.61090915103802</v>
      </c>
      <c r="DA92" s="179">
        <f t="shared" ca="1" si="159"/>
        <v>456.36528342714644</v>
      </c>
      <c r="DB92" s="179">
        <f t="shared" ca="1" si="159"/>
        <v>470.18410212429984</v>
      </c>
      <c r="DC92" s="179">
        <f t="shared" ca="1" si="159"/>
        <v>477.25174361504128</v>
      </c>
      <c r="DD92" s="179">
        <f t="shared" ca="1" si="159"/>
        <v>484.42704628255973</v>
      </c>
      <c r="DE92" s="179">
        <f t="shared" ca="1" si="166"/>
        <v>491.7116718097638</v>
      </c>
      <c r="DF92" s="179" t="e">
        <f t="shared" ca="1" si="166"/>
        <v>#VALUE!</v>
      </c>
      <c r="DG92" s="179" t="e">
        <f t="shared" ca="1" si="166"/>
        <v>#VALUE!</v>
      </c>
      <c r="DH92" s="179" t="e">
        <f t="shared" ca="1" si="166"/>
        <v>#VALUE!</v>
      </c>
      <c r="DI92" s="179" t="e">
        <f t="shared" ca="1" si="166"/>
        <v>#VALUE!</v>
      </c>
      <c r="DJ92" s="179" t="e">
        <f t="shared" ca="1" si="113"/>
        <v>#VALUE!</v>
      </c>
      <c r="DK92" s="179" t="e">
        <f t="shared" ca="1" si="113"/>
        <v>#VALUE!</v>
      </c>
      <c r="DL92" s="179" t="e">
        <f t="shared" ca="1" si="102"/>
        <v>#VALUE!</v>
      </c>
      <c r="DM92" s="179" t="e">
        <f t="shared" ca="1" si="102"/>
        <v>#VALUE!</v>
      </c>
      <c r="DN92" s="179" t="e">
        <f t="shared" ca="1" si="102"/>
        <v>#VALUE!</v>
      </c>
      <c r="DO92" s="179" t="e">
        <f t="shared" ca="1" si="102"/>
        <v>#VALUE!</v>
      </c>
      <c r="DP92" s="179" t="e">
        <f t="shared" ca="1" si="102"/>
        <v>#VALUE!</v>
      </c>
      <c r="DQ92" s="179" t="e">
        <f t="shared" ca="1" si="102"/>
        <v>#VALUE!</v>
      </c>
      <c r="DR92" s="431">
        <v>74</v>
      </c>
      <c r="DS92" s="430">
        <f t="shared" ca="1" si="164"/>
        <v>48405</v>
      </c>
      <c r="DT92" s="180">
        <f t="shared" ca="1" si="165"/>
        <v>67.8100000000004</v>
      </c>
      <c r="DU92" s="180">
        <f t="shared" ca="1" si="165"/>
        <v>67.8100000000004</v>
      </c>
      <c r="DV92" s="180">
        <f t="shared" ca="1" si="165"/>
        <v>67.8100000000004</v>
      </c>
      <c r="DW92" s="180">
        <f t="shared" ca="1" si="165"/>
        <v>67.8100000000004</v>
      </c>
      <c r="DX92" s="180">
        <f t="shared" ca="1" si="165"/>
        <v>67.8100000000004</v>
      </c>
      <c r="DY92" s="180">
        <f t="shared" ca="1" si="115"/>
        <v>67.8100000000004</v>
      </c>
      <c r="DZ92" s="180">
        <f t="shared" ca="1" si="115"/>
        <v>67.8100000000004</v>
      </c>
      <c r="EA92" s="180">
        <f t="shared" ca="1" si="115"/>
        <v>67.8100000000004</v>
      </c>
      <c r="EB92" s="180">
        <f t="shared" ca="1" si="115"/>
        <v>67.8100000000004</v>
      </c>
      <c r="EC92" s="180">
        <f t="shared" ca="1" si="115"/>
        <v>67.8100000000004</v>
      </c>
      <c r="ED92" s="180">
        <f t="shared" ca="1" si="115"/>
        <v>67.8100000000004</v>
      </c>
      <c r="EE92" s="180">
        <f t="shared" ca="1" si="115"/>
        <v>67.8100000000004</v>
      </c>
      <c r="EF92" s="180">
        <f t="shared" ca="1" si="115"/>
        <v>67.8100000000004</v>
      </c>
      <c r="EG92" s="180">
        <f t="shared" ca="1" si="115"/>
        <v>67.8100000000004</v>
      </c>
      <c r="EH92" s="180">
        <f t="shared" ca="1" si="75"/>
        <v>67.8100000000004</v>
      </c>
      <c r="EI92" s="180">
        <f t="shared" ca="1" si="163"/>
        <v>67.8100000000004</v>
      </c>
      <c r="EJ92" s="180">
        <f t="shared" ca="1" si="163"/>
        <v>67.8100000000004</v>
      </c>
      <c r="EK92" s="180">
        <f t="shared" ca="1" si="163"/>
        <v>67.8100000000004</v>
      </c>
      <c r="EL92" s="180">
        <f t="shared" ca="1" si="163"/>
        <v>67.8100000000004</v>
      </c>
      <c r="EM92" s="180">
        <f t="shared" ca="1" si="163"/>
        <v>67.8100000000004</v>
      </c>
      <c r="EN92" s="180">
        <f t="shared" ca="1" si="163"/>
        <v>67.8100000000004</v>
      </c>
      <c r="EO92" s="180">
        <f t="shared" ca="1" si="163"/>
        <v>67.8100000000004</v>
      </c>
      <c r="EP92" s="180">
        <f t="shared" ca="1" si="163"/>
        <v>67.8100000000004</v>
      </c>
      <c r="EQ92" s="180"/>
      <c r="ER92" s="180"/>
    </row>
    <row r="93" spans="2:148" s="87" customFormat="1" hidden="1" x14ac:dyDescent="0.25">
      <c r="B93" s="151"/>
      <c r="C93" s="87">
        <v>32</v>
      </c>
      <c r="D93" s="258">
        <f t="shared" ca="1" si="110"/>
        <v>47128</v>
      </c>
      <c r="E93" s="175">
        <f t="shared" ca="1" si="167"/>
        <v>0.55418494885570802</v>
      </c>
      <c r="F93" s="175">
        <f t="shared" ca="1" si="167"/>
        <v>0.55418494885570802</v>
      </c>
      <c r="G93" s="175">
        <f t="shared" ca="1" si="167"/>
        <v>0.55418494885570802</v>
      </c>
      <c r="H93" s="175">
        <f t="shared" ca="1" si="167"/>
        <v>0.55418494885570802</v>
      </c>
      <c r="I93" s="175">
        <f t="shared" si="167"/>
        <v>0</v>
      </c>
      <c r="J93" s="175">
        <f t="shared" si="167"/>
        <v>0</v>
      </c>
      <c r="K93" s="175">
        <f t="shared" si="167"/>
        <v>0</v>
      </c>
      <c r="L93" s="175">
        <f t="shared" si="167"/>
        <v>0</v>
      </c>
      <c r="M93" s="175">
        <f t="shared" si="167"/>
        <v>0</v>
      </c>
      <c r="N93" s="175">
        <f t="shared" si="167"/>
        <v>0</v>
      </c>
      <c r="O93" s="175">
        <f t="shared" si="168"/>
        <v>0</v>
      </c>
      <c r="P93" s="175">
        <f t="shared" si="168"/>
        <v>0</v>
      </c>
      <c r="Q93" s="175">
        <f t="shared" si="168"/>
        <v>0</v>
      </c>
      <c r="R93" s="175">
        <f t="shared" si="168"/>
        <v>0</v>
      </c>
      <c r="S93" s="175">
        <f t="shared" si="168"/>
        <v>0</v>
      </c>
      <c r="T93" s="175">
        <f t="shared" si="168"/>
        <v>0</v>
      </c>
      <c r="U93" s="175">
        <f t="shared" si="168"/>
        <v>0</v>
      </c>
      <c r="V93" s="175"/>
      <c r="W93" s="372"/>
      <c r="X93" s="87">
        <v>75</v>
      </c>
      <c r="Y93" s="87">
        <f t="shared" si="138"/>
        <v>0</v>
      </c>
      <c r="Z93" s="87">
        <f t="shared" ca="1" si="139"/>
        <v>70.569999999999993</v>
      </c>
      <c r="AA93" s="87">
        <f t="shared" ca="1" si="140"/>
        <v>1172.83</v>
      </c>
      <c r="AB93" s="87">
        <f t="shared" ca="1" si="141"/>
        <v>278.39999999999998</v>
      </c>
      <c r="AC93" s="87">
        <f t="shared" si="142"/>
        <v>0</v>
      </c>
      <c r="AD93" s="87">
        <f t="shared" si="143"/>
        <v>0</v>
      </c>
      <c r="AE93" s="87">
        <f t="shared" si="144"/>
        <v>0</v>
      </c>
      <c r="AF93" s="87">
        <f t="shared" si="145"/>
        <v>0</v>
      </c>
      <c r="AG93" s="87">
        <f t="shared" si="146"/>
        <v>0</v>
      </c>
      <c r="AH93" s="87">
        <f t="shared" si="147"/>
        <v>0</v>
      </c>
      <c r="AI93" s="87">
        <f t="shared" si="148"/>
        <v>0</v>
      </c>
      <c r="AJ93" s="87">
        <f t="shared" si="149"/>
        <v>0</v>
      </c>
      <c r="AK93" s="87">
        <f t="shared" si="150"/>
        <v>0</v>
      </c>
      <c r="AL93" s="87">
        <f t="shared" si="151"/>
        <v>0</v>
      </c>
      <c r="AM93" s="87">
        <f t="shared" si="152"/>
        <v>0</v>
      </c>
      <c r="AN93" s="87">
        <f t="shared" si="153"/>
        <v>0</v>
      </c>
      <c r="AO93" s="87">
        <f t="shared" si="154"/>
        <v>0</v>
      </c>
      <c r="AQ93" s="426">
        <v>75</v>
      </c>
      <c r="AR93" s="258">
        <f t="shared" ca="1" si="160"/>
        <v>48436</v>
      </c>
      <c r="AS93" s="429">
        <f t="shared" ca="1" si="118"/>
        <v>1521.7999999999997</v>
      </c>
      <c r="AT93" s="138"/>
      <c r="AU93" s="278">
        <v>75</v>
      </c>
      <c r="AV93" s="258">
        <f t="shared" ca="1" si="161"/>
        <v>48467</v>
      </c>
      <c r="AW93" s="429">
        <f t="shared" ca="1" si="155"/>
        <v>67.8100000000004</v>
      </c>
      <c r="AX93" s="202">
        <f t="shared" ca="1" si="156"/>
        <v>16.579999999999998</v>
      </c>
      <c r="AY93" s="278">
        <v>75</v>
      </c>
      <c r="AZ93" s="258">
        <f t="shared" ca="1" si="162"/>
        <v>48467</v>
      </c>
      <c r="BA93" s="429">
        <f t="shared" si="157"/>
        <v>1589.6100000000001</v>
      </c>
      <c r="BB93" s="259">
        <f t="shared" ca="1" si="119"/>
        <v>48436</v>
      </c>
      <c r="BC93" s="428">
        <f t="shared" ca="1" si="158"/>
        <v>67.8100000000004</v>
      </c>
      <c r="BD93" s="188">
        <f t="shared" si="120"/>
        <v>0</v>
      </c>
      <c r="BE93" s="188">
        <f t="shared" si="121"/>
        <v>70.569999999999993</v>
      </c>
      <c r="BF93" s="188">
        <f t="shared" si="122"/>
        <v>1172.83</v>
      </c>
      <c r="BG93" s="87">
        <f t="shared" si="123"/>
        <v>278.39999999999998</v>
      </c>
      <c r="BH93" s="87">
        <f t="shared" si="124"/>
        <v>0</v>
      </c>
      <c r="BI93" s="87">
        <f t="shared" si="125"/>
        <v>0</v>
      </c>
      <c r="BJ93" s="87">
        <f t="shared" si="126"/>
        <v>0</v>
      </c>
      <c r="BK93" s="87">
        <f t="shared" si="127"/>
        <v>0</v>
      </c>
      <c r="BL93" s="87">
        <f t="shared" si="128"/>
        <v>0</v>
      </c>
      <c r="BM93" s="87">
        <f t="shared" si="129"/>
        <v>0</v>
      </c>
      <c r="BN93" s="87">
        <f t="shared" si="130"/>
        <v>0</v>
      </c>
      <c r="BO93" s="87">
        <f t="shared" si="131"/>
        <v>0</v>
      </c>
      <c r="BP93" s="87">
        <f t="shared" si="132"/>
        <v>0</v>
      </c>
      <c r="BQ93" s="87">
        <f t="shared" si="133"/>
        <v>0</v>
      </c>
      <c r="BR93" s="87">
        <f t="shared" si="134"/>
        <v>0</v>
      </c>
      <c r="BS93" s="87">
        <f t="shared" si="135"/>
        <v>0</v>
      </c>
      <c r="BT93" s="87">
        <f t="shared" si="136"/>
        <v>0</v>
      </c>
      <c r="BV93" s="177"/>
      <c r="BW93" s="177"/>
      <c r="BX93" s="267"/>
      <c r="BY93" s="267"/>
      <c r="BZ93" s="267"/>
      <c r="CA93" s="267"/>
      <c r="CB93" s="267"/>
      <c r="CC93" s="267"/>
      <c r="CD93" s="267"/>
      <c r="CE93" s="267"/>
      <c r="CF93" s="267"/>
      <c r="CG93" s="267"/>
      <c r="CH93" s="267"/>
      <c r="CI93" s="435"/>
      <c r="CJ93" s="436"/>
      <c r="CK93" s="437"/>
      <c r="CM93" s="64" t="s">
        <v>3028</v>
      </c>
      <c r="CN93" s="707">
        <v>42</v>
      </c>
      <c r="CS93" s="138">
        <v>75</v>
      </c>
      <c r="CT93" s="259">
        <f t="shared" ca="1" si="137"/>
        <v>48467</v>
      </c>
      <c r="CU93" s="179">
        <f t="shared" ca="1" si="159"/>
        <v>388.702969280606</v>
      </c>
      <c r="CV93" s="179">
        <f t="shared" ca="1" si="159"/>
        <v>403.64815939012811</v>
      </c>
      <c r="CW93" s="179">
        <f t="shared" ca="1" si="159"/>
        <v>412.8933714143559</v>
      </c>
      <c r="CX93" s="179">
        <f t="shared" ca="1" si="159"/>
        <v>422.35315688104771</v>
      </c>
      <c r="CY93" s="179">
        <f t="shared" ca="1" si="159"/>
        <v>432.03256134120426</v>
      </c>
      <c r="CZ93" s="179">
        <f t="shared" ca="1" si="159"/>
        <v>441.93675052932491</v>
      </c>
      <c r="DA93" s="179">
        <f t="shared" ca="1" si="159"/>
        <v>448.66703033325916</v>
      </c>
      <c r="DB93" s="179">
        <f t="shared" ca="1" si="159"/>
        <v>462.44076441271767</v>
      </c>
      <c r="DC93" s="179">
        <f t="shared" ca="1" si="159"/>
        <v>469.48749109910358</v>
      </c>
      <c r="DD93" s="179">
        <f t="shared" ca="1" si="159"/>
        <v>476.64301574047647</v>
      </c>
      <c r="DE93" s="179">
        <f t="shared" ca="1" si="166"/>
        <v>483.90904004211995</v>
      </c>
      <c r="DF93" s="179" t="e">
        <f t="shared" ca="1" si="166"/>
        <v>#VALUE!</v>
      </c>
      <c r="DG93" s="179" t="e">
        <f t="shared" ca="1" si="166"/>
        <v>#VALUE!</v>
      </c>
      <c r="DH93" s="179" t="e">
        <f t="shared" ca="1" si="166"/>
        <v>#VALUE!</v>
      </c>
      <c r="DI93" s="179" t="e">
        <f t="shared" ca="1" si="166"/>
        <v>#VALUE!</v>
      </c>
      <c r="DJ93" s="179" t="e">
        <f t="shared" ca="1" si="113"/>
        <v>#VALUE!</v>
      </c>
      <c r="DK93" s="179" t="e">
        <f t="shared" ca="1" si="113"/>
        <v>#VALUE!</v>
      </c>
      <c r="DL93" s="179" t="e">
        <f t="shared" ca="1" si="102"/>
        <v>#VALUE!</v>
      </c>
      <c r="DM93" s="179" t="e">
        <f t="shared" ca="1" si="102"/>
        <v>#VALUE!</v>
      </c>
      <c r="DN93" s="179" t="e">
        <f t="shared" ca="1" si="102"/>
        <v>#VALUE!</v>
      </c>
      <c r="DO93" s="179" t="e">
        <f t="shared" ref="DL93:DQ135" ca="1" si="169">(($AW93/(1+DO$18)^(($AZ93-$AZ$18)/30)))+($AS93/(1+DO$18)^(($AZ93-$AZ$18)/30))</f>
        <v>#VALUE!</v>
      </c>
      <c r="DP93" s="179" t="e">
        <f t="shared" ca="1" si="169"/>
        <v>#VALUE!</v>
      </c>
      <c r="DQ93" s="179" t="e">
        <f t="shared" ca="1" si="169"/>
        <v>#VALUE!</v>
      </c>
      <c r="DR93" s="278">
        <v>75</v>
      </c>
      <c r="DS93" s="430">
        <f t="shared" ca="1" si="164"/>
        <v>48436</v>
      </c>
      <c r="DT93" s="180">
        <f t="shared" ca="1" si="165"/>
        <v>67.8100000000004</v>
      </c>
      <c r="DU93" s="180">
        <f t="shared" ca="1" si="165"/>
        <v>67.8100000000004</v>
      </c>
      <c r="DV93" s="180">
        <f t="shared" ca="1" si="165"/>
        <v>67.8100000000004</v>
      </c>
      <c r="DW93" s="180">
        <f t="shared" ca="1" si="165"/>
        <v>67.8100000000004</v>
      </c>
      <c r="DX93" s="180">
        <f t="shared" ca="1" si="165"/>
        <v>67.8100000000004</v>
      </c>
      <c r="DY93" s="180">
        <f t="shared" ca="1" si="115"/>
        <v>67.8100000000004</v>
      </c>
      <c r="DZ93" s="180">
        <f t="shared" ca="1" si="115"/>
        <v>67.8100000000004</v>
      </c>
      <c r="EA93" s="180">
        <f t="shared" ca="1" si="115"/>
        <v>67.8100000000004</v>
      </c>
      <c r="EB93" s="180">
        <f t="shared" ca="1" si="115"/>
        <v>67.8100000000004</v>
      </c>
      <c r="EC93" s="180">
        <f t="shared" ca="1" si="115"/>
        <v>67.8100000000004</v>
      </c>
      <c r="ED93" s="180">
        <f t="shared" ca="1" si="115"/>
        <v>67.8100000000004</v>
      </c>
      <c r="EE93" s="180">
        <f t="shared" ca="1" si="115"/>
        <v>67.8100000000004</v>
      </c>
      <c r="EF93" s="180">
        <f t="shared" ca="1" si="115"/>
        <v>67.8100000000004</v>
      </c>
      <c r="EG93" s="180">
        <f t="shared" ca="1" si="115"/>
        <v>67.8100000000004</v>
      </c>
      <c r="EH93" s="180">
        <f t="shared" ca="1" si="75"/>
        <v>67.8100000000004</v>
      </c>
      <c r="EI93" s="180">
        <f t="shared" ca="1" si="163"/>
        <v>67.8100000000004</v>
      </c>
      <c r="EJ93" s="180">
        <f t="shared" ca="1" si="163"/>
        <v>67.8100000000004</v>
      </c>
      <c r="EK93" s="180">
        <f t="shared" ca="1" si="163"/>
        <v>67.8100000000004</v>
      </c>
      <c r="EL93" s="180">
        <f t="shared" ca="1" si="163"/>
        <v>67.8100000000004</v>
      </c>
      <c r="EM93" s="180">
        <f t="shared" ca="1" si="163"/>
        <v>67.8100000000004</v>
      </c>
      <c r="EN93" s="180">
        <f t="shared" ca="1" si="163"/>
        <v>67.8100000000004</v>
      </c>
      <c r="EO93" s="180">
        <f t="shared" ca="1" si="163"/>
        <v>67.8100000000004</v>
      </c>
      <c r="EP93" s="180">
        <f t="shared" ca="1" si="163"/>
        <v>67.8100000000004</v>
      </c>
      <c r="EQ93" s="180"/>
      <c r="ER93" s="180"/>
    </row>
    <row r="94" spans="2:148" s="87" customFormat="1" hidden="1" x14ac:dyDescent="0.25">
      <c r="B94" s="151"/>
      <c r="C94" s="87">
        <v>33</v>
      </c>
      <c r="D94" s="258">
        <f t="shared" ca="1" si="110"/>
        <v>47159</v>
      </c>
      <c r="E94" s="175">
        <f t="shared" ca="1" si="167"/>
        <v>0.54378637959101728</v>
      </c>
      <c r="F94" s="175">
        <f t="shared" ca="1" si="167"/>
        <v>0.54378637959101728</v>
      </c>
      <c r="G94" s="175">
        <f t="shared" ca="1" si="167"/>
        <v>0.54378637959101728</v>
      </c>
      <c r="H94" s="175">
        <f t="shared" ca="1" si="167"/>
        <v>0.54378637959101728</v>
      </c>
      <c r="I94" s="175">
        <f t="shared" si="167"/>
        <v>0</v>
      </c>
      <c r="J94" s="175">
        <f t="shared" si="167"/>
        <v>0</v>
      </c>
      <c r="K94" s="175">
        <f t="shared" si="167"/>
        <v>0</v>
      </c>
      <c r="L94" s="175">
        <f t="shared" si="167"/>
        <v>0</v>
      </c>
      <c r="M94" s="175">
        <f t="shared" si="167"/>
        <v>0</v>
      </c>
      <c r="N94" s="175">
        <f t="shared" si="167"/>
        <v>0</v>
      </c>
      <c r="O94" s="175">
        <f t="shared" si="168"/>
        <v>0</v>
      </c>
      <c r="P94" s="175">
        <f t="shared" si="168"/>
        <v>0</v>
      </c>
      <c r="Q94" s="175">
        <f t="shared" si="168"/>
        <v>0</v>
      </c>
      <c r="R94" s="175">
        <f t="shared" si="168"/>
        <v>0</v>
      </c>
      <c r="S94" s="175">
        <f t="shared" si="168"/>
        <v>0</v>
      </c>
      <c r="T94" s="175">
        <f t="shared" si="168"/>
        <v>0</v>
      </c>
      <c r="U94" s="175">
        <f t="shared" si="168"/>
        <v>0</v>
      </c>
      <c r="V94" s="175"/>
      <c r="W94" s="372"/>
      <c r="X94" s="87">
        <v>76</v>
      </c>
      <c r="Y94" s="87">
        <f t="shared" si="138"/>
        <v>0</v>
      </c>
      <c r="Z94" s="87">
        <f t="shared" ca="1" si="139"/>
        <v>70.569999999999993</v>
      </c>
      <c r="AA94" s="87">
        <f t="shared" ca="1" si="140"/>
        <v>1172.83</v>
      </c>
      <c r="AB94" s="87">
        <f t="shared" ca="1" si="141"/>
        <v>278.39999999999998</v>
      </c>
      <c r="AC94" s="87">
        <f t="shared" si="142"/>
        <v>0</v>
      </c>
      <c r="AD94" s="87">
        <f t="shared" si="143"/>
        <v>0</v>
      </c>
      <c r="AE94" s="87">
        <f t="shared" si="144"/>
        <v>0</v>
      </c>
      <c r="AF94" s="87">
        <f t="shared" si="145"/>
        <v>0</v>
      </c>
      <c r="AG94" s="87">
        <f t="shared" si="146"/>
        <v>0</v>
      </c>
      <c r="AH94" s="87">
        <f t="shared" si="147"/>
        <v>0</v>
      </c>
      <c r="AI94" s="87">
        <f t="shared" si="148"/>
        <v>0</v>
      </c>
      <c r="AJ94" s="87">
        <f t="shared" si="149"/>
        <v>0</v>
      </c>
      <c r="AK94" s="87">
        <f t="shared" si="150"/>
        <v>0</v>
      </c>
      <c r="AL94" s="87">
        <f t="shared" si="151"/>
        <v>0</v>
      </c>
      <c r="AM94" s="87">
        <f t="shared" si="152"/>
        <v>0</v>
      </c>
      <c r="AN94" s="87">
        <f t="shared" si="153"/>
        <v>0</v>
      </c>
      <c r="AO94" s="87">
        <f t="shared" si="154"/>
        <v>0</v>
      </c>
      <c r="AQ94" s="426">
        <v>76</v>
      </c>
      <c r="AR94" s="258">
        <f t="shared" ca="1" si="160"/>
        <v>48467</v>
      </c>
      <c r="AS94" s="429">
        <f t="shared" ca="1" si="118"/>
        <v>1521.7999999999997</v>
      </c>
      <c r="AT94" s="138"/>
      <c r="AU94" s="278">
        <v>76</v>
      </c>
      <c r="AV94" s="258">
        <f t="shared" ca="1" si="161"/>
        <v>48497</v>
      </c>
      <c r="AW94" s="429">
        <f t="shared" ca="1" si="155"/>
        <v>67.8100000000004</v>
      </c>
      <c r="AX94" s="202">
        <f t="shared" ca="1" si="156"/>
        <v>16.28</v>
      </c>
      <c r="AY94" s="278">
        <v>76</v>
      </c>
      <c r="AZ94" s="258">
        <f t="shared" ca="1" si="162"/>
        <v>48497</v>
      </c>
      <c r="BA94" s="429">
        <f t="shared" si="157"/>
        <v>1589.6100000000001</v>
      </c>
      <c r="BB94" s="259">
        <f t="shared" ca="1" si="119"/>
        <v>48467</v>
      </c>
      <c r="BC94" s="428">
        <f t="shared" ca="1" si="158"/>
        <v>67.8100000000004</v>
      </c>
      <c r="BD94" s="188">
        <f t="shared" si="120"/>
        <v>0</v>
      </c>
      <c r="BE94" s="188">
        <f t="shared" si="121"/>
        <v>70.569999999999993</v>
      </c>
      <c r="BF94" s="188">
        <f t="shared" si="122"/>
        <v>1172.83</v>
      </c>
      <c r="BG94" s="87">
        <f t="shared" si="123"/>
        <v>278.39999999999998</v>
      </c>
      <c r="BH94" s="87">
        <f t="shared" si="124"/>
        <v>0</v>
      </c>
      <c r="BI94" s="87">
        <f t="shared" si="125"/>
        <v>0</v>
      </c>
      <c r="BJ94" s="87">
        <f t="shared" si="126"/>
        <v>0</v>
      </c>
      <c r="BK94" s="87">
        <f t="shared" si="127"/>
        <v>0</v>
      </c>
      <c r="BL94" s="87">
        <f t="shared" si="128"/>
        <v>0</v>
      </c>
      <c r="BM94" s="87">
        <f t="shared" si="129"/>
        <v>0</v>
      </c>
      <c r="BN94" s="87">
        <f t="shared" si="130"/>
        <v>0</v>
      </c>
      <c r="BO94" s="87">
        <f t="shared" si="131"/>
        <v>0</v>
      </c>
      <c r="BP94" s="87">
        <f t="shared" si="132"/>
        <v>0</v>
      </c>
      <c r="BQ94" s="87">
        <f t="shared" si="133"/>
        <v>0</v>
      </c>
      <c r="BR94" s="87">
        <f t="shared" si="134"/>
        <v>0</v>
      </c>
      <c r="BS94" s="87">
        <f t="shared" si="135"/>
        <v>0</v>
      </c>
      <c r="BT94" s="87">
        <f t="shared" si="136"/>
        <v>0</v>
      </c>
      <c r="BV94" s="177"/>
      <c r="BW94" s="177"/>
      <c r="BX94" s="267"/>
      <c r="BY94" s="267"/>
      <c r="BZ94" s="267"/>
      <c r="CA94" s="267"/>
      <c r="CB94" s="267"/>
      <c r="CC94" s="267"/>
      <c r="CD94" s="267"/>
      <c r="CE94" s="267"/>
      <c r="CF94" s="267"/>
      <c r="CG94" s="267"/>
      <c r="CH94" s="267"/>
      <c r="CI94" s="435"/>
      <c r="CJ94" s="436"/>
      <c r="CK94" s="437"/>
      <c r="CM94" s="64" t="s">
        <v>78</v>
      </c>
      <c r="CN94" s="707">
        <v>61</v>
      </c>
      <c r="CS94" s="87">
        <v>76</v>
      </c>
      <c r="CT94" s="259">
        <f t="shared" ca="1" si="137"/>
        <v>48497</v>
      </c>
      <c r="CU94" s="179">
        <f t="shared" ca="1" si="159"/>
        <v>381.64258152244093</v>
      </c>
      <c r="CV94" s="179">
        <f t="shared" ca="1" si="159"/>
        <v>396.51096207281734</v>
      </c>
      <c r="CW94" s="179">
        <f t="shared" ca="1" si="159"/>
        <v>405.71226433561543</v>
      </c>
      <c r="CX94" s="179">
        <f t="shared" ca="1" si="159"/>
        <v>415.12989667883596</v>
      </c>
      <c r="CY94" s="179">
        <f t="shared" ca="1" si="159"/>
        <v>424.76901124884898</v>
      </c>
      <c r="CZ94" s="179">
        <f t="shared" ca="1" si="159"/>
        <v>434.6348844702253</v>
      </c>
      <c r="DA94" s="179">
        <f t="shared" ca="1" si="159"/>
        <v>441.34077349327089</v>
      </c>
      <c r="DB94" s="179">
        <f t="shared" ca="1" si="159"/>
        <v>455.06865224632719</v>
      </c>
      <c r="DC94" s="179">
        <f t="shared" ca="1" si="159"/>
        <v>462.09398730226724</v>
      </c>
      <c r="DD94" s="179">
        <f t="shared" ca="1" si="159"/>
        <v>469.22919446788399</v>
      </c>
      <c r="DE94" s="179">
        <f t="shared" ca="1" si="166"/>
        <v>476.47601422028345</v>
      </c>
      <c r="DF94" s="179" t="e">
        <f t="shared" ca="1" si="166"/>
        <v>#VALUE!</v>
      </c>
      <c r="DG94" s="179" t="e">
        <f t="shared" ca="1" si="166"/>
        <v>#VALUE!</v>
      </c>
      <c r="DH94" s="179" t="e">
        <f t="shared" ca="1" si="166"/>
        <v>#VALUE!</v>
      </c>
      <c r="DI94" s="179" t="e">
        <f t="shared" ca="1" si="166"/>
        <v>#VALUE!</v>
      </c>
      <c r="DJ94" s="179" t="e">
        <f t="shared" ca="1" si="113"/>
        <v>#VALUE!</v>
      </c>
      <c r="DK94" s="179" t="e">
        <f t="shared" ca="1" si="113"/>
        <v>#VALUE!</v>
      </c>
      <c r="DL94" s="179" t="e">
        <f t="shared" ca="1" si="169"/>
        <v>#VALUE!</v>
      </c>
      <c r="DM94" s="179" t="e">
        <f t="shared" ca="1" si="169"/>
        <v>#VALUE!</v>
      </c>
      <c r="DN94" s="179" t="e">
        <f t="shared" ca="1" si="169"/>
        <v>#VALUE!</v>
      </c>
      <c r="DO94" s="179" t="e">
        <f t="shared" ca="1" si="169"/>
        <v>#VALUE!</v>
      </c>
      <c r="DP94" s="179" t="e">
        <f t="shared" ca="1" si="169"/>
        <v>#VALUE!</v>
      </c>
      <c r="DQ94" s="179" t="e">
        <f t="shared" ca="1" si="169"/>
        <v>#VALUE!</v>
      </c>
      <c r="DR94" s="188">
        <v>76</v>
      </c>
      <c r="DS94" s="430">
        <f t="shared" ca="1" si="164"/>
        <v>48467</v>
      </c>
      <c r="DT94" s="180">
        <f t="shared" ca="1" si="165"/>
        <v>67.8100000000004</v>
      </c>
      <c r="DU94" s="180">
        <f t="shared" ca="1" si="165"/>
        <v>67.8100000000004</v>
      </c>
      <c r="DV94" s="180">
        <f t="shared" ca="1" si="165"/>
        <v>67.8100000000004</v>
      </c>
      <c r="DW94" s="180">
        <f t="shared" ca="1" si="165"/>
        <v>67.8100000000004</v>
      </c>
      <c r="DX94" s="180">
        <f t="shared" ca="1" si="165"/>
        <v>67.8100000000004</v>
      </c>
      <c r="DY94" s="180">
        <f t="shared" ca="1" si="115"/>
        <v>67.8100000000004</v>
      </c>
      <c r="DZ94" s="180">
        <f t="shared" ca="1" si="115"/>
        <v>67.8100000000004</v>
      </c>
      <c r="EA94" s="180">
        <f t="shared" ca="1" si="115"/>
        <v>67.8100000000004</v>
      </c>
      <c r="EB94" s="180">
        <f t="shared" ca="1" si="115"/>
        <v>67.8100000000004</v>
      </c>
      <c r="EC94" s="180">
        <f t="shared" ca="1" si="115"/>
        <v>67.8100000000004</v>
      </c>
      <c r="ED94" s="180">
        <f t="shared" ca="1" si="115"/>
        <v>67.8100000000004</v>
      </c>
      <c r="EE94" s="180">
        <f t="shared" ca="1" si="115"/>
        <v>67.8100000000004</v>
      </c>
      <c r="EF94" s="180">
        <f t="shared" ca="1" si="115"/>
        <v>67.8100000000004</v>
      </c>
      <c r="EG94" s="180">
        <f t="shared" ca="1" si="115"/>
        <v>67.8100000000004</v>
      </c>
      <c r="EH94" s="180">
        <f t="shared" ca="1" si="75"/>
        <v>67.8100000000004</v>
      </c>
      <c r="EI94" s="180">
        <f t="shared" ca="1" si="163"/>
        <v>67.8100000000004</v>
      </c>
      <c r="EJ94" s="180">
        <f t="shared" ca="1" si="163"/>
        <v>67.8100000000004</v>
      </c>
      <c r="EK94" s="180">
        <f t="shared" ca="1" si="163"/>
        <v>67.8100000000004</v>
      </c>
      <c r="EL94" s="180">
        <f t="shared" ca="1" si="163"/>
        <v>67.8100000000004</v>
      </c>
      <c r="EM94" s="180">
        <f t="shared" ca="1" si="163"/>
        <v>67.8100000000004</v>
      </c>
      <c r="EN94" s="180">
        <f t="shared" ca="1" si="163"/>
        <v>67.8100000000004</v>
      </c>
      <c r="EO94" s="180">
        <f t="shared" ca="1" si="163"/>
        <v>67.8100000000004</v>
      </c>
      <c r="EP94" s="180">
        <f t="shared" ca="1" si="163"/>
        <v>67.8100000000004</v>
      </c>
      <c r="EQ94" s="180"/>
      <c r="ER94" s="180"/>
    </row>
    <row r="95" spans="2:148" s="87" customFormat="1" hidden="1" x14ac:dyDescent="0.25">
      <c r="B95" s="151"/>
      <c r="C95" s="87">
        <v>34</v>
      </c>
      <c r="D95" s="258">
        <f t="shared" ref="D95:D126" ca="1" si="170">EDATE(D94,1)</f>
        <v>47187</v>
      </c>
      <c r="E95" s="175">
        <f t="shared" ca="1" si="167"/>
        <v>0.53456193171390387</v>
      </c>
      <c r="F95" s="175">
        <f t="shared" ca="1" si="167"/>
        <v>0.53456193171390387</v>
      </c>
      <c r="G95" s="175">
        <f t="shared" ca="1" si="167"/>
        <v>0.53456193171390387</v>
      </c>
      <c r="H95" s="175">
        <f t="shared" ca="1" si="167"/>
        <v>0.53456193171390387</v>
      </c>
      <c r="I95" s="175">
        <f t="shared" si="167"/>
        <v>0</v>
      </c>
      <c r="J95" s="175">
        <f t="shared" si="167"/>
        <v>0</v>
      </c>
      <c r="K95" s="175">
        <f t="shared" si="167"/>
        <v>0</v>
      </c>
      <c r="L95" s="175">
        <f t="shared" si="167"/>
        <v>0</v>
      </c>
      <c r="M95" s="175">
        <f t="shared" si="167"/>
        <v>0</v>
      </c>
      <c r="N95" s="175">
        <f t="shared" si="167"/>
        <v>0</v>
      </c>
      <c r="O95" s="175">
        <f t="shared" si="168"/>
        <v>0</v>
      </c>
      <c r="P95" s="175">
        <f t="shared" si="168"/>
        <v>0</v>
      </c>
      <c r="Q95" s="175">
        <f t="shared" si="168"/>
        <v>0</v>
      </c>
      <c r="R95" s="175">
        <f t="shared" si="168"/>
        <v>0</v>
      </c>
      <c r="S95" s="175">
        <f t="shared" si="168"/>
        <v>0</v>
      </c>
      <c r="T95" s="175">
        <f t="shared" si="168"/>
        <v>0</v>
      </c>
      <c r="U95" s="175">
        <f t="shared" si="168"/>
        <v>0</v>
      </c>
      <c r="V95" s="175"/>
      <c r="W95" s="372"/>
      <c r="X95" s="87">
        <v>77</v>
      </c>
      <c r="Y95" s="87">
        <f t="shared" si="138"/>
        <v>0</v>
      </c>
      <c r="Z95" s="87">
        <f t="shared" ca="1" si="139"/>
        <v>70.569999999999993</v>
      </c>
      <c r="AA95" s="87">
        <f t="shared" ca="1" si="140"/>
        <v>1172.83</v>
      </c>
      <c r="AB95" s="87">
        <f t="shared" ca="1" si="141"/>
        <v>278.39999999999998</v>
      </c>
      <c r="AC95" s="87">
        <f t="shared" si="142"/>
        <v>0</v>
      </c>
      <c r="AD95" s="87">
        <f t="shared" si="143"/>
        <v>0</v>
      </c>
      <c r="AE95" s="87">
        <f t="shared" si="144"/>
        <v>0</v>
      </c>
      <c r="AF95" s="87">
        <f t="shared" si="145"/>
        <v>0</v>
      </c>
      <c r="AG95" s="87">
        <f t="shared" si="146"/>
        <v>0</v>
      </c>
      <c r="AH95" s="87">
        <f t="shared" si="147"/>
        <v>0</v>
      </c>
      <c r="AI95" s="87">
        <f t="shared" si="148"/>
        <v>0</v>
      </c>
      <c r="AJ95" s="87">
        <f t="shared" si="149"/>
        <v>0</v>
      </c>
      <c r="AK95" s="87">
        <f t="shared" si="150"/>
        <v>0</v>
      </c>
      <c r="AL95" s="87">
        <f t="shared" si="151"/>
        <v>0</v>
      </c>
      <c r="AM95" s="87">
        <f t="shared" si="152"/>
        <v>0</v>
      </c>
      <c r="AN95" s="87">
        <f t="shared" si="153"/>
        <v>0</v>
      </c>
      <c r="AO95" s="87">
        <f t="shared" si="154"/>
        <v>0</v>
      </c>
      <c r="AQ95" s="426">
        <v>77</v>
      </c>
      <c r="AR95" s="258">
        <f t="shared" ca="1" si="160"/>
        <v>48497</v>
      </c>
      <c r="AS95" s="429">
        <f t="shared" ca="1" si="118"/>
        <v>1521.7999999999997</v>
      </c>
      <c r="AT95" s="138"/>
      <c r="AU95" s="278">
        <v>77</v>
      </c>
      <c r="AV95" s="258">
        <f t="shared" ca="1" si="161"/>
        <v>48528</v>
      </c>
      <c r="AW95" s="429">
        <f t="shared" ca="1" si="155"/>
        <v>67.8100000000004</v>
      </c>
      <c r="AX95" s="202">
        <f t="shared" ca="1" si="156"/>
        <v>15.97</v>
      </c>
      <c r="AY95" s="278">
        <v>77</v>
      </c>
      <c r="AZ95" s="258">
        <f t="shared" ca="1" si="162"/>
        <v>48528</v>
      </c>
      <c r="BA95" s="429">
        <f t="shared" si="157"/>
        <v>1589.6100000000001</v>
      </c>
      <c r="BB95" s="259">
        <f t="shared" ca="1" si="119"/>
        <v>48497</v>
      </c>
      <c r="BC95" s="428">
        <f t="shared" ca="1" si="158"/>
        <v>67.8100000000004</v>
      </c>
      <c r="BD95" s="188">
        <f t="shared" si="120"/>
        <v>0</v>
      </c>
      <c r="BE95" s="188">
        <f t="shared" si="121"/>
        <v>70.569999999999993</v>
      </c>
      <c r="BF95" s="188">
        <f t="shared" si="122"/>
        <v>1172.83</v>
      </c>
      <c r="BG95" s="87">
        <f t="shared" si="123"/>
        <v>278.39999999999998</v>
      </c>
      <c r="BH95" s="87">
        <f t="shared" si="124"/>
        <v>0</v>
      </c>
      <c r="BI95" s="87">
        <f t="shared" si="125"/>
        <v>0</v>
      </c>
      <c r="BJ95" s="87">
        <f t="shared" si="126"/>
        <v>0</v>
      </c>
      <c r="BK95" s="87">
        <f t="shared" si="127"/>
        <v>0</v>
      </c>
      <c r="BL95" s="87">
        <f t="shared" si="128"/>
        <v>0</v>
      </c>
      <c r="BM95" s="87">
        <f t="shared" si="129"/>
        <v>0</v>
      </c>
      <c r="BN95" s="87">
        <f t="shared" si="130"/>
        <v>0</v>
      </c>
      <c r="BO95" s="87">
        <f t="shared" si="131"/>
        <v>0</v>
      </c>
      <c r="BP95" s="87">
        <f t="shared" si="132"/>
        <v>0</v>
      </c>
      <c r="BQ95" s="87">
        <f t="shared" si="133"/>
        <v>0</v>
      </c>
      <c r="BR95" s="87">
        <f t="shared" si="134"/>
        <v>0</v>
      </c>
      <c r="BS95" s="87">
        <f t="shared" si="135"/>
        <v>0</v>
      </c>
      <c r="BT95" s="87">
        <f t="shared" si="136"/>
        <v>0</v>
      </c>
      <c r="BV95" s="177"/>
      <c r="BW95" s="17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435"/>
      <c r="CJ95" s="436"/>
      <c r="CK95" s="437"/>
      <c r="CM95" s="64" t="s">
        <v>367</v>
      </c>
      <c r="CN95" s="707">
        <v>67</v>
      </c>
      <c r="CS95" s="178">
        <v>77</v>
      </c>
      <c r="CT95" s="259">
        <f t="shared" ca="1" si="137"/>
        <v>48528</v>
      </c>
      <c r="CU95" s="179">
        <f t="shared" ca="1" si="159"/>
        <v>374.48154832132127</v>
      </c>
      <c r="CV95" s="179">
        <f t="shared" ca="1" si="159"/>
        <v>389.26841001674291</v>
      </c>
      <c r="CW95" s="179">
        <f t="shared" ca="1" si="159"/>
        <v>398.42297064636347</v>
      </c>
      <c r="CX95" s="179">
        <f t="shared" ca="1" si="159"/>
        <v>407.79561697832298</v>
      </c>
      <c r="CY95" s="179">
        <f t="shared" ca="1" si="159"/>
        <v>417.39161100453595</v>
      </c>
      <c r="CZ95" s="179">
        <f t="shared" ca="1" si="159"/>
        <v>427.21634328702203</v>
      </c>
      <c r="DA95" s="179">
        <f t="shared" ca="1" si="159"/>
        <v>433.89596316613824</v>
      </c>
      <c r="DB95" s="179">
        <f t="shared" ca="1" si="159"/>
        <v>447.57424688387971</v>
      </c>
      <c r="DC95" s="179">
        <f t="shared" ca="1" si="159"/>
        <v>454.57633136593751</v>
      </c>
      <c r="DD95" s="179">
        <f t="shared" ca="1" si="159"/>
        <v>461.68937106412483</v>
      </c>
      <c r="DE95" s="179">
        <f t="shared" ca="1" si="166"/>
        <v>468.91514654473673</v>
      </c>
      <c r="DF95" s="179" t="e">
        <f t="shared" ca="1" si="166"/>
        <v>#VALUE!</v>
      </c>
      <c r="DG95" s="179" t="e">
        <f t="shared" ca="1" si="166"/>
        <v>#VALUE!</v>
      </c>
      <c r="DH95" s="179" t="e">
        <f t="shared" ca="1" si="166"/>
        <v>#VALUE!</v>
      </c>
      <c r="DI95" s="179" t="e">
        <f t="shared" ca="1" si="166"/>
        <v>#VALUE!</v>
      </c>
      <c r="DJ95" s="179" t="e">
        <f t="shared" ca="1" si="113"/>
        <v>#VALUE!</v>
      </c>
      <c r="DK95" s="179" t="e">
        <f t="shared" ca="1" si="113"/>
        <v>#VALUE!</v>
      </c>
      <c r="DL95" s="179" t="e">
        <f t="shared" ca="1" si="169"/>
        <v>#VALUE!</v>
      </c>
      <c r="DM95" s="179" t="e">
        <f t="shared" ca="1" si="169"/>
        <v>#VALUE!</v>
      </c>
      <c r="DN95" s="179" t="e">
        <f t="shared" ca="1" si="169"/>
        <v>#VALUE!</v>
      </c>
      <c r="DO95" s="179" t="e">
        <f t="shared" ca="1" si="169"/>
        <v>#VALUE!</v>
      </c>
      <c r="DP95" s="179" t="e">
        <f t="shared" ca="1" si="169"/>
        <v>#VALUE!</v>
      </c>
      <c r="DQ95" s="179" t="e">
        <f t="shared" ca="1" si="169"/>
        <v>#VALUE!</v>
      </c>
      <c r="DR95" s="431">
        <v>77</v>
      </c>
      <c r="DS95" s="430">
        <f t="shared" ca="1" si="164"/>
        <v>48497</v>
      </c>
      <c r="DT95" s="180">
        <f t="shared" ca="1" si="165"/>
        <v>67.8100000000004</v>
      </c>
      <c r="DU95" s="180">
        <f t="shared" ca="1" si="165"/>
        <v>67.8100000000004</v>
      </c>
      <c r="DV95" s="180">
        <f t="shared" ca="1" si="165"/>
        <v>67.8100000000004</v>
      </c>
      <c r="DW95" s="180">
        <f t="shared" ca="1" si="165"/>
        <v>67.8100000000004</v>
      </c>
      <c r="DX95" s="180">
        <f t="shared" ca="1" si="165"/>
        <v>67.8100000000004</v>
      </c>
      <c r="DY95" s="180">
        <f t="shared" ca="1" si="115"/>
        <v>67.8100000000004</v>
      </c>
      <c r="DZ95" s="180">
        <f t="shared" ca="1" si="115"/>
        <v>67.8100000000004</v>
      </c>
      <c r="EA95" s="180">
        <f t="shared" ca="1" si="115"/>
        <v>67.8100000000004</v>
      </c>
      <c r="EB95" s="180">
        <f t="shared" ca="1" si="115"/>
        <v>67.8100000000004</v>
      </c>
      <c r="EC95" s="180">
        <f t="shared" ca="1" si="115"/>
        <v>67.8100000000004</v>
      </c>
      <c r="ED95" s="180">
        <f t="shared" ca="1" si="115"/>
        <v>67.8100000000004</v>
      </c>
      <c r="EE95" s="180">
        <f t="shared" ca="1" si="115"/>
        <v>67.8100000000004</v>
      </c>
      <c r="EF95" s="180">
        <f t="shared" ca="1" si="115"/>
        <v>67.8100000000004</v>
      </c>
      <c r="EG95" s="180">
        <f t="shared" ca="1" si="115"/>
        <v>67.8100000000004</v>
      </c>
      <c r="EH95" s="180">
        <f t="shared" ca="1" si="75"/>
        <v>67.8100000000004</v>
      </c>
      <c r="EI95" s="180">
        <f t="shared" ca="1" si="163"/>
        <v>67.8100000000004</v>
      </c>
      <c r="EJ95" s="180">
        <f t="shared" ca="1" si="163"/>
        <v>67.8100000000004</v>
      </c>
      <c r="EK95" s="180">
        <f t="shared" ca="1" si="163"/>
        <v>67.8100000000004</v>
      </c>
      <c r="EL95" s="180">
        <f t="shared" ca="1" si="163"/>
        <v>67.8100000000004</v>
      </c>
      <c r="EM95" s="180">
        <f t="shared" ca="1" si="163"/>
        <v>67.8100000000004</v>
      </c>
      <c r="EN95" s="180">
        <f t="shared" ca="1" si="163"/>
        <v>67.8100000000004</v>
      </c>
      <c r="EO95" s="180">
        <f t="shared" ca="1" si="163"/>
        <v>67.8100000000004</v>
      </c>
      <c r="EP95" s="180">
        <f t="shared" ca="1" si="163"/>
        <v>67.8100000000004</v>
      </c>
      <c r="EQ95" s="180"/>
      <c r="ER95" s="180"/>
    </row>
    <row r="96" spans="2:148" s="87" customFormat="1" hidden="1" x14ac:dyDescent="0.25">
      <c r="B96" s="151"/>
      <c r="C96" s="87">
        <v>35</v>
      </c>
      <c r="D96" s="258">
        <f t="shared" ca="1" si="170"/>
        <v>47218</v>
      </c>
      <c r="E96" s="175">
        <f t="shared" ca="1" si="167"/>
        <v>0.5245315631795876</v>
      </c>
      <c r="F96" s="175">
        <f t="shared" ca="1" si="167"/>
        <v>0.5245315631795876</v>
      </c>
      <c r="G96" s="175">
        <f t="shared" ca="1" si="167"/>
        <v>0.5245315631795876</v>
      </c>
      <c r="H96" s="175">
        <f t="shared" ca="1" si="167"/>
        <v>0.5245315631795876</v>
      </c>
      <c r="I96" s="175">
        <f t="shared" si="167"/>
        <v>0</v>
      </c>
      <c r="J96" s="175">
        <f t="shared" si="167"/>
        <v>0</v>
      </c>
      <c r="K96" s="175">
        <f t="shared" si="167"/>
        <v>0</v>
      </c>
      <c r="L96" s="175">
        <f t="shared" si="167"/>
        <v>0</v>
      </c>
      <c r="M96" s="175">
        <f t="shared" si="167"/>
        <v>0</v>
      </c>
      <c r="N96" s="175">
        <f t="shared" si="167"/>
        <v>0</v>
      </c>
      <c r="O96" s="175">
        <f t="shared" si="168"/>
        <v>0</v>
      </c>
      <c r="P96" s="175">
        <f t="shared" si="168"/>
        <v>0</v>
      </c>
      <c r="Q96" s="175">
        <f t="shared" si="168"/>
        <v>0</v>
      </c>
      <c r="R96" s="175">
        <f t="shared" si="168"/>
        <v>0</v>
      </c>
      <c r="S96" s="175">
        <f t="shared" si="168"/>
        <v>0</v>
      </c>
      <c r="T96" s="175">
        <f t="shared" si="168"/>
        <v>0</v>
      </c>
      <c r="U96" s="175">
        <f t="shared" si="168"/>
        <v>0</v>
      </c>
      <c r="V96" s="175"/>
      <c r="W96" s="372"/>
      <c r="X96" s="87">
        <v>78</v>
      </c>
      <c r="Y96" s="87">
        <f t="shared" si="138"/>
        <v>0</v>
      </c>
      <c r="Z96" s="87">
        <f t="shared" ca="1" si="139"/>
        <v>70.569999999999993</v>
      </c>
      <c r="AA96" s="87">
        <f t="shared" ca="1" si="140"/>
        <v>1172.83</v>
      </c>
      <c r="AB96" s="87">
        <f t="shared" ca="1" si="141"/>
        <v>278.39999999999998</v>
      </c>
      <c r="AC96" s="87">
        <f t="shared" si="142"/>
        <v>0</v>
      </c>
      <c r="AD96" s="87">
        <f t="shared" si="143"/>
        <v>0</v>
      </c>
      <c r="AE96" s="87">
        <f t="shared" si="144"/>
        <v>0</v>
      </c>
      <c r="AF96" s="87">
        <f t="shared" si="145"/>
        <v>0</v>
      </c>
      <c r="AG96" s="87">
        <f t="shared" si="146"/>
        <v>0</v>
      </c>
      <c r="AH96" s="87">
        <f t="shared" si="147"/>
        <v>0</v>
      </c>
      <c r="AI96" s="87">
        <f t="shared" si="148"/>
        <v>0</v>
      </c>
      <c r="AJ96" s="87">
        <f t="shared" si="149"/>
        <v>0</v>
      </c>
      <c r="AK96" s="87">
        <f t="shared" si="150"/>
        <v>0</v>
      </c>
      <c r="AL96" s="87">
        <f t="shared" si="151"/>
        <v>0</v>
      </c>
      <c r="AM96" s="87">
        <f t="shared" si="152"/>
        <v>0</v>
      </c>
      <c r="AN96" s="87">
        <f t="shared" si="153"/>
        <v>0</v>
      </c>
      <c r="AO96" s="87">
        <f t="shared" si="154"/>
        <v>0</v>
      </c>
      <c r="AQ96" s="426">
        <v>78</v>
      </c>
      <c r="AR96" s="258">
        <f t="shared" ca="1" si="160"/>
        <v>48528</v>
      </c>
      <c r="AS96" s="429">
        <f t="shared" ca="1" si="118"/>
        <v>1521.7999999999997</v>
      </c>
      <c r="AT96" s="138"/>
      <c r="AU96" s="278">
        <v>78</v>
      </c>
      <c r="AV96" s="258">
        <f t="shared" ca="1" si="161"/>
        <v>48558</v>
      </c>
      <c r="AW96" s="429">
        <f t="shared" ca="1" si="155"/>
        <v>67.8100000000004</v>
      </c>
      <c r="AX96" s="202">
        <f t="shared" ca="1" si="156"/>
        <v>15.68</v>
      </c>
      <c r="AY96" s="278">
        <v>78</v>
      </c>
      <c r="AZ96" s="258">
        <f t="shared" ca="1" si="162"/>
        <v>48558</v>
      </c>
      <c r="BA96" s="429">
        <f t="shared" si="157"/>
        <v>1589.6100000000001</v>
      </c>
      <c r="BB96" s="259">
        <f t="shared" ca="1" si="119"/>
        <v>48528</v>
      </c>
      <c r="BC96" s="428">
        <f t="shared" ca="1" si="158"/>
        <v>67.8100000000004</v>
      </c>
      <c r="BD96" s="188">
        <f t="shared" si="120"/>
        <v>0</v>
      </c>
      <c r="BE96" s="188">
        <f t="shared" si="121"/>
        <v>70.569999999999993</v>
      </c>
      <c r="BF96" s="188">
        <f t="shared" si="122"/>
        <v>1172.83</v>
      </c>
      <c r="BG96" s="87">
        <f t="shared" si="123"/>
        <v>278.39999999999998</v>
      </c>
      <c r="BH96" s="87">
        <f t="shared" si="124"/>
        <v>0</v>
      </c>
      <c r="BI96" s="87">
        <f t="shared" si="125"/>
        <v>0</v>
      </c>
      <c r="BJ96" s="87">
        <f t="shared" si="126"/>
        <v>0</v>
      </c>
      <c r="BK96" s="87">
        <f t="shared" si="127"/>
        <v>0</v>
      </c>
      <c r="BL96" s="87">
        <f t="shared" si="128"/>
        <v>0</v>
      </c>
      <c r="BM96" s="87">
        <f t="shared" si="129"/>
        <v>0</v>
      </c>
      <c r="BN96" s="87">
        <f t="shared" si="130"/>
        <v>0</v>
      </c>
      <c r="BO96" s="87">
        <f t="shared" si="131"/>
        <v>0</v>
      </c>
      <c r="BP96" s="87">
        <f t="shared" si="132"/>
        <v>0</v>
      </c>
      <c r="BQ96" s="87">
        <f t="shared" si="133"/>
        <v>0</v>
      </c>
      <c r="BR96" s="87">
        <f t="shared" si="134"/>
        <v>0</v>
      </c>
      <c r="BS96" s="87">
        <f t="shared" si="135"/>
        <v>0</v>
      </c>
      <c r="BT96" s="87">
        <f t="shared" si="136"/>
        <v>0</v>
      </c>
      <c r="BV96" s="177"/>
      <c r="BW96" s="177"/>
      <c r="BX96" s="267"/>
      <c r="BY96" s="267"/>
      <c r="BZ96" s="267"/>
      <c r="CA96" s="267"/>
      <c r="CB96" s="267"/>
      <c r="CC96" s="267"/>
      <c r="CD96" s="267"/>
      <c r="CE96" s="267"/>
      <c r="CF96" s="267"/>
      <c r="CG96" s="267"/>
      <c r="CH96" s="267"/>
      <c r="CI96" s="435"/>
      <c r="CJ96" s="436"/>
      <c r="CK96" s="437"/>
      <c r="CM96" s="64" t="s">
        <v>3750</v>
      </c>
      <c r="CN96" s="707"/>
      <c r="CS96" s="138">
        <v>78</v>
      </c>
      <c r="CT96" s="259">
        <f t="shared" ca="1" si="137"/>
        <v>48558</v>
      </c>
      <c r="CU96" s="179">
        <f t="shared" ca="1" si="159"/>
        <v>367.67947797871511</v>
      </c>
      <c r="CV96" s="179">
        <f t="shared" ca="1" si="159"/>
        <v>382.38547152921694</v>
      </c>
      <c r="CW96" s="179">
        <f t="shared" ca="1" si="159"/>
        <v>391.49353507552649</v>
      </c>
      <c r="CX96" s="179">
        <f t="shared" ca="1" si="159"/>
        <v>400.82132590753196</v>
      </c>
      <c r="CY96" s="179">
        <f t="shared" ca="1" si="159"/>
        <v>410.37421197968354</v>
      </c>
      <c r="CZ96" s="179">
        <f t="shared" ca="1" si="159"/>
        <v>420.15769402736237</v>
      </c>
      <c r="DA96" s="179">
        <f t="shared" ca="1" si="159"/>
        <v>426.81090218978778</v>
      </c>
      <c r="DB96" s="179">
        <f t="shared" ca="1" si="159"/>
        <v>440.4391329304072</v>
      </c>
      <c r="DC96" s="179">
        <f t="shared" ca="1" si="159"/>
        <v>447.41764898222192</v>
      </c>
      <c r="DD96" s="179">
        <f t="shared" ca="1" si="159"/>
        <v>454.50814241398393</v>
      </c>
      <c r="DE96" s="179">
        <f t="shared" ca="1" si="166"/>
        <v>461.71243259623543</v>
      </c>
      <c r="DF96" s="179" t="e">
        <f t="shared" ca="1" si="166"/>
        <v>#VALUE!</v>
      </c>
      <c r="DG96" s="179" t="e">
        <f t="shared" ca="1" si="166"/>
        <v>#VALUE!</v>
      </c>
      <c r="DH96" s="179" t="e">
        <f t="shared" ca="1" si="166"/>
        <v>#VALUE!</v>
      </c>
      <c r="DI96" s="179" t="e">
        <f t="shared" ca="1" si="166"/>
        <v>#VALUE!</v>
      </c>
      <c r="DJ96" s="179" t="e">
        <f t="shared" ca="1" si="113"/>
        <v>#VALUE!</v>
      </c>
      <c r="DK96" s="179" t="e">
        <f t="shared" ca="1" si="113"/>
        <v>#VALUE!</v>
      </c>
      <c r="DL96" s="179" t="e">
        <f t="shared" ca="1" si="169"/>
        <v>#VALUE!</v>
      </c>
      <c r="DM96" s="179" t="e">
        <f t="shared" ca="1" si="169"/>
        <v>#VALUE!</v>
      </c>
      <c r="DN96" s="179" t="e">
        <f t="shared" ca="1" si="169"/>
        <v>#VALUE!</v>
      </c>
      <c r="DO96" s="179" t="e">
        <f t="shared" ca="1" si="169"/>
        <v>#VALUE!</v>
      </c>
      <c r="DP96" s="179" t="e">
        <f t="shared" ca="1" si="169"/>
        <v>#VALUE!</v>
      </c>
      <c r="DQ96" s="179" t="e">
        <f t="shared" ca="1" si="169"/>
        <v>#VALUE!</v>
      </c>
      <c r="DR96" s="278">
        <v>78</v>
      </c>
      <c r="DS96" s="430">
        <f t="shared" ca="1" si="164"/>
        <v>48528</v>
      </c>
      <c r="DT96" s="180">
        <f t="shared" ca="1" si="165"/>
        <v>67.8100000000004</v>
      </c>
      <c r="DU96" s="180">
        <f t="shared" ca="1" si="165"/>
        <v>67.8100000000004</v>
      </c>
      <c r="DV96" s="180">
        <f t="shared" ca="1" si="165"/>
        <v>67.8100000000004</v>
      </c>
      <c r="DW96" s="180">
        <f t="shared" ca="1" si="165"/>
        <v>67.8100000000004</v>
      </c>
      <c r="DX96" s="180">
        <f t="shared" ca="1" si="165"/>
        <v>67.8100000000004</v>
      </c>
      <c r="DY96" s="180">
        <f t="shared" ca="1" si="115"/>
        <v>67.8100000000004</v>
      </c>
      <c r="DZ96" s="180">
        <f t="shared" ca="1" si="115"/>
        <v>67.8100000000004</v>
      </c>
      <c r="EA96" s="180">
        <f t="shared" ca="1" si="115"/>
        <v>67.8100000000004</v>
      </c>
      <c r="EB96" s="180">
        <f t="shared" ca="1" si="115"/>
        <v>67.8100000000004</v>
      </c>
      <c r="EC96" s="180">
        <f t="shared" ca="1" si="115"/>
        <v>67.8100000000004</v>
      </c>
      <c r="ED96" s="180">
        <f t="shared" ca="1" si="115"/>
        <v>67.8100000000004</v>
      </c>
      <c r="EE96" s="180">
        <f t="shared" ca="1" si="115"/>
        <v>67.8100000000004</v>
      </c>
      <c r="EF96" s="180">
        <f t="shared" ca="1" si="115"/>
        <v>67.8100000000004</v>
      </c>
      <c r="EG96" s="180">
        <f t="shared" ca="1" si="115"/>
        <v>67.8100000000004</v>
      </c>
      <c r="EH96" s="180">
        <f t="shared" ca="1" si="75"/>
        <v>67.8100000000004</v>
      </c>
      <c r="EI96" s="180">
        <f t="shared" ca="1" si="163"/>
        <v>67.8100000000004</v>
      </c>
      <c r="EJ96" s="180">
        <f t="shared" ca="1" si="163"/>
        <v>67.8100000000004</v>
      </c>
      <c r="EK96" s="180">
        <f t="shared" ca="1" si="163"/>
        <v>67.8100000000004</v>
      </c>
      <c r="EL96" s="180">
        <f t="shared" ca="1" si="163"/>
        <v>67.8100000000004</v>
      </c>
      <c r="EM96" s="180">
        <f t="shared" ca="1" si="163"/>
        <v>67.8100000000004</v>
      </c>
      <c r="EN96" s="180">
        <f t="shared" ca="1" si="163"/>
        <v>67.8100000000004</v>
      </c>
      <c r="EO96" s="180">
        <f t="shared" ca="1" si="163"/>
        <v>67.8100000000004</v>
      </c>
      <c r="EP96" s="180">
        <f t="shared" ca="1" si="163"/>
        <v>67.8100000000004</v>
      </c>
      <c r="EQ96" s="180"/>
      <c r="ER96" s="180"/>
    </row>
    <row r="97" spans="2:148" s="87" customFormat="1" hidden="1" x14ac:dyDescent="0.25">
      <c r="B97" s="151"/>
      <c r="C97" s="87">
        <v>36</v>
      </c>
      <c r="D97" s="258">
        <f t="shared" ca="1" si="170"/>
        <v>47248</v>
      </c>
      <c r="E97" s="175">
        <f t="shared" ca="1" si="167"/>
        <v>0.51500398937612923</v>
      </c>
      <c r="F97" s="175">
        <f t="shared" ca="1" si="167"/>
        <v>0.51500398937612923</v>
      </c>
      <c r="G97" s="175">
        <f t="shared" ca="1" si="167"/>
        <v>0.51500398937612923</v>
      </c>
      <c r="H97" s="175">
        <f t="shared" ca="1" si="167"/>
        <v>0.51500398937612923</v>
      </c>
      <c r="I97" s="175">
        <f t="shared" si="167"/>
        <v>0</v>
      </c>
      <c r="J97" s="175">
        <f t="shared" si="167"/>
        <v>0</v>
      </c>
      <c r="K97" s="175">
        <f t="shared" si="167"/>
        <v>0</v>
      </c>
      <c r="L97" s="175">
        <f t="shared" si="167"/>
        <v>0</v>
      </c>
      <c r="M97" s="175">
        <f t="shared" si="167"/>
        <v>0</v>
      </c>
      <c r="N97" s="175">
        <f t="shared" si="167"/>
        <v>0</v>
      </c>
      <c r="O97" s="175">
        <f t="shared" si="168"/>
        <v>0</v>
      </c>
      <c r="P97" s="175">
        <f t="shared" si="168"/>
        <v>0</v>
      </c>
      <c r="Q97" s="175">
        <f t="shared" si="168"/>
        <v>0</v>
      </c>
      <c r="R97" s="175">
        <f t="shared" si="168"/>
        <v>0</v>
      </c>
      <c r="S97" s="175">
        <f t="shared" si="168"/>
        <v>0</v>
      </c>
      <c r="T97" s="175">
        <f t="shared" si="168"/>
        <v>0</v>
      </c>
      <c r="U97" s="175">
        <f t="shared" si="168"/>
        <v>0</v>
      </c>
      <c r="V97" s="175"/>
      <c r="W97" s="140"/>
      <c r="X97" s="87">
        <v>79</v>
      </c>
      <c r="Y97" s="87">
        <f t="shared" si="138"/>
        <v>0</v>
      </c>
      <c r="Z97" s="87">
        <f t="shared" ca="1" si="139"/>
        <v>70.569999999999993</v>
      </c>
      <c r="AA97" s="87">
        <f t="shared" ca="1" si="140"/>
        <v>1172.83</v>
      </c>
      <c r="AB97" s="87">
        <f t="shared" ca="1" si="141"/>
        <v>278.39999999999998</v>
      </c>
      <c r="AC97" s="87">
        <f t="shared" si="142"/>
        <v>0</v>
      </c>
      <c r="AD97" s="87">
        <f t="shared" si="143"/>
        <v>0</v>
      </c>
      <c r="AE97" s="87">
        <f t="shared" si="144"/>
        <v>0</v>
      </c>
      <c r="AF97" s="87">
        <f t="shared" si="145"/>
        <v>0</v>
      </c>
      <c r="AG97" s="87">
        <f t="shared" si="146"/>
        <v>0</v>
      </c>
      <c r="AH97" s="87">
        <f t="shared" si="147"/>
        <v>0</v>
      </c>
      <c r="AI97" s="87">
        <f t="shared" si="148"/>
        <v>0</v>
      </c>
      <c r="AJ97" s="87">
        <f t="shared" si="149"/>
        <v>0</v>
      </c>
      <c r="AK97" s="87">
        <f t="shared" si="150"/>
        <v>0</v>
      </c>
      <c r="AL97" s="87">
        <f t="shared" si="151"/>
        <v>0</v>
      </c>
      <c r="AM97" s="87">
        <f t="shared" si="152"/>
        <v>0</v>
      </c>
      <c r="AN97" s="87">
        <f t="shared" si="153"/>
        <v>0</v>
      </c>
      <c r="AO97" s="87">
        <f t="shared" si="154"/>
        <v>0</v>
      </c>
      <c r="AQ97" s="426">
        <v>79</v>
      </c>
      <c r="AR97" s="258">
        <f t="shared" ca="1" si="160"/>
        <v>48558</v>
      </c>
      <c r="AS97" s="429">
        <f t="shared" ca="1" si="118"/>
        <v>1521.7999999999997</v>
      </c>
      <c r="AT97" s="138"/>
      <c r="AU97" s="278">
        <v>79</v>
      </c>
      <c r="AV97" s="258">
        <f t="shared" ca="1" si="161"/>
        <v>48589</v>
      </c>
      <c r="AW97" s="429">
        <f t="shared" ca="1" si="155"/>
        <v>67.8100000000004</v>
      </c>
      <c r="AX97" s="202">
        <f t="shared" ca="1" si="156"/>
        <v>15.39</v>
      </c>
      <c r="AY97" s="278">
        <v>79</v>
      </c>
      <c r="AZ97" s="258">
        <f t="shared" ca="1" si="162"/>
        <v>48589</v>
      </c>
      <c r="BA97" s="429">
        <f t="shared" si="157"/>
        <v>1589.6100000000001</v>
      </c>
      <c r="BB97" s="259">
        <f t="shared" ca="1" si="119"/>
        <v>48558</v>
      </c>
      <c r="BC97" s="428">
        <f t="shared" ca="1" si="158"/>
        <v>67.8100000000004</v>
      </c>
      <c r="BD97" s="188">
        <f t="shared" si="120"/>
        <v>0</v>
      </c>
      <c r="BE97" s="188">
        <f t="shared" si="121"/>
        <v>70.569999999999993</v>
      </c>
      <c r="BF97" s="188">
        <f t="shared" si="122"/>
        <v>1172.83</v>
      </c>
      <c r="BG97" s="87">
        <f t="shared" si="123"/>
        <v>278.39999999999998</v>
      </c>
      <c r="BH97" s="87">
        <f t="shared" si="124"/>
        <v>0</v>
      </c>
      <c r="BI97" s="87">
        <f t="shared" si="125"/>
        <v>0</v>
      </c>
      <c r="BJ97" s="87">
        <f t="shared" si="126"/>
        <v>0</v>
      </c>
      <c r="BK97" s="87">
        <f t="shared" si="127"/>
        <v>0</v>
      </c>
      <c r="BL97" s="87">
        <f t="shared" si="128"/>
        <v>0</v>
      </c>
      <c r="BM97" s="87">
        <f t="shared" si="129"/>
        <v>0</v>
      </c>
      <c r="BN97" s="87">
        <f t="shared" si="130"/>
        <v>0</v>
      </c>
      <c r="BO97" s="87">
        <f t="shared" si="131"/>
        <v>0</v>
      </c>
      <c r="BP97" s="87">
        <f t="shared" si="132"/>
        <v>0</v>
      </c>
      <c r="BQ97" s="87">
        <f t="shared" si="133"/>
        <v>0</v>
      </c>
      <c r="BR97" s="87">
        <f t="shared" si="134"/>
        <v>0</v>
      </c>
      <c r="BS97" s="87">
        <f t="shared" si="135"/>
        <v>0</v>
      </c>
      <c r="BT97" s="87">
        <f t="shared" si="136"/>
        <v>0</v>
      </c>
      <c r="BV97" s="177"/>
      <c r="BW97" s="177"/>
      <c r="BX97" s="267"/>
      <c r="BY97" s="267"/>
      <c r="BZ97" s="267"/>
      <c r="CA97" s="267"/>
      <c r="CB97" s="267"/>
      <c r="CC97" s="267"/>
      <c r="CD97" s="267"/>
      <c r="CE97" s="267"/>
      <c r="CF97" s="267"/>
      <c r="CG97" s="267"/>
      <c r="CH97" s="267"/>
      <c r="CI97" s="435"/>
      <c r="CJ97" s="436"/>
      <c r="CK97" s="437"/>
      <c r="CM97" s="64" t="s">
        <v>387</v>
      </c>
      <c r="CN97" s="707">
        <v>38</v>
      </c>
      <c r="CS97" s="87">
        <v>79</v>
      </c>
      <c r="CT97" s="259">
        <f t="shared" ca="1" si="137"/>
        <v>48589</v>
      </c>
      <c r="CU97" s="179">
        <f t="shared" ca="1" si="159"/>
        <v>360.78044449384402</v>
      </c>
      <c r="CV97" s="179">
        <f t="shared" ca="1" si="159"/>
        <v>375.40093150903863</v>
      </c>
      <c r="CW97" s="179">
        <f t="shared" ca="1" si="159"/>
        <v>384.45970443872721</v>
      </c>
      <c r="CX97" s="179">
        <f t="shared" ca="1" si="159"/>
        <v>393.73984192467481</v>
      </c>
      <c r="CY97" s="179">
        <f t="shared" ca="1" si="159"/>
        <v>403.24682101766928</v>
      </c>
      <c r="CZ97" s="179">
        <f t="shared" ca="1" si="159"/>
        <v>412.98625595841645</v>
      </c>
      <c r="DA97" s="179">
        <f t="shared" ca="1" si="159"/>
        <v>419.6111907577241</v>
      </c>
      <c r="DB97" s="179">
        <f t="shared" ca="1" si="159"/>
        <v>433.18565725509598</v>
      </c>
      <c r="DC97" s="179">
        <f t="shared" ca="1" si="159"/>
        <v>440.13875759364004</v>
      </c>
      <c r="DD97" s="179">
        <f t="shared" ca="1" si="159"/>
        <v>447.20486467727312</v>
      </c>
      <c r="DE97" s="179">
        <f t="shared" ca="1" si="166"/>
        <v>454.38583796643508</v>
      </c>
      <c r="DF97" s="179" t="e">
        <f t="shared" ca="1" si="166"/>
        <v>#VALUE!</v>
      </c>
      <c r="DG97" s="179" t="e">
        <f t="shared" ca="1" si="166"/>
        <v>#VALUE!</v>
      </c>
      <c r="DH97" s="179" t="e">
        <f t="shared" ca="1" si="166"/>
        <v>#VALUE!</v>
      </c>
      <c r="DI97" s="179" t="e">
        <f t="shared" ca="1" si="166"/>
        <v>#VALUE!</v>
      </c>
      <c r="DJ97" s="179" t="e">
        <f t="shared" ca="1" si="113"/>
        <v>#VALUE!</v>
      </c>
      <c r="DK97" s="179" t="e">
        <f t="shared" ca="1" si="113"/>
        <v>#VALUE!</v>
      </c>
      <c r="DL97" s="179" t="e">
        <f t="shared" ca="1" si="169"/>
        <v>#VALUE!</v>
      </c>
      <c r="DM97" s="179" t="e">
        <f t="shared" ca="1" si="169"/>
        <v>#VALUE!</v>
      </c>
      <c r="DN97" s="179" t="e">
        <f t="shared" ca="1" si="169"/>
        <v>#VALUE!</v>
      </c>
      <c r="DO97" s="179" t="e">
        <f t="shared" ca="1" si="169"/>
        <v>#VALUE!</v>
      </c>
      <c r="DP97" s="179" t="e">
        <f t="shared" ca="1" si="169"/>
        <v>#VALUE!</v>
      </c>
      <c r="DQ97" s="179" t="e">
        <f t="shared" ca="1" si="169"/>
        <v>#VALUE!</v>
      </c>
      <c r="DR97" s="188">
        <v>79</v>
      </c>
      <c r="DS97" s="430">
        <f t="shared" ca="1" si="164"/>
        <v>48558</v>
      </c>
      <c r="DT97" s="180">
        <f t="shared" ca="1" si="165"/>
        <v>67.8100000000004</v>
      </c>
      <c r="DU97" s="180">
        <f t="shared" ca="1" si="165"/>
        <v>67.8100000000004</v>
      </c>
      <c r="DV97" s="180">
        <f t="shared" ca="1" si="165"/>
        <v>67.8100000000004</v>
      </c>
      <c r="DW97" s="180">
        <f t="shared" ca="1" si="165"/>
        <v>67.8100000000004</v>
      </c>
      <c r="DX97" s="180">
        <f t="shared" ca="1" si="165"/>
        <v>67.8100000000004</v>
      </c>
      <c r="DY97" s="180">
        <f t="shared" ca="1" si="115"/>
        <v>67.8100000000004</v>
      </c>
      <c r="DZ97" s="180">
        <f t="shared" ca="1" si="115"/>
        <v>67.8100000000004</v>
      </c>
      <c r="EA97" s="180">
        <f t="shared" ca="1" si="115"/>
        <v>67.8100000000004</v>
      </c>
      <c r="EB97" s="180">
        <f t="shared" ca="1" si="115"/>
        <v>67.8100000000004</v>
      </c>
      <c r="EC97" s="180">
        <f t="shared" ca="1" si="115"/>
        <v>67.8100000000004</v>
      </c>
      <c r="ED97" s="180">
        <f t="shared" ca="1" si="115"/>
        <v>67.8100000000004</v>
      </c>
      <c r="EE97" s="180">
        <f t="shared" ca="1" si="115"/>
        <v>67.8100000000004</v>
      </c>
      <c r="EF97" s="180">
        <f t="shared" ca="1" si="115"/>
        <v>67.8100000000004</v>
      </c>
      <c r="EG97" s="180">
        <f t="shared" ca="1" si="115"/>
        <v>67.8100000000004</v>
      </c>
      <c r="EH97" s="180">
        <f t="shared" ca="1" si="75"/>
        <v>67.8100000000004</v>
      </c>
      <c r="EI97" s="180">
        <f t="shared" ca="1" si="163"/>
        <v>67.8100000000004</v>
      </c>
      <c r="EJ97" s="180">
        <f t="shared" ca="1" si="163"/>
        <v>67.8100000000004</v>
      </c>
      <c r="EK97" s="180">
        <f t="shared" ca="1" si="163"/>
        <v>67.8100000000004</v>
      </c>
      <c r="EL97" s="180">
        <f t="shared" ca="1" si="163"/>
        <v>67.8100000000004</v>
      </c>
      <c r="EM97" s="180">
        <f t="shared" ca="1" si="163"/>
        <v>67.8100000000004</v>
      </c>
      <c r="EN97" s="180">
        <f t="shared" ca="1" si="163"/>
        <v>67.8100000000004</v>
      </c>
      <c r="EO97" s="180">
        <f t="shared" ca="1" si="163"/>
        <v>67.8100000000004</v>
      </c>
      <c r="EP97" s="180">
        <f t="shared" ca="1" si="163"/>
        <v>67.8100000000004</v>
      </c>
      <c r="EQ97" s="180"/>
      <c r="ER97" s="180"/>
    </row>
    <row r="98" spans="2:148" s="87" customFormat="1" hidden="1" x14ac:dyDescent="0.25">
      <c r="B98" s="151"/>
      <c r="C98" s="87">
        <v>37</v>
      </c>
      <c r="D98" s="258">
        <f t="shared" ca="1" si="170"/>
        <v>47279</v>
      </c>
      <c r="E98" s="175">
        <f t="shared" ca="1" si="167"/>
        <v>0.50534060052701402</v>
      </c>
      <c r="F98" s="175">
        <f t="shared" ca="1" si="167"/>
        <v>0.50534060052701402</v>
      </c>
      <c r="G98" s="175">
        <f t="shared" ca="1" si="167"/>
        <v>0.50534060052701402</v>
      </c>
      <c r="H98" s="175">
        <f t="shared" ca="1" si="167"/>
        <v>0.50534060052701402</v>
      </c>
      <c r="I98" s="175">
        <f t="shared" si="167"/>
        <v>0</v>
      </c>
      <c r="J98" s="175">
        <f t="shared" si="167"/>
        <v>0</v>
      </c>
      <c r="K98" s="175">
        <f t="shared" si="167"/>
        <v>0</v>
      </c>
      <c r="L98" s="175">
        <f t="shared" si="167"/>
        <v>0</v>
      </c>
      <c r="M98" s="175">
        <f t="shared" si="167"/>
        <v>0</v>
      </c>
      <c r="N98" s="175">
        <f t="shared" si="167"/>
        <v>0</v>
      </c>
      <c r="O98" s="175">
        <f t="shared" si="168"/>
        <v>0</v>
      </c>
      <c r="P98" s="175">
        <f t="shared" si="168"/>
        <v>0</v>
      </c>
      <c r="Q98" s="175">
        <f t="shared" si="168"/>
        <v>0</v>
      </c>
      <c r="R98" s="175">
        <f t="shared" si="168"/>
        <v>0</v>
      </c>
      <c r="S98" s="175">
        <f t="shared" si="168"/>
        <v>0</v>
      </c>
      <c r="T98" s="175">
        <f t="shared" si="168"/>
        <v>0</v>
      </c>
      <c r="U98" s="175">
        <f t="shared" si="168"/>
        <v>0</v>
      </c>
      <c r="V98" s="175"/>
      <c r="W98" s="140"/>
      <c r="X98" s="87">
        <v>80</v>
      </c>
      <c r="Y98" s="87">
        <f t="shared" si="138"/>
        <v>0</v>
      </c>
      <c r="Z98" s="87">
        <f t="shared" ca="1" si="139"/>
        <v>70.569999999999993</v>
      </c>
      <c r="AA98" s="87">
        <f t="shared" ca="1" si="140"/>
        <v>1172.83</v>
      </c>
      <c r="AB98" s="87">
        <f t="shared" ca="1" si="141"/>
        <v>278.39999999999998</v>
      </c>
      <c r="AC98" s="87">
        <f t="shared" si="142"/>
        <v>0</v>
      </c>
      <c r="AD98" s="87">
        <f t="shared" si="143"/>
        <v>0</v>
      </c>
      <c r="AE98" s="87">
        <f t="shared" si="144"/>
        <v>0</v>
      </c>
      <c r="AF98" s="87">
        <f t="shared" si="145"/>
        <v>0</v>
      </c>
      <c r="AG98" s="87">
        <f t="shared" si="146"/>
        <v>0</v>
      </c>
      <c r="AH98" s="87">
        <f t="shared" si="147"/>
        <v>0</v>
      </c>
      <c r="AI98" s="87">
        <f t="shared" si="148"/>
        <v>0</v>
      </c>
      <c r="AJ98" s="87">
        <f t="shared" si="149"/>
        <v>0</v>
      </c>
      <c r="AK98" s="87">
        <f t="shared" si="150"/>
        <v>0</v>
      </c>
      <c r="AL98" s="87">
        <f t="shared" si="151"/>
        <v>0</v>
      </c>
      <c r="AM98" s="87">
        <f t="shared" si="152"/>
        <v>0</v>
      </c>
      <c r="AN98" s="87">
        <f t="shared" si="153"/>
        <v>0</v>
      </c>
      <c r="AO98" s="87">
        <f t="shared" si="154"/>
        <v>0</v>
      </c>
      <c r="AQ98" s="426">
        <v>80</v>
      </c>
      <c r="AR98" s="258">
        <f t="shared" ca="1" si="160"/>
        <v>48589</v>
      </c>
      <c r="AS98" s="429">
        <f t="shared" ca="1" si="118"/>
        <v>1521.7999999999997</v>
      </c>
      <c r="AT98" s="138"/>
      <c r="AU98" s="278">
        <v>80</v>
      </c>
      <c r="AV98" s="258">
        <f t="shared" ca="1" si="161"/>
        <v>48620</v>
      </c>
      <c r="AW98" s="429">
        <f t="shared" ca="1" si="155"/>
        <v>67.8100000000004</v>
      </c>
      <c r="AX98" s="202">
        <f t="shared" ca="1" si="156"/>
        <v>15.1</v>
      </c>
      <c r="AY98" s="278">
        <v>80</v>
      </c>
      <c r="AZ98" s="258">
        <f t="shared" ca="1" si="162"/>
        <v>48620</v>
      </c>
      <c r="BA98" s="429">
        <f t="shared" si="157"/>
        <v>1589.6100000000001</v>
      </c>
      <c r="BB98" s="259">
        <f t="shared" ca="1" si="119"/>
        <v>48589</v>
      </c>
      <c r="BC98" s="428">
        <f t="shared" ca="1" si="158"/>
        <v>67.8100000000004</v>
      </c>
      <c r="BD98" s="188">
        <f t="shared" si="120"/>
        <v>0</v>
      </c>
      <c r="BE98" s="188">
        <f t="shared" si="121"/>
        <v>70.569999999999993</v>
      </c>
      <c r="BF98" s="188">
        <f t="shared" si="122"/>
        <v>1172.83</v>
      </c>
      <c r="BG98" s="87">
        <f t="shared" si="123"/>
        <v>278.39999999999998</v>
      </c>
      <c r="BH98" s="87">
        <f t="shared" si="124"/>
        <v>0</v>
      </c>
      <c r="BI98" s="87">
        <f t="shared" si="125"/>
        <v>0</v>
      </c>
      <c r="BJ98" s="87">
        <f t="shared" si="126"/>
        <v>0</v>
      </c>
      <c r="BK98" s="87">
        <f t="shared" si="127"/>
        <v>0</v>
      </c>
      <c r="BL98" s="87">
        <f t="shared" si="128"/>
        <v>0</v>
      </c>
      <c r="BM98" s="87">
        <f t="shared" si="129"/>
        <v>0</v>
      </c>
      <c r="BN98" s="87">
        <f t="shared" si="130"/>
        <v>0</v>
      </c>
      <c r="BO98" s="87">
        <f t="shared" si="131"/>
        <v>0</v>
      </c>
      <c r="BP98" s="87">
        <f t="shared" si="132"/>
        <v>0</v>
      </c>
      <c r="BQ98" s="87">
        <f t="shared" si="133"/>
        <v>0</v>
      </c>
      <c r="BR98" s="87">
        <f t="shared" si="134"/>
        <v>0</v>
      </c>
      <c r="BS98" s="87">
        <f t="shared" si="135"/>
        <v>0</v>
      </c>
      <c r="BT98" s="87">
        <f t="shared" si="136"/>
        <v>0</v>
      </c>
      <c r="BV98" s="177"/>
      <c r="BW98" s="177"/>
      <c r="BX98" s="267"/>
      <c r="BY98" s="267"/>
      <c r="BZ98" s="267"/>
      <c r="CA98" s="267"/>
      <c r="CB98" s="267"/>
      <c r="CC98" s="267"/>
      <c r="CD98" s="267"/>
      <c r="CE98" s="267"/>
      <c r="CF98" s="267"/>
      <c r="CG98" s="267"/>
      <c r="CH98" s="267"/>
      <c r="CI98" s="435"/>
      <c r="CJ98" s="436"/>
      <c r="CK98" s="437"/>
      <c r="CM98" s="64" t="s">
        <v>253</v>
      </c>
      <c r="CN98" s="707">
        <v>35.5</v>
      </c>
      <c r="CS98" s="178">
        <v>80</v>
      </c>
      <c r="CT98" s="259">
        <f t="shared" ca="1" si="137"/>
        <v>48620</v>
      </c>
      <c r="CU98" s="179">
        <f t="shared" ca="1" si="159"/>
        <v>354.01086251735489</v>
      </c>
      <c r="CV98" s="179">
        <f t="shared" ca="1" si="159"/>
        <v>368.54396903279377</v>
      </c>
      <c r="CW98" s="179">
        <f t="shared" ca="1" si="159"/>
        <v>377.55224823469518</v>
      </c>
      <c r="CX98" s="179">
        <f t="shared" ca="1" si="159"/>
        <v>386.78346958672813</v>
      </c>
      <c r="CY98" s="179">
        <f t="shared" ca="1" si="159"/>
        <v>396.24321878419238</v>
      </c>
      <c r="CZ98" s="179">
        <f t="shared" ca="1" si="159"/>
        <v>405.93722317850313</v>
      </c>
      <c r="DA98" s="179">
        <f t="shared" ca="1" si="159"/>
        <v>412.53292853054035</v>
      </c>
      <c r="DB98" s="179">
        <f t="shared" ca="1" si="159"/>
        <v>426.05163715363977</v>
      </c>
      <c r="DC98" s="179">
        <f t="shared" ca="1" si="159"/>
        <v>432.97828410825736</v>
      </c>
      <c r="DD98" s="179">
        <f t="shared" ca="1" si="159"/>
        <v>440.01893987821552</v>
      </c>
      <c r="DE98" s="179">
        <f t="shared" ca="1" si="166"/>
        <v>447.17550398954296</v>
      </c>
      <c r="DF98" s="179" t="e">
        <f t="shared" ca="1" si="166"/>
        <v>#VALUE!</v>
      </c>
      <c r="DG98" s="179" t="e">
        <f t="shared" ca="1" si="166"/>
        <v>#VALUE!</v>
      </c>
      <c r="DH98" s="179" t="e">
        <f t="shared" ca="1" si="166"/>
        <v>#VALUE!</v>
      </c>
      <c r="DI98" s="179" t="e">
        <f t="shared" ca="1" si="166"/>
        <v>#VALUE!</v>
      </c>
      <c r="DJ98" s="179" t="e">
        <f t="shared" ca="1" si="113"/>
        <v>#VALUE!</v>
      </c>
      <c r="DK98" s="179" t="e">
        <f t="shared" ca="1" si="113"/>
        <v>#VALUE!</v>
      </c>
      <c r="DL98" s="179" t="e">
        <f t="shared" ca="1" si="169"/>
        <v>#VALUE!</v>
      </c>
      <c r="DM98" s="179" t="e">
        <f t="shared" ca="1" si="169"/>
        <v>#VALUE!</v>
      </c>
      <c r="DN98" s="179" t="e">
        <f t="shared" ca="1" si="169"/>
        <v>#VALUE!</v>
      </c>
      <c r="DO98" s="179" t="e">
        <f t="shared" ca="1" si="169"/>
        <v>#VALUE!</v>
      </c>
      <c r="DP98" s="179" t="e">
        <f t="shared" ca="1" si="169"/>
        <v>#VALUE!</v>
      </c>
      <c r="DQ98" s="179" t="e">
        <f t="shared" ca="1" si="169"/>
        <v>#VALUE!</v>
      </c>
      <c r="DR98" s="431">
        <v>80</v>
      </c>
      <c r="DS98" s="430">
        <f t="shared" ca="1" si="164"/>
        <v>48589</v>
      </c>
      <c r="DT98" s="180">
        <f t="shared" ca="1" si="165"/>
        <v>67.8100000000004</v>
      </c>
      <c r="DU98" s="180">
        <f t="shared" ca="1" si="165"/>
        <v>67.8100000000004</v>
      </c>
      <c r="DV98" s="180">
        <f t="shared" ca="1" si="165"/>
        <v>67.8100000000004</v>
      </c>
      <c r="DW98" s="180">
        <f t="shared" ca="1" si="165"/>
        <v>67.8100000000004</v>
      </c>
      <c r="DX98" s="180">
        <f t="shared" ca="1" si="165"/>
        <v>67.8100000000004</v>
      </c>
      <c r="DY98" s="180">
        <f t="shared" ca="1" si="115"/>
        <v>67.8100000000004</v>
      </c>
      <c r="DZ98" s="180">
        <f t="shared" ca="1" si="115"/>
        <v>67.8100000000004</v>
      </c>
      <c r="EA98" s="180">
        <f t="shared" ca="1" si="115"/>
        <v>67.8100000000004</v>
      </c>
      <c r="EB98" s="180">
        <f t="shared" ca="1" si="115"/>
        <v>67.8100000000004</v>
      </c>
      <c r="EC98" s="180">
        <f t="shared" ca="1" si="115"/>
        <v>67.8100000000004</v>
      </c>
      <c r="ED98" s="180">
        <f t="shared" ca="1" si="115"/>
        <v>67.8100000000004</v>
      </c>
      <c r="EE98" s="180">
        <f t="shared" ca="1" si="115"/>
        <v>67.8100000000004</v>
      </c>
      <c r="EF98" s="180">
        <f t="shared" ca="1" si="115"/>
        <v>67.8100000000004</v>
      </c>
      <c r="EG98" s="180">
        <f t="shared" ca="1" si="115"/>
        <v>67.8100000000004</v>
      </c>
      <c r="EH98" s="180">
        <f t="shared" ca="1" si="75"/>
        <v>67.8100000000004</v>
      </c>
      <c r="EI98" s="180">
        <f t="shared" ca="1" si="163"/>
        <v>67.8100000000004</v>
      </c>
      <c r="EJ98" s="180">
        <f t="shared" ca="1" si="163"/>
        <v>67.8100000000004</v>
      </c>
      <c r="EK98" s="180">
        <f t="shared" ca="1" si="163"/>
        <v>67.8100000000004</v>
      </c>
      <c r="EL98" s="180">
        <f t="shared" ca="1" si="163"/>
        <v>67.8100000000004</v>
      </c>
      <c r="EM98" s="180">
        <f t="shared" ca="1" si="163"/>
        <v>67.8100000000004</v>
      </c>
      <c r="EN98" s="180">
        <f t="shared" ca="1" si="163"/>
        <v>67.8100000000004</v>
      </c>
      <c r="EO98" s="180">
        <f t="shared" ca="1" si="163"/>
        <v>67.8100000000004</v>
      </c>
      <c r="EP98" s="180">
        <f t="shared" ca="1" si="163"/>
        <v>67.8100000000004</v>
      </c>
      <c r="EQ98" s="180"/>
      <c r="ER98" s="180"/>
    </row>
    <row r="99" spans="2:148" s="87" customFormat="1" hidden="1" x14ac:dyDescent="0.25">
      <c r="B99" s="151"/>
      <c r="C99" s="87">
        <v>38</v>
      </c>
      <c r="D99" s="258">
        <f t="shared" ca="1" si="170"/>
        <v>47309</v>
      </c>
      <c r="E99" s="175">
        <f t="shared" ca="1" si="167"/>
        <v>0.49616161072853615</v>
      </c>
      <c r="F99" s="175">
        <f t="shared" ca="1" si="167"/>
        <v>0.49616161072853615</v>
      </c>
      <c r="G99" s="175">
        <f t="shared" ca="1" si="167"/>
        <v>0.49616161072853615</v>
      </c>
      <c r="H99" s="175">
        <f t="shared" ca="1" si="167"/>
        <v>0.49616161072853615</v>
      </c>
      <c r="I99" s="175">
        <f t="shared" si="167"/>
        <v>0</v>
      </c>
      <c r="J99" s="175">
        <f t="shared" si="167"/>
        <v>0</v>
      </c>
      <c r="K99" s="175">
        <f t="shared" si="167"/>
        <v>0</v>
      </c>
      <c r="L99" s="175">
        <f t="shared" si="167"/>
        <v>0</v>
      </c>
      <c r="M99" s="175">
        <f t="shared" si="167"/>
        <v>0</v>
      </c>
      <c r="N99" s="175">
        <f t="shared" si="167"/>
        <v>0</v>
      </c>
      <c r="O99" s="175">
        <f t="shared" si="168"/>
        <v>0</v>
      </c>
      <c r="P99" s="175">
        <f t="shared" si="168"/>
        <v>0</v>
      </c>
      <c r="Q99" s="175">
        <f t="shared" si="168"/>
        <v>0</v>
      </c>
      <c r="R99" s="175">
        <f t="shared" si="168"/>
        <v>0</v>
      </c>
      <c r="S99" s="175">
        <f t="shared" si="168"/>
        <v>0</v>
      </c>
      <c r="T99" s="175">
        <f t="shared" si="168"/>
        <v>0</v>
      </c>
      <c r="U99" s="175">
        <f t="shared" si="168"/>
        <v>0</v>
      </c>
      <c r="V99" s="175"/>
      <c r="W99" s="140"/>
      <c r="X99" s="87">
        <v>81</v>
      </c>
      <c r="Y99" s="87">
        <f t="shared" si="138"/>
        <v>0</v>
      </c>
      <c r="Z99" s="87">
        <f t="shared" ca="1" si="139"/>
        <v>70.569999999999993</v>
      </c>
      <c r="AA99" s="87">
        <f t="shared" ca="1" si="140"/>
        <v>1172.83</v>
      </c>
      <c r="AB99" s="87">
        <f t="shared" ca="1" si="141"/>
        <v>278.39999999999998</v>
      </c>
      <c r="AC99" s="87">
        <f t="shared" si="142"/>
        <v>0</v>
      </c>
      <c r="AD99" s="87">
        <f t="shared" si="143"/>
        <v>0</v>
      </c>
      <c r="AE99" s="87">
        <f t="shared" si="144"/>
        <v>0</v>
      </c>
      <c r="AF99" s="87">
        <f t="shared" si="145"/>
        <v>0</v>
      </c>
      <c r="AG99" s="87">
        <f t="shared" si="146"/>
        <v>0</v>
      </c>
      <c r="AH99" s="87">
        <f t="shared" si="147"/>
        <v>0</v>
      </c>
      <c r="AI99" s="87">
        <f t="shared" si="148"/>
        <v>0</v>
      </c>
      <c r="AJ99" s="87">
        <f t="shared" si="149"/>
        <v>0</v>
      </c>
      <c r="AK99" s="87">
        <f t="shared" si="150"/>
        <v>0</v>
      </c>
      <c r="AL99" s="87">
        <f t="shared" si="151"/>
        <v>0</v>
      </c>
      <c r="AM99" s="87">
        <f t="shared" si="152"/>
        <v>0</v>
      </c>
      <c r="AN99" s="87">
        <f t="shared" si="153"/>
        <v>0</v>
      </c>
      <c r="AO99" s="87">
        <f t="shared" si="154"/>
        <v>0</v>
      </c>
      <c r="AQ99" s="426">
        <v>81</v>
      </c>
      <c r="AR99" s="258">
        <f t="shared" ca="1" si="160"/>
        <v>48620</v>
      </c>
      <c r="AS99" s="429">
        <f t="shared" ca="1" si="118"/>
        <v>1521.7999999999997</v>
      </c>
      <c r="AT99" s="138"/>
      <c r="AU99" s="278">
        <v>81</v>
      </c>
      <c r="AV99" s="258">
        <f t="shared" ca="1" si="161"/>
        <v>48648</v>
      </c>
      <c r="AW99" s="429">
        <f t="shared" ca="1" si="155"/>
        <v>67.8100000000004</v>
      </c>
      <c r="AX99" s="202">
        <f t="shared" ca="1" si="156"/>
        <v>14.85</v>
      </c>
      <c r="AY99" s="278">
        <v>81</v>
      </c>
      <c r="AZ99" s="258">
        <f t="shared" ca="1" si="162"/>
        <v>48648</v>
      </c>
      <c r="BA99" s="429">
        <f t="shared" si="157"/>
        <v>1589.6100000000001</v>
      </c>
      <c r="BB99" s="259">
        <f t="shared" ca="1" si="119"/>
        <v>48620</v>
      </c>
      <c r="BC99" s="428">
        <f t="shared" ca="1" si="158"/>
        <v>67.8100000000004</v>
      </c>
      <c r="BD99" s="188">
        <f t="shared" si="120"/>
        <v>0</v>
      </c>
      <c r="BE99" s="188">
        <f t="shared" si="121"/>
        <v>70.569999999999993</v>
      </c>
      <c r="BF99" s="188">
        <f t="shared" si="122"/>
        <v>1172.83</v>
      </c>
      <c r="BG99" s="87">
        <f t="shared" si="123"/>
        <v>278.39999999999998</v>
      </c>
      <c r="BH99" s="87">
        <f t="shared" si="124"/>
        <v>0</v>
      </c>
      <c r="BI99" s="87">
        <f t="shared" si="125"/>
        <v>0</v>
      </c>
      <c r="BJ99" s="87">
        <f t="shared" si="126"/>
        <v>0</v>
      </c>
      <c r="BK99" s="87">
        <f t="shared" si="127"/>
        <v>0</v>
      </c>
      <c r="BL99" s="87">
        <f t="shared" si="128"/>
        <v>0</v>
      </c>
      <c r="BM99" s="87">
        <f t="shared" si="129"/>
        <v>0</v>
      </c>
      <c r="BN99" s="87">
        <f t="shared" si="130"/>
        <v>0</v>
      </c>
      <c r="BO99" s="87">
        <f t="shared" si="131"/>
        <v>0</v>
      </c>
      <c r="BP99" s="87">
        <f t="shared" si="132"/>
        <v>0</v>
      </c>
      <c r="BQ99" s="87">
        <f t="shared" si="133"/>
        <v>0</v>
      </c>
      <c r="BR99" s="87">
        <f t="shared" si="134"/>
        <v>0</v>
      </c>
      <c r="BS99" s="87">
        <f t="shared" si="135"/>
        <v>0</v>
      </c>
      <c r="BT99" s="87">
        <f t="shared" si="136"/>
        <v>0</v>
      </c>
      <c r="BV99" s="177"/>
      <c r="BW99" s="177"/>
      <c r="BX99" s="267"/>
      <c r="BY99" s="267"/>
      <c r="BZ99" s="267"/>
      <c r="CA99" s="267"/>
      <c r="CB99" s="267"/>
      <c r="CC99" s="267"/>
      <c r="CD99" s="267"/>
      <c r="CE99" s="267"/>
      <c r="CF99" s="267"/>
      <c r="CG99" s="267"/>
      <c r="CH99" s="267"/>
      <c r="CI99" s="435"/>
      <c r="CJ99" s="436"/>
      <c r="CK99" s="437"/>
      <c r="CM99" s="64" t="s">
        <v>400</v>
      </c>
      <c r="CN99" s="707">
        <v>57</v>
      </c>
      <c r="CS99" s="138">
        <v>81</v>
      </c>
      <c r="CT99" s="259">
        <f t="shared" ca="1" si="137"/>
        <v>48648</v>
      </c>
      <c r="CU99" s="179">
        <f t="shared" ca="1" si="159"/>
        <v>348.00564636670526</v>
      </c>
      <c r="CV99" s="179">
        <f t="shared" ca="1" si="159"/>
        <v>362.45830000456061</v>
      </c>
      <c r="CW99" s="179">
        <f t="shared" ca="1" si="159"/>
        <v>371.41998761883104</v>
      </c>
      <c r="CX99" s="179">
        <f t="shared" ca="1" si="159"/>
        <v>380.60599130987276</v>
      </c>
      <c r="CY99" s="179">
        <f t="shared" ca="1" si="159"/>
        <v>390.02199447655465</v>
      </c>
      <c r="CZ99" s="179">
        <f t="shared" ca="1" si="159"/>
        <v>399.6738262557036</v>
      </c>
      <c r="DA99" s="179">
        <f t="shared" ca="1" si="159"/>
        <v>406.24234282444081</v>
      </c>
      <c r="DB99" s="179">
        <f t="shared" ca="1" si="159"/>
        <v>419.70904367860686</v>
      </c>
      <c r="DC99" s="179">
        <f t="shared" ca="1" si="159"/>
        <v>426.61093929621666</v>
      </c>
      <c r="DD99" s="179">
        <f t="shared" ca="1" si="159"/>
        <v>433.6277253912956</v>
      </c>
      <c r="DE99" s="179">
        <f t="shared" ca="1" si="166"/>
        <v>440.76133764372759</v>
      </c>
      <c r="DF99" s="179" t="e">
        <f t="shared" ca="1" si="166"/>
        <v>#VALUE!</v>
      </c>
      <c r="DG99" s="179" t="e">
        <f t="shared" ca="1" si="166"/>
        <v>#VALUE!</v>
      </c>
      <c r="DH99" s="179" t="e">
        <f t="shared" ca="1" si="166"/>
        <v>#VALUE!</v>
      </c>
      <c r="DI99" s="179" t="e">
        <f t="shared" ca="1" si="166"/>
        <v>#VALUE!</v>
      </c>
      <c r="DJ99" s="179" t="e">
        <f t="shared" ca="1" si="113"/>
        <v>#VALUE!</v>
      </c>
      <c r="DK99" s="179" t="e">
        <f t="shared" ca="1" si="113"/>
        <v>#VALUE!</v>
      </c>
      <c r="DL99" s="179" t="e">
        <f t="shared" ca="1" si="169"/>
        <v>#VALUE!</v>
      </c>
      <c r="DM99" s="179" t="e">
        <f t="shared" ca="1" si="169"/>
        <v>#VALUE!</v>
      </c>
      <c r="DN99" s="179" t="e">
        <f t="shared" ca="1" si="169"/>
        <v>#VALUE!</v>
      </c>
      <c r="DO99" s="179" t="e">
        <f t="shared" ca="1" si="169"/>
        <v>#VALUE!</v>
      </c>
      <c r="DP99" s="179" t="e">
        <f t="shared" ca="1" si="169"/>
        <v>#VALUE!</v>
      </c>
      <c r="DQ99" s="179" t="e">
        <f t="shared" ca="1" si="169"/>
        <v>#VALUE!</v>
      </c>
      <c r="DR99" s="278">
        <v>81</v>
      </c>
      <c r="DS99" s="430">
        <f t="shared" ca="1" si="164"/>
        <v>48620</v>
      </c>
      <c r="DT99" s="180">
        <f t="shared" ca="1" si="165"/>
        <v>67.8100000000004</v>
      </c>
      <c r="DU99" s="180">
        <f t="shared" ca="1" si="165"/>
        <v>67.8100000000004</v>
      </c>
      <c r="DV99" s="180">
        <f t="shared" ca="1" si="165"/>
        <v>67.8100000000004</v>
      </c>
      <c r="DW99" s="180">
        <f t="shared" ca="1" si="165"/>
        <v>67.8100000000004</v>
      </c>
      <c r="DX99" s="180">
        <f t="shared" ca="1" si="165"/>
        <v>67.8100000000004</v>
      </c>
      <c r="DY99" s="180">
        <f t="shared" ca="1" si="115"/>
        <v>67.8100000000004</v>
      </c>
      <c r="DZ99" s="180">
        <f t="shared" ca="1" si="115"/>
        <v>67.8100000000004</v>
      </c>
      <c r="EA99" s="180">
        <f t="shared" ca="1" si="115"/>
        <v>67.8100000000004</v>
      </c>
      <c r="EB99" s="180">
        <f t="shared" ca="1" si="115"/>
        <v>67.8100000000004</v>
      </c>
      <c r="EC99" s="180">
        <f t="shared" ca="1" si="115"/>
        <v>67.8100000000004</v>
      </c>
      <c r="ED99" s="180">
        <f t="shared" ca="1" si="115"/>
        <v>67.8100000000004</v>
      </c>
      <c r="EE99" s="180">
        <f t="shared" ca="1" si="115"/>
        <v>67.8100000000004</v>
      </c>
      <c r="EF99" s="180">
        <f t="shared" ca="1" si="115"/>
        <v>67.8100000000004</v>
      </c>
      <c r="EG99" s="180">
        <f t="shared" ca="1" si="115"/>
        <v>67.8100000000004</v>
      </c>
      <c r="EH99" s="180">
        <f t="shared" ca="1" si="75"/>
        <v>67.8100000000004</v>
      </c>
      <c r="EI99" s="180">
        <f t="shared" ca="1" si="163"/>
        <v>67.8100000000004</v>
      </c>
      <c r="EJ99" s="180">
        <f t="shared" ca="1" si="163"/>
        <v>67.8100000000004</v>
      </c>
      <c r="EK99" s="180">
        <f t="shared" ca="1" si="163"/>
        <v>67.8100000000004</v>
      </c>
      <c r="EL99" s="180">
        <f t="shared" ca="1" si="163"/>
        <v>67.8100000000004</v>
      </c>
      <c r="EM99" s="180">
        <f t="shared" ca="1" si="163"/>
        <v>67.8100000000004</v>
      </c>
      <c r="EN99" s="180">
        <f t="shared" ca="1" si="163"/>
        <v>67.8100000000004</v>
      </c>
      <c r="EO99" s="180">
        <f t="shared" ca="1" si="163"/>
        <v>67.8100000000004</v>
      </c>
      <c r="EP99" s="180">
        <f t="shared" ca="1" si="163"/>
        <v>67.8100000000004</v>
      </c>
      <c r="EQ99" s="180"/>
      <c r="ER99" s="180"/>
    </row>
    <row r="100" spans="2:148" s="87" customFormat="1" hidden="1" x14ac:dyDescent="0.25">
      <c r="B100" s="151"/>
      <c r="C100" s="87">
        <v>39</v>
      </c>
      <c r="D100" s="258">
        <f t="shared" ca="1" si="170"/>
        <v>47340</v>
      </c>
      <c r="E100" s="175">
        <f t="shared" ca="1" si="167"/>
        <v>0.48685177493040704</v>
      </c>
      <c r="F100" s="175">
        <f t="shared" ca="1" si="167"/>
        <v>0.48685177493040704</v>
      </c>
      <c r="G100" s="175">
        <f t="shared" ca="1" si="167"/>
        <v>0.48685177493040704</v>
      </c>
      <c r="H100" s="175">
        <f t="shared" ca="1" si="167"/>
        <v>0.48685177493040704</v>
      </c>
      <c r="I100" s="175">
        <f t="shared" si="167"/>
        <v>0</v>
      </c>
      <c r="J100" s="175">
        <f t="shared" si="167"/>
        <v>0</v>
      </c>
      <c r="K100" s="175">
        <f t="shared" si="167"/>
        <v>0</v>
      </c>
      <c r="L100" s="175">
        <f t="shared" si="167"/>
        <v>0</v>
      </c>
      <c r="M100" s="175">
        <f t="shared" si="167"/>
        <v>0</v>
      </c>
      <c r="N100" s="175">
        <f t="shared" si="167"/>
        <v>0</v>
      </c>
      <c r="O100" s="175">
        <f t="shared" si="168"/>
        <v>0</v>
      </c>
      <c r="P100" s="175">
        <f t="shared" si="168"/>
        <v>0</v>
      </c>
      <c r="Q100" s="175">
        <f t="shared" si="168"/>
        <v>0</v>
      </c>
      <c r="R100" s="175">
        <f t="shared" si="168"/>
        <v>0</v>
      </c>
      <c r="S100" s="175">
        <f t="shared" si="168"/>
        <v>0</v>
      </c>
      <c r="T100" s="175">
        <f t="shared" si="168"/>
        <v>0</v>
      </c>
      <c r="U100" s="175">
        <f t="shared" si="168"/>
        <v>0</v>
      </c>
      <c r="V100" s="175"/>
      <c r="W100" s="140"/>
      <c r="X100" s="87">
        <v>82</v>
      </c>
      <c r="Y100" s="87">
        <f t="shared" si="138"/>
        <v>0</v>
      </c>
      <c r="Z100" s="87">
        <f t="shared" ca="1" si="139"/>
        <v>70.569999999999993</v>
      </c>
      <c r="AA100" s="87">
        <f t="shared" ca="1" si="140"/>
        <v>1172.83</v>
      </c>
      <c r="AB100" s="87">
        <f t="shared" ca="1" si="141"/>
        <v>278.39999999999998</v>
      </c>
      <c r="AC100" s="87">
        <f t="shared" si="142"/>
        <v>0</v>
      </c>
      <c r="AD100" s="87">
        <f t="shared" si="143"/>
        <v>0</v>
      </c>
      <c r="AE100" s="87">
        <f t="shared" si="144"/>
        <v>0</v>
      </c>
      <c r="AF100" s="87">
        <f t="shared" si="145"/>
        <v>0</v>
      </c>
      <c r="AG100" s="87">
        <f t="shared" si="146"/>
        <v>0</v>
      </c>
      <c r="AH100" s="87">
        <f t="shared" si="147"/>
        <v>0</v>
      </c>
      <c r="AI100" s="87">
        <f t="shared" si="148"/>
        <v>0</v>
      </c>
      <c r="AJ100" s="87">
        <f t="shared" si="149"/>
        <v>0</v>
      </c>
      <c r="AK100" s="87">
        <f t="shared" si="150"/>
        <v>0</v>
      </c>
      <c r="AL100" s="87">
        <f t="shared" si="151"/>
        <v>0</v>
      </c>
      <c r="AM100" s="87">
        <f t="shared" si="152"/>
        <v>0</v>
      </c>
      <c r="AN100" s="87">
        <f t="shared" si="153"/>
        <v>0</v>
      </c>
      <c r="AO100" s="87">
        <f t="shared" si="154"/>
        <v>0</v>
      </c>
      <c r="AQ100" s="426">
        <v>82</v>
      </c>
      <c r="AR100" s="258">
        <f t="shared" ca="1" si="160"/>
        <v>48648</v>
      </c>
      <c r="AS100" s="429">
        <f t="shared" ca="1" si="118"/>
        <v>1521.7999999999997</v>
      </c>
      <c r="AT100" s="138"/>
      <c r="AU100" s="278">
        <v>82</v>
      </c>
      <c r="AV100" s="258">
        <f t="shared" ca="1" si="161"/>
        <v>48679</v>
      </c>
      <c r="AW100" s="429">
        <f t="shared" ca="1" si="155"/>
        <v>67.8100000000004</v>
      </c>
      <c r="AX100" s="202">
        <f t="shared" ca="1" si="156"/>
        <v>14.57</v>
      </c>
      <c r="AY100" s="278">
        <v>82</v>
      </c>
      <c r="AZ100" s="258">
        <f t="shared" ca="1" si="162"/>
        <v>48679</v>
      </c>
      <c r="BA100" s="429">
        <f t="shared" si="157"/>
        <v>1589.6100000000001</v>
      </c>
      <c r="BB100" s="259">
        <f t="shared" ca="1" si="119"/>
        <v>48648</v>
      </c>
      <c r="BC100" s="428">
        <f t="shared" ca="1" si="158"/>
        <v>67.8100000000004</v>
      </c>
      <c r="BD100" s="188">
        <f t="shared" si="120"/>
        <v>0</v>
      </c>
      <c r="BE100" s="188">
        <f t="shared" si="121"/>
        <v>70.569999999999993</v>
      </c>
      <c r="BF100" s="188">
        <f t="shared" si="122"/>
        <v>1172.83</v>
      </c>
      <c r="BG100" s="87">
        <f t="shared" si="123"/>
        <v>278.39999999999998</v>
      </c>
      <c r="BH100" s="87">
        <f t="shared" si="124"/>
        <v>0</v>
      </c>
      <c r="BI100" s="87">
        <f t="shared" si="125"/>
        <v>0</v>
      </c>
      <c r="BJ100" s="87">
        <f t="shared" si="126"/>
        <v>0</v>
      </c>
      <c r="BK100" s="87">
        <f t="shared" si="127"/>
        <v>0</v>
      </c>
      <c r="BL100" s="87">
        <f t="shared" si="128"/>
        <v>0</v>
      </c>
      <c r="BM100" s="87">
        <f t="shared" si="129"/>
        <v>0</v>
      </c>
      <c r="BN100" s="87">
        <f t="shared" si="130"/>
        <v>0</v>
      </c>
      <c r="BO100" s="87">
        <f t="shared" si="131"/>
        <v>0</v>
      </c>
      <c r="BP100" s="87">
        <f t="shared" si="132"/>
        <v>0</v>
      </c>
      <c r="BQ100" s="87">
        <f t="shared" si="133"/>
        <v>0</v>
      </c>
      <c r="BR100" s="87">
        <f t="shared" si="134"/>
        <v>0</v>
      </c>
      <c r="BS100" s="87">
        <f t="shared" si="135"/>
        <v>0</v>
      </c>
      <c r="BT100" s="87">
        <f t="shared" si="136"/>
        <v>0</v>
      </c>
      <c r="BV100" s="177"/>
      <c r="BW100" s="177"/>
      <c r="BX100" s="267"/>
      <c r="BY100" s="267"/>
      <c r="BZ100" s="267"/>
      <c r="CA100" s="267"/>
      <c r="CB100" s="267"/>
      <c r="CC100" s="267"/>
      <c r="CD100" s="267"/>
      <c r="CE100" s="267"/>
      <c r="CF100" s="267"/>
      <c r="CG100" s="267"/>
      <c r="CH100" s="267"/>
      <c r="CI100" s="435"/>
      <c r="CJ100" s="436"/>
      <c r="CK100" s="437"/>
      <c r="CM100" s="64" t="s">
        <v>803</v>
      </c>
      <c r="CN100" s="707">
        <v>50.25</v>
      </c>
      <c r="CS100" s="87">
        <v>82</v>
      </c>
      <c r="CT100" s="259">
        <f t="shared" ca="1" si="137"/>
        <v>48679</v>
      </c>
      <c r="CU100" s="179">
        <f t="shared" ca="1" si="159"/>
        <v>341.47576708052145</v>
      </c>
      <c r="CV100" s="179">
        <f t="shared" ca="1" si="159"/>
        <v>355.83774381056247</v>
      </c>
      <c r="CW100" s="179">
        <f t="shared" ca="1" si="159"/>
        <v>364.74681155341034</v>
      </c>
      <c r="CX100" s="179">
        <f t="shared" ca="1" si="159"/>
        <v>373.88166039974016</v>
      </c>
      <c r="CY100" s="179">
        <f t="shared" ca="1" si="159"/>
        <v>383.24808140582644</v>
      </c>
      <c r="CZ100" s="179">
        <f t="shared" ca="1" si="159"/>
        <v>392.8520159365886</v>
      </c>
      <c r="DA100" s="179">
        <f t="shared" ca="1" si="159"/>
        <v>399.38959462889238</v>
      </c>
      <c r="DB100" s="179">
        <f t="shared" ca="1" si="159"/>
        <v>412.79696636436887</v>
      </c>
      <c r="DC100" s="179">
        <f t="shared" ca="1" si="159"/>
        <v>419.67054546199518</v>
      </c>
      <c r="DD100" s="179">
        <f t="shared" ca="1" si="159"/>
        <v>426.65996526261961</v>
      </c>
      <c r="DE100" s="179">
        <f t="shared" ca="1" si="166"/>
        <v>433.76720142078528</v>
      </c>
      <c r="DF100" s="179" t="e">
        <f t="shared" ca="1" si="166"/>
        <v>#VALUE!</v>
      </c>
      <c r="DG100" s="179" t="e">
        <f t="shared" ca="1" si="166"/>
        <v>#VALUE!</v>
      </c>
      <c r="DH100" s="179" t="e">
        <f t="shared" ca="1" si="166"/>
        <v>#VALUE!</v>
      </c>
      <c r="DI100" s="179" t="e">
        <f t="shared" ca="1" si="166"/>
        <v>#VALUE!</v>
      </c>
      <c r="DJ100" s="179" t="e">
        <f t="shared" ca="1" si="113"/>
        <v>#VALUE!</v>
      </c>
      <c r="DK100" s="179" t="e">
        <f t="shared" ca="1" si="113"/>
        <v>#VALUE!</v>
      </c>
      <c r="DL100" s="179" t="e">
        <f t="shared" ca="1" si="169"/>
        <v>#VALUE!</v>
      </c>
      <c r="DM100" s="179" t="e">
        <f t="shared" ca="1" si="169"/>
        <v>#VALUE!</v>
      </c>
      <c r="DN100" s="179" t="e">
        <f t="shared" ca="1" si="169"/>
        <v>#VALUE!</v>
      </c>
      <c r="DO100" s="179" t="e">
        <f t="shared" ca="1" si="169"/>
        <v>#VALUE!</v>
      </c>
      <c r="DP100" s="179" t="e">
        <f t="shared" ca="1" si="169"/>
        <v>#VALUE!</v>
      </c>
      <c r="DQ100" s="179" t="e">
        <f t="shared" ca="1" si="169"/>
        <v>#VALUE!</v>
      </c>
      <c r="DR100" s="188">
        <v>82</v>
      </c>
      <c r="DS100" s="430">
        <f t="shared" ca="1" si="164"/>
        <v>48648</v>
      </c>
      <c r="DT100" s="180">
        <f t="shared" ca="1" si="165"/>
        <v>67.8100000000004</v>
      </c>
      <c r="DU100" s="180">
        <f t="shared" ca="1" si="165"/>
        <v>67.8100000000004</v>
      </c>
      <c r="DV100" s="180">
        <f t="shared" ca="1" si="165"/>
        <v>67.8100000000004</v>
      </c>
      <c r="DW100" s="180">
        <f t="shared" ca="1" si="165"/>
        <v>67.8100000000004</v>
      </c>
      <c r="DX100" s="180">
        <f t="shared" ca="1" si="165"/>
        <v>67.8100000000004</v>
      </c>
      <c r="DY100" s="180">
        <f t="shared" ca="1" si="115"/>
        <v>67.8100000000004</v>
      </c>
      <c r="DZ100" s="180">
        <f t="shared" ca="1" si="115"/>
        <v>67.8100000000004</v>
      </c>
      <c r="EA100" s="180">
        <f t="shared" ca="1" si="115"/>
        <v>67.8100000000004</v>
      </c>
      <c r="EB100" s="180">
        <f t="shared" ca="1" si="115"/>
        <v>67.8100000000004</v>
      </c>
      <c r="EC100" s="180">
        <f t="shared" ca="1" si="115"/>
        <v>67.8100000000004</v>
      </c>
      <c r="ED100" s="180">
        <f t="shared" ca="1" si="115"/>
        <v>67.8100000000004</v>
      </c>
      <c r="EE100" s="180">
        <f t="shared" ca="1" si="115"/>
        <v>67.8100000000004</v>
      </c>
      <c r="EF100" s="180">
        <f t="shared" ca="1" si="115"/>
        <v>67.8100000000004</v>
      </c>
      <c r="EG100" s="180">
        <f t="shared" ca="1" si="115"/>
        <v>67.8100000000004</v>
      </c>
      <c r="EH100" s="180">
        <f t="shared" ca="1" si="115"/>
        <v>67.8100000000004</v>
      </c>
      <c r="EI100" s="180">
        <f t="shared" ca="1" si="163"/>
        <v>67.8100000000004</v>
      </c>
      <c r="EJ100" s="180">
        <f t="shared" ca="1" si="163"/>
        <v>67.8100000000004</v>
      </c>
      <c r="EK100" s="180">
        <f t="shared" ca="1" si="163"/>
        <v>67.8100000000004</v>
      </c>
      <c r="EL100" s="180">
        <f t="shared" ca="1" si="163"/>
        <v>67.8100000000004</v>
      </c>
      <c r="EM100" s="180">
        <f t="shared" ca="1" si="163"/>
        <v>67.8100000000004</v>
      </c>
      <c r="EN100" s="180">
        <f t="shared" ca="1" si="163"/>
        <v>67.8100000000004</v>
      </c>
      <c r="EO100" s="180">
        <f t="shared" ca="1" si="163"/>
        <v>67.8100000000004</v>
      </c>
      <c r="EP100" s="180">
        <f t="shared" ca="1" si="163"/>
        <v>67.8100000000004</v>
      </c>
      <c r="EQ100" s="180"/>
      <c r="ER100" s="180"/>
    </row>
    <row r="101" spans="2:148" s="87" customFormat="1" hidden="1" x14ac:dyDescent="0.25">
      <c r="B101" s="151"/>
      <c r="C101" s="87">
        <v>40</v>
      </c>
      <c r="D101" s="258">
        <f t="shared" ca="1" si="170"/>
        <v>47371</v>
      </c>
      <c r="E101" s="175">
        <f t="shared" ca="1" si="167"/>
        <v>0.47771662625178496</v>
      </c>
      <c r="F101" s="175">
        <f t="shared" ca="1" si="167"/>
        <v>0.47771662625178496</v>
      </c>
      <c r="G101" s="175">
        <f t="shared" ca="1" si="167"/>
        <v>0.47771662625178496</v>
      </c>
      <c r="H101" s="175">
        <f t="shared" ca="1" si="167"/>
        <v>0.47771662625178496</v>
      </c>
      <c r="I101" s="175">
        <f t="shared" si="167"/>
        <v>0</v>
      </c>
      <c r="J101" s="175">
        <f t="shared" si="167"/>
        <v>0</v>
      </c>
      <c r="K101" s="175">
        <f t="shared" si="167"/>
        <v>0</v>
      </c>
      <c r="L101" s="175">
        <f t="shared" si="167"/>
        <v>0</v>
      </c>
      <c r="M101" s="175">
        <f t="shared" si="167"/>
        <v>0</v>
      </c>
      <c r="N101" s="175">
        <f t="shared" si="167"/>
        <v>0</v>
      </c>
      <c r="O101" s="175">
        <f t="shared" si="168"/>
        <v>0</v>
      </c>
      <c r="P101" s="175">
        <f t="shared" si="168"/>
        <v>0</v>
      </c>
      <c r="Q101" s="175">
        <f t="shared" si="168"/>
        <v>0</v>
      </c>
      <c r="R101" s="175">
        <f t="shared" si="168"/>
        <v>0</v>
      </c>
      <c r="S101" s="175">
        <f t="shared" si="168"/>
        <v>0</v>
      </c>
      <c r="T101" s="175">
        <f t="shared" si="168"/>
        <v>0</v>
      </c>
      <c r="U101" s="175">
        <f t="shared" si="168"/>
        <v>0</v>
      </c>
      <c r="V101" s="175"/>
      <c r="W101" s="140"/>
      <c r="X101" s="87">
        <v>83</v>
      </c>
      <c r="Y101" s="87">
        <f t="shared" si="138"/>
        <v>0</v>
      </c>
      <c r="Z101" s="87">
        <f t="shared" ca="1" si="139"/>
        <v>70.569999999999993</v>
      </c>
      <c r="AA101" s="87">
        <f t="shared" ca="1" si="140"/>
        <v>1172.83</v>
      </c>
      <c r="AB101" s="87">
        <f t="shared" ca="1" si="141"/>
        <v>278.39999999999998</v>
      </c>
      <c r="AC101" s="87">
        <f t="shared" si="142"/>
        <v>0</v>
      </c>
      <c r="AD101" s="87">
        <f t="shared" si="143"/>
        <v>0</v>
      </c>
      <c r="AE101" s="87">
        <f t="shared" si="144"/>
        <v>0</v>
      </c>
      <c r="AF101" s="87">
        <f t="shared" si="145"/>
        <v>0</v>
      </c>
      <c r="AG101" s="87">
        <f t="shared" si="146"/>
        <v>0</v>
      </c>
      <c r="AH101" s="87">
        <f t="shared" si="147"/>
        <v>0</v>
      </c>
      <c r="AI101" s="87">
        <f t="shared" si="148"/>
        <v>0</v>
      </c>
      <c r="AJ101" s="87">
        <f t="shared" si="149"/>
        <v>0</v>
      </c>
      <c r="AK101" s="87">
        <f t="shared" si="150"/>
        <v>0</v>
      </c>
      <c r="AL101" s="87">
        <f t="shared" si="151"/>
        <v>0</v>
      </c>
      <c r="AM101" s="87">
        <f t="shared" si="152"/>
        <v>0</v>
      </c>
      <c r="AN101" s="87">
        <f t="shared" si="153"/>
        <v>0</v>
      </c>
      <c r="AO101" s="87">
        <f t="shared" si="154"/>
        <v>0</v>
      </c>
      <c r="AQ101" s="426">
        <v>83</v>
      </c>
      <c r="AR101" s="258">
        <f t="shared" ca="1" si="160"/>
        <v>48679</v>
      </c>
      <c r="AS101" s="429">
        <f t="shared" ca="1" si="118"/>
        <v>1521.7999999999997</v>
      </c>
      <c r="AT101" s="138"/>
      <c r="AU101" s="278">
        <v>83</v>
      </c>
      <c r="AV101" s="258">
        <f t="shared" ca="1" si="161"/>
        <v>48709</v>
      </c>
      <c r="AW101" s="429">
        <f t="shared" ca="1" si="155"/>
        <v>67.8100000000004</v>
      </c>
      <c r="AX101" s="202">
        <f t="shared" ca="1" si="156"/>
        <v>14.3</v>
      </c>
      <c r="AY101" s="278">
        <v>83</v>
      </c>
      <c r="AZ101" s="258">
        <f t="shared" ca="1" si="162"/>
        <v>48709</v>
      </c>
      <c r="BA101" s="429">
        <f t="shared" si="157"/>
        <v>1589.6100000000001</v>
      </c>
      <c r="BB101" s="259">
        <f t="shared" ca="1" si="119"/>
        <v>48679</v>
      </c>
      <c r="BC101" s="428">
        <f t="shared" ca="1" si="158"/>
        <v>67.8100000000004</v>
      </c>
      <c r="BD101" s="188">
        <f t="shared" si="120"/>
        <v>0</v>
      </c>
      <c r="BE101" s="188">
        <f t="shared" si="121"/>
        <v>70.569999999999993</v>
      </c>
      <c r="BF101" s="188">
        <f t="shared" si="122"/>
        <v>1172.83</v>
      </c>
      <c r="BG101" s="87">
        <f t="shared" si="123"/>
        <v>278.39999999999998</v>
      </c>
      <c r="BH101" s="87">
        <f t="shared" si="124"/>
        <v>0</v>
      </c>
      <c r="BI101" s="87">
        <f t="shared" si="125"/>
        <v>0</v>
      </c>
      <c r="BJ101" s="87">
        <f t="shared" si="126"/>
        <v>0</v>
      </c>
      <c r="BK101" s="87">
        <f t="shared" si="127"/>
        <v>0</v>
      </c>
      <c r="BL101" s="87">
        <f t="shared" si="128"/>
        <v>0</v>
      </c>
      <c r="BM101" s="87">
        <f t="shared" si="129"/>
        <v>0</v>
      </c>
      <c r="BN101" s="87">
        <f t="shared" si="130"/>
        <v>0</v>
      </c>
      <c r="BO101" s="87">
        <f t="shared" si="131"/>
        <v>0</v>
      </c>
      <c r="BP101" s="87">
        <f t="shared" si="132"/>
        <v>0</v>
      </c>
      <c r="BQ101" s="87">
        <f t="shared" si="133"/>
        <v>0</v>
      </c>
      <c r="BR101" s="87">
        <f t="shared" si="134"/>
        <v>0</v>
      </c>
      <c r="BS101" s="87">
        <f t="shared" si="135"/>
        <v>0</v>
      </c>
      <c r="BT101" s="87">
        <f t="shared" si="136"/>
        <v>0</v>
      </c>
      <c r="BV101" s="177"/>
      <c r="BW101" s="177"/>
      <c r="BX101" s="267"/>
      <c r="BY101" s="267"/>
      <c r="BZ101" s="267"/>
      <c r="CA101" s="267"/>
      <c r="CB101" s="267"/>
      <c r="CC101" s="267"/>
      <c r="CD101" s="267"/>
      <c r="CE101" s="267"/>
      <c r="CF101" s="267"/>
      <c r="CG101" s="267"/>
      <c r="CH101" s="267"/>
      <c r="CI101" s="435"/>
      <c r="CJ101" s="436"/>
      <c r="CK101" s="437"/>
      <c r="CM101" s="64" t="s">
        <v>3029</v>
      </c>
      <c r="CN101" s="707">
        <v>47.375</v>
      </c>
      <c r="CS101" s="178">
        <v>83</v>
      </c>
      <c r="CT101" s="259">
        <f t="shared" ca="1" si="137"/>
        <v>48709</v>
      </c>
      <c r="CU101" s="179">
        <f t="shared" ca="1" si="159"/>
        <v>335.27321264656013</v>
      </c>
      <c r="CV101" s="179">
        <f t="shared" ca="1" si="159"/>
        <v>349.54591729917735</v>
      </c>
      <c r="CW101" s="179">
        <f t="shared" ca="1" si="159"/>
        <v>358.40307708893613</v>
      </c>
      <c r="CX101" s="179">
        <f t="shared" ca="1" si="159"/>
        <v>367.48737998794979</v>
      </c>
      <c r="CY101" s="179">
        <f t="shared" ca="1" si="159"/>
        <v>376.80472068216159</v>
      </c>
      <c r="CZ101" s="179">
        <f t="shared" ca="1" si="159"/>
        <v>386.36114863944584</v>
      </c>
      <c r="DA101" s="179">
        <f t="shared" ca="1" si="159"/>
        <v>392.86798606029163</v>
      </c>
      <c r="DB101" s="179">
        <f t="shared" ca="1" si="159"/>
        <v>406.21626290530293</v>
      </c>
      <c r="DC101" s="179">
        <f t="shared" ca="1" si="159"/>
        <v>413.06156049408975</v>
      </c>
      <c r="DD101" s="179">
        <f t="shared" ca="1" si="159"/>
        <v>420.02359250110209</v>
      </c>
      <c r="DE101" s="179">
        <f t="shared" ca="1" si="166"/>
        <v>427.10437319888257</v>
      </c>
      <c r="DF101" s="179" t="e">
        <f t="shared" ca="1" si="166"/>
        <v>#VALUE!</v>
      </c>
      <c r="DG101" s="179" t="e">
        <f t="shared" ca="1" si="166"/>
        <v>#VALUE!</v>
      </c>
      <c r="DH101" s="179" t="e">
        <f t="shared" ca="1" si="166"/>
        <v>#VALUE!</v>
      </c>
      <c r="DI101" s="179" t="e">
        <f t="shared" ca="1" si="166"/>
        <v>#VALUE!</v>
      </c>
      <c r="DJ101" s="179" t="e">
        <f t="shared" ca="1" si="113"/>
        <v>#VALUE!</v>
      </c>
      <c r="DK101" s="179" t="e">
        <f t="shared" ca="1" si="113"/>
        <v>#VALUE!</v>
      </c>
      <c r="DL101" s="179" t="e">
        <f t="shared" ca="1" si="169"/>
        <v>#VALUE!</v>
      </c>
      <c r="DM101" s="179" t="e">
        <f t="shared" ca="1" si="169"/>
        <v>#VALUE!</v>
      </c>
      <c r="DN101" s="179" t="e">
        <f t="shared" ca="1" si="169"/>
        <v>#VALUE!</v>
      </c>
      <c r="DO101" s="179" t="e">
        <f t="shared" ca="1" si="169"/>
        <v>#VALUE!</v>
      </c>
      <c r="DP101" s="179" t="e">
        <f t="shared" ca="1" si="169"/>
        <v>#VALUE!</v>
      </c>
      <c r="DQ101" s="179" t="e">
        <f t="shared" ca="1" si="169"/>
        <v>#VALUE!</v>
      </c>
      <c r="DR101" s="431">
        <v>83</v>
      </c>
      <c r="DS101" s="430">
        <f t="shared" ca="1" si="164"/>
        <v>48679</v>
      </c>
      <c r="DT101" s="180">
        <f t="shared" ca="1" si="165"/>
        <v>67.8100000000004</v>
      </c>
      <c r="DU101" s="180">
        <f t="shared" ca="1" si="165"/>
        <v>67.8100000000004</v>
      </c>
      <c r="DV101" s="180">
        <f t="shared" ca="1" si="165"/>
        <v>67.8100000000004</v>
      </c>
      <c r="DW101" s="180">
        <f t="shared" ca="1" si="165"/>
        <v>67.8100000000004</v>
      </c>
      <c r="DX101" s="180">
        <f t="shared" ca="1" si="165"/>
        <v>67.8100000000004</v>
      </c>
      <c r="DY101" s="180">
        <f t="shared" ca="1" si="115"/>
        <v>67.8100000000004</v>
      </c>
      <c r="DZ101" s="180">
        <f t="shared" ca="1" si="115"/>
        <v>67.8100000000004</v>
      </c>
      <c r="EA101" s="180">
        <f t="shared" ca="1" si="115"/>
        <v>67.8100000000004</v>
      </c>
      <c r="EB101" s="180">
        <f t="shared" ca="1" si="115"/>
        <v>67.8100000000004</v>
      </c>
      <c r="EC101" s="180">
        <f t="shared" ca="1" si="115"/>
        <v>67.8100000000004</v>
      </c>
      <c r="ED101" s="180">
        <f t="shared" ca="1" si="115"/>
        <v>67.8100000000004</v>
      </c>
      <c r="EE101" s="180">
        <f t="shared" ca="1" si="115"/>
        <v>67.8100000000004</v>
      </c>
      <c r="EF101" s="180">
        <f t="shared" ca="1" si="115"/>
        <v>67.8100000000004</v>
      </c>
      <c r="EG101" s="180">
        <f t="shared" ca="1" si="115"/>
        <v>67.8100000000004</v>
      </c>
      <c r="EH101" s="180">
        <f t="shared" ca="1" si="115"/>
        <v>67.8100000000004</v>
      </c>
      <c r="EI101" s="180">
        <f t="shared" ca="1" si="163"/>
        <v>67.8100000000004</v>
      </c>
      <c r="EJ101" s="180">
        <f t="shared" ca="1" si="163"/>
        <v>67.8100000000004</v>
      </c>
      <c r="EK101" s="180">
        <f t="shared" ca="1" si="163"/>
        <v>67.8100000000004</v>
      </c>
      <c r="EL101" s="180">
        <f t="shared" ca="1" si="163"/>
        <v>67.8100000000004</v>
      </c>
      <c r="EM101" s="180">
        <f t="shared" ca="1" si="163"/>
        <v>67.8100000000004</v>
      </c>
      <c r="EN101" s="180">
        <f t="shared" ca="1" si="163"/>
        <v>67.8100000000004</v>
      </c>
      <c r="EO101" s="180">
        <f t="shared" ca="1" si="163"/>
        <v>67.8100000000004</v>
      </c>
      <c r="EP101" s="180">
        <f t="shared" ca="1" si="163"/>
        <v>67.8100000000004</v>
      </c>
      <c r="EQ101" s="180"/>
      <c r="ER101" s="180"/>
    </row>
    <row r="102" spans="2:148" s="87" customFormat="1" hidden="1" x14ac:dyDescent="0.25">
      <c r="B102" s="151"/>
      <c r="C102" s="87">
        <v>41</v>
      </c>
      <c r="D102" s="258">
        <f t="shared" ca="1" si="170"/>
        <v>47401</v>
      </c>
      <c r="E102" s="175">
        <f t="shared" ref="E102:N111" ca="1" si="171">IF($C102&lt;=E$17,1/(($D$60+1)^(($D102-$D$61)/30)),0)</f>
        <v>0.46903939739988698</v>
      </c>
      <c r="F102" s="175">
        <f t="shared" ca="1" si="171"/>
        <v>0.46903939739988698</v>
      </c>
      <c r="G102" s="175">
        <f t="shared" ca="1" si="171"/>
        <v>0.46903939739988698</v>
      </c>
      <c r="H102" s="175">
        <f t="shared" ca="1" si="171"/>
        <v>0.46903939739988698</v>
      </c>
      <c r="I102" s="175">
        <f t="shared" si="171"/>
        <v>0</v>
      </c>
      <c r="J102" s="175">
        <f t="shared" si="171"/>
        <v>0</v>
      </c>
      <c r="K102" s="175">
        <f t="shared" si="171"/>
        <v>0</v>
      </c>
      <c r="L102" s="175">
        <f t="shared" si="171"/>
        <v>0</v>
      </c>
      <c r="M102" s="175">
        <f t="shared" si="171"/>
        <v>0</v>
      </c>
      <c r="N102" s="175">
        <f t="shared" si="171"/>
        <v>0</v>
      </c>
      <c r="O102" s="175">
        <f t="shared" ref="O102:U111" si="172">IF($C102&lt;=O$17,1/(($D$60+1)^(($D102-$D$61)/30)),0)</f>
        <v>0</v>
      </c>
      <c r="P102" s="175">
        <f t="shared" si="172"/>
        <v>0</v>
      </c>
      <c r="Q102" s="175">
        <f t="shared" si="172"/>
        <v>0</v>
      </c>
      <c r="R102" s="175">
        <f t="shared" si="172"/>
        <v>0</v>
      </c>
      <c r="S102" s="175">
        <f t="shared" si="172"/>
        <v>0</v>
      </c>
      <c r="T102" s="175">
        <f t="shared" si="172"/>
        <v>0</v>
      </c>
      <c r="U102" s="175">
        <f t="shared" si="172"/>
        <v>0</v>
      </c>
      <c r="V102" s="175"/>
      <c r="W102" s="140"/>
      <c r="X102" s="87">
        <v>84</v>
      </c>
      <c r="Y102" s="87">
        <f t="shared" si="138"/>
        <v>0</v>
      </c>
      <c r="Z102" s="87">
        <f t="shared" si="139"/>
        <v>0</v>
      </c>
      <c r="AA102" s="87">
        <f t="shared" ca="1" si="140"/>
        <v>1172.83</v>
      </c>
      <c r="AB102" s="87">
        <f t="shared" ca="1" si="141"/>
        <v>278.39999999999998</v>
      </c>
      <c r="AC102" s="87">
        <f t="shared" si="142"/>
        <v>0</v>
      </c>
      <c r="AD102" s="87">
        <f t="shared" si="143"/>
        <v>0</v>
      </c>
      <c r="AE102" s="87">
        <f t="shared" si="144"/>
        <v>0</v>
      </c>
      <c r="AF102" s="87">
        <f t="shared" si="145"/>
        <v>0</v>
      </c>
      <c r="AG102" s="87">
        <f t="shared" si="146"/>
        <v>0</v>
      </c>
      <c r="AH102" s="87">
        <f t="shared" si="147"/>
        <v>0</v>
      </c>
      <c r="AI102" s="87">
        <f t="shared" si="148"/>
        <v>0</v>
      </c>
      <c r="AJ102" s="87">
        <f t="shared" si="149"/>
        <v>0</v>
      </c>
      <c r="AK102" s="87">
        <f t="shared" si="150"/>
        <v>0</v>
      </c>
      <c r="AL102" s="87">
        <f t="shared" si="151"/>
        <v>0</v>
      </c>
      <c r="AM102" s="87">
        <f t="shared" si="152"/>
        <v>0</v>
      </c>
      <c r="AN102" s="87">
        <f t="shared" si="153"/>
        <v>0</v>
      </c>
      <c r="AO102" s="87">
        <f t="shared" si="154"/>
        <v>0</v>
      </c>
      <c r="AQ102" s="426">
        <v>84</v>
      </c>
      <c r="AR102" s="258">
        <f t="shared" ca="1" si="160"/>
        <v>48709</v>
      </c>
      <c r="AS102" s="429">
        <f t="shared" ca="1" si="118"/>
        <v>1451.23</v>
      </c>
      <c r="AT102" s="138"/>
      <c r="AU102" s="278">
        <v>84</v>
      </c>
      <c r="AV102" s="258">
        <f t="shared" ca="1" si="161"/>
        <v>48740</v>
      </c>
      <c r="AW102" s="429">
        <f t="shared" ca="1" si="155"/>
        <v>138.38000000000011</v>
      </c>
      <c r="AX102" s="202">
        <f t="shared" ca="1" si="156"/>
        <v>28.64</v>
      </c>
      <c r="AY102" s="278">
        <v>84</v>
      </c>
      <c r="AZ102" s="258">
        <f t="shared" ca="1" si="162"/>
        <v>48740</v>
      </c>
      <c r="BA102" s="429">
        <f t="shared" si="157"/>
        <v>1589.6100000000001</v>
      </c>
      <c r="BB102" s="259">
        <f t="shared" ca="1" si="119"/>
        <v>48709</v>
      </c>
      <c r="BC102" s="428">
        <f t="shared" ca="1" si="158"/>
        <v>138.38000000000011</v>
      </c>
      <c r="BD102" s="188">
        <f t="shared" si="120"/>
        <v>0</v>
      </c>
      <c r="BE102" s="188">
        <f t="shared" si="121"/>
        <v>0</v>
      </c>
      <c r="BF102" s="188">
        <f t="shared" si="122"/>
        <v>1172.83</v>
      </c>
      <c r="BG102" s="87">
        <f t="shared" si="123"/>
        <v>278.39999999999998</v>
      </c>
      <c r="BH102" s="87">
        <f t="shared" si="124"/>
        <v>0</v>
      </c>
      <c r="BI102" s="87">
        <f t="shared" si="125"/>
        <v>0</v>
      </c>
      <c r="BJ102" s="87">
        <f t="shared" si="126"/>
        <v>0</v>
      </c>
      <c r="BK102" s="87">
        <f t="shared" si="127"/>
        <v>0</v>
      </c>
      <c r="BL102" s="87">
        <f t="shared" si="128"/>
        <v>0</v>
      </c>
      <c r="BM102" s="87">
        <f t="shared" si="129"/>
        <v>0</v>
      </c>
      <c r="BN102" s="87">
        <f t="shared" si="130"/>
        <v>0</v>
      </c>
      <c r="BO102" s="87">
        <f t="shared" si="131"/>
        <v>0</v>
      </c>
      <c r="BP102" s="87">
        <f t="shared" si="132"/>
        <v>0</v>
      </c>
      <c r="BQ102" s="87">
        <f t="shared" si="133"/>
        <v>0</v>
      </c>
      <c r="BR102" s="87">
        <f t="shared" si="134"/>
        <v>0</v>
      </c>
      <c r="BS102" s="87">
        <f t="shared" si="135"/>
        <v>0</v>
      </c>
      <c r="BT102" s="87">
        <f t="shared" si="136"/>
        <v>0</v>
      </c>
      <c r="BV102" s="177"/>
      <c r="BW102" s="177"/>
      <c r="BX102" s="267"/>
      <c r="BY102" s="267"/>
      <c r="BZ102" s="267"/>
      <c r="CA102" s="267"/>
      <c r="CB102" s="267"/>
      <c r="CC102" s="267"/>
      <c r="CD102" s="267"/>
      <c r="CE102" s="267"/>
      <c r="CF102" s="267"/>
      <c r="CG102" s="267"/>
      <c r="CH102" s="267"/>
      <c r="CI102" s="435"/>
      <c r="CJ102" s="436"/>
      <c r="CK102" s="437"/>
      <c r="CM102" s="64" t="s">
        <v>3030</v>
      </c>
      <c r="CN102" s="707">
        <v>43.5</v>
      </c>
      <c r="CS102" s="138">
        <v>84</v>
      </c>
      <c r="CT102" s="259">
        <f t="shared" ca="1" si="137"/>
        <v>48740</v>
      </c>
      <c r="CU102" s="179">
        <f t="shared" ca="1" si="159"/>
        <v>328.98224113695971</v>
      </c>
      <c r="CV102" s="179">
        <f t="shared" ca="1" si="159"/>
        <v>343.16121487180101</v>
      </c>
      <c r="CW102" s="179">
        <f t="shared" ca="1" si="159"/>
        <v>351.96377140930355</v>
      </c>
      <c r="CX102" s="179">
        <f t="shared" ca="1" si="159"/>
        <v>360.99482126644324</v>
      </c>
      <c r="CY102" s="179">
        <f t="shared" ca="1" si="159"/>
        <v>370.26036559786303</v>
      </c>
      <c r="CZ102" s="179">
        <f t="shared" ca="1" si="159"/>
        <v>379.76656501262755</v>
      </c>
      <c r="DA102" s="179">
        <f t="shared" ca="1" si="159"/>
        <v>386.24084482275981</v>
      </c>
      <c r="DB102" s="179">
        <f t="shared" ca="1" si="159"/>
        <v>399.52639463157499</v>
      </c>
      <c r="DC102" s="179">
        <f t="shared" ca="1" si="159"/>
        <v>406.34159707182874</v>
      </c>
      <c r="DD102" s="179">
        <f t="shared" ca="1" si="159"/>
        <v>413.27443079034771</v>
      </c>
      <c r="DE102" s="179">
        <f t="shared" ca="1" si="166"/>
        <v>420.32694988054715</v>
      </c>
      <c r="DF102" s="179" t="e">
        <f t="shared" ca="1" si="166"/>
        <v>#VALUE!</v>
      </c>
      <c r="DG102" s="179" t="e">
        <f t="shared" ca="1" si="166"/>
        <v>#VALUE!</v>
      </c>
      <c r="DH102" s="179" t="e">
        <f t="shared" ca="1" si="166"/>
        <v>#VALUE!</v>
      </c>
      <c r="DI102" s="179" t="e">
        <f t="shared" ca="1" si="166"/>
        <v>#VALUE!</v>
      </c>
      <c r="DJ102" s="179" t="e">
        <f t="shared" ca="1" si="113"/>
        <v>#VALUE!</v>
      </c>
      <c r="DK102" s="179" t="e">
        <f t="shared" ca="1" si="113"/>
        <v>#VALUE!</v>
      </c>
      <c r="DL102" s="179" t="e">
        <f t="shared" ca="1" si="169"/>
        <v>#VALUE!</v>
      </c>
      <c r="DM102" s="179" t="e">
        <f t="shared" ca="1" si="169"/>
        <v>#VALUE!</v>
      </c>
      <c r="DN102" s="179" t="e">
        <f t="shared" ca="1" si="169"/>
        <v>#VALUE!</v>
      </c>
      <c r="DO102" s="179" t="e">
        <f t="shared" ca="1" si="169"/>
        <v>#VALUE!</v>
      </c>
      <c r="DP102" s="179" t="e">
        <f t="shared" ca="1" si="169"/>
        <v>#VALUE!</v>
      </c>
      <c r="DQ102" s="179" t="e">
        <f t="shared" ca="1" si="169"/>
        <v>#VALUE!</v>
      </c>
      <c r="DR102" s="278">
        <v>84</v>
      </c>
      <c r="DS102" s="430">
        <f t="shared" ca="1" si="164"/>
        <v>48709</v>
      </c>
      <c r="DT102" s="180">
        <f t="shared" ca="1" si="165"/>
        <v>138.38000000000011</v>
      </c>
      <c r="DU102" s="180">
        <f t="shared" ca="1" si="165"/>
        <v>138.38000000000011</v>
      </c>
      <c r="DV102" s="180">
        <f t="shared" ca="1" si="165"/>
        <v>138.38000000000011</v>
      </c>
      <c r="DW102" s="180">
        <f t="shared" ca="1" si="165"/>
        <v>138.38000000000011</v>
      </c>
      <c r="DX102" s="180">
        <f t="shared" ca="1" si="165"/>
        <v>138.38000000000011</v>
      </c>
      <c r="DY102" s="180">
        <f t="shared" ca="1" si="115"/>
        <v>138.38000000000011</v>
      </c>
      <c r="DZ102" s="180">
        <f t="shared" ca="1" si="115"/>
        <v>138.38000000000011</v>
      </c>
      <c r="EA102" s="180">
        <f t="shared" ca="1" si="115"/>
        <v>138.38000000000011</v>
      </c>
      <c r="EB102" s="180">
        <f t="shared" ca="1" si="115"/>
        <v>138.38000000000011</v>
      </c>
      <c r="EC102" s="180">
        <f t="shared" ca="1" si="115"/>
        <v>138.38000000000011</v>
      </c>
      <c r="ED102" s="180">
        <f t="shared" ca="1" si="115"/>
        <v>138.38000000000011</v>
      </c>
      <c r="EE102" s="180">
        <f t="shared" ca="1" si="115"/>
        <v>138.38000000000011</v>
      </c>
      <c r="EF102" s="180">
        <f t="shared" ca="1" si="115"/>
        <v>138.38000000000011</v>
      </c>
      <c r="EG102" s="180">
        <f t="shared" ca="1" si="115"/>
        <v>138.38000000000011</v>
      </c>
      <c r="EH102" s="180">
        <f t="shared" ca="1" si="115"/>
        <v>138.38000000000011</v>
      </c>
      <c r="EI102" s="180">
        <f t="shared" ca="1" si="163"/>
        <v>138.38000000000011</v>
      </c>
      <c r="EJ102" s="180">
        <f t="shared" ca="1" si="163"/>
        <v>138.38000000000011</v>
      </c>
      <c r="EK102" s="180">
        <f t="shared" ca="1" si="163"/>
        <v>138.38000000000011</v>
      </c>
      <c r="EL102" s="180">
        <f t="shared" ca="1" si="163"/>
        <v>138.38000000000011</v>
      </c>
      <c r="EM102" s="180">
        <f t="shared" ca="1" si="163"/>
        <v>138.38000000000011</v>
      </c>
      <c r="EN102" s="180">
        <f t="shared" ca="1" si="163"/>
        <v>138.38000000000011</v>
      </c>
      <c r="EO102" s="180">
        <f t="shared" ca="1" si="163"/>
        <v>138.38000000000011</v>
      </c>
      <c r="EP102" s="180">
        <f t="shared" ca="1" si="163"/>
        <v>138.38000000000011</v>
      </c>
      <c r="EQ102" s="180"/>
      <c r="ER102" s="180"/>
    </row>
    <row r="103" spans="2:148" s="87" customFormat="1" hidden="1" x14ac:dyDescent="0.25">
      <c r="B103" s="151"/>
      <c r="C103" s="87">
        <v>42</v>
      </c>
      <c r="D103" s="258">
        <f t="shared" ca="1" si="170"/>
        <v>47432</v>
      </c>
      <c r="E103" s="175">
        <f t="shared" ca="1" si="171"/>
        <v>0.46023847512330329</v>
      </c>
      <c r="F103" s="175">
        <f t="shared" ca="1" si="171"/>
        <v>0.46023847512330329</v>
      </c>
      <c r="G103" s="175">
        <f t="shared" ca="1" si="171"/>
        <v>0.46023847512330329</v>
      </c>
      <c r="H103" s="175">
        <f t="shared" ca="1" si="171"/>
        <v>0.46023847512330329</v>
      </c>
      <c r="I103" s="175">
        <f t="shared" si="171"/>
        <v>0</v>
      </c>
      <c r="J103" s="175">
        <f t="shared" si="171"/>
        <v>0</v>
      </c>
      <c r="K103" s="175">
        <f t="shared" si="171"/>
        <v>0</v>
      </c>
      <c r="L103" s="175">
        <f t="shared" si="171"/>
        <v>0</v>
      </c>
      <c r="M103" s="175">
        <f t="shared" si="171"/>
        <v>0</v>
      </c>
      <c r="N103" s="175">
        <f t="shared" si="171"/>
        <v>0</v>
      </c>
      <c r="O103" s="175">
        <f t="shared" si="172"/>
        <v>0</v>
      </c>
      <c r="P103" s="175">
        <f t="shared" si="172"/>
        <v>0</v>
      </c>
      <c r="Q103" s="175">
        <f t="shared" si="172"/>
        <v>0</v>
      </c>
      <c r="R103" s="175">
        <f t="shared" si="172"/>
        <v>0</v>
      </c>
      <c r="S103" s="175">
        <f t="shared" si="172"/>
        <v>0</v>
      </c>
      <c r="T103" s="175">
        <f t="shared" si="172"/>
        <v>0</v>
      </c>
      <c r="U103" s="175">
        <f t="shared" si="172"/>
        <v>0</v>
      </c>
      <c r="V103" s="175"/>
      <c r="W103" s="140"/>
      <c r="X103" s="87">
        <v>85</v>
      </c>
      <c r="Y103" s="87">
        <f t="shared" si="138"/>
        <v>0</v>
      </c>
      <c r="Z103" s="87">
        <f t="shared" si="139"/>
        <v>0</v>
      </c>
      <c r="AA103" s="87">
        <f t="shared" ca="1" si="140"/>
        <v>1172.83</v>
      </c>
      <c r="AB103" s="87">
        <f t="shared" ca="1" si="141"/>
        <v>278.39999999999998</v>
      </c>
      <c r="AC103" s="87">
        <f t="shared" si="142"/>
        <v>0</v>
      </c>
      <c r="AD103" s="87">
        <f t="shared" si="143"/>
        <v>0</v>
      </c>
      <c r="AE103" s="87">
        <f t="shared" si="144"/>
        <v>0</v>
      </c>
      <c r="AF103" s="87">
        <f t="shared" si="145"/>
        <v>0</v>
      </c>
      <c r="AG103" s="87">
        <f t="shared" si="146"/>
        <v>0</v>
      </c>
      <c r="AH103" s="87">
        <f t="shared" si="147"/>
        <v>0</v>
      </c>
      <c r="AI103" s="87">
        <f t="shared" si="148"/>
        <v>0</v>
      </c>
      <c r="AJ103" s="87">
        <f t="shared" si="149"/>
        <v>0</v>
      </c>
      <c r="AK103" s="87">
        <f t="shared" si="150"/>
        <v>0</v>
      </c>
      <c r="AL103" s="87">
        <f t="shared" si="151"/>
        <v>0</v>
      </c>
      <c r="AM103" s="87">
        <f t="shared" si="152"/>
        <v>0</v>
      </c>
      <c r="AN103" s="87">
        <f t="shared" si="153"/>
        <v>0</v>
      </c>
      <c r="AO103" s="87">
        <f t="shared" si="154"/>
        <v>0</v>
      </c>
      <c r="AQ103" s="426">
        <v>85</v>
      </c>
      <c r="AR103" s="258">
        <f t="shared" ca="1" si="160"/>
        <v>48740</v>
      </c>
      <c r="AS103" s="429">
        <f t="shared" ca="1" si="118"/>
        <v>1451.23</v>
      </c>
      <c r="AT103" s="138"/>
      <c r="AU103" s="278">
        <v>85</v>
      </c>
      <c r="AV103" s="258">
        <f t="shared" ca="1" si="161"/>
        <v>48770</v>
      </c>
      <c r="AW103" s="429">
        <f t="shared" ca="1" si="155"/>
        <v>138.38000000000011</v>
      </c>
      <c r="AX103" s="202">
        <f t="shared" ca="1" si="156"/>
        <v>28.12</v>
      </c>
      <c r="AY103" s="278">
        <v>85</v>
      </c>
      <c r="AZ103" s="258">
        <f t="shared" ca="1" si="162"/>
        <v>48770</v>
      </c>
      <c r="BA103" s="429">
        <f t="shared" si="157"/>
        <v>1589.6100000000001</v>
      </c>
      <c r="BB103" s="259">
        <f t="shared" ca="1" si="119"/>
        <v>48740</v>
      </c>
      <c r="BC103" s="428">
        <f t="shared" ca="1" si="158"/>
        <v>138.38000000000011</v>
      </c>
      <c r="BD103" s="188">
        <f t="shared" si="120"/>
        <v>0</v>
      </c>
      <c r="BE103" s="188">
        <f t="shared" si="121"/>
        <v>0</v>
      </c>
      <c r="BF103" s="188">
        <f t="shared" si="122"/>
        <v>1172.83</v>
      </c>
      <c r="BG103" s="87">
        <f t="shared" si="123"/>
        <v>278.39999999999998</v>
      </c>
      <c r="BH103" s="87">
        <f t="shared" si="124"/>
        <v>0</v>
      </c>
      <c r="BI103" s="87">
        <f t="shared" si="125"/>
        <v>0</v>
      </c>
      <c r="BJ103" s="87">
        <f t="shared" si="126"/>
        <v>0</v>
      </c>
      <c r="BK103" s="87">
        <f t="shared" si="127"/>
        <v>0</v>
      </c>
      <c r="BL103" s="87">
        <f t="shared" si="128"/>
        <v>0</v>
      </c>
      <c r="BM103" s="87">
        <f t="shared" si="129"/>
        <v>0</v>
      </c>
      <c r="BN103" s="87">
        <f t="shared" si="130"/>
        <v>0</v>
      </c>
      <c r="BO103" s="87">
        <f t="shared" si="131"/>
        <v>0</v>
      </c>
      <c r="BP103" s="87">
        <f t="shared" si="132"/>
        <v>0</v>
      </c>
      <c r="BQ103" s="87">
        <f t="shared" si="133"/>
        <v>0</v>
      </c>
      <c r="BR103" s="87">
        <f t="shared" si="134"/>
        <v>0</v>
      </c>
      <c r="BS103" s="87">
        <f t="shared" si="135"/>
        <v>0</v>
      </c>
      <c r="BT103" s="87">
        <f t="shared" si="136"/>
        <v>0</v>
      </c>
      <c r="BV103" s="177"/>
      <c r="BW103" s="177"/>
      <c r="BX103" s="267"/>
      <c r="BY103" s="267"/>
      <c r="BZ103" s="267"/>
      <c r="CA103" s="267"/>
      <c r="CB103" s="267"/>
      <c r="CC103" s="267"/>
      <c r="CD103" s="267"/>
      <c r="CE103" s="267"/>
      <c r="CF103" s="267"/>
      <c r="CG103" s="267"/>
      <c r="CH103" s="267"/>
      <c r="CI103" s="435"/>
      <c r="CJ103" s="436"/>
      <c r="CK103" s="437"/>
      <c r="CM103" s="64" t="s">
        <v>368</v>
      </c>
      <c r="CN103" s="707">
        <v>49</v>
      </c>
      <c r="CS103" s="87">
        <v>85</v>
      </c>
      <c r="CT103" s="259">
        <f t="shared" ca="1" si="137"/>
        <v>48770</v>
      </c>
      <c r="CU103" s="179">
        <f t="shared" ca="1" si="159"/>
        <v>323.00661869117295</v>
      </c>
      <c r="CV103" s="179">
        <f t="shared" ca="1" si="159"/>
        <v>337.09353130825258</v>
      </c>
      <c r="CW103" s="179">
        <f t="shared" ca="1" si="159"/>
        <v>345.84236160882733</v>
      </c>
      <c r="CX103" s="179">
        <f t="shared" ca="1" si="159"/>
        <v>354.82093696328207</v>
      </c>
      <c r="CY103" s="179">
        <f t="shared" ca="1" si="159"/>
        <v>364.03536092602798</v>
      </c>
      <c r="CZ103" s="179">
        <f t="shared" ca="1" si="159"/>
        <v>373.4919010745748</v>
      </c>
      <c r="DA103" s="179">
        <f t="shared" ca="1" si="159"/>
        <v>379.93394139559297</v>
      </c>
      <c r="DB103" s="179">
        <f t="shared" ca="1" si="159"/>
        <v>393.1572472265056</v>
      </c>
      <c r="DC103" s="179">
        <f t="shared" ca="1" si="159"/>
        <v>399.94251680298095</v>
      </c>
      <c r="DD103" s="179">
        <f t="shared" ca="1" si="159"/>
        <v>406.8462598841777</v>
      </c>
      <c r="DE103" s="179">
        <f t="shared" ca="1" si="166"/>
        <v>413.87056900408334</v>
      </c>
      <c r="DF103" s="179" t="e">
        <f t="shared" ca="1" si="166"/>
        <v>#VALUE!</v>
      </c>
      <c r="DG103" s="179" t="e">
        <f t="shared" ca="1" si="166"/>
        <v>#VALUE!</v>
      </c>
      <c r="DH103" s="179" t="e">
        <f t="shared" ca="1" si="166"/>
        <v>#VALUE!</v>
      </c>
      <c r="DI103" s="179" t="e">
        <f t="shared" ca="1" si="166"/>
        <v>#VALUE!</v>
      </c>
      <c r="DJ103" s="179" t="e">
        <f t="shared" ca="1" si="113"/>
        <v>#VALUE!</v>
      </c>
      <c r="DK103" s="179" t="e">
        <f t="shared" ca="1" si="113"/>
        <v>#VALUE!</v>
      </c>
      <c r="DL103" s="179" t="e">
        <f t="shared" ca="1" si="169"/>
        <v>#VALUE!</v>
      </c>
      <c r="DM103" s="179" t="e">
        <f t="shared" ca="1" si="169"/>
        <v>#VALUE!</v>
      </c>
      <c r="DN103" s="179" t="e">
        <f t="shared" ca="1" si="169"/>
        <v>#VALUE!</v>
      </c>
      <c r="DO103" s="179" t="e">
        <f t="shared" ca="1" si="169"/>
        <v>#VALUE!</v>
      </c>
      <c r="DP103" s="179" t="e">
        <f t="shared" ca="1" si="169"/>
        <v>#VALUE!</v>
      </c>
      <c r="DQ103" s="179" t="e">
        <f t="shared" ca="1" si="169"/>
        <v>#VALUE!</v>
      </c>
      <c r="DR103" s="188">
        <v>85</v>
      </c>
      <c r="DS103" s="430">
        <f t="shared" ca="1" si="164"/>
        <v>48740</v>
      </c>
      <c r="DT103" s="180">
        <f t="shared" ca="1" si="165"/>
        <v>138.38000000000011</v>
      </c>
      <c r="DU103" s="180">
        <f t="shared" ca="1" si="165"/>
        <v>138.38000000000011</v>
      </c>
      <c r="DV103" s="180">
        <f t="shared" ca="1" si="165"/>
        <v>138.38000000000011</v>
      </c>
      <c r="DW103" s="180">
        <f t="shared" ca="1" si="165"/>
        <v>138.38000000000011</v>
      </c>
      <c r="DX103" s="180">
        <f t="shared" ca="1" si="165"/>
        <v>138.38000000000011</v>
      </c>
      <c r="DY103" s="180">
        <f t="shared" ca="1" si="115"/>
        <v>138.38000000000011</v>
      </c>
      <c r="DZ103" s="180">
        <f t="shared" ca="1" si="115"/>
        <v>138.38000000000011</v>
      </c>
      <c r="EA103" s="180">
        <f t="shared" ca="1" si="115"/>
        <v>138.38000000000011</v>
      </c>
      <c r="EB103" s="180">
        <f t="shared" ca="1" si="115"/>
        <v>138.38000000000011</v>
      </c>
      <c r="EC103" s="180">
        <f t="shared" ca="1" si="115"/>
        <v>138.38000000000011</v>
      </c>
      <c r="ED103" s="180">
        <f t="shared" ca="1" si="115"/>
        <v>138.38000000000011</v>
      </c>
      <c r="EE103" s="180">
        <f t="shared" ca="1" si="115"/>
        <v>138.38000000000011</v>
      </c>
      <c r="EF103" s="180">
        <f t="shared" ca="1" si="115"/>
        <v>138.38000000000011</v>
      </c>
      <c r="EG103" s="180">
        <f t="shared" ca="1" si="115"/>
        <v>138.38000000000011</v>
      </c>
      <c r="EH103" s="180">
        <f t="shared" ca="1" si="115"/>
        <v>138.38000000000011</v>
      </c>
      <c r="EI103" s="180">
        <f t="shared" ca="1" si="163"/>
        <v>138.38000000000011</v>
      </c>
      <c r="EJ103" s="180">
        <f t="shared" ca="1" si="163"/>
        <v>138.38000000000011</v>
      </c>
      <c r="EK103" s="180">
        <f t="shared" ca="1" si="163"/>
        <v>138.38000000000011</v>
      </c>
      <c r="EL103" s="180">
        <f t="shared" ca="1" si="163"/>
        <v>138.38000000000011</v>
      </c>
      <c r="EM103" s="180">
        <f t="shared" ca="1" si="163"/>
        <v>138.38000000000011</v>
      </c>
      <c r="EN103" s="180">
        <f t="shared" ca="1" si="163"/>
        <v>138.38000000000011</v>
      </c>
      <c r="EO103" s="180">
        <f t="shared" ca="1" si="163"/>
        <v>138.38000000000011</v>
      </c>
      <c r="EP103" s="180">
        <f t="shared" ca="1" si="163"/>
        <v>138.38000000000011</v>
      </c>
      <c r="EQ103" s="180"/>
      <c r="ER103" s="180"/>
    </row>
    <row r="104" spans="2:148" s="87" customFormat="1" hidden="1" x14ac:dyDescent="0.25">
      <c r="B104" s="151"/>
      <c r="C104" s="87">
        <v>43</v>
      </c>
      <c r="D104" s="258">
        <f t="shared" ca="1" si="170"/>
        <v>47462</v>
      </c>
      <c r="E104" s="175">
        <f t="shared" ca="1" si="171"/>
        <v>0.45187871882504005</v>
      </c>
      <c r="F104" s="175">
        <f t="shared" ca="1" si="171"/>
        <v>0.45187871882504005</v>
      </c>
      <c r="G104" s="175">
        <f t="shared" ca="1" si="171"/>
        <v>0.45187871882504005</v>
      </c>
      <c r="H104" s="175">
        <f t="shared" ca="1" si="171"/>
        <v>0.45187871882504005</v>
      </c>
      <c r="I104" s="175">
        <f t="shared" si="171"/>
        <v>0</v>
      </c>
      <c r="J104" s="175">
        <f t="shared" si="171"/>
        <v>0</v>
      </c>
      <c r="K104" s="175">
        <f t="shared" si="171"/>
        <v>0</v>
      </c>
      <c r="L104" s="175">
        <f t="shared" si="171"/>
        <v>0</v>
      </c>
      <c r="M104" s="175">
        <f t="shared" si="171"/>
        <v>0</v>
      </c>
      <c r="N104" s="175">
        <f t="shared" si="171"/>
        <v>0</v>
      </c>
      <c r="O104" s="175">
        <f t="shared" si="172"/>
        <v>0</v>
      </c>
      <c r="P104" s="175">
        <f t="shared" si="172"/>
        <v>0</v>
      </c>
      <c r="Q104" s="175">
        <f t="shared" si="172"/>
        <v>0</v>
      </c>
      <c r="R104" s="175">
        <f t="shared" si="172"/>
        <v>0</v>
      </c>
      <c r="S104" s="175">
        <f t="shared" si="172"/>
        <v>0</v>
      </c>
      <c r="T104" s="175">
        <f t="shared" si="172"/>
        <v>0</v>
      </c>
      <c r="U104" s="175">
        <f t="shared" si="172"/>
        <v>0</v>
      </c>
      <c r="V104" s="175"/>
      <c r="W104" s="140"/>
      <c r="X104" s="87">
        <v>86</v>
      </c>
      <c r="Y104" s="87">
        <f t="shared" si="138"/>
        <v>0</v>
      </c>
      <c r="Z104" s="87">
        <f t="shared" si="139"/>
        <v>0</v>
      </c>
      <c r="AA104" s="87">
        <f t="shared" ca="1" si="140"/>
        <v>1172.83</v>
      </c>
      <c r="AB104" s="87">
        <f t="shared" ca="1" si="141"/>
        <v>278.39999999999998</v>
      </c>
      <c r="AC104" s="87">
        <f t="shared" si="142"/>
        <v>0</v>
      </c>
      <c r="AD104" s="87">
        <f t="shared" si="143"/>
        <v>0</v>
      </c>
      <c r="AE104" s="87">
        <f t="shared" si="144"/>
        <v>0</v>
      </c>
      <c r="AF104" s="87">
        <f t="shared" si="145"/>
        <v>0</v>
      </c>
      <c r="AG104" s="87">
        <f t="shared" si="146"/>
        <v>0</v>
      </c>
      <c r="AH104" s="87">
        <f t="shared" si="147"/>
        <v>0</v>
      </c>
      <c r="AI104" s="87">
        <f t="shared" si="148"/>
        <v>0</v>
      </c>
      <c r="AJ104" s="87">
        <f t="shared" si="149"/>
        <v>0</v>
      </c>
      <c r="AK104" s="87">
        <f t="shared" si="150"/>
        <v>0</v>
      </c>
      <c r="AL104" s="87">
        <f t="shared" si="151"/>
        <v>0</v>
      </c>
      <c r="AM104" s="87">
        <f t="shared" si="152"/>
        <v>0</v>
      </c>
      <c r="AN104" s="87">
        <f t="shared" si="153"/>
        <v>0</v>
      </c>
      <c r="AO104" s="87">
        <f t="shared" si="154"/>
        <v>0</v>
      </c>
      <c r="AQ104" s="426">
        <v>86</v>
      </c>
      <c r="AR104" s="258">
        <f t="shared" ca="1" si="160"/>
        <v>48770</v>
      </c>
      <c r="AS104" s="429">
        <f t="shared" ca="1" si="118"/>
        <v>1451.23</v>
      </c>
      <c r="AT104" s="138"/>
      <c r="AU104" s="278">
        <v>86</v>
      </c>
      <c r="AV104" s="258">
        <f t="shared" ca="1" si="161"/>
        <v>48801</v>
      </c>
      <c r="AW104" s="429">
        <f t="shared" ca="1" si="155"/>
        <v>138.38000000000011</v>
      </c>
      <c r="AX104" s="202">
        <f t="shared" ca="1" si="156"/>
        <v>27.59</v>
      </c>
      <c r="AY104" s="278">
        <v>86</v>
      </c>
      <c r="AZ104" s="258">
        <f t="shared" ca="1" si="162"/>
        <v>48801</v>
      </c>
      <c r="BA104" s="429">
        <f t="shared" si="157"/>
        <v>1589.6100000000001</v>
      </c>
      <c r="BB104" s="259">
        <f t="shared" ca="1" si="119"/>
        <v>48770</v>
      </c>
      <c r="BC104" s="428">
        <f t="shared" ca="1" si="158"/>
        <v>138.38000000000011</v>
      </c>
      <c r="BD104" s="188">
        <f t="shared" si="120"/>
        <v>0</v>
      </c>
      <c r="BE104" s="188">
        <f t="shared" si="121"/>
        <v>0</v>
      </c>
      <c r="BF104" s="188">
        <f t="shared" si="122"/>
        <v>1172.83</v>
      </c>
      <c r="BG104" s="87">
        <f t="shared" si="123"/>
        <v>278.39999999999998</v>
      </c>
      <c r="BH104" s="87">
        <f t="shared" si="124"/>
        <v>0</v>
      </c>
      <c r="BI104" s="87">
        <f t="shared" si="125"/>
        <v>0</v>
      </c>
      <c r="BJ104" s="87">
        <f t="shared" si="126"/>
        <v>0</v>
      </c>
      <c r="BK104" s="87">
        <f t="shared" si="127"/>
        <v>0</v>
      </c>
      <c r="BL104" s="87">
        <f t="shared" si="128"/>
        <v>0</v>
      </c>
      <c r="BM104" s="87">
        <f t="shared" si="129"/>
        <v>0</v>
      </c>
      <c r="BN104" s="87">
        <f t="shared" si="130"/>
        <v>0</v>
      </c>
      <c r="BO104" s="87">
        <f t="shared" si="131"/>
        <v>0</v>
      </c>
      <c r="BP104" s="87">
        <f t="shared" si="132"/>
        <v>0</v>
      </c>
      <c r="BQ104" s="87">
        <f t="shared" si="133"/>
        <v>0</v>
      </c>
      <c r="BR104" s="87">
        <f t="shared" si="134"/>
        <v>0</v>
      </c>
      <c r="BS104" s="87">
        <f t="shared" si="135"/>
        <v>0</v>
      </c>
      <c r="BT104" s="87">
        <f t="shared" si="136"/>
        <v>0</v>
      </c>
      <c r="BV104" s="177"/>
      <c r="BW104" s="177"/>
      <c r="BX104" s="267"/>
      <c r="BY104" s="267"/>
      <c r="BZ104" s="267"/>
      <c r="CA104" s="267"/>
      <c r="CB104" s="267"/>
      <c r="CC104" s="267"/>
      <c r="CD104" s="267"/>
      <c r="CE104" s="267"/>
      <c r="CF104" s="267"/>
      <c r="CG104" s="267"/>
      <c r="CH104" s="267"/>
      <c r="CI104" s="435"/>
      <c r="CJ104" s="436"/>
      <c r="CK104" s="437"/>
      <c r="CM104" s="64" t="s">
        <v>3033</v>
      </c>
      <c r="CN104" s="707">
        <v>63.454545454545453</v>
      </c>
      <c r="CS104" s="178">
        <v>86</v>
      </c>
      <c r="CT104" s="259">
        <f t="shared" ca="1" si="137"/>
        <v>48801</v>
      </c>
      <c r="CU104" s="179">
        <f t="shared" ca="1" si="159"/>
        <v>316.94581407287899</v>
      </c>
      <c r="CV104" s="179">
        <f t="shared" ca="1" si="159"/>
        <v>330.93628048345022</v>
      </c>
      <c r="CW104" s="179">
        <f t="shared" ca="1" si="159"/>
        <v>339.62873001432888</v>
      </c>
      <c r="CX104" s="179">
        <f t="shared" ca="1" si="159"/>
        <v>348.55216177723457</v>
      </c>
      <c r="CY104" s="179">
        <f t="shared" ca="1" si="159"/>
        <v>357.71278444442845</v>
      </c>
      <c r="CZ104" s="179">
        <f t="shared" ca="1" si="159"/>
        <v>367.1169754790559</v>
      </c>
      <c r="DA104" s="179">
        <f t="shared" ca="1" si="159"/>
        <v>373.52497965806333</v>
      </c>
      <c r="DB104" s="179">
        <f t="shared" ca="1" si="159"/>
        <v>386.68244443058705</v>
      </c>
      <c r="DC104" s="179">
        <f t="shared" ca="1" si="159"/>
        <v>393.43598281151429</v>
      </c>
      <c r="DD104" s="179">
        <f t="shared" ca="1" si="159"/>
        <v>400.30883853833575</v>
      </c>
      <c r="DE104" s="179">
        <f t="shared" ca="1" si="166"/>
        <v>407.30314375359342</v>
      </c>
      <c r="DF104" s="179" t="e">
        <f t="shared" ca="1" si="166"/>
        <v>#VALUE!</v>
      </c>
      <c r="DG104" s="179" t="e">
        <f t="shared" ca="1" si="166"/>
        <v>#VALUE!</v>
      </c>
      <c r="DH104" s="179" t="e">
        <f t="shared" ca="1" si="166"/>
        <v>#VALUE!</v>
      </c>
      <c r="DI104" s="179" t="e">
        <f t="shared" ca="1" si="166"/>
        <v>#VALUE!</v>
      </c>
      <c r="DJ104" s="179" t="e">
        <f t="shared" ca="1" si="113"/>
        <v>#VALUE!</v>
      </c>
      <c r="DK104" s="179" t="e">
        <f t="shared" ca="1" si="113"/>
        <v>#VALUE!</v>
      </c>
      <c r="DL104" s="179" t="e">
        <f t="shared" ca="1" si="169"/>
        <v>#VALUE!</v>
      </c>
      <c r="DM104" s="179" t="e">
        <f t="shared" ca="1" si="169"/>
        <v>#VALUE!</v>
      </c>
      <c r="DN104" s="179" t="e">
        <f t="shared" ca="1" si="169"/>
        <v>#VALUE!</v>
      </c>
      <c r="DO104" s="179" t="e">
        <f t="shared" ca="1" si="169"/>
        <v>#VALUE!</v>
      </c>
      <c r="DP104" s="179" t="e">
        <f t="shared" ca="1" si="169"/>
        <v>#VALUE!</v>
      </c>
      <c r="DQ104" s="179" t="e">
        <f t="shared" ca="1" si="169"/>
        <v>#VALUE!</v>
      </c>
      <c r="DR104" s="431">
        <v>86</v>
      </c>
      <c r="DS104" s="430">
        <f t="shared" ca="1" si="164"/>
        <v>48770</v>
      </c>
      <c r="DT104" s="180">
        <f t="shared" ca="1" si="165"/>
        <v>138.38000000000011</v>
      </c>
      <c r="DU104" s="180">
        <f t="shared" ca="1" si="165"/>
        <v>138.38000000000011</v>
      </c>
      <c r="DV104" s="180">
        <f t="shared" ca="1" si="165"/>
        <v>138.38000000000011</v>
      </c>
      <c r="DW104" s="180">
        <f t="shared" ca="1" si="165"/>
        <v>138.38000000000011</v>
      </c>
      <c r="DX104" s="180">
        <f t="shared" ca="1" si="165"/>
        <v>138.38000000000011</v>
      </c>
      <c r="DY104" s="180">
        <f t="shared" ca="1" si="115"/>
        <v>138.38000000000011</v>
      </c>
      <c r="DZ104" s="180">
        <f t="shared" ca="1" si="115"/>
        <v>138.38000000000011</v>
      </c>
      <c r="EA104" s="180">
        <f t="shared" ca="1" si="115"/>
        <v>138.38000000000011</v>
      </c>
      <c r="EB104" s="180">
        <f t="shared" ca="1" si="115"/>
        <v>138.38000000000011</v>
      </c>
      <c r="EC104" s="180">
        <f t="shared" ca="1" si="115"/>
        <v>138.38000000000011</v>
      </c>
      <c r="ED104" s="180">
        <f t="shared" ca="1" si="115"/>
        <v>138.38000000000011</v>
      </c>
      <c r="EE104" s="180">
        <f t="shared" ca="1" si="115"/>
        <v>138.38000000000011</v>
      </c>
      <c r="EF104" s="180">
        <f t="shared" ca="1" si="115"/>
        <v>138.38000000000011</v>
      </c>
      <c r="EG104" s="180">
        <f t="shared" ca="1" si="115"/>
        <v>138.38000000000011</v>
      </c>
      <c r="EH104" s="180">
        <f t="shared" ca="1" si="115"/>
        <v>138.38000000000011</v>
      </c>
      <c r="EI104" s="180">
        <f t="shared" ca="1" si="163"/>
        <v>138.38000000000011</v>
      </c>
      <c r="EJ104" s="180">
        <f t="shared" ca="1" si="163"/>
        <v>138.38000000000011</v>
      </c>
      <c r="EK104" s="180">
        <f t="shared" ca="1" si="163"/>
        <v>138.38000000000011</v>
      </c>
      <c r="EL104" s="180">
        <f t="shared" ca="1" si="163"/>
        <v>138.38000000000011</v>
      </c>
      <c r="EM104" s="180">
        <f t="shared" ca="1" si="163"/>
        <v>138.38000000000011</v>
      </c>
      <c r="EN104" s="180">
        <f t="shared" ca="1" si="163"/>
        <v>138.38000000000011</v>
      </c>
      <c r="EO104" s="180">
        <f t="shared" ca="1" si="163"/>
        <v>138.38000000000011</v>
      </c>
      <c r="EP104" s="180">
        <f t="shared" ca="1" si="163"/>
        <v>138.38000000000011</v>
      </c>
      <c r="EQ104" s="180"/>
      <c r="ER104" s="180"/>
    </row>
    <row r="105" spans="2:148" s="87" customFormat="1" hidden="1" x14ac:dyDescent="0.25">
      <c r="B105" s="151"/>
      <c r="C105" s="87">
        <v>44</v>
      </c>
      <c r="D105" s="258">
        <f t="shared" ca="1" si="170"/>
        <v>47493</v>
      </c>
      <c r="E105" s="175">
        <f t="shared" ca="1" si="171"/>
        <v>0.44339979465605234</v>
      </c>
      <c r="F105" s="175">
        <f t="shared" ca="1" si="171"/>
        <v>0.44339979465605234</v>
      </c>
      <c r="G105" s="175">
        <f t="shared" ca="1" si="171"/>
        <v>0.44339979465605234</v>
      </c>
      <c r="H105" s="175">
        <f t="shared" ca="1" si="171"/>
        <v>0.44339979465605234</v>
      </c>
      <c r="I105" s="175">
        <f t="shared" si="171"/>
        <v>0</v>
      </c>
      <c r="J105" s="175">
        <f t="shared" si="171"/>
        <v>0</v>
      </c>
      <c r="K105" s="175">
        <f t="shared" si="171"/>
        <v>0</v>
      </c>
      <c r="L105" s="175">
        <f t="shared" si="171"/>
        <v>0</v>
      </c>
      <c r="M105" s="175">
        <f t="shared" si="171"/>
        <v>0</v>
      </c>
      <c r="N105" s="175">
        <f t="shared" si="171"/>
        <v>0</v>
      </c>
      <c r="O105" s="175">
        <f t="shared" si="172"/>
        <v>0</v>
      </c>
      <c r="P105" s="175">
        <f t="shared" si="172"/>
        <v>0</v>
      </c>
      <c r="Q105" s="175">
        <f t="shared" si="172"/>
        <v>0</v>
      </c>
      <c r="R105" s="175">
        <f t="shared" si="172"/>
        <v>0</v>
      </c>
      <c r="S105" s="175">
        <f t="shared" si="172"/>
        <v>0</v>
      </c>
      <c r="T105" s="175">
        <f t="shared" si="172"/>
        <v>0</v>
      </c>
      <c r="U105" s="175">
        <f t="shared" si="172"/>
        <v>0</v>
      </c>
      <c r="V105" s="175"/>
      <c r="W105" s="140"/>
      <c r="X105" s="87">
        <v>87</v>
      </c>
      <c r="Y105" s="87">
        <f t="shared" si="138"/>
        <v>0</v>
      </c>
      <c r="Z105" s="87">
        <f t="shared" si="139"/>
        <v>0</v>
      </c>
      <c r="AA105" s="87">
        <f t="shared" ca="1" si="140"/>
        <v>1172.83</v>
      </c>
      <c r="AB105" s="87">
        <f t="shared" ca="1" si="141"/>
        <v>278.39999999999998</v>
      </c>
      <c r="AC105" s="87">
        <f t="shared" si="142"/>
        <v>0</v>
      </c>
      <c r="AD105" s="87">
        <f t="shared" si="143"/>
        <v>0</v>
      </c>
      <c r="AE105" s="87">
        <f t="shared" si="144"/>
        <v>0</v>
      </c>
      <c r="AF105" s="87">
        <f t="shared" si="145"/>
        <v>0</v>
      </c>
      <c r="AG105" s="87">
        <f t="shared" si="146"/>
        <v>0</v>
      </c>
      <c r="AH105" s="87">
        <f t="shared" si="147"/>
        <v>0</v>
      </c>
      <c r="AI105" s="87">
        <f t="shared" si="148"/>
        <v>0</v>
      </c>
      <c r="AJ105" s="87">
        <f t="shared" si="149"/>
        <v>0</v>
      </c>
      <c r="AK105" s="87">
        <f t="shared" si="150"/>
        <v>0</v>
      </c>
      <c r="AL105" s="87">
        <f t="shared" si="151"/>
        <v>0</v>
      </c>
      <c r="AM105" s="87">
        <f t="shared" si="152"/>
        <v>0</v>
      </c>
      <c r="AN105" s="87">
        <f t="shared" si="153"/>
        <v>0</v>
      </c>
      <c r="AO105" s="87">
        <f t="shared" si="154"/>
        <v>0</v>
      </c>
      <c r="AQ105" s="426">
        <v>87</v>
      </c>
      <c r="AR105" s="258">
        <f t="shared" ca="1" si="160"/>
        <v>48801</v>
      </c>
      <c r="AS105" s="429">
        <f t="shared" ca="1" si="118"/>
        <v>1451.23</v>
      </c>
      <c r="AT105" s="138"/>
      <c r="AU105" s="278">
        <v>87</v>
      </c>
      <c r="AV105" s="258">
        <f t="shared" ca="1" si="161"/>
        <v>48832</v>
      </c>
      <c r="AW105" s="429">
        <f t="shared" ca="1" si="155"/>
        <v>138.38000000000011</v>
      </c>
      <c r="AX105" s="202">
        <f t="shared" ca="1" si="156"/>
        <v>27.07</v>
      </c>
      <c r="AY105" s="278">
        <v>87</v>
      </c>
      <c r="AZ105" s="258">
        <f t="shared" ca="1" si="162"/>
        <v>48832</v>
      </c>
      <c r="BA105" s="429">
        <f t="shared" si="157"/>
        <v>1589.6100000000001</v>
      </c>
      <c r="BB105" s="259">
        <f t="shared" ca="1" si="119"/>
        <v>48801</v>
      </c>
      <c r="BC105" s="428">
        <f t="shared" ca="1" si="158"/>
        <v>138.38000000000011</v>
      </c>
      <c r="BD105" s="188">
        <f t="shared" si="120"/>
        <v>0</v>
      </c>
      <c r="BE105" s="188">
        <f t="shared" si="121"/>
        <v>0</v>
      </c>
      <c r="BF105" s="188">
        <f t="shared" si="122"/>
        <v>1172.83</v>
      </c>
      <c r="BG105" s="87">
        <f t="shared" si="123"/>
        <v>278.39999999999998</v>
      </c>
      <c r="BH105" s="87">
        <f t="shared" si="124"/>
        <v>0</v>
      </c>
      <c r="BI105" s="87">
        <f t="shared" si="125"/>
        <v>0</v>
      </c>
      <c r="BJ105" s="87">
        <f t="shared" si="126"/>
        <v>0</v>
      </c>
      <c r="BK105" s="87">
        <f t="shared" si="127"/>
        <v>0</v>
      </c>
      <c r="BL105" s="87">
        <f t="shared" si="128"/>
        <v>0</v>
      </c>
      <c r="BM105" s="87">
        <f t="shared" si="129"/>
        <v>0</v>
      </c>
      <c r="BN105" s="87">
        <f t="shared" si="130"/>
        <v>0</v>
      </c>
      <c r="BO105" s="87">
        <f t="shared" si="131"/>
        <v>0</v>
      </c>
      <c r="BP105" s="87">
        <f t="shared" si="132"/>
        <v>0</v>
      </c>
      <c r="BQ105" s="87">
        <f t="shared" si="133"/>
        <v>0</v>
      </c>
      <c r="BR105" s="87">
        <f t="shared" si="134"/>
        <v>0</v>
      </c>
      <c r="BS105" s="87">
        <f t="shared" si="135"/>
        <v>0</v>
      </c>
      <c r="BT105" s="87">
        <f t="shared" si="136"/>
        <v>0</v>
      </c>
      <c r="BV105" s="177"/>
      <c r="BW105" s="177"/>
      <c r="BX105" s="267"/>
      <c r="BY105" s="267"/>
      <c r="BZ105" s="267"/>
      <c r="CA105" s="267"/>
      <c r="CB105" s="267"/>
      <c r="CC105" s="267"/>
      <c r="CD105" s="267"/>
      <c r="CE105" s="267"/>
      <c r="CF105" s="267"/>
      <c r="CG105" s="267"/>
      <c r="CH105" s="267"/>
      <c r="CI105" s="435"/>
      <c r="CJ105" s="436"/>
      <c r="CK105" s="437"/>
      <c r="CM105" s="64" t="s">
        <v>563</v>
      </c>
      <c r="CN105" s="707">
        <v>92</v>
      </c>
      <c r="CS105" s="138">
        <v>87</v>
      </c>
      <c r="CT105" s="259">
        <f t="shared" ca="1" si="137"/>
        <v>48832</v>
      </c>
      <c r="CU105" s="179">
        <f t="shared" ca="1" si="159"/>
        <v>310.99873267415643</v>
      </c>
      <c r="CV105" s="179">
        <f t="shared" ca="1" si="159"/>
        <v>324.89149618261951</v>
      </c>
      <c r="CW105" s="179">
        <f t="shared" ca="1" si="159"/>
        <v>333.52673661652892</v>
      </c>
      <c r="CX105" s="179">
        <f t="shared" ref="CV105:DI120" ca="1" si="173">(($AW105/(1+CX$18)^(($AZ105-$AZ$18)/30)))+($AS105/(1+CX$18)^(($AZ105-$AZ$18)/30))</f>
        <v>342.39413975775426</v>
      </c>
      <c r="CY105" s="179">
        <f t="shared" ca="1" si="173"/>
        <v>351.50001865062666</v>
      </c>
      <c r="CZ105" s="179">
        <f t="shared" ca="1" si="173"/>
        <v>360.85085994402687</v>
      </c>
      <c r="DA105" s="179">
        <f t="shared" ca="1" si="173"/>
        <v>367.22412826835512</v>
      </c>
      <c r="DB105" s="179">
        <f t="shared" ca="1" si="173"/>
        <v>380.31427345067118</v>
      </c>
      <c r="DC105" s="179">
        <f t="shared" ca="1" si="173"/>
        <v>387.03530149337814</v>
      </c>
      <c r="DD105" s="179">
        <f t="shared" ca="1" si="173"/>
        <v>393.87646394372882</v>
      </c>
      <c r="DE105" s="179">
        <f t="shared" ca="1" si="173"/>
        <v>400.83993242322913</v>
      </c>
      <c r="DF105" s="179" t="e">
        <f t="shared" ca="1" si="173"/>
        <v>#VALUE!</v>
      </c>
      <c r="DG105" s="179" t="e">
        <f t="shared" ca="1" si="173"/>
        <v>#VALUE!</v>
      </c>
      <c r="DH105" s="179" t="e">
        <f t="shared" ca="1" si="173"/>
        <v>#VALUE!</v>
      </c>
      <c r="DI105" s="179" t="e">
        <f t="shared" ca="1" si="173"/>
        <v>#VALUE!</v>
      </c>
      <c r="DJ105" s="179" t="e">
        <f t="shared" ca="1" si="113"/>
        <v>#VALUE!</v>
      </c>
      <c r="DK105" s="179" t="e">
        <f t="shared" ca="1" si="113"/>
        <v>#VALUE!</v>
      </c>
      <c r="DL105" s="179" t="e">
        <f t="shared" ca="1" si="169"/>
        <v>#VALUE!</v>
      </c>
      <c r="DM105" s="179" t="e">
        <f t="shared" ca="1" si="169"/>
        <v>#VALUE!</v>
      </c>
      <c r="DN105" s="179" t="e">
        <f t="shared" ca="1" si="169"/>
        <v>#VALUE!</v>
      </c>
      <c r="DO105" s="179" t="e">
        <f t="shared" ca="1" si="169"/>
        <v>#VALUE!</v>
      </c>
      <c r="DP105" s="179" t="e">
        <f t="shared" ca="1" si="169"/>
        <v>#VALUE!</v>
      </c>
      <c r="DQ105" s="179" t="e">
        <f t="shared" ca="1" si="169"/>
        <v>#VALUE!</v>
      </c>
      <c r="DR105" s="278">
        <v>87</v>
      </c>
      <c r="DS105" s="430">
        <f t="shared" ca="1" si="164"/>
        <v>48801</v>
      </c>
      <c r="DT105" s="180">
        <f t="shared" ca="1" si="165"/>
        <v>138.38000000000011</v>
      </c>
      <c r="DU105" s="180">
        <f t="shared" ca="1" si="165"/>
        <v>138.38000000000011</v>
      </c>
      <c r="DV105" s="180">
        <f t="shared" ca="1" si="165"/>
        <v>138.38000000000011</v>
      </c>
      <c r="DW105" s="180">
        <f t="shared" ca="1" si="165"/>
        <v>138.38000000000011</v>
      </c>
      <c r="DX105" s="180">
        <f t="shared" ca="1" si="165"/>
        <v>138.38000000000011</v>
      </c>
      <c r="DY105" s="180">
        <f t="shared" ca="1" si="115"/>
        <v>138.38000000000011</v>
      </c>
      <c r="DZ105" s="180">
        <f t="shared" ca="1" si="115"/>
        <v>138.38000000000011</v>
      </c>
      <c r="EA105" s="180">
        <f t="shared" ca="1" si="115"/>
        <v>138.38000000000011</v>
      </c>
      <c r="EB105" s="180">
        <f t="shared" ca="1" si="115"/>
        <v>138.38000000000011</v>
      </c>
      <c r="EC105" s="180">
        <f t="shared" ca="1" si="115"/>
        <v>138.38000000000011</v>
      </c>
      <c r="ED105" s="180">
        <f t="shared" ca="1" si="115"/>
        <v>138.38000000000011</v>
      </c>
      <c r="EE105" s="180">
        <f t="shared" ca="1" si="115"/>
        <v>138.38000000000011</v>
      </c>
      <c r="EF105" s="180">
        <f t="shared" ref="EF105:EH136" ca="1" si="174">IFERROR(VLOOKUP($DS105,$AZ$19:$BA$162,2,FALSE),0)-IFERROR(VLOOKUP($DS105,$AR$19:$AS$162,2,FALSE),0)</f>
        <v>138.38000000000011</v>
      </c>
      <c r="EG105" s="180">
        <f t="shared" ca="1" si="174"/>
        <v>138.38000000000011</v>
      </c>
      <c r="EH105" s="180">
        <f t="shared" ca="1" si="174"/>
        <v>138.38000000000011</v>
      </c>
      <c r="EI105" s="180">
        <f t="shared" ca="1" si="163"/>
        <v>138.38000000000011</v>
      </c>
      <c r="EJ105" s="180">
        <f t="shared" ca="1" si="163"/>
        <v>138.38000000000011</v>
      </c>
      <c r="EK105" s="180">
        <f t="shared" ca="1" si="163"/>
        <v>138.38000000000011</v>
      </c>
      <c r="EL105" s="180">
        <f t="shared" ca="1" si="163"/>
        <v>138.38000000000011</v>
      </c>
      <c r="EM105" s="180">
        <f t="shared" ca="1" si="163"/>
        <v>138.38000000000011</v>
      </c>
      <c r="EN105" s="180">
        <f t="shared" ca="1" si="163"/>
        <v>138.38000000000011</v>
      </c>
      <c r="EO105" s="180">
        <f t="shared" ca="1" si="163"/>
        <v>138.38000000000011</v>
      </c>
      <c r="EP105" s="180">
        <f t="shared" ca="1" si="163"/>
        <v>138.38000000000011</v>
      </c>
      <c r="EQ105" s="180"/>
      <c r="ER105" s="180"/>
    </row>
    <row r="106" spans="2:148" s="87" customFormat="1" hidden="1" x14ac:dyDescent="0.25">
      <c r="B106" s="151"/>
      <c r="C106" s="87">
        <v>45</v>
      </c>
      <c r="D106" s="258">
        <f t="shared" ca="1" si="170"/>
        <v>47524</v>
      </c>
      <c r="E106" s="175">
        <f t="shared" ca="1" si="171"/>
        <v>0.43507996661633214</v>
      </c>
      <c r="F106" s="175">
        <f t="shared" ca="1" si="171"/>
        <v>0.43507996661633214</v>
      </c>
      <c r="G106" s="175">
        <f t="shared" ca="1" si="171"/>
        <v>0.43507996661633214</v>
      </c>
      <c r="H106" s="175">
        <f t="shared" ca="1" si="171"/>
        <v>0.43507996661633214</v>
      </c>
      <c r="I106" s="175">
        <f t="shared" si="171"/>
        <v>0</v>
      </c>
      <c r="J106" s="175">
        <f t="shared" si="171"/>
        <v>0</v>
      </c>
      <c r="K106" s="175">
        <f t="shared" si="171"/>
        <v>0</v>
      </c>
      <c r="L106" s="175">
        <f t="shared" si="171"/>
        <v>0</v>
      </c>
      <c r="M106" s="175">
        <f t="shared" si="171"/>
        <v>0</v>
      </c>
      <c r="N106" s="175">
        <f t="shared" si="171"/>
        <v>0</v>
      </c>
      <c r="O106" s="175">
        <f t="shared" si="172"/>
        <v>0</v>
      </c>
      <c r="P106" s="175">
        <f t="shared" si="172"/>
        <v>0</v>
      </c>
      <c r="Q106" s="175">
        <f t="shared" si="172"/>
        <v>0</v>
      </c>
      <c r="R106" s="175">
        <f t="shared" si="172"/>
        <v>0</v>
      </c>
      <c r="S106" s="175">
        <f t="shared" si="172"/>
        <v>0</v>
      </c>
      <c r="T106" s="175">
        <f t="shared" si="172"/>
        <v>0</v>
      </c>
      <c r="U106" s="175">
        <f t="shared" si="172"/>
        <v>0</v>
      </c>
      <c r="V106" s="175"/>
      <c r="W106" s="140"/>
      <c r="X106" s="87">
        <v>88</v>
      </c>
      <c r="Y106" s="87">
        <f t="shared" si="138"/>
        <v>0</v>
      </c>
      <c r="Z106" s="87">
        <f t="shared" si="139"/>
        <v>0</v>
      </c>
      <c r="AA106" s="87">
        <f t="shared" ca="1" si="140"/>
        <v>1172.83</v>
      </c>
      <c r="AB106" s="87">
        <f t="shared" ca="1" si="141"/>
        <v>278.39999999999998</v>
      </c>
      <c r="AC106" s="87">
        <f t="shared" si="142"/>
        <v>0</v>
      </c>
      <c r="AD106" s="87">
        <f t="shared" si="143"/>
        <v>0</v>
      </c>
      <c r="AE106" s="87">
        <f t="shared" si="144"/>
        <v>0</v>
      </c>
      <c r="AF106" s="87">
        <f t="shared" si="145"/>
        <v>0</v>
      </c>
      <c r="AG106" s="87">
        <f t="shared" si="146"/>
        <v>0</v>
      </c>
      <c r="AH106" s="87">
        <f t="shared" si="147"/>
        <v>0</v>
      </c>
      <c r="AI106" s="87">
        <f t="shared" si="148"/>
        <v>0</v>
      </c>
      <c r="AJ106" s="87">
        <f t="shared" si="149"/>
        <v>0</v>
      </c>
      <c r="AK106" s="87">
        <f t="shared" si="150"/>
        <v>0</v>
      </c>
      <c r="AL106" s="87">
        <f t="shared" si="151"/>
        <v>0</v>
      </c>
      <c r="AM106" s="87">
        <f t="shared" si="152"/>
        <v>0</v>
      </c>
      <c r="AN106" s="87">
        <f t="shared" si="153"/>
        <v>0</v>
      </c>
      <c r="AO106" s="87">
        <f t="shared" si="154"/>
        <v>0</v>
      </c>
      <c r="AP106" s="140"/>
      <c r="AQ106" s="426">
        <v>88</v>
      </c>
      <c r="AR106" s="258">
        <f t="shared" ca="1" si="160"/>
        <v>48832</v>
      </c>
      <c r="AS106" s="429">
        <f t="shared" ca="1" si="118"/>
        <v>1451.23</v>
      </c>
      <c r="AT106" s="140"/>
      <c r="AU106" s="278">
        <v>88</v>
      </c>
      <c r="AV106" s="258">
        <f t="shared" ca="1" si="161"/>
        <v>48862</v>
      </c>
      <c r="AW106" s="429">
        <f t="shared" ca="1" si="155"/>
        <v>138.38000000000011</v>
      </c>
      <c r="AX106" s="202">
        <f t="shared" ca="1" si="156"/>
        <v>26.58</v>
      </c>
      <c r="AY106" s="278">
        <v>88</v>
      </c>
      <c r="AZ106" s="258">
        <f t="shared" ca="1" si="162"/>
        <v>48862</v>
      </c>
      <c r="BA106" s="429">
        <f t="shared" si="157"/>
        <v>1589.6100000000001</v>
      </c>
      <c r="BB106" s="259">
        <f t="shared" ca="1" si="119"/>
        <v>48832</v>
      </c>
      <c r="BC106" s="428">
        <f t="shared" ca="1" si="158"/>
        <v>138.38000000000011</v>
      </c>
      <c r="BD106" s="188">
        <f t="shared" si="120"/>
        <v>0</v>
      </c>
      <c r="BE106" s="188">
        <f t="shared" si="121"/>
        <v>0</v>
      </c>
      <c r="BF106" s="188">
        <f t="shared" si="122"/>
        <v>1172.83</v>
      </c>
      <c r="BG106" s="87">
        <f t="shared" si="123"/>
        <v>278.39999999999998</v>
      </c>
      <c r="BH106" s="87">
        <f t="shared" si="124"/>
        <v>0</v>
      </c>
      <c r="BI106" s="87">
        <f t="shared" si="125"/>
        <v>0</v>
      </c>
      <c r="BJ106" s="87">
        <f t="shared" si="126"/>
        <v>0</v>
      </c>
      <c r="BK106" s="87">
        <f t="shared" si="127"/>
        <v>0</v>
      </c>
      <c r="BL106" s="87">
        <f t="shared" si="128"/>
        <v>0</v>
      </c>
      <c r="BM106" s="87">
        <f t="shared" si="129"/>
        <v>0</v>
      </c>
      <c r="BN106" s="87">
        <f t="shared" si="130"/>
        <v>0</v>
      </c>
      <c r="BO106" s="87">
        <f t="shared" si="131"/>
        <v>0</v>
      </c>
      <c r="BP106" s="87">
        <f t="shared" si="132"/>
        <v>0</v>
      </c>
      <c r="BQ106" s="87">
        <f t="shared" si="133"/>
        <v>0</v>
      </c>
      <c r="BR106" s="87">
        <f t="shared" si="134"/>
        <v>0</v>
      </c>
      <c r="BS106" s="87">
        <f t="shared" si="135"/>
        <v>0</v>
      </c>
      <c r="BT106" s="87">
        <f t="shared" si="136"/>
        <v>0</v>
      </c>
      <c r="BV106" s="177"/>
      <c r="BW106" s="177"/>
      <c r="BX106" s="267"/>
      <c r="BY106" s="267"/>
      <c r="BZ106" s="267"/>
      <c r="CA106" s="267"/>
      <c r="CB106" s="267"/>
      <c r="CC106" s="267"/>
      <c r="CD106" s="267"/>
      <c r="CE106" s="267"/>
      <c r="CF106" s="267"/>
      <c r="CG106" s="267"/>
      <c r="CH106" s="267"/>
      <c r="CI106" s="435"/>
      <c r="CJ106" s="436"/>
      <c r="CK106" s="437"/>
      <c r="CM106" s="64" t="s">
        <v>416</v>
      </c>
      <c r="CN106" s="707">
        <v>44</v>
      </c>
      <c r="CS106" s="87">
        <v>88</v>
      </c>
      <c r="CT106" s="259">
        <f t="shared" ca="1" si="137"/>
        <v>48862</v>
      </c>
      <c r="CU106" s="179">
        <f t="shared" ca="1" si="159"/>
        <v>305.34976207575494</v>
      </c>
      <c r="CV106" s="179">
        <f t="shared" ca="1" si="173"/>
        <v>319.14685283164977</v>
      </c>
      <c r="CW106" s="179">
        <f t="shared" ca="1" si="173"/>
        <v>327.72598665277485</v>
      </c>
      <c r="CX106" s="179">
        <f t="shared" ca="1" si="173"/>
        <v>336.53837208350126</v>
      </c>
      <c r="CY106" s="179">
        <f t="shared" ca="1" si="173"/>
        <v>345.59042242712286</v>
      </c>
      <c r="CZ106" s="179">
        <f t="shared" ca="1" si="173"/>
        <v>354.88872929192263</v>
      </c>
      <c r="DA106" s="179">
        <f t="shared" ca="1" si="173"/>
        <v>361.22774765724483</v>
      </c>
      <c r="DB106" s="179">
        <f t="shared" ca="1" si="173"/>
        <v>374.25140075838533</v>
      </c>
      <c r="DC106" s="179">
        <f t="shared" ca="1" si="173"/>
        <v>380.9402573753722</v>
      </c>
      <c r="DD106" s="179">
        <f t="shared" ca="1" si="173"/>
        <v>387.75001372684466</v>
      </c>
      <c r="DE106" s="179">
        <f t="shared" ca="1" si="173"/>
        <v>394.68287950298259</v>
      </c>
      <c r="DF106" s="179" t="e">
        <f t="shared" ca="1" si="173"/>
        <v>#VALUE!</v>
      </c>
      <c r="DG106" s="179" t="e">
        <f t="shared" ca="1" si="173"/>
        <v>#VALUE!</v>
      </c>
      <c r="DH106" s="179" t="e">
        <f t="shared" ca="1" si="173"/>
        <v>#VALUE!</v>
      </c>
      <c r="DI106" s="179" t="e">
        <f t="shared" ca="1" si="173"/>
        <v>#VALUE!</v>
      </c>
      <c r="DJ106" s="179" t="e">
        <f t="shared" ca="1" si="113"/>
        <v>#VALUE!</v>
      </c>
      <c r="DK106" s="179" t="e">
        <f t="shared" ca="1" si="113"/>
        <v>#VALUE!</v>
      </c>
      <c r="DL106" s="179" t="e">
        <f t="shared" ca="1" si="169"/>
        <v>#VALUE!</v>
      </c>
      <c r="DM106" s="179" t="e">
        <f t="shared" ca="1" si="169"/>
        <v>#VALUE!</v>
      </c>
      <c r="DN106" s="179" t="e">
        <f t="shared" ca="1" si="169"/>
        <v>#VALUE!</v>
      </c>
      <c r="DO106" s="179" t="e">
        <f t="shared" ca="1" si="169"/>
        <v>#VALUE!</v>
      </c>
      <c r="DP106" s="179" t="e">
        <f t="shared" ca="1" si="169"/>
        <v>#VALUE!</v>
      </c>
      <c r="DQ106" s="179" t="e">
        <f t="shared" ca="1" si="169"/>
        <v>#VALUE!</v>
      </c>
      <c r="DR106" s="188">
        <v>88</v>
      </c>
      <c r="DS106" s="430">
        <f t="shared" ca="1" si="164"/>
        <v>48832</v>
      </c>
      <c r="DT106" s="180">
        <f t="shared" ca="1" si="165"/>
        <v>138.38000000000011</v>
      </c>
      <c r="DU106" s="180">
        <f t="shared" ca="1" si="165"/>
        <v>138.38000000000011</v>
      </c>
      <c r="DV106" s="180">
        <f t="shared" ca="1" si="165"/>
        <v>138.38000000000011</v>
      </c>
      <c r="DW106" s="180">
        <f t="shared" ca="1" si="165"/>
        <v>138.38000000000011</v>
      </c>
      <c r="DX106" s="180">
        <f t="shared" ca="1" si="165"/>
        <v>138.38000000000011</v>
      </c>
      <c r="DY106" s="180">
        <f t="shared" ca="1" si="165"/>
        <v>138.38000000000011</v>
      </c>
      <c r="DZ106" s="180">
        <f t="shared" ca="1" si="165"/>
        <v>138.38000000000011</v>
      </c>
      <c r="EA106" s="180">
        <f t="shared" ca="1" si="165"/>
        <v>138.38000000000011</v>
      </c>
      <c r="EB106" s="180">
        <f t="shared" ca="1" si="165"/>
        <v>138.38000000000011</v>
      </c>
      <c r="EC106" s="180">
        <f t="shared" ca="1" si="165"/>
        <v>138.38000000000011</v>
      </c>
      <c r="ED106" s="180">
        <f t="shared" ca="1" si="165"/>
        <v>138.38000000000011</v>
      </c>
      <c r="EE106" s="180">
        <f t="shared" ca="1" si="165"/>
        <v>138.38000000000011</v>
      </c>
      <c r="EF106" s="180">
        <f t="shared" ca="1" si="174"/>
        <v>138.38000000000011</v>
      </c>
      <c r="EG106" s="180">
        <f t="shared" ca="1" si="174"/>
        <v>138.38000000000011</v>
      </c>
      <c r="EH106" s="180">
        <f t="shared" ca="1" si="174"/>
        <v>138.38000000000011</v>
      </c>
      <c r="EI106" s="180">
        <f t="shared" ca="1" si="163"/>
        <v>138.38000000000011</v>
      </c>
      <c r="EJ106" s="180">
        <f t="shared" ca="1" si="163"/>
        <v>138.38000000000011</v>
      </c>
      <c r="EK106" s="180">
        <f t="shared" ca="1" si="163"/>
        <v>138.38000000000011</v>
      </c>
      <c r="EL106" s="180">
        <f t="shared" ca="1" si="163"/>
        <v>138.38000000000011</v>
      </c>
      <c r="EM106" s="180">
        <f t="shared" ca="1" si="163"/>
        <v>138.38000000000011</v>
      </c>
      <c r="EN106" s="180">
        <f t="shared" ca="1" si="163"/>
        <v>138.38000000000011</v>
      </c>
      <c r="EO106" s="180">
        <f t="shared" ca="1" si="163"/>
        <v>138.38000000000011</v>
      </c>
      <c r="EP106" s="180">
        <f t="shared" ca="1" si="163"/>
        <v>138.38000000000011</v>
      </c>
      <c r="EQ106" s="180"/>
      <c r="ER106" s="180"/>
    </row>
    <row r="107" spans="2:148" s="87" customFormat="1" hidden="1" x14ac:dyDescent="0.25">
      <c r="B107" s="151"/>
      <c r="C107" s="87">
        <v>46</v>
      </c>
      <c r="D107" s="258">
        <f t="shared" ca="1" si="170"/>
        <v>47552</v>
      </c>
      <c r="E107" s="175">
        <f t="shared" ca="1" si="171"/>
        <v>0.42769954550786848</v>
      </c>
      <c r="F107" s="175">
        <f t="shared" ca="1" si="171"/>
        <v>0.42769954550786848</v>
      </c>
      <c r="G107" s="175">
        <f t="shared" ca="1" si="171"/>
        <v>0.42769954550786848</v>
      </c>
      <c r="H107" s="175">
        <f t="shared" ca="1" si="171"/>
        <v>0.42769954550786848</v>
      </c>
      <c r="I107" s="175">
        <f t="shared" si="171"/>
        <v>0</v>
      </c>
      <c r="J107" s="175">
        <f t="shared" si="171"/>
        <v>0</v>
      </c>
      <c r="K107" s="175">
        <f t="shared" si="171"/>
        <v>0</v>
      </c>
      <c r="L107" s="175">
        <f t="shared" si="171"/>
        <v>0</v>
      </c>
      <c r="M107" s="175">
        <f t="shared" si="171"/>
        <v>0</v>
      </c>
      <c r="N107" s="175">
        <f t="shared" si="171"/>
        <v>0</v>
      </c>
      <c r="O107" s="175">
        <f t="shared" si="172"/>
        <v>0</v>
      </c>
      <c r="P107" s="175">
        <f t="shared" si="172"/>
        <v>0</v>
      </c>
      <c r="Q107" s="175">
        <f t="shared" si="172"/>
        <v>0</v>
      </c>
      <c r="R107" s="175">
        <f t="shared" si="172"/>
        <v>0</v>
      </c>
      <c r="S107" s="175">
        <f t="shared" si="172"/>
        <v>0</v>
      </c>
      <c r="T107" s="175">
        <f t="shared" si="172"/>
        <v>0</v>
      </c>
      <c r="U107" s="175">
        <f t="shared" si="172"/>
        <v>0</v>
      </c>
      <c r="V107" s="175"/>
      <c r="W107" s="140"/>
      <c r="X107" s="87">
        <v>89</v>
      </c>
      <c r="Y107" s="87">
        <f t="shared" si="138"/>
        <v>0</v>
      </c>
      <c r="Z107" s="87">
        <f t="shared" si="139"/>
        <v>0</v>
      </c>
      <c r="AA107" s="87">
        <f t="shared" ca="1" si="140"/>
        <v>1172.83</v>
      </c>
      <c r="AB107" s="87">
        <f t="shared" ca="1" si="141"/>
        <v>278.39999999999998</v>
      </c>
      <c r="AC107" s="87">
        <f t="shared" si="142"/>
        <v>0</v>
      </c>
      <c r="AD107" s="87">
        <f t="shared" si="143"/>
        <v>0</v>
      </c>
      <c r="AE107" s="87">
        <f t="shared" si="144"/>
        <v>0</v>
      </c>
      <c r="AF107" s="87">
        <f t="shared" si="145"/>
        <v>0</v>
      </c>
      <c r="AG107" s="87">
        <f t="shared" si="146"/>
        <v>0</v>
      </c>
      <c r="AH107" s="87">
        <f t="shared" si="147"/>
        <v>0</v>
      </c>
      <c r="AI107" s="87">
        <f t="shared" si="148"/>
        <v>0</v>
      </c>
      <c r="AJ107" s="87">
        <f t="shared" si="149"/>
        <v>0</v>
      </c>
      <c r="AK107" s="87">
        <f t="shared" si="150"/>
        <v>0</v>
      </c>
      <c r="AL107" s="87">
        <f t="shared" si="151"/>
        <v>0</v>
      </c>
      <c r="AM107" s="87">
        <f t="shared" si="152"/>
        <v>0</v>
      </c>
      <c r="AN107" s="87">
        <f t="shared" si="153"/>
        <v>0</v>
      </c>
      <c r="AO107" s="87">
        <f t="shared" si="154"/>
        <v>0</v>
      </c>
      <c r="AP107" s="140"/>
      <c r="AQ107" s="426">
        <v>89</v>
      </c>
      <c r="AR107" s="258">
        <f t="shared" ca="1" si="160"/>
        <v>48862</v>
      </c>
      <c r="AS107" s="429">
        <f t="shared" ca="1" si="118"/>
        <v>1451.23</v>
      </c>
      <c r="AT107" s="438"/>
      <c r="AU107" s="278">
        <v>89</v>
      </c>
      <c r="AV107" s="258">
        <f t="shared" ca="1" si="161"/>
        <v>48893</v>
      </c>
      <c r="AW107" s="429">
        <f t="shared" ca="1" si="155"/>
        <v>138.38000000000011</v>
      </c>
      <c r="AX107" s="202">
        <f t="shared" ca="1" si="156"/>
        <v>26.08</v>
      </c>
      <c r="AY107" s="278">
        <v>89</v>
      </c>
      <c r="AZ107" s="258">
        <f t="shared" ca="1" si="162"/>
        <v>48893</v>
      </c>
      <c r="BA107" s="429">
        <f t="shared" si="157"/>
        <v>1589.6100000000001</v>
      </c>
      <c r="BB107" s="259">
        <f t="shared" ca="1" si="119"/>
        <v>48862</v>
      </c>
      <c r="BC107" s="428">
        <f t="shared" ca="1" si="158"/>
        <v>138.38000000000011</v>
      </c>
      <c r="BD107" s="188">
        <f t="shared" si="120"/>
        <v>0</v>
      </c>
      <c r="BE107" s="188">
        <f t="shared" si="121"/>
        <v>0</v>
      </c>
      <c r="BF107" s="188">
        <f t="shared" si="122"/>
        <v>1172.83</v>
      </c>
      <c r="BG107" s="87">
        <f t="shared" si="123"/>
        <v>278.39999999999998</v>
      </c>
      <c r="BH107" s="87">
        <f t="shared" si="124"/>
        <v>0</v>
      </c>
      <c r="BI107" s="87">
        <f t="shared" si="125"/>
        <v>0</v>
      </c>
      <c r="BJ107" s="87">
        <f t="shared" si="126"/>
        <v>0</v>
      </c>
      <c r="BK107" s="87">
        <f t="shared" si="127"/>
        <v>0</v>
      </c>
      <c r="BL107" s="87">
        <f t="shared" si="128"/>
        <v>0</v>
      </c>
      <c r="BM107" s="87">
        <f t="shared" si="129"/>
        <v>0</v>
      </c>
      <c r="BN107" s="87">
        <f t="shared" si="130"/>
        <v>0</v>
      </c>
      <c r="BO107" s="87">
        <f t="shared" si="131"/>
        <v>0</v>
      </c>
      <c r="BP107" s="87">
        <f t="shared" si="132"/>
        <v>0</v>
      </c>
      <c r="BQ107" s="87">
        <f t="shared" si="133"/>
        <v>0</v>
      </c>
      <c r="BR107" s="87">
        <f t="shared" si="134"/>
        <v>0</v>
      </c>
      <c r="BS107" s="87">
        <f t="shared" si="135"/>
        <v>0</v>
      </c>
      <c r="BT107" s="87">
        <f t="shared" si="136"/>
        <v>0</v>
      </c>
      <c r="BV107" s="177"/>
      <c r="BW107" s="177"/>
      <c r="BX107" s="267"/>
      <c r="BY107" s="267"/>
      <c r="BZ107" s="267"/>
      <c r="CA107" s="267"/>
      <c r="CB107" s="267"/>
      <c r="CC107" s="267"/>
      <c r="CD107" s="267"/>
      <c r="CE107" s="267"/>
      <c r="CF107" s="267"/>
      <c r="CG107" s="267"/>
      <c r="CH107" s="267"/>
      <c r="CI107" s="435"/>
      <c r="CJ107" s="436"/>
      <c r="CK107" s="437"/>
      <c r="CM107" s="64" t="s">
        <v>79</v>
      </c>
      <c r="CN107" s="707">
        <v>54.333333333333336</v>
      </c>
      <c r="CS107" s="178">
        <v>89</v>
      </c>
      <c r="CT107" s="259">
        <f t="shared" ca="1" si="137"/>
        <v>48893</v>
      </c>
      <c r="CU107" s="179">
        <f t="shared" ca="1" si="159"/>
        <v>299.62026570914179</v>
      </c>
      <c r="CV107" s="179">
        <f t="shared" ca="1" si="173"/>
        <v>313.31741073228841</v>
      </c>
      <c r="CW107" s="179">
        <f t="shared" ca="1" si="173"/>
        <v>321.83784577977525</v>
      </c>
      <c r="CX107" s="179">
        <f t="shared" ca="1" si="173"/>
        <v>330.59260289038275</v>
      </c>
      <c r="CY107" s="179">
        <f t="shared" ca="1" si="173"/>
        <v>339.58819816092551</v>
      </c>
      <c r="CZ107" s="179">
        <f t="shared" ca="1" si="173"/>
        <v>348.83133089207769</v>
      </c>
      <c r="DA107" s="179">
        <f t="shared" ca="1" si="173"/>
        <v>355.13433361593644</v>
      </c>
      <c r="DB107" s="179">
        <f t="shared" ca="1" si="173"/>
        <v>368.08795335126928</v>
      </c>
      <c r="DC107" s="179">
        <f t="shared" ca="1" si="173"/>
        <v>374.742864927217</v>
      </c>
      <c r="DD107" s="179">
        <f t="shared" ca="1" si="173"/>
        <v>381.51944098590354</v>
      </c>
      <c r="DE107" s="179">
        <f t="shared" ca="1" si="173"/>
        <v>388.41993040026864</v>
      </c>
      <c r="DF107" s="179" t="e">
        <f t="shared" ca="1" si="173"/>
        <v>#VALUE!</v>
      </c>
      <c r="DG107" s="179" t="e">
        <f t="shared" ca="1" si="173"/>
        <v>#VALUE!</v>
      </c>
      <c r="DH107" s="179" t="e">
        <f t="shared" ca="1" si="173"/>
        <v>#VALUE!</v>
      </c>
      <c r="DI107" s="179" t="e">
        <f t="shared" ca="1" si="173"/>
        <v>#VALUE!</v>
      </c>
      <c r="DJ107" s="179" t="e">
        <f t="shared" ca="1" si="113"/>
        <v>#VALUE!</v>
      </c>
      <c r="DK107" s="179" t="e">
        <f t="shared" ca="1" si="113"/>
        <v>#VALUE!</v>
      </c>
      <c r="DL107" s="179" t="e">
        <f t="shared" ca="1" si="169"/>
        <v>#VALUE!</v>
      </c>
      <c r="DM107" s="179" t="e">
        <f t="shared" ca="1" si="169"/>
        <v>#VALUE!</v>
      </c>
      <c r="DN107" s="179" t="e">
        <f t="shared" ca="1" si="169"/>
        <v>#VALUE!</v>
      </c>
      <c r="DO107" s="179" t="e">
        <f t="shared" ca="1" si="169"/>
        <v>#VALUE!</v>
      </c>
      <c r="DP107" s="179" t="e">
        <f t="shared" ca="1" si="169"/>
        <v>#VALUE!</v>
      </c>
      <c r="DQ107" s="179" t="e">
        <f t="shared" ca="1" si="169"/>
        <v>#VALUE!</v>
      </c>
      <c r="DR107" s="431">
        <v>89</v>
      </c>
      <c r="DS107" s="430">
        <f t="shared" ca="1" si="164"/>
        <v>48862</v>
      </c>
      <c r="DT107" s="180">
        <f t="shared" ca="1" si="165"/>
        <v>138.38000000000011</v>
      </c>
      <c r="DU107" s="180">
        <f t="shared" ca="1" si="165"/>
        <v>138.38000000000011</v>
      </c>
      <c r="DV107" s="180">
        <f t="shared" ca="1" si="165"/>
        <v>138.38000000000011</v>
      </c>
      <c r="DW107" s="180">
        <f t="shared" ca="1" si="165"/>
        <v>138.38000000000011</v>
      </c>
      <c r="DX107" s="180">
        <f t="shared" ca="1" si="165"/>
        <v>138.38000000000011</v>
      </c>
      <c r="DY107" s="180">
        <f t="shared" ca="1" si="165"/>
        <v>138.38000000000011</v>
      </c>
      <c r="DZ107" s="180">
        <f t="shared" ca="1" si="165"/>
        <v>138.38000000000011</v>
      </c>
      <c r="EA107" s="180">
        <f t="shared" ca="1" si="165"/>
        <v>138.38000000000011</v>
      </c>
      <c r="EB107" s="180">
        <f t="shared" ca="1" si="165"/>
        <v>138.38000000000011</v>
      </c>
      <c r="EC107" s="180">
        <f t="shared" ca="1" si="165"/>
        <v>138.38000000000011</v>
      </c>
      <c r="ED107" s="180">
        <f t="shared" ca="1" si="165"/>
        <v>138.38000000000011</v>
      </c>
      <c r="EE107" s="180">
        <f t="shared" ca="1" si="165"/>
        <v>138.38000000000011</v>
      </c>
      <c r="EF107" s="180">
        <f t="shared" ca="1" si="174"/>
        <v>138.38000000000011</v>
      </c>
      <c r="EG107" s="180">
        <f t="shared" ca="1" si="174"/>
        <v>138.38000000000011</v>
      </c>
      <c r="EH107" s="180">
        <f t="shared" ca="1" si="174"/>
        <v>138.38000000000011</v>
      </c>
      <c r="EI107" s="180">
        <f t="shared" ca="1" si="163"/>
        <v>138.38000000000011</v>
      </c>
      <c r="EJ107" s="180">
        <f t="shared" ca="1" si="163"/>
        <v>138.38000000000011</v>
      </c>
      <c r="EK107" s="180">
        <f t="shared" ca="1" si="163"/>
        <v>138.38000000000011</v>
      </c>
      <c r="EL107" s="180">
        <f t="shared" ca="1" si="163"/>
        <v>138.38000000000011</v>
      </c>
      <c r="EM107" s="180">
        <f t="shared" ca="1" si="163"/>
        <v>138.38000000000011</v>
      </c>
      <c r="EN107" s="180">
        <f t="shared" ca="1" si="163"/>
        <v>138.38000000000011</v>
      </c>
      <c r="EO107" s="180">
        <f t="shared" ca="1" si="163"/>
        <v>138.38000000000011</v>
      </c>
      <c r="EP107" s="180">
        <f t="shared" ca="1" si="163"/>
        <v>138.38000000000011</v>
      </c>
      <c r="EQ107" s="180"/>
      <c r="ER107" s="180"/>
    </row>
    <row r="108" spans="2:148" s="87" customFormat="1" hidden="1" x14ac:dyDescent="0.25">
      <c r="B108" s="151"/>
      <c r="C108" s="87">
        <v>47</v>
      </c>
      <c r="D108" s="258">
        <f t="shared" ca="1" si="170"/>
        <v>47583</v>
      </c>
      <c r="E108" s="175">
        <f t="shared" ca="1" si="171"/>
        <v>0.41967431249202497</v>
      </c>
      <c r="F108" s="175">
        <f t="shared" ca="1" si="171"/>
        <v>0.41967431249202497</v>
      </c>
      <c r="G108" s="175">
        <f t="shared" ca="1" si="171"/>
        <v>0.41967431249202497</v>
      </c>
      <c r="H108" s="175">
        <f t="shared" ca="1" si="171"/>
        <v>0.41967431249202497</v>
      </c>
      <c r="I108" s="175">
        <f t="shared" si="171"/>
        <v>0</v>
      </c>
      <c r="J108" s="175">
        <f t="shared" si="171"/>
        <v>0</v>
      </c>
      <c r="K108" s="175">
        <f t="shared" si="171"/>
        <v>0</v>
      </c>
      <c r="L108" s="175">
        <f t="shared" si="171"/>
        <v>0</v>
      </c>
      <c r="M108" s="175">
        <f t="shared" si="171"/>
        <v>0</v>
      </c>
      <c r="N108" s="175">
        <f t="shared" si="171"/>
        <v>0</v>
      </c>
      <c r="O108" s="175">
        <f t="shared" si="172"/>
        <v>0</v>
      </c>
      <c r="P108" s="175">
        <f t="shared" si="172"/>
        <v>0</v>
      </c>
      <c r="Q108" s="175">
        <f t="shared" si="172"/>
        <v>0</v>
      </c>
      <c r="R108" s="175">
        <f t="shared" si="172"/>
        <v>0</v>
      </c>
      <c r="S108" s="175">
        <f t="shared" si="172"/>
        <v>0</v>
      </c>
      <c r="T108" s="175">
        <f t="shared" si="172"/>
        <v>0</v>
      </c>
      <c r="U108" s="175">
        <f t="shared" si="172"/>
        <v>0</v>
      </c>
      <c r="V108" s="175"/>
      <c r="W108" s="140"/>
      <c r="X108" s="87">
        <v>90</v>
      </c>
      <c r="Y108" s="87">
        <f t="shared" si="138"/>
        <v>0</v>
      </c>
      <c r="Z108" s="87">
        <f t="shared" si="139"/>
        <v>0</v>
      </c>
      <c r="AA108" s="87">
        <f t="shared" ca="1" si="140"/>
        <v>1172.83</v>
      </c>
      <c r="AB108" s="87">
        <f t="shared" ca="1" si="141"/>
        <v>278.39999999999998</v>
      </c>
      <c r="AC108" s="87">
        <f t="shared" si="142"/>
        <v>0</v>
      </c>
      <c r="AD108" s="87">
        <f t="shared" si="143"/>
        <v>0</v>
      </c>
      <c r="AE108" s="87">
        <f t="shared" si="144"/>
        <v>0</v>
      </c>
      <c r="AF108" s="87">
        <f t="shared" si="145"/>
        <v>0</v>
      </c>
      <c r="AG108" s="87">
        <f t="shared" si="146"/>
        <v>0</v>
      </c>
      <c r="AH108" s="87">
        <f t="shared" si="147"/>
        <v>0</v>
      </c>
      <c r="AI108" s="87">
        <f t="shared" si="148"/>
        <v>0</v>
      </c>
      <c r="AJ108" s="87">
        <f t="shared" si="149"/>
        <v>0</v>
      </c>
      <c r="AK108" s="87">
        <f t="shared" si="150"/>
        <v>0</v>
      </c>
      <c r="AL108" s="87">
        <f t="shared" si="151"/>
        <v>0</v>
      </c>
      <c r="AM108" s="87">
        <f t="shared" si="152"/>
        <v>0</v>
      </c>
      <c r="AN108" s="87">
        <f t="shared" si="153"/>
        <v>0</v>
      </c>
      <c r="AO108" s="87">
        <f t="shared" si="154"/>
        <v>0</v>
      </c>
      <c r="AP108" s="140"/>
      <c r="AQ108" s="426">
        <v>90</v>
      </c>
      <c r="AR108" s="258">
        <f t="shared" ca="1" si="160"/>
        <v>48893</v>
      </c>
      <c r="AS108" s="429">
        <f t="shared" ca="1" si="118"/>
        <v>1451.23</v>
      </c>
      <c r="AT108" s="438"/>
      <c r="AU108" s="278">
        <v>90</v>
      </c>
      <c r="AV108" s="258">
        <f t="shared" ca="1" si="161"/>
        <v>48923</v>
      </c>
      <c r="AW108" s="429">
        <f t="shared" ca="1" si="155"/>
        <v>138.38000000000011</v>
      </c>
      <c r="AX108" s="202">
        <f t="shared" ca="1" si="156"/>
        <v>25.61</v>
      </c>
      <c r="AY108" s="278">
        <v>90</v>
      </c>
      <c r="AZ108" s="258">
        <f t="shared" ca="1" si="162"/>
        <v>48923</v>
      </c>
      <c r="BA108" s="429">
        <f t="shared" si="157"/>
        <v>1589.6100000000001</v>
      </c>
      <c r="BB108" s="259">
        <f t="shared" ca="1" si="119"/>
        <v>48893</v>
      </c>
      <c r="BC108" s="428">
        <f t="shared" ca="1" si="158"/>
        <v>138.38000000000011</v>
      </c>
      <c r="BD108" s="188">
        <f t="shared" si="120"/>
        <v>0</v>
      </c>
      <c r="BE108" s="188">
        <f t="shared" si="121"/>
        <v>0</v>
      </c>
      <c r="BF108" s="188">
        <f t="shared" si="122"/>
        <v>1172.83</v>
      </c>
      <c r="BG108" s="87">
        <f t="shared" si="123"/>
        <v>278.39999999999998</v>
      </c>
      <c r="BH108" s="87">
        <f t="shared" si="124"/>
        <v>0</v>
      </c>
      <c r="BI108" s="87">
        <f t="shared" si="125"/>
        <v>0</v>
      </c>
      <c r="BJ108" s="87">
        <f t="shared" si="126"/>
        <v>0</v>
      </c>
      <c r="BK108" s="87">
        <f t="shared" si="127"/>
        <v>0</v>
      </c>
      <c r="BL108" s="87">
        <f t="shared" si="128"/>
        <v>0</v>
      </c>
      <c r="BM108" s="87">
        <f t="shared" si="129"/>
        <v>0</v>
      </c>
      <c r="BN108" s="87">
        <f t="shared" si="130"/>
        <v>0</v>
      </c>
      <c r="BO108" s="87">
        <f t="shared" si="131"/>
        <v>0</v>
      </c>
      <c r="BP108" s="87">
        <f t="shared" si="132"/>
        <v>0</v>
      </c>
      <c r="BQ108" s="87">
        <f t="shared" si="133"/>
        <v>0</v>
      </c>
      <c r="BR108" s="87">
        <f t="shared" si="134"/>
        <v>0</v>
      </c>
      <c r="BS108" s="87">
        <f t="shared" si="135"/>
        <v>0</v>
      </c>
      <c r="BT108" s="87">
        <f t="shared" si="136"/>
        <v>0</v>
      </c>
      <c r="BV108" s="177"/>
      <c r="BW108" s="177"/>
      <c r="BX108" s="267"/>
      <c r="BY108" s="267"/>
      <c r="BZ108" s="267"/>
      <c r="CA108" s="267"/>
      <c r="CB108" s="267"/>
      <c r="CC108" s="267"/>
      <c r="CD108" s="267"/>
      <c r="CE108" s="267"/>
      <c r="CF108" s="267"/>
      <c r="CG108" s="267"/>
      <c r="CH108" s="267"/>
      <c r="CI108" s="435"/>
      <c r="CJ108" s="436"/>
      <c r="CK108" s="437"/>
      <c r="CM108" s="64" t="s">
        <v>812</v>
      </c>
      <c r="CN108" s="707">
        <v>37</v>
      </c>
      <c r="CS108" s="138">
        <v>90</v>
      </c>
      <c r="CT108" s="259">
        <f t="shared" ca="1" si="137"/>
        <v>48923</v>
      </c>
      <c r="CU108" s="179">
        <f t="shared" ca="1" si="159"/>
        <v>294.17797320485198</v>
      </c>
      <c r="CV108" s="179">
        <f t="shared" ca="1" si="173"/>
        <v>307.77741722228717</v>
      </c>
      <c r="CW108" s="179">
        <f t="shared" ca="1" si="173"/>
        <v>316.24039086152618</v>
      </c>
      <c r="CX108" s="179">
        <f t="shared" ca="1" si="173"/>
        <v>324.93867003182891</v>
      </c>
      <c r="CY108" s="179">
        <f t="shared" ca="1" si="173"/>
        <v>333.87886949260212</v>
      </c>
      <c r="CZ108" s="179">
        <f t="shared" ca="1" si="173"/>
        <v>343.0677919867012</v>
      </c>
      <c r="DA108" s="179">
        <f t="shared" ca="1" si="173"/>
        <v>349.33536653151333</v>
      </c>
      <c r="DB108" s="179">
        <f t="shared" ca="1" si="173"/>
        <v>362.21998952102859</v>
      </c>
      <c r="DC108" s="179">
        <f t="shared" ca="1" si="173"/>
        <v>368.84140248741824</v>
      </c>
      <c r="DD108" s="179">
        <f t="shared" ca="1" si="173"/>
        <v>375.58519490638264</v>
      </c>
      <c r="DE108" s="179">
        <f t="shared" ca="1" si="173"/>
        <v>382.45365340711754</v>
      </c>
      <c r="DF108" s="179" t="e">
        <f t="shared" ca="1" si="173"/>
        <v>#VALUE!</v>
      </c>
      <c r="DG108" s="179" t="e">
        <f t="shared" ca="1" si="173"/>
        <v>#VALUE!</v>
      </c>
      <c r="DH108" s="179" t="e">
        <f t="shared" ca="1" si="173"/>
        <v>#VALUE!</v>
      </c>
      <c r="DI108" s="179" t="e">
        <f t="shared" ca="1" si="173"/>
        <v>#VALUE!</v>
      </c>
      <c r="DJ108" s="179" t="e">
        <f t="shared" ca="1" si="113"/>
        <v>#VALUE!</v>
      </c>
      <c r="DK108" s="179" t="e">
        <f t="shared" ca="1" si="113"/>
        <v>#VALUE!</v>
      </c>
      <c r="DL108" s="179" t="e">
        <f t="shared" ca="1" si="169"/>
        <v>#VALUE!</v>
      </c>
      <c r="DM108" s="179" t="e">
        <f t="shared" ca="1" si="169"/>
        <v>#VALUE!</v>
      </c>
      <c r="DN108" s="179" t="e">
        <f t="shared" ca="1" si="169"/>
        <v>#VALUE!</v>
      </c>
      <c r="DO108" s="179" t="e">
        <f t="shared" ca="1" si="169"/>
        <v>#VALUE!</v>
      </c>
      <c r="DP108" s="179" t="e">
        <f t="shared" ca="1" si="169"/>
        <v>#VALUE!</v>
      </c>
      <c r="DQ108" s="179" t="e">
        <f t="shared" ca="1" si="169"/>
        <v>#VALUE!</v>
      </c>
      <c r="DR108" s="278">
        <v>90</v>
      </c>
      <c r="DS108" s="430">
        <f t="shared" ca="1" si="164"/>
        <v>48893</v>
      </c>
      <c r="DT108" s="180">
        <f t="shared" ca="1" si="165"/>
        <v>138.38000000000011</v>
      </c>
      <c r="DU108" s="180">
        <f t="shared" ca="1" si="165"/>
        <v>138.38000000000011</v>
      </c>
      <c r="DV108" s="180">
        <f t="shared" ca="1" si="165"/>
        <v>138.38000000000011</v>
      </c>
      <c r="DW108" s="180">
        <f t="shared" ca="1" si="165"/>
        <v>138.38000000000011</v>
      </c>
      <c r="DX108" s="180">
        <f t="shared" ca="1" si="165"/>
        <v>138.38000000000011</v>
      </c>
      <c r="DY108" s="180">
        <f t="shared" ca="1" si="165"/>
        <v>138.38000000000011</v>
      </c>
      <c r="DZ108" s="180">
        <f t="shared" ca="1" si="165"/>
        <v>138.38000000000011</v>
      </c>
      <c r="EA108" s="180">
        <f t="shared" ca="1" si="165"/>
        <v>138.38000000000011</v>
      </c>
      <c r="EB108" s="180">
        <f t="shared" ca="1" si="165"/>
        <v>138.38000000000011</v>
      </c>
      <c r="EC108" s="180">
        <f t="shared" ca="1" si="165"/>
        <v>138.38000000000011</v>
      </c>
      <c r="ED108" s="180">
        <f t="shared" ca="1" si="165"/>
        <v>138.38000000000011</v>
      </c>
      <c r="EE108" s="180">
        <f t="shared" ca="1" si="165"/>
        <v>138.38000000000011</v>
      </c>
      <c r="EF108" s="180">
        <f t="shared" ca="1" si="174"/>
        <v>138.38000000000011</v>
      </c>
      <c r="EG108" s="180">
        <f t="shared" ca="1" si="174"/>
        <v>138.38000000000011</v>
      </c>
      <c r="EH108" s="180">
        <f t="shared" ca="1" si="174"/>
        <v>138.38000000000011</v>
      </c>
      <c r="EI108" s="180">
        <f t="shared" ca="1" si="163"/>
        <v>138.38000000000011</v>
      </c>
      <c r="EJ108" s="180">
        <f t="shared" ca="1" si="163"/>
        <v>138.38000000000011</v>
      </c>
      <c r="EK108" s="180">
        <f t="shared" ca="1" si="163"/>
        <v>138.38000000000011</v>
      </c>
      <c r="EL108" s="180">
        <f t="shared" ca="1" si="163"/>
        <v>138.38000000000011</v>
      </c>
      <c r="EM108" s="180">
        <f t="shared" ca="1" si="163"/>
        <v>138.38000000000011</v>
      </c>
      <c r="EN108" s="180">
        <f t="shared" ca="1" si="163"/>
        <v>138.38000000000011</v>
      </c>
      <c r="EO108" s="180">
        <f t="shared" ca="1" si="163"/>
        <v>138.38000000000011</v>
      </c>
      <c r="EP108" s="180">
        <f t="shared" ca="1" si="163"/>
        <v>138.38000000000011</v>
      </c>
      <c r="EQ108" s="180"/>
      <c r="ER108" s="180"/>
    </row>
    <row r="109" spans="2:148" s="87" customFormat="1" hidden="1" x14ac:dyDescent="0.25">
      <c r="B109" s="151"/>
      <c r="C109" s="87">
        <v>48</v>
      </c>
      <c r="D109" s="258">
        <f t="shared" ca="1" si="170"/>
        <v>47613</v>
      </c>
      <c r="E109" s="175">
        <f t="shared" ca="1" si="171"/>
        <v>0.41205136228966616</v>
      </c>
      <c r="F109" s="175">
        <f t="shared" ca="1" si="171"/>
        <v>0.41205136228966616</v>
      </c>
      <c r="G109" s="175">
        <f t="shared" ca="1" si="171"/>
        <v>0.41205136228966616</v>
      </c>
      <c r="H109" s="175">
        <f t="shared" ca="1" si="171"/>
        <v>0.41205136228966616</v>
      </c>
      <c r="I109" s="175">
        <f t="shared" si="171"/>
        <v>0</v>
      </c>
      <c r="J109" s="175">
        <f t="shared" si="171"/>
        <v>0</v>
      </c>
      <c r="K109" s="175">
        <f t="shared" si="171"/>
        <v>0</v>
      </c>
      <c r="L109" s="175">
        <f t="shared" si="171"/>
        <v>0</v>
      </c>
      <c r="M109" s="175">
        <f t="shared" si="171"/>
        <v>0</v>
      </c>
      <c r="N109" s="175">
        <f t="shared" si="171"/>
        <v>0</v>
      </c>
      <c r="O109" s="175">
        <f t="shared" si="172"/>
        <v>0</v>
      </c>
      <c r="P109" s="175">
        <f t="shared" si="172"/>
        <v>0</v>
      </c>
      <c r="Q109" s="175">
        <f t="shared" si="172"/>
        <v>0</v>
      </c>
      <c r="R109" s="175">
        <f t="shared" si="172"/>
        <v>0</v>
      </c>
      <c r="S109" s="175">
        <f t="shared" si="172"/>
        <v>0</v>
      </c>
      <c r="T109" s="175">
        <f t="shared" si="172"/>
        <v>0</v>
      </c>
      <c r="U109" s="175">
        <f t="shared" si="172"/>
        <v>0</v>
      </c>
      <c r="V109" s="175"/>
      <c r="W109" s="140"/>
      <c r="X109" s="87">
        <v>91</v>
      </c>
      <c r="Y109" s="87">
        <f t="shared" si="138"/>
        <v>0</v>
      </c>
      <c r="Z109" s="87">
        <f t="shared" si="139"/>
        <v>0</v>
      </c>
      <c r="AA109" s="87">
        <f t="shared" si="140"/>
        <v>0</v>
      </c>
      <c r="AB109" s="87">
        <f t="shared" si="141"/>
        <v>0</v>
      </c>
      <c r="AC109" s="87">
        <f t="shared" si="142"/>
        <v>0</v>
      </c>
      <c r="AD109" s="87">
        <f t="shared" si="143"/>
        <v>0</v>
      </c>
      <c r="AE109" s="87">
        <f t="shared" si="144"/>
        <v>0</v>
      </c>
      <c r="AF109" s="87">
        <f t="shared" si="145"/>
        <v>0</v>
      </c>
      <c r="AG109" s="87">
        <f t="shared" si="146"/>
        <v>0</v>
      </c>
      <c r="AH109" s="87">
        <f t="shared" si="147"/>
        <v>0</v>
      </c>
      <c r="AI109" s="87">
        <f t="shared" si="148"/>
        <v>0</v>
      </c>
      <c r="AJ109" s="87">
        <f t="shared" si="149"/>
        <v>0</v>
      </c>
      <c r="AK109" s="87">
        <f t="shared" si="150"/>
        <v>0</v>
      </c>
      <c r="AL109" s="87">
        <f t="shared" si="151"/>
        <v>0</v>
      </c>
      <c r="AM109" s="87">
        <f t="shared" si="152"/>
        <v>0</v>
      </c>
      <c r="AN109" s="87">
        <f t="shared" si="153"/>
        <v>0</v>
      </c>
      <c r="AO109" s="87">
        <f t="shared" si="154"/>
        <v>0</v>
      </c>
      <c r="AP109" s="140"/>
      <c r="AQ109" s="426">
        <v>91</v>
      </c>
      <c r="AR109" s="258">
        <f t="shared" ca="1" si="160"/>
        <v>48923</v>
      </c>
      <c r="AS109" s="429">
        <f t="shared" si="118"/>
        <v>0</v>
      </c>
      <c r="AT109" s="438"/>
      <c r="AU109" s="278">
        <v>91</v>
      </c>
      <c r="AV109" s="258">
        <f t="shared" ca="1" si="161"/>
        <v>48954</v>
      </c>
      <c r="AW109" s="429">
        <f t="shared" si="155"/>
        <v>1589.6100000000001</v>
      </c>
      <c r="AX109" s="202">
        <f t="shared" ca="1" si="156"/>
        <v>288.66000000000003</v>
      </c>
      <c r="AY109" s="278">
        <v>91</v>
      </c>
      <c r="AZ109" s="258">
        <f t="shared" ca="1" si="162"/>
        <v>48954</v>
      </c>
      <c r="BA109" s="429">
        <f t="shared" si="157"/>
        <v>1589.6100000000001</v>
      </c>
      <c r="BB109" s="259">
        <f t="shared" ca="1" si="119"/>
        <v>48923</v>
      </c>
      <c r="BC109" s="428">
        <f t="shared" ca="1" si="158"/>
        <v>1589.6100000000001</v>
      </c>
      <c r="BD109" s="188">
        <f t="shared" si="120"/>
        <v>0</v>
      </c>
      <c r="BE109" s="188">
        <f t="shared" si="121"/>
        <v>0</v>
      </c>
      <c r="BF109" s="188">
        <f t="shared" si="122"/>
        <v>0</v>
      </c>
      <c r="BG109" s="87">
        <f t="shared" si="123"/>
        <v>0</v>
      </c>
      <c r="BH109" s="87">
        <f t="shared" si="124"/>
        <v>0</v>
      </c>
      <c r="BI109" s="87">
        <f t="shared" si="125"/>
        <v>0</v>
      </c>
      <c r="BJ109" s="87">
        <f t="shared" si="126"/>
        <v>0</v>
      </c>
      <c r="BK109" s="87">
        <f t="shared" si="127"/>
        <v>0</v>
      </c>
      <c r="BL109" s="87">
        <f t="shared" si="128"/>
        <v>0</v>
      </c>
      <c r="BM109" s="87">
        <f t="shared" si="129"/>
        <v>0</v>
      </c>
      <c r="BN109" s="87">
        <f t="shared" si="130"/>
        <v>0</v>
      </c>
      <c r="BO109" s="87">
        <f t="shared" si="131"/>
        <v>0</v>
      </c>
      <c r="BP109" s="87">
        <f t="shared" si="132"/>
        <v>0</v>
      </c>
      <c r="BQ109" s="87">
        <f t="shared" si="133"/>
        <v>0</v>
      </c>
      <c r="BR109" s="87">
        <f t="shared" si="134"/>
        <v>0</v>
      </c>
      <c r="BS109" s="87">
        <f t="shared" si="135"/>
        <v>0</v>
      </c>
      <c r="BT109" s="87">
        <f t="shared" si="136"/>
        <v>0</v>
      </c>
      <c r="BV109" s="177"/>
      <c r="BW109" s="177"/>
      <c r="BX109" s="267"/>
      <c r="BY109" s="267"/>
      <c r="BZ109" s="267"/>
      <c r="CA109" s="267"/>
      <c r="CB109" s="267"/>
      <c r="CC109" s="267"/>
      <c r="CD109" s="267"/>
      <c r="CE109" s="267"/>
      <c r="CF109" s="267"/>
      <c r="CG109" s="267"/>
      <c r="CH109" s="267"/>
      <c r="CI109" s="435"/>
      <c r="CJ109" s="436"/>
      <c r="CK109" s="437"/>
      <c r="CM109" s="64" t="s">
        <v>3034</v>
      </c>
      <c r="CN109" s="707"/>
      <c r="CS109" s="87">
        <v>91</v>
      </c>
      <c r="CT109" s="259">
        <f t="shared" ca="1" si="137"/>
        <v>48954</v>
      </c>
      <c r="CU109" s="179">
        <f t="shared" ca="1" si="159"/>
        <v>288.65810111732361</v>
      </c>
      <c r="CV109" s="179">
        <f t="shared" ca="1" si="173"/>
        <v>302.15564587386427</v>
      </c>
      <c r="CW109" s="179">
        <f t="shared" ca="1" si="173"/>
        <v>310.55860776539913</v>
      </c>
      <c r="CX109" s="179">
        <f t="shared" ca="1" si="173"/>
        <v>319.19783779933402</v>
      </c>
      <c r="CY109" s="179">
        <f t="shared" ca="1" si="173"/>
        <v>328.08005181020144</v>
      </c>
      <c r="CZ109" s="179">
        <f t="shared" ca="1" si="173"/>
        <v>337.21215859320108</v>
      </c>
      <c r="DA109" s="179">
        <f t="shared" ca="1" si="173"/>
        <v>343.44256056255364</v>
      </c>
      <c r="DB109" s="179">
        <f t="shared" ca="1" si="173"/>
        <v>356.25468424576519</v>
      </c>
      <c r="DC109" s="179">
        <f t="shared" ca="1" si="173"/>
        <v>362.84084235210543</v>
      </c>
      <c r="DD109" s="179">
        <f t="shared" ca="1" si="173"/>
        <v>369.55009292200612</v>
      </c>
      <c r="DE109" s="179">
        <f t="shared" ca="1" si="173"/>
        <v>376.38476141856142</v>
      </c>
      <c r="DF109" s="179" t="e">
        <f t="shared" ca="1" si="173"/>
        <v>#VALUE!</v>
      </c>
      <c r="DG109" s="179" t="e">
        <f t="shared" ca="1" si="173"/>
        <v>#VALUE!</v>
      </c>
      <c r="DH109" s="179" t="e">
        <f t="shared" ca="1" si="173"/>
        <v>#VALUE!</v>
      </c>
      <c r="DI109" s="179" t="e">
        <f t="shared" ca="1" si="173"/>
        <v>#VALUE!</v>
      </c>
      <c r="DJ109" s="179" t="e">
        <f t="shared" ca="1" si="113"/>
        <v>#VALUE!</v>
      </c>
      <c r="DK109" s="179" t="e">
        <f t="shared" ca="1" si="113"/>
        <v>#VALUE!</v>
      </c>
      <c r="DL109" s="179" t="e">
        <f t="shared" ca="1" si="169"/>
        <v>#VALUE!</v>
      </c>
      <c r="DM109" s="179" t="e">
        <f t="shared" ca="1" si="169"/>
        <v>#VALUE!</v>
      </c>
      <c r="DN109" s="179" t="e">
        <f t="shared" ca="1" si="169"/>
        <v>#VALUE!</v>
      </c>
      <c r="DO109" s="179" t="e">
        <f t="shared" ca="1" si="169"/>
        <v>#VALUE!</v>
      </c>
      <c r="DP109" s="179" t="e">
        <f t="shared" ca="1" si="169"/>
        <v>#VALUE!</v>
      </c>
      <c r="DQ109" s="179" t="e">
        <f t="shared" ca="1" si="169"/>
        <v>#VALUE!</v>
      </c>
      <c r="DR109" s="188">
        <v>91</v>
      </c>
      <c r="DS109" s="430">
        <f t="shared" ca="1" si="164"/>
        <v>48923</v>
      </c>
      <c r="DT109" s="180">
        <f t="shared" ca="1" si="165"/>
        <v>1589.6100000000001</v>
      </c>
      <c r="DU109" s="180">
        <f t="shared" ca="1" si="165"/>
        <v>1589.6100000000001</v>
      </c>
      <c r="DV109" s="180">
        <f t="shared" ca="1" si="165"/>
        <v>1589.6100000000001</v>
      </c>
      <c r="DW109" s="180">
        <f t="shared" ca="1" si="165"/>
        <v>1589.6100000000001</v>
      </c>
      <c r="DX109" s="180">
        <f t="shared" ca="1" si="165"/>
        <v>1589.6100000000001</v>
      </c>
      <c r="DY109" s="180">
        <f t="shared" ca="1" si="165"/>
        <v>1589.6100000000001</v>
      </c>
      <c r="DZ109" s="180">
        <f t="shared" ca="1" si="165"/>
        <v>1589.6100000000001</v>
      </c>
      <c r="EA109" s="180">
        <f t="shared" ca="1" si="165"/>
        <v>1589.6100000000001</v>
      </c>
      <c r="EB109" s="180">
        <f t="shared" ca="1" si="165"/>
        <v>1589.6100000000001</v>
      </c>
      <c r="EC109" s="180">
        <f t="shared" ca="1" si="165"/>
        <v>1589.6100000000001</v>
      </c>
      <c r="ED109" s="180">
        <f t="shared" ca="1" si="165"/>
        <v>1589.6100000000001</v>
      </c>
      <c r="EE109" s="180">
        <f t="shared" ca="1" si="165"/>
        <v>1589.6100000000001</v>
      </c>
      <c r="EF109" s="180">
        <f t="shared" ca="1" si="174"/>
        <v>1589.6100000000001</v>
      </c>
      <c r="EG109" s="180">
        <f t="shared" ca="1" si="174"/>
        <v>1589.6100000000001</v>
      </c>
      <c r="EH109" s="180">
        <f t="shared" ca="1" si="174"/>
        <v>1589.6100000000001</v>
      </c>
      <c r="EI109" s="180">
        <f t="shared" ca="1" si="163"/>
        <v>1589.6100000000001</v>
      </c>
      <c r="EJ109" s="180">
        <f t="shared" ca="1" si="163"/>
        <v>1589.6100000000001</v>
      </c>
      <c r="EK109" s="180">
        <f t="shared" ca="1" si="163"/>
        <v>1589.6100000000001</v>
      </c>
      <c r="EL109" s="180">
        <f t="shared" ca="1" si="163"/>
        <v>1589.6100000000001</v>
      </c>
      <c r="EM109" s="180">
        <f t="shared" ca="1" si="163"/>
        <v>1589.6100000000001</v>
      </c>
      <c r="EN109" s="180">
        <f t="shared" ca="1" si="163"/>
        <v>1589.6100000000001</v>
      </c>
      <c r="EO109" s="180">
        <f t="shared" ca="1" si="163"/>
        <v>1589.6100000000001</v>
      </c>
      <c r="EP109" s="180">
        <f t="shared" ca="1" si="163"/>
        <v>1589.6100000000001</v>
      </c>
      <c r="EQ109" s="180"/>
      <c r="ER109" s="180"/>
    </row>
    <row r="110" spans="2:148" s="87" customFormat="1" hidden="1" x14ac:dyDescent="0.25">
      <c r="B110" s="151"/>
      <c r="C110" s="87">
        <v>49</v>
      </c>
      <c r="D110" s="258">
        <f t="shared" ca="1" si="170"/>
        <v>47644</v>
      </c>
      <c r="E110" s="175">
        <f t="shared" ca="1" si="171"/>
        <v>0.40431974734735049</v>
      </c>
      <c r="F110" s="175">
        <f t="shared" ca="1" si="171"/>
        <v>0.40431974734735049</v>
      </c>
      <c r="G110" s="175">
        <f t="shared" ca="1" si="171"/>
        <v>0.40431974734735049</v>
      </c>
      <c r="H110" s="175">
        <f t="shared" ca="1" si="171"/>
        <v>0.40431974734735049</v>
      </c>
      <c r="I110" s="175">
        <f t="shared" si="171"/>
        <v>0</v>
      </c>
      <c r="J110" s="175">
        <f t="shared" si="171"/>
        <v>0</v>
      </c>
      <c r="K110" s="175">
        <f t="shared" si="171"/>
        <v>0</v>
      </c>
      <c r="L110" s="175">
        <f t="shared" si="171"/>
        <v>0</v>
      </c>
      <c r="M110" s="175">
        <f t="shared" si="171"/>
        <v>0</v>
      </c>
      <c r="N110" s="175">
        <f t="shared" si="171"/>
        <v>0</v>
      </c>
      <c r="O110" s="175">
        <f t="shared" si="172"/>
        <v>0</v>
      </c>
      <c r="P110" s="175">
        <f t="shared" si="172"/>
        <v>0</v>
      </c>
      <c r="Q110" s="175">
        <f t="shared" si="172"/>
        <v>0</v>
      </c>
      <c r="R110" s="175">
        <f t="shared" si="172"/>
        <v>0</v>
      </c>
      <c r="S110" s="175">
        <f t="shared" si="172"/>
        <v>0</v>
      </c>
      <c r="T110" s="175">
        <f t="shared" si="172"/>
        <v>0</v>
      </c>
      <c r="U110" s="175">
        <f t="shared" si="172"/>
        <v>0</v>
      </c>
      <c r="V110" s="175"/>
      <c r="W110" s="140"/>
      <c r="X110" s="87">
        <v>92</v>
      </c>
      <c r="Y110" s="87">
        <f t="shared" si="138"/>
        <v>0</v>
      </c>
      <c r="Z110" s="87">
        <f t="shared" si="139"/>
        <v>0</v>
      </c>
      <c r="AA110" s="87">
        <f t="shared" si="140"/>
        <v>0</v>
      </c>
      <c r="AB110" s="87">
        <f t="shared" si="141"/>
        <v>0</v>
      </c>
      <c r="AC110" s="87">
        <f t="shared" si="142"/>
        <v>0</v>
      </c>
      <c r="AD110" s="87">
        <f t="shared" si="143"/>
        <v>0</v>
      </c>
      <c r="AE110" s="87">
        <f t="shared" si="144"/>
        <v>0</v>
      </c>
      <c r="AF110" s="87">
        <f t="shared" si="145"/>
        <v>0</v>
      </c>
      <c r="AG110" s="87">
        <f t="shared" si="146"/>
        <v>0</v>
      </c>
      <c r="AH110" s="87">
        <f t="shared" si="147"/>
        <v>0</v>
      </c>
      <c r="AI110" s="87">
        <f t="shared" si="148"/>
        <v>0</v>
      </c>
      <c r="AJ110" s="87">
        <f t="shared" si="149"/>
        <v>0</v>
      </c>
      <c r="AK110" s="87">
        <f t="shared" si="150"/>
        <v>0</v>
      </c>
      <c r="AL110" s="87">
        <f t="shared" si="151"/>
        <v>0</v>
      </c>
      <c r="AM110" s="87">
        <f t="shared" si="152"/>
        <v>0</v>
      </c>
      <c r="AN110" s="87">
        <f t="shared" si="153"/>
        <v>0</v>
      </c>
      <c r="AO110" s="87">
        <f t="shared" si="154"/>
        <v>0</v>
      </c>
      <c r="AP110" s="140"/>
      <c r="AQ110" s="426">
        <v>92</v>
      </c>
      <c r="AR110" s="258">
        <f t="shared" ca="1" si="160"/>
        <v>48954</v>
      </c>
      <c r="AS110" s="429">
        <f t="shared" si="118"/>
        <v>0</v>
      </c>
      <c r="AT110" s="140"/>
      <c r="AU110" s="278">
        <v>92</v>
      </c>
      <c r="AV110" s="258">
        <f t="shared" ca="1" si="161"/>
        <v>48985</v>
      </c>
      <c r="AW110" s="429">
        <f t="shared" si="155"/>
        <v>1589.6100000000001</v>
      </c>
      <c r="AX110" s="202">
        <f t="shared" ca="1" si="156"/>
        <v>283.24</v>
      </c>
      <c r="AY110" s="278">
        <v>92</v>
      </c>
      <c r="AZ110" s="258">
        <f t="shared" ca="1" si="162"/>
        <v>48985</v>
      </c>
      <c r="BA110" s="429">
        <f t="shared" si="157"/>
        <v>1589.6100000000001</v>
      </c>
      <c r="BB110" s="259">
        <f t="shared" ca="1" si="119"/>
        <v>48954</v>
      </c>
      <c r="BC110" s="428">
        <f t="shared" ca="1" si="158"/>
        <v>1589.6100000000001</v>
      </c>
      <c r="BD110" s="188">
        <f t="shared" si="120"/>
        <v>0</v>
      </c>
      <c r="BE110" s="188">
        <f t="shared" si="121"/>
        <v>0</v>
      </c>
      <c r="BF110" s="188">
        <f t="shared" si="122"/>
        <v>0</v>
      </c>
      <c r="BG110" s="87">
        <f t="shared" si="123"/>
        <v>0</v>
      </c>
      <c r="BH110" s="87">
        <f t="shared" si="124"/>
        <v>0</v>
      </c>
      <c r="BI110" s="87">
        <f t="shared" si="125"/>
        <v>0</v>
      </c>
      <c r="BJ110" s="87">
        <f t="shared" si="126"/>
        <v>0</v>
      </c>
      <c r="BK110" s="87">
        <f t="shared" si="127"/>
        <v>0</v>
      </c>
      <c r="BL110" s="87">
        <f t="shared" si="128"/>
        <v>0</v>
      </c>
      <c r="BM110" s="87">
        <f t="shared" si="129"/>
        <v>0</v>
      </c>
      <c r="BN110" s="87">
        <f t="shared" si="130"/>
        <v>0</v>
      </c>
      <c r="BO110" s="87">
        <f t="shared" si="131"/>
        <v>0</v>
      </c>
      <c r="BP110" s="87">
        <f t="shared" si="132"/>
        <v>0</v>
      </c>
      <c r="BQ110" s="87">
        <f t="shared" si="133"/>
        <v>0</v>
      </c>
      <c r="BR110" s="87">
        <f t="shared" si="134"/>
        <v>0</v>
      </c>
      <c r="BS110" s="87">
        <f t="shared" si="135"/>
        <v>0</v>
      </c>
      <c r="BT110" s="87">
        <f t="shared" si="136"/>
        <v>0</v>
      </c>
      <c r="BV110" s="177"/>
      <c r="BW110" s="177"/>
      <c r="BX110" s="267"/>
      <c r="BY110" s="267"/>
      <c r="BZ110" s="267"/>
      <c r="CA110" s="267"/>
      <c r="CB110" s="267"/>
      <c r="CC110" s="267"/>
      <c r="CD110" s="267"/>
      <c r="CE110" s="267"/>
      <c r="CF110" s="267"/>
      <c r="CG110" s="267"/>
      <c r="CH110" s="267"/>
      <c r="CI110" s="435"/>
      <c r="CJ110" s="436"/>
      <c r="CK110" s="437"/>
      <c r="CM110" s="64" t="s">
        <v>258</v>
      </c>
      <c r="CN110" s="707">
        <v>45</v>
      </c>
      <c r="CS110" s="178">
        <v>92</v>
      </c>
      <c r="CT110" s="259">
        <f t="shared" ca="1" si="137"/>
        <v>48985</v>
      </c>
      <c r="CU110" s="179">
        <f t="shared" ca="1" si="159"/>
        <v>283.24180234471993</v>
      </c>
      <c r="CV110" s="179">
        <f t="shared" ca="1" si="173"/>
        <v>296.63656013954255</v>
      </c>
      <c r="CW110" s="179">
        <f t="shared" ca="1" si="173"/>
        <v>304.97890732564451</v>
      </c>
      <c r="CX110" s="179">
        <f t="shared" ca="1" si="173"/>
        <v>313.55843133656498</v>
      </c>
      <c r="CY110" s="179">
        <f t="shared" ca="1" si="173"/>
        <v>322.38194815790638</v>
      </c>
      <c r="CZ110" s="179">
        <f t="shared" ca="1" si="173"/>
        <v>331.45647175032428</v>
      </c>
      <c r="DA110" s="179">
        <f t="shared" ca="1" si="173"/>
        <v>337.64915810527543</v>
      </c>
      <c r="DB110" s="179">
        <f t="shared" ca="1" si="173"/>
        <v>350.38762000649245</v>
      </c>
      <c r="DC110" s="179">
        <f t="shared" ca="1" si="173"/>
        <v>356.93790336695287</v>
      </c>
      <c r="DD110" s="179">
        <f t="shared" ca="1" si="173"/>
        <v>363.61196615511886</v>
      </c>
      <c r="DE110" s="179">
        <f t="shared" ca="1" si="173"/>
        <v>370.41217247127742</v>
      </c>
      <c r="DF110" s="179" t="e">
        <f t="shared" ca="1" si="173"/>
        <v>#VALUE!</v>
      </c>
      <c r="DG110" s="179" t="e">
        <f t="shared" ca="1" si="173"/>
        <v>#VALUE!</v>
      </c>
      <c r="DH110" s="179" t="e">
        <f t="shared" ca="1" si="173"/>
        <v>#VALUE!</v>
      </c>
      <c r="DI110" s="179" t="e">
        <f t="shared" ca="1" si="173"/>
        <v>#VALUE!</v>
      </c>
      <c r="DJ110" s="179" t="e">
        <f t="shared" ca="1" si="113"/>
        <v>#VALUE!</v>
      </c>
      <c r="DK110" s="179" t="e">
        <f t="shared" ca="1" si="113"/>
        <v>#VALUE!</v>
      </c>
      <c r="DL110" s="179" t="e">
        <f t="shared" ca="1" si="169"/>
        <v>#VALUE!</v>
      </c>
      <c r="DM110" s="179" t="e">
        <f t="shared" ca="1" si="169"/>
        <v>#VALUE!</v>
      </c>
      <c r="DN110" s="179" t="e">
        <f t="shared" ca="1" si="169"/>
        <v>#VALUE!</v>
      </c>
      <c r="DO110" s="179" t="e">
        <f t="shared" ca="1" si="169"/>
        <v>#VALUE!</v>
      </c>
      <c r="DP110" s="179" t="e">
        <f t="shared" ca="1" si="169"/>
        <v>#VALUE!</v>
      </c>
      <c r="DQ110" s="179" t="e">
        <f t="shared" ca="1" si="169"/>
        <v>#VALUE!</v>
      </c>
      <c r="DR110" s="431">
        <v>92</v>
      </c>
      <c r="DS110" s="430">
        <f t="shared" ca="1" si="164"/>
        <v>48954</v>
      </c>
      <c r="DT110" s="180">
        <f t="shared" ca="1" si="165"/>
        <v>1589.6100000000001</v>
      </c>
      <c r="DU110" s="180">
        <f t="shared" ca="1" si="165"/>
        <v>1589.6100000000001</v>
      </c>
      <c r="DV110" s="180">
        <f t="shared" ca="1" si="165"/>
        <v>1589.6100000000001</v>
      </c>
      <c r="DW110" s="180">
        <f t="shared" ca="1" si="165"/>
        <v>1589.6100000000001</v>
      </c>
      <c r="DX110" s="180">
        <f t="shared" ca="1" si="165"/>
        <v>1589.6100000000001</v>
      </c>
      <c r="DY110" s="180">
        <f t="shared" ca="1" si="165"/>
        <v>1589.6100000000001</v>
      </c>
      <c r="DZ110" s="180">
        <f t="shared" ca="1" si="165"/>
        <v>1589.6100000000001</v>
      </c>
      <c r="EA110" s="180">
        <f t="shared" ca="1" si="165"/>
        <v>1589.6100000000001</v>
      </c>
      <c r="EB110" s="180">
        <f t="shared" ca="1" si="165"/>
        <v>1589.6100000000001</v>
      </c>
      <c r="EC110" s="180">
        <f t="shared" ca="1" si="165"/>
        <v>1589.6100000000001</v>
      </c>
      <c r="ED110" s="180">
        <f t="shared" ca="1" si="165"/>
        <v>1589.6100000000001</v>
      </c>
      <c r="EE110" s="180">
        <f t="shared" ca="1" si="165"/>
        <v>1589.6100000000001</v>
      </c>
      <c r="EF110" s="180">
        <f t="shared" ca="1" si="174"/>
        <v>1589.6100000000001</v>
      </c>
      <c r="EG110" s="180">
        <f t="shared" ca="1" si="174"/>
        <v>1589.6100000000001</v>
      </c>
      <c r="EH110" s="180">
        <f t="shared" ca="1" si="174"/>
        <v>1589.6100000000001</v>
      </c>
      <c r="EI110" s="180">
        <f t="shared" ca="1" si="163"/>
        <v>1589.6100000000001</v>
      </c>
      <c r="EJ110" s="180">
        <f t="shared" ca="1" si="163"/>
        <v>1589.6100000000001</v>
      </c>
      <c r="EK110" s="180">
        <f t="shared" ca="1" si="163"/>
        <v>1589.6100000000001</v>
      </c>
      <c r="EL110" s="180">
        <f t="shared" ca="1" si="163"/>
        <v>1589.6100000000001</v>
      </c>
      <c r="EM110" s="180">
        <f t="shared" ca="1" si="163"/>
        <v>1589.6100000000001</v>
      </c>
      <c r="EN110" s="180">
        <f t="shared" ca="1" si="163"/>
        <v>1589.6100000000001</v>
      </c>
      <c r="EO110" s="180">
        <f t="shared" ca="1" si="163"/>
        <v>1589.6100000000001</v>
      </c>
      <c r="EP110" s="180">
        <f t="shared" ca="1" si="163"/>
        <v>1589.6100000000001</v>
      </c>
      <c r="EQ110" s="180"/>
      <c r="ER110" s="180"/>
    </row>
    <row r="111" spans="2:148" s="87" customFormat="1" hidden="1" x14ac:dyDescent="0.25">
      <c r="B111" s="151"/>
      <c r="C111" s="87">
        <v>50</v>
      </c>
      <c r="D111" s="258">
        <f t="shared" ca="1" si="170"/>
        <v>47674</v>
      </c>
      <c r="E111" s="175">
        <f t="shared" ca="1" si="171"/>
        <v>0.39697569695370688</v>
      </c>
      <c r="F111" s="175">
        <f t="shared" ca="1" si="171"/>
        <v>0.39697569695370688</v>
      </c>
      <c r="G111" s="175">
        <f t="shared" ca="1" si="171"/>
        <v>0.39697569695370688</v>
      </c>
      <c r="H111" s="175">
        <f t="shared" ca="1" si="171"/>
        <v>0.39697569695370688</v>
      </c>
      <c r="I111" s="175">
        <f t="shared" si="171"/>
        <v>0</v>
      </c>
      <c r="J111" s="175">
        <f t="shared" si="171"/>
        <v>0</v>
      </c>
      <c r="K111" s="175">
        <f t="shared" si="171"/>
        <v>0</v>
      </c>
      <c r="L111" s="175">
        <f t="shared" si="171"/>
        <v>0</v>
      </c>
      <c r="M111" s="175">
        <f t="shared" si="171"/>
        <v>0</v>
      </c>
      <c r="N111" s="175">
        <f t="shared" si="171"/>
        <v>0</v>
      </c>
      <c r="O111" s="175">
        <f t="shared" si="172"/>
        <v>0</v>
      </c>
      <c r="P111" s="175">
        <f t="shared" si="172"/>
        <v>0</v>
      </c>
      <c r="Q111" s="175">
        <f t="shared" si="172"/>
        <v>0</v>
      </c>
      <c r="R111" s="175">
        <f t="shared" si="172"/>
        <v>0</v>
      </c>
      <c r="S111" s="175">
        <f t="shared" si="172"/>
        <v>0</v>
      </c>
      <c r="T111" s="175">
        <f t="shared" si="172"/>
        <v>0</v>
      </c>
      <c r="U111" s="175">
        <f t="shared" si="172"/>
        <v>0</v>
      </c>
      <c r="V111" s="175"/>
      <c r="W111" s="140"/>
      <c r="X111" s="87">
        <v>93</v>
      </c>
      <c r="Y111" s="87">
        <f t="shared" si="138"/>
        <v>0</v>
      </c>
      <c r="Z111" s="87">
        <f t="shared" si="139"/>
        <v>0</v>
      </c>
      <c r="AA111" s="87">
        <f t="shared" si="140"/>
        <v>0</v>
      </c>
      <c r="AB111" s="87">
        <f t="shared" si="141"/>
        <v>0</v>
      </c>
      <c r="AC111" s="87">
        <f t="shared" si="142"/>
        <v>0</v>
      </c>
      <c r="AD111" s="87">
        <f t="shared" si="143"/>
        <v>0</v>
      </c>
      <c r="AE111" s="87">
        <f t="shared" si="144"/>
        <v>0</v>
      </c>
      <c r="AF111" s="87">
        <f t="shared" si="145"/>
        <v>0</v>
      </c>
      <c r="AG111" s="87">
        <f t="shared" si="146"/>
        <v>0</v>
      </c>
      <c r="AH111" s="87">
        <f t="shared" si="147"/>
        <v>0</v>
      </c>
      <c r="AI111" s="87">
        <f t="shared" si="148"/>
        <v>0</v>
      </c>
      <c r="AJ111" s="87">
        <f t="shared" si="149"/>
        <v>0</v>
      </c>
      <c r="AK111" s="87">
        <f t="shared" si="150"/>
        <v>0</v>
      </c>
      <c r="AL111" s="87">
        <f t="shared" si="151"/>
        <v>0</v>
      </c>
      <c r="AM111" s="87">
        <f t="shared" si="152"/>
        <v>0</v>
      </c>
      <c r="AN111" s="87">
        <f t="shared" si="153"/>
        <v>0</v>
      </c>
      <c r="AO111" s="87">
        <f t="shared" si="154"/>
        <v>0</v>
      </c>
      <c r="AP111" s="140"/>
      <c r="AQ111" s="426">
        <v>93</v>
      </c>
      <c r="AR111" s="258">
        <f t="shared" ca="1" si="160"/>
        <v>48985</v>
      </c>
      <c r="AS111" s="429">
        <f t="shared" si="118"/>
        <v>0</v>
      </c>
      <c r="AT111" s="140"/>
      <c r="AU111" s="278">
        <v>93</v>
      </c>
      <c r="AV111" s="258">
        <f t="shared" ca="1" si="161"/>
        <v>49013</v>
      </c>
      <c r="AW111" s="429">
        <f t="shared" si="155"/>
        <v>1589.6100000000001</v>
      </c>
      <c r="AX111" s="202">
        <f t="shared" ca="1" si="156"/>
        <v>278.44</v>
      </c>
      <c r="AY111" s="278">
        <v>93</v>
      </c>
      <c r="AZ111" s="258">
        <f t="shared" ca="1" si="162"/>
        <v>49013</v>
      </c>
      <c r="BA111" s="429">
        <f t="shared" si="157"/>
        <v>1589.6100000000001</v>
      </c>
      <c r="BB111" s="259">
        <f t="shared" ca="1" si="119"/>
        <v>48985</v>
      </c>
      <c r="BC111" s="428">
        <f t="shared" ca="1" si="158"/>
        <v>1589.6100000000001</v>
      </c>
      <c r="BD111" s="188">
        <f t="shared" si="120"/>
        <v>0</v>
      </c>
      <c r="BE111" s="188">
        <f t="shared" si="121"/>
        <v>0</v>
      </c>
      <c r="BF111" s="188">
        <f t="shared" si="122"/>
        <v>0</v>
      </c>
      <c r="BG111" s="87">
        <f t="shared" si="123"/>
        <v>0</v>
      </c>
      <c r="BH111" s="87">
        <f t="shared" si="124"/>
        <v>0</v>
      </c>
      <c r="BI111" s="87">
        <f t="shared" si="125"/>
        <v>0</v>
      </c>
      <c r="BJ111" s="87">
        <f t="shared" si="126"/>
        <v>0</v>
      </c>
      <c r="BK111" s="87">
        <f t="shared" si="127"/>
        <v>0</v>
      </c>
      <c r="BL111" s="87">
        <f t="shared" si="128"/>
        <v>0</v>
      </c>
      <c r="BM111" s="87">
        <f t="shared" si="129"/>
        <v>0</v>
      </c>
      <c r="BN111" s="87">
        <f t="shared" si="130"/>
        <v>0</v>
      </c>
      <c r="BO111" s="87">
        <f t="shared" si="131"/>
        <v>0</v>
      </c>
      <c r="BP111" s="87">
        <f t="shared" si="132"/>
        <v>0</v>
      </c>
      <c r="BQ111" s="87">
        <f t="shared" si="133"/>
        <v>0</v>
      </c>
      <c r="BR111" s="87">
        <f t="shared" si="134"/>
        <v>0</v>
      </c>
      <c r="BS111" s="87">
        <f t="shared" si="135"/>
        <v>0</v>
      </c>
      <c r="BT111" s="87">
        <f t="shared" si="136"/>
        <v>0</v>
      </c>
      <c r="BV111" s="177"/>
      <c r="BW111" s="177"/>
      <c r="BX111" s="267"/>
      <c r="BY111" s="267"/>
      <c r="BZ111" s="267"/>
      <c r="CA111" s="267"/>
      <c r="CB111" s="267"/>
      <c r="CC111" s="267"/>
      <c r="CD111" s="267"/>
      <c r="CE111" s="267"/>
      <c r="CF111" s="267"/>
      <c r="CG111" s="267"/>
      <c r="CH111" s="267"/>
      <c r="CI111" s="435"/>
      <c r="CJ111" s="436"/>
      <c r="CK111" s="437"/>
      <c r="CM111" s="64" t="s">
        <v>102</v>
      </c>
      <c r="CN111" s="707">
        <v>58.333333333333336</v>
      </c>
      <c r="CS111" s="138">
        <v>93</v>
      </c>
      <c r="CT111" s="259">
        <f t="shared" ca="1" si="137"/>
        <v>49013</v>
      </c>
      <c r="CU111" s="179">
        <f t="shared" ca="1" si="159"/>
        <v>278.43706772758298</v>
      </c>
      <c r="CV111" s="179">
        <f t="shared" ca="1" si="173"/>
        <v>291.73827912460547</v>
      </c>
      <c r="CW111" s="179">
        <f t="shared" ca="1" si="173"/>
        <v>300.02539386940953</v>
      </c>
      <c r="CX111" s="179">
        <f t="shared" ca="1" si="173"/>
        <v>308.55046033879677</v>
      </c>
      <c r="CY111" s="179">
        <f t="shared" ca="1" si="173"/>
        <v>317.32038415593433</v>
      </c>
      <c r="CZ111" s="179">
        <f t="shared" ca="1" si="173"/>
        <v>326.34227347861253</v>
      </c>
      <c r="DA111" s="179">
        <f t="shared" ca="1" si="173"/>
        <v>332.50045161239154</v>
      </c>
      <c r="DB111" s="179">
        <f t="shared" ca="1" si="173"/>
        <v>345.17143013985395</v>
      </c>
      <c r="DC111" s="179">
        <f t="shared" ca="1" si="173"/>
        <v>351.68880245209942</v>
      </c>
      <c r="DD111" s="179">
        <f t="shared" ca="1" si="173"/>
        <v>358.33055243608391</v>
      </c>
      <c r="DE111" s="179">
        <f t="shared" ca="1" si="173"/>
        <v>365.09907891058629</v>
      </c>
      <c r="DF111" s="179" t="e">
        <f t="shared" ca="1" si="173"/>
        <v>#VALUE!</v>
      </c>
      <c r="DG111" s="179" t="e">
        <f t="shared" ca="1" si="173"/>
        <v>#VALUE!</v>
      </c>
      <c r="DH111" s="179" t="e">
        <f t="shared" ca="1" si="173"/>
        <v>#VALUE!</v>
      </c>
      <c r="DI111" s="179" t="e">
        <f t="shared" ca="1" si="173"/>
        <v>#VALUE!</v>
      </c>
      <c r="DJ111" s="179" t="e">
        <f t="shared" ca="1" si="113"/>
        <v>#VALUE!</v>
      </c>
      <c r="DK111" s="179" t="e">
        <f t="shared" ca="1" si="113"/>
        <v>#VALUE!</v>
      </c>
      <c r="DL111" s="179" t="e">
        <f t="shared" ca="1" si="169"/>
        <v>#VALUE!</v>
      </c>
      <c r="DM111" s="179" t="e">
        <f t="shared" ca="1" si="169"/>
        <v>#VALUE!</v>
      </c>
      <c r="DN111" s="179" t="e">
        <f t="shared" ca="1" si="169"/>
        <v>#VALUE!</v>
      </c>
      <c r="DO111" s="179" t="e">
        <f t="shared" ca="1" si="169"/>
        <v>#VALUE!</v>
      </c>
      <c r="DP111" s="179" t="e">
        <f t="shared" ca="1" si="169"/>
        <v>#VALUE!</v>
      </c>
      <c r="DQ111" s="179" t="e">
        <f t="shared" ca="1" si="169"/>
        <v>#VALUE!</v>
      </c>
      <c r="DR111" s="278">
        <v>93</v>
      </c>
      <c r="DS111" s="430">
        <f t="shared" ca="1" si="164"/>
        <v>48985</v>
      </c>
      <c r="DT111" s="180">
        <f t="shared" ca="1" si="165"/>
        <v>1589.6100000000001</v>
      </c>
      <c r="DU111" s="180">
        <f t="shared" ca="1" si="165"/>
        <v>1589.6100000000001</v>
      </c>
      <c r="DV111" s="180">
        <f t="shared" ca="1" si="165"/>
        <v>1589.6100000000001</v>
      </c>
      <c r="DW111" s="180">
        <f t="shared" ca="1" si="165"/>
        <v>1589.6100000000001</v>
      </c>
      <c r="DX111" s="180">
        <f t="shared" ca="1" si="165"/>
        <v>1589.6100000000001</v>
      </c>
      <c r="DY111" s="180">
        <f t="shared" ca="1" si="165"/>
        <v>1589.6100000000001</v>
      </c>
      <c r="DZ111" s="180">
        <f t="shared" ca="1" si="165"/>
        <v>1589.6100000000001</v>
      </c>
      <c r="EA111" s="180">
        <f t="shared" ca="1" si="165"/>
        <v>1589.6100000000001</v>
      </c>
      <c r="EB111" s="180">
        <f t="shared" ca="1" si="165"/>
        <v>1589.6100000000001</v>
      </c>
      <c r="EC111" s="180">
        <f t="shared" ca="1" si="165"/>
        <v>1589.6100000000001</v>
      </c>
      <c r="ED111" s="180">
        <f t="shared" ca="1" si="165"/>
        <v>1589.6100000000001</v>
      </c>
      <c r="EE111" s="180">
        <f t="shared" ca="1" si="165"/>
        <v>1589.6100000000001</v>
      </c>
      <c r="EF111" s="180">
        <f t="shared" ca="1" si="174"/>
        <v>1589.6100000000001</v>
      </c>
      <c r="EG111" s="180">
        <f t="shared" ca="1" si="174"/>
        <v>1589.6100000000001</v>
      </c>
      <c r="EH111" s="180">
        <f t="shared" ca="1" si="174"/>
        <v>1589.6100000000001</v>
      </c>
      <c r="EI111" s="180">
        <f t="shared" ca="1" si="163"/>
        <v>1589.6100000000001</v>
      </c>
      <c r="EJ111" s="180">
        <f t="shared" ca="1" si="163"/>
        <v>1589.6100000000001</v>
      </c>
      <c r="EK111" s="180">
        <f t="shared" ca="1" si="163"/>
        <v>1589.6100000000001</v>
      </c>
      <c r="EL111" s="180">
        <f t="shared" ca="1" si="163"/>
        <v>1589.6100000000001</v>
      </c>
      <c r="EM111" s="180">
        <f t="shared" ca="1" si="163"/>
        <v>1589.6100000000001</v>
      </c>
      <c r="EN111" s="180">
        <f t="shared" ca="1" si="163"/>
        <v>1589.6100000000001</v>
      </c>
      <c r="EO111" s="180">
        <f t="shared" ref="EI111:EP137" ca="1" si="175">IFERROR(VLOOKUP($DS111,$AZ$19:$BA$162,2,FALSE),0)-IFERROR(VLOOKUP($DS111,$AR$19:$AS$162,2,FALSE),0)</f>
        <v>1589.6100000000001</v>
      </c>
      <c r="EP111" s="180">
        <f t="shared" ca="1" si="175"/>
        <v>1589.6100000000001</v>
      </c>
      <c r="EQ111" s="180"/>
      <c r="ER111" s="180"/>
    </row>
    <row r="112" spans="2:148" s="87" customFormat="1" hidden="1" x14ac:dyDescent="0.25">
      <c r="B112" s="151"/>
      <c r="C112" s="87">
        <v>51</v>
      </c>
      <c r="D112" s="258">
        <f t="shared" ca="1" si="170"/>
        <v>47705</v>
      </c>
      <c r="E112" s="175">
        <f t="shared" ref="E112:N121" ca="1" si="176">IF($C112&lt;=E$17,1/(($D$60+1)^(($D112-$D$61)/30)),0)</f>
        <v>0.38952695752168959</v>
      </c>
      <c r="F112" s="175">
        <f t="shared" ca="1" si="176"/>
        <v>0.38952695752168959</v>
      </c>
      <c r="G112" s="175">
        <f t="shared" ca="1" si="176"/>
        <v>0.38952695752168959</v>
      </c>
      <c r="H112" s="175">
        <f t="shared" ca="1" si="176"/>
        <v>0.38952695752168959</v>
      </c>
      <c r="I112" s="175">
        <f t="shared" si="176"/>
        <v>0</v>
      </c>
      <c r="J112" s="175">
        <f t="shared" si="176"/>
        <v>0</v>
      </c>
      <c r="K112" s="175">
        <f t="shared" si="176"/>
        <v>0</v>
      </c>
      <c r="L112" s="175">
        <f t="shared" si="176"/>
        <v>0</v>
      </c>
      <c r="M112" s="175">
        <f t="shared" si="176"/>
        <v>0</v>
      </c>
      <c r="N112" s="175">
        <f t="shared" si="176"/>
        <v>0</v>
      </c>
      <c r="O112" s="175">
        <f t="shared" ref="O112:U121" si="177">IF($C112&lt;=O$17,1/(($D$60+1)^(($D112-$D$61)/30)),0)</f>
        <v>0</v>
      </c>
      <c r="P112" s="175">
        <f t="shared" si="177"/>
        <v>0</v>
      </c>
      <c r="Q112" s="175">
        <f t="shared" si="177"/>
        <v>0</v>
      </c>
      <c r="R112" s="175">
        <f t="shared" si="177"/>
        <v>0</v>
      </c>
      <c r="S112" s="175">
        <f t="shared" si="177"/>
        <v>0</v>
      </c>
      <c r="T112" s="175">
        <f t="shared" si="177"/>
        <v>0</v>
      </c>
      <c r="U112" s="175">
        <f t="shared" si="177"/>
        <v>0</v>
      </c>
      <c r="V112" s="175"/>
      <c r="W112" s="140"/>
      <c r="X112" s="87">
        <v>94</v>
      </c>
      <c r="Y112" s="87">
        <f t="shared" si="138"/>
        <v>0</v>
      </c>
      <c r="Z112" s="87">
        <f t="shared" si="139"/>
        <v>0</v>
      </c>
      <c r="AA112" s="87">
        <f t="shared" si="140"/>
        <v>0</v>
      </c>
      <c r="AB112" s="87">
        <f t="shared" si="141"/>
        <v>0</v>
      </c>
      <c r="AC112" s="87">
        <f t="shared" si="142"/>
        <v>0</v>
      </c>
      <c r="AD112" s="87">
        <f t="shared" si="143"/>
        <v>0</v>
      </c>
      <c r="AE112" s="87">
        <f t="shared" si="144"/>
        <v>0</v>
      </c>
      <c r="AF112" s="87">
        <f t="shared" si="145"/>
        <v>0</v>
      </c>
      <c r="AG112" s="87">
        <f t="shared" si="146"/>
        <v>0</v>
      </c>
      <c r="AH112" s="87">
        <f t="shared" si="147"/>
        <v>0</v>
      </c>
      <c r="AI112" s="87">
        <f t="shared" si="148"/>
        <v>0</v>
      </c>
      <c r="AJ112" s="87">
        <f t="shared" si="149"/>
        <v>0</v>
      </c>
      <c r="AK112" s="87">
        <f t="shared" si="150"/>
        <v>0</v>
      </c>
      <c r="AL112" s="87">
        <f t="shared" si="151"/>
        <v>0</v>
      </c>
      <c r="AM112" s="87">
        <f t="shared" si="152"/>
        <v>0</v>
      </c>
      <c r="AN112" s="87">
        <f t="shared" si="153"/>
        <v>0</v>
      </c>
      <c r="AO112" s="87">
        <f t="shared" si="154"/>
        <v>0</v>
      </c>
      <c r="AP112" s="140"/>
      <c r="AQ112" s="426">
        <v>94</v>
      </c>
      <c r="AR112" s="258">
        <f t="shared" ca="1" si="160"/>
        <v>49013</v>
      </c>
      <c r="AS112" s="429">
        <f t="shared" si="118"/>
        <v>0</v>
      </c>
      <c r="AT112" s="140"/>
      <c r="AU112" s="278">
        <v>94</v>
      </c>
      <c r="AV112" s="258">
        <f t="shared" ca="1" si="161"/>
        <v>49044</v>
      </c>
      <c r="AW112" s="429">
        <f t="shared" si="155"/>
        <v>1589.6100000000001</v>
      </c>
      <c r="AX112" s="202">
        <f t="shared" ca="1" si="156"/>
        <v>273.20999999999998</v>
      </c>
      <c r="AY112" s="278">
        <v>94</v>
      </c>
      <c r="AZ112" s="258">
        <f t="shared" ca="1" si="162"/>
        <v>49044</v>
      </c>
      <c r="BA112" s="429">
        <f t="shared" si="157"/>
        <v>1589.6100000000001</v>
      </c>
      <c r="BB112" s="259">
        <f t="shared" ca="1" si="119"/>
        <v>49013</v>
      </c>
      <c r="BC112" s="428">
        <f t="shared" ca="1" si="158"/>
        <v>1589.6100000000001</v>
      </c>
      <c r="BD112" s="188">
        <f t="shared" si="120"/>
        <v>0</v>
      </c>
      <c r="BE112" s="188">
        <f t="shared" si="121"/>
        <v>0</v>
      </c>
      <c r="BF112" s="188">
        <f t="shared" si="122"/>
        <v>0</v>
      </c>
      <c r="BG112" s="87">
        <f t="shared" si="123"/>
        <v>0</v>
      </c>
      <c r="BH112" s="87">
        <f t="shared" si="124"/>
        <v>0</v>
      </c>
      <c r="BI112" s="87">
        <f t="shared" si="125"/>
        <v>0</v>
      </c>
      <c r="BJ112" s="87">
        <f t="shared" si="126"/>
        <v>0</v>
      </c>
      <c r="BK112" s="87">
        <f t="shared" si="127"/>
        <v>0</v>
      </c>
      <c r="BL112" s="87">
        <f t="shared" si="128"/>
        <v>0</v>
      </c>
      <c r="BM112" s="87">
        <f t="shared" si="129"/>
        <v>0</v>
      </c>
      <c r="BN112" s="87">
        <f t="shared" si="130"/>
        <v>0</v>
      </c>
      <c r="BO112" s="87">
        <f t="shared" si="131"/>
        <v>0</v>
      </c>
      <c r="BP112" s="87">
        <f t="shared" si="132"/>
        <v>0</v>
      </c>
      <c r="BQ112" s="87">
        <f t="shared" si="133"/>
        <v>0</v>
      </c>
      <c r="BR112" s="87">
        <f t="shared" si="134"/>
        <v>0</v>
      </c>
      <c r="BS112" s="87">
        <f t="shared" si="135"/>
        <v>0</v>
      </c>
      <c r="BT112" s="87">
        <f t="shared" si="136"/>
        <v>0</v>
      </c>
      <c r="BV112" s="177"/>
      <c r="BW112" s="177"/>
      <c r="BX112" s="267"/>
      <c r="BY112" s="267"/>
      <c r="BZ112" s="267"/>
      <c r="CA112" s="267"/>
      <c r="CB112" s="267"/>
      <c r="CC112" s="267"/>
      <c r="CD112" s="267"/>
      <c r="CE112" s="267"/>
      <c r="CF112" s="267"/>
      <c r="CG112" s="267"/>
      <c r="CH112" s="267"/>
      <c r="CI112" s="435"/>
      <c r="CJ112" s="436"/>
      <c r="CK112" s="437"/>
      <c r="CM112" s="64" t="s">
        <v>328</v>
      </c>
      <c r="CN112" s="707">
        <v>41.5</v>
      </c>
      <c r="CS112" s="87">
        <v>94</v>
      </c>
      <c r="CT112" s="259">
        <f t="shared" ca="1" si="137"/>
        <v>49044</v>
      </c>
      <c r="CU112" s="179">
        <f t="shared" ca="1" si="159"/>
        <v>273.21255352776387</v>
      </c>
      <c r="CV112" s="179">
        <f t="shared" ca="1" si="173"/>
        <v>286.40947393277952</v>
      </c>
      <c r="CW112" s="179">
        <f t="shared" ca="1" si="173"/>
        <v>294.63494008628567</v>
      </c>
      <c r="CX112" s="179">
        <f t="shared" ca="1" si="173"/>
        <v>303.09916570559551</v>
      </c>
      <c r="CY112" s="179">
        <f t="shared" ca="1" si="173"/>
        <v>311.80915471686853</v>
      </c>
      <c r="CZ112" s="179">
        <f t="shared" ca="1" si="173"/>
        <v>320.77211866102999</v>
      </c>
      <c r="DA112" s="179">
        <f t="shared" ca="1" si="173"/>
        <v>326.89162744609706</v>
      </c>
      <c r="DB112" s="179">
        <f t="shared" ca="1" si="173"/>
        <v>339.48689308322651</v>
      </c>
      <c r="DC112" s="179">
        <f t="shared" ca="1" si="173"/>
        <v>345.96729235643721</v>
      </c>
      <c r="DD112" s="179">
        <f t="shared" ca="1" si="173"/>
        <v>352.57270719245332</v>
      </c>
      <c r="DE112" s="179">
        <f t="shared" ca="1" si="173"/>
        <v>359.3055746381325</v>
      </c>
      <c r="DF112" s="179" t="e">
        <f t="shared" ca="1" si="173"/>
        <v>#VALUE!</v>
      </c>
      <c r="DG112" s="179" t="e">
        <f t="shared" ca="1" si="173"/>
        <v>#VALUE!</v>
      </c>
      <c r="DH112" s="179" t="e">
        <f t="shared" ca="1" si="173"/>
        <v>#VALUE!</v>
      </c>
      <c r="DI112" s="179" t="e">
        <f t="shared" ca="1" si="173"/>
        <v>#VALUE!</v>
      </c>
      <c r="DJ112" s="179" t="e">
        <f t="shared" ca="1" si="113"/>
        <v>#VALUE!</v>
      </c>
      <c r="DK112" s="179" t="e">
        <f t="shared" ca="1" si="113"/>
        <v>#VALUE!</v>
      </c>
      <c r="DL112" s="179" t="e">
        <f t="shared" ca="1" si="169"/>
        <v>#VALUE!</v>
      </c>
      <c r="DM112" s="179" t="e">
        <f t="shared" ca="1" si="169"/>
        <v>#VALUE!</v>
      </c>
      <c r="DN112" s="179" t="e">
        <f t="shared" ca="1" si="169"/>
        <v>#VALUE!</v>
      </c>
      <c r="DO112" s="179" t="e">
        <f t="shared" ca="1" si="169"/>
        <v>#VALUE!</v>
      </c>
      <c r="DP112" s="179" t="e">
        <f t="shared" ca="1" si="169"/>
        <v>#VALUE!</v>
      </c>
      <c r="DQ112" s="179" t="e">
        <f t="shared" ca="1" si="169"/>
        <v>#VALUE!</v>
      </c>
      <c r="DR112" s="188">
        <v>94</v>
      </c>
      <c r="DS112" s="430">
        <f t="shared" ca="1" si="164"/>
        <v>49013</v>
      </c>
      <c r="DT112" s="180">
        <f t="shared" ca="1" si="165"/>
        <v>1589.6100000000001</v>
      </c>
      <c r="DU112" s="180">
        <f t="shared" ca="1" si="165"/>
        <v>1589.6100000000001</v>
      </c>
      <c r="DV112" s="180">
        <f t="shared" ca="1" si="165"/>
        <v>1589.6100000000001</v>
      </c>
      <c r="DW112" s="180">
        <f t="shared" ca="1" si="165"/>
        <v>1589.6100000000001</v>
      </c>
      <c r="DX112" s="180">
        <f t="shared" ca="1" si="165"/>
        <v>1589.6100000000001</v>
      </c>
      <c r="DY112" s="180">
        <f t="shared" ca="1" si="165"/>
        <v>1589.6100000000001</v>
      </c>
      <c r="DZ112" s="180">
        <f t="shared" ca="1" si="165"/>
        <v>1589.6100000000001</v>
      </c>
      <c r="EA112" s="180">
        <f t="shared" ca="1" si="165"/>
        <v>1589.6100000000001</v>
      </c>
      <c r="EB112" s="180">
        <f t="shared" ca="1" si="165"/>
        <v>1589.6100000000001</v>
      </c>
      <c r="EC112" s="180">
        <f t="shared" ca="1" si="165"/>
        <v>1589.6100000000001</v>
      </c>
      <c r="ED112" s="180">
        <f t="shared" ca="1" si="165"/>
        <v>1589.6100000000001</v>
      </c>
      <c r="EE112" s="180">
        <f t="shared" ca="1" si="165"/>
        <v>1589.6100000000001</v>
      </c>
      <c r="EF112" s="180">
        <f t="shared" ca="1" si="174"/>
        <v>1589.6100000000001</v>
      </c>
      <c r="EG112" s="180">
        <f t="shared" ca="1" si="174"/>
        <v>1589.6100000000001</v>
      </c>
      <c r="EH112" s="180">
        <f t="shared" ca="1" si="174"/>
        <v>1589.6100000000001</v>
      </c>
      <c r="EI112" s="180">
        <f t="shared" ca="1" si="175"/>
        <v>1589.6100000000001</v>
      </c>
      <c r="EJ112" s="180">
        <f t="shared" ca="1" si="175"/>
        <v>1589.6100000000001</v>
      </c>
      <c r="EK112" s="180">
        <f t="shared" ca="1" si="175"/>
        <v>1589.6100000000001</v>
      </c>
      <c r="EL112" s="180">
        <f t="shared" ca="1" si="175"/>
        <v>1589.6100000000001</v>
      </c>
      <c r="EM112" s="180">
        <f t="shared" ca="1" si="175"/>
        <v>1589.6100000000001</v>
      </c>
      <c r="EN112" s="180">
        <f t="shared" ca="1" si="175"/>
        <v>1589.6100000000001</v>
      </c>
      <c r="EO112" s="180">
        <f t="shared" ca="1" si="175"/>
        <v>1589.6100000000001</v>
      </c>
      <c r="EP112" s="180">
        <f t="shared" ca="1" si="175"/>
        <v>1589.6100000000001</v>
      </c>
      <c r="EQ112" s="180"/>
      <c r="ER112" s="180"/>
    </row>
    <row r="113" spans="2:148" s="87" customFormat="1" hidden="1" x14ac:dyDescent="0.25">
      <c r="B113" s="151"/>
      <c r="C113" s="87">
        <v>52</v>
      </c>
      <c r="D113" s="258">
        <f t="shared" ca="1" si="170"/>
        <v>47736</v>
      </c>
      <c r="E113" s="175">
        <f t="shared" ca="1" si="176"/>
        <v>0.3822179841246004</v>
      </c>
      <c r="F113" s="175">
        <f t="shared" ca="1" si="176"/>
        <v>0.3822179841246004</v>
      </c>
      <c r="G113" s="175">
        <f t="shared" ca="1" si="176"/>
        <v>0.3822179841246004</v>
      </c>
      <c r="H113" s="175">
        <f t="shared" ca="1" si="176"/>
        <v>0.3822179841246004</v>
      </c>
      <c r="I113" s="175">
        <f t="shared" si="176"/>
        <v>0</v>
      </c>
      <c r="J113" s="175">
        <f t="shared" si="176"/>
        <v>0</v>
      </c>
      <c r="K113" s="175">
        <f t="shared" si="176"/>
        <v>0</v>
      </c>
      <c r="L113" s="175">
        <f t="shared" si="176"/>
        <v>0</v>
      </c>
      <c r="M113" s="175">
        <f t="shared" si="176"/>
        <v>0</v>
      </c>
      <c r="N113" s="175">
        <f t="shared" si="176"/>
        <v>0</v>
      </c>
      <c r="O113" s="175">
        <f t="shared" si="177"/>
        <v>0</v>
      </c>
      <c r="P113" s="175">
        <f t="shared" si="177"/>
        <v>0</v>
      </c>
      <c r="Q113" s="175">
        <f t="shared" si="177"/>
        <v>0</v>
      </c>
      <c r="R113" s="175">
        <f t="shared" si="177"/>
        <v>0</v>
      </c>
      <c r="S113" s="175">
        <f t="shared" si="177"/>
        <v>0</v>
      </c>
      <c r="T113" s="175">
        <f t="shared" si="177"/>
        <v>0</v>
      </c>
      <c r="U113" s="175">
        <f t="shared" si="177"/>
        <v>0</v>
      </c>
      <c r="V113" s="175"/>
      <c r="W113" s="140"/>
      <c r="X113" s="87">
        <v>95</v>
      </c>
      <c r="Y113" s="87">
        <f t="shared" si="138"/>
        <v>0</v>
      </c>
      <c r="Z113" s="87">
        <f t="shared" si="139"/>
        <v>0</v>
      </c>
      <c r="AA113" s="87">
        <f t="shared" si="140"/>
        <v>0</v>
      </c>
      <c r="AB113" s="87">
        <f t="shared" si="141"/>
        <v>0</v>
      </c>
      <c r="AC113" s="87">
        <f t="shared" si="142"/>
        <v>0</v>
      </c>
      <c r="AD113" s="87">
        <f t="shared" si="143"/>
        <v>0</v>
      </c>
      <c r="AE113" s="87">
        <f t="shared" si="144"/>
        <v>0</v>
      </c>
      <c r="AF113" s="87">
        <f t="shared" si="145"/>
        <v>0</v>
      </c>
      <c r="AG113" s="87">
        <f t="shared" si="146"/>
        <v>0</v>
      </c>
      <c r="AH113" s="87">
        <f t="shared" si="147"/>
        <v>0</v>
      </c>
      <c r="AI113" s="87">
        <f t="shared" si="148"/>
        <v>0</v>
      </c>
      <c r="AJ113" s="87">
        <f t="shared" si="149"/>
        <v>0</v>
      </c>
      <c r="AK113" s="87">
        <f t="shared" si="150"/>
        <v>0</v>
      </c>
      <c r="AL113" s="87">
        <f t="shared" si="151"/>
        <v>0</v>
      </c>
      <c r="AM113" s="87">
        <f t="shared" si="152"/>
        <v>0</v>
      </c>
      <c r="AN113" s="87">
        <f t="shared" si="153"/>
        <v>0</v>
      </c>
      <c r="AO113" s="87">
        <f t="shared" si="154"/>
        <v>0</v>
      </c>
      <c r="AP113" s="140"/>
      <c r="AQ113" s="426">
        <v>95</v>
      </c>
      <c r="AR113" s="258">
        <f t="shared" ca="1" si="160"/>
        <v>49044</v>
      </c>
      <c r="AS113" s="429">
        <f t="shared" si="118"/>
        <v>0</v>
      </c>
      <c r="AT113" s="140"/>
      <c r="AU113" s="278">
        <v>95</v>
      </c>
      <c r="AV113" s="258">
        <f t="shared" ca="1" si="161"/>
        <v>49074</v>
      </c>
      <c r="AW113" s="429">
        <f t="shared" si="155"/>
        <v>1589.6100000000001</v>
      </c>
      <c r="AX113" s="202">
        <f t="shared" ca="1" si="156"/>
        <v>268.25</v>
      </c>
      <c r="AY113" s="278">
        <v>95</v>
      </c>
      <c r="AZ113" s="258">
        <f t="shared" ca="1" si="162"/>
        <v>49074</v>
      </c>
      <c r="BA113" s="429">
        <f t="shared" si="157"/>
        <v>1589.6100000000001</v>
      </c>
      <c r="BB113" s="259">
        <f t="shared" ca="1" si="119"/>
        <v>49044</v>
      </c>
      <c r="BC113" s="428">
        <f t="shared" ca="1" si="158"/>
        <v>1589.6100000000001</v>
      </c>
      <c r="BD113" s="188">
        <f t="shared" si="120"/>
        <v>0</v>
      </c>
      <c r="BE113" s="188">
        <f t="shared" si="121"/>
        <v>0</v>
      </c>
      <c r="BF113" s="188">
        <f t="shared" si="122"/>
        <v>0</v>
      </c>
      <c r="BG113" s="87">
        <f t="shared" si="123"/>
        <v>0</v>
      </c>
      <c r="BH113" s="87">
        <f t="shared" si="124"/>
        <v>0</v>
      </c>
      <c r="BI113" s="87">
        <f t="shared" si="125"/>
        <v>0</v>
      </c>
      <c r="BJ113" s="87">
        <f t="shared" si="126"/>
        <v>0</v>
      </c>
      <c r="BK113" s="87">
        <f t="shared" si="127"/>
        <v>0</v>
      </c>
      <c r="BL113" s="87">
        <f t="shared" si="128"/>
        <v>0</v>
      </c>
      <c r="BM113" s="87">
        <f t="shared" si="129"/>
        <v>0</v>
      </c>
      <c r="BN113" s="87">
        <f t="shared" si="130"/>
        <v>0</v>
      </c>
      <c r="BO113" s="87">
        <f t="shared" si="131"/>
        <v>0</v>
      </c>
      <c r="BP113" s="87">
        <f t="shared" si="132"/>
        <v>0</v>
      </c>
      <c r="BQ113" s="87">
        <f t="shared" si="133"/>
        <v>0</v>
      </c>
      <c r="BR113" s="87">
        <f t="shared" si="134"/>
        <v>0</v>
      </c>
      <c r="BS113" s="87">
        <f t="shared" si="135"/>
        <v>0</v>
      </c>
      <c r="BT113" s="87">
        <f t="shared" si="136"/>
        <v>0</v>
      </c>
      <c r="BV113" s="177"/>
      <c r="BW113" s="177"/>
      <c r="BX113" s="267"/>
      <c r="BY113" s="267"/>
      <c r="BZ113" s="267"/>
      <c r="CA113" s="267"/>
      <c r="CB113" s="267"/>
      <c r="CC113" s="267"/>
      <c r="CD113" s="267"/>
      <c r="CE113" s="267"/>
      <c r="CF113" s="267"/>
      <c r="CG113" s="267"/>
      <c r="CH113" s="267"/>
      <c r="CI113" s="435"/>
      <c r="CJ113" s="436"/>
      <c r="CK113" s="437"/>
      <c r="CM113" s="64" t="s">
        <v>332</v>
      </c>
      <c r="CN113" s="707">
        <v>45</v>
      </c>
      <c r="CS113" s="178">
        <v>95</v>
      </c>
      <c r="CT113" s="259">
        <f t="shared" ca="1" si="137"/>
        <v>49074</v>
      </c>
      <c r="CU113" s="179">
        <f t="shared" ca="1" si="159"/>
        <v>268.2499298259832</v>
      </c>
      <c r="CV113" s="179">
        <f t="shared" ca="1" si="173"/>
        <v>281.34525926599167</v>
      </c>
      <c r="CW113" s="179">
        <f t="shared" ca="1" si="173"/>
        <v>289.51060242339156</v>
      </c>
      <c r="CX113" s="179">
        <f t="shared" ca="1" si="173"/>
        <v>297.91543710005448</v>
      </c>
      <c r="CY113" s="179">
        <f t="shared" ca="1" si="173"/>
        <v>306.56686138714838</v>
      </c>
      <c r="CZ113" s="179">
        <f t="shared" ca="1" si="173"/>
        <v>315.4721859372836</v>
      </c>
      <c r="DA113" s="179">
        <f t="shared" ca="1" si="173"/>
        <v>321.55383380493515</v>
      </c>
      <c r="DB113" s="179">
        <f t="shared" ca="1" si="173"/>
        <v>334.07488002679241</v>
      </c>
      <c r="DC113" s="179">
        <f t="shared" ca="1" si="173"/>
        <v>340.51898853980043</v>
      </c>
      <c r="DD113" s="179">
        <f t="shared" ca="1" si="173"/>
        <v>347.08870564328942</v>
      </c>
      <c r="DE113" s="179">
        <f t="shared" ca="1" si="173"/>
        <v>353.78650515767276</v>
      </c>
      <c r="DF113" s="179" t="e">
        <f t="shared" ca="1" si="173"/>
        <v>#VALUE!</v>
      </c>
      <c r="DG113" s="179" t="e">
        <f t="shared" ca="1" si="173"/>
        <v>#VALUE!</v>
      </c>
      <c r="DH113" s="179" t="e">
        <f t="shared" ca="1" si="173"/>
        <v>#VALUE!</v>
      </c>
      <c r="DI113" s="179" t="e">
        <f t="shared" ca="1" si="173"/>
        <v>#VALUE!</v>
      </c>
      <c r="DJ113" s="179" t="e">
        <f t="shared" ca="1" si="113"/>
        <v>#VALUE!</v>
      </c>
      <c r="DK113" s="179" t="e">
        <f t="shared" ca="1" si="113"/>
        <v>#VALUE!</v>
      </c>
      <c r="DL113" s="179" t="e">
        <f t="shared" ca="1" si="169"/>
        <v>#VALUE!</v>
      </c>
      <c r="DM113" s="179" t="e">
        <f t="shared" ca="1" si="169"/>
        <v>#VALUE!</v>
      </c>
      <c r="DN113" s="179" t="e">
        <f t="shared" ca="1" si="169"/>
        <v>#VALUE!</v>
      </c>
      <c r="DO113" s="179" t="e">
        <f t="shared" ca="1" si="169"/>
        <v>#VALUE!</v>
      </c>
      <c r="DP113" s="179" t="e">
        <f t="shared" ca="1" si="169"/>
        <v>#VALUE!</v>
      </c>
      <c r="DQ113" s="179" t="e">
        <f t="shared" ca="1" si="169"/>
        <v>#VALUE!</v>
      </c>
      <c r="DR113" s="431">
        <v>95</v>
      </c>
      <c r="DS113" s="430">
        <f t="shared" ca="1" si="164"/>
        <v>49044</v>
      </c>
      <c r="DT113" s="180">
        <f t="shared" ca="1" si="165"/>
        <v>1589.6100000000001</v>
      </c>
      <c r="DU113" s="180">
        <f t="shared" ca="1" si="165"/>
        <v>1589.6100000000001</v>
      </c>
      <c r="DV113" s="180">
        <f t="shared" ca="1" si="165"/>
        <v>1589.6100000000001</v>
      </c>
      <c r="DW113" s="180">
        <f t="shared" ca="1" si="165"/>
        <v>1589.6100000000001</v>
      </c>
      <c r="DX113" s="180">
        <f t="shared" ca="1" si="165"/>
        <v>1589.6100000000001</v>
      </c>
      <c r="DY113" s="180">
        <f t="shared" ca="1" si="165"/>
        <v>1589.6100000000001</v>
      </c>
      <c r="DZ113" s="180">
        <f t="shared" ca="1" si="165"/>
        <v>1589.6100000000001</v>
      </c>
      <c r="EA113" s="180">
        <f t="shared" ca="1" si="165"/>
        <v>1589.6100000000001</v>
      </c>
      <c r="EB113" s="180">
        <f t="shared" ca="1" si="165"/>
        <v>1589.6100000000001</v>
      </c>
      <c r="EC113" s="180">
        <f t="shared" ca="1" si="165"/>
        <v>1589.6100000000001</v>
      </c>
      <c r="ED113" s="180">
        <f t="shared" ca="1" si="165"/>
        <v>1589.6100000000001</v>
      </c>
      <c r="EE113" s="180">
        <f t="shared" ca="1" si="165"/>
        <v>1589.6100000000001</v>
      </c>
      <c r="EF113" s="180">
        <f t="shared" ca="1" si="174"/>
        <v>1589.6100000000001</v>
      </c>
      <c r="EG113" s="180">
        <f t="shared" ca="1" si="174"/>
        <v>1589.6100000000001</v>
      </c>
      <c r="EH113" s="180">
        <f t="shared" ca="1" si="174"/>
        <v>1589.6100000000001</v>
      </c>
      <c r="EI113" s="180">
        <f t="shared" ca="1" si="175"/>
        <v>1589.6100000000001</v>
      </c>
      <c r="EJ113" s="180">
        <f t="shared" ca="1" si="175"/>
        <v>1589.6100000000001</v>
      </c>
      <c r="EK113" s="180">
        <f t="shared" ca="1" si="175"/>
        <v>1589.6100000000001</v>
      </c>
      <c r="EL113" s="180">
        <f t="shared" ca="1" si="175"/>
        <v>1589.6100000000001</v>
      </c>
      <c r="EM113" s="180">
        <f t="shared" ca="1" si="175"/>
        <v>1589.6100000000001</v>
      </c>
      <c r="EN113" s="180">
        <f t="shared" ca="1" si="175"/>
        <v>1589.6100000000001</v>
      </c>
      <c r="EO113" s="180">
        <f t="shared" ca="1" si="175"/>
        <v>1589.6100000000001</v>
      </c>
      <c r="EP113" s="180">
        <f t="shared" ca="1" si="175"/>
        <v>1589.6100000000001</v>
      </c>
      <c r="EQ113" s="180"/>
      <c r="ER113" s="180"/>
    </row>
    <row r="114" spans="2:148" s="87" customFormat="1" hidden="1" x14ac:dyDescent="0.25">
      <c r="B114" s="151"/>
      <c r="C114" s="87">
        <v>53</v>
      </c>
      <c r="D114" s="258">
        <f t="shared" ca="1" si="170"/>
        <v>47766</v>
      </c>
      <c r="E114" s="175">
        <f t="shared" ca="1" si="176"/>
        <v>0.3752753894203244</v>
      </c>
      <c r="F114" s="175">
        <f t="shared" ca="1" si="176"/>
        <v>0.3752753894203244</v>
      </c>
      <c r="G114" s="175">
        <f t="shared" ca="1" si="176"/>
        <v>0.3752753894203244</v>
      </c>
      <c r="H114" s="175">
        <f t="shared" ca="1" si="176"/>
        <v>0.3752753894203244</v>
      </c>
      <c r="I114" s="175">
        <f t="shared" si="176"/>
        <v>0</v>
      </c>
      <c r="J114" s="175">
        <f t="shared" si="176"/>
        <v>0</v>
      </c>
      <c r="K114" s="175">
        <f t="shared" si="176"/>
        <v>0</v>
      </c>
      <c r="L114" s="175">
        <f t="shared" si="176"/>
        <v>0</v>
      </c>
      <c r="M114" s="175">
        <f t="shared" si="176"/>
        <v>0</v>
      </c>
      <c r="N114" s="175">
        <f t="shared" si="176"/>
        <v>0</v>
      </c>
      <c r="O114" s="175">
        <f t="shared" si="177"/>
        <v>0</v>
      </c>
      <c r="P114" s="175">
        <f t="shared" si="177"/>
        <v>0</v>
      </c>
      <c r="Q114" s="175">
        <f t="shared" si="177"/>
        <v>0</v>
      </c>
      <c r="R114" s="175">
        <f t="shared" si="177"/>
        <v>0</v>
      </c>
      <c r="S114" s="175">
        <f t="shared" si="177"/>
        <v>0</v>
      </c>
      <c r="T114" s="175">
        <f t="shared" si="177"/>
        <v>0</v>
      </c>
      <c r="U114" s="175">
        <f t="shared" si="177"/>
        <v>0</v>
      </c>
      <c r="V114" s="175"/>
      <c r="W114" s="140"/>
      <c r="X114" s="87">
        <v>96</v>
      </c>
      <c r="Y114" s="87">
        <f t="shared" si="138"/>
        <v>0</v>
      </c>
      <c r="Z114" s="87">
        <f t="shared" si="139"/>
        <v>0</v>
      </c>
      <c r="AA114" s="87">
        <f t="shared" si="140"/>
        <v>0</v>
      </c>
      <c r="AB114" s="87">
        <f t="shared" si="141"/>
        <v>0</v>
      </c>
      <c r="AC114" s="87">
        <f t="shared" si="142"/>
        <v>0</v>
      </c>
      <c r="AD114" s="87">
        <f t="shared" si="143"/>
        <v>0</v>
      </c>
      <c r="AE114" s="87">
        <f t="shared" si="144"/>
        <v>0</v>
      </c>
      <c r="AF114" s="87">
        <f t="shared" si="145"/>
        <v>0</v>
      </c>
      <c r="AG114" s="87">
        <f t="shared" si="146"/>
        <v>0</v>
      </c>
      <c r="AH114" s="87">
        <f t="shared" si="147"/>
        <v>0</v>
      </c>
      <c r="AI114" s="87">
        <f t="shared" si="148"/>
        <v>0</v>
      </c>
      <c r="AJ114" s="87">
        <f t="shared" si="149"/>
        <v>0</v>
      </c>
      <c r="AK114" s="87">
        <f t="shared" si="150"/>
        <v>0</v>
      </c>
      <c r="AL114" s="87">
        <f t="shared" si="151"/>
        <v>0</v>
      </c>
      <c r="AM114" s="87">
        <f t="shared" si="152"/>
        <v>0</v>
      </c>
      <c r="AN114" s="87">
        <f t="shared" si="153"/>
        <v>0</v>
      </c>
      <c r="AO114" s="87">
        <f t="shared" si="154"/>
        <v>0</v>
      </c>
      <c r="AP114" s="140"/>
      <c r="AQ114" s="426">
        <v>96</v>
      </c>
      <c r="AR114" s="258">
        <f t="shared" ca="1" si="160"/>
        <v>49074</v>
      </c>
      <c r="AS114" s="429">
        <f t="shared" si="118"/>
        <v>0</v>
      </c>
      <c r="AT114" s="140"/>
      <c r="AU114" s="278">
        <v>96</v>
      </c>
      <c r="AV114" s="258">
        <f t="shared" ca="1" si="161"/>
        <v>49105</v>
      </c>
      <c r="AW114" s="429">
        <f t="shared" si="155"/>
        <v>1589.6100000000001</v>
      </c>
      <c r="AX114" s="202">
        <f t="shared" ca="1" si="156"/>
        <v>263.22000000000003</v>
      </c>
      <c r="AY114" s="278">
        <v>96</v>
      </c>
      <c r="AZ114" s="258">
        <f t="shared" ca="1" si="162"/>
        <v>49105</v>
      </c>
      <c r="BA114" s="429">
        <f t="shared" si="157"/>
        <v>1589.6100000000001</v>
      </c>
      <c r="BB114" s="259">
        <f t="shared" ca="1" si="119"/>
        <v>49074</v>
      </c>
      <c r="BC114" s="428">
        <f t="shared" ca="1" si="158"/>
        <v>1589.6100000000001</v>
      </c>
      <c r="BD114" s="188">
        <f t="shared" si="120"/>
        <v>0</v>
      </c>
      <c r="BE114" s="188">
        <f t="shared" si="121"/>
        <v>0</v>
      </c>
      <c r="BF114" s="188">
        <f t="shared" si="122"/>
        <v>0</v>
      </c>
      <c r="BG114" s="87">
        <f t="shared" si="123"/>
        <v>0</v>
      </c>
      <c r="BH114" s="87">
        <f t="shared" si="124"/>
        <v>0</v>
      </c>
      <c r="BI114" s="87">
        <f t="shared" si="125"/>
        <v>0</v>
      </c>
      <c r="BJ114" s="87">
        <f t="shared" si="126"/>
        <v>0</v>
      </c>
      <c r="BK114" s="87">
        <f t="shared" si="127"/>
        <v>0</v>
      </c>
      <c r="BL114" s="87">
        <f t="shared" si="128"/>
        <v>0</v>
      </c>
      <c r="BM114" s="87">
        <f t="shared" si="129"/>
        <v>0</v>
      </c>
      <c r="BN114" s="87">
        <f t="shared" si="130"/>
        <v>0</v>
      </c>
      <c r="BO114" s="87">
        <f t="shared" si="131"/>
        <v>0</v>
      </c>
      <c r="BP114" s="87">
        <f t="shared" si="132"/>
        <v>0</v>
      </c>
      <c r="BQ114" s="87">
        <f t="shared" si="133"/>
        <v>0</v>
      </c>
      <c r="BR114" s="87">
        <f t="shared" si="134"/>
        <v>0</v>
      </c>
      <c r="BS114" s="87">
        <f t="shared" si="135"/>
        <v>0</v>
      </c>
      <c r="BT114" s="87">
        <f t="shared" si="136"/>
        <v>0</v>
      </c>
      <c r="BV114" s="177"/>
      <c r="BW114" s="177"/>
      <c r="BX114" s="267"/>
      <c r="BY114" s="267"/>
      <c r="BZ114" s="267"/>
      <c r="CA114" s="267"/>
      <c r="CB114" s="267"/>
      <c r="CC114" s="267"/>
      <c r="CD114" s="267"/>
      <c r="CE114" s="267"/>
      <c r="CF114" s="267"/>
      <c r="CG114" s="267"/>
      <c r="CH114" s="267"/>
      <c r="CI114" s="435"/>
      <c r="CJ114" s="436"/>
      <c r="CK114" s="437"/>
      <c r="CM114" s="64" t="s">
        <v>1063</v>
      </c>
      <c r="CN114" s="707">
        <v>58.5</v>
      </c>
      <c r="CS114" s="138">
        <v>96</v>
      </c>
      <c r="CT114" s="259">
        <f t="shared" ca="1" si="137"/>
        <v>49105</v>
      </c>
      <c r="CU114" s="179">
        <f t="shared" ca="1" si="159"/>
        <v>263.21656419361886</v>
      </c>
      <c r="CV114" s="179">
        <f t="shared" ca="1" si="173"/>
        <v>276.20628990355192</v>
      </c>
      <c r="CW114" s="179">
        <f t="shared" ca="1" si="173"/>
        <v>284.30906430703169</v>
      </c>
      <c r="CX114" s="179">
        <f t="shared" ca="1" si="173"/>
        <v>292.65203602903307</v>
      </c>
      <c r="CY114" s="179">
        <f t="shared" ca="1" si="173"/>
        <v>301.2423994367665</v>
      </c>
      <c r="CZ114" s="179">
        <f t="shared" ca="1" si="173"/>
        <v>310.08756660010476</v>
      </c>
      <c r="DA114" s="179">
        <f t="shared" ca="1" si="173"/>
        <v>316.12966398782999</v>
      </c>
      <c r="DB114" s="179">
        <f t="shared" ca="1" si="173"/>
        <v>328.57308912123807</v>
      </c>
      <c r="DC114" s="179">
        <f t="shared" ca="1" si="173"/>
        <v>334.97919649322108</v>
      </c>
      <c r="DD114" s="179">
        <f t="shared" ca="1" si="173"/>
        <v>341.51150035247741</v>
      </c>
      <c r="DE114" s="179">
        <f t="shared" ca="1" si="173"/>
        <v>348.17251227857975</v>
      </c>
      <c r="DF114" s="179" t="e">
        <f t="shared" ca="1" si="173"/>
        <v>#VALUE!</v>
      </c>
      <c r="DG114" s="179" t="e">
        <f t="shared" ca="1" si="173"/>
        <v>#VALUE!</v>
      </c>
      <c r="DH114" s="179" t="e">
        <f t="shared" ca="1" si="173"/>
        <v>#VALUE!</v>
      </c>
      <c r="DI114" s="179" t="e">
        <f t="shared" ca="1" si="173"/>
        <v>#VALUE!</v>
      </c>
      <c r="DJ114" s="179" t="e">
        <f t="shared" ca="1" si="113"/>
        <v>#VALUE!</v>
      </c>
      <c r="DK114" s="179" t="e">
        <f t="shared" ca="1" si="113"/>
        <v>#VALUE!</v>
      </c>
      <c r="DL114" s="179" t="e">
        <f t="shared" ca="1" si="169"/>
        <v>#VALUE!</v>
      </c>
      <c r="DM114" s="179" t="e">
        <f t="shared" ca="1" si="169"/>
        <v>#VALUE!</v>
      </c>
      <c r="DN114" s="179" t="e">
        <f t="shared" ca="1" si="169"/>
        <v>#VALUE!</v>
      </c>
      <c r="DO114" s="179" t="e">
        <f t="shared" ca="1" si="169"/>
        <v>#VALUE!</v>
      </c>
      <c r="DP114" s="179" t="e">
        <f t="shared" ca="1" si="169"/>
        <v>#VALUE!</v>
      </c>
      <c r="DQ114" s="179" t="e">
        <f t="shared" ca="1" si="169"/>
        <v>#VALUE!</v>
      </c>
      <c r="DR114" s="278">
        <v>96</v>
      </c>
      <c r="DS114" s="430">
        <f t="shared" ca="1" si="164"/>
        <v>49074</v>
      </c>
      <c r="DT114" s="180">
        <f t="shared" ca="1" si="165"/>
        <v>1589.6100000000001</v>
      </c>
      <c r="DU114" s="180">
        <f t="shared" ca="1" si="165"/>
        <v>1589.6100000000001</v>
      </c>
      <c r="DV114" s="180">
        <f t="shared" ca="1" si="165"/>
        <v>1589.6100000000001</v>
      </c>
      <c r="DW114" s="180">
        <f t="shared" ca="1" si="165"/>
        <v>1589.6100000000001</v>
      </c>
      <c r="DX114" s="180">
        <f t="shared" ca="1" si="165"/>
        <v>1589.6100000000001</v>
      </c>
      <c r="DY114" s="180">
        <f t="shared" ca="1" si="165"/>
        <v>1589.6100000000001</v>
      </c>
      <c r="DZ114" s="180">
        <f t="shared" ca="1" si="165"/>
        <v>1589.6100000000001</v>
      </c>
      <c r="EA114" s="180">
        <f t="shared" ca="1" si="165"/>
        <v>1589.6100000000001</v>
      </c>
      <c r="EB114" s="180">
        <f t="shared" ca="1" si="165"/>
        <v>1589.6100000000001</v>
      </c>
      <c r="EC114" s="180">
        <f t="shared" ca="1" si="165"/>
        <v>1589.6100000000001</v>
      </c>
      <c r="ED114" s="180">
        <f t="shared" ca="1" si="165"/>
        <v>1589.6100000000001</v>
      </c>
      <c r="EE114" s="180">
        <f t="shared" ca="1" si="165"/>
        <v>1589.6100000000001</v>
      </c>
      <c r="EF114" s="180">
        <f t="shared" ca="1" si="174"/>
        <v>1589.6100000000001</v>
      </c>
      <c r="EG114" s="180">
        <f t="shared" ca="1" si="174"/>
        <v>1589.6100000000001</v>
      </c>
      <c r="EH114" s="180">
        <f t="shared" ca="1" si="174"/>
        <v>1589.6100000000001</v>
      </c>
      <c r="EI114" s="180">
        <f t="shared" ca="1" si="175"/>
        <v>1589.6100000000001</v>
      </c>
      <c r="EJ114" s="180">
        <f t="shared" ca="1" si="175"/>
        <v>1589.6100000000001</v>
      </c>
      <c r="EK114" s="180">
        <f t="shared" ca="1" si="175"/>
        <v>1589.6100000000001</v>
      </c>
      <c r="EL114" s="180">
        <f t="shared" ca="1" si="175"/>
        <v>1589.6100000000001</v>
      </c>
      <c r="EM114" s="180">
        <f t="shared" ca="1" si="175"/>
        <v>1589.6100000000001</v>
      </c>
      <c r="EN114" s="180">
        <f t="shared" ca="1" si="175"/>
        <v>1589.6100000000001</v>
      </c>
      <c r="EO114" s="180">
        <f t="shared" ca="1" si="175"/>
        <v>1589.6100000000001</v>
      </c>
      <c r="EP114" s="180">
        <f t="shared" ca="1" si="175"/>
        <v>1589.6100000000001</v>
      </c>
      <c r="EQ114" s="180"/>
      <c r="ER114" s="180"/>
    </row>
    <row r="115" spans="2:148" s="87" customFormat="1" hidden="1" x14ac:dyDescent="0.25">
      <c r="B115" s="151"/>
      <c r="C115" s="87">
        <v>54</v>
      </c>
      <c r="D115" s="258">
        <f t="shared" ca="1" si="170"/>
        <v>47797</v>
      </c>
      <c r="E115" s="175">
        <f t="shared" ca="1" si="176"/>
        <v>0.36823382840666169</v>
      </c>
      <c r="F115" s="175">
        <f t="shared" ca="1" si="176"/>
        <v>0.36823382840666169</v>
      </c>
      <c r="G115" s="175">
        <f t="shared" ca="1" si="176"/>
        <v>0.36823382840666169</v>
      </c>
      <c r="H115" s="175">
        <f t="shared" ca="1" si="176"/>
        <v>0.36823382840666169</v>
      </c>
      <c r="I115" s="175">
        <f t="shared" si="176"/>
        <v>0</v>
      </c>
      <c r="J115" s="175">
        <f t="shared" si="176"/>
        <v>0</v>
      </c>
      <c r="K115" s="175">
        <f t="shared" si="176"/>
        <v>0</v>
      </c>
      <c r="L115" s="175">
        <f t="shared" si="176"/>
        <v>0</v>
      </c>
      <c r="M115" s="175">
        <f t="shared" si="176"/>
        <v>0</v>
      </c>
      <c r="N115" s="175">
        <f t="shared" si="176"/>
        <v>0</v>
      </c>
      <c r="O115" s="175">
        <f t="shared" si="177"/>
        <v>0</v>
      </c>
      <c r="P115" s="175">
        <f t="shared" si="177"/>
        <v>0</v>
      </c>
      <c r="Q115" s="175">
        <f t="shared" si="177"/>
        <v>0</v>
      </c>
      <c r="R115" s="175">
        <f t="shared" si="177"/>
        <v>0</v>
      </c>
      <c r="S115" s="175">
        <f t="shared" si="177"/>
        <v>0</v>
      </c>
      <c r="T115" s="175">
        <f t="shared" si="177"/>
        <v>0</v>
      </c>
      <c r="U115" s="175">
        <f t="shared" si="177"/>
        <v>0</v>
      </c>
      <c r="V115" s="175"/>
      <c r="W115" s="140"/>
      <c r="X115" s="87">
        <v>97</v>
      </c>
      <c r="Y115" s="87">
        <f t="shared" si="138"/>
        <v>0</v>
      </c>
      <c r="Z115" s="87">
        <f t="shared" si="139"/>
        <v>0</v>
      </c>
      <c r="AA115" s="87">
        <f t="shared" si="140"/>
        <v>0</v>
      </c>
      <c r="AB115" s="87">
        <f t="shared" si="141"/>
        <v>0</v>
      </c>
      <c r="AC115" s="87">
        <f t="shared" si="142"/>
        <v>0</v>
      </c>
      <c r="AD115" s="87">
        <f t="shared" si="143"/>
        <v>0</v>
      </c>
      <c r="AE115" s="87">
        <f t="shared" si="144"/>
        <v>0</v>
      </c>
      <c r="AF115" s="87">
        <f t="shared" si="145"/>
        <v>0</v>
      </c>
      <c r="AG115" s="87">
        <f t="shared" si="146"/>
        <v>0</v>
      </c>
      <c r="AH115" s="87">
        <f t="shared" si="147"/>
        <v>0</v>
      </c>
      <c r="AI115" s="87">
        <f t="shared" si="148"/>
        <v>0</v>
      </c>
      <c r="AJ115" s="87">
        <f t="shared" si="149"/>
        <v>0</v>
      </c>
      <c r="AK115" s="87">
        <f t="shared" si="150"/>
        <v>0</v>
      </c>
      <c r="AL115" s="87">
        <f t="shared" si="151"/>
        <v>0</v>
      </c>
      <c r="AM115" s="87">
        <f t="shared" si="152"/>
        <v>0</v>
      </c>
      <c r="AN115" s="87">
        <f t="shared" si="153"/>
        <v>0</v>
      </c>
      <c r="AO115" s="87">
        <f t="shared" si="154"/>
        <v>0</v>
      </c>
      <c r="AP115" s="140"/>
      <c r="AQ115" s="426">
        <v>97</v>
      </c>
      <c r="AR115" s="258">
        <f t="shared" ca="1" si="160"/>
        <v>49105</v>
      </c>
      <c r="AS115" s="429">
        <f t="shared" ref="AS115:AS146" si="178">SUM(Y115:AO115)</f>
        <v>0</v>
      </c>
      <c r="AT115" s="140"/>
      <c r="AU115" s="278">
        <v>97</v>
      </c>
      <c r="AV115" s="258">
        <f t="shared" ca="1" si="161"/>
        <v>49135</v>
      </c>
      <c r="AW115" s="429">
        <f t="shared" si="155"/>
        <v>0</v>
      </c>
      <c r="AX115" s="202">
        <f t="shared" ca="1" si="156"/>
        <v>0</v>
      </c>
      <c r="AY115" s="278">
        <v>97</v>
      </c>
      <c r="AZ115" s="258">
        <f t="shared" ca="1" si="162"/>
        <v>49135</v>
      </c>
      <c r="BA115" s="429">
        <f t="shared" si="157"/>
        <v>0</v>
      </c>
      <c r="BB115" s="259">
        <f t="shared" ca="1" si="119"/>
        <v>49105</v>
      </c>
      <c r="BC115" s="428">
        <f t="shared" ca="1" si="158"/>
        <v>1589.6100000000001</v>
      </c>
      <c r="BD115" s="188">
        <f t="shared" ref="BD115:BD146" si="179">IF($X115&lt;=E$17,E$18,0)</f>
        <v>0</v>
      </c>
      <c r="BE115" s="188">
        <f t="shared" ref="BE115:BE146" si="180">IF($X115&lt;=F$17,F$18,0)</f>
        <v>0</v>
      </c>
      <c r="BF115" s="188">
        <f t="shared" ref="BF115:BF146" si="181">IF($X115&lt;=G$17,G$18,0)</f>
        <v>0</v>
      </c>
      <c r="BG115" s="87">
        <f t="shared" ref="BG115:BG146" si="182">IF($X115&lt;=H$17,H$18,0)</f>
        <v>0</v>
      </c>
      <c r="BH115" s="87">
        <f t="shared" ref="BH115:BH146" si="183">IF($X115&lt;=I$17,I$18,0)</f>
        <v>0</v>
      </c>
      <c r="BI115" s="87">
        <f t="shared" ref="BI115:BI146" si="184">IF($X115&lt;=J$17,J$18,0)</f>
        <v>0</v>
      </c>
      <c r="BJ115" s="87">
        <f t="shared" ref="BJ115:BJ146" si="185">IF($X115&lt;=K$17,K$18,0)</f>
        <v>0</v>
      </c>
      <c r="BK115" s="87">
        <f t="shared" ref="BK115:BK146" si="186">IF($X115&lt;=L$17,L$18,0)</f>
        <v>0</v>
      </c>
      <c r="BL115" s="87">
        <f t="shared" ref="BL115:BL146" si="187">IF($X115&lt;=M$17,M$18,0)</f>
        <v>0</v>
      </c>
      <c r="BM115" s="87">
        <f t="shared" ref="BM115:BM146" si="188">IF($X115&lt;=N$17,N$18,0)</f>
        <v>0</v>
      </c>
      <c r="BN115" s="87">
        <f t="shared" ref="BN115:BN146" si="189">IF($X115&lt;=O$17,O$18,0)</f>
        <v>0</v>
      </c>
      <c r="BO115" s="87">
        <f t="shared" ref="BO115:BO146" si="190">IF($X115&lt;=P$17,P$18,0)</f>
        <v>0</v>
      </c>
      <c r="BP115" s="87">
        <f t="shared" ref="BP115:BP146" si="191">IF($X115&lt;=Q$17,Q$18,0)</f>
        <v>0</v>
      </c>
      <c r="BQ115" s="87">
        <f t="shared" ref="BQ115:BQ146" si="192">IF($X115&lt;=R$17,R$18,0)</f>
        <v>0</v>
      </c>
      <c r="BR115" s="87">
        <f t="shared" ref="BR115:BR146" si="193">IF($X115&lt;=S$17,S$18,0)</f>
        <v>0</v>
      </c>
      <c r="BS115" s="87">
        <f t="shared" ref="BS115:BS146" si="194">IF($X115&lt;=T$17,T$18,0)</f>
        <v>0</v>
      </c>
      <c r="BT115" s="87">
        <f t="shared" ref="BT115:BT146" si="195">IF($X115&lt;=U$17,U$18,0)</f>
        <v>0</v>
      </c>
      <c r="BV115" s="177"/>
      <c r="BW115" s="177"/>
      <c r="BX115" s="267"/>
      <c r="BY115" s="267"/>
      <c r="BZ115" s="267"/>
      <c r="CA115" s="267"/>
      <c r="CB115" s="267"/>
      <c r="CC115" s="267"/>
      <c r="CD115" s="267"/>
      <c r="CE115" s="267"/>
      <c r="CF115" s="267"/>
      <c r="CG115" s="267"/>
      <c r="CH115" s="267"/>
      <c r="CI115" s="435"/>
      <c r="CJ115" s="436"/>
      <c r="CK115" s="437"/>
      <c r="CM115" s="64" t="s">
        <v>1067</v>
      </c>
      <c r="CN115" s="707">
        <v>49</v>
      </c>
      <c r="CS115" s="87">
        <v>97</v>
      </c>
      <c r="CT115" s="259">
        <f t="shared" ca="1" si="137"/>
        <v>49135</v>
      </c>
      <c r="CU115" s="179">
        <f t="shared" ca="1" si="159"/>
        <v>0</v>
      </c>
      <c r="CV115" s="179">
        <f t="shared" ca="1" si="173"/>
        <v>0</v>
      </c>
      <c r="CW115" s="179">
        <f t="shared" ca="1" si="173"/>
        <v>0</v>
      </c>
      <c r="CX115" s="179">
        <f t="shared" ca="1" si="173"/>
        <v>0</v>
      </c>
      <c r="CY115" s="179">
        <f t="shared" ca="1" si="173"/>
        <v>0</v>
      </c>
      <c r="CZ115" s="179">
        <f t="shared" ca="1" si="173"/>
        <v>0</v>
      </c>
      <c r="DA115" s="179">
        <f t="shared" ca="1" si="173"/>
        <v>0</v>
      </c>
      <c r="DB115" s="179">
        <f t="shared" ca="1" si="173"/>
        <v>0</v>
      </c>
      <c r="DC115" s="179">
        <f t="shared" ca="1" si="173"/>
        <v>0</v>
      </c>
      <c r="DD115" s="179">
        <f t="shared" ca="1" si="173"/>
        <v>0</v>
      </c>
      <c r="DE115" s="179">
        <f t="shared" ca="1" si="173"/>
        <v>0</v>
      </c>
      <c r="DF115" s="179" t="e">
        <f t="shared" ca="1" si="173"/>
        <v>#VALUE!</v>
      </c>
      <c r="DG115" s="179" t="e">
        <f t="shared" ca="1" si="173"/>
        <v>#VALUE!</v>
      </c>
      <c r="DH115" s="179" t="e">
        <f t="shared" ca="1" si="173"/>
        <v>#VALUE!</v>
      </c>
      <c r="DI115" s="179" t="e">
        <f t="shared" ca="1" si="173"/>
        <v>#VALUE!</v>
      </c>
      <c r="DJ115" s="179" t="e">
        <f t="shared" ca="1" si="113"/>
        <v>#VALUE!</v>
      </c>
      <c r="DK115" s="179" t="e">
        <f t="shared" ca="1" si="113"/>
        <v>#VALUE!</v>
      </c>
      <c r="DL115" s="179" t="e">
        <f t="shared" ca="1" si="169"/>
        <v>#VALUE!</v>
      </c>
      <c r="DM115" s="179" t="e">
        <f t="shared" ca="1" si="169"/>
        <v>#VALUE!</v>
      </c>
      <c r="DN115" s="179" t="e">
        <f t="shared" ca="1" si="169"/>
        <v>#VALUE!</v>
      </c>
      <c r="DO115" s="179" t="e">
        <f t="shared" ca="1" si="169"/>
        <v>#VALUE!</v>
      </c>
      <c r="DP115" s="179" t="e">
        <f t="shared" ca="1" si="169"/>
        <v>#VALUE!</v>
      </c>
      <c r="DQ115" s="179" t="e">
        <f t="shared" ca="1" si="169"/>
        <v>#VALUE!</v>
      </c>
      <c r="DR115" s="188">
        <v>97</v>
      </c>
      <c r="DS115" s="430">
        <f t="shared" ca="1" si="164"/>
        <v>49105</v>
      </c>
      <c r="DT115" s="180">
        <f t="shared" ca="1" si="165"/>
        <v>1589.6100000000001</v>
      </c>
      <c r="DU115" s="180">
        <f t="shared" ca="1" si="165"/>
        <v>1589.6100000000001</v>
      </c>
      <c r="DV115" s="180">
        <f t="shared" ca="1" si="165"/>
        <v>1589.6100000000001</v>
      </c>
      <c r="DW115" s="180">
        <f t="shared" ca="1" si="165"/>
        <v>1589.6100000000001</v>
      </c>
      <c r="DX115" s="180">
        <f t="shared" ca="1" si="165"/>
        <v>1589.6100000000001</v>
      </c>
      <c r="DY115" s="180">
        <f t="shared" ca="1" si="165"/>
        <v>1589.6100000000001</v>
      </c>
      <c r="DZ115" s="180">
        <f t="shared" ca="1" si="165"/>
        <v>1589.6100000000001</v>
      </c>
      <c r="EA115" s="180">
        <f t="shared" ca="1" si="165"/>
        <v>1589.6100000000001</v>
      </c>
      <c r="EB115" s="180">
        <f t="shared" ca="1" si="165"/>
        <v>1589.6100000000001</v>
      </c>
      <c r="EC115" s="180">
        <f t="shared" ca="1" si="165"/>
        <v>1589.6100000000001</v>
      </c>
      <c r="ED115" s="180">
        <f t="shared" ca="1" si="165"/>
        <v>1589.6100000000001</v>
      </c>
      <c r="EE115" s="180">
        <f t="shared" ca="1" si="165"/>
        <v>1589.6100000000001</v>
      </c>
      <c r="EF115" s="180">
        <f t="shared" ca="1" si="174"/>
        <v>1589.6100000000001</v>
      </c>
      <c r="EG115" s="180">
        <f t="shared" ca="1" si="174"/>
        <v>1589.6100000000001</v>
      </c>
      <c r="EH115" s="180">
        <f t="shared" ca="1" si="174"/>
        <v>1589.6100000000001</v>
      </c>
      <c r="EI115" s="180">
        <f t="shared" ca="1" si="175"/>
        <v>1589.6100000000001</v>
      </c>
      <c r="EJ115" s="180">
        <f t="shared" ca="1" si="175"/>
        <v>1589.6100000000001</v>
      </c>
      <c r="EK115" s="180">
        <f t="shared" ca="1" si="175"/>
        <v>1589.6100000000001</v>
      </c>
      <c r="EL115" s="180">
        <f t="shared" ca="1" si="175"/>
        <v>1589.6100000000001</v>
      </c>
      <c r="EM115" s="180">
        <f t="shared" ca="1" si="175"/>
        <v>1589.6100000000001</v>
      </c>
      <c r="EN115" s="180">
        <f t="shared" ca="1" si="175"/>
        <v>1589.6100000000001</v>
      </c>
      <c r="EO115" s="180">
        <f t="shared" ca="1" si="175"/>
        <v>1589.6100000000001</v>
      </c>
      <c r="EP115" s="180">
        <f t="shared" ca="1" si="175"/>
        <v>1589.6100000000001</v>
      </c>
      <c r="EQ115" s="180"/>
      <c r="ER115" s="180"/>
    </row>
    <row r="116" spans="2:148" s="87" customFormat="1" hidden="1" x14ac:dyDescent="0.25">
      <c r="B116" s="151"/>
      <c r="C116" s="87">
        <v>55</v>
      </c>
      <c r="D116" s="258">
        <f t="shared" ca="1" si="170"/>
        <v>47827</v>
      </c>
      <c r="E116" s="175">
        <f t="shared" ca="1" si="176"/>
        <v>0.36154524144002126</v>
      </c>
      <c r="F116" s="175">
        <f t="shared" ca="1" si="176"/>
        <v>0.36154524144002126</v>
      </c>
      <c r="G116" s="175">
        <f t="shared" ca="1" si="176"/>
        <v>0.36154524144002126</v>
      </c>
      <c r="H116" s="175">
        <f t="shared" ca="1" si="176"/>
        <v>0.36154524144002126</v>
      </c>
      <c r="I116" s="175">
        <f t="shared" si="176"/>
        <v>0</v>
      </c>
      <c r="J116" s="175">
        <f t="shared" si="176"/>
        <v>0</v>
      </c>
      <c r="K116" s="175">
        <f t="shared" si="176"/>
        <v>0</v>
      </c>
      <c r="L116" s="175">
        <f t="shared" si="176"/>
        <v>0</v>
      </c>
      <c r="M116" s="175">
        <f t="shared" si="176"/>
        <v>0</v>
      </c>
      <c r="N116" s="175">
        <f t="shared" si="176"/>
        <v>0</v>
      </c>
      <c r="O116" s="175">
        <f t="shared" si="177"/>
        <v>0</v>
      </c>
      <c r="P116" s="175">
        <f t="shared" si="177"/>
        <v>0</v>
      </c>
      <c r="Q116" s="175">
        <f t="shared" si="177"/>
        <v>0</v>
      </c>
      <c r="R116" s="175">
        <f t="shared" si="177"/>
        <v>0</v>
      </c>
      <c r="S116" s="175">
        <f t="shared" si="177"/>
        <v>0</v>
      </c>
      <c r="T116" s="175">
        <f t="shared" si="177"/>
        <v>0</v>
      </c>
      <c r="U116" s="175">
        <f t="shared" si="177"/>
        <v>0</v>
      </c>
      <c r="V116" s="175"/>
      <c r="W116" s="140"/>
      <c r="X116" s="87">
        <v>98</v>
      </c>
      <c r="Y116" s="87">
        <f t="shared" si="138"/>
        <v>0</v>
      </c>
      <c r="Z116" s="87">
        <f t="shared" si="139"/>
        <v>0</v>
      </c>
      <c r="AA116" s="87">
        <f t="shared" si="140"/>
        <v>0</v>
      </c>
      <c r="AB116" s="87">
        <f t="shared" si="141"/>
        <v>0</v>
      </c>
      <c r="AC116" s="87">
        <f t="shared" si="142"/>
        <v>0</v>
      </c>
      <c r="AD116" s="87">
        <f t="shared" si="143"/>
        <v>0</v>
      </c>
      <c r="AE116" s="87">
        <f t="shared" si="144"/>
        <v>0</v>
      </c>
      <c r="AF116" s="87">
        <f t="shared" si="145"/>
        <v>0</v>
      </c>
      <c r="AG116" s="87">
        <f t="shared" si="146"/>
        <v>0</v>
      </c>
      <c r="AH116" s="87">
        <f t="shared" si="147"/>
        <v>0</v>
      </c>
      <c r="AI116" s="87">
        <f t="shared" si="148"/>
        <v>0</v>
      </c>
      <c r="AJ116" s="87">
        <f t="shared" si="149"/>
        <v>0</v>
      </c>
      <c r="AK116" s="87">
        <f t="shared" si="150"/>
        <v>0</v>
      </c>
      <c r="AL116" s="87">
        <f t="shared" si="151"/>
        <v>0</v>
      </c>
      <c r="AM116" s="87">
        <f t="shared" si="152"/>
        <v>0</v>
      </c>
      <c r="AN116" s="87">
        <f t="shared" si="153"/>
        <v>0</v>
      </c>
      <c r="AO116" s="87">
        <f t="shared" si="154"/>
        <v>0</v>
      </c>
      <c r="AP116" s="140"/>
      <c r="AQ116" s="426">
        <v>98</v>
      </c>
      <c r="AR116" s="258">
        <f t="shared" ca="1" si="160"/>
        <v>49135</v>
      </c>
      <c r="AS116" s="429">
        <f t="shared" si="178"/>
        <v>0</v>
      </c>
      <c r="AT116" s="140"/>
      <c r="AU116" s="278">
        <v>98</v>
      </c>
      <c r="AV116" s="258">
        <f t="shared" ca="1" si="161"/>
        <v>49166</v>
      </c>
      <c r="AW116" s="429">
        <f t="shared" si="155"/>
        <v>0</v>
      </c>
      <c r="AX116" s="202">
        <f t="shared" ca="1" si="156"/>
        <v>0</v>
      </c>
      <c r="AY116" s="278">
        <v>98</v>
      </c>
      <c r="AZ116" s="258">
        <f t="shared" ca="1" si="162"/>
        <v>49166</v>
      </c>
      <c r="BA116" s="429">
        <f t="shared" si="157"/>
        <v>0</v>
      </c>
      <c r="BB116" s="259">
        <f t="shared" ca="1" si="119"/>
        <v>49135</v>
      </c>
      <c r="BC116" s="428">
        <f t="shared" ca="1" si="158"/>
        <v>0</v>
      </c>
      <c r="BD116" s="188">
        <f t="shared" si="179"/>
        <v>0</v>
      </c>
      <c r="BE116" s="188">
        <f t="shared" si="180"/>
        <v>0</v>
      </c>
      <c r="BF116" s="188">
        <f t="shared" si="181"/>
        <v>0</v>
      </c>
      <c r="BG116" s="87">
        <f t="shared" si="182"/>
        <v>0</v>
      </c>
      <c r="BH116" s="87">
        <f t="shared" si="183"/>
        <v>0</v>
      </c>
      <c r="BI116" s="87">
        <f t="shared" si="184"/>
        <v>0</v>
      </c>
      <c r="BJ116" s="87">
        <f t="shared" si="185"/>
        <v>0</v>
      </c>
      <c r="BK116" s="87">
        <f t="shared" si="186"/>
        <v>0</v>
      </c>
      <c r="BL116" s="87">
        <f t="shared" si="187"/>
        <v>0</v>
      </c>
      <c r="BM116" s="87">
        <f t="shared" si="188"/>
        <v>0</v>
      </c>
      <c r="BN116" s="87">
        <f t="shared" si="189"/>
        <v>0</v>
      </c>
      <c r="BO116" s="87">
        <f t="shared" si="190"/>
        <v>0</v>
      </c>
      <c r="BP116" s="87">
        <f t="shared" si="191"/>
        <v>0</v>
      </c>
      <c r="BQ116" s="87">
        <f t="shared" si="192"/>
        <v>0</v>
      </c>
      <c r="BR116" s="87">
        <f t="shared" si="193"/>
        <v>0</v>
      </c>
      <c r="BS116" s="87">
        <f t="shared" si="194"/>
        <v>0</v>
      </c>
      <c r="BT116" s="87">
        <f t="shared" si="195"/>
        <v>0</v>
      </c>
      <c r="BV116" s="177"/>
      <c r="BW116" s="177"/>
      <c r="BX116" s="267"/>
      <c r="BY116" s="267"/>
      <c r="BZ116" s="267"/>
      <c r="CA116" s="267"/>
      <c r="CB116" s="267"/>
      <c r="CC116" s="267"/>
      <c r="CD116" s="267"/>
      <c r="CE116" s="267"/>
      <c r="CF116" s="267"/>
      <c r="CG116" s="267"/>
      <c r="CH116" s="267"/>
      <c r="CI116" s="435"/>
      <c r="CJ116" s="436"/>
      <c r="CK116" s="437"/>
      <c r="CM116" s="64" t="s">
        <v>630</v>
      </c>
      <c r="CN116" s="707">
        <v>52</v>
      </c>
      <c r="CS116" s="178">
        <v>98</v>
      </c>
      <c r="CT116" s="259">
        <f t="shared" ca="1" si="137"/>
        <v>49166</v>
      </c>
      <c r="CU116" s="179">
        <f t="shared" ca="1" si="159"/>
        <v>0</v>
      </c>
      <c r="CV116" s="179">
        <f t="shared" ca="1" si="173"/>
        <v>0</v>
      </c>
      <c r="CW116" s="179">
        <f t="shared" ca="1" si="173"/>
        <v>0</v>
      </c>
      <c r="CX116" s="179">
        <f t="shared" ca="1" si="173"/>
        <v>0</v>
      </c>
      <c r="CY116" s="179">
        <f t="shared" ca="1" si="173"/>
        <v>0</v>
      </c>
      <c r="CZ116" s="179">
        <f t="shared" ca="1" si="173"/>
        <v>0</v>
      </c>
      <c r="DA116" s="179">
        <f t="shared" ca="1" si="173"/>
        <v>0</v>
      </c>
      <c r="DB116" s="179">
        <f t="shared" ca="1" si="173"/>
        <v>0</v>
      </c>
      <c r="DC116" s="179">
        <f t="shared" ca="1" si="173"/>
        <v>0</v>
      </c>
      <c r="DD116" s="179">
        <f t="shared" ca="1" si="173"/>
        <v>0</v>
      </c>
      <c r="DE116" s="179">
        <f t="shared" ca="1" si="173"/>
        <v>0</v>
      </c>
      <c r="DF116" s="179" t="e">
        <f t="shared" ca="1" si="173"/>
        <v>#VALUE!</v>
      </c>
      <c r="DG116" s="179" t="e">
        <f t="shared" ca="1" si="173"/>
        <v>#VALUE!</v>
      </c>
      <c r="DH116" s="179" t="e">
        <f t="shared" ca="1" si="173"/>
        <v>#VALUE!</v>
      </c>
      <c r="DI116" s="179" t="e">
        <f t="shared" ca="1" si="173"/>
        <v>#VALUE!</v>
      </c>
      <c r="DJ116" s="179" t="e">
        <f t="shared" ca="1" si="113"/>
        <v>#VALUE!</v>
      </c>
      <c r="DK116" s="179" t="e">
        <f t="shared" ca="1" si="113"/>
        <v>#VALUE!</v>
      </c>
      <c r="DL116" s="179" t="e">
        <f t="shared" ca="1" si="169"/>
        <v>#VALUE!</v>
      </c>
      <c r="DM116" s="179" t="e">
        <f t="shared" ca="1" si="169"/>
        <v>#VALUE!</v>
      </c>
      <c r="DN116" s="179" t="e">
        <f t="shared" ca="1" si="169"/>
        <v>#VALUE!</v>
      </c>
      <c r="DO116" s="179" t="e">
        <f t="shared" ca="1" si="169"/>
        <v>#VALUE!</v>
      </c>
      <c r="DP116" s="179" t="e">
        <f t="shared" ca="1" si="169"/>
        <v>#VALUE!</v>
      </c>
      <c r="DQ116" s="179" t="e">
        <f t="shared" ca="1" si="169"/>
        <v>#VALUE!</v>
      </c>
      <c r="DR116" s="431">
        <v>98</v>
      </c>
      <c r="DS116" s="430">
        <f t="shared" ca="1" si="164"/>
        <v>49135</v>
      </c>
      <c r="DT116" s="180">
        <f t="shared" ca="1" si="165"/>
        <v>0</v>
      </c>
      <c r="DU116" s="180">
        <f t="shared" ca="1" si="165"/>
        <v>0</v>
      </c>
      <c r="DV116" s="180">
        <f t="shared" ca="1" si="165"/>
        <v>0</v>
      </c>
      <c r="DW116" s="180">
        <f t="shared" ca="1" si="165"/>
        <v>0</v>
      </c>
      <c r="DX116" s="180">
        <f t="shared" ca="1" si="165"/>
        <v>0</v>
      </c>
      <c r="DY116" s="180">
        <f t="shared" ca="1" si="165"/>
        <v>0</v>
      </c>
      <c r="DZ116" s="180">
        <f t="shared" ca="1" si="165"/>
        <v>0</v>
      </c>
      <c r="EA116" s="180">
        <f t="shared" ca="1" si="165"/>
        <v>0</v>
      </c>
      <c r="EB116" s="180">
        <f t="shared" ca="1" si="165"/>
        <v>0</v>
      </c>
      <c r="EC116" s="180">
        <f t="shared" ca="1" si="165"/>
        <v>0</v>
      </c>
      <c r="ED116" s="180">
        <f t="shared" ca="1" si="165"/>
        <v>0</v>
      </c>
      <c r="EE116" s="180">
        <f t="shared" ca="1" si="165"/>
        <v>0</v>
      </c>
      <c r="EF116" s="180">
        <f t="shared" ca="1" si="174"/>
        <v>0</v>
      </c>
      <c r="EG116" s="180">
        <f t="shared" ca="1" si="174"/>
        <v>0</v>
      </c>
      <c r="EH116" s="180">
        <f t="shared" ca="1" si="174"/>
        <v>0</v>
      </c>
      <c r="EI116" s="180">
        <f t="shared" ca="1" si="175"/>
        <v>0</v>
      </c>
      <c r="EJ116" s="180">
        <f t="shared" ca="1" si="175"/>
        <v>0</v>
      </c>
      <c r="EK116" s="180">
        <f t="shared" ca="1" si="175"/>
        <v>0</v>
      </c>
      <c r="EL116" s="180">
        <f t="shared" ca="1" si="175"/>
        <v>0</v>
      </c>
      <c r="EM116" s="180">
        <f t="shared" ca="1" si="175"/>
        <v>0</v>
      </c>
      <c r="EN116" s="180">
        <f t="shared" ca="1" si="175"/>
        <v>0</v>
      </c>
      <c r="EO116" s="180">
        <f t="shared" ca="1" si="175"/>
        <v>0</v>
      </c>
      <c r="EP116" s="180">
        <f t="shared" ca="1" si="175"/>
        <v>0</v>
      </c>
      <c r="EQ116" s="180"/>
      <c r="ER116" s="180"/>
    </row>
    <row r="117" spans="2:148" s="87" customFormat="1" hidden="1" x14ac:dyDescent="0.25">
      <c r="B117" s="151"/>
      <c r="C117" s="87">
        <v>56</v>
      </c>
      <c r="D117" s="258">
        <f t="shared" ca="1" si="170"/>
        <v>47858</v>
      </c>
      <c r="E117" s="175">
        <f t="shared" ca="1" si="176"/>
        <v>0.35476130903045983</v>
      </c>
      <c r="F117" s="175">
        <f t="shared" ca="1" si="176"/>
        <v>0.35476130903045983</v>
      </c>
      <c r="G117" s="175">
        <f t="shared" ca="1" si="176"/>
        <v>0.35476130903045983</v>
      </c>
      <c r="H117" s="175">
        <f t="shared" ca="1" si="176"/>
        <v>0.35476130903045983</v>
      </c>
      <c r="I117" s="175">
        <f t="shared" si="176"/>
        <v>0</v>
      </c>
      <c r="J117" s="175">
        <f t="shared" si="176"/>
        <v>0</v>
      </c>
      <c r="K117" s="175">
        <f t="shared" si="176"/>
        <v>0</v>
      </c>
      <c r="L117" s="175">
        <f t="shared" si="176"/>
        <v>0</v>
      </c>
      <c r="M117" s="175">
        <f t="shared" si="176"/>
        <v>0</v>
      </c>
      <c r="N117" s="175">
        <f t="shared" si="176"/>
        <v>0</v>
      </c>
      <c r="O117" s="175">
        <f t="shared" si="177"/>
        <v>0</v>
      </c>
      <c r="P117" s="175">
        <f t="shared" si="177"/>
        <v>0</v>
      </c>
      <c r="Q117" s="175">
        <f t="shared" si="177"/>
        <v>0</v>
      </c>
      <c r="R117" s="175">
        <f t="shared" si="177"/>
        <v>0</v>
      </c>
      <c r="S117" s="175">
        <f t="shared" si="177"/>
        <v>0</v>
      </c>
      <c r="T117" s="175">
        <f t="shared" si="177"/>
        <v>0</v>
      </c>
      <c r="U117" s="175">
        <f t="shared" si="177"/>
        <v>0</v>
      </c>
      <c r="V117" s="175"/>
      <c r="W117" s="140"/>
      <c r="X117" s="87">
        <v>99</v>
      </c>
      <c r="Y117" s="87">
        <f t="shared" si="138"/>
        <v>0</v>
      </c>
      <c r="Z117" s="87">
        <f t="shared" si="139"/>
        <v>0</v>
      </c>
      <c r="AA117" s="87">
        <f t="shared" si="140"/>
        <v>0</v>
      </c>
      <c r="AB117" s="87">
        <f t="shared" si="141"/>
        <v>0</v>
      </c>
      <c r="AC117" s="87">
        <f t="shared" si="142"/>
        <v>0</v>
      </c>
      <c r="AD117" s="87">
        <f t="shared" si="143"/>
        <v>0</v>
      </c>
      <c r="AE117" s="87">
        <f t="shared" si="144"/>
        <v>0</v>
      </c>
      <c r="AF117" s="87">
        <f t="shared" si="145"/>
        <v>0</v>
      </c>
      <c r="AG117" s="87">
        <f t="shared" si="146"/>
        <v>0</v>
      </c>
      <c r="AH117" s="87">
        <f t="shared" si="147"/>
        <v>0</v>
      </c>
      <c r="AI117" s="87">
        <f t="shared" si="148"/>
        <v>0</v>
      </c>
      <c r="AJ117" s="87">
        <f t="shared" si="149"/>
        <v>0</v>
      </c>
      <c r="AK117" s="87">
        <f t="shared" si="150"/>
        <v>0</v>
      </c>
      <c r="AL117" s="87">
        <f t="shared" si="151"/>
        <v>0</v>
      </c>
      <c r="AM117" s="87">
        <f t="shared" si="152"/>
        <v>0</v>
      </c>
      <c r="AN117" s="87">
        <f t="shared" si="153"/>
        <v>0</v>
      </c>
      <c r="AO117" s="87">
        <f t="shared" si="154"/>
        <v>0</v>
      </c>
      <c r="AP117" s="140"/>
      <c r="AQ117" s="426">
        <v>99</v>
      </c>
      <c r="AR117" s="258">
        <f t="shared" ca="1" si="160"/>
        <v>49166</v>
      </c>
      <c r="AS117" s="429">
        <f t="shared" si="178"/>
        <v>0</v>
      </c>
      <c r="AT117" s="140"/>
      <c r="AU117" s="278">
        <v>99</v>
      </c>
      <c r="AV117" s="258">
        <f t="shared" ca="1" si="161"/>
        <v>49197</v>
      </c>
      <c r="AW117" s="429">
        <f t="shared" si="155"/>
        <v>0</v>
      </c>
      <c r="AX117" s="202">
        <f t="shared" ca="1" si="156"/>
        <v>0</v>
      </c>
      <c r="AY117" s="278">
        <v>99</v>
      </c>
      <c r="AZ117" s="258">
        <f t="shared" ca="1" si="162"/>
        <v>49197</v>
      </c>
      <c r="BA117" s="429">
        <f t="shared" si="157"/>
        <v>0</v>
      </c>
      <c r="BB117" s="259">
        <f t="shared" ca="1" si="119"/>
        <v>49166</v>
      </c>
      <c r="BC117" s="428">
        <f t="shared" ca="1" si="158"/>
        <v>0</v>
      </c>
      <c r="BD117" s="188">
        <f t="shared" si="179"/>
        <v>0</v>
      </c>
      <c r="BE117" s="188">
        <f t="shared" si="180"/>
        <v>0</v>
      </c>
      <c r="BF117" s="188">
        <f t="shared" si="181"/>
        <v>0</v>
      </c>
      <c r="BG117" s="87">
        <f t="shared" si="182"/>
        <v>0</v>
      </c>
      <c r="BH117" s="87">
        <f t="shared" si="183"/>
        <v>0</v>
      </c>
      <c r="BI117" s="87">
        <f t="shared" si="184"/>
        <v>0</v>
      </c>
      <c r="BJ117" s="87">
        <f t="shared" si="185"/>
        <v>0</v>
      </c>
      <c r="BK117" s="87">
        <f t="shared" si="186"/>
        <v>0</v>
      </c>
      <c r="BL117" s="87">
        <f t="shared" si="187"/>
        <v>0</v>
      </c>
      <c r="BM117" s="87">
        <f t="shared" si="188"/>
        <v>0</v>
      </c>
      <c r="BN117" s="87">
        <f t="shared" si="189"/>
        <v>0</v>
      </c>
      <c r="BO117" s="87">
        <f t="shared" si="190"/>
        <v>0</v>
      </c>
      <c r="BP117" s="87">
        <f t="shared" si="191"/>
        <v>0</v>
      </c>
      <c r="BQ117" s="87">
        <f t="shared" si="192"/>
        <v>0</v>
      </c>
      <c r="BR117" s="87">
        <f t="shared" si="193"/>
        <v>0</v>
      </c>
      <c r="BS117" s="87">
        <f t="shared" si="194"/>
        <v>0</v>
      </c>
      <c r="BT117" s="87">
        <f t="shared" si="195"/>
        <v>0</v>
      </c>
      <c r="BV117" s="177"/>
      <c r="BW117" s="177"/>
      <c r="BX117" s="267"/>
      <c r="BY117" s="267"/>
      <c r="BZ117" s="267"/>
      <c r="CA117" s="267"/>
      <c r="CB117" s="267"/>
      <c r="CC117" s="267"/>
      <c r="CD117" s="267"/>
      <c r="CE117" s="267"/>
      <c r="CF117" s="267"/>
      <c r="CG117" s="267"/>
      <c r="CH117" s="267"/>
      <c r="CI117" s="435"/>
      <c r="CJ117" s="436"/>
      <c r="CK117" s="437"/>
      <c r="CM117" s="64" t="s">
        <v>3035</v>
      </c>
      <c r="CN117" s="707">
        <v>62</v>
      </c>
      <c r="CS117" s="138">
        <v>99</v>
      </c>
      <c r="CT117" s="259">
        <f t="shared" ca="1" si="137"/>
        <v>49197</v>
      </c>
      <c r="CU117" s="179">
        <f t="shared" ca="1" si="159"/>
        <v>0</v>
      </c>
      <c r="CV117" s="179">
        <f t="shared" ca="1" si="173"/>
        <v>0</v>
      </c>
      <c r="CW117" s="179">
        <f t="shared" ca="1" si="173"/>
        <v>0</v>
      </c>
      <c r="CX117" s="179">
        <f t="shared" ca="1" si="173"/>
        <v>0</v>
      </c>
      <c r="CY117" s="179">
        <f t="shared" ca="1" si="173"/>
        <v>0</v>
      </c>
      <c r="CZ117" s="179">
        <f t="shared" ca="1" si="173"/>
        <v>0</v>
      </c>
      <c r="DA117" s="179">
        <f t="shared" ca="1" si="173"/>
        <v>0</v>
      </c>
      <c r="DB117" s="179">
        <f t="shared" ca="1" si="173"/>
        <v>0</v>
      </c>
      <c r="DC117" s="179">
        <f t="shared" ca="1" si="173"/>
        <v>0</v>
      </c>
      <c r="DD117" s="179">
        <f t="shared" ca="1" si="173"/>
        <v>0</v>
      </c>
      <c r="DE117" s="179">
        <f t="shared" ca="1" si="173"/>
        <v>0</v>
      </c>
      <c r="DF117" s="179" t="e">
        <f t="shared" ca="1" si="173"/>
        <v>#VALUE!</v>
      </c>
      <c r="DG117" s="179" t="e">
        <f t="shared" ca="1" si="173"/>
        <v>#VALUE!</v>
      </c>
      <c r="DH117" s="179" t="e">
        <f t="shared" ca="1" si="173"/>
        <v>#VALUE!</v>
      </c>
      <c r="DI117" s="179" t="e">
        <f t="shared" ca="1" si="173"/>
        <v>#VALUE!</v>
      </c>
      <c r="DJ117" s="179" t="e">
        <f t="shared" ca="1" si="113"/>
        <v>#VALUE!</v>
      </c>
      <c r="DK117" s="179" t="e">
        <f t="shared" ca="1" si="113"/>
        <v>#VALUE!</v>
      </c>
      <c r="DL117" s="179" t="e">
        <f t="shared" ca="1" si="169"/>
        <v>#VALUE!</v>
      </c>
      <c r="DM117" s="179" t="e">
        <f t="shared" ca="1" si="169"/>
        <v>#VALUE!</v>
      </c>
      <c r="DN117" s="179" t="e">
        <f t="shared" ca="1" si="169"/>
        <v>#VALUE!</v>
      </c>
      <c r="DO117" s="179" t="e">
        <f t="shared" ca="1" si="169"/>
        <v>#VALUE!</v>
      </c>
      <c r="DP117" s="179" t="e">
        <f t="shared" ca="1" si="169"/>
        <v>#VALUE!</v>
      </c>
      <c r="DQ117" s="179" t="e">
        <f t="shared" ca="1" si="169"/>
        <v>#VALUE!</v>
      </c>
      <c r="DR117" s="278">
        <v>99</v>
      </c>
      <c r="DS117" s="430">
        <f t="shared" ca="1" si="164"/>
        <v>49166</v>
      </c>
      <c r="DT117" s="180">
        <f t="shared" ca="1" si="165"/>
        <v>0</v>
      </c>
      <c r="DU117" s="180">
        <f t="shared" ca="1" si="165"/>
        <v>0</v>
      </c>
      <c r="DV117" s="180">
        <f t="shared" ca="1" si="165"/>
        <v>0</v>
      </c>
      <c r="DW117" s="180">
        <f t="shared" ca="1" si="165"/>
        <v>0</v>
      </c>
      <c r="DX117" s="180">
        <f t="shared" ca="1" si="165"/>
        <v>0</v>
      </c>
      <c r="DY117" s="180">
        <f t="shared" ca="1" si="165"/>
        <v>0</v>
      </c>
      <c r="DZ117" s="180">
        <f t="shared" ca="1" si="165"/>
        <v>0</v>
      </c>
      <c r="EA117" s="180">
        <f t="shared" ca="1" si="165"/>
        <v>0</v>
      </c>
      <c r="EB117" s="180">
        <f t="shared" ca="1" si="165"/>
        <v>0</v>
      </c>
      <c r="EC117" s="180">
        <f t="shared" ca="1" si="165"/>
        <v>0</v>
      </c>
      <c r="ED117" s="180">
        <f t="shared" ca="1" si="165"/>
        <v>0</v>
      </c>
      <c r="EE117" s="180">
        <f t="shared" ca="1" si="165"/>
        <v>0</v>
      </c>
      <c r="EF117" s="180">
        <f t="shared" ca="1" si="174"/>
        <v>0</v>
      </c>
      <c r="EG117" s="180">
        <f t="shared" ca="1" si="174"/>
        <v>0</v>
      </c>
      <c r="EH117" s="180">
        <f t="shared" ca="1" si="174"/>
        <v>0</v>
      </c>
      <c r="EI117" s="180">
        <f t="shared" ca="1" si="175"/>
        <v>0</v>
      </c>
      <c r="EJ117" s="180">
        <f t="shared" ca="1" si="175"/>
        <v>0</v>
      </c>
      <c r="EK117" s="180">
        <f t="shared" ca="1" si="175"/>
        <v>0</v>
      </c>
      <c r="EL117" s="180">
        <f t="shared" ca="1" si="175"/>
        <v>0</v>
      </c>
      <c r="EM117" s="180">
        <f t="shared" ca="1" si="175"/>
        <v>0</v>
      </c>
      <c r="EN117" s="180">
        <f t="shared" ca="1" si="175"/>
        <v>0</v>
      </c>
      <c r="EO117" s="180">
        <f t="shared" ca="1" si="175"/>
        <v>0</v>
      </c>
      <c r="EP117" s="180">
        <f t="shared" ca="1" si="175"/>
        <v>0</v>
      </c>
      <c r="EQ117" s="180"/>
      <c r="ER117" s="180"/>
    </row>
    <row r="118" spans="2:148" s="87" customFormat="1" hidden="1" x14ac:dyDescent="0.25">
      <c r="B118" s="151"/>
      <c r="C118" s="87">
        <v>57</v>
      </c>
      <c r="D118" s="258">
        <f t="shared" ca="1" si="170"/>
        <v>47889</v>
      </c>
      <c r="E118" s="175">
        <f t="shared" ca="1" si="176"/>
        <v>0.34810466840533494</v>
      </c>
      <c r="F118" s="175">
        <f t="shared" ca="1" si="176"/>
        <v>0.34810466840533494</v>
      </c>
      <c r="G118" s="175">
        <f t="shared" ca="1" si="176"/>
        <v>0.34810466840533494</v>
      </c>
      <c r="H118" s="175">
        <f t="shared" ca="1" si="176"/>
        <v>0.34810466840533494</v>
      </c>
      <c r="I118" s="175">
        <f t="shared" si="176"/>
        <v>0</v>
      </c>
      <c r="J118" s="175">
        <f t="shared" si="176"/>
        <v>0</v>
      </c>
      <c r="K118" s="175">
        <f t="shared" si="176"/>
        <v>0</v>
      </c>
      <c r="L118" s="175">
        <f t="shared" si="176"/>
        <v>0</v>
      </c>
      <c r="M118" s="175">
        <f t="shared" si="176"/>
        <v>0</v>
      </c>
      <c r="N118" s="175">
        <f t="shared" si="176"/>
        <v>0</v>
      </c>
      <c r="O118" s="175">
        <f t="shared" si="177"/>
        <v>0</v>
      </c>
      <c r="P118" s="175">
        <f t="shared" si="177"/>
        <v>0</v>
      </c>
      <c r="Q118" s="175">
        <f t="shared" si="177"/>
        <v>0</v>
      </c>
      <c r="R118" s="175">
        <f t="shared" si="177"/>
        <v>0</v>
      </c>
      <c r="S118" s="175">
        <f t="shared" si="177"/>
        <v>0</v>
      </c>
      <c r="T118" s="175">
        <f t="shared" si="177"/>
        <v>0</v>
      </c>
      <c r="U118" s="175">
        <f t="shared" si="177"/>
        <v>0</v>
      </c>
      <c r="V118" s="175"/>
      <c r="W118" s="140"/>
      <c r="X118" s="87">
        <v>100</v>
      </c>
      <c r="Y118" s="87">
        <f t="shared" si="138"/>
        <v>0</v>
      </c>
      <c r="Z118" s="87">
        <f t="shared" si="139"/>
        <v>0</v>
      </c>
      <c r="AA118" s="87">
        <f t="shared" si="140"/>
        <v>0</v>
      </c>
      <c r="AB118" s="87">
        <f t="shared" si="141"/>
        <v>0</v>
      </c>
      <c r="AC118" s="87">
        <f t="shared" si="142"/>
        <v>0</v>
      </c>
      <c r="AD118" s="87">
        <f t="shared" si="143"/>
        <v>0</v>
      </c>
      <c r="AE118" s="87">
        <f t="shared" si="144"/>
        <v>0</v>
      </c>
      <c r="AF118" s="87">
        <f t="shared" si="145"/>
        <v>0</v>
      </c>
      <c r="AG118" s="87">
        <f t="shared" si="146"/>
        <v>0</v>
      </c>
      <c r="AH118" s="87">
        <f t="shared" si="147"/>
        <v>0</v>
      </c>
      <c r="AI118" s="87">
        <f t="shared" si="148"/>
        <v>0</v>
      </c>
      <c r="AJ118" s="87">
        <f t="shared" si="149"/>
        <v>0</v>
      </c>
      <c r="AK118" s="87">
        <f t="shared" si="150"/>
        <v>0</v>
      </c>
      <c r="AL118" s="87">
        <f t="shared" si="151"/>
        <v>0</v>
      </c>
      <c r="AM118" s="87">
        <f t="shared" si="152"/>
        <v>0</v>
      </c>
      <c r="AN118" s="87">
        <f t="shared" si="153"/>
        <v>0</v>
      </c>
      <c r="AO118" s="87">
        <f t="shared" si="154"/>
        <v>0</v>
      </c>
      <c r="AP118" s="140"/>
      <c r="AQ118" s="426">
        <v>100</v>
      </c>
      <c r="AR118" s="258">
        <f t="shared" ca="1" si="160"/>
        <v>49197</v>
      </c>
      <c r="AS118" s="429">
        <f t="shared" si="178"/>
        <v>0</v>
      </c>
      <c r="AT118" s="140"/>
      <c r="AU118" s="278">
        <v>100</v>
      </c>
      <c r="AV118" s="258">
        <f t="shared" ca="1" si="161"/>
        <v>49227</v>
      </c>
      <c r="AW118" s="429">
        <f t="shared" si="155"/>
        <v>0</v>
      </c>
      <c r="AX118" s="202">
        <f t="shared" ca="1" si="156"/>
        <v>0</v>
      </c>
      <c r="AY118" s="278">
        <v>100</v>
      </c>
      <c r="AZ118" s="258">
        <f t="shared" ca="1" si="162"/>
        <v>49227</v>
      </c>
      <c r="BA118" s="429">
        <f t="shared" si="157"/>
        <v>0</v>
      </c>
      <c r="BB118" s="259">
        <f t="shared" ca="1" si="119"/>
        <v>49197</v>
      </c>
      <c r="BC118" s="428">
        <f t="shared" ca="1" si="158"/>
        <v>0</v>
      </c>
      <c r="BD118" s="188">
        <f t="shared" si="179"/>
        <v>0</v>
      </c>
      <c r="BE118" s="188">
        <f t="shared" si="180"/>
        <v>0</v>
      </c>
      <c r="BF118" s="188">
        <f t="shared" si="181"/>
        <v>0</v>
      </c>
      <c r="BG118" s="87">
        <f t="shared" si="182"/>
        <v>0</v>
      </c>
      <c r="BH118" s="87">
        <f t="shared" si="183"/>
        <v>0</v>
      </c>
      <c r="BI118" s="87">
        <f t="shared" si="184"/>
        <v>0</v>
      </c>
      <c r="BJ118" s="87">
        <f t="shared" si="185"/>
        <v>0</v>
      </c>
      <c r="BK118" s="87">
        <f t="shared" si="186"/>
        <v>0</v>
      </c>
      <c r="BL118" s="87">
        <f t="shared" si="187"/>
        <v>0</v>
      </c>
      <c r="BM118" s="87">
        <f t="shared" si="188"/>
        <v>0</v>
      </c>
      <c r="BN118" s="87">
        <f t="shared" si="189"/>
        <v>0</v>
      </c>
      <c r="BO118" s="87">
        <f t="shared" si="190"/>
        <v>0</v>
      </c>
      <c r="BP118" s="87">
        <f t="shared" si="191"/>
        <v>0</v>
      </c>
      <c r="BQ118" s="87">
        <f t="shared" si="192"/>
        <v>0</v>
      </c>
      <c r="BR118" s="87">
        <f t="shared" si="193"/>
        <v>0</v>
      </c>
      <c r="BS118" s="87">
        <f t="shared" si="194"/>
        <v>0</v>
      </c>
      <c r="BT118" s="87">
        <f t="shared" si="195"/>
        <v>0</v>
      </c>
      <c r="BV118" s="177"/>
      <c r="BW118" s="177"/>
      <c r="BX118" s="267"/>
      <c r="BY118" s="267"/>
      <c r="BZ118" s="267"/>
      <c r="CA118" s="267"/>
      <c r="CB118" s="267"/>
      <c r="CC118" s="267"/>
      <c r="CD118" s="267"/>
      <c r="CE118" s="267"/>
      <c r="CF118" s="267"/>
      <c r="CG118" s="267"/>
      <c r="CH118" s="267"/>
      <c r="CI118" s="435"/>
      <c r="CJ118" s="436"/>
      <c r="CK118" s="437"/>
      <c r="CM118" s="64" t="s">
        <v>334</v>
      </c>
      <c r="CN118" s="707">
        <v>57</v>
      </c>
      <c r="CS118" s="87">
        <v>100</v>
      </c>
      <c r="CT118" s="259">
        <f t="shared" ca="1" si="137"/>
        <v>49227</v>
      </c>
      <c r="CU118" s="179">
        <f t="shared" ca="1" si="159"/>
        <v>0</v>
      </c>
      <c r="CV118" s="179">
        <f t="shared" ca="1" si="173"/>
        <v>0</v>
      </c>
      <c r="CW118" s="179">
        <f t="shared" ca="1" si="173"/>
        <v>0</v>
      </c>
      <c r="CX118" s="179">
        <f t="shared" ca="1" si="173"/>
        <v>0</v>
      </c>
      <c r="CY118" s="179">
        <f t="shared" ca="1" si="173"/>
        <v>0</v>
      </c>
      <c r="CZ118" s="179">
        <f t="shared" ca="1" si="173"/>
        <v>0</v>
      </c>
      <c r="DA118" s="179">
        <f t="shared" ca="1" si="173"/>
        <v>0</v>
      </c>
      <c r="DB118" s="179">
        <f t="shared" ca="1" si="173"/>
        <v>0</v>
      </c>
      <c r="DC118" s="179">
        <f t="shared" ca="1" si="173"/>
        <v>0</v>
      </c>
      <c r="DD118" s="179">
        <f t="shared" ca="1" si="173"/>
        <v>0</v>
      </c>
      <c r="DE118" s="179">
        <f t="shared" ca="1" si="173"/>
        <v>0</v>
      </c>
      <c r="DF118" s="179" t="e">
        <f t="shared" ca="1" si="173"/>
        <v>#VALUE!</v>
      </c>
      <c r="DG118" s="179" t="e">
        <f t="shared" ca="1" si="173"/>
        <v>#VALUE!</v>
      </c>
      <c r="DH118" s="179" t="e">
        <f t="shared" ca="1" si="173"/>
        <v>#VALUE!</v>
      </c>
      <c r="DI118" s="179" t="e">
        <f t="shared" ca="1" si="173"/>
        <v>#VALUE!</v>
      </c>
      <c r="DJ118" s="179" t="e">
        <f t="shared" ca="1" si="113"/>
        <v>#VALUE!</v>
      </c>
      <c r="DK118" s="179" t="e">
        <f t="shared" ca="1" si="113"/>
        <v>#VALUE!</v>
      </c>
      <c r="DL118" s="179" t="e">
        <f t="shared" ca="1" si="169"/>
        <v>#VALUE!</v>
      </c>
      <c r="DM118" s="179" t="e">
        <f t="shared" ca="1" si="169"/>
        <v>#VALUE!</v>
      </c>
      <c r="DN118" s="179" t="e">
        <f t="shared" ca="1" si="169"/>
        <v>#VALUE!</v>
      </c>
      <c r="DO118" s="179" t="e">
        <f t="shared" ca="1" si="169"/>
        <v>#VALUE!</v>
      </c>
      <c r="DP118" s="179" t="e">
        <f t="shared" ca="1" si="169"/>
        <v>#VALUE!</v>
      </c>
      <c r="DQ118" s="179" t="e">
        <f t="shared" ca="1" si="169"/>
        <v>#VALUE!</v>
      </c>
      <c r="DR118" s="188">
        <v>100</v>
      </c>
      <c r="DS118" s="430">
        <f t="shared" ca="1" si="164"/>
        <v>49197</v>
      </c>
      <c r="DT118" s="180">
        <f t="shared" ca="1" si="165"/>
        <v>0</v>
      </c>
      <c r="DU118" s="180">
        <f t="shared" ca="1" si="165"/>
        <v>0</v>
      </c>
      <c r="DV118" s="180">
        <f t="shared" ca="1" si="165"/>
        <v>0</v>
      </c>
      <c r="DW118" s="180">
        <f t="shared" ca="1" si="165"/>
        <v>0</v>
      </c>
      <c r="DX118" s="180">
        <f t="shared" ca="1" si="165"/>
        <v>0</v>
      </c>
      <c r="DY118" s="180">
        <f t="shared" ca="1" si="165"/>
        <v>0</v>
      </c>
      <c r="DZ118" s="180">
        <f t="shared" ca="1" si="165"/>
        <v>0</v>
      </c>
      <c r="EA118" s="180">
        <f t="shared" ca="1" si="165"/>
        <v>0</v>
      </c>
      <c r="EB118" s="180">
        <f t="shared" ca="1" si="165"/>
        <v>0</v>
      </c>
      <c r="EC118" s="180">
        <f t="shared" ca="1" si="165"/>
        <v>0</v>
      </c>
      <c r="ED118" s="180">
        <f t="shared" ca="1" si="165"/>
        <v>0</v>
      </c>
      <c r="EE118" s="180">
        <f t="shared" ca="1" si="165"/>
        <v>0</v>
      </c>
      <c r="EF118" s="180">
        <f t="shared" ca="1" si="174"/>
        <v>0</v>
      </c>
      <c r="EG118" s="180">
        <f t="shared" ca="1" si="174"/>
        <v>0</v>
      </c>
      <c r="EH118" s="180">
        <f t="shared" ca="1" si="174"/>
        <v>0</v>
      </c>
      <c r="EI118" s="180">
        <f t="shared" ca="1" si="175"/>
        <v>0</v>
      </c>
      <c r="EJ118" s="180">
        <f t="shared" ca="1" si="175"/>
        <v>0</v>
      </c>
      <c r="EK118" s="180">
        <f t="shared" ca="1" si="175"/>
        <v>0</v>
      </c>
      <c r="EL118" s="180">
        <f t="shared" ca="1" si="175"/>
        <v>0</v>
      </c>
      <c r="EM118" s="180">
        <f t="shared" ca="1" si="175"/>
        <v>0</v>
      </c>
      <c r="EN118" s="180">
        <f t="shared" ca="1" si="175"/>
        <v>0</v>
      </c>
      <c r="EO118" s="180">
        <f t="shared" ca="1" si="175"/>
        <v>0</v>
      </c>
      <c r="EP118" s="180">
        <f t="shared" ca="1" si="175"/>
        <v>0</v>
      </c>
      <c r="EQ118" s="180"/>
      <c r="ER118" s="180"/>
    </row>
    <row r="119" spans="2:148" s="87" customFormat="1" hidden="1" x14ac:dyDescent="0.25">
      <c r="B119" s="151"/>
      <c r="C119" s="87">
        <v>58</v>
      </c>
      <c r="D119" s="258">
        <f t="shared" ca="1" si="170"/>
        <v>47917</v>
      </c>
      <c r="E119" s="175">
        <f t="shared" ca="1" si="176"/>
        <v>0.34219964119244323</v>
      </c>
      <c r="F119" s="175">
        <f t="shared" ca="1" si="176"/>
        <v>0.34219964119244323</v>
      </c>
      <c r="G119" s="175">
        <f t="shared" ca="1" si="176"/>
        <v>0.34219964119244323</v>
      </c>
      <c r="H119" s="175">
        <f t="shared" ca="1" si="176"/>
        <v>0.34219964119244323</v>
      </c>
      <c r="I119" s="175">
        <f t="shared" si="176"/>
        <v>0</v>
      </c>
      <c r="J119" s="175">
        <f t="shared" si="176"/>
        <v>0</v>
      </c>
      <c r="K119" s="175">
        <f t="shared" si="176"/>
        <v>0</v>
      </c>
      <c r="L119" s="175">
        <f t="shared" si="176"/>
        <v>0</v>
      </c>
      <c r="M119" s="175">
        <f t="shared" si="176"/>
        <v>0</v>
      </c>
      <c r="N119" s="175">
        <f t="shared" si="176"/>
        <v>0</v>
      </c>
      <c r="O119" s="175">
        <f t="shared" si="177"/>
        <v>0</v>
      </c>
      <c r="P119" s="175">
        <f t="shared" si="177"/>
        <v>0</v>
      </c>
      <c r="Q119" s="175">
        <f t="shared" si="177"/>
        <v>0</v>
      </c>
      <c r="R119" s="175">
        <f t="shared" si="177"/>
        <v>0</v>
      </c>
      <c r="S119" s="175">
        <f t="shared" si="177"/>
        <v>0</v>
      </c>
      <c r="T119" s="175">
        <f t="shared" si="177"/>
        <v>0</v>
      </c>
      <c r="U119" s="175">
        <f t="shared" si="177"/>
        <v>0</v>
      </c>
      <c r="V119" s="175"/>
      <c r="W119" s="140"/>
      <c r="X119" s="87">
        <v>101</v>
      </c>
      <c r="Y119" s="87">
        <f t="shared" si="138"/>
        <v>0</v>
      </c>
      <c r="Z119" s="87">
        <f t="shared" si="139"/>
        <v>0</v>
      </c>
      <c r="AA119" s="87">
        <f t="shared" si="140"/>
        <v>0</v>
      </c>
      <c r="AB119" s="87">
        <f t="shared" si="141"/>
        <v>0</v>
      </c>
      <c r="AC119" s="87">
        <f t="shared" si="142"/>
        <v>0</v>
      </c>
      <c r="AD119" s="87">
        <f t="shared" si="143"/>
        <v>0</v>
      </c>
      <c r="AE119" s="87">
        <f t="shared" si="144"/>
        <v>0</v>
      </c>
      <c r="AF119" s="87">
        <f t="shared" si="145"/>
        <v>0</v>
      </c>
      <c r="AG119" s="87">
        <f t="shared" si="146"/>
        <v>0</v>
      </c>
      <c r="AH119" s="87">
        <f t="shared" si="147"/>
        <v>0</v>
      </c>
      <c r="AI119" s="87">
        <f t="shared" si="148"/>
        <v>0</v>
      </c>
      <c r="AJ119" s="87">
        <f t="shared" si="149"/>
        <v>0</v>
      </c>
      <c r="AK119" s="87">
        <f t="shared" si="150"/>
        <v>0</v>
      </c>
      <c r="AL119" s="87">
        <f t="shared" si="151"/>
        <v>0</v>
      </c>
      <c r="AM119" s="87">
        <f t="shared" si="152"/>
        <v>0</v>
      </c>
      <c r="AN119" s="87">
        <f t="shared" si="153"/>
        <v>0</v>
      </c>
      <c r="AO119" s="87">
        <f t="shared" si="154"/>
        <v>0</v>
      </c>
      <c r="AP119" s="140"/>
      <c r="AQ119" s="426">
        <v>101</v>
      </c>
      <c r="AR119" s="258">
        <f t="shared" ca="1" si="160"/>
        <v>49227</v>
      </c>
      <c r="AS119" s="429">
        <f t="shared" si="178"/>
        <v>0</v>
      </c>
      <c r="AT119" s="140"/>
      <c r="AU119" s="278">
        <v>101</v>
      </c>
      <c r="AV119" s="258">
        <f t="shared" ca="1" si="161"/>
        <v>49258</v>
      </c>
      <c r="AW119" s="429">
        <f t="shared" si="155"/>
        <v>0</v>
      </c>
      <c r="AX119" s="202">
        <f t="shared" ca="1" si="156"/>
        <v>0</v>
      </c>
      <c r="AY119" s="278">
        <v>101</v>
      </c>
      <c r="AZ119" s="258">
        <f t="shared" ca="1" si="162"/>
        <v>49258</v>
      </c>
      <c r="BA119" s="429">
        <f t="shared" si="157"/>
        <v>0</v>
      </c>
      <c r="BB119" s="259">
        <f t="shared" ca="1" si="119"/>
        <v>49227</v>
      </c>
      <c r="BC119" s="428">
        <f t="shared" ca="1" si="158"/>
        <v>0</v>
      </c>
      <c r="BD119" s="188">
        <f t="shared" si="179"/>
        <v>0</v>
      </c>
      <c r="BE119" s="188">
        <f t="shared" si="180"/>
        <v>0</v>
      </c>
      <c r="BF119" s="188">
        <f t="shared" si="181"/>
        <v>0</v>
      </c>
      <c r="BG119" s="87">
        <f t="shared" si="182"/>
        <v>0</v>
      </c>
      <c r="BH119" s="87">
        <f t="shared" si="183"/>
        <v>0</v>
      </c>
      <c r="BI119" s="87">
        <f t="shared" si="184"/>
        <v>0</v>
      </c>
      <c r="BJ119" s="87">
        <f t="shared" si="185"/>
        <v>0</v>
      </c>
      <c r="BK119" s="87">
        <f t="shared" si="186"/>
        <v>0</v>
      </c>
      <c r="BL119" s="87">
        <f t="shared" si="187"/>
        <v>0</v>
      </c>
      <c r="BM119" s="87">
        <f t="shared" si="188"/>
        <v>0</v>
      </c>
      <c r="BN119" s="87">
        <f t="shared" si="189"/>
        <v>0</v>
      </c>
      <c r="BO119" s="87">
        <f t="shared" si="190"/>
        <v>0</v>
      </c>
      <c r="BP119" s="87">
        <f t="shared" si="191"/>
        <v>0</v>
      </c>
      <c r="BQ119" s="87">
        <f t="shared" si="192"/>
        <v>0</v>
      </c>
      <c r="BR119" s="87">
        <f t="shared" si="193"/>
        <v>0</v>
      </c>
      <c r="BS119" s="87">
        <f t="shared" si="194"/>
        <v>0</v>
      </c>
      <c r="BT119" s="87">
        <f t="shared" si="195"/>
        <v>0</v>
      </c>
      <c r="BV119" s="177"/>
      <c r="BW119" s="177"/>
      <c r="BX119" s="267"/>
      <c r="BY119" s="267"/>
      <c r="BZ119" s="267"/>
      <c r="CA119" s="267"/>
      <c r="CB119" s="267"/>
      <c r="CC119" s="267"/>
      <c r="CD119" s="267"/>
      <c r="CE119" s="267"/>
      <c r="CF119" s="267"/>
      <c r="CG119" s="267"/>
      <c r="CH119" s="267"/>
      <c r="CI119" s="435"/>
      <c r="CJ119" s="436"/>
      <c r="CK119" s="437"/>
      <c r="CM119" s="64" t="s">
        <v>634</v>
      </c>
      <c r="CN119" s="707">
        <v>41.75</v>
      </c>
      <c r="CS119" s="178">
        <v>101</v>
      </c>
      <c r="CT119" s="259">
        <f t="shared" ca="1" si="137"/>
        <v>49258</v>
      </c>
      <c r="CU119" s="179">
        <f t="shared" ca="1" si="159"/>
        <v>0</v>
      </c>
      <c r="CV119" s="179">
        <f t="shared" ca="1" si="173"/>
        <v>0</v>
      </c>
      <c r="CW119" s="179">
        <f t="shared" ca="1" si="173"/>
        <v>0</v>
      </c>
      <c r="CX119" s="179">
        <f t="shared" ca="1" si="173"/>
        <v>0</v>
      </c>
      <c r="CY119" s="179">
        <f t="shared" ca="1" si="173"/>
        <v>0</v>
      </c>
      <c r="CZ119" s="179">
        <f t="shared" ca="1" si="173"/>
        <v>0</v>
      </c>
      <c r="DA119" s="179">
        <f t="shared" ca="1" si="173"/>
        <v>0</v>
      </c>
      <c r="DB119" s="179">
        <f t="shared" ca="1" si="173"/>
        <v>0</v>
      </c>
      <c r="DC119" s="179">
        <f t="shared" ca="1" si="173"/>
        <v>0</v>
      </c>
      <c r="DD119" s="179">
        <f t="shared" ca="1" si="173"/>
        <v>0</v>
      </c>
      <c r="DE119" s="179">
        <f t="shared" ca="1" si="173"/>
        <v>0</v>
      </c>
      <c r="DF119" s="179" t="e">
        <f t="shared" ca="1" si="173"/>
        <v>#VALUE!</v>
      </c>
      <c r="DG119" s="179" t="e">
        <f t="shared" ca="1" si="173"/>
        <v>#VALUE!</v>
      </c>
      <c r="DH119" s="179" t="e">
        <f t="shared" ca="1" si="173"/>
        <v>#VALUE!</v>
      </c>
      <c r="DI119" s="179" t="e">
        <f t="shared" ca="1" si="173"/>
        <v>#VALUE!</v>
      </c>
      <c r="DJ119" s="179" t="e">
        <f t="shared" ca="1" si="113"/>
        <v>#VALUE!</v>
      </c>
      <c r="DK119" s="179" t="e">
        <f t="shared" ca="1" si="113"/>
        <v>#VALUE!</v>
      </c>
      <c r="DL119" s="179" t="e">
        <f t="shared" ca="1" si="169"/>
        <v>#VALUE!</v>
      </c>
      <c r="DM119" s="179" t="e">
        <f t="shared" ca="1" si="169"/>
        <v>#VALUE!</v>
      </c>
      <c r="DN119" s="179" t="e">
        <f t="shared" ca="1" si="169"/>
        <v>#VALUE!</v>
      </c>
      <c r="DO119" s="179" t="e">
        <f t="shared" ca="1" si="169"/>
        <v>#VALUE!</v>
      </c>
      <c r="DP119" s="179" t="e">
        <f t="shared" ca="1" si="169"/>
        <v>#VALUE!</v>
      </c>
      <c r="DQ119" s="179" t="e">
        <f t="shared" ca="1" si="169"/>
        <v>#VALUE!</v>
      </c>
      <c r="DR119" s="431">
        <v>101</v>
      </c>
      <c r="DS119" s="430">
        <f t="shared" ca="1" si="164"/>
        <v>49227</v>
      </c>
      <c r="DT119" s="180">
        <f t="shared" ca="1" si="165"/>
        <v>0</v>
      </c>
      <c r="DU119" s="180">
        <f t="shared" ca="1" si="165"/>
        <v>0</v>
      </c>
      <c r="DV119" s="180">
        <f t="shared" ca="1" si="165"/>
        <v>0</v>
      </c>
      <c r="DW119" s="180">
        <f t="shared" ca="1" si="165"/>
        <v>0</v>
      </c>
      <c r="DX119" s="180">
        <f t="shared" ca="1" si="165"/>
        <v>0</v>
      </c>
      <c r="DY119" s="180">
        <f t="shared" ca="1" si="165"/>
        <v>0</v>
      </c>
      <c r="DZ119" s="180">
        <f t="shared" ca="1" si="165"/>
        <v>0</v>
      </c>
      <c r="EA119" s="180">
        <f t="shared" ca="1" si="165"/>
        <v>0</v>
      </c>
      <c r="EB119" s="180">
        <f t="shared" ca="1" si="165"/>
        <v>0</v>
      </c>
      <c r="EC119" s="180">
        <f t="shared" ref="EC119:EH164" ca="1" si="196">IFERROR(VLOOKUP($DS119,$AZ$19:$BA$162,2,FALSE),0)-IFERROR(VLOOKUP($DS119,$AR$19:$AS$162,2,FALSE),0)</f>
        <v>0</v>
      </c>
      <c r="ED119" s="180">
        <f t="shared" ca="1" si="196"/>
        <v>0</v>
      </c>
      <c r="EE119" s="180">
        <f t="shared" ca="1" si="196"/>
        <v>0</v>
      </c>
      <c r="EF119" s="180">
        <f t="shared" ca="1" si="174"/>
        <v>0</v>
      </c>
      <c r="EG119" s="180">
        <f t="shared" ca="1" si="174"/>
        <v>0</v>
      </c>
      <c r="EH119" s="180">
        <f t="shared" ca="1" si="174"/>
        <v>0</v>
      </c>
      <c r="EI119" s="180">
        <f t="shared" ca="1" si="175"/>
        <v>0</v>
      </c>
      <c r="EJ119" s="180">
        <f t="shared" ca="1" si="175"/>
        <v>0</v>
      </c>
      <c r="EK119" s="180">
        <f t="shared" ca="1" si="175"/>
        <v>0</v>
      </c>
      <c r="EL119" s="180">
        <f t="shared" ca="1" si="175"/>
        <v>0</v>
      </c>
      <c r="EM119" s="180">
        <f t="shared" ca="1" si="175"/>
        <v>0</v>
      </c>
      <c r="EN119" s="180">
        <f t="shared" ca="1" si="175"/>
        <v>0</v>
      </c>
      <c r="EO119" s="180">
        <f t="shared" ca="1" si="175"/>
        <v>0</v>
      </c>
      <c r="EP119" s="180">
        <f t="shared" ca="1" si="175"/>
        <v>0</v>
      </c>
      <c r="EQ119" s="180"/>
      <c r="ER119" s="180"/>
    </row>
    <row r="120" spans="2:148" s="87" customFormat="1" hidden="1" x14ac:dyDescent="0.25">
      <c r="B120" s="151"/>
      <c r="C120" s="87">
        <v>59</v>
      </c>
      <c r="D120" s="258">
        <f t="shared" ca="1" si="170"/>
        <v>47948</v>
      </c>
      <c r="E120" s="175">
        <f t="shared" ca="1" si="176"/>
        <v>0.3357787041413029</v>
      </c>
      <c r="F120" s="175">
        <f t="shared" ca="1" si="176"/>
        <v>0.3357787041413029</v>
      </c>
      <c r="G120" s="175">
        <f t="shared" ca="1" si="176"/>
        <v>0.3357787041413029</v>
      </c>
      <c r="H120" s="175">
        <f t="shared" ca="1" si="176"/>
        <v>0.3357787041413029</v>
      </c>
      <c r="I120" s="175">
        <f t="shared" si="176"/>
        <v>0</v>
      </c>
      <c r="J120" s="175">
        <f t="shared" si="176"/>
        <v>0</v>
      </c>
      <c r="K120" s="175">
        <f t="shared" si="176"/>
        <v>0</v>
      </c>
      <c r="L120" s="175">
        <f t="shared" si="176"/>
        <v>0</v>
      </c>
      <c r="M120" s="175">
        <f t="shared" si="176"/>
        <v>0</v>
      </c>
      <c r="N120" s="175">
        <f t="shared" si="176"/>
        <v>0</v>
      </c>
      <c r="O120" s="175">
        <f t="shared" si="177"/>
        <v>0</v>
      </c>
      <c r="P120" s="175">
        <f t="shared" si="177"/>
        <v>0</v>
      </c>
      <c r="Q120" s="175">
        <f t="shared" si="177"/>
        <v>0</v>
      </c>
      <c r="R120" s="175">
        <f t="shared" si="177"/>
        <v>0</v>
      </c>
      <c r="S120" s="175">
        <f t="shared" si="177"/>
        <v>0</v>
      </c>
      <c r="T120" s="175">
        <f t="shared" si="177"/>
        <v>0</v>
      </c>
      <c r="U120" s="175">
        <f t="shared" si="177"/>
        <v>0</v>
      </c>
      <c r="V120" s="175"/>
      <c r="W120" s="140"/>
      <c r="X120" s="87">
        <v>102</v>
      </c>
      <c r="Y120" s="87">
        <f t="shared" si="138"/>
        <v>0</v>
      </c>
      <c r="Z120" s="87">
        <f t="shared" si="139"/>
        <v>0</v>
      </c>
      <c r="AA120" s="87">
        <f t="shared" si="140"/>
        <v>0</v>
      </c>
      <c r="AB120" s="87">
        <f t="shared" si="141"/>
        <v>0</v>
      </c>
      <c r="AC120" s="87">
        <f t="shared" si="142"/>
        <v>0</v>
      </c>
      <c r="AD120" s="87">
        <f t="shared" si="143"/>
        <v>0</v>
      </c>
      <c r="AE120" s="87">
        <f t="shared" si="144"/>
        <v>0</v>
      </c>
      <c r="AF120" s="87">
        <f t="shared" si="145"/>
        <v>0</v>
      </c>
      <c r="AG120" s="87">
        <f t="shared" si="146"/>
        <v>0</v>
      </c>
      <c r="AH120" s="87">
        <f t="shared" si="147"/>
        <v>0</v>
      </c>
      <c r="AI120" s="87">
        <f t="shared" si="148"/>
        <v>0</v>
      </c>
      <c r="AJ120" s="87">
        <f t="shared" si="149"/>
        <v>0</v>
      </c>
      <c r="AK120" s="87">
        <f t="shared" si="150"/>
        <v>0</v>
      </c>
      <c r="AL120" s="87">
        <f t="shared" si="151"/>
        <v>0</v>
      </c>
      <c r="AM120" s="87">
        <f t="shared" si="152"/>
        <v>0</v>
      </c>
      <c r="AN120" s="87">
        <f t="shared" si="153"/>
        <v>0</v>
      </c>
      <c r="AO120" s="87">
        <f t="shared" si="154"/>
        <v>0</v>
      </c>
      <c r="AP120" s="140"/>
      <c r="AQ120" s="426">
        <v>102</v>
      </c>
      <c r="AR120" s="258">
        <f t="shared" ca="1" si="160"/>
        <v>49258</v>
      </c>
      <c r="AS120" s="429">
        <f t="shared" si="178"/>
        <v>0</v>
      </c>
      <c r="AT120" s="140"/>
      <c r="AU120" s="278">
        <v>102</v>
      </c>
      <c r="AV120" s="258">
        <f t="shared" ca="1" si="161"/>
        <v>49288</v>
      </c>
      <c r="AW120" s="429">
        <f t="shared" si="155"/>
        <v>0</v>
      </c>
      <c r="AX120" s="202">
        <f t="shared" ca="1" si="156"/>
        <v>0</v>
      </c>
      <c r="AY120" s="278">
        <v>102</v>
      </c>
      <c r="AZ120" s="258">
        <f t="shared" ca="1" si="162"/>
        <v>49288</v>
      </c>
      <c r="BA120" s="429">
        <f t="shared" si="157"/>
        <v>0</v>
      </c>
      <c r="BB120" s="259">
        <f t="shared" ca="1" si="119"/>
        <v>49258</v>
      </c>
      <c r="BC120" s="428">
        <f t="shared" ca="1" si="158"/>
        <v>0</v>
      </c>
      <c r="BD120" s="188">
        <f t="shared" si="179"/>
        <v>0</v>
      </c>
      <c r="BE120" s="188">
        <f t="shared" si="180"/>
        <v>0</v>
      </c>
      <c r="BF120" s="188">
        <f t="shared" si="181"/>
        <v>0</v>
      </c>
      <c r="BG120" s="87">
        <f t="shared" si="182"/>
        <v>0</v>
      </c>
      <c r="BH120" s="87">
        <f t="shared" si="183"/>
        <v>0</v>
      </c>
      <c r="BI120" s="87">
        <f t="shared" si="184"/>
        <v>0</v>
      </c>
      <c r="BJ120" s="87">
        <f t="shared" si="185"/>
        <v>0</v>
      </c>
      <c r="BK120" s="87">
        <f t="shared" si="186"/>
        <v>0</v>
      </c>
      <c r="BL120" s="87">
        <f t="shared" si="187"/>
        <v>0</v>
      </c>
      <c r="BM120" s="87">
        <f t="shared" si="188"/>
        <v>0</v>
      </c>
      <c r="BN120" s="87">
        <f t="shared" si="189"/>
        <v>0</v>
      </c>
      <c r="BO120" s="87">
        <f t="shared" si="190"/>
        <v>0</v>
      </c>
      <c r="BP120" s="87">
        <f t="shared" si="191"/>
        <v>0</v>
      </c>
      <c r="BQ120" s="87">
        <f t="shared" si="192"/>
        <v>0</v>
      </c>
      <c r="BR120" s="87">
        <f t="shared" si="193"/>
        <v>0</v>
      </c>
      <c r="BS120" s="87">
        <f t="shared" si="194"/>
        <v>0</v>
      </c>
      <c r="BT120" s="87">
        <f t="shared" si="195"/>
        <v>0</v>
      </c>
      <c r="BV120" s="177"/>
      <c r="BW120" s="177"/>
      <c r="BX120" s="267"/>
      <c r="BY120" s="267"/>
      <c r="BZ120" s="267"/>
      <c r="CA120" s="267"/>
      <c r="CB120" s="267"/>
      <c r="CC120" s="267"/>
      <c r="CD120" s="267"/>
      <c r="CE120" s="267"/>
      <c r="CF120" s="267"/>
      <c r="CG120" s="267"/>
      <c r="CH120" s="267"/>
      <c r="CI120" s="435"/>
      <c r="CJ120" s="436"/>
      <c r="CK120" s="437"/>
      <c r="CM120" s="64" t="s">
        <v>964</v>
      </c>
      <c r="CN120" s="707"/>
      <c r="CS120" s="138">
        <v>102</v>
      </c>
      <c r="CT120" s="259">
        <f t="shared" ca="1" si="137"/>
        <v>49288</v>
      </c>
      <c r="CU120" s="179">
        <f t="shared" ca="1" si="159"/>
        <v>0</v>
      </c>
      <c r="CV120" s="179">
        <f t="shared" ca="1" si="173"/>
        <v>0</v>
      </c>
      <c r="CW120" s="179">
        <f t="shared" ca="1" si="173"/>
        <v>0</v>
      </c>
      <c r="CX120" s="179">
        <f t="shared" ca="1" si="173"/>
        <v>0</v>
      </c>
      <c r="CY120" s="179">
        <f t="shared" ca="1" si="173"/>
        <v>0</v>
      </c>
      <c r="CZ120" s="179">
        <f t="shared" ca="1" si="173"/>
        <v>0</v>
      </c>
      <c r="DA120" s="179">
        <f t="shared" ca="1" si="173"/>
        <v>0</v>
      </c>
      <c r="DB120" s="179">
        <f t="shared" ca="1" si="173"/>
        <v>0</v>
      </c>
      <c r="DC120" s="179">
        <f t="shared" ca="1" si="173"/>
        <v>0</v>
      </c>
      <c r="DD120" s="179">
        <f t="shared" ca="1" si="173"/>
        <v>0</v>
      </c>
      <c r="DE120" s="179">
        <f t="shared" ca="1" si="173"/>
        <v>0</v>
      </c>
      <c r="DF120" s="179" t="e">
        <f t="shared" ca="1" si="173"/>
        <v>#VALUE!</v>
      </c>
      <c r="DG120" s="179" t="e">
        <f t="shared" ca="1" si="173"/>
        <v>#VALUE!</v>
      </c>
      <c r="DH120" s="179" t="e">
        <f t="shared" ca="1" si="173"/>
        <v>#VALUE!</v>
      </c>
      <c r="DI120" s="179" t="e">
        <f t="shared" ca="1" si="173"/>
        <v>#VALUE!</v>
      </c>
      <c r="DJ120" s="179" t="e">
        <f t="shared" ca="1" si="113"/>
        <v>#VALUE!</v>
      </c>
      <c r="DK120" s="179" t="e">
        <f t="shared" ca="1" si="113"/>
        <v>#VALUE!</v>
      </c>
      <c r="DL120" s="179" t="e">
        <f t="shared" ca="1" si="169"/>
        <v>#VALUE!</v>
      </c>
      <c r="DM120" s="179" t="e">
        <f t="shared" ca="1" si="169"/>
        <v>#VALUE!</v>
      </c>
      <c r="DN120" s="179" t="e">
        <f t="shared" ca="1" si="169"/>
        <v>#VALUE!</v>
      </c>
      <c r="DO120" s="179" t="e">
        <f t="shared" ca="1" si="169"/>
        <v>#VALUE!</v>
      </c>
      <c r="DP120" s="179" t="e">
        <f t="shared" ca="1" si="169"/>
        <v>#VALUE!</v>
      </c>
      <c r="DQ120" s="179" t="e">
        <f t="shared" ca="1" si="169"/>
        <v>#VALUE!</v>
      </c>
      <c r="DR120" s="278">
        <v>102</v>
      </c>
      <c r="DS120" s="430">
        <f t="shared" ca="1" si="164"/>
        <v>49258</v>
      </c>
      <c r="DT120" s="180">
        <f t="shared" ref="DT120:EB148" ca="1" si="197">IFERROR(VLOOKUP($DS120,$AZ$19:$BA$162,2,FALSE),0)-IFERROR(VLOOKUP($DS120,$AR$19:$AS$162,2,FALSE),0)</f>
        <v>0</v>
      </c>
      <c r="DU120" s="180">
        <f t="shared" ca="1" si="197"/>
        <v>0</v>
      </c>
      <c r="DV120" s="180">
        <f t="shared" ca="1" si="197"/>
        <v>0</v>
      </c>
      <c r="DW120" s="180">
        <f t="shared" ca="1" si="197"/>
        <v>0</v>
      </c>
      <c r="DX120" s="180">
        <f t="shared" ca="1" si="197"/>
        <v>0</v>
      </c>
      <c r="DY120" s="180">
        <f t="shared" ca="1" si="197"/>
        <v>0</v>
      </c>
      <c r="DZ120" s="180">
        <f t="shared" ca="1" si="197"/>
        <v>0</v>
      </c>
      <c r="EA120" s="180">
        <f t="shared" ca="1" si="197"/>
        <v>0</v>
      </c>
      <c r="EB120" s="180">
        <f t="shared" ca="1" si="197"/>
        <v>0</v>
      </c>
      <c r="EC120" s="180">
        <f t="shared" ca="1" si="196"/>
        <v>0</v>
      </c>
      <c r="ED120" s="180">
        <f t="shared" ca="1" si="196"/>
        <v>0</v>
      </c>
      <c r="EE120" s="180">
        <f t="shared" ca="1" si="196"/>
        <v>0</v>
      </c>
      <c r="EF120" s="180">
        <f t="shared" ca="1" si="174"/>
        <v>0</v>
      </c>
      <c r="EG120" s="180">
        <f t="shared" ca="1" si="174"/>
        <v>0</v>
      </c>
      <c r="EH120" s="180">
        <f t="shared" ca="1" si="174"/>
        <v>0</v>
      </c>
      <c r="EI120" s="180">
        <f t="shared" ca="1" si="175"/>
        <v>0</v>
      </c>
      <c r="EJ120" s="180">
        <f t="shared" ca="1" si="175"/>
        <v>0</v>
      </c>
      <c r="EK120" s="180">
        <f t="shared" ca="1" si="175"/>
        <v>0</v>
      </c>
      <c r="EL120" s="180">
        <f t="shared" ca="1" si="175"/>
        <v>0</v>
      </c>
      <c r="EM120" s="180">
        <f t="shared" ca="1" si="175"/>
        <v>0</v>
      </c>
      <c r="EN120" s="180">
        <f t="shared" ca="1" si="175"/>
        <v>0</v>
      </c>
      <c r="EO120" s="180">
        <f t="shared" ca="1" si="175"/>
        <v>0</v>
      </c>
      <c r="EP120" s="180">
        <f t="shared" ca="1" si="175"/>
        <v>0</v>
      </c>
      <c r="EQ120" s="180"/>
      <c r="ER120" s="180"/>
    </row>
    <row r="121" spans="2:148" s="87" customFormat="1" hidden="1" x14ac:dyDescent="0.25">
      <c r="B121" s="151"/>
      <c r="C121" s="87">
        <v>60</v>
      </c>
      <c r="D121" s="258">
        <f t="shared" ca="1" si="170"/>
        <v>47978</v>
      </c>
      <c r="E121" s="175">
        <f t="shared" ca="1" si="176"/>
        <v>0.3296796309683877</v>
      </c>
      <c r="F121" s="175">
        <f t="shared" ca="1" si="176"/>
        <v>0.3296796309683877</v>
      </c>
      <c r="G121" s="175">
        <f t="shared" ca="1" si="176"/>
        <v>0.3296796309683877</v>
      </c>
      <c r="H121" s="175">
        <f t="shared" ca="1" si="176"/>
        <v>0.3296796309683877</v>
      </c>
      <c r="I121" s="175">
        <f t="shared" si="176"/>
        <v>0</v>
      </c>
      <c r="J121" s="175">
        <f t="shared" si="176"/>
        <v>0</v>
      </c>
      <c r="K121" s="175">
        <f t="shared" si="176"/>
        <v>0</v>
      </c>
      <c r="L121" s="175">
        <f t="shared" si="176"/>
        <v>0</v>
      </c>
      <c r="M121" s="175">
        <f t="shared" si="176"/>
        <v>0</v>
      </c>
      <c r="N121" s="175">
        <f t="shared" si="176"/>
        <v>0</v>
      </c>
      <c r="O121" s="175">
        <f t="shared" si="177"/>
        <v>0</v>
      </c>
      <c r="P121" s="175">
        <f t="shared" si="177"/>
        <v>0</v>
      </c>
      <c r="Q121" s="175">
        <f t="shared" si="177"/>
        <v>0</v>
      </c>
      <c r="R121" s="175">
        <f t="shared" si="177"/>
        <v>0</v>
      </c>
      <c r="S121" s="175">
        <f t="shared" si="177"/>
        <v>0</v>
      </c>
      <c r="T121" s="175">
        <f t="shared" si="177"/>
        <v>0</v>
      </c>
      <c r="U121" s="175">
        <f t="shared" si="177"/>
        <v>0</v>
      </c>
      <c r="V121" s="175"/>
      <c r="W121" s="140"/>
      <c r="X121" s="87">
        <v>103</v>
      </c>
      <c r="Y121" s="87">
        <f t="shared" si="138"/>
        <v>0</v>
      </c>
      <c r="Z121" s="87">
        <f t="shared" si="139"/>
        <v>0</v>
      </c>
      <c r="AA121" s="87">
        <f t="shared" si="140"/>
        <v>0</v>
      </c>
      <c r="AB121" s="87">
        <f t="shared" si="141"/>
        <v>0</v>
      </c>
      <c r="AC121" s="87">
        <f t="shared" si="142"/>
        <v>0</v>
      </c>
      <c r="AD121" s="87">
        <f t="shared" si="143"/>
        <v>0</v>
      </c>
      <c r="AE121" s="87">
        <f t="shared" si="144"/>
        <v>0</v>
      </c>
      <c r="AF121" s="87">
        <f t="shared" si="145"/>
        <v>0</v>
      </c>
      <c r="AG121" s="87">
        <f t="shared" si="146"/>
        <v>0</v>
      </c>
      <c r="AH121" s="87">
        <f t="shared" si="147"/>
        <v>0</v>
      </c>
      <c r="AI121" s="87">
        <f t="shared" si="148"/>
        <v>0</v>
      </c>
      <c r="AJ121" s="87">
        <f t="shared" si="149"/>
        <v>0</v>
      </c>
      <c r="AK121" s="87">
        <f t="shared" si="150"/>
        <v>0</v>
      </c>
      <c r="AL121" s="87">
        <f t="shared" si="151"/>
        <v>0</v>
      </c>
      <c r="AM121" s="87">
        <f t="shared" si="152"/>
        <v>0</v>
      </c>
      <c r="AN121" s="87">
        <f t="shared" si="153"/>
        <v>0</v>
      </c>
      <c r="AO121" s="87">
        <f t="shared" si="154"/>
        <v>0</v>
      </c>
      <c r="AP121" s="140"/>
      <c r="AQ121" s="426">
        <v>103</v>
      </c>
      <c r="AR121" s="258">
        <f t="shared" ca="1" si="160"/>
        <v>49288</v>
      </c>
      <c r="AS121" s="429">
        <f t="shared" si="178"/>
        <v>0</v>
      </c>
      <c r="AT121" s="140"/>
      <c r="AU121" s="278">
        <v>103</v>
      </c>
      <c r="AV121" s="258">
        <f t="shared" ca="1" si="161"/>
        <v>49319</v>
      </c>
      <c r="AW121" s="429">
        <f t="shared" si="155"/>
        <v>0</v>
      </c>
      <c r="AX121" s="202">
        <f t="shared" ca="1" si="156"/>
        <v>0</v>
      </c>
      <c r="AY121" s="278">
        <v>103</v>
      </c>
      <c r="AZ121" s="258">
        <f t="shared" ca="1" si="162"/>
        <v>49319</v>
      </c>
      <c r="BA121" s="429">
        <f t="shared" si="157"/>
        <v>0</v>
      </c>
      <c r="BB121" s="259">
        <f t="shared" ca="1" si="119"/>
        <v>49288</v>
      </c>
      <c r="BC121" s="428">
        <f t="shared" ca="1" si="158"/>
        <v>0</v>
      </c>
      <c r="BD121" s="188">
        <f t="shared" si="179"/>
        <v>0</v>
      </c>
      <c r="BE121" s="188">
        <f t="shared" si="180"/>
        <v>0</v>
      </c>
      <c r="BF121" s="188">
        <f t="shared" si="181"/>
        <v>0</v>
      </c>
      <c r="BG121" s="87">
        <f t="shared" si="182"/>
        <v>0</v>
      </c>
      <c r="BH121" s="87">
        <f t="shared" si="183"/>
        <v>0</v>
      </c>
      <c r="BI121" s="87">
        <f t="shared" si="184"/>
        <v>0</v>
      </c>
      <c r="BJ121" s="87">
        <f t="shared" si="185"/>
        <v>0</v>
      </c>
      <c r="BK121" s="87">
        <f t="shared" si="186"/>
        <v>0</v>
      </c>
      <c r="BL121" s="87">
        <f t="shared" si="187"/>
        <v>0</v>
      </c>
      <c r="BM121" s="87">
        <f t="shared" si="188"/>
        <v>0</v>
      </c>
      <c r="BN121" s="87">
        <f t="shared" si="189"/>
        <v>0</v>
      </c>
      <c r="BO121" s="87">
        <f t="shared" si="190"/>
        <v>0</v>
      </c>
      <c r="BP121" s="87">
        <f t="shared" si="191"/>
        <v>0</v>
      </c>
      <c r="BQ121" s="87">
        <f t="shared" si="192"/>
        <v>0</v>
      </c>
      <c r="BR121" s="87">
        <f t="shared" si="193"/>
        <v>0</v>
      </c>
      <c r="BS121" s="87">
        <f t="shared" si="194"/>
        <v>0</v>
      </c>
      <c r="BT121" s="87">
        <f t="shared" si="195"/>
        <v>0</v>
      </c>
      <c r="BV121" s="177"/>
      <c r="BW121" s="177"/>
      <c r="BX121" s="267"/>
      <c r="BY121" s="267"/>
      <c r="BZ121" s="267"/>
      <c r="CA121" s="267"/>
      <c r="CB121" s="267"/>
      <c r="CC121" s="267"/>
      <c r="CD121" s="267"/>
      <c r="CE121" s="267"/>
      <c r="CF121" s="267"/>
      <c r="CG121" s="267"/>
      <c r="CH121" s="267"/>
      <c r="CI121" s="435"/>
      <c r="CJ121" s="436"/>
      <c r="CK121" s="437"/>
      <c r="CM121" s="64" t="s">
        <v>548</v>
      </c>
      <c r="CN121" s="707">
        <v>43</v>
      </c>
      <c r="CS121" s="87">
        <v>103</v>
      </c>
      <c r="CT121" s="259">
        <f t="shared" ca="1" si="137"/>
        <v>49319</v>
      </c>
      <c r="CU121" s="179">
        <f t="shared" ca="1" si="159"/>
        <v>0</v>
      </c>
      <c r="CV121" s="179">
        <f t="shared" ref="CV121:DK136" ca="1" si="198">(($AW121/(1+CV$18)^(($AZ121-$AZ$18)/30)))+($AS121/(1+CV$18)^(($AZ121-$AZ$18)/30))</f>
        <v>0</v>
      </c>
      <c r="CW121" s="179">
        <f t="shared" ca="1" si="198"/>
        <v>0</v>
      </c>
      <c r="CX121" s="179">
        <f t="shared" ca="1" si="198"/>
        <v>0</v>
      </c>
      <c r="CY121" s="179">
        <f t="shared" ca="1" si="198"/>
        <v>0</v>
      </c>
      <c r="CZ121" s="179">
        <f t="shared" ca="1" si="198"/>
        <v>0</v>
      </c>
      <c r="DA121" s="179">
        <f t="shared" ca="1" si="198"/>
        <v>0</v>
      </c>
      <c r="DB121" s="179">
        <f t="shared" ca="1" si="198"/>
        <v>0</v>
      </c>
      <c r="DC121" s="179">
        <f t="shared" ca="1" si="198"/>
        <v>0</v>
      </c>
      <c r="DD121" s="179">
        <f t="shared" ca="1" si="198"/>
        <v>0</v>
      </c>
      <c r="DE121" s="179">
        <f t="shared" ca="1" si="198"/>
        <v>0</v>
      </c>
      <c r="DF121" s="179" t="e">
        <f t="shared" ca="1" si="198"/>
        <v>#VALUE!</v>
      </c>
      <c r="DG121" s="179" t="e">
        <f t="shared" ca="1" si="198"/>
        <v>#VALUE!</v>
      </c>
      <c r="DH121" s="179" t="e">
        <f t="shared" ca="1" si="198"/>
        <v>#VALUE!</v>
      </c>
      <c r="DI121" s="179" t="e">
        <f t="shared" ca="1" si="198"/>
        <v>#VALUE!</v>
      </c>
      <c r="DJ121" s="179" t="e">
        <f t="shared" ca="1" si="113"/>
        <v>#VALUE!</v>
      </c>
      <c r="DK121" s="179" t="e">
        <f t="shared" ca="1" si="113"/>
        <v>#VALUE!</v>
      </c>
      <c r="DL121" s="179" t="e">
        <f t="shared" ca="1" si="169"/>
        <v>#VALUE!</v>
      </c>
      <c r="DM121" s="179" t="e">
        <f t="shared" ca="1" si="169"/>
        <v>#VALUE!</v>
      </c>
      <c r="DN121" s="179" t="e">
        <f t="shared" ca="1" si="169"/>
        <v>#VALUE!</v>
      </c>
      <c r="DO121" s="179" t="e">
        <f t="shared" ca="1" si="169"/>
        <v>#VALUE!</v>
      </c>
      <c r="DP121" s="179" t="e">
        <f t="shared" ca="1" si="169"/>
        <v>#VALUE!</v>
      </c>
      <c r="DQ121" s="179" t="e">
        <f t="shared" ca="1" si="169"/>
        <v>#VALUE!</v>
      </c>
      <c r="DR121" s="188">
        <v>103</v>
      </c>
      <c r="DS121" s="430">
        <f t="shared" ca="1" si="164"/>
        <v>49288</v>
      </c>
      <c r="DT121" s="180">
        <f t="shared" ca="1" si="197"/>
        <v>0</v>
      </c>
      <c r="DU121" s="180">
        <f t="shared" ca="1" si="197"/>
        <v>0</v>
      </c>
      <c r="DV121" s="180">
        <f t="shared" ca="1" si="197"/>
        <v>0</v>
      </c>
      <c r="DW121" s="180">
        <f t="shared" ca="1" si="197"/>
        <v>0</v>
      </c>
      <c r="DX121" s="180">
        <f t="shared" ca="1" si="197"/>
        <v>0</v>
      </c>
      <c r="DY121" s="180">
        <f t="shared" ca="1" si="197"/>
        <v>0</v>
      </c>
      <c r="DZ121" s="180">
        <f t="shared" ca="1" si="197"/>
        <v>0</v>
      </c>
      <c r="EA121" s="180">
        <f t="shared" ca="1" si="197"/>
        <v>0</v>
      </c>
      <c r="EB121" s="180">
        <f t="shared" ca="1" si="197"/>
        <v>0</v>
      </c>
      <c r="EC121" s="180">
        <f t="shared" ca="1" si="196"/>
        <v>0</v>
      </c>
      <c r="ED121" s="180">
        <f t="shared" ca="1" si="196"/>
        <v>0</v>
      </c>
      <c r="EE121" s="180">
        <f t="shared" ca="1" si="196"/>
        <v>0</v>
      </c>
      <c r="EF121" s="180">
        <f t="shared" ca="1" si="174"/>
        <v>0</v>
      </c>
      <c r="EG121" s="180">
        <f t="shared" ca="1" si="174"/>
        <v>0</v>
      </c>
      <c r="EH121" s="180">
        <f t="shared" ca="1" si="174"/>
        <v>0</v>
      </c>
      <c r="EI121" s="180">
        <f t="shared" ca="1" si="175"/>
        <v>0</v>
      </c>
      <c r="EJ121" s="180">
        <f t="shared" ca="1" si="175"/>
        <v>0</v>
      </c>
      <c r="EK121" s="180">
        <f t="shared" ca="1" si="175"/>
        <v>0</v>
      </c>
      <c r="EL121" s="180">
        <f t="shared" ca="1" si="175"/>
        <v>0</v>
      </c>
      <c r="EM121" s="180">
        <f t="shared" ca="1" si="175"/>
        <v>0</v>
      </c>
      <c r="EN121" s="180">
        <f t="shared" ca="1" si="175"/>
        <v>0</v>
      </c>
      <c r="EO121" s="180">
        <f t="shared" ca="1" si="175"/>
        <v>0</v>
      </c>
      <c r="EP121" s="180">
        <f t="shared" ca="1" si="175"/>
        <v>0</v>
      </c>
      <c r="EQ121" s="180"/>
      <c r="ER121" s="180"/>
    </row>
    <row r="122" spans="2:148" s="87" customFormat="1" hidden="1" x14ac:dyDescent="0.25">
      <c r="B122" s="151"/>
      <c r="C122" s="87">
        <v>61</v>
      </c>
      <c r="D122" s="258">
        <f t="shared" ca="1" si="170"/>
        <v>48009</v>
      </c>
      <c r="E122" s="175">
        <f t="shared" ref="E122:N131" ca="1" si="199">IF($C122&lt;=E$17,1/(($D$60+1)^(($D122-$D$61)/30)),0)</f>
        <v>0.32349361583957359</v>
      </c>
      <c r="F122" s="175">
        <f t="shared" ca="1" si="199"/>
        <v>0.32349361583957359</v>
      </c>
      <c r="G122" s="175">
        <f t="shared" ca="1" si="199"/>
        <v>0.32349361583957359</v>
      </c>
      <c r="H122" s="175">
        <f t="shared" ca="1" si="199"/>
        <v>0.32349361583957359</v>
      </c>
      <c r="I122" s="175">
        <f t="shared" si="199"/>
        <v>0</v>
      </c>
      <c r="J122" s="175">
        <f t="shared" si="199"/>
        <v>0</v>
      </c>
      <c r="K122" s="175">
        <f t="shared" si="199"/>
        <v>0</v>
      </c>
      <c r="L122" s="175">
        <f t="shared" si="199"/>
        <v>0</v>
      </c>
      <c r="M122" s="175">
        <f t="shared" si="199"/>
        <v>0</v>
      </c>
      <c r="N122" s="175">
        <f t="shared" si="199"/>
        <v>0</v>
      </c>
      <c r="O122" s="175">
        <f t="shared" ref="O122:U131" si="200">IF($C122&lt;=O$17,1/(($D$60+1)^(($D122-$D$61)/30)),0)</f>
        <v>0</v>
      </c>
      <c r="P122" s="175">
        <f t="shared" si="200"/>
        <v>0</v>
      </c>
      <c r="Q122" s="175">
        <f t="shared" si="200"/>
        <v>0</v>
      </c>
      <c r="R122" s="175">
        <f t="shared" si="200"/>
        <v>0</v>
      </c>
      <c r="S122" s="175">
        <f t="shared" si="200"/>
        <v>0</v>
      </c>
      <c r="T122" s="175">
        <f t="shared" si="200"/>
        <v>0</v>
      </c>
      <c r="U122" s="175">
        <f t="shared" si="200"/>
        <v>0</v>
      </c>
      <c r="V122" s="175"/>
      <c r="W122" s="140"/>
      <c r="X122" s="87">
        <v>104</v>
      </c>
      <c r="Y122" s="87">
        <f t="shared" si="138"/>
        <v>0</v>
      </c>
      <c r="Z122" s="87">
        <f t="shared" si="139"/>
        <v>0</v>
      </c>
      <c r="AA122" s="87">
        <f t="shared" si="140"/>
        <v>0</v>
      </c>
      <c r="AB122" s="87">
        <f t="shared" si="141"/>
        <v>0</v>
      </c>
      <c r="AC122" s="87">
        <f t="shared" si="142"/>
        <v>0</v>
      </c>
      <c r="AD122" s="87">
        <f t="shared" si="143"/>
        <v>0</v>
      </c>
      <c r="AE122" s="87">
        <f t="shared" si="144"/>
        <v>0</v>
      </c>
      <c r="AF122" s="87">
        <f t="shared" si="145"/>
        <v>0</v>
      </c>
      <c r="AG122" s="87">
        <f t="shared" si="146"/>
        <v>0</v>
      </c>
      <c r="AH122" s="87">
        <f t="shared" si="147"/>
        <v>0</v>
      </c>
      <c r="AI122" s="87">
        <f t="shared" si="148"/>
        <v>0</v>
      </c>
      <c r="AJ122" s="87">
        <f t="shared" si="149"/>
        <v>0</v>
      </c>
      <c r="AK122" s="87">
        <f t="shared" si="150"/>
        <v>0</v>
      </c>
      <c r="AL122" s="87">
        <f t="shared" si="151"/>
        <v>0</v>
      </c>
      <c r="AM122" s="87">
        <f t="shared" si="152"/>
        <v>0</v>
      </c>
      <c r="AN122" s="87">
        <f t="shared" si="153"/>
        <v>0</v>
      </c>
      <c r="AO122" s="87">
        <f t="shared" si="154"/>
        <v>0</v>
      </c>
      <c r="AP122" s="140"/>
      <c r="AQ122" s="426">
        <v>104</v>
      </c>
      <c r="AR122" s="258">
        <f t="shared" ca="1" si="160"/>
        <v>49319</v>
      </c>
      <c r="AS122" s="429">
        <f t="shared" si="178"/>
        <v>0</v>
      </c>
      <c r="AT122" s="140"/>
      <c r="AU122" s="278">
        <v>104</v>
      </c>
      <c r="AV122" s="258">
        <f t="shared" ca="1" si="161"/>
        <v>49350</v>
      </c>
      <c r="AW122" s="429">
        <f t="shared" si="155"/>
        <v>0</v>
      </c>
      <c r="AX122" s="202">
        <f t="shared" ca="1" si="156"/>
        <v>0</v>
      </c>
      <c r="AY122" s="278">
        <v>104</v>
      </c>
      <c r="AZ122" s="258">
        <f t="shared" ca="1" si="162"/>
        <v>49350</v>
      </c>
      <c r="BA122" s="429">
        <f t="shared" si="157"/>
        <v>0</v>
      </c>
      <c r="BB122" s="259">
        <f t="shared" ca="1" si="119"/>
        <v>49319</v>
      </c>
      <c r="BC122" s="428">
        <f t="shared" ca="1" si="158"/>
        <v>0</v>
      </c>
      <c r="BD122" s="188">
        <f t="shared" si="179"/>
        <v>0</v>
      </c>
      <c r="BE122" s="188">
        <f t="shared" si="180"/>
        <v>0</v>
      </c>
      <c r="BF122" s="188">
        <f t="shared" si="181"/>
        <v>0</v>
      </c>
      <c r="BG122" s="87">
        <f t="shared" si="182"/>
        <v>0</v>
      </c>
      <c r="BH122" s="87">
        <f t="shared" si="183"/>
        <v>0</v>
      </c>
      <c r="BI122" s="87">
        <f t="shared" si="184"/>
        <v>0</v>
      </c>
      <c r="BJ122" s="87">
        <f t="shared" si="185"/>
        <v>0</v>
      </c>
      <c r="BK122" s="87">
        <f t="shared" si="186"/>
        <v>0</v>
      </c>
      <c r="BL122" s="87">
        <f t="shared" si="187"/>
        <v>0</v>
      </c>
      <c r="BM122" s="87">
        <f t="shared" si="188"/>
        <v>0</v>
      </c>
      <c r="BN122" s="87">
        <f t="shared" si="189"/>
        <v>0</v>
      </c>
      <c r="BO122" s="87">
        <f t="shared" si="190"/>
        <v>0</v>
      </c>
      <c r="BP122" s="87">
        <f t="shared" si="191"/>
        <v>0</v>
      </c>
      <c r="BQ122" s="87">
        <f t="shared" si="192"/>
        <v>0</v>
      </c>
      <c r="BR122" s="87">
        <f t="shared" si="193"/>
        <v>0</v>
      </c>
      <c r="BS122" s="87">
        <f t="shared" si="194"/>
        <v>0</v>
      </c>
      <c r="BT122" s="87">
        <f t="shared" si="195"/>
        <v>0</v>
      </c>
      <c r="BV122" s="177"/>
      <c r="BW122" s="177"/>
      <c r="BX122" s="267"/>
      <c r="BY122" s="267"/>
      <c r="BZ122" s="267"/>
      <c r="CA122" s="267"/>
      <c r="CB122" s="267"/>
      <c r="CC122" s="267"/>
      <c r="CD122" s="267"/>
      <c r="CE122" s="267"/>
      <c r="CF122" s="267"/>
      <c r="CG122" s="267"/>
      <c r="CH122" s="267"/>
      <c r="CI122" s="435"/>
      <c r="CJ122" s="436"/>
      <c r="CK122" s="437"/>
      <c r="CM122" s="64" t="s">
        <v>3036</v>
      </c>
      <c r="CN122" s="707">
        <v>43.666666666666664</v>
      </c>
      <c r="CS122" s="178">
        <v>104</v>
      </c>
      <c r="CT122" s="259">
        <f t="shared" ca="1" si="137"/>
        <v>49350</v>
      </c>
      <c r="CU122" s="179">
        <f t="shared" ca="1" si="159"/>
        <v>0</v>
      </c>
      <c r="CV122" s="179">
        <f t="shared" ca="1" si="198"/>
        <v>0</v>
      </c>
      <c r="CW122" s="179">
        <f t="shared" ca="1" si="198"/>
        <v>0</v>
      </c>
      <c r="CX122" s="179">
        <f t="shared" ca="1" si="198"/>
        <v>0</v>
      </c>
      <c r="CY122" s="179">
        <f t="shared" ca="1" si="198"/>
        <v>0</v>
      </c>
      <c r="CZ122" s="179">
        <f t="shared" ca="1" si="198"/>
        <v>0</v>
      </c>
      <c r="DA122" s="179">
        <f t="shared" ca="1" si="198"/>
        <v>0</v>
      </c>
      <c r="DB122" s="179">
        <f t="shared" ca="1" si="198"/>
        <v>0</v>
      </c>
      <c r="DC122" s="179">
        <f t="shared" ca="1" si="198"/>
        <v>0</v>
      </c>
      <c r="DD122" s="179">
        <f t="shared" ca="1" si="198"/>
        <v>0</v>
      </c>
      <c r="DE122" s="179">
        <f t="shared" ca="1" si="198"/>
        <v>0</v>
      </c>
      <c r="DF122" s="179" t="e">
        <f t="shared" ca="1" si="198"/>
        <v>#VALUE!</v>
      </c>
      <c r="DG122" s="179" t="e">
        <f t="shared" ca="1" si="198"/>
        <v>#VALUE!</v>
      </c>
      <c r="DH122" s="179" t="e">
        <f t="shared" ca="1" si="198"/>
        <v>#VALUE!</v>
      </c>
      <c r="DI122" s="179" t="e">
        <f t="shared" ca="1" si="198"/>
        <v>#VALUE!</v>
      </c>
      <c r="DJ122" s="179" t="e">
        <f t="shared" ca="1" si="113"/>
        <v>#VALUE!</v>
      </c>
      <c r="DK122" s="179" t="e">
        <f t="shared" ca="1" si="113"/>
        <v>#VALUE!</v>
      </c>
      <c r="DL122" s="179" t="e">
        <f t="shared" ca="1" si="169"/>
        <v>#VALUE!</v>
      </c>
      <c r="DM122" s="179" t="e">
        <f t="shared" ca="1" si="169"/>
        <v>#VALUE!</v>
      </c>
      <c r="DN122" s="179" t="e">
        <f t="shared" ca="1" si="169"/>
        <v>#VALUE!</v>
      </c>
      <c r="DO122" s="179" t="e">
        <f t="shared" ca="1" si="169"/>
        <v>#VALUE!</v>
      </c>
      <c r="DP122" s="179" t="e">
        <f t="shared" ca="1" si="169"/>
        <v>#VALUE!</v>
      </c>
      <c r="DQ122" s="179" t="e">
        <f t="shared" ca="1" si="169"/>
        <v>#VALUE!</v>
      </c>
      <c r="DR122" s="431">
        <v>104</v>
      </c>
      <c r="DS122" s="430">
        <f t="shared" ca="1" si="164"/>
        <v>49319</v>
      </c>
      <c r="DT122" s="180">
        <f t="shared" ca="1" si="197"/>
        <v>0</v>
      </c>
      <c r="DU122" s="180">
        <f t="shared" ca="1" si="197"/>
        <v>0</v>
      </c>
      <c r="DV122" s="180">
        <f t="shared" ca="1" si="197"/>
        <v>0</v>
      </c>
      <c r="DW122" s="180">
        <f t="shared" ca="1" si="197"/>
        <v>0</v>
      </c>
      <c r="DX122" s="180">
        <f t="shared" ca="1" si="197"/>
        <v>0</v>
      </c>
      <c r="DY122" s="180">
        <f t="shared" ca="1" si="197"/>
        <v>0</v>
      </c>
      <c r="DZ122" s="180">
        <f t="shared" ca="1" si="197"/>
        <v>0</v>
      </c>
      <c r="EA122" s="180">
        <f t="shared" ca="1" si="197"/>
        <v>0</v>
      </c>
      <c r="EB122" s="180">
        <f t="shared" ca="1" si="197"/>
        <v>0</v>
      </c>
      <c r="EC122" s="180">
        <f t="shared" ca="1" si="196"/>
        <v>0</v>
      </c>
      <c r="ED122" s="180">
        <f t="shared" ca="1" si="196"/>
        <v>0</v>
      </c>
      <c r="EE122" s="180">
        <f t="shared" ca="1" si="196"/>
        <v>0</v>
      </c>
      <c r="EF122" s="180">
        <f t="shared" ca="1" si="174"/>
        <v>0</v>
      </c>
      <c r="EG122" s="180">
        <f t="shared" ca="1" si="174"/>
        <v>0</v>
      </c>
      <c r="EH122" s="180">
        <f t="shared" ca="1" si="174"/>
        <v>0</v>
      </c>
      <c r="EI122" s="180">
        <f t="shared" ca="1" si="175"/>
        <v>0</v>
      </c>
      <c r="EJ122" s="180">
        <f t="shared" ca="1" si="175"/>
        <v>0</v>
      </c>
      <c r="EK122" s="180">
        <f t="shared" ca="1" si="175"/>
        <v>0</v>
      </c>
      <c r="EL122" s="180">
        <f t="shared" ca="1" si="175"/>
        <v>0</v>
      </c>
      <c r="EM122" s="180">
        <f t="shared" ca="1" si="175"/>
        <v>0</v>
      </c>
      <c r="EN122" s="180">
        <f t="shared" ca="1" si="175"/>
        <v>0</v>
      </c>
      <c r="EO122" s="180">
        <f t="shared" ca="1" si="175"/>
        <v>0</v>
      </c>
      <c r="EP122" s="180">
        <f t="shared" ca="1" si="175"/>
        <v>0</v>
      </c>
      <c r="EQ122" s="180"/>
      <c r="ER122" s="180"/>
    </row>
    <row r="123" spans="2:148" s="87" customFormat="1" hidden="1" x14ac:dyDescent="0.25">
      <c r="B123" s="151"/>
      <c r="C123" s="87">
        <v>62</v>
      </c>
      <c r="D123" s="258">
        <f t="shared" ca="1" si="170"/>
        <v>48039</v>
      </c>
      <c r="E123" s="175">
        <f t="shared" ca="1" si="199"/>
        <v>0.31761768860046496</v>
      </c>
      <c r="F123" s="175">
        <f t="shared" ca="1" si="199"/>
        <v>0.31761768860046496</v>
      </c>
      <c r="G123" s="175">
        <f t="shared" ca="1" si="199"/>
        <v>0.31761768860046496</v>
      </c>
      <c r="H123" s="175">
        <f t="shared" ca="1" si="199"/>
        <v>0.31761768860046496</v>
      </c>
      <c r="I123" s="175">
        <f t="shared" si="199"/>
        <v>0</v>
      </c>
      <c r="J123" s="175">
        <f t="shared" si="199"/>
        <v>0</v>
      </c>
      <c r="K123" s="175">
        <f t="shared" si="199"/>
        <v>0</v>
      </c>
      <c r="L123" s="175">
        <f t="shared" si="199"/>
        <v>0</v>
      </c>
      <c r="M123" s="175">
        <f t="shared" si="199"/>
        <v>0</v>
      </c>
      <c r="N123" s="175">
        <f t="shared" si="199"/>
        <v>0</v>
      </c>
      <c r="O123" s="175">
        <f t="shared" si="200"/>
        <v>0</v>
      </c>
      <c r="P123" s="175">
        <f t="shared" si="200"/>
        <v>0</v>
      </c>
      <c r="Q123" s="175">
        <f t="shared" si="200"/>
        <v>0</v>
      </c>
      <c r="R123" s="175">
        <f t="shared" si="200"/>
        <v>0</v>
      </c>
      <c r="S123" s="175">
        <f t="shared" si="200"/>
        <v>0</v>
      </c>
      <c r="T123" s="175">
        <f t="shared" si="200"/>
        <v>0</v>
      </c>
      <c r="U123" s="175">
        <f t="shared" si="200"/>
        <v>0</v>
      </c>
      <c r="V123" s="175"/>
      <c r="W123" s="140"/>
      <c r="X123" s="87">
        <v>105</v>
      </c>
      <c r="Y123" s="87">
        <f t="shared" si="138"/>
        <v>0</v>
      </c>
      <c r="Z123" s="87">
        <f t="shared" si="139"/>
        <v>0</v>
      </c>
      <c r="AA123" s="87">
        <f t="shared" si="140"/>
        <v>0</v>
      </c>
      <c r="AB123" s="87">
        <f t="shared" si="141"/>
        <v>0</v>
      </c>
      <c r="AC123" s="87">
        <f t="shared" si="142"/>
        <v>0</v>
      </c>
      <c r="AD123" s="87">
        <f t="shared" si="143"/>
        <v>0</v>
      </c>
      <c r="AE123" s="87">
        <f t="shared" si="144"/>
        <v>0</v>
      </c>
      <c r="AF123" s="87">
        <f t="shared" si="145"/>
        <v>0</v>
      </c>
      <c r="AG123" s="87">
        <f t="shared" si="146"/>
        <v>0</v>
      </c>
      <c r="AH123" s="87">
        <f t="shared" si="147"/>
        <v>0</v>
      </c>
      <c r="AI123" s="87">
        <f t="shared" si="148"/>
        <v>0</v>
      </c>
      <c r="AJ123" s="87">
        <f t="shared" si="149"/>
        <v>0</v>
      </c>
      <c r="AK123" s="87">
        <f t="shared" si="150"/>
        <v>0</v>
      </c>
      <c r="AL123" s="87">
        <f t="shared" si="151"/>
        <v>0</v>
      </c>
      <c r="AM123" s="87">
        <f t="shared" si="152"/>
        <v>0</v>
      </c>
      <c r="AN123" s="87">
        <f t="shared" si="153"/>
        <v>0</v>
      </c>
      <c r="AO123" s="87">
        <f t="shared" si="154"/>
        <v>0</v>
      </c>
      <c r="AP123" s="140"/>
      <c r="AQ123" s="426">
        <v>105</v>
      </c>
      <c r="AR123" s="258">
        <f t="shared" ca="1" si="160"/>
        <v>49350</v>
      </c>
      <c r="AS123" s="429">
        <f t="shared" si="178"/>
        <v>0</v>
      </c>
      <c r="AT123" s="140"/>
      <c r="AU123" s="278">
        <v>105</v>
      </c>
      <c r="AV123" s="258">
        <f t="shared" ca="1" si="161"/>
        <v>49378</v>
      </c>
      <c r="AW123" s="429">
        <f t="shared" si="155"/>
        <v>0</v>
      </c>
      <c r="AX123" s="202">
        <f t="shared" ca="1" si="156"/>
        <v>0</v>
      </c>
      <c r="AY123" s="278">
        <v>105</v>
      </c>
      <c r="AZ123" s="258">
        <f t="shared" ca="1" si="162"/>
        <v>49378</v>
      </c>
      <c r="BA123" s="429">
        <f t="shared" si="157"/>
        <v>0</v>
      </c>
      <c r="BB123" s="259">
        <f t="shared" ca="1" si="119"/>
        <v>49350</v>
      </c>
      <c r="BC123" s="428">
        <f t="shared" ca="1" si="158"/>
        <v>0</v>
      </c>
      <c r="BD123" s="188">
        <f t="shared" si="179"/>
        <v>0</v>
      </c>
      <c r="BE123" s="188">
        <f t="shared" si="180"/>
        <v>0</v>
      </c>
      <c r="BF123" s="188">
        <f t="shared" si="181"/>
        <v>0</v>
      </c>
      <c r="BG123" s="87">
        <f t="shared" si="182"/>
        <v>0</v>
      </c>
      <c r="BH123" s="87">
        <f t="shared" si="183"/>
        <v>0</v>
      </c>
      <c r="BI123" s="87">
        <f t="shared" si="184"/>
        <v>0</v>
      </c>
      <c r="BJ123" s="87">
        <f t="shared" si="185"/>
        <v>0</v>
      </c>
      <c r="BK123" s="87">
        <f t="shared" si="186"/>
        <v>0</v>
      </c>
      <c r="BL123" s="87">
        <f t="shared" si="187"/>
        <v>0</v>
      </c>
      <c r="BM123" s="87">
        <f t="shared" si="188"/>
        <v>0</v>
      </c>
      <c r="BN123" s="87">
        <f t="shared" si="189"/>
        <v>0</v>
      </c>
      <c r="BO123" s="87">
        <f t="shared" si="190"/>
        <v>0</v>
      </c>
      <c r="BP123" s="87">
        <f t="shared" si="191"/>
        <v>0</v>
      </c>
      <c r="BQ123" s="87">
        <f t="shared" si="192"/>
        <v>0</v>
      </c>
      <c r="BR123" s="87">
        <f t="shared" si="193"/>
        <v>0</v>
      </c>
      <c r="BS123" s="87">
        <f t="shared" si="194"/>
        <v>0</v>
      </c>
      <c r="BT123" s="87">
        <f t="shared" si="195"/>
        <v>0</v>
      </c>
      <c r="BV123" s="177"/>
      <c r="BW123" s="177"/>
      <c r="BX123" s="267"/>
      <c r="BY123" s="267"/>
      <c r="BZ123" s="267"/>
      <c r="CA123" s="267"/>
      <c r="CB123" s="267"/>
      <c r="CC123" s="267"/>
      <c r="CD123" s="267"/>
      <c r="CE123" s="267"/>
      <c r="CF123" s="267"/>
      <c r="CG123" s="267"/>
      <c r="CH123" s="267"/>
      <c r="CI123" s="435"/>
      <c r="CJ123" s="436"/>
      <c r="CK123" s="437"/>
      <c r="CM123" s="64" t="s">
        <v>3037</v>
      </c>
      <c r="CN123" s="707">
        <v>45.666666666666664</v>
      </c>
      <c r="CS123" s="138">
        <v>105</v>
      </c>
      <c r="CT123" s="259">
        <f t="shared" ca="1" si="137"/>
        <v>49378</v>
      </c>
      <c r="CU123" s="179">
        <f t="shared" ca="1" si="159"/>
        <v>0</v>
      </c>
      <c r="CV123" s="179">
        <f t="shared" ca="1" si="198"/>
        <v>0</v>
      </c>
      <c r="CW123" s="179">
        <f t="shared" ca="1" si="198"/>
        <v>0</v>
      </c>
      <c r="CX123" s="179">
        <f t="shared" ca="1" si="198"/>
        <v>0</v>
      </c>
      <c r="CY123" s="179">
        <f t="shared" ca="1" si="198"/>
        <v>0</v>
      </c>
      <c r="CZ123" s="179">
        <f t="shared" ca="1" si="198"/>
        <v>0</v>
      </c>
      <c r="DA123" s="179">
        <f t="shared" ca="1" si="198"/>
        <v>0</v>
      </c>
      <c r="DB123" s="179">
        <f t="shared" ca="1" si="198"/>
        <v>0</v>
      </c>
      <c r="DC123" s="179">
        <f t="shared" ca="1" si="198"/>
        <v>0</v>
      </c>
      <c r="DD123" s="179">
        <f t="shared" ca="1" si="198"/>
        <v>0</v>
      </c>
      <c r="DE123" s="179">
        <f t="shared" ca="1" si="198"/>
        <v>0</v>
      </c>
      <c r="DF123" s="179" t="e">
        <f t="shared" ca="1" si="198"/>
        <v>#VALUE!</v>
      </c>
      <c r="DG123" s="179" t="e">
        <f t="shared" ca="1" si="198"/>
        <v>#VALUE!</v>
      </c>
      <c r="DH123" s="179" t="e">
        <f t="shared" ca="1" si="198"/>
        <v>#VALUE!</v>
      </c>
      <c r="DI123" s="179" t="e">
        <f t="shared" ca="1" si="198"/>
        <v>#VALUE!</v>
      </c>
      <c r="DJ123" s="179" t="e">
        <f t="shared" ca="1" si="113"/>
        <v>#VALUE!</v>
      </c>
      <c r="DK123" s="179" t="e">
        <f t="shared" ca="1" si="113"/>
        <v>#VALUE!</v>
      </c>
      <c r="DL123" s="179" t="e">
        <f t="shared" ca="1" si="169"/>
        <v>#VALUE!</v>
      </c>
      <c r="DM123" s="179" t="e">
        <f t="shared" ca="1" si="169"/>
        <v>#VALUE!</v>
      </c>
      <c r="DN123" s="179" t="e">
        <f t="shared" ca="1" si="169"/>
        <v>#VALUE!</v>
      </c>
      <c r="DO123" s="179" t="e">
        <f t="shared" ca="1" si="169"/>
        <v>#VALUE!</v>
      </c>
      <c r="DP123" s="179" t="e">
        <f t="shared" ca="1" si="169"/>
        <v>#VALUE!</v>
      </c>
      <c r="DQ123" s="179" t="e">
        <f t="shared" ca="1" si="169"/>
        <v>#VALUE!</v>
      </c>
      <c r="DR123" s="278">
        <v>105</v>
      </c>
      <c r="DS123" s="430">
        <f t="shared" ca="1" si="164"/>
        <v>49350</v>
      </c>
      <c r="DT123" s="180">
        <f t="shared" ca="1" si="197"/>
        <v>0</v>
      </c>
      <c r="DU123" s="180">
        <f t="shared" ca="1" si="197"/>
        <v>0</v>
      </c>
      <c r="DV123" s="180">
        <f t="shared" ca="1" si="197"/>
        <v>0</v>
      </c>
      <c r="DW123" s="180">
        <f t="shared" ca="1" si="197"/>
        <v>0</v>
      </c>
      <c r="DX123" s="180">
        <f t="shared" ca="1" si="197"/>
        <v>0</v>
      </c>
      <c r="DY123" s="180">
        <f t="shared" ca="1" si="197"/>
        <v>0</v>
      </c>
      <c r="DZ123" s="180">
        <f t="shared" ca="1" si="197"/>
        <v>0</v>
      </c>
      <c r="EA123" s="180">
        <f t="shared" ca="1" si="197"/>
        <v>0</v>
      </c>
      <c r="EB123" s="180">
        <f t="shared" ca="1" si="197"/>
        <v>0</v>
      </c>
      <c r="EC123" s="180">
        <f t="shared" ca="1" si="196"/>
        <v>0</v>
      </c>
      <c r="ED123" s="180">
        <f t="shared" ca="1" si="196"/>
        <v>0</v>
      </c>
      <c r="EE123" s="180">
        <f t="shared" ca="1" si="196"/>
        <v>0</v>
      </c>
      <c r="EF123" s="180">
        <f t="shared" ca="1" si="174"/>
        <v>0</v>
      </c>
      <c r="EG123" s="180">
        <f t="shared" ca="1" si="174"/>
        <v>0</v>
      </c>
      <c r="EH123" s="180">
        <f t="shared" ca="1" si="174"/>
        <v>0</v>
      </c>
      <c r="EI123" s="180">
        <f t="shared" ca="1" si="175"/>
        <v>0</v>
      </c>
      <c r="EJ123" s="180">
        <f t="shared" ca="1" si="175"/>
        <v>0</v>
      </c>
      <c r="EK123" s="180">
        <f t="shared" ca="1" si="175"/>
        <v>0</v>
      </c>
      <c r="EL123" s="180">
        <f t="shared" ca="1" si="175"/>
        <v>0</v>
      </c>
      <c r="EM123" s="180">
        <f t="shared" ca="1" si="175"/>
        <v>0</v>
      </c>
      <c r="EN123" s="180">
        <f t="shared" ca="1" si="175"/>
        <v>0</v>
      </c>
      <c r="EO123" s="180">
        <f t="shared" ca="1" si="175"/>
        <v>0</v>
      </c>
      <c r="EP123" s="180">
        <f t="shared" ca="1" si="175"/>
        <v>0</v>
      </c>
      <c r="EQ123" s="180"/>
      <c r="ER123" s="180"/>
    </row>
    <row r="124" spans="2:148" s="87" customFormat="1" hidden="1" x14ac:dyDescent="0.25">
      <c r="B124" s="151"/>
      <c r="C124" s="87">
        <v>63</v>
      </c>
      <c r="D124" s="258">
        <f t="shared" ca="1" si="170"/>
        <v>48070</v>
      </c>
      <c r="E124" s="175">
        <f t="shared" ca="1" si="199"/>
        <v>0.31165800033859042</v>
      </c>
      <c r="F124" s="175">
        <f t="shared" ca="1" si="199"/>
        <v>0.31165800033859042</v>
      </c>
      <c r="G124" s="175">
        <f t="shared" ca="1" si="199"/>
        <v>0.31165800033859042</v>
      </c>
      <c r="H124" s="175">
        <f t="shared" ca="1" si="199"/>
        <v>0.31165800033859042</v>
      </c>
      <c r="I124" s="175">
        <f t="shared" si="199"/>
        <v>0</v>
      </c>
      <c r="J124" s="175">
        <f t="shared" si="199"/>
        <v>0</v>
      </c>
      <c r="K124" s="175">
        <f t="shared" si="199"/>
        <v>0</v>
      </c>
      <c r="L124" s="175">
        <f t="shared" si="199"/>
        <v>0</v>
      </c>
      <c r="M124" s="175">
        <f t="shared" si="199"/>
        <v>0</v>
      </c>
      <c r="N124" s="175">
        <f t="shared" si="199"/>
        <v>0</v>
      </c>
      <c r="O124" s="175">
        <f t="shared" si="200"/>
        <v>0</v>
      </c>
      <c r="P124" s="175">
        <f t="shared" si="200"/>
        <v>0</v>
      </c>
      <c r="Q124" s="175">
        <f t="shared" si="200"/>
        <v>0</v>
      </c>
      <c r="R124" s="175">
        <f t="shared" si="200"/>
        <v>0</v>
      </c>
      <c r="S124" s="175">
        <f t="shared" si="200"/>
        <v>0</v>
      </c>
      <c r="T124" s="175">
        <f t="shared" si="200"/>
        <v>0</v>
      </c>
      <c r="U124" s="175">
        <f t="shared" si="200"/>
        <v>0</v>
      </c>
      <c r="V124" s="175"/>
      <c r="W124" s="140"/>
      <c r="X124" s="87">
        <v>106</v>
      </c>
      <c r="Y124" s="87">
        <f t="shared" si="138"/>
        <v>0</v>
      </c>
      <c r="Z124" s="87">
        <f t="shared" si="139"/>
        <v>0</v>
      </c>
      <c r="AA124" s="87">
        <f t="shared" si="140"/>
        <v>0</v>
      </c>
      <c r="AB124" s="87">
        <f t="shared" si="141"/>
        <v>0</v>
      </c>
      <c r="AC124" s="87">
        <f t="shared" si="142"/>
        <v>0</v>
      </c>
      <c r="AD124" s="87">
        <f t="shared" si="143"/>
        <v>0</v>
      </c>
      <c r="AE124" s="87">
        <f t="shared" si="144"/>
        <v>0</v>
      </c>
      <c r="AF124" s="87">
        <f t="shared" si="145"/>
        <v>0</v>
      </c>
      <c r="AG124" s="87">
        <f t="shared" si="146"/>
        <v>0</v>
      </c>
      <c r="AH124" s="87">
        <f t="shared" si="147"/>
        <v>0</v>
      </c>
      <c r="AI124" s="87">
        <f t="shared" si="148"/>
        <v>0</v>
      </c>
      <c r="AJ124" s="87">
        <f t="shared" si="149"/>
        <v>0</v>
      </c>
      <c r="AK124" s="87">
        <f t="shared" si="150"/>
        <v>0</v>
      </c>
      <c r="AL124" s="87">
        <f t="shared" si="151"/>
        <v>0</v>
      </c>
      <c r="AM124" s="87">
        <f t="shared" si="152"/>
        <v>0</v>
      </c>
      <c r="AN124" s="87">
        <f t="shared" si="153"/>
        <v>0</v>
      </c>
      <c r="AO124" s="87">
        <f t="shared" si="154"/>
        <v>0</v>
      </c>
      <c r="AP124" s="140"/>
      <c r="AQ124" s="426">
        <v>106</v>
      </c>
      <c r="AR124" s="258">
        <f t="shared" ca="1" si="160"/>
        <v>49378</v>
      </c>
      <c r="AS124" s="429">
        <f t="shared" si="178"/>
        <v>0</v>
      </c>
      <c r="AT124" s="140"/>
      <c r="AU124" s="278">
        <v>106</v>
      </c>
      <c r="AV124" s="258">
        <f t="shared" ca="1" si="161"/>
        <v>49409</v>
      </c>
      <c r="AW124" s="429">
        <f t="shared" si="155"/>
        <v>0</v>
      </c>
      <c r="AX124" s="202">
        <f t="shared" ca="1" si="156"/>
        <v>0</v>
      </c>
      <c r="AY124" s="278">
        <v>106</v>
      </c>
      <c r="AZ124" s="258">
        <f t="shared" ca="1" si="162"/>
        <v>49409</v>
      </c>
      <c r="BA124" s="429">
        <f t="shared" si="157"/>
        <v>0</v>
      </c>
      <c r="BB124" s="259">
        <f t="shared" ca="1" si="119"/>
        <v>49378</v>
      </c>
      <c r="BC124" s="428">
        <f t="shared" ca="1" si="158"/>
        <v>0</v>
      </c>
      <c r="BD124" s="188">
        <f t="shared" si="179"/>
        <v>0</v>
      </c>
      <c r="BE124" s="188">
        <f t="shared" si="180"/>
        <v>0</v>
      </c>
      <c r="BF124" s="188">
        <f t="shared" si="181"/>
        <v>0</v>
      </c>
      <c r="BG124" s="87">
        <f t="shared" si="182"/>
        <v>0</v>
      </c>
      <c r="BH124" s="87">
        <f t="shared" si="183"/>
        <v>0</v>
      </c>
      <c r="BI124" s="87">
        <f t="shared" si="184"/>
        <v>0</v>
      </c>
      <c r="BJ124" s="87">
        <f t="shared" si="185"/>
        <v>0</v>
      </c>
      <c r="BK124" s="87">
        <f t="shared" si="186"/>
        <v>0</v>
      </c>
      <c r="BL124" s="87">
        <f t="shared" si="187"/>
        <v>0</v>
      </c>
      <c r="BM124" s="87">
        <f t="shared" si="188"/>
        <v>0</v>
      </c>
      <c r="BN124" s="87">
        <f t="shared" si="189"/>
        <v>0</v>
      </c>
      <c r="BO124" s="87">
        <f t="shared" si="190"/>
        <v>0</v>
      </c>
      <c r="BP124" s="87">
        <f t="shared" si="191"/>
        <v>0</v>
      </c>
      <c r="BQ124" s="87">
        <f t="shared" si="192"/>
        <v>0</v>
      </c>
      <c r="BR124" s="87">
        <f t="shared" si="193"/>
        <v>0</v>
      </c>
      <c r="BS124" s="87">
        <f t="shared" si="194"/>
        <v>0</v>
      </c>
      <c r="BT124" s="87">
        <f t="shared" si="195"/>
        <v>0</v>
      </c>
      <c r="BV124" s="177"/>
      <c r="BW124" s="177"/>
      <c r="BX124" s="267"/>
      <c r="BY124" s="267"/>
      <c r="BZ124" s="267"/>
      <c r="CA124" s="267"/>
      <c r="CB124" s="267"/>
      <c r="CC124" s="267"/>
      <c r="CD124" s="267"/>
      <c r="CE124" s="267"/>
      <c r="CF124" s="267"/>
      <c r="CG124" s="267"/>
      <c r="CH124" s="267"/>
      <c r="CI124" s="435"/>
      <c r="CJ124" s="436"/>
      <c r="CK124" s="437"/>
      <c r="CM124" s="64" t="s">
        <v>1003</v>
      </c>
      <c r="CN124" s="707">
        <v>57</v>
      </c>
      <c r="CS124" s="87">
        <v>106</v>
      </c>
      <c r="CT124" s="259">
        <f t="shared" ca="1" si="137"/>
        <v>49409</v>
      </c>
      <c r="CU124" s="179">
        <f t="shared" ca="1" si="159"/>
        <v>0</v>
      </c>
      <c r="CV124" s="179">
        <f t="shared" ca="1" si="198"/>
        <v>0</v>
      </c>
      <c r="CW124" s="179">
        <f t="shared" ca="1" si="198"/>
        <v>0</v>
      </c>
      <c r="CX124" s="179">
        <f t="shared" ca="1" si="198"/>
        <v>0</v>
      </c>
      <c r="CY124" s="179">
        <f t="shared" ca="1" si="198"/>
        <v>0</v>
      </c>
      <c r="CZ124" s="179">
        <f t="shared" ca="1" si="198"/>
        <v>0</v>
      </c>
      <c r="DA124" s="179">
        <f t="shared" ca="1" si="198"/>
        <v>0</v>
      </c>
      <c r="DB124" s="179">
        <f t="shared" ca="1" si="198"/>
        <v>0</v>
      </c>
      <c r="DC124" s="179">
        <f t="shared" ca="1" si="198"/>
        <v>0</v>
      </c>
      <c r="DD124" s="179">
        <f t="shared" ca="1" si="198"/>
        <v>0</v>
      </c>
      <c r="DE124" s="179">
        <f t="shared" ca="1" si="198"/>
        <v>0</v>
      </c>
      <c r="DF124" s="179" t="e">
        <f t="shared" ca="1" si="198"/>
        <v>#VALUE!</v>
      </c>
      <c r="DG124" s="179" t="e">
        <f t="shared" ca="1" si="198"/>
        <v>#VALUE!</v>
      </c>
      <c r="DH124" s="179" t="e">
        <f t="shared" ca="1" si="198"/>
        <v>#VALUE!</v>
      </c>
      <c r="DI124" s="179" t="e">
        <f t="shared" ca="1" si="198"/>
        <v>#VALUE!</v>
      </c>
      <c r="DJ124" s="179" t="e">
        <f t="shared" ca="1" si="113"/>
        <v>#VALUE!</v>
      </c>
      <c r="DK124" s="179" t="e">
        <f t="shared" ca="1" si="113"/>
        <v>#VALUE!</v>
      </c>
      <c r="DL124" s="179" t="e">
        <f t="shared" ca="1" si="169"/>
        <v>#VALUE!</v>
      </c>
      <c r="DM124" s="179" t="e">
        <f t="shared" ca="1" si="169"/>
        <v>#VALUE!</v>
      </c>
      <c r="DN124" s="179" t="e">
        <f t="shared" ca="1" si="169"/>
        <v>#VALUE!</v>
      </c>
      <c r="DO124" s="179" t="e">
        <f t="shared" ca="1" si="169"/>
        <v>#VALUE!</v>
      </c>
      <c r="DP124" s="179" t="e">
        <f t="shared" ca="1" si="169"/>
        <v>#VALUE!</v>
      </c>
      <c r="DQ124" s="179" t="e">
        <f t="shared" ca="1" si="169"/>
        <v>#VALUE!</v>
      </c>
      <c r="DR124" s="188">
        <v>106</v>
      </c>
      <c r="DS124" s="430">
        <f t="shared" ca="1" si="164"/>
        <v>49378</v>
      </c>
      <c r="DT124" s="180">
        <f t="shared" ca="1" si="197"/>
        <v>0</v>
      </c>
      <c r="DU124" s="180">
        <f t="shared" ca="1" si="197"/>
        <v>0</v>
      </c>
      <c r="DV124" s="180">
        <f t="shared" ca="1" si="197"/>
        <v>0</v>
      </c>
      <c r="DW124" s="180">
        <f t="shared" ca="1" si="197"/>
        <v>0</v>
      </c>
      <c r="DX124" s="180">
        <f t="shared" ca="1" si="197"/>
        <v>0</v>
      </c>
      <c r="DY124" s="180">
        <f t="shared" ca="1" si="197"/>
        <v>0</v>
      </c>
      <c r="DZ124" s="180">
        <f t="shared" ca="1" si="197"/>
        <v>0</v>
      </c>
      <c r="EA124" s="180">
        <f t="shared" ca="1" si="197"/>
        <v>0</v>
      </c>
      <c r="EB124" s="180">
        <f t="shared" ca="1" si="197"/>
        <v>0</v>
      </c>
      <c r="EC124" s="180">
        <f t="shared" ca="1" si="196"/>
        <v>0</v>
      </c>
      <c r="ED124" s="180">
        <f t="shared" ca="1" si="196"/>
        <v>0</v>
      </c>
      <c r="EE124" s="180">
        <f t="shared" ca="1" si="196"/>
        <v>0</v>
      </c>
      <c r="EF124" s="180">
        <f t="shared" ca="1" si="174"/>
        <v>0</v>
      </c>
      <c r="EG124" s="180">
        <f t="shared" ca="1" si="174"/>
        <v>0</v>
      </c>
      <c r="EH124" s="180">
        <f t="shared" ca="1" si="174"/>
        <v>0</v>
      </c>
      <c r="EI124" s="180">
        <f t="shared" ca="1" si="175"/>
        <v>0</v>
      </c>
      <c r="EJ124" s="180">
        <f t="shared" ca="1" si="175"/>
        <v>0</v>
      </c>
      <c r="EK124" s="180">
        <f t="shared" ca="1" si="175"/>
        <v>0</v>
      </c>
      <c r="EL124" s="180">
        <f t="shared" ca="1" si="175"/>
        <v>0</v>
      </c>
      <c r="EM124" s="180">
        <f t="shared" ca="1" si="175"/>
        <v>0</v>
      </c>
      <c r="EN124" s="180">
        <f t="shared" ca="1" si="175"/>
        <v>0</v>
      </c>
      <c r="EO124" s="180">
        <f t="shared" ca="1" si="175"/>
        <v>0</v>
      </c>
      <c r="EP124" s="180">
        <f t="shared" ca="1" si="175"/>
        <v>0</v>
      </c>
      <c r="EQ124" s="180"/>
      <c r="ER124" s="180"/>
    </row>
    <row r="125" spans="2:148" s="87" customFormat="1" hidden="1" x14ac:dyDescent="0.25">
      <c r="B125" s="151"/>
      <c r="C125" s="87">
        <v>64</v>
      </c>
      <c r="D125" s="258">
        <f t="shared" ca="1" si="170"/>
        <v>48101</v>
      </c>
      <c r="E125" s="175">
        <f t="shared" ca="1" si="199"/>
        <v>0.30581013797764478</v>
      </c>
      <c r="F125" s="175">
        <f t="shared" ca="1" si="199"/>
        <v>0.30581013797764478</v>
      </c>
      <c r="G125" s="175">
        <f t="shared" ca="1" si="199"/>
        <v>0.30581013797764478</v>
      </c>
      <c r="H125" s="175">
        <f t="shared" ca="1" si="199"/>
        <v>0.30581013797764478</v>
      </c>
      <c r="I125" s="175">
        <f t="shared" si="199"/>
        <v>0</v>
      </c>
      <c r="J125" s="175">
        <f t="shared" si="199"/>
        <v>0</v>
      </c>
      <c r="K125" s="175">
        <f t="shared" si="199"/>
        <v>0</v>
      </c>
      <c r="L125" s="175">
        <f t="shared" si="199"/>
        <v>0</v>
      </c>
      <c r="M125" s="175">
        <f t="shared" si="199"/>
        <v>0</v>
      </c>
      <c r="N125" s="175">
        <f t="shared" si="199"/>
        <v>0</v>
      </c>
      <c r="O125" s="175">
        <f t="shared" si="200"/>
        <v>0</v>
      </c>
      <c r="P125" s="175">
        <f t="shared" si="200"/>
        <v>0</v>
      </c>
      <c r="Q125" s="175">
        <f t="shared" si="200"/>
        <v>0</v>
      </c>
      <c r="R125" s="175">
        <f t="shared" si="200"/>
        <v>0</v>
      </c>
      <c r="S125" s="175">
        <f t="shared" si="200"/>
        <v>0</v>
      </c>
      <c r="T125" s="175">
        <f t="shared" si="200"/>
        <v>0</v>
      </c>
      <c r="U125" s="175">
        <f t="shared" si="200"/>
        <v>0</v>
      </c>
      <c r="V125" s="175"/>
      <c r="W125" s="140"/>
      <c r="X125" s="87">
        <v>107</v>
      </c>
      <c r="Y125" s="87">
        <f t="shared" si="138"/>
        <v>0</v>
      </c>
      <c r="Z125" s="87">
        <f t="shared" si="139"/>
        <v>0</v>
      </c>
      <c r="AA125" s="87">
        <f t="shared" si="140"/>
        <v>0</v>
      </c>
      <c r="AB125" s="87">
        <f t="shared" si="141"/>
        <v>0</v>
      </c>
      <c r="AC125" s="87">
        <f t="shared" si="142"/>
        <v>0</v>
      </c>
      <c r="AD125" s="87">
        <f t="shared" si="143"/>
        <v>0</v>
      </c>
      <c r="AE125" s="87">
        <f t="shared" si="144"/>
        <v>0</v>
      </c>
      <c r="AF125" s="87">
        <f t="shared" si="145"/>
        <v>0</v>
      </c>
      <c r="AG125" s="87">
        <f t="shared" si="146"/>
        <v>0</v>
      </c>
      <c r="AH125" s="87">
        <f t="shared" si="147"/>
        <v>0</v>
      </c>
      <c r="AI125" s="87">
        <f t="shared" si="148"/>
        <v>0</v>
      </c>
      <c r="AJ125" s="87">
        <f t="shared" si="149"/>
        <v>0</v>
      </c>
      <c r="AK125" s="87">
        <f t="shared" si="150"/>
        <v>0</v>
      </c>
      <c r="AL125" s="87">
        <f t="shared" si="151"/>
        <v>0</v>
      </c>
      <c r="AM125" s="87">
        <f t="shared" si="152"/>
        <v>0</v>
      </c>
      <c r="AN125" s="87">
        <f t="shared" si="153"/>
        <v>0</v>
      </c>
      <c r="AO125" s="87">
        <f t="shared" si="154"/>
        <v>0</v>
      </c>
      <c r="AP125" s="140"/>
      <c r="AQ125" s="426">
        <v>107</v>
      </c>
      <c r="AR125" s="258">
        <f t="shared" ca="1" si="160"/>
        <v>49409</v>
      </c>
      <c r="AS125" s="429">
        <f t="shared" si="178"/>
        <v>0</v>
      </c>
      <c r="AT125" s="140"/>
      <c r="AU125" s="278">
        <v>107</v>
      </c>
      <c r="AV125" s="258">
        <f t="shared" ca="1" si="161"/>
        <v>49439</v>
      </c>
      <c r="AW125" s="429">
        <f t="shared" si="155"/>
        <v>0</v>
      </c>
      <c r="AX125" s="202">
        <f t="shared" ca="1" si="156"/>
        <v>0</v>
      </c>
      <c r="AY125" s="278">
        <v>107</v>
      </c>
      <c r="AZ125" s="258">
        <f t="shared" ca="1" si="162"/>
        <v>49439</v>
      </c>
      <c r="BA125" s="429">
        <f t="shared" si="157"/>
        <v>0</v>
      </c>
      <c r="BB125" s="259">
        <f t="shared" ca="1" si="119"/>
        <v>49409</v>
      </c>
      <c r="BC125" s="428">
        <f t="shared" ca="1" si="158"/>
        <v>0</v>
      </c>
      <c r="BD125" s="188">
        <f t="shared" si="179"/>
        <v>0</v>
      </c>
      <c r="BE125" s="188">
        <f t="shared" si="180"/>
        <v>0</v>
      </c>
      <c r="BF125" s="188">
        <f t="shared" si="181"/>
        <v>0</v>
      </c>
      <c r="BG125" s="87">
        <f t="shared" si="182"/>
        <v>0</v>
      </c>
      <c r="BH125" s="87">
        <f t="shared" si="183"/>
        <v>0</v>
      </c>
      <c r="BI125" s="87">
        <f t="shared" si="184"/>
        <v>0</v>
      </c>
      <c r="BJ125" s="87">
        <f t="shared" si="185"/>
        <v>0</v>
      </c>
      <c r="BK125" s="87">
        <f t="shared" si="186"/>
        <v>0</v>
      </c>
      <c r="BL125" s="87">
        <f t="shared" si="187"/>
        <v>0</v>
      </c>
      <c r="BM125" s="87">
        <f t="shared" si="188"/>
        <v>0</v>
      </c>
      <c r="BN125" s="87">
        <f t="shared" si="189"/>
        <v>0</v>
      </c>
      <c r="BO125" s="87">
        <f t="shared" si="190"/>
        <v>0</v>
      </c>
      <c r="BP125" s="87">
        <f t="shared" si="191"/>
        <v>0</v>
      </c>
      <c r="BQ125" s="87">
        <f t="shared" si="192"/>
        <v>0</v>
      </c>
      <c r="BR125" s="87">
        <f t="shared" si="193"/>
        <v>0</v>
      </c>
      <c r="BS125" s="87">
        <f t="shared" si="194"/>
        <v>0</v>
      </c>
      <c r="BT125" s="87">
        <f t="shared" si="195"/>
        <v>0</v>
      </c>
      <c r="BV125" s="177"/>
      <c r="BW125" s="177"/>
      <c r="BX125" s="267"/>
      <c r="BY125" s="267"/>
      <c r="BZ125" s="267"/>
      <c r="CA125" s="267"/>
      <c r="CB125" s="267"/>
      <c r="CC125" s="267"/>
      <c r="CD125" s="267"/>
      <c r="CE125" s="267"/>
      <c r="CF125" s="267"/>
      <c r="CG125" s="267"/>
      <c r="CH125" s="267"/>
      <c r="CI125" s="435"/>
      <c r="CJ125" s="436"/>
      <c r="CK125" s="437"/>
      <c r="CM125" s="64" t="s">
        <v>369</v>
      </c>
      <c r="CN125" s="707">
        <v>52.2</v>
      </c>
      <c r="CS125" s="178">
        <v>107</v>
      </c>
      <c r="CT125" s="259">
        <f t="shared" ca="1" si="137"/>
        <v>49439</v>
      </c>
      <c r="CU125" s="179">
        <f t="shared" ca="1" si="159"/>
        <v>0</v>
      </c>
      <c r="CV125" s="179">
        <f t="shared" ca="1" si="198"/>
        <v>0</v>
      </c>
      <c r="CW125" s="179">
        <f t="shared" ca="1" si="198"/>
        <v>0</v>
      </c>
      <c r="CX125" s="179">
        <f t="shared" ca="1" si="198"/>
        <v>0</v>
      </c>
      <c r="CY125" s="179">
        <f t="shared" ca="1" si="198"/>
        <v>0</v>
      </c>
      <c r="CZ125" s="179">
        <f t="shared" ca="1" si="198"/>
        <v>0</v>
      </c>
      <c r="DA125" s="179">
        <f t="shared" ca="1" si="198"/>
        <v>0</v>
      </c>
      <c r="DB125" s="179">
        <f t="shared" ca="1" si="198"/>
        <v>0</v>
      </c>
      <c r="DC125" s="179">
        <f t="shared" ca="1" si="198"/>
        <v>0</v>
      </c>
      <c r="DD125" s="179">
        <f t="shared" ca="1" si="198"/>
        <v>0</v>
      </c>
      <c r="DE125" s="179">
        <f t="shared" ca="1" si="198"/>
        <v>0</v>
      </c>
      <c r="DF125" s="179" t="e">
        <f t="shared" ca="1" si="198"/>
        <v>#VALUE!</v>
      </c>
      <c r="DG125" s="179" t="e">
        <f t="shared" ca="1" si="198"/>
        <v>#VALUE!</v>
      </c>
      <c r="DH125" s="179" t="e">
        <f t="shared" ca="1" si="198"/>
        <v>#VALUE!</v>
      </c>
      <c r="DI125" s="179" t="e">
        <f t="shared" ca="1" si="198"/>
        <v>#VALUE!</v>
      </c>
      <c r="DJ125" s="179" t="e">
        <f t="shared" ca="1" si="113"/>
        <v>#VALUE!</v>
      </c>
      <c r="DK125" s="179" t="e">
        <f t="shared" ca="1" si="113"/>
        <v>#VALUE!</v>
      </c>
      <c r="DL125" s="179" t="e">
        <f t="shared" ca="1" si="169"/>
        <v>#VALUE!</v>
      </c>
      <c r="DM125" s="179" t="e">
        <f t="shared" ca="1" si="169"/>
        <v>#VALUE!</v>
      </c>
      <c r="DN125" s="179" t="e">
        <f t="shared" ca="1" si="169"/>
        <v>#VALUE!</v>
      </c>
      <c r="DO125" s="179" t="e">
        <f t="shared" ca="1" si="169"/>
        <v>#VALUE!</v>
      </c>
      <c r="DP125" s="179" t="e">
        <f t="shared" ca="1" si="169"/>
        <v>#VALUE!</v>
      </c>
      <c r="DQ125" s="179" t="e">
        <f t="shared" ca="1" si="169"/>
        <v>#VALUE!</v>
      </c>
      <c r="DR125" s="431">
        <v>107</v>
      </c>
      <c r="DS125" s="430">
        <f t="shared" ca="1" si="164"/>
        <v>49409</v>
      </c>
      <c r="DT125" s="180">
        <f t="shared" ca="1" si="197"/>
        <v>0</v>
      </c>
      <c r="DU125" s="180">
        <f t="shared" ca="1" si="197"/>
        <v>0</v>
      </c>
      <c r="DV125" s="180">
        <f t="shared" ca="1" si="197"/>
        <v>0</v>
      </c>
      <c r="DW125" s="180">
        <f t="shared" ca="1" si="197"/>
        <v>0</v>
      </c>
      <c r="DX125" s="180">
        <f t="shared" ca="1" si="197"/>
        <v>0</v>
      </c>
      <c r="DY125" s="180">
        <f t="shared" ca="1" si="197"/>
        <v>0</v>
      </c>
      <c r="DZ125" s="180">
        <f t="shared" ca="1" si="197"/>
        <v>0</v>
      </c>
      <c r="EA125" s="180">
        <f t="shared" ca="1" si="197"/>
        <v>0</v>
      </c>
      <c r="EB125" s="180">
        <f t="shared" ca="1" si="197"/>
        <v>0</v>
      </c>
      <c r="EC125" s="180">
        <f t="shared" ca="1" si="196"/>
        <v>0</v>
      </c>
      <c r="ED125" s="180">
        <f t="shared" ca="1" si="196"/>
        <v>0</v>
      </c>
      <c r="EE125" s="180">
        <f t="shared" ca="1" si="196"/>
        <v>0</v>
      </c>
      <c r="EF125" s="180">
        <f t="shared" ca="1" si="174"/>
        <v>0</v>
      </c>
      <c r="EG125" s="180">
        <f t="shared" ca="1" si="174"/>
        <v>0</v>
      </c>
      <c r="EH125" s="180">
        <f t="shared" ca="1" si="174"/>
        <v>0</v>
      </c>
      <c r="EI125" s="180">
        <f t="shared" ca="1" si="175"/>
        <v>0</v>
      </c>
      <c r="EJ125" s="180">
        <f t="shared" ca="1" si="175"/>
        <v>0</v>
      </c>
      <c r="EK125" s="180">
        <f t="shared" ca="1" si="175"/>
        <v>0</v>
      </c>
      <c r="EL125" s="180">
        <f t="shared" ca="1" si="175"/>
        <v>0</v>
      </c>
      <c r="EM125" s="180">
        <f t="shared" ca="1" si="175"/>
        <v>0</v>
      </c>
      <c r="EN125" s="180">
        <f t="shared" ca="1" si="175"/>
        <v>0</v>
      </c>
      <c r="EO125" s="180">
        <f t="shared" ca="1" si="175"/>
        <v>0</v>
      </c>
      <c r="EP125" s="180">
        <f t="shared" ca="1" si="175"/>
        <v>0</v>
      </c>
      <c r="EQ125" s="180"/>
      <c r="ER125" s="180"/>
    </row>
    <row r="126" spans="2:148" s="87" customFormat="1" hidden="1" x14ac:dyDescent="0.25">
      <c r="B126" s="151"/>
      <c r="C126" s="87">
        <v>65</v>
      </c>
      <c r="D126" s="258">
        <f t="shared" ca="1" si="170"/>
        <v>48131</v>
      </c>
      <c r="E126" s="175">
        <f t="shared" si="199"/>
        <v>0</v>
      </c>
      <c r="F126" s="175">
        <f t="shared" ca="1" si="199"/>
        <v>0.30025541284010293</v>
      </c>
      <c r="G126" s="175">
        <f t="shared" ca="1" si="199"/>
        <v>0.30025541284010293</v>
      </c>
      <c r="H126" s="175">
        <f t="shared" ca="1" si="199"/>
        <v>0.30025541284010293</v>
      </c>
      <c r="I126" s="175">
        <f t="shared" si="199"/>
        <v>0</v>
      </c>
      <c r="J126" s="175">
        <f t="shared" si="199"/>
        <v>0</v>
      </c>
      <c r="K126" s="175">
        <f t="shared" si="199"/>
        <v>0</v>
      </c>
      <c r="L126" s="175">
        <f t="shared" si="199"/>
        <v>0</v>
      </c>
      <c r="M126" s="175">
        <f t="shared" si="199"/>
        <v>0</v>
      </c>
      <c r="N126" s="175">
        <f t="shared" si="199"/>
        <v>0</v>
      </c>
      <c r="O126" s="175">
        <f t="shared" si="200"/>
        <v>0</v>
      </c>
      <c r="P126" s="175">
        <f t="shared" si="200"/>
        <v>0</v>
      </c>
      <c r="Q126" s="175">
        <f t="shared" si="200"/>
        <v>0</v>
      </c>
      <c r="R126" s="175">
        <f t="shared" si="200"/>
        <v>0</v>
      </c>
      <c r="S126" s="175">
        <f t="shared" si="200"/>
        <v>0</v>
      </c>
      <c r="T126" s="175">
        <f t="shared" si="200"/>
        <v>0</v>
      </c>
      <c r="U126" s="175">
        <f t="shared" si="200"/>
        <v>0</v>
      </c>
      <c r="V126" s="175"/>
      <c r="W126" s="140"/>
      <c r="X126" s="87">
        <v>108</v>
      </c>
      <c r="Y126" s="87">
        <f t="shared" si="138"/>
        <v>0</v>
      </c>
      <c r="Z126" s="87">
        <f t="shared" si="139"/>
        <v>0</v>
      </c>
      <c r="AA126" s="87">
        <f t="shared" si="140"/>
        <v>0</v>
      </c>
      <c r="AB126" s="87">
        <f t="shared" si="141"/>
        <v>0</v>
      </c>
      <c r="AC126" s="87">
        <f t="shared" si="142"/>
        <v>0</v>
      </c>
      <c r="AD126" s="87">
        <f t="shared" si="143"/>
        <v>0</v>
      </c>
      <c r="AE126" s="87">
        <f t="shared" si="144"/>
        <v>0</v>
      </c>
      <c r="AF126" s="87">
        <f t="shared" si="145"/>
        <v>0</v>
      </c>
      <c r="AG126" s="87">
        <f t="shared" si="146"/>
        <v>0</v>
      </c>
      <c r="AH126" s="87">
        <f t="shared" si="147"/>
        <v>0</v>
      </c>
      <c r="AI126" s="87">
        <f t="shared" si="148"/>
        <v>0</v>
      </c>
      <c r="AJ126" s="87">
        <f t="shared" si="149"/>
        <v>0</v>
      </c>
      <c r="AK126" s="87">
        <f t="shared" si="150"/>
        <v>0</v>
      </c>
      <c r="AL126" s="87">
        <f t="shared" si="151"/>
        <v>0</v>
      </c>
      <c r="AM126" s="87">
        <f t="shared" si="152"/>
        <v>0</v>
      </c>
      <c r="AN126" s="87">
        <f t="shared" si="153"/>
        <v>0</v>
      </c>
      <c r="AO126" s="87">
        <f t="shared" si="154"/>
        <v>0</v>
      </c>
      <c r="AP126" s="140"/>
      <c r="AQ126" s="426">
        <v>108</v>
      </c>
      <c r="AR126" s="258">
        <f t="shared" ca="1" si="160"/>
        <v>49439</v>
      </c>
      <c r="AS126" s="429">
        <f t="shared" si="178"/>
        <v>0</v>
      </c>
      <c r="AT126" s="140"/>
      <c r="AU126" s="278">
        <v>108</v>
      </c>
      <c r="AV126" s="258">
        <f t="shared" ca="1" si="161"/>
        <v>49470</v>
      </c>
      <c r="AW126" s="429">
        <f t="shared" si="155"/>
        <v>0</v>
      </c>
      <c r="AX126" s="202">
        <f t="shared" ca="1" si="156"/>
        <v>0</v>
      </c>
      <c r="AY126" s="278">
        <v>108</v>
      </c>
      <c r="AZ126" s="258">
        <f t="shared" ca="1" si="162"/>
        <v>49470</v>
      </c>
      <c r="BA126" s="429">
        <f t="shared" si="157"/>
        <v>0</v>
      </c>
      <c r="BB126" s="259">
        <f t="shared" ca="1" si="119"/>
        <v>49439</v>
      </c>
      <c r="BC126" s="428">
        <f t="shared" ca="1" si="158"/>
        <v>0</v>
      </c>
      <c r="BD126" s="188">
        <f t="shared" si="179"/>
        <v>0</v>
      </c>
      <c r="BE126" s="188">
        <f t="shared" si="180"/>
        <v>0</v>
      </c>
      <c r="BF126" s="188">
        <f t="shared" si="181"/>
        <v>0</v>
      </c>
      <c r="BG126" s="87">
        <f t="shared" si="182"/>
        <v>0</v>
      </c>
      <c r="BH126" s="87">
        <f t="shared" si="183"/>
        <v>0</v>
      </c>
      <c r="BI126" s="87">
        <f t="shared" si="184"/>
        <v>0</v>
      </c>
      <c r="BJ126" s="87">
        <f t="shared" si="185"/>
        <v>0</v>
      </c>
      <c r="BK126" s="87">
        <f t="shared" si="186"/>
        <v>0</v>
      </c>
      <c r="BL126" s="87">
        <f t="shared" si="187"/>
        <v>0</v>
      </c>
      <c r="BM126" s="87">
        <f t="shared" si="188"/>
        <v>0</v>
      </c>
      <c r="BN126" s="87">
        <f t="shared" si="189"/>
        <v>0</v>
      </c>
      <c r="BO126" s="87">
        <f t="shared" si="190"/>
        <v>0</v>
      </c>
      <c r="BP126" s="87">
        <f t="shared" si="191"/>
        <v>0</v>
      </c>
      <c r="BQ126" s="87">
        <f t="shared" si="192"/>
        <v>0</v>
      </c>
      <c r="BR126" s="87">
        <f t="shared" si="193"/>
        <v>0</v>
      </c>
      <c r="BS126" s="87">
        <f t="shared" si="194"/>
        <v>0</v>
      </c>
      <c r="BT126" s="87">
        <f t="shared" si="195"/>
        <v>0</v>
      </c>
      <c r="BV126" s="177"/>
      <c r="BW126" s="177"/>
      <c r="BX126" s="267"/>
      <c r="BY126" s="267"/>
      <c r="BZ126" s="267"/>
      <c r="CA126" s="267"/>
      <c r="CB126" s="267"/>
      <c r="CC126" s="267"/>
      <c r="CD126" s="267"/>
      <c r="CE126" s="267"/>
      <c r="CF126" s="267"/>
      <c r="CG126" s="267"/>
      <c r="CH126" s="267"/>
      <c r="CI126" s="435"/>
      <c r="CJ126" s="436"/>
      <c r="CK126" s="437"/>
      <c r="CM126" s="64" t="s">
        <v>370</v>
      </c>
      <c r="CN126" s="707"/>
      <c r="CS126" s="138">
        <v>108</v>
      </c>
      <c r="CT126" s="259">
        <f t="shared" ca="1" si="137"/>
        <v>49470</v>
      </c>
      <c r="CU126" s="179">
        <f t="shared" ca="1" si="159"/>
        <v>0</v>
      </c>
      <c r="CV126" s="179">
        <f t="shared" ca="1" si="198"/>
        <v>0</v>
      </c>
      <c r="CW126" s="179">
        <f t="shared" ca="1" si="198"/>
        <v>0</v>
      </c>
      <c r="CX126" s="179">
        <f t="shared" ca="1" si="198"/>
        <v>0</v>
      </c>
      <c r="CY126" s="179">
        <f t="shared" ca="1" si="198"/>
        <v>0</v>
      </c>
      <c r="CZ126" s="179">
        <f t="shared" ca="1" si="198"/>
        <v>0</v>
      </c>
      <c r="DA126" s="179">
        <f t="shared" ca="1" si="198"/>
        <v>0</v>
      </c>
      <c r="DB126" s="179">
        <f t="shared" ca="1" si="198"/>
        <v>0</v>
      </c>
      <c r="DC126" s="179">
        <f t="shared" ca="1" si="198"/>
        <v>0</v>
      </c>
      <c r="DD126" s="179">
        <f t="shared" ca="1" si="198"/>
        <v>0</v>
      </c>
      <c r="DE126" s="179">
        <f t="shared" ca="1" si="198"/>
        <v>0</v>
      </c>
      <c r="DF126" s="179" t="e">
        <f t="shared" ca="1" si="198"/>
        <v>#VALUE!</v>
      </c>
      <c r="DG126" s="179" t="e">
        <f t="shared" ca="1" si="198"/>
        <v>#VALUE!</v>
      </c>
      <c r="DH126" s="179" t="e">
        <f t="shared" ca="1" si="198"/>
        <v>#VALUE!</v>
      </c>
      <c r="DI126" s="179" t="e">
        <f t="shared" ca="1" si="198"/>
        <v>#VALUE!</v>
      </c>
      <c r="DJ126" s="179" t="e">
        <f t="shared" ca="1" si="113"/>
        <v>#VALUE!</v>
      </c>
      <c r="DK126" s="179" t="e">
        <f t="shared" ca="1" si="113"/>
        <v>#VALUE!</v>
      </c>
      <c r="DL126" s="179" t="e">
        <f t="shared" ca="1" si="169"/>
        <v>#VALUE!</v>
      </c>
      <c r="DM126" s="179" t="e">
        <f t="shared" ca="1" si="169"/>
        <v>#VALUE!</v>
      </c>
      <c r="DN126" s="179" t="e">
        <f t="shared" ca="1" si="169"/>
        <v>#VALUE!</v>
      </c>
      <c r="DO126" s="179" t="e">
        <f t="shared" ca="1" si="169"/>
        <v>#VALUE!</v>
      </c>
      <c r="DP126" s="179" t="e">
        <f t="shared" ca="1" si="169"/>
        <v>#VALUE!</v>
      </c>
      <c r="DQ126" s="179" t="e">
        <f t="shared" ca="1" si="169"/>
        <v>#VALUE!</v>
      </c>
      <c r="DR126" s="278">
        <v>108</v>
      </c>
      <c r="DS126" s="430">
        <f t="shared" ca="1" si="164"/>
        <v>49439</v>
      </c>
      <c r="DT126" s="180">
        <f t="shared" ca="1" si="197"/>
        <v>0</v>
      </c>
      <c r="DU126" s="180">
        <f t="shared" ca="1" si="197"/>
        <v>0</v>
      </c>
      <c r="DV126" s="180">
        <f t="shared" ca="1" si="197"/>
        <v>0</v>
      </c>
      <c r="DW126" s="180">
        <f t="shared" ca="1" si="197"/>
        <v>0</v>
      </c>
      <c r="DX126" s="180">
        <f t="shared" ca="1" si="197"/>
        <v>0</v>
      </c>
      <c r="DY126" s="180">
        <f t="shared" ca="1" si="197"/>
        <v>0</v>
      </c>
      <c r="DZ126" s="180">
        <f t="shared" ca="1" si="197"/>
        <v>0</v>
      </c>
      <c r="EA126" s="180">
        <f t="shared" ca="1" si="197"/>
        <v>0</v>
      </c>
      <c r="EB126" s="180">
        <f t="shared" ca="1" si="197"/>
        <v>0</v>
      </c>
      <c r="EC126" s="180">
        <f t="shared" ca="1" si="196"/>
        <v>0</v>
      </c>
      <c r="ED126" s="180">
        <f t="shared" ca="1" si="196"/>
        <v>0</v>
      </c>
      <c r="EE126" s="180">
        <f t="shared" ca="1" si="196"/>
        <v>0</v>
      </c>
      <c r="EF126" s="180">
        <f t="shared" ca="1" si="174"/>
        <v>0</v>
      </c>
      <c r="EG126" s="180">
        <f t="shared" ca="1" si="174"/>
        <v>0</v>
      </c>
      <c r="EH126" s="180">
        <f t="shared" ca="1" si="174"/>
        <v>0</v>
      </c>
      <c r="EI126" s="180">
        <f t="shared" ca="1" si="175"/>
        <v>0</v>
      </c>
      <c r="EJ126" s="180">
        <f t="shared" ca="1" si="175"/>
        <v>0</v>
      </c>
      <c r="EK126" s="180">
        <f t="shared" ca="1" si="175"/>
        <v>0</v>
      </c>
      <c r="EL126" s="180">
        <f t="shared" ca="1" si="175"/>
        <v>0</v>
      </c>
      <c r="EM126" s="180">
        <f t="shared" ca="1" si="175"/>
        <v>0</v>
      </c>
      <c r="EN126" s="180">
        <f t="shared" ca="1" si="175"/>
        <v>0</v>
      </c>
      <c r="EO126" s="180">
        <f t="shared" ca="1" si="175"/>
        <v>0</v>
      </c>
      <c r="EP126" s="180">
        <f t="shared" ca="1" si="175"/>
        <v>0</v>
      </c>
      <c r="EQ126" s="180"/>
      <c r="ER126" s="180"/>
    </row>
    <row r="127" spans="2:148" s="87" customFormat="1" hidden="1" x14ac:dyDescent="0.25">
      <c r="B127" s="151"/>
      <c r="C127" s="87">
        <v>66</v>
      </c>
      <c r="D127" s="258">
        <f t="shared" ref="D127:D158" ca="1" si="201">EDATE(D126,1)</f>
        <v>48162</v>
      </c>
      <c r="E127" s="175">
        <f t="shared" si="199"/>
        <v>0</v>
      </c>
      <c r="F127" s="175">
        <f t="shared" ca="1" si="199"/>
        <v>0.29462150539825888</v>
      </c>
      <c r="G127" s="175">
        <f t="shared" ca="1" si="199"/>
        <v>0.29462150539825888</v>
      </c>
      <c r="H127" s="175">
        <f t="shared" ca="1" si="199"/>
        <v>0.29462150539825888</v>
      </c>
      <c r="I127" s="175">
        <f t="shared" si="199"/>
        <v>0</v>
      </c>
      <c r="J127" s="175">
        <f t="shared" si="199"/>
        <v>0</v>
      </c>
      <c r="K127" s="175">
        <f t="shared" si="199"/>
        <v>0</v>
      </c>
      <c r="L127" s="175">
        <f t="shared" si="199"/>
        <v>0</v>
      </c>
      <c r="M127" s="175">
        <f t="shared" si="199"/>
        <v>0</v>
      </c>
      <c r="N127" s="175">
        <f t="shared" si="199"/>
        <v>0</v>
      </c>
      <c r="O127" s="175">
        <f t="shared" si="200"/>
        <v>0</v>
      </c>
      <c r="P127" s="175">
        <f t="shared" si="200"/>
        <v>0</v>
      </c>
      <c r="Q127" s="175">
        <f t="shared" si="200"/>
        <v>0</v>
      </c>
      <c r="R127" s="175">
        <f t="shared" si="200"/>
        <v>0</v>
      </c>
      <c r="S127" s="175">
        <f t="shared" si="200"/>
        <v>0</v>
      </c>
      <c r="T127" s="175">
        <f t="shared" si="200"/>
        <v>0</v>
      </c>
      <c r="U127" s="175">
        <f t="shared" si="200"/>
        <v>0</v>
      </c>
      <c r="V127" s="175"/>
      <c r="W127" s="140"/>
      <c r="X127" s="87">
        <v>109</v>
      </c>
      <c r="Y127" s="87">
        <f t="shared" si="138"/>
        <v>0</v>
      </c>
      <c r="Z127" s="87">
        <f t="shared" si="139"/>
        <v>0</v>
      </c>
      <c r="AA127" s="87">
        <f t="shared" si="140"/>
        <v>0</v>
      </c>
      <c r="AB127" s="87">
        <f t="shared" si="141"/>
        <v>0</v>
      </c>
      <c r="AC127" s="87">
        <f t="shared" si="142"/>
        <v>0</v>
      </c>
      <c r="AD127" s="87">
        <f t="shared" si="143"/>
        <v>0</v>
      </c>
      <c r="AE127" s="87">
        <f t="shared" si="144"/>
        <v>0</v>
      </c>
      <c r="AF127" s="87">
        <f t="shared" si="145"/>
        <v>0</v>
      </c>
      <c r="AG127" s="87">
        <f t="shared" si="146"/>
        <v>0</v>
      </c>
      <c r="AH127" s="87">
        <f t="shared" si="147"/>
        <v>0</v>
      </c>
      <c r="AI127" s="87">
        <f t="shared" si="148"/>
        <v>0</v>
      </c>
      <c r="AJ127" s="87">
        <f t="shared" si="149"/>
        <v>0</v>
      </c>
      <c r="AK127" s="87">
        <f t="shared" si="150"/>
        <v>0</v>
      </c>
      <c r="AL127" s="87">
        <f t="shared" si="151"/>
        <v>0</v>
      </c>
      <c r="AM127" s="87">
        <f t="shared" si="152"/>
        <v>0</v>
      </c>
      <c r="AN127" s="87">
        <f t="shared" si="153"/>
        <v>0</v>
      </c>
      <c r="AO127" s="87">
        <f t="shared" si="154"/>
        <v>0</v>
      </c>
      <c r="AP127" s="140"/>
      <c r="AQ127" s="426">
        <v>109</v>
      </c>
      <c r="AR127" s="258">
        <f t="shared" ca="1" si="160"/>
        <v>49470</v>
      </c>
      <c r="AS127" s="429">
        <f t="shared" si="178"/>
        <v>0</v>
      </c>
      <c r="AT127" s="140"/>
      <c r="AU127" s="278">
        <v>109</v>
      </c>
      <c r="AV127" s="258">
        <f t="shared" ca="1" si="161"/>
        <v>49500</v>
      </c>
      <c r="AW127" s="429">
        <f t="shared" si="155"/>
        <v>0</v>
      </c>
      <c r="AX127" s="202">
        <f t="shared" ca="1" si="156"/>
        <v>0</v>
      </c>
      <c r="AY127" s="278">
        <v>109</v>
      </c>
      <c r="AZ127" s="258">
        <f t="shared" ca="1" si="162"/>
        <v>49500</v>
      </c>
      <c r="BA127" s="429">
        <f t="shared" si="157"/>
        <v>0</v>
      </c>
      <c r="BB127" s="259">
        <f t="shared" ca="1" si="119"/>
        <v>49470</v>
      </c>
      <c r="BC127" s="428">
        <f t="shared" ca="1" si="158"/>
        <v>0</v>
      </c>
      <c r="BD127" s="188">
        <f t="shared" si="179"/>
        <v>0</v>
      </c>
      <c r="BE127" s="188">
        <f t="shared" si="180"/>
        <v>0</v>
      </c>
      <c r="BF127" s="188">
        <f t="shared" si="181"/>
        <v>0</v>
      </c>
      <c r="BG127" s="87">
        <f t="shared" si="182"/>
        <v>0</v>
      </c>
      <c r="BH127" s="87">
        <f t="shared" si="183"/>
        <v>0</v>
      </c>
      <c r="BI127" s="87">
        <f t="shared" si="184"/>
        <v>0</v>
      </c>
      <c r="BJ127" s="87">
        <f t="shared" si="185"/>
        <v>0</v>
      </c>
      <c r="BK127" s="87">
        <f t="shared" si="186"/>
        <v>0</v>
      </c>
      <c r="BL127" s="87">
        <f t="shared" si="187"/>
        <v>0</v>
      </c>
      <c r="BM127" s="87">
        <f t="shared" si="188"/>
        <v>0</v>
      </c>
      <c r="BN127" s="87">
        <f t="shared" si="189"/>
        <v>0</v>
      </c>
      <c r="BO127" s="87">
        <f t="shared" si="190"/>
        <v>0</v>
      </c>
      <c r="BP127" s="87">
        <f t="shared" si="191"/>
        <v>0</v>
      </c>
      <c r="BQ127" s="87">
        <f t="shared" si="192"/>
        <v>0</v>
      </c>
      <c r="BR127" s="87">
        <f t="shared" si="193"/>
        <v>0</v>
      </c>
      <c r="BS127" s="87">
        <f t="shared" si="194"/>
        <v>0</v>
      </c>
      <c r="BT127" s="87">
        <f t="shared" si="195"/>
        <v>0</v>
      </c>
      <c r="BV127" s="177"/>
      <c r="BW127" s="177"/>
      <c r="BX127" s="267"/>
      <c r="BY127" s="267"/>
      <c r="BZ127" s="267"/>
      <c r="CA127" s="267"/>
      <c r="CB127" s="267"/>
      <c r="CC127" s="267"/>
      <c r="CD127" s="267"/>
      <c r="CE127" s="267"/>
      <c r="CF127" s="267"/>
      <c r="CG127" s="267"/>
      <c r="CH127" s="267"/>
      <c r="CI127" s="435"/>
      <c r="CJ127" s="436"/>
      <c r="CK127" s="437"/>
      <c r="CM127" s="64" t="s">
        <v>1041</v>
      </c>
      <c r="CN127" s="707">
        <v>57</v>
      </c>
      <c r="CS127" s="87">
        <v>109</v>
      </c>
      <c r="CT127" s="259">
        <f t="shared" ca="1" si="137"/>
        <v>49500</v>
      </c>
      <c r="CU127" s="179">
        <f t="shared" ca="1" si="159"/>
        <v>0</v>
      </c>
      <c r="CV127" s="179">
        <f t="shared" ca="1" si="198"/>
        <v>0</v>
      </c>
      <c r="CW127" s="179">
        <f t="shared" ca="1" si="198"/>
        <v>0</v>
      </c>
      <c r="CX127" s="179">
        <f t="shared" ca="1" si="198"/>
        <v>0</v>
      </c>
      <c r="CY127" s="179">
        <f t="shared" ca="1" si="198"/>
        <v>0</v>
      </c>
      <c r="CZ127" s="179">
        <f t="shared" ca="1" si="198"/>
        <v>0</v>
      </c>
      <c r="DA127" s="179">
        <f t="shared" ca="1" si="198"/>
        <v>0</v>
      </c>
      <c r="DB127" s="179">
        <f t="shared" ca="1" si="198"/>
        <v>0</v>
      </c>
      <c r="DC127" s="179">
        <f t="shared" ca="1" si="198"/>
        <v>0</v>
      </c>
      <c r="DD127" s="179">
        <f t="shared" ca="1" si="198"/>
        <v>0</v>
      </c>
      <c r="DE127" s="179">
        <f t="shared" ca="1" si="198"/>
        <v>0</v>
      </c>
      <c r="DF127" s="179" t="e">
        <f t="shared" ca="1" si="198"/>
        <v>#VALUE!</v>
      </c>
      <c r="DG127" s="179" t="e">
        <f t="shared" ca="1" si="198"/>
        <v>#VALUE!</v>
      </c>
      <c r="DH127" s="179" t="e">
        <f t="shared" ca="1" si="198"/>
        <v>#VALUE!</v>
      </c>
      <c r="DI127" s="179" t="e">
        <f t="shared" ca="1" si="198"/>
        <v>#VALUE!</v>
      </c>
      <c r="DJ127" s="179" t="e">
        <f t="shared" ca="1" si="113"/>
        <v>#VALUE!</v>
      </c>
      <c r="DK127" s="179" t="e">
        <f t="shared" ca="1" si="113"/>
        <v>#VALUE!</v>
      </c>
      <c r="DL127" s="179" t="e">
        <f t="shared" ca="1" si="169"/>
        <v>#VALUE!</v>
      </c>
      <c r="DM127" s="179" t="e">
        <f t="shared" ca="1" si="169"/>
        <v>#VALUE!</v>
      </c>
      <c r="DN127" s="179" t="e">
        <f t="shared" ca="1" si="169"/>
        <v>#VALUE!</v>
      </c>
      <c r="DO127" s="179" t="e">
        <f t="shared" ca="1" si="169"/>
        <v>#VALUE!</v>
      </c>
      <c r="DP127" s="179" t="e">
        <f t="shared" ca="1" si="169"/>
        <v>#VALUE!</v>
      </c>
      <c r="DQ127" s="179" t="e">
        <f t="shared" ca="1" si="169"/>
        <v>#VALUE!</v>
      </c>
      <c r="DR127" s="188">
        <v>109</v>
      </c>
      <c r="DS127" s="430">
        <f t="shared" ca="1" si="164"/>
        <v>49470</v>
      </c>
      <c r="DT127" s="180">
        <f t="shared" ca="1" si="197"/>
        <v>0</v>
      </c>
      <c r="DU127" s="180">
        <f t="shared" ca="1" si="197"/>
        <v>0</v>
      </c>
      <c r="DV127" s="180">
        <f t="shared" ca="1" si="197"/>
        <v>0</v>
      </c>
      <c r="DW127" s="180">
        <f t="shared" ca="1" si="197"/>
        <v>0</v>
      </c>
      <c r="DX127" s="180">
        <f t="shared" ca="1" si="197"/>
        <v>0</v>
      </c>
      <c r="DY127" s="180">
        <f t="shared" ca="1" si="197"/>
        <v>0</v>
      </c>
      <c r="DZ127" s="180">
        <f t="shared" ca="1" si="197"/>
        <v>0</v>
      </c>
      <c r="EA127" s="180">
        <f t="shared" ca="1" si="197"/>
        <v>0</v>
      </c>
      <c r="EB127" s="180">
        <f t="shared" ca="1" si="197"/>
        <v>0</v>
      </c>
      <c r="EC127" s="180">
        <f t="shared" ca="1" si="196"/>
        <v>0</v>
      </c>
      <c r="ED127" s="180">
        <f t="shared" ca="1" si="196"/>
        <v>0</v>
      </c>
      <c r="EE127" s="180">
        <f t="shared" ca="1" si="196"/>
        <v>0</v>
      </c>
      <c r="EF127" s="180">
        <f t="shared" ca="1" si="174"/>
        <v>0</v>
      </c>
      <c r="EG127" s="180">
        <f t="shared" ca="1" si="174"/>
        <v>0</v>
      </c>
      <c r="EH127" s="180">
        <f t="shared" ca="1" si="174"/>
        <v>0</v>
      </c>
      <c r="EI127" s="180">
        <f t="shared" ca="1" si="175"/>
        <v>0</v>
      </c>
      <c r="EJ127" s="180">
        <f t="shared" ca="1" si="175"/>
        <v>0</v>
      </c>
      <c r="EK127" s="180">
        <f t="shared" ca="1" si="175"/>
        <v>0</v>
      </c>
      <c r="EL127" s="180">
        <f t="shared" ca="1" si="175"/>
        <v>0</v>
      </c>
      <c r="EM127" s="180">
        <f t="shared" ca="1" si="175"/>
        <v>0</v>
      </c>
      <c r="EN127" s="180">
        <f t="shared" ca="1" si="175"/>
        <v>0</v>
      </c>
      <c r="EO127" s="180">
        <f t="shared" ca="1" si="175"/>
        <v>0</v>
      </c>
      <c r="EP127" s="180">
        <f t="shared" ca="1" si="175"/>
        <v>0</v>
      </c>
      <c r="EQ127" s="180"/>
      <c r="ER127" s="180"/>
    </row>
    <row r="128" spans="2:148" s="87" customFormat="1" hidden="1" x14ac:dyDescent="0.25">
      <c r="B128" s="151"/>
      <c r="C128" s="87">
        <v>67</v>
      </c>
      <c r="D128" s="258">
        <f t="shared" ca="1" si="201"/>
        <v>48192</v>
      </c>
      <c r="E128" s="175">
        <f t="shared" si="199"/>
        <v>0</v>
      </c>
      <c r="F128" s="175">
        <f t="shared" ca="1" si="199"/>
        <v>0.28927001020938525</v>
      </c>
      <c r="G128" s="175">
        <f t="shared" ca="1" si="199"/>
        <v>0.28927001020938525</v>
      </c>
      <c r="H128" s="175">
        <f t="shared" ca="1" si="199"/>
        <v>0.28927001020938525</v>
      </c>
      <c r="I128" s="175">
        <f t="shared" si="199"/>
        <v>0</v>
      </c>
      <c r="J128" s="175">
        <f t="shared" si="199"/>
        <v>0</v>
      </c>
      <c r="K128" s="175">
        <f t="shared" si="199"/>
        <v>0</v>
      </c>
      <c r="L128" s="175">
        <f t="shared" si="199"/>
        <v>0</v>
      </c>
      <c r="M128" s="175">
        <f t="shared" si="199"/>
        <v>0</v>
      </c>
      <c r="N128" s="175">
        <f t="shared" si="199"/>
        <v>0</v>
      </c>
      <c r="O128" s="175">
        <f t="shared" si="200"/>
        <v>0</v>
      </c>
      <c r="P128" s="175">
        <f t="shared" si="200"/>
        <v>0</v>
      </c>
      <c r="Q128" s="175">
        <f t="shared" si="200"/>
        <v>0</v>
      </c>
      <c r="R128" s="175">
        <f t="shared" si="200"/>
        <v>0</v>
      </c>
      <c r="S128" s="175">
        <f t="shared" si="200"/>
        <v>0</v>
      </c>
      <c r="T128" s="175">
        <f t="shared" si="200"/>
        <v>0</v>
      </c>
      <c r="U128" s="175">
        <f t="shared" si="200"/>
        <v>0</v>
      </c>
      <c r="V128" s="175"/>
      <c r="W128" s="140"/>
      <c r="X128" s="87">
        <v>110</v>
      </c>
      <c r="Y128" s="87">
        <f t="shared" si="138"/>
        <v>0</v>
      </c>
      <c r="Z128" s="87">
        <f t="shared" si="139"/>
        <v>0</v>
      </c>
      <c r="AA128" s="87">
        <f t="shared" si="140"/>
        <v>0</v>
      </c>
      <c r="AB128" s="87">
        <f t="shared" si="141"/>
        <v>0</v>
      </c>
      <c r="AC128" s="87">
        <f t="shared" si="142"/>
        <v>0</v>
      </c>
      <c r="AD128" s="87">
        <f t="shared" si="143"/>
        <v>0</v>
      </c>
      <c r="AE128" s="87">
        <f t="shared" si="144"/>
        <v>0</v>
      </c>
      <c r="AF128" s="87">
        <f t="shared" si="145"/>
        <v>0</v>
      </c>
      <c r="AG128" s="87">
        <f t="shared" si="146"/>
        <v>0</v>
      </c>
      <c r="AH128" s="87">
        <f t="shared" si="147"/>
        <v>0</v>
      </c>
      <c r="AI128" s="87">
        <f t="shared" si="148"/>
        <v>0</v>
      </c>
      <c r="AJ128" s="87">
        <f t="shared" si="149"/>
        <v>0</v>
      </c>
      <c r="AK128" s="87">
        <f t="shared" si="150"/>
        <v>0</v>
      </c>
      <c r="AL128" s="87">
        <f t="shared" si="151"/>
        <v>0</v>
      </c>
      <c r="AM128" s="87">
        <f t="shared" si="152"/>
        <v>0</v>
      </c>
      <c r="AN128" s="87">
        <f t="shared" si="153"/>
        <v>0</v>
      </c>
      <c r="AO128" s="87">
        <f t="shared" si="154"/>
        <v>0</v>
      </c>
      <c r="AP128" s="140"/>
      <c r="AQ128" s="426">
        <v>110</v>
      </c>
      <c r="AR128" s="258">
        <f t="shared" ca="1" si="160"/>
        <v>49500</v>
      </c>
      <c r="AS128" s="429">
        <f t="shared" si="178"/>
        <v>0</v>
      </c>
      <c r="AT128" s="140"/>
      <c r="AU128" s="278">
        <v>110</v>
      </c>
      <c r="AV128" s="258">
        <f t="shared" ca="1" si="161"/>
        <v>49531</v>
      </c>
      <c r="AW128" s="429">
        <f t="shared" si="155"/>
        <v>0</v>
      </c>
      <c r="AX128" s="202">
        <f t="shared" ca="1" si="156"/>
        <v>0</v>
      </c>
      <c r="AY128" s="278">
        <v>110</v>
      </c>
      <c r="AZ128" s="258">
        <f t="shared" ca="1" si="162"/>
        <v>49531</v>
      </c>
      <c r="BA128" s="429">
        <f t="shared" si="157"/>
        <v>0</v>
      </c>
      <c r="BB128" s="259">
        <f t="shared" ca="1" si="119"/>
        <v>49500</v>
      </c>
      <c r="BC128" s="428">
        <f t="shared" ca="1" si="158"/>
        <v>0</v>
      </c>
      <c r="BD128" s="188">
        <f t="shared" si="179"/>
        <v>0</v>
      </c>
      <c r="BE128" s="188">
        <f t="shared" si="180"/>
        <v>0</v>
      </c>
      <c r="BF128" s="188">
        <f t="shared" si="181"/>
        <v>0</v>
      </c>
      <c r="BG128" s="87">
        <f t="shared" si="182"/>
        <v>0</v>
      </c>
      <c r="BH128" s="87">
        <f t="shared" si="183"/>
        <v>0</v>
      </c>
      <c r="BI128" s="87">
        <f t="shared" si="184"/>
        <v>0</v>
      </c>
      <c r="BJ128" s="87">
        <f t="shared" si="185"/>
        <v>0</v>
      </c>
      <c r="BK128" s="87">
        <f t="shared" si="186"/>
        <v>0</v>
      </c>
      <c r="BL128" s="87">
        <f t="shared" si="187"/>
        <v>0</v>
      </c>
      <c r="BM128" s="87">
        <f t="shared" si="188"/>
        <v>0</v>
      </c>
      <c r="BN128" s="87">
        <f t="shared" si="189"/>
        <v>0</v>
      </c>
      <c r="BO128" s="87">
        <f t="shared" si="190"/>
        <v>0</v>
      </c>
      <c r="BP128" s="87">
        <f t="shared" si="191"/>
        <v>0</v>
      </c>
      <c r="BQ128" s="87">
        <f t="shared" si="192"/>
        <v>0</v>
      </c>
      <c r="BR128" s="87">
        <f t="shared" si="193"/>
        <v>0</v>
      </c>
      <c r="BS128" s="87">
        <f t="shared" si="194"/>
        <v>0</v>
      </c>
      <c r="BT128" s="87">
        <f t="shared" si="195"/>
        <v>0</v>
      </c>
      <c r="BV128" s="177"/>
      <c r="BW128" s="177"/>
      <c r="BX128" s="267"/>
      <c r="BY128" s="267"/>
      <c r="BZ128" s="267"/>
      <c r="CA128" s="267"/>
      <c r="CB128" s="267"/>
      <c r="CC128" s="267"/>
      <c r="CD128" s="267"/>
      <c r="CE128" s="267"/>
      <c r="CF128" s="267"/>
      <c r="CG128" s="267"/>
      <c r="CH128" s="267"/>
      <c r="CI128" s="435"/>
      <c r="CJ128" s="436"/>
      <c r="CK128" s="437"/>
      <c r="CM128" s="64" t="s">
        <v>105</v>
      </c>
      <c r="CN128" s="707">
        <v>65.5</v>
      </c>
      <c r="CS128" s="178">
        <v>110</v>
      </c>
      <c r="CT128" s="259">
        <f t="shared" ca="1" si="137"/>
        <v>49531</v>
      </c>
      <c r="CU128" s="179">
        <f t="shared" ca="1" si="159"/>
        <v>0</v>
      </c>
      <c r="CV128" s="179">
        <f t="shared" ca="1" si="198"/>
        <v>0</v>
      </c>
      <c r="CW128" s="179">
        <f t="shared" ca="1" si="198"/>
        <v>0</v>
      </c>
      <c r="CX128" s="179">
        <f t="shared" ca="1" si="198"/>
        <v>0</v>
      </c>
      <c r="CY128" s="179">
        <f t="shared" ca="1" si="198"/>
        <v>0</v>
      </c>
      <c r="CZ128" s="179">
        <f t="shared" ca="1" si="198"/>
        <v>0</v>
      </c>
      <c r="DA128" s="179">
        <f t="shared" ca="1" si="198"/>
        <v>0</v>
      </c>
      <c r="DB128" s="179">
        <f t="shared" ca="1" si="198"/>
        <v>0</v>
      </c>
      <c r="DC128" s="179">
        <f t="shared" ca="1" si="198"/>
        <v>0</v>
      </c>
      <c r="DD128" s="179">
        <f t="shared" ca="1" si="198"/>
        <v>0</v>
      </c>
      <c r="DE128" s="179">
        <f t="shared" ca="1" si="198"/>
        <v>0</v>
      </c>
      <c r="DF128" s="179" t="e">
        <f t="shared" ca="1" si="198"/>
        <v>#VALUE!</v>
      </c>
      <c r="DG128" s="179" t="e">
        <f t="shared" ca="1" si="198"/>
        <v>#VALUE!</v>
      </c>
      <c r="DH128" s="179" t="e">
        <f t="shared" ca="1" si="198"/>
        <v>#VALUE!</v>
      </c>
      <c r="DI128" s="179" t="e">
        <f t="shared" ca="1" si="198"/>
        <v>#VALUE!</v>
      </c>
      <c r="DJ128" s="179" t="e">
        <f t="shared" ca="1" si="113"/>
        <v>#VALUE!</v>
      </c>
      <c r="DK128" s="179" t="e">
        <f t="shared" ca="1" si="113"/>
        <v>#VALUE!</v>
      </c>
      <c r="DL128" s="179" t="e">
        <f t="shared" ca="1" si="169"/>
        <v>#VALUE!</v>
      </c>
      <c r="DM128" s="179" t="e">
        <f t="shared" ca="1" si="169"/>
        <v>#VALUE!</v>
      </c>
      <c r="DN128" s="179" t="e">
        <f t="shared" ca="1" si="169"/>
        <v>#VALUE!</v>
      </c>
      <c r="DO128" s="179" t="e">
        <f t="shared" ca="1" si="169"/>
        <v>#VALUE!</v>
      </c>
      <c r="DP128" s="179" t="e">
        <f t="shared" ca="1" si="169"/>
        <v>#VALUE!</v>
      </c>
      <c r="DQ128" s="179" t="e">
        <f t="shared" ca="1" si="169"/>
        <v>#VALUE!</v>
      </c>
      <c r="DR128" s="431">
        <v>110</v>
      </c>
      <c r="DS128" s="430">
        <f t="shared" ca="1" si="164"/>
        <v>49500</v>
      </c>
      <c r="DT128" s="180">
        <f t="shared" ca="1" si="197"/>
        <v>0</v>
      </c>
      <c r="DU128" s="180">
        <f t="shared" ca="1" si="197"/>
        <v>0</v>
      </c>
      <c r="DV128" s="180">
        <f t="shared" ca="1" si="197"/>
        <v>0</v>
      </c>
      <c r="DW128" s="180">
        <f t="shared" ca="1" si="197"/>
        <v>0</v>
      </c>
      <c r="DX128" s="180">
        <f t="shared" ca="1" si="197"/>
        <v>0</v>
      </c>
      <c r="DY128" s="180">
        <f t="shared" ca="1" si="197"/>
        <v>0</v>
      </c>
      <c r="DZ128" s="180">
        <f t="shared" ca="1" si="197"/>
        <v>0</v>
      </c>
      <c r="EA128" s="180">
        <f t="shared" ca="1" si="197"/>
        <v>0</v>
      </c>
      <c r="EB128" s="180">
        <f t="shared" ca="1" si="197"/>
        <v>0</v>
      </c>
      <c r="EC128" s="180">
        <f t="shared" ca="1" si="196"/>
        <v>0</v>
      </c>
      <c r="ED128" s="180">
        <f t="shared" ca="1" si="196"/>
        <v>0</v>
      </c>
      <c r="EE128" s="180">
        <f t="shared" ca="1" si="196"/>
        <v>0</v>
      </c>
      <c r="EF128" s="180">
        <f t="shared" ca="1" si="174"/>
        <v>0</v>
      </c>
      <c r="EG128" s="180">
        <f t="shared" ca="1" si="174"/>
        <v>0</v>
      </c>
      <c r="EH128" s="180">
        <f t="shared" ca="1" si="174"/>
        <v>0</v>
      </c>
      <c r="EI128" s="180">
        <f t="shared" ca="1" si="175"/>
        <v>0</v>
      </c>
      <c r="EJ128" s="180">
        <f t="shared" ca="1" si="175"/>
        <v>0</v>
      </c>
      <c r="EK128" s="180">
        <f t="shared" ca="1" si="175"/>
        <v>0</v>
      </c>
      <c r="EL128" s="180">
        <f t="shared" ca="1" si="175"/>
        <v>0</v>
      </c>
      <c r="EM128" s="180">
        <f t="shared" ca="1" si="175"/>
        <v>0</v>
      </c>
      <c r="EN128" s="180">
        <f t="shared" ca="1" si="175"/>
        <v>0</v>
      </c>
      <c r="EO128" s="180">
        <f t="shared" ca="1" si="175"/>
        <v>0</v>
      </c>
      <c r="EP128" s="180">
        <f t="shared" ca="1" si="175"/>
        <v>0</v>
      </c>
      <c r="EQ128" s="180"/>
      <c r="ER128" s="180"/>
    </row>
    <row r="129" spans="2:148" s="87" customFormat="1" hidden="1" x14ac:dyDescent="0.25">
      <c r="B129" s="151"/>
      <c r="C129" s="87">
        <v>68</v>
      </c>
      <c r="D129" s="258">
        <f t="shared" ca="1" si="201"/>
        <v>48223</v>
      </c>
      <c r="E129" s="175">
        <f t="shared" si="199"/>
        <v>0</v>
      </c>
      <c r="F129" s="175">
        <f t="shared" ca="1" si="199"/>
        <v>0.28384222974805901</v>
      </c>
      <c r="G129" s="175">
        <f t="shared" ca="1" si="199"/>
        <v>0.28384222974805901</v>
      </c>
      <c r="H129" s="175">
        <f t="shared" ca="1" si="199"/>
        <v>0.28384222974805901</v>
      </c>
      <c r="I129" s="175">
        <f t="shared" si="199"/>
        <v>0</v>
      </c>
      <c r="J129" s="175">
        <f t="shared" si="199"/>
        <v>0</v>
      </c>
      <c r="K129" s="175">
        <f t="shared" si="199"/>
        <v>0</v>
      </c>
      <c r="L129" s="175">
        <f t="shared" si="199"/>
        <v>0</v>
      </c>
      <c r="M129" s="175">
        <f t="shared" si="199"/>
        <v>0</v>
      </c>
      <c r="N129" s="175">
        <f t="shared" si="199"/>
        <v>0</v>
      </c>
      <c r="O129" s="175">
        <f t="shared" si="200"/>
        <v>0</v>
      </c>
      <c r="P129" s="175">
        <f t="shared" si="200"/>
        <v>0</v>
      </c>
      <c r="Q129" s="175">
        <f t="shared" si="200"/>
        <v>0</v>
      </c>
      <c r="R129" s="175">
        <f t="shared" si="200"/>
        <v>0</v>
      </c>
      <c r="S129" s="175">
        <f t="shared" si="200"/>
        <v>0</v>
      </c>
      <c r="T129" s="175">
        <f t="shared" si="200"/>
        <v>0</v>
      </c>
      <c r="U129" s="175">
        <f t="shared" si="200"/>
        <v>0</v>
      </c>
      <c r="V129" s="175"/>
      <c r="W129" s="140"/>
      <c r="X129" s="87">
        <v>111</v>
      </c>
      <c r="Y129" s="87">
        <f t="shared" si="138"/>
        <v>0</v>
      </c>
      <c r="Z129" s="87">
        <f t="shared" si="139"/>
        <v>0</v>
      </c>
      <c r="AA129" s="87">
        <f t="shared" si="140"/>
        <v>0</v>
      </c>
      <c r="AB129" s="87">
        <f t="shared" si="141"/>
        <v>0</v>
      </c>
      <c r="AC129" s="87">
        <f t="shared" si="142"/>
        <v>0</v>
      </c>
      <c r="AD129" s="87">
        <f t="shared" si="143"/>
        <v>0</v>
      </c>
      <c r="AE129" s="87">
        <f t="shared" si="144"/>
        <v>0</v>
      </c>
      <c r="AF129" s="87">
        <f t="shared" si="145"/>
        <v>0</v>
      </c>
      <c r="AG129" s="87">
        <f t="shared" si="146"/>
        <v>0</v>
      </c>
      <c r="AH129" s="87">
        <f t="shared" si="147"/>
        <v>0</v>
      </c>
      <c r="AI129" s="87">
        <f t="shared" si="148"/>
        <v>0</v>
      </c>
      <c r="AJ129" s="87">
        <f t="shared" si="149"/>
        <v>0</v>
      </c>
      <c r="AK129" s="87">
        <f t="shared" si="150"/>
        <v>0</v>
      </c>
      <c r="AL129" s="87">
        <f t="shared" si="151"/>
        <v>0</v>
      </c>
      <c r="AM129" s="87">
        <f t="shared" si="152"/>
        <v>0</v>
      </c>
      <c r="AN129" s="87">
        <f t="shared" si="153"/>
        <v>0</v>
      </c>
      <c r="AO129" s="87">
        <f t="shared" si="154"/>
        <v>0</v>
      </c>
      <c r="AP129" s="140"/>
      <c r="AQ129" s="426">
        <v>111</v>
      </c>
      <c r="AR129" s="258">
        <f t="shared" ca="1" si="160"/>
        <v>49531</v>
      </c>
      <c r="AS129" s="429">
        <f t="shared" si="178"/>
        <v>0</v>
      </c>
      <c r="AT129" s="140"/>
      <c r="AU129" s="278">
        <v>111</v>
      </c>
      <c r="AV129" s="258">
        <f t="shared" ca="1" si="161"/>
        <v>49562</v>
      </c>
      <c r="AW129" s="429">
        <f t="shared" si="155"/>
        <v>0</v>
      </c>
      <c r="AX129" s="202">
        <f t="shared" ca="1" si="156"/>
        <v>0</v>
      </c>
      <c r="AY129" s="278">
        <v>111</v>
      </c>
      <c r="AZ129" s="258">
        <f t="shared" ca="1" si="162"/>
        <v>49562</v>
      </c>
      <c r="BA129" s="429">
        <f t="shared" si="157"/>
        <v>0</v>
      </c>
      <c r="BB129" s="259">
        <f t="shared" ca="1" si="119"/>
        <v>49531</v>
      </c>
      <c r="BC129" s="428">
        <f t="shared" ca="1" si="158"/>
        <v>0</v>
      </c>
      <c r="BD129" s="188">
        <f t="shared" si="179"/>
        <v>0</v>
      </c>
      <c r="BE129" s="188">
        <f t="shared" si="180"/>
        <v>0</v>
      </c>
      <c r="BF129" s="188">
        <f t="shared" si="181"/>
        <v>0</v>
      </c>
      <c r="BG129" s="87">
        <f t="shared" si="182"/>
        <v>0</v>
      </c>
      <c r="BH129" s="87">
        <f t="shared" si="183"/>
        <v>0</v>
      </c>
      <c r="BI129" s="87">
        <f t="shared" si="184"/>
        <v>0</v>
      </c>
      <c r="BJ129" s="87">
        <f t="shared" si="185"/>
        <v>0</v>
      </c>
      <c r="BK129" s="87">
        <f t="shared" si="186"/>
        <v>0</v>
      </c>
      <c r="BL129" s="87">
        <f t="shared" si="187"/>
        <v>0</v>
      </c>
      <c r="BM129" s="87">
        <f t="shared" si="188"/>
        <v>0</v>
      </c>
      <c r="BN129" s="87">
        <f t="shared" si="189"/>
        <v>0</v>
      </c>
      <c r="BO129" s="87">
        <f t="shared" si="190"/>
        <v>0</v>
      </c>
      <c r="BP129" s="87">
        <f t="shared" si="191"/>
        <v>0</v>
      </c>
      <c r="BQ129" s="87">
        <f t="shared" si="192"/>
        <v>0</v>
      </c>
      <c r="BR129" s="87">
        <f t="shared" si="193"/>
        <v>0</v>
      </c>
      <c r="BS129" s="87">
        <f t="shared" si="194"/>
        <v>0</v>
      </c>
      <c r="BT129" s="87">
        <f t="shared" si="195"/>
        <v>0</v>
      </c>
      <c r="BV129" s="177"/>
      <c r="BW129" s="177"/>
      <c r="BX129" s="267"/>
      <c r="BY129" s="267"/>
      <c r="BZ129" s="267"/>
      <c r="CA129" s="267"/>
      <c r="CB129" s="267"/>
      <c r="CC129" s="267"/>
      <c r="CD129" s="267"/>
      <c r="CE129" s="267"/>
      <c r="CF129" s="267"/>
      <c r="CG129" s="267"/>
      <c r="CH129" s="267"/>
      <c r="CI129" s="435"/>
      <c r="CJ129" s="436"/>
      <c r="CK129" s="437"/>
      <c r="CM129" s="64" t="s">
        <v>351</v>
      </c>
      <c r="CN129" s="707"/>
      <c r="CS129" s="138">
        <v>111</v>
      </c>
      <c r="CT129" s="259">
        <f t="shared" ca="1" si="137"/>
        <v>49562</v>
      </c>
      <c r="CU129" s="179">
        <f t="shared" ca="1" si="159"/>
        <v>0</v>
      </c>
      <c r="CV129" s="179">
        <f t="shared" ca="1" si="198"/>
        <v>0</v>
      </c>
      <c r="CW129" s="179">
        <f t="shared" ca="1" si="198"/>
        <v>0</v>
      </c>
      <c r="CX129" s="179">
        <f t="shared" ca="1" si="198"/>
        <v>0</v>
      </c>
      <c r="CY129" s="179">
        <f t="shared" ca="1" si="198"/>
        <v>0</v>
      </c>
      <c r="CZ129" s="179">
        <f t="shared" ca="1" si="198"/>
        <v>0</v>
      </c>
      <c r="DA129" s="179">
        <f t="shared" ca="1" si="198"/>
        <v>0</v>
      </c>
      <c r="DB129" s="179">
        <f t="shared" ca="1" si="198"/>
        <v>0</v>
      </c>
      <c r="DC129" s="179">
        <f t="shared" ca="1" si="198"/>
        <v>0</v>
      </c>
      <c r="DD129" s="179">
        <f t="shared" ca="1" si="198"/>
        <v>0</v>
      </c>
      <c r="DE129" s="179">
        <f t="shared" ca="1" si="198"/>
        <v>0</v>
      </c>
      <c r="DF129" s="179" t="e">
        <f t="shared" ca="1" si="198"/>
        <v>#VALUE!</v>
      </c>
      <c r="DG129" s="179" t="e">
        <f t="shared" ca="1" si="198"/>
        <v>#VALUE!</v>
      </c>
      <c r="DH129" s="179" t="e">
        <f t="shared" ca="1" si="198"/>
        <v>#VALUE!</v>
      </c>
      <c r="DI129" s="179" t="e">
        <f t="shared" ca="1" si="198"/>
        <v>#VALUE!</v>
      </c>
      <c r="DJ129" s="179" t="e">
        <f t="shared" ca="1" si="113"/>
        <v>#VALUE!</v>
      </c>
      <c r="DK129" s="179" t="e">
        <f t="shared" ca="1" si="113"/>
        <v>#VALUE!</v>
      </c>
      <c r="DL129" s="179" t="e">
        <f t="shared" ca="1" si="169"/>
        <v>#VALUE!</v>
      </c>
      <c r="DM129" s="179" t="e">
        <f t="shared" ca="1" si="169"/>
        <v>#VALUE!</v>
      </c>
      <c r="DN129" s="179" t="e">
        <f t="shared" ca="1" si="169"/>
        <v>#VALUE!</v>
      </c>
      <c r="DO129" s="179" t="e">
        <f t="shared" ca="1" si="169"/>
        <v>#VALUE!</v>
      </c>
      <c r="DP129" s="179" t="e">
        <f t="shared" ca="1" si="169"/>
        <v>#VALUE!</v>
      </c>
      <c r="DQ129" s="179" t="e">
        <f t="shared" ca="1" si="169"/>
        <v>#VALUE!</v>
      </c>
      <c r="DR129" s="278">
        <v>111</v>
      </c>
      <c r="DS129" s="430">
        <f t="shared" ca="1" si="164"/>
        <v>49531</v>
      </c>
      <c r="DT129" s="180">
        <f t="shared" ca="1" si="197"/>
        <v>0</v>
      </c>
      <c r="DU129" s="180">
        <f t="shared" ca="1" si="197"/>
        <v>0</v>
      </c>
      <c r="DV129" s="180">
        <f t="shared" ca="1" si="197"/>
        <v>0</v>
      </c>
      <c r="DW129" s="180">
        <f t="shared" ca="1" si="197"/>
        <v>0</v>
      </c>
      <c r="DX129" s="180">
        <f t="shared" ca="1" si="197"/>
        <v>0</v>
      </c>
      <c r="DY129" s="180">
        <f t="shared" ca="1" si="197"/>
        <v>0</v>
      </c>
      <c r="DZ129" s="180">
        <f t="shared" ca="1" si="197"/>
        <v>0</v>
      </c>
      <c r="EA129" s="180">
        <f t="shared" ca="1" si="197"/>
        <v>0</v>
      </c>
      <c r="EB129" s="180">
        <f t="shared" ca="1" si="197"/>
        <v>0</v>
      </c>
      <c r="EC129" s="180">
        <f t="shared" ca="1" si="196"/>
        <v>0</v>
      </c>
      <c r="ED129" s="180">
        <f t="shared" ca="1" si="196"/>
        <v>0</v>
      </c>
      <c r="EE129" s="180">
        <f t="shared" ca="1" si="196"/>
        <v>0</v>
      </c>
      <c r="EF129" s="180">
        <f t="shared" ca="1" si="174"/>
        <v>0</v>
      </c>
      <c r="EG129" s="180">
        <f t="shared" ca="1" si="174"/>
        <v>0</v>
      </c>
      <c r="EH129" s="180">
        <f t="shared" ca="1" si="174"/>
        <v>0</v>
      </c>
      <c r="EI129" s="180">
        <f t="shared" ca="1" si="175"/>
        <v>0</v>
      </c>
      <c r="EJ129" s="180">
        <f t="shared" ca="1" si="175"/>
        <v>0</v>
      </c>
      <c r="EK129" s="180">
        <f t="shared" ca="1" si="175"/>
        <v>0</v>
      </c>
      <c r="EL129" s="180">
        <f t="shared" ca="1" si="175"/>
        <v>0</v>
      </c>
      <c r="EM129" s="180">
        <f t="shared" ca="1" si="175"/>
        <v>0</v>
      </c>
      <c r="EN129" s="180">
        <f t="shared" ca="1" si="175"/>
        <v>0</v>
      </c>
      <c r="EO129" s="180">
        <f t="shared" ca="1" si="175"/>
        <v>0</v>
      </c>
      <c r="EP129" s="180">
        <f t="shared" ca="1" si="175"/>
        <v>0</v>
      </c>
      <c r="EQ129" s="180"/>
      <c r="ER129" s="180"/>
    </row>
    <row r="130" spans="2:148" s="87" customFormat="1" hidden="1" x14ac:dyDescent="0.25">
      <c r="B130" s="151"/>
      <c r="C130" s="87">
        <v>69</v>
      </c>
      <c r="D130" s="258">
        <f t="shared" ca="1" si="201"/>
        <v>48254</v>
      </c>
      <c r="E130" s="175">
        <f t="shared" si="199"/>
        <v>0</v>
      </c>
      <c r="F130" s="175">
        <f t="shared" ca="1" si="199"/>
        <v>0.27851629462049216</v>
      </c>
      <c r="G130" s="175">
        <f t="shared" ca="1" si="199"/>
        <v>0.27851629462049216</v>
      </c>
      <c r="H130" s="175">
        <f t="shared" ca="1" si="199"/>
        <v>0.27851629462049216</v>
      </c>
      <c r="I130" s="175">
        <f t="shared" si="199"/>
        <v>0</v>
      </c>
      <c r="J130" s="175">
        <f t="shared" si="199"/>
        <v>0</v>
      </c>
      <c r="K130" s="175">
        <f t="shared" si="199"/>
        <v>0</v>
      </c>
      <c r="L130" s="175">
        <f t="shared" si="199"/>
        <v>0</v>
      </c>
      <c r="M130" s="175">
        <f t="shared" si="199"/>
        <v>0</v>
      </c>
      <c r="N130" s="175">
        <f t="shared" si="199"/>
        <v>0</v>
      </c>
      <c r="O130" s="175">
        <f t="shared" si="200"/>
        <v>0</v>
      </c>
      <c r="P130" s="175">
        <f t="shared" si="200"/>
        <v>0</v>
      </c>
      <c r="Q130" s="175">
        <f t="shared" si="200"/>
        <v>0</v>
      </c>
      <c r="R130" s="175">
        <f t="shared" si="200"/>
        <v>0</v>
      </c>
      <c r="S130" s="175">
        <f t="shared" si="200"/>
        <v>0</v>
      </c>
      <c r="T130" s="175">
        <f t="shared" si="200"/>
        <v>0</v>
      </c>
      <c r="U130" s="175">
        <f t="shared" si="200"/>
        <v>0</v>
      </c>
      <c r="V130" s="175"/>
      <c r="W130" s="140"/>
      <c r="X130" s="87">
        <v>112</v>
      </c>
      <c r="Y130" s="87">
        <f t="shared" si="138"/>
        <v>0</v>
      </c>
      <c r="Z130" s="87">
        <f t="shared" si="139"/>
        <v>0</v>
      </c>
      <c r="AA130" s="87">
        <f t="shared" si="140"/>
        <v>0</v>
      </c>
      <c r="AB130" s="87">
        <f t="shared" si="141"/>
        <v>0</v>
      </c>
      <c r="AC130" s="87">
        <f t="shared" si="142"/>
        <v>0</v>
      </c>
      <c r="AD130" s="87">
        <f t="shared" si="143"/>
        <v>0</v>
      </c>
      <c r="AE130" s="87">
        <f t="shared" si="144"/>
        <v>0</v>
      </c>
      <c r="AF130" s="87">
        <f t="shared" si="145"/>
        <v>0</v>
      </c>
      <c r="AG130" s="87">
        <f t="shared" si="146"/>
        <v>0</v>
      </c>
      <c r="AH130" s="87">
        <f t="shared" si="147"/>
        <v>0</v>
      </c>
      <c r="AI130" s="87">
        <f t="shared" si="148"/>
        <v>0</v>
      </c>
      <c r="AJ130" s="87">
        <f t="shared" si="149"/>
        <v>0</v>
      </c>
      <c r="AK130" s="87">
        <f t="shared" si="150"/>
        <v>0</v>
      </c>
      <c r="AL130" s="87">
        <f t="shared" si="151"/>
        <v>0</v>
      </c>
      <c r="AM130" s="87">
        <f t="shared" si="152"/>
        <v>0</v>
      </c>
      <c r="AN130" s="87">
        <f t="shared" si="153"/>
        <v>0</v>
      </c>
      <c r="AO130" s="87">
        <f t="shared" si="154"/>
        <v>0</v>
      </c>
      <c r="AP130" s="140"/>
      <c r="AQ130" s="426">
        <v>112</v>
      </c>
      <c r="AR130" s="258">
        <f t="shared" ca="1" si="160"/>
        <v>49562</v>
      </c>
      <c r="AS130" s="429">
        <f t="shared" si="178"/>
        <v>0</v>
      </c>
      <c r="AT130" s="140"/>
      <c r="AU130" s="278">
        <v>112</v>
      </c>
      <c r="AV130" s="258">
        <f t="shared" ca="1" si="161"/>
        <v>49592</v>
      </c>
      <c r="AW130" s="429">
        <f t="shared" si="155"/>
        <v>0</v>
      </c>
      <c r="AX130" s="202">
        <f t="shared" ca="1" si="156"/>
        <v>0</v>
      </c>
      <c r="AY130" s="278">
        <v>112</v>
      </c>
      <c r="AZ130" s="258">
        <f t="shared" ca="1" si="162"/>
        <v>49592</v>
      </c>
      <c r="BA130" s="429">
        <f t="shared" si="157"/>
        <v>0</v>
      </c>
      <c r="BB130" s="259">
        <f t="shared" ca="1" si="119"/>
        <v>49562</v>
      </c>
      <c r="BC130" s="428">
        <f t="shared" ca="1" si="158"/>
        <v>0</v>
      </c>
      <c r="BD130" s="188">
        <f t="shared" si="179"/>
        <v>0</v>
      </c>
      <c r="BE130" s="188">
        <f t="shared" si="180"/>
        <v>0</v>
      </c>
      <c r="BF130" s="188">
        <f t="shared" si="181"/>
        <v>0</v>
      </c>
      <c r="BG130" s="87">
        <f t="shared" si="182"/>
        <v>0</v>
      </c>
      <c r="BH130" s="87">
        <f t="shared" si="183"/>
        <v>0</v>
      </c>
      <c r="BI130" s="87">
        <f t="shared" si="184"/>
        <v>0</v>
      </c>
      <c r="BJ130" s="87">
        <f t="shared" si="185"/>
        <v>0</v>
      </c>
      <c r="BK130" s="87">
        <f t="shared" si="186"/>
        <v>0</v>
      </c>
      <c r="BL130" s="87">
        <f t="shared" si="187"/>
        <v>0</v>
      </c>
      <c r="BM130" s="87">
        <f t="shared" si="188"/>
        <v>0</v>
      </c>
      <c r="BN130" s="87">
        <f t="shared" si="189"/>
        <v>0</v>
      </c>
      <c r="BO130" s="87">
        <f t="shared" si="190"/>
        <v>0</v>
      </c>
      <c r="BP130" s="87">
        <f t="shared" si="191"/>
        <v>0</v>
      </c>
      <c r="BQ130" s="87">
        <f t="shared" si="192"/>
        <v>0</v>
      </c>
      <c r="BR130" s="87">
        <f t="shared" si="193"/>
        <v>0</v>
      </c>
      <c r="BS130" s="87">
        <f t="shared" si="194"/>
        <v>0</v>
      </c>
      <c r="BT130" s="87">
        <f t="shared" si="195"/>
        <v>0</v>
      </c>
      <c r="BV130" s="177"/>
      <c r="BW130" s="177"/>
      <c r="BX130" s="267"/>
      <c r="BY130" s="267"/>
      <c r="BZ130" s="267"/>
      <c r="CA130" s="267"/>
      <c r="CB130" s="267"/>
      <c r="CC130" s="267"/>
      <c r="CD130" s="267"/>
      <c r="CE130" s="267"/>
      <c r="CF130" s="267"/>
      <c r="CG130" s="267"/>
      <c r="CH130" s="267"/>
      <c r="CI130" s="435"/>
      <c r="CJ130" s="436"/>
      <c r="CK130" s="437"/>
      <c r="CM130" s="64" t="s">
        <v>3038</v>
      </c>
      <c r="CN130" s="707">
        <v>62</v>
      </c>
      <c r="CS130" s="87">
        <v>112</v>
      </c>
      <c r="CT130" s="259">
        <f t="shared" ca="1" si="137"/>
        <v>49592</v>
      </c>
      <c r="CU130" s="179">
        <f t="shared" ca="1" si="159"/>
        <v>0</v>
      </c>
      <c r="CV130" s="179">
        <f t="shared" ca="1" si="198"/>
        <v>0</v>
      </c>
      <c r="CW130" s="179">
        <f t="shared" ca="1" si="198"/>
        <v>0</v>
      </c>
      <c r="CX130" s="179">
        <f t="shared" ca="1" si="198"/>
        <v>0</v>
      </c>
      <c r="CY130" s="179">
        <f t="shared" ca="1" si="198"/>
        <v>0</v>
      </c>
      <c r="CZ130" s="179">
        <f t="shared" ca="1" si="198"/>
        <v>0</v>
      </c>
      <c r="DA130" s="179">
        <f t="shared" ca="1" si="198"/>
        <v>0</v>
      </c>
      <c r="DB130" s="179">
        <f t="shared" ca="1" si="198"/>
        <v>0</v>
      </c>
      <c r="DC130" s="179">
        <f t="shared" ca="1" si="198"/>
        <v>0</v>
      </c>
      <c r="DD130" s="179">
        <f t="shared" ca="1" si="198"/>
        <v>0</v>
      </c>
      <c r="DE130" s="179">
        <f t="shared" ca="1" si="198"/>
        <v>0</v>
      </c>
      <c r="DF130" s="179" t="e">
        <f t="shared" ca="1" si="198"/>
        <v>#VALUE!</v>
      </c>
      <c r="DG130" s="179" t="e">
        <f t="shared" ca="1" si="198"/>
        <v>#VALUE!</v>
      </c>
      <c r="DH130" s="179" t="e">
        <f t="shared" ca="1" si="198"/>
        <v>#VALUE!</v>
      </c>
      <c r="DI130" s="179" t="e">
        <f t="shared" ca="1" si="198"/>
        <v>#VALUE!</v>
      </c>
      <c r="DJ130" s="179" t="e">
        <f t="shared" ca="1" si="113"/>
        <v>#VALUE!</v>
      </c>
      <c r="DK130" s="179" t="e">
        <f t="shared" ca="1" si="113"/>
        <v>#VALUE!</v>
      </c>
      <c r="DL130" s="179" t="e">
        <f t="shared" ca="1" si="169"/>
        <v>#VALUE!</v>
      </c>
      <c r="DM130" s="179" t="e">
        <f t="shared" ca="1" si="169"/>
        <v>#VALUE!</v>
      </c>
      <c r="DN130" s="179" t="e">
        <f t="shared" ca="1" si="169"/>
        <v>#VALUE!</v>
      </c>
      <c r="DO130" s="179" t="e">
        <f t="shared" ca="1" si="169"/>
        <v>#VALUE!</v>
      </c>
      <c r="DP130" s="179" t="e">
        <f t="shared" ca="1" si="169"/>
        <v>#VALUE!</v>
      </c>
      <c r="DQ130" s="179" t="e">
        <f t="shared" ca="1" si="169"/>
        <v>#VALUE!</v>
      </c>
      <c r="DR130" s="188">
        <v>112</v>
      </c>
      <c r="DS130" s="430">
        <f t="shared" ca="1" si="164"/>
        <v>49562</v>
      </c>
      <c r="DT130" s="180">
        <f t="shared" ca="1" si="197"/>
        <v>0</v>
      </c>
      <c r="DU130" s="180">
        <f t="shared" ca="1" si="197"/>
        <v>0</v>
      </c>
      <c r="DV130" s="180">
        <f t="shared" ca="1" si="197"/>
        <v>0</v>
      </c>
      <c r="DW130" s="180">
        <f t="shared" ca="1" si="197"/>
        <v>0</v>
      </c>
      <c r="DX130" s="180">
        <f t="shared" ca="1" si="197"/>
        <v>0</v>
      </c>
      <c r="DY130" s="180">
        <f t="shared" ca="1" si="197"/>
        <v>0</v>
      </c>
      <c r="DZ130" s="180">
        <f t="shared" ca="1" si="197"/>
        <v>0</v>
      </c>
      <c r="EA130" s="180">
        <f t="shared" ca="1" si="197"/>
        <v>0</v>
      </c>
      <c r="EB130" s="180">
        <f t="shared" ca="1" si="197"/>
        <v>0</v>
      </c>
      <c r="EC130" s="180">
        <f t="shared" ca="1" si="196"/>
        <v>0</v>
      </c>
      <c r="ED130" s="180">
        <f t="shared" ca="1" si="196"/>
        <v>0</v>
      </c>
      <c r="EE130" s="180">
        <f t="shared" ca="1" si="196"/>
        <v>0</v>
      </c>
      <c r="EF130" s="180">
        <f t="shared" ca="1" si="174"/>
        <v>0</v>
      </c>
      <c r="EG130" s="180">
        <f t="shared" ca="1" si="174"/>
        <v>0</v>
      </c>
      <c r="EH130" s="180">
        <f t="shared" ca="1" si="174"/>
        <v>0</v>
      </c>
      <c r="EI130" s="180">
        <f t="shared" ca="1" si="175"/>
        <v>0</v>
      </c>
      <c r="EJ130" s="180">
        <f t="shared" ca="1" si="175"/>
        <v>0</v>
      </c>
      <c r="EK130" s="180">
        <f t="shared" ca="1" si="175"/>
        <v>0</v>
      </c>
      <c r="EL130" s="180">
        <f t="shared" ca="1" si="175"/>
        <v>0</v>
      </c>
      <c r="EM130" s="180">
        <f t="shared" ca="1" si="175"/>
        <v>0</v>
      </c>
      <c r="EN130" s="180">
        <f t="shared" ca="1" si="175"/>
        <v>0</v>
      </c>
      <c r="EO130" s="180">
        <f t="shared" ca="1" si="175"/>
        <v>0</v>
      </c>
      <c r="EP130" s="180">
        <f t="shared" ca="1" si="175"/>
        <v>0</v>
      </c>
      <c r="EQ130" s="180"/>
      <c r="ER130" s="180"/>
    </row>
    <row r="131" spans="2:148" s="87" customFormat="1" hidden="1" x14ac:dyDescent="0.25">
      <c r="B131" s="151"/>
      <c r="C131" s="87">
        <v>70</v>
      </c>
      <c r="D131" s="258">
        <f t="shared" ca="1" si="201"/>
        <v>48283</v>
      </c>
      <c r="E131" s="175">
        <f t="shared" si="199"/>
        <v>0</v>
      </c>
      <c r="F131" s="175">
        <f t="shared" ca="1" si="199"/>
        <v>0.27362447615341906</v>
      </c>
      <c r="G131" s="175">
        <f t="shared" ca="1" si="199"/>
        <v>0.27362447615341906</v>
      </c>
      <c r="H131" s="175">
        <f t="shared" ca="1" si="199"/>
        <v>0.27362447615341906</v>
      </c>
      <c r="I131" s="175">
        <f t="shared" si="199"/>
        <v>0</v>
      </c>
      <c r="J131" s="175">
        <f t="shared" si="199"/>
        <v>0</v>
      </c>
      <c r="K131" s="175">
        <f t="shared" si="199"/>
        <v>0</v>
      </c>
      <c r="L131" s="175">
        <f t="shared" si="199"/>
        <v>0</v>
      </c>
      <c r="M131" s="175">
        <f t="shared" si="199"/>
        <v>0</v>
      </c>
      <c r="N131" s="175">
        <f t="shared" si="199"/>
        <v>0</v>
      </c>
      <c r="O131" s="175">
        <f t="shared" si="200"/>
        <v>0</v>
      </c>
      <c r="P131" s="175">
        <f t="shared" si="200"/>
        <v>0</v>
      </c>
      <c r="Q131" s="175">
        <f t="shared" si="200"/>
        <v>0</v>
      </c>
      <c r="R131" s="175">
        <f t="shared" si="200"/>
        <v>0</v>
      </c>
      <c r="S131" s="175">
        <f t="shared" si="200"/>
        <v>0</v>
      </c>
      <c r="T131" s="175">
        <f t="shared" si="200"/>
        <v>0</v>
      </c>
      <c r="U131" s="175">
        <f t="shared" si="200"/>
        <v>0</v>
      </c>
      <c r="V131" s="175"/>
      <c r="W131" s="140"/>
      <c r="X131" s="87">
        <v>113</v>
      </c>
      <c r="Y131" s="87">
        <f t="shared" si="138"/>
        <v>0</v>
      </c>
      <c r="Z131" s="87">
        <f t="shared" si="139"/>
        <v>0</v>
      </c>
      <c r="AA131" s="87">
        <f t="shared" si="140"/>
        <v>0</v>
      </c>
      <c r="AB131" s="87">
        <f t="shared" si="141"/>
        <v>0</v>
      </c>
      <c r="AC131" s="87">
        <f t="shared" si="142"/>
        <v>0</v>
      </c>
      <c r="AD131" s="87">
        <f t="shared" si="143"/>
        <v>0</v>
      </c>
      <c r="AE131" s="87">
        <f t="shared" si="144"/>
        <v>0</v>
      </c>
      <c r="AF131" s="87">
        <f t="shared" si="145"/>
        <v>0</v>
      </c>
      <c r="AG131" s="87">
        <f t="shared" si="146"/>
        <v>0</v>
      </c>
      <c r="AH131" s="87">
        <f t="shared" si="147"/>
        <v>0</v>
      </c>
      <c r="AI131" s="87">
        <f t="shared" si="148"/>
        <v>0</v>
      </c>
      <c r="AJ131" s="87">
        <f t="shared" si="149"/>
        <v>0</v>
      </c>
      <c r="AK131" s="87">
        <f t="shared" si="150"/>
        <v>0</v>
      </c>
      <c r="AL131" s="87">
        <f t="shared" si="151"/>
        <v>0</v>
      </c>
      <c r="AM131" s="87">
        <f t="shared" si="152"/>
        <v>0</v>
      </c>
      <c r="AN131" s="87">
        <f t="shared" si="153"/>
        <v>0</v>
      </c>
      <c r="AO131" s="87">
        <f t="shared" si="154"/>
        <v>0</v>
      </c>
      <c r="AP131" s="140"/>
      <c r="AQ131" s="426">
        <v>113</v>
      </c>
      <c r="AR131" s="258">
        <f t="shared" ca="1" si="160"/>
        <v>49592</v>
      </c>
      <c r="AS131" s="429">
        <f t="shared" si="178"/>
        <v>0</v>
      </c>
      <c r="AT131" s="140"/>
      <c r="AU131" s="278">
        <v>113</v>
      </c>
      <c r="AV131" s="258">
        <f t="shared" ca="1" si="161"/>
        <v>49623</v>
      </c>
      <c r="AW131" s="429">
        <f t="shared" si="155"/>
        <v>0</v>
      </c>
      <c r="AX131" s="202">
        <f t="shared" ca="1" si="156"/>
        <v>0</v>
      </c>
      <c r="AY131" s="278">
        <v>113</v>
      </c>
      <c r="AZ131" s="258">
        <f t="shared" ca="1" si="162"/>
        <v>49623</v>
      </c>
      <c r="BA131" s="429">
        <f t="shared" si="157"/>
        <v>0</v>
      </c>
      <c r="BB131" s="259">
        <f t="shared" ca="1" si="119"/>
        <v>49592</v>
      </c>
      <c r="BC131" s="428">
        <f t="shared" ca="1" si="158"/>
        <v>0</v>
      </c>
      <c r="BD131" s="188">
        <f t="shared" si="179"/>
        <v>0</v>
      </c>
      <c r="BE131" s="188">
        <f t="shared" si="180"/>
        <v>0</v>
      </c>
      <c r="BF131" s="188">
        <f t="shared" si="181"/>
        <v>0</v>
      </c>
      <c r="BG131" s="87">
        <f t="shared" si="182"/>
        <v>0</v>
      </c>
      <c r="BH131" s="87">
        <f t="shared" si="183"/>
        <v>0</v>
      </c>
      <c r="BI131" s="87">
        <f t="shared" si="184"/>
        <v>0</v>
      </c>
      <c r="BJ131" s="87">
        <f t="shared" si="185"/>
        <v>0</v>
      </c>
      <c r="BK131" s="87">
        <f t="shared" si="186"/>
        <v>0</v>
      </c>
      <c r="BL131" s="87">
        <f t="shared" si="187"/>
        <v>0</v>
      </c>
      <c r="BM131" s="87">
        <f t="shared" si="188"/>
        <v>0</v>
      </c>
      <c r="BN131" s="87">
        <f t="shared" si="189"/>
        <v>0</v>
      </c>
      <c r="BO131" s="87">
        <f t="shared" si="190"/>
        <v>0</v>
      </c>
      <c r="BP131" s="87">
        <f t="shared" si="191"/>
        <v>0</v>
      </c>
      <c r="BQ131" s="87">
        <f t="shared" si="192"/>
        <v>0</v>
      </c>
      <c r="BR131" s="87">
        <f t="shared" si="193"/>
        <v>0</v>
      </c>
      <c r="BS131" s="87">
        <f t="shared" si="194"/>
        <v>0</v>
      </c>
      <c r="BT131" s="87">
        <f t="shared" si="195"/>
        <v>0</v>
      </c>
      <c r="BV131" s="177"/>
      <c r="BW131" s="177"/>
      <c r="BX131" s="267"/>
      <c r="BY131" s="267"/>
      <c r="BZ131" s="267"/>
      <c r="CA131" s="267"/>
      <c r="CB131" s="267"/>
      <c r="CC131" s="267"/>
      <c r="CD131" s="267"/>
      <c r="CE131" s="267"/>
      <c r="CF131" s="267"/>
      <c r="CG131" s="267"/>
      <c r="CH131" s="267"/>
      <c r="CI131" s="435"/>
      <c r="CJ131" s="436"/>
      <c r="CK131" s="437"/>
      <c r="CM131" s="64" t="s">
        <v>3039</v>
      </c>
      <c r="CN131" s="707">
        <v>63</v>
      </c>
      <c r="CS131" s="178">
        <v>113</v>
      </c>
      <c r="CT131" s="259">
        <f t="shared" ca="1" si="137"/>
        <v>49623</v>
      </c>
      <c r="CU131" s="179">
        <f t="shared" ca="1" si="159"/>
        <v>0</v>
      </c>
      <c r="CV131" s="179">
        <f t="shared" ca="1" si="198"/>
        <v>0</v>
      </c>
      <c r="CW131" s="179">
        <f t="shared" ca="1" si="198"/>
        <v>0</v>
      </c>
      <c r="CX131" s="179">
        <f t="shared" ca="1" si="198"/>
        <v>0</v>
      </c>
      <c r="CY131" s="179">
        <f t="shared" ca="1" si="198"/>
        <v>0</v>
      </c>
      <c r="CZ131" s="179">
        <f t="shared" ca="1" si="198"/>
        <v>0</v>
      </c>
      <c r="DA131" s="179">
        <f t="shared" ca="1" si="198"/>
        <v>0</v>
      </c>
      <c r="DB131" s="179">
        <f t="shared" ca="1" si="198"/>
        <v>0</v>
      </c>
      <c r="DC131" s="179">
        <f t="shared" ca="1" si="198"/>
        <v>0</v>
      </c>
      <c r="DD131" s="179">
        <f t="shared" ca="1" si="198"/>
        <v>0</v>
      </c>
      <c r="DE131" s="179">
        <f t="shared" ca="1" si="198"/>
        <v>0</v>
      </c>
      <c r="DF131" s="179" t="e">
        <f t="shared" ca="1" si="198"/>
        <v>#VALUE!</v>
      </c>
      <c r="DG131" s="179" t="e">
        <f t="shared" ca="1" si="198"/>
        <v>#VALUE!</v>
      </c>
      <c r="DH131" s="179" t="e">
        <f t="shared" ca="1" si="198"/>
        <v>#VALUE!</v>
      </c>
      <c r="DI131" s="179" t="e">
        <f t="shared" ca="1" si="198"/>
        <v>#VALUE!</v>
      </c>
      <c r="DJ131" s="179" t="e">
        <f t="shared" ca="1" si="113"/>
        <v>#VALUE!</v>
      </c>
      <c r="DK131" s="179" t="e">
        <f t="shared" ca="1" si="113"/>
        <v>#VALUE!</v>
      </c>
      <c r="DL131" s="179" t="e">
        <f t="shared" ca="1" si="169"/>
        <v>#VALUE!</v>
      </c>
      <c r="DM131" s="179" t="e">
        <f t="shared" ca="1" si="169"/>
        <v>#VALUE!</v>
      </c>
      <c r="DN131" s="179" t="e">
        <f t="shared" ca="1" si="169"/>
        <v>#VALUE!</v>
      </c>
      <c r="DO131" s="179" t="e">
        <f t="shared" ca="1" si="169"/>
        <v>#VALUE!</v>
      </c>
      <c r="DP131" s="179" t="e">
        <f t="shared" ca="1" si="169"/>
        <v>#VALUE!</v>
      </c>
      <c r="DQ131" s="179" t="e">
        <f t="shared" ca="1" si="169"/>
        <v>#VALUE!</v>
      </c>
      <c r="DR131" s="431">
        <v>113</v>
      </c>
      <c r="DS131" s="430">
        <f t="shared" ca="1" si="164"/>
        <v>49592</v>
      </c>
      <c r="DT131" s="180">
        <f t="shared" ca="1" si="197"/>
        <v>0</v>
      </c>
      <c r="DU131" s="180">
        <f t="shared" ca="1" si="197"/>
        <v>0</v>
      </c>
      <c r="DV131" s="180">
        <f t="shared" ca="1" si="197"/>
        <v>0</v>
      </c>
      <c r="DW131" s="180">
        <f t="shared" ca="1" si="197"/>
        <v>0</v>
      </c>
      <c r="DX131" s="180">
        <f t="shared" ca="1" si="197"/>
        <v>0</v>
      </c>
      <c r="DY131" s="180">
        <f t="shared" ca="1" si="197"/>
        <v>0</v>
      </c>
      <c r="DZ131" s="180">
        <f t="shared" ca="1" si="197"/>
        <v>0</v>
      </c>
      <c r="EA131" s="180">
        <f t="shared" ca="1" si="197"/>
        <v>0</v>
      </c>
      <c r="EB131" s="180">
        <f t="shared" ca="1" si="197"/>
        <v>0</v>
      </c>
      <c r="EC131" s="180">
        <f t="shared" ca="1" si="196"/>
        <v>0</v>
      </c>
      <c r="ED131" s="180">
        <f t="shared" ca="1" si="196"/>
        <v>0</v>
      </c>
      <c r="EE131" s="180">
        <f t="shared" ca="1" si="196"/>
        <v>0</v>
      </c>
      <c r="EF131" s="180">
        <f t="shared" ca="1" si="174"/>
        <v>0</v>
      </c>
      <c r="EG131" s="180">
        <f t="shared" ca="1" si="174"/>
        <v>0</v>
      </c>
      <c r="EH131" s="180">
        <f t="shared" ca="1" si="174"/>
        <v>0</v>
      </c>
      <c r="EI131" s="180">
        <f t="shared" ca="1" si="175"/>
        <v>0</v>
      </c>
      <c r="EJ131" s="180">
        <f t="shared" ca="1" si="175"/>
        <v>0</v>
      </c>
      <c r="EK131" s="180">
        <f t="shared" ca="1" si="175"/>
        <v>0</v>
      </c>
      <c r="EL131" s="180">
        <f t="shared" ca="1" si="175"/>
        <v>0</v>
      </c>
      <c r="EM131" s="180">
        <f t="shared" ca="1" si="175"/>
        <v>0</v>
      </c>
      <c r="EN131" s="180">
        <f t="shared" ca="1" si="175"/>
        <v>0</v>
      </c>
      <c r="EO131" s="180">
        <f t="shared" ca="1" si="175"/>
        <v>0</v>
      </c>
      <c r="EP131" s="180">
        <f t="shared" ca="1" si="175"/>
        <v>0</v>
      </c>
      <c r="EQ131" s="180"/>
      <c r="ER131" s="180"/>
    </row>
    <row r="132" spans="2:148" s="87" customFormat="1" hidden="1" x14ac:dyDescent="0.25">
      <c r="B132" s="151"/>
      <c r="C132" s="87">
        <v>71</v>
      </c>
      <c r="D132" s="258">
        <f t="shared" ca="1" si="201"/>
        <v>48314</v>
      </c>
      <c r="E132" s="175">
        <f t="shared" ref="E132:N141" si="202">IF($C132&lt;=E$17,1/(($D$60+1)^(($D132-$D$61)/30)),0)</f>
        <v>0</v>
      </c>
      <c r="F132" s="175">
        <f t="shared" ca="1" si="202"/>
        <v>0.26849026405749132</v>
      </c>
      <c r="G132" s="175">
        <f t="shared" ca="1" si="202"/>
        <v>0.26849026405749132</v>
      </c>
      <c r="H132" s="175">
        <f t="shared" ca="1" si="202"/>
        <v>0.26849026405749132</v>
      </c>
      <c r="I132" s="175">
        <f t="shared" si="202"/>
        <v>0</v>
      </c>
      <c r="J132" s="175">
        <f t="shared" si="202"/>
        <v>0</v>
      </c>
      <c r="K132" s="175">
        <f t="shared" si="202"/>
        <v>0</v>
      </c>
      <c r="L132" s="175">
        <f t="shared" si="202"/>
        <v>0</v>
      </c>
      <c r="M132" s="175">
        <f t="shared" si="202"/>
        <v>0</v>
      </c>
      <c r="N132" s="175">
        <f t="shared" si="202"/>
        <v>0</v>
      </c>
      <c r="O132" s="175">
        <f t="shared" ref="O132:U141" si="203">IF($C132&lt;=O$17,1/(($D$60+1)^(($D132-$D$61)/30)),0)</f>
        <v>0</v>
      </c>
      <c r="P132" s="175">
        <f t="shared" si="203"/>
        <v>0</v>
      </c>
      <c r="Q132" s="175">
        <f t="shared" si="203"/>
        <v>0</v>
      </c>
      <c r="R132" s="175">
        <f t="shared" si="203"/>
        <v>0</v>
      </c>
      <c r="S132" s="175">
        <f t="shared" si="203"/>
        <v>0</v>
      </c>
      <c r="T132" s="175">
        <f t="shared" si="203"/>
        <v>0</v>
      </c>
      <c r="U132" s="175">
        <f t="shared" si="203"/>
        <v>0</v>
      </c>
      <c r="V132" s="175"/>
      <c r="W132" s="140"/>
      <c r="X132" s="87">
        <v>114</v>
      </c>
      <c r="Y132" s="87">
        <f t="shared" si="138"/>
        <v>0</v>
      </c>
      <c r="Z132" s="87">
        <f t="shared" si="139"/>
        <v>0</v>
      </c>
      <c r="AA132" s="87">
        <f t="shared" si="140"/>
        <v>0</v>
      </c>
      <c r="AB132" s="87">
        <f t="shared" si="141"/>
        <v>0</v>
      </c>
      <c r="AC132" s="87">
        <f t="shared" si="142"/>
        <v>0</v>
      </c>
      <c r="AD132" s="87">
        <f t="shared" si="143"/>
        <v>0</v>
      </c>
      <c r="AE132" s="87">
        <f t="shared" si="144"/>
        <v>0</v>
      </c>
      <c r="AF132" s="87">
        <f t="shared" si="145"/>
        <v>0</v>
      </c>
      <c r="AG132" s="87">
        <f t="shared" si="146"/>
        <v>0</v>
      </c>
      <c r="AH132" s="87">
        <f t="shared" si="147"/>
        <v>0</v>
      </c>
      <c r="AI132" s="87">
        <f t="shared" si="148"/>
        <v>0</v>
      </c>
      <c r="AJ132" s="87">
        <f t="shared" si="149"/>
        <v>0</v>
      </c>
      <c r="AK132" s="87">
        <f t="shared" si="150"/>
        <v>0</v>
      </c>
      <c r="AL132" s="87">
        <f t="shared" si="151"/>
        <v>0</v>
      </c>
      <c r="AM132" s="87">
        <f t="shared" si="152"/>
        <v>0</v>
      </c>
      <c r="AN132" s="87">
        <f t="shared" si="153"/>
        <v>0</v>
      </c>
      <c r="AO132" s="87">
        <f t="shared" si="154"/>
        <v>0</v>
      </c>
      <c r="AP132" s="140"/>
      <c r="AQ132" s="426">
        <v>114</v>
      </c>
      <c r="AR132" s="258">
        <f t="shared" ca="1" si="160"/>
        <v>49623</v>
      </c>
      <c r="AS132" s="429">
        <f t="shared" si="178"/>
        <v>0</v>
      </c>
      <c r="AT132" s="140"/>
      <c r="AU132" s="278">
        <v>114</v>
      </c>
      <c r="AV132" s="258">
        <f t="shared" ca="1" si="161"/>
        <v>49653</v>
      </c>
      <c r="AW132" s="429">
        <f t="shared" si="155"/>
        <v>0</v>
      </c>
      <c r="AX132" s="202">
        <f t="shared" ca="1" si="156"/>
        <v>0</v>
      </c>
      <c r="AY132" s="278">
        <v>114</v>
      </c>
      <c r="AZ132" s="258">
        <f t="shared" ca="1" si="162"/>
        <v>49653</v>
      </c>
      <c r="BA132" s="429">
        <f t="shared" si="157"/>
        <v>0</v>
      </c>
      <c r="BB132" s="259">
        <f t="shared" ca="1" si="119"/>
        <v>49623</v>
      </c>
      <c r="BC132" s="428">
        <f t="shared" ca="1" si="158"/>
        <v>0</v>
      </c>
      <c r="BD132" s="188">
        <f t="shared" si="179"/>
        <v>0</v>
      </c>
      <c r="BE132" s="188">
        <f t="shared" si="180"/>
        <v>0</v>
      </c>
      <c r="BF132" s="188">
        <f t="shared" si="181"/>
        <v>0</v>
      </c>
      <c r="BG132" s="87">
        <f t="shared" si="182"/>
        <v>0</v>
      </c>
      <c r="BH132" s="87">
        <f t="shared" si="183"/>
        <v>0</v>
      </c>
      <c r="BI132" s="87">
        <f t="shared" si="184"/>
        <v>0</v>
      </c>
      <c r="BJ132" s="87">
        <f t="shared" si="185"/>
        <v>0</v>
      </c>
      <c r="BK132" s="87">
        <f t="shared" si="186"/>
        <v>0</v>
      </c>
      <c r="BL132" s="87">
        <f t="shared" si="187"/>
        <v>0</v>
      </c>
      <c r="BM132" s="87">
        <f t="shared" si="188"/>
        <v>0</v>
      </c>
      <c r="BN132" s="87">
        <f t="shared" si="189"/>
        <v>0</v>
      </c>
      <c r="BO132" s="87">
        <f t="shared" si="190"/>
        <v>0</v>
      </c>
      <c r="BP132" s="87">
        <f t="shared" si="191"/>
        <v>0</v>
      </c>
      <c r="BQ132" s="87">
        <f t="shared" si="192"/>
        <v>0</v>
      </c>
      <c r="BR132" s="87">
        <f t="shared" si="193"/>
        <v>0</v>
      </c>
      <c r="BS132" s="87">
        <f t="shared" si="194"/>
        <v>0</v>
      </c>
      <c r="BT132" s="87">
        <f t="shared" si="195"/>
        <v>0</v>
      </c>
      <c r="BV132" s="177"/>
      <c r="BW132" s="177"/>
      <c r="BX132" s="267"/>
      <c r="BY132" s="267"/>
      <c r="BZ132" s="267"/>
      <c r="CA132" s="267"/>
      <c r="CB132" s="267"/>
      <c r="CC132" s="267"/>
      <c r="CD132" s="267"/>
      <c r="CE132" s="267"/>
      <c r="CF132" s="267"/>
      <c r="CG132" s="267"/>
      <c r="CH132" s="267"/>
      <c r="CI132" s="435"/>
      <c r="CJ132" s="436"/>
      <c r="CK132" s="437"/>
      <c r="CM132" s="64" t="s">
        <v>3133</v>
      </c>
      <c r="CN132" s="707"/>
      <c r="CS132" s="138">
        <v>114</v>
      </c>
      <c r="CT132" s="259">
        <f t="shared" ca="1" si="137"/>
        <v>49653</v>
      </c>
      <c r="CU132" s="179">
        <f t="shared" ca="1" si="159"/>
        <v>0</v>
      </c>
      <c r="CV132" s="179">
        <f t="shared" ca="1" si="198"/>
        <v>0</v>
      </c>
      <c r="CW132" s="179">
        <f t="shared" ca="1" si="198"/>
        <v>0</v>
      </c>
      <c r="CX132" s="179">
        <f t="shared" ca="1" si="198"/>
        <v>0</v>
      </c>
      <c r="CY132" s="179">
        <f t="shared" ca="1" si="198"/>
        <v>0</v>
      </c>
      <c r="CZ132" s="179">
        <f t="shared" ca="1" si="198"/>
        <v>0</v>
      </c>
      <c r="DA132" s="179">
        <f t="shared" ca="1" si="198"/>
        <v>0</v>
      </c>
      <c r="DB132" s="179">
        <f t="shared" ca="1" si="198"/>
        <v>0</v>
      </c>
      <c r="DC132" s="179">
        <f t="shared" ca="1" si="198"/>
        <v>0</v>
      </c>
      <c r="DD132" s="179">
        <f t="shared" ca="1" si="198"/>
        <v>0</v>
      </c>
      <c r="DE132" s="179">
        <f t="shared" ca="1" si="198"/>
        <v>0</v>
      </c>
      <c r="DF132" s="179" t="e">
        <f t="shared" ca="1" si="198"/>
        <v>#VALUE!</v>
      </c>
      <c r="DG132" s="179" t="e">
        <f t="shared" ca="1" si="198"/>
        <v>#VALUE!</v>
      </c>
      <c r="DH132" s="179" t="e">
        <f t="shared" ca="1" si="198"/>
        <v>#VALUE!</v>
      </c>
      <c r="DI132" s="179" t="e">
        <f t="shared" ca="1" si="198"/>
        <v>#VALUE!</v>
      </c>
      <c r="DJ132" s="179" t="e">
        <f t="shared" ca="1" si="113"/>
        <v>#VALUE!</v>
      </c>
      <c r="DK132" s="179" t="e">
        <f t="shared" ca="1" si="113"/>
        <v>#VALUE!</v>
      </c>
      <c r="DL132" s="179" t="e">
        <f t="shared" ca="1" si="169"/>
        <v>#VALUE!</v>
      </c>
      <c r="DM132" s="179" t="e">
        <f t="shared" ca="1" si="169"/>
        <v>#VALUE!</v>
      </c>
      <c r="DN132" s="179" t="e">
        <f t="shared" ca="1" si="169"/>
        <v>#VALUE!</v>
      </c>
      <c r="DO132" s="179" t="e">
        <f t="shared" ca="1" si="169"/>
        <v>#VALUE!</v>
      </c>
      <c r="DP132" s="179" t="e">
        <f t="shared" ca="1" si="169"/>
        <v>#VALUE!</v>
      </c>
      <c r="DQ132" s="179" t="e">
        <f t="shared" ca="1" si="169"/>
        <v>#VALUE!</v>
      </c>
      <c r="DR132" s="278">
        <v>114</v>
      </c>
      <c r="DS132" s="430">
        <f t="shared" ca="1" si="164"/>
        <v>49623</v>
      </c>
      <c r="DT132" s="180">
        <f t="shared" ca="1" si="197"/>
        <v>0</v>
      </c>
      <c r="DU132" s="180">
        <f t="shared" ca="1" si="197"/>
        <v>0</v>
      </c>
      <c r="DV132" s="180">
        <f t="shared" ca="1" si="197"/>
        <v>0</v>
      </c>
      <c r="DW132" s="180">
        <f t="shared" ca="1" si="197"/>
        <v>0</v>
      </c>
      <c r="DX132" s="180">
        <f t="shared" ca="1" si="197"/>
        <v>0</v>
      </c>
      <c r="DY132" s="180">
        <f t="shared" ca="1" si="197"/>
        <v>0</v>
      </c>
      <c r="DZ132" s="180">
        <f t="shared" ca="1" si="197"/>
        <v>0</v>
      </c>
      <c r="EA132" s="180">
        <f t="shared" ca="1" si="197"/>
        <v>0</v>
      </c>
      <c r="EB132" s="180">
        <f t="shared" ca="1" si="197"/>
        <v>0</v>
      </c>
      <c r="EC132" s="180">
        <f t="shared" ca="1" si="196"/>
        <v>0</v>
      </c>
      <c r="ED132" s="180">
        <f t="shared" ca="1" si="196"/>
        <v>0</v>
      </c>
      <c r="EE132" s="180">
        <f t="shared" ca="1" si="196"/>
        <v>0</v>
      </c>
      <c r="EF132" s="180">
        <f t="shared" ca="1" si="174"/>
        <v>0</v>
      </c>
      <c r="EG132" s="180">
        <f t="shared" ca="1" si="174"/>
        <v>0</v>
      </c>
      <c r="EH132" s="180">
        <f t="shared" ca="1" si="174"/>
        <v>0</v>
      </c>
      <c r="EI132" s="180">
        <f t="shared" ca="1" si="175"/>
        <v>0</v>
      </c>
      <c r="EJ132" s="180">
        <f t="shared" ca="1" si="175"/>
        <v>0</v>
      </c>
      <c r="EK132" s="180">
        <f t="shared" ca="1" si="175"/>
        <v>0</v>
      </c>
      <c r="EL132" s="180">
        <f t="shared" ca="1" si="175"/>
        <v>0</v>
      </c>
      <c r="EM132" s="180">
        <f t="shared" ca="1" si="175"/>
        <v>0</v>
      </c>
      <c r="EN132" s="180">
        <f t="shared" ca="1" si="175"/>
        <v>0</v>
      </c>
      <c r="EO132" s="180">
        <f t="shared" ca="1" si="175"/>
        <v>0</v>
      </c>
      <c r="EP132" s="180">
        <f t="shared" ca="1" si="175"/>
        <v>0</v>
      </c>
      <c r="EQ132" s="180"/>
      <c r="ER132" s="180"/>
    </row>
    <row r="133" spans="2:148" s="87" customFormat="1" hidden="1" x14ac:dyDescent="0.25">
      <c r="B133" s="151"/>
      <c r="C133" s="87">
        <v>72</v>
      </c>
      <c r="D133" s="258">
        <f t="shared" ca="1" si="201"/>
        <v>48344</v>
      </c>
      <c r="E133" s="175">
        <f t="shared" si="202"/>
        <v>0</v>
      </c>
      <c r="F133" s="175">
        <f t="shared" ca="1" si="202"/>
        <v>0.26361341586400716</v>
      </c>
      <c r="G133" s="175">
        <f t="shared" ca="1" si="202"/>
        <v>0.26361341586400716</v>
      </c>
      <c r="H133" s="175">
        <f t="shared" ca="1" si="202"/>
        <v>0.26361341586400716</v>
      </c>
      <c r="I133" s="175">
        <f t="shared" si="202"/>
        <v>0</v>
      </c>
      <c r="J133" s="175">
        <f t="shared" si="202"/>
        <v>0</v>
      </c>
      <c r="K133" s="175">
        <f t="shared" si="202"/>
        <v>0</v>
      </c>
      <c r="L133" s="175">
        <f t="shared" si="202"/>
        <v>0</v>
      </c>
      <c r="M133" s="175">
        <f t="shared" si="202"/>
        <v>0</v>
      </c>
      <c r="N133" s="175">
        <f t="shared" si="202"/>
        <v>0</v>
      </c>
      <c r="O133" s="175">
        <f t="shared" si="203"/>
        <v>0</v>
      </c>
      <c r="P133" s="175">
        <f t="shared" si="203"/>
        <v>0</v>
      </c>
      <c r="Q133" s="175">
        <f t="shared" si="203"/>
        <v>0</v>
      </c>
      <c r="R133" s="175">
        <f t="shared" si="203"/>
        <v>0</v>
      </c>
      <c r="S133" s="175">
        <f t="shared" si="203"/>
        <v>0</v>
      </c>
      <c r="T133" s="175">
        <f t="shared" si="203"/>
        <v>0</v>
      </c>
      <c r="U133" s="175">
        <f t="shared" si="203"/>
        <v>0</v>
      </c>
      <c r="V133" s="175"/>
      <c r="W133" s="140"/>
      <c r="X133" s="87">
        <v>115</v>
      </c>
      <c r="Y133" s="87">
        <f t="shared" si="138"/>
        <v>0</v>
      </c>
      <c r="Z133" s="87">
        <f t="shared" si="139"/>
        <v>0</v>
      </c>
      <c r="AA133" s="87">
        <f t="shared" si="140"/>
        <v>0</v>
      </c>
      <c r="AB133" s="87">
        <f t="shared" si="141"/>
        <v>0</v>
      </c>
      <c r="AC133" s="87">
        <f t="shared" si="142"/>
        <v>0</v>
      </c>
      <c r="AD133" s="87">
        <f t="shared" si="143"/>
        <v>0</v>
      </c>
      <c r="AE133" s="87">
        <f t="shared" si="144"/>
        <v>0</v>
      </c>
      <c r="AF133" s="87">
        <f t="shared" si="145"/>
        <v>0</v>
      </c>
      <c r="AG133" s="87">
        <f t="shared" si="146"/>
        <v>0</v>
      </c>
      <c r="AH133" s="87">
        <f t="shared" si="147"/>
        <v>0</v>
      </c>
      <c r="AI133" s="87">
        <f t="shared" si="148"/>
        <v>0</v>
      </c>
      <c r="AJ133" s="87">
        <f t="shared" si="149"/>
        <v>0</v>
      </c>
      <c r="AK133" s="87">
        <f t="shared" si="150"/>
        <v>0</v>
      </c>
      <c r="AL133" s="87">
        <f t="shared" si="151"/>
        <v>0</v>
      </c>
      <c r="AM133" s="87">
        <f t="shared" si="152"/>
        <v>0</v>
      </c>
      <c r="AN133" s="87">
        <f t="shared" si="153"/>
        <v>0</v>
      </c>
      <c r="AO133" s="87">
        <f t="shared" si="154"/>
        <v>0</v>
      </c>
      <c r="AP133" s="140"/>
      <c r="AQ133" s="426">
        <v>115</v>
      </c>
      <c r="AR133" s="258">
        <f t="shared" ca="1" si="160"/>
        <v>49653</v>
      </c>
      <c r="AS133" s="429">
        <f t="shared" si="178"/>
        <v>0</v>
      </c>
      <c r="AT133" s="140"/>
      <c r="AU133" s="278">
        <v>115</v>
      </c>
      <c r="AV133" s="258">
        <f t="shared" ca="1" si="161"/>
        <v>49684</v>
      </c>
      <c r="AW133" s="429">
        <f t="shared" si="155"/>
        <v>0</v>
      </c>
      <c r="AX133" s="202">
        <f t="shared" ca="1" si="156"/>
        <v>0</v>
      </c>
      <c r="AY133" s="278">
        <v>115</v>
      </c>
      <c r="AZ133" s="258">
        <f t="shared" ca="1" si="162"/>
        <v>49684</v>
      </c>
      <c r="BA133" s="429">
        <f t="shared" si="157"/>
        <v>0</v>
      </c>
      <c r="BB133" s="259">
        <f t="shared" ca="1" si="119"/>
        <v>49653</v>
      </c>
      <c r="BC133" s="428">
        <f t="shared" ca="1" si="158"/>
        <v>0</v>
      </c>
      <c r="BD133" s="188">
        <f t="shared" si="179"/>
        <v>0</v>
      </c>
      <c r="BE133" s="188">
        <f t="shared" si="180"/>
        <v>0</v>
      </c>
      <c r="BF133" s="188">
        <f t="shared" si="181"/>
        <v>0</v>
      </c>
      <c r="BG133" s="87">
        <f t="shared" si="182"/>
        <v>0</v>
      </c>
      <c r="BH133" s="87">
        <f t="shared" si="183"/>
        <v>0</v>
      </c>
      <c r="BI133" s="87">
        <f t="shared" si="184"/>
        <v>0</v>
      </c>
      <c r="BJ133" s="87">
        <f t="shared" si="185"/>
        <v>0</v>
      </c>
      <c r="BK133" s="87">
        <f t="shared" si="186"/>
        <v>0</v>
      </c>
      <c r="BL133" s="87">
        <f t="shared" si="187"/>
        <v>0</v>
      </c>
      <c r="BM133" s="87">
        <f t="shared" si="188"/>
        <v>0</v>
      </c>
      <c r="BN133" s="87">
        <f t="shared" si="189"/>
        <v>0</v>
      </c>
      <c r="BO133" s="87">
        <f t="shared" si="190"/>
        <v>0</v>
      </c>
      <c r="BP133" s="87">
        <f t="shared" si="191"/>
        <v>0</v>
      </c>
      <c r="BQ133" s="87">
        <f t="shared" si="192"/>
        <v>0</v>
      </c>
      <c r="BR133" s="87">
        <f t="shared" si="193"/>
        <v>0</v>
      </c>
      <c r="BS133" s="87">
        <f t="shared" si="194"/>
        <v>0</v>
      </c>
      <c r="BT133" s="87">
        <f t="shared" si="195"/>
        <v>0</v>
      </c>
      <c r="BV133" s="177"/>
      <c r="BW133" s="177"/>
      <c r="BX133" s="267"/>
      <c r="BY133" s="267"/>
      <c r="BZ133" s="267"/>
      <c r="CA133" s="267"/>
      <c r="CB133" s="267"/>
      <c r="CC133" s="267"/>
      <c r="CD133" s="267"/>
      <c r="CE133" s="267"/>
      <c r="CF133" s="267"/>
      <c r="CG133" s="267"/>
      <c r="CH133" s="267"/>
      <c r="CI133" s="435"/>
      <c r="CJ133" s="436"/>
      <c r="CK133" s="437"/>
      <c r="CM133" s="64" t="s">
        <v>587</v>
      </c>
      <c r="CN133" s="707">
        <v>39</v>
      </c>
      <c r="CS133" s="87">
        <v>115</v>
      </c>
      <c r="CT133" s="259">
        <f t="shared" ca="1" si="137"/>
        <v>49684</v>
      </c>
      <c r="CU133" s="179">
        <f t="shared" ca="1" si="159"/>
        <v>0</v>
      </c>
      <c r="CV133" s="179">
        <f t="shared" ca="1" si="198"/>
        <v>0</v>
      </c>
      <c r="CW133" s="179">
        <f t="shared" ca="1" si="198"/>
        <v>0</v>
      </c>
      <c r="CX133" s="179">
        <f t="shared" ca="1" si="198"/>
        <v>0</v>
      </c>
      <c r="CY133" s="179">
        <f t="shared" ca="1" si="198"/>
        <v>0</v>
      </c>
      <c r="CZ133" s="179">
        <f t="shared" ca="1" si="198"/>
        <v>0</v>
      </c>
      <c r="DA133" s="179">
        <f t="shared" ca="1" si="198"/>
        <v>0</v>
      </c>
      <c r="DB133" s="179">
        <f t="shared" ca="1" si="198"/>
        <v>0</v>
      </c>
      <c r="DC133" s="179">
        <f t="shared" ca="1" si="198"/>
        <v>0</v>
      </c>
      <c r="DD133" s="179">
        <f t="shared" ca="1" si="198"/>
        <v>0</v>
      </c>
      <c r="DE133" s="179">
        <f t="shared" ca="1" si="198"/>
        <v>0</v>
      </c>
      <c r="DF133" s="179" t="e">
        <f t="shared" ca="1" si="198"/>
        <v>#VALUE!</v>
      </c>
      <c r="DG133" s="179" t="e">
        <f t="shared" ca="1" si="198"/>
        <v>#VALUE!</v>
      </c>
      <c r="DH133" s="179" t="e">
        <f t="shared" ca="1" si="198"/>
        <v>#VALUE!</v>
      </c>
      <c r="DI133" s="179" t="e">
        <f t="shared" ca="1" si="198"/>
        <v>#VALUE!</v>
      </c>
      <c r="DJ133" s="179" t="e">
        <f t="shared" ca="1" si="113"/>
        <v>#VALUE!</v>
      </c>
      <c r="DK133" s="179" t="e">
        <f t="shared" ca="1" si="113"/>
        <v>#VALUE!</v>
      </c>
      <c r="DL133" s="179" t="e">
        <f t="shared" ca="1" si="169"/>
        <v>#VALUE!</v>
      </c>
      <c r="DM133" s="179" t="e">
        <f t="shared" ca="1" si="169"/>
        <v>#VALUE!</v>
      </c>
      <c r="DN133" s="179" t="e">
        <f t="shared" ca="1" si="169"/>
        <v>#VALUE!</v>
      </c>
      <c r="DO133" s="179" t="e">
        <f t="shared" ca="1" si="169"/>
        <v>#VALUE!</v>
      </c>
      <c r="DP133" s="179" t="e">
        <f t="shared" ca="1" si="169"/>
        <v>#VALUE!</v>
      </c>
      <c r="DQ133" s="179" t="e">
        <f t="shared" ca="1" si="169"/>
        <v>#VALUE!</v>
      </c>
      <c r="DR133" s="188">
        <v>115</v>
      </c>
      <c r="DS133" s="430">
        <f t="shared" ca="1" si="164"/>
        <v>49653</v>
      </c>
      <c r="DT133" s="180">
        <f t="shared" ca="1" si="197"/>
        <v>0</v>
      </c>
      <c r="DU133" s="180">
        <f t="shared" ca="1" si="197"/>
        <v>0</v>
      </c>
      <c r="DV133" s="180">
        <f t="shared" ca="1" si="197"/>
        <v>0</v>
      </c>
      <c r="DW133" s="180">
        <f t="shared" ca="1" si="197"/>
        <v>0</v>
      </c>
      <c r="DX133" s="180">
        <f t="shared" ca="1" si="197"/>
        <v>0</v>
      </c>
      <c r="DY133" s="180">
        <f t="shared" ca="1" si="197"/>
        <v>0</v>
      </c>
      <c r="DZ133" s="180">
        <f t="shared" ca="1" si="197"/>
        <v>0</v>
      </c>
      <c r="EA133" s="180">
        <f t="shared" ca="1" si="197"/>
        <v>0</v>
      </c>
      <c r="EB133" s="180">
        <f t="shared" ca="1" si="197"/>
        <v>0</v>
      </c>
      <c r="EC133" s="180">
        <f t="shared" ca="1" si="196"/>
        <v>0</v>
      </c>
      <c r="ED133" s="180">
        <f t="shared" ca="1" si="196"/>
        <v>0</v>
      </c>
      <c r="EE133" s="180">
        <f t="shared" ca="1" si="196"/>
        <v>0</v>
      </c>
      <c r="EF133" s="180">
        <f t="shared" ca="1" si="174"/>
        <v>0</v>
      </c>
      <c r="EG133" s="180">
        <f t="shared" ca="1" si="174"/>
        <v>0</v>
      </c>
      <c r="EH133" s="180">
        <f t="shared" ca="1" si="174"/>
        <v>0</v>
      </c>
      <c r="EI133" s="180">
        <f t="shared" ca="1" si="175"/>
        <v>0</v>
      </c>
      <c r="EJ133" s="180">
        <f t="shared" ca="1" si="175"/>
        <v>0</v>
      </c>
      <c r="EK133" s="180">
        <f t="shared" ca="1" si="175"/>
        <v>0</v>
      </c>
      <c r="EL133" s="180">
        <f t="shared" ca="1" si="175"/>
        <v>0</v>
      </c>
      <c r="EM133" s="180">
        <f t="shared" ca="1" si="175"/>
        <v>0</v>
      </c>
      <c r="EN133" s="180">
        <f t="shared" ca="1" si="175"/>
        <v>0</v>
      </c>
      <c r="EO133" s="180">
        <f t="shared" ca="1" si="175"/>
        <v>0</v>
      </c>
      <c r="EP133" s="180">
        <f t="shared" ca="1" si="175"/>
        <v>0</v>
      </c>
      <c r="EQ133" s="180"/>
      <c r="ER133" s="180"/>
    </row>
    <row r="134" spans="2:148" s="87" customFormat="1" hidden="1" x14ac:dyDescent="0.25">
      <c r="B134" s="151"/>
      <c r="C134" s="87">
        <v>73</v>
      </c>
      <c r="D134" s="258">
        <f t="shared" ca="1" si="201"/>
        <v>48375</v>
      </c>
      <c r="E134" s="175">
        <f t="shared" si="202"/>
        <v>0</v>
      </c>
      <c r="F134" s="175">
        <f t="shared" ca="1" si="202"/>
        <v>0.25866704846513844</v>
      </c>
      <c r="G134" s="175">
        <f t="shared" ca="1" si="202"/>
        <v>0.25866704846513844</v>
      </c>
      <c r="H134" s="175">
        <f t="shared" ca="1" si="202"/>
        <v>0.25866704846513844</v>
      </c>
      <c r="I134" s="175">
        <f t="shared" si="202"/>
        <v>0</v>
      </c>
      <c r="J134" s="175">
        <f t="shared" si="202"/>
        <v>0</v>
      </c>
      <c r="K134" s="175">
        <f t="shared" si="202"/>
        <v>0</v>
      </c>
      <c r="L134" s="175">
        <f t="shared" si="202"/>
        <v>0</v>
      </c>
      <c r="M134" s="175">
        <f t="shared" si="202"/>
        <v>0</v>
      </c>
      <c r="N134" s="175">
        <f t="shared" si="202"/>
        <v>0</v>
      </c>
      <c r="O134" s="175">
        <f t="shared" si="203"/>
        <v>0</v>
      </c>
      <c r="P134" s="175">
        <f t="shared" si="203"/>
        <v>0</v>
      </c>
      <c r="Q134" s="175">
        <f t="shared" si="203"/>
        <v>0</v>
      </c>
      <c r="R134" s="175">
        <f t="shared" si="203"/>
        <v>0</v>
      </c>
      <c r="S134" s="175">
        <f t="shared" si="203"/>
        <v>0</v>
      </c>
      <c r="T134" s="175">
        <f t="shared" si="203"/>
        <v>0</v>
      </c>
      <c r="U134" s="175">
        <f t="shared" si="203"/>
        <v>0</v>
      </c>
      <c r="V134" s="175"/>
      <c r="W134" s="140"/>
      <c r="X134" s="87">
        <v>116</v>
      </c>
      <c r="Y134" s="87">
        <f t="shared" si="138"/>
        <v>0</v>
      </c>
      <c r="Z134" s="87">
        <f t="shared" si="139"/>
        <v>0</v>
      </c>
      <c r="AA134" s="87">
        <f t="shared" si="140"/>
        <v>0</v>
      </c>
      <c r="AB134" s="87">
        <f t="shared" si="141"/>
        <v>0</v>
      </c>
      <c r="AC134" s="87">
        <f t="shared" si="142"/>
        <v>0</v>
      </c>
      <c r="AD134" s="87">
        <f t="shared" si="143"/>
        <v>0</v>
      </c>
      <c r="AE134" s="87">
        <f t="shared" si="144"/>
        <v>0</v>
      </c>
      <c r="AF134" s="87">
        <f t="shared" si="145"/>
        <v>0</v>
      </c>
      <c r="AG134" s="87">
        <f t="shared" si="146"/>
        <v>0</v>
      </c>
      <c r="AH134" s="87">
        <f t="shared" si="147"/>
        <v>0</v>
      </c>
      <c r="AI134" s="87">
        <f t="shared" si="148"/>
        <v>0</v>
      </c>
      <c r="AJ134" s="87">
        <f t="shared" si="149"/>
        <v>0</v>
      </c>
      <c r="AK134" s="87">
        <f t="shared" si="150"/>
        <v>0</v>
      </c>
      <c r="AL134" s="87">
        <f t="shared" si="151"/>
        <v>0</v>
      </c>
      <c r="AM134" s="87">
        <f t="shared" si="152"/>
        <v>0</v>
      </c>
      <c r="AN134" s="87">
        <f t="shared" si="153"/>
        <v>0</v>
      </c>
      <c r="AO134" s="87">
        <f t="shared" si="154"/>
        <v>0</v>
      </c>
      <c r="AP134" s="140"/>
      <c r="AQ134" s="426">
        <v>116</v>
      </c>
      <c r="AR134" s="258">
        <f t="shared" ca="1" si="160"/>
        <v>49684</v>
      </c>
      <c r="AS134" s="429">
        <f t="shared" si="178"/>
        <v>0</v>
      </c>
      <c r="AT134" s="140"/>
      <c r="AU134" s="278">
        <v>116</v>
      </c>
      <c r="AV134" s="258">
        <f t="shared" ca="1" si="161"/>
        <v>49715</v>
      </c>
      <c r="AW134" s="429">
        <f t="shared" si="155"/>
        <v>0</v>
      </c>
      <c r="AX134" s="202">
        <f t="shared" ca="1" si="156"/>
        <v>0</v>
      </c>
      <c r="AY134" s="278">
        <v>116</v>
      </c>
      <c r="AZ134" s="258">
        <f t="shared" ca="1" si="162"/>
        <v>49715</v>
      </c>
      <c r="BA134" s="429">
        <f t="shared" si="157"/>
        <v>0</v>
      </c>
      <c r="BB134" s="259">
        <f t="shared" ca="1" si="119"/>
        <v>49684</v>
      </c>
      <c r="BC134" s="428">
        <f t="shared" ca="1" si="158"/>
        <v>0</v>
      </c>
      <c r="BD134" s="188">
        <f t="shared" si="179"/>
        <v>0</v>
      </c>
      <c r="BE134" s="188">
        <f t="shared" si="180"/>
        <v>0</v>
      </c>
      <c r="BF134" s="188">
        <f t="shared" si="181"/>
        <v>0</v>
      </c>
      <c r="BG134" s="87">
        <f t="shared" si="182"/>
        <v>0</v>
      </c>
      <c r="BH134" s="87">
        <f t="shared" si="183"/>
        <v>0</v>
      </c>
      <c r="BI134" s="87">
        <f t="shared" si="184"/>
        <v>0</v>
      </c>
      <c r="BJ134" s="87">
        <f t="shared" si="185"/>
        <v>0</v>
      </c>
      <c r="BK134" s="87">
        <f t="shared" si="186"/>
        <v>0</v>
      </c>
      <c r="BL134" s="87">
        <f t="shared" si="187"/>
        <v>0</v>
      </c>
      <c r="BM134" s="87">
        <f t="shared" si="188"/>
        <v>0</v>
      </c>
      <c r="BN134" s="87">
        <f t="shared" si="189"/>
        <v>0</v>
      </c>
      <c r="BO134" s="87">
        <f t="shared" si="190"/>
        <v>0</v>
      </c>
      <c r="BP134" s="87">
        <f t="shared" si="191"/>
        <v>0</v>
      </c>
      <c r="BQ134" s="87">
        <f t="shared" si="192"/>
        <v>0</v>
      </c>
      <c r="BR134" s="87">
        <f t="shared" si="193"/>
        <v>0</v>
      </c>
      <c r="BS134" s="87">
        <f t="shared" si="194"/>
        <v>0</v>
      </c>
      <c r="BT134" s="87">
        <f t="shared" si="195"/>
        <v>0</v>
      </c>
      <c r="BV134" s="177"/>
      <c r="BW134" s="177"/>
      <c r="BX134" s="267"/>
      <c r="BY134" s="267"/>
      <c r="BZ134" s="267"/>
      <c r="CA134" s="267"/>
      <c r="CB134" s="267"/>
      <c r="CC134" s="267"/>
      <c r="CD134" s="267"/>
      <c r="CE134" s="267"/>
      <c r="CF134" s="267"/>
      <c r="CG134" s="267"/>
      <c r="CH134" s="267"/>
      <c r="CI134" s="435"/>
      <c r="CJ134" s="436"/>
      <c r="CK134" s="437"/>
      <c r="CM134" s="64" t="s">
        <v>589</v>
      </c>
      <c r="CN134" s="707">
        <v>37</v>
      </c>
      <c r="CS134" s="178">
        <v>116</v>
      </c>
      <c r="CT134" s="259">
        <f t="shared" ca="1" si="137"/>
        <v>49715</v>
      </c>
      <c r="CU134" s="179">
        <f t="shared" ca="1" si="159"/>
        <v>0</v>
      </c>
      <c r="CV134" s="179">
        <f t="shared" ca="1" si="198"/>
        <v>0</v>
      </c>
      <c r="CW134" s="179">
        <f t="shared" ca="1" si="198"/>
        <v>0</v>
      </c>
      <c r="CX134" s="179">
        <f t="shared" ca="1" si="198"/>
        <v>0</v>
      </c>
      <c r="CY134" s="179">
        <f t="shared" ca="1" si="198"/>
        <v>0</v>
      </c>
      <c r="CZ134" s="179">
        <f t="shared" ca="1" si="198"/>
        <v>0</v>
      </c>
      <c r="DA134" s="179">
        <f t="shared" ca="1" si="198"/>
        <v>0</v>
      </c>
      <c r="DB134" s="179">
        <f t="shared" ca="1" si="198"/>
        <v>0</v>
      </c>
      <c r="DC134" s="179">
        <f t="shared" ca="1" si="198"/>
        <v>0</v>
      </c>
      <c r="DD134" s="179">
        <f t="shared" ca="1" si="198"/>
        <v>0</v>
      </c>
      <c r="DE134" s="179">
        <f t="shared" ca="1" si="198"/>
        <v>0</v>
      </c>
      <c r="DF134" s="179" t="e">
        <f t="shared" ca="1" si="198"/>
        <v>#VALUE!</v>
      </c>
      <c r="DG134" s="179" t="e">
        <f t="shared" ca="1" si="198"/>
        <v>#VALUE!</v>
      </c>
      <c r="DH134" s="179" t="e">
        <f t="shared" ca="1" si="198"/>
        <v>#VALUE!</v>
      </c>
      <c r="DI134" s="179" t="e">
        <f t="shared" ca="1" si="198"/>
        <v>#VALUE!</v>
      </c>
      <c r="DJ134" s="179" t="e">
        <f t="shared" ca="1" si="113"/>
        <v>#VALUE!</v>
      </c>
      <c r="DK134" s="179" t="e">
        <f t="shared" ca="1" si="113"/>
        <v>#VALUE!</v>
      </c>
      <c r="DL134" s="179" t="e">
        <f t="shared" ca="1" si="169"/>
        <v>#VALUE!</v>
      </c>
      <c r="DM134" s="179" t="e">
        <f t="shared" ca="1" si="169"/>
        <v>#VALUE!</v>
      </c>
      <c r="DN134" s="179" t="e">
        <f t="shared" ca="1" si="169"/>
        <v>#VALUE!</v>
      </c>
      <c r="DO134" s="179" t="e">
        <f t="shared" ca="1" si="169"/>
        <v>#VALUE!</v>
      </c>
      <c r="DP134" s="179" t="e">
        <f t="shared" ca="1" si="169"/>
        <v>#VALUE!</v>
      </c>
      <c r="DQ134" s="179" t="e">
        <f t="shared" ca="1" si="169"/>
        <v>#VALUE!</v>
      </c>
      <c r="DR134" s="431">
        <v>116</v>
      </c>
      <c r="DS134" s="430">
        <f t="shared" ca="1" si="164"/>
        <v>49684</v>
      </c>
      <c r="DT134" s="180">
        <f t="shared" ca="1" si="197"/>
        <v>0</v>
      </c>
      <c r="DU134" s="180">
        <f t="shared" ca="1" si="197"/>
        <v>0</v>
      </c>
      <c r="DV134" s="180">
        <f t="shared" ca="1" si="197"/>
        <v>0</v>
      </c>
      <c r="DW134" s="180">
        <f t="shared" ca="1" si="197"/>
        <v>0</v>
      </c>
      <c r="DX134" s="180">
        <f t="shared" ca="1" si="197"/>
        <v>0</v>
      </c>
      <c r="DY134" s="180">
        <f t="shared" ca="1" si="197"/>
        <v>0</v>
      </c>
      <c r="DZ134" s="180">
        <f t="shared" ca="1" si="197"/>
        <v>0</v>
      </c>
      <c r="EA134" s="180">
        <f t="shared" ca="1" si="197"/>
        <v>0</v>
      </c>
      <c r="EB134" s="180">
        <f t="shared" ca="1" si="197"/>
        <v>0</v>
      </c>
      <c r="EC134" s="180">
        <f t="shared" ca="1" si="196"/>
        <v>0</v>
      </c>
      <c r="ED134" s="180">
        <f t="shared" ca="1" si="196"/>
        <v>0</v>
      </c>
      <c r="EE134" s="180">
        <f t="shared" ca="1" si="196"/>
        <v>0</v>
      </c>
      <c r="EF134" s="180">
        <f t="shared" ca="1" si="174"/>
        <v>0</v>
      </c>
      <c r="EG134" s="180">
        <f t="shared" ca="1" si="174"/>
        <v>0</v>
      </c>
      <c r="EH134" s="180">
        <f t="shared" ca="1" si="174"/>
        <v>0</v>
      </c>
      <c r="EI134" s="180">
        <f t="shared" ca="1" si="175"/>
        <v>0</v>
      </c>
      <c r="EJ134" s="180">
        <f t="shared" ca="1" si="175"/>
        <v>0</v>
      </c>
      <c r="EK134" s="180">
        <f t="shared" ca="1" si="175"/>
        <v>0</v>
      </c>
      <c r="EL134" s="180">
        <f t="shared" ca="1" si="175"/>
        <v>0</v>
      </c>
      <c r="EM134" s="180">
        <f t="shared" ca="1" si="175"/>
        <v>0</v>
      </c>
      <c r="EN134" s="180">
        <f t="shared" ca="1" si="175"/>
        <v>0</v>
      </c>
      <c r="EO134" s="180">
        <f t="shared" ca="1" si="175"/>
        <v>0</v>
      </c>
      <c r="EP134" s="180">
        <f t="shared" ca="1" si="175"/>
        <v>0</v>
      </c>
      <c r="EQ134" s="180"/>
      <c r="ER134" s="180"/>
    </row>
    <row r="135" spans="2:148" s="87" customFormat="1" hidden="1" x14ac:dyDescent="0.25">
      <c r="B135" s="151"/>
      <c r="C135" s="87">
        <v>74</v>
      </c>
      <c r="D135" s="258">
        <f t="shared" ca="1" si="201"/>
        <v>48405</v>
      </c>
      <c r="E135" s="175">
        <f t="shared" si="202"/>
        <v>0</v>
      </c>
      <c r="F135" s="175">
        <f t="shared" ca="1" si="202"/>
        <v>0.25396862883175103</v>
      </c>
      <c r="G135" s="175">
        <f t="shared" ca="1" si="202"/>
        <v>0.25396862883175103</v>
      </c>
      <c r="H135" s="175">
        <f t="shared" ca="1" si="202"/>
        <v>0.25396862883175103</v>
      </c>
      <c r="I135" s="175">
        <f t="shared" si="202"/>
        <v>0</v>
      </c>
      <c r="J135" s="175">
        <f t="shared" si="202"/>
        <v>0</v>
      </c>
      <c r="K135" s="175">
        <f t="shared" si="202"/>
        <v>0</v>
      </c>
      <c r="L135" s="175">
        <f t="shared" si="202"/>
        <v>0</v>
      </c>
      <c r="M135" s="175">
        <f t="shared" si="202"/>
        <v>0</v>
      </c>
      <c r="N135" s="175">
        <f t="shared" si="202"/>
        <v>0</v>
      </c>
      <c r="O135" s="175">
        <f t="shared" si="203"/>
        <v>0</v>
      </c>
      <c r="P135" s="175">
        <f t="shared" si="203"/>
        <v>0</v>
      </c>
      <c r="Q135" s="175">
        <f t="shared" si="203"/>
        <v>0</v>
      </c>
      <c r="R135" s="175">
        <f t="shared" si="203"/>
        <v>0</v>
      </c>
      <c r="S135" s="175">
        <f t="shared" si="203"/>
        <v>0</v>
      </c>
      <c r="T135" s="175">
        <f t="shared" si="203"/>
        <v>0</v>
      </c>
      <c r="U135" s="175">
        <f t="shared" si="203"/>
        <v>0</v>
      </c>
      <c r="V135" s="175"/>
      <c r="W135" s="140"/>
      <c r="X135" s="87">
        <v>117</v>
      </c>
      <c r="Y135" s="87">
        <f t="shared" si="138"/>
        <v>0</v>
      </c>
      <c r="Z135" s="87">
        <f t="shared" si="139"/>
        <v>0</v>
      </c>
      <c r="AA135" s="87">
        <f t="shared" si="140"/>
        <v>0</v>
      </c>
      <c r="AB135" s="87">
        <f t="shared" si="141"/>
        <v>0</v>
      </c>
      <c r="AC135" s="87">
        <f t="shared" si="142"/>
        <v>0</v>
      </c>
      <c r="AD135" s="87">
        <f t="shared" si="143"/>
        <v>0</v>
      </c>
      <c r="AE135" s="87">
        <f t="shared" si="144"/>
        <v>0</v>
      </c>
      <c r="AF135" s="87">
        <f t="shared" si="145"/>
        <v>0</v>
      </c>
      <c r="AG135" s="87">
        <f t="shared" si="146"/>
        <v>0</v>
      </c>
      <c r="AH135" s="87">
        <f t="shared" si="147"/>
        <v>0</v>
      </c>
      <c r="AI135" s="87">
        <f t="shared" si="148"/>
        <v>0</v>
      </c>
      <c r="AJ135" s="87">
        <f t="shared" si="149"/>
        <v>0</v>
      </c>
      <c r="AK135" s="87">
        <f t="shared" si="150"/>
        <v>0</v>
      </c>
      <c r="AL135" s="87">
        <f t="shared" si="151"/>
        <v>0</v>
      </c>
      <c r="AM135" s="87">
        <f t="shared" si="152"/>
        <v>0</v>
      </c>
      <c r="AN135" s="87">
        <f t="shared" si="153"/>
        <v>0</v>
      </c>
      <c r="AO135" s="87">
        <f t="shared" si="154"/>
        <v>0</v>
      </c>
      <c r="AP135" s="140"/>
      <c r="AQ135" s="426">
        <v>117</v>
      </c>
      <c r="AR135" s="258">
        <f t="shared" ca="1" si="160"/>
        <v>49715</v>
      </c>
      <c r="AS135" s="429">
        <f t="shared" si="178"/>
        <v>0</v>
      </c>
      <c r="AT135" s="140"/>
      <c r="AU135" s="278">
        <v>117</v>
      </c>
      <c r="AV135" s="258">
        <f t="shared" ca="1" si="161"/>
        <v>49744</v>
      </c>
      <c r="AW135" s="429">
        <f t="shared" si="155"/>
        <v>0</v>
      </c>
      <c r="AX135" s="202">
        <f t="shared" ca="1" si="156"/>
        <v>0</v>
      </c>
      <c r="AY135" s="278">
        <v>117</v>
      </c>
      <c r="AZ135" s="258">
        <f t="shared" ca="1" si="162"/>
        <v>49744</v>
      </c>
      <c r="BA135" s="429">
        <f t="shared" si="157"/>
        <v>0</v>
      </c>
      <c r="BB135" s="259">
        <f t="shared" ca="1" si="119"/>
        <v>49715</v>
      </c>
      <c r="BC135" s="428">
        <f t="shared" ca="1" si="158"/>
        <v>0</v>
      </c>
      <c r="BD135" s="188">
        <f t="shared" si="179"/>
        <v>0</v>
      </c>
      <c r="BE135" s="188">
        <f t="shared" si="180"/>
        <v>0</v>
      </c>
      <c r="BF135" s="188">
        <f t="shared" si="181"/>
        <v>0</v>
      </c>
      <c r="BG135" s="87">
        <f t="shared" si="182"/>
        <v>0</v>
      </c>
      <c r="BH135" s="87">
        <f t="shared" si="183"/>
        <v>0</v>
      </c>
      <c r="BI135" s="87">
        <f t="shared" si="184"/>
        <v>0</v>
      </c>
      <c r="BJ135" s="87">
        <f t="shared" si="185"/>
        <v>0</v>
      </c>
      <c r="BK135" s="87">
        <f t="shared" si="186"/>
        <v>0</v>
      </c>
      <c r="BL135" s="87">
        <f t="shared" si="187"/>
        <v>0</v>
      </c>
      <c r="BM135" s="87">
        <f t="shared" si="188"/>
        <v>0</v>
      </c>
      <c r="BN135" s="87">
        <f t="shared" si="189"/>
        <v>0</v>
      </c>
      <c r="BO135" s="87">
        <f t="shared" si="190"/>
        <v>0</v>
      </c>
      <c r="BP135" s="87">
        <f t="shared" si="191"/>
        <v>0</v>
      </c>
      <c r="BQ135" s="87">
        <f t="shared" si="192"/>
        <v>0</v>
      </c>
      <c r="BR135" s="87">
        <f t="shared" si="193"/>
        <v>0</v>
      </c>
      <c r="BS135" s="87">
        <f t="shared" si="194"/>
        <v>0</v>
      </c>
      <c r="BT135" s="87">
        <f t="shared" si="195"/>
        <v>0</v>
      </c>
      <c r="BV135" s="177"/>
      <c r="BW135" s="177"/>
      <c r="BX135" s="267"/>
      <c r="BY135" s="267"/>
      <c r="BZ135" s="267"/>
      <c r="CA135" s="267"/>
      <c r="CB135" s="267"/>
      <c r="CC135" s="267"/>
      <c r="CD135" s="267"/>
      <c r="CE135" s="267"/>
      <c r="CF135" s="267"/>
      <c r="CG135" s="267"/>
      <c r="CH135" s="267"/>
      <c r="CI135" s="435"/>
      <c r="CJ135" s="436"/>
      <c r="CK135" s="437"/>
      <c r="CM135" s="64" t="s">
        <v>3792</v>
      </c>
      <c r="CN135" s="707"/>
      <c r="CS135" s="138">
        <v>117</v>
      </c>
      <c r="CT135" s="259">
        <f t="shared" ca="1" si="137"/>
        <v>49744</v>
      </c>
      <c r="CU135" s="179">
        <f t="shared" ca="1" si="159"/>
        <v>0</v>
      </c>
      <c r="CV135" s="179">
        <f t="shared" ca="1" si="198"/>
        <v>0</v>
      </c>
      <c r="CW135" s="179">
        <f t="shared" ca="1" si="198"/>
        <v>0</v>
      </c>
      <c r="CX135" s="179">
        <f t="shared" ca="1" si="198"/>
        <v>0</v>
      </c>
      <c r="CY135" s="179">
        <f t="shared" ca="1" si="198"/>
        <v>0</v>
      </c>
      <c r="CZ135" s="179">
        <f t="shared" ca="1" si="198"/>
        <v>0</v>
      </c>
      <c r="DA135" s="179">
        <f t="shared" ca="1" si="198"/>
        <v>0</v>
      </c>
      <c r="DB135" s="179">
        <f t="shared" ca="1" si="198"/>
        <v>0</v>
      </c>
      <c r="DC135" s="179">
        <f t="shared" ca="1" si="198"/>
        <v>0</v>
      </c>
      <c r="DD135" s="179">
        <f t="shared" ca="1" si="198"/>
        <v>0</v>
      </c>
      <c r="DE135" s="179">
        <f t="shared" ca="1" si="198"/>
        <v>0</v>
      </c>
      <c r="DF135" s="179" t="e">
        <f t="shared" ca="1" si="198"/>
        <v>#VALUE!</v>
      </c>
      <c r="DG135" s="179" t="e">
        <f t="shared" ca="1" si="198"/>
        <v>#VALUE!</v>
      </c>
      <c r="DH135" s="179" t="e">
        <f t="shared" ca="1" si="198"/>
        <v>#VALUE!</v>
      </c>
      <c r="DI135" s="179" t="e">
        <f t="shared" ca="1" si="198"/>
        <v>#VALUE!</v>
      </c>
      <c r="DJ135" s="179" t="e">
        <f t="shared" ca="1" si="113"/>
        <v>#VALUE!</v>
      </c>
      <c r="DK135" s="179" t="e">
        <f t="shared" ca="1" si="113"/>
        <v>#VALUE!</v>
      </c>
      <c r="DL135" s="179" t="e">
        <f t="shared" ca="1" si="169"/>
        <v>#VALUE!</v>
      </c>
      <c r="DM135" s="179" t="e">
        <f t="shared" ca="1" si="169"/>
        <v>#VALUE!</v>
      </c>
      <c r="DN135" s="179" t="e">
        <f t="shared" ca="1" si="169"/>
        <v>#VALUE!</v>
      </c>
      <c r="DO135" s="179" t="e">
        <f t="shared" ca="1" si="169"/>
        <v>#VALUE!</v>
      </c>
      <c r="DP135" s="179" t="e">
        <f t="shared" ca="1" si="169"/>
        <v>#VALUE!</v>
      </c>
      <c r="DQ135" s="179" t="e">
        <f t="shared" ca="1" si="169"/>
        <v>#VALUE!</v>
      </c>
      <c r="DR135" s="278">
        <v>117</v>
      </c>
      <c r="DS135" s="430">
        <f t="shared" ca="1" si="164"/>
        <v>49715</v>
      </c>
      <c r="DT135" s="180">
        <f t="shared" ca="1" si="197"/>
        <v>0</v>
      </c>
      <c r="DU135" s="180">
        <f t="shared" ca="1" si="197"/>
        <v>0</v>
      </c>
      <c r="DV135" s="180">
        <f t="shared" ca="1" si="197"/>
        <v>0</v>
      </c>
      <c r="DW135" s="180">
        <f t="shared" ca="1" si="197"/>
        <v>0</v>
      </c>
      <c r="DX135" s="180">
        <f t="shared" ca="1" si="197"/>
        <v>0</v>
      </c>
      <c r="DY135" s="180">
        <f t="shared" ca="1" si="197"/>
        <v>0</v>
      </c>
      <c r="DZ135" s="180">
        <f t="shared" ca="1" si="197"/>
        <v>0</v>
      </c>
      <c r="EA135" s="180">
        <f t="shared" ca="1" si="197"/>
        <v>0</v>
      </c>
      <c r="EB135" s="180">
        <f t="shared" ca="1" si="197"/>
        <v>0</v>
      </c>
      <c r="EC135" s="180">
        <f t="shared" ca="1" si="196"/>
        <v>0</v>
      </c>
      <c r="ED135" s="180">
        <f t="shared" ca="1" si="196"/>
        <v>0</v>
      </c>
      <c r="EE135" s="180">
        <f t="shared" ca="1" si="196"/>
        <v>0</v>
      </c>
      <c r="EF135" s="180">
        <f t="shared" ca="1" si="174"/>
        <v>0</v>
      </c>
      <c r="EG135" s="180">
        <f t="shared" ca="1" si="174"/>
        <v>0</v>
      </c>
      <c r="EH135" s="180">
        <f t="shared" ca="1" si="174"/>
        <v>0</v>
      </c>
      <c r="EI135" s="180">
        <f t="shared" ca="1" si="175"/>
        <v>0</v>
      </c>
      <c r="EJ135" s="180">
        <f t="shared" ca="1" si="175"/>
        <v>0</v>
      </c>
      <c r="EK135" s="180">
        <f t="shared" ca="1" si="175"/>
        <v>0</v>
      </c>
      <c r="EL135" s="180">
        <f t="shared" ca="1" si="175"/>
        <v>0</v>
      </c>
      <c r="EM135" s="180">
        <f t="shared" ca="1" si="175"/>
        <v>0</v>
      </c>
      <c r="EN135" s="180">
        <f t="shared" ca="1" si="175"/>
        <v>0</v>
      </c>
      <c r="EO135" s="180">
        <f t="shared" ca="1" si="175"/>
        <v>0</v>
      </c>
      <c r="EP135" s="180">
        <f t="shared" ca="1" si="175"/>
        <v>0</v>
      </c>
      <c r="EQ135" s="180"/>
      <c r="ER135" s="180"/>
    </row>
    <row r="136" spans="2:148" s="87" customFormat="1" hidden="1" x14ac:dyDescent="0.25">
      <c r="B136" s="151"/>
      <c r="C136" s="87">
        <v>75</v>
      </c>
      <c r="D136" s="258">
        <f t="shared" ca="1" si="201"/>
        <v>48436</v>
      </c>
      <c r="E136" s="175">
        <f t="shared" si="202"/>
        <v>0</v>
      </c>
      <c r="F136" s="175">
        <f t="shared" ca="1" si="202"/>
        <v>0.24920323348238529</v>
      </c>
      <c r="G136" s="175">
        <f t="shared" ca="1" si="202"/>
        <v>0.24920323348238529</v>
      </c>
      <c r="H136" s="175">
        <f t="shared" ca="1" si="202"/>
        <v>0.24920323348238529</v>
      </c>
      <c r="I136" s="175">
        <f t="shared" si="202"/>
        <v>0</v>
      </c>
      <c r="J136" s="175">
        <f t="shared" si="202"/>
        <v>0</v>
      </c>
      <c r="K136" s="175">
        <f t="shared" si="202"/>
        <v>0</v>
      </c>
      <c r="L136" s="175">
        <f t="shared" si="202"/>
        <v>0</v>
      </c>
      <c r="M136" s="175">
        <f t="shared" si="202"/>
        <v>0</v>
      </c>
      <c r="N136" s="175">
        <f t="shared" si="202"/>
        <v>0</v>
      </c>
      <c r="O136" s="175">
        <f t="shared" si="203"/>
        <v>0</v>
      </c>
      <c r="P136" s="175">
        <f t="shared" si="203"/>
        <v>0</v>
      </c>
      <c r="Q136" s="175">
        <f t="shared" si="203"/>
        <v>0</v>
      </c>
      <c r="R136" s="175">
        <f t="shared" si="203"/>
        <v>0</v>
      </c>
      <c r="S136" s="175">
        <f t="shared" si="203"/>
        <v>0</v>
      </c>
      <c r="T136" s="175">
        <f t="shared" si="203"/>
        <v>0</v>
      </c>
      <c r="U136" s="175">
        <f t="shared" si="203"/>
        <v>0</v>
      </c>
      <c r="V136" s="175"/>
      <c r="W136" s="140"/>
      <c r="X136" s="87">
        <v>118</v>
      </c>
      <c r="Y136" s="87">
        <f t="shared" si="138"/>
        <v>0</v>
      </c>
      <c r="Z136" s="87">
        <f t="shared" si="139"/>
        <v>0</v>
      </c>
      <c r="AA136" s="87">
        <f t="shared" si="140"/>
        <v>0</v>
      </c>
      <c r="AB136" s="87">
        <f t="shared" si="141"/>
        <v>0</v>
      </c>
      <c r="AC136" s="87">
        <f t="shared" si="142"/>
        <v>0</v>
      </c>
      <c r="AD136" s="87">
        <f t="shared" si="143"/>
        <v>0</v>
      </c>
      <c r="AE136" s="87">
        <f t="shared" si="144"/>
        <v>0</v>
      </c>
      <c r="AF136" s="87">
        <f t="shared" si="145"/>
        <v>0</v>
      </c>
      <c r="AG136" s="87">
        <f t="shared" si="146"/>
        <v>0</v>
      </c>
      <c r="AH136" s="87">
        <f t="shared" si="147"/>
        <v>0</v>
      </c>
      <c r="AI136" s="87">
        <f t="shared" si="148"/>
        <v>0</v>
      </c>
      <c r="AJ136" s="87">
        <f t="shared" si="149"/>
        <v>0</v>
      </c>
      <c r="AK136" s="87">
        <f t="shared" si="150"/>
        <v>0</v>
      </c>
      <c r="AL136" s="87">
        <f t="shared" si="151"/>
        <v>0</v>
      </c>
      <c r="AM136" s="87">
        <f t="shared" si="152"/>
        <v>0</v>
      </c>
      <c r="AN136" s="87">
        <f t="shared" si="153"/>
        <v>0</v>
      </c>
      <c r="AO136" s="87">
        <f t="shared" si="154"/>
        <v>0</v>
      </c>
      <c r="AP136" s="140"/>
      <c r="AQ136" s="426">
        <v>118</v>
      </c>
      <c r="AR136" s="258">
        <f t="shared" ca="1" si="160"/>
        <v>49744</v>
      </c>
      <c r="AS136" s="429">
        <f t="shared" si="178"/>
        <v>0</v>
      </c>
      <c r="AT136" s="140"/>
      <c r="AU136" s="278">
        <v>118</v>
      </c>
      <c r="AV136" s="258">
        <f t="shared" ca="1" si="161"/>
        <v>49775</v>
      </c>
      <c r="AW136" s="429">
        <f t="shared" si="155"/>
        <v>0</v>
      </c>
      <c r="AX136" s="202">
        <f t="shared" ca="1" si="156"/>
        <v>0</v>
      </c>
      <c r="AY136" s="278">
        <v>118</v>
      </c>
      <c r="AZ136" s="258">
        <f t="shared" ca="1" si="162"/>
        <v>49775</v>
      </c>
      <c r="BA136" s="429">
        <f t="shared" si="157"/>
        <v>0</v>
      </c>
      <c r="BB136" s="259">
        <f t="shared" ca="1" si="119"/>
        <v>49744</v>
      </c>
      <c r="BC136" s="428">
        <f t="shared" ca="1" si="158"/>
        <v>0</v>
      </c>
      <c r="BD136" s="188">
        <f t="shared" si="179"/>
        <v>0</v>
      </c>
      <c r="BE136" s="188">
        <f t="shared" si="180"/>
        <v>0</v>
      </c>
      <c r="BF136" s="188">
        <f t="shared" si="181"/>
        <v>0</v>
      </c>
      <c r="BG136" s="87">
        <f t="shared" si="182"/>
        <v>0</v>
      </c>
      <c r="BH136" s="87">
        <f t="shared" si="183"/>
        <v>0</v>
      </c>
      <c r="BI136" s="87">
        <f t="shared" si="184"/>
        <v>0</v>
      </c>
      <c r="BJ136" s="87">
        <f t="shared" si="185"/>
        <v>0</v>
      </c>
      <c r="BK136" s="87">
        <f t="shared" si="186"/>
        <v>0</v>
      </c>
      <c r="BL136" s="87">
        <f t="shared" si="187"/>
        <v>0</v>
      </c>
      <c r="BM136" s="87">
        <f t="shared" si="188"/>
        <v>0</v>
      </c>
      <c r="BN136" s="87">
        <f t="shared" si="189"/>
        <v>0</v>
      </c>
      <c r="BO136" s="87">
        <f t="shared" si="190"/>
        <v>0</v>
      </c>
      <c r="BP136" s="87">
        <f t="shared" si="191"/>
        <v>0</v>
      </c>
      <c r="BQ136" s="87">
        <f t="shared" si="192"/>
        <v>0</v>
      </c>
      <c r="BR136" s="87">
        <f t="shared" si="193"/>
        <v>0</v>
      </c>
      <c r="BS136" s="87">
        <f t="shared" si="194"/>
        <v>0</v>
      </c>
      <c r="BT136" s="87">
        <f t="shared" si="195"/>
        <v>0</v>
      </c>
      <c r="BV136" s="177"/>
      <c r="BW136" s="177"/>
      <c r="BX136" s="267"/>
      <c r="BY136" s="267"/>
      <c r="BZ136" s="267"/>
      <c r="CA136" s="267"/>
      <c r="CB136" s="267"/>
      <c r="CC136" s="267"/>
      <c r="CD136" s="267"/>
      <c r="CE136" s="267"/>
      <c r="CF136" s="267"/>
      <c r="CG136" s="267"/>
      <c r="CH136" s="267"/>
      <c r="CI136" s="435"/>
      <c r="CJ136" s="436"/>
      <c r="CK136" s="437"/>
      <c r="CM136" s="64" t="s">
        <v>1264</v>
      </c>
      <c r="CN136" s="707"/>
      <c r="CS136" s="87">
        <v>118</v>
      </c>
      <c r="CT136" s="259">
        <f t="shared" ca="1" si="137"/>
        <v>49775</v>
      </c>
      <c r="CU136" s="179">
        <f t="shared" ca="1" si="159"/>
        <v>0</v>
      </c>
      <c r="CV136" s="179">
        <f t="shared" ca="1" si="198"/>
        <v>0</v>
      </c>
      <c r="CW136" s="179">
        <f t="shared" ca="1" si="198"/>
        <v>0</v>
      </c>
      <c r="CX136" s="179">
        <f t="shared" ca="1" si="198"/>
        <v>0</v>
      </c>
      <c r="CY136" s="179">
        <f t="shared" ca="1" si="198"/>
        <v>0</v>
      </c>
      <c r="CZ136" s="179">
        <f t="shared" ca="1" si="198"/>
        <v>0</v>
      </c>
      <c r="DA136" s="179">
        <f t="shared" ca="1" si="198"/>
        <v>0</v>
      </c>
      <c r="DB136" s="179">
        <f t="shared" ca="1" si="198"/>
        <v>0</v>
      </c>
      <c r="DC136" s="179">
        <f t="shared" ca="1" si="198"/>
        <v>0</v>
      </c>
      <c r="DD136" s="179">
        <f t="shared" ca="1" si="198"/>
        <v>0</v>
      </c>
      <c r="DE136" s="179">
        <f t="shared" ca="1" si="198"/>
        <v>0</v>
      </c>
      <c r="DF136" s="179" t="e">
        <f t="shared" ca="1" si="198"/>
        <v>#VALUE!</v>
      </c>
      <c r="DG136" s="179" t="e">
        <f t="shared" ca="1" si="198"/>
        <v>#VALUE!</v>
      </c>
      <c r="DH136" s="179" t="e">
        <f t="shared" ca="1" si="198"/>
        <v>#VALUE!</v>
      </c>
      <c r="DI136" s="179" t="e">
        <f t="shared" ca="1" si="198"/>
        <v>#VALUE!</v>
      </c>
      <c r="DJ136" s="179" t="e">
        <f t="shared" ca="1" si="198"/>
        <v>#VALUE!</v>
      </c>
      <c r="DK136" s="179" t="e">
        <f t="shared" ca="1" si="198"/>
        <v>#VALUE!</v>
      </c>
      <c r="DL136" s="179" t="e">
        <f t="shared" ref="DL136:DQ162" ca="1" si="204">(($AW136/(1+DL$18)^(($AZ136-$AZ$18)/30)))+($AS136/(1+DL$18)^(($AZ136-$AZ$18)/30))</f>
        <v>#VALUE!</v>
      </c>
      <c r="DM136" s="179" t="e">
        <f t="shared" ca="1" si="204"/>
        <v>#VALUE!</v>
      </c>
      <c r="DN136" s="179" t="e">
        <f t="shared" ca="1" si="204"/>
        <v>#VALUE!</v>
      </c>
      <c r="DO136" s="179" t="e">
        <f t="shared" ca="1" si="204"/>
        <v>#VALUE!</v>
      </c>
      <c r="DP136" s="179" t="e">
        <f t="shared" ca="1" si="204"/>
        <v>#VALUE!</v>
      </c>
      <c r="DQ136" s="179" t="e">
        <f t="shared" ca="1" si="204"/>
        <v>#VALUE!</v>
      </c>
      <c r="DR136" s="188">
        <v>118</v>
      </c>
      <c r="DS136" s="430">
        <f t="shared" ca="1" si="164"/>
        <v>49744</v>
      </c>
      <c r="DT136" s="180">
        <f t="shared" ca="1" si="197"/>
        <v>0</v>
      </c>
      <c r="DU136" s="180">
        <f t="shared" ca="1" si="197"/>
        <v>0</v>
      </c>
      <c r="DV136" s="180">
        <f t="shared" ca="1" si="197"/>
        <v>0</v>
      </c>
      <c r="DW136" s="180">
        <f t="shared" ca="1" si="197"/>
        <v>0</v>
      </c>
      <c r="DX136" s="180">
        <f t="shared" ca="1" si="197"/>
        <v>0</v>
      </c>
      <c r="DY136" s="180">
        <f t="shared" ca="1" si="197"/>
        <v>0</v>
      </c>
      <c r="DZ136" s="180">
        <f t="shared" ca="1" si="197"/>
        <v>0</v>
      </c>
      <c r="EA136" s="180">
        <f t="shared" ca="1" si="197"/>
        <v>0</v>
      </c>
      <c r="EB136" s="180">
        <f t="shared" ca="1" si="197"/>
        <v>0</v>
      </c>
      <c r="EC136" s="180">
        <f t="shared" ca="1" si="196"/>
        <v>0</v>
      </c>
      <c r="ED136" s="180">
        <f t="shared" ca="1" si="196"/>
        <v>0</v>
      </c>
      <c r="EE136" s="180">
        <f t="shared" ca="1" si="196"/>
        <v>0</v>
      </c>
      <c r="EF136" s="180">
        <f t="shared" ca="1" si="174"/>
        <v>0</v>
      </c>
      <c r="EG136" s="180">
        <f t="shared" ca="1" si="174"/>
        <v>0</v>
      </c>
      <c r="EH136" s="180">
        <f t="shared" ca="1" si="174"/>
        <v>0</v>
      </c>
      <c r="EI136" s="180">
        <f t="shared" ca="1" si="175"/>
        <v>0</v>
      </c>
      <c r="EJ136" s="180">
        <f t="shared" ca="1" si="175"/>
        <v>0</v>
      </c>
      <c r="EK136" s="180">
        <f t="shared" ca="1" si="175"/>
        <v>0</v>
      </c>
      <c r="EL136" s="180">
        <f t="shared" ca="1" si="175"/>
        <v>0</v>
      </c>
      <c r="EM136" s="180">
        <f t="shared" ca="1" si="175"/>
        <v>0</v>
      </c>
      <c r="EN136" s="180">
        <f t="shared" ca="1" si="175"/>
        <v>0</v>
      </c>
      <c r="EO136" s="180">
        <f t="shared" ca="1" si="175"/>
        <v>0</v>
      </c>
      <c r="EP136" s="180">
        <f t="shared" ca="1" si="175"/>
        <v>0</v>
      </c>
      <c r="EQ136" s="180"/>
      <c r="ER136" s="180"/>
    </row>
    <row r="137" spans="2:148" s="87" customFormat="1" hidden="1" x14ac:dyDescent="0.25">
      <c r="B137" s="151"/>
      <c r="C137" s="87">
        <v>76</v>
      </c>
      <c r="D137" s="258">
        <f t="shared" ca="1" si="201"/>
        <v>48467</v>
      </c>
      <c r="E137" s="175">
        <f t="shared" si="202"/>
        <v>0</v>
      </c>
      <c r="F137" s="175">
        <f t="shared" ca="1" si="202"/>
        <v>0.24452725466032926</v>
      </c>
      <c r="G137" s="175">
        <f t="shared" ca="1" si="202"/>
        <v>0.24452725466032926</v>
      </c>
      <c r="H137" s="175">
        <f t="shared" ca="1" si="202"/>
        <v>0.24452725466032926</v>
      </c>
      <c r="I137" s="175">
        <f t="shared" si="202"/>
        <v>0</v>
      </c>
      <c r="J137" s="175">
        <f t="shared" si="202"/>
        <v>0</v>
      </c>
      <c r="K137" s="175">
        <f t="shared" si="202"/>
        <v>0</v>
      </c>
      <c r="L137" s="175">
        <f t="shared" si="202"/>
        <v>0</v>
      </c>
      <c r="M137" s="175">
        <f t="shared" si="202"/>
        <v>0</v>
      </c>
      <c r="N137" s="175">
        <f t="shared" si="202"/>
        <v>0</v>
      </c>
      <c r="O137" s="175">
        <f t="shared" si="203"/>
        <v>0</v>
      </c>
      <c r="P137" s="175">
        <f t="shared" si="203"/>
        <v>0</v>
      </c>
      <c r="Q137" s="175">
        <f t="shared" si="203"/>
        <v>0</v>
      </c>
      <c r="R137" s="175">
        <f t="shared" si="203"/>
        <v>0</v>
      </c>
      <c r="S137" s="175">
        <f t="shared" si="203"/>
        <v>0</v>
      </c>
      <c r="T137" s="175">
        <f t="shared" si="203"/>
        <v>0</v>
      </c>
      <c r="U137" s="175">
        <f t="shared" si="203"/>
        <v>0</v>
      </c>
      <c r="V137" s="175"/>
      <c r="W137" s="140"/>
      <c r="X137" s="87">
        <v>119</v>
      </c>
      <c r="Y137" s="87">
        <f t="shared" si="138"/>
        <v>0</v>
      </c>
      <c r="Z137" s="87">
        <f t="shared" si="139"/>
        <v>0</v>
      </c>
      <c r="AA137" s="87">
        <f t="shared" si="140"/>
        <v>0</v>
      </c>
      <c r="AB137" s="87">
        <f t="shared" si="141"/>
        <v>0</v>
      </c>
      <c r="AC137" s="87">
        <f t="shared" si="142"/>
        <v>0</v>
      </c>
      <c r="AD137" s="87">
        <f t="shared" si="143"/>
        <v>0</v>
      </c>
      <c r="AE137" s="87">
        <f t="shared" si="144"/>
        <v>0</v>
      </c>
      <c r="AF137" s="87">
        <f t="shared" si="145"/>
        <v>0</v>
      </c>
      <c r="AG137" s="87">
        <f t="shared" si="146"/>
        <v>0</v>
      </c>
      <c r="AH137" s="87">
        <f t="shared" si="147"/>
        <v>0</v>
      </c>
      <c r="AI137" s="87">
        <f t="shared" si="148"/>
        <v>0</v>
      </c>
      <c r="AJ137" s="87">
        <f t="shared" si="149"/>
        <v>0</v>
      </c>
      <c r="AK137" s="87">
        <f t="shared" si="150"/>
        <v>0</v>
      </c>
      <c r="AL137" s="87">
        <f t="shared" si="151"/>
        <v>0</v>
      </c>
      <c r="AM137" s="87">
        <f t="shared" si="152"/>
        <v>0</v>
      </c>
      <c r="AN137" s="87">
        <f t="shared" si="153"/>
        <v>0</v>
      </c>
      <c r="AO137" s="87">
        <f t="shared" si="154"/>
        <v>0</v>
      </c>
      <c r="AP137" s="140"/>
      <c r="AQ137" s="426">
        <v>119</v>
      </c>
      <c r="AR137" s="258">
        <f t="shared" ca="1" si="160"/>
        <v>49775</v>
      </c>
      <c r="AS137" s="429">
        <f t="shared" si="178"/>
        <v>0</v>
      </c>
      <c r="AT137" s="140"/>
      <c r="AU137" s="278">
        <v>119</v>
      </c>
      <c r="AV137" s="258">
        <f t="shared" ca="1" si="161"/>
        <v>49805</v>
      </c>
      <c r="AW137" s="429">
        <f t="shared" si="155"/>
        <v>0</v>
      </c>
      <c r="AX137" s="202">
        <f t="shared" ca="1" si="156"/>
        <v>0</v>
      </c>
      <c r="AY137" s="278">
        <v>119</v>
      </c>
      <c r="AZ137" s="258">
        <f t="shared" ca="1" si="162"/>
        <v>49805</v>
      </c>
      <c r="BA137" s="429">
        <f t="shared" si="157"/>
        <v>0</v>
      </c>
      <c r="BB137" s="259">
        <f t="shared" ca="1" si="119"/>
        <v>49775</v>
      </c>
      <c r="BC137" s="428">
        <f t="shared" ca="1" si="158"/>
        <v>0</v>
      </c>
      <c r="BD137" s="188">
        <f t="shared" si="179"/>
        <v>0</v>
      </c>
      <c r="BE137" s="188">
        <f t="shared" si="180"/>
        <v>0</v>
      </c>
      <c r="BF137" s="188">
        <f t="shared" si="181"/>
        <v>0</v>
      </c>
      <c r="BG137" s="87">
        <f t="shared" si="182"/>
        <v>0</v>
      </c>
      <c r="BH137" s="87">
        <f t="shared" si="183"/>
        <v>0</v>
      </c>
      <c r="BI137" s="87">
        <f t="shared" si="184"/>
        <v>0</v>
      </c>
      <c r="BJ137" s="87">
        <f t="shared" si="185"/>
        <v>0</v>
      </c>
      <c r="BK137" s="87">
        <f t="shared" si="186"/>
        <v>0</v>
      </c>
      <c r="BL137" s="87">
        <f t="shared" si="187"/>
        <v>0</v>
      </c>
      <c r="BM137" s="87">
        <f t="shared" si="188"/>
        <v>0</v>
      </c>
      <c r="BN137" s="87">
        <f t="shared" si="189"/>
        <v>0</v>
      </c>
      <c r="BO137" s="87">
        <f t="shared" si="190"/>
        <v>0</v>
      </c>
      <c r="BP137" s="87">
        <f t="shared" si="191"/>
        <v>0</v>
      </c>
      <c r="BQ137" s="87">
        <f t="shared" si="192"/>
        <v>0</v>
      </c>
      <c r="BR137" s="87">
        <f t="shared" si="193"/>
        <v>0</v>
      </c>
      <c r="BS137" s="87">
        <f t="shared" si="194"/>
        <v>0</v>
      </c>
      <c r="BT137" s="87">
        <f t="shared" si="195"/>
        <v>0</v>
      </c>
      <c r="BV137" s="177"/>
      <c r="BW137" s="177"/>
      <c r="BX137" s="267"/>
      <c r="BY137" s="267"/>
      <c r="BZ137" s="267"/>
      <c r="CA137" s="267"/>
      <c r="CB137" s="267"/>
      <c r="CC137" s="267"/>
      <c r="CD137" s="267"/>
      <c r="CE137" s="267"/>
      <c r="CF137" s="267"/>
      <c r="CG137" s="267"/>
      <c r="CH137" s="267"/>
      <c r="CI137" s="435"/>
      <c r="CJ137" s="436"/>
      <c r="CK137" s="437"/>
      <c r="CM137" s="64" t="s">
        <v>80</v>
      </c>
      <c r="CN137" s="707">
        <v>44.714285714285715</v>
      </c>
      <c r="CS137" s="178">
        <v>119</v>
      </c>
      <c r="CT137" s="259">
        <f t="shared" ca="1" si="137"/>
        <v>49805</v>
      </c>
      <c r="CU137" s="179">
        <f t="shared" ca="1" si="159"/>
        <v>0</v>
      </c>
      <c r="CV137" s="179">
        <f t="shared" ref="CV137:DK152" ca="1" si="205">(($AW137/(1+CV$18)^(($AZ137-$AZ$18)/30)))+($AS137/(1+CV$18)^(($AZ137-$AZ$18)/30))</f>
        <v>0</v>
      </c>
      <c r="CW137" s="179">
        <f t="shared" ca="1" si="205"/>
        <v>0</v>
      </c>
      <c r="CX137" s="179">
        <f t="shared" ca="1" si="205"/>
        <v>0</v>
      </c>
      <c r="CY137" s="179">
        <f t="shared" ca="1" si="205"/>
        <v>0</v>
      </c>
      <c r="CZ137" s="179">
        <f t="shared" ca="1" si="205"/>
        <v>0</v>
      </c>
      <c r="DA137" s="179">
        <f t="shared" ca="1" si="205"/>
        <v>0</v>
      </c>
      <c r="DB137" s="179">
        <f t="shared" ca="1" si="205"/>
        <v>0</v>
      </c>
      <c r="DC137" s="179">
        <f t="shared" ca="1" si="205"/>
        <v>0</v>
      </c>
      <c r="DD137" s="179">
        <f t="shared" ca="1" si="205"/>
        <v>0</v>
      </c>
      <c r="DE137" s="179">
        <f t="shared" ca="1" si="205"/>
        <v>0</v>
      </c>
      <c r="DF137" s="179" t="e">
        <f t="shared" ca="1" si="205"/>
        <v>#VALUE!</v>
      </c>
      <c r="DG137" s="179" t="e">
        <f t="shared" ca="1" si="205"/>
        <v>#VALUE!</v>
      </c>
      <c r="DH137" s="179" t="e">
        <f t="shared" ca="1" si="205"/>
        <v>#VALUE!</v>
      </c>
      <c r="DI137" s="179" t="e">
        <f t="shared" ca="1" si="205"/>
        <v>#VALUE!</v>
      </c>
      <c r="DJ137" s="179" t="e">
        <f t="shared" ca="1" si="205"/>
        <v>#VALUE!</v>
      </c>
      <c r="DK137" s="179" t="e">
        <f t="shared" ca="1" si="205"/>
        <v>#VALUE!</v>
      </c>
      <c r="DL137" s="179" t="e">
        <f t="shared" ca="1" si="204"/>
        <v>#VALUE!</v>
      </c>
      <c r="DM137" s="179" t="e">
        <f t="shared" ca="1" si="204"/>
        <v>#VALUE!</v>
      </c>
      <c r="DN137" s="179" t="e">
        <f t="shared" ca="1" si="204"/>
        <v>#VALUE!</v>
      </c>
      <c r="DO137" s="179" t="e">
        <f t="shared" ca="1" si="204"/>
        <v>#VALUE!</v>
      </c>
      <c r="DP137" s="179" t="e">
        <f t="shared" ca="1" si="204"/>
        <v>#VALUE!</v>
      </c>
      <c r="DQ137" s="179" t="e">
        <f t="shared" ca="1" si="204"/>
        <v>#VALUE!</v>
      </c>
      <c r="DR137" s="431">
        <v>119</v>
      </c>
      <c r="DS137" s="430">
        <f t="shared" ca="1" si="164"/>
        <v>49775</v>
      </c>
      <c r="DT137" s="180">
        <f t="shared" ca="1" si="197"/>
        <v>0</v>
      </c>
      <c r="DU137" s="180">
        <f t="shared" ca="1" si="197"/>
        <v>0</v>
      </c>
      <c r="DV137" s="180">
        <f t="shared" ca="1" si="197"/>
        <v>0</v>
      </c>
      <c r="DW137" s="180">
        <f t="shared" ca="1" si="197"/>
        <v>0</v>
      </c>
      <c r="DX137" s="180">
        <f t="shared" ca="1" si="197"/>
        <v>0</v>
      </c>
      <c r="DY137" s="180">
        <f t="shared" ca="1" si="197"/>
        <v>0</v>
      </c>
      <c r="DZ137" s="180">
        <f t="shared" ca="1" si="197"/>
        <v>0</v>
      </c>
      <c r="EA137" s="180">
        <f t="shared" ca="1" si="197"/>
        <v>0</v>
      </c>
      <c r="EB137" s="180">
        <f t="shared" ca="1" si="197"/>
        <v>0</v>
      </c>
      <c r="EC137" s="180">
        <f t="shared" ca="1" si="196"/>
        <v>0</v>
      </c>
      <c r="ED137" s="180">
        <f t="shared" ca="1" si="196"/>
        <v>0</v>
      </c>
      <c r="EE137" s="180">
        <f t="shared" ca="1" si="196"/>
        <v>0</v>
      </c>
      <c r="EF137" s="180">
        <f t="shared" ca="1" si="196"/>
        <v>0</v>
      </c>
      <c r="EG137" s="180">
        <f t="shared" ca="1" si="196"/>
        <v>0</v>
      </c>
      <c r="EH137" s="180">
        <f t="shared" ca="1" si="196"/>
        <v>0</v>
      </c>
      <c r="EI137" s="180">
        <f t="shared" ca="1" si="175"/>
        <v>0</v>
      </c>
      <c r="EJ137" s="180">
        <f t="shared" ref="EI137:EP162" ca="1" si="206">IFERROR(VLOOKUP($DS137,$AZ$19:$BA$162,2,FALSE),0)-IFERROR(VLOOKUP($DS137,$AR$19:$AS$162,2,FALSE),0)</f>
        <v>0</v>
      </c>
      <c r="EK137" s="180">
        <f t="shared" ca="1" si="206"/>
        <v>0</v>
      </c>
      <c r="EL137" s="180">
        <f t="shared" ca="1" si="206"/>
        <v>0</v>
      </c>
      <c r="EM137" s="180">
        <f t="shared" ca="1" si="206"/>
        <v>0</v>
      </c>
      <c r="EN137" s="180">
        <f t="shared" ca="1" si="206"/>
        <v>0</v>
      </c>
      <c r="EO137" s="180">
        <f t="shared" ca="1" si="206"/>
        <v>0</v>
      </c>
      <c r="EP137" s="180">
        <f t="shared" ca="1" si="206"/>
        <v>0</v>
      </c>
      <c r="EQ137" s="180"/>
      <c r="ER137" s="180"/>
    </row>
    <row r="138" spans="2:148" s="87" customFormat="1" hidden="1" x14ac:dyDescent="0.25">
      <c r="B138" s="151"/>
      <c r="C138" s="87">
        <v>77</v>
      </c>
      <c r="D138" s="258">
        <f t="shared" ca="1" si="201"/>
        <v>48497</v>
      </c>
      <c r="E138" s="175">
        <f t="shared" si="202"/>
        <v>0</v>
      </c>
      <c r="F138" s="175">
        <f t="shared" ca="1" si="202"/>
        <v>0.24008566976959186</v>
      </c>
      <c r="G138" s="175">
        <f t="shared" ca="1" si="202"/>
        <v>0.24008566976959186</v>
      </c>
      <c r="H138" s="175">
        <f t="shared" ca="1" si="202"/>
        <v>0.24008566976959186</v>
      </c>
      <c r="I138" s="175">
        <f t="shared" si="202"/>
        <v>0</v>
      </c>
      <c r="J138" s="175">
        <f t="shared" si="202"/>
        <v>0</v>
      </c>
      <c r="K138" s="175">
        <f t="shared" si="202"/>
        <v>0</v>
      </c>
      <c r="L138" s="175">
        <f t="shared" si="202"/>
        <v>0</v>
      </c>
      <c r="M138" s="175">
        <f t="shared" si="202"/>
        <v>0</v>
      </c>
      <c r="N138" s="175">
        <f t="shared" si="202"/>
        <v>0</v>
      </c>
      <c r="O138" s="175">
        <f t="shared" si="203"/>
        <v>0</v>
      </c>
      <c r="P138" s="175">
        <f t="shared" si="203"/>
        <v>0</v>
      </c>
      <c r="Q138" s="175">
        <f t="shared" si="203"/>
        <v>0</v>
      </c>
      <c r="R138" s="175">
        <f t="shared" si="203"/>
        <v>0</v>
      </c>
      <c r="S138" s="175">
        <f t="shared" si="203"/>
        <v>0</v>
      </c>
      <c r="T138" s="175">
        <f t="shared" si="203"/>
        <v>0</v>
      </c>
      <c r="U138" s="175">
        <f t="shared" si="203"/>
        <v>0</v>
      </c>
      <c r="V138" s="175"/>
      <c r="W138" s="140"/>
      <c r="X138" s="87">
        <v>120</v>
      </c>
      <c r="Y138" s="87">
        <f t="shared" si="138"/>
        <v>0</v>
      </c>
      <c r="Z138" s="87">
        <f t="shared" si="139"/>
        <v>0</v>
      </c>
      <c r="AA138" s="87">
        <f t="shared" si="140"/>
        <v>0</v>
      </c>
      <c r="AB138" s="87">
        <f t="shared" si="141"/>
        <v>0</v>
      </c>
      <c r="AC138" s="87">
        <f t="shared" si="142"/>
        <v>0</v>
      </c>
      <c r="AD138" s="87">
        <f t="shared" si="143"/>
        <v>0</v>
      </c>
      <c r="AE138" s="87">
        <f t="shared" si="144"/>
        <v>0</v>
      </c>
      <c r="AF138" s="87">
        <f t="shared" si="145"/>
        <v>0</v>
      </c>
      <c r="AG138" s="87">
        <f t="shared" si="146"/>
        <v>0</v>
      </c>
      <c r="AH138" s="87">
        <f t="shared" si="147"/>
        <v>0</v>
      </c>
      <c r="AI138" s="87">
        <f t="shared" si="148"/>
        <v>0</v>
      </c>
      <c r="AJ138" s="87">
        <f t="shared" si="149"/>
        <v>0</v>
      </c>
      <c r="AK138" s="87">
        <f t="shared" si="150"/>
        <v>0</v>
      </c>
      <c r="AL138" s="87">
        <f t="shared" si="151"/>
        <v>0</v>
      </c>
      <c r="AM138" s="87">
        <f t="shared" si="152"/>
        <v>0</v>
      </c>
      <c r="AN138" s="87">
        <f t="shared" si="153"/>
        <v>0</v>
      </c>
      <c r="AO138" s="87">
        <f t="shared" si="154"/>
        <v>0</v>
      </c>
      <c r="AP138" s="140"/>
      <c r="AQ138" s="426">
        <v>120</v>
      </c>
      <c r="AR138" s="258">
        <f t="shared" ca="1" si="160"/>
        <v>49805</v>
      </c>
      <c r="AS138" s="429">
        <f t="shared" si="178"/>
        <v>0</v>
      </c>
      <c r="AT138" s="140"/>
      <c r="AU138" s="278">
        <v>120</v>
      </c>
      <c r="AV138" s="258">
        <f t="shared" ca="1" si="161"/>
        <v>49836</v>
      </c>
      <c r="AW138" s="429">
        <f t="shared" si="155"/>
        <v>0</v>
      </c>
      <c r="AX138" s="202">
        <f t="shared" ca="1" si="156"/>
        <v>0</v>
      </c>
      <c r="AY138" s="278">
        <v>120</v>
      </c>
      <c r="AZ138" s="258">
        <f t="shared" ca="1" si="162"/>
        <v>49836</v>
      </c>
      <c r="BA138" s="429">
        <f t="shared" si="157"/>
        <v>0</v>
      </c>
      <c r="BB138" s="259">
        <f t="shared" ca="1" si="119"/>
        <v>49805</v>
      </c>
      <c r="BC138" s="428">
        <f t="shared" ca="1" si="158"/>
        <v>0</v>
      </c>
      <c r="BD138" s="188">
        <f t="shared" si="179"/>
        <v>0</v>
      </c>
      <c r="BE138" s="188">
        <f t="shared" si="180"/>
        <v>0</v>
      </c>
      <c r="BF138" s="188">
        <f t="shared" si="181"/>
        <v>0</v>
      </c>
      <c r="BG138" s="87">
        <f t="shared" si="182"/>
        <v>0</v>
      </c>
      <c r="BH138" s="87">
        <f t="shared" si="183"/>
        <v>0</v>
      </c>
      <c r="BI138" s="87">
        <f t="shared" si="184"/>
        <v>0</v>
      </c>
      <c r="BJ138" s="87">
        <f t="shared" si="185"/>
        <v>0</v>
      </c>
      <c r="BK138" s="87">
        <f t="shared" si="186"/>
        <v>0</v>
      </c>
      <c r="BL138" s="87">
        <f t="shared" si="187"/>
        <v>0</v>
      </c>
      <c r="BM138" s="87">
        <f t="shared" si="188"/>
        <v>0</v>
      </c>
      <c r="BN138" s="87">
        <f t="shared" si="189"/>
        <v>0</v>
      </c>
      <c r="BO138" s="87">
        <f t="shared" si="190"/>
        <v>0</v>
      </c>
      <c r="BP138" s="87">
        <f t="shared" si="191"/>
        <v>0</v>
      </c>
      <c r="BQ138" s="87">
        <f t="shared" si="192"/>
        <v>0</v>
      </c>
      <c r="BR138" s="87">
        <f t="shared" si="193"/>
        <v>0</v>
      </c>
      <c r="BS138" s="87">
        <f t="shared" si="194"/>
        <v>0</v>
      </c>
      <c r="BT138" s="87">
        <f t="shared" si="195"/>
        <v>0</v>
      </c>
      <c r="BV138" s="177"/>
      <c r="BW138" s="177"/>
      <c r="BX138" s="267"/>
      <c r="BY138" s="267"/>
      <c r="BZ138" s="267"/>
      <c r="CA138" s="267"/>
      <c r="CB138" s="267"/>
      <c r="CC138" s="267"/>
      <c r="CD138" s="267"/>
      <c r="CE138" s="267"/>
      <c r="CF138" s="267"/>
      <c r="CG138" s="267"/>
      <c r="CH138" s="267"/>
      <c r="CI138" s="435"/>
      <c r="CJ138" s="436"/>
      <c r="CK138" s="437"/>
      <c r="CM138" s="64" t="s">
        <v>1071</v>
      </c>
      <c r="CN138" s="707">
        <v>42</v>
      </c>
      <c r="CS138" s="138">
        <v>120</v>
      </c>
      <c r="CT138" s="259">
        <f t="shared" ca="1" si="137"/>
        <v>49836</v>
      </c>
      <c r="CU138" s="179">
        <f t="shared" ca="1" si="159"/>
        <v>0</v>
      </c>
      <c r="CV138" s="179">
        <f t="shared" ca="1" si="205"/>
        <v>0</v>
      </c>
      <c r="CW138" s="179">
        <f t="shared" ca="1" si="205"/>
        <v>0</v>
      </c>
      <c r="CX138" s="179">
        <f t="shared" ca="1" si="205"/>
        <v>0</v>
      </c>
      <c r="CY138" s="179">
        <f t="shared" ca="1" si="205"/>
        <v>0</v>
      </c>
      <c r="CZ138" s="179">
        <f t="shared" ca="1" si="205"/>
        <v>0</v>
      </c>
      <c r="DA138" s="179">
        <f t="shared" ca="1" si="205"/>
        <v>0</v>
      </c>
      <c r="DB138" s="179">
        <f t="shared" ca="1" si="205"/>
        <v>0</v>
      </c>
      <c r="DC138" s="179">
        <f t="shared" ca="1" si="205"/>
        <v>0</v>
      </c>
      <c r="DD138" s="179">
        <f t="shared" ca="1" si="205"/>
        <v>0</v>
      </c>
      <c r="DE138" s="179">
        <f t="shared" ca="1" si="205"/>
        <v>0</v>
      </c>
      <c r="DF138" s="179" t="e">
        <f t="shared" ca="1" si="205"/>
        <v>#VALUE!</v>
      </c>
      <c r="DG138" s="179" t="e">
        <f t="shared" ca="1" si="205"/>
        <v>#VALUE!</v>
      </c>
      <c r="DH138" s="179" t="e">
        <f t="shared" ca="1" si="205"/>
        <v>#VALUE!</v>
      </c>
      <c r="DI138" s="179" t="e">
        <f t="shared" ca="1" si="205"/>
        <v>#VALUE!</v>
      </c>
      <c r="DJ138" s="179" t="e">
        <f t="shared" ca="1" si="205"/>
        <v>#VALUE!</v>
      </c>
      <c r="DK138" s="179" t="e">
        <f t="shared" ca="1" si="205"/>
        <v>#VALUE!</v>
      </c>
      <c r="DL138" s="179" t="e">
        <f t="shared" ca="1" si="204"/>
        <v>#VALUE!</v>
      </c>
      <c r="DM138" s="179" t="e">
        <f t="shared" ca="1" si="204"/>
        <v>#VALUE!</v>
      </c>
      <c r="DN138" s="179" t="e">
        <f t="shared" ca="1" si="204"/>
        <v>#VALUE!</v>
      </c>
      <c r="DO138" s="179" t="e">
        <f t="shared" ca="1" si="204"/>
        <v>#VALUE!</v>
      </c>
      <c r="DP138" s="179" t="e">
        <f t="shared" ca="1" si="204"/>
        <v>#VALUE!</v>
      </c>
      <c r="DQ138" s="179" t="e">
        <f t="shared" ca="1" si="204"/>
        <v>#VALUE!</v>
      </c>
      <c r="DR138" s="278">
        <v>120</v>
      </c>
      <c r="DS138" s="430">
        <f t="shared" ca="1" si="164"/>
        <v>49805</v>
      </c>
      <c r="DT138" s="180">
        <f t="shared" ca="1" si="197"/>
        <v>0</v>
      </c>
      <c r="DU138" s="180">
        <f t="shared" ca="1" si="197"/>
        <v>0</v>
      </c>
      <c r="DV138" s="180">
        <f t="shared" ca="1" si="197"/>
        <v>0</v>
      </c>
      <c r="DW138" s="180">
        <f t="shared" ca="1" si="197"/>
        <v>0</v>
      </c>
      <c r="DX138" s="180">
        <f t="shared" ca="1" si="197"/>
        <v>0</v>
      </c>
      <c r="DY138" s="180">
        <f t="shared" ca="1" si="197"/>
        <v>0</v>
      </c>
      <c r="DZ138" s="180">
        <f t="shared" ca="1" si="197"/>
        <v>0</v>
      </c>
      <c r="EA138" s="180">
        <f t="shared" ca="1" si="197"/>
        <v>0</v>
      </c>
      <c r="EB138" s="180">
        <f t="shared" ca="1" si="197"/>
        <v>0</v>
      </c>
      <c r="EC138" s="180">
        <f t="shared" ca="1" si="196"/>
        <v>0</v>
      </c>
      <c r="ED138" s="180">
        <f t="shared" ca="1" si="196"/>
        <v>0</v>
      </c>
      <c r="EE138" s="180">
        <f t="shared" ca="1" si="196"/>
        <v>0</v>
      </c>
      <c r="EF138" s="180">
        <f t="shared" ca="1" si="196"/>
        <v>0</v>
      </c>
      <c r="EG138" s="180">
        <f t="shared" ca="1" si="196"/>
        <v>0</v>
      </c>
      <c r="EH138" s="180">
        <f t="shared" ca="1" si="196"/>
        <v>0</v>
      </c>
      <c r="EI138" s="180">
        <f t="shared" ca="1" si="206"/>
        <v>0</v>
      </c>
      <c r="EJ138" s="180">
        <f t="shared" ca="1" si="206"/>
        <v>0</v>
      </c>
      <c r="EK138" s="180">
        <f t="shared" ca="1" si="206"/>
        <v>0</v>
      </c>
      <c r="EL138" s="180">
        <f t="shared" ca="1" si="206"/>
        <v>0</v>
      </c>
      <c r="EM138" s="180">
        <f t="shared" ca="1" si="206"/>
        <v>0</v>
      </c>
      <c r="EN138" s="180">
        <f t="shared" ca="1" si="206"/>
        <v>0</v>
      </c>
      <c r="EO138" s="180">
        <f t="shared" ca="1" si="206"/>
        <v>0</v>
      </c>
      <c r="EP138" s="180">
        <f t="shared" ca="1" si="206"/>
        <v>0</v>
      </c>
      <c r="EQ138" s="180"/>
      <c r="ER138" s="180"/>
    </row>
    <row r="139" spans="2:148" s="87" customFormat="1" hidden="1" x14ac:dyDescent="0.25">
      <c r="B139" s="151"/>
      <c r="C139" s="87">
        <v>78</v>
      </c>
      <c r="D139" s="258">
        <f t="shared" ca="1" si="201"/>
        <v>48528</v>
      </c>
      <c r="E139" s="175">
        <f t="shared" si="202"/>
        <v>0</v>
      </c>
      <c r="F139" s="175">
        <f t="shared" ca="1" si="202"/>
        <v>0.23558077032814417</v>
      </c>
      <c r="G139" s="175">
        <f t="shared" ca="1" si="202"/>
        <v>0.23558077032814417</v>
      </c>
      <c r="H139" s="175">
        <f t="shared" ca="1" si="202"/>
        <v>0.23558077032814417</v>
      </c>
      <c r="I139" s="175">
        <f t="shared" si="202"/>
        <v>0</v>
      </c>
      <c r="J139" s="175">
        <f t="shared" si="202"/>
        <v>0</v>
      </c>
      <c r="K139" s="175">
        <f t="shared" si="202"/>
        <v>0</v>
      </c>
      <c r="L139" s="175">
        <f t="shared" si="202"/>
        <v>0</v>
      </c>
      <c r="M139" s="175">
        <f t="shared" si="202"/>
        <v>0</v>
      </c>
      <c r="N139" s="175">
        <f t="shared" si="202"/>
        <v>0</v>
      </c>
      <c r="O139" s="175">
        <f t="shared" si="203"/>
        <v>0</v>
      </c>
      <c r="P139" s="175">
        <f t="shared" si="203"/>
        <v>0</v>
      </c>
      <c r="Q139" s="175">
        <f t="shared" si="203"/>
        <v>0</v>
      </c>
      <c r="R139" s="175">
        <f t="shared" si="203"/>
        <v>0</v>
      </c>
      <c r="S139" s="175">
        <f t="shared" si="203"/>
        <v>0</v>
      </c>
      <c r="T139" s="175">
        <f t="shared" si="203"/>
        <v>0</v>
      </c>
      <c r="U139" s="175">
        <f t="shared" si="203"/>
        <v>0</v>
      </c>
      <c r="V139" s="175"/>
      <c r="W139" s="140"/>
      <c r="X139" s="87">
        <v>121</v>
      </c>
      <c r="Y139" s="87">
        <f t="shared" si="138"/>
        <v>0</v>
      </c>
      <c r="Z139" s="87">
        <f t="shared" si="139"/>
        <v>0</v>
      </c>
      <c r="AA139" s="87">
        <f t="shared" si="140"/>
        <v>0</v>
      </c>
      <c r="AB139" s="87">
        <f t="shared" si="141"/>
        <v>0</v>
      </c>
      <c r="AC139" s="87">
        <f t="shared" si="142"/>
        <v>0</v>
      </c>
      <c r="AD139" s="87">
        <f t="shared" si="143"/>
        <v>0</v>
      </c>
      <c r="AE139" s="87">
        <f t="shared" si="144"/>
        <v>0</v>
      </c>
      <c r="AF139" s="87">
        <f t="shared" si="145"/>
        <v>0</v>
      </c>
      <c r="AG139" s="87">
        <f t="shared" si="146"/>
        <v>0</v>
      </c>
      <c r="AH139" s="87">
        <f t="shared" si="147"/>
        <v>0</v>
      </c>
      <c r="AI139" s="87">
        <f t="shared" si="148"/>
        <v>0</v>
      </c>
      <c r="AJ139" s="87">
        <f t="shared" si="149"/>
        <v>0</v>
      </c>
      <c r="AK139" s="87">
        <f t="shared" si="150"/>
        <v>0</v>
      </c>
      <c r="AL139" s="87">
        <f t="shared" si="151"/>
        <v>0</v>
      </c>
      <c r="AM139" s="87">
        <f t="shared" si="152"/>
        <v>0</v>
      </c>
      <c r="AN139" s="87">
        <f t="shared" si="153"/>
        <v>0</v>
      </c>
      <c r="AO139" s="87">
        <f t="shared" si="154"/>
        <v>0</v>
      </c>
      <c r="AP139" s="140"/>
      <c r="AQ139" s="426">
        <v>121</v>
      </c>
      <c r="AR139" s="258">
        <f t="shared" ca="1" si="160"/>
        <v>49836</v>
      </c>
      <c r="AS139" s="429">
        <f t="shared" si="178"/>
        <v>0</v>
      </c>
      <c r="AT139" s="140"/>
      <c r="AU139" s="278">
        <v>121</v>
      </c>
      <c r="AV139" s="258">
        <f t="shared" ca="1" si="161"/>
        <v>49866</v>
      </c>
      <c r="AW139" s="429">
        <f t="shared" si="155"/>
        <v>0</v>
      </c>
      <c r="AX139" s="202">
        <f t="shared" ca="1" si="156"/>
        <v>0</v>
      </c>
      <c r="AY139" s="278">
        <v>121</v>
      </c>
      <c r="AZ139" s="258">
        <f t="shared" ca="1" si="162"/>
        <v>49866</v>
      </c>
      <c r="BA139" s="429">
        <f t="shared" si="157"/>
        <v>0</v>
      </c>
      <c r="BB139" s="259">
        <f t="shared" ca="1" si="119"/>
        <v>49836</v>
      </c>
      <c r="BC139" s="428">
        <f t="shared" ca="1" si="158"/>
        <v>0</v>
      </c>
      <c r="BD139" s="188">
        <f t="shared" si="179"/>
        <v>0</v>
      </c>
      <c r="BE139" s="188">
        <f t="shared" si="180"/>
        <v>0</v>
      </c>
      <c r="BF139" s="188">
        <f t="shared" si="181"/>
        <v>0</v>
      </c>
      <c r="BG139" s="87">
        <f t="shared" si="182"/>
        <v>0</v>
      </c>
      <c r="BH139" s="87">
        <f t="shared" si="183"/>
        <v>0</v>
      </c>
      <c r="BI139" s="87">
        <f t="shared" si="184"/>
        <v>0</v>
      </c>
      <c r="BJ139" s="87">
        <f t="shared" si="185"/>
        <v>0</v>
      </c>
      <c r="BK139" s="87">
        <f t="shared" si="186"/>
        <v>0</v>
      </c>
      <c r="BL139" s="87">
        <f t="shared" si="187"/>
        <v>0</v>
      </c>
      <c r="BM139" s="87">
        <f t="shared" si="188"/>
        <v>0</v>
      </c>
      <c r="BN139" s="87">
        <f t="shared" si="189"/>
        <v>0</v>
      </c>
      <c r="BO139" s="87">
        <f t="shared" si="190"/>
        <v>0</v>
      </c>
      <c r="BP139" s="87">
        <f t="shared" si="191"/>
        <v>0</v>
      </c>
      <c r="BQ139" s="87">
        <f t="shared" si="192"/>
        <v>0</v>
      </c>
      <c r="BR139" s="87">
        <f t="shared" si="193"/>
        <v>0</v>
      </c>
      <c r="BS139" s="87">
        <f t="shared" si="194"/>
        <v>0</v>
      </c>
      <c r="BT139" s="87">
        <f t="shared" si="195"/>
        <v>0</v>
      </c>
      <c r="BV139" s="177"/>
      <c r="BW139" s="177"/>
      <c r="BX139" s="267"/>
      <c r="BY139" s="267"/>
      <c r="BZ139" s="267"/>
      <c r="CA139" s="267"/>
      <c r="CB139" s="267"/>
      <c r="CC139" s="267"/>
      <c r="CD139" s="267"/>
      <c r="CE139" s="267"/>
      <c r="CF139" s="267"/>
      <c r="CG139" s="267"/>
      <c r="CH139" s="267"/>
      <c r="CI139" s="435"/>
      <c r="CJ139" s="436"/>
      <c r="CK139" s="437"/>
      <c r="CM139" s="64" t="s">
        <v>81</v>
      </c>
      <c r="CN139" s="707">
        <v>44.333333333333336</v>
      </c>
      <c r="CS139" s="87">
        <v>121</v>
      </c>
      <c r="CT139" s="259">
        <f t="shared" ca="1" si="137"/>
        <v>49866</v>
      </c>
      <c r="CU139" s="179">
        <f t="shared" ca="1" si="159"/>
        <v>0</v>
      </c>
      <c r="CV139" s="179">
        <f t="shared" ca="1" si="205"/>
        <v>0</v>
      </c>
      <c r="CW139" s="179">
        <f t="shared" ca="1" si="205"/>
        <v>0</v>
      </c>
      <c r="CX139" s="179">
        <f t="shared" ca="1" si="205"/>
        <v>0</v>
      </c>
      <c r="CY139" s="179">
        <f t="shared" ca="1" si="205"/>
        <v>0</v>
      </c>
      <c r="CZ139" s="179">
        <f t="shared" ca="1" si="205"/>
        <v>0</v>
      </c>
      <c r="DA139" s="179">
        <f t="shared" ca="1" si="205"/>
        <v>0</v>
      </c>
      <c r="DB139" s="179">
        <f t="shared" ca="1" si="205"/>
        <v>0</v>
      </c>
      <c r="DC139" s="179">
        <f t="shared" ca="1" si="205"/>
        <v>0</v>
      </c>
      <c r="DD139" s="179">
        <f t="shared" ca="1" si="205"/>
        <v>0</v>
      </c>
      <c r="DE139" s="179">
        <f t="shared" ca="1" si="205"/>
        <v>0</v>
      </c>
      <c r="DF139" s="179" t="e">
        <f t="shared" ca="1" si="205"/>
        <v>#VALUE!</v>
      </c>
      <c r="DG139" s="179" t="e">
        <f t="shared" ca="1" si="205"/>
        <v>#VALUE!</v>
      </c>
      <c r="DH139" s="179" t="e">
        <f t="shared" ca="1" si="205"/>
        <v>#VALUE!</v>
      </c>
      <c r="DI139" s="179" t="e">
        <f t="shared" ca="1" si="205"/>
        <v>#VALUE!</v>
      </c>
      <c r="DJ139" s="179" t="e">
        <f t="shared" ca="1" si="205"/>
        <v>#VALUE!</v>
      </c>
      <c r="DK139" s="179" t="e">
        <f t="shared" ca="1" si="205"/>
        <v>#VALUE!</v>
      </c>
      <c r="DL139" s="179" t="e">
        <f t="shared" ca="1" si="204"/>
        <v>#VALUE!</v>
      </c>
      <c r="DM139" s="179" t="e">
        <f t="shared" ca="1" si="204"/>
        <v>#VALUE!</v>
      </c>
      <c r="DN139" s="179" t="e">
        <f t="shared" ca="1" si="204"/>
        <v>#VALUE!</v>
      </c>
      <c r="DO139" s="179" t="e">
        <f t="shared" ca="1" si="204"/>
        <v>#VALUE!</v>
      </c>
      <c r="DP139" s="179" t="e">
        <f t="shared" ca="1" si="204"/>
        <v>#VALUE!</v>
      </c>
      <c r="DQ139" s="179" t="e">
        <f t="shared" ca="1" si="204"/>
        <v>#VALUE!</v>
      </c>
      <c r="DR139" s="188">
        <v>121</v>
      </c>
      <c r="DS139" s="430">
        <f t="shared" ca="1" si="164"/>
        <v>49836</v>
      </c>
      <c r="DT139" s="180">
        <f t="shared" ca="1" si="197"/>
        <v>0</v>
      </c>
      <c r="DU139" s="180">
        <f t="shared" ca="1" si="197"/>
        <v>0</v>
      </c>
      <c r="DV139" s="180">
        <f t="shared" ca="1" si="197"/>
        <v>0</v>
      </c>
      <c r="DW139" s="180">
        <f t="shared" ca="1" si="197"/>
        <v>0</v>
      </c>
      <c r="DX139" s="180">
        <f t="shared" ca="1" si="197"/>
        <v>0</v>
      </c>
      <c r="DY139" s="180">
        <f t="shared" ca="1" si="197"/>
        <v>0</v>
      </c>
      <c r="DZ139" s="180">
        <f t="shared" ca="1" si="197"/>
        <v>0</v>
      </c>
      <c r="EA139" s="180">
        <f t="shared" ca="1" si="197"/>
        <v>0</v>
      </c>
      <c r="EB139" s="180">
        <f t="shared" ca="1" si="197"/>
        <v>0</v>
      </c>
      <c r="EC139" s="180">
        <f t="shared" ca="1" si="196"/>
        <v>0</v>
      </c>
      <c r="ED139" s="180">
        <f t="shared" ca="1" si="196"/>
        <v>0</v>
      </c>
      <c r="EE139" s="180">
        <f t="shared" ca="1" si="196"/>
        <v>0</v>
      </c>
      <c r="EF139" s="180">
        <f t="shared" ca="1" si="196"/>
        <v>0</v>
      </c>
      <c r="EG139" s="180">
        <f t="shared" ca="1" si="196"/>
        <v>0</v>
      </c>
      <c r="EH139" s="180">
        <f t="shared" ca="1" si="196"/>
        <v>0</v>
      </c>
      <c r="EI139" s="180">
        <f t="shared" ca="1" si="206"/>
        <v>0</v>
      </c>
      <c r="EJ139" s="180">
        <f t="shared" ca="1" si="206"/>
        <v>0</v>
      </c>
      <c r="EK139" s="180">
        <f t="shared" ca="1" si="206"/>
        <v>0</v>
      </c>
      <c r="EL139" s="180">
        <f t="shared" ca="1" si="206"/>
        <v>0</v>
      </c>
      <c r="EM139" s="180">
        <f t="shared" ca="1" si="206"/>
        <v>0</v>
      </c>
      <c r="EN139" s="180">
        <f t="shared" ca="1" si="206"/>
        <v>0</v>
      </c>
      <c r="EO139" s="180">
        <f t="shared" ca="1" si="206"/>
        <v>0</v>
      </c>
      <c r="EP139" s="180">
        <f t="shared" ca="1" si="206"/>
        <v>0</v>
      </c>
      <c r="EQ139" s="180"/>
      <c r="ER139" s="180"/>
    </row>
    <row r="140" spans="2:148" s="87" customFormat="1" hidden="1" x14ac:dyDescent="0.25">
      <c r="B140" s="151"/>
      <c r="C140" s="87">
        <v>79</v>
      </c>
      <c r="D140" s="258">
        <f t="shared" ca="1" si="201"/>
        <v>48558</v>
      </c>
      <c r="E140" s="175">
        <f t="shared" si="202"/>
        <v>0</v>
      </c>
      <c r="F140" s="175">
        <f t="shared" ca="1" si="202"/>
        <v>0.23130168908016119</v>
      </c>
      <c r="G140" s="175">
        <f t="shared" ca="1" si="202"/>
        <v>0.23130168908016119</v>
      </c>
      <c r="H140" s="175">
        <f t="shared" ca="1" si="202"/>
        <v>0.23130168908016119</v>
      </c>
      <c r="I140" s="175">
        <f t="shared" si="202"/>
        <v>0</v>
      </c>
      <c r="J140" s="175">
        <f t="shared" si="202"/>
        <v>0</v>
      </c>
      <c r="K140" s="175">
        <f t="shared" si="202"/>
        <v>0</v>
      </c>
      <c r="L140" s="175">
        <f t="shared" si="202"/>
        <v>0</v>
      </c>
      <c r="M140" s="175">
        <f t="shared" si="202"/>
        <v>0</v>
      </c>
      <c r="N140" s="175">
        <f t="shared" si="202"/>
        <v>0</v>
      </c>
      <c r="O140" s="175">
        <f t="shared" si="203"/>
        <v>0</v>
      </c>
      <c r="P140" s="175">
        <f t="shared" si="203"/>
        <v>0</v>
      </c>
      <c r="Q140" s="175">
        <f t="shared" si="203"/>
        <v>0</v>
      </c>
      <c r="R140" s="175">
        <f t="shared" si="203"/>
        <v>0</v>
      </c>
      <c r="S140" s="175">
        <f t="shared" si="203"/>
        <v>0</v>
      </c>
      <c r="T140" s="175">
        <f t="shared" si="203"/>
        <v>0</v>
      </c>
      <c r="U140" s="175">
        <f t="shared" si="203"/>
        <v>0</v>
      </c>
      <c r="V140" s="175"/>
      <c r="W140" s="140"/>
      <c r="X140" s="87">
        <v>122</v>
      </c>
      <c r="Y140" s="87">
        <f t="shared" si="138"/>
        <v>0</v>
      </c>
      <c r="Z140" s="87">
        <f t="shared" si="139"/>
        <v>0</v>
      </c>
      <c r="AA140" s="87">
        <f t="shared" si="140"/>
        <v>0</v>
      </c>
      <c r="AB140" s="87">
        <f t="shared" si="141"/>
        <v>0</v>
      </c>
      <c r="AC140" s="87">
        <f t="shared" si="142"/>
        <v>0</v>
      </c>
      <c r="AD140" s="87">
        <f t="shared" si="143"/>
        <v>0</v>
      </c>
      <c r="AE140" s="87">
        <f t="shared" si="144"/>
        <v>0</v>
      </c>
      <c r="AF140" s="87">
        <f t="shared" si="145"/>
        <v>0</v>
      </c>
      <c r="AG140" s="87">
        <f t="shared" si="146"/>
        <v>0</v>
      </c>
      <c r="AH140" s="87">
        <f t="shared" si="147"/>
        <v>0</v>
      </c>
      <c r="AI140" s="87">
        <f t="shared" si="148"/>
        <v>0</v>
      </c>
      <c r="AJ140" s="87">
        <f t="shared" si="149"/>
        <v>0</v>
      </c>
      <c r="AK140" s="87">
        <f t="shared" si="150"/>
        <v>0</v>
      </c>
      <c r="AL140" s="87">
        <f t="shared" si="151"/>
        <v>0</v>
      </c>
      <c r="AM140" s="87">
        <f t="shared" si="152"/>
        <v>0</v>
      </c>
      <c r="AN140" s="87">
        <f t="shared" si="153"/>
        <v>0</v>
      </c>
      <c r="AO140" s="87">
        <f t="shared" si="154"/>
        <v>0</v>
      </c>
      <c r="AP140" s="140"/>
      <c r="AQ140" s="426">
        <v>122</v>
      </c>
      <c r="AR140" s="258">
        <f t="shared" ca="1" si="160"/>
        <v>49866</v>
      </c>
      <c r="AS140" s="429">
        <f t="shared" si="178"/>
        <v>0</v>
      </c>
      <c r="AT140" s="140"/>
      <c r="AU140" s="278">
        <v>122</v>
      </c>
      <c r="AV140" s="258">
        <f t="shared" ca="1" si="161"/>
        <v>49897</v>
      </c>
      <c r="AW140" s="429">
        <f t="shared" si="155"/>
        <v>0</v>
      </c>
      <c r="AX140" s="202">
        <f t="shared" ca="1" si="156"/>
        <v>0</v>
      </c>
      <c r="AY140" s="278">
        <v>122</v>
      </c>
      <c r="AZ140" s="258">
        <f t="shared" ca="1" si="162"/>
        <v>49897</v>
      </c>
      <c r="BA140" s="429">
        <f t="shared" si="157"/>
        <v>0</v>
      </c>
      <c r="BB140" s="259">
        <f t="shared" ca="1" si="119"/>
        <v>49866</v>
      </c>
      <c r="BC140" s="428">
        <f t="shared" ca="1" si="158"/>
        <v>0</v>
      </c>
      <c r="BD140" s="188">
        <f t="shared" si="179"/>
        <v>0</v>
      </c>
      <c r="BE140" s="188">
        <f t="shared" si="180"/>
        <v>0</v>
      </c>
      <c r="BF140" s="188">
        <f t="shared" si="181"/>
        <v>0</v>
      </c>
      <c r="BG140" s="87">
        <f t="shared" si="182"/>
        <v>0</v>
      </c>
      <c r="BH140" s="87">
        <f t="shared" si="183"/>
        <v>0</v>
      </c>
      <c r="BI140" s="87">
        <f t="shared" si="184"/>
        <v>0</v>
      </c>
      <c r="BJ140" s="87">
        <f t="shared" si="185"/>
        <v>0</v>
      </c>
      <c r="BK140" s="87">
        <f t="shared" si="186"/>
        <v>0</v>
      </c>
      <c r="BL140" s="87">
        <f t="shared" si="187"/>
        <v>0</v>
      </c>
      <c r="BM140" s="87">
        <f t="shared" si="188"/>
        <v>0</v>
      </c>
      <c r="BN140" s="87">
        <f t="shared" si="189"/>
        <v>0</v>
      </c>
      <c r="BO140" s="87">
        <f t="shared" si="190"/>
        <v>0</v>
      </c>
      <c r="BP140" s="87">
        <f t="shared" si="191"/>
        <v>0</v>
      </c>
      <c r="BQ140" s="87">
        <f t="shared" si="192"/>
        <v>0</v>
      </c>
      <c r="BR140" s="87">
        <f t="shared" si="193"/>
        <v>0</v>
      </c>
      <c r="BS140" s="87">
        <f t="shared" si="194"/>
        <v>0</v>
      </c>
      <c r="BT140" s="87">
        <f t="shared" si="195"/>
        <v>0</v>
      </c>
      <c r="BV140" s="177"/>
      <c r="BW140" s="177"/>
      <c r="BX140" s="267"/>
      <c r="BY140" s="267"/>
      <c r="BZ140" s="267"/>
      <c r="CA140" s="267"/>
      <c r="CB140" s="267"/>
      <c r="CC140" s="267"/>
      <c r="CD140" s="267"/>
      <c r="CE140" s="267"/>
      <c r="CF140" s="267"/>
      <c r="CG140" s="267"/>
      <c r="CH140" s="267"/>
      <c r="CI140" s="435"/>
      <c r="CJ140" s="436"/>
      <c r="CK140" s="437"/>
      <c r="CM140" s="64" t="s">
        <v>3040</v>
      </c>
      <c r="CN140" s="707">
        <v>64.285714285714292</v>
      </c>
      <c r="CS140" s="178">
        <v>122</v>
      </c>
      <c r="CT140" s="259">
        <f t="shared" ca="1" si="137"/>
        <v>49897</v>
      </c>
      <c r="CU140" s="179">
        <f t="shared" ca="1" si="159"/>
        <v>0</v>
      </c>
      <c r="CV140" s="179">
        <f t="shared" ca="1" si="205"/>
        <v>0</v>
      </c>
      <c r="CW140" s="179">
        <f t="shared" ca="1" si="205"/>
        <v>0</v>
      </c>
      <c r="CX140" s="179">
        <f t="shared" ca="1" si="205"/>
        <v>0</v>
      </c>
      <c r="CY140" s="179">
        <f t="shared" ca="1" si="205"/>
        <v>0</v>
      </c>
      <c r="CZ140" s="179">
        <f t="shared" ca="1" si="205"/>
        <v>0</v>
      </c>
      <c r="DA140" s="179">
        <f t="shared" ca="1" si="205"/>
        <v>0</v>
      </c>
      <c r="DB140" s="179">
        <f t="shared" ca="1" si="205"/>
        <v>0</v>
      </c>
      <c r="DC140" s="179">
        <f t="shared" ca="1" si="205"/>
        <v>0</v>
      </c>
      <c r="DD140" s="179">
        <f t="shared" ca="1" si="205"/>
        <v>0</v>
      </c>
      <c r="DE140" s="179">
        <f t="shared" ca="1" si="205"/>
        <v>0</v>
      </c>
      <c r="DF140" s="179" t="e">
        <f t="shared" ca="1" si="205"/>
        <v>#VALUE!</v>
      </c>
      <c r="DG140" s="179" t="e">
        <f t="shared" ca="1" si="205"/>
        <v>#VALUE!</v>
      </c>
      <c r="DH140" s="179" t="e">
        <f t="shared" ca="1" si="205"/>
        <v>#VALUE!</v>
      </c>
      <c r="DI140" s="179" t="e">
        <f t="shared" ca="1" si="205"/>
        <v>#VALUE!</v>
      </c>
      <c r="DJ140" s="179" t="e">
        <f t="shared" ca="1" si="205"/>
        <v>#VALUE!</v>
      </c>
      <c r="DK140" s="179" t="e">
        <f t="shared" ca="1" si="205"/>
        <v>#VALUE!</v>
      </c>
      <c r="DL140" s="179" t="e">
        <f t="shared" ca="1" si="204"/>
        <v>#VALUE!</v>
      </c>
      <c r="DM140" s="179" t="e">
        <f t="shared" ca="1" si="204"/>
        <v>#VALUE!</v>
      </c>
      <c r="DN140" s="179" t="e">
        <f t="shared" ca="1" si="204"/>
        <v>#VALUE!</v>
      </c>
      <c r="DO140" s="179" t="e">
        <f t="shared" ca="1" si="204"/>
        <v>#VALUE!</v>
      </c>
      <c r="DP140" s="179" t="e">
        <f t="shared" ca="1" si="204"/>
        <v>#VALUE!</v>
      </c>
      <c r="DQ140" s="179" t="e">
        <f t="shared" ca="1" si="204"/>
        <v>#VALUE!</v>
      </c>
      <c r="DR140" s="431">
        <v>122</v>
      </c>
      <c r="DS140" s="430">
        <f t="shared" ca="1" si="164"/>
        <v>49866</v>
      </c>
      <c r="DT140" s="180">
        <f t="shared" ca="1" si="197"/>
        <v>0</v>
      </c>
      <c r="DU140" s="180">
        <f t="shared" ca="1" si="197"/>
        <v>0</v>
      </c>
      <c r="DV140" s="180">
        <f t="shared" ca="1" si="197"/>
        <v>0</v>
      </c>
      <c r="DW140" s="180">
        <f t="shared" ca="1" si="197"/>
        <v>0</v>
      </c>
      <c r="DX140" s="180">
        <f t="shared" ca="1" si="197"/>
        <v>0</v>
      </c>
      <c r="DY140" s="180">
        <f t="shared" ca="1" si="197"/>
        <v>0</v>
      </c>
      <c r="DZ140" s="180">
        <f t="shared" ca="1" si="197"/>
        <v>0</v>
      </c>
      <c r="EA140" s="180">
        <f t="shared" ca="1" si="197"/>
        <v>0</v>
      </c>
      <c r="EB140" s="180">
        <f t="shared" ca="1" si="197"/>
        <v>0</v>
      </c>
      <c r="EC140" s="180">
        <f t="shared" ca="1" si="196"/>
        <v>0</v>
      </c>
      <c r="ED140" s="180">
        <f t="shared" ca="1" si="196"/>
        <v>0</v>
      </c>
      <c r="EE140" s="180">
        <f t="shared" ca="1" si="196"/>
        <v>0</v>
      </c>
      <c r="EF140" s="180">
        <f t="shared" ca="1" si="196"/>
        <v>0</v>
      </c>
      <c r="EG140" s="180">
        <f t="shared" ca="1" si="196"/>
        <v>0</v>
      </c>
      <c r="EH140" s="180">
        <f t="shared" ca="1" si="196"/>
        <v>0</v>
      </c>
      <c r="EI140" s="180">
        <f t="shared" ca="1" si="206"/>
        <v>0</v>
      </c>
      <c r="EJ140" s="180">
        <f t="shared" ca="1" si="206"/>
        <v>0</v>
      </c>
      <c r="EK140" s="180">
        <f t="shared" ca="1" si="206"/>
        <v>0</v>
      </c>
      <c r="EL140" s="180">
        <f t="shared" ca="1" si="206"/>
        <v>0</v>
      </c>
      <c r="EM140" s="180">
        <f t="shared" ca="1" si="206"/>
        <v>0</v>
      </c>
      <c r="EN140" s="180">
        <f t="shared" ca="1" si="206"/>
        <v>0</v>
      </c>
      <c r="EO140" s="180">
        <f t="shared" ca="1" si="206"/>
        <v>0</v>
      </c>
      <c r="EP140" s="180">
        <f t="shared" ca="1" si="206"/>
        <v>0</v>
      </c>
      <c r="EQ140" s="180"/>
      <c r="ER140" s="180"/>
    </row>
    <row r="141" spans="2:148" s="87" customFormat="1" hidden="1" x14ac:dyDescent="0.25">
      <c r="B141" s="151"/>
      <c r="C141" s="87">
        <v>80</v>
      </c>
      <c r="D141" s="258">
        <f t="shared" ca="1" si="201"/>
        <v>48589</v>
      </c>
      <c r="E141" s="175">
        <f t="shared" si="202"/>
        <v>0</v>
      </c>
      <c r="F141" s="175">
        <f t="shared" ca="1" si="202"/>
        <v>0.22696160976204474</v>
      </c>
      <c r="G141" s="175">
        <f t="shared" ca="1" si="202"/>
        <v>0.22696160976204474</v>
      </c>
      <c r="H141" s="175">
        <f t="shared" ca="1" si="202"/>
        <v>0.22696160976204474</v>
      </c>
      <c r="I141" s="175">
        <f t="shared" si="202"/>
        <v>0</v>
      </c>
      <c r="J141" s="175">
        <f t="shared" si="202"/>
        <v>0</v>
      </c>
      <c r="K141" s="175">
        <f t="shared" si="202"/>
        <v>0</v>
      </c>
      <c r="L141" s="175">
        <f t="shared" si="202"/>
        <v>0</v>
      </c>
      <c r="M141" s="175">
        <f t="shared" si="202"/>
        <v>0</v>
      </c>
      <c r="N141" s="175">
        <f t="shared" si="202"/>
        <v>0</v>
      </c>
      <c r="O141" s="175">
        <f t="shared" si="203"/>
        <v>0</v>
      </c>
      <c r="P141" s="175">
        <f t="shared" si="203"/>
        <v>0</v>
      </c>
      <c r="Q141" s="175">
        <f t="shared" si="203"/>
        <v>0</v>
      </c>
      <c r="R141" s="175">
        <f t="shared" si="203"/>
        <v>0</v>
      </c>
      <c r="S141" s="175">
        <f t="shared" si="203"/>
        <v>0</v>
      </c>
      <c r="T141" s="175">
        <f t="shared" si="203"/>
        <v>0</v>
      </c>
      <c r="U141" s="175">
        <f t="shared" si="203"/>
        <v>0</v>
      </c>
      <c r="V141" s="175"/>
      <c r="W141" s="140"/>
      <c r="X141" s="87">
        <v>123</v>
      </c>
      <c r="Y141" s="87">
        <f t="shared" si="138"/>
        <v>0</v>
      </c>
      <c r="Z141" s="87">
        <f t="shared" si="139"/>
        <v>0</v>
      </c>
      <c r="AA141" s="87">
        <f t="shared" si="140"/>
        <v>0</v>
      </c>
      <c r="AB141" s="87">
        <f t="shared" si="141"/>
        <v>0</v>
      </c>
      <c r="AC141" s="87">
        <f t="shared" si="142"/>
        <v>0</v>
      </c>
      <c r="AD141" s="87">
        <f t="shared" si="143"/>
        <v>0</v>
      </c>
      <c r="AE141" s="87">
        <f t="shared" si="144"/>
        <v>0</v>
      </c>
      <c r="AF141" s="87">
        <f t="shared" si="145"/>
        <v>0</v>
      </c>
      <c r="AG141" s="87">
        <f t="shared" si="146"/>
        <v>0</v>
      </c>
      <c r="AH141" s="87">
        <f t="shared" si="147"/>
        <v>0</v>
      </c>
      <c r="AI141" s="87">
        <f t="shared" si="148"/>
        <v>0</v>
      </c>
      <c r="AJ141" s="87">
        <f t="shared" si="149"/>
        <v>0</v>
      </c>
      <c r="AK141" s="87">
        <f t="shared" si="150"/>
        <v>0</v>
      </c>
      <c r="AL141" s="87">
        <f t="shared" si="151"/>
        <v>0</v>
      </c>
      <c r="AM141" s="87">
        <f t="shared" si="152"/>
        <v>0</v>
      </c>
      <c r="AN141" s="87">
        <f t="shared" si="153"/>
        <v>0</v>
      </c>
      <c r="AO141" s="87">
        <f t="shared" si="154"/>
        <v>0</v>
      </c>
      <c r="AP141" s="140"/>
      <c r="AQ141" s="426">
        <v>123</v>
      </c>
      <c r="AR141" s="258">
        <f t="shared" ca="1" si="160"/>
        <v>49897</v>
      </c>
      <c r="AS141" s="429">
        <f t="shared" si="178"/>
        <v>0</v>
      </c>
      <c r="AT141" s="140"/>
      <c r="AU141" s="278">
        <v>123</v>
      </c>
      <c r="AV141" s="258">
        <f t="shared" ca="1" si="161"/>
        <v>49928</v>
      </c>
      <c r="AW141" s="429">
        <f t="shared" si="155"/>
        <v>0</v>
      </c>
      <c r="AX141" s="202">
        <f t="shared" ca="1" si="156"/>
        <v>0</v>
      </c>
      <c r="AY141" s="278">
        <v>123</v>
      </c>
      <c r="AZ141" s="258">
        <f t="shared" ca="1" si="162"/>
        <v>49928</v>
      </c>
      <c r="BA141" s="429">
        <f t="shared" si="157"/>
        <v>0</v>
      </c>
      <c r="BB141" s="259">
        <f t="shared" ca="1" si="119"/>
        <v>49897</v>
      </c>
      <c r="BC141" s="428">
        <f t="shared" ca="1" si="158"/>
        <v>0</v>
      </c>
      <c r="BD141" s="188">
        <f t="shared" si="179"/>
        <v>0</v>
      </c>
      <c r="BE141" s="188">
        <f t="shared" si="180"/>
        <v>0</v>
      </c>
      <c r="BF141" s="188">
        <f t="shared" si="181"/>
        <v>0</v>
      </c>
      <c r="BG141" s="87">
        <f t="shared" si="182"/>
        <v>0</v>
      </c>
      <c r="BH141" s="87">
        <f t="shared" si="183"/>
        <v>0</v>
      </c>
      <c r="BI141" s="87">
        <f t="shared" si="184"/>
        <v>0</v>
      </c>
      <c r="BJ141" s="87">
        <f t="shared" si="185"/>
        <v>0</v>
      </c>
      <c r="BK141" s="87">
        <f t="shared" si="186"/>
        <v>0</v>
      </c>
      <c r="BL141" s="87">
        <f t="shared" si="187"/>
        <v>0</v>
      </c>
      <c r="BM141" s="87">
        <f t="shared" si="188"/>
        <v>0</v>
      </c>
      <c r="BN141" s="87">
        <f t="shared" si="189"/>
        <v>0</v>
      </c>
      <c r="BO141" s="87">
        <f t="shared" si="190"/>
        <v>0</v>
      </c>
      <c r="BP141" s="87">
        <f t="shared" si="191"/>
        <v>0</v>
      </c>
      <c r="BQ141" s="87">
        <f t="shared" si="192"/>
        <v>0</v>
      </c>
      <c r="BR141" s="87">
        <f t="shared" si="193"/>
        <v>0</v>
      </c>
      <c r="BS141" s="87">
        <f t="shared" si="194"/>
        <v>0</v>
      </c>
      <c r="BT141" s="87">
        <f t="shared" si="195"/>
        <v>0</v>
      </c>
      <c r="BV141" s="177"/>
      <c r="BW141" s="177"/>
      <c r="BX141" s="267"/>
      <c r="BY141" s="267"/>
      <c r="BZ141" s="267"/>
      <c r="CA141" s="267"/>
      <c r="CB141" s="267"/>
      <c r="CC141" s="267"/>
      <c r="CD141" s="267"/>
      <c r="CE141" s="267"/>
      <c r="CF141" s="267"/>
      <c r="CG141" s="267"/>
      <c r="CH141" s="267"/>
      <c r="CI141" s="435"/>
      <c r="CJ141" s="436"/>
      <c r="CK141" s="437"/>
      <c r="CM141" s="64" t="s">
        <v>3041</v>
      </c>
      <c r="CN141" s="707">
        <v>64</v>
      </c>
      <c r="CS141" s="138">
        <v>123</v>
      </c>
      <c r="CT141" s="259">
        <f t="shared" ca="1" si="137"/>
        <v>49928</v>
      </c>
      <c r="CU141" s="179">
        <f t="shared" ca="1" si="159"/>
        <v>0</v>
      </c>
      <c r="CV141" s="179">
        <f t="shared" ca="1" si="205"/>
        <v>0</v>
      </c>
      <c r="CW141" s="179">
        <f t="shared" ca="1" si="205"/>
        <v>0</v>
      </c>
      <c r="CX141" s="179">
        <f t="shared" ca="1" si="205"/>
        <v>0</v>
      </c>
      <c r="CY141" s="179">
        <f t="shared" ca="1" si="205"/>
        <v>0</v>
      </c>
      <c r="CZ141" s="179">
        <f t="shared" ca="1" si="205"/>
        <v>0</v>
      </c>
      <c r="DA141" s="179">
        <f t="shared" ca="1" si="205"/>
        <v>0</v>
      </c>
      <c r="DB141" s="179">
        <f t="shared" ca="1" si="205"/>
        <v>0</v>
      </c>
      <c r="DC141" s="179">
        <f t="shared" ca="1" si="205"/>
        <v>0</v>
      </c>
      <c r="DD141" s="179">
        <f t="shared" ca="1" si="205"/>
        <v>0</v>
      </c>
      <c r="DE141" s="179">
        <f t="shared" ca="1" si="205"/>
        <v>0</v>
      </c>
      <c r="DF141" s="179" t="e">
        <f t="shared" ca="1" si="205"/>
        <v>#VALUE!</v>
      </c>
      <c r="DG141" s="179" t="e">
        <f t="shared" ca="1" si="205"/>
        <v>#VALUE!</v>
      </c>
      <c r="DH141" s="179" t="e">
        <f t="shared" ca="1" si="205"/>
        <v>#VALUE!</v>
      </c>
      <c r="DI141" s="179" t="e">
        <f t="shared" ca="1" si="205"/>
        <v>#VALUE!</v>
      </c>
      <c r="DJ141" s="179" t="e">
        <f t="shared" ca="1" si="205"/>
        <v>#VALUE!</v>
      </c>
      <c r="DK141" s="179" t="e">
        <f t="shared" ca="1" si="205"/>
        <v>#VALUE!</v>
      </c>
      <c r="DL141" s="179" t="e">
        <f t="shared" ca="1" si="204"/>
        <v>#VALUE!</v>
      </c>
      <c r="DM141" s="179" t="e">
        <f t="shared" ca="1" si="204"/>
        <v>#VALUE!</v>
      </c>
      <c r="DN141" s="179" t="e">
        <f t="shared" ca="1" si="204"/>
        <v>#VALUE!</v>
      </c>
      <c r="DO141" s="179" t="e">
        <f t="shared" ca="1" si="204"/>
        <v>#VALUE!</v>
      </c>
      <c r="DP141" s="179" t="e">
        <f t="shared" ca="1" si="204"/>
        <v>#VALUE!</v>
      </c>
      <c r="DQ141" s="179" t="e">
        <f t="shared" ca="1" si="204"/>
        <v>#VALUE!</v>
      </c>
      <c r="DR141" s="278">
        <v>123</v>
      </c>
      <c r="DS141" s="430">
        <f t="shared" ca="1" si="164"/>
        <v>49897</v>
      </c>
      <c r="DT141" s="180">
        <f t="shared" ca="1" si="197"/>
        <v>0</v>
      </c>
      <c r="DU141" s="180">
        <f t="shared" ca="1" si="197"/>
        <v>0</v>
      </c>
      <c r="DV141" s="180">
        <f t="shared" ca="1" si="197"/>
        <v>0</v>
      </c>
      <c r="DW141" s="180">
        <f t="shared" ca="1" si="197"/>
        <v>0</v>
      </c>
      <c r="DX141" s="180">
        <f t="shared" ca="1" si="197"/>
        <v>0</v>
      </c>
      <c r="DY141" s="180">
        <f t="shared" ca="1" si="197"/>
        <v>0</v>
      </c>
      <c r="DZ141" s="180">
        <f t="shared" ca="1" si="197"/>
        <v>0</v>
      </c>
      <c r="EA141" s="180">
        <f t="shared" ca="1" si="197"/>
        <v>0</v>
      </c>
      <c r="EB141" s="180">
        <f t="shared" ca="1" si="197"/>
        <v>0</v>
      </c>
      <c r="EC141" s="180">
        <f t="shared" ca="1" si="196"/>
        <v>0</v>
      </c>
      <c r="ED141" s="180">
        <f t="shared" ca="1" si="196"/>
        <v>0</v>
      </c>
      <c r="EE141" s="180">
        <f t="shared" ca="1" si="196"/>
        <v>0</v>
      </c>
      <c r="EF141" s="180">
        <f t="shared" ca="1" si="196"/>
        <v>0</v>
      </c>
      <c r="EG141" s="180">
        <f t="shared" ca="1" si="196"/>
        <v>0</v>
      </c>
      <c r="EH141" s="180">
        <f t="shared" ca="1" si="196"/>
        <v>0</v>
      </c>
      <c r="EI141" s="180">
        <f t="shared" ca="1" si="206"/>
        <v>0</v>
      </c>
      <c r="EJ141" s="180">
        <f t="shared" ca="1" si="206"/>
        <v>0</v>
      </c>
      <c r="EK141" s="180">
        <f t="shared" ca="1" si="206"/>
        <v>0</v>
      </c>
      <c r="EL141" s="180">
        <f t="shared" ca="1" si="206"/>
        <v>0</v>
      </c>
      <c r="EM141" s="180">
        <f t="shared" ca="1" si="206"/>
        <v>0</v>
      </c>
      <c r="EN141" s="180">
        <f t="shared" ca="1" si="206"/>
        <v>0</v>
      </c>
      <c r="EO141" s="180">
        <f t="shared" ca="1" si="206"/>
        <v>0</v>
      </c>
      <c r="EP141" s="180">
        <f t="shared" ca="1" si="206"/>
        <v>0</v>
      </c>
      <c r="EQ141" s="180"/>
      <c r="ER141" s="180"/>
    </row>
    <row r="142" spans="2:148" s="87" customFormat="1" hidden="1" x14ac:dyDescent="0.25">
      <c r="B142" s="151"/>
      <c r="C142" s="87">
        <v>81</v>
      </c>
      <c r="D142" s="258">
        <f t="shared" ca="1" si="201"/>
        <v>48620</v>
      </c>
      <c r="E142" s="175">
        <f t="shared" ref="E142:N151" si="207">IF($C142&lt;=E$17,1/(($D$60+1)^(($D142-$D$61)/30)),0)</f>
        <v>0</v>
      </c>
      <c r="F142" s="175">
        <f t="shared" ca="1" si="207"/>
        <v>0.22270296646180815</v>
      </c>
      <c r="G142" s="175">
        <f t="shared" ca="1" si="207"/>
        <v>0.22270296646180815</v>
      </c>
      <c r="H142" s="175">
        <f t="shared" ca="1" si="207"/>
        <v>0.22270296646180815</v>
      </c>
      <c r="I142" s="175">
        <f t="shared" si="207"/>
        <v>0</v>
      </c>
      <c r="J142" s="175">
        <f t="shared" si="207"/>
        <v>0</v>
      </c>
      <c r="K142" s="175">
        <f t="shared" si="207"/>
        <v>0</v>
      </c>
      <c r="L142" s="175">
        <f t="shared" si="207"/>
        <v>0</v>
      </c>
      <c r="M142" s="175">
        <f t="shared" si="207"/>
        <v>0</v>
      </c>
      <c r="N142" s="175">
        <f t="shared" si="207"/>
        <v>0</v>
      </c>
      <c r="O142" s="175">
        <f t="shared" ref="O142:U151" si="208">IF($C142&lt;=O$17,1/(($D$60+1)^(($D142-$D$61)/30)),0)</f>
        <v>0</v>
      </c>
      <c r="P142" s="175">
        <f t="shared" si="208"/>
        <v>0</v>
      </c>
      <c r="Q142" s="175">
        <f t="shared" si="208"/>
        <v>0</v>
      </c>
      <c r="R142" s="175">
        <f t="shared" si="208"/>
        <v>0</v>
      </c>
      <c r="S142" s="175">
        <f t="shared" si="208"/>
        <v>0</v>
      </c>
      <c r="T142" s="175">
        <f t="shared" si="208"/>
        <v>0</v>
      </c>
      <c r="U142" s="175">
        <f t="shared" si="208"/>
        <v>0</v>
      </c>
      <c r="V142" s="175"/>
      <c r="W142" s="140"/>
      <c r="X142" s="87">
        <v>124</v>
      </c>
      <c r="Y142" s="87">
        <f t="shared" si="138"/>
        <v>0</v>
      </c>
      <c r="Z142" s="87">
        <f t="shared" si="139"/>
        <v>0</v>
      </c>
      <c r="AA142" s="87">
        <f t="shared" si="140"/>
        <v>0</v>
      </c>
      <c r="AB142" s="87">
        <f t="shared" si="141"/>
        <v>0</v>
      </c>
      <c r="AC142" s="87">
        <f t="shared" si="142"/>
        <v>0</v>
      </c>
      <c r="AD142" s="87">
        <f t="shared" si="143"/>
        <v>0</v>
      </c>
      <c r="AE142" s="87">
        <f t="shared" si="144"/>
        <v>0</v>
      </c>
      <c r="AF142" s="87">
        <f t="shared" si="145"/>
        <v>0</v>
      </c>
      <c r="AG142" s="87">
        <f t="shared" si="146"/>
        <v>0</v>
      </c>
      <c r="AH142" s="87">
        <f t="shared" si="147"/>
        <v>0</v>
      </c>
      <c r="AI142" s="87">
        <f t="shared" si="148"/>
        <v>0</v>
      </c>
      <c r="AJ142" s="87">
        <f t="shared" si="149"/>
        <v>0</v>
      </c>
      <c r="AK142" s="87">
        <f t="shared" si="150"/>
        <v>0</v>
      </c>
      <c r="AL142" s="87">
        <f t="shared" si="151"/>
        <v>0</v>
      </c>
      <c r="AM142" s="87">
        <f t="shared" si="152"/>
        <v>0</v>
      </c>
      <c r="AN142" s="87">
        <f t="shared" si="153"/>
        <v>0</v>
      </c>
      <c r="AO142" s="87">
        <f t="shared" si="154"/>
        <v>0</v>
      </c>
      <c r="AP142" s="140"/>
      <c r="AQ142" s="426">
        <v>124</v>
      </c>
      <c r="AR142" s="258">
        <f t="shared" ca="1" si="160"/>
        <v>49928</v>
      </c>
      <c r="AS142" s="429">
        <f t="shared" si="178"/>
        <v>0</v>
      </c>
      <c r="AT142" s="140"/>
      <c r="AU142" s="278">
        <v>124</v>
      </c>
      <c r="AV142" s="258">
        <f t="shared" ca="1" si="161"/>
        <v>49958</v>
      </c>
      <c r="AW142" s="429">
        <f t="shared" si="155"/>
        <v>0</v>
      </c>
      <c r="AX142" s="202">
        <f t="shared" ca="1" si="156"/>
        <v>0</v>
      </c>
      <c r="AY142" s="278">
        <v>124</v>
      </c>
      <c r="AZ142" s="258">
        <f t="shared" ca="1" si="162"/>
        <v>49958</v>
      </c>
      <c r="BA142" s="429">
        <f t="shared" si="157"/>
        <v>0</v>
      </c>
      <c r="BB142" s="259">
        <f t="shared" ca="1" si="119"/>
        <v>49928</v>
      </c>
      <c r="BC142" s="428">
        <f t="shared" ca="1" si="158"/>
        <v>0</v>
      </c>
      <c r="BD142" s="188">
        <f t="shared" si="179"/>
        <v>0</v>
      </c>
      <c r="BE142" s="188">
        <f t="shared" si="180"/>
        <v>0</v>
      </c>
      <c r="BF142" s="188">
        <f t="shared" si="181"/>
        <v>0</v>
      </c>
      <c r="BG142" s="87">
        <f t="shared" si="182"/>
        <v>0</v>
      </c>
      <c r="BH142" s="87">
        <f t="shared" si="183"/>
        <v>0</v>
      </c>
      <c r="BI142" s="87">
        <f t="shared" si="184"/>
        <v>0</v>
      </c>
      <c r="BJ142" s="87">
        <f t="shared" si="185"/>
        <v>0</v>
      </c>
      <c r="BK142" s="87">
        <f t="shared" si="186"/>
        <v>0</v>
      </c>
      <c r="BL142" s="87">
        <f t="shared" si="187"/>
        <v>0</v>
      </c>
      <c r="BM142" s="87">
        <f t="shared" si="188"/>
        <v>0</v>
      </c>
      <c r="BN142" s="87">
        <f t="shared" si="189"/>
        <v>0</v>
      </c>
      <c r="BO142" s="87">
        <f t="shared" si="190"/>
        <v>0</v>
      </c>
      <c r="BP142" s="87">
        <f t="shared" si="191"/>
        <v>0</v>
      </c>
      <c r="BQ142" s="87">
        <f t="shared" si="192"/>
        <v>0</v>
      </c>
      <c r="BR142" s="87">
        <f t="shared" si="193"/>
        <v>0</v>
      </c>
      <c r="BS142" s="87">
        <f t="shared" si="194"/>
        <v>0</v>
      </c>
      <c r="BT142" s="87">
        <f t="shared" si="195"/>
        <v>0</v>
      </c>
      <c r="BV142" s="177"/>
      <c r="BW142" s="177"/>
      <c r="BX142" s="267"/>
      <c r="BY142" s="267"/>
      <c r="BZ142" s="267"/>
      <c r="CA142" s="267"/>
      <c r="CB142" s="267"/>
      <c r="CC142" s="267"/>
      <c r="CD142" s="267"/>
      <c r="CE142" s="267"/>
      <c r="CF142" s="267"/>
      <c r="CG142" s="267"/>
      <c r="CH142" s="267"/>
      <c r="CI142" s="435"/>
      <c r="CJ142" s="436"/>
      <c r="CK142" s="437"/>
      <c r="CM142" s="64" t="s">
        <v>82</v>
      </c>
      <c r="CN142" s="707">
        <v>49</v>
      </c>
      <c r="CS142" s="87">
        <v>124</v>
      </c>
      <c r="CT142" s="259">
        <f t="shared" ca="1" si="137"/>
        <v>49958</v>
      </c>
      <c r="CU142" s="179">
        <f t="shared" ca="1" si="159"/>
        <v>0</v>
      </c>
      <c r="CV142" s="179">
        <f t="shared" ca="1" si="205"/>
        <v>0</v>
      </c>
      <c r="CW142" s="179">
        <f t="shared" ca="1" si="205"/>
        <v>0</v>
      </c>
      <c r="CX142" s="179">
        <f t="shared" ca="1" si="205"/>
        <v>0</v>
      </c>
      <c r="CY142" s="179">
        <f t="shared" ca="1" si="205"/>
        <v>0</v>
      </c>
      <c r="CZ142" s="179">
        <f t="shared" ca="1" si="205"/>
        <v>0</v>
      </c>
      <c r="DA142" s="179">
        <f t="shared" ca="1" si="205"/>
        <v>0</v>
      </c>
      <c r="DB142" s="179">
        <f t="shared" ca="1" si="205"/>
        <v>0</v>
      </c>
      <c r="DC142" s="179">
        <f t="shared" ca="1" si="205"/>
        <v>0</v>
      </c>
      <c r="DD142" s="179">
        <f t="shared" ca="1" si="205"/>
        <v>0</v>
      </c>
      <c r="DE142" s="179">
        <f t="shared" ca="1" si="205"/>
        <v>0</v>
      </c>
      <c r="DF142" s="179" t="e">
        <f t="shared" ca="1" si="205"/>
        <v>#VALUE!</v>
      </c>
      <c r="DG142" s="179" t="e">
        <f t="shared" ca="1" si="205"/>
        <v>#VALUE!</v>
      </c>
      <c r="DH142" s="179" t="e">
        <f t="shared" ca="1" si="205"/>
        <v>#VALUE!</v>
      </c>
      <c r="DI142" s="179" t="e">
        <f t="shared" ca="1" si="205"/>
        <v>#VALUE!</v>
      </c>
      <c r="DJ142" s="179" t="e">
        <f t="shared" ca="1" si="205"/>
        <v>#VALUE!</v>
      </c>
      <c r="DK142" s="179" t="e">
        <f t="shared" ca="1" si="205"/>
        <v>#VALUE!</v>
      </c>
      <c r="DL142" s="179" t="e">
        <f t="shared" ca="1" si="204"/>
        <v>#VALUE!</v>
      </c>
      <c r="DM142" s="179" t="e">
        <f t="shared" ca="1" si="204"/>
        <v>#VALUE!</v>
      </c>
      <c r="DN142" s="179" t="e">
        <f t="shared" ca="1" si="204"/>
        <v>#VALUE!</v>
      </c>
      <c r="DO142" s="179" t="e">
        <f t="shared" ca="1" si="204"/>
        <v>#VALUE!</v>
      </c>
      <c r="DP142" s="179" t="e">
        <f t="shared" ca="1" si="204"/>
        <v>#VALUE!</v>
      </c>
      <c r="DQ142" s="179" t="e">
        <f t="shared" ca="1" si="204"/>
        <v>#VALUE!</v>
      </c>
      <c r="DR142" s="188">
        <v>124</v>
      </c>
      <c r="DS142" s="430">
        <f t="shared" ca="1" si="164"/>
        <v>49928</v>
      </c>
      <c r="DT142" s="180">
        <f t="shared" ca="1" si="197"/>
        <v>0</v>
      </c>
      <c r="DU142" s="180">
        <f t="shared" ca="1" si="197"/>
        <v>0</v>
      </c>
      <c r="DV142" s="180">
        <f t="shared" ca="1" si="197"/>
        <v>0</v>
      </c>
      <c r="DW142" s="180">
        <f t="shared" ca="1" si="197"/>
        <v>0</v>
      </c>
      <c r="DX142" s="180">
        <f t="shared" ca="1" si="197"/>
        <v>0</v>
      </c>
      <c r="DY142" s="180">
        <f t="shared" ca="1" si="197"/>
        <v>0</v>
      </c>
      <c r="DZ142" s="180">
        <f t="shared" ca="1" si="197"/>
        <v>0</v>
      </c>
      <c r="EA142" s="180">
        <f t="shared" ca="1" si="197"/>
        <v>0</v>
      </c>
      <c r="EB142" s="180">
        <f t="shared" ca="1" si="197"/>
        <v>0</v>
      </c>
      <c r="EC142" s="180">
        <f t="shared" ca="1" si="196"/>
        <v>0</v>
      </c>
      <c r="ED142" s="180">
        <f t="shared" ca="1" si="196"/>
        <v>0</v>
      </c>
      <c r="EE142" s="180">
        <f t="shared" ca="1" si="196"/>
        <v>0</v>
      </c>
      <c r="EF142" s="180">
        <f t="shared" ca="1" si="196"/>
        <v>0</v>
      </c>
      <c r="EG142" s="180">
        <f t="shared" ca="1" si="196"/>
        <v>0</v>
      </c>
      <c r="EH142" s="180">
        <f t="shared" ca="1" si="196"/>
        <v>0</v>
      </c>
      <c r="EI142" s="180">
        <f t="shared" ca="1" si="206"/>
        <v>0</v>
      </c>
      <c r="EJ142" s="180">
        <f t="shared" ca="1" si="206"/>
        <v>0</v>
      </c>
      <c r="EK142" s="180">
        <f t="shared" ca="1" si="206"/>
        <v>0</v>
      </c>
      <c r="EL142" s="180">
        <f t="shared" ca="1" si="206"/>
        <v>0</v>
      </c>
      <c r="EM142" s="180">
        <f t="shared" ca="1" si="206"/>
        <v>0</v>
      </c>
      <c r="EN142" s="180">
        <f t="shared" ca="1" si="206"/>
        <v>0</v>
      </c>
      <c r="EO142" s="180">
        <f t="shared" ca="1" si="206"/>
        <v>0</v>
      </c>
      <c r="EP142" s="180">
        <f t="shared" ca="1" si="206"/>
        <v>0</v>
      </c>
      <c r="EQ142" s="180"/>
      <c r="ER142" s="180"/>
    </row>
    <row r="143" spans="2:148" s="87" customFormat="1" hidden="1" x14ac:dyDescent="0.25">
      <c r="B143" s="151"/>
      <c r="C143" s="87">
        <v>82</v>
      </c>
      <c r="D143" s="258">
        <f t="shared" ca="1" si="201"/>
        <v>48648</v>
      </c>
      <c r="E143" s="175">
        <f t="shared" si="207"/>
        <v>0</v>
      </c>
      <c r="F143" s="175">
        <f t="shared" ca="1" si="207"/>
        <v>0.2189251743299962</v>
      </c>
      <c r="G143" s="175">
        <f t="shared" ca="1" si="207"/>
        <v>0.2189251743299962</v>
      </c>
      <c r="H143" s="175">
        <f t="shared" ca="1" si="207"/>
        <v>0.2189251743299962</v>
      </c>
      <c r="I143" s="175">
        <f t="shared" si="207"/>
        <v>0</v>
      </c>
      <c r="J143" s="175">
        <f t="shared" si="207"/>
        <v>0</v>
      </c>
      <c r="K143" s="175">
        <f t="shared" si="207"/>
        <v>0</v>
      </c>
      <c r="L143" s="175">
        <f t="shared" si="207"/>
        <v>0</v>
      </c>
      <c r="M143" s="175">
        <f t="shared" si="207"/>
        <v>0</v>
      </c>
      <c r="N143" s="175">
        <f t="shared" si="207"/>
        <v>0</v>
      </c>
      <c r="O143" s="175">
        <f t="shared" si="208"/>
        <v>0</v>
      </c>
      <c r="P143" s="175">
        <f t="shared" si="208"/>
        <v>0</v>
      </c>
      <c r="Q143" s="175">
        <f t="shared" si="208"/>
        <v>0</v>
      </c>
      <c r="R143" s="175">
        <f t="shared" si="208"/>
        <v>0</v>
      </c>
      <c r="S143" s="175">
        <f t="shared" si="208"/>
        <v>0</v>
      </c>
      <c r="T143" s="175">
        <f t="shared" si="208"/>
        <v>0</v>
      </c>
      <c r="U143" s="175">
        <f t="shared" si="208"/>
        <v>0</v>
      </c>
      <c r="V143" s="175"/>
      <c r="W143" s="140"/>
      <c r="X143" s="87">
        <v>125</v>
      </c>
      <c r="Y143" s="87">
        <f t="shared" si="138"/>
        <v>0</v>
      </c>
      <c r="Z143" s="87">
        <f t="shared" si="139"/>
        <v>0</v>
      </c>
      <c r="AA143" s="87">
        <f t="shared" si="140"/>
        <v>0</v>
      </c>
      <c r="AB143" s="87">
        <f t="shared" si="141"/>
        <v>0</v>
      </c>
      <c r="AC143" s="87">
        <f t="shared" si="142"/>
        <v>0</v>
      </c>
      <c r="AD143" s="87">
        <f t="shared" si="143"/>
        <v>0</v>
      </c>
      <c r="AE143" s="87">
        <f t="shared" si="144"/>
        <v>0</v>
      </c>
      <c r="AF143" s="87">
        <f t="shared" si="145"/>
        <v>0</v>
      </c>
      <c r="AG143" s="87">
        <f t="shared" si="146"/>
        <v>0</v>
      </c>
      <c r="AH143" s="87">
        <f t="shared" si="147"/>
        <v>0</v>
      </c>
      <c r="AI143" s="87">
        <f t="shared" si="148"/>
        <v>0</v>
      </c>
      <c r="AJ143" s="87">
        <f t="shared" si="149"/>
        <v>0</v>
      </c>
      <c r="AK143" s="87">
        <f t="shared" si="150"/>
        <v>0</v>
      </c>
      <c r="AL143" s="87">
        <f t="shared" si="151"/>
        <v>0</v>
      </c>
      <c r="AM143" s="87">
        <f t="shared" si="152"/>
        <v>0</v>
      </c>
      <c r="AN143" s="87">
        <f t="shared" si="153"/>
        <v>0</v>
      </c>
      <c r="AO143" s="87">
        <f t="shared" si="154"/>
        <v>0</v>
      </c>
      <c r="AP143" s="140"/>
      <c r="AQ143" s="426">
        <v>125</v>
      </c>
      <c r="AR143" s="258">
        <f t="shared" ca="1" si="160"/>
        <v>49958</v>
      </c>
      <c r="AS143" s="429">
        <f t="shared" si="178"/>
        <v>0</v>
      </c>
      <c r="AT143" s="140"/>
      <c r="AU143" s="278">
        <v>125</v>
      </c>
      <c r="AV143" s="258">
        <f t="shared" ca="1" si="161"/>
        <v>49989</v>
      </c>
      <c r="AW143" s="429">
        <f t="shared" si="155"/>
        <v>0</v>
      </c>
      <c r="AX143" s="202">
        <f t="shared" ca="1" si="156"/>
        <v>0</v>
      </c>
      <c r="AY143" s="278">
        <v>125</v>
      </c>
      <c r="AZ143" s="258">
        <f t="shared" ca="1" si="162"/>
        <v>49989</v>
      </c>
      <c r="BA143" s="429">
        <f t="shared" si="157"/>
        <v>0</v>
      </c>
      <c r="BB143" s="259">
        <f t="shared" ca="1" si="119"/>
        <v>49958</v>
      </c>
      <c r="BC143" s="428">
        <f t="shared" ca="1" si="158"/>
        <v>0</v>
      </c>
      <c r="BD143" s="188">
        <f t="shared" si="179"/>
        <v>0</v>
      </c>
      <c r="BE143" s="188">
        <f t="shared" si="180"/>
        <v>0</v>
      </c>
      <c r="BF143" s="188">
        <f t="shared" si="181"/>
        <v>0</v>
      </c>
      <c r="BG143" s="87">
        <f t="shared" si="182"/>
        <v>0</v>
      </c>
      <c r="BH143" s="87">
        <f t="shared" si="183"/>
        <v>0</v>
      </c>
      <c r="BI143" s="87">
        <f t="shared" si="184"/>
        <v>0</v>
      </c>
      <c r="BJ143" s="87">
        <f t="shared" si="185"/>
        <v>0</v>
      </c>
      <c r="BK143" s="87">
        <f t="shared" si="186"/>
        <v>0</v>
      </c>
      <c r="BL143" s="87">
        <f t="shared" si="187"/>
        <v>0</v>
      </c>
      <c r="BM143" s="87">
        <f t="shared" si="188"/>
        <v>0</v>
      </c>
      <c r="BN143" s="87">
        <f t="shared" si="189"/>
        <v>0</v>
      </c>
      <c r="BO143" s="87">
        <f t="shared" si="190"/>
        <v>0</v>
      </c>
      <c r="BP143" s="87">
        <f t="shared" si="191"/>
        <v>0</v>
      </c>
      <c r="BQ143" s="87">
        <f t="shared" si="192"/>
        <v>0</v>
      </c>
      <c r="BR143" s="87">
        <f t="shared" si="193"/>
        <v>0</v>
      </c>
      <c r="BS143" s="87">
        <f t="shared" si="194"/>
        <v>0</v>
      </c>
      <c r="BT143" s="87">
        <f t="shared" si="195"/>
        <v>0</v>
      </c>
      <c r="BV143" s="177"/>
      <c r="BW143" s="177"/>
      <c r="BX143" s="267"/>
      <c r="BY143" s="267"/>
      <c r="BZ143" s="267"/>
      <c r="CA143" s="267"/>
      <c r="CB143" s="267"/>
      <c r="CC143" s="267"/>
      <c r="CD143" s="267"/>
      <c r="CE143" s="267"/>
      <c r="CF143" s="267"/>
      <c r="CG143" s="267"/>
      <c r="CH143" s="267"/>
      <c r="CI143" s="435"/>
      <c r="CJ143" s="436"/>
      <c r="CK143" s="437"/>
      <c r="CM143" s="64" t="s">
        <v>361</v>
      </c>
      <c r="CN143" s="707">
        <v>37.5</v>
      </c>
      <c r="CS143" s="178">
        <v>125</v>
      </c>
      <c r="CT143" s="259">
        <f t="shared" ca="1" si="137"/>
        <v>49989</v>
      </c>
      <c r="CU143" s="179">
        <f t="shared" ca="1" si="159"/>
        <v>0</v>
      </c>
      <c r="CV143" s="179">
        <f t="shared" ca="1" si="205"/>
        <v>0</v>
      </c>
      <c r="CW143" s="179">
        <f t="shared" ca="1" si="205"/>
        <v>0</v>
      </c>
      <c r="CX143" s="179">
        <f t="shared" ca="1" si="205"/>
        <v>0</v>
      </c>
      <c r="CY143" s="179">
        <f t="shared" ca="1" si="205"/>
        <v>0</v>
      </c>
      <c r="CZ143" s="179">
        <f t="shared" ca="1" si="205"/>
        <v>0</v>
      </c>
      <c r="DA143" s="179">
        <f t="shared" ca="1" si="205"/>
        <v>0</v>
      </c>
      <c r="DB143" s="179">
        <f t="shared" ca="1" si="205"/>
        <v>0</v>
      </c>
      <c r="DC143" s="179">
        <f t="shared" ca="1" si="205"/>
        <v>0</v>
      </c>
      <c r="DD143" s="179">
        <f t="shared" ca="1" si="205"/>
        <v>0</v>
      </c>
      <c r="DE143" s="179">
        <f t="shared" ca="1" si="205"/>
        <v>0</v>
      </c>
      <c r="DF143" s="179" t="e">
        <f t="shared" ca="1" si="205"/>
        <v>#VALUE!</v>
      </c>
      <c r="DG143" s="179" t="e">
        <f t="shared" ca="1" si="205"/>
        <v>#VALUE!</v>
      </c>
      <c r="DH143" s="179" t="e">
        <f t="shared" ca="1" si="205"/>
        <v>#VALUE!</v>
      </c>
      <c r="DI143" s="179" t="e">
        <f t="shared" ca="1" si="205"/>
        <v>#VALUE!</v>
      </c>
      <c r="DJ143" s="179" t="e">
        <f t="shared" ca="1" si="205"/>
        <v>#VALUE!</v>
      </c>
      <c r="DK143" s="179" t="e">
        <f t="shared" ca="1" si="205"/>
        <v>#VALUE!</v>
      </c>
      <c r="DL143" s="179" t="e">
        <f t="shared" ca="1" si="204"/>
        <v>#VALUE!</v>
      </c>
      <c r="DM143" s="179" t="e">
        <f t="shared" ca="1" si="204"/>
        <v>#VALUE!</v>
      </c>
      <c r="DN143" s="179" t="e">
        <f t="shared" ca="1" si="204"/>
        <v>#VALUE!</v>
      </c>
      <c r="DO143" s="179" t="e">
        <f t="shared" ca="1" si="204"/>
        <v>#VALUE!</v>
      </c>
      <c r="DP143" s="179" t="e">
        <f t="shared" ca="1" si="204"/>
        <v>#VALUE!</v>
      </c>
      <c r="DQ143" s="179" t="e">
        <f t="shared" ca="1" si="204"/>
        <v>#VALUE!</v>
      </c>
      <c r="DR143" s="431">
        <v>125</v>
      </c>
      <c r="DS143" s="430">
        <f t="shared" ca="1" si="164"/>
        <v>49958</v>
      </c>
      <c r="DT143" s="180">
        <f t="shared" ca="1" si="197"/>
        <v>0</v>
      </c>
      <c r="DU143" s="180">
        <f t="shared" ca="1" si="197"/>
        <v>0</v>
      </c>
      <c r="DV143" s="180">
        <f t="shared" ca="1" si="197"/>
        <v>0</v>
      </c>
      <c r="DW143" s="180">
        <f t="shared" ca="1" si="197"/>
        <v>0</v>
      </c>
      <c r="DX143" s="180">
        <f t="shared" ca="1" si="197"/>
        <v>0</v>
      </c>
      <c r="DY143" s="180">
        <f t="shared" ca="1" si="197"/>
        <v>0</v>
      </c>
      <c r="DZ143" s="180">
        <f t="shared" ca="1" si="197"/>
        <v>0</v>
      </c>
      <c r="EA143" s="180">
        <f t="shared" ca="1" si="197"/>
        <v>0</v>
      </c>
      <c r="EB143" s="180">
        <f t="shared" ca="1" si="197"/>
        <v>0</v>
      </c>
      <c r="EC143" s="180">
        <f t="shared" ca="1" si="196"/>
        <v>0</v>
      </c>
      <c r="ED143" s="180">
        <f t="shared" ca="1" si="196"/>
        <v>0</v>
      </c>
      <c r="EE143" s="180">
        <f t="shared" ca="1" si="196"/>
        <v>0</v>
      </c>
      <c r="EF143" s="180">
        <f t="shared" ca="1" si="196"/>
        <v>0</v>
      </c>
      <c r="EG143" s="180">
        <f t="shared" ca="1" si="196"/>
        <v>0</v>
      </c>
      <c r="EH143" s="180">
        <f t="shared" ca="1" si="196"/>
        <v>0</v>
      </c>
      <c r="EI143" s="180">
        <f t="shared" ca="1" si="206"/>
        <v>0</v>
      </c>
      <c r="EJ143" s="180">
        <f t="shared" ca="1" si="206"/>
        <v>0</v>
      </c>
      <c r="EK143" s="180">
        <f t="shared" ca="1" si="206"/>
        <v>0</v>
      </c>
      <c r="EL143" s="180">
        <f t="shared" ca="1" si="206"/>
        <v>0</v>
      </c>
      <c r="EM143" s="180">
        <f t="shared" ca="1" si="206"/>
        <v>0</v>
      </c>
      <c r="EN143" s="180">
        <f t="shared" ca="1" si="206"/>
        <v>0</v>
      </c>
      <c r="EO143" s="180">
        <f t="shared" ca="1" si="206"/>
        <v>0</v>
      </c>
      <c r="EP143" s="180">
        <f t="shared" ca="1" si="206"/>
        <v>0</v>
      </c>
      <c r="EQ143" s="180"/>
      <c r="ER143" s="180"/>
    </row>
    <row r="144" spans="2:148" s="87" customFormat="1" hidden="1" x14ac:dyDescent="0.25">
      <c r="B144" s="151"/>
      <c r="C144" s="87">
        <v>83</v>
      </c>
      <c r="D144" s="258">
        <f t="shared" ca="1" si="201"/>
        <v>48679</v>
      </c>
      <c r="E144" s="175">
        <f t="shared" si="207"/>
        <v>0</v>
      </c>
      <c r="F144" s="175">
        <f t="shared" ca="1" si="207"/>
        <v>0.21481732442581605</v>
      </c>
      <c r="G144" s="175">
        <f t="shared" ca="1" si="207"/>
        <v>0.21481732442581605</v>
      </c>
      <c r="H144" s="175">
        <f t="shared" ca="1" si="207"/>
        <v>0.21481732442581605</v>
      </c>
      <c r="I144" s="175">
        <f t="shared" si="207"/>
        <v>0</v>
      </c>
      <c r="J144" s="175">
        <f t="shared" si="207"/>
        <v>0</v>
      </c>
      <c r="K144" s="175">
        <f t="shared" si="207"/>
        <v>0</v>
      </c>
      <c r="L144" s="175">
        <f t="shared" si="207"/>
        <v>0</v>
      </c>
      <c r="M144" s="175">
        <f t="shared" si="207"/>
        <v>0</v>
      </c>
      <c r="N144" s="175">
        <f t="shared" si="207"/>
        <v>0</v>
      </c>
      <c r="O144" s="175">
        <f t="shared" si="208"/>
        <v>0</v>
      </c>
      <c r="P144" s="175">
        <f t="shared" si="208"/>
        <v>0</v>
      </c>
      <c r="Q144" s="175">
        <f t="shared" si="208"/>
        <v>0</v>
      </c>
      <c r="R144" s="175">
        <f t="shared" si="208"/>
        <v>0</v>
      </c>
      <c r="S144" s="175">
        <f t="shared" si="208"/>
        <v>0</v>
      </c>
      <c r="T144" s="175">
        <f t="shared" si="208"/>
        <v>0</v>
      </c>
      <c r="U144" s="175">
        <f t="shared" si="208"/>
        <v>0</v>
      </c>
      <c r="V144" s="175"/>
      <c r="W144" s="140"/>
      <c r="X144" s="87">
        <v>126</v>
      </c>
      <c r="Y144" s="87">
        <f t="shared" si="138"/>
        <v>0</v>
      </c>
      <c r="Z144" s="87">
        <f t="shared" si="139"/>
        <v>0</v>
      </c>
      <c r="AA144" s="87">
        <f t="shared" si="140"/>
        <v>0</v>
      </c>
      <c r="AB144" s="87">
        <f t="shared" si="141"/>
        <v>0</v>
      </c>
      <c r="AC144" s="87">
        <f t="shared" si="142"/>
        <v>0</v>
      </c>
      <c r="AD144" s="87">
        <f t="shared" si="143"/>
        <v>0</v>
      </c>
      <c r="AE144" s="87">
        <f t="shared" si="144"/>
        <v>0</v>
      </c>
      <c r="AF144" s="87">
        <f t="shared" si="145"/>
        <v>0</v>
      </c>
      <c r="AG144" s="87">
        <f t="shared" si="146"/>
        <v>0</v>
      </c>
      <c r="AH144" s="87">
        <f t="shared" si="147"/>
        <v>0</v>
      </c>
      <c r="AI144" s="87">
        <f t="shared" si="148"/>
        <v>0</v>
      </c>
      <c r="AJ144" s="87">
        <f t="shared" si="149"/>
        <v>0</v>
      </c>
      <c r="AK144" s="87">
        <f t="shared" si="150"/>
        <v>0</v>
      </c>
      <c r="AL144" s="87">
        <f t="shared" si="151"/>
        <v>0</v>
      </c>
      <c r="AM144" s="87">
        <f t="shared" si="152"/>
        <v>0</v>
      </c>
      <c r="AN144" s="87">
        <f t="shared" si="153"/>
        <v>0</v>
      </c>
      <c r="AO144" s="87">
        <f t="shared" si="154"/>
        <v>0</v>
      </c>
      <c r="AP144" s="140"/>
      <c r="AQ144" s="426">
        <v>126</v>
      </c>
      <c r="AR144" s="258">
        <f t="shared" ca="1" si="160"/>
        <v>49989</v>
      </c>
      <c r="AS144" s="429">
        <f t="shared" si="178"/>
        <v>0</v>
      </c>
      <c r="AT144" s="140"/>
      <c r="AU144" s="278">
        <v>126</v>
      </c>
      <c r="AV144" s="258">
        <f t="shared" ca="1" si="161"/>
        <v>50019</v>
      </c>
      <c r="AW144" s="429">
        <f t="shared" si="155"/>
        <v>0</v>
      </c>
      <c r="AX144" s="202">
        <f t="shared" ca="1" si="156"/>
        <v>0</v>
      </c>
      <c r="AY144" s="278">
        <v>126</v>
      </c>
      <c r="AZ144" s="258">
        <f t="shared" ca="1" si="162"/>
        <v>50019</v>
      </c>
      <c r="BA144" s="429">
        <f t="shared" si="157"/>
        <v>0</v>
      </c>
      <c r="BB144" s="259">
        <f t="shared" ca="1" si="119"/>
        <v>49989</v>
      </c>
      <c r="BC144" s="428">
        <f t="shared" ca="1" si="158"/>
        <v>0</v>
      </c>
      <c r="BD144" s="188">
        <f t="shared" si="179"/>
        <v>0</v>
      </c>
      <c r="BE144" s="188">
        <f t="shared" si="180"/>
        <v>0</v>
      </c>
      <c r="BF144" s="188">
        <f t="shared" si="181"/>
        <v>0</v>
      </c>
      <c r="BG144" s="87">
        <f t="shared" si="182"/>
        <v>0</v>
      </c>
      <c r="BH144" s="87">
        <f t="shared" si="183"/>
        <v>0</v>
      </c>
      <c r="BI144" s="87">
        <f t="shared" si="184"/>
        <v>0</v>
      </c>
      <c r="BJ144" s="87">
        <f t="shared" si="185"/>
        <v>0</v>
      </c>
      <c r="BK144" s="87">
        <f t="shared" si="186"/>
        <v>0</v>
      </c>
      <c r="BL144" s="87">
        <f t="shared" si="187"/>
        <v>0</v>
      </c>
      <c r="BM144" s="87">
        <f t="shared" si="188"/>
        <v>0</v>
      </c>
      <c r="BN144" s="87">
        <f t="shared" si="189"/>
        <v>0</v>
      </c>
      <c r="BO144" s="87">
        <f t="shared" si="190"/>
        <v>0</v>
      </c>
      <c r="BP144" s="87">
        <f t="shared" si="191"/>
        <v>0</v>
      </c>
      <c r="BQ144" s="87">
        <f t="shared" si="192"/>
        <v>0</v>
      </c>
      <c r="BR144" s="87">
        <f t="shared" si="193"/>
        <v>0</v>
      </c>
      <c r="BS144" s="87">
        <f t="shared" si="194"/>
        <v>0</v>
      </c>
      <c r="BT144" s="87">
        <f t="shared" si="195"/>
        <v>0</v>
      </c>
      <c r="BV144" s="177"/>
      <c r="BW144" s="177"/>
      <c r="BX144" s="267"/>
      <c r="BY144" s="267"/>
      <c r="BZ144" s="267"/>
      <c r="CA144" s="267"/>
      <c r="CB144" s="267"/>
      <c r="CC144" s="267"/>
      <c r="CD144" s="267"/>
      <c r="CE144" s="267"/>
      <c r="CF144" s="267"/>
      <c r="CG144" s="267"/>
      <c r="CH144" s="267"/>
      <c r="CI144" s="435"/>
      <c r="CJ144" s="436"/>
      <c r="CK144" s="437"/>
      <c r="CM144" s="64" t="s">
        <v>1815</v>
      </c>
      <c r="CN144" s="707">
        <v>43.5</v>
      </c>
      <c r="CS144" s="138">
        <v>126</v>
      </c>
      <c r="CT144" s="259">
        <f t="shared" ca="1" si="137"/>
        <v>50019</v>
      </c>
      <c r="CU144" s="179">
        <f t="shared" ca="1" si="159"/>
        <v>0</v>
      </c>
      <c r="CV144" s="179">
        <f t="shared" ca="1" si="205"/>
        <v>0</v>
      </c>
      <c r="CW144" s="179">
        <f t="shared" ca="1" si="205"/>
        <v>0</v>
      </c>
      <c r="CX144" s="179">
        <f t="shared" ca="1" si="205"/>
        <v>0</v>
      </c>
      <c r="CY144" s="179">
        <f t="shared" ca="1" si="205"/>
        <v>0</v>
      </c>
      <c r="CZ144" s="179">
        <f t="shared" ca="1" si="205"/>
        <v>0</v>
      </c>
      <c r="DA144" s="179">
        <f t="shared" ca="1" si="205"/>
        <v>0</v>
      </c>
      <c r="DB144" s="179">
        <f t="shared" ca="1" si="205"/>
        <v>0</v>
      </c>
      <c r="DC144" s="179">
        <f t="shared" ca="1" si="205"/>
        <v>0</v>
      </c>
      <c r="DD144" s="179">
        <f t="shared" ca="1" si="205"/>
        <v>0</v>
      </c>
      <c r="DE144" s="179">
        <f t="shared" ca="1" si="205"/>
        <v>0</v>
      </c>
      <c r="DF144" s="179" t="e">
        <f t="shared" ca="1" si="205"/>
        <v>#VALUE!</v>
      </c>
      <c r="DG144" s="179" t="e">
        <f t="shared" ca="1" si="205"/>
        <v>#VALUE!</v>
      </c>
      <c r="DH144" s="179" t="e">
        <f t="shared" ca="1" si="205"/>
        <v>#VALUE!</v>
      </c>
      <c r="DI144" s="179" t="e">
        <f t="shared" ca="1" si="205"/>
        <v>#VALUE!</v>
      </c>
      <c r="DJ144" s="179" t="e">
        <f t="shared" ca="1" si="205"/>
        <v>#VALUE!</v>
      </c>
      <c r="DK144" s="179" t="e">
        <f t="shared" ca="1" si="205"/>
        <v>#VALUE!</v>
      </c>
      <c r="DL144" s="179" t="e">
        <f t="shared" ca="1" si="204"/>
        <v>#VALUE!</v>
      </c>
      <c r="DM144" s="179" t="e">
        <f t="shared" ca="1" si="204"/>
        <v>#VALUE!</v>
      </c>
      <c r="DN144" s="179" t="e">
        <f t="shared" ca="1" si="204"/>
        <v>#VALUE!</v>
      </c>
      <c r="DO144" s="179" t="e">
        <f t="shared" ca="1" si="204"/>
        <v>#VALUE!</v>
      </c>
      <c r="DP144" s="179" t="e">
        <f t="shared" ca="1" si="204"/>
        <v>#VALUE!</v>
      </c>
      <c r="DQ144" s="179" t="e">
        <f t="shared" ca="1" si="204"/>
        <v>#VALUE!</v>
      </c>
      <c r="DR144" s="278">
        <v>126</v>
      </c>
      <c r="DS144" s="430">
        <f t="shared" ca="1" si="164"/>
        <v>49989</v>
      </c>
      <c r="DT144" s="180">
        <f t="shared" ca="1" si="197"/>
        <v>0</v>
      </c>
      <c r="DU144" s="180">
        <f t="shared" ca="1" si="197"/>
        <v>0</v>
      </c>
      <c r="DV144" s="180">
        <f t="shared" ca="1" si="197"/>
        <v>0</v>
      </c>
      <c r="DW144" s="180">
        <f t="shared" ca="1" si="197"/>
        <v>0</v>
      </c>
      <c r="DX144" s="180">
        <f t="shared" ca="1" si="197"/>
        <v>0</v>
      </c>
      <c r="DY144" s="180">
        <f t="shared" ca="1" si="197"/>
        <v>0</v>
      </c>
      <c r="DZ144" s="180">
        <f t="shared" ca="1" si="197"/>
        <v>0</v>
      </c>
      <c r="EA144" s="180">
        <f t="shared" ca="1" si="197"/>
        <v>0</v>
      </c>
      <c r="EB144" s="180">
        <f t="shared" ca="1" si="197"/>
        <v>0</v>
      </c>
      <c r="EC144" s="180">
        <f t="shared" ca="1" si="196"/>
        <v>0</v>
      </c>
      <c r="ED144" s="180">
        <f t="shared" ca="1" si="196"/>
        <v>0</v>
      </c>
      <c r="EE144" s="180">
        <f t="shared" ca="1" si="196"/>
        <v>0</v>
      </c>
      <c r="EF144" s="180">
        <f t="shared" ca="1" si="196"/>
        <v>0</v>
      </c>
      <c r="EG144" s="180">
        <f t="shared" ca="1" si="196"/>
        <v>0</v>
      </c>
      <c r="EH144" s="180">
        <f t="shared" ca="1" si="196"/>
        <v>0</v>
      </c>
      <c r="EI144" s="180">
        <f t="shared" ca="1" si="206"/>
        <v>0</v>
      </c>
      <c r="EJ144" s="180">
        <f t="shared" ca="1" si="206"/>
        <v>0</v>
      </c>
      <c r="EK144" s="180">
        <f t="shared" ca="1" si="206"/>
        <v>0</v>
      </c>
      <c r="EL144" s="180">
        <f t="shared" ca="1" si="206"/>
        <v>0</v>
      </c>
      <c r="EM144" s="180">
        <f t="shared" ca="1" si="206"/>
        <v>0</v>
      </c>
      <c r="EN144" s="180">
        <f t="shared" ca="1" si="206"/>
        <v>0</v>
      </c>
      <c r="EO144" s="180">
        <f t="shared" ca="1" si="206"/>
        <v>0</v>
      </c>
      <c r="EP144" s="180">
        <f t="shared" ca="1" si="206"/>
        <v>0</v>
      </c>
      <c r="EQ144" s="180"/>
      <c r="ER144" s="180"/>
    </row>
    <row r="145" spans="2:148" s="87" customFormat="1" hidden="1" x14ac:dyDescent="0.25">
      <c r="B145" s="151"/>
      <c r="C145" s="87">
        <v>84</v>
      </c>
      <c r="D145" s="258">
        <f t="shared" ca="1" si="201"/>
        <v>48709</v>
      </c>
      <c r="E145" s="175">
        <f t="shared" si="207"/>
        <v>0</v>
      </c>
      <c r="F145" s="175">
        <f t="shared" si="207"/>
        <v>0</v>
      </c>
      <c r="G145" s="175">
        <f t="shared" ca="1" si="207"/>
        <v>0.2109153897160688</v>
      </c>
      <c r="H145" s="175">
        <f t="shared" ca="1" si="207"/>
        <v>0.2109153897160688</v>
      </c>
      <c r="I145" s="175">
        <f t="shared" si="207"/>
        <v>0</v>
      </c>
      <c r="J145" s="175">
        <f t="shared" si="207"/>
        <v>0</v>
      </c>
      <c r="K145" s="175">
        <f t="shared" si="207"/>
        <v>0</v>
      </c>
      <c r="L145" s="175">
        <f t="shared" si="207"/>
        <v>0</v>
      </c>
      <c r="M145" s="175">
        <f t="shared" si="207"/>
        <v>0</v>
      </c>
      <c r="N145" s="175">
        <f t="shared" si="207"/>
        <v>0</v>
      </c>
      <c r="O145" s="175">
        <f t="shared" si="208"/>
        <v>0</v>
      </c>
      <c r="P145" s="175">
        <f t="shared" si="208"/>
        <v>0</v>
      </c>
      <c r="Q145" s="175">
        <f t="shared" si="208"/>
        <v>0</v>
      </c>
      <c r="R145" s="175">
        <f t="shared" si="208"/>
        <v>0</v>
      </c>
      <c r="S145" s="175">
        <f t="shared" si="208"/>
        <v>0</v>
      </c>
      <c r="T145" s="175">
        <f t="shared" si="208"/>
        <v>0</v>
      </c>
      <c r="U145" s="175">
        <f t="shared" si="208"/>
        <v>0</v>
      </c>
      <c r="V145" s="175"/>
      <c r="W145" s="140"/>
      <c r="X145" s="87">
        <v>127</v>
      </c>
      <c r="Y145" s="87">
        <f t="shared" si="138"/>
        <v>0</v>
      </c>
      <c r="Z145" s="87">
        <f t="shared" si="139"/>
        <v>0</v>
      </c>
      <c r="AA145" s="87">
        <f t="shared" si="140"/>
        <v>0</v>
      </c>
      <c r="AB145" s="87">
        <f t="shared" si="141"/>
        <v>0</v>
      </c>
      <c r="AC145" s="87">
        <f t="shared" si="142"/>
        <v>0</v>
      </c>
      <c r="AD145" s="87">
        <f t="shared" si="143"/>
        <v>0</v>
      </c>
      <c r="AE145" s="87">
        <f t="shared" si="144"/>
        <v>0</v>
      </c>
      <c r="AF145" s="87">
        <f t="shared" si="145"/>
        <v>0</v>
      </c>
      <c r="AG145" s="87">
        <f t="shared" si="146"/>
        <v>0</v>
      </c>
      <c r="AH145" s="87">
        <f t="shared" si="147"/>
        <v>0</v>
      </c>
      <c r="AI145" s="87">
        <f t="shared" si="148"/>
        <v>0</v>
      </c>
      <c r="AJ145" s="87">
        <f t="shared" si="149"/>
        <v>0</v>
      </c>
      <c r="AK145" s="87">
        <f t="shared" si="150"/>
        <v>0</v>
      </c>
      <c r="AL145" s="87">
        <f t="shared" si="151"/>
        <v>0</v>
      </c>
      <c r="AM145" s="87">
        <f t="shared" si="152"/>
        <v>0</v>
      </c>
      <c r="AN145" s="87">
        <f t="shared" si="153"/>
        <v>0</v>
      </c>
      <c r="AO145" s="87">
        <f t="shared" si="154"/>
        <v>0</v>
      </c>
      <c r="AP145" s="140"/>
      <c r="AQ145" s="426">
        <v>127</v>
      </c>
      <c r="AR145" s="258">
        <f t="shared" ca="1" si="160"/>
        <v>50019</v>
      </c>
      <c r="AS145" s="429">
        <f t="shared" si="178"/>
        <v>0</v>
      </c>
      <c r="AT145" s="140"/>
      <c r="AU145" s="278">
        <v>127</v>
      </c>
      <c r="AV145" s="258">
        <f t="shared" ca="1" si="161"/>
        <v>50050</v>
      </c>
      <c r="AW145" s="429">
        <f t="shared" si="155"/>
        <v>0</v>
      </c>
      <c r="AX145" s="202">
        <f t="shared" ca="1" si="156"/>
        <v>0</v>
      </c>
      <c r="AY145" s="278">
        <v>127</v>
      </c>
      <c r="AZ145" s="258">
        <f t="shared" ca="1" si="162"/>
        <v>50050</v>
      </c>
      <c r="BA145" s="429">
        <f t="shared" si="157"/>
        <v>0</v>
      </c>
      <c r="BB145" s="259">
        <f t="shared" ca="1" si="119"/>
        <v>50019</v>
      </c>
      <c r="BC145" s="428">
        <f t="shared" ca="1" si="158"/>
        <v>0</v>
      </c>
      <c r="BD145" s="188">
        <f t="shared" si="179"/>
        <v>0</v>
      </c>
      <c r="BE145" s="188">
        <f t="shared" si="180"/>
        <v>0</v>
      </c>
      <c r="BF145" s="188">
        <f t="shared" si="181"/>
        <v>0</v>
      </c>
      <c r="BG145" s="87">
        <f t="shared" si="182"/>
        <v>0</v>
      </c>
      <c r="BH145" s="87">
        <f t="shared" si="183"/>
        <v>0</v>
      </c>
      <c r="BI145" s="87">
        <f t="shared" si="184"/>
        <v>0</v>
      </c>
      <c r="BJ145" s="87">
        <f t="shared" si="185"/>
        <v>0</v>
      </c>
      <c r="BK145" s="87">
        <f t="shared" si="186"/>
        <v>0</v>
      </c>
      <c r="BL145" s="87">
        <f t="shared" si="187"/>
        <v>0</v>
      </c>
      <c r="BM145" s="87">
        <f t="shared" si="188"/>
        <v>0</v>
      </c>
      <c r="BN145" s="87">
        <f t="shared" si="189"/>
        <v>0</v>
      </c>
      <c r="BO145" s="87">
        <f t="shared" si="190"/>
        <v>0</v>
      </c>
      <c r="BP145" s="87">
        <f t="shared" si="191"/>
        <v>0</v>
      </c>
      <c r="BQ145" s="87">
        <f t="shared" si="192"/>
        <v>0</v>
      </c>
      <c r="BR145" s="87">
        <f t="shared" si="193"/>
        <v>0</v>
      </c>
      <c r="BS145" s="87">
        <f t="shared" si="194"/>
        <v>0</v>
      </c>
      <c r="BT145" s="87">
        <f t="shared" si="195"/>
        <v>0</v>
      </c>
      <c r="BV145" s="177"/>
      <c r="BW145" s="177"/>
      <c r="BX145" s="267"/>
      <c r="BY145" s="267"/>
      <c r="BZ145" s="267"/>
      <c r="CA145" s="267"/>
      <c r="CB145" s="267"/>
      <c r="CC145" s="267"/>
      <c r="CD145" s="267"/>
      <c r="CE145" s="267"/>
      <c r="CF145" s="267"/>
      <c r="CG145" s="267"/>
      <c r="CH145" s="267"/>
      <c r="CI145" s="435"/>
      <c r="CJ145" s="436"/>
      <c r="CK145" s="437"/>
      <c r="CM145" s="64" t="s">
        <v>1828</v>
      </c>
      <c r="CN145" s="707">
        <v>52.5</v>
      </c>
      <c r="CS145" s="87">
        <v>127</v>
      </c>
      <c r="CT145" s="259">
        <f t="shared" ca="1" si="137"/>
        <v>50050</v>
      </c>
      <c r="CU145" s="179">
        <f t="shared" ca="1" si="159"/>
        <v>0</v>
      </c>
      <c r="CV145" s="179">
        <f t="shared" ca="1" si="205"/>
        <v>0</v>
      </c>
      <c r="CW145" s="179">
        <f t="shared" ca="1" si="205"/>
        <v>0</v>
      </c>
      <c r="CX145" s="179">
        <f t="shared" ca="1" si="205"/>
        <v>0</v>
      </c>
      <c r="CY145" s="179">
        <f t="shared" ca="1" si="205"/>
        <v>0</v>
      </c>
      <c r="CZ145" s="179">
        <f t="shared" ca="1" si="205"/>
        <v>0</v>
      </c>
      <c r="DA145" s="179">
        <f t="shared" ca="1" si="205"/>
        <v>0</v>
      </c>
      <c r="DB145" s="179">
        <f t="shared" ca="1" si="205"/>
        <v>0</v>
      </c>
      <c r="DC145" s="179">
        <f t="shared" ca="1" si="205"/>
        <v>0</v>
      </c>
      <c r="DD145" s="179">
        <f t="shared" ca="1" si="205"/>
        <v>0</v>
      </c>
      <c r="DE145" s="179">
        <f t="shared" ca="1" si="205"/>
        <v>0</v>
      </c>
      <c r="DF145" s="179" t="e">
        <f t="shared" ca="1" si="205"/>
        <v>#VALUE!</v>
      </c>
      <c r="DG145" s="179" t="e">
        <f t="shared" ca="1" si="205"/>
        <v>#VALUE!</v>
      </c>
      <c r="DH145" s="179" t="e">
        <f t="shared" ca="1" si="205"/>
        <v>#VALUE!</v>
      </c>
      <c r="DI145" s="179" t="e">
        <f t="shared" ca="1" si="205"/>
        <v>#VALUE!</v>
      </c>
      <c r="DJ145" s="179" t="e">
        <f t="shared" ca="1" si="205"/>
        <v>#VALUE!</v>
      </c>
      <c r="DK145" s="179" t="e">
        <f t="shared" ca="1" si="205"/>
        <v>#VALUE!</v>
      </c>
      <c r="DL145" s="179" t="e">
        <f t="shared" ca="1" si="204"/>
        <v>#VALUE!</v>
      </c>
      <c r="DM145" s="179" t="e">
        <f t="shared" ca="1" si="204"/>
        <v>#VALUE!</v>
      </c>
      <c r="DN145" s="179" t="e">
        <f t="shared" ca="1" si="204"/>
        <v>#VALUE!</v>
      </c>
      <c r="DO145" s="179" t="e">
        <f t="shared" ca="1" si="204"/>
        <v>#VALUE!</v>
      </c>
      <c r="DP145" s="179" t="e">
        <f t="shared" ca="1" si="204"/>
        <v>#VALUE!</v>
      </c>
      <c r="DQ145" s="179" t="e">
        <f t="shared" ca="1" si="204"/>
        <v>#VALUE!</v>
      </c>
      <c r="DR145" s="188">
        <v>127</v>
      </c>
      <c r="DS145" s="430">
        <f t="shared" ca="1" si="164"/>
        <v>50019</v>
      </c>
      <c r="DT145" s="180">
        <f t="shared" ca="1" si="197"/>
        <v>0</v>
      </c>
      <c r="DU145" s="180">
        <f t="shared" ca="1" si="197"/>
        <v>0</v>
      </c>
      <c r="DV145" s="180">
        <f t="shared" ca="1" si="197"/>
        <v>0</v>
      </c>
      <c r="DW145" s="180">
        <f t="shared" ca="1" si="197"/>
        <v>0</v>
      </c>
      <c r="DX145" s="180">
        <f t="shared" ca="1" si="197"/>
        <v>0</v>
      </c>
      <c r="DY145" s="180">
        <f t="shared" ca="1" si="197"/>
        <v>0</v>
      </c>
      <c r="DZ145" s="180">
        <f t="shared" ca="1" si="197"/>
        <v>0</v>
      </c>
      <c r="EA145" s="180">
        <f t="shared" ca="1" si="197"/>
        <v>0</v>
      </c>
      <c r="EB145" s="180">
        <f t="shared" ca="1" si="197"/>
        <v>0</v>
      </c>
      <c r="EC145" s="180">
        <f t="shared" ca="1" si="196"/>
        <v>0</v>
      </c>
      <c r="ED145" s="180">
        <f t="shared" ca="1" si="196"/>
        <v>0</v>
      </c>
      <c r="EE145" s="180">
        <f t="shared" ca="1" si="196"/>
        <v>0</v>
      </c>
      <c r="EF145" s="180">
        <f t="shared" ca="1" si="196"/>
        <v>0</v>
      </c>
      <c r="EG145" s="180">
        <f t="shared" ca="1" si="196"/>
        <v>0</v>
      </c>
      <c r="EH145" s="180">
        <f t="shared" ca="1" si="196"/>
        <v>0</v>
      </c>
      <c r="EI145" s="180">
        <f t="shared" ca="1" si="206"/>
        <v>0</v>
      </c>
      <c r="EJ145" s="180">
        <f t="shared" ca="1" si="206"/>
        <v>0</v>
      </c>
      <c r="EK145" s="180">
        <f t="shared" ca="1" si="206"/>
        <v>0</v>
      </c>
      <c r="EL145" s="180">
        <f t="shared" ca="1" si="206"/>
        <v>0</v>
      </c>
      <c r="EM145" s="180">
        <f t="shared" ca="1" si="206"/>
        <v>0</v>
      </c>
      <c r="EN145" s="180">
        <f t="shared" ca="1" si="206"/>
        <v>0</v>
      </c>
      <c r="EO145" s="180">
        <f t="shared" ca="1" si="206"/>
        <v>0</v>
      </c>
      <c r="EP145" s="180">
        <f t="shared" ca="1" si="206"/>
        <v>0</v>
      </c>
      <c r="EQ145" s="180"/>
      <c r="ER145" s="180"/>
    </row>
    <row r="146" spans="2:148" s="87" customFormat="1" hidden="1" x14ac:dyDescent="0.25">
      <c r="B146" s="151"/>
      <c r="C146" s="87">
        <v>85</v>
      </c>
      <c r="D146" s="258">
        <f t="shared" ca="1" si="201"/>
        <v>48740</v>
      </c>
      <c r="E146" s="175">
        <f t="shared" si="207"/>
        <v>0</v>
      </c>
      <c r="F146" s="175">
        <f t="shared" si="207"/>
        <v>0</v>
      </c>
      <c r="G146" s="175">
        <f t="shared" ca="1" si="207"/>
        <v>0.20695783313954974</v>
      </c>
      <c r="H146" s="175">
        <f t="shared" ca="1" si="207"/>
        <v>0.20695783313954974</v>
      </c>
      <c r="I146" s="175">
        <f t="shared" si="207"/>
        <v>0</v>
      </c>
      <c r="J146" s="175">
        <f t="shared" si="207"/>
        <v>0</v>
      </c>
      <c r="K146" s="175">
        <f t="shared" si="207"/>
        <v>0</v>
      </c>
      <c r="L146" s="175">
        <f t="shared" si="207"/>
        <v>0</v>
      </c>
      <c r="M146" s="175">
        <f t="shared" si="207"/>
        <v>0</v>
      </c>
      <c r="N146" s="175">
        <f t="shared" si="207"/>
        <v>0</v>
      </c>
      <c r="O146" s="175">
        <f t="shared" si="208"/>
        <v>0</v>
      </c>
      <c r="P146" s="175">
        <f t="shared" si="208"/>
        <v>0</v>
      </c>
      <c r="Q146" s="175">
        <f t="shared" si="208"/>
        <v>0</v>
      </c>
      <c r="R146" s="175">
        <f t="shared" si="208"/>
        <v>0</v>
      </c>
      <c r="S146" s="175">
        <f t="shared" si="208"/>
        <v>0</v>
      </c>
      <c r="T146" s="175">
        <f t="shared" si="208"/>
        <v>0</v>
      </c>
      <c r="U146" s="175">
        <f t="shared" si="208"/>
        <v>0</v>
      </c>
      <c r="V146" s="175"/>
      <c r="W146" s="140"/>
      <c r="X146" s="87">
        <v>128</v>
      </c>
      <c r="Y146" s="87">
        <f t="shared" si="138"/>
        <v>0</v>
      </c>
      <c r="Z146" s="87">
        <f t="shared" si="139"/>
        <v>0</v>
      </c>
      <c r="AA146" s="87">
        <f t="shared" si="140"/>
        <v>0</v>
      </c>
      <c r="AB146" s="87">
        <f t="shared" si="141"/>
        <v>0</v>
      </c>
      <c r="AC146" s="87">
        <f t="shared" si="142"/>
        <v>0</v>
      </c>
      <c r="AD146" s="87">
        <f t="shared" si="143"/>
        <v>0</v>
      </c>
      <c r="AE146" s="87">
        <f t="shared" si="144"/>
        <v>0</v>
      </c>
      <c r="AF146" s="87">
        <f t="shared" si="145"/>
        <v>0</v>
      </c>
      <c r="AG146" s="87">
        <f t="shared" si="146"/>
        <v>0</v>
      </c>
      <c r="AH146" s="87">
        <f t="shared" si="147"/>
        <v>0</v>
      </c>
      <c r="AI146" s="87">
        <f t="shared" si="148"/>
        <v>0</v>
      </c>
      <c r="AJ146" s="87">
        <f t="shared" si="149"/>
        <v>0</v>
      </c>
      <c r="AK146" s="87">
        <f t="shared" si="150"/>
        <v>0</v>
      </c>
      <c r="AL146" s="87">
        <f t="shared" si="151"/>
        <v>0</v>
      </c>
      <c r="AM146" s="87">
        <f t="shared" si="152"/>
        <v>0</v>
      </c>
      <c r="AN146" s="87">
        <f t="shared" si="153"/>
        <v>0</v>
      </c>
      <c r="AO146" s="87">
        <f t="shared" si="154"/>
        <v>0</v>
      </c>
      <c r="AP146" s="140"/>
      <c r="AQ146" s="426">
        <v>128</v>
      </c>
      <c r="AR146" s="258">
        <f t="shared" ca="1" si="160"/>
        <v>50050</v>
      </c>
      <c r="AS146" s="429">
        <f t="shared" si="178"/>
        <v>0</v>
      </c>
      <c r="AT146" s="140"/>
      <c r="AU146" s="278">
        <v>128</v>
      </c>
      <c r="AV146" s="258">
        <f t="shared" ca="1" si="161"/>
        <v>50081</v>
      </c>
      <c r="AW146" s="429">
        <f t="shared" si="155"/>
        <v>0</v>
      </c>
      <c r="AX146" s="202">
        <f t="shared" ca="1" si="156"/>
        <v>0</v>
      </c>
      <c r="AY146" s="278">
        <v>128</v>
      </c>
      <c r="AZ146" s="258">
        <f t="shared" ca="1" si="162"/>
        <v>50081</v>
      </c>
      <c r="BA146" s="429">
        <f t="shared" si="157"/>
        <v>0</v>
      </c>
      <c r="BB146" s="259">
        <f t="shared" ca="1" si="119"/>
        <v>50050</v>
      </c>
      <c r="BC146" s="428">
        <f t="shared" ca="1" si="158"/>
        <v>0</v>
      </c>
      <c r="BD146" s="188">
        <f t="shared" si="179"/>
        <v>0</v>
      </c>
      <c r="BE146" s="188">
        <f t="shared" si="180"/>
        <v>0</v>
      </c>
      <c r="BF146" s="188">
        <f t="shared" si="181"/>
        <v>0</v>
      </c>
      <c r="BG146" s="87">
        <f t="shared" si="182"/>
        <v>0</v>
      </c>
      <c r="BH146" s="87">
        <f t="shared" si="183"/>
        <v>0</v>
      </c>
      <c r="BI146" s="87">
        <f t="shared" si="184"/>
        <v>0</v>
      </c>
      <c r="BJ146" s="87">
        <f t="shared" si="185"/>
        <v>0</v>
      </c>
      <c r="BK146" s="87">
        <f t="shared" si="186"/>
        <v>0</v>
      </c>
      <c r="BL146" s="87">
        <f t="shared" si="187"/>
        <v>0</v>
      </c>
      <c r="BM146" s="87">
        <f t="shared" si="188"/>
        <v>0</v>
      </c>
      <c r="BN146" s="87">
        <f t="shared" si="189"/>
        <v>0</v>
      </c>
      <c r="BO146" s="87">
        <f t="shared" si="190"/>
        <v>0</v>
      </c>
      <c r="BP146" s="87">
        <f t="shared" si="191"/>
        <v>0</v>
      </c>
      <c r="BQ146" s="87">
        <f t="shared" si="192"/>
        <v>0</v>
      </c>
      <c r="BR146" s="87">
        <f t="shared" si="193"/>
        <v>0</v>
      </c>
      <c r="BS146" s="87">
        <f t="shared" si="194"/>
        <v>0</v>
      </c>
      <c r="BT146" s="87">
        <f t="shared" si="195"/>
        <v>0</v>
      </c>
      <c r="BV146" s="177"/>
      <c r="BW146" s="177"/>
      <c r="BX146" s="267"/>
      <c r="BY146" s="267"/>
      <c r="BZ146" s="267"/>
      <c r="CA146" s="267"/>
      <c r="CB146" s="267"/>
      <c r="CC146" s="267"/>
      <c r="CD146" s="267"/>
      <c r="CE146" s="267"/>
      <c r="CF146" s="267"/>
      <c r="CG146" s="267"/>
      <c r="CH146" s="267"/>
      <c r="CI146" s="435"/>
      <c r="CJ146" s="436"/>
      <c r="CK146" s="437"/>
      <c r="CM146" s="64" t="s">
        <v>1103</v>
      </c>
      <c r="CN146" s="707">
        <v>48.166666666666664</v>
      </c>
      <c r="CS146" s="178">
        <v>128</v>
      </c>
      <c r="CT146" s="259">
        <f t="shared" ca="1" si="137"/>
        <v>50081</v>
      </c>
      <c r="CU146" s="179">
        <f t="shared" ca="1" si="159"/>
        <v>0</v>
      </c>
      <c r="CV146" s="179">
        <f t="shared" ca="1" si="205"/>
        <v>0</v>
      </c>
      <c r="CW146" s="179">
        <f t="shared" ca="1" si="205"/>
        <v>0</v>
      </c>
      <c r="CX146" s="179">
        <f t="shared" ca="1" si="205"/>
        <v>0</v>
      </c>
      <c r="CY146" s="179">
        <f t="shared" ca="1" si="205"/>
        <v>0</v>
      </c>
      <c r="CZ146" s="179">
        <f t="shared" ca="1" si="205"/>
        <v>0</v>
      </c>
      <c r="DA146" s="179">
        <f t="shared" ca="1" si="205"/>
        <v>0</v>
      </c>
      <c r="DB146" s="179">
        <f t="shared" ca="1" si="205"/>
        <v>0</v>
      </c>
      <c r="DC146" s="179">
        <f t="shared" ca="1" si="205"/>
        <v>0</v>
      </c>
      <c r="DD146" s="179">
        <f t="shared" ca="1" si="205"/>
        <v>0</v>
      </c>
      <c r="DE146" s="179">
        <f t="shared" ca="1" si="205"/>
        <v>0</v>
      </c>
      <c r="DF146" s="179" t="e">
        <f t="shared" ca="1" si="205"/>
        <v>#VALUE!</v>
      </c>
      <c r="DG146" s="179" t="e">
        <f t="shared" ca="1" si="205"/>
        <v>#VALUE!</v>
      </c>
      <c r="DH146" s="179" t="e">
        <f t="shared" ca="1" si="205"/>
        <v>#VALUE!</v>
      </c>
      <c r="DI146" s="179" t="e">
        <f t="shared" ca="1" si="205"/>
        <v>#VALUE!</v>
      </c>
      <c r="DJ146" s="179" t="e">
        <f t="shared" ca="1" si="205"/>
        <v>#VALUE!</v>
      </c>
      <c r="DK146" s="179" t="e">
        <f t="shared" ca="1" si="205"/>
        <v>#VALUE!</v>
      </c>
      <c r="DL146" s="179" t="e">
        <f t="shared" ca="1" si="204"/>
        <v>#VALUE!</v>
      </c>
      <c r="DM146" s="179" t="e">
        <f t="shared" ca="1" si="204"/>
        <v>#VALUE!</v>
      </c>
      <c r="DN146" s="179" t="e">
        <f t="shared" ca="1" si="204"/>
        <v>#VALUE!</v>
      </c>
      <c r="DO146" s="179" t="e">
        <f t="shared" ca="1" si="204"/>
        <v>#VALUE!</v>
      </c>
      <c r="DP146" s="179" t="e">
        <f t="shared" ca="1" si="204"/>
        <v>#VALUE!</v>
      </c>
      <c r="DQ146" s="179" t="e">
        <f t="shared" ca="1" si="204"/>
        <v>#VALUE!</v>
      </c>
      <c r="DR146" s="431">
        <v>128</v>
      </c>
      <c r="DS146" s="430">
        <f t="shared" ca="1" si="164"/>
        <v>50050</v>
      </c>
      <c r="DT146" s="180">
        <f t="shared" ca="1" si="197"/>
        <v>0</v>
      </c>
      <c r="DU146" s="180">
        <f t="shared" ca="1" si="197"/>
        <v>0</v>
      </c>
      <c r="DV146" s="180">
        <f t="shared" ca="1" si="197"/>
        <v>0</v>
      </c>
      <c r="DW146" s="180">
        <f t="shared" ca="1" si="197"/>
        <v>0</v>
      </c>
      <c r="DX146" s="180">
        <f t="shared" ca="1" si="197"/>
        <v>0</v>
      </c>
      <c r="DY146" s="180">
        <f t="shared" ca="1" si="197"/>
        <v>0</v>
      </c>
      <c r="DZ146" s="180">
        <f t="shared" ca="1" si="197"/>
        <v>0</v>
      </c>
      <c r="EA146" s="180">
        <f t="shared" ca="1" si="197"/>
        <v>0</v>
      </c>
      <c r="EB146" s="180">
        <f t="shared" ca="1" si="197"/>
        <v>0</v>
      </c>
      <c r="EC146" s="180">
        <f t="shared" ca="1" si="196"/>
        <v>0</v>
      </c>
      <c r="ED146" s="180">
        <f t="shared" ca="1" si="196"/>
        <v>0</v>
      </c>
      <c r="EE146" s="180">
        <f t="shared" ca="1" si="196"/>
        <v>0</v>
      </c>
      <c r="EF146" s="180">
        <f t="shared" ca="1" si="196"/>
        <v>0</v>
      </c>
      <c r="EG146" s="180">
        <f t="shared" ca="1" si="196"/>
        <v>0</v>
      </c>
      <c r="EH146" s="180">
        <f t="shared" ca="1" si="196"/>
        <v>0</v>
      </c>
      <c r="EI146" s="180">
        <f t="shared" ca="1" si="206"/>
        <v>0</v>
      </c>
      <c r="EJ146" s="180">
        <f t="shared" ca="1" si="206"/>
        <v>0</v>
      </c>
      <c r="EK146" s="180">
        <f t="shared" ca="1" si="206"/>
        <v>0</v>
      </c>
      <c r="EL146" s="180">
        <f t="shared" ca="1" si="206"/>
        <v>0</v>
      </c>
      <c r="EM146" s="180">
        <f t="shared" ca="1" si="206"/>
        <v>0</v>
      </c>
      <c r="EN146" s="180">
        <f t="shared" ca="1" si="206"/>
        <v>0</v>
      </c>
      <c r="EO146" s="180">
        <f t="shared" ca="1" si="206"/>
        <v>0</v>
      </c>
      <c r="EP146" s="180">
        <f t="shared" ca="1" si="206"/>
        <v>0</v>
      </c>
      <c r="EQ146" s="180"/>
      <c r="ER146" s="180"/>
    </row>
    <row r="147" spans="2:148" s="87" customFormat="1" hidden="1" x14ac:dyDescent="0.25">
      <c r="B147" s="151"/>
      <c r="C147" s="87">
        <v>86</v>
      </c>
      <c r="D147" s="258">
        <f t="shared" ca="1" si="201"/>
        <v>48770</v>
      </c>
      <c r="E147" s="175">
        <f t="shared" si="207"/>
        <v>0</v>
      </c>
      <c r="F147" s="175">
        <f t="shared" si="207"/>
        <v>0</v>
      </c>
      <c r="G147" s="175">
        <f t="shared" ca="1" si="207"/>
        <v>0.2031986579671573</v>
      </c>
      <c r="H147" s="175">
        <f t="shared" ca="1" si="207"/>
        <v>0.2031986579671573</v>
      </c>
      <c r="I147" s="175">
        <f t="shared" si="207"/>
        <v>0</v>
      </c>
      <c r="J147" s="175">
        <f t="shared" si="207"/>
        <v>0</v>
      </c>
      <c r="K147" s="175">
        <f t="shared" si="207"/>
        <v>0</v>
      </c>
      <c r="L147" s="175">
        <f t="shared" si="207"/>
        <v>0</v>
      </c>
      <c r="M147" s="175">
        <f t="shared" si="207"/>
        <v>0</v>
      </c>
      <c r="N147" s="175">
        <f t="shared" si="207"/>
        <v>0</v>
      </c>
      <c r="O147" s="175">
        <f t="shared" si="208"/>
        <v>0</v>
      </c>
      <c r="P147" s="175">
        <f t="shared" si="208"/>
        <v>0</v>
      </c>
      <c r="Q147" s="175">
        <f t="shared" si="208"/>
        <v>0</v>
      </c>
      <c r="R147" s="175">
        <f t="shared" si="208"/>
        <v>0</v>
      </c>
      <c r="S147" s="175">
        <f t="shared" si="208"/>
        <v>0</v>
      </c>
      <c r="T147" s="175">
        <f t="shared" si="208"/>
        <v>0</v>
      </c>
      <c r="U147" s="175">
        <f t="shared" si="208"/>
        <v>0</v>
      </c>
      <c r="V147" s="175"/>
      <c r="W147" s="140"/>
      <c r="X147" s="87">
        <v>129</v>
      </c>
      <c r="Y147" s="87">
        <f t="shared" si="138"/>
        <v>0</v>
      </c>
      <c r="Z147" s="87">
        <f t="shared" si="139"/>
        <v>0</v>
      </c>
      <c r="AA147" s="87">
        <f t="shared" si="140"/>
        <v>0</v>
      </c>
      <c r="AB147" s="87">
        <f t="shared" si="141"/>
        <v>0</v>
      </c>
      <c r="AC147" s="87">
        <f t="shared" si="142"/>
        <v>0</v>
      </c>
      <c r="AD147" s="87">
        <f t="shared" si="143"/>
        <v>0</v>
      </c>
      <c r="AE147" s="87">
        <f t="shared" si="144"/>
        <v>0</v>
      </c>
      <c r="AF147" s="87">
        <f t="shared" si="145"/>
        <v>0</v>
      </c>
      <c r="AG147" s="87">
        <f t="shared" si="146"/>
        <v>0</v>
      </c>
      <c r="AH147" s="87">
        <f t="shared" si="147"/>
        <v>0</v>
      </c>
      <c r="AI147" s="87">
        <f t="shared" si="148"/>
        <v>0</v>
      </c>
      <c r="AJ147" s="87">
        <f t="shared" si="149"/>
        <v>0</v>
      </c>
      <c r="AK147" s="87">
        <f t="shared" si="150"/>
        <v>0</v>
      </c>
      <c r="AL147" s="87">
        <f t="shared" si="151"/>
        <v>0</v>
      </c>
      <c r="AM147" s="87">
        <f t="shared" si="152"/>
        <v>0</v>
      </c>
      <c r="AN147" s="87">
        <f t="shared" si="153"/>
        <v>0</v>
      </c>
      <c r="AO147" s="87">
        <f t="shared" si="154"/>
        <v>0</v>
      </c>
      <c r="AP147" s="140"/>
      <c r="AQ147" s="426">
        <v>129</v>
      </c>
      <c r="AR147" s="258">
        <f t="shared" ca="1" si="160"/>
        <v>50081</v>
      </c>
      <c r="AS147" s="429">
        <f t="shared" ref="AS147:AS162" si="209">SUM(Y147:AO147)</f>
        <v>0</v>
      </c>
      <c r="AT147" s="140"/>
      <c r="AU147" s="278">
        <v>129</v>
      </c>
      <c r="AV147" s="258">
        <f t="shared" ca="1" si="161"/>
        <v>50109</v>
      </c>
      <c r="AW147" s="429">
        <f t="shared" si="155"/>
        <v>0</v>
      </c>
      <c r="AX147" s="202">
        <f t="shared" ca="1" si="156"/>
        <v>0</v>
      </c>
      <c r="AY147" s="278">
        <v>129</v>
      </c>
      <c r="AZ147" s="258">
        <f t="shared" ca="1" si="162"/>
        <v>50109</v>
      </c>
      <c r="BA147" s="429">
        <f t="shared" si="157"/>
        <v>0</v>
      </c>
      <c r="BB147" s="259">
        <f t="shared" ref="BB147:BB165" ca="1" si="210">AR147</f>
        <v>50081</v>
      </c>
      <c r="BC147" s="428">
        <f t="shared" ca="1" si="158"/>
        <v>0</v>
      </c>
      <c r="BD147" s="188">
        <f t="shared" ref="BD147:BD162" si="211">IF($X147&lt;=E$17,E$18,0)</f>
        <v>0</v>
      </c>
      <c r="BE147" s="188">
        <f t="shared" ref="BE147:BE162" si="212">IF($X147&lt;=F$17,F$18,0)</f>
        <v>0</v>
      </c>
      <c r="BF147" s="188">
        <f t="shared" ref="BF147:BF162" si="213">IF($X147&lt;=G$17,G$18,0)</f>
        <v>0</v>
      </c>
      <c r="BG147" s="87">
        <f t="shared" ref="BG147:BG162" si="214">IF($X147&lt;=H$17,H$18,0)</f>
        <v>0</v>
      </c>
      <c r="BH147" s="87">
        <f t="shared" ref="BH147:BH162" si="215">IF($X147&lt;=I$17,I$18,0)</f>
        <v>0</v>
      </c>
      <c r="BI147" s="87">
        <f t="shared" ref="BI147:BI162" si="216">IF($X147&lt;=J$17,J$18,0)</f>
        <v>0</v>
      </c>
      <c r="BJ147" s="87">
        <f t="shared" ref="BJ147:BJ162" si="217">IF($X147&lt;=K$17,K$18,0)</f>
        <v>0</v>
      </c>
      <c r="BK147" s="87">
        <f t="shared" ref="BK147:BK162" si="218">IF($X147&lt;=L$17,L$18,0)</f>
        <v>0</v>
      </c>
      <c r="BL147" s="87">
        <f t="shared" ref="BL147:BL162" si="219">IF($X147&lt;=M$17,M$18,0)</f>
        <v>0</v>
      </c>
      <c r="BM147" s="87">
        <f t="shared" ref="BM147:BM162" si="220">IF($X147&lt;=N$17,N$18,0)</f>
        <v>0</v>
      </c>
      <c r="BN147" s="87">
        <f t="shared" ref="BN147:BN162" si="221">IF($X147&lt;=O$17,O$18,0)</f>
        <v>0</v>
      </c>
      <c r="BO147" s="87">
        <f t="shared" ref="BO147:BO162" si="222">IF($X147&lt;=P$17,P$18,0)</f>
        <v>0</v>
      </c>
      <c r="BP147" s="87">
        <f t="shared" ref="BP147:BP162" si="223">IF($X147&lt;=Q$17,Q$18,0)</f>
        <v>0</v>
      </c>
      <c r="BQ147" s="87">
        <f t="shared" ref="BQ147:BQ162" si="224">IF($X147&lt;=R$17,R$18,0)</f>
        <v>0</v>
      </c>
      <c r="BR147" s="87">
        <f t="shared" ref="BR147:BR162" si="225">IF($X147&lt;=S$17,S$18,0)</f>
        <v>0</v>
      </c>
      <c r="BS147" s="87">
        <f t="shared" ref="BS147:BS162" si="226">IF($X147&lt;=T$17,T$18,0)</f>
        <v>0</v>
      </c>
      <c r="BT147" s="87">
        <f t="shared" ref="BT147:BT162" si="227">IF($X147&lt;=U$17,U$18,0)</f>
        <v>0</v>
      </c>
      <c r="BV147" s="177"/>
      <c r="BW147" s="177"/>
      <c r="BX147" s="267"/>
      <c r="BY147" s="267"/>
      <c r="BZ147" s="267"/>
      <c r="CA147" s="267"/>
      <c r="CB147" s="267"/>
      <c r="CC147" s="267"/>
      <c r="CD147" s="267"/>
      <c r="CE147" s="267"/>
      <c r="CF147" s="267"/>
      <c r="CG147" s="267"/>
      <c r="CH147" s="267"/>
      <c r="CI147" s="435"/>
      <c r="CJ147" s="436"/>
      <c r="CK147" s="437"/>
      <c r="CM147" s="64" t="s">
        <v>720</v>
      </c>
      <c r="CN147" s="707">
        <v>58</v>
      </c>
      <c r="CS147" s="138">
        <v>129</v>
      </c>
      <c r="CT147" s="259">
        <f t="shared" ref="CT147:CT162" ca="1" si="228">AZ147</f>
        <v>50109</v>
      </c>
      <c r="CU147" s="179">
        <f t="shared" ca="1" si="159"/>
        <v>0</v>
      </c>
      <c r="CV147" s="179">
        <f t="shared" ca="1" si="205"/>
        <v>0</v>
      </c>
      <c r="CW147" s="179">
        <f t="shared" ca="1" si="205"/>
        <v>0</v>
      </c>
      <c r="CX147" s="179">
        <f t="shared" ca="1" si="205"/>
        <v>0</v>
      </c>
      <c r="CY147" s="179">
        <f t="shared" ca="1" si="205"/>
        <v>0</v>
      </c>
      <c r="CZ147" s="179">
        <f t="shared" ca="1" si="205"/>
        <v>0</v>
      </c>
      <c r="DA147" s="179">
        <f t="shared" ca="1" si="205"/>
        <v>0</v>
      </c>
      <c r="DB147" s="179">
        <f t="shared" ca="1" si="205"/>
        <v>0</v>
      </c>
      <c r="DC147" s="179">
        <f t="shared" ca="1" si="205"/>
        <v>0</v>
      </c>
      <c r="DD147" s="179">
        <f t="shared" ca="1" si="205"/>
        <v>0</v>
      </c>
      <c r="DE147" s="179">
        <f t="shared" ca="1" si="205"/>
        <v>0</v>
      </c>
      <c r="DF147" s="179" t="e">
        <f t="shared" ca="1" si="205"/>
        <v>#VALUE!</v>
      </c>
      <c r="DG147" s="179" t="e">
        <f t="shared" ca="1" si="205"/>
        <v>#VALUE!</v>
      </c>
      <c r="DH147" s="179" t="e">
        <f t="shared" ca="1" si="205"/>
        <v>#VALUE!</v>
      </c>
      <c r="DI147" s="179" t="e">
        <f t="shared" ca="1" si="205"/>
        <v>#VALUE!</v>
      </c>
      <c r="DJ147" s="179" t="e">
        <f t="shared" ca="1" si="205"/>
        <v>#VALUE!</v>
      </c>
      <c r="DK147" s="179" t="e">
        <f t="shared" ca="1" si="205"/>
        <v>#VALUE!</v>
      </c>
      <c r="DL147" s="179" t="e">
        <f t="shared" ca="1" si="204"/>
        <v>#VALUE!</v>
      </c>
      <c r="DM147" s="179" t="e">
        <f t="shared" ca="1" si="204"/>
        <v>#VALUE!</v>
      </c>
      <c r="DN147" s="179" t="e">
        <f t="shared" ca="1" si="204"/>
        <v>#VALUE!</v>
      </c>
      <c r="DO147" s="179" t="e">
        <f t="shared" ca="1" si="204"/>
        <v>#VALUE!</v>
      </c>
      <c r="DP147" s="179" t="e">
        <f t="shared" ca="1" si="204"/>
        <v>#VALUE!</v>
      </c>
      <c r="DQ147" s="179" t="e">
        <f t="shared" ca="1" si="204"/>
        <v>#VALUE!</v>
      </c>
      <c r="DR147" s="278">
        <v>129</v>
      </c>
      <c r="DS147" s="430">
        <f t="shared" ca="1" si="164"/>
        <v>50081</v>
      </c>
      <c r="DT147" s="180">
        <f t="shared" ca="1" si="197"/>
        <v>0</v>
      </c>
      <c r="DU147" s="180">
        <f t="shared" ca="1" si="197"/>
        <v>0</v>
      </c>
      <c r="DV147" s="180">
        <f t="shared" ca="1" si="197"/>
        <v>0</v>
      </c>
      <c r="DW147" s="180">
        <f t="shared" ca="1" si="197"/>
        <v>0</v>
      </c>
      <c r="DX147" s="180">
        <f t="shared" ca="1" si="197"/>
        <v>0</v>
      </c>
      <c r="DY147" s="180">
        <f t="shared" ca="1" si="197"/>
        <v>0</v>
      </c>
      <c r="DZ147" s="180">
        <f t="shared" ca="1" si="197"/>
        <v>0</v>
      </c>
      <c r="EA147" s="180">
        <f t="shared" ca="1" si="197"/>
        <v>0</v>
      </c>
      <c r="EB147" s="180">
        <f t="shared" ca="1" si="197"/>
        <v>0</v>
      </c>
      <c r="EC147" s="180">
        <f t="shared" ca="1" si="196"/>
        <v>0</v>
      </c>
      <c r="ED147" s="180">
        <f t="shared" ca="1" si="196"/>
        <v>0</v>
      </c>
      <c r="EE147" s="180">
        <f t="shared" ca="1" si="196"/>
        <v>0</v>
      </c>
      <c r="EF147" s="180">
        <f t="shared" ca="1" si="196"/>
        <v>0</v>
      </c>
      <c r="EG147" s="180">
        <f t="shared" ca="1" si="196"/>
        <v>0</v>
      </c>
      <c r="EH147" s="180">
        <f t="shared" ca="1" si="196"/>
        <v>0</v>
      </c>
      <c r="EI147" s="180">
        <f t="shared" ca="1" si="206"/>
        <v>0</v>
      </c>
      <c r="EJ147" s="180">
        <f t="shared" ca="1" si="206"/>
        <v>0</v>
      </c>
      <c r="EK147" s="180">
        <f t="shared" ca="1" si="206"/>
        <v>0</v>
      </c>
      <c r="EL147" s="180">
        <f t="shared" ca="1" si="206"/>
        <v>0</v>
      </c>
      <c r="EM147" s="180">
        <f t="shared" ca="1" si="206"/>
        <v>0</v>
      </c>
      <c r="EN147" s="180">
        <f t="shared" ca="1" si="206"/>
        <v>0</v>
      </c>
      <c r="EO147" s="180">
        <f t="shared" ca="1" si="206"/>
        <v>0</v>
      </c>
      <c r="EP147" s="180">
        <f t="shared" ca="1" si="206"/>
        <v>0</v>
      </c>
      <c r="EQ147" s="180"/>
      <c r="ER147" s="180"/>
    </row>
    <row r="148" spans="2:148" s="87" customFormat="1" hidden="1" x14ac:dyDescent="0.25">
      <c r="B148" s="151"/>
      <c r="C148" s="87">
        <v>87</v>
      </c>
      <c r="D148" s="258">
        <f t="shared" ca="1" si="201"/>
        <v>48801</v>
      </c>
      <c r="E148" s="175">
        <f t="shared" si="207"/>
        <v>0</v>
      </c>
      <c r="F148" s="175">
        <f t="shared" si="207"/>
        <v>0</v>
      </c>
      <c r="G148" s="175">
        <f t="shared" ca="1" si="207"/>
        <v>0.19938589595742284</v>
      </c>
      <c r="H148" s="175">
        <f t="shared" ca="1" si="207"/>
        <v>0.19938589595742284</v>
      </c>
      <c r="I148" s="175">
        <f t="shared" si="207"/>
        <v>0</v>
      </c>
      <c r="J148" s="175">
        <f t="shared" si="207"/>
        <v>0</v>
      </c>
      <c r="K148" s="175">
        <f t="shared" si="207"/>
        <v>0</v>
      </c>
      <c r="L148" s="175">
        <f t="shared" si="207"/>
        <v>0</v>
      </c>
      <c r="M148" s="175">
        <f t="shared" si="207"/>
        <v>0</v>
      </c>
      <c r="N148" s="175">
        <f t="shared" si="207"/>
        <v>0</v>
      </c>
      <c r="O148" s="175">
        <f t="shared" si="208"/>
        <v>0</v>
      </c>
      <c r="P148" s="175">
        <f t="shared" si="208"/>
        <v>0</v>
      </c>
      <c r="Q148" s="175">
        <f t="shared" si="208"/>
        <v>0</v>
      </c>
      <c r="R148" s="175">
        <f t="shared" si="208"/>
        <v>0</v>
      </c>
      <c r="S148" s="175">
        <f t="shared" si="208"/>
        <v>0</v>
      </c>
      <c r="T148" s="175">
        <f t="shared" si="208"/>
        <v>0</v>
      </c>
      <c r="U148" s="175">
        <f t="shared" si="208"/>
        <v>0</v>
      </c>
      <c r="V148" s="175"/>
      <c r="W148" s="140"/>
      <c r="X148" s="87">
        <v>130</v>
      </c>
      <c r="Y148" s="87">
        <f t="shared" ref="Y148:Y164" si="229">IF($X148&lt;=E$17,E$20,0)</f>
        <v>0</v>
      </c>
      <c r="Z148" s="87">
        <f t="shared" ref="Z148:Z164" si="230">IF($X148&lt;=F$17,F$20,0)</f>
        <v>0</v>
      </c>
      <c r="AA148" s="87">
        <f t="shared" ref="AA148:AA164" si="231">IF($X148&lt;=G$17,G$20,0)</f>
        <v>0</v>
      </c>
      <c r="AB148" s="87">
        <f t="shared" ref="AB148:AB164" si="232">IF($X148&lt;=H$17,H$20,0)</f>
        <v>0</v>
      </c>
      <c r="AC148" s="87">
        <f t="shared" ref="AC148:AC164" si="233">IF($X148&lt;=I$17,I$20,0)</f>
        <v>0</v>
      </c>
      <c r="AD148" s="87">
        <f t="shared" ref="AD148:AD164" si="234">IF($X148&lt;=J$17,J$20,0)</f>
        <v>0</v>
      </c>
      <c r="AE148" s="87">
        <f t="shared" ref="AE148:AE164" si="235">IF($X148&lt;=K$17,K$20,0)</f>
        <v>0</v>
      </c>
      <c r="AF148" s="87">
        <f t="shared" ref="AF148:AF164" si="236">IF($X148&lt;=L$17,L$20,0)</f>
        <v>0</v>
      </c>
      <c r="AG148" s="87">
        <f t="shared" ref="AG148:AG164" si="237">IF($X148&lt;=M$17,M$20,0)</f>
        <v>0</v>
      </c>
      <c r="AH148" s="87">
        <f t="shared" ref="AH148:AH164" si="238">IF($X148&lt;=N$17,N$20,0)</f>
        <v>0</v>
      </c>
      <c r="AI148" s="87">
        <f t="shared" ref="AI148:AI164" si="239">IF($X148&lt;=O$17,O$20,0)</f>
        <v>0</v>
      </c>
      <c r="AJ148" s="87">
        <f t="shared" ref="AJ148:AJ164" si="240">IF($X148&lt;=P$17,P$20,0)</f>
        <v>0</v>
      </c>
      <c r="AK148" s="87">
        <f t="shared" ref="AK148:AK164" si="241">IF($X148&lt;=Q$17,Q$20,0)</f>
        <v>0</v>
      </c>
      <c r="AL148" s="87">
        <f t="shared" ref="AL148:AL164" si="242">IF($X148&lt;=R$17,R$20,0)</f>
        <v>0</v>
      </c>
      <c r="AM148" s="87">
        <f t="shared" ref="AM148:AM164" si="243">IF($X148&lt;=S$17,S$20,0)</f>
        <v>0</v>
      </c>
      <c r="AN148" s="87">
        <f t="shared" ref="AN148:AN164" si="244">IF($X148&lt;=T$17,T$20,0)</f>
        <v>0</v>
      </c>
      <c r="AO148" s="87">
        <f t="shared" ref="AO148:AO164" si="245">IF($X148&lt;=U$17,U$20,0)</f>
        <v>0</v>
      </c>
      <c r="AP148" s="140"/>
      <c r="AQ148" s="426">
        <v>130</v>
      </c>
      <c r="AR148" s="258">
        <f t="shared" ca="1" si="160"/>
        <v>50109</v>
      </c>
      <c r="AS148" s="429">
        <f t="shared" si="209"/>
        <v>0</v>
      </c>
      <c r="AT148" s="140"/>
      <c r="AU148" s="278">
        <v>130</v>
      </c>
      <c r="AV148" s="258">
        <f t="shared" ca="1" si="161"/>
        <v>50140</v>
      </c>
      <c r="AW148" s="429">
        <f t="shared" ref="AW148:AW162" si="246">IF(AU148&gt;$BA$14,0,BA148-AS148)</f>
        <v>0</v>
      </c>
      <c r="AX148" s="202">
        <f t="shared" ref="AX148:AX162" ca="1" si="247">ROUND(AW148/(1+$AW$15)^((AV148-$AV$18)/30),2)</f>
        <v>0</v>
      </c>
      <c r="AY148" s="278">
        <v>130</v>
      </c>
      <c r="AZ148" s="258">
        <f t="shared" ca="1" si="162"/>
        <v>50140</v>
      </c>
      <c r="BA148" s="429">
        <f t="shared" ref="BA148:BA162" si="248">IF(AY148&gt;$BA$14,0,$BA$13)</f>
        <v>0</v>
      </c>
      <c r="BB148" s="259">
        <f t="shared" ca="1" si="210"/>
        <v>50109</v>
      </c>
      <c r="BC148" s="428">
        <f t="shared" ref="BC148:BC168" ca="1" si="249">IFERROR(VLOOKUP(BB148,$AZ$18:$BA$164,2,FALSE),0)-IFERROR(VLOOKUP(BB148,$AR$18:$AS$164,2,FALSE),0)</f>
        <v>0</v>
      </c>
      <c r="BD148" s="188">
        <f t="shared" si="211"/>
        <v>0</v>
      </c>
      <c r="BE148" s="188">
        <f t="shared" si="212"/>
        <v>0</v>
      </c>
      <c r="BF148" s="188">
        <f t="shared" si="213"/>
        <v>0</v>
      </c>
      <c r="BG148" s="87">
        <f t="shared" si="214"/>
        <v>0</v>
      </c>
      <c r="BH148" s="87">
        <f t="shared" si="215"/>
        <v>0</v>
      </c>
      <c r="BI148" s="87">
        <f t="shared" si="216"/>
        <v>0</v>
      </c>
      <c r="BJ148" s="87">
        <f t="shared" si="217"/>
        <v>0</v>
      </c>
      <c r="BK148" s="87">
        <f t="shared" si="218"/>
        <v>0</v>
      </c>
      <c r="BL148" s="87">
        <f t="shared" si="219"/>
        <v>0</v>
      </c>
      <c r="BM148" s="87">
        <f t="shared" si="220"/>
        <v>0</v>
      </c>
      <c r="BN148" s="87">
        <f t="shared" si="221"/>
        <v>0</v>
      </c>
      <c r="BO148" s="87">
        <f t="shared" si="222"/>
        <v>0</v>
      </c>
      <c r="BP148" s="87">
        <f t="shared" si="223"/>
        <v>0</v>
      </c>
      <c r="BQ148" s="87">
        <f t="shared" si="224"/>
        <v>0</v>
      </c>
      <c r="BR148" s="87">
        <f t="shared" si="225"/>
        <v>0</v>
      </c>
      <c r="BS148" s="87">
        <f t="shared" si="226"/>
        <v>0</v>
      </c>
      <c r="BT148" s="87">
        <f t="shared" si="227"/>
        <v>0</v>
      </c>
      <c r="BV148" s="177"/>
      <c r="BW148" s="177"/>
      <c r="BX148" s="267"/>
      <c r="BY148" s="267"/>
      <c r="BZ148" s="267"/>
      <c r="CA148" s="267"/>
      <c r="CB148" s="267"/>
      <c r="CC148" s="267"/>
      <c r="CD148" s="267"/>
      <c r="CE148" s="267"/>
      <c r="CF148" s="267"/>
      <c r="CG148" s="267"/>
      <c r="CH148" s="267"/>
      <c r="CI148" s="435"/>
      <c r="CJ148" s="436"/>
      <c r="CK148" s="437"/>
      <c r="CM148" s="64" t="s">
        <v>1143</v>
      </c>
      <c r="CN148" s="707">
        <v>49.5</v>
      </c>
      <c r="CS148" s="87">
        <v>130</v>
      </c>
      <c r="CT148" s="259">
        <f t="shared" ca="1" si="228"/>
        <v>50140</v>
      </c>
      <c r="CU148" s="179">
        <f t="shared" ref="CU148:DJ162" ca="1" si="250">(($AW148/(1+CU$18)^(($AZ148-$AZ$18)/30)))+($AS148/(1+CU$18)^(($AZ148-$AZ$18)/30))</f>
        <v>0</v>
      </c>
      <c r="CV148" s="179">
        <f t="shared" ca="1" si="250"/>
        <v>0</v>
      </c>
      <c r="CW148" s="179">
        <f t="shared" ca="1" si="250"/>
        <v>0</v>
      </c>
      <c r="CX148" s="179">
        <f t="shared" ca="1" si="250"/>
        <v>0</v>
      </c>
      <c r="CY148" s="179">
        <f t="shared" ca="1" si="250"/>
        <v>0</v>
      </c>
      <c r="CZ148" s="179">
        <f t="shared" ca="1" si="250"/>
        <v>0</v>
      </c>
      <c r="DA148" s="179">
        <f t="shared" ca="1" si="250"/>
        <v>0</v>
      </c>
      <c r="DB148" s="179">
        <f t="shared" ca="1" si="250"/>
        <v>0</v>
      </c>
      <c r="DC148" s="179">
        <f t="shared" ca="1" si="250"/>
        <v>0</v>
      </c>
      <c r="DD148" s="179">
        <f t="shared" ca="1" si="250"/>
        <v>0</v>
      </c>
      <c r="DE148" s="179">
        <f t="shared" ca="1" si="250"/>
        <v>0</v>
      </c>
      <c r="DF148" s="179" t="e">
        <f t="shared" ca="1" si="250"/>
        <v>#VALUE!</v>
      </c>
      <c r="DG148" s="179" t="e">
        <f t="shared" ca="1" si="250"/>
        <v>#VALUE!</v>
      </c>
      <c r="DH148" s="179" t="e">
        <f t="shared" ca="1" si="250"/>
        <v>#VALUE!</v>
      </c>
      <c r="DI148" s="179" t="e">
        <f t="shared" ca="1" si="250"/>
        <v>#VALUE!</v>
      </c>
      <c r="DJ148" s="179" t="e">
        <f t="shared" ca="1" si="205"/>
        <v>#VALUE!</v>
      </c>
      <c r="DK148" s="179" t="e">
        <f t="shared" ca="1" si="205"/>
        <v>#VALUE!</v>
      </c>
      <c r="DL148" s="179" t="e">
        <f t="shared" ca="1" si="204"/>
        <v>#VALUE!</v>
      </c>
      <c r="DM148" s="179" t="e">
        <f t="shared" ca="1" si="204"/>
        <v>#VALUE!</v>
      </c>
      <c r="DN148" s="179" t="e">
        <f t="shared" ca="1" si="204"/>
        <v>#VALUE!</v>
      </c>
      <c r="DO148" s="179" t="e">
        <f t="shared" ca="1" si="204"/>
        <v>#VALUE!</v>
      </c>
      <c r="DP148" s="179" t="e">
        <f t="shared" ca="1" si="204"/>
        <v>#VALUE!</v>
      </c>
      <c r="DQ148" s="179" t="e">
        <f t="shared" ca="1" si="204"/>
        <v>#VALUE!</v>
      </c>
      <c r="DR148" s="188">
        <v>130</v>
      </c>
      <c r="DS148" s="430">
        <f t="shared" ca="1" si="164"/>
        <v>50109</v>
      </c>
      <c r="DT148" s="180">
        <f t="shared" ca="1" si="197"/>
        <v>0</v>
      </c>
      <c r="DU148" s="180">
        <f t="shared" ca="1" si="197"/>
        <v>0</v>
      </c>
      <c r="DV148" s="180">
        <f t="shared" ca="1" si="197"/>
        <v>0</v>
      </c>
      <c r="DW148" s="180">
        <f t="shared" ref="DW148:EB164" ca="1" si="251">IFERROR(VLOOKUP($DS148,$AZ$19:$BA$162,2,FALSE),0)-IFERROR(VLOOKUP($DS148,$AR$19:$AS$162,2,FALSE),0)</f>
        <v>0</v>
      </c>
      <c r="DX148" s="180">
        <f t="shared" ca="1" si="251"/>
        <v>0</v>
      </c>
      <c r="DY148" s="180">
        <f t="shared" ca="1" si="251"/>
        <v>0</v>
      </c>
      <c r="DZ148" s="180">
        <f t="shared" ca="1" si="251"/>
        <v>0</v>
      </c>
      <c r="EA148" s="180">
        <f t="shared" ca="1" si="251"/>
        <v>0</v>
      </c>
      <c r="EB148" s="180">
        <f t="shared" ca="1" si="251"/>
        <v>0</v>
      </c>
      <c r="EC148" s="180">
        <f t="shared" ca="1" si="196"/>
        <v>0</v>
      </c>
      <c r="ED148" s="180">
        <f t="shared" ca="1" si="196"/>
        <v>0</v>
      </c>
      <c r="EE148" s="180">
        <f t="shared" ca="1" si="196"/>
        <v>0</v>
      </c>
      <c r="EF148" s="180">
        <f t="shared" ca="1" si="196"/>
        <v>0</v>
      </c>
      <c r="EG148" s="180">
        <f t="shared" ca="1" si="196"/>
        <v>0</v>
      </c>
      <c r="EH148" s="180">
        <f t="shared" ca="1" si="196"/>
        <v>0</v>
      </c>
      <c r="EI148" s="180">
        <f t="shared" ca="1" si="206"/>
        <v>0</v>
      </c>
      <c r="EJ148" s="180">
        <f t="shared" ca="1" si="206"/>
        <v>0</v>
      </c>
      <c r="EK148" s="180">
        <f t="shared" ca="1" si="206"/>
        <v>0</v>
      </c>
      <c r="EL148" s="180">
        <f t="shared" ca="1" si="206"/>
        <v>0</v>
      </c>
      <c r="EM148" s="180">
        <f t="shared" ca="1" si="206"/>
        <v>0</v>
      </c>
      <c r="EN148" s="180">
        <f t="shared" ca="1" si="206"/>
        <v>0</v>
      </c>
      <c r="EO148" s="180">
        <f t="shared" ca="1" si="206"/>
        <v>0</v>
      </c>
      <c r="EP148" s="180">
        <f t="shared" ca="1" si="206"/>
        <v>0</v>
      </c>
      <c r="EQ148" s="180"/>
      <c r="ER148" s="180"/>
    </row>
    <row r="149" spans="2:148" s="87" customFormat="1" hidden="1" x14ac:dyDescent="0.25">
      <c r="B149" s="151"/>
      <c r="C149" s="87">
        <v>88</v>
      </c>
      <c r="D149" s="258">
        <f t="shared" ca="1" si="201"/>
        <v>48832</v>
      </c>
      <c r="E149" s="175">
        <f t="shared" si="207"/>
        <v>0</v>
      </c>
      <c r="F149" s="175">
        <f t="shared" si="207"/>
        <v>0</v>
      </c>
      <c r="G149" s="175">
        <f t="shared" ca="1" si="207"/>
        <v>0.19564467553309073</v>
      </c>
      <c r="H149" s="175">
        <f t="shared" ca="1" si="207"/>
        <v>0.19564467553309073</v>
      </c>
      <c r="I149" s="175">
        <f t="shared" si="207"/>
        <v>0</v>
      </c>
      <c r="J149" s="175">
        <f t="shared" si="207"/>
        <v>0</v>
      </c>
      <c r="K149" s="175">
        <f t="shared" si="207"/>
        <v>0</v>
      </c>
      <c r="L149" s="175">
        <f t="shared" si="207"/>
        <v>0</v>
      </c>
      <c r="M149" s="175">
        <f t="shared" si="207"/>
        <v>0</v>
      </c>
      <c r="N149" s="175">
        <f t="shared" si="207"/>
        <v>0</v>
      </c>
      <c r="O149" s="175">
        <f t="shared" si="208"/>
        <v>0</v>
      </c>
      <c r="P149" s="175">
        <f t="shared" si="208"/>
        <v>0</v>
      </c>
      <c r="Q149" s="175">
        <f t="shared" si="208"/>
        <v>0</v>
      </c>
      <c r="R149" s="175">
        <f t="shared" si="208"/>
        <v>0</v>
      </c>
      <c r="S149" s="175">
        <f t="shared" si="208"/>
        <v>0</v>
      </c>
      <c r="T149" s="175">
        <f t="shared" si="208"/>
        <v>0</v>
      </c>
      <c r="U149" s="175">
        <f t="shared" si="208"/>
        <v>0</v>
      </c>
      <c r="V149" s="175"/>
      <c r="W149" s="140"/>
      <c r="X149" s="87">
        <v>131</v>
      </c>
      <c r="Y149" s="87">
        <f t="shared" si="229"/>
        <v>0</v>
      </c>
      <c r="Z149" s="87">
        <f t="shared" si="230"/>
        <v>0</v>
      </c>
      <c r="AA149" s="87">
        <f t="shared" si="231"/>
        <v>0</v>
      </c>
      <c r="AB149" s="87">
        <f t="shared" si="232"/>
        <v>0</v>
      </c>
      <c r="AC149" s="87">
        <f t="shared" si="233"/>
        <v>0</v>
      </c>
      <c r="AD149" s="87">
        <f t="shared" si="234"/>
        <v>0</v>
      </c>
      <c r="AE149" s="87">
        <f t="shared" si="235"/>
        <v>0</v>
      </c>
      <c r="AF149" s="87">
        <f t="shared" si="236"/>
        <v>0</v>
      </c>
      <c r="AG149" s="87">
        <f t="shared" si="237"/>
        <v>0</v>
      </c>
      <c r="AH149" s="87">
        <f t="shared" si="238"/>
        <v>0</v>
      </c>
      <c r="AI149" s="87">
        <f t="shared" si="239"/>
        <v>0</v>
      </c>
      <c r="AJ149" s="87">
        <f t="shared" si="240"/>
        <v>0</v>
      </c>
      <c r="AK149" s="87">
        <f t="shared" si="241"/>
        <v>0</v>
      </c>
      <c r="AL149" s="87">
        <f t="shared" si="242"/>
        <v>0</v>
      </c>
      <c r="AM149" s="87">
        <f t="shared" si="243"/>
        <v>0</v>
      </c>
      <c r="AN149" s="87">
        <f t="shared" si="244"/>
        <v>0</v>
      </c>
      <c r="AO149" s="87">
        <f t="shared" si="245"/>
        <v>0</v>
      </c>
      <c r="AP149" s="140"/>
      <c r="AQ149" s="426">
        <v>131</v>
      </c>
      <c r="AR149" s="258">
        <f t="shared" ca="1" si="160"/>
        <v>50140</v>
      </c>
      <c r="AS149" s="429">
        <f t="shared" si="209"/>
        <v>0</v>
      </c>
      <c r="AT149" s="140"/>
      <c r="AU149" s="278">
        <v>131</v>
      </c>
      <c r="AV149" s="258">
        <f t="shared" ca="1" si="161"/>
        <v>50170</v>
      </c>
      <c r="AW149" s="429">
        <f t="shared" si="246"/>
        <v>0</v>
      </c>
      <c r="AX149" s="202">
        <f t="shared" ca="1" si="247"/>
        <v>0</v>
      </c>
      <c r="AY149" s="278">
        <v>131</v>
      </c>
      <c r="AZ149" s="258">
        <f t="shared" ca="1" si="162"/>
        <v>50170</v>
      </c>
      <c r="BA149" s="429">
        <f t="shared" si="248"/>
        <v>0</v>
      </c>
      <c r="BB149" s="259">
        <f t="shared" ca="1" si="210"/>
        <v>50140</v>
      </c>
      <c r="BC149" s="428">
        <f t="shared" ca="1" si="249"/>
        <v>0</v>
      </c>
      <c r="BD149" s="188">
        <f t="shared" si="211"/>
        <v>0</v>
      </c>
      <c r="BE149" s="188">
        <f t="shared" si="212"/>
        <v>0</v>
      </c>
      <c r="BF149" s="188">
        <f t="shared" si="213"/>
        <v>0</v>
      </c>
      <c r="BG149" s="87">
        <f t="shared" si="214"/>
        <v>0</v>
      </c>
      <c r="BH149" s="87">
        <f t="shared" si="215"/>
        <v>0</v>
      </c>
      <c r="BI149" s="87">
        <f t="shared" si="216"/>
        <v>0</v>
      </c>
      <c r="BJ149" s="87">
        <f t="shared" si="217"/>
        <v>0</v>
      </c>
      <c r="BK149" s="87">
        <f t="shared" si="218"/>
        <v>0</v>
      </c>
      <c r="BL149" s="87">
        <f t="shared" si="219"/>
        <v>0</v>
      </c>
      <c r="BM149" s="87">
        <f t="shared" si="220"/>
        <v>0</v>
      </c>
      <c r="BN149" s="87">
        <f t="shared" si="221"/>
        <v>0</v>
      </c>
      <c r="BO149" s="87">
        <f t="shared" si="222"/>
        <v>0</v>
      </c>
      <c r="BP149" s="87">
        <f t="shared" si="223"/>
        <v>0</v>
      </c>
      <c r="BQ149" s="87">
        <f t="shared" si="224"/>
        <v>0</v>
      </c>
      <c r="BR149" s="87">
        <f t="shared" si="225"/>
        <v>0</v>
      </c>
      <c r="BS149" s="87">
        <f t="shared" si="226"/>
        <v>0</v>
      </c>
      <c r="BT149" s="87">
        <f t="shared" si="227"/>
        <v>0</v>
      </c>
      <c r="BV149" s="177"/>
      <c r="BW149" s="177"/>
      <c r="BX149" s="267"/>
      <c r="BY149" s="267"/>
      <c r="BZ149" s="267"/>
      <c r="CA149" s="267"/>
      <c r="CB149" s="267"/>
      <c r="CC149" s="267"/>
      <c r="CD149" s="267"/>
      <c r="CE149" s="267"/>
      <c r="CF149" s="267"/>
      <c r="CG149" s="267"/>
      <c r="CH149" s="267"/>
      <c r="CI149" s="435"/>
      <c r="CJ149" s="436"/>
      <c r="CK149" s="437"/>
      <c r="CM149" s="64" t="s">
        <v>371</v>
      </c>
      <c r="CN149" s="707">
        <v>57</v>
      </c>
      <c r="CS149" s="178">
        <v>131</v>
      </c>
      <c r="CT149" s="259">
        <f t="shared" ca="1" si="228"/>
        <v>50170</v>
      </c>
      <c r="CU149" s="179">
        <f t="shared" ca="1" si="250"/>
        <v>0</v>
      </c>
      <c r="CV149" s="179">
        <f t="shared" ca="1" si="250"/>
        <v>0</v>
      </c>
      <c r="CW149" s="179">
        <f t="shared" ca="1" si="250"/>
        <v>0</v>
      </c>
      <c r="CX149" s="179">
        <f t="shared" ca="1" si="250"/>
        <v>0</v>
      </c>
      <c r="CY149" s="179">
        <f t="shared" ca="1" si="250"/>
        <v>0</v>
      </c>
      <c r="CZ149" s="179">
        <f t="shared" ca="1" si="250"/>
        <v>0</v>
      </c>
      <c r="DA149" s="179">
        <f t="shared" ca="1" si="250"/>
        <v>0</v>
      </c>
      <c r="DB149" s="179">
        <f t="shared" ca="1" si="250"/>
        <v>0</v>
      </c>
      <c r="DC149" s="179">
        <f t="shared" ca="1" si="250"/>
        <v>0</v>
      </c>
      <c r="DD149" s="179">
        <f t="shared" ca="1" si="250"/>
        <v>0</v>
      </c>
      <c r="DE149" s="179">
        <f t="shared" ca="1" si="250"/>
        <v>0</v>
      </c>
      <c r="DF149" s="179" t="e">
        <f t="shared" ca="1" si="250"/>
        <v>#VALUE!</v>
      </c>
      <c r="DG149" s="179" t="e">
        <f t="shared" ca="1" si="250"/>
        <v>#VALUE!</v>
      </c>
      <c r="DH149" s="179" t="e">
        <f t="shared" ca="1" si="250"/>
        <v>#VALUE!</v>
      </c>
      <c r="DI149" s="179" t="e">
        <f t="shared" ca="1" si="250"/>
        <v>#VALUE!</v>
      </c>
      <c r="DJ149" s="179" t="e">
        <f t="shared" ca="1" si="205"/>
        <v>#VALUE!</v>
      </c>
      <c r="DK149" s="179" t="e">
        <f t="shared" ca="1" si="205"/>
        <v>#VALUE!</v>
      </c>
      <c r="DL149" s="179" t="e">
        <f t="shared" ca="1" si="204"/>
        <v>#VALUE!</v>
      </c>
      <c r="DM149" s="179" t="e">
        <f t="shared" ca="1" si="204"/>
        <v>#VALUE!</v>
      </c>
      <c r="DN149" s="179" t="e">
        <f t="shared" ca="1" si="204"/>
        <v>#VALUE!</v>
      </c>
      <c r="DO149" s="179" t="e">
        <f t="shared" ca="1" si="204"/>
        <v>#VALUE!</v>
      </c>
      <c r="DP149" s="179" t="e">
        <f t="shared" ca="1" si="204"/>
        <v>#VALUE!</v>
      </c>
      <c r="DQ149" s="179" t="e">
        <f t="shared" ca="1" si="204"/>
        <v>#VALUE!</v>
      </c>
      <c r="DR149" s="431">
        <v>131</v>
      </c>
      <c r="DS149" s="430">
        <f t="shared" ca="1" si="164"/>
        <v>50140</v>
      </c>
      <c r="DT149" s="180">
        <f t="shared" ref="DT149:DV164" ca="1" si="252">IFERROR(VLOOKUP($DS149,$AZ$19:$BA$162,2,FALSE),0)-IFERROR(VLOOKUP($DS149,$AR$19:$AS$162,2,FALSE),0)</f>
        <v>0</v>
      </c>
      <c r="DU149" s="180">
        <f t="shared" ca="1" si="252"/>
        <v>0</v>
      </c>
      <c r="DV149" s="180">
        <f t="shared" ca="1" si="252"/>
        <v>0</v>
      </c>
      <c r="DW149" s="180">
        <f t="shared" ca="1" si="251"/>
        <v>0</v>
      </c>
      <c r="DX149" s="180">
        <f t="shared" ca="1" si="251"/>
        <v>0</v>
      </c>
      <c r="DY149" s="180">
        <f t="shared" ca="1" si="251"/>
        <v>0</v>
      </c>
      <c r="DZ149" s="180">
        <f t="shared" ca="1" si="251"/>
        <v>0</v>
      </c>
      <c r="EA149" s="180">
        <f t="shared" ca="1" si="251"/>
        <v>0</v>
      </c>
      <c r="EB149" s="180">
        <f t="shared" ca="1" si="251"/>
        <v>0</v>
      </c>
      <c r="EC149" s="180">
        <f t="shared" ca="1" si="196"/>
        <v>0</v>
      </c>
      <c r="ED149" s="180">
        <f t="shared" ca="1" si="196"/>
        <v>0</v>
      </c>
      <c r="EE149" s="180">
        <f t="shared" ca="1" si="196"/>
        <v>0</v>
      </c>
      <c r="EF149" s="180">
        <f t="shared" ca="1" si="196"/>
        <v>0</v>
      </c>
      <c r="EG149" s="180">
        <f t="shared" ca="1" si="196"/>
        <v>0</v>
      </c>
      <c r="EH149" s="180">
        <f t="shared" ca="1" si="196"/>
        <v>0</v>
      </c>
      <c r="EI149" s="180">
        <f t="shared" ca="1" si="206"/>
        <v>0</v>
      </c>
      <c r="EJ149" s="180">
        <f t="shared" ca="1" si="206"/>
        <v>0</v>
      </c>
      <c r="EK149" s="180">
        <f t="shared" ca="1" si="206"/>
        <v>0</v>
      </c>
      <c r="EL149" s="180">
        <f t="shared" ca="1" si="206"/>
        <v>0</v>
      </c>
      <c r="EM149" s="180">
        <f t="shared" ca="1" si="206"/>
        <v>0</v>
      </c>
      <c r="EN149" s="180">
        <f t="shared" ca="1" si="206"/>
        <v>0</v>
      </c>
      <c r="EO149" s="180">
        <f t="shared" ca="1" si="206"/>
        <v>0</v>
      </c>
      <c r="EP149" s="180">
        <f t="shared" ca="1" si="206"/>
        <v>0</v>
      </c>
      <c r="EQ149" s="180"/>
      <c r="ER149" s="180"/>
    </row>
    <row r="150" spans="2:148" s="87" customFormat="1" hidden="1" x14ac:dyDescent="0.25">
      <c r="B150" s="151"/>
      <c r="C150" s="87">
        <v>89</v>
      </c>
      <c r="D150" s="258">
        <f t="shared" ca="1" si="201"/>
        <v>48862</v>
      </c>
      <c r="E150" s="175">
        <f t="shared" si="207"/>
        <v>0</v>
      </c>
      <c r="F150" s="175">
        <f t="shared" si="207"/>
        <v>0</v>
      </c>
      <c r="G150" s="175">
        <f t="shared" ca="1" si="207"/>
        <v>0.19209099217780143</v>
      </c>
      <c r="H150" s="175">
        <f t="shared" ca="1" si="207"/>
        <v>0.19209099217780143</v>
      </c>
      <c r="I150" s="175">
        <f t="shared" si="207"/>
        <v>0</v>
      </c>
      <c r="J150" s="175">
        <f t="shared" si="207"/>
        <v>0</v>
      </c>
      <c r="K150" s="175">
        <f t="shared" si="207"/>
        <v>0</v>
      </c>
      <c r="L150" s="175">
        <f t="shared" si="207"/>
        <v>0</v>
      </c>
      <c r="M150" s="175">
        <f t="shared" si="207"/>
        <v>0</v>
      </c>
      <c r="N150" s="175">
        <f t="shared" si="207"/>
        <v>0</v>
      </c>
      <c r="O150" s="175">
        <f t="shared" si="208"/>
        <v>0</v>
      </c>
      <c r="P150" s="175">
        <f t="shared" si="208"/>
        <v>0</v>
      </c>
      <c r="Q150" s="175">
        <f t="shared" si="208"/>
        <v>0</v>
      </c>
      <c r="R150" s="175">
        <f t="shared" si="208"/>
        <v>0</v>
      </c>
      <c r="S150" s="175">
        <f t="shared" si="208"/>
        <v>0</v>
      </c>
      <c r="T150" s="175">
        <f t="shared" si="208"/>
        <v>0</v>
      </c>
      <c r="U150" s="175">
        <f t="shared" si="208"/>
        <v>0</v>
      </c>
      <c r="V150" s="175"/>
      <c r="W150" s="140"/>
      <c r="X150" s="87">
        <v>132</v>
      </c>
      <c r="Y150" s="87">
        <f t="shared" si="229"/>
        <v>0</v>
      </c>
      <c r="Z150" s="87">
        <f t="shared" si="230"/>
        <v>0</v>
      </c>
      <c r="AA150" s="87">
        <f t="shared" si="231"/>
        <v>0</v>
      </c>
      <c r="AB150" s="87">
        <f t="shared" si="232"/>
        <v>0</v>
      </c>
      <c r="AC150" s="87">
        <f t="shared" si="233"/>
        <v>0</v>
      </c>
      <c r="AD150" s="87">
        <f t="shared" si="234"/>
        <v>0</v>
      </c>
      <c r="AE150" s="87">
        <f t="shared" si="235"/>
        <v>0</v>
      </c>
      <c r="AF150" s="87">
        <f t="shared" si="236"/>
        <v>0</v>
      </c>
      <c r="AG150" s="87">
        <f t="shared" si="237"/>
        <v>0</v>
      </c>
      <c r="AH150" s="87">
        <f t="shared" si="238"/>
        <v>0</v>
      </c>
      <c r="AI150" s="87">
        <f t="shared" si="239"/>
        <v>0</v>
      </c>
      <c r="AJ150" s="87">
        <f t="shared" si="240"/>
        <v>0</v>
      </c>
      <c r="AK150" s="87">
        <f t="shared" si="241"/>
        <v>0</v>
      </c>
      <c r="AL150" s="87">
        <f t="shared" si="242"/>
        <v>0</v>
      </c>
      <c r="AM150" s="87">
        <f t="shared" si="243"/>
        <v>0</v>
      </c>
      <c r="AN150" s="87">
        <f t="shared" si="244"/>
        <v>0</v>
      </c>
      <c r="AO150" s="87">
        <f t="shared" si="245"/>
        <v>0</v>
      </c>
      <c r="AP150" s="140"/>
      <c r="AQ150" s="426">
        <v>132</v>
      </c>
      <c r="AR150" s="258">
        <f t="shared" ref="AR150:AR165" ca="1" si="253">EDATE(AR149,1)</f>
        <v>50170</v>
      </c>
      <c r="AS150" s="429">
        <f t="shared" si="209"/>
        <v>0</v>
      </c>
      <c r="AT150" s="140"/>
      <c r="AU150" s="278">
        <v>132</v>
      </c>
      <c r="AV150" s="258">
        <f t="shared" ref="AV150:AV162" ca="1" si="254">EDATE(AV149,1)</f>
        <v>50201</v>
      </c>
      <c r="AW150" s="429">
        <f t="shared" si="246"/>
        <v>0</v>
      </c>
      <c r="AX150" s="202">
        <f t="shared" ca="1" si="247"/>
        <v>0</v>
      </c>
      <c r="AY150" s="278">
        <v>132</v>
      </c>
      <c r="AZ150" s="258">
        <f t="shared" ref="AZ150:AZ162" ca="1" si="255">EDATE(AZ149,1)</f>
        <v>50201</v>
      </c>
      <c r="BA150" s="429">
        <f t="shared" si="248"/>
        <v>0</v>
      </c>
      <c r="BB150" s="259">
        <f t="shared" ca="1" si="210"/>
        <v>50170</v>
      </c>
      <c r="BC150" s="428">
        <f t="shared" ca="1" si="249"/>
        <v>0</v>
      </c>
      <c r="BD150" s="188">
        <f t="shared" si="211"/>
        <v>0</v>
      </c>
      <c r="BE150" s="188">
        <f t="shared" si="212"/>
        <v>0</v>
      </c>
      <c r="BF150" s="188">
        <f t="shared" si="213"/>
        <v>0</v>
      </c>
      <c r="BG150" s="87">
        <f t="shared" si="214"/>
        <v>0</v>
      </c>
      <c r="BH150" s="87">
        <f t="shared" si="215"/>
        <v>0</v>
      </c>
      <c r="BI150" s="87">
        <f t="shared" si="216"/>
        <v>0</v>
      </c>
      <c r="BJ150" s="87">
        <f t="shared" si="217"/>
        <v>0</v>
      </c>
      <c r="BK150" s="87">
        <f t="shared" si="218"/>
        <v>0</v>
      </c>
      <c r="BL150" s="87">
        <f t="shared" si="219"/>
        <v>0</v>
      </c>
      <c r="BM150" s="87">
        <f t="shared" si="220"/>
        <v>0</v>
      </c>
      <c r="BN150" s="87">
        <f t="shared" si="221"/>
        <v>0</v>
      </c>
      <c r="BO150" s="87">
        <f t="shared" si="222"/>
        <v>0</v>
      </c>
      <c r="BP150" s="87">
        <f t="shared" si="223"/>
        <v>0</v>
      </c>
      <c r="BQ150" s="87">
        <f t="shared" si="224"/>
        <v>0</v>
      </c>
      <c r="BR150" s="87">
        <f t="shared" si="225"/>
        <v>0</v>
      </c>
      <c r="BS150" s="87">
        <f t="shared" si="226"/>
        <v>0</v>
      </c>
      <c r="BT150" s="87">
        <f t="shared" si="227"/>
        <v>0</v>
      </c>
      <c r="BV150" s="177"/>
      <c r="BW150" s="177"/>
      <c r="BX150" s="267"/>
      <c r="BY150" s="267"/>
      <c r="BZ150" s="267"/>
      <c r="CA150" s="267"/>
      <c r="CB150" s="267"/>
      <c r="CC150" s="267"/>
      <c r="CD150" s="267"/>
      <c r="CE150" s="267"/>
      <c r="CF150" s="267"/>
      <c r="CG150" s="267"/>
      <c r="CH150" s="267"/>
      <c r="CI150" s="435"/>
      <c r="CJ150" s="436"/>
      <c r="CK150" s="437"/>
      <c r="CM150" s="64" t="s">
        <v>809</v>
      </c>
      <c r="CN150" s="707">
        <v>49.625</v>
      </c>
      <c r="CS150" s="138">
        <v>132</v>
      </c>
      <c r="CT150" s="259">
        <f t="shared" ca="1" si="228"/>
        <v>50201</v>
      </c>
      <c r="CU150" s="179">
        <f t="shared" ca="1" si="250"/>
        <v>0</v>
      </c>
      <c r="CV150" s="179">
        <f t="shared" ca="1" si="250"/>
        <v>0</v>
      </c>
      <c r="CW150" s="179">
        <f t="shared" ca="1" si="250"/>
        <v>0</v>
      </c>
      <c r="CX150" s="179">
        <f t="shared" ca="1" si="250"/>
        <v>0</v>
      </c>
      <c r="CY150" s="179">
        <f t="shared" ca="1" si="250"/>
        <v>0</v>
      </c>
      <c r="CZ150" s="179">
        <f t="shared" ca="1" si="250"/>
        <v>0</v>
      </c>
      <c r="DA150" s="179">
        <f t="shared" ca="1" si="250"/>
        <v>0</v>
      </c>
      <c r="DB150" s="179">
        <f t="shared" ca="1" si="250"/>
        <v>0</v>
      </c>
      <c r="DC150" s="179">
        <f t="shared" ca="1" si="250"/>
        <v>0</v>
      </c>
      <c r="DD150" s="179">
        <f t="shared" ca="1" si="250"/>
        <v>0</v>
      </c>
      <c r="DE150" s="179">
        <f t="shared" ca="1" si="250"/>
        <v>0</v>
      </c>
      <c r="DF150" s="179" t="e">
        <f t="shared" ca="1" si="250"/>
        <v>#VALUE!</v>
      </c>
      <c r="DG150" s="179" t="e">
        <f t="shared" ca="1" si="250"/>
        <v>#VALUE!</v>
      </c>
      <c r="DH150" s="179" t="e">
        <f t="shared" ca="1" si="250"/>
        <v>#VALUE!</v>
      </c>
      <c r="DI150" s="179" t="e">
        <f t="shared" ca="1" si="250"/>
        <v>#VALUE!</v>
      </c>
      <c r="DJ150" s="179" t="e">
        <f t="shared" ca="1" si="205"/>
        <v>#VALUE!</v>
      </c>
      <c r="DK150" s="179" t="e">
        <f t="shared" ca="1" si="205"/>
        <v>#VALUE!</v>
      </c>
      <c r="DL150" s="179" t="e">
        <f t="shared" ca="1" si="204"/>
        <v>#VALUE!</v>
      </c>
      <c r="DM150" s="179" t="e">
        <f t="shared" ca="1" si="204"/>
        <v>#VALUE!</v>
      </c>
      <c r="DN150" s="179" t="e">
        <f t="shared" ca="1" si="204"/>
        <v>#VALUE!</v>
      </c>
      <c r="DO150" s="179" t="e">
        <f t="shared" ca="1" si="204"/>
        <v>#VALUE!</v>
      </c>
      <c r="DP150" s="179" t="e">
        <f t="shared" ca="1" si="204"/>
        <v>#VALUE!</v>
      </c>
      <c r="DQ150" s="179" t="e">
        <f t="shared" ca="1" si="204"/>
        <v>#VALUE!</v>
      </c>
      <c r="DR150" s="278">
        <v>132</v>
      </c>
      <c r="DS150" s="430">
        <f t="shared" ca="1" si="164"/>
        <v>50170</v>
      </c>
      <c r="DT150" s="180">
        <f t="shared" ca="1" si="252"/>
        <v>0</v>
      </c>
      <c r="DU150" s="180">
        <f t="shared" ca="1" si="252"/>
        <v>0</v>
      </c>
      <c r="DV150" s="180">
        <f t="shared" ca="1" si="252"/>
        <v>0</v>
      </c>
      <c r="DW150" s="180">
        <f t="shared" ca="1" si="251"/>
        <v>0</v>
      </c>
      <c r="DX150" s="180">
        <f t="shared" ca="1" si="251"/>
        <v>0</v>
      </c>
      <c r="DY150" s="180">
        <f t="shared" ca="1" si="251"/>
        <v>0</v>
      </c>
      <c r="DZ150" s="180">
        <f t="shared" ca="1" si="251"/>
        <v>0</v>
      </c>
      <c r="EA150" s="180">
        <f t="shared" ca="1" si="251"/>
        <v>0</v>
      </c>
      <c r="EB150" s="180">
        <f t="shared" ca="1" si="251"/>
        <v>0</v>
      </c>
      <c r="EC150" s="180">
        <f t="shared" ca="1" si="196"/>
        <v>0</v>
      </c>
      <c r="ED150" s="180">
        <f t="shared" ca="1" si="196"/>
        <v>0</v>
      </c>
      <c r="EE150" s="180">
        <f t="shared" ca="1" si="196"/>
        <v>0</v>
      </c>
      <c r="EF150" s="180">
        <f t="shared" ca="1" si="196"/>
        <v>0</v>
      </c>
      <c r="EG150" s="180">
        <f t="shared" ca="1" si="196"/>
        <v>0</v>
      </c>
      <c r="EH150" s="180">
        <f t="shared" ca="1" si="196"/>
        <v>0</v>
      </c>
      <c r="EI150" s="180">
        <f t="shared" ca="1" si="206"/>
        <v>0</v>
      </c>
      <c r="EJ150" s="180">
        <f t="shared" ca="1" si="206"/>
        <v>0</v>
      </c>
      <c r="EK150" s="180">
        <f t="shared" ca="1" si="206"/>
        <v>0</v>
      </c>
      <c r="EL150" s="180">
        <f t="shared" ca="1" si="206"/>
        <v>0</v>
      </c>
      <c r="EM150" s="180">
        <f t="shared" ca="1" si="206"/>
        <v>0</v>
      </c>
      <c r="EN150" s="180">
        <f t="shared" ca="1" si="206"/>
        <v>0</v>
      </c>
      <c r="EO150" s="180">
        <f t="shared" ca="1" si="206"/>
        <v>0</v>
      </c>
      <c r="EP150" s="180">
        <f t="shared" ca="1" si="206"/>
        <v>0</v>
      </c>
      <c r="EQ150" s="180"/>
      <c r="ER150" s="180"/>
    </row>
    <row r="151" spans="2:148" s="87" customFormat="1" hidden="1" x14ac:dyDescent="0.25">
      <c r="B151" s="151"/>
      <c r="C151" s="87">
        <v>90</v>
      </c>
      <c r="D151" s="258">
        <f t="shared" ca="1" si="201"/>
        <v>48893</v>
      </c>
      <c r="E151" s="175">
        <f t="shared" si="207"/>
        <v>0</v>
      </c>
      <c r="F151" s="175">
        <f t="shared" si="207"/>
        <v>0</v>
      </c>
      <c r="G151" s="175">
        <f t="shared" ca="1" si="207"/>
        <v>0.18848665125983213</v>
      </c>
      <c r="H151" s="175">
        <f t="shared" ca="1" si="207"/>
        <v>0.18848665125983213</v>
      </c>
      <c r="I151" s="175">
        <f t="shared" si="207"/>
        <v>0</v>
      </c>
      <c r="J151" s="175">
        <f t="shared" si="207"/>
        <v>0</v>
      </c>
      <c r="K151" s="175">
        <f t="shared" si="207"/>
        <v>0</v>
      </c>
      <c r="L151" s="175">
        <f t="shared" si="207"/>
        <v>0</v>
      </c>
      <c r="M151" s="175">
        <f t="shared" si="207"/>
        <v>0</v>
      </c>
      <c r="N151" s="175">
        <f t="shared" si="207"/>
        <v>0</v>
      </c>
      <c r="O151" s="175">
        <f t="shared" si="208"/>
        <v>0</v>
      </c>
      <c r="P151" s="175">
        <f t="shared" si="208"/>
        <v>0</v>
      </c>
      <c r="Q151" s="175">
        <f t="shared" si="208"/>
        <v>0</v>
      </c>
      <c r="R151" s="175">
        <f t="shared" si="208"/>
        <v>0</v>
      </c>
      <c r="S151" s="175">
        <f t="shared" si="208"/>
        <v>0</v>
      </c>
      <c r="T151" s="175">
        <f t="shared" si="208"/>
        <v>0</v>
      </c>
      <c r="U151" s="175">
        <f t="shared" si="208"/>
        <v>0</v>
      </c>
      <c r="V151" s="175"/>
      <c r="W151" s="140"/>
      <c r="X151" s="87">
        <v>133</v>
      </c>
      <c r="Y151" s="87">
        <f t="shared" si="229"/>
        <v>0</v>
      </c>
      <c r="Z151" s="87">
        <f t="shared" si="230"/>
        <v>0</v>
      </c>
      <c r="AA151" s="87">
        <f t="shared" si="231"/>
        <v>0</v>
      </c>
      <c r="AB151" s="87">
        <f t="shared" si="232"/>
        <v>0</v>
      </c>
      <c r="AC151" s="87">
        <f t="shared" si="233"/>
        <v>0</v>
      </c>
      <c r="AD151" s="87">
        <f t="shared" si="234"/>
        <v>0</v>
      </c>
      <c r="AE151" s="87">
        <f t="shared" si="235"/>
        <v>0</v>
      </c>
      <c r="AF151" s="87">
        <f t="shared" si="236"/>
        <v>0</v>
      </c>
      <c r="AG151" s="87">
        <f t="shared" si="237"/>
        <v>0</v>
      </c>
      <c r="AH151" s="87">
        <f t="shared" si="238"/>
        <v>0</v>
      </c>
      <c r="AI151" s="87">
        <f t="shared" si="239"/>
        <v>0</v>
      </c>
      <c r="AJ151" s="87">
        <f t="shared" si="240"/>
        <v>0</v>
      </c>
      <c r="AK151" s="87">
        <f t="shared" si="241"/>
        <v>0</v>
      </c>
      <c r="AL151" s="87">
        <f t="shared" si="242"/>
        <v>0</v>
      </c>
      <c r="AM151" s="87">
        <f t="shared" si="243"/>
        <v>0</v>
      </c>
      <c r="AN151" s="87">
        <f t="shared" si="244"/>
        <v>0</v>
      </c>
      <c r="AO151" s="87">
        <f t="shared" si="245"/>
        <v>0</v>
      </c>
      <c r="AP151" s="140"/>
      <c r="AQ151" s="426">
        <v>133</v>
      </c>
      <c r="AR151" s="258">
        <f t="shared" ca="1" si="253"/>
        <v>50201</v>
      </c>
      <c r="AS151" s="429">
        <f t="shared" si="209"/>
        <v>0</v>
      </c>
      <c r="AT151" s="140"/>
      <c r="AU151" s="278">
        <v>133</v>
      </c>
      <c r="AV151" s="258">
        <f t="shared" ca="1" si="254"/>
        <v>50231</v>
      </c>
      <c r="AW151" s="429">
        <f t="shared" si="246"/>
        <v>0</v>
      </c>
      <c r="AX151" s="202">
        <f t="shared" ca="1" si="247"/>
        <v>0</v>
      </c>
      <c r="AY151" s="278">
        <v>133</v>
      </c>
      <c r="AZ151" s="258">
        <f t="shared" ca="1" si="255"/>
        <v>50231</v>
      </c>
      <c r="BA151" s="429">
        <f t="shared" si="248"/>
        <v>0</v>
      </c>
      <c r="BB151" s="259">
        <f t="shared" ca="1" si="210"/>
        <v>50201</v>
      </c>
      <c r="BC151" s="428">
        <f t="shared" ca="1" si="249"/>
        <v>0</v>
      </c>
      <c r="BD151" s="188">
        <f t="shared" si="211"/>
        <v>0</v>
      </c>
      <c r="BE151" s="188">
        <f t="shared" si="212"/>
        <v>0</v>
      </c>
      <c r="BF151" s="188">
        <f t="shared" si="213"/>
        <v>0</v>
      </c>
      <c r="BG151" s="87">
        <f t="shared" si="214"/>
        <v>0</v>
      </c>
      <c r="BH151" s="87">
        <f t="shared" si="215"/>
        <v>0</v>
      </c>
      <c r="BI151" s="87">
        <f t="shared" si="216"/>
        <v>0</v>
      </c>
      <c r="BJ151" s="87">
        <f t="shared" si="217"/>
        <v>0</v>
      </c>
      <c r="BK151" s="87">
        <f t="shared" si="218"/>
        <v>0</v>
      </c>
      <c r="BL151" s="87">
        <f t="shared" si="219"/>
        <v>0</v>
      </c>
      <c r="BM151" s="87">
        <f t="shared" si="220"/>
        <v>0</v>
      </c>
      <c r="BN151" s="87">
        <f t="shared" si="221"/>
        <v>0</v>
      </c>
      <c r="BO151" s="87">
        <f t="shared" si="222"/>
        <v>0</v>
      </c>
      <c r="BP151" s="87">
        <f t="shared" si="223"/>
        <v>0</v>
      </c>
      <c r="BQ151" s="87">
        <f t="shared" si="224"/>
        <v>0</v>
      </c>
      <c r="BR151" s="87">
        <f t="shared" si="225"/>
        <v>0</v>
      </c>
      <c r="BS151" s="87">
        <f t="shared" si="226"/>
        <v>0</v>
      </c>
      <c r="BT151" s="87">
        <f t="shared" si="227"/>
        <v>0</v>
      </c>
      <c r="BV151" s="177"/>
      <c r="BW151" s="177"/>
      <c r="BX151" s="267"/>
      <c r="BY151" s="267"/>
      <c r="BZ151" s="267"/>
      <c r="CA151" s="267"/>
      <c r="CB151" s="267"/>
      <c r="CC151" s="267"/>
      <c r="CD151" s="267"/>
      <c r="CE151" s="267"/>
      <c r="CF151" s="267"/>
      <c r="CG151" s="267"/>
      <c r="CH151" s="267"/>
      <c r="CI151" s="435"/>
      <c r="CJ151" s="436"/>
      <c r="CK151" s="437"/>
      <c r="CM151" s="64" t="s">
        <v>3042</v>
      </c>
      <c r="CN151" s="707">
        <v>50</v>
      </c>
      <c r="CS151" s="87">
        <v>133</v>
      </c>
      <c r="CT151" s="259">
        <f t="shared" ca="1" si="228"/>
        <v>50231</v>
      </c>
      <c r="CU151" s="179">
        <f t="shared" ca="1" si="250"/>
        <v>0</v>
      </c>
      <c r="CV151" s="179">
        <f t="shared" ca="1" si="250"/>
        <v>0</v>
      </c>
      <c r="CW151" s="179">
        <f t="shared" ca="1" si="250"/>
        <v>0</v>
      </c>
      <c r="CX151" s="179">
        <f t="shared" ca="1" si="250"/>
        <v>0</v>
      </c>
      <c r="CY151" s="179">
        <f t="shared" ca="1" si="250"/>
        <v>0</v>
      </c>
      <c r="CZ151" s="179">
        <f t="shared" ca="1" si="250"/>
        <v>0</v>
      </c>
      <c r="DA151" s="179">
        <f t="shared" ca="1" si="250"/>
        <v>0</v>
      </c>
      <c r="DB151" s="179">
        <f t="shared" ca="1" si="250"/>
        <v>0</v>
      </c>
      <c r="DC151" s="179">
        <f t="shared" ca="1" si="250"/>
        <v>0</v>
      </c>
      <c r="DD151" s="179">
        <f t="shared" ca="1" si="250"/>
        <v>0</v>
      </c>
      <c r="DE151" s="179">
        <f t="shared" ca="1" si="250"/>
        <v>0</v>
      </c>
      <c r="DF151" s="179" t="e">
        <f t="shared" ca="1" si="250"/>
        <v>#VALUE!</v>
      </c>
      <c r="DG151" s="179" t="e">
        <f t="shared" ca="1" si="250"/>
        <v>#VALUE!</v>
      </c>
      <c r="DH151" s="179" t="e">
        <f t="shared" ca="1" si="250"/>
        <v>#VALUE!</v>
      </c>
      <c r="DI151" s="179" t="e">
        <f t="shared" ca="1" si="250"/>
        <v>#VALUE!</v>
      </c>
      <c r="DJ151" s="179" t="e">
        <f t="shared" ca="1" si="205"/>
        <v>#VALUE!</v>
      </c>
      <c r="DK151" s="179" t="e">
        <f t="shared" ca="1" si="205"/>
        <v>#VALUE!</v>
      </c>
      <c r="DL151" s="179" t="e">
        <f t="shared" ca="1" si="204"/>
        <v>#VALUE!</v>
      </c>
      <c r="DM151" s="179" t="e">
        <f t="shared" ca="1" si="204"/>
        <v>#VALUE!</v>
      </c>
      <c r="DN151" s="179" t="e">
        <f t="shared" ca="1" si="204"/>
        <v>#VALUE!</v>
      </c>
      <c r="DO151" s="179" t="e">
        <f t="shared" ca="1" si="204"/>
        <v>#VALUE!</v>
      </c>
      <c r="DP151" s="179" t="e">
        <f t="shared" ca="1" si="204"/>
        <v>#VALUE!</v>
      </c>
      <c r="DQ151" s="179" t="e">
        <f t="shared" ca="1" si="204"/>
        <v>#VALUE!</v>
      </c>
      <c r="DR151" s="188">
        <v>133</v>
      </c>
      <c r="DS151" s="430">
        <f t="shared" ref="DS151:DS164" ca="1" si="256">EDATE(DS$19,DR151-1)</f>
        <v>50201</v>
      </c>
      <c r="DT151" s="180">
        <f t="shared" ca="1" si="252"/>
        <v>0</v>
      </c>
      <c r="DU151" s="180">
        <f t="shared" ca="1" si="252"/>
        <v>0</v>
      </c>
      <c r="DV151" s="180">
        <f t="shared" ca="1" si="252"/>
        <v>0</v>
      </c>
      <c r="DW151" s="180">
        <f t="shared" ca="1" si="251"/>
        <v>0</v>
      </c>
      <c r="DX151" s="180">
        <f t="shared" ca="1" si="251"/>
        <v>0</v>
      </c>
      <c r="DY151" s="180">
        <f t="shared" ca="1" si="251"/>
        <v>0</v>
      </c>
      <c r="DZ151" s="180">
        <f t="shared" ca="1" si="251"/>
        <v>0</v>
      </c>
      <c r="EA151" s="180">
        <f t="shared" ca="1" si="251"/>
        <v>0</v>
      </c>
      <c r="EB151" s="180">
        <f t="shared" ca="1" si="251"/>
        <v>0</v>
      </c>
      <c r="EC151" s="180">
        <f t="shared" ca="1" si="196"/>
        <v>0</v>
      </c>
      <c r="ED151" s="180">
        <f t="shared" ca="1" si="196"/>
        <v>0</v>
      </c>
      <c r="EE151" s="180">
        <f t="shared" ca="1" si="196"/>
        <v>0</v>
      </c>
      <c r="EF151" s="180">
        <f t="shared" ca="1" si="196"/>
        <v>0</v>
      </c>
      <c r="EG151" s="180">
        <f t="shared" ca="1" si="196"/>
        <v>0</v>
      </c>
      <c r="EH151" s="180">
        <f t="shared" ca="1" si="196"/>
        <v>0</v>
      </c>
      <c r="EI151" s="180">
        <f t="shared" ca="1" si="206"/>
        <v>0</v>
      </c>
      <c r="EJ151" s="180">
        <f t="shared" ca="1" si="206"/>
        <v>0</v>
      </c>
      <c r="EK151" s="180">
        <f t="shared" ca="1" si="206"/>
        <v>0</v>
      </c>
      <c r="EL151" s="180">
        <f t="shared" ca="1" si="206"/>
        <v>0</v>
      </c>
      <c r="EM151" s="180">
        <f t="shared" ca="1" si="206"/>
        <v>0</v>
      </c>
      <c r="EN151" s="180">
        <f t="shared" ca="1" si="206"/>
        <v>0</v>
      </c>
      <c r="EO151" s="180">
        <f t="shared" ca="1" si="206"/>
        <v>0</v>
      </c>
      <c r="EP151" s="180">
        <f t="shared" ca="1" si="206"/>
        <v>0</v>
      </c>
      <c r="EQ151" s="180"/>
      <c r="ER151" s="180"/>
    </row>
    <row r="152" spans="2:148" s="87" customFormat="1" hidden="1" x14ac:dyDescent="0.25">
      <c r="B152" s="151"/>
      <c r="C152" s="87">
        <v>91</v>
      </c>
      <c r="D152" s="258">
        <f t="shared" ca="1" si="201"/>
        <v>48923</v>
      </c>
      <c r="E152" s="175">
        <f t="shared" ref="E152:N161" si="257">IF($C152&lt;=E$17,1/(($D$60+1)^(($D152-$D$61)/30)),0)</f>
        <v>0</v>
      </c>
      <c r="F152" s="175">
        <f t="shared" si="257"/>
        <v>0</v>
      </c>
      <c r="G152" s="175">
        <f t="shared" si="257"/>
        <v>0</v>
      </c>
      <c r="H152" s="175">
        <f t="shared" si="257"/>
        <v>0</v>
      </c>
      <c r="I152" s="175">
        <f t="shared" si="257"/>
        <v>0</v>
      </c>
      <c r="J152" s="175">
        <f t="shared" si="257"/>
        <v>0</v>
      </c>
      <c r="K152" s="175">
        <f t="shared" si="257"/>
        <v>0</v>
      </c>
      <c r="L152" s="175">
        <f t="shared" si="257"/>
        <v>0</v>
      </c>
      <c r="M152" s="175">
        <f t="shared" si="257"/>
        <v>0</v>
      </c>
      <c r="N152" s="175">
        <f t="shared" si="257"/>
        <v>0</v>
      </c>
      <c r="O152" s="175">
        <f t="shared" ref="O152:U161" si="258">IF($C152&lt;=O$17,1/(($D$60+1)^(($D152-$D$61)/30)),0)</f>
        <v>0</v>
      </c>
      <c r="P152" s="175">
        <f t="shared" si="258"/>
        <v>0</v>
      </c>
      <c r="Q152" s="175">
        <f t="shared" si="258"/>
        <v>0</v>
      </c>
      <c r="R152" s="175">
        <f t="shared" si="258"/>
        <v>0</v>
      </c>
      <c r="S152" s="175">
        <f t="shared" si="258"/>
        <v>0</v>
      </c>
      <c r="T152" s="175">
        <f t="shared" si="258"/>
        <v>0</v>
      </c>
      <c r="U152" s="175">
        <f t="shared" si="258"/>
        <v>0</v>
      </c>
      <c r="V152" s="175"/>
      <c r="W152" s="140"/>
      <c r="X152" s="87">
        <v>134</v>
      </c>
      <c r="Y152" s="87">
        <f t="shared" si="229"/>
        <v>0</v>
      </c>
      <c r="Z152" s="87">
        <f t="shared" si="230"/>
        <v>0</v>
      </c>
      <c r="AA152" s="87">
        <f t="shared" si="231"/>
        <v>0</v>
      </c>
      <c r="AB152" s="87">
        <f t="shared" si="232"/>
        <v>0</v>
      </c>
      <c r="AC152" s="87">
        <f t="shared" si="233"/>
        <v>0</v>
      </c>
      <c r="AD152" s="87">
        <f t="shared" si="234"/>
        <v>0</v>
      </c>
      <c r="AE152" s="87">
        <f t="shared" si="235"/>
        <v>0</v>
      </c>
      <c r="AF152" s="87">
        <f t="shared" si="236"/>
        <v>0</v>
      </c>
      <c r="AG152" s="87">
        <f t="shared" si="237"/>
        <v>0</v>
      </c>
      <c r="AH152" s="87">
        <f t="shared" si="238"/>
        <v>0</v>
      </c>
      <c r="AI152" s="87">
        <f t="shared" si="239"/>
        <v>0</v>
      </c>
      <c r="AJ152" s="87">
        <f t="shared" si="240"/>
        <v>0</v>
      </c>
      <c r="AK152" s="87">
        <f t="shared" si="241"/>
        <v>0</v>
      </c>
      <c r="AL152" s="87">
        <f t="shared" si="242"/>
        <v>0</v>
      </c>
      <c r="AM152" s="87">
        <f t="shared" si="243"/>
        <v>0</v>
      </c>
      <c r="AN152" s="87">
        <f t="shared" si="244"/>
        <v>0</v>
      </c>
      <c r="AO152" s="87">
        <f t="shared" si="245"/>
        <v>0</v>
      </c>
      <c r="AP152" s="140"/>
      <c r="AQ152" s="426">
        <v>134</v>
      </c>
      <c r="AR152" s="258">
        <f t="shared" ca="1" si="253"/>
        <v>50231</v>
      </c>
      <c r="AS152" s="429">
        <f t="shared" si="209"/>
        <v>0</v>
      </c>
      <c r="AT152" s="140"/>
      <c r="AU152" s="278">
        <v>134</v>
      </c>
      <c r="AV152" s="258">
        <f t="shared" ca="1" si="254"/>
        <v>50262</v>
      </c>
      <c r="AW152" s="429">
        <f t="shared" si="246"/>
        <v>0</v>
      </c>
      <c r="AX152" s="202">
        <f t="shared" ca="1" si="247"/>
        <v>0</v>
      </c>
      <c r="AY152" s="278">
        <v>134</v>
      </c>
      <c r="AZ152" s="258">
        <f t="shared" ca="1" si="255"/>
        <v>50262</v>
      </c>
      <c r="BA152" s="429">
        <f t="shared" si="248"/>
        <v>0</v>
      </c>
      <c r="BB152" s="259">
        <f t="shared" ca="1" si="210"/>
        <v>50231</v>
      </c>
      <c r="BC152" s="428">
        <f t="shared" ca="1" si="249"/>
        <v>0</v>
      </c>
      <c r="BD152" s="188">
        <f t="shared" si="211"/>
        <v>0</v>
      </c>
      <c r="BE152" s="188">
        <f t="shared" si="212"/>
        <v>0</v>
      </c>
      <c r="BF152" s="188">
        <f t="shared" si="213"/>
        <v>0</v>
      </c>
      <c r="BG152" s="87">
        <f t="shared" si="214"/>
        <v>0</v>
      </c>
      <c r="BH152" s="87">
        <f t="shared" si="215"/>
        <v>0</v>
      </c>
      <c r="BI152" s="87">
        <f t="shared" si="216"/>
        <v>0</v>
      </c>
      <c r="BJ152" s="87">
        <f t="shared" si="217"/>
        <v>0</v>
      </c>
      <c r="BK152" s="87">
        <f t="shared" si="218"/>
        <v>0</v>
      </c>
      <c r="BL152" s="87">
        <f t="shared" si="219"/>
        <v>0</v>
      </c>
      <c r="BM152" s="87">
        <f t="shared" si="220"/>
        <v>0</v>
      </c>
      <c r="BN152" s="87">
        <f t="shared" si="221"/>
        <v>0</v>
      </c>
      <c r="BO152" s="87">
        <f t="shared" si="222"/>
        <v>0</v>
      </c>
      <c r="BP152" s="87">
        <f t="shared" si="223"/>
        <v>0</v>
      </c>
      <c r="BQ152" s="87">
        <f t="shared" si="224"/>
        <v>0</v>
      </c>
      <c r="BR152" s="87">
        <f t="shared" si="225"/>
        <v>0</v>
      </c>
      <c r="BS152" s="87">
        <f t="shared" si="226"/>
        <v>0</v>
      </c>
      <c r="BT152" s="87">
        <f t="shared" si="227"/>
        <v>0</v>
      </c>
      <c r="BV152" s="177"/>
      <c r="BW152" s="177"/>
      <c r="BX152" s="267"/>
      <c r="BY152" s="267"/>
      <c r="BZ152" s="267"/>
      <c r="CA152" s="267"/>
      <c r="CB152" s="267"/>
      <c r="CC152" s="267"/>
      <c r="CD152" s="267"/>
      <c r="CE152" s="267"/>
      <c r="CF152" s="267"/>
      <c r="CG152" s="267"/>
      <c r="CH152" s="267"/>
      <c r="CI152" s="435"/>
      <c r="CJ152" s="436"/>
      <c r="CK152" s="437"/>
      <c r="CM152" s="64" t="s">
        <v>3043</v>
      </c>
      <c r="CN152" s="707">
        <v>50.333333333333336</v>
      </c>
      <c r="CS152" s="178">
        <v>134</v>
      </c>
      <c r="CT152" s="259">
        <f t="shared" ca="1" si="228"/>
        <v>50262</v>
      </c>
      <c r="CU152" s="179">
        <f t="shared" ca="1" si="250"/>
        <v>0</v>
      </c>
      <c r="CV152" s="179">
        <f t="shared" ca="1" si="250"/>
        <v>0</v>
      </c>
      <c r="CW152" s="179">
        <f t="shared" ca="1" si="250"/>
        <v>0</v>
      </c>
      <c r="CX152" s="179">
        <f t="shared" ca="1" si="250"/>
        <v>0</v>
      </c>
      <c r="CY152" s="179">
        <f t="shared" ca="1" si="250"/>
        <v>0</v>
      </c>
      <c r="CZ152" s="179">
        <f t="shared" ca="1" si="250"/>
        <v>0</v>
      </c>
      <c r="DA152" s="179">
        <f t="shared" ca="1" si="250"/>
        <v>0</v>
      </c>
      <c r="DB152" s="179">
        <f t="shared" ca="1" si="250"/>
        <v>0</v>
      </c>
      <c r="DC152" s="179">
        <f t="shared" ca="1" si="250"/>
        <v>0</v>
      </c>
      <c r="DD152" s="179">
        <f t="shared" ca="1" si="250"/>
        <v>0</v>
      </c>
      <c r="DE152" s="179">
        <f t="shared" ca="1" si="250"/>
        <v>0</v>
      </c>
      <c r="DF152" s="179" t="e">
        <f t="shared" ca="1" si="250"/>
        <v>#VALUE!</v>
      </c>
      <c r="DG152" s="179" t="e">
        <f t="shared" ca="1" si="250"/>
        <v>#VALUE!</v>
      </c>
      <c r="DH152" s="179" t="e">
        <f t="shared" ca="1" si="250"/>
        <v>#VALUE!</v>
      </c>
      <c r="DI152" s="179" t="e">
        <f t="shared" ca="1" si="250"/>
        <v>#VALUE!</v>
      </c>
      <c r="DJ152" s="179" t="e">
        <f t="shared" ca="1" si="205"/>
        <v>#VALUE!</v>
      </c>
      <c r="DK152" s="179" t="e">
        <f t="shared" ca="1" si="205"/>
        <v>#VALUE!</v>
      </c>
      <c r="DL152" s="179" t="e">
        <f t="shared" ca="1" si="204"/>
        <v>#VALUE!</v>
      </c>
      <c r="DM152" s="179" t="e">
        <f t="shared" ca="1" si="204"/>
        <v>#VALUE!</v>
      </c>
      <c r="DN152" s="179" t="e">
        <f t="shared" ca="1" si="204"/>
        <v>#VALUE!</v>
      </c>
      <c r="DO152" s="179" t="e">
        <f t="shared" ca="1" si="204"/>
        <v>#VALUE!</v>
      </c>
      <c r="DP152" s="179" t="e">
        <f t="shared" ca="1" si="204"/>
        <v>#VALUE!</v>
      </c>
      <c r="DQ152" s="179" t="e">
        <f t="shared" ca="1" si="204"/>
        <v>#VALUE!</v>
      </c>
      <c r="DR152" s="431">
        <v>134</v>
      </c>
      <c r="DS152" s="430">
        <f t="shared" ca="1" si="256"/>
        <v>50231</v>
      </c>
      <c r="DT152" s="180">
        <f t="shared" ca="1" si="252"/>
        <v>0</v>
      </c>
      <c r="DU152" s="180">
        <f t="shared" ca="1" si="252"/>
        <v>0</v>
      </c>
      <c r="DV152" s="180">
        <f t="shared" ca="1" si="252"/>
        <v>0</v>
      </c>
      <c r="DW152" s="180">
        <f t="shared" ca="1" si="251"/>
        <v>0</v>
      </c>
      <c r="DX152" s="180">
        <f t="shared" ca="1" si="251"/>
        <v>0</v>
      </c>
      <c r="DY152" s="180">
        <f t="shared" ca="1" si="251"/>
        <v>0</v>
      </c>
      <c r="DZ152" s="180">
        <f t="shared" ca="1" si="251"/>
        <v>0</v>
      </c>
      <c r="EA152" s="180">
        <f t="shared" ca="1" si="251"/>
        <v>0</v>
      </c>
      <c r="EB152" s="180">
        <f t="shared" ca="1" si="251"/>
        <v>0</v>
      </c>
      <c r="EC152" s="180">
        <f t="shared" ca="1" si="196"/>
        <v>0</v>
      </c>
      <c r="ED152" s="180">
        <f t="shared" ca="1" si="196"/>
        <v>0</v>
      </c>
      <c r="EE152" s="180">
        <f t="shared" ca="1" si="196"/>
        <v>0</v>
      </c>
      <c r="EF152" s="180">
        <f t="shared" ca="1" si="196"/>
        <v>0</v>
      </c>
      <c r="EG152" s="180">
        <f t="shared" ca="1" si="196"/>
        <v>0</v>
      </c>
      <c r="EH152" s="180">
        <f t="shared" ca="1" si="196"/>
        <v>0</v>
      </c>
      <c r="EI152" s="180">
        <f t="shared" ca="1" si="206"/>
        <v>0</v>
      </c>
      <c r="EJ152" s="180">
        <f t="shared" ca="1" si="206"/>
        <v>0</v>
      </c>
      <c r="EK152" s="180">
        <f t="shared" ca="1" si="206"/>
        <v>0</v>
      </c>
      <c r="EL152" s="180">
        <f t="shared" ca="1" si="206"/>
        <v>0</v>
      </c>
      <c r="EM152" s="180">
        <f t="shared" ca="1" si="206"/>
        <v>0</v>
      </c>
      <c r="EN152" s="180">
        <f t="shared" ca="1" si="206"/>
        <v>0</v>
      </c>
      <c r="EO152" s="180">
        <f t="shared" ca="1" si="206"/>
        <v>0</v>
      </c>
      <c r="EP152" s="180">
        <f t="shared" ca="1" si="206"/>
        <v>0</v>
      </c>
      <c r="EQ152" s="180"/>
      <c r="ER152" s="180"/>
    </row>
    <row r="153" spans="2:148" s="87" customFormat="1" hidden="1" x14ac:dyDescent="0.25">
      <c r="B153" s="151"/>
      <c r="C153" s="87">
        <v>92</v>
      </c>
      <c r="D153" s="258">
        <f t="shared" ca="1" si="201"/>
        <v>48954</v>
      </c>
      <c r="E153" s="175">
        <f t="shared" si="257"/>
        <v>0</v>
      </c>
      <c r="F153" s="175">
        <f t="shared" si="257"/>
        <v>0</v>
      </c>
      <c r="G153" s="175">
        <f t="shared" si="257"/>
        <v>0</v>
      </c>
      <c r="H153" s="175">
        <f t="shared" si="257"/>
        <v>0</v>
      </c>
      <c r="I153" s="175">
        <f t="shared" si="257"/>
        <v>0</v>
      </c>
      <c r="J153" s="175">
        <f t="shared" si="257"/>
        <v>0</v>
      </c>
      <c r="K153" s="175">
        <f t="shared" si="257"/>
        <v>0</v>
      </c>
      <c r="L153" s="175">
        <f t="shared" si="257"/>
        <v>0</v>
      </c>
      <c r="M153" s="175">
        <f t="shared" si="257"/>
        <v>0</v>
      </c>
      <c r="N153" s="175">
        <f t="shared" si="257"/>
        <v>0</v>
      </c>
      <c r="O153" s="175">
        <f t="shared" si="258"/>
        <v>0</v>
      </c>
      <c r="P153" s="175">
        <f t="shared" si="258"/>
        <v>0</v>
      </c>
      <c r="Q153" s="175">
        <f t="shared" si="258"/>
        <v>0</v>
      </c>
      <c r="R153" s="175">
        <f t="shared" si="258"/>
        <v>0</v>
      </c>
      <c r="S153" s="175">
        <f t="shared" si="258"/>
        <v>0</v>
      </c>
      <c r="T153" s="175">
        <f t="shared" si="258"/>
        <v>0</v>
      </c>
      <c r="U153" s="175">
        <f t="shared" si="258"/>
        <v>0</v>
      </c>
      <c r="V153" s="175"/>
      <c r="W153" s="140"/>
      <c r="X153" s="87">
        <v>135</v>
      </c>
      <c r="Y153" s="87">
        <f t="shared" si="229"/>
        <v>0</v>
      </c>
      <c r="Z153" s="87">
        <f t="shared" si="230"/>
        <v>0</v>
      </c>
      <c r="AA153" s="87">
        <f t="shared" si="231"/>
        <v>0</v>
      </c>
      <c r="AB153" s="87">
        <f t="shared" si="232"/>
        <v>0</v>
      </c>
      <c r="AC153" s="87">
        <f t="shared" si="233"/>
        <v>0</v>
      </c>
      <c r="AD153" s="87">
        <f t="shared" si="234"/>
        <v>0</v>
      </c>
      <c r="AE153" s="87">
        <f t="shared" si="235"/>
        <v>0</v>
      </c>
      <c r="AF153" s="87">
        <f t="shared" si="236"/>
        <v>0</v>
      </c>
      <c r="AG153" s="87">
        <f t="shared" si="237"/>
        <v>0</v>
      </c>
      <c r="AH153" s="87">
        <f t="shared" si="238"/>
        <v>0</v>
      </c>
      <c r="AI153" s="87">
        <f t="shared" si="239"/>
        <v>0</v>
      </c>
      <c r="AJ153" s="87">
        <f t="shared" si="240"/>
        <v>0</v>
      </c>
      <c r="AK153" s="87">
        <f t="shared" si="241"/>
        <v>0</v>
      </c>
      <c r="AL153" s="87">
        <f t="shared" si="242"/>
        <v>0</v>
      </c>
      <c r="AM153" s="87">
        <f t="shared" si="243"/>
        <v>0</v>
      </c>
      <c r="AN153" s="87">
        <f t="shared" si="244"/>
        <v>0</v>
      </c>
      <c r="AO153" s="87">
        <f t="shared" si="245"/>
        <v>0</v>
      </c>
      <c r="AP153" s="140"/>
      <c r="AQ153" s="426">
        <v>135</v>
      </c>
      <c r="AR153" s="258">
        <f t="shared" ca="1" si="253"/>
        <v>50262</v>
      </c>
      <c r="AS153" s="429">
        <f t="shared" si="209"/>
        <v>0</v>
      </c>
      <c r="AT153" s="140"/>
      <c r="AU153" s="278">
        <v>135</v>
      </c>
      <c r="AV153" s="258">
        <f t="shared" ca="1" si="254"/>
        <v>50293</v>
      </c>
      <c r="AW153" s="429">
        <f t="shared" si="246"/>
        <v>0</v>
      </c>
      <c r="AX153" s="202">
        <f t="shared" ca="1" si="247"/>
        <v>0</v>
      </c>
      <c r="AY153" s="278">
        <v>135</v>
      </c>
      <c r="AZ153" s="258">
        <f t="shared" ca="1" si="255"/>
        <v>50293</v>
      </c>
      <c r="BA153" s="429">
        <f t="shared" si="248"/>
        <v>0</v>
      </c>
      <c r="BB153" s="259">
        <f t="shared" ca="1" si="210"/>
        <v>50262</v>
      </c>
      <c r="BC153" s="428">
        <f t="shared" ca="1" si="249"/>
        <v>0</v>
      </c>
      <c r="BD153" s="188">
        <f t="shared" si="211"/>
        <v>0</v>
      </c>
      <c r="BE153" s="188">
        <f t="shared" si="212"/>
        <v>0</v>
      </c>
      <c r="BF153" s="188">
        <f t="shared" si="213"/>
        <v>0</v>
      </c>
      <c r="BG153" s="87">
        <f t="shared" si="214"/>
        <v>0</v>
      </c>
      <c r="BH153" s="87">
        <f t="shared" si="215"/>
        <v>0</v>
      </c>
      <c r="BI153" s="87">
        <f t="shared" si="216"/>
        <v>0</v>
      </c>
      <c r="BJ153" s="87">
        <f t="shared" si="217"/>
        <v>0</v>
      </c>
      <c r="BK153" s="87">
        <f t="shared" si="218"/>
        <v>0</v>
      </c>
      <c r="BL153" s="87">
        <f t="shared" si="219"/>
        <v>0</v>
      </c>
      <c r="BM153" s="87">
        <f t="shared" si="220"/>
        <v>0</v>
      </c>
      <c r="BN153" s="87">
        <f t="shared" si="221"/>
        <v>0</v>
      </c>
      <c r="BO153" s="87">
        <f t="shared" si="222"/>
        <v>0</v>
      </c>
      <c r="BP153" s="87">
        <f t="shared" si="223"/>
        <v>0</v>
      </c>
      <c r="BQ153" s="87">
        <f t="shared" si="224"/>
        <v>0</v>
      </c>
      <c r="BR153" s="87">
        <f t="shared" si="225"/>
        <v>0</v>
      </c>
      <c r="BS153" s="87">
        <f t="shared" si="226"/>
        <v>0</v>
      </c>
      <c r="BT153" s="87">
        <f t="shared" si="227"/>
        <v>0</v>
      </c>
      <c r="BV153" s="177"/>
      <c r="BW153" s="177"/>
      <c r="BX153" s="267"/>
      <c r="BY153" s="267"/>
      <c r="BZ153" s="267"/>
      <c r="CA153" s="267"/>
      <c r="CB153" s="267"/>
      <c r="CC153" s="267"/>
      <c r="CD153" s="267"/>
      <c r="CE153" s="267"/>
      <c r="CF153" s="267"/>
      <c r="CG153" s="267"/>
      <c r="CH153" s="267"/>
      <c r="CI153" s="435"/>
      <c r="CJ153" s="436"/>
      <c r="CK153" s="437"/>
      <c r="CM153" s="64" t="s">
        <v>723</v>
      </c>
      <c r="CN153" s="707">
        <v>51.333333333333336</v>
      </c>
      <c r="CS153" s="138">
        <v>135</v>
      </c>
      <c r="CT153" s="259">
        <f t="shared" ca="1" si="228"/>
        <v>50293</v>
      </c>
      <c r="CU153" s="179">
        <f t="shared" ca="1" si="250"/>
        <v>0</v>
      </c>
      <c r="CV153" s="179">
        <f t="shared" ca="1" si="250"/>
        <v>0</v>
      </c>
      <c r="CW153" s="179">
        <f t="shared" ca="1" si="250"/>
        <v>0</v>
      </c>
      <c r="CX153" s="179">
        <f t="shared" ca="1" si="250"/>
        <v>0</v>
      </c>
      <c r="CY153" s="179">
        <f t="shared" ca="1" si="250"/>
        <v>0</v>
      </c>
      <c r="CZ153" s="179">
        <f t="shared" ca="1" si="250"/>
        <v>0</v>
      </c>
      <c r="DA153" s="179">
        <f t="shared" ca="1" si="250"/>
        <v>0</v>
      </c>
      <c r="DB153" s="179">
        <f t="shared" ca="1" si="250"/>
        <v>0</v>
      </c>
      <c r="DC153" s="179">
        <f t="shared" ca="1" si="250"/>
        <v>0</v>
      </c>
      <c r="DD153" s="179">
        <f t="shared" ca="1" si="250"/>
        <v>0</v>
      </c>
      <c r="DE153" s="179">
        <f t="shared" ca="1" si="250"/>
        <v>0</v>
      </c>
      <c r="DF153" s="179" t="e">
        <f t="shared" ca="1" si="250"/>
        <v>#VALUE!</v>
      </c>
      <c r="DG153" s="179" t="e">
        <f t="shared" ca="1" si="250"/>
        <v>#VALUE!</v>
      </c>
      <c r="DH153" s="179" t="e">
        <f t="shared" ca="1" si="250"/>
        <v>#VALUE!</v>
      </c>
      <c r="DI153" s="179" t="e">
        <f t="shared" ca="1" si="250"/>
        <v>#VALUE!</v>
      </c>
      <c r="DJ153" s="179" t="e">
        <f t="shared" ca="1" si="250"/>
        <v>#VALUE!</v>
      </c>
      <c r="DK153" s="179" t="e">
        <f t="shared" ref="DJ153:DK162" ca="1" si="259">(($AW153/(1+DK$18)^(($AZ153-$AZ$18)/30)))+($AS153/(1+DK$18)^(($AZ153-$AZ$18)/30))</f>
        <v>#VALUE!</v>
      </c>
      <c r="DL153" s="179" t="e">
        <f t="shared" ca="1" si="204"/>
        <v>#VALUE!</v>
      </c>
      <c r="DM153" s="179" t="e">
        <f t="shared" ca="1" si="204"/>
        <v>#VALUE!</v>
      </c>
      <c r="DN153" s="179" t="e">
        <f t="shared" ca="1" si="204"/>
        <v>#VALUE!</v>
      </c>
      <c r="DO153" s="179" t="e">
        <f t="shared" ca="1" si="204"/>
        <v>#VALUE!</v>
      </c>
      <c r="DP153" s="179" t="e">
        <f t="shared" ca="1" si="204"/>
        <v>#VALUE!</v>
      </c>
      <c r="DQ153" s="179" t="e">
        <f t="shared" ca="1" si="204"/>
        <v>#VALUE!</v>
      </c>
      <c r="DR153" s="278">
        <v>135</v>
      </c>
      <c r="DS153" s="430">
        <f t="shared" ca="1" si="256"/>
        <v>50262</v>
      </c>
      <c r="DT153" s="180">
        <f t="shared" ca="1" si="252"/>
        <v>0</v>
      </c>
      <c r="DU153" s="180">
        <f t="shared" ca="1" si="252"/>
        <v>0</v>
      </c>
      <c r="DV153" s="180">
        <f t="shared" ca="1" si="252"/>
        <v>0</v>
      </c>
      <c r="DW153" s="180">
        <f t="shared" ca="1" si="251"/>
        <v>0</v>
      </c>
      <c r="DX153" s="180">
        <f t="shared" ca="1" si="251"/>
        <v>0</v>
      </c>
      <c r="DY153" s="180">
        <f t="shared" ca="1" si="251"/>
        <v>0</v>
      </c>
      <c r="DZ153" s="180">
        <f t="shared" ca="1" si="251"/>
        <v>0</v>
      </c>
      <c r="EA153" s="180">
        <f t="shared" ca="1" si="251"/>
        <v>0</v>
      </c>
      <c r="EB153" s="180">
        <f t="shared" ca="1" si="251"/>
        <v>0</v>
      </c>
      <c r="EC153" s="180">
        <f t="shared" ca="1" si="196"/>
        <v>0</v>
      </c>
      <c r="ED153" s="180">
        <f t="shared" ca="1" si="196"/>
        <v>0</v>
      </c>
      <c r="EE153" s="180">
        <f t="shared" ca="1" si="196"/>
        <v>0</v>
      </c>
      <c r="EF153" s="180">
        <f t="shared" ca="1" si="196"/>
        <v>0</v>
      </c>
      <c r="EG153" s="180">
        <f t="shared" ca="1" si="196"/>
        <v>0</v>
      </c>
      <c r="EH153" s="180">
        <f t="shared" ca="1" si="196"/>
        <v>0</v>
      </c>
      <c r="EI153" s="180">
        <f t="shared" ca="1" si="206"/>
        <v>0</v>
      </c>
      <c r="EJ153" s="180">
        <f t="shared" ca="1" si="206"/>
        <v>0</v>
      </c>
      <c r="EK153" s="180">
        <f t="shared" ca="1" si="206"/>
        <v>0</v>
      </c>
      <c r="EL153" s="180">
        <f t="shared" ca="1" si="206"/>
        <v>0</v>
      </c>
      <c r="EM153" s="180">
        <f t="shared" ca="1" si="206"/>
        <v>0</v>
      </c>
      <c r="EN153" s="180">
        <f t="shared" ca="1" si="206"/>
        <v>0</v>
      </c>
      <c r="EO153" s="180">
        <f t="shared" ca="1" si="206"/>
        <v>0</v>
      </c>
      <c r="EP153" s="180">
        <f t="shared" ca="1" si="206"/>
        <v>0</v>
      </c>
      <c r="EQ153" s="180"/>
      <c r="ER153" s="180"/>
    </row>
    <row r="154" spans="2:148" s="87" customFormat="1" hidden="1" x14ac:dyDescent="0.25">
      <c r="B154" s="151"/>
      <c r="C154" s="87">
        <v>93</v>
      </c>
      <c r="D154" s="258">
        <f t="shared" ca="1" si="201"/>
        <v>48985</v>
      </c>
      <c r="E154" s="175">
        <f t="shared" si="257"/>
        <v>0</v>
      </c>
      <c r="F154" s="175">
        <f t="shared" si="257"/>
        <v>0</v>
      </c>
      <c r="G154" s="175">
        <f t="shared" si="257"/>
        <v>0</v>
      </c>
      <c r="H154" s="175">
        <f t="shared" si="257"/>
        <v>0</v>
      </c>
      <c r="I154" s="175">
        <f t="shared" si="257"/>
        <v>0</v>
      </c>
      <c r="J154" s="175">
        <f t="shared" si="257"/>
        <v>0</v>
      </c>
      <c r="K154" s="175">
        <f t="shared" si="257"/>
        <v>0</v>
      </c>
      <c r="L154" s="175">
        <f t="shared" si="257"/>
        <v>0</v>
      </c>
      <c r="M154" s="175">
        <f t="shared" si="257"/>
        <v>0</v>
      </c>
      <c r="N154" s="175">
        <f t="shared" si="257"/>
        <v>0</v>
      </c>
      <c r="O154" s="175">
        <f t="shared" si="258"/>
        <v>0</v>
      </c>
      <c r="P154" s="175">
        <f t="shared" si="258"/>
        <v>0</v>
      </c>
      <c r="Q154" s="175">
        <f t="shared" si="258"/>
        <v>0</v>
      </c>
      <c r="R154" s="175">
        <f t="shared" si="258"/>
        <v>0</v>
      </c>
      <c r="S154" s="175">
        <f t="shared" si="258"/>
        <v>0</v>
      </c>
      <c r="T154" s="175">
        <f t="shared" si="258"/>
        <v>0</v>
      </c>
      <c r="U154" s="175">
        <f t="shared" si="258"/>
        <v>0</v>
      </c>
      <c r="V154" s="175"/>
      <c r="W154" s="140"/>
      <c r="X154" s="87">
        <v>136</v>
      </c>
      <c r="Y154" s="87">
        <f t="shared" si="229"/>
        <v>0</v>
      </c>
      <c r="Z154" s="87">
        <f t="shared" si="230"/>
        <v>0</v>
      </c>
      <c r="AA154" s="87">
        <f t="shared" si="231"/>
        <v>0</v>
      </c>
      <c r="AB154" s="87">
        <f t="shared" si="232"/>
        <v>0</v>
      </c>
      <c r="AC154" s="87">
        <f t="shared" si="233"/>
        <v>0</v>
      </c>
      <c r="AD154" s="87">
        <f t="shared" si="234"/>
        <v>0</v>
      </c>
      <c r="AE154" s="87">
        <f t="shared" si="235"/>
        <v>0</v>
      </c>
      <c r="AF154" s="87">
        <f t="shared" si="236"/>
        <v>0</v>
      </c>
      <c r="AG154" s="87">
        <f t="shared" si="237"/>
        <v>0</v>
      </c>
      <c r="AH154" s="87">
        <f t="shared" si="238"/>
        <v>0</v>
      </c>
      <c r="AI154" s="87">
        <f t="shared" si="239"/>
        <v>0</v>
      </c>
      <c r="AJ154" s="87">
        <f t="shared" si="240"/>
        <v>0</v>
      </c>
      <c r="AK154" s="87">
        <f t="shared" si="241"/>
        <v>0</v>
      </c>
      <c r="AL154" s="87">
        <f t="shared" si="242"/>
        <v>0</v>
      </c>
      <c r="AM154" s="87">
        <f t="shared" si="243"/>
        <v>0</v>
      </c>
      <c r="AN154" s="87">
        <f t="shared" si="244"/>
        <v>0</v>
      </c>
      <c r="AO154" s="87">
        <f t="shared" si="245"/>
        <v>0</v>
      </c>
      <c r="AP154" s="140"/>
      <c r="AQ154" s="426">
        <v>136</v>
      </c>
      <c r="AR154" s="258">
        <f t="shared" ca="1" si="253"/>
        <v>50293</v>
      </c>
      <c r="AS154" s="429">
        <f t="shared" si="209"/>
        <v>0</v>
      </c>
      <c r="AT154" s="140"/>
      <c r="AU154" s="278">
        <v>136</v>
      </c>
      <c r="AV154" s="258">
        <f t="shared" ca="1" si="254"/>
        <v>50323</v>
      </c>
      <c r="AW154" s="429">
        <f t="shared" si="246"/>
        <v>0</v>
      </c>
      <c r="AX154" s="202">
        <f t="shared" ca="1" si="247"/>
        <v>0</v>
      </c>
      <c r="AY154" s="278">
        <v>136</v>
      </c>
      <c r="AZ154" s="258">
        <f t="shared" ca="1" si="255"/>
        <v>50323</v>
      </c>
      <c r="BA154" s="429">
        <f t="shared" si="248"/>
        <v>0</v>
      </c>
      <c r="BB154" s="259">
        <f t="shared" ca="1" si="210"/>
        <v>50293</v>
      </c>
      <c r="BC154" s="428">
        <f t="shared" ca="1" si="249"/>
        <v>0</v>
      </c>
      <c r="BD154" s="188">
        <f t="shared" si="211"/>
        <v>0</v>
      </c>
      <c r="BE154" s="188">
        <f t="shared" si="212"/>
        <v>0</v>
      </c>
      <c r="BF154" s="188">
        <f t="shared" si="213"/>
        <v>0</v>
      </c>
      <c r="BG154" s="87">
        <f t="shared" si="214"/>
        <v>0</v>
      </c>
      <c r="BH154" s="87">
        <f t="shared" si="215"/>
        <v>0</v>
      </c>
      <c r="BI154" s="87">
        <f t="shared" si="216"/>
        <v>0</v>
      </c>
      <c r="BJ154" s="87">
        <f t="shared" si="217"/>
        <v>0</v>
      </c>
      <c r="BK154" s="87">
        <f t="shared" si="218"/>
        <v>0</v>
      </c>
      <c r="BL154" s="87">
        <f t="shared" si="219"/>
        <v>0</v>
      </c>
      <c r="BM154" s="87">
        <f t="shared" si="220"/>
        <v>0</v>
      </c>
      <c r="BN154" s="87">
        <f t="shared" si="221"/>
        <v>0</v>
      </c>
      <c r="BO154" s="87">
        <f t="shared" si="222"/>
        <v>0</v>
      </c>
      <c r="BP154" s="87">
        <f t="shared" si="223"/>
        <v>0</v>
      </c>
      <c r="BQ154" s="87">
        <f t="shared" si="224"/>
        <v>0</v>
      </c>
      <c r="BR154" s="87">
        <f t="shared" si="225"/>
        <v>0</v>
      </c>
      <c r="BS154" s="87">
        <f t="shared" si="226"/>
        <v>0</v>
      </c>
      <c r="BT154" s="87">
        <f t="shared" si="227"/>
        <v>0</v>
      </c>
      <c r="BV154" s="177"/>
      <c r="BW154" s="177"/>
      <c r="BX154" s="267"/>
      <c r="BY154" s="267"/>
      <c r="BZ154" s="267"/>
      <c r="CA154" s="267"/>
      <c r="CB154" s="267"/>
      <c r="CC154" s="267"/>
      <c r="CD154" s="267"/>
      <c r="CE154" s="267"/>
      <c r="CF154" s="267"/>
      <c r="CG154" s="267"/>
      <c r="CH154" s="267"/>
      <c r="CI154" s="435"/>
      <c r="CJ154" s="436"/>
      <c r="CK154" s="437"/>
      <c r="CM154" s="64" t="s">
        <v>3044</v>
      </c>
      <c r="CN154" s="707">
        <v>25</v>
      </c>
      <c r="CS154" s="87">
        <v>136</v>
      </c>
      <c r="CT154" s="259">
        <f t="shared" ca="1" si="228"/>
        <v>50323</v>
      </c>
      <c r="CU154" s="179">
        <f t="shared" ca="1" si="250"/>
        <v>0</v>
      </c>
      <c r="CV154" s="179">
        <f t="shared" ca="1" si="250"/>
        <v>0</v>
      </c>
      <c r="CW154" s="179">
        <f t="shared" ca="1" si="250"/>
        <v>0</v>
      </c>
      <c r="CX154" s="179">
        <f t="shared" ca="1" si="250"/>
        <v>0</v>
      </c>
      <c r="CY154" s="179">
        <f t="shared" ca="1" si="250"/>
        <v>0</v>
      </c>
      <c r="CZ154" s="179">
        <f t="shared" ca="1" si="250"/>
        <v>0</v>
      </c>
      <c r="DA154" s="179">
        <f t="shared" ca="1" si="250"/>
        <v>0</v>
      </c>
      <c r="DB154" s="179">
        <f t="shared" ca="1" si="250"/>
        <v>0</v>
      </c>
      <c r="DC154" s="179">
        <f t="shared" ca="1" si="250"/>
        <v>0</v>
      </c>
      <c r="DD154" s="179">
        <f t="shared" ca="1" si="250"/>
        <v>0</v>
      </c>
      <c r="DE154" s="179">
        <f t="shared" ca="1" si="250"/>
        <v>0</v>
      </c>
      <c r="DF154" s="179" t="e">
        <f t="shared" ca="1" si="250"/>
        <v>#VALUE!</v>
      </c>
      <c r="DG154" s="179" t="e">
        <f t="shared" ca="1" si="250"/>
        <v>#VALUE!</v>
      </c>
      <c r="DH154" s="179" t="e">
        <f t="shared" ca="1" si="250"/>
        <v>#VALUE!</v>
      </c>
      <c r="DI154" s="179" t="e">
        <f t="shared" ca="1" si="250"/>
        <v>#VALUE!</v>
      </c>
      <c r="DJ154" s="179" t="e">
        <f t="shared" ca="1" si="259"/>
        <v>#VALUE!</v>
      </c>
      <c r="DK154" s="179" t="e">
        <f t="shared" ca="1" si="259"/>
        <v>#VALUE!</v>
      </c>
      <c r="DL154" s="179" t="e">
        <f t="shared" ca="1" si="204"/>
        <v>#VALUE!</v>
      </c>
      <c r="DM154" s="179" t="e">
        <f t="shared" ca="1" si="204"/>
        <v>#VALUE!</v>
      </c>
      <c r="DN154" s="179" t="e">
        <f t="shared" ca="1" si="204"/>
        <v>#VALUE!</v>
      </c>
      <c r="DO154" s="179" t="e">
        <f t="shared" ca="1" si="204"/>
        <v>#VALUE!</v>
      </c>
      <c r="DP154" s="179" t="e">
        <f t="shared" ca="1" si="204"/>
        <v>#VALUE!</v>
      </c>
      <c r="DQ154" s="179" t="e">
        <f t="shared" ca="1" si="204"/>
        <v>#VALUE!</v>
      </c>
      <c r="DR154" s="188">
        <v>136</v>
      </c>
      <c r="DS154" s="430">
        <f t="shared" ca="1" si="256"/>
        <v>50293</v>
      </c>
      <c r="DT154" s="180">
        <f t="shared" ca="1" si="252"/>
        <v>0</v>
      </c>
      <c r="DU154" s="180">
        <f t="shared" ca="1" si="252"/>
        <v>0</v>
      </c>
      <c r="DV154" s="180">
        <f t="shared" ca="1" si="252"/>
        <v>0</v>
      </c>
      <c r="DW154" s="180">
        <f t="shared" ca="1" si="251"/>
        <v>0</v>
      </c>
      <c r="DX154" s="180">
        <f t="shared" ca="1" si="251"/>
        <v>0</v>
      </c>
      <c r="DY154" s="180">
        <f t="shared" ca="1" si="251"/>
        <v>0</v>
      </c>
      <c r="DZ154" s="180">
        <f t="shared" ca="1" si="251"/>
        <v>0</v>
      </c>
      <c r="EA154" s="180">
        <f t="shared" ca="1" si="251"/>
        <v>0</v>
      </c>
      <c r="EB154" s="180">
        <f t="shared" ca="1" si="251"/>
        <v>0</v>
      </c>
      <c r="EC154" s="180">
        <f t="shared" ca="1" si="196"/>
        <v>0</v>
      </c>
      <c r="ED154" s="180">
        <f t="shared" ca="1" si="196"/>
        <v>0</v>
      </c>
      <c r="EE154" s="180">
        <f t="shared" ca="1" si="196"/>
        <v>0</v>
      </c>
      <c r="EF154" s="180">
        <f t="shared" ca="1" si="196"/>
        <v>0</v>
      </c>
      <c r="EG154" s="180">
        <f t="shared" ca="1" si="196"/>
        <v>0</v>
      </c>
      <c r="EH154" s="180">
        <f t="shared" ca="1" si="196"/>
        <v>0</v>
      </c>
      <c r="EI154" s="180">
        <f t="shared" ca="1" si="206"/>
        <v>0</v>
      </c>
      <c r="EJ154" s="180">
        <f t="shared" ca="1" si="206"/>
        <v>0</v>
      </c>
      <c r="EK154" s="180">
        <f t="shared" ca="1" si="206"/>
        <v>0</v>
      </c>
      <c r="EL154" s="180">
        <f t="shared" ca="1" si="206"/>
        <v>0</v>
      </c>
      <c r="EM154" s="180">
        <f t="shared" ca="1" si="206"/>
        <v>0</v>
      </c>
      <c r="EN154" s="180">
        <f t="shared" ca="1" si="206"/>
        <v>0</v>
      </c>
      <c r="EO154" s="180">
        <f t="shared" ca="1" si="206"/>
        <v>0</v>
      </c>
      <c r="EP154" s="180">
        <f t="shared" ca="1" si="206"/>
        <v>0</v>
      </c>
      <c r="EQ154" s="180"/>
      <c r="ER154" s="180"/>
    </row>
    <row r="155" spans="2:148" s="87" customFormat="1" hidden="1" x14ac:dyDescent="0.25">
      <c r="B155" s="151"/>
      <c r="C155" s="87">
        <v>94</v>
      </c>
      <c r="D155" s="258">
        <f t="shared" ca="1" si="201"/>
        <v>49013</v>
      </c>
      <c r="E155" s="175">
        <f t="shared" si="257"/>
        <v>0</v>
      </c>
      <c r="F155" s="175">
        <f t="shared" si="257"/>
        <v>0</v>
      </c>
      <c r="G155" s="175">
        <f t="shared" si="257"/>
        <v>0</v>
      </c>
      <c r="H155" s="175">
        <f t="shared" si="257"/>
        <v>0</v>
      </c>
      <c r="I155" s="175">
        <f t="shared" si="257"/>
        <v>0</v>
      </c>
      <c r="J155" s="175">
        <f t="shared" si="257"/>
        <v>0</v>
      </c>
      <c r="K155" s="175">
        <f t="shared" si="257"/>
        <v>0</v>
      </c>
      <c r="L155" s="175">
        <f t="shared" si="257"/>
        <v>0</v>
      </c>
      <c r="M155" s="175">
        <f t="shared" si="257"/>
        <v>0</v>
      </c>
      <c r="N155" s="175">
        <f t="shared" si="257"/>
        <v>0</v>
      </c>
      <c r="O155" s="175">
        <f t="shared" si="258"/>
        <v>0</v>
      </c>
      <c r="P155" s="175">
        <f t="shared" si="258"/>
        <v>0</v>
      </c>
      <c r="Q155" s="175">
        <f t="shared" si="258"/>
        <v>0</v>
      </c>
      <c r="R155" s="175">
        <f t="shared" si="258"/>
        <v>0</v>
      </c>
      <c r="S155" s="175">
        <f t="shared" si="258"/>
        <v>0</v>
      </c>
      <c r="T155" s="175">
        <f t="shared" si="258"/>
        <v>0</v>
      </c>
      <c r="U155" s="175">
        <f t="shared" si="258"/>
        <v>0</v>
      </c>
      <c r="V155" s="175"/>
      <c r="W155" s="140"/>
      <c r="X155" s="87">
        <v>137</v>
      </c>
      <c r="Y155" s="87">
        <f t="shared" si="229"/>
        <v>0</v>
      </c>
      <c r="Z155" s="87">
        <f t="shared" si="230"/>
        <v>0</v>
      </c>
      <c r="AA155" s="87">
        <f t="shared" si="231"/>
        <v>0</v>
      </c>
      <c r="AB155" s="87">
        <f t="shared" si="232"/>
        <v>0</v>
      </c>
      <c r="AC155" s="87">
        <f t="shared" si="233"/>
        <v>0</v>
      </c>
      <c r="AD155" s="87">
        <f t="shared" si="234"/>
        <v>0</v>
      </c>
      <c r="AE155" s="87">
        <f t="shared" si="235"/>
        <v>0</v>
      </c>
      <c r="AF155" s="87">
        <f t="shared" si="236"/>
        <v>0</v>
      </c>
      <c r="AG155" s="87">
        <f t="shared" si="237"/>
        <v>0</v>
      </c>
      <c r="AH155" s="87">
        <f t="shared" si="238"/>
        <v>0</v>
      </c>
      <c r="AI155" s="87">
        <f t="shared" si="239"/>
        <v>0</v>
      </c>
      <c r="AJ155" s="87">
        <f t="shared" si="240"/>
        <v>0</v>
      </c>
      <c r="AK155" s="87">
        <f t="shared" si="241"/>
        <v>0</v>
      </c>
      <c r="AL155" s="87">
        <f t="shared" si="242"/>
        <v>0</v>
      </c>
      <c r="AM155" s="87">
        <f t="shared" si="243"/>
        <v>0</v>
      </c>
      <c r="AN155" s="87">
        <f t="shared" si="244"/>
        <v>0</v>
      </c>
      <c r="AO155" s="87">
        <f t="shared" si="245"/>
        <v>0</v>
      </c>
      <c r="AP155" s="140"/>
      <c r="AQ155" s="426">
        <v>137</v>
      </c>
      <c r="AR155" s="258">
        <f t="shared" ca="1" si="253"/>
        <v>50323</v>
      </c>
      <c r="AS155" s="429">
        <f t="shared" si="209"/>
        <v>0</v>
      </c>
      <c r="AT155" s="140"/>
      <c r="AU155" s="278">
        <v>137</v>
      </c>
      <c r="AV155" s="258">
        <f t="shared" ca="1" si="254"/>
        <v>50354</v>
      </c>
      <c r="AW155" s="429">
        <f t="shared" si="246"/>
        <v>0</v>
      </c>
      <c r="AX155" s="202">
        <f t="shared" ca="1" si="247"/>
        <v>0</v>
      </c>
      <c r="AY155" s="278">
        <v>137</v>
      </c>
      <c r="AZ155" s="258">
        <f t="shared" ca="1" si="255"/>
        <v>50354</v>
      </c>
      <c r="BA155" s="429">
        <f t="shared" si="248"/>
        <v>0</v>
      </c>
      <c r="BB155" s="259">
        <f t="shared" ca="1" si="210"/>
        <v>50323</v>
      </c>
      <c r="BC155" s="428">
        <f t="shared" ca="1" si="249"/>
        <v>0</v>
      </c>
      <c r="BD155" s="188">
        <f t="shared" si="211"/>
        <v>0</v>
      </c>
      <c r="BE155" s="188">
        <f t="shared" si="212"/>
        <v>0</v>
      </c>
      <c r="BF155" s="188">
        <f t="shared" si="213"/>
        <v>0</v>
      </c>
      <c r="BG155" s="87">
        <f t="shared" si="214"/>
        <v>0</v>
      </c>
      <c r="BH155" s="87">
        <f t="shared" si="215"/>
        <v>0</v>
      </c>
      <c r="BI155" s="87">
        <f t="shared" si="216"/>
        <v>0</v>
      </c>
      <c r="BJ155" s="87">
        <f t="shared" si="217"/>
        <v>0</v>
      </c>
      <c r="BK155" s="87">
        <f t="shared" si="218"/>
        <v>0</v>
      </c>
      <c r="BL155" s="87">
        <f t="shared" si="219"/>
        <v>0</v>
      </c>
      <c r="BM155" s="87">
        <f t="shared" si="220"/>
        <v>0</v>
      </c>
      <c r="BN155" s="87">
        <f t="shared" si="221"/>
        <v>0</v>
      </c>
      <c r="BO155" s="87">
        <f t="shared" si="222"/>
        <v>0</v>
      </c>
      <c r="BP155" s="87">
        <f t="shared" si="223"/>
        <v>0</v>
      </c>
      <c r="BQ155" s="87">
        <f t="shared" si="224"/>
        <v>0</v>
      </c>
      <c r="BR155" s="87">
        <f t="shared" si="225"/>
        <v>0</v>
      </c>
      <c r="BS155" s="87">
        <f t="shared" si="226"/>
        <v>0</v>
      </c>
      <c r="BT155" s="87">
        <f t="shared" si="227"/>
        <v>0</v>
      </c>
      <c r="BV155" s="177"/>
      <c r="BW155" s="177"/>
      <c r="BX155" s="267"/>
      <c r="BY155" s="267"/>
      <c r="BZ155" s="267"/>
      <c r="CA155" s="267"/>
      <c r="CB155" s="267"/>
      <c r="CC155" s="267"/>
      <c r="CD155" s="267"/>
      <c r="CE155" s="267"/>
      <c r="CF155" s="267"/>
      <c r="CG155" s="267"/>
      <c r="CH155" s="267"/>
      <c r="CI155" s="435"/>
      <c r="CJ155" s="436"/>
      <c r="CK155" s="437"/>
      <c r="CM155" s="64" t="s">
        <v>2422</v>
      </c>
      <c r="CN155" s="707"/>
      <c r="CS155" s="178">
        <v>137</v>
      </c>
      <c r="CT155" s="259">
        <f t="shared" ca="1" si="228"/>
        <v>50354</v>
      </c>
      <c r="CU155" s="179">
        <f t="shared" ca="1" si="250"/>
        <v>0</v>
      </c>
      <c r="CV155" s="179">
        <f t="shared" ca="1" si="250"/>
        <v>0</v>
      </c>
      <c r="CW155" s="179">
        <f t="shared" ca="1" si="250"/>
        <v>0</v>
      </c>
      <c r="CX155" s="179">
        <f t="shared" ca="1" si="250"/>
        <v>0</v>
      </c>
      <c r="CY155" s="179">
        <f t="shared" ca="1" si="250"/>
        <v>0</v>
      </c>
      <c r="CZ155" s="179">
        <f t="shared" ca="1" si="250"/>
        <v>0</v>
      </c>
      <c r="DA155" s="179">
        <f t="shared" ca="1" si="250"/>
        <v>0</v>
      </c>
      <c r="DB155" s="179">
        <f t="shared" ca="1" si="250"/>
        <v>0</v>
      </c>
      <c r="DC155" s="179">
        <f t="shared" ca="1" si="250"/>
        <v>0</v>
      </c>
      <c r="DD155" s="179">
        <f t="shared" ca="1" si="250"/>
        <v>0</v>
      </c>
      <c r="DE155" s="179">
        <f t="shared" ca="1" si="250"/>
        <v>0</v>
      </c>
      <c r="DF155" s="179" t="e">
        <f t="shared" ca="1" si="250"/>
        <v>#VALUE!</v>
      </c>
      <c r="DG155" s="179" t="e">
        <f t="shared" ca="1" si="250"/>
        <v>#VALUE!</v>
      </c>
      <c r="DH155" s="179" t="e">
        <f t="shared" ca="1" si="250"/>
        <v>#VALUE!</v>
      </c>
      <c r="DI155" s="179" t="e">
        <f t="shared" ca="1" si="250"/>
        <v>#VALUE!</v>
      </c>
      <c r="DJ155" s="179" t="e">
        <f t="shared" ca="1" si="259"/>
        <v>#VALUE!</v>
      </c>
      <c r="DK155" s="179" t="e">
        <f t="shared" ca="1" si="259"/>
        <v>#VALUE!</v>
      </c>
      <c r="DL155" s="179" t="e">
        <f t="shared" ca="1" si="204"/>
        <v>#VALUE!</v>
      </c>
      <c r="DM155" s="179" t="e">
        <f t="shared" ca="1" si="204"/>
        <v>#VALUE!</v>
      </c>
      <c r="DN155" s="179" t="e">
        <f t="shared" ca="1" si="204"/>
        <v>#VALUE!</v>
      </c>
      <c r="DO155" s="179" t="e">
        <f t="shared" ca="1" si="204"/>
        <v>#VALUE!</v>
      </c>
      <c r="DP155" s="179" t="e">
        <f t="shared" ca="1" si="204"/>
        <v>#VALUE!</v>
      </c>
      <c r="DQ155" s="179" t="e">
        <f t="shared" ca="1" si="204"/>
        <v>#VALUE!</v>
      </c>
      <c r="DR155" s="431">
        <v>137</v>
      </c>
      <c r="DS155" s="430">
        <f t="shared" ca="1" si="256"/>
        <v>50323</v>
      </c>
      <c r="DT155" s="180">
        <f t="shared" ca="1" si="252"/>
        <v>0</v>
      </c>
      <c r="DU155" s="180">
        <f t="shared" ca="1" si="252"/>
        <v>0</v>
      </c>
      <c r="DV155" s="180">
        <f t="shared" ca="1" si="252"/>
        <v>0</v>
      </c>
      <c r="DW155" s="180">
        <f t="shared" ca="1" si="251"/>
        <v>0</v>
      </c>
      <c r="DX155" s="180">
        <f t="shared" ca="1" si="251"/>
        <v>0</v>
      </c>
      <c r="DY155" s="180">
        <f t="shared" ca="1" si="251"/>
        <v>0</v>
      </c>
      <c r="DZ155" s="180">
        <f t="shared" ca="1" si="251"/>
        <v>0</v>
      </c>
      <c r="EA155" s="180">
        <f t="shared" ca="1" si="251"/>
        <v>0</v>
      </c>
      <c r="EB155" s="180">
        <f t="shared" ca="1" si="251"/>
        <v>0</v>
      </c>
      <c r="EC155" s="180">
        <f t="shared" ca="1" si="196"/>
        <v>0</v>
      </c>
      <c r="ED155" s="180">
        <f t="shared" ca="1" si="196"/>
        <v>0</v>
      </c>
      <c r="EE155" s="180">
        <f t="shared" ca="1" si="196"/>
        <v>0</v>
      </c>
      <c r="EF155" s="180">
        <f t="shared" ca="1" si="196"/>
        <v>0</v>
      </c>
      <c r="EG155" s="180">
        <f t="shared" ca="1" si="196"/>
        <v>0</v>
      </c>
      <c r="EH155" s="180">
        <f t="shared" ca="1" si="196"/>
        <v>0</v>
      </c>
      <c r="EI155" s="180">
        <f t="shared" ca="1" si="206"/>
        <v>0</v>
      </c>
      <c r="EJ155" s="180">
        <f t="shared" ca="1" si="206"/>
        <v>0</v>
      </c>
      <c r="EK155" s="180">
        <f t="shared" ca="1" si="206"/>
        <v>0</v>
      </c>
      <c r="EL155" s="180">
        <f t="shared" ca="1" si="206"/>
        <v>0</v>
      </c>
      <c r="EM155" s="180">
        <f t="shared" ca="1" si="206"/>
        <v>0</v>
      </c>
      <c r="EN155" s="180">
        <f t="shared" ca="1" si="206"/>
        <v>0</v>
      </c>
      <c r="EO155" s="180">
        <f t="shared" ca="1" si="206"/>
        <v>0</v>
      </c>
      <c r="EP155" s="180">
        <f t="shared" ca="1" si="206"/>
        <v>0</v>
      </c>
      <c r="EQ155" s="180"/>
      <c r="ER155" s="180"/>
    </row>
    <row r="156" spans="2:148" s="87" customFormat="1" hidden="1" x14ac:dyDescent="0.25">
      <c r="B156" s="151"/>
      <c r="C156" s="87">
        <v>95</v>
      </c>
      <c r="D156" s="258">
        <f t="shared" ca="1" si="201"/>
        <v>49044</v>
      </c>
      <c r="E156" s="175">
        <f t="shared" si="257"/>
        <v>0</v>
      </c>
      <c r="F156" s="175">
        <f t="shared" si="257"/>
        <v>0</v>
      </c>
      <c r="G156" s="175">
        <f t="shared" si="257"/>
        <v>0</v>
      </c>
      <c r="H156" s="175">
        <f t="shared" si="257"/>
        <v>0</v>
      </c>
      <c r="I156" s="175">
        <f t="shared" si="257"/>
        <v>0</v>
      </c>
      <c r="J156" s="175">
        <f t="shared" si="257"/>
        <v>0</v>
      </c>
      <c r="K156" s="175">
        <f t="shared" si="257"/>
        <v>0</v>
      </c>
      <c r="L156" s="175">
        <f t="shared" si="257"/>
        <v>0</v>
      </c>
      <c r="M156" s="175">
        <f t="shared" si="257"/>
        <v>0</v>
      </c>
      <c r="N156" s="175">
        <f t="shared" si="257"/>
        <v>0</v>
      </c>
      <c r="O156" s="175">
        <f t="shared" si="258"/>
        <v>0</v>
      </c>
      <c r="P156" s="175">
        <f t="shared" si="258"/>
        <v>0</v>
      </c>
      <c r="Q156" s="175">
        <f t="shared" si="258"/>
        <v>0</v>
      </c>
      <c r="R156" s="175">
        <f t="shared" si="258"/>
        <v>0</v>
      </c>
      <c r="S156" s="175">
        <f t="shared" si="258"/>
        <v>0</v>
      </c>
      <c r="T156" s="175">
        <f t="shared" si="258"/>
        <v>0</v>
      </c>
      <c r="U156" s="175">
        <f t="shared" si="258"/>
        <v>0</v>
      </c>
      <c r="V156" s="175"/>
      <c r="W156" s="140"/>
      <c r="X156" s="87">
        <v>138</v>
      </c>
      <c r="Y156" s="87">
        <f t="shared" si="229"/>
        <v>0</v>
      </c>
      <c r="Z156" s="87">
        <f t="shared" si="230"/>
        <v>0</v>
      </c>
      <c r="AA156" s="87">
        <f t="shared" si="231"/>
        <v>0</v>
      </c>
      <c r="AB156" s="87">
        <f t="shared" si="232"/>
        <v>0</v>
      </c>
      <c r="AC156" s="87">
        <f t="shared" si="233"/>
        <v>0</v>
      </c>
      <c r="AD156" s="87">
        <f t="shared" si="234"/>
        <v>0</v>
      </c>
      <c r="AE156" s="87">
        <f t="shared" si="235"/>
        <v>0</v>
      </c>
      <c r="AF156" s="87">
        <f t="shared" si="236"/>
        <v>0</v>
      </c>
      <c r="AG156" s="87">
        <f t="shared" si="237"/>
        <v>0</v>
      </c>
      <c r="AH156" s="87">
        <f t="shared" si="238"/>
        <v>0</v>
      </c>
      <c r="AI156" s="87">
        <f t="shared" si="239"/>
        <v>0</v>
      </c>
      <c r="AJ156" s="87">
        <f t="shared" si="240"/>
        <v>0</v>
      </c>
      <c r="AK156" s="87">
        <f t="shared" si="241"/>
        <v>0</v>
      </c>
      <c r="AL156" s="87">
        <f t="shared" si="242"/>
        <v>0</v>
      </c>
      <c r="AM156" s="87">
        <f t="shared" si="243"/>
        <v>0</v>
      </c>
      <c r="AN156" s="87">
        <f t="shared" si="244"/>
        <v>0</v>
      </c>
      <c r="AO156" s="87">
        <f t="shared" si="245"/>
        <v>0</v>
      </c>
      <c r="AP156" s="140"/>
      <c r="AQ156" s="426">
        <v>138</v>
      </c>
      <c r="AR156" s="258">
        <f t="shared" ca="1" si="253"/>
        <v>50354</v>
      </c>
      <c r="AS156" s="429">
        <f t="shared" si="209"/>
        <v>0</v>
      </c>
      <c r="AT156" s="140"/>
      <c r="AU156" s="278">
        <v>138</v>
      </c>
      <c r="AV156" s="258">
        <f t="shared" ca="1" si="254"/>
        <v>50384</v>
      </c>
      <c r="AW156" s="429">
        <f t="shared" si="246"/>
        <v>0</v>
      </c>
      <c r="AX156" s="202">
        <f t="shared" ca="1" si="247"/>
        <v>0</v>
      </c>
      <c r="AY156" s="278">
        <v>138</v>
      </c>
      <c r="AZ156" s="258">
        <f t="shared" ca="1" si="255"/>
        <v>50384</v>
      </c>
      <c r="BA156" s="429">
        <f t="shared" si="248"/>
        <v>0</v>
      </c>
      <c r="BB156" s="259">
        <f t="shared" ca="1" si="210"/>
        <v>50354</v>
      </c>
      <c r="BC156" s="428">
        <f t="shared" ca="1" si="249"/>
        <v>0</v>
      </c>
      <c r="BD156" s="188">
        <f t="shared" si="211"/>
        <v>0</v>
      </c>
      <c r="BE156" s="188">
        <f t="shared" si="212"/>
        <v>0</v>
      </c>
      <c r="BF156" s="188">
        <f t="shared" si="213"/>
        <v>0</v>
      </c>
      <c r="BG156" s="87">
        <f t="shared" si="214"/>
        <v>0</v>
      </c>
      <c r="BH156" s="87">
        <f t="shared" si="215"/>
        <v>0</v>
      </c>
      <c r="BI156" s="87">
        <f t="shared" si="216"/>
        <v>0</v>
      </c>
      <c r="BJ156" s="87">
        <f t="shared" si="217"/>
        <v>0</v>
      </c>
      <c r="BK156" s="87">
        <f t="shared" si="218"/>
        <v>0</v>
      </c>
      <c r="BL156" s="87">
        <f t="shared" si="219"/>
        <v>0</v>
      </c>
      <c r="BM156" s="87">
        <f t="shared" si="220"/>
        <v>0</v>
      </c>
      <c r="BN156" s="87">
        <f t="shared" si="221"/>
        <v>0</v>
      </c>
      <c r="BO156" s="87">
        <f t="shared" si="222"/>
        <v>0</v>
      </c>
      <c r="BP156" s="87">
        <f t="shared" si="223"/>
        <v>0</v>
      </c>
      <c r="BQ156" s="87">
        <f t="shared" si="224"/>
        <v>0</v>
      </c>
      <c r="BR156" s="87">
        <f t="shared" si="225"/>
        <v>0</v>
      </c>
      <c r="BS156" s="87">
        <f t="shared" si="226"/>
        <v>0</v>
      </c>
      <c r="BT156" s="87">
        <f t="shared" si="227"/>
        <v>0</v>
      </c>
      <c r="BV156" s="177"/>
      <c r="BW156" s="177"/>
      <c r="BX156" s="267"/>
      <c r="BY156" s="267"/>
      <c r="BZ156" s="267"/>
      <c r="CA156" s="267"/>
      <c r="CB156" s="267"/>
      <c r="CC156" s="267"/>
      <c r="CD156" s="267"/>
      <c r="CE156" s="267"/>
      <c r="CF156" s="267"/>
      <c r="CG156" s="267"/>
      <c r="CH156" s="267"/>
      <c r="CI156" s="435"/>
      <c r="CJ156" s="436"/>
      <c r="CK156" s="437"/>
      <c r="CM156" s="64" t="s">
        <v>470</v>
      </c>
      <c r="CN156" s="707">
        <v>60</v>
      </c>
      <c r="CS156" s="138">
        <v>138</v>
      </c>
      <c r="CT156" s="259">
        <f t="shared" ca="1" si="228"/>
        <v>50384</v>
      </c>
      <c r="CU156" s="179">
        <f t="shared" ca="1" si="250"/>
        <v>0</v>
      </c>
      <c r="CV156" s="179">
        <f t="shared" ca="1" si="250"/>
        <v>0</v>
      </c>
      <c r="CW156" s="179">
        <f t="shared" ca="1" si="250"/>
        <v>0</v>
      </c>
      <c r="CX156" s="179">
        <f t="shared" ca="1" si="250"/>
        <v>0</v>
      </c>
      <c r="CY156" s="179">
        <f t="shared" ca="1" si="250"/>
        <v>0</v>
      </c>
      <c r="CZ156" s="179">
        <f t="shared" ca="1" si="250"/>
        <v>0</v>
      </c>
      <c r="DA156" s="179">
        <f t="shared" ca="1" si="250"/>
        <v>0</v>
      </c>
      <c r="DB156" s="179">
        <f t="shared" ca="1" si="250"/>
        <v>0</v>
      </c>
      <c r="DC156" s="179">
        <f t="shared" ca="1" si="250"/>
        <v>0</v>
      </c>
      <c r="DD156" s="179">
        <f t="shared" ca="1" si="250"/>
        <v>0</v>
      </c>
      <c r="DE156" s="179">
        <f t="shared" ca="1" si="250"/>
        <v>0</v>
      </c>
      <c r="DF156" s="179" t="e">
        <f t="shared" ca="1" si="250"/>
        <v>#VALUE!</v>
      </c>
      <c r="DG156" s="179" t="e">
        <f t="shared" ca="1" si="250"/>
        <v>#VALUE!</v>
      </c>
      <c r="DH156" s="179" t="e">
        <f t="shared" ca="1" si="250"/>
        <v>#VALUE!</v>
      </c>
      <c r="DI156" s="179" t="e">
        <f t="shared" ca="1" si="250"/>
        <v>#VALUE!</v>
      </c>
      <c r="DJ156" s="179" t="e">
        <f t="shared" ca="1" si="259"/>
        <v>#VALUE!</v>
      </c>
      <c r="DK156" s="179" t="e">
        <f t="shared" ca="1" si="259"/>
        <v>#VALUE!</v>
      </c>
      <c r="DL156" s="179" t="e">
        <f t="shared" ca="1" si="204"/>
        <v>#VALUE!</v>
      </c>
      <c r="DM156" s="179" t="e">
        <f t="shared" ca="1" si="204"/>
        <v>#VALUE!</v>
      </c>
      <c r="DN156" s="179" t="e">
        <f t="shared" ca="1" si="204"/>
        <v>#VALUE!</v>
      </c>
      <c r="DO156" s="179" t="e">
        <f t="shared" ca="1" si="204"/>
        <v>#VALUE!</v>
      </c>
      <c r="DP156" s="179" t="e">
        <f t="shared" ca="1" si="204"/>
        <v>#VALUE!</v>
      </c>
      <c r="DQ156" s="179" t="e">
        <f t="shared" ca="1" si="204"/>
        <v>#VALUE!</v>
      </c>
      <c r="DR156" s="278">
        <v>138</v>
      </c>
      <c r="DS156" s="430">
        <f t="shared" ca="1" si="256"/>
        <v>50354</v>
      </c>
      <c r="DT156" s="180">
        <f t="shared" ca="1" si="252"/>
        <v>0</v>
      </c>
      <c r="DU156" s="180">
        <f t="shared" ca="1" si="252"/>
        <v>0</v>
      </c>
      <c r="DV156" s="180">
        <f t="shared" ca="1" si="252"/>
        <v>0</v>
      </c>
      <c r="DW156" s="180">
        <f t="shared" ca="1" si="251"/>
        <v>0</v>
      </c>
      <c r="DX156" s="180">
        <f t="shared" ca="1" si="251"/>
        <v>0</v>
      </c>
      <c r="DY156" s="180">
        <f t="shared" ca="1" si="251"/>
        <v>0</v>
      </c>
      <c r="DZ156" s="180">
        <f t="shared" ca="1" si="251"/>
        <v>0</v>
      </c>
      <c r="EA156" s="180">
        <f t="shared" ca="1" si="251"/>
        <v>0</v>
      </c>
      <c r="EB156" s="180">
        <f t="shared" ca="1" si="251"/>
        <v>0</v>
      </c>
      <c r="EC156" s="180">
        <f t="shared" ca="1" si="196"/>
        <v>0</v>
      </c>
      <c r="ED156" s="180">
        <f t="shared" ca="1" si="196"/>
        <v>0</v>
      </c>
      <c r="EE156" s="180">
        <f t="shared" ca="1" si="196"/>
        <v>0</v>
      </c>
      <c r="EF156" s="180">
        <f t="shared" ca="1" si="196"/>
        <v>0</v>
      </c>
      <c r="EG156" s="180">
        <f t="shared" ca="1" si="196"/>
        <v>0</v>
      </c>
      <c r="EH156" s="180">
        <f t="shared" ca="1" si="196"/>
        <v>0</v>
      </c>
      <c r="EI156" s="180">
        <f t="shared" ca="1" si="206"/>
        <v>0</v>
      </c>
      <c r="EJ156" s="180">
        <f t="shared" ca="1" si="206"/>
        <v>0</v>
      </c>
      <c r="EK156" s="180">
        <f t="shared" ca="1" si="206"/>
        <v>0</v>
      </c>
      <c r="EL156" s="180">
        <f t="shared" ca="1" si="206"/>
        <v>0</v>
      </c>
      <c r="EM156" s="180">
        <f t="shared" ca="1" si="206"/>
        <v>0</v>
      </c>
      <c r="EN156" s="180">
        <f t="shared" ca="1" si="206"/>
        <v>0</v>
      </c>
      <c r="EO156" s="180">
        <f t="shared" ca="1" si="206"/>
        <v>0</v>
      </c>
      <c r="EP156" s="180">
        <f t="shared" ca="1" si="206"/>
        <v>0</v>
      </c>
      <c r="EQ156" s="180"/>
      <c r="ER156" s="180"/>
    </row>
    <row r="157" spans="2:148" s="87" customFormat="1" hidden="1" x14ac:dyDescent="0.25">
      <c r="B157" s="151"/>
      <c r="C157" s="87">
        <v>96</v>
      </c>
      <c r="D157" s="258">
        <f t="shared" ca="1" si="201"/>
        <v>49074</v>
      </c>
      <c r="E157" s="175">
        <f t="shared" si="257"/>
        <v>0</v>
      </c>
      <c r="F157" s="175">
        <f t="shared" si="257"/>
        <v>0</v>
      </c>
      <c r="G157" s="175">
        <f t="shared" si="257"/>
        <v>0</v>
      </c>
      <c r="H157" s="175">
        <f t="shared" si="257"/>
        <v>0</v>
      </c>
      <c r="I157" s="175">
        <f t="shared" si="257"/>
        <v>0</v>
      </c>
      <c r="J157" s="175">
        <f t="shared" si="257"/>
        <v>0</v>
      </c>
      <c r="K157" s="175">
        <f t="shared" si="257"/>
        <v>0</v>
      </c>
      <c r="L157" s="175">
        <f t="shared" si="257"/>
        <v>0</v>
      </c>
      <c r="M157" s="175">
        <f t="shared" si="257"/>
        <v>0</v>
      </c>
      <c r="N157" s="175">
        <f t="shared" si="257"/>
        <v>0</v>
      </c>
      <c r="O157" s="175">
        <f t="shared" si="258"/>
        <v>0</v>
      </c>
      <c r="P157" s="175">
        <f t="shared" si="258"/>
        <v>0</v>
      </c>
      <c r="Q157" s="175">
        <f t="shared" si="258"/>
        <v>0</v>
      </c>
      <c r="R157" s="175">
        <f t="shared" si="258"/>
        <v>0</v>
      </c>
      <c r="S157" s="175">
        <f t="shared" si="258"/>
        <v>0</v>
      </c>
      <c r="T157" s="175">
        <f t="shared" si="258"/>
        <v>0</v>
      </c>
      <c r="U157" s="175">
        <f t="shared" si="258"/>
        <v>0</v>
      </c>
      <c r="V157" s="175"/>
      <c r="W157" s="140"/>
      <c r="X157" s="87">
        <v>139</v>
      </c>
      <c r="Y157" s="87">
        <f t="shared" si="229"/>
        <v>0</v>
      </c>
      <c r="Z157" s="87">
        <f t="shared" si="230"/>
        <v>0</v>
      </c>
      <c r="AA157" s="87">
        <f t="shared" si="231"/>
        <v>0</v>
      </c>
      <c r="AB157" s="87">
        <f t="shared" si="232"/>
        <v>0</v>
      </c>
      <c r="AC157" s="87">
        <f t="shared" si="233"/>
        <v>0</v>
      </c>
      <c r="AD157" s="87">
        <f t="shared" si="234"/>
        <v>0</v>
      </c>
      <c r="AE157" s="87">
        <f t="shared" si="235"/>
        <v>0</v>
      </c>
      <c r="AF157" s="87">
        <f t="shared" si="236"/>
        <v>0</v>
      </c>
      <c r="AG157" s="87">
        <f t="shared" si="237"/>
        <v>0</v>
      </c>
      <c r="AH157" s="87">
        <f t="shared" si="238"/>
        <v>0</v>
      </c>
      <c r="AI157" s="87">
        <f t="shared" si="239"/>
        <v>0</v>
      </c>
      <c r="AJ157" s="87">
        <f t="shared" si="240"/>
        <v>0</v>
      </c>
      <c r="AK157" s="87">
        <f t="shared" si="241"/>
        <v>0</v>
      </c>
      <c r="AL157" s="87">
        <f t="shared" si="242"/>
        <v>0</v>
      </c>
      <c r="AM157" s="87">
        <f t="shared" si="243"/>
        <v>0</v>
      </c>
      <c r="AN157" s="87">
        <f t="shared" si="244"/>
        <v>0</v>
      </c>
      <c r="AO157" s="87">
        <f t="shared" si="245"/>
        <v>0</v>
      </c>
      <c r="AP157" s="140"/>
      <c r="AQ157" s="426">
        <v>139</v>
      </c>
      <c r="AR157" s="258">
        <f t="shared" ca="1" si="253"/>
        <v>50384</v>
      </c>
      <c r="AS157" s="429">
        <f t="shared" si="209"/>
        <v>0</v>
      </c>
      <c r="AT157" s="140"/>
      <c r="AU157" s="278">
        <v>139</v>
      </c>
      <c r="AV157" s="258">
        <f t="shared" ca="1" si="254"/>
        <v>50415</v>
      </c>
      <c r="AW157" s="429">
        <f t="shared" si="246"/>
        <v>0</v>
      </c>
      <c r="AX157" s="202">
        <f t="shared" ca="1" si="247"/>
        <v>0</v>
      </c>
      <c r="AY157" s="278">
        <v>139</v>
      </c>
      <c r="AZ157" s="258">
        <f t="shared" ca="1" si="255"/>
        <v>50415</v>
      </c>
      <c r="BA157" s="429">
        <f t="shared" si="248"/>
        <v>0</v>
      </c>
      <c r="BB157" s="259">
        <f t="shared" ca="1" si="210"/>
        <v>50384</v>
      </c>
      <c r="BC157" s="428">
        <f t="shared" ca="1" si="249"/>
        <v>0</v>
      </c>
      <c r="BD157" s="188">
        <f t="shared" si="211"/>
        <v>0</v>
      </c>
      <c r="BE157" s="188">
        <f t="shared" si="212"/>
        <v>0</v>
      </c>
      <c r="BF157" s="188">
        <f t="shared" si="213"/>
        <v>0</v>
      </c>
      <c r="BG157" s="87">
        <f t="shared" si="214"/>
        <v>0</v>
      </c>
      <c r="BH157" s="87">
        <f t="shared" si="215"/>
        <v>0</v>
      </c>
      <c r="BI157" s="87">
        <f t="shared" si="216"/>
        <v>0</v>
      </c>
      <c r="BJ157" s="87">
        <f t="shared" si="217"/>
        <v>0</v>
      </c>
      <c r="BK157" s="87">
        <f t="shared" si="218"/>
        <v>0</v>
      </c>
      <c r="BL157" s="87">
        <f t="shared" si="219"/>
        <v>0</v>
      </c>
      <c r="BM157" s="87">
        <f t="shared" si="220"/>
        <v>0</v>
      </c>
      <c r="BN157" s="87">
        <f t="shared" si="221"/>
        <v>0</v>
      </c>
      <c r="BO157" s="87">
        <f t="shared" si="222"/>
        <v>0</v>
      </c>
      <c r="BP157" s="87">
        <f t="shared" si="223"/>
        <v>0</v>
      </c>
      <c r="BQ157" s="87">
        <f t="shared" si="224"/>
        <v>0</v>
      </c>
      <c r="BR157" s="87">
        <f t="shared" si="225"/>
        <v>0</v>
      </c>
      <c r="BS157" s="87">
        <f t="shared" si="226"/>
        <v>0</v>
      </c>
      <c r="BT157" s="87">
        <f t="shared" si="227"/>
        <v>0</v>
      </c>
      <c r="BV157" s="177"/>
      <c r="BW157" s="177"/>
      <c r="BX157" s="267"/>
      <c r="BY157" s="267"/>
      <c r="BZ157" s="267"/>
      <c r="CA157" s="267"/>
      <c r="CB157" s="267"/>
      <c r="CC157" s="267"/>
      <c r="CD157" s="267"/>
      <c r="CE157" s="267"/>
      <c r="CF157" s="267"/>
      <c r="CG157" s="267"/>
      <c r="CH157" s="267"/>
      <c r="CI157" s="435"/>
      <c r="CJ157" s="436"/>
      <c r="CK157" s="437"/>
      <c r="CM157" s="64" t="s">
        <v>507</v>
      </c>
      <c r="CN157" s="707">
        <v>56</v>
      </c>
      <c r="CS157" s="87">
        <v>139</v>
      </c>
      <c r="CT157" s="259">
        <f t="shared" ca="1" si="228"/>
        <v>50415</v>
      </c>
      <c r="CU157" s="179">
        <f t="shared" ca="1" si="250"/>
        <v>0</v>
      </c>
      <c r="CV157" s="179">
        <f t="shared" ca="1" si="250"/>
        <v>0</v>
      </c>
      <c r="CW157" s="179">
        <f t="shared" ca="1" si="250"/>
        <v>0</v>
      </c>
      <c r="CX157" s="179">
        <f t="shared" ca="1" si="250"/>
        <v>0</v>
      </c>
      <c r="CY157" s="179">
        <f t="shared" ca="1" si="250"/>
        <v>0</v>
      </c>
      <c r="CZ157" s="179">
        <f t="shared" ca="1" si="250"/>
        <v>0</v>
      </c>
      <c r="DA157" s="179">
        <f t="shared" ca="1" si="250"/>
        <v>0</v>
      </c>
      <c r="DB157" s="179">
        <f t="shared" ca="1" si="250"/>
        <v>0</v>
      </c>
      <c r="DC157" s="179">
        <f t="shared" ca="1" si="250"/>
        <v>0</v>
      </c>
      <c r="DD157" s="179">
        <f t="shared" ca="1" si="250"/>
        <v>0</v>
      </c>
      <c r="DE157" s="179">
        <f t="shared" ca="1" si="250"/>
        <v>0</v>
      </c>
      <c r="DF157" s="179" t="e">
        <f t="shared" ca="1" si="250"/>
        <v>#VALUE!</v>
      </c>
      <c r="DG157" s="179" t="e">
        <f t="shared" ca="1" si="250"/>
        <v>#VALUE!</v>
      </c>
      <c r="DH157" s="179" t="e">
        <f t="shared" ca="1" si="250"/>
        <v>#VALUE!</v>
      </c>
      <c r="DI157" s="179" t="e">
        <f t="shared" ca="1" si="250"/>
        <v>#VALUE!</v>
      </c>
      <c r="DJ157" s="179" t="e">
        <f t="shared" ca="1" si="259"/>
        <v>#VALUE!</v>
      </c>
      <c r="DK157" s="179" t="e">
        <f t="shared" ca="1" si="259"/>
        <v>#VALUE!</v>
      </c>
      <c r="DL157" s="179" t="e">
        <f t="shared" ca="1" si="204"/>
        <v>#VALUE!</v>
      </c>
      <c r="DM157" s="179" t="e">
        <f t="shared" ca="1" si="204"/>
        <v>#VALUE!</v>
      </c>
      <c r="DN157" s="179" t="e">
        <f t="shared" ca="1" si="204"/>
        <v>#VALUE!</v>
      </c>
      <c r="DO157" s="179" t="e">
        <f t="shared" ca="1" si="204"/>
        <v>#VALUE!</v>
      </c>
      <c r="DP157" s="179" t="e">
        <f t="shared" ca="1" si="204"/>
        <v>#VALUE!</v>
      </c>
      <c r="DQ157" s="179" t="e">
        <f t="shared" ca="1" si="204"/>
        <v>#VALUE!</v>
      </c>
      <c r="DR157" s="188">
        <v>139</v>
      </c>
      <c r="DS157" s="430">
        <f t="shared" ca="1" si="256"/>
        <v>50384</v>
      </c>
      <c r="DT157" s="180">
        <f t="shared" ca="1" si="252"/>
        <v>0</v>
      </c>
      <c r="DU157" s="180">
        <f t="shared" ca="1" si="252"/>
        <v>0</v>
      </c>
      <c r="DV157" s="180">
        <f t="shared" ca="1" si="252"/>
        <v>0</v>
      </c>
      <c r="DW157" s="180">
        <f t="shared" ca="1" si="251"/>
        <v>0</v>
      </c>
      <c r="DX157" s="180">
        <f t="shared" ca="1" si="251"/>
        <v>0</v>
      </c>
      <c r="DY157" s="180">
        <f t="shared" ca="1" si="251"/>
        <v>0</v>
      </c>
      <c r="DZ157" s="180">
        <f t="shared" ca="1" si="251"/>
        <v>0</v>
      </c>
      <c r="EA157" s="180">
        <f t="shared" ca="1" si="251"/>
        <v>0</v>
      </c>
      <c r="EB157" s="180">
        <f t="shared" ca="1" si="251"/>
        <v>0</v>
      </c>
      <c r="EC157" s="180">
        <f t="shared" ca="1" si="196"/>
        <v>0</v>
      </c>
      <c r="ED157" s="180">
        <f t="shared" ca="1" si="196"/>
        <v>0</v>
      </c>
      <c r="EE157" s="180">
        <f t="shared" ca="1" si="196"/>
        <v>0</v>
      </c>
      <c r="EF157" s="180">
        <f t="shared" ca="1" si="196"/>
        <v>0</v>
      </c>
      <c r="EG157" s="180">
        <f t="shared" ca="1" si="196"/>
        <v>0</v>
      </c>
      <c r="EH157" s="180">
        <f t="shared" ca="1" si="196"/>
        <v>0</v>
      </c>
      <c r="EI157" s="180">
        <f t="shared" ca="1" si="206"/>
        <v>0</v>
      </c>
      <c r="EJ157" s="180">
        <f t="shared" ca="1" si="206"/>
        <v>0</v>
      </c>
      <c r="EK157" s="180">
        <f t="shared" ca="1" si="206"/>
        <v>0</v>
      </c>
      <c r="EL157" s="180">
        <f t="shared" ca="1" si="206"/>
        <v>0</v>
      </c>
      <c r="EM157" s="180">
        <f t="shared" ca="1" si="206"/>
        <v>0</v>
      </c>
      <c r="EN157" s="180">
        <f t="shared" ca="1" si="206"/>
        <v>0</v>
      </c>
      <c r="EO157" s="180">
        <f t="shared" ca="1" si="206"/>
        <v>0</v>
      </c>
      <c r="EP157" s="180">
        <f t="shared" ca="1" si="206"/>
        <v>0</v>
      </c>
      <c r="EQ157" s="180"/>
      <c r="ER157" s="180"/>
    </row>
    <row r="158" spans="2:148" s="87" customFormat="1" hidden="1" x14ac:dyDescent="0.25">
      <c r="B158" s="151"/>
      <c r="C158" s="87">
        <v>97</v>
      </c>
      <c r="D158" s="258">
        <f t="shared" ca="1" si="201"/>
        <v>49105</v>
      </c>
      <c r="E158" s="175">
        <f t="shared" si="257"/>
        <v>0</v>
      </c>
      <c r="F158" s="175">
        <f t="shared" si="257"/>
        <v>0</v>
      </c>
      <c r="G158" s="175">
        <f t="shared" si="257"/>
        <v>0</v>
      </c>
      <c r="H158" s="175">
        <f t="shared" si="257"/>
        <v>0</v>
      </c>
      <c r="I158" s="175">
        <f t="shared" si="257"/>
        <v>0</v>
      </c>
      <c r="J158" s="175">
        <f t="shared" si="257"/>
        <v>0</v>
      </c>
      <c r="K158" s="175">
        <f t="shared" si="257"/>
        <v>0</v>
      </c>
      <c r="L158" s="175">
        <f t="shared" si="257"/>
        <v>0</v>
      </c>
      <c r="M158" s="175">
        <f t="shared" si="257"/>
        <v>0</v>
      </c>
      <c r="N158" s="175">
        <f t="shared" si="257"/>
        <v>0</v>
      </c>
      <c r="O158" s="175">
        <f t="shared" si="258"/>
        <v>0</v>
      </c>
      <c r="P158" s="175">
        <f t="shared" si="258"/>
        <v>0</v>
      </c>
      <c r="Q158" s="175">
        <f t="shared" si="258"/>
        <v>0</v>
      </c>
      <c r="R158" s="175">
        <f t="shared" si="258"/>
        <v>0</v>
      </c>
      <c r="S158" s="175">
        <f t="shared" si="258"/>
        <v>0</v>
      </c>
      <c r="T158" s="175">
        <f t="shared" si="258"/>
        <v>0</v>
      </c>
      <c r="U158" s="175">
        <f t="shared" si="258"/>
        <v>0</v>
      </c>
      <c r="V158" s="175"/>
      <c r="W158" s="140"/>
      <c r="X158" s="87">
        <v>140</v>
      </c>
      <c r="Y158" s="87">
        <f t="shared" si="229"/>
        <v>0</v>
      </c>
      <c r="Z158" s="87">
        <f t="shared" si="230"/>
        <v>0</v>
      </c>
      <c r="AA158" s="87">
        <f t="shared" si="231"/>
        <v>0</v>
      </c>
      <c r="AB158" s="87">
        <f t="shared" si="232"/>
        <v>0</v>
      </c>
      <c r="AC158" s="87">
        <f t="shared" si="233"/>
        <v>0</v>
      </c>
      <c r="AD158" s="87">
        <f t="shared" si="234"/>
        <v>0</v>
      </c>
      <c r="AE158" s="87">
        <f t="shared" si="235"/>
        <v>0</v>
      </c>
      <c r="AF158" s="87">
        <f t="shared" si="236"/>
        <v>0</v>
      </c>
      <c r="AG158" s="87">
        <f t="shared" si="237"/>
        <v>0</v>
      </c>
      <c r="AH158" s="87">
        <f t="shared" si="238"/>
        <v>0</v>
      </c>
      <c r="AI158" s="87">
        <f t="shared" si="239"/>
        <v>0</v>
      </c>
      <c r="AJ158" s="87">
        <f t="shared" si="240"/>
        <v>0</v>
      </c>
      <c r="AK158" s="87">
        <f t="shared" si="241"/>
        <v>0</v>
      </c>
      <c r="AL158" s="87">
        <f t="shared" si="242"/>
        <v>0</v>
      </c>
      <c r="AM158" s="87">
        <f t="shared" si="243"/>
        <v>0</v>
      </c>
      <c r="AN158" s="87">
        <f t="shared" si="244"/>
        <v>0</v>
      </c>
      <c r="AO158" s="87">
        <f t="shared" si="245"/>
        <v>0</v>
      </c>
      <c r="AP158" s="140"/>
      <c r="AQ158" s="426">
        <v>140</v>
      </c>
      <c r="AR158" s="258">
        <f t="shared" ca="1" si="253"/>
        <v>50415</v>
      </c>
      <c r="AS158" s="429">
        <f t="shared" si="209"/>
        <v>0</v>
      </c>
      <c r="AT158" s="140"/>
      <c r="AU158" s="278">
        <v>140</v>
      </c>
      <c r="AV158" s="258">
        <f t="shared" ca="1" si="254"/>
        <v>50446</v>
      </c>
      <c r="AW158" s="429">
        <f t="shared" si="246"/>
        <v>0</v>
      </c>
      <c r="AX158" s="202">
        <f t="shared" ca="1" si="247"/>
        <v>0</v>
      </c>
      <c r="AY158" s="278">
        <v>140</v>
      </c>
      <c r="AZ158" s="258">
        <f t="shared" ca="1" si="255"/>
        <v>50446</v>
      </c>
      <c r="BA158" s="429">
        <f t="shared" si="248"/>
        <v>0</v>
      </c>
      <c r="BB158" s="259">
        <f t="shared" ca="1" si="210"/>
        <v>50415</v>
      </c>
      <c r="BC158" s="428">
        <f t="shared" ca="1" si="249"/>
        <v>0</v>
      </c>
      <c r="BD158" s="188">
        <f t="shared" si="211"/>
        <v>0</v>
      </c>
      <c r="BE158" s="188">
        <f t="shared" si="212"/>
        <v>0</v>
      </c>
      <c r="BF158" s="188">
        <f t="shared" si="213"/>
        <v>0</v>
      </c>
      <c r="BG158" s="87">
        <f t="shared" si="214"/>
        <v>0</v>
      </c>
      <c r="BH158" s="87">
        <f t="shared" si="215"/>
        <v>0</v>
      </c>
      <c r="BI158" s="87">
        <f t="shared" si="216"/>
        <v>0</v>
      </c>
      <c r="BJ158" s="87">
        <f t="shared" si="217"/>
        <v>0</v>
      </c>
      <c r="BK158" s="87">
        <f t="shared" si="218"/>
        <v>0</v>
      </c>
      <c r="BL158" s="87">
        <f t="shared" si="219"/>
        <v>0</v>
      </c>
      <c r="BM158" s="87">
        <f t="shared" si="220"/>
        <v>0</v>
      </c>
      <c r="BN158" s="87">
        <f t="shared" si="221"/>
        <v>0</v>
      </c>
      <c r="BO158" s="87">
        <f t="shared" si="222"/>
        <v>0</v>
      </c>
      <c r="BP158" s="87">
        <f t="shared" si="223"/>
        <v>0</v>
      </c>
      <c r="BQ158" s="87">
        <f t="shared" si="224"/>
        <v>0</v>
      </c>
      <c r="BR158" s="87">
        <f t="shared" si="225"/>
        <v>0</v>
      </c>
      <c r="BS158" s="87">
        <f t="shared" si="226"/>
        <v>0</v>
      </c>
      <c r="BT158" s="87">
        <f t="shared" si="227"/>
        <v>0</v>
      </c>
      <c r="BV158" s="177"/>
      <c r="BW158" s="177"/>
      <c r="BX158" s="267"/>
      <c r="BY158" s="267"/>
      <c r="BZ158" s="267"/>
      <c r="CA158" s="267"/>
      <c r="CB158" s="267"/>
      <c r="CC158" s="267"/>
      <c r="CD158" s="267"/>
      <c r="CE158" s="267"/>
      <c r="CF158" s="267"/>
      <c r="CG158" s="267"/>
      <c r="CH158" s="267"/>
      <c r="CI158" s="435"/>
      <c r="CJ158" s="436"/>
      <c r="CK158" s="437"/>
      <c r="CM158" s="64" t="s">
        <v>226</v>
      </c>
      <c r="CN158" s="707">
        <v>42.75</v>
      </c>
      <c r="CS158" s="178">
        <v>140</v>
      </c>
      <c r="CT158" s="259">
        <f t="shared" ca="1" si="228"/>
        <v>50446</v>
      </c>
      <c r="CU158" s="179">
        <f t="shared" ca="1" si="250"/>
        <v>0</v>
      </c>
      <c r="CV158" s="179">
        <f t="shared" ca="1" si="250"/>
        <v>0</v>
      </c>
      <c r="CW158" s="179">
        <f t="shared" ca="1" si="250"/>
        <v>0</v>
      </c>
      <c r="CX158" s="179">
        <f t="shared" ca="1" si="250"/>
        <v>0</v>
      </c>
      <c r="CY158" s="179">
        <f t="shared" ca="1" si="250"/>
        <v>0</v>
      </c>
      <c r="CZ158" s="179">
        <f t="shared" ca="1" si="250"/>
        <v>0</v>
      </c>
      <c r="DA158" s="179">
        <f t="shared" ca="1" si="250"/>
        <v>0</v>
      </c>
      <c r="DB158" s="179">
        <f t="shared" ca="1" si="250"/>
        <v>0</v>
      </c>
      <c r="DC158" s="179">
        <f t="shared" ca="1" si="250"/>
        <v>0</v>
      </c>
      <c r="DD158" s="179">
        <f t="shared" ca="1" si="250"/>
        <v>0</v>
      </c>
      <c r="DE158" s="179">
        <f t="shared" ca="1" si="250"/>
        <v>0</v>
      </c>
      <c r="DF158" s="179" t="e">
        <f t="shared" ca="1" si="250"/>
        <v>#VALUE!</v>
      </c>
      <c r="DG158" s="179" t="e">
        <f t="shared" ca="1" si="250"/>
        <v>#VALUE!</v>
      </c>
      <c r="DH158" s="179" t="e">
        <f t="shared" ca="1" si="250"/>
        <v>#VALUE!</v>
      </c>
      <c r="DI158" s="179" t="e">
        <f t="shared" ca="1" si="250"/>
        <v>#VALUE!</v>
      </c>
      <c r="DJ158" s="179" t="e">
        <f t="shared" ca="1" si="259"/>
        <v>#VALUE!</v>
      </c>
      <c r="DK158" s="179" t="e">
        <f t="shared" ca="1" si="259"/>
        <v>#VALUE!</v>
      </c>
      <c r="DL158" s="179" t="e">
        <f t="shared" ca="1" si="204"/>
        <v>#VALUE!</v>
      </c>
      <c r="DM158" s="179" t="e">
        <f t="shared" ca="1" si="204"/>
        <v>#VALUE!</v>
      </c>
      <c r="DN158" s="179" t="e">
        <f t="shared" ca="1" si="204"/>
        <v>#VALUE!</v>
      </c>
      <c r="DO158" s="179" t="e">
        <f t="shared" ca="1" si="204"/>
        <v>#VALUE!</v>
      </c>
      <c r="DP158" s="179" t="e">
        <f t="shared" ca="1" si="204"/>
        <v>#VALUE!</v>
      </c>
      <c r="DQ158" s="179" t="e">
        <f t="shared" ca="1" si="204"/>
        <v>#VALUE!</v>
      </c>
      <c r="DR158" s="431">
        <v>140</v>
      </c>
      <c r="DS158" s="430">
        <f t="shared" ca="1" si="256"/>
        <v>50415</v>
      </c>
      <c r="DT158" s="180">
        <f t="shared" ca="1" si="252"/>
        <v>0</v>
      </c>
      <c r="DU158" s="180">
        <f t="shared" ca="1" si="252"/>
        <v>0</v>
      </c>
      <c r="DV158" s="180">
        <f t="shared" ca="1" si="252"/>
        <v>0</v>
      </c>
      <c r="DW158" s="180">
        <f t="shared" ca="1" si="251"/>
        <v>0</v>
      </c>
      <c r="DX158" s="180">
        <f t="shared" ca="1" si="251"/>
        <v>0</v>
      </c>
      <c r="DY158" s="180">
        <f t="shared" ca="1" si="251"/>
        <v>0</v>
      </c>
      <c r="DZ158" s="180">
        <f t="shared" ca="1" si="251"/>
        <v>0</v>
      </c>
      <c r="EA158" s="180">
        <f t="shared" ca="1" si="251"/>
        <v>0</v>
      </c>
      <c r="EB158" s="180">
        <f t="shared" ca="1" si="251"/>
        <v>0</v>
      </c>
      <c r="EC158" s="180">
        <f t="shared" ca="1" si="196"/>
        <v>0</v>
      </c>
      <c r="ED158" s="180">
        <f t="shared" ca="1" si="196"/>
        <v>0</v>
      </c>
      <c r="EE158" s="180">
        <f t="shared" ca="1" si="196"/>
        <v>0</v>
      </c>
      <c r="EF158" s="180">
        <f t="shared" ca="1" si="196"/>
        <v>0</v>
      </c>
      <c r="EG158" s="180">
        <f t="shared" ca="1" si="196"/>
        <v>0</v>
      </c>
      <c r="EH158" s="180">
        <f t="shared" ca="1" si="196"/>
        <v>0</v>
      </c>
      <c r="EI158" s="180">
        <f t="shared" ca="1" si="206"/>
        <v>0</v>
      </c>
      <c r="EJ158" s="180">
        <f t="shared" ca="1" si="206"/>
        <v>0</v>
      </c>
      <c r="EK158" s="180">
        <f t="shared" ca="1" si="206"/>
        <v>0</v>
      </c>
      <c r="EL158" s="180">
        <f t="shared" ca="1" si="206"/>
        <v>0</v>
      </c>
      <c r="EM158" s="180">
        <f t="shared" ca="1" si="206"/>
        <v>0</v>
      </c>
      <c r="EN158" s="180">
        <f t="shared" ca="1" si="206"/>
        <v>0</v>
      </c>
      <c r="EO158" s="180">
        <f t="shared" ca="1" si="206"/>
        <v>0</v>
      </c>
      <c r="EP158" s="180">
        <f t="shared" ca="1" si="206"/>
        <v>0</v>
      </c>
      <c r="EQ158" s="180"/>
      <c r="ER158" s="180"/>
    </row>
    <row r="159" spans="2:148" s="87" customFormat="1" hidden="1" x14ac:dyDescent="0.25">
      <c r="B159" s="151"/>
      <c r="C159" s="87">
        <v>98</v>
      </c>
      <c r="D159" s="258">
        <f t="shared" ref="D159:D190" ca="1" si="260">EDATE(D158,1)</f>
        <v>49135</v>
      </c>
      <c r="E159" s="175">
        <f t="shared" si="257"/>
        <v>0</v>
      </c>
      <c r="F159" s="175">
        <f t="shared" si="257"/>
        <v>0</v>
      </c>
      <c r="G159" s="175">
        <f t="shared" si="257"/>
        <v>0</v>
      </c>
      <c r="H159" s="175">
        <f t="shared" si="257"/>
        <v>0</v>
      </c>
      <c r="I159" s="175">
        <f t="shared" si="257"/>
        <v>0</v>
      </c>
      <c r="J159" s="175">
        <f t="shared" si="257"/>
        <v>0</v>
      </c>
      <c r="K159" s="175">
        <f t="shared" si="257"/>
        <v>0</v>
      </c>
      <c r="L159" s="175">
        <f t="shared" si="257"/>
        <v>0</v>
      </c>
      <c r="M159" s="175">
        <f t="shared" si="257"/>
        <v>0</v>
      </c>
      <c r="N159" s="175">
        <f t="shared" si="257"/>
        <v>0</v>
      </c>
      <c r="O159" s="175">
        <f t="shared" si="258"/>
        <v>0</v>
      </c>
      <c r="P159" s="175">
        <f t="shared" si="258"/>
        <v>0</v>
      </c>
      <c r="Q159" s="175">
        <f t="shared" si="258"/>
        <v>0</v>
      </c>
      <c r="R159" s="175">
        <f t="shared" si="258"/>
        <v>0</v>
      </c>
      <c r="S159" s="175">
        <f t="shared" si="258"/>
        <v>0</v>
      </c>
      <c r="T159" s="175">
        <f t="shared" si="258"/>
        <v>0</v>
      </c>
      <c r="U159" s="175">
        <f t="shared" si="258"/>
        <v>0</v>
      </c>
      <c r="V159" s="175"/>
      <c r="W159" s="140"/>
      <c r="X159" s="87">
        <v>141</v>
      </c>
      <c r="Y159" s="87">
        <f t="shared" si="229"/>
        <v>0</v>
      </c>
      <c r="Z159" s="87">
        <f t="shared" si="230"/>
        <v>0</v>
      </c>
      <c r="AA159" s="87">
        <f t="shared" si="231"/>
        <v>0</v>
      </c>
      <c r="AB159" s="87">
        <f t="shared" si="232"/>
        <v>0</v>
      </c>
      <c r="AC159" s="87">
        <f t="shared" si="233"/>
        <v>0</v>
      </c>
      <c r="AD159" s="87">
        <f t="shared" si="234"/>
        <v>0</v>
      </c>
      <c r="AE159" s="87">
        <f t="shared" si="235"/>
        <v>0</v>
      </c>
      <c r="AF159" s="87">
        <f t="shared" si="236"/>
        <v>0</v>
      </c>
      <c r="AG159" s="87">
        <f t="shared" si="237"/>
        <v>0</v>
      </c>
      <c r="AH159" s="87">
        <f t="shared" si="238"/>
        <v>0</v>
      </c>
      <c r="AI159" s="87">
        <f t="shared" si="239"/>
        <v>0</v>
      </c>
      <c r="AJ159" s="87">
        <f t="shared" si="240"/>
        <v>0</v>
      </c>
      <c r="AK159" s="87">
        <f t="shared" si="241"/>
        <v>0</v>
      </c>
      <c r="AL159" s="87">
        <f t="shared" si="242"/>
        <v>0</v>
      </c>
      <c r="AM159" s="87">
        <f t="shared" si="243"/>
        <v>0</v>
      </c>
      <c r="AN159" s="87">
        <f t="shared" si="244"/>
        <v>0</v>
      </c>
      <c r="AO159" s="87">
        <f t="shared" si="245"/>
        <v>0</v>
      </c>
      <c r="AP159" s="140"/>
      <c r="AQ159" s="426">
        <v>141</v>
      </c>
      <c r="AR159" s="258">
        <f t="shared" ca="1" si="253"/>
        <v>50446</v>
      </c>
      <c r="AS159" s="429">
        <f t="shared" si="209"/>
        <v>0</v>
      </c>
      <c r="AT159" s="140"/>
      <c r="AU159" s="278">
        <v>141</v>
      </c>
      <c r="AV159" s="258">
        <f t="shared" ca="1" si="254"/>
        <v>50474</v>
      </c>
      <c r="AW159" s="429">
        <f t="shared" si="246"/>
        <v>0</v>
      </c>
      <c r="AX159" s="202">
        <f t="shared" ca="1" si="247"/>
        <v>0</v>
      </c>
      <c r="AY159" s="278">
        <v>141</v>
      </c>
      <c r="AZ159" s="258">
        <f t="shared" ca="1" si="255"/>
        <v>50474</v>
      </c>
      <c r="BA159" s="429">
        <f t="shared" si="248"/>
        <v>0</v>
      </c>
      <c r="BB159" s="259">
        <f t="shared" ca="1" si="210"/>
        <v>50446</v>
      </c>
      <c r="BC159" s="428">
        <f t="shared" ca="1" si="249"/>
        <v>0</v>
      </c>
      <c r="BD159" s="188">
        <f t="shared" si="211"/>
        <v>0</v>
      </c>
      <c r="BE159" s="188">
        <f t="shared" si="212"/>
        <v>0</v>
      </c>
      <c r="BF159" s="188">
        <f t="shared" si="213"/>
        <v>0</v>
      </c>
      <c r="BG159" s="87">
        <f t="shared" si="214"/>
        <v>0</v>
      </c>
      <c r="BH159" s="87">
        <f t="shared" si="215"/>
        <v>0</v>
      </c>
      <c r="BI159" s="87">
        <f t="shared" si="216"/>
        <v>0</v>
      </c>
      <c r="BJ159" s="87">
        <f t="shared" si="217"/>
        <v>0</v>
      </c>
      <c r="BK159" s="87">
        <f t="shared" si="218"/>
        <v>0</v>
      </c>
      <c r="BL159" s="87">
        <f t="shared" si="219"/>
        <v>0</v>
      </c>
      <c r="BM159" s="87">
        <f t="shared" si="220"/>
        <v>0</v>
      </c>
      <c r="BN159" s="87">
        <f t="shared" si="221"/>
        <v>0</v>
      </c>
      <c r="BO159" s="87">
        <f t="shared" si="222"/>
        <v>0</v>
      </c>
      <c r="BP159" s="87">
        <f t="shared" si="223"/>
        <v>0</v>
      </c>
      <c r="BQ159" s="87">
        <f t="shared" si="224"/>
        <v>0</v>
      </c>
      <c r="BR159" s="87">
        <f t="shared" si="225"/>
        <v>0</v>
      </c>
      <c r="BS159" s="87">
        <f t="shared" si="226"/>
        <v>0</v>
      </c>
      <c r="BT159" s="87">
        <f t="shared" si="227"/>
        <v>0</v>
      </c>
      <c r="BV159" s="177"/>
      <c r="BW159" s="177"/>
      <c r="BX159" s="267"/>
      <c r="BY159" s="267"/>
      <c r="BZ159" s="267"/>
      <c r="CA159" s="267"/>
      <c r="CB159" s="267"/>
      <c r="CC159" s="267"/>
      <c r="CD159" s="267"/>
      <c r="CE159" s="267"/>
      <c r="CF159" s="267"/>
      <c r="CG159" s="267"/>
      <c r="CH159" s="267"/>
      <c r="CI159" s="435"/>
      <c r="CJ159" s="436"/>
      <c r="CK159" s="437"/>
      <c r="CM159" s="64" t="s">
        <v>217</v>
      </c>
      <c r="CN159" s="707">
        <v>50.5</v>
      </c>
      <c r="CS159" s="138">
        <v>141</v>
      </c>
      <c r="CT159" s="259">
        <f t="shared" ca="1" si="228"/>
        <v>50474</v>
      </c>
      <c r="CU159" s="179">
        <f t="shared" ca="1" si="250"/>
        <v>0</v>
      </c>
      <c r="CV159" s="179">
        <f t="shared" ca="1" si="250"/>
        <v>0</v>
      </c>
      <c r="CW159" s="179">
        <f t="shared" ca="1" si="250"/>
        <v>0</v>
      </c>
      <c r="CX159" s="179">
        <f t="shared" ca="1" si="250"/>
        <v>0</v>
      </c>
      <c r="CY159" s="179">
        <f t="shared" ca="1" si="250"/>
        <v>0</v>
      </c>
      <c r="CZ159" s="179">
        <f t="shared" ca="1" si="250"/>
        <v>0</v>
      </c>
      <c r="DA159" s="179">
        <f t="shared" ca="1" si="250"/>
        <v>0</v>
      </c>
      <c r="DB159" s="179">
        <f t="shared" ca="1" si="250"/>
        <v>0</v>
      </c>
      <c r="DC159" s="179">
        <f t="shared" ca="1" si="250"/>
        <v>0</v>
      </c>
      <c r="DD159" s="179">
        <f t="shared" ca="1" si="250"/>
        <v>0</v>
      </c>
      <c r="DE159" s="179">
        <f t="shared" ca="1" si="250"/>
        <v>0</v>
      </c>
      <c r="DF159" s="179" t="e">
        <f t="shared" ca="1" si="250"/>
        <v>#VALUE!</v>
      </c>
      <c r="DG159" s="179" t="e">
        <f t="shared" ca="1" si="250"/>
        <v>#VALUE!</v>
      </c>
      <c r="DH159" s="179" t="e">
        <f t="shared" ca="1" si="250"/>
        <v>#VALUE!</v>
      </c>
      <c r="DI159" s="179" t="e">
        <f t="shared" ca="1" si="250"/>
        <v>#VALUE!</v>
      </c>
      <c r="DJ159" s="179" t="e">
        <f t="shared" ca="1" si="259"/>
        <v>#VALUE!</v>
      </c>
      <c r="DK159" s="179" t="e">
        <f t="shared" ca="1" si="259"/>
        <v>#VALUE!</v>
      </c>
      <c r="DL159" s="179" t="e">
        <f t="shared" ca="1" si="204"/>
        <v>#VALUE!</v>
      </c>
      <c r="DM159" s="179" t="e">
        <f t="shared" ca="1" si="204"/>
        <v>#VALUE!</v>
      </c>
      <c r="DN159" s="179" t="e">
        <f t="shared" ca="1" si="204"/>
        <v>#VALUE!</v>
      </c>
      <c r="DO159" s="179" t="e">
        <f t="shared" ca="1" si="204"/>
        <v>#VALUE!</v>
      </c>
      <c r="DP159" s="179" t="e">
        <f t="shared" ca="1" si="204"/>
        <v>#VALUE!</v>
      </c>
      <c r="DQ159" s="179" t="e">
        <f t="shared" ca="1" si="204"/>
        <v>#VALUE!</v>
      </c>
      <c r="DR159" s="278">
        <v>141</v>
      </c>
      <c r="DS159" s="430">
        <f t="shared" ca="1" si="256"/>
        <v>50446</v>
      </c>
      <c r="DT159" s="180">
        <f t="shared" ca="1" si="252"/>
        <v>0</v>
      </c>
      <c r="DU159" s="180">
        <f t="shared" ca="1" si="252"/>
        <v>0</v>
      </c>
      <c r="DV159" s="180">
        <f t="shared" ca="1" si="252"/>
        <v>0</v>
      </c>
      <c r="DW159" s="180">
        <f t="shared" ca="1" si="251"/>
        <v>0</v>
      </c>
      <c r="DX159" s="180">
        <f t="shared" ca="1" si="251"/>
        <v>0</v>
      </c>
      <c r="DY159" s="180">
        <f t="shared" ca="1" si="251"/>
        <v>0</v>
      </c>
      <c r="DZ159" s="180">
        <f t="shared" ca="1" si="251"/>
        <v>0</v>
      </c>
      <c r="EA159" s="180">
        <f t="shared" ca="1" si="251"/>
        <v>0</v>
      </c>
      <c r="EB159" s="180">
        <f t="shared" ca="1" si="251"/>
        <v>0</v>
      </c>
      <c r="EC159" s="180">
        <f t="shared" ca="1" si="196"/>
        <v>0</v>
      </c>
      <c r="ED159" s="180">
        <f t="shared" ca="1" si="196"/>
        <v>0</v>
      </c>
      <c r="EE159" s="180">
        <f t="shared" ca="1" si="196"/>
        <v>0</v>
      </c>
      <c r="EF159" s="180">
        <f t="shared" ca="1" si="196"/>
        <v>0</v>
      </c>
      <c r="EG159" s="180">
        <f t="shared" ca="1" si="196"/>
        <v>0</v>
      </c>
      <c r="EH159" s="180">
        <f t="shared" ca="1" si="196"/>
        <v>0</v>
      </c>
      <c r="EI159" s="180">
        <f t="shared" ca="1" si="206"/>
        <v>0</v>
      </c>
      <c r="EJ159" s="180">
        <f t="shared" ca="1" si="206"/>
        <v>0</v>
      </c>
      <c r="EK159" s="180">
        <f t="shared" ca="1" si="206"/>
        <v>0</v>
      </c>
      <c r="EL159" s="180">
        <f t="shared" ca="1" si="206"/>
        <v>0</v>
      </c>
      <c r="EM159" s="180">
        <f t="shared" ca="1" si="206"/>
        <v>0</v>
      </c>
      <c r="EN159" s="180">
        <f t="shared" ca="1" si="206"/>
        <v>0</v>
      </c>
      <c r="EO159" s="180">
        <f t="shared" ca="1" si="206"/>
        <v>0</v>
      </c>
      <c r="EP159" s="180">
        <f t="shared" ca="1" si="206"/>
        <v>0</v>
      </c>
      <c r="EQ159" s="180"/>
      <c r="ER159" s="180"/>
    </row>
    <row r="160" spans="2:148" s="87" customFormat="1" hidden="1" x14ac:dyDescent="0.25">
      <c r="B160" s="151"/>
      <c r="C160" s="87">
        <v>99</v>
      </c>
      <c r="D160" s="258">
        <f t="shared" ca="1" si="260"/>
        <v>49166</v>
      </c>
      <c r="E160" s="175">
        <f t="shared" si="257"/>
        <v>0</v>
      </c>
      <c r="F160" s="175">
        <f t="shared" si="257"/>
        <v>0</v>
      </c>
      <c r="G160" s="175">
        <f t="shared" si="257"/>
        <v>0</v>
      </c>
      <c r="H160" s="175">
        <f t="shared" si="257"/>
        <v>0</v>
      </c>
      <c r="I160" s="175">
        <f t="shared" si="257"/>
        <v>0</v>
      </c>
      <c r="J160" s="175">
        <f t="shared" si="257"/>
        <v>0</v>
      </c>
      <c r="K160" s="175">
        <f t="shared" si="257"/>
        <v>0</v>
      </c>
      <c r="L160" s="175">
        <f t="shared" si="257"/>
        <v>0</v>
      </c>
      <c r="M160" s="175">
        <f t="shared" si="257"/>
        <v>0</v>
      </c>
      <c r="N160" s="175">
        <f t="shared" si="257"/>
        <v>0</v>
      </c>
      <c r="O160" s="175">
        <f t="shared" si="258"/>
        <v>0</v>
      </c>
      <c r="P160" s="175">
        <f t="shared" si="258"/>
        <v>0</v>
      </c>
      <c r="Q160" s="175">
        <f t="shared" si="258"/>
        <v>0</v>
      </c>
      <c r="R160" s="175">
        <f t="shared" si="258"/>
        <v>0</v>
      </c>
      <c r="S160" s="175">
        <f t="shared" si="258"/>
        <v>0</v>
      </c>
      <c r="T160" s="175">
        <f t="shared" si="258"/>
        <v>0</v>
      </c>
      <c r="U160" s="175">
        <f t="shared" si="258"/>
        <v>0</v>
      </c>
      <c r="V160" s="175"/>
      <c r="W160" s="140"/>
      <c r="X160" s="87">
        <v>142</v>
      </c>
      <c r="Y160" s="87">
        <f t="shared" si="229"/>
        <v>0</v>
      </c>
      <c r="Z160" s="87">
        <f t="shared" si="230"/>
        <v>0</v>
      </c>
      <c r="AA160" s="87">
        <f t="shared" si="231"/>
        <v>0</v>
      </c>
      <c r="AB160" s="87">
        <f t="shared" si="232"/>
        <v>0</v>
      </c>
      <c r="AC160" s="87">
        <f t="shared" si="233"/>
        <v>0</v>
      </c>
      <c r="AD160" s="87">
        <f t="shared" si="234"/>
        <v>0</v>
      </c>
      <c r="AE160" s="87">
        <f t="shared" si="235"/>
        <v>0</v>
      </c>
      <c r="AF160" s="87">
        <f t="shared" si="236"/>
        <v>0</v>
      </c>
      <c r="AG160" s="87">
        <f t="shared" si="237"/>
        <v>0</v>
      </c>
      <c r="AH160" s="87">
        <f t="shared" si="238"/>
        <v>0</v>
      </c>
      <c r="AI160" s="87">
        <f t="shared" si="239"/>
        <v>0</v>
      </c>
      <c r="AJ160" s="87">
        <f t="shared" si="240"/>
        <v>0</v>
      </c>
      <c r="AK160" s="87">
        <f t="shared" si="241"/>
        <v>0</v>
      </c>
      <c r="AL160" s="87">
        <f t="shared" si="242"/>
        <v>0</v>
      </c>
      <c r="AM160" s="87">
        <f t="shared" si="243"/>
        <v>0</v>
      </c>
      <c r="AN160" s="87">
        <f t="shared" si="244"/>
        <v>0</v>
      </c>
      <c r="AO160" s="87">
        <f t="shared" si="245"/>
        <v>0</v>
      </c>
      <c r="AP160" s="140"/>
      <c r="AQ160" s="426">
        <v>142</v>
      </c>
      <c r="AR160" s="258">
        <f t="shared" ca="1" si="253"/>
        <v>50474</v>
      </c>
      <c r="AS160" s="429">
        <f t="shared" si="209"/>
        <v>0</v>
      </c>
      <c r="AT160" s="140"/>
      <c r="AU160" s="278">
        <v>142</v>
      </c>
      <c r="AV160" s="258">
        <f t="shared" ca="1" si="254"/>
        <v>50505</v>
      </c>
      <c r="AW160" s="429">
        <f t="shared" si="246"/>
        <v>0</v>
      </c>
      <c r="AX160" s="202">
        <f t="shared" ca="1" si="247"/>
        <v>0</v>
      </c>
      <c r="AY160" s="278">
        <v>142</v>
      </c>
      <c r="AZ160" s="258">
        <f t="shared" ca="1" si="255"/>
        <v>50505</v>
      </c>
      <c r="BA160" s="429">
        <f t="shared" si="248"/>
        <v>0</v>
      </c>
      <c r="BB160" s="259">
        <f t="shared" ca="1" si="210"/>
        <v>50474</v>
      </c>
      <c r="BC160" s="428">
        <f t="shared" ca="1" si="249"/>
        <v>0</v>
      </c>
      <c r="BD160" s="188">
        <f t="shared" si="211"/>
        <v>0</v>
      </c>
      <c r="BE160" s="188">
        <f t="shared" si="212"/>
        <v>0</v>
      </c>
      <c r="BF160" s="188">
        <f t="shared" si="213"/>
        <v>0</v>
      </c>
      <c r="BG160" s="87">
        <f t="shared" si="214"/>
        <v>0</v>
      </c>
      <c r="BH160" s="87">
        <f t="shared" si="215"/>
        <v>0</v>
      </c>
      <c r="BI160" s="87">
        <f t="shared" si="216"/>
        <v>0</v>
      </c>
      <c r="BJ160" s="87">
        <f t="shared" si="217"/>
        <v>0</v>
      </c>
      <c r="BK160" s="87">
        <f t="shared" si="218"/>
        <v>0</v>
      </c>
      <c r="BL160" s="87">
        <f t="shared" si="219"/>
        <v>0</v>
      </c>
      <c r="BM160" s="87">
        <f t="shared" si="220"/>
        <v>0</v>
      </c>
      <c r="BN160" s="87">
        <f t="shared" si="221"/>
        <v>0</v>
      </c>
      <c r="BO160" s="87">
        <f t="shared" si="222"/>
        <v>0</v>
      </c>
      <c r="BP160" s="87">
        <f t="shared" si="223"/>
        <v>0</v>
      </c>
      <c r="BQ160" s="87">
        <f t="shared" si="224"/>
        <v>0</v>
      </c>
      <c r="BR160" s="87">
        <f t="shared" si="225"/>
        <v>0</v>
      </c>
      <c r="BS160" s="87">
        <f t="shared" si="226"/>
        <v>0</v>
      </c>
      <c r="BT160" s="87">
        <f t="shared" si="227"/>
        <v>0</v>
      </c>
      <c r="BV160" s="177"/>
      <c r="BW160" s="177"/>
      <c r="BX160" s="267"/>
      <c r="BY160" s="267"/>
      <c r="BZ160" s="267"/>
      <c r="CA160" s="267"/>
      <c r="CB160" s="267"/>
      <c r="CC160" s="267"/>
      <c r="CD160" s="267"/>
      <c r="CE160" s="267"/>
      <c r="CF160" s="267"/>
      <c r="CG160" s="267"/>
      <c r="CH160" s="267"/>
      <c r="CI160" s="435"/>
      <c r="CJ160" s="436"/>
      <c r="CK160" s="437"/>
      <c r="CM160" s="64" t="s">
        <v>91</v>
      </c>
      <c r="CN160" s="707">
        <v>61</v>
      </c>
      <c r="CS160" s="87">
        <v>142</v>
      </c>
      <c r="CT160" s="259">
        <f t="shared" ca="1" si="228"/>
        <v>50505</v>
      </c>
      <c r="CU160" s="179">
        <f t="shared" ca="1" si="250"/>
        <v>0</v>
      </c>
      <c r="CV160" s="179">
        <f t="shared" ca="1" si="250"/>
        <v>0</v>
      </c>
      <c r="CW160" s="179">
        <f t="shared" ca="1" si="250"/>
        <v>0</v>
      </c>
      <c r="CX160" s="179">
        <f t="shared" ca="1" si="250"/>
        <v>0</v>
      </c>
      <c r="CY160" s="179">
        <f t="shared" ca="1" si="250"/>
        <v>0</v>
      </c>
      <c r="CZ160" s="179">
        <f t="shared" ca="1" si="250"/>
        <v>0</v>
      </c>
      <c r="DA160" s="179">
        <f t="shared" ca="1" si="250"/>
        <v>0</v>
      </c>
      <c r="DB160" s="179">
        <f t="shared" ca="1" si="250"/>
        <v>0</v>
      </c>
      <c r="DC160" s="179">
        <f t="shared" ca="1" si="250"/>
        <v>0</v>
      </c>
      <c r="DD160" s="179">
        <f t="shared" ca="1" si="250"/>
        <v>0</v>
      </c>
      <c r="DE160" s="179">
        <f t="shared" ca="1" si="250"/>
        <v>0</v>
      </c>
      <c r="DF160" s="179" t="e">
        <f t="shared" ca="1" si="250"/>
        <v>#VALUE!</v>
      </c>
      <c r="DG160" s="179" t="e">
        <f t="shared" ca="1" si="250"/>
        <v>#VALUE!</v>
      </c>
      <c r="DH160" s="179" t="e">
        <f t="shared" ca="1" si="250"/>
        <v>#VALUE!</v>
      </c>
      <c r="DI160" s="179" t="e">
        <f t="shared" ca="1" si="250"/>
        <v>#VALUE!</v>
      </c>
      <c r="DJ160" s="179" t="e">
        <f t="shared" ca="1" si="259"/>
        <v>#VALUE!</v>
      </c>
      <c r="DK160" s="179" t="e">
        <f t="shared" ca="1" si="259"/>
        <v>#VALUE!</v>
      </c>
      <c r="DL160" s="179" t="e">
        <f t="shared" ca="1" si="204"/>
        <v>#VALUE!</v>
      </c>
      <c r="DM160" s="179" t="e">
        <f t="shared" ca="1" si="204"/>
        <v>#VALUE!</v>
      </c>
      <c r="DN160" s="179" t="e">
        <f t="shared" ca="1" si="204"/>
        <v>#VALUE!</v>
      </c>
      <c r="DO160" s="179" t="e">
        <f t="shared" ca="1" si="204"/>
        <v>#VALUE!</v>
      </c>
      <c r="DP160" s="179" t="e">
        <f t="shared" ca="1" si="204"/>
        <v>#VALUE!</v>
      </c>
      <c r="DQ160" s="179" t="e">
        <f t="shared" ca="1" si="204"/>
        <v>#VALUE!</v>
      </c>
      <c r="DR160" s="188">
        <v>142</v>
      </c>
      <c r="DS160" s="430">
        <f t="shared" ca="1" si="256"/>
        <v>50474</v>
      </c>
      <c r="DT160" s="180">
        <f t="shared" ca="1" si="252"/>
        <v>0</v>
      </c>
      <c r="DU160" s="180">
        <f t="shared" ca="1" si="252"/>
        <v>0</v>
      </c>
      <c r="DV160" s="180">
        <f t="shared" ca="1" si="252"/>
        <v>0</v>
      </c>
      <c r="DW160" s="180">
        <f t="shared" ca="1" si="251"/>
        <v>0</v>
      </c>
      <c r="DX160" s="180">
        <f t="shared" ca="1" si="251"/>
        <v>0</v>
      </c>
      <c r="DY160" s="180">
        <f t="shared" ca="1" si="251"/>
        <v>0</v>
      </c>
      <c r="DZ160" s="180">
        <f t="shared" ca="1" si="251"/>
        <v>0</v>
      </c>
      <c r="EA160" s="180">
        <f t="shared" ca="1" si="251"/>
        <v>0</v>
      </c>
      <c r="EB160" s="180">
        <f t="shared" ca="1" si="251"/>
        <v>0</v>
      </c>
      <c r="EC160" s="180">
        <f t="shared" ca="1" si="196"/>
        <v>0</v>
      </c>
      <c r="ED160" s="180">
        <f t="shared" ca="1" si="196"/>
        <v>0</v>
      </c>
      <c r="EE160" s="180">
        <f t="shared" ca="1" si="196"/>
        <v>0</v>
      </c>
      <c r="EF160" s="180">
        <f t="shared" ca="1" si="196"/>
        <v>0</v>
      </c>
      <c r="EG160" s="180">
        <f t="shared" ca="1" si="196"/>
        <v>0</v>
      </c>
      <c r="EH160" s="180">
        <f t="shared" ca="1" si="196"/>
        <v>0</v>
      </c>
      <c r="EI160" s="180">
        <f t="shared" ca="1" si="206"/>
        <v>0</v>
      </c>
      <c r="EJ160" s="180">
        <f t="shared" ca="1" si="206"/>
        <v>0</v>
      </c>
      <c r="EK160" s="180">
        <f t="shared" ca="1" si="206"/>
        <v>0</v>
      </c>
      <c r="EL160" s="180">
        <f t="shared" ca="1" si="206"/>
        <v>0</v>
      </c>
      <c r="EM160" s="180">
        <f t="shared" ca="1" si="206"/>
        <v>0</v>
      </c>
      <c r="EN160" s="180">
        <f t="shared" ca="1" si="206"/>
        <v>0</v>
      </c>
      <c r="EO160" s="180">
        <f t="shared" ca="1" si="206"/>
        <v>0</v>
      </c>
      <c r="EP160" s="180">
        <f t="shared" ca="1" si="206"/>
        <v>0</v>
      </c>
      <c r="EQ160" s="180"/>
      <c r="ER160" s="180"/>
    </row>
    <row r="161" spans="2:148" s="87" customFormat="1" hidden="1" x14ac:dyDescent="0.25">
      <c r="B161" s="151"/>
      <c r="C161" s="87">
        <v>100</v>
      </c>
      <c r="D161" s="258">
        <f t="shared" ca="1" si="260"/>
        <v>49197</v>
      </c>
      <c r="E161" s="175">
        <f t="shared" si="257"/>
        <v>0</v>
      </c>
      <c r="F161" s="175">
        <f t="shared" si="257"/>
        <v>0</v>
      </c>
      <c r="G161" s="175">
        <f t="shared" si="257"/>
        <v>0</v>
      </c>
      <c r="H161" s="175">
        <f t="shared" si="257"/>
        <v>0</v>
      </c>
      <c r="I161" s="175">
        <f t="shared" si="257"/>
        <v>0</v>
      </c>
      <c r="J161" s="175">
        <f t="shared" si="257"/>
        <v>0</v>
      </c>
      <c r="K161" s="175">
        <f t="shared" si="257"/>
        <v>0</v>
      </c>
      <c r="L161" s="175">
        <f t="shared" si="257"/>
        <v>0</v>
      </c>
      <c r="M161" s="175">
        <f t="shared" si="257"/>
        <v>0</v>
      </c>
      <c r="N161" s="175">
        <f t="shared" si="257"/>
        <v>0</v>
      </c>
      <c r="O161" s="175">
        <f t="shared" si="258"/>
        <v>0</v>
      </c>
      <c r="P161" s="175">
        <f t="shared" si="258"/>
        <v>0</v>
      </c>
      <c r="Q161" s="175">
        <f t="shared" si="258"/>
        <v>0</v>
      </c>
      <c r="R161" s="175">
        <f t="shared" si="258"/>
        <v>0</v>
      </c>
      <c r="S161" s="175">
        <f t="shared" si="258"/>
        <v>0</v>
      </c>
      <c r="T161" s="175">
        <f t="shared" si="258"/>
        <v>0</v>
      </c>
      <c r="U161" s="175">
        <f t="shared" si="258"/>
        <v>0</v>
      </c>
      <c r="V161" s="175"/>
      <c r="W161" s="140"/>
      <c r="X161" s="87">
        <v>143</v>
      </c>
      <c r="Y161" s="87">
        <f t="shared" si="229"/>
        <v>0</v>
      </c>
      <c r="Z161" s="87">
        <f t="shared" si="230"/>
        <v>0</v>
      </c>
      <c r="AA161" s="87">
        <f t="shared" si="231"/>
        <v>0</v>
      </c>
      <c r="AB161" s="87">
        <f t="shared" si="232"/>
        <v>0</v>
      </c>
      <c r="AC161" s="87">
        <f t="shared" si="233"/>
        <v>0</v>
      </c>
      <c r="AD161" s="87">
        <f t="shared" si="234"/>
        <v>0</v>
      </c>
      <c r="AE161" s="87">
        <f t="shared" si="235"/>
        <v>0</v>
      </c>
      <c r="AF161" s="87">
        <f t="shared" si="236"/>
        <v>0</v>
      </c>
      <c r="AG161" s="87">
        <f t="shared" si="237"/>
        <v>0</v>
      </c>
      <c r="AH161" s="87">
        <f t="shared" si="238"/>
        <v>0</v>
      </c>
      <c r="AI161" s="87">
        <f t="shared" si="239"/>
        <v>0</v>
      </c>
      <c r="AJ161" s="87">
        <f t="shared" si="240"/>
        <v>0</v>
      </c>
      <c r="AK161" s="87">
        <f t="shared" si="241"/>
        <v>0</v>
      </c>
      <c r="AL161" s="87">
        <f t="shared" si="242"/>
        <v>0</v>
      </c>
      <c r="AM161" s="87">
        <f t="shared" si="243"/>
        <v>0</v>
      </c>
      <c r="AN161" s="87">
        <f t="shared" si="244"/>
        <v>0</v>
      </c>
      <c r="AO161" s="87">
        <f t="shared" si="245"/>
        <v>0</v>
      </c>
      <c r="AP161" s="140"/>
      <c r="AQ161" s="426">
        <v>143</v>
      </c>
      <c r="AR161" s="258">
        <f t="shared" ca="1" si="253"/>
        <v>50505</v>
      </c>
      <c r="AS161" s="429">
        <f t="shared" si="209"/>
        <v>0</v>
      </c>
      <c r="AT161" s="140"/>
      <c r="AU161" s="278">
        <v>143</v>
      </c>
      <c r="AV161" s="258">
        <f t="shared" ca="1" si="254"/>
        <v>50535</v>
      </c>
      <c r="AW161" s="429">
        <f t="shared" si="246"/>
        <v>0</v>
      </c>
      <c r="AX161" s="202">
        <f t="shared" ca="1" si="247"/>
        <v>0</v>
      </c>
      <c r="AY161" s="278">
        <v>143</v>
      </c>
      <c r="AZ161" s="258">
        <f t="shared" ca="1" si="255"/>
        <v>50535</v>
      </c>
      <c r="BA161" s="429">
        <f t="shared" si="248"/>
        <v>0</v>
      </c>
      <c r="BB161" s="259">
        <f t="shared" ca="1" si="210"/>
        <v>50505</v>
      </c>
      <c r="BC161" s="428">
        <f t="shared" ca="1" si="249"/>
        <v>0</v>
      </c>
      <c r="BD161" s="188">
        <f t="shared" si="211"/>
        <v>0</v>
      </c>
      <c r="BE161" s="188">
        <f t="shared" si="212"/>
        <v>0</v>
      </c>
      <c r="BF161" s="188">
        <f t="shared" si="213"/>
        <v>0</v>
      </c>
      <c r="BG161" s="87">
        <f t="shared" si="214"/>
        <v>0</v>
      </c>
      <c r="BH161" s="87">
        <f t="shared" si="215"/>
        <v>0</v>
      </c>
      <c r="BI161" s="87">
        <f t="shared" si="216"/>
        <v>0</v>
      </c>
      <c r="BJ161" s="87">
        <f t="shared" si="217"/>
        <v>0</v>
      </c>
      <c r="BK161" s="87">
        <f t="shared" si="218"/>
        <v>0</v>
      </c>
      <c r="BL161" s="87">
        <f t="shared" si="219"/>
        <v>0</v>
      </c>
      <c r="BM161" s="87">
        <f t="shared" si="220"/>
        <v>0</v>
      </c>
      <c r="BN161" s="87">
        <f t="shared" si="221"/>
        <v>0</v>
      </c>
      <c r="BO161" s="87">
        <f t="shared" si="222"/>
        <v>0</v>
      </c>
      <c r="BP161" s="87">
        <f t="shared" si="223"/>
        <v>0</v>
      </c>
      <c r="BQ161" s="87">
        <f t="shared" si="224"/>
        <v>0</v>
      </c>
      <c r="BR161" s="87">
        <f t="shared" si="225"/>
        <v>0</v>
      </c>
      <c r="BS161" s="87">
        <f t="shared" si="226"/>
        <v>0</v>
      </c>
      <c r="BT161" s="87">
        <f t="shared" si="227"/>
        <v>0</v>
      </c>
      <c r="BV161" s="177"/>
      <c r="BW161" s="177"/>
      <c r="BX161" s="267"/>
      <c r="BY161" s="267"/>
      <c r="BZ161" s="267"/>
      <c r="CA161" s="267"/>
      <c r="CB161" s="267"/>
      <c r="CC161" s="267"/>
      <c r="CD161" s="267"/>
      <c r="CE161" s="267"/>
      <c r="CF161" s="267"/>
      <c r="CG161" s="267"/>
      <c r="CH161" s="267"/>
      <c r="CI161" s="435"/>
      <c r="CJ161" s="436"/>
      <c r="CK161" s="437"/>
      <c r="CM161" s="64" t="s">
        <v>372</v>
      </c>
      <c r="CN161" s="707">
        <v>44.285714285714285</v>
      </c>
      <c r="CS161" s="178">
        <v>143</v>
      </c>
      <c r="CT161" s="259">
        <f t="shared" ca="1" si="228"/>
        <v>50535</v>
      </c>
      <c r="CU161" s="179">
        <f t="shared" ca="1" si="250"/>
        <v>0</v>
      </c>
      <c r="CV161" s="179">
        <f t="shared" ca="1" si="250"/>
        <v>0</v>
      </c>
      <c r="CW161" s="179">
        <f t="shared" ca="1" si="250"/>
        <v>0</v>
      </c>
      <c r="CX161" s="179">
        <f t="shared" ca="1" si="250"/>
        <v>0</v>
      </c>
      <c r="CY161" s="179">
        <f t="shared" ca="1" si="250"/>
        <v>0</v>
      </c>
      <c r="CZ161" s="179">
        <f t="shared" ca="1" si="250"/>
        <v>0</v>
      </c>
      <c r="DA161" s="179">
        <f t="shared" ca="1" si="250"/>
        <v>0</v>
      </c>
      <c r="DB161" s="179">
        <f t="shared" ca="1" si="250"/>
        <v>0</v>
      </c>
      <c r="DC161" s="179">
        <f t="shared" ca="1" si="250"/>
        <v>0</v>
      </c>
      <c r="DD161" s="179">
        <f t="shared" ca="1" si="250"/>
        <v>0</v>
      </c>
      <c r="DE161" s="179">
        <f t="shared" ca="1" si="250"/>
        <v>0</v>
      </c>
      <c r="DF161" s="179" t="e">
        <f t="shared" ca="1" si="250"/>
        <v>#VALUE!</v>
      </c>
      <c r="DG161" s="179" t="e">
        <f t="shared" ca="1" si="250"/>
        <v>#VALUE!</v>
      </c>
      <c r="DH161" s="179" t="e">
        <f t="shared" ca="1" si="250"/>
        <v>#VALUE!</v>
      </c>
      <c r="DI161" s="179" t="e">
        <f t="shared" ca="1" si="250"/>
        <v>#VALUE!</v>
      </c>
      <c r="DJ161" s="179" t="e">
        <f t="shared" ca="1" si="259"/>
        <v>#VALUE!</v>
      </c>
      <c r="DK161" s="179" t="e">
        <f t="shared" ca="1" si="259"/>
        <v>#VALUE!</v>
      </c>
      <c r="DL161" s="179" t="e">
        <f t="shared" ca="1" si="204"/>
        <v>#VALUE!</v>
      </c>
      <c r="DM161" s="179" t="e">
        <f t="shared" ca="1" si="204"/>
        <v>#VALUE!</v>
      </c>
      <c r="DN161" s="179" t="e">
        <f t="shared" ca="1" si="204"/>
        <v>#VALUE!</v>
      </c>
      <c r="DO161" s="179" t="e">
        <f t="shared" ca="1" si="204"/>
        <v>#VALUE!</v>
      </c>
      <c r="DP161" s="179" t="e">
        <f t="shared" ca="1" si="204"/>
        <v>#VALUE!</v>
      </c>
      <c r="DQ161" s="179" t="e">
        <f t="shared" ca="1" si="204"/>
        <v>#VALUE!</v>
      </c>
      <c r="DR161" s="431">
        <v>143</v>
      </c>
      <c r="DS161" s="430">
        <f t="shared" ca="1" si="256"/>
        <v>50505</v>
      </c>
      <c r="DT161" s="180">
        <f t="shared" ca="1" si="252"/>
        <v>0</v>
      </c>
      <c r="DU161" s="180">
        <f t="shared" ca="1" si="252"/>
        <v>0</v>
      </c>
      <c r="DV161" s="180">
        <f t="shared" ca="1" si="252"/>
        <v>0</v>
      </c>
      <c r="DW161" s="180">
        <f t="shared" ca="1" si="251"/>
        <v>0</v>
      </c>
      <c r="DX161" s="180">
        <f t="shared" ca="1" si="251"/>
        <v>0</v>
      </c>
      <c r="DY161" s="180">
        <f t="shared" ca="1" si="251"/>
        <v>0</v>
      </c>
      <c r="DZ161" s="180">
        <f t="shared" ca="1" si="251"/>
        <v>0</v>
      </c>
      <c r="EA161" s="180">
        <f t="shared" ca="1" si="251"/>
        <v>0</v>
      </c>
      <c r="EB161" s="180">
        <f t="shared" ca="1" si="251"/>
        <v>0</v>
      </c>
      <c r="EC161" s="180">
        <f t="shared" ca="1" si="196"/>
        <v>0</v>
      </c>
      <c r="ED161" s="180">
        <f t="shared" ca="1" si="196"/>
        <v>0</v>
      </c>
      <c r="EE161" s="180">
        <f t="shared" ca="1" si="196"/>
        <v>0</v>
      </c>
      <c r="EF161" s="180">
        <f t="shared" ca="1" si="196"/>
        <v>0</v>
      </c>
      <c r="EG161" s="180">
        <f t="shared" ca="1" si="196"/>
        <v>0</v>
      </c>
      <c r="EH161" s="180">
        <f t="shared" ca="1" si="196"/>
        <v>0</v>
      </c>
      <c r="EI161" s="180">
        <f t="shared" ca="1" si="206"/>
        <v>0</v>
      </c>
      <c r="EJ161" s="180">
        <f t="shared" ca="1" si="206"/>
        <v>0</v>
      </c>
      <c r="EK161" s="180">
        <f t="shared" ca="1" si="206"/>
        <v>0</v>
      </c>
      <c r="EL161" s="180">
        <f t="shared" ca="1" si="206"/>
        <v>0</v>
      </c>
      <c r="EM161" s="180">
        <f t="shared" ca="1" si="206"/>
        <v>0</v>
      </c>
      <c r="EN161" s="180">
        <f t="shared" ca="1" si="206"/>
        <v>0</v>
      </c>
      <c r="EO161" s="180">
        <f t="shared" ca="1" si="206"/>
        <v>0</v>
      </c>
      <c r="EP161" s="180">
        <f t="shared" ca="1" si="206"/>
        <v>0</v>
      </c>
      <c r="EQ161" s="180"/>
      <c r="ER161" s="180"/>
    </row>
    <row r="162" spans="2:148" s="87" customFormat="1" hidden="1" x14ac:dyDescent="0.25">
      <c r="B162" s="151"/>
      <c r="C162" s="87">
        <v>101</v>
      </c>
      <c r="D162" s="258">
        <f t="shared" ca="1" si="260"/>
        <v>49227</v>
      </c>
      <c r="E162" s="175">
        <f t="shared" ref="E162:N171" si="261">IF($C162&lt;=E$17,1/(($D$60+1)^(($D162-$D$61)/30)),0)</f>
        <v>0</v>
      </c>
      <c r="F162" s="175">
        <f t="shared" si="261"/>
        <v>0</v>
      </c>
      <c r="G162" s="175">
        <f t="shared" si="261"/>
        <v>0</v>
      </c>
      <c r="H162" s="175">
        <f t="shared" si="261"/>
        <v>0</v>
      </c>
      <c r="I162" s="175">
        <f t="shared" si="261"/>
        <v>0</v>
      </c>
      <c r="J162" s="175">
        <f t="shared" si="261"/>
        <v>0</v>
      </c>
      <c r="K162" s="175">
        <f t="shared" si="261"/>
        <v>0</v>
      </c>
      <c r="L162" s="175">
        <f t="shared" si="261"/>
        <v>0</v>
      </c>
      <c r="M162" s="175">
        <f t="shared" si="261"/>
        <v>0</v>
      </c>
      <c r="N162" s="175">
        <f t="shared" si="261"/>
        <v>0</v>
      </c>
      <c r="O162" s="175">
        <f t="shared" ref="O162:U171" si="262">IF($C162&lt;=O$17,1/(($D$60+1)^(($D162-$D$61)/30)),0)</f>
        <v>0</v>
      </c>
      <c r="P162" s="175">
        <f t="shared" si="262"/>
        <v>0</v>
      </c>
      <c r="Q162" s="175">
        <f t="shared" si="262"/>
        <v>0</v>
      </c>
      <c r="R162" s="175">
        <f t="shared" si="262"/>
        <v>0</v>
      </c>
      <c r="S162" s="175">
        <f t="shared" si="262"/>
        <v>0</v>
      </c>
      <c r="T162" s="175">
        <f t="shared" si="262"/>
        <v>0</v>
      </c>
      <c r="U162" s="175">
        <f t="shared" si="262"/>
        <v>0</v>
      </c>
      <c r="V162" s="175"/>
      <c r="W162" s="140"/>
      <c r="X162" s="87">
        <v>144</v>
      </c>
      <c r="Y162" s="87">
        <f t="shared" si="229"/>
        <v>0</v>
      </c>
      <c r="Z162" s="87">
        <f t="shared" si="230"/>
        <v>0</v>
      </c>
      <c r="AA162" s="87">
        <f t="shared" si="231"/>
        <v>0</v>
      </c>
      <c r="AB162" s="87">
        <f t="shared" si="232"/>
        <v>0</v>
      </c>
      <c r="AC162" s="87">
        <f t="shared" si="233"/>
        <v>0</v>
      </c>
      <c r="AD162" s="87">
        <f t="shared" si="234"/>
        <v>0</v>
      </c>
      <c r="AE162" s="87">
        <f t="shared" si="235"/>
        <v>0</v>
      </c>
      <c r="AF162" s="87">
        <f t="shared" si="236"/>
        <v>0</v>
      </c>
      <c r="AG162" s="87">
        <f t="shared" si="237"/>
        <v>0</v>
      </c>
      <c r="AH162" s="87">
        <f t="shared" si="238"/>
        <v>0</v>
      </c>
      <c r="AI162" s="87">
        <f t="shared" si="239"/>
        <v>0</v>
      </c>
      <c r="AJ162" s="87">
        <f t="shared" si="240"/>
        <v>0</v>
      </c>
      <c r="AK162" s="87">
        <f t="shared" si="241"/>
        <v>0</v>
      </c>
      <c r="AL162" s="87">
        <f t="shared" si="242"/>
        <v>0</v>
      </c>
      <c r="AM162" s="87">
        <f t="shared" si="243"/>
        <v>0</v>
      </c>
      <c r="AN162" s="87">
        <f t="shared" si="244"/>
        <v>0</v>
      </c>
      <c r="AO162" s="87">
        <f t="shared" si="245"/>
        <v>0</v>
      </c>
      <c r="AP162" s="140"/>
      <c r="AQ162" s="426">
        <v>144</v>
      </c>
      <c r="AR162" s="258">
        <f t="shared" ca="1" si="253"/>
        <v>50535</v>
      </c>
      <c r="AS162" s="429">
        <f t="shared" si="209"/>
        <v>0</v>
      </c>
      <c r="AT162" s="140"/>
      <c r="AU162" s="278">
        <v>144</v>
      </c>
      <c r="AV162" s="258">
        <f t="shared" ca="1" si="254"/>
        <v>50566</v>
      </c>
      <c r="AW162" s="429">
        <f t="shared" si="246"/>
        <v>0</v>
      </c>
      <c r="AX162" s="202">
        <f t="shared" ca="1" si="247"/>
        <v>0</v>
      </c>
      <c r="AY162" s="278">
        <v>144</v>
      </c>
      <c r="AZ162" s="258">
        <f t="shared" ca="1" si="255"/>
        <v>50566</v>
      </c>
      <c r="BA162" s="429">
        <f t="shared" si="248"/>
        <v>0</v>
      </c>
      <c r="BB162" s="259">
        <f t="shared" ca="1" si="210"/>
        <v>50535</v>
      </c>
      <c r="BC162" s="428">
        <f t="shared" ca="1" si="249"/>
        <v>0</v>
      </c>
      <c r="BD162" s="188">
        <f t="shared" si="211"/>
        <v>0</v>
      </c>
      <c r="BE162" s="188">
        <f t="shared" si="212"/>
        <v>0</v>
      </c>
      <c r="BF162" s="188">
        <f t="shared" si="213"/>
        <v>0</v>
      </c>
      <c r="BG162" s="87">
        <f t="shared" si="214"/>
        <v>0</v>
      </c>
      <c r="BH162" s="87">
        <f t="shared" si="215"/>
        <v>0</v>
      </c>
      <c r="BI162" s="87">
        <f t="shared" si="216"/>
        <v>0</v>
      </c>
      <c r="BJ162" s="87">
        <f t="shared" si="217"/>
        <v>0</v>
      </c>
      <c r="BK162" s="87">
        <f t="shared" si="218"/>
        <v>0</v>
      </c>
      <c r="BL162" s="87">
        <f t="shared" si="219"/>
        <v>0</v>
      </c>
      <c r="BM162" s="87">
        <f t="shared" si="220"/>
        <v>0</v>
      </c>
      <c r="BN162" s="87">
        <f t="shared" si="221"/>
        <v>0</v>
      </c>
      <c r="BO162" s="87">
        <f t="shared" si="222"/>
        <v>0</v>
      </c>
      <c r="BP162" s="87">
        <f t="shared" si="223"/>
        <v>0</v>
      </c>
      <c r="BQ162" s="87">
        <f t="shared" si="224"/>
        <v>0</v>
      </c>
      <c r="BR162" s="87">
        <f t="shared" si="225"/>
        <v>0</v>
      </c>
      <c r="BS162" s="87">
        <f t="shared" si="226"/>
        <v>0</v>
      </c>
      <c r="BT162" s="87">
        <f t="shared" si="227"/>
        <v>0</v>
      </c>
      <c r="BV162" s="177"/>
      <c r="BW162" s="177"/>
      <c r="BX162" s="267"/>
      <c r="BY162" s="267"/>
      <c r="BZ162" s="267"/>
      <c r="CA162" s="267"/>
      <c r="CB162" s="267"/>
      <c r="CC162" s="267"/>
      <c r="CD162" s="267"/>
      <c r="CE162" s="267"/>
      <c r="CF162" s="267"/>
      <c r="CG162" s="267"/>
      <c r="CH162" s="267"/>
      <c r="CI162" s="435"/>
      <c r="CJ162" s="436"/>
      <c r="CK162" s="437"/>
      <c r="CM162" s="64" t="s">
        <v>1091</v>
      </c>
      <c r="CN162" s="707">
        <v>36</v>
      </c>
      <c r="CS162" s="138">
        <v>144</v>
      </c>
      <c r="CT162" s="259">
        <f t="shared" ca="1" si="228"/>
        <v>50566</v>
      </c>
      <c r="CU162" s="179">
        <f ca="1">(($AW162/(1+CU$18)^(($AZ162-$AZ$18)/30)))+($AS162/(1+CU$18)^(($AZ162-$AZ$18)/30))</f>
        <v>0</v>
      </c>
      <c r="CV162" s="179">
        <f t="shared" ca="1" si="250"/>
        <v>0</v>
      </c>
      <c r="CW162" s="179">
        <f t="shared" ca="1" si="250"/>
        <v>0</v>
      </c>
      <c r="CX162" s="179">
        <f t="shared" ca="1" si="250"/>
        <v>0</v>
      </c>
      <c r="CY162" s="179">
        <f t="shared" ca="1" si="250"/>
        <v>0</v>
      </c>
      <c r="CZ162" s="179">
        <f t="shared" ca="1" si="250"/>
        <v>0</v>
      </c>
      <c r="DA162" s="179">
        <f t="shared" ca="1" si="250"/>
        <v>0</v>
      </c>
      <c r="DB162" s="179">
        <f t="shared" ca="1" si="250"/>
        <v>0</v>
      </c>
      <c r="DC162" s="179">
        <f t="shared" ca="1" si="250"/>
        <v>0</v>
      </c>
      <c r="DD162" s="179">
        <f t="shared" ca="1" si="250"/>
        <v>0</v>
      </c>
      <c r="DE162" s="179">
        <f t="shared" ca="1" si="250"/>
        <v>0</v>
      </c>
      <c r="DF162" s="179" t="e">
        <f t="shared" ca="1" si="250"/>
        <v>#VALUE!</v>
      </c>
      <c r="DG162" s="179" t="e">
        <f t="shared" ca="1" si="250"/>
        <v>#VALUE!</v>
      </c>
      <c r="DH162" s="179" t="e">
        <f t="shared" ca="1" si="250"/>
        <v>#VALUE!</v>
      </c>
      <c r="DI162" s="179" t="e">
        <f t="shared" ca="1" si="250"/>
        <v>#VALUE!</v>
      </c>
      <c r="DJ162" s="179" t="e">
        <f t="shared" ca="1" si="259"/>
        <v>#VALUE!</v>
      </c>
      <c r="DK162" s="179" t="e">
        <f t="shared" ca="1" si="259"/>
        <v>#VALUE!</v>
      </c>
      <c r="DL162" s="179" t="e">
        <f t="shared" ca="1" si="204"/>
        <v>#VALUE!</v>
      </c>
      <c r="DM162" s="179" t="e">
        <f t="shared" ca="1" si="204"/>
        <v>#VALUE!</v>
      </c>
      <c r="DN162" s="179" t="e">
        <f t="shared" ca="1" si="204"/>
        <v>#VALUE!</v>
      </c>
      <c r="DO162" s="179" t="e">
        <f t="shared" ca="1" si="204"/>
        <v>#VALUE!</v>
      </c>
      <c r="DP162" s="179" t="e">
        <f t="shared" ca="1" si="204"/>
        <v>#VALUE!</v>
      </c>
      <c r="DQ162" s="179" t="e">
        <f t="shared" ca="1" si="204"/>
        <v>#VALUE!</v>
      </c>
      <c r="DR162" s="278">
        <v>144</v>
      </c>
      <c r="DS162" s="430">
        <f t="shared" ca="1" si="256"/>
        <v>50535</v>
      </c>
      <c r="DT162" s="180">
        <f t="shared" ca="1" si="252"/>
        <v>0</v>
      </c>
      <c r="DU162" s="180">
        <f t="shared" ca="1" si="252"/>
        <v>0</v>
      </c>
      <c r="DV162" s="180">
        <f t="shared" ca="1" si="252"/>
        <v>0</v>
      </c>
      <c r="DW162" s="180">
        <f t="shared" ca="1" si="251"/>
        <v>0</v>
      </c>
      <c r="DX162" s="180">
        <f t="shared" ca="1" si="251"/>
        <v>0</v>
      </c>
      <c r="DY162" s="180">
        <f t="shared" ca="1" si="251"/>
        <v>0</v>
      </c>
      <c r="DZ162" s="180">
        <f t="shared" ca="1" si="251"/>
        <v>0</v>
      </c>
      <c r="EA162" s="180">
        <f t="shared" ca="1" si="251"/>
        <v>0</v>
      </c>
      <c r="EB162" s="180">
        <f t="shared" ca="1" si="251"/>
        <v>0</v>
      </c>
      <c r="EC162" s="180">
        <f t="shared" ca="1" si="196"/>
        <v>0</v>
      </c>
      <c r="ED162" s="180">
        <f t="shared" ca="1" si="196"/>
        <v>0</v>
      </c>
      <c r="EE162" s="180">
        <f t="shared" ca="1" si="196"/>
        <v>0</v>
      </c>
      <c r="EF162" s="180">
        <f t="shared" ca="1" si="196"/>
        <v>0</v>
      </c>
      <c r="EG162" s="180">
        <f t="shared" ca="1" si="196"/>
        <v>0</v>
      </c>
      <c r="EH162" s="180">
        <f t="shared" ca="1" si="196"/>
        <v>0</v>
      </c>
      <c r="EI162" s="180">
        <f t="shared" ca="1" si="206"/>
        <v>0</v>
      </c>
      <c r="EJ162" s="180">
        <f t="shared" ca="1" si="206"/>
        <v>0</v>
      </c>
      <c r="EK162" s="180">
        <f t="shared" ca="1" si="206"/>
        <v>0</v>
      </c>
      <c r="EL162" s="180">
        <f t="shared" ca="1" si="206"/>
        <v>0</v>
      </c>
      <c r="EM162" s="180">
        <f t="shared" ca="1" si="206"/>
        <v>0</v>
      </c>
      <c r="EN162" s="180">
        <f t="shared" ca="1" si="206"/>
        <v>0</v>
      </c>
      <c r="EO162" s="180">
        <f t="shared" ref="EI162:EP164" ca="1" si="263">IFERROR(VLOOKUP($DS162,$AZ$19:$BA$162,2,FALSE),0)-IFERROR(VLOOKUP($DS162,$AR$19:$AS$162,2,FALSE),0)</f>
        <v>0</v>
      </c>
      <c r="EP162" s="180">
        <f t="shared" ca="1" si="263"/>
        <v>0</v>
      </c>
      <c r="EQ162" s="180"/>
      <c r="ER162" s="180"/>
    </row>
    <row r="163" spans="2:148" s="87" customFormat="1" hidden="1" x14ac:dyDescent="0.25">
      <c r="B163" s="151"/>
      <c r="C163" s="87">
        <v>102</v>
      </c>
      <c r="D163" s="258">
        <f t="shared" ca="1" si="260"/>
        <v>49258</v>
      </c>
      <c r="E163" s="175">
        <f t="shared" si="261"/>
        <v>0</v>
      </c>
      <c r="F163" s="175">
        <f t="shared" si="261"/>
        <v>0</v>
      </c>
      <c r="G163" s="175">
        <f t="shared" si="261"/>
        <v>0</v>
      </c>
      <c r="H163" s="175">
        <f t="shared" si="261"/>
        <v>0</v>
      </c>
      <c r="I163" s="175">
        <f t="shared" si="261"/>
        <v>0</v>
      </c>
      <c r="J163" s="175">
        <f t="shared" si="261"/>
        <v>0</v>
      </c>
      <c r="K163" s="175">
        <f t="shared" si="261"/>
        <v>0</v>
      </c>
      <c r="L163" s="175">
        <f t="shared" si="261"/>
        <v>0</v>
      </c>
      <c r="M163" s="175">
        <f t="shared" si="261"/>
        <v>0</v>
      </c>
      <c r="N163" s="175">
        <f t="shared" si="261"/>
        <v>0</v>
      </c>
      <c r="O163" s="175">
        <f t="shared" si="262"/>
        <v>0</v>
      </c>
      <c r="P163" s="175">
        <f t="shared" si="262"/>
        <v>0</v>
      </c>
      <c r="Q163" s="175">
        <f t="shared" si="262"/>
        <v>0</v>
      </c>
      <c r="R163" s="175">
        <f t="shared" si="262"/>
        <v>0</v>
      </c>
      <c r="S163" s="175">
        <f t="shared" si="262"/>
        <v>0</v>
      </c>
      <c r="T163" s="175">
        <f t="shared" si="262"/>
        <v>0</v>
      </c>
      <c r="U163" s="175">
        <f t="shared" si="262"/>
        <v>0</v>
      </c>
      <c r="V163" s="175"/>
      <c r="W163" s="140"/>
      <c r="X163" s="140"/>
      <c r="Y163" s="87">
        <f t="shared" ca="1" si="229"/>
        <v>67.81</v>
      </c>
      <c r="Z163" s="87">
        <f t="shared" ca="1" si="230"/>
        <v>70.569999999999993</v>
      </c>
      <c r="AA163" s="87">
        <f t="shared" ca="1" si="231"/>
        <v>1172.83</v>
      </c>
      <c r="AB163" s="87">
        <f t="shared" ca="1" si="232"/>
        <v>278.39999999999998</v>
      </c>
      <c r="AC163" s="87">
        <f t="shared" si="233"/>
        <v>0</v>
      </c>
      <c r="AD163" s="87">
        <f t="shared" si="234"/>
        <v>0</v>
      </c>
      <c r="AE163" s="87">
        <f t="shared" si="235"/>
        <v>0</v>
      </c>
      <c r="AF163" s="87">
        <f t="shared" si="236"/>
        <v>0</v>
      </c>
      <c r="AG163" s="87">
        <f t="shared" si="237"/>
        <v>0</v>
      </c>
      <c r="AH163" s="87">
        <f t="shared" si="238"/>
        <v>0</v>
      </c>
      <c r="AI163" s="87">
        <f t="shared" si="239"/>
        <v>0</v>
      </c>
      <c r="AJ163" s="87">
        <f t="shared" si="240"/>
        <v>0</v>
      </c>
      <c r="AK163" s="87">
        <f t="shared" si="241"/>
        <v>0</v>
      </c>
      <c r="AL163" s="87">
        <f t="shared" si="242"/>
        <v>0</v>
      </c>
      <c r="AM163" s="87">
        <f t="shared" si="243"/>
        <v>0</v>
      </c>
      <c r="AN163" s="87">
        <f t="shared" si="244"/>
        <v>0</v>
      </c>
      <c r="AO163" s="87">
        <f t="shared" si="245"/>
        <v>0</v>
      </c>
      <c r="AP163" s="140"/>
      <c r="AQ163" s="426">
        <v>145</v>
      </c>
      <c r="AR163" s="258">
        <f t="shared" ca="1" si="253"/>
        <v>50566</v>
      </c>
      <c r="AT163" s="140"/>
      <c r="AU163" s="425"/>
      <c r="AV163" s="140"/>
      <c r="AW163" s="262">
        <f ca="1">XIRR(AW18:AW162,AV18:AV162,0)</f>
        <v>0.24985325683593751</v>
      </c>
      <c r="AX163" s="202"/>
      <c r="AY163" s="425"/>
      <c r="AZ163" s="258"/>
      <c r="BB163" s="259">
        <f t="shared" ca="1" si="210"/>
        <v>50566</v>
      </c>
      <c r="BC163" s="428">
        <f t="shared" ca="1" si="249"/>
        <v>0</v>
      </c>
      <c r="BD163" s="439">
        <f ca="1">XIRR(BD18:BD162,$AR$18:$AR$162,0)</f>
        <v>0.19172295410156254</v>
      </c>
      <c r="BE163" s="439">
        <f t="shared" ref="BE163:BQ163" ca="1" si="264">XIRR(BE18:BE162,$AR$18:$AR$162,0)</f>
        <v>0.21628340332031254</v>
      </c>
      <c r="BF163" s="439">
        <f t="shared" ca="1" si="264"/>
        <v>0.20257512207031247</v>
      </c>
      <c r="BG163" s="439">
        <f t="shared" ca="1" si="264"/>
        <v>0.20257663574218748</v>
      </c>
      <c r="BH163" s="439" t="e">
        <f t="shared" ca="1" si="264"/>
        <v>#NUM!</v>
      </c>
      <c r="BI163" s="439" t="e">
        <f t="shared" ca="1" si="264"/>
        <v>#NUM!</v>
      </c>
      <c r="BJ163" s="439" t="e">
        <f t="shared" ca="1" si="264"/>
        <v>#NUM!</v>
      </c>
      <c r="BK163" s="439" t="e">
        <f t="shared" ca="1" si="264"/>
        <v>#NUM!</v>
      </c>
      <c r="BL163" s="439" t="e">
        <f t="shared" ca="1" si="264"/>
        <v>#NUM!</v>
      </c>
      <c r="BM163" s="439" t="e">
        <f t="shared" ca="1" si="264"/>
        <v>#NUM!</v>
      </c>
      <c r="BN163" s="439" t="e">
        <f t="shared" ca="1" si="264"/>
        <v>#NUM!</v>
      </c>
      <c r="BO163" s="439" t="e">
        <f t="shared" ca="1" si="264"/>
        <v>#NUM!</v>
      </c>
      <c r="BP163" s="439" t="e">
        <f t="shared" ca="1" si="264"/>
        <v>#NUM!</v>
      </c>
      <c r="BQ163" s="439" t="e">
        <f t="shared" ca="1" si="264"/>
        <v>#NUM!</v>
      </c>
      <c r="BR163" s="439" t="e">
        <f ca="1">XIRR(BR18:BR162,$AR$18:$AR$162,0)</f>
        <v>#NUM!</v>
      </c>
      <c r="BS163" s="439" t="e">
        <f ca="1">XIRR(BS18:BS162,$AR$18:$AR$162,0)</f>
        <v>#NUM!</v>
      </c>
      <c r="BT163" s="439" t="e">
        <f ca="1">XIRR(BT18:BT162,$AR$18:$AR$162,0)</f>
        <v>#NUM!</v>
      </c>
      <c r="BU163" s="439"/>
      <c r="BV163" s="177"/>
      <c r="BW163" s="177"/>
      <c r="BX163" s="267"/>
      <c r="BY163" s="267"/>
      <c r="BZ163" s="267"/>
      <c r="CA163" s="267"/>
      <c r="CB163" s="267"/>
      <c r="CC163" s="267"/>
      <c r="CD163" s="267"/>
      <c r="CE163" s="267"/>
      <c r="CF163" s="267"/>
      <c r="CG163" s="267"/>
      <c r="CH163" s="267"/>
      <c r="CI163" s="435"/>
      <c r="CJ163" s="436"/>
      <c r="CK163" s="437"/>
      <c r="CM163" s="64" t="s">
        <v>3842</v>
      </c>
      <c r="CN163" s="707">
        <v>86</v>
      </c>
      <c r="CT163" s="261"/>
      <c r="CU163" s="183">
        <f t="shared" ref="CU163:DD163" ca="1" si="265">SUM(CU19:CU162)</f>
        <v>69562.995692589306</v>
      </c>
      <c r="CV163" s="183">
        <f t="shared" ca="1" si="265"/>
        <v>70814.407402582045</v>
      </c>
      <c r="CW163" s="183">
        <f t="shared" ca="1" si="265"/>
        <v>71582.000685400111</v>
      </c>
      <c r="CX163" s="183">
        <f t="shared" ca="1" si="265"/>
        <v>72362.466468175087</v>
      </c>
      <c r="CY163" s="183">
        <f t="shared" ca="1" si="265"/>
        <v>73156.067482229497</v>
      </c>
      <c r="CZ163" s="183">
        <f t="shared" ca="1" si="265"/>
        <v>73963.072447314611</v>
      </c>
      <c r="DA163" s="183">
        <f t="shared" ca="1" si="265"/>
        <v>74508.657870611176</v>
      </c>
      <c r="DB163" s="183">
        <f t="shared" ca="1" si="265"/>
        <v>75618.399935171066</v>
      </c>
      <c r="DC163" s="183">
        <f t="shared" ca="1" si="265"/>
        <v>76182.726350393292</v>
      </c>
      <c r="DD163" s="183">
        <f t="shared" ca="1" si="265"/>
        <v>76753.471694967127</v>
      </c>
      <c r="DE163" s="183">
        <f t="shared" ref="DE163:DQ163" ca="1" si="266">SUM(DE19:DE162)</f>
        <v>77330.72412474663</v>
      </c>
      <c r="DF163" s="183" t="e">
        <f t="shared" ca="1" si="266"/>
        <v>#VALUE!</v>
      </c>
      <c r="DG163" s="183" t="e">
        <f t="shared" ca="1" si="266"/>
        <v>#VALUE!</v>
      </c>
      <c r="DH163" s="183" t="e">
        <f t="shared" ca="1" si="266"/>
        <v>#VALUE!</v>
      </c>
      <c r="DI163" s="183" t="e">
        <f t="shared" ca="1" si="266"/>
        <v>#VALUE!</v>
      </c>
      <c r="DJ163" s="183" t="e">
        <f t="shared" ca="1" si="266"/>
        <v>#VALUE!</v>
      </c>
      <c r="DK163" s="183" t="e">
        <f t="shared" ca="1" si="266"/>
        <v>#VALUE!</v>
      </c>
      <c r="DL163" s="183" t="e">
        <f t="shared" ca="1" si="266"/>
        <v>#VALUE!</v>
      </c>
      <c r="DM163" s="183" t="e">
        <f t="shared" ca="1" si="266"/>
        <v>#VALUE!</v>
      </c>
      <c r="DN163" s="183" t="e">
        <f t="shared" ca="1" si="266"/>
        <v>#VALUE!</v>
      </c>
      <c r="DO163" s="183" t="e">
        <f t="shared" ca="1" si="266"/>
        <v>#VALUE!</v>
      </c>
      <c r="DP163" s="183" t="e">
        <f t="shared" ca="1" si="266"/>
        <v>#VALUE!</v>
      </c>
      <c r="DQ163" s="183" t="e">
        <f t="shared" ca="1" si="266"/>
        <v>#VALUE!</v>
      </c>
      <c r="DR163" s="431">
        <v>145</v>
      </c>
      <c r="DS163" s="430">
        <f t="shared" ca="1" si="256"/>
        <v>50566</v>
      </c>
      <c r="DT163" s="180">
        <f t="shared" ca="1" si="252"/>
        <v>0</v>
      </c>
      <c r="DU163" s="180">
        <f t="shared" ca="1" si="252"/>
        <v>0</v>
      </c>
      <c r="DV163" s="180">
        <f t="shared" ca="1" si="252"/>
        <v>0</v>
      </c>
      <c r="DW163" s="180">
        <f t="shared" ca="1" si="251"/>
        <v>0</v>
      </c>
      <c r="DX163" s="180">
        <f t="shared" ca="1" si="251"/>
        <v>0</v>
      </c>
      <c r="DY163" s="180">
        <f t="shared" ca="1" si="251"/>
        <v>0</v>
      </c>
      <c r="DZ163" s="180">
        <f t="shared" ca="1" si="251"/>
        <v>0</v>
      </c>
      <c r="EA163" s="180">
        <f t="shared" ca="1" si="251"/>
        <v>0</v>
      </c>
      <c r="EB163" s="180">
        <f t="shared" ca="1" si="251"/>
        <v>0</v>
      </c>
      <c r="EC163" s="180">
        <f t="shared" ca="1" si="196"/>
        <v>0</v>
      </c>
      <c r="ED163" s="180">
        <f t="shared" ca="1" si="196"/>
        <v>0</v>
      </c>
      <c r="EE163" s="180">
        <f t="shared" ca="1" si="196"/>
        <v>0</v>
      </c>
      <c r="EF163" s="180">
        <f t="shared" ca="1" si="196"/>
        <v>0</v>
      </c>
      <c r="EG163" s="180">
        <f t="shared" ca="1" si="196"/>
        <v>0</v>
      </c>
      <c r="EH163" s="180">
        <f t="shared" ca="1" si="196"/>
        <v>0</v>
      </c>
      <c r="EI163" s="180">
        <f t="shared" ca="1" si="263"/>
        <v>0</v>
      </c>
      <c r="EJ163" s="180">
        <f t="shared" ca="1" si="263"/>
        <v>0</v>
      </c>
      <c r="EK163" s="180">
        <f t="shared" ca="1" si="263"/>
        <v>0</v>
      </c>
      <c r="EL163" s="180">
        <f t="shared" ca="1" si="263"/>
        <v>0</v>
      </c>
      <c r="EM163" s="180">
        <f t="shared" ca="1" si="263"/>
        <v>0</v>
      </c>
      <c r="EN163" s="180">
        <f t="shared" ca="1" si="263"/>
        <v>0</v>
      </c>
      <c r="EO163" s="180">
        <f t="shared" ca="1" si="263"/>
        <v>0</v>
      </c>
      <c r="EP163" s="180">
        <f t="shared" ca="1" si="263"/>
        <v>0</v>
      </c>
      <c r="EQ163" s="180"/>
      <c r="ER163" s="180"/>
    </row>
    <row r="164" spans="2:148" s="87" customFormat="1" hidden="1" x14ac:dyDescent="0.25">
      <c r="B164" s="151"/>
      <c r="C164" s="87">
        <v>103</v>
      </c>
      <c r="D164" s="258">
        <f t="shared" ca="1" si="260"/>
        <v>49288</v>
      </c>
      <c r="E164" s="175">
        <f t="shared" si="261"/>
        <v>0</v>
      </c>
      <c r="F164" s="175">
        <f t="shared" si="261"/>
        <v>0</v>
      </c>
      <c r="G164" s="175">
        <f t="shared" si="261"/>
        <v>0</v>
      </c>
      <c r="H164" s="175">
        <f t="shared" si="261"/>
        <v>0</v>
      </c>
      <c r="I164" s="175">
        <f t="shared" si="261"/>
        <v>0</v>
      </c>
      <c r="J164" s="175">
        <f t="shared" si="261"/>
        <v>0</v>
      </c>
      <c r="K164" s="175">
        <f t="shared" si="261"/>
        <v>0</v>
      </c>
      <c r="L164" s="175">
        <f t="shared" si="261"/>
        <v>0</v>
      </c>
      <c r="M164" s="175">
        <f t="shared" si="261"/>
        <v>0</v>
      </c>
      <c r="N164" s="175">
        <f t="shared" si="261"/>
        <v>0</v>
      </c>
      <c r="O164" s="175">
        <f t="shared" si="262"/>
        <v>0</v>
      </c>
      <c r="P164" s="175">
        <f t="shared" si="262"/>
        <v>0</v>
      </c>
      <c r="Q164" s="175">
        <f t="shared" si="262"/>
        <v>0</v>
      </c>
      <c r="R164" s="175">
        <f t="shared" si="262"/>
        <v>0</v>
      </c>
      <c r="S164" s="175">
        <f t="shared" si="262"/>
        <v>0</v>
      </c>
      <c r="T164" s="175">
        <f t="shared" si="262"/>
        <v>0</v>
      </c>
      <c r="U164" s="175">
        <f t="shared" si="262"/>
        <v>0</v>
      </c>
      <c r="V164" s="175"/>
      <c r="W164" s="140"/>
      <c r="X164" s="140"/>
      <c r="Y164" s="87">
        <f t="shared" ca="1" si="229"/>
        <v>67.81</v>
      </c>
      <c r="Z164" s="87">
        <f t="shared" ca="1" si="230"/>
        <v>70.569999999999993</v>
      </c>
      <c r="AA164" s="87">
        <f t="shared" ca="1" si="231"/>
        <v>1172.83</v>
      </c>
      <c r="AB164" s="87">
        <f t="shared" ca="1" si="232"/>
        <v>278.39999999999998</v>
      </c>
      <c r="AC164" s="87">
        <f t="shared" si="233"/>
        <v>0</v>
      </c>
      <c r="AD164" s="87">
        <f t="shared" si="234"/>
        <v>0</v>
      </c>
      <c r="AE164" s="87">
        <f t="shared" si="235"/>
        <v>0</v>
      </c>
      <c r="AF164" s="87">
        <f t="shared" si="236"/>
        <v>0</v>
      </c>
      <c r="AG164" s="87">
        <f t="shared" si="237"/>
        <v>0</v>
      </c>
      <c r="AH164" s="87">
        <f t="shared" si="238"/>
        <v>0</v>
      </c>
      <c r="AI164" s="87">
        <f t="shared" si="239"/>
        <v>0</v>
      </c>
      <c r="AJ164" s="87">
        <f t="shared" si="240"/>
        <v>0</v>
      </c>
      <c r="AK164" s="87">
        <f t="shared" si="241"/>
        <v>0</v>
      </c>
      <c r="AL164" s="87">
        <f t="shared" si="242"/>
        <v>0</v>
      </c>
      <c r="AM164" s="87">
        <f t="shared" si="243"/>
        <v>0</v>
      </c>
      <c r="AN164" s="87">
        <f t="shared" si="244"/>
        <v>0</v>
      </c>
      <c r="AO164" s="87">
        <f t="shared" si="245"/>
        <v>0</v>
      </c>
      <c r="AP164" s="140"/>
      <c r="AQ164" s="426">
        <v>146</v>
      </c>
      <c r="AR164" s="258">
        <f t="shared" ca="1" si="253"/>
        <v>50596</v>
      </c>
      <c r="AT164" s="140"/>
      <c r="AU164" s="425"/>
      <c r="AV164" s="140"/>
      <c r="AW164" s="440">
        <f ca="1">(AW163+1)^(30/365)-1</f>
        <v>1.8499959000008115E-2</v>
      </c>
      <c r="AX164" s="140"/>
      <c r="AY164" s="425"/>
      <c r="AZ164" s="258"/>
      <c r="BB164" s="259">
        <f t="shared" ca="1" si="210"/>
        <v>50596</v>
      </c>
      <c r="BC164" s="428">
        <f t="shared" ca="1" si="249"/>
        <v>0</v>
      </c>
      <c r="BD164" s="441">
        <f ca="1">(BD163+1)^(30/365)-1</f>
        <v>1.4520866432916391E-2</v>
      </c>
      <c r="BE164" s="441">
        <f t="shared" ref="BE164:BT164" ca="1" si="267">(BE163+1)^(30/365)-1</f>
        <v>1.6223327723757119E-2</v>
      </c>
      <c r="BF164" s="441">
        <f t="shared" ca="1" si="267"/>
        <v>1.5277041642400624E-2</v>
      </c>
      <c r="BG164" s="441">
        <f t="shared" ca="1" si="267"/>
        <v>1.5277146676963227E-2</v>
      </c>
      <c r="BH164" s="441" t="e">
        <f t="shared" ca="1" si="267"/>
        <v>#NUM!</v>
      </c>
      <c r="BI164" s="441" t="e">
        <f t="shared" ca="1" si="267"/>
        <v>#NUM!</v>
      </c>
      <c r="BJ164" s="441" t="e">
        <f t="shared" ca="1" si="267"/>
        <v>#NUM!</v>
      </c>
      <c r="BK164" s="441" t="e">
        <f t="shared" ca="1" si="267"/>
        <v>#NUM!</v>
      </c>
      <c r="BL164" s="441" t="e">
        <f t="shared" ca="1" si="267"/>
        <v>#NUM!</v>
      </c>
      <c r="BM164" s="441" t="e">
        <f t="shared" ca="1" si="267"/>
        <v>#NUM!</v>
      </c>
      <c r="BN164" s="441" t="e">
        <f t="shared" ca="1" si="267"/>
        <v>#NUM!</v>
      </c>
      <c r="BO164" s="441" t="e">
        <f t="shared" ca="1" si="267"/>
        <v>#NUM!</v>
      </c>
      <c r="BP164" s="441" t="e">
        <f t="shared" ca="1" si="267"/>
        <v>#NUM!</v>
      </c>
      <c r="BQ164" s="441" t="e">
        <f t="shared" ca="1" si="267"/>
        <v>#NUM!</v>
      </c>
      <c r="BR164" s="441" t="e">
        <f t="shared" ca="1" si="267"/>
        <v>#NUM!</v>
      </c>
      <c r="BS164" s="441" t="e">
        <f t="shared" ca="1" si="267"/>
        <v>#NUM!</v>
      </c>
      <c r="BT164" s="441" t="e">
        <f t="shared" ca="1" si="267"/>
        <v>#NUM!</v>
      </c>
      <c r="BU164" s="442"/>
      <c r="BV164" s="177"/>
      <c r="BW164" s="177"/>
      <c r="BX164" s="267"/>
      <c r="BY164" s="267"/>
      <c r="BZ164" s="267"/>
      <c r="CA164" s="267"/>
      <c r="CB164" s="267"/>
      <c r="CC164" s="267"/>
      <c r="CD164" s="267"/>
      <c r="CE164" s="267"/>
      <c r="CF164" s="267"/>
      <c r="CG164" s="267"/>
      <c r="CH164" s="267"/>
      <c r="CI164" s="435"/>
      <c r="CJ164" s="436"/>
      <c r="CK164" s="437"/>
      <c r="CM164" s="64" t="s">
        <v>3672</v>
      </c>
      <c r="CN164" s="707">
        <v>54</v>
      </c>
      <c r="CS164" s="178"/>
      <c r="CT164" s="261"/>
      <c r="CU164" s="261"/>
      <c r="CV164" s="261"/>
      <c r="CW164" s="261"/>
      <c r="CX164" s="261"/>
      <c r="CY164" s="261"/>
      <c r="CZ164" s="261"/>
      <c r="DA164" s="261"/>
      <c r="DB164" s="261"/>
      <c r="DC164" s="261"/>
      <c r="DD164" s="261"/>
      <c r="DE164" s="261"/>
      <c r="DF164" s="261"/>
      <c r="DG164" s="261"/>
      <c r="DH164" s="261"/>
      <c r="DI164" s="261"/>
      <c r="DJ164" s="261"/>
      <c r="DK164" s="261"/>
      <c r="DL164" s="261"/>
      <c r="DM164" s="261"/>
      <c r="DN164" s="261"/>
      <c r="DO164" s="261"/>
      <c r="DP164" s="261"/>
      <c r="DQ164" s="261"/>
      <c r="DR164" s="278">
        <v>146</v>
      </c>
      <c r="DS164" s="430">
        <f t="shared" ca="1" si="256"/>
        <v>50596</v>
      </c>
      <c r="DT164" s="180">
        <f t="shared" ca="1" si="252"/>
        <v>0</v>
      </c>
      <c r="DU164" s="180">
        <f t="shared" ca="1" si="252"/>
        <v>0</v>
      </c>
      <c r="DV164" s="180">
        <f t="shared" ca="1" si="252"/>
        <v>0</v>
      </c>
      <c r="DW164" s="180">
        <f t="shared" ca="1" si="251"/>
        <v>0</v>
      </c>
      <c r="DX164" s="180">
        <f t="shared" ca="1" si="251"/>
        <v>0</v>
      </c>
      <c r="DY164" s="180">
        <f t="shared" ca="1" si="251"/>
        <v>0</v>
      </c>
      <c r="DZ164" s="180">
        <f t="shared" ca="1" si="251"/>
        <v>0</v>
      </c>
      <c r="EA164" s="180">
        <f t="shared" ca="1" si="251"/>
        <v>0</v>
      </c>
      <c r="EB164" s="180">
        <f t="shared" ca="1" si="251"/>
        <v>0</v>
      </c>
      <c r="EC164" s="180">
        <f t="shared" ca="1" si="196"/>
        <v>0</v>
      </c>
      <c r="ED164" s="180">
        <f t="shared" ca="1" si="196"/>
        <v>0</v>
      </c>
      <c r="EE164" s="180">
        <f t="shared" ca="1" si="196"/>
        <v>0</v>
      </c>
      <c r="EF164" s="180">
        <f t="shared" ca="1" si="196"/>
        <v>0</v>
      </c>
      <c r="EG164" s="180">
        <f t="shared" ca="1" si="196"/>
        <v>0</v>
      </c>
      <c r="EH164" s="180">
        <f t="shared" ca="1" si="196"/>
        <v>0</v>
      </c>
      <c r="EI164" s="180">
        <f t="shared" ca="1" si="263"/>
        <v>0</v>
      </c>
      <c r="EJ164" s="180">
        <f t="shared" ca="1" si="263"/>
        <v>0</v>
      </c>
      <c r="EK164" s="180">
        <f t="shared" ca="1" si="263"/>
        <v>0</v>
      </c>
      <c r="EL164" s="180">
        <f t="shared" ca="1" si="263"/>
        <v>0</v>
      </c>
      <c r="EM164" s="180">
        <f t="shared" ca="1" si="263"/>
        <v>0</v>
      </c>
      <c r="EN164" s="180">
        <f t="shared" ca="1" si="263"/>
        <v>0</v>
      </c>
      <c r="EO164" s="180">
        <f t="shared" ca="1" si="263"/>
        <v>0</v>
      </c>
      <c r="EP164" s="180">
        <f t="shared" ca="1" si="263"/>
        <v>0</v>
      </c>
      <c r="EQ164" s="180"/>
      <c r="ER164" s="180"/>
    </row>
    <row r="165" spans="2:148" s="87" customFormat="1" hidden="1" x14ac:dyDescent="0.25">
      <c r="B165" s="151"/>
      <c r="C165" s="87">
        <v>104</v>
      </c>
      <c r="D165" s="258">
        <f t="shared" ca="1" si="260"/>
        <v>49319</v>
      </c>
      <c r="E165" s="175">
        <f t="shared" si="261"/>
        <v>0</v>
      </c>
      <c r="F165" s="175">
        <f t="shared" si="261"/>
        <v>0</v>
      </c>
      <c r="G165" s="175">
        <f t="shared" si="261"/>
        <v>0</v>
      </c>
      <c r="H165" s="175">
        <f t="shared" si="261"/>
        <v>0</v>
      </c>
      <c r="I165" s="175">
        <f t="shared" si="261"/>
        <v>0</v>
      </c>
      <c r="J165" s="175">
        <f t="shared" si="261"/>
        <v>0</v>
      </c>
      <c r="K165" s="175">
        <f t="shared" si="261"/>
        <v>0</v>
      </c>
      <c r="L165" s="175">
        <f t="shared" si="261"/>
        <v>0</v>
      </c>
      <c r="M165" s="175">
        <f t="shared" si="261"/>
        <v>0</v>
      </c>
      <c r="N165" s="175">
        <f t="shared" si="261"/>
        <v>0</v>
      </c>
      <c r="O165" s="175">
        <f t="shared" si="262"/>
        <v>0</v>
      </c>
      <c r="P165" s="175">
        <f t="shared" si="262"/>
        <v>0</v>
      </c>
      <c r="Q165" s="175">
        <f t="shared" si="262"/>
        <v>0</v>
      </c>
      <c r="R165" s="175">
        <f t="shared" si="262"/>
        <v>0</v>
      </c>
      <c r="S165" s="175">
        <f t="shared" si="262"/>
        <v>0</v>
      </c>
      <c r="T165" s="175">
        <f t="shared" si="262"/>
        <v>0</v>
      </c>
      <c r="U165" s="175">
        <f t="shared" si="262"/>
        <v>0</v>
      </c>
      <c r="V165" s="175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426">
        <v>147</v>
      </c>
      <c r="AR165" s="258">
        <f t="shared" ca="1" si="253"/>
        <v>50627</v>
      </c>
      <c r="AS165" s="140"/>
      <c r="AT165" s="140"/>
      <c r="AU165" s="425"/>
      <c r="AV165" s="140"/>
      <c r="AW165" s="140"/>
      <c r="AX165" s="140"/>
      <c r="AY165" s="425"/>
      <c r="AZ165" s="140"/>
      <c r="BB165" s="259">
        <f t="shared" ca="1" si="210"/>
        <v>50627</v>
      </c>
      <c r="BC165" s="428">
        <f t="shared" ca="1" si="249"/>
        <v>0</v>
      </c>
      <c r="BD165" s="441">
        <f ca="1">(BD163+1)^(30/360)-1</f>
        <v>1.4724022709765583E-2</v>
      </c>
      <c r="BE165" s="441">
        <f t="shared" ref="BE165:BT165" ca="1" si="268">(BE163+1)^(30/360)-1</f>
        <v>1.6450495054560532E-2</v>
      </c>
      <c r="BF165" s="441">
        <f t="shared" ca="1" si="268"/>
        <v>1.5490857846948147E-2</v>
      </c>
      <c r="BG165" s="441">
        <f t="shared" ca="1" si="268"/>
        <v>1.5490964362751436E-2</v>
      </c>
      <c r="BH165" s="441" t="e">
        <f t="shared" ca="1" si="268"/>
        <v>#NUM!</v>
      </c>
      <c r="BI165" s="441" t="e">
        <f t="shared" ca="1" si="268"/>
        <v>#NUM!</v>
      </c>
      <c r="BJ165" s="441" t="e">
        <f t="shared" ca="1" si="268"/>
        <v>#NUM!</v>
      </c>
      <c r="BK165" s="441" t="e">
        <f t="shared" ca="1" si="268"/>
        <v>#NUM!</v>
      </c>
      <c r="BL165" s="441" t="e">
        <f t="shared" ca="1" si="268"/>
        <v>#NUM!</v>
      </c>
      <c r="BM165" s="441" t="e">
        <f t="shared" ca="1" si="268"/>
        <v>#NUM!</v>
      </c>
      <c r="BN165" s="441" t="e">
        <f t="shared" ca="1" si="268"/>
        <v>#NUM!</v>
      </c>
      <c r="BO165" s="441" t="e">
        <f t="shared" ca="1" si="268"/>
        <v>#NUM!</v>
      </c>
      <c r="BP165" s="441" t="e">
        <f t="shared" ca="1" si="268"/>
        <v>#NUM!</v>
      </c>
      <c r="BQ165" s="441" t="e">
        <f t="shared" ca="1" si="268"/>
        <v>#NUM!</v>
      </c>
      <c r="BR165" s="441" t="e">
        <f t="shared" ca="1" si="268"/>
        <v>#NUM!</v>
      </c>
      <c r="BS165" s="441" t="e">
        <f t="shared" ca="1" si="268"/>
        <v>#NUM!</v>
      </c>
      <c r="BT165" s="441" t="e">
        <f t="shared" ca="1" si="268"/>
        <v>#NUM!</v>
      </c>
      <c r="BV165" s="177"/>
      <c r="BW165" s="177"/>
      <c r="BX165" s="267"/>
      <c r="BY165" s="267"/>
      <c r="BZ165" s="267"/>
      <c r="CA165" s="267"/>
      <c r="CB165" s="267"/>
      <c r="CC165" s="267"/>
      <c r="CD165" s="267"/>
      <c r="CE165" s="267"/>
      <c r="CF165" s="267"/>
      <c r="CG165" s="267"/>
      <c r="CH165" s="267"/>
      <c r="CI165" s="435"/>
      <c r="CJ165" s="436"/>
      <c r="CK165" s="437"/>
      <c r="CM165" s="64" t="s">
        <v>3045</v>
      </c>
      <c r="CN165" s="707">
        <v>64.333333333333329</v>
      </c>
      <c r="DT165" s="263"/>
      <c r="DU165" s="263"/>
      <c r="DV165" s="263"/>
      <c r="DW165" s="263"/>
      <c r="DX165" s="263"/>
      <c r="DY165" s="263"/>
      <c r="DZ165" s="263"/>
      <c r="EA165" s="263"/>
      <c r="EB165" s="263"/>
      <c r="EC165" s="263"/>
      <c r="ED165" s="263"/>
      <c r="EE165" s="263"/>
      <c r="EF165" s="263"/>
      <c r="EG165" s="263"/>
      <c r="EH165" s="263"/>
      <c r="EI165" s="263"/>
      <c r="EJ165" s="263"/>
      <c r="EK165" s="263"/>
      <c r="EL165" s="263"/>
      <c r="EM165" s="263"/>
      <c r="EN165" s="263"/>
    </row>
    <row r="166" spans="2:148" s="87" customFormat="1" hidden="1" x14ac:dyDescent="0.25">
      <c r="B166" s="151"/>
      <c r="C166" s="87">
        <v>105</v>
      </c>
      <c r="D166" s="258">
        <f t="shared" ca="1" si="260"/>
        <v>49350</v>
      </c>
      <c r="E166" s="175">
        <f t="shared" si="261"/>
        <v>0</v>
      </c>
      <c r="F166" s="175">
        <f t="shared" si="261"/>
        <v>0</v>
      </c>
      <c r="G166" s="175">
        <f t="shared" si="261"/>
        <v>0</v>
      </c>
      <c r="H166" s="175">
        <f t="shared" si="261"/>
        <v>0</v>
      </c>
      <c r="I166" s="175">
        <f t="shared" si="261"/>
        <v>0</v>
      </c>
      <c r="J166" s="175">
        <f t="shared" si="261"/>
        <v>0</v>
      </c>
      <c r="K166" s="175">
        <f t="shared" si="261"/>
        <v>0</v>
      </c>
      <c r="L166" s="175">
        <f t="shared" si="261"/>
        <v>0</v>
      </c>
      <c r="M166" s="175">
        <f t="shared" si="261"/>
        <v>0</v>
      </c>
      <c r="N166" s="175">
        <f t="shared" si="261"/>
        <v>0</v>
      </c>
      <c r="O166" s="175">
        <f t="shared" si="262"/>
        <v>0</v>
      </c>
      <c r="P166" s="175">
        <f t="shared" si="262"/>
        <v>0</v>
      </c>
      <c r="Q166" s="175">
        <f t="shared" si="262"/>
        <v>0</v>
      </c>
      <c r="R166" s="175">
        <f t="shared" si="262"/>
        <v>0</v>
      </c>
      <c r="S166" s="175">
        <f t="shared" si="262"/>
        <v>0</v>
      </c>
      <c r="T166" s="175">
        <f t="shared" si="262"/>
        <v>0</v>
      </c>
      <c r="U166" s="175">
        <f t="shared" si="262"/>
        <v>0</v>
      </c>
      <c r="V166" s="175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424"/>
      <c r="AR166" s="140"/>
      <c r="AS166" s="262">
        <f ca="1">XIRR(AS18:AS162,AR18:AR162,0)</f>
        <v>0.20281257324218754</v>
      </c>
      <c r="AT166" s="140"/>
      <c r="AU166" s="425"/>
      <c r="AV166" s="140"/>
      <c r="AW166" s="140"/>
      <c r="AX166" s="140"/>
      <c r="AY166" s="425"/>
      <c r="AZ166" s="140"/>
      <c r="BA166" s="443">
        <f ca="1">ROUNDUP(XIRR(BA18:BA162,AZ18:AZ162,0),4)</f>
        <v>0.20069999999999999</v>
      </c>
      <c r="BB166" s="140"/>
      <c r="BC166" s="443">
        <f ca="1">ROUNDUP(XIRR(BA18:BA165,BB18:BB165,0),4)</f>
        <v>0.20669999999999999</v>
      </c>
      <c r="BD166" s="444">
        <f ca="1">BD165-BD164</f>
        <v>2.0315627684919235E-4</v>
      </c>
      <c r="BE166" s="444">
        <f t="shared" ref="BE166:BT166" ca="1" si="269">BE165-BE164</f>
        <v>2.2716733080341278E-4</v>
      </c>
      <c r="BF166" s="444">
        <f t="shared" ca="1" si="269"/>
        <v>2.1381620454752337E-4</v>
      </c>
      <c r="BG166" s="444">
        <f t="shared" ca="1" si="269"/>
        <v>2.1381768578820903E-4</v>
      </c>
      <c r="BH166" s="444" t="e">
        <f t="shared" ca="1" si="269"/>
        <v>#NUM!</v>
      </c>
      <c r="BI166" s="444" t="e">
        <f t="shared" ca="1" si="269"/>
        <v>#NUM!</v>
      </c>
      <c r="BJ166" s="444" t="e">
        <f t="shared" ca="1" si="269"/>
        <v>#NUM!</v>
      </c>
      <c r="BK166" s="444" t="e">
        <f t="shared" ca="1" si="269"/>
        <v>#NUM!</v>
      </c>
      <c r="BL166" s="444" t="e">
        <f t="shared" ca="1" si="269"/>
        <v>#NUM!</v>
      </c>
      <c r="BM166" s="444" t="e">
        <f t="shared" ca="1" si="269"/>
        <v>#NUM!</v>
      </c>
      <c r="BN166" s="444" t="e">
        <f t="shared" ca="1" si="269"/>
        <v>#NUM!</v>
      </c>
      <c r="BO166" s="444" t="e">
        <f t="shared" ca="1" si="269"/>
        <v>#NUM!</v>
      </c>
      <c r="BP166" s="444" t="e">
        <f t="shared" ca="1" si="269"/>
        <v>#NUM!</v>
      </c>
      <c r="BQ166" s="444" t="e">
        <f t="shared" ca="1" si="269"/>
        <v>#NUM!</v>
      </c>
      <c r="BR166" s="444" t="e">
        <f t="shared" ca="1" si="269"/>
        <v>#NUM!</v>
      </c>
      <c r="BS166" s="444" t="e">
        <f t="shared" ca="1" si="269"/>
        <v>#NUM!</v>
      </c>
      <c r="BT166" s="444" t="e">
        <f t="shared" ca="1" si="269"/>
        <v>#NUM!</v>
      </c>
      <c r="BV166" s="177"/>
      <c r="BW166" s="177"/>
      <c r="BX166" s="267"/>
      <c r="BY166" s="267"/>
      <c r="BZ166" s="267"/>
      <c r="CA166" s="267"/>
      <c r="CB166" s="267"/>
      <c r="CC166" s="267"/>
      <c r="CD166" s="267"/>
      <c r="CE166" s="267"/>
      <c r="CF166" s="267"/>
      <c r="CG166" s="267"/>
      <c r="CH166" s="267"/>
      <c r="CI166" s="435"/>
      <c r="CJ166" s="436"/>
      <c r="CK166" s="437"/>
      <c r="CM166" s="64" t="s">
        <v>670</v>
      </c>
      <c r="CN166" s="707">
        <v>50</v>
      </c>
      <c r="DT166" s="262">
        <f t="shared" ref="DT166:DX166" ca="1" si="270">(XIRR(DT18:DT164,$DS$18:$DS$164,0))</f>
        <v>4.8828125000000004E-9</v>
      </c>
      <c r="DU166" s="262">
        <f t="shared" ca="1" si="270"/>
        <v>4.8828125000000004E-9</v>
      </c>
      <c r="DV166" s="262">
        <f t="shared" ca="1" si="270"/>
        <v>4.8828125000000004E-9</v>
      </c>
      <c r="DW166" s="262">
        <f t="shared" ca="1" si="270"/>
        <v>4.8828125000000004E-9</v>
      </c>
      <c r="DX166" s="262">
        <f t="shared" ca="1" si="270"/>
        <v>4.8828125000000004E-9</v>
      </c>
      <c r="DY166" s="262">
        <f ca="1">(XIRR(DY18:DY164,$DS$18:$DS$164,0))</f>
        <v>4.8828125000000004E-9</v>
      </c>
      <c r="DZ166" s="262">
        <f t="shared" ref="DZ166:EC166" ca="1" si="271">(XIRR(DZ18:DZ164,$DS$18:$DS$164,0))</f>
        <v>4.8828125000000004E-9</v>
      </c>
      <c r="EA166" s="262">
        <f t="shared" ca="1" si="271"/>
        <v>4.8828125000000004E-9</v>
      </c>
      <c r="EB166" s="262">
        <f t="shared" ca="1" si="271"/>
        <v>4.8828125000000004E-9</v>
      </c>
      <c r="EC166" s="262">
        <f t="shared" ca="1" si="271"/>
        <v>0.30181929199218749</v>
      </c>
      <c r="ED166" s="262">
        <f t="shared" ref="ED166:EH166" ca="1" si="272">(XIRR(ED18:ED164,$DS$18:$DS$164,0))</f>
        <v>0.2547681298828125</v>
      </c>
      <c r="EE166" s="262" t="e">
        <f t="shared" ca="1" si="272"/>
        <v>#VALUE!</v>
      </c>
      <c r="EF166" s="262" t="e">
        <f t="shared" ca="1" si="272"/>
        <v>#VALUE!</v>
      </c>
      <c r="EG166" s="262" t="e">
        <f t="shared" ca="1" si="272"/>
        <v>#VALUE!</v>
      </c>
      <c r="EH166" s="262" t="e">
        <f t="shared" ca="1" si="272"/>
        <v>#VALUE!</v>
      </c>
      <c r="EI166" s="262" t="e">
        <f t="shared" ref="EI166:EP166" ca="1" si="273">(XIRR(EI18:EI164,$DS$18:$DS$164,0))</f>
        <v>#VALUE!</v>
      </c>
      <c r="EJ166" s="262" t="e">
        <f t="shared" ca="1" si="273"/>
        <v>#VALUE!</v>
      </c>
      <c r="EK166" s="262" t="e">
        <f t="shared" ca="1" si="273"/>
        <v>#VALUE!</v>
      </c>
      <c r="EL166" s="262" t="e">
        <f t="shared" ca="1" si="273"/>
        <v>#VALUE!</v>
      </c>
      <c r="EM166" s="262" t="e">
        <f t="shared" ca="1" si="273"/>
        <v>#VALUE!</v>
      </c>
      <c r="EN166" s="262" t="e">
        <f t="shared" ca="1" si="273"/>
        <v>#VALUE!</v>
      </c>
      <c r="EO166" s="262" t="e">
        <f t="shared" ca="1" si="273"/>
        <v>#VALUE!</v>
      </c>
      <c r="EP166" s="262" t="e">
        <f t="shared" ca="1" si="273"/>
        <v>#VALUE!</v>
      </c>
      <c r="EQ166" s="262"/>
      <c r="ER166" s="262"/>
    </row>
    <row r="167" spans="2:148" s="87" customFormat="1" hidden="1" x14ac:dyDescent="0.25">
      <c r="B167" s="151"/>
      <c r="C167" s="87">
        <v>106</v>
      </c>
      <c r="D167" s="258">
        <f t="shared" ca="1" si="260"/>
        <v>49378</v>
      </c>
      <c r="E167" s="175">
        <f t="shared" si="261"/>
        <v>0</v>
      </c>
      <c r="F167" s="175">
        <f t="shared" si="261"/>
        <v>0</v>
      </c>
      <c r="G167" s="175">
        <f t="shared" si="261"/>
        <v>0</v>
      </c>
      <c r="H167" s="175">
        <f t="shared" si="261"/>
        <v>0</v>
      </c>
      <c r="I167" s="175">
        <f t="shared" si="261"/>
        <v>0</v>
      </c>
      <c r="J167" s="175">
        <f t="shared" si="261"/>
        <v>0</v>
      </c>
      <c r="K167" s="175">
        <f t="shared" si="261"/>
        <v>0</v>
      </c>
      <c r="L167" s="175">
        <f t="shared" si="261"/>
        <v>0</v>
      </c>
      <c r="M167" s="175">
        <f t="shared" si="261"/>
        <v>0</v>
      </c>
      <c r="N167" s="175">
        <f t="shared" si="261"/>
        <v>0</v>
      </c>
      <c r="O167" s="175">
        <f t="shared" si="262"/>
        <v>0</v>
      </c>
      <c r="P167" s="175">
        <f t="shared" si="262"/>
        <v>0</v>
      </c>
      <c r="Q167" s="175">
        <f t="shared" si="262"/>
        <v>0</v>
      </c>
      <c r="R167" s="175">
        <f t="shared" si="262"/>
        <v>0</v>
      </c>
      <c r="S167" s="175">
        <f t="shared" si="262"/>
        <v>0</v>
      </c>
      <c r="T167" s="175">
        <f t="shared" si="262"/>
        <v>0</v>
      </c>
      <c r="U167" s="175">
        <f t="shared" si="262"/>
        <v>0</v>
      </c>
      <c r="V167" s="175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424"/>
      <c r="AR167" s="140"/>
      <c r="AS167" s="263">
        <f ca="1">(AS166+1)^(30/360)-1</f>
        <v>1.5507565581776461E-2</v>
      </c>
      <c r="AT167" s="140"/>
      <c r="AU167" s="425"/>
      <c r="AV167" s="140"/>
      <c r="AW167" s="140"/>
      <c r="AX167" s="140"/>
      <c r="AY167" s="425"/>
      <c r="AZ167" s="140"/>
      <c r="BA167" s="445">
        <f ca="1">(BA166+1)^(30/365)-1</f>
        <v>1.5146832570358759E-2</v>
      </c>
      <c r="BB167" s="140"/>
      <c r="BC167" s="445">
        <f ca="1">(BC166+1)^(30/365)-1</f>
        <v>1.5562819907550374E-2</v>
      </c>
      <c r="BD167" s="425"/>
      <c r="BE167" s="425"/>
      <c r="BF167" s="188"/>
      <c r="BV167" s="177"/>
      <c r="BW167" s="177"/>
      <c r="BX167" s="267"/>
      <c r="BY167" s="267"/>
      <c r="BZ167" s="267"/>
      <c r="CA167" s="267"/>
      <c r="CB167" s="267"/>
      <c r="CC167" s="267"/>
      <c r="CD167" s="267"/>
      <c r="CE167" s="267"/>
      <c r="CF167" s="267"/>
      <c r="CG167" s="267"/>
      <c r="CH167" s="267"/>
      <c r="CI167" s="435"/>
      <c r="CJ167" s="436"/>
      <c r="CK167" s="437"/>
      <c r="CM167" s="64" t="s">
        <v>789</v>
      </c>
      <c r="CN167" s="707">
        <v>53</v>
      </c>
      <c r="DT167" s="263">
        <f ca="1">IFERROR((IFERROR((DT166+1)^(30/365)-1,"")),"IRR NEGATIVO")</f>
        <v>4.0132697165518039E-10</v>
      </c>
      <c r="DU167" s="263">
        <f ca="1">IFERROR((IFERROR((DU166+1)^(30/365)-1,"")),"IRR NEGATIVO")</f>
        <v>4.0132697165518039E-10</v>
      </c>
      <c r="DV167" s="263">
        <f t="shared" ref="DV167:EC167" ca="1" si="274">IFERROR((IFERROR((DV166+1)^(30/365)-1,"")),"IRR NEGATIVO")</f>
        <v>4.0132697165518039E-10</v>
      </c>
      <c r="DW167" s="263">
        <f t="shared" ca="1" si="274"/>
        <v>4.0132697165518039E-10</v>
      </c>
      <c r="DX167" s="263">
        <f t="shared" ca="1" si="274"/>
        <v>4.0132697165518039E-10</v>
      </c>
      <c r="DY167" s="263">
        <f t="shared" ca="1" si="274"/>
        <v>4.0132697165518039E-10</v>
      </c>
      <c r="DZ167" s="263">
        <f t="shared" ca="1" si="274"/>
        <v>4.0132697165518039E-10</v>
      </c>
      <c r="EA167" s="263">
        <f t="shared" ca="1" si="274"/>
        <v>4.0132697165518039E-10</v>
      </c>
      <c r="EB167" s="263">
        <f t="shared" ca="1" si="274"/>
        <v>4.0132697165518039E-10</v>
      </c>
      <c r="EC167" s="263">
        <f t="shared" ca="1" si="274"/>
        <v>2.1915829153364763E-2</v>
      </c>
      <c r="ED167" s="263">
        <f t="shared" ref="ED167:EH167" ca="1" si="275">IFERROR((IFERROR((ED166+1)^(30/365)-1,"")),"IRR NEGATIVO")</f>
        <v>1.8828553452212349E-2</v>
      </c>
      <c r="EE167" s="263" t="str">
        <f t="shared" ca="1" si="275"/>
        <v/>
      </c>
      <c r="EF167" s="263" t="str">
        <f t="shared" ca="1" si="275"/>
        <v/>
      </c>
      <c r="EG167" s="263" t="str">
        <f t="shared" ca="1" si="275"/>
        <v/>
      </c>
      <c r="EH167" s="263" t="str">
        <f t="shared" ca="1" si="275"/>
        <v/>
      </c>
      <c r="EI167" s="263" t="str">
        <f t="shared" ref="EI167:EP167" ca="1" si="276">IFERROR((IFERROR((EI166+1)^(30/365)-1,"")),"IRR NEGATIVO")</f>
        <v/>
      </c>
      <c r="EJ167" s="263" t="str">
        <f t="shared" ca="1" si="276"/>
        <v/>
      </c>
      <c r="EK167" s="263" t="str">
        <f t="shared" ca="1" si="276"/>
        <v/>
      </c>
      <c r="EL167" s="263" t="str">
        <f t="shared" ca="1" si="276"/>
        <v/>
      </c>
      <c r="EM167" s="263" t="str">
        <f t="shared" ca="1" si="276"/>
        <v/>
      </c>
      <c r="EN167" s="263" t="str">
        <f t="shared" ca="1" si="276"/>
        <v/>
      </c>
      <c r="EO167" s="263" t="str">
        <f t="shared" ca="1" si="276"/>
        <v/>
      </c>
      <c r="EP167" s="263" t="str">
        <f t="shared" ca="1" si="276"/>
        <v/>
      </c>
      <c r="EQ167" s="263"/>
      <c r="ER167" s="263"/>
    </row>
    <row r="168" spans="2:148" s="87" customFormat="1" hidden="1" x14ac:dyDescent="0.25">
      <c r="B168" s="151"/>
      <c r="C168" s="87">
        <v>107</v>
      </c>
      <c r="D168" s="258">
        <f t="shared" ca="1" si="260"/>
        <v>49409</v>
      </c>
      <c r="E168" s="175">
        <f t="shared" si="261"/>
        <v>0</v>
      </c>
      <c r="F168" s="175">
        <f t="shared" si="261"/>
        <v>0</v>
      </c>
      <c r="G168" s="175">
        <f t="shared" si="261"/>
        <v>0</v>
      </c>
      <c r="H168" s="175">
        <f t="shared" si="261"/>
        <v>0</v>
      </c>
      <c r="I168" s="175">
        <f t="shared" si="261"/>
        <v>0</v>
      </c>
      <c r="J168" s="175">
        <f t="shared" si="261"/>
        <v>0</v>
      </c>
      <c r="K168" s="175">
        <f t="shared" si="261"/>
        <v>0</v>
      </c>
      <c r="L168" s="175">
        <f t="shared" si="261"/>
        <v>0</v>
      </c>
      <c r="M168" s="175">
        <f t="shared" si="261"/>
        <v>0</v>
      </c>
      <c r="N168" s="175">
        <f t="shared" si="261"/>
        <v>0</v>
      </c>
      <c r="O168" s="175">
        <f t="shared" si="262"/>
        <v>0</v>
      </c>
      <c r="P168" s="175">
        <f t="shared" si="262"/>
        <v>0</v>
      </c>
      <c r="Q168" s="175">
        <f t="shared" si="262"/>
        <v>0</v>
      </c>
      <c r="R168" s="175">
        <f t="shared" si="262"/>
        <v>0</v>
      </c>
      <c r="S168" s="175">
        <f t="shared" si="262"/>
        <v>0</v>
      </c>
      <c r="T168" s="175">
        <f t="shared" si="262"/>
        <v>0</v>
      </c>
      <c r="U168" s="175">
        <f t="shared" si="262"/>
        <v>0</v>
      </c>
      <c r="V168" s="175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424"/>
      <c r="AR168" s="140"/>
      <c r="AS168" s="140"/>
      <c r="AT168" s="140"/>
      <c r="AU168" s="425"/>
      <c r="AV168" s="140"/>
      <c r="AW168" s="140"/>
      <c r="AX168" s="140"/>
      <c r="AY168" s="425"/>
      <c r="AZ168" s="140"/>
      <c r="BA168" s="445">
        <f ca="1">(BA166+1)^(30/360)-1</f>
        <v>1.5358812630436036E-2</v>
      </c>
      <c r="BB168" s="140"/>
      <c r="BC168" s="428">
        <f t="shared" ca="1" si="249"/>
        <v>0</v>
      </c>
      <c r="BD168" s="425"/>
      <c r="BE168" s="425"/>
      <c r="BF168" s="188"/>
      <c r="BV168" s="177"/>
      <c r="BW168" s="177"/>
      <c r="BX168" s="267"/>
      <c r="BY168" s="267"/>
      <c r="BZ168" s="267"/>
      <c r="CA168" s="267"/>
      <c r="CB168" s="267"/>
      <c r="CC168" s="267"/>
      <c r="CD168" s="267"/>
      <c r="CE168" s="267"/>
      <c r="CF168" s="267"/>
      <c r="CG168" s="267"/>
      <c r="CH168" s="267"/>
      <c r="CI168" s="435"/>
      <c r="CJ168" s="436"/>
      <c r="CK168" s="437"/>
      <c r="CM168" s="64" t="s">
        <v>642</v>
      </c>
      <c r="CN168" s="707">
        <v>48.5</v>
      </c>
    </row>
    <row r="169" spans="2:148" s="87" customFormat="1" hidden="1" x14ac:dyDescent="0.25">
      <c r="B169" s="151"/>
      <c r="C169" s="87">
        <v>108</v>
      </c>
      <c r="D169" s="258">
        <f t="shared" ca="1" si="260"/>
        <v>49439</v>
      </c>
      <c r="E169" s="175">
        <f t="shared" si="261"/>
        <v>0</v>
      </c>
      <c r="F169" s="175">
        <f t="shared" si="261"/>
        <v>0</v>
      </c>
      <c r="G169" s="175">
        <f t="shared" si="261"/>
        <v>0</v>
      </c>
      <c r="H169" s="175">
        <f t="shared" si="261"/>
        <v>0</v>
      </c>
      <c r="I169" s="175">
        <f t="shared" si="261"/>
        <v>0</v>
      </c>
      <c r="J169" s="175">
        <f t="shared" si="261"/>
        <v>0</v>
      </c>
      <c r="K169" s="175">
        <f t="shared" si="261"/>
        <v>0</v>
      </c>
      <c r="L169" s="175">
        <f t="shared" si="261"/>
        <v>0</v>
      </c>
      <c r="M169" s="175">
        <f t="shared" si="261"/>
        <v>0</v>
      </c>
      <c r="N169" s="175">
        <f t="shared" si="261"/>
        <v>0</v>
      </c>
      <c r="O169" s="175">
        <f t="shared" si="262"/>
        <v>0</v>
      </c>
      <c r="P169" s="175">
        <f t="shared" si="262"/>
        <v>0</v>
      </c>
      <c r="Q169" s="175">
        <f t="shared" si="262"/>
        <v>0</v>
      </c>
      <c r="R169" s="175">
        <f t="shared" si="262"/>
        <v>0</v>
      </c>
      <c r="S169" s="175">
        <f t="shared" si="262"/>
        <v>0</v>
      </c>
      <c r="T169" s="175">
        <f t="shared" si="262"/>
        <v>0</v>
      </c>
      <c r="U169" s="175">
        <f t="shared" si="262"/>
        <v>0</v>
      </c>
      <c r="V169" s="175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424"/>
      <c r="AR169" s="140"/>
      <c r="AS169" s="140"/>
      <c r="AT169" s="140"/>
      <c r="AU169" s="425"/>
      <c r="AV169" s="140"/>
      <c r="AW169" s="140"/>
      <c r="AX169" s="140"/>
      <c r="AY169" s="425"/>
      <c r="AZ169" s="140"/>
      <c r="BA169" s="140"/>
      <c r="BB169" s="140"/>
      <c r="BC169" s="140"/>
      <c r="BD169" s="425"/>
      <c r="BE169" s="425"/>
      <c r="BF169" s="188"/>
      <c r="BV169" s="177"/>
      <c r="BW169" s="177"/>
      <c r="BX169" s="267"/>
      <c r="BY169" s="267"/>
      <c r="BZ169" s="267"/>
      <c r="CA169" s="267"/>
      <c r="CB169" s="267"/>
      <c r="CC169" s="267"/>
      <c r="CD169" s="267"/>
      <c r="CE169" s="267"/>
      <c r="CF169" s="267"/>
      <c r="CG169" s="267"/>
      <c r="CH169" s="267"/>
      <c r="CI169" s="435"/>
      <c r="CJ169" s="436"/>
      <c r="CK169" s="437"/>
      <c r="CM169" s="64" t="s">
        <v>3715</v>
      </c>
      <c r="CN169" s="707">
        <v>68.5</v>
      </c>
    </row>
    <row r="170" spans="2:148" s="87" customFormat="1" hidden="1" x14ac:dyDescent="0.25">
      <c r="B170" s="151"/>
      <c r="C170" s="87">
        <v>109</v>
      </c>
      <c r="D170" s="258">
        <f t="shared" ca="1" si="260"/>
        <v>49470</v>
      </c>
      <c r="E170" s="175">
        <f t="shared" si="261"/>
        <v>0</v>
      </c>
      <c r="F170" s="175">
        <f t="shared" si="261"/>
        <v>0</v>
      </c>
      <c r="G170" s="175">
        <f t="shared" si="261"/>
        <v>0</v>
      </c>
      <c r="H170" s="175">
        <f t="shared" si="261"/>
        <v>0</v>
      </c>
      <c r="I170" s="175">
        <f t="shared" si="261"/>
        <v>0</v>
      </c>
      <c r="J170" s="175">
        <f t="shared" si="261"/>
        <v>0</v>
      </c>
      <c r="K170" s="175">
        <f t="shared" si="261"/>
        <v>0</v>
      </c>
      <c r="L170" s="175">
        <f t="shared" si="261"/>
        <v>0</v>
      </c>
      <c r="M170" s="175">
        <f t="shared" si="261"/>
        <v>0</v>
      </c>
      <c r="N170" s="175">
        <f t="shared" si="261"/>
        <v>0</v>
      </c>
      <c r="O170" s="175">
        <f t="shared" si="262"/>
        <v>0</v>
      </c>
      <c r="P170" s="175">
        <f t="shared" si="262"/>
        <v>0</v>
      </c>
      <c r="Q170" s="175">
        <f t="shared" si="262"/>
        <v>0</v>
      </c>
      <c r="R170" s="175">
        <f t="shared" si="262"/>
        <v>0</v>
      </c>
      <c r="S170" s="175">
        <f t="shared" si="262"/>
        <v>0</v>
      </c>
      <c r="T170" s="175">
        <f t="shared" si="262"/>
        <v>0</v>
      </c>
      <c r="U170" s="175">
        <f t="shared" si="262"/>
        <v>0</v>
      </c>
      <c r="V170" s="175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424"/>
      <c r="AR170" s="140"/>
      <c r="AS170" s="140"/>
      <c r="AT170" s="140"/>
      <c r="AU170" s="425"/>
      <c r="AV170" s="140"/>
      <c r="AW170" s="140"/>
      <c r="AX170" s="140"/>
      <c r="AY170" s="425"/>
      <c r="AZ170" s="140"/>
      <c r="BA170" s="140"/>
      <c r="BB170" s="140"/>
      <c r="BC170" s="140"/>
      <c r="BD170" s="425"/>
      <c r="BE170" s="425"/>
      <c r="BF170" s="188"/>
      <c r="BV170" s="177"/>
      <c r="BW170" s="177"/>
      <c r="BX170" s="267"/>
      <c r="BY170" s="267"/>
      <c r="BZ170" s="267"/>
      <c r="CA170" s="267"/>
      <c r="CB170" s="267"/>
      <c r="CC170" s="267"/>
      <c r="CD170" s="267"/>
      <c r="CE170" s="267"/>
      <c r="CF170" s="267"/>
      <c r="CG170" s="267"/>
      <c r="CH170" s="267"/>
      <c r="CI170" s="435"/>
      <c r="CJ170" s="436"/>
      <c r="CK170" s="437"/>
      <c r="CM170" s="64" t="s">
        <v>846</v>
      </c>
      <c r="CN170" s="707"/>
    </row>
    <row r="171" spans="2:148" s="87" customFormat="1" hidden="1" x14ac:dyDescent="0.25">
      <c r="B171" s="151"/>
      <c r="C171" s="87">
        <v>110</v>
      </c>
      <c r="D171" s="258">
        <f t="shared" ca="1" si="260"/>
        <v>49500</v>
      </c>
      <c r="E171" s="175">
        <f t="shared" si="261"/>
        <v>0</v>
      </c>
      <c r="F171" s="175">
        <f t="shared" si="261"/>
        <v>0</v>
      </c>
      <c r="G171" s="175">
        <f t="shared" si="261"/>
        <v>0</v>
      </c>
      <c r="H171" s="175">
        <f t="shared" si="261"/>
        <v>0</v>
      </c>
      <c r="I171" s="175">
        <f t="shared" si="261"/>
        <v>0</v>
      </c>
      <c r="J171" s="175">
        <f t="shared" si="261"/>
        <v>0</v>
      </c>
      <c r="K171" s="175">
        <f t="shared" si="261"/>
        <v>0</v>
      </c>
      <c r="L171" s="175">
        <f t="shared" si="261"/>
        <v>0</v>
      </c>
      <c r="M171" s="175">
        <f t="shared" si="261"/>
        <v>0</v>
      </c>
      <c r="N171" s="175">
        <f t="shared" si="261"/>
        <v>0</v>
      </c>
      <c r="O171" s="175">
        <f t="shared" si="262"/>
        <v>0</v>
      </c>
      <c r="P171" s="175">
        <f t="shared" si="262"/>
        <v>0</v>
      </c>
      <c r="Q171" s="175">
        <f t="shared" si="262"/>
        <v>0</v>
      </c>
      <c r="R171" s="175">
        <f t="shared" si="262"/>
        <v>0</v>
      </c>
      <c r="S171" s="175">
        <f t="shared" si="262"/>
        <v>0</v>
      </c>
      <c r="T171" s="175">
        <f t="shared" si="262"/>
        <v>0</v>
      </c>
      <c r="U171" s="175">
        <f t="shared" si="262"/>
        <v>0</v>
      </c>
      <c r="V171" s="175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424"/>
      <c r="AR171" s="140"/>
      <c r="AS171" s="140"/>
      <c r="AT171" s="140"/>
      <c r="AU171" s="425"/>
      <c r="AV171" s="140"/>
      <c r="AW171" s="140"/>
      <c r="AX171" s="140"/>
      <c r="AY171" s="425"/>
      <c r="AZ171" s="140"/>
      <c r="BA171" s="140"/>
      <c r="BB171" s="140"/>
      <c r="BC171" s="140"/>
      <c r="BD171" s="425"/>
      <c r="BE171" s="425"/>
      <c r="BF171" s="188"/>
      <c r="BV171" s="177"/>
      <c r="BW171" s="177"/>
      <c r="BX171" s="267"/>
      <c r="BY171" s="267"/>
      <c r="BZ171" s="267"/>
      <c r="CA171" s="267"/>
      <c r="CB171" s="267"/>
      <c r="CC171" s="267"/>
      <c r="CD171" s="267"/>
      <c r="CE171" s="267"/>
      <c r="CF171" s="267"/>
      <c r="CG171" s="267"/>
      <c r="CH171" s="267"/>
      <c r="CI171" s="435"/>
      <c r="CJ171" s="436"/>
      <c r="CK171" s="437"/>
      <c r="CM171" s="64" t="s">
        <v>2640</v>
      </c>
      <c r="CN171" s="707"/>
    </row>
    <row r="172" spans="2:148" s="87" customFormat="1" hidden="1" x14ac:dyDescent="0.25">
      <c r="B172" s="151"/>
      <c r="C172" s="87">
        <v>111</v>
      </c>
      <c r="D172" s="258">
        <f t="shared" ca="1" si="260"/>
        <v>49531</v>
      </c>
      <c r="E172" s="175">
        <f t="shared" ref="E172:N181" si="277">IF($C172&lt;=E$17,1/(($D$60+1)^(($D172-$D$61)/30)),0)</f>
        <v>0</v>
      </c>
      <c r="F172" s="175">
        <f t="shared" si="277"/>
        <v>0</v>
      </c>
      <c r="G172" s="175">
        <f t="shared" si="277"/>
        <v>0</v>
      </c>
      <c r="H172" s="175">
        <f t="shared" si="277"/>
        <v>0</v>
      </c>
      <c r="I172" s="175">
        <f t="shared" si="277"/>
        <v>0</v>
      </c>
      <c r="J172" s="175">
        <f t="shared" si="277"/>
        <v>0</v>
      </c>
      <c r="K172" s="175">
        <f t="shared" si="277"/>
        <v>0</v>
      </c>
      <c r="L172" s="175">
        <f t="shared" si="277"/>
        <v>0</v>
      </c>
      <c r="M172" s="175">
        <f t="shared" si="277"/>
        <v>0</v>
      </c>
      <c r="N172" s="175">
        <f t="shared" si="277"/>
        <v>0</v>
      </c>
      <c r="O172" s="175">
        <f t="shared" ref="O172:U181" si="278">IF($C172&lt;=O$17,1/(($D$60+1)^(($D172-$D$61)/30)),0)</f>
        <v>0</v>
      </c>
      <c r="P172" s="175">
        <f t="shared" si="278"/>
        <v>0</v>
      </c>
      <c r="Q172" s="175">
        <f t="shared" si="278"/>
        <v>0</v>
      </c>
      <c r="R172" s="175">
        <f t="shared" si="278"/>
        <v>0</v>
      </c>
      <c r="S172" s="175">
        <f t="shared" si="278"/>
        <v>0</v>
      </c>
      <c r="T172" s="175">
        <f t="shared" si="278"/>
        <v>0</v>
      </c>
      <c r="U172" s="175">
        <f t="shared" si="278"/>
        <v>0</v>
      </c>
      <c r="V172" s="175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424"/>
      <c r="AR172" s="140"/>
      <c r="AS172" s="140"/>
      <c r="AT172" s="140"/>
      <c r="AU172" s="425"/>
      <c r="AV172" s="140"/>
      <c r="AW172" s="140"/>
      <c r="AX172" s="140"/>
      <c r="AY172" s="425"/>
      <c r="AZ172" s="140"/>
      <c r="BA172" s="140"/>
      <c r="BB172" s="140"/>
      <c r="BC172" s="140"/>
      <c r="BD172" s="425"/>
      <c r="BE172" s="425"/>
      <c r="BF172" s="188"/>
      <c r="BV172" s="177"/>
      <c r="BW172" s="177"/>
      <c r="BX172" s="267"/>
      <c r="BY172" s="267"/>
      <c r="BZ172" s="267"/>
      <c r="CA172" s="267"/>
      <c r="CB172" s="267"/>
      <c r="CC172" s="267"/>
      <c r="CD172" s="267"/>
      <c r="CE172" s="267"/>
      <c r="CF172" s="267"/>
      <c r="CG172" s="267"/>
      <c r="CH172" s="267"/>
      <c r="CI172" s="435"/>
      <c r="CJ172" s="436"/>
      <c r="CK172" s="437"/>
      <c r="CM172" s="64" t="s">
        <v>93</v>
      </c>
      <c r="CN172" s="707">
        <v>51</v>
      </c>
    </row>
    <row r="173" spans="2:148" s="87" customFormat="1" hidden="1" x14ac:dyDescent="0.25">
      <c r="B173" s="151"/>
      <c r="C173" s="87">
        <v>112</v>
      </c>
      <c r="D173" s="258">
        <f t="shared" ca="1" si="260"/>
        <v>49562</v>
      </c>
      <c r="E173" s="175">
        <f t="shared" si="277"/>
        <v>0</v>
      </c>
      <c r="F173" s="175">
        <f t="shared" si="277"/>
        <v>0</v>
      </c>
      <c r="G173" s="175">
        <f t="shared" si="277"/>
        <v>0</v>
      </c>
      <c r="H173" s="175">
        <f t="shared" si="277"/>
        <v>0</v>
      </c>
      <c r="I173" s="175">
        <f t="shared" si="277"/>
        <v>0</v>
      </c>
      <c r="J173" s="175">
        <f t="shared" si="277"/>
        <v>0</v>
      </c>
      <c r="K173" s="175">
        <f t="shared" si="277"/>
        <v>0</v>
      </c>
      <c r="L173" s="175">
        <f t="shared" si="277"/>
        <v>0</v>
      </c>
      <c r="M173" s="175">
        <f t="shared" si="277"/>
        <v>0</v>
      </c>
      <c r="N173" s="175">
        <f t="shared" si="277"/>
        <v>0</v>
      </c>
      <c r="O173" s="175">
        <f t="shared" si="278"/>
        <v>0</v>
      </c>
      <c r="P173" s="175">
        <f t="shared" si="278"/>
        <v>0</v>
      </c>
      <c r="Q173" s="175">
        <f t="shared" si="278"/>
        <v>0</v>
      </c>
      <c r="R173" s="175">
        <f t="shared" si="278"/>
        <v>0</v>
      </c>
      <c r="S173" s="175">
        <f t="shared" si="278"/>
        <v>0</v>
      </c>
      <c r="T173" s="175">
        <f t="shared" si="278"/>
        <v>0</v>
      </c>
      <c r="U173" s="175">
        <f t="shared" si="278"/>
        <v>0</v>
      </c>
      <c r="V173" s="175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424"/>
      <c r="AR173" s="140"/>
      <c r="AS173" s="140"/>
      <c r="AT173" s="140"/>
      <c r="AU173" s="425"/>
      <c r="AV173" s="140"/>
      <c r="AW173" s="140"/>
      <c r="AX173" s="140"/>
      <c r="AY173" s="425"/>
      <c r="AZ173" s="140"/>
      <c r="BA173" s="140"/>
      <c r="BB173" s="140"/>
      <c r="BC173" s="140"/>
      <c r="BD173" s="425"/>
      <c r="BE173" s="425"/>
      <c r="BF173" s="188"/>
      <c r="BV173" s="177"/>
      <c r="BW173" s="177"/>
      <c r="BX173" s="267"/>
      <c r="BY173" s="267"/>
      <c r="BZ173" s="267"/>
      <c r="CA173" s="267"/>
      <c r="CB173" s="267"/>
      <c r="CC173" s="267"/>
      <c r="CD173" s="267"/>
      <c r="CE173" s="267"/>
      <c r="CF173" s="267"/>
      <c r="CG173" s="267"/>
      <c r="CH173" s="267"/>
      <c r="CI173" s="435"/>
      <c r="CJ173" s="436"/>
      <c r="CK173" s="437"/>
      <c r="CM173" s="64" t="s">
        <v>3046</v>
      </c>
      <c r="CN173" s="707">
        <v>41.333333333333336</v>
      </c>
    </row>
    <row r="174" spans="2:148" s="87" customFormat="1" hidden="1" x14ac:dyDescent="0.25">
      <c r="B174" s="151"/>
      <c r="C174" s="87">
        <v>113</v>
      </c>
      <c r="D174" s="258">
        <f t="shared" ca="1" si="260"/>
        <v>49592</v>
      </c>
      <c r="E174" s="175">
        <f t="shared" si="277"/>
        <v>0</v>
      </c>
      <c r="F174" s="175">
        <f t="shared" si="277"/>
        <v>0</v>
      </c>
      <c r="G174" s="175">
        <f t="shared" si="277"/>
        <v>0</v>
      </c>
      <c r="H174" s="175">
        <f t="shared" si="277"/>
        <v>0</v>
      </c>
      <c r="I174" s="175">
        <f t="shared" si="277"/>
        <v>0</v>
      </c>
      <c r="J174" s="175">
        <f t="shared" si="277"/>
        <v>0</v>
      </c>
      <c r="K174" s="175">
        <f t="shared" si="277"/>
        <v>0</v>
      </c>
      <c r="L174" s="175">
        <f t="shared" si="277"/>
        <v>0</v>
      </c>
      <c r="M174" s="175">
        <f t="shared" si="277"/>
        <v>0</v>
      </c>
      <c r="N174" s="175">
        <f t="shared" si="277"/>
        <v>0</v>
      </c>
      <c r="O174" s="175">
        <f t="shared" si="278"/>
        <v>0</v>
      </c>
      <c r="P174" s="175">
        <f t="shared" si="278"/>
        <v>0</v>
      </c>
      <c r="Q174" s="175">
        <f t="shared" si="278"/>
        <v>0</v>
      </c>
      <c r="R174" s="175">
        <f t="shared" si="278"/>
        <v>0</v>
      </c>
      <c r="S174" s="175">
        <f t="shared" si="278"/>
        <v>0</v>
      </c>
      <c r="T174" s="175">
        <f t="shared" si="278"/>
        <v>0</v>
      </c>
      <c r="U174" s="175">
        <f t="shared" si="278"/>
        <v>0</v>
      </c>
      <c r="V174" s="175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424"/>
      <c r="AR174" s="140"/>
      <c r="AS174" s="140"/>
      <c r="AT174" s="140"/>
      <c r="AU174" s="425"/>
      <c r="AV174" s="140"/>
      <c r="AW174" s="140"/>
      <c r="AX174" s="140"/>
      <c r="AY174" s="425"/>
      <c r="AZ174" s="140"/>
      <c r="BA174" s="140"/>
      <c r="BB174" s="140"/>
      <c r="BC174" s="140"/>
      <c r="BD174" s="425"/>
      <c r="BE174" s="425"/>
      <c r="BF174" s="188"/>
      <c r="BV174" s="177"/>
      <c r="BW174" s="177"/>
      <c r="BX174" s="267"/>
      <c r="BY174" s="267"/>
      <c r="BZ174" s="267"/>
      <c r="CA174" s="267"/>
      <c r="CB174" s="267"/>
      <c r="CC174" s="267"/>
      <c r="CD174" s="267"/>
      <c r="CE174" s="267"/>
      <c r="CF174" s="267"/>
      <c r="CG174" s="267"/>
      <c r="CH174" s="267"/>
      <c r="CI174" s="435"/>
      <c r="CJ174" s="436"/>
      <c r="CK174" s="437"/>
      <c r="CM174" s="64" t="s">
        <v>508</v>
      </c>
      <c r="CN174" s="707">
        <v>42</v>
      </c>
    </row>
    <row r="175" spans="2:148" s="87" customFormat="1" hidden="1" x14ac:dyDescent="0.25">
      <c r="B175" s="151"/>
      <c r="C175" s="87">
        <v>114</v>
      </c>
      <c r="D175" s="258">
        <f t="shared" ca="1" si="260"/>
        <v>49623</v>
      </c>
      <c r="E175" s="175">
        <f t="shared" si="277"/>
        <v>0</v>
      </c>
      <c r="F175" s="175">
        <f t="shared" si="277"/>
        <v>0</v>
      </c>
      <c r="G175" s="175">
        <f t="shared" si="277"/>
        <v>0</v>
      </c>
      <c r="H175" s="175">
        <f t="shared" si="277"/>
        <v>0</v>
      </c>
      <c r="I175" s="175">
        <f t="shared" si="277"/>
        <v>0</v>
      </c>
      <c r="J175" s="175">
        <f t="shared" si="277"/>
        <v>0</v>
      </c>
      <c r="K175" s="175">
        <f t="shared" si="277"/>
        <v>0</v>
      </c>
      <c r="L175" s="175">
        <f t="shared" si="277"/>
        <v>0</v>
      </c>
      <c r="M175" s="175">
        <f t="shared" si="277"/>
        <v>0</v>
      </c>
      <c r="N175" s="175">
        <f t="shared" si="277"/>
        <v>0</v>
      </c>
      <c r="O175" s="175">
        <f t="shared" si="278"/>
        <v>0</v>
      </c>
      <c r="P175" s="175">
        <f t="shared" si="278"/>
        <v>0</v>
      </c>
      <c r="Q175" s="175">
        <f t="shared" si="278"/>
        <v>0</v>
      </c>
      <c r="R175" s="175">
        <f t="shared" si="278"/>
        <v>0</v>
      </c>
      <c r="S175" s="175">
        <f t="shared" si="278"/>
        <v>0</v>
      </c>
      <c r="T175" s="175">
        <f t="shared" si="278"/>
        <v>0</v>
      </c>
      <c r="U175" s="175">
        <f t="shared" si="278"/>
        <v>0</v>
      </c>
      <c r="V175" s="175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424"/>
      <c r="AR175" s="140"/>
      <c r="AS175" s="140"/>
      <c r="AT175" s="140"/>
      <c r="AU175" s="425"/>
      <c r="AV175" s="140"/>
      <c r="AW175" s="140"/>
      <c r="AX175" s="140"/>
      <c r="AY175" s="425"/>
      <c r="AZ175" s="140"/>
      <c r="BA175" s="140"/>
      <c r="BB175" s="140"/>
      <c r="BC175" s="140"/>
      <c r="BD175" s="425"/>
      <c r="BE175" s="425"/>
      <c r="BF175" s="188"/>
      <c r="BV175" s="177"/>
      <c r="BW175" s="177"/>
      <c r="BX175" s="267"/>
      <c r="BY175" s="267"/>
      <c r="BZ175" s="267"/>
      <c r="CA175" s="267"/>
      <c r="CB175" s="267"/>
      <c r="CC175" s="267"/>
      <c r="CD175" s="267"/>
      <c r="CE175" s="267"/>
      <c r="CF175" s="267"/>
      <c r="CG175" s="267"/>
      <c r="CH175" s="267"/>
      <c r="CI175" s="435"/>
      <c r="CJ175" s="436"/>
      <c r="CK175" s="437"/>
      <c r="CM175" s="64" t="s">
        <v>1301</v>
      </c>
      <c r="CN175" s="707">
        <v>36</v>
      </c>
    </row>
    <row r="176" spans="2:148" s="87" customFormat="1" hidden="1" x14ac:dyDescent="0.25">
      <c r="B176" s="151"/>
      <c r="C176" s="87">
        <v>115</v>
      </c>
      <c r="D176" s="258">
        <f t="shared" ca="1" si="260"/>
        <v>49653</v>
      </c>
      <c r="E176" s="175">
        <f t="shared" si="277"/>
        <v>0</v>
      </c>
      <c r="F176" s="175">
        <f t="shared" si="277"/>
        <v>0</v>
      </c>
      <c r="G176" s="175">
        <f t="shared" si="277"/>
        <v>0</v>
      </c>
      <c r="H176" s="175">
        <f t="shared" si="277"/>
        <v>0</v>
      </c>
      <c r="I176" s="175">
        <f t="shared" si="277"/>
        <v>0</v>
      </c>
      <c r="J176" s="175">
        <f t="shared" si="277"/>
        <v>0</v>
      </c>
      <c r="K176" s="175">
        <f t="shared" si="277"/>
        <v>0</v>
      </c>
      <c r="L176" s="175">
        <f t="shared" si="277"/>
        <v>0</v>
      </c>
      <c r="M176" s="175">
        <f t="shared" si="277"/>
        <v>0</v>
      </c>
      <c r="N176" s="175">
        <f t="shared" si="277"/>
        <v>0</v>
      </c>
      <c r="O176" s="175">
        <f t="shared" si="278"/>
        <v>0</v>
      </c>
      <c r="P176" s="175">
        <f t="shared" si="278"/>
        <v>0</v>
      </c>
      <c r="Q176" s="175">
        <f t="shared" si="278"/>
        <v>0</v>
      </c>
      <c r="R176" s="175">
        <f t="shared" si="278"/>
        <v>0</v>
      </c>
      <c r="S176" s="175">
        <f t="shared" si="278"/>
        <v>0</v>
      </c>
      <c r="T176" s="175">
        <f t="shared" si="278"/>
        <v>0</v>
      </c>
      <c r="U176" s="175">
        <f t="shared" si="278"/>
        <v>0</v>
      </c>
      <c r="V176" s="175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424"/>
      <c r="AR176" s="140"/>
      <c r="AS176" s="140"/>
      <c r="AT176" s="140"/>
      <c r="AU176" s="425"/>
      <c r="AV176" s="140"/>
      <c r="AW176" s="140"/>
      <c r="AX176" s="140"/>
      <c r="AY176" s="425"/>
      <c r="AZ176" s="140"/>
      <c r="BA176" s="140"/>
      <c r="BB176" s="140"/>
      <c r="BC176" s="140"/>
      <c r="BD176" s="425"/>
      <c r="BE176" s="425"/>
      <c r="BF176" s="188"/>
      <c r="BV176" s="177"/>
      <c r="BW176" s="177"/>
      <c r="BX176" s="267"/>
      <c r="BY176" s="267"/>
      <c r="BZ176" s="267"/>
      <c r="CA176" s="267"/>
      <c r="CB176" s="267"/>
      <c r="CC176" s="267"/>
      <c r="CD176" s="267"/>
      <c r="CE176" s="267"/>
      <c r="CF176" s="267"/>
      <c r="CG176" s="267"/>
      <c r="CH176" s="267"/>
      <c r="CI176" s="435"/>
      <c r="CJ176" s="436"/>
      <c r="CK176" s="437"/>
      <c r="CM176" s="64" t="s">
        <v>580</v>
      </c>
      <c r="CN176" s="707">
        <v>50</v>
      </c>
    </row>
    <row r="177" spans="2:92" s="87" customFormat="1" hidden="1" x14ac:dyDescent="0.25">
      <c r="B177" s="151"/>
      <c r="C177" s="87">
        <v>116</v>
      </c>
      <c r="D177" s="258">
        <f t="shared" ca="1" si="260"/>
        <v>49684</v>
      </c>
      <c r="E177" s="175">
        <f t="shared" si="277"/>
        <v>0</v>
      </c>
      <c r="F177" s="175">
        <f t="shared" si="277"/>
        <v>0</v>
      </c>
      <c r="G177" s="175">
        <f t="shared" si="277"/>
        <v>0</v>
      </c>
      <c r="H177" s="175">
        <f t="shared" si="277"/>
        <v>0</v>
      </c>
      <c r="I177" s="175">
        <f t="shared" si="277"/>
        <v>0</v>
      </c>
      <c r="J177" s="175">
        <f t="shared" si="277"/>
        <v>0</v>
      </c>
      <c r="K177" s="175">
        <f t="shared" si="277"/>
        <v>0</v>
      </c>
      <c r="L177" s="175">
        <f t="shared" si="277"/>
        <v>0</v>
      </c>
      <c r="M177" s="175">
        <f t="shared" si="277"/>
        <v>0</v>
      </c>
      <c r="N177" s="175">
        <f t="shared" si="277"/>
        <v>0</v>
      </c>
      <c r="O177" s="175">
        <f t="shared" si="278"/>
        <v>0</v>
      </c>
      <c r="P177" s="175">
        <f t="shared" si="278"/>
        <v>0</v>
      </c>
      <c r="Q177" s="175">
        <f t="shared" si="278"/>
        <v>0</v>
      </c>
      <c r="R177" s="175">
        <f t="shared" si="278"/>
        <v>0</v>
      </c>
      <c r="S177" s="175">
        <f t="shared" si="278"/>
        <v>0</v>
      </c>
      <c r="T177" s="175">
        <f t="shared" si="278"/>
        <v>0</v>
      </c>
      <c r="U177" s="175">
        <f t="shared" si="278"/>
        <v>0</v>
      </c>
      <c r="V177" s="175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424"/>
      <c r="AR177" s="140"/>
      <c r="AS177" s="140"/>
      <c r="AT177" s="140"/>
      <c r="AU177" s="425"/>
      <c r="AV177" s="140"/>
      <c r="AW177" s="140"/>
      <c r="AX177" s="140"/>
      <c r="AY177" s="425"/>
      <c r="AZ177" s="140"/>
      <c r="BA177" s="140"/>
      <c r="BB177" s="140"/>
      <c r="BC177" s="140"/>
      <c r="BD177" s="425"/>
      <c r="BE177" s="425"/>
      <c r="BF177" s="188"/>
      <c r="BV177" s="177"/>
      <c r="BW177" s="177"/>
      <c r="BX177" s="267"/>
      <c r="BY177" s="267"/>
      <c r="BZ177" s="267"/>
      <c r="CA177" s="267"/>
      <c r="CB177" s="267"/>
      <c r="CC177" s="267"/>
      <c r="CD177" s="267"/>
      <c r="CE177" s="267"/>
      <c r="CF177" s="267"/>
      <c r="CG177" s="267"/>
      <c r="CH177" s="267"/>
      <c r="CI177" s="435"/>
      <c r="CJ177" s="436"/>
      <c r="CK177" s="437"/>
      <c r="CM177" s="64" t="s">
        <v>98</v>
      </c>
      <c r="CN177" s="707">
        <v>43</v>
      </c>
    </row>
    <row r="178" spans="2:92" s="87" customFormat="1" hidden="1" x14ac:dyDescent="0.25">
      <c r="B178" s="151"/>
      <c r="C178" s="87">
        <v>117</v>
      </c>
      <c r="D178" s="258">
        <f t="shared" ca="1" si="260"/>
        <v>49715</v>
      </c>
      <c r="E178" s="175">
        <f t="shared" si="277"/>
        <v>0</v>
      </c>
      <c r="F178" s="175">
        <f t="shared" si="277"/>
        <v>0</v>
      </c>
      <c r="G178" s="175">
        <f t="shared" si="277"/>
        <v>0</v>
      </c>
      <c r="H178" s="175">
        <f t="shared" si="277"/>
        <v>0</v>
      </c>
      <c r="I178" s="175">
        <f t="shared" si="277"/>
        <v>0</v>
      </c>
      <c r="J178" s="175">
        <f t="shared" si="277"/>
        <v>0</v>
      </c>
      <c r="K178" s="175">
        <f t="shared" si="277"/>
        <v>0</v>
      </c>
      <c r="L178" s="175">
        <f t="shared" si="277"/>
        <v>0</v>
      </c>
      <c r="M178" s="175">
        <f t="shared" si="277"/>
        <v>0</v>
      </c>
      <c r="N178" s="175">
        <f t="shared" si="277"/>
        <v>0</v>
      </c>
      <c r="O178" s="175">
        <f t="shared" si="278"/>
        <v>0</v>
      </c>
      <c r="P178" s="175">
        <f t="shared" si="278"/>
        <v>0</v>
      </c>
      <c r="Q178" s="175">
        <f t="shared" si="278"/>
        <v>0</v>
      </c>
      <c r="R178" s="175">
        <f t="shared" si="278"/>
        <v>0</v>
      </c>
      <c r="S178" s="175">
        <f t="shared" si="278"/>
        <v>0</v>
      </c>
      <c r="T178" s="175">
        <f t="shared" si="278"/>
        <v>0</v>
      </c>
      <c r="U178" s="175">
        <f t="shared" si="278"/>
        <v>0</v>
      </c>
      <c r="V178" s="175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424"/>
      <c r="AR178" s="140"/>
      <c r="AS178" s="140"/>
      <c r="AT178" s="140"/>
      <c r="AU178" s="425"/>
      <c r="AV178" s="140"/>
      <c r="AW178" s="140"/>
      <c r="AX178" s="140"/>
      <c r="AY178" s="425"/>
      <c r="AZ178" s="140"/>
      <c r="BA178" s="140"/>
      <c r="BB178" s="140"/>
      <c r="BC178" s="140"/>
      <c r="BD178" s="425"/>
      <c r="BE178" s="425"/>
      <c r="BF178" s="188"/>
      <c r="BV178" s="177"/>
      <c r="BW178" s="177"/>
      <c r="BX178" s="267"/>
      <c r="BY178" s="267"/>
      <c r="BZ178" s="267"/>
      <c r="CA178" s="267"/>
      <c r="CB178" s="267"/>
      <c r="CC178" s="267"/>
      <c r="CD178" s="267"/>
      <c r="CE178" s="267"/>
      <c r="CF178" s="267"/>
      <c r="CG178" s="267"/>
      <c r="CH178" s="267"/>
      <c r="CI178" s="435"/>
      <c r="CJ178" s="436"/>
      <c r="CK178" s="437"/>
      <c r="CM178" s="64" t="s">
        <v>3047</v>
      </c>
      <c r="CN178" s="707">
        <v>32.5</v>
      </c>
    </row>
    <row r="179" spans="2:92" s="87" customFormat="1" hidden="1" x14ac:dyDescent="0.25">
      <c r="B179" s="151"/>
      <c r="C179" s="87">
        <v>118</v>
      </c>
      <c r="D179" s="258">
        <f t="shared" ca="1" si="260"/>
        <v>49744</v>
      </c>
      <c r="E179" s="175">
        <f t="shared" si="277"/>
        <v>0</v>
      </c>
      <c r="F179" s="175">
        <f t="shared" si="277"/>
        <v>0</v>
      </c>
      <c r="G179" s="175">
        <f t="shared" si="277"/>
        <v>0</v>
      </c>
      <c r="H179" s="175">
        <f t="shared" si="277"/>
        <v>0</v>
      </c>
      <c r="I179" s="175">
        <f t="shared" si="277"/>
        <v>0</v>
      </c>
      <c r="J179" s="175">
        <f t="shared" si="277"/>
        <v>0</v>
      </c>
      <c r="K179" s="175">
        <f t="shared" si="277"/>
        <v>0</v>
      </c>
      <c r="L179" s="175">
        <f t="shared" si="277"/>
        <v>0</v>
      </c>
      <c r="M179" s="175">
        <f t="shared" si="277"/>
        <v>0</v>
      </c>
      <c r="N179" s="175">
        <f t="shared" si="277"/>
        <v>0</v>
      </c>
      <c r="O179" s="175">
        <f t="shared" si="278"/>
        <v>0</v>
      </c>
      <c r="P179" s="175">
        <f t="shared" si="278"/>
        <v>0</v>
      </c>
      <c r="Q179" s="175">
        <f t="shared" si="278"/>
        <v>0</v>
      </c>
      <c r="R179" s="175">
        <f t="shared" si="278"/>
        <v>0</v>
      </c>
      <c r="S179" s="175">
        <f t="shared" si="278"/>
        <v>0</v>
      </c>
      <c r="T179" s="175">
        <f t="shared" si="278"/>
        <v>0</v>
      </c>
      <c r="U179" s="175">
        <f t="shared" si="278"/>
        <v>0</v>
      </c>
      <c r="V179" s="175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424"/>
      <c r="AR179" s="140"/>
      <c r="AS179" s="140"/>
      <c r="AT179" s="140"/>
      <c r="AU179" s="425"/>
      <c r="AV179" s="140"/>
      <c r="AW179" s="140"/>
      <c r="AX179" s="140"/>
      <c r="AY179" s="425"/>
      <c r="AZ179" s="140"/>
      <c r="BA179" s="140"/>
      <c r="BB179" s="140"/>
      <c r="BC179" s="140"/>
      <c r="BD179" s="425"/>
      <c r="BE179" s="425"/>
      <c r="BF179" s="188"/>
      <c r="BV179" s="177"/>
      <c r="BW179" s="177"/>
      <c r="BX179" s="267"/>
      <c r="BY179" s="267"/>
      <c r="BZ179" s="267"/>
      <c r="CA179" s="267"/>
      <c r="CB179" s="267"/>
      <c r="CC179" s="267"/>
      <c r="CD179" s="267"/>
      <c r="CE179" s="267"/>
      <c r="CF179" s="267"/>
      <c r="CG179" s="267"/>
      <c r="CH179" s="267"/>
      <c r="CI179" s="435"/>
      <c r="CJ179" s="436"/>
      <c r="CK179" s="437"/>
      <c r="CM179" s="64" t="s">
        <v>3048</v>
      </c>
      <c r="CN179" s="707">
        <v>41.333333333333336</v>
      </c>
    </row>
    <row r="180" spans="2:92" s="87" customFormat="1" hidden="1" x14ac:dyDescent="0.25">
      <c r="B180" s="151"/>
      <c r="C180" s="87">
        <v>119</v>
      </c>
      <c r="D180" s="258">
        <f t="shared" ca="1" si="260"/>
        <v>49775</v>
      </c>
      <c r="E180" s="175">
        <f t="shared" si="277"/>
        <v>0</v>
      </c>
      <c r="F180" s="175">
        <f t="shared" si="277"/>
        <v>0</v>
      </c>
      <c r="G180" s="175">
        <f t="shared" si="277"/>
        <v>0</v>
      </c>
      <c r="H180" s="175">
        <f t="shared" si="277"/>
        <v>0</v>
      </c>
      <c r="I180" s="175">
        <f t="shared" si="277"/>
        <v>0</v>
      </c>
      <c r="J180" s="175">
        <f t="shared" si="277"/>
        <v>0</v>
      </c>
      <c r="K180" s="175">
        <f t="shared" si="277"/>
        <v>0</v>
      </c>
      <c r="L180" s="175">
        <f t="shared" si="277"/>
        <v>0</v>
      </c>
      <c r="M180" s="175">
        <f t="shared" si="277"/>
        <v>0</v>
      </c>
      <c r="N180" s="175">
        <f t="shared" si="277"/>
        <v>0</v>
      </c>
      <c r="O180" s="175">
        <f t="shared" si="278"/>
        <v>0</v>
      </c>
      <c r="P180" s="175">
        <f t="shared" si="278"/>
        <v>0</v>
      </c>
      <c r="Q180" s="175">
        <f t="shared" si="278"/>
        <v>0</v>
      </c>
      <c r="R180" s="175">
        <f t="shared" si="278"/>
        <v>0</v>
      </c>
      <c r="S180" s="175">
        <f t="shared" si="278"/>
        <v>0</v>
      </c>
      <c r="T180" s="175">
        <f t="shared" si="278"/>
        <v>0</v>
      </c>
      <c r="U180" s="175">
        <f t="shared" si="278"/>
        <v>0</v>
      </c>
      <c r="V180" s="175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424"/>
      <c r="AR180" s="140"/>
      <c r="AS180" s="140"/>
      <c r="AT180" s="140"/>
      <c r="AU180" s="425"/>
      <c r="AV180" s="140"/>
      <c r="AW180" s="140"/>
      <c r="AX180" s="140"/>
      <c r="AY180" s="425"/>
      <c r="AZ180" s="140"/>
      <c r="BA180" s="140"/>
      <c r="BB180" s="140"/>
      <c r="BC180" s="140"/>
      <c r="BD180" s="425"/>
      <c r="BE180" s="425"/>
      <c r="BF180" s="188"/>
      <c r="BV180" s="177"/>
      <c r="BW180" s="177"/>
      <c r="BX180" s="267"/>
      <c r="BY180" s="267"/>
      <c r="BZ180" s="267"/>
      <c r="CA180" s="267"/>
      <c r="CB180" s="267"/>
      <c r="CC180" s="267"/>
      <c r="CD180" s="267"/>
      <c r="CE180" s="267"/>
      <c r="CF180" s="267"/>
      <c r="CG180" s="267"/>
      <c r="CH180" s="267"/>
      <c r="CI180" s="435"/>
      <c r="CJ180" s="436"/>
      <c r="CK180" s="437"/>
      <c r="CM180" s="64" t="s">
        <v>3751</v>
      </c>
      <c r="CN180" s="707"/>
    </row>
    <row r="181" spans="2:92" s="87" customFormat="1" hidden="1" x14ac:dyDescent="0.25">
      <c r="B181" s="151"/>
      <c r="C181" s="87">
        <v>120</v>
      </c>
      <c r="D181" s="258">
        <f t="shared" ca="1" si="260"/>
        <v>49805</v>
      </c>
      <c r="E181" s="175">
        <f t="shared" si="277"/>
        <v>0</v>
      </c>
      <c r="F181" s="175">
        <f t="shared" si="277"/>
        <v>0</v>
      </c>
      <c r="G181" s="175">
        <f t="shared" si="277"/>
        <v>0</v>
      </c>
      <c r="H181" s="175">
        <f t="shared" si="277"/>
        <v>0</v>
      </c>
      <c r="I181" s="175">
        <f t="shared" si="277"/>
        <v>0</v>
      </c>
      <c r="J181" s="175">
        <f t="shared" si="277"/>
        <v>0</v>
      </c>
      <c r="K181" s="175">
        <f t="shared" si="277"/>
        <v>0</v>
      </c>
      <c r="L181" s="175">
        <f t="shared" si="277"/>
        <v>0</v>
      </c>
      <c r="M181" s="175">
        <f t="shared" si="277"/>
        <v>0</v>
      </c>
      <c r="N181" s="175">
        <f t="shared" si="277"/>
        <v>0</v>
      </c>
      <c r="O181" s="175">
        <f t="shared" si="278"/>
        <v>0</v>
      </c>
      <c r="P181" s="175">
        <f t="shared" si="278"/>
        <v>0</v>
      </c>
      <c r="Q181" s="175">
        <f t="shared" si="278"/>
        <v>0</v>
      </c>
      <c r="R181" s="175">
        <f t="shared" si="278"/>
        <v>0</v>
      </c>
      <c r="S181" s="175">
        <f t="shared" si="278"/>
        <v>0</v>
      </c>
      <c r="T181" s="175">
        <f t="shared" si="278"/>
        <v>0</v>
      </c>
      <c r="U181" s="175">
        <f t="shared" si="278"/>
        <v>0</v>
      </c>
      <c r="V181" s="175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424"/>
      <c r="AR181" s="140"/>
      <c r="AS181" s="140"/>
      <c r="AT181" s="140"/>
      <c r="AU181" s="425"/>
      <c r="AV181" s="140"/>
      <c r="AW181" s="140"/>
      <c r="AX181" s="140"/>
      <c r="AY181" s="425"/>
      <c r="AZ181" s="140"/>
      <c r="BA181" s="140"/>
      <c r="BB181" s="140"/>
      <c r="BC181" s="140"/>
      <c r="BD181" s="425"/>
      <c r="BE181" s="425"/>
      <c r="BF181" s="188"/>
      <c r="BV181" s="177"/>
      <c r="BW181" s="177"/>
      <c r="BX181" s="267"/>
      <c r="BY181" s="267"/>
      <c r="BZ181" s="267"/>
      <c r="CA181" s="267"/>
      <c r="CB181" s="267"/>
      <c r="CC181" s="267"/>
      <c r="CD181" s="267"/>
      <c r="CE181" s="267"/>
      <c r="CF181" s="267"/>
      <c r="CG181" s="267"/>
      <c r="CH181" s="267"/>
      <c r="CI181" s="435"/>
      <c r="CJ181" s="436"/>
      <c r="CK181" s="437"/>
      <c r="CM181" s="64" t="s">
        <v>3049</v>
      </c>
      <c r="CN181" s="707">
        <v>51.833333333333336</v>
      </c>
    </row>
    <row r="182" spans="2:92" s="87" customFormat="1" hidden="1" x14ac:dyDescent="0.25">
      <c r="B182" s="151"/>
      <c r="C182" s="87">
        <v>121</v>
      </c>
      <c r="D182" s="258">
        <f t="shared" ca="1" si="260"/>
        <v>49836</v>
      </c>
      <c r="E182" s="175">
        <f t="shared" ref="E182:N191" si="279">IF($C182&lt;=E$17,1/(($D$60+1)^(($D182-$D$61)/30)),0)</f>
        <v>0</v>
      </c>
      <c r="F182" s="175">
        <f t="shared" si="279"/>
        <v>0</v>
      </c>
      <c r="G182" s="175">
        <f t="shared" si="279"/>
        <v>0</v>
      </c>
      <c r="H182" s="175">
        <f t="shared" si="279"/>
        <v>0</v>
      </c>
      <c r="I182" s="175">
        <f t="shared" si="279"/>
        <v>0</v>
      </c>
      <c r="J182" s="175">
        <f t="shared" si="279"/>
        <v>0</v>
      </c>
      <c r="K182" s="175">
        <f t="shared" si="279"/>
        <v>0</v>
      </c>
      <c r="L182" s="175">
        <f t="shared" si="279"/>
        <v>0</v>
      </c>
      <c r="M182" s="175">
        <f t="shared" si="279"/>
        <v>0</v>
      </c>
      <c r="N182" s="175">
        <f t="shared" si="279"/>
        <v>0</v>
      </c>
      <c r="O182" s="175">
        <f t="shared" ref="O182:U191" si="280">IF($C182&lt;=O$17,1/(($D$60+1)^(($D182-$D$61)/30)),0)</f>
        <v>0</v>
      </c>
      <c r="P182" s="175">
        <f t="shared" si="280"/>
        <v>0</v>
      </c>
      <c r="Q182" s="175">
        <f t="shared" si="280"/>
        <v>0</v>
      </c>
      <c r="R182" s="175">
        <f t="shared" si="280"/>
        <v>0</v>
      </c>
      <c r="S182" s="175">
        <f t="shared" si="280"/>
        <v>0</v>
      </c>
      <c r="T182" s="175">
        <f t="shared" si="280"/>
        <v>0</v>
      </c>
      <c r="U182" s="175">
        <f t="shared" si="280"/>
        <v>0</v>
      </c>
      <c r="V182" s="175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424"/>
      <c r="AR182" s="140"/>
      <c r="AS182" s="140"/>
      <c r="AT182" s="140"/>
      <c r="AU182" s="425"/>
      <c r="AV182" s="140"/>
      <c r="AW182" s="140"/>
      <c r="AX182" s="140"/>
      <c r="AY182" s="425"/>
      <c r="AZ182" s="140"/>
      <c r="BA182" s="140"/>
      <c r="BB182" s="140"/>
      <c r="BC182" s="140"/>
      <c r="BD182" s="425"/>
      <c r="BE182" s="425"/>
      <c r="BF182" s="188"/>
      <c r="BV182" s="177"/>
      <c r="BW182" s="177"/>
      <c r="BX182" s="267"/>
      <c r="BY182" s="267"/>
      <c r="BZ182" s="267"/>
      <c r="CA182" s="267"/>
      <c r="CB182" s="267"/>
      <c r="CC182" s="267"/>
      <c r="CD182" s="267"/>
      <c r="CE182" s="267"/>
      <c r="CF182" s="267"/>
      <c r="CG182" s="267"/>
      <c r="CH182" s="267"/>
      <c r="CI182" s="435"/>
      <c r="CJ182" s="436"/>
      <c r="CK182" s="437"/>
      <c r="CM182" s="64" t="s">
        <v>3050</v>
      </c>
      <c r="CN182" s="707">
        <v>51.833333333333336</v>
      </c>
    </row>
    <row r="183" spans="2:92" s="87" customFormat="1" hidden="1" x14ac:dyDescent="0.25">
      <c r="B183" s="151"/>
      <c r="C183" s="87">
        <v>122</v>
      </c>
      <c r="D183" s="258">
        <f t="shared" ca="1" si="260"/>
        <v>49866</v>
      </c>
      <c r="E183" s="175">
        <f t="shared" si="279"/>
        <v>0</v>
      </c>
      <c r="F183" s="175">
        <f t="shared" si="279"/>
        <v>0</v>
      </c>
      <c r="G183" s="175">
        <f t="shared" si="279"/>
        <v>0</v>
      </c>
      <c r="H183" s="175">
        <f t="shared" si="279"/>
        <v>0</v>
      </c>
      <c r="I183" s="175">
        <f t="shared" si="279"/>
        <v>0</v>
      </c>
      <c r="J183" s="175">
        <f t="shared" si="279"/>
        <v>0</v>
      </c>
      <c r="K183" s="175">
        <f t="shared" si="279"/>
        <v>0</v>
      </c>
      <c r="L183" s="175">
        <f t="shared" si="279"/>
        <v>0</v>
      </c>
      <c r="M183" s="175">
        <f t="shared" si="279"/>
        <v>0</v>
      </c>
      <c r="N183" s="175">
        <f t="shared" si="279"/>
        <v>0</v>
      </c>
      <c r="O183" s="175">
        <f t="shared" si="280"/>
        <v>0</v>
      </c>
      <c r="P183" s="175">
        <f t="shared" si="280"/>
        <v>0</v>
      </c>
      <c r="Q183" s="175">
        <f t="shared" si="280"/>
        <v>0</v>
      </c>
      <c r="R183" s="175">
        <f t="shared" si="280"/>
        <v>0</v>
      </c>
      <c r="S183" s="175">
        <f t="shared" si="280"/>
        <v>0</v>
      </c>
      <c r="T183" s="175">
        <f t="shared" si="280"/>
        <v>0</v>
      </c>
      <c r="U183" s="175">
        <f t="shared" si="280"/>
        <v>0</v>
      </c>
      <c r="V183" s="175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424"/>
      <c r="AR183" s="140"/>
      <c r="AS183" s="140"/>
      <c r="AT183" s="140"/>
      <c r="AU183" s="425"/>
      <c r="AV183" s="140"/>
      <c r="AW183" s="140"/>
      <c r="AX183" s="140"/>
      <c r="AY183" s="425"/>
      <c r="AZ183" s="140"/>
      <c r="BA183" s="140"/>
      <c r="BB183" s="140"/>
      <c r="BC183" s="140"/>
      <c r="BD183" s="425"/>
      <c r="BE183" s="425"/>
      <c r="BF183" s="188"/>
      <c r="BV183" s="177"/>
      <c r="BW183" s="177"/>
      <c r="BX183" s="267"/>
      <c r="BY183" s="267"/>
      <c r="BZ183" s="267"/>
      <c r="CA183" s="267"/>
      <c r="CB183" s="267"/>
      <c r="CC183" s="267"/>
      <c r="CD183" s="267"/>
      <c r="CE183" s="267"/>
      <c r="CF183" s="267"/>
      <c r="CG183" s="267"/>
      <c r="CH183" s="267"/>
      <c r="CI183" s="435"/>
      <c r="CJ183" s="436"/>
      <c r="CK183" s="437"/>
      <c r="CM183" s="64" t="s">
        <v>1050</v>
      </c>
      <c r="CN183" s="707"/>
    </row>
    <row r="184" spans="2:92" s="87" customFormat="1" hidden="1" x14ac:dyDescent="0.25">
      <c r="B184" s="151"/>
      <c r="C184" s="87">
        <v>123</v>
      </c>
      <c r="D184" s="258">
        <f t="shared" ca="1" si="260"/>
        <v>49897</v>
      </c>
      <c r="E184" s="175">
        <f t="shared" si="279"/>
        <v>0</v>
      </c>
      <c r="F184" s="175">
        <f t="shared" si="279"/>
        <v>0</v>
      </c>
      <c r="G184" s="175">
        <f t="shared" si="279"/>
        <v>0</v>
      </c>
      <c r="H184" s="175">
        <f t="shared" si="279"/>
        <v>0</v>
      </c>
      <c r="I184" s="175">
        <f t="shared" si="279"/>
        <v>0</v>
      </c>
      <c r="J184" s="175">
        <f t="shared" si="279"/>
        <v>0</v>
      </c>
      <c r="K184" s="175">
        <f t="shared" si="279"/>
        <v>0</v>
      </c>
      <c r="L184" s="175">
        <f t="shared" si="279"/>
        <v>0</v>
      </c>
      <c r="M184" s="175">
        <f t="shared" si="279"/>
        <v>0</v>
      </c>
      <c r="N184" s="175">
        <f t="shared" si="279"/>
        <v>0</v>
      </c>
      <c r="O184" s="175">
        <f t="shared" si="280"/>
        <v>0</v>
      </c>
      <c r="P184" s="175">
        <f t="shared" si="280"/>
        <v>0</v>
      </c>
      <c r="Q184" s="175">
        <f t="shared" si="280"/>
        <v>0</v>
      </c>
      <c r="R184" s="175">
        <f t="shared" si="280"/>
        <v>0</v>
      </c>
      <c r="S184" s="175">
        <f t="shared" si="280"/>
        <v>0</v>
      </c>
      <c r="T184" s="175">
        <f t="shared" si="280"/>
        <v>0</v>
      </c>
      <c r="U184" s="175">
        <f t="shared" si="280"/>
        <v>0</v>
      </c>
      <c r="V184" s="175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424"/>
      <c r="AR184" s="140"/>
      <c r="AS184" s="140"/>
      <c r="AT184" s="140"/>
      <c r="AU184" s="425"/>
      <c r="AV184" s="140"/>
      <c r="AW184" s="140"/>
      <c r="AX184" s="140"/>
      <c r="AY184" s="425"/>
      <c r="AZ184" s="140"/>
      <c r="BA184" s="140"/>
      <c r="BB184" s="140"/>
      <c r="BC184" s="140"/>
      <c r="BD184" s="425"/>
      <c r="BE184" s="425"/>
      <c r="BF184" s="188"/>
      <c r="BV184" s="177"/>
      <c r="BW184" s="177"/>
      <c r="BX184" s="267"/>
      <c r="BY184" s="267"/>
      <c r="BZ184" s="267"/>
      <c r="CA184" s="267"/>
      <c r="CB184" s="267"/>
      <c r="CC184" s="267"/>
      <c r="CD184" s="267"/>
      <c r="CE184" s="267"/>
      <c r="CF184" s="267"/>
      <c r="CG184" s="267"/>
      <c r="CH184" s="267"/>
      <c r="CI184" s="435"/>
      <c r="CJ184" s="436"/>
      <c r="CK184" s="437"/>
      <c r="CM184" s="64" t="s">
        <v>3051</v>
      </c>
      <c r="CN184" s="707">
        <v>58.5</v>
      </c>
    </row>
    <row r="185" spans="2:92" s="87" customFormat="1" hidden="1" x14ac:dyDescent="0.25">
      <c r="B185" s="151"/>
      <c r="C185" s="87">
        <v>124</v>
      </c>
      <c r="D185" s="258">
        <f t="shared" ca="1" si="260"/>
        <v>49928</v>
      </c>
      <c r="E185" s="175">
        <f t="shared" si="279"/>
        <v>0</v>
      </c>
      <c r="F185" s="175">
        <f t="shared" si="279"/>
        <v>0</v>
      </c>
      <c r="G185" s="175">
        <f t="shared" si="279"/>
        <v>0</v>
      </c>
      <c r="H185" s="175">
        <f t="shared" si="279"/>
        <v>0</v>
      </c>
      <c r="I185" s="175">
        <f t="shared" si="279"/>
        <v>0</v>
      </c>
      <c r="J185" s="175">
        <f t="shared" si="279"/>
        <v>0</v>
      </c>
      <c r="K185" s="175">
        <f t="shared" si="279"/>
        <v>0</v>
      </c>
      <c r="L185" s="175">
        <f t="shared" si="279"/>
        <v>0</v>
      </c>
      <c r="M185" s="175">
        <f t="shared" si="279"/>
        <v>0</v>
      </c>
      <c r="N185" s="175">
        <f t="shared" si="279"/>
        <v>0</v>
      </c>
      <c r="O185" s="175">
        <f t="shared" si="280"/>
        <v>0</v>
      </c>
      <c r="P185" s="175">
        <f t="shared" si="280"/>
        <v>0</v>
      </c>
      <c r="Q185" s="175">
        <f t="shared" si="280"/>
        <v>0</v>
      </c>
      <c r="R185" s="175">
        <f t="shared" si="280"/>
        <v>0</v>
      </c>
      <c r="S185" s="175">
        <f t="shared" si="280"/>
        <v>0</v>
      </c>
      <c r="T185" s="175">
        <f t="shared" si="280"/>
        <v>0</v>
      </c>
      <c r="U185" s="175">
        <f t="shared" si="280"/>
        <v>0</v>
      </c>
      <c r="V185" s="175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424"/>
      <c r="AR185" s="140"/>
      <c r="AS185" s="140"/>
      <c r="AT185" s="140"/>
      <c r="AU185" s="425"/>
      <c r="AV185" s="140"/>
      <c r="AW185" s="140"/>
      <c r="AX185" s="140"/>
      <c r="AY185" s="425"/>
      <c r="AZ185" s="140"/>
      <c r="BA185" s="140"/>
      <c r="BB185" s="140"/>
      <c r="BC185" s="140"/>
      <c r="BD185" s="425"/>
      <c r="BE185" s="425"/>
      <c r="BF185" s="188"/>
      <c r="BV185" s="177"/>
      <c r="BW185" s="177"/>
      <c r="BX185" s="267"/>
      <c r="BY185" s="267"/>
      <c r="BZ185" s="267"/>
      <c r="CA185" s="267"/>
      <c r="CB185" s="267"/>
      <c r="CC185" s="267"/>
      <c r="CD185" s="267"/>
      <c r="CE185" s="267"/>
      <c r="CF185" s="267"/>
      <c r="CG185" s="267"/>
      <c r="CH185" s="267"/>
      <c r="CI185" s="435"/>
      <c r="CJ185" s="436"/>
      <c r="CK185" s="437"/>
      <c r="CM185" s="64" t="s">
        <v>3052</v>
      </c>
      <c r="CN185" s="707">
        <v>50</v>
      </c>
    </row>
    <row r="186" spans="2:92" s="87" customFormat="1" hidden="1" x14ac:dyDescent="0.25">
      <c r="B186" s="151"/>
      <c r="C186" s="87">
        <v>125</v>
      </c>
      <c r="D186" s="258">
        <f t="shared" ca="1" si="260"/>
        <v>49958</v>
      </c>
      <c r="E186" s="175">
        <f t="shared" si="279"/>
        <v>0</v>
      </c>
      <c r="F186" s="175">
        <f t="shared" si="279"/>
        <v>0</v>
      </c>
      <c r="G186" s="175">
        <f t="shared" si="279"/>
        <v>0</v>
      </c>
      <c r="H186" s="175">
        <f t="shared" si="279"/>
        <v>0</v>
      </c>
      <c r="I186" s="175">
        <f t="shared" si="279"/>
        <v>0</v>
      </c>
      <c r="J186" s="175">
        <f t="shared" si="279"/>
        <v>0</v>
      </c>
      <c r="K186" s="175">
        <f t="shared" si="279"/>
        <v>0</v>
      </c>
      <c r="L186" s="175">
        <f t="shared" si="279"/>
        <v>0</v>
      </c>
      <c r="M186" s="175">
        <f t="shared" si="279"/>
        <v>0</v>
      </c>
      <c r="N186" s="175">
        <f t="shared" si="279"/>
        <v>0</v>
      </c>
      <c r="O186" s="175">
        <f t="shared" si="280"/>
        <v>0</v>
      </c>
      <c r="P186" s="175">
        <f t="shared" si="280"/>
        <v>0</v>
      </c>
      <c r="Q186" s="175">
        <f t="shared" si="280"/>
        <v>0</v>
      </c>
      <c r="R186" s="175">
        <f t="shared" si="280"/>
        <v>0</v>
      </c>
      <c r="S186" s="175">
        <f t="shared" si="280"/>
        <v>0</v>
      </c>
      <c r="T186" s="175">
        <f t="shared" si="280"/>
        <v>0</v>
      </c>
      <c r="U186" s="175">
        <f t="shared" si="280"/>
        <v>0</v>
      </c>
      <c r="V186" s="175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424"/>
      <c r="AR186" s="140"/>
      <c r="AS186" s="140"/>
      <c r="AT186" s="140"/>
      <c r="AU186" s="425"/>
      <c r="AV186" s="140"/>
      <c r="AW186" s="140"/>
      <c r="AX186" s="140"/>
      <c r="AY186" s="425"/>
      <c r="AZ186" s="140"/>
      <c r="BA186" s="140"/>
      <c r="BB186" s="140"/>
      <c r="BC186" s="140"/>
      <c r="BD186" s="425"/>
      <c r="BE186" s="425"/>
      <c r="BF186" s="188"/>
      <c r="BV186" s="177"/>
      <c r="BW186" s="177"/>
      <c r="BX186" s="267"/>
      <c r="BY186" s="267"/>
      <c r="BZ186" s="267"/>
      <c r="CA186" s="267"/>
      <c r="CB186" s="267"/>
      <c r="CC186" s="267"/>
      <c r="CD186" s="267"/>
      <c r="CE186" s="267"/>
      <c r="CF186" s="267"/>
      <c r="CG186" s="267"/>
      <c r="CH186" s="267"/>
      <c r="CI186" s="435"/>
      <c r="CJ186" s="436"/>
      <c r="CK186" s="437"/>
      <c r="CM186" s="64" t="s">
        <v>601</v>
      </c>
      <c r="CN186" s="707">
        <v>52</v>
      </c>
    </row>
    <row r="187" spans="2:92" s="87" customFormat="1" hidden="1" x14ac:dyDescent="0.25">
      <c r="B187" s="151"/>
      <c r="C187" s="87">
        <v>126</v>
      </c>
      <c r="D187" s="258">
        <f t="shared" ca="1" si="260"/>
        <v>49989</v>
      </c>
      <c r="E187" s="175">
        <f t="shared" si="279"/>
        <v>0</v>
      </c>
      <c r="F187" s="175">
        <f t="shared" si="279"/>
        <v>0</v>
      </c>
      <c r="G187" s="175">
        <f t="shared" si="279"/>
        <v>0</v>
      </c>
      <c r="H187" s="175">
        <f t="shared" si="279"/>
        <v>0</v>
      </c>
      <c r="I187" s="175">
        <f t="shared" si="279"/>
        <v>0</v>
      </c>
      <c r="J187" s="175">
        <f t="shared" si="279"/>
        <v>0</v>
      </c>
      <c r="K187" s="175">
        <f t="shared" si="279"/>
        <v>0</v>
      </c>
      <c r="L187" s="175">
        <f t="shared" si="279"/>
        <v>0</v>
      </c>
      <c r="M187" s="175">
        <f t="shared" si="279"/>
        <v>0</v>
      </c>
      <c r="N187" s="175">
        <f t="shared" si="279"/>
        <v>0</v>
      </c>
      <c r="O187" s="175">
        <f t="shared" si="280"/>
        <v>0</v>
      </c>
      <c r="P187" s="175">
        <f t="shared" si="280"/>
        <v>0</v>
      </c>
      <c r="Q187" s="175">
        <f t="shared" si="280"/>
        <v>0</v>
      </c>
      <c r="R187" s="175">
        <f t="shared" si="280"/>
        <v>0</v>
      </c>
      <c r="S187" s="175">
        <f t="shared" si="280"/>
        <v>0</v>
      </c>
      <c r="T187" s="175">
        <f t="shared" si="280"/>
        <v>0</v>
      </c>
      <c r="U187" s="175">
        <f t="shared" si="280"/>
        <v>0</v>
      </c>
      <c r="V187" s="175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424"/>
      <c r="AR187" s="140"/>
      <c r="AS187" s="140"/>
      <c r="AT187" s="140"/>
      <c r="AU187" s="425"/>
      <c r="AV187" s="140"/>
      <c r="AW187" s="140"/>
      <c r="AX187" s="140"/>
      <c r="AY187" s="425"/>
      <c r="AZ187" s="140"/>
      <c r="BA187" s="140"/>
      <c r="BB187" s="140"/>
      <c r="BC187" s="140"/>
      <c r="BD187" s="425"/>
      <c r="BE187" s="425"/>
      <c r="BF187" s="188"/>
      <c r="BV187" s="177"/>
      <c r="BW187" s="177"/>
      <c r="BX187" s="267"/>
      <c r="BY187" s="267"/>
      <c r="BZ187" s="267"/>
      <c r="CA187" s="267"/>
      <c r="CB187" s="267"/>
      <c r="CC187" s="267"/>
      <c r="CD187" s="267"/>
      <c r="CE187" s="267"/>
      <c r="CF187" s="267"/>
      <c r="CG187" s="267"/>
      <c r="CH187" s="267"/>
      <c r="CI187" s="435"/>
      <c r="CJ187" s="436"/>
      <c r="CK187" s="437"/>
      <c r="CM187" s="64" t="s">
        <v>375</v>
      </c>
      <c r="CN187" s="707">
        <v>51.2</v>
      </c>
    </row>
    <row r="188" spans="2:92" s="87" customFormat="1" hidden="1" x14ac:dyDescent="0.25">
      <c r="B188" s="151"/>
      <c r="C188" s="87">
        <v>127</v>
      </c>
      <c r="D188" s="258">
        <f t="shared" ca="1" si="260"/>
        <v>50019</v>
      </c>
      <c r="E188" s="175">
        <f t="shared" si="279"/>
        <v>0</v>
      </c>
      <c r="F188" s="175">
        <f t="shared" si="279"/>
        <v>0</v>
      </c>
      <c r="G188" s="175">
        <f t="shared" si="279"/>
        <v>0</v>
      </c>
      <c r="H188" s="175">
        <f t="shared" si="279"/>
        <v>0</v>
      </c>
      <c r="I188" s="175">
        <f t="shared" si="279"/>
        <v>0</v>
      </c>
      <c r="J188" s="175">
        <f t="shared" si="279"/>
        <v>0</v>
      </c>
      <c r="K188" s="175">
        <f t="shared" si="279"/>
        <v>0</v>
      </c>
      <c r="L188" s="175">
        <f t="shared" si="279"/>
        <v>0</v>
      </c>
      <c r="M188" s="175">
        <f t="shared" si="279"/>
        <v>0</v>
      </c>
      <c r="N188" s="175">
        <f t="shared" si="279"/>
        <v>0</v>
      </c>
      <c r="O188" s="175">
        <f t="shared" si="280"/>
        <v>0</v>
      </c>
      <c r="P188" s="175">
        <f t="shared" si="280"/>
        <v>0</v>
      </c>
      <c r="Q188" s="175">
        <f t="shared" si="280"/>
        <v>0</v>
      </c>
      <c r="R188" s="175">
        <f t="shared" si="280"/>
        <v>0</v>
      </c>
      <c r="S188" s="175">
        <f t="shared" si="280"/>
        <v>0</v>
      </c>
      <c r="T188" s="175">
        <f t="shared" si="280"/>
        <v>0</v>
      </c>
      <c r="U188" s="175">
        <f t="shared" si="280"/>
        <v>0</v>
      </c>
      <c r="V188" s="175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424"/>
      <c r="AR188" s="140"/>
      <c r="AS188" s="140"/>
      <c r="AT188" s="140"/>
      <c r="AU188" s="425"/>
      <c r="AV188" s="140"/>
      <c r="AW188" s="140"/>
      <c r="AX188" s="140"/>
      <c r="AY188" s="425"/>
      <c r="AZ188" s="140"/>
      <c r="BA188" s="140"/>
      <c r="BB188" s="140"/>
      <c r="BC188" s="140"/>
      <c r="BD188" s="425"/>
      <c r="BE188" s="425"/>
      <c r="BF188" s="188"/>
      <c r="BV188" s="177"/>
      <c r="BW188" s="177"/>
      <c r="BX188" s="267"/>
      <c r="BY188" s="267"/>
      <c r="BZ188" s="267"/>
      <c r="CA188" s="267"/>
      <c r="CB188" s="267"/>
      <c r="CC188" s="267"/>
      <c r="CD188" s="267"/>
      <c r="CE188" s="267"/>
      <c r="CF188" s="267"/>
      <c r="CG188" s="267"/>
      <c r="CH188" s="267"/>
      <c r="CI188" s="435"/>
      <c r="CJ188" s="436"/>
      <c r="CK188" s="437"/>
      <c r="CM188" s="64" t="s">
        <v>1122</v>
      </c>
      <c r="CN188" s="707">
        <v>56</v>
      </c>
    </row>
    <row r="189" spans="2:92" s="87" customFormat="1" hidden="1" x14ac:dyDescent="0.25">
      <c r="B189" s="151"/>
      <c r="C189" s="87">
        <v>128</v>
      </c>
      <c r="D189" s="258">
        <f t="shared" ca="1" si="260"/>
        <v>50050</v>
      </c>
      <c r="E189" s="175">
        <f t="shared" si="279"/>
        <v>0</v>
      </c>
      <c r="F189" s="175">
        <f t="shared" si="279"/>
        <v>0</v>
      </c>
      <c r="G189" s="175">
        <f t="shared" si="279"/>
        <v>0</v>
      </c>
      <c r="H189" s="175">
        <f t="shared" si="279"/>
        <v>0</v>
      </c>
      <c r="I189" s="175">
        <f t="shared" si="279"/>
        <v>0</v>
      </c>
      <c r="J189" s="175">
        <f t="shared" si="279"/>
        <v>0</v>
      </c>
      <c r="K189" s="175">
        <f t="shared" si="279"/>
        <v>0</v>
      </c>
      <c r="L189" s="175">
        <f t="shared" si="279"/>
        <v>0</v>
      </c>
      <c r="M189" s="175">
        <f t="shared" si="279"/>
        <v>0</v>
      </c>
      <c r="N189" s="175">
        <f t="shared" si="279"/>
        <v>0</v>
      </c>
      <c r="O189" s="175">
        <f t="shared" si="280"/>
        <v>0</v>
      </c>
      <c r="P189" s="175">
        <f t="shared" si="280"/>
        <v>0</v>
      </c>
      <c r="Q189" s="175">
        <f t="shared" si="280"/>
        <v>0</v>
      </c>
      <c r="R189" s="175">
        <f t="shared" si="280"/>
        <v>0</v>
      </c>
      <c r="S189" s="175">
        <f t="shared" si="280"/>
        <v>0</v>
      </c>
      <c r="T189" s="175">
        <f t="shared" si="280"/>
        <v>0</v>
      </c>
      <c r="U189" s="175">
        <f t="shared" si="280"/>
        <v>0</v>
      </c>
      <c r="V189" s="175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40"/>
      <c r="AP189" s="140"/>
      <c r="AQ189" s="424"/>
      <c r="AR189" s="140"/>
      <c r="AS189" s="140"/>
      <c r="AT189" s="140"/>
      <c r="AU189" s="425"/>
      <c r="AV189" s="140"/>
      <c r="AW189" s="140"/>
      <c r="AX189" s="140"/>
      <c r="AY189" s="425"/>
      <c r="AZ189" s="140"/>
      <c r="BA189" s="140"/>
      <c r="BB189" s="140"/>
      <c r="BC189" s="140"/>
      <c r="BD189" s="425"/>
      <c r="BE189" s="425"/>
      <c r="BF189" s="188"/>
      <c r="BV189" s="177"/>
      <c r="BW189" s="177"/>
      <c r="BX189" s="267"/>
      <c r="BY189" s="267"/>
      <c r="BZ189" s="267"/>
      <c r="CA189" s="267"/>
      <c r="CB189" s="267"/>
      <c r="CC189" s="267"/>
      <c r="CD189" s="267"/>
      <c r="CE189" s="267"/>
      <c r="CF189" s="267"/>
      <c r="CG189" s="267"/>
      <c r="CH189" s="267"/>
      <c r="CI189" s="435"/>
      <c r="CJ189" s="436"/>
      <c r="CK189" s="437"/>
      <c r="CM189" s="64" t="s">
        <v>205</v>
      </c>
      <c r="CN189" s="707">
        <v>45</v>
      </c>
    </row>
    <row r="190" spans="2:92" s="87" customFormat="1" hidden="1" x14ac:dyDescent="0.25">
      <c r="B190" s="151"/>
      <c r="C190" s="87">
        <v>129</v>
      </c>
      <c r="D190" s="258">
        <f t="shared" ca="1" si="260"/>
        <v>50081</v>
      </c>
      <c r="E190" s="175">
        <f t="shared" si="279"/>
        <v>0</v>
      </c>
      <c r="F190" s="175">
        <f t="shared" si="279"/>
        <v>0</v>
      </c>
      <c r="G190" s="175">
        <f t="shared" si="279"/>
        <v>0</v>
      </c>
      <c r="H190" s="175">
        <f t="shared" si="279"/>
        <v>0</v>
      </c>
      <c r="I190" s="175">
        <f t="shared" si="279"/>
        <v>0</v>
      </c>
      <c r="J190" s="175">
        <f t="shared" si="279"/>
        <v>0</v>
      </c>
      <c r="K190" s="175">
        <f t="shared" si="279"/>
        <v>0</v>
      </c>
      <c r="L190" s="175">
        <f t="shared" si="279"/>
        <v>0</v>
      </c>
      <c r="M190" s="175">
        <f t="shared" si="279"/>
        <v>0</v>
      </c>
      <c r="N190" s="175">
        <f t="shared" si="279"/>
        <v>0</v>
      </c>
      <c r="O190" s="175">
        <f t="shared" si="280"/>
        <v>0</v>
      </c>
      <c r="P190" s="175">
        <f t="shared" si="280"/>
        <v>0</v>
      </c>
      <c r="Q190" s="175">
        <f t="shared" si="280"/>
        <v>0</v>
      </c>
      <c r="R190" s="175">
        <f t="shared" si="280"/>
        <v>0</v>
      </c>
      <c r="S190" s="175">
        <f t="shared" si="280"/>
        <v>0</v>
      </c>
      <c r="T190" s="175">
        <f t="shared" si="280"/>
        <v>0</v>
      </c>
      <c r="U190" s="175">
        <f t="shared" si="280"/>
        <v>0</v>
      </c>
      <c r="V190" s="175"/>
      <c r="W190" s="140"/>
      <c r="X190" s="140"/>
      <c r="Y190" s="140"/>
      <c r="Z190" s="140"/>
      <c r="AA190" s="140"/>
      <c r="AB190" s="140"/>
      <c r="AC190" s="140"/>
      <c r="AD190" s="140"/>
      <c r="AE190" s="140"/>
      <c r="AF190" s="140"/>
      <c r="AG190" s="140"/>
      <c r="AH190" s="140"/>
      <c r="AI190" s="140"/>
      <c r="AJ190" s="140"/>
      <c r="AK190" s="140"/>
      <c r="AL190" s="140"/>
      <c r="AM190" s="140"/>
      <c r="AN190" s="140"/>
      <c r="AO190" s="140"/>
      <c r="AP190" s="140"/>
      <c r="AQ190" s="424"/>
      <c r="AR190" s="140"/>
      <c r="AS190" s="140"/>
      <c r="AT190" s="140"/>
      <c r="AU190" s="425"/>
      <c r="AV190" s="140"/>
      <c r="AW190" s="140"/>
      <c r="AX190" s="140"/>
      <c r="AY190" s="425"/>
      <c r="AZ190" s="140"/>
      <c r="BA190" s="140"/>
      <c r="BB190" s="140"/>
      <c r="BC190" s="140"/>
      <c r="BD190" s="425"/>
      <c r="BE190" s="425"/>
      <c r="BF190" s="188"/>
      <c r="BV190" s="177"/>
      <c r="BW190" s="177"/>
      <c r="BX190" s="267"/>
      <c r="BY190" s="267"/>
      <c r="BZ190" s="267"/>
      <c r="CA190" s="267"/>
      <c r="CB190" s="267"/>
      <c r="CC190" s="267"/>
      <c r="CD190" s="267"/>
      <c r="CE190" s="267"/>
      <c r="CF190" s="267"/>
      <c r="CG190" s="267"/>
      <c r="CH190" s="267"/>
      <c r="CI190" s="435"/>
      <c r="CJ190" s="436"/>
      <c r="CK190" s="437"/>
      <c r="CM190" s="64" t="s">
        <v>3053</v>
      </c>
      <c r="CN190" s="707">
        <v>64</v>
      </c>
    </row>
    <row r="191" spans="2:92" s="87" customFormat="1" hidden="1" x14ac:dyDescent="0.25">
      <c r="B191" s="151"/>
      <c r="C191" s="87">
        <v>130</v>
      </c>
      <c r="D191" s="258">
        <f t="shared" ref="D191:D205" ca="1" si="281">EDATE(D190,1)</f>
        <v>50109</v>
      </c>
      <c r="E191" s="175">
        <f t="shared" si="279"/>
        <v>0</v>
      </c>
      <c r="F191" s="175">
        <f t="shared" si="279"/>
        <v>0</v>
      </c>
      <c r="G191" s="175">
        <f t="shared" si="279"/>
        <v>0</v>
      </c>
      <c r="H191" s="175">
        <f t="shared" si="279"/>
        <v>0</v>
      </c>
      <c r="I191" s="175">
        <f t="shared" si="279"/>
        <v>0</v>
      </c>
      <c r="J191" s="175">
        <f t="shared" si="279"/>
        <v>0</v>
      </c>
      <c r="K191" s="175">
        <f t="shared" si="279"/>
        <v>0</v>
      </c>
      <c r="L191" s="175">
        <f t="shared" si="279"/>
        <v>0</v>
      </c>
      <c r="M191" s="175">
        <f t="shared" si="279"/>
        <v>0</v>
      </c>
      <c r="N191" s="175">
        <f t="shared" si="279"/>
        <v>0</v>
      </c>
      <c r="O191" s="175">
        <f t="shared" si="280"/>
        <v>0</v>
      </c>
      <c r="P191" s="175">
        <f t="shared" si="280"/>
        <v>0</v>
      </c>
      <c r="Q191" s="175">
        <f t="shared" si="280"/>
        <v>0</v>
      </c>
      <c r="R191" s="175">
        <f t="shared" si="280"/>
        <v>0</v>
      </c>
      <c r="S191" s="175">
        <f t="shared" si="280"/>
        <v>0</v>
      </c>
      <c r="T191" s="175">
        <f t="shared" si="280"/>
        <v>0</v>
      </c>
      <c r="U191" s="175">
        <f t="shared" si="280"/>
        <v>0</v>
      </c>
      <c r="V191" s="175"/>
      <c r="W191" s="140"/>
      <c r="X191" s="140"/>
      <c r="Y191" s="140"/>
      <c r="Z191" s="140"/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140"/>
      <c r="AP191" s="140"/>
      <c r="AQ191" s="424"/>
      <c r="AR191" s="140"/>
      <c r="AS191" s="140"/>
      <c r="AT191" s="140"/>
      <c r="AU191" s="425"/>
      <c r="AV191" s="140"/>
      <c r="AW191" s="140"/>
      <c r="AX191" s="140"/>
      <c r="AY191" s="425"/>
      <c r="AZ191" s="140"/>
      <c r="BA191" s="140"/>
      <c r="BB191" s="140"/>
      <c r="BC191" s="140"/>
      <c r="BD191" s="425"/>
      <c r="BE191" s="425"/>
      <c r="BF191" s="188"/>
      <c r="BV191" s="177"/>
      <c r="BW191" s="177"/>
      <c r="BX191" s="267"/>
      <c r="BY191" s="267"/>
      <c r="BZ191" s="267"/>
      <c r="CA191" s="267"/>
      <c r="CB191" s="267"/>
      <c r="CC191" s="267"/>
      <c r="CD191" s="267"/>
      <c r="CE191" s="267"/>
      <c r="CF191" s="267"/>
      <c r="CG191" s="267"/>
      <c r="CH191" s="267"/>
      <c r="CI191" s="435"/>
      <c r="CJ191" s="436"/>
      <c r="CK191" s="437"/>
      <c r="CM191" s="64" t="s">
        <v>3054</v>
      </c>
      <c r="CN191" s="707"/>
    </row>
    <row r="192" spans="2:92" s="87" customFormat="1" hidden="1" x14ac:dyDescent="0.25">
      <c r="B192" s="151"/>
      <c r="C192" s="87">
        <v>131</v>
      </c>
      <c r="D192" s="258">
        <f t="shared" ca="1" si="281"/>
        <v>50140</v>
      </c>
      <c r="E192" s="175">
        <f t="shared" ref="E192:N205" si="282">IF($C192&lt;=E$17,1/(($D$60+1)^(($D192-$D$61)/30)),0)</f>
        <v>0</v>
      </c>
      <c r="F192" s="175">
        <f t="shared" si="282"/>
        <v>0</v>
      </c>
      <c r="G192" s="175">
        <f t="shared" si="282"/>
        <v>0</v>
      </c>
      <c r="H192" s="175">
        <f t="shared" si="282"/>
        <v>0</v>
      </c>
      <c r="I192" s="175">
        <f t="shared" si="282"/>
        <v>0</v>
      </c>
      <c r="J192" s="175">
        <f t="shared" si="282"/>
        <v>0</v>
      </c>
      <c r="K192" s="175">
        <f t="shared" si="282"/>
        <v>0</v>
      </c>
      <c r="L192" s="175">
        <f t="shared" si="282"/>
        <v>0</v>
      </c>
      <c r="M192" s="175">
        <f t="shared" si="282"/>
        <v>0</v>
      </c>
      <c r="N192" s="175">
        <f t="shared" si="282"/>
        <v>0</v>
      </c>
      <c r="O192" s="175">
        <f t="shared" ref="O192:U205" si="283">IF($C192&lt;=O$17,1/(($D$60+1)^(($D192-$D$61)/30)),0)</f>
        <v>0</v>
      </c>
      <c r="P192" s="175">
        <f t="shared" si="283"/>
        <v>0</v>
      </c>
      <c r="Q192" s="175">
        <f t="shared" si="283"/>
        <v>0</v>
      </c>
      <c r="R192" s="175">
        <f t="shared" si="283"/>
        <v>0</v>
      </c>
      <c r="S192" s="175">
        <f t="shared" si="283"/>
        <v>0</v>
      </c>
      <c r="T192" s="175">
        <f t="shared" si="283"/>
        <v>0</v>
      </c>
      <c r="U192" s="175">
        <f t="shared" si="283"/>
        <v>0</v>
      </c>
      <c r="V192" s="175"/>
      <c r="W192" s="140"/>
      <c r="X192" s="140"/>
      <c r="Y192" s="140"/>
      <c r="Z192" s="140"/>
      <c r="AA192" s="140"/>
      <c r="AB192" s="140"/>
      <c r="AC192" s="140"/>
      <c r="AD192" s="140"/>
      <c r="AE192" s="140"/>
      <c r="AF192" s="140"/>
      <c r="AG192" s="140"/>
      <c r="AH192" s="140"/>
      <c r="AI192" s="140"/>
      <c r="AJ192" s="140"/>
      <c r="AK192" s="140"/>
      <c r="AL192" s="140"/>
      <c r="AM192" s="140"/>
      <c r="AN192" s="140"/>
      <c r="AO192" s="140"/>
      <c r="AP192" s="140"/>
      <c r="AQ192" s="424"/>
      <c r="AR192" s="140"/>
      <c r="AS192" s="140"/>
      <c r="AT192" s="140"/>
      <c r="AU192" s="425"/>
      <c r="AV192" s="140"/>
      <c r="AW192" s="140"/>
      <c r="AX192" s="140"/>
      <c r="AY192" s="425"/>
      <c r="AZ192" s="140"/>
      <c r="BA192" s="140"/>
      <c r="BB192" s="140"/>
      <c r="BC192" s="140"/>
      <c r="BD192" s="425"/>
      <c r="BE192" s="425"/>
      <c r="BF192" s="188"/>
      <c r="BV192" s="177"/>
      <c r="BW192" s="177"/>
      <c r="BX192" s="267"/>
      <c r="BY192" s="267"/>
      <c r="BZ192" s="267"/>
      <c r="CA192" s="267"/>
      <c r="CB192" s="267"/>
      <c r="CC192" s="267"/>
      <c r="CD192" s="267"/>
      <c r="CE192" s="267"/>
      <c r="CF192" s="267"/>
      <c r="CG192" s="267"/>
      <c r="CH192" s="267"/>
      <c r="CI192" s="435"/>
      <c r="CJ192" s="436"/>
      <c r="CK192" s="437"/>
      <c r="CM192" s="64" t="s">
        <v>373</v>
      </c>
      <c r="CN192" s="707">
        <v>42</v>
      </c>
    </row>
    <row r="193" spans="2:134" s="87" customFormat="1" hidden="1" x14ac:dyDescent="0.25">
      <c r="B193" s="151"/>
      <c r="C193" s="87">
        <v>132</v>
      </c>
      <c r="D193" s="258">
        <f t="shared" ca="1" si="281"/>
        <v>50170</v>
      </c>
      <c r="E193" s="175">
        <f t="shared" si="282"/>
        <v>0</v>
      </c>
      <c r="F193" s="175">
        <f t="shared" si="282"/>
        <v>0</v>
      </c>
      <c r="G193" s="175">
        <f t="shared" si="282"/>
        <v>0</v>
      </c>
      <c r="H193" s="175">
        <f t="shared" si="282"/>
        <v>0</v>
      </c>
      <c r="I193" s="175">
        <f t="shared" si="282"/>
        <v>0</v>
      </c>
      <c r="J193" s="175">
        <f t="shared" si="282"/>
        <v>0</v>
      </c>
      <c r="K193" s="175">
        <f t="shared" si="282"/>
        <v>0</v>
      </c>
      <c r="L193" s="175">
        <f t="shared" si="282"/>
        <v>0</v>
      </c>
      <c r="M193" s="175">
        <f t="shared" si="282"/>
        <v>0</v>
      </c>
      <c r="N193" s="175">
        <f t="shared" si="282"/>
        <v>0</v>
      </c>
      <c r="O193" s="175">
        <f t="shared" si="283"/>
        <v>0</v>
      </c>
      <c r="P193" s="175">
        <f t="shared" si="283"/>
        <v>0</v>
      </c>
      <c r="Q193" s="175">
        <f t="shared" si="283"/>
        <v>0</v>
      </c>
      <c r="R193" s="175">
        <f t="shared" si="283"/>
        <v>0</v>
      </c>
      <c r="S193" s="175">
        <f t="shared" si="283"/>
        <v>0</v>
      </c>
      <c r="T193" s="175">
        <f t="shared" si="283"/>
        <v>0</v>
      </c>
      <c r="U193" s="175">
        <f t="shared" si="283"/>
        <v>0</v>
      </c>
      <c r="V193" s="175"/>
      <c r="W193" s="140"/>
      <c r="X193" s="140"/>
      <c r="Y193" s="140"/>
      <c r="Z193" s="140"/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140"/>
      <c r="AP193" s="140"/>
      <c r="AQ193" s="424"/>
      <c r="AR193" s="140"/>
      <c r="AS193" s="140"/>
      <c r="AT193" s="140"/>
      <c r="AU193" s="425"/>
      <c r="AV193" s="140"/>
      <c r="AW193" s="140"/>
      <c r="AX193" s="140"/>
      <c r="AY193" s="425"/>
      <c r="AZ193" s="140"/>
      <c r="BA193" s="140"/>
      <c r="BB193" s="140"/>
      <c r="BC193" s="140"/>
      <c r="BD193" s="425"/>
      <c r="BE193" s="425"/>
      <c r="BF193" s="188"/>
      <c r="BV193" s="177"/>
      <c r="BW193" s="177"/>
      <c r="BX193" s="267"/>
      <c r="BY193" s="267"/>
      <c r="BZ193" s="267"/>
      <c r="CA193" s="267"/>
      <c r="CB193" s="267"/>
      <c r="CC193" s="267"/>
      <c r="CD193" s="267"/>
      <c r="CE193" s="267"/>
      <c r="CF193" s="267"/>
      <c r="CG193" s="267"/>
      <c r="CH193" s="267"/>
      <c r="CI193" s="435"/>
      <c r="CJ193" s="436"/>
      <c r="CK193" s="437"/>
      <c r="CM193" s="64" t="s">
        <v>362</v>
      </c>
      <c r="CN193" s="707">
        <v>42</v>
      </c>
    </row>
    <row r="194" spans="2:134" s="87" customFormat="1" hidden="1" x14ac:dyDescent="0.25">
      <c r="B194" s="151"/>
      <c r="C194" s="87">
        <v>133</v>
      </c>
      <c r="D194" s="258">
        <f t="shared" ca="1" si="281"/>
        <v>50201</v>
      </c>
      <c r="E194" s="175">
        <f t="shared" si="282"/>
        <v>0</v>
      </c>
      <c r="F194" s="175">
        <f t="shared" si="282"/>
        <v>0</v>
      </c>
      <c r="G194" s="175">
        <f t="shared" si="282"/>
        <v>0</v>
      </c>
      <c r="H194" s="175">
        <f t="shared" si="282"/>
        <v>0</v>
      </c>
      <c r="I194" s="175">
        <f t="shared" si="282"/>
        <v>0</v>
      </c>
      <c r="J194" s="175">
        <f t="shared" si="282"/>
        <v>0</v>
      </c>
      <c r="K194" s="175">
        <f t="shared" si="282"/>
        <v>0</v>
      </c>
      <c r="L194" s="175">
        <f t="shared" si="282"/>
        <v>0</v>
      </c>
      <c r="M194" s="175">
        <f t="shared" si="282"/>
        <v>0</v>
      </c>
      <c r="N194" s="175">
        <f t="shared" si="282"/>
        <v>0</v>
      </c>
      <c r="O194" s="175">
        <f t="shared" si="283"/>
        <v>0</v>
      </c>
      <c r="P194" s="175">
        <f t="shared" si="283"/>
        <v>0</v>
      </c>
      <c r="Q194" s="175">
        <f t="shared" si="283"/>
        <v>0</v>
      </c>
      <c r="R194" s="175">
        <f t="shared" si="283"/>
        <v>0</v>
      </c>
      <c r="S194" s="175">
        <f t="shared" si="283"/>
        <v>0</v>
      </c>
      <c r="T194" s="175">
        <f t="shared" si="283"/>
        <v>0</v>
      </c>
      <c r="U194" s="175">
        <f t="shared" si="283"/>
        <v>0</v>
      </c>
      <c r="V194" s="324" t="e">
        <f t="shared" ref="V194:BQ194" si="284">(ROUND(-(1/(SUM(V50:V193)))*V49,2)*99.85%)</f>
        <v>#DIV/0!</v>
      </c>
      <c r="W194" s="324" t="e">
        <f t="shared" si="284"/>
        <v>#DIV/0!</v>
      </c>
      <c r="X194" s="324">
        <f t="shared" si="284"/>
        <v>0</v>
      </c>
      <c r="Y194" s="324">
        <f t="shared" ca="1" si="284"/>
        <v>-2.9954999999999996E-2</v>
      </c>
      <c r="Z194" s="324">
        <f t="shared" ca="1" si="284"/>
        <v>-1.9969999999999998E-2</v>
      </c>
      <c r="AA194" s="324">
        <f t="shared" ca="1" si="284"/>
        <v>-1.9969999999999998E-2</v>
      </c>
      <c r="AB194" s="324">
        <f t="shared" ca="1" si="284"/>
        <v>-1.9969999999999998E-2</v>
      </c>
      <c r="AC194" s="324" t="e">
        <f t="shared" si="284"/>
        <v>#DIV/0!</v>
      </c>
      <c r="AD194" s="324" t="e">
        <f t="shared" si="284"/>
        <v>#DIV/0!</v>
      </c>
      <c r="AE194" s="324" t="e">
        <f t="shared" si="284"/>
        <v>#DIV/0!</v>
      </c>
      <c r="AF194" s="324" t="e">
        <f t="shared" si="284"/>
        <v>#DIV/0!</v>
      </c>
      <c r="AG194" s="324" t="e">
        <f t="shared" si="284"/>
        <v>#DIV/0!</v>
      </c>
      <c r="AH194" s="324" t="e">
        <f t="shared" si="284"/>
        <v>#DIV/0!</v>
      </c>
      <c r="AI194" s="324" t="e">
        <f t="shared" si="284"/>
        <v>#DIV/0!</v>
      </c>
      <c r="AJ194" s="324" t="e">
        <f t="shared" si="284"/>
        <v>#DIV/0!</v>
      </c>
      <c r="AK194" s="324" t="e">
        <f t="shared" si="284"/>
        <v>#DIV/0!</v>
      </c>
      <c r="AL194" s="324" t="e">
        <f t="shared" si="284"/>
        <v>#DIV/0!</v>
      </c>
      <c r="AM194" s="324" t="e">
        <f t="shared" si="284"/>
        <v>#DIV/0!</v>
      </c>
      <c r="AN194" s="324" t="e">
        <f t="shared" si="284"/>
        <v>#DIV/0!</v>
      </c>
      <c r="AO194" s="324" t="e">
        <f t="shared" si="284"/>
        <v>#DIV/0!</v>
      </c>
      <c r="AP194" s="324" t="e">
        <f t="shared" si="284"/>
        <v>#DIV/0!</v>
      </c>
      <c r="AQ194" s="324">
        <f t="shared" si="284"/>
        <v>0</v>
      </c>
      <c r="AR194" s="324">
        <f t="shared" ca="1" si="284"/>
        <v>-9.9849999999999991E-3</v>
      </c>
      <c r="AS194" s="324">
        <f t="shared" ca="1" si="284"/>
        <v>-1.9969999999999998E-2</v>
      </c>
      <c r="AT194" s="324" t="e">
        <f t="shared" si="284"/>
        <v>#DIV/0!</v>
      </c>
      <c r="AU194" s="324">
        <f t="shared" si="284"/>
        <v>0</v>
      </c>
      <c r="AV194" s="324">
        <f t="shared" ca="1" si="284"/>
        <v>-9.9849999999999991E-3</v>
      </c>
      <c r="AW194" s="324">
        <f t="shared" ca="1" si="284"/>
        <v>0</v>
      </c>
      <c r="AX194" s="324">
        <f t="shared" ca="1" si="284"/>
        <v>0</v>
      </c>
      <c r="AY194" s="324">
        <f t="shared" si="284"/>
        <v>0</v>
      </c>
      <c r="AZ194" s="324">
        <f t="shared" ca="1" si="284"/>
        <v>-9.9849999999999991E-3</v>
      </c>
      <c r="BA194" s="324">
        <f t="shared" ca="1" si="284"/>
        <v>-1.9969999999999998E-2</v>
      </c>
      <c r="BB194" s="324">
        <f t="shared" ca="1" si="284"/>
        <v>-9.9849999999999991E-3</v>
      </c>
      <c r="BC194" s="324">
        <f t="shared" ca="1" si="284"/>
        <v>0</v>
      </c>
      <c r="BD194" s="324">
        <f t="shared" ca="1" si="284"/>
        <v>-2.9954999999999996E-2</v>
      </c>
      <c r="BE194" s="324">
        <f t="shared" ca="1" si="284"/>
        <v>-1.9969999999999998E-2</v>
      </c>
      <c r="BF194" s="324">
        <f t="shared" ca="1" si="284"/>
        <v>-1.9969999999999998E-2</v>
      </c>
      <c r="BG194" s="324">
        <f t="shared" ca="1" si="284"/>
        <v>-1.9969999999999998E-2</v>
      </c>
      <c r="BH194" s="324" t="e">
        <f t="shared" ca="1" si="284"/>
        <v>#NUM!</v>
      </c>
      <c r="BI194" s="324" t="e">
        <f t="shared" ca="1" si="284"/>
        <v>#NUM!</v>
      </c>
      <c r="BJ194" s="324" t="e">
        <f t="shared" ca="1" si="284"/>
        <v>#NUM!</v>
      </c>
      <c r="BK194" s="324" t="e">
        <f t="shared" ca="1" si="284"/>
        <v>#NUM!</v>
      </c>
      <c r="BL194" s="324" t="e">
        <f t="shared" ca="1" si="284"/>
        <v>#NUM!</v>
      </c>
      <c r="BM194" s="324" t="e">
        <f t="shared" ca="1" si="284"/>
        <v>#NUM!</v>
      </c>
      <c r="BN194" s="324" t="e">
        <f t="shared" ca="1" si="284"/>
        <v>#NUM!</v>
      </c>
      <c r="BO194" s="324" t="e">
        <f t="shared" ca="1" si="284"/>
        <v>#NUM!</v>
      </c>
      <c r="BP194" s="324" t="e">
        <f t="shared" ca="1" si="284"/>
        <v>#NUM!</v>
      </c>
      <c r="BQ194" s="324" t="e">
        <f t="shared" ca="1" si="284"/>
        <v>#NUM!</v>
      </c>
      <c r="BR194" s="324" t="e">
        <f t="shared" ref="BR194:ED194" ca="1" si="285">(ROUND(-(1/(SUM(BR50:BR193)))*BR49,2)*99.85%)</f>
        <v>#NUM!</v>
      </c>
      <c r="BS194" s="324" t="e">
        <f t="shared" ca="1" si="285"/>
        <v>#NUM!</v>
      </c>
      <c r="BT194" s="324" t="e">
        <f t="shared" ca="1" si="285"/>
        <v>#NUM!</v>
      </c>
      <c r="BU194" s="324" t="e">
        <f t="shared" si="285"/>
        <v>#DIV/0!</v>
      </c>
      <c r="BV194" s="324" t="e">
        <f t="shared" si="285"/>
        <v>#DIV/0!</v>
      </c>
      <c r="BW194" s="324" t="e">
        <f t="shared" si="285"/>
        <v>#DIV/0!</v>
      </c>
      <c r="BX194" s="324" t="e">
        <f t="shared" si="285"/>
        <v>#DIV/0!</v>
      </c>
      <c r="BY194" s="324" t="e">
        <f t="shared" si="285"/>
        <v>#DIV/0!</v>
      </c>
      <c r="BZ194" s="324" t="e">
        <f t="shared" si="285"/>
        <v>#DIV/0!</v>
      </c>
      <c r="CA194" s="324" t="e">
        <f t="shared" si="285"/>
        <v>#DIV/0!</v>
      </c>
      <c r="CB194" s="324" t="e">
        <f t="shared" si="285"/>
        <v>#DIV/0!</v>
      </c>
      <c r="CC194" s="324" t="e">
        <f t="shared" si="285"/>
        <v>#DIV/0!</v>
      </c>
      <c r="CD194" s="324" t="e">
        <f t="shared" si="285"/>
        <v>#DIV/0!</v>
      </c>
      <c r="CE194" s="324" t="e">
        <f t="shared" si="285"/>
        <v>#DIV/0!</v>
      </c>
      <c r="CF194" s="324" t="e">
        <f t="shared" si="285"/>
        <v>#DIV/0!</v>
      </c>
      <c r="CG194" s="324" t="e">
        <f t="shared" si="285"/>
        <v>#DIV/0!</v>
      </c>
      <c r="CH194" s="324" t="e">
        <f t="shared" si="285"/>
        <v>#DIV/0!</v>
      </c>
      <c r="CI194" s="324" t="e">
        <f t="shared" si="285"/>
        <v>#DIV/0!</v>
      </c>
      <c r="CJ194" s="324" t="e">
        <f t="shared" si="285"/>
        <v>#DIV/0!</v>
      </c>
      <c r="CK194" s="324" t="e">
        <f t="shared" si="285"/>
        <v>#DIV/0!</v>
      </c>
      <c r="CL194" s="324" t="e">
        <f t="shared" si="285"/>
        <v>#DIV/0!</v>
      </c>
      <c r="CM194" s="64" t="s">
        <v>228</v>
      </c>
      <c r="CN194" s="707">
        <v>46</v>
      </c>
      <c r="CO194" s="324" t="e">
        <f t="shared" si="285"/>
        <v>#DIV/0!</v>
      </c>
      <c r="CP194" s="324" t="e">
        <f t="shared" si="285"/>
        <v>#DIV/0!</v>
      </c>
      <c r="CQ194" s="324" t="e">
        <f t="shared" si="285"/>
        <v>#DIV/0!</v>
      </c>
      <c r="CR194" s="324" t="e">
        <f t="shared" si="285"/>
        <v>#DIV/0!</v>
      </c>
      <c r="CS194" s="324">
        <f t="shared" si="285"/>
        <v>0</v>
      </c>
      <c r="CT194" s="324">
        <f t="shared" ca="1" si="285"/>
        <v>-9.9849999999999991E-3</v>
      </c>
      <c r="CU194" s="324">
        <f t="shared" ca="1" si="285"/>
        <v>-9.9849999999999991E-3</v>
      </c>
      <c r="CV194" s="324">
        <f t="shared" ca="1" si="285"/>
        <v>-9.9849999999999991E-3</v>
      </c>
      <c r="CW194" s="324">
        <f t="shared" ca="1" si="285"/>
        <v>-9.9849999999999991E-3</v>
      </c>
      <c r="CX194" s="324">
        <f t="shared" ca="1" si="285"/>
        <v>-9.9849999999999991E-3</v>
      </c>
      <c r="CY194" s="324">
        <f t="shared" ca="1" si="285"/>
        <v>-9.9849999999999991E-3</v>
      </c>
      <c r="CZ194" s="324">
        <f t="shared" ca="1" si="285"/>
        <v>-9.9849999999999991E-3</v>
      </c>
      <c r="DA194" s="324">
        <f t="shared" ca="1" si="285"/>
        <v>-9.9849999999999991E-3</v>
      </c>
      <c r="DB194" s="324">
        <f t="shared" ca="1" si="285"/>
        <v>-9.9849999999999991E-3</v>
      </c>
      <c r="DC194" s="324">
        <f t="shared" ca="1" si="285"/>
        <v>-9.9849999999999991E-3</v>
      </c>
      <c r="DD194" s="324">
        <f t="shared" ca="1" si="285"/>
        <v>-9.9849999999999991E-3</v>
      </c>
      <c r="DE194" s="324"/>
      <c r="DF194" s="324"/>
      <c r="DG194" s="324"/>
      <c r="DH194" s="324"/>
      <c r="DI194" s="324"/>
      <c r="DJ194" s="324"/>
      <c r="DK194" s="324"/>
      <c r="DL194" s="324"/>
      <c r="DM194" s="324"/>
      <c r="DN194" s="324"/>
      <c r="DO194" s="324"/>
      <c r="DP194" s="324"/>
      <c r="DQ194" s="324"/>
      <c r="DR194" s="324">
        <f t="shared" si="285"/>
        <v>0</v>
      </c>
      <c r="DS194" s="324">
        <f t="shared" ca="1" si="285"/>
        <v>-9.9849999999999991E-3</v>
      </c>
      <c r="DT194" s="324">
        <f t="shared" ca="1" si="285"/>
        <v>0</v>
      </c>
      <c r="DU194" s="324">
        <f t="shared" ca="1" si="285"/>
        <v>0</v>
      </c>
      <c r="DV194" s="324">
        <f t="shared" ca="1" si="285"/>
        <v>0</v>
      </c>
      <c r="DW194" s="324">
        <f t="shared" ca="1" si="285"/>
        <v>0</v>
      </c>
      <c r="DX194" s="324">
        <f t="shared" ca="1" si="285"/>
        <v>0</v>
      </c>
      <c r="DY194" s="324">
        <f t="shared" ca="1" si="285"/>
        <v>0</v>
      </c>
      <c r="DZ194" s="324">
        <f t="shared" ca="1" si="285"/>
        <v>0</v>
      </c>
      <c r="EA194" s="324">
        <f t="shared" ca="1" si="285"/>
        <v>0</v>
      </c>
      <c r="EB194" s="324">
        <f t="shared" ca="1" si="285"/>
        <v>0</v>
      </c>
      <c r="EC194" s="324">
        <f t="shared" ca="1" si="285"/>
        <v>0</v>
      </c>
      <c r="ED194" s="324">
        <f t="shared" ca="1" si="285"/>
        <v>0</v>
      </c>
    </row>
    <row r="195" spans="2:134" s="87" customFormat="1" hidden="1" x14ac:dyDescent="0.25">
      <c r="B195" s="151"/>
      <c r="C195" s="87">
        <v>134</v>
      </c>
      <c r="D195" s="258">
        <f t="shared" ca="1" si="281"/>
        <v>50231</v>
      </c>
      <c r="E195" s="175">
        <f t="shared" si="282"/>
        <v>0</v>
      </c>
      <c r="F195" s="175">
        <f t="shared" si="282"/>
        <v>0</v>
      </c>
      <c r="G195" s="175">
        <f t="shared" si="282"/>
        <v>0</v>
      </c>
      <c r="H195" s="175">
        <f t="shared" si="282"/>
        <v>0</v>
      </c>
      <c r="I195" s="175">
        <f t="shared" si="282"/>
        <v>0</v>
      </c>
      <c r="J195" s="175">
        <f t="shared" si="282"/>
        <v>0</v>
      </c>
      <c r="K195" s="175">
        <f t="shared" si="282"/>
        <v>0</v>
      </c>
      <c r="L195" s="175">
        <f t="shared" si="282"/>
        <v>0</v>
      </c>
      <c r="M195" s="175">
        <f t="shared" si="282"/>
        <v>0</v>
      </c>
      <c r="N195" s="175">
        <f t="shared" si="282"/>
        <v>0</v>
      </c>
      <c r="O195" s="175">
        <f t="shared" si="283"/>
        <v>0</v>
      </c>
      <c r="P195" s="175">
        <f t="shared" si="283"/>
        <v>0</v>
      </c>
      <c r="Q195" s="175">
        <f t="shared" si="283"/>
        <v>0</v>
      </c>
      <c r="R195" s="175">
        <f t="shared" si="283"/>
        <v>0</v>
      </c>
      <c r="S195" s="175">
        <f t="shared" si="283"/>
        <v>0</v>
      </c>
      <c r="T195" s="175">
        <f t="shared" si="283"/>
        <v>0</v>
      </c>
      <c r="U195" s="175">
        <f t="shared" si="283"/>
        <v>0</v>
      </c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/>
      <c r="AF195" s="140"/>
      <c r="AG195" s="140"/>
      <c r="AH195" s="140"/>
      <c r="AI195" s="140"/>
      <c r="AJ195" s="140"/>
      <c r="AK195" s="140"/>
      <c r="AL195" s="140"/>
      <c r="AM195" s="140"/>
      <c r="AN195" s="140"/>
      <c r="AO195" s="140"/>
      <c r="AP195" s="140"/>
      <c r="AQ195" s="424"/>
      <c r="AR195" s="140"/>
      <c r="AS195" s="140"/>
      <c r="AT195" s="140"/>
      <c r="AU195" s="425"/>
      <c r="AV195" s="140"/>
      <c r="AW195" s="140"/>
      <c r="AX195" s="140"/>
      <c r="AY195" s="425"/>
      <c r="AZ195" s="140"/>
      <c r="BA195" s="140"/>
      <c r="BB195" s="140"/>
      <c r="BC195" s="140"/>
      <c r="BD195" s="425"/>
      <c r="BE195" s="425"/>
      <c r="BF195" s="188"/>
      <c r="BV195" s="177"/>
      <c r="BW195" s="177"/>
      <c r="BX195" s="267"/>
      <c r="BY195" s="267"/>
      <c r="BZ195" s="267"/>
      <c r="CA195" s="267"/>
      <c r="CB195" s="267"/>
      <c r="CC195" s="267"/>
      <c r="CD195" s="267"/>
      <c r="CE195" s="267"/>
      <c r="CF195" s="267"/>
      <c r="CG195" s="267"/>
      <c r="CH195" s="267"/>
      <c r="CI195" s="435"/>
      <c r="CJ195" s="436"/>
      <c r="CK195" s="437"/>
      <c r="CM195" s="64" t="s">
        <v>854</v>
      </c>
      <c r="CN195" s="707">
        <v>46.666666666666664</v>
      </c>
    </row>
    <row r="196" spans="2:134" s="87" customFormat="1" hidden="1" x14ac:dyDescent="0.25">
      <c r="B196" s="151"/>
      <c r="C196" s="87">
        <v>135</v>
      </c>
      <c r="D196" s="258">
        <f t="shared" ca="1" si="281"/>
        <v>50262</v>
      </c>
      <c r="E196" s="175">
        <f t="shared" si="282"/>
        <v>0</v>
      </c>
      <c r="F196" s="175">
        <f t="shared" si="282"/>
        <v>0</v>
      </c>
      <c r="G196" s="175">
        <f t="shared" si="282"/>
        <v>0</v>
      </c>
      <c r="H196" s="175">
        <f t="shared" si="282"/>
        <v>0</v>
      </c>
      <c r="I196" s="175">
        <f t="shared" si="282"/>
        <v>0</v>
      </c>
      <c r="J196" s="175">
        <f t="shared" si="282"/>
        <v>0</v>
      </c>
      <c r="K196" s="175">
        <f t="shared" si="282"/>
        <v>0</v>
      </c>
      <c r="L196" s="175">
        <f t="shared" si="282"/>
        <v>0</v>
      </c>
      <c r="M196" s="175">
        <f t="shared" si="282"/>
        <v>0</v>
      </c>
      <c r="N196" s="175">
        <f t="shared" si="282"/>
        <v>0</v>
      </c>
      <c r="O196" s="175">
        <f t="shared" si="283"/>
        <v>0</v>
      </c>
      <c r="P196" s="175">
        <f t="shared" si="283"/>
        <v>0</v>
      </c>
      <c r="Q196" s="175">
        <f t="shared" si="283"/>
        <v>0</v>
      </c>
      <c r="R196" s="175">
        <f t="shared" si="283"/>
        <v>0</v>
      </c>
      <c r="S196" s="175">
        <f t="shared" si="283"/>
        <v>0</v>
      </c>
      <c r="T196" s="175">
        <f t="shared" si="283"/>
        <v>0</v>
      </c>
      <c r="U196" s="175">
        <f t="shared" si="283"/>
        <v>0</v>
      </c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140"/>
      <c r="AK196" s="140"/>
      <c r="AL196" s="140"/>
      <c r="AM196" s="140"/>
      <c r="AN196" s="140"/>
      <c r="AO196" s="140"/>
      <c r="AP196" s="140"/>
      <c r="AQ196" s="424"/>
      <c r="AR196" s="140"/>
      <c r="AS196" s="140"/>
      <c r="AT196" s="140"/>
      <c r="AU196" s="425"/>
      <c r="AV196" s="140"/>
      <c r="AW196" s="140"/>
      <c r="AX196" s="140"/>
      <c r="AY196" s="425"/>
      <c r="AZ196" s="140"/>
      <c r="BA196" s="140"/>
      <c r="BB196" s="140"/>
      <c r="BC196" s="140"/>
      <c r="BD196" s="425"/>
      <c r="BE196" s="425"/>
      <c r="BF196" s="188"/>
      <c r="BV196" s="177"/>
      <c r="BW196" s="177"/>
      <c r="BX196" s="267"/>
      <c r="BY196" s="267"/>
      <c r="BZ196" s="267"/>
      <c r="CA196" s="267"/>
      <c r="CB196" s="267"/>
      <c r="CC196" s="267"/>
      <c r="CD196" s="267"/>
      <c r="CE196" s="267"/>
      <c r="CF196" s="267"/>
      <c r="CG196" s="267"/>
      <c r="CH196" s="267"/>
      <c r="CI196" s="435"/>
      <c r="CJ196" s="436"/>
      <c r="CK196" s="437"/>
      <c r="CM196" s="64" t="s">
        <v>3055</v>
      </c>
      <c r="CN196" s="707">
        <v>57</v>
      </c>
    </row>
    <row r="197" spans="2:134" s="87" customFormat="1" hidden="1" x14ac:dyDescent="0.25">
      <c r="B197" s="151"/>
      <c r="C197" s="87">
        <v>136</v>
      </c>
      <c r="D197" s="258">
        <f t="shared" ca="1" si="281"/>
        <v>50293</v>
      </c>
      <c r="E197" s="175">
        <f t="shared" si="282"/>
        <v>0</v>
      </c>
      <c r="F197" s="175">
        <f t="shared" si="282"/>
        <v>0</v>
      </c>
      <c r="G197" s="175">
        <f t="shared" si="282"/>
        <v>0</v>
      </c>
      <c r="H197" s="175">
        <f t="shared" si="282"/>
        <v>0</v>
      </c>
      <c r="I197" s="175">
        <f t="shared" si="282"/>
        <v>0</v>
      </c>
      <c r="J197" s="175">
        <f t="shared" si="282"/>
        <v>0</v>
      </c>
      <c r="K197" s="175">
        <f t="shared" si="282"/>
        <v>0</v>
      </c>
      <c r="L197" s="175">
        <f t="shared" si="282"/>
        <v>0</v>
      </c>
      <c r="M197" s="175">
        <f t="shared" si="282"/>
        <v>0</v>
      </c>
      <c r="N197" s="175">
        <f t="shared" si="282"/>
        <v>0</v>
      </c>
      <c r="O197" s="175">
        <f t="shared" si="283"/>
        <v>0</v>
      </c>
      <c r="P197" s="175">
        <f t="shared" si="283"/>
        <v>0</v>
      </c>
      <c r="Q197" s="175">
        <f t="shared" si="283"/>
        <v>0</v>
      </c>
      <c r="R197" s="175">
        <f t="shared" si="283"/>
        <v>0</v>
      </c>
      <c r="S197" s="175">
        <f t="shared" si="283"/>
        <v>0</v>
      </c>
      <c r="T197" s="175">
        <f t="shared" si="283"/>
        <v>0</v>
      </c>
      <c r="U197" s="175">
        <f t="shared" si="283"/>
        <v>0</v>
      </c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140"/>
      <c r="AP197" s="140"/>
      <c r="AQ197" s="424"/>
      <c r="AR197" s="140"/>
      <c r="AS197" s="140"/>
      <c r="AT197" s="140"/>
      <c r="AU197" s="425"/>
      <c r="AV197" s="140"/>
      <c r="AW197" s="140"/>
      <c r="AX197" s="140"/>
      <c r="AY197" s="425"/>
      <c r="AZ197" s="140"/>
      <c r="BA197" s="140"/>
      <c r="BB197" s="140"/>
      <c r="BC197" s="140"/>
      <c r="BD197" s="425"/>
      <c r="BE197" s="425"/>
      <c r="BF197" s="188"/>
      <c r="BV197" s="177"/>
      <c r="BW197" s="177"/>
      <c r="BX197" s="267"/>
      <c r="BY197" s="267"/>
      <c r="BZ197" s="267"/>
      <c r="CA197" s="267"/>
      <c r="CB197" s="267"/>
      <c r="CC197" s="267"/>
      <c r="CD197" s="267"/>
      <c r="CE197" s="267"/>
      <c r="CF197" s="267"/>
      <c r="CG197" s="267"/>
      <c r="CH197" s="267"/>
      <c r="CI197" s="435"/>
      <c r="CJ197" s="436"/>
      <c r="CK197" s="437"/>
      <c r="CM197" s="64" t="s">
        <v>552</v>
      </c>
      <c r="CN197" s="707">
        <v>49.666666666666664</v>
      </c>
    </row>
    <row r="198" spans="2:134" s="87" customFormat="1" hidden="1" x14ac:dyDescent="0.25">
      <c r="B198" s="151"/>
      <c r="C198" s="87">
        <v>137</v>
      </c>
      <c r="D198" s="258">
        <f t="shared" ca="1" si="281"/>
        <v>50323</v>
      </c>
      <c r="E198" s="175">
        <f t="shared" si="282"/>
        <v>0</v>
      </c>
      <c r="F198" s="175">
        <f t="shared" si="282"/>
        <v>0</v>
      </c>
      <c r="G198" s="175">
        <f t="shared" si="282"/>
        <v>0</v>
      </c>
      <c r="H198" s="175">
        <f t="shared" si="282"/>
        <v>0</v>
      </c>
      <c r="I198" s="175">
        <f t="shared" si="282"/>
        <v>0</v>
      </c>
      <c r="J198" s="175">
        <f t="shared" si="282"/>
        <v>0</v>
      </c>
      <c r="K198" s="175">
        <f t="shared" si="282"/>
        <v>0</v>
      </c>
      <c r="L198" s="175">
        <f t="shared" si="282"/>
        <v>0</v>
      </c>
      <c r="M198" s="175">
        <f t="shared" si="282"/>
        <v>0</v>
      </c>
      <c r="N198" s="175">
        <f t="shared" si="282"/>
        <v>0</v>
      </c>
      <c r="O198" s="175">
        <f t="shared" si="283"/>
        <v>0</v>
      </c>
      <c r="P198" s="175">
        <f t="shared" si="283"/>
        <v>0</v>
      </c>
      <c r="Q198" s="175">
        <f t="shared" si="283"/>
        <v>0</v>
      </c>
      <c r="R198" s="175">
        <f t="shared" si="283"/>
        <v>0</v>
      </c>
      <c r="S198" s="175">
        <f t="shared" si="283"/>
        <v>0</v>
      </c>
      <c r="T198" s="175">
        <f t="shared" si="283"/>
        <v>0</v>
      </c>
      <c r="U198" s="175">
        <f t="shared" si="283"/>
        <v>0</v>
      </c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/>
      <c r="AF198" s="140"/>
      <c r="AG198" s="140"/>
      <c r="AH198" s="140"/>
      <c r="AI198" s="140"/>
      <c r="AJ198" s="140"/>
      <c r="AK198" s="140"/>
      <c r="AL198" s="140"/>
      <c r="AM198" s="140"/>
      <c r="AN198" s="140"/>
      <c r="AO198" s="140"/>
      <c r="AP198" s="140"/>
      <c r="AQ198" s="424"/>
      <c r="AR198" s="140"/>
      <c r="AS198" s="140"/>
      <c r="AT198" s="140"/>
      <c r="AU198" s="425"/>
      <c r="AV198" s="140"/>
      <c r="AW198" s="140"/>
      <c r="AX198" s="140"/>
      <c r="AY198" s="425"/>
      <c r="AZ198" s="140"/>
      <c r="BA198" s="140"/>
      <c r="BB198" s="140"/>
      <c r="BC198" s="140"/>
      <c r="BD198" s="425"/>
      <c r="BE198" s="425"/>
      <c r="BF198" s="188"/>
      <c r="BV198" s="177"/>
      <c r="BW198" s="177"/>
      <c r="BX198" s="267"/>
      <c r="BY198" s="267"/>
      <c r="BZ198" s="267"/>
      <c r="CA198" s="267"/>
      <c r="CB198" s="267"/>
      <c r="CC198" s="267"/>
      <c r="CD198" s="267"/>
      <c r="CE198" s="267"/>
      <c r="CF198" s="267"/>
      <c r="CG198" s="267"/>
      <c r="CH198" s="267"/>
      <c r="CI198" s="435"/>
      <c r="CJ198" s="436"/>
      <c r="CK198" s="437"/>
      <c r="CM198" s="64" t="s">
        <v>355</v>
      </c>
      <c r="CN198" s="707">
        <v>43</v>
      </c>
    </row>
    <row r="199" spans="2:134" s="87" customFormat="1" hidden="1" x14ac:dyDescent="0.25">
      <c r="B199" s="151"/>
      <c r="C199" s="87">
        <v>138</v>
      </c>
      <c r="D199" s="258">
        <f t="shared" ca="1" si="281"/>
        <v>50354</v>
      </c>
      <c r="E199" s="175">
        <f t="shared" si="282"/>
        <v>0</v>
      </c>
      <c r="F199" s="175">
        <f t="shared" si="282"/>
        <v>0</v>
      </c>
      <c r="G199" s="175">
        <f t="shared" si="282"/>
        <v>0</v>
      </c>
      <c r="H199" s="175">
        <f t="shared" si="282"/>
        <v>0</v>
      </c>
      <c r="I199" s="175">
        <f t="shared" si="282"/>
        <v>0</v>
      </c>
      <c r="J199" s="175">
        <f t="shared" si="282"/>
        <v>0</v>
      </c>
      <c r="K199" s="175">
        <f t="shared" si="282"/>
        <v>0</v>
      </c>
      <c r="L199" s="175">
        <f t="shared" si="282"/>
        <v>0</v>
      </c>
      <c r="M199" s="175">
        <f t="shared" si="282"/>
        <v>0</v>
      </c>
      <c r="N199" s="175">
        <f t="shared" si="282"/>
        <v>0</v>
      </c>
      <c r="O199" s="175">
        <f t="shared" si="283"/>
        <v>0</v>
      </c>
      <c r="P199" s="175">
        <f t="shared" si="283"/>
        <v>0</v>
      </c>
      <c r="Q199" s="175">
        <f t="shared" si="283"/>
        <v>0</v>
      </c>
      <c r="R199" s="175">
        <f t="shared" si="283"/>
        <v>0</v>
      </c>
      <c r="S199" s="175">
        <f t="shared" si="283"/>
        <v>0</v>
      </c>
      <c r="T199" s="175">
        <f t="shared" si="283"/>
        <v>0</v>
      </c>
      <c r="U199" s="175">
        <f t="shared" si="283"/>
        <v>0</v>
      </c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140"/>
      <c r="AP199" s="140"/>
      <c r="AQ199" s="424"/>
      <c r="AR199" s="140"/>
      <c r="AS199" s="140"/>
      <c r="AT199" s="140"/>
      <c r="AU199" s="425"/>
      <c r="AV199" s="140"/>
      <c r="AW199" s="140"/>
      <c r="AX199" s="140"/>
      <c r="AY199" s="425"/>
      <c r="AZ199" s="140"/>
      <c r="BA199" s="140"/>
      <c r="BB199" s="140"/>
      <c r="BC199" s="140"/>
      <c r="BD199" s="425"/>
      <c r="BE199" s="425"/>
      <c r="BF199" s="188"/>
      <c r="BV199" s="177"/>
      <c r="BW199" s="177"/>
      <c r="BX199" s="267"/>
      <c r="BY199" s="267"/>
      <c r="BZ199" s="267"/>
      <c r="CA199" s="267"/>
      <c r="CB199" s="267"/>
      <c r="CC199" s="267"/>
      <c r="CD199" s="267"/>
      <c r="CE199" s="267"/>
      <c r="CF199" s="267"/>
      <c r="CG199" s="267"/>
      <c r="CH199" s="267"/>
      <c r="CI199" s="435"/>
      <c r="CJ199" s="436"/>
      <c r="CK199" s="437"/>
      <c r="CM199" s="64" t="s">
        <v>3056</v>
      </c>
      <c r="CN199" s="707">
        <v>58.5</v>
      </c>
    </row>
    <row r="200" spans="2:134" s="87" customFormat="1" hidden="1" x14ac:dyDescent="0.25">
      <c r="B200" s="151"/>
      <c r="C200" s="87">
        <v>139</v>
      </c>
      <c r="D200" s="258">
        <f t="shared" ca="1" si="281"/>
        <v>50384</v>
      </c>
      <c r="E200" s="175">
        <f t="shared" si="282"/>
        <v>0</v>
      </c>
      <c r="F200" s="175">
        <f t="shared" si="282"/>
        <v>0</v>
      </c>
      <c r="G200" s="175">
        <f t="shared" si="282"/>
        <v>0</v>
      </c>
      <c r="H200" s="175">
        <f t="shared" si="282"/>
        <v>0</v>
      </c>
      <c r="I200" s="175">
        <f t="shared" si="282"/>
        <v>0</v>
      </c>
      <c r="J200" s="175">
        <f t="shared" si="282"/>
        <v>0</v>
      </c>
      <c r="K200" s="175">
        <f t="shared" si="282"/>
        <v>0</v>
      </c>
      <c r="L200" s="175">
        <f t="shared" si="282"/>
        <v>0</v>
      </c>
      <c r="M200" s="175">
        <f t="shared" si="282"/>
        <v>0</v>
      </c>
      <c r="N200" s="175">
        <f t="shared" si="282"/>
        <v>0</v>
      </c>
      <c r="O200" s="175">
        <f t="shared" si="283"/>
        <v>0</v>
      </c>
      <c r="P200" s="175">
        <f t="shared" si="283"/>
        <v>0</v>
      </c>
      <c r="Q200" s="175">
        <f t="shared" si="283"/>
        <v>0</v>
      </c>
      <c r="R200" s="175">
        <f t="shared" si="283"/>
        <v>0</v>
      </c>
      <c r="S200" s="175">
        <f t="shared" si="283"/>
        <v>0</v>
      </c>
      <c r="T200" s="175">
        <f t="shared" si="283"/>
        <v>0</v>
      </c>
      <c r="U200" s="175">
        <f t="shared" si="283"/>
        <v>0</v>
      </c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/>
      <c r="AF200" s="140"/>
      <c r="AG200" s="140"/>
      <c r="AH200" s="140"/>
      <c r="AI200" s="140"/>
      <c r="AJ200" s="140"/>
      <c r="AK200" s="140"/>
      <c r="AL200" s="140"/>
      <c r="AM200" s="140"/>
      <c r="AN200" s="140"/>
      <c r="AO200" s="140"/>
      <c r="AP200" s="140"/>
      <c r="AQ200" s="424"/>
      <c r="AR200" s="140"/>
      <c r="AS200" s="140"/>
      <c r="AT200" s="140"/>
      <c r="AU200" s="425"/>
      <c r="AV200" s="140"/>
      <c r="AW200" s="140"/>
      <c r="AX200" s="140"/>
      <c r="AY200" s="425"/>
      <c r="AZ200" s="140"/>
      <c r="BA200" s="140"/>
      <c r="BB200" s="140"/>
      <c r="BC200" s="140"/>
      <c r="BD200" s="425"/>
      <c r="BE200" s="425"/>
      <c r="BF200" s="188"/>
      <c r="BV200" s="177"/>
      <c r="BW200" s="177"/>
      <c r="BX200" s="267"/>
      <c r="BY200" s="267"/>
      <c r="BZ200" s="267"/>
      <c r="CA200" s="267"/>
      <c r="CB200" s="267"/>
      <c r="CC200" s="267"/>
      <c r="CD200" s="267"/>
      <c r="CE200" s="267"/>
      <c r="CF200" s="267"/>
      <c r="CG200" s="267"/>
      <c r="CH200" s="267"/>
      <c r="CI200" s="435"/>
      <c r="CJ200" s="436"/>
      <c r="CK200" s="437"/>
      <c r="CM200" s="64" t="s">
        <v>3057</v>
      </c>
      <c r="CN200" s="707">
        <v>49</v>
      </c>
    </row>
    <row r="201" spans="2:134" s="87" customFormat="1" hidden="1" x14ac:dyDescent="0.25">
      <c r="B201" s="151"/>
      <c r="C201" s="87">
        <v>140</v>
      </c>
      <c r="D201" s="258">
        <f t="shared" ca="1" si="281"/>
        <v>50415</v>
      </c>
      <c r="E201" s="175">
        <f t="shared" si="282"/>
        <v>0</v>
      </c>
      <c r="F201" s="175">
        <f t="shared" si="282"/>
        <v>0</v>
      </c>
      <c r="G201" s="175">
        <f t="shared" si="282"/>
        <v>0</v>
      </c>
      <c r="H201" s="175">
        <f t="shared" si="282"/>
        <v>0</v>
      </c>
      <c r="I201" s="175">
        <f t="shared" si="282"/>
        <v>0</v>
      </c>
      <c r="J201" s="175">
        <f t="shared" si="282"/>
        <v>0</v>
      </c>
      <c r="K201" s="175">
        <f t="shared" si="282"/>
        <v>0</v>
      </c>
      <c r="L201" s="175">
        <f t="shared" si="282"/>
        <v>0</v>
      </c>
      <c r="M201" s="175">
        <f t="shared" si="282"/>
        <v>0</v>
      </c>
      <c r="N201" s="175">
        <f t="shared" si="282"/>
        <v>0</v>
      </c>
      <c r="O201" s="175">
        <f t="shared" si="283"/>
        <v>0</v>
      </c>
      <c r="P201" s="175">
        <f t="shared" si="283"/>
        <v>0</v>
      </c>
      <c r="Q201" s="175">
        <f t="shared" si="283"/>
        <v>0</v>
      </c>
      <c r="R201" s="175">
        <f t="shared" si="283"/>
        <v>0</v>
      </c>
      <c r="S201" s="175">
        <f t="shared" si="283"/>
        <v>0</v>
      </c>
      <c r="T201" s="175">
        <f t="shared" si="283"/>
        <v>0</v>
      </c>
      <c r="U201" s="175">
        <f t="shared" si="283"/>
        <v>0</v>
      </c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140"/>
      <c r="AP201" s="140"/>
      <c r="AQ201" s="424"/>
      <c r="AR201" s="140"/>
      <c r="AS201" s="140"/>
      <c r="AT201" s="140"/>
      <c r="AU201" s="425"/>
      <c r="AV201" s="140"/>
      <c r="AW201" s="140"/>
      <c r="AX201" s="140"/>
      <c r="AY201" s="425"/>
      <c r="AZ201" s="140"/>
      <c r="BA201" s="140"/>
      <c r="BB201" s="140"/>
      <c r="BC201" s="140"/>
      <c r="BD201" s="425"/>
      <c r="BE201" s="425"/>
      <c r="BF201" s="188"/>
      <c r="BV201" s="177"/>
      <c r="BW201" s="177"/>
      <c r="BX201" s="267"/>
      <c r="BY201" s="267"/>
      <c r="BZ201" s="267"/>
      <c r="CA201" s="267"/>
      <c r="CB201" s="267"/>
      <c r="CC201" s="267"/>
      <c r="CD201" s="267"/>
      <c r="CE201" s="267"/>
      <c r="CF201" s="267"/>
      <c r="CG201" s="267"/>
      <c r="CH201" s="267"/>
      <c r="CI201" s="435"/>
      <c r="CJ201" s="436"/>
      <c r="CK201" s="437"/>
      <c r="CM201" s="64" t="s">
        <v>385</v>
      </c>
      <c r="CN201" s="707">
        <v>41.5</v>
      </c>
    </row>
    <row r="202" spans="2:134" s="87" customFormat="1" hidden="1" x14ac:dyDescent="0.25">
      <c r="B202" s="151"/>
      <c r="C202" s="87">
        <v>141</v>
      </c>
      <c r="D202" s="258">
        <f t="shared" ca="1" si="281"/>
        <v>50446</v>
      </c>
      <c r="E202" s="175">
        <f t="shared" si="282"/>
        <v>0</v>
      </c>
      <c r="F202" s="175">
        <f t="shared" si="282"/>
        <v>0</v>
      </c>
      <c r="G202" s="175">
        <f t="shared" si="282"/>
        <v>0</v>
      </c>
      <c r="H202" s="175">
        <f t="shared" si="282"/>
        <v>0</v>
      </c>
      <c r="I202" s="175">
        <f t="shared" si="282"/>
        <v>0</v>
      </c>
      <c r="J202" s="175">
        <f t="shared" si="282"/>
        <v>0</v>
      </c>
      <c r="K202" s="175">
        <f t="shared" si="282"/>
        <v>0</v>
      </c>
      <c r="L202" s="175">
        <f t="shared" si="282"/>
        <v>0</v>
      </c>
      <c r="M202" s="175">
        <f t="shared" si="282"/>
        <v>0</v>
      </c>
      <c r="N202" s="175">
        <f t="shared" si="282"/>
        <v>0</v>
      </c>
      <c r="O202" s="175">
        <f t="shared" si="283"/>
        <v>0</v>
      </c>
      <c r="P202" s="175">
        <f t="shared" si="283"/>
        <v>0</v>
      </c>
      <c r="Q202" s="175">
        <f t="shared" si="283"/>
        <v>0</v>
      </c>
      <c r="R202" s="175">
        <f t="shared" si="283"/>
        <v>0</v>
      </c>
      <c r="S202" s="175">
        <f t="shared" si="283"/>
        <v>0</v>
      </c>
      <c r="T202" s="175">
        <f t="shared" si="283"/>
        <v>0</v>
      </c>
      <c r="U202" s="175">
        <f t="shared" si="283"/>
        <v>0</v>
      </c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/>
      <c r="AF202" s="140"/>
      <c r="AG202" s="140"/>
      <c r="AH202" s="140"/>
      <c r="AI202" s="140"/>
      <c r="AJ202" s="140"/>
      <c r="AK202" s="140"/>
      <c r="AL202" s="140"/>
      <c r="AM202" s="140"/>
      <c r="AN202" s="140"/>
      <c r="AO202" s="140"/>
      <c r="AP202" s="140"/>
      <c r="AQ202" s="424"/>
      <c r="AR202" s="140"/>
      <c r="AS202" s="140"/>
      <c r="AT202" s="140"/>
      <c r="AU202" s="425"/>
      <c r="AV202" s="140"/>
      <c r="AW202" s="140"/>
      <c r="AX202" s="140"/>
      <c r="AY202" s="425"/>
      <c r="AZ202" s="140"/>
      <c r="BA202" s="140"/>
      <c r="BB202" s="140"/>
      <c r="BC202" s="140"/>
      <c r="BD202" s="425"/>
      <c r="BE202" s="425"/>
      <c r="BF202" s="188"/>
      <c r="BV202" s="177"/>
      <c r="BW202" s="177"/>
      <c r="BX202" s="267"/>
      <c r="BY202" s="267"/>
      <c r="BZ202" s="267"/>
      <c r="CA202" s="267"/>
      <c r="CB202" s="267"/>
      <c r="CC202" s="267"/>
      <c r="CD202" s="267"/>
      <c r="CE202" s="267"/>
      <c r="CF202" s="267"/>
      <c r="CG202" s="267"/>
      <c r="CH202" s="267"/>
      <c r="CI202" s="435"/>
      <c r="CJ202" s="436"/>
      <c r="CK202" s="437"/>
      <c r="CM202" s="64" t="s">
        <v>751</v>
      </c>
      <c r="CN202" s="707">
        <v>38.166666666666664</v>
      </c>
    </row>
    <row r="203" spans="2:134" s="87" customFormat="1" hidden="1" x14ac:dyDescent="0.25">
      <c r="B203" s="151"/>
      <c r="C203" s="87">
        <v>142</v>
      </c>
      <c r="D203" s="258">
        <f t="shared" ca="1" si="281"/>
        <v>50474</v>
      </c>
      <c r="E203" s="175">
        <f t="shared" si="282"/>
        <v>0</v>
      </c>
      <c r="F203" s="175">
        <f t="shared" si="282"/>
        <v>0</v>
      </c>
      <c r="G203" s="175">
        <f t="shared" si="282"/>
        <v>0</v>
      </c>
      <c r="H203" s="175">
        <f t="shared" si="282"/>
        <v>0</v>
      </c>
      <c r="I203" s="175">
        <f t="shared" si="282"/>
        <v>0</v>
      </c>
      <c r="J203" s="175">
        <f t="shared" si="282"/>
        <v>0</v>
      </c>
      <c r="K203" s="175">
        <f t="shared" si="282"/>
        <v>0</v>
      </c>
      <c r="L203" s="175">
        <f t="shared" si="282"/>
        <v>0</v>
      </c>
      <c r="M203" s="175">
        <f t="shared" si="282"/>
        <v>0</v>
      </c>
      <c r="N203" s="175">
        <f t="shared" si="282"/>
        <v>0</v>
      </c>
      <c r="O203" s="175">
        <f t="shared" si="283"/>
        <v>0</v>
      </c>
      <c r="P203" s="175">
        <f t="shared" si="283"/>
        <v>0</v>
      </c>
      <c r="Q203" s="175">
        <f t="shared" si="283"/>
        <v>0</v>
      </c>
      <c r="R203" s="175">
        <f t="shared" si="283"/>
        <v>0</v>
      </c>
      <c r="S203" s="175">
        <f t="shared" si="283"/>
        <v>0</v>
      </c>
      <c r="T203" s="175">
        <f t="shared" si="283"/>
        <v>0</v>
      </c>
      <c r="U203" s="175">
        <f t="shared" si="283"/>
        <v>0</v>
      </c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/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424"/>
      <c r="AR203" s="140"/>
      <c r="AS203" s="140"/>
      <c r="AT203" s="140"/>
      <c r="AU203" s="425"/>
      <c r="AV203" s="140"/>
      <c r="AW203" s="140"/>
      <c r="AX203" s="140"/>
      <c r="AY203" s="425"/>
      <c r="AZ203" s="140"/>
      <c r="BA203" s="140"/>
      <c r="BB203" s="140"/>
      <c r="BC203" s="140"/>
      <c r="BD203" s="425"/>
      <c r="BE203" s="425"/>
      <c r="BF203" s="188"/>
      <c r="BV203" s="177"/>
      <c r="BW203" s="177"/>
      <c r="BX203" s="267"/>
      <c r="BY203" s="267"/>
      <c r="BZ203" s="267"/>
      <c r="CA203" s="267"/>
      <c r="CB203" s="267"/>
      <c r="CC203" s="267"/>
      <c r="CD203" s="267"/>
      <c r="CE203" s="267"/>
      <c r="CF203" s="267"/>
      <c r="CG203" s="267"/>
      <c r="CH203" s="267"/>
      <c r="CI203" s="435"/>
      <c r="CJ203" s="436"/>
      <c r="CK203" s="437"/>
      <c r="CM203" s="64" t="s">
        <v>363</v>
      </c>
      <c r="CN203" s="707">
        <v>50</v>
      </c>
    </row>
    <row r="204" spans="2:134" s="87" customFormat="1" hidden="1" x14ac:dyDescent="0.25">
      <c r="B204" s="140"/>
      <c r="C204" s="87">
        <v>143</v>
      </c>
      <c r="D204" s="258">
        <f t="shared" ca="1" si="281"/>
        <v>50505</v>
      </c>
      <c r="E204" s="175">
        <f t="shared" si="282"/>
        <v>0</v>
      </c>
      <c r="F204" s="175">
        <f t="shared" si="282"/>
        <v>0</v>
      </c>
      <c r="G204" s="175">
        <f t="shared" si="282"/>
        <v>0</v>
      </c>
      <c r="H204" s="175">
        <f t="shared" si="282"/>
        <v>0</v>
      </c>
      <c r="I204" s="175">
        <f t="shared" si="282"/>
        <v>0</v>
      </c>
      <c r="J204" s="175">
        <f t="shared" si="282"/>
        <v>0</v>
      </c>
      <c r="K204" s="175">
        <f t="shared" si="282"/>
        <v>0</v>
      </c>
      <c r="L204" s="175">
        <f t="shared" si="282"/>
        <v>0</v>
      </c>
      <c r="M204" s="175">
        <f t="shared" si="282"/>
        <v>0</v>
      </c>
      <c r="N204" s="175">
        <f t="shared" si="282"/>
        <v>0</v>
      </c>
      <c r="O204" s="175">
        <f t="shared" si="283"/>
        <v>0</v>
      </c>
      <c r="P204" s="175">
        <f t="shared" si="283"/>
        <v>0</v>
      </c>
      <c r="Q204" s="175">
        <f t="shared" si="283"/>
        <v>0</v>
      </c>
      <c r="R204" s="175">
        <f t="shared" si="283"/>
        <v>0</v>
      </c>
      <c r="S204" s="175">
        <f t="shared" si="283"/>
        <v>0</v>
      </c>
      <c r="T204" s="175">
        <f t="shared" si="283"/>
        <v>0</v>
      </c>
      <c r="U204" s="175">
        <f t="shared" si="283"/>
        <v>0</v>
      </c>
      <c r="V204" s="140"/>
      <c r="W204" s="140"/>
      <c r="X204" s="140"/>
      <c r="Y204" s="140"/>
      <c r="Z204" s="140"/>
      <c r="AA204" s="140"/>
      <c r="AB204" s="140"/>
      <c r="AC204" s="140"/>
      <c r="AD204" s="140"/>
      <c r="AE204" s="140"/>
      <c r="AF204" s="140"/>
      <c r="AG204" s="140"/>
      <c r="AH204" s="140"/>
      <c r="AI204" s="140"/>
      <c r="AJ204" s="140"/>
      <c r="AK204" s="140"/>
      <c r="AL204" s="140"/>
      <c r="AM204" s="140"/>
      <c r="AN204" s="140"/>
      <c r="AO204" s="140"/>
      <c r="AP204" s="140"/>
      <c r="AQ204" s="424"/>
      <c r="AR204" s="140"/>
      <c r="AS204" s="140"/>
      <c r="AT204" s="140"/>
      <c r="AU204" s="425"/>
      <c r="AV204" s="140"/>
      <c r="AW204" s="140"/>
      <c r="AX204" s="140"/>
      <c r="AY204" s="425"/>
      <c r="AZ204" s="140"/>
      <c r="BA204" s="140"/>
      <c r="BB204" s="140"/>
      <c r="BC204" s="140"/>
      <c r="BD204" s="425"/>
      <c r="BE204" s="425"/>
      <c r="BF204" s="188"/>
      <c r="BV204" s="177"/>
      <c r="BW204" s="177"/>
      <c r="BX204" s="267"/>
      <c r="BY204" s="267"/>
      <c r="BZ204" s="267"/>
      <c r="CA204" s="267"/>
      <c r="CB204" s="267"/>
      <c r="CC204" s="267"/>
      <c r="CD204" s="267"/>
      <c r="CE204" s="267"/>
      <c r="CF204" s="267"/>
      <c r="CG204" s="267"/>
      <c r="CH204" s="267"/>
      <c r="CI204" s="435"/>
      <c r="CJ204" s="436"/>
      <c r="CK204" s="437"/>
      <c r="CM204" s="64" t="s">
        <v>364</v>
      </c>
      <c r="CN204" s="707">
        <v>50</v>
      </c>
    </row>
    <row r="205" spans="2:134" s="87" customFormat="1" hidden="1" x14ac:dyDescent="0.25">
      <c r="B205" s="140"/>
      <c r="C205" s="87">
        <v>144</v>
      </c>
      <c r="D205" s="258">
        <f t="shared" ca="1" si="281"/>
        <v>50535</v>
      </c>
      <c r="E205" s="175">
        <f t="shared" si="282"/>
        <v>0</v>
      </c>
      <c r="F205" s="175">
        <f t="shared" si="282"/>
        <v>0</v>
      </c>
      <c r="G205" s="175">
        <f t="shared" si="282"/>
        <v>0</v>
      </c>
      <c r="H205" s="175">
        <f t="shared" si="282"/>
        <v>0</v>
      </c>
      <c r="I205" s="175">
        <f t="shared" si="282"/>
        <v>0</v>
      </c>
      <c r="J205" s="175">
        <f t="shared" si="282"/>
        <v>0</v>
      </c>
      <c r="K205" s="175">
        <f t="shared" si="282"/>
        <v>0</v>
      </c>
      <c r="L205" s="175">
        <f t="shared" si="282"/>
        <v>0</v>
      </c>
      <c r="M205" s="175">
        <f t="shared" si="282"/>
        <v>0</v>
      </c>
      <c r="N205" s="175">
        <f t="shared" si="282"/>
        <v>0</v>
      </c>
      <c r="O205" s="175">
        <f t="shared" si="283"/>
        <v>0</v>
      </c>
      <c r="P205" s="175">
        <f t="shared" si="283"/>
        <v>0</v>
      </c>
      <c r="Q205" s="175">
        <f t="shared" si="283"/>
        <v>0</v>
      </c>
      <c r="R205" s="175">
        <f t="shared" si="283"/>
        <v>0</v>
      </c>
      <c r="S205" s="175">
        <f t="shared" si="283"/>
        <v>0</v>
      </c>
      <c r="T205" s="175">
        <f t="shared" si="283"/>
        <v>0</v>
      </c>
      <c r="U205" s="175">
        <f t="shared" si="283"/>
        <v>0</v>
      </c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424"/>
      <c r="AR205" s="140"/>
      <c r="AS205" s="140"/>
      <c r="AT205" s="140"/>
      <c r="AU205" s="425"/>
      <c r="AV205" s="140"/>
      <c r="AW205" s="140"/>
      <c r="AX205" s="140"/>
      <c r="AY205" s="425"/>
      <c r="AZ205" s="140"/>
      <c r="BA205" s="140"/>
      <c r="BB205" s="140"/>
      <c r="BC205" s="140"/>
      <c r="BD205" s="425"/>
      <c r="BE205" s="425"/>
      <c r="BF205" s="188"/>
      <c r="BV205" s="177"/>
      <c r="BW205" s="177"/>
      <c r="BX205" s="267"/>
      <c r="BY205" s="267"/>
      <c r="BZ205" s="267"/>
      <c r="CA205" s="267"/>
      <c r="CB205" s="267"/>
      <c r="CC205" s="267"/>
      <c r="CD205" s="267"/>
      <c r="CE205" s="267"/>
      <c r="CF205" s="267"/>
      <c r="CG205" s="267"/>
      <c r="CH205" s="267"/>
      <c r="CI205" s="435"/>
      <c r="CJ205" s="436"/>
      <c r="CK205" s="437"/>
      <c r="CM205" s="64" t="s">
        <v>365</v>
      </c>
      <c r="CN205" s="707">
        <v>50</v>
      </c>
    </row>
    <row r="206" spans="2:134" s="87" customFormat="1" hidden="1" x14ac:dyDescent="0.25">
      <c r="B206" s="140"/>
      <c r="C206" s="140"/>
      <c r="D206" s="139"/>
      <c r="E206" s="324">
        <f t="shared" ref="E206:U206" ca="1" si="286">(ROUND(-(1/(SUM(E62:E205)))*E61,2)*99.85%)</f>
        <v>75.266929999999988</v>
      </c>
      <c r="F206" s="324">
        <f t="shared" ca="1" si="286"/>
        <v>75.776164999999992</v>
      </c>
      <c r="G206" s="324">
        <f t="shared" ca="1" si="286"/>
        <v>1307.0364999999999</v>
      </c>
      <c r="H206" s="324">
        <f t="shared" ca="1" si="286"/>
        <v>310.25391999999999</v>
      </c>
      <c r="I206" s="324" t="e">
        <f t="shared" si="286"/>
        <v>#DIV/0!</v>
      </c>
      <c r="J206" s="324" t="e">
        <f t="shared" si="286"/>
        <v>#DIV/0!</v>
      </c>
      <c r="K206" s="324" t="e">
        <f t="shared" si="286"/>
        <v>#DIV/0!</v>
      </c>
      <c r="L206" s="324" t="e">
        <f t="shared" si="286"/>
        <v>#DIV/0!</v>
      </c>
      <c r="M206" s="324" t="e">
        <f t="shared" si="286"/>
        <v>#DIV/0!</v>
      </c>
      <c r="N206" s="324" t="e">
        <f t="shared" si="286"/>
        <v>#DIV/0!</v>
      </c>
      <c r="O206" s="324" t="e">
        <f t="shared" si="286"/>
        <v>#DIV/0!</v>
      </c>
      <c r="P206" s="324" t="e">
        <f t="shared" si="286"/>
        <v>#DIV/0!</v>
      </c>
      <c r="Q206" s="324" t="e">
        <f t="shared" si="286"/>
        <v>#DIV/0!</v>
      </c>
      <c r="R206" s="324" t="e">
        <f t="shared" si="286"/>
        <v>#DIV/0!</v>
      </c>
      <c r="S206" s="324" t="e">
        <f t="shared" si="286"/>
        <v>#DIV/0!</v>
      </c>
      <c r="T206" s="324" t="e">
        <f t="shared" si="286"/>
        <v>#DIV/0!</v>
      </c>
      <c r="U206" s="324" t="e">
        <f t="shared" si="286"/>
        <v>#DIV/0!</v>
      </c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/>
      <c r="AF206" s="140"/>
      <c r="AG206" s="140"/>
      <c r="AH206" s="140"/>
      <c r="AI206" s="140"/>
      <c r="AJ206" s="140"/>
      <c r="AK206" s="140"/>
      <c r="AL206" s="140"/>
      <c r="AM206" s="140"/>
      <c r="AN206" s="140"/>
      <c r="AO206" s="140"/>
      <c r="AP206" s="140"/>
      <c r="AQ206" s="424"/>
      <c r="AR206" s="140"/>
      <c r="AS206" s="140"/>
      <c r="AT206" s="140"/>
      <c r="AU206" s="425"/>
      <c r="AV206" s="140"/>
      <c r="AW206" s="140"/>
      <c r="AX206" s="140"/>
      <c r="AY206" s="425"/>
      <c r="AZ206" s="140"/>
      <c r="BA206" s="140"/>
      <c r="BB206" s="140"/>
      <c r="BC206" s="140"/>
      <c r="BD206" s="425"/>
      <c r="BE206" s="425"/>
      <c r="BF206" s="188"/>
      <c r="BV206" s="177"/>
      <c r="BW206" s="177"/>
      <c r="BX206" s="267"/>
      <c r="BY206" s="267"/>
      <c r="BZ206" s="267"/>
      <c r="CA206" s="267"/>
      <c r="CB206" s="267"/>
      <c r="CC206" s="267"/>
      <c r="CD206" s="267"/>
      <c r="CE206" s="267"/>
      <c r="CF206" s="267"/>
      <c r="CG206" s="267"/>
      <c r="CH206" s="267"/>
      <c r="CI206" s="435"/>
      <c r="CJ206" s="436"/>
      <c r="CK206" s="437"/>
      <c r="CM206" s="64" t="s">
        <v>2466</v>
      </c>
      <c r="CN206" s="707"/>
    </row>
    <row r="207" spans="2:134" s="87" customFormat="1" hidden="1" x14ac:dyDescent="0.25">
      <c r="B207" s="140"/>
      <c r="C207" s="140"/>
      <c r="D207" s="139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/>
      <c r="AF207" s="140"/>
      <c r="AG207" s="140"/>
      <c r="AH207" s="140"/>
      <c r="AI207" s="140"/>
      <c r="AJ207" s="140"/>
      <c r="AK207" s="140"/>
      <c r="AL207" s="140"/>
      <c r="AM207" s="140"/>
      <c r="AN207" s="140"/>
      <c r="AO207" s="140"/>
      <c r="AP207" s="140"/>
      <c r="AQ207" s="424"/>
      <c r="AR207" s="140"/>
      <c r="AS207" s="140"/>
      <c r="AT207" s="140"/>
      <c r="AU207" s="425"/>
      <c r="AV207" s="140"/>
      <c r="AW207" s="140"/>
      <c r="AX207" s="140"/>
      <c r="AY207" s="425"/>
      <c r="AZ207" s="140"/>
      <c r="BA207" s="140"/>
      <c r="BB207" s="140"/>
      <c r="BC207" s="140"/>
      <c r="BD207" s="425"/>
      <c r="BE207" s="425"/>
      <c r="BF207" s="188"/>
      <c r="BV207" s="177"/>
      <c r="BW207" s="177"/>
      <c r="BX207" s="267"/>
      <c r="BY207" s="267"/>
      <c r="BZ207" s="267"/>
      <c r="CA207" s="267"/>
      <c r="CB207" s="267"/>
      <c r="CC207" s="267"/>
      <c r="CD207" s="267"/>
      <c r="CE207" s="267"/>
      <c r="CF207" s="267"/>
      <c r="CG207" s="267"/>
      <c r="CH207" s="267"/>
      <c r="CI207" s="435"/>
      <c r="CJ207" s="436"/>
      <c r="CK207" s="437"/>
      <c r="CM207" s="64" t="s">
        <v>336</v>
      </c>
      <c r="CN207" s="707">
        <v>58.125</v>
      </c>
    </row>
    <row r="208" spans="2:134" s="87" customFormat="1" hidden="1" x14ac:dyDescent="0.25">
      <c r="B208" s="140"/>
      <c r="C208" s="140"/>
      <c r="D208" s="579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0"/>
      <c r="AD208" s="140"/>
      <c r="AE208" s="140"/>
      <c r="AF208" s="140"/>
      <c r="AG208" s="140"/>
      <c r="AH208" s="140"/>
      <c r="AI208" s="140"/>
      <c r="AJ208" s="140"/>
      <c r="AK208" s="140"/>
      <c r="AL208" s="140"/>
      <c r="AM208" s="140"/>
      <c r="AN208" s="140"/>
      <c r="AO208" s="140"/>
      <c r="AP208" s="140"/>
      <c r="AQ208" s="424"/>
      <c r="AR208" s="140"/>
      <c r="AS208" s="140"/>
      <c r="AT208" s="140"/>
      <c r="AU208" s="425"/>
      <c r="AV208" s="140"/>
      <c r="AW208" s="140"/>
      <c r="AX208" s="140"/>
      <c r="AY208" s="425"/>
      <c r="AZ208" s="140"/>
      <c r="BA208" s="140"/>
      <c r="BB208" s="140"/>
      <c r="BC208" s="140"/>
      <c r="BD208" s="425"/>
      <c r="BE208" s="425"/>
      <c r="BF208" s="188"/>
      <c r="BV208" s="177"/>
      <c r="BW208" s="177"/>
      <c r="BX208" s="267"/>
      <c r="BY208" s="267"/>
      <c r="BZ208" s="267"/>
      <c r="CA208" s="267"/>
      <c r="CB208" s="267"/>
      <c r="CC208" s="267"/>
      <c r="CD208" s="267"/>
      <c r="CE208" s="267"/>
      <c r="CF208" s="267"/>
      <c r="CG208" s="267"/>
      <c r="CH208" s="267"/>
      <c r="CI208" s="435"/>
      <c r="CJ208" s="436"/>
      <c r="CK208" s="437"/>
      <c r="CM208" s="64" t="s">
        <v>3058</v>
      </c>
      <c r="CN208" s="707">
        <v>47</v>
      </c>
    </row>
    <row r="209" spans="2:92" s="87" customFormat="1" hidden="1" x14ac:dyDescent="0.25">
      <c r="B209" s="140"/>
      <c r="C209" s="140"/>
      <c r="D209" s="139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/>
      <c r="AF209" s="140"/>
      <c r="AG209" s="140"/>
      <c r="AH209" s="140"/>
      <c r="AI209" s="140"/>
      <c r="AJ209" s="140"/>
      <c r="AK209" s="140"/>
      <c r="AL209" s="140"/>
      <c r="AM209" s="140"/>
      <c r="AN209" s="140"/>
      <c r="AO209" s="140"/>
      <c r="AP209" s="140"/>
      <c r="AQ209" s="424"/>
      <c r="AR209" s="140"/>
      <c r="AS209" s="140"/>
      <c r="AT209" s="140"/>
      <c r="AU209" s="425"/>
      <c r="AV209" s="140"/>
      <c r="AW209" s="140"/>
      <c r="AX209" s="140"/>
      <c r="AY209" s="425"/>
      <c r="AZ209" s="140"/>
      <c r="BA209" s="140"/>
      <c r="BB209" s="140"/>
      <c r="BC209" s="140"/>
      <c r="BD209" s="425"/>
      <c r="BE209" s="425"/>
      <c r="BF209" s="188"/>
      <c r="BV209" s="177"/>
      <c r="BW209" s="177"/>
      <c r="BX209" s="267"/>
      <c r="BY209" s="267"/>
      <c r="BZ209" s="267"/>
      <c r="CA209" s="267"/>
      <c r="CB209" s="267"/>
      <c r="CC209" s="267"/>
      <c r="CD209" s="267"/>
      <c r="CE209" s="267"/>
      <c r="CF209" s="267"/>
      <c r="CG209" s="267"/>
      <c r="CH209" s="267"/>
      <c r="CI209" s="435"/>
      <c r="CJ209" s="436"/>
      <c r="CK209" s="437"/>
      <c r="CM209" s="64" t="s">
        <v>3838</v>
      </c>
      <c r="CN209" s="707">
        <v>70</v>
      </c>
    </row>
    <row r="210" spans="2:92" x14ac:dyDescent="0.25">
      <c r="E210" s="369"/>
      <c r="F210" s="369"/>
      <c r="P210" s="140"/>
      <c r="Q210" s="140"/>
      <c r="R210" s="140"/>
      <c r="S210" s="140"/>
      <c r="T210" s="140"/>
      <c r="U210" s="140"/>
      <c r="BV210" s="177"/>
      <c r="BW210" s="177"/>
      <c r="BX210" s="267"/>
      <c r="BY210" s="267"/>
      <c r="BZ210" s="267"/>
      <c r="CA210" s="267"/>
      <c r="CB210" s="267"/>
      <c r="CC210" s="267"/>
      <c r="CD210" s="267"/>
      <c r="CE210" s="267"/>
      <c r="CF210" s="267"/>
      <c r="CG210" s="267"/>
      <c r="CH210" s="267"/>
      <c r="CI210" s="435"/>
      <c r="CJ210" s="436"/>
      <c r="CK210" s="437"/>
      <c r="CM210" s="64" t="s">
        <v>3941</v>
      </c>
      <c r="CN210" s="707">
        <v>70</v>
      </c>
    </row>
    <row r="211" spans="2:92" x14ac:dyDescent="0.25">
      <c r="E211" s="369"/>
      <c r="P211" s="140"/>
      <c r="Q211" s="140"/>
      <c r="R211" s="140"/>
      <c r="S211" s="140"/>
      <c r="T211" s="140"/>
      <c r="U211" s="140"/>
      <c r="BV211" s="177"/>
      <c r="BW211" s="177"/>
      <c r="BX211" s="267"/>
      <c r="BY211" s="267"/>
      <c r="BZ211" s="267"/>
      <c r="CA211" s="267"/>
      <c r="CB211" s="267"/>
      <c r="CC211" s="267"/>
      <c r="CD211" s="267"/>
      <c r="CE211" s="267"/>
      <c r="CF211" s="267"/>
      <c r="CG211" s="267"/>
      <c r="CH211" s="267"/>
      <c r="CI211" s="435"/>
      <c r="CJ211" s="436"/>
      <c r="CK211" s="437"/>
      <c r="CM211" s="64" t="s">
        <v>3839</v>
      </c>
      <c r="CN211" s="707">
        <v>70</v>
      </c>
    </row>
    <row r="212" spans="2:92" x14ac:dyDescent="0.25">
      <c r="E212" s="369"/>
      <c r="P212" s="140"/>
      <c r="Q212" s="140"/>
      <c r="R212" s="140"/>
      <c r="S212" s="140"/>
      <c r="T212" s="140"/>
      <c r="U212" s="140"/>
      <c r="BV212" s="177"/>
      <c r="BW212" s="177"/>
      <c r="BX212" s="267"/>
      <c r="BY212" s="267"/>
      <c r="BZ212" s="267"/>
      <c r="CA212" s="267"/>
      <c r="CB212" s="267"/>
      <c r="CC212" s="267"/>
      <c r="CD212" s="267"/>
      <c r="CE212" s="267"/>
      <c r="CF212" s="267"/>
      <c r="CG212" s="267"/>
      <c r="CH212" s="267"/>
      <c r="CI212" s="435"/>
      <c r="CJ212" s="436"/>
      <c r="CK212" s="437"/>
      <c r="CM212" s="64" t="s">
        <v>3956</v>
      </c>
      <c r="CN212" s="707">
        <v>70</v>
      </c>
    </row>
    <row r="213" spans="2:92" x14ac:dyDescent="0.25">
      <c r="E213" s="369"/>
      <c r="P213" s="140"/>
      <c r="Q213" s="140"/>
      <c r="R213" s="140"/>
      <c r="S213" s="140"/>
      <c r="T213" s="140"/>
      <c r="U213" s="140"/>
      <c r="BV213" s="177"/>
      <c r="BW213" s="177"/>
      <c r="BX213" s="267"/>
      <c r="BY213" s="267"/>
      <c r="BZ213" s="267"/>
      <c r="CA213" s="267"/>
      <c r="CB213" s="267"/>
      <c r="CC213" s="267"/>
      <c r="CD213" s="267"/>
      <c r="CE213" s="267"/>
      <c r="CF213" s="267"/>
      <c r="CG213" s="267"/>
      <c r="CH213" s="267"/>
      <c r="CI213" s="435"/>
      <c r="CJ213" s="436"/>
      <c r="CK213" s="437"/>
      <c r="CM213" s="64" t="s">
        <v>3065</v>
      </c>
      <c r="CN213" s="707">
        <v>57</v>
      </c>
    </row>
    <row r="214" spans="2:92" x14ac:dyDescent="0.25">
      <c r="E214" s="369"/>
      <c r="P214" s="140"/>
      <c r="Q214" s="140"/>
      <c r="R214" s="140"/>
      <c r="S214" s="140"/>
      <c r="T214" s="140"/>
      <c r="U214" s="140"/>
      <c r="BV214" s="177"/>
      <c r="BW214" s="177"/>
      <c r="BX214" s="267"/>
      <c r="BY214" s="267"/>
      <c r="BZ214" s="267"/>
      <c r="CA214" s="267"/>
      <c r="CB214" s="267"/>
      <c r="CC214" s="267"/>
      <c r="CD214" s="267"/>
      <c r="CE214" s="267"/>
      <c r="CF214" s="267"/>
      <c r="CG214" s="267"/>
      <c r="CH214" s="267"/>
      <c r="CI214" s="435"/>
      <c r="CJ214" s="436"/>
      <c r="CK214" s="437"/>
      <c r="CM214" s="64" t="s">
        <v>3957</v>
      </c>
      <c r="CN214" s="707"/>
    </row>
    <row r="215" spans="2:92" x14ac:dyDescent="0.25">
      <c r="E215" s="369"/>
      <c r="P215" s="140"/>
      <c r="Q215" s="140"/>
      <c r="R215" s="140"/>
      <c r="S215" s="140"/>
      <c r="T215" s="140"/>
      <c r="U215" s="140"/>
      <c r="BV215" s="177"/>
      <c r="BW215" s="177"/>
      <c r="BX215" s="267"/>
      <c r="BY215" s="267"/>
      <c r="BZ215" s="267"/>
      <c r="CA215" s="267"/>
      <c r="CB215" s="267"/>
      <c r="CC215" s="267"/>
      <c r="CD215" s="267"/>
      <c r="CE215" s="267"/>
      <c r="CF215" s="267"/>
      <c r="CG215" s="267"/>
      <c r="CH215" s="267"/>
      <c r="CI215" s="435"/>
      <c r="CJ215" s="436"/>
      <c r="CK215" s="437"/>
      <c r="CM215" s="64" t="s">
        <v>398</v>
      </c>
      <c r="CN215" s="707">
        <v>49</v>
      </c>
    </row>
    <row r="216" spans="2:92" x14ac:dyDescent="0.25">
      <c r="E216" s="369"/>
      <c r="P216" s="140"/>
      <c r="Q216" s="140"/>
      <c r="R216" s="140"/>
      <c r="S216" s="140"/>
      <c r="T216" s="140"/>
      <c r="U216" s="140"/>
      <c r="BV216" s="177"/>
      <c r="BW216" s="177"/>
      <c r="BX216" s="267"/>
      <c r="BY216" s="267"/>
      <c r="BZ216" s="267"/>
      <c r="CA216" s="267"/>
      <c r="CB216" s="267"/>
      <c r="CC216" s="267"/>
      <c r="CD216" s="267"/>
      <c r="CE216" s="267"/>
      <c r="CF216" s="267"/>
      <c r="CG216" s="267"/>
      <c r="CH216" s="267"/>
      <c r="CI216" s="435"/>
      <c r="CJ216" s="436"/>
      <c r="CK216" s="437"/>
      <c r="CM216" s="64" t="s">
        <v>582</v>
      </c>
      <c r="CN216" s="707">
        <v>43</v>
      </c>
    </row>
    <row r="217" spans="2:92" x14ac:dyDescent="0.25">
      <c r="E217" s="369"/>
      <c r="P217" s="140"/>
      <c r="Q217" s="140"/>
      <c r="R217" s="140"/>
      <c r="S217" s="140"/>
      <c r="T217" s="140"/>
      <c r="U217" s="140"/>
      <c r="BV217" s="177"/>
      <c r="BW217" s="177"/>
      <c r="BX217" s="267"/>
      <c r="BY217" s="267"/>
      <c r="BZ217" s="267"/>
      <c r="CA217" s="267"/>
      <c r="CB217" s="267"/>
      <c r="CC217" s="267"/>
      <c r="CD217" s="267"/>
      <c r="CE217" s="267"/>
      <c r="CF217" s="267"/>
      <c r="CG217" s="267"/>
      <c r="CH217" s="267"/>
      <c r="CI217" s="435"/>
      <c r="CJ217" s="436"/>
      <c r="CK217" s="437"/>
      <c r="CM217" s="64" t="s">
        <v>2086</v>
      </c>
      <c r="CN217" s="707"/>
    </row>
    <row r="218" spans="2:92" x14ac:dyDescent="0.25">
      <c r="E218" s="369"/>
      <c r="P218" s="140"/>
      <c r="Q218" s="140"/>
      <c r="R218" s="140"/>
      <c r="S218" s="140"/>
      <c r="T218" s="140"/>
      <c r="U218" s="140"/>
      <c r="BV218" s="177"/>
      <c r="BW218" s="177"/>
      <c r="BX218" s="267"/>
      <c r="BY218" s="267"/>
      <c r="BZ218" s="267"/>
      <c r="CA218" s="267"/>
      <c r="CB218" s="267"/>
      <c r="CC218" s="267"/>
      <c r="CD218" s="267"/>
      <c r="CE218" s="267"/>
      <c r="CF218" s="267"/>
      <c r="CG218" s="267"/>
      <c r="CH218" s="267"/>
      <c r="CI218" s="435"/>
      <c r="CJ218" s="436"/>
      <c r="CK218" s="437"/>
      <c r="CM218" s="64" t="s">
        <v>374</v>
      </c>
      <c r="CN218" s="707">
        <v>50</v>
      </c>
    </row>
    <row r="219" spans="2:92" x14ac:dyDescent="0.25">
      <c r="E219" s="369"/>
      <c r="P219" s="140"/>
      <c r="Q219" s="140"/>
      <c r="R219" s="140"/>
      <c r="S219" s="140"/>
      <c r="T219" s="140"/>
      <c r="U219" s="140"/>
      <c r="BV219" s="177"/>
      <c r="BW219" s="177"/>
      <c r="BX219" s="267"/>
      <c r="BY219" s="267"/>
      <c r="BZ219" s="267"/>
      <c r="CA219" s="267"/>
      <c r="CB219" s="267"/>
      <c r="CC219" s="267"/>
      <c r="CD219" s="267"/>
      <c r="CE219" s="267"/>
      <c r="CF219" s="267"/>
      <c r="CG219" s="267"/>
      <c r="CH219" s="267"/>
      <c r="CI219" s="435"/>
      <c r="CJ219" s="436"/>
      <c r="CK219" s="437"/>
      <c r="CM219" s="64" t="s">
        <v>3840</v>
      </c>
      <c r="CN219" s="707"/>
    </row>
    <row r="220" spans="2:92" x14ac:dyDescent="0.25">
      <c r="E220" s="369"/>
      <c r="P220" s="140"/>
      <c r="Q220" s="140"/>
      <c r="R220" s="140"/>
      <c r="S220" s="140"/>
      <c r="T220" s="140"/>
      <c r="U220" s="140"/>
      <c r="BV220" s="177"/>
      <c r="BW220" s="177"/>
      <c r="BX220" s="267"/>
      <c r="BY220" s="267"/>
      <c r="BZ220" s="267"/>
      <c r="CA220" s="267"/>
      <c r="CB220" s="267"/>
      <c r="CC220" s="267"/>
      <c r="CD220" s="267"/>
      <c r="CE220" s="267"/>
      <c r="CF220" s="267"/>
      <c r="CG220" s="267"/>
      <c r="CH220" s="267"/>
      <c r="CI220" s="435"/>
      <c r="CJ220" s="436"/>
      <c r="CK220" s="437"/>
      <c r="CM220" s="64" t="s">
        <v>3066</v>
      </c>
      <c r="CN220" s="707">
        <v>46.666666666666664</v>
      </c>
    </row>
    <row r="221" spans="2:92" x14ac:dyDescent="0.25">
      <c r="E221" s="369"/>
      <c r="P221" s="140"/>
      <c r="Q221" s="140"/>
      <c r="R221" s="140"/>
      <c r="S221" s="140"/>
      <c r="T221" s="140"/>
      <c r="U221" s="140"/>
      <c r="BV221" s="177"/>
      <c r="BW221" s="177"/>
      <c r="BX221" s="267"/>
      <c r="BY221" s="267"/>
      <c r="BZ221" s="267"/>
      <c r="CA221" s="267"/>
      <c r="CB221" s="267"/>
      <c r="CC221" s="267"/>
      <c r="CD221" s="267"/>
      <c r="CE221" s="267"/>
      <c r="CF221" s="267"/>
      <c r="CG221" s="267"/>
      <c r="CH221" s="267"/>
      <c r="CI221" s="435"/>
      <c r="CJ221" s="436"/>
      <c r="CK221" s="437"/>
      <c r="CM221" s="64" t="s">
        <v>752</v>
      </c>
      <c r="CN221" s="707">
        <v>57</v>
      </c>
    </row>
    <row r="222" spans="2:92" x14ac:dyDescent="0.25">
      <c r="E222" s="369"/>
      <c r="P222" s="140"/>
      <c r="Q222" s="140"/>
      <c r="R222" s="140"/>
      <c r="S222" s="140"/>
      <c r="T222" s="140"/>
      <c r="U222" s="140"/>
      <c r="BV222" s="177"/>
      <c r="BW222" s="177"/>
      <c r="BX222" s="267"/>
      <c r="BY222" s="267"/>
      <c r="BZ222" s="267"/>
      <c r="CA222" s="267"/>
      <c r="CB222" s="267"/>
      <c r="CC222" s="267"/>
      <c r="CD222" s="267"/>
      <c r="CE222" s="267"/>
      <c r="CF222" s="267"/>
      <c r="CG222" s="267"/>
      <c r="CH222" s="267"/>
      <c r="CI222" s="435"/>
      <c r="CJ222" s="436"/>
      <c r="CK222" s="437"/>
      <c r="CM222" s="64" t="s">
        <v>3067</v>
      </c>
      <c r="CN222" s="707"/>
    </row>
    <row r="223" spans="2:92" x14ac:dyDescent="0.25">
      <c r="E223" s="369"/>
      <c r="P223" s="140"/>
      <c r="Q223" s="140"/>
      <c r="R223" s="140"/>
      <c r="S223" s="140"/>
      <c r="T223" s="140"/>
      <c r="U223" s="140"/>
      <c r="BV223" s="177"/>
      <c r="BW223" s="177"/>
      <c r="BX223" s="267"/>
      <c r="BY223" s="267"/>
      <c r="BZ223" s="267"/>
      <c r="CA223" s="267"/>
      <c r="CB223" s="267"/>
      <c r="CC223" s="267"/>
      <c r="CD223" s="267"/>
      <c r="CE223" s="267"/>
      <c r="CF223" s="267"/>
      <c r="CG223" s="267"/>
      <c r="CH223" s="267"/>
      <c r="CI223" s="435"/>
      <c r="CJ223" s="436"/>
      <c r="CK223" s="437"/>
      <c r="CM223" s="64" t="s">
        <v>1124</v>
      </c>
      <c r="CN223" s="707"/>
    </row>
    <row r="224" spans="2:92" x14ac:dyDescent="0.25">
      <c r="E224" s="369"/>
      <c r="P224" s="140"/>
      <c r="Q224" s="140"/>
      <c r="R224" s="140"/>
      <c r="S224" s="140"/>
      <c r="T224" s="140"/>
      <c r="U224" s="140"/>
      <c r="BV224" s="177"/>
      <c r="BW224" s="177"/>
      <c r="BX224" s="267"/>
      <c r="BY224" s="267"/>
      <c r="BZ224" s="267"/>
      <c r="CA224" s="267"/>
      <c r="CB224" s="267"/>
      <c r="CC224" s="267"/>
      <c r="CD224" s="267"/>
      <c r="CE224" s="267"/>
      <c r="CF224" s="267"/>
      <c r="CG224" s="267"/>
      <c r="CH224" s="267"/>
      <c r="CI224" s="435"/>
      <c r="CJ224" s="436"/>
      <c r="CK224" s="437"/>
      <c r="CM224" s="64" t="s">
        <v>286</v>
      </c>
      <c r="CN224" s="707">
        <v>51.333333333333336</v>
      </c>
    </row>
    <row r="225" spans="5:92" x14ac:dyDescent="0.25">
      <c r="E225" s="369"/>
      <c r="P225" s="140"/>
      <c r="Q225" s="140"/>
      <c r="R225" s="140"/>
      <c r="S225" s="140"/>
      <c r="T225" s="140"/>
      <c r="U225" s="140"/>
      <c r="BV225" s="177"/>
      <c r="BW225" s="177"/>
      <c r="BX225" s="267"/>
      <c r="BY225" s="267"/>
      <c r="BZ225" s="267"/>
      <c r="CA225" s="267"/>
      <c r="CB225" s="267"/>
      <c r="CC225" s="267"/>
      <c r="CD225" s="267"/>
      <c r="CE225" s="267"/>
      <c r="CF225" s="267"/>
      <c r="CG225" s="267"/>
      <c r="CH225" s="267"/>
      <c r="CI225" s="435"/>
      <c r="CJ225" s="436"/>
      <c r="CK225" s="437"/>
      <c r="CM225" s="64" t="s">
        <v>3068</v>
      </c>
      <c r="CN225" s="707"/>
    </row>
    <row r="226" spans="5:92" x14ac:dyDescent="0.25">
      <c r="E226" s="369"/>
      <c r="P226" s="140"/>
      <c r="Q226" s="140"/>
      <c r="R226" s="140"/>
      <c r="S226" s="140"/>
      <c r="T226" s="140"/>
      <c r="U226" s="140"/>
      <c r="BV226" s="177"/>
      <c r="BW226" s="177"/>
      <c r="BX226" s="267"/>
      <c r="BY226" s="267"/>
      <c r="BZ226" s="267"/>
      <c r="CA226" s="267"/>
      <c r="CB226" s="267"/>
      <c r="CC226" s="267"/>
      <c r="CD226" s="267"/>
      <c r="CE226" s="267"/>
      <c r="CF226" s="267"/>
      <c r="CG226" s="267"/>
      <c r="CH226" s="267"/>
      <c r="CI226" s="435"/>
      <c r="CJ226" s="436"/>
      <c r="CK226" s="437"/>
      <c r="CM226" s="64" t="s">
        <v>3069</v>
      </c>
      <c r="CN226" s="707">
        <v>54</v>
      </c>
    </row>
    <row r="227" spans="5:92" x14ac:dyDescent="0.25">
      <c r="E227" s="369"/>
      <c r="P227" s="140"/>
      <c r="Q227" s="140"/>
      <c r="R227" s="140"/>
      <c r="S227" s="140"/>
      <c r="T227" s="140"/>
      <c r="U227" s="140"/>
      <c r="BV227" s="177"/>
      <c r="BW227" s="177"/>
      <c r="BX227" s="267"/>
      <c r="BY227" s="267"/>
      <c r="BZ227" s="267"/>
      <c r="CA227" s="267"/>
      <c r="CB227" s="267"/>
      <c r="CC227" s="267"/>
      <c r="CD227" s="267"/>
      <c r="CE227" s="267"/>
      <c r="CF227" s="267"/>
      <c r="CG227" s="267"/>
      <c r="CH227" s="267"/>
      <c r="CI227" s="435"/>
      <c r="CJ227" s="436"/>
      <c r="CK227" s="437"/>
      <c r="CM227" s="64" t="s">
        <v>3070</v>
      </c>
      <c r="CN227" s="707"/>
    </row>
    <row r="228" spans="5:92" x14ac:dyDescent="0.25">
      <c r="E228" s="369"/>
      <c r="P228" s="140"/>
      <c r="Q228" s="140"/>
      <c r="R228" s="140"/>
      <c r="S228" s="140"/>
      <c r="T228" s="140"/>
      <c r="U228" s="140"/>
      <c r="BV228" s="177"/>
      <c r="BW228" s="177"/>
      <c r="BX228" s="267"/>
      <c r="BY228" s="267"/>
      <c r="BZ228" s="267"/>
      <c r="CA228" s="267"/>
      <c r="CB228" s="267"/>
      <c r="CC228" s="267"/>
      <c r="CD228" s="267"/>
      <c r="CE228" s="267"/>
      <c r="CF228" s="267"/>
      <c r="CG228" s="267"/>
      <c r="CH228" s="267"/>
      <c r="CI228" s="435"/>
      <c r="CJ228" s="436"/>
      <c r="CK228" s="437"/>
      <c r="CM228" s="64" t="s">
        <v>3071</v>
      </c>
      <c r="CN228" s="707"/>
    </row>
    <row r="229" spans="5:92" x14ac:dyDescent="0.25">
      <c r="E229" s="369"/>
      <c r="P229" s="140"/>
      <c r="Q229" s="140"/>
      <c r="R229" s="140"/>
      <c r="S229" s="140"/>
      <c r="T229" s="140"/>
      <c r="U229" s="140"/>
      <c r="BV229" s="177"/>
      <c r="BW229" s="177"/>
      <c r="BX229" s="267"/>
      <c r="BY229" s="267"/>
      <c r="BZ229" s="267"/>
      <c r="CA229" s="267"/>
      <c r="CB229" s="267"/>
      <c r="CC229" s="267"/>
      <c r="CD229" s="267"/>
      <c r="CE229" s="267"/>
      <c r="CF229" s="267"/>
      <c r="CG229" s="267"/>
      <c r="CH229" s="267"/>
      <c r="CI229" s="435"/>
      <c r="CJ229" s="436"/>
      <c r="CK229" s="437"/>
      <c r="CM229" s="64" t="s">
        <v>337</v>
      </c>
      <c r="CN229" s="707">
        <v>40</v>
      </c>
    </row>
    <row r="230" spans="5:92" x14ac:dyDescent="0.25">
      <c r="E230" s="369"/>
      <c r="P230" s="140"/>
      <c r="Q230" s="140"/>
      <c r="R230" s="140"/>
      <c r="S230" s="140"/>
      <c r="T230" s="140"/>
      <c r="U230" s="140"/>
      <c r="BV230" s="177"/>
      <c r="BW230" s="177"/>
      <c r="BX230" s="267"/>
      <c r="BY230" s="267"/>
      <c r="BZ230" s="267"/>
      <c r="CA230" s="267"/>
      <c r="CB230" s="267"/>
      <c r="CC230" s="267"/>
      <c r="CD230" s="267"/>
      <c r="CE230" s="267"/>
      <c r="CF230" s="267"/>
      <c r="CG230" s="267"/>
      <c r="CH230" s="267"/>
      <c r="CI230" s="435"/>
      <c r="CJ230" s="436"/>
      <c r="CK230" s="437"/>
      <c r="CM230" s="64" t="s">
        <v>2776</v>
      </c>
      <c r="CN230" s="707"/>
    </row>
    <row r="231" spans="5:92" x14ac:dyDescent="0.25">
      <c r="E231" s="369"/>
      <c r="P231" s="140"/>
      <c r="Q231" s="140"/>
      <c r="R231" s="140"/>
      <c r="S231" s="140"/>
      <c r="T231" s="140"/>
      <c r="U231" s="140"/>
      <c r="BV231" s="177"/>
      <c r="BW231" s="177"/>
      <c r="BX231" s="267"/>
      <c r="BY231" s="267"/>
      <c r="BZ231" s="267"/>
      <c r="CA231" s="267"/>
      <c r="CB231" s="267"/>
      <c r="CC231" s="267"/>
      <c r="CD231" s="267"/>
      <c r="CE231" s="267"/>
      <c r="CF231" s="267"/>
      <c r="CG231" s="267"/>
      <c r="CH231" s="267"/>
      <c r="CI231" s="435"/>
      <c r="CJ231" s="436"/>
      <c r="CK231" s="437"/>
      <c r="CM231" s="64" t="s">
        <v>3072</v>
      </c>
      <c r="CN231" s="707"/>
    </row>
    <row r="232" spans="5:92" x14ac:dyDescent="0.25">
      <c r="E232" s="369"/>
      <c r="P232" s="140"/>
      <c r="Q232" s="140"/>
      <c r="R232" s="140"/>
      <c r="S232" s="140"/>
      <c r="T232" s="140"/>
      <c r="U232" s="140"/>
      <c r="BV232" s="177"/>
      <c r="BW232" s="177"/>
      <c r="BX232" s="267"/>
      <c r="BY232" s="267"/>
      <c r="BZ232" s="267"/>
      <c r="CA232" s="267"/>
      <c r="CB232" s="267"/>
      <c r="CC232" s="267"/>
      <c r="CD232" s="267"/>
      <c r="CE232" s="267"/>
      <c r="CF232" s="267"/>
      <c r="CG232" s="267"/>
      <c r="CH232" s="267"/>
      <c r="CI232" s="435"/>
      <c r="CJ232" s="436"/>
      <c r="CK232" s="437"/>
      <c r="CM232" s="64" t="s">
        <v>2532</v>
      </c>
      <c r="CN232" s="707"/>
    </row>
    <row r="233" spans="5:92" x14ac:dyDescent="0.25">
      <c r="E233" s="369"/>
      <c r="P233" s="140"/>
      <c r="Q233" s="140"/>
      <c r="R233" s="140"/>
      <c r="S233" s="140"/>
      <c r="T233" s="140"/>
      <c r="U233" s="140"/>
      <c r="BV233" s="177"/>
      <c r="BW233" s="177"/>
      <c r="BX233" s="267"/>
      <c r="BY233" s="267"/>
      <c r="BZ233" s="267"/>
      <c r="CA233" s="267"/>
      <c r="CB233" s="267"/>
      <c r="CC233" s="267"/>
      <c r="CD233" s="267"/>
      <c r="CE233" s="267"/>
      <c r="CF233" s="267"/>
      <c r="CG233" s="267"/>
      <c r="CH233" s="267"/>
      <c r="CI233" s="435"/>
      <c r="CJ233" s="436"/>
      <c r="CK233" s="437"/>
      <c r="CM233" s="64" t="s">
        <v>265</v>
      </c>
      <c r="CN233" s="707">
        <v>57</v>
      </c>
    </row>
    <row r="234" spans="5:92" x14ac:dyDescent="0.25">
      <c r="E234" s="369"/>
      <c r="P234" s="140"/>
      <c r="Q234" s="140"/>
      <c r="R234" s="140"/>
      <c r="S234" s="140"/>
      <c r="T234" s="140"/>
      <c r="U234" s="140"/>
      <c r="BV234" s="177"/>
      <c r="BW234" s="177"/>
      <c r="BX234" s="267"/>
      <c r="BY234" s="267"/>
      <c r="BZ234" s="267"/>
      <c r="CA234" s="267"/>
      <c r="CB234" s="267"/>
      <c r="CC234" s="267"/>
      <c r="CD234" s="267"/>
      <c r="CE234" s="267"/>
      <c r="CF234" s="267"/>
      <c r="CG234" s="267"/>
      <c r="CH234" s="267"/>
      <c r="CI234" s="435"/>
      <c r="CJ234" s="436"/>
      <c r="CK234" s="437"/>
      <c r="CM234" s="64" t="s">
        <v>1108</v>
      </c>
      <c r="CN234" s="707">
        <v>71.333333333333329</v>
      </c>
    </row>
    <row r="235" spans="5:92" x14ac:dyDescent="0.25">
      <c r="E235" s="369"/>
      <c r="P235" s="140"/>
      <c r="Q235" s="140"/>
      <c r="R235" s="140"/>
      <c r="S235" s="140"/>
      <c r="T235" s="140"/>
      <c r="U235" s="140"/>
      <c r="BV235" s="177"/>
      <c r="BW235" s="177"/>
      <c r="BX235" s="267"/>
      <c r="BY235" s="267"/>
      <c r="BZ235" s="267"/>
      <c r="CA235" s="267"/>
      <c r="CB235" s="267"/>
      <c r="CC235" s="267"/>
      <c r="CD235" s="267"/>
      <c r="CE235" s="267"/>
      <c r="CF235" s="267"/>
      <c r="CG235" s="267"/>
      <c r="CH235" s="267"/>
      <c r="CI235" s="435"/>
      <c r="CJ235" s="436"/>
      <c r="CK235" s="437"/>
      <c r="CM235" s="64" t="s">
        <v>989</v>
      </c>
      <c r="CN235" s="707">
        <v>55.666666666666664</v>
      </c>
    </row>
    <row r="236" spans="5:92" x14ac:dyDescent="0.25">
      <c r="E236" s="369"/>
      <c r="P236" s="140"/>
      <c r="Q236" s="140"/>
      <c r="R236" s="140"/>
      <c r="S236" s="140"/>
      <c r="T236" s="140"/>
      <c r="U236" s="140"/>
      <c r="BV236" s="177"/>
      <c r="BW236" s="177"/>
      <c r="BX236" s="267"/>
      <c r="BY236" s="267"/>
      <c r="BZ236" s="267"/>
      <c r="CA236" s="267"/>
      <c r="CB236" s="267"/>
      <c r="CC236" s="267"/>
      <c r="CD236" s="267"/>
      <c r="CE236" s="267"/>
      <c r="CF236" s="267"/>
      <c r="CG236" s="267"/>
      <c r="CH236" s="267"/>
      <c r="CI236" s="435"/>
      <c r="CJ236" s="436"/>
      <c r="CK236" s="437"/>
      <c r="CM236" s="64" t="s">
        <v>558</v>
      </c>
      <c r="CN236" s="707">
        <v>46</v>
      </c>
    </row>
    <row r="237" spans="5:92" x14ac:dyDescent="0.25">
      <c r="E237" s="369"/>
      <c r="P237" s="140"/>
      <c r="Q237" s="140"/>
      <c r="R237" s="140"/>
      <c r="S237" s="140"/>
      <c r="T237" s="140"/>
      <c r="U237" s="140"/>
      <c r="BV237" s="177"/>
      <c r="BW237" s="177"/>
      <c r="BX237" s="267"/>
      <c r="BY237" s="267"/>
      <c r="BZ237" s="267"/>
      <c r="CA237" s="267"/>
      <c r="CB237" s="267"/>
      <c r="CC237" s="267"/>
      <c r="CD237" s="267"/>
      <c r="CE237" s="267"/>
      <c r="CF237" s="267"/>
      <c r="CG237" s="267"/>
      <c r="CH237" s="267"/>
      <c r="CI237" s="435"/>
      <c r="CJ237" s="436"/>
      <c r="CK237" s="437"/>
      <c r="CM237" s="64" t="s">
        <v>3673</v>
      </c>
      <c r="CN237" s="707">
        <v>47</v>
      </c>
    </row>
    <row r="238" spans="5:92" x14ac:dyDescent="0.25">
      <c r="E238" s="369"/>
      <c r="P238" s="140"/>
      <c r="Q238" s="140"/>
      <c r="R238" s="140"/>
      <c r="S238" s="140"/>
      <c r="T238" s="140"/>
      <c r="U238" s="140"/>
      <c r="BV238" s="177"/>
      <c r="BW238" s="177"/>
      <c r="BX238" s="267"/>
      <c r="BY238" s="267"/>
      <c r="BZ238" s="267"/>
      <c r="CA238" s="267"/>
      <c r="CB238" s="267"/>
      <c r="CC238" s="267"/>
      <c r="CD238" s="267"/>
      <c r="CE238" s="267"/>
      <c r="CF238" s="267"/>
      <c r="CG238" s="267"/>
      <c r="CH238" s="267"/>
      <c r="CI238" s="435"/>
      <c r="CJ238" s="436"/>
      <c r="CK238" s="437"/>
      <c r="CM238" s="64" t="s">
        <v>981</v>
      </c>
      <c r="CN238" s="707"/>
    </row>
    <row r="239" spans="5:92" x14ac:dyDescent="0.25">
      <c r="E239" s="369"/>
      <c r="P239" s="140"/>
      <c r="Q239" s="140"/>
      <c r="R239" s="140"/>
      <c r="S239" s="140"/>
      <c r="T239" s="140"/>
      <c r="U239" s="140"/>
      <c r="BV239" s="177"/>
      <c r="BW239" s="177"/>
      <c r="BX239" s="267"/>
      <c r="BY239" s="267"/>
      <c r="BZ239" s="267"/>
      <c r="CA239" s="267"/>
      <c r="CB239" s="267"/>
      <c r="CC239" s="267"/>
      <c r="CD239" s="267"/>
      <c r="CE239" s="267"/>
      <c r="CF239" s="267"/>
      <c r="CG239" s="267"/>
      <c r="CH239" s="267"/>
      <c r="CI239" s="435"/>
      <c r="CJ239" s="436"/>
      <c r="CK239" s="437"/>
      <c r="CM239" s="64" t="s">
        <v>2539</v>
      </c>
      <c r="CN239" s="707">
        <v>38.6</v>
      </c>
    </row>
    <row r="240" spans="5:92" x14ac:dyDescent="0.25">
      <c r="E240" s="369"/>
      <c r="P240" s="140"/>
      <c r="Q240" s="140"/>
      <c r="R240" s="140"/>
      <c r="S240" s="140"/>
      <c r="T240" s="140"/>
      <c r="U240" s="140"/>
      <c r="BV240" s="177"/>
      <c r="BW240" s="177"/>
      <c r="BX240" s="267"/>
      <c r="BY240" s="267"/>
      <c r="BZ240" s="267"/>
      <c r="CA240" s="267"/>
      <c r="CB240" s="267"/>
      <c r="CC240" s="267"/>
      <c r="CD240" s="267"/>
      <c r="CE240" s="267"/>
      <c r="CF240" s="267"/>
      <c r="CG240" s="267"/>
      <c r="CH240" s="267"/>
      <c r="CI240" s="435"/>
      <c r="CJ240" s="436"/>
      <c r="CK240" s="437"/>
      <c r="CM240" s="64" t="s">
        <v>2544</v>
      </c>
      <c r="CN240" s="707">
        <v>34</v>
      </c>
    </row>
    <row r="241" spans="5:92" x14ac:dyDescent="0.25">
      <c r="E241" s="369"/>
      <c r="P241" s="140"/>
      <c r="Q241" s="140"/>
      <c r="R241" s="140"/>
      <c r="S241" s="140"/>
      <c r="T241" s="140"/>
      <c r="U241" s="140"/>
      <c r="BV241" s="177"/>
      <c r="BW241" s="177"/>
      <c r="BX241" s="267"/>
      <c r="BY241" s="267"/>
      <c r="BZ241" s="267"/>
      <c r="CA241" s="267"/>
      <c r="CB241" s="267"/>
      <c r="CC241" s="267"/>
      <c r="CD241" s="267"/>
      <c r="CE241" s="267"/>
      <c r="CF241" s="267"/>
      <c r="CG241" s="267"/>
      <c r="CH241" s="267"/>
      <c r="CI241" s="435"/>
      <c r="CJ241" s="436"/>
      <c r="CK241" s="437"/>
      <c r="CM241" s="64" t="s">
        <v>3749</v>
      </c>
      <c r="CN241" s="707"/>
    </row>
    <row r="242" spans="5:92" x14ac:dyDescent="0.25">
      <c r="E242" s="369"/>
      <c r="P242" s="140"/>
      <c r="Q242" s="140"/>
      <c r="R242" s="140"/>
      <c r="S242" s="140"/>
      <c r="T242" s="140"/>
      <c r="U242" s="140"/>
      <c r="BV242" s="177"/>
      <c r="BW242" s="177"/>
      <c r="BX242" s="267"/>
      <c r="BY242" s="267"/>
      <c r="BZ242" s="267"/>
      <c r="CA242" s="267"/>
      <c r="CB242" s="267"/>
      <c r="CC242" s="267"/>
      <c r="CD242" s="267"/>
      <c r="CE242" s="267"/>
      <c r="CF242" s="267"/>
      <c r="CG242" s="267"/>
      <c r="CH242" s="267"/>
      <c r="CI242" s="435"/>
      <c r="CJ242" s="436"/>
      <c r="CK242" s="437"/>
      <c r="CM242" s="64" t="s">
        <v>569</v>
      </c>
      <c r="CN242" s="707">
        <v>57</v>
      </c>
    </row>
    <row r="243" spans="5:92" x14ac:dyDescent="0.25">
      <c r="E243" s="369"/>
      <c r="P243" s="140"/>
      <c r="Q243" s="140"/>
      <c r="R243" s="140"/>
      <c r="S243" s="140"/>
      <c r="T243" s="140"/>
      <c r="U243" s="140"/>
      <c r="BV243" s="177"/>
      <c r="BW243" s="177"/>
      <c r="BX243" s="267"/>
      <c r="BY243" s="267"/>
      <c r="BZ243" s="267"/>
      <c r="CA243" s="267"/>
      <c r="CB243" s="267"/>
      <c r="CC243" s="267"/>
      <c r="CD243" s="267"/>
      <c r="CE243" s="267"/>
      <c r="CF243" s="267"/>
      <c r="CG243" s="267"/>
      <c r="CH243" s="267"/>
      <c r="CI243" s="435"/>
      <c r="CJ243" s="436"/>
      <c r="CK243" s="437"/>
      <c r="CM243" s="64" t="s">
        <v>3815</v>
      </c>
      <c r="CN243" s="707">
        <v>51</v>
      </c>
    </row>
    <row r="244" spans="5:92" x14ac:dyDescent="0.25">
      <c r="E244" s="369"/>
      <c r="P244" s="140"/>
      <c r="Q244" s="140"/>
      <c r="R244" s="140"/>
      <c r="S244" s="140"/>
      <c r="T244" s="140"/>
      <c r="U244" s="140"/>
      <c r="BV244" s="177"/>
      <c r="BW244" s="177"/>
      <c r="BX244" s="267"/>
      <c r="BY244" s="267"/>
      <c r="BZ244" s="267"/>
      <c r="CA244" s="267"/>
      <c r="CB244" s="267"/>
      <c r="CC244" s="267"/>
      <c r="CD244" s="267"/>
      <c r="CE244" s="267"/>
      <c r="CF244" s="267"/>
      <c r="CG244" s="267"/>
      <c r="CH244" s="267"/>
      <c r="CI244" s="435"/>
      <c r="CJ244" s="436"/>
      <c r="CK244" s="437"/>
      <c r="CM244" s="64" t="s">
        <v>678</v>
      </c>
      <c r="CN244" s="707">
        <v>49</v>
      </c>
    </row>
    <row r="245" spans="5:92" x14ac:dyDescent="0.25">
      <c r="E245" s="369"/>
      <c r="P245" s="140"/>
      <c r="Q245" s="140"/>
      <c r="R245" s="140"/>
      <c r="S245" s="140"/>
      <c r="T245" s="140"/>
      <c r="U245" s="140"/>
      <c r="BV245" s="177"/>
      <c r="BW245" s="177"/>
      <c r="BX245" s="267"/>
      <c r="BY245" s="267"/>
      <c r="BZ245" s="267"/>
      <c r="CA245" s="267"/>
      <c r="CB245" s="267"/>
      <c r="CC245" s="267"/>
      <c r="CD245" s="267"/>
      <c r="CE245" s="267"/>
      <c r="CF245" s="267"/>
      <c r="CG245" s="267"/>
      <c r="CH245" s="267"/>
      <c r="CI245" s="435"/>
      <c r="CJ245" s="436"/>
      <c r="CK245" s="437"/>
      <c r="CM245" s="64" t="s">
        <v>3073</v>
      </c>
      <c r="CN245" s="707">
        <v>37</v>
      </c>
    </row>
    <row r="246" spans="5:92" x14ac:dyDescent="0.25">
      <c r="E246" s="369"/>
      <c r="P246" s="140"/>
      <c r="Q246" s="140"/>
      <c r="R246" s="140"/>
      <c r="S246" s="140"/>
      <c r="T246" s="140"/>
      <c r="U246" s="140"/>
      <c r="BV246" s="177"/>
      <c r="BW246" s="177"/>
      <c r="BX246" s="267"/>
      <c r="BY246" s="267"/>
      <c r="BZ246" s="267"/>
      <c r="CA246" s="267"/>
      <c r="CB246" s="267"/>
      <c r="CC246" s="267"/>
      <c r="CD246" s="267"/>
      <c r="CE246" s="267"/>
      <c r="CF246" s="267"/>
      <c r="CG246" s="267"/>
      <c r="CH246" s="267"/>
      <c r="CI246" s="435"/>
      <c r="CJ246" s="436"/>
      <c r="CK246" s="437"/>
      <c r="CM246" s="64" t="s">
        <v>790</v>
      </c>
      <c r="CN246" s="707">
        <v>43.333333333333336</v>
      </c>
    </row>
    <row r="247" spans="5:92" x14ac:dyDescent="0.25">
      <c r="E247" s="369"/>
      <c r="P247" s="140"/>
      <c r="Q247" s="140"/>
      <c r="R247" s="140"/>
      <c r="S247" s="140"/>
      <c r="T247" s="140"/>
      <c r="U247" s="140"/>
      <c r="BV247" s="177"/>
      <c r="BW247" s="177"/>
      <c r="BX247" s="267"/>
      <c r="BY247" s="267"/>
      <c r="BZ247" s="267"/>
      <c r="CA247" s="267"/>
      <c r="CB247" s="267"/>
      <c r="CC247" s="267"/>
      <c r="CD247" s="267"/>
      <c r="CE247" s="267"/>
      <c r="CF247" s="267"/>
      <c r="CG247" s="267"/>
      <c r="CH247" s="267"/>
      <c r="CI247" s="435"/>
      <c r="CJ247" s="436"/>
      <c r="CK247" s="437"/>
      <c r="CM247" s="64" t="s">
        <v>3074</v>
      </c>
      <c r="CN247" s="707"/>
    </row>
    <row r="248" spans="5:92" x14ac:dyDescent="0.25">
      <c r="E248" s="369"/>
      <c r="P248" s="140"/>
      <c r="Q248" s="140"/>
      <c r="R248" s="140"/>
      <c r="S248" s="140"/>
      <c r="T248" s="140"/>
      <c r="U248" s="140"/>
      <c r="BV248" s="177"/>
      <c r="BW248" s="177"/>
      <c r="BX248" s="267"/>
      <c r="BY248" s="267"/>
      <c r="BZ248" s="267"/>
      <c r="CA248" s="267"/>
      <c r="CB248" s="267"/>
      <c r="CC248" s="267"/>
      <c r="CD248" s="267"/>
      <c r="CE248" s="267"/>
      <c r="CF248" s="267"/>
      <c r="CG248" s="267"/>
      <c r="CH248" s="267"/>
      <c r="CI248" s="435"/>
      <c r="CJ248" s="436"/>
      <c r="CK248" s="437"/>
      <c r="CM248" s="64" t="s">
        <v>457</v>
      </c>
      <c r="CN248" s="707"/>
    </row>
    <row r="249" spans="5:92" x14ac:dyDescent="0.25">
      <c r="E249" s="369"/>
      <c r="P249" s="140"/>
      <c r="Q249" s="140"/>
      <c r="R249" s="140"/>
      <c r="S249" s="140"/>
      <c r="T249" s="140"/>
      <c r="U249" s="140"/>
      <c r="BV249" s="177"/>
      <c r="BW249" s="177"/>
      <c r="BX249" s="267"/>
      <c r="BY249" s="267"/>
      <c r="BZ249" s="267"/>
      <c r="CA249" s="267"/>
      <c r="CB249" s="267"/>
      <c r="CC249" s="267"/>
      <c r="CD249" s="267"/>
      <c r="CE249" s="267"/>
      <c r="CF249" s="267"/>
      <c r="CG249" s="267"/>
      <c r="CH249" s="267"/>
      <c r="CI249" s="435"/>
      <c r="CJ249" s="436"/>
      <c r="CK249" s="437"/>
      <c r="CM249" s="64" t="s">
        <v>3958</v>
      </c>
      <c r="CN249" s="707">
        <v>33</v>
      </c>
    </row>
    <row r="250" spans="5:92" x14ac:dyDescent="0.25">
      <c r="E250" s="369"/>
      <c r="P250" s="140"/>
      <c r="Q250" s="140"/>
      <c r="R250" s="140"/>
      <c r="S250" s="140"/>
      <c r="T250" s="140"/>
      <c r="U250" s="140"/>
      <c r="BV250" s="177"/>
      <c r="BW250" s="177"/>
      <c r="BX250" s="267"/>
      <c r="BY250" s="267"/>
      <c r="BZ250" s="267"/>
      <c r="CA250" s="267"/>
      <c r="CB250" s="267"/>
      <c r="CC250" s="267"/>
      <c r="CD250" s="267"/>
      <c r="CE250" s="267"/>
      <c r="CF250" s="267"/>
      <c r="CG250" s="267"/>
      <c r="CH250" s="267"/>
      <c r="CI250" s="435"/>
      <c r="CJ250" s="436"/>
      <c r="CK250" s="437"/>
      <c r="CM250" s="64" t="s">
        <v>3075</v>
      </c>
      <c r="CN250" s="707"/>
    </row>
    <row r="251" spans="5:92" x14ac:dyDescent="0.25">
      <c r="E251" s="369"/>
      <c r="P251" s="140"/>
      <c r="Q251" s="140"/>
      <c r="R251" s="140"/>
      <c r="S251" s="140"/>
      <c r="T251" s="140"/>
      <c r="U251" s="140"/>
      <c r="BV251" s="177"/>
      <c r="BW251" s="177"/>
      <c r="BX251" s="267"/>
      <c r="BY251" s="267"/>
      <c r="BZ251" s="267"/>
      <c r="CA251" s="267"/>
      <c r="CB251" s="267"/>
      <c r="CC251" s="267"/>
      <c r="CD251" s="267"/>
      <c r="CE251" s="267"/>
      <c r="CF251" s="267"/>
      <c r="CG251" s="267"/>
      <c r="CH251" s="267"/>
      <c r="CI251" s="435"/>
      <c r="CJ251" s="436"/>
      <c r="CK251" s="437"/>
      <c r="CM251" s="64" t="s">
        <v>3076</v>
      </c>
      <c r="CN251" s="707">
        <v>33</v>
      </c>
    </row>
    <row r="252" spans="5:92" x14ac:dyDescent="0.25">
      <c r="E252" s="369"/>
      <c r="P252" s="140"/>
      <c r="Q252" s="140"/>
      <c r="R252" s="140"/>
      <c r="S252" s="140"/>
      <c r="T252" s="140"/>
      <c r="U252" s="140"/>
      <c r="BV252" s="177"/>
      <c r="BW252" s="177"/>
      <c r="BX252" s="267"/>
      <c r="BY252" s="267"/>
      <c r="BZ252" s="267"/>
      <c r="CA252" s="267"/>
      <c r="CB252" s="267"/>
      <c r="CC252" s="267"/>
      <c r="CD252" s="267"/>
      <c r="CE252" s="267"/>
      <c r="CF252" s="267"/>
      <c r="CG252" s="267"/>
      <c r="CH252" s="267"/>
      <c r="CI252" s="435"/>
      <c r="CJ252" s="436"/>
      <c r="CK252" s="437"/>
      <c r="CM252" s="64" t="s">
        <v>403</v>
      </c>
      <c r="CN252" s="707">
        <v>29</v>
      </c>
    </row>
    <row r="253" spans="5:92" x14ac:dyDescent="0.25">
      <c r="E253" s="369"/>
      <c r="P253" s="140"/>
      <c r="Q253" s="140"/>
      <c r="R253" s="140"/>
      <c r="S253" s="140"/>
      <c r="T253" s="140"/>
      <c r="U253" s="140"/>
      <c r="BV253" s="177"/>
      <c r="BW253" s="177"/>
      <c r="BX253" s="267"/>
      <c r="BY253" s="267"/>
      <c r="BZ253" s="267"/>
      <c r="CA253" s="267"/>
      <c r="CB253" s="267"/>
      <c r="CC253" s="267"/>
      <c r="CD253" s="267"/>
      <c r="CE253" s="267"/>
      <c r="CF253" s="267"/>
      <c r="CG253" s="267"/>
      <c r="CH253" s="267"/>
      <c r="CI253" s="435"/>
      <c r="CJ253" s="436"/>
      <c r="CK253" s="437"/>
      <c r="CM253" s="64" t="s">
        <v>2477</v>
      </c>
      <c r="CN253" s="707"/>
    </row>
    <row r="254" spans="5:92" x14ac:dyDescent="0.25">
      <c r="E254" s="369"/>
      <c r="P254" s="140"/>
      <c r="Q254" s="140"/>
      <c r="R254" s="140"/>
      <c r="S254" s="140"/>
      <c r="T254" s="140"/>
      <c r="U254" s="140"/>
      <c r="BV254" s="177"/>
      <c r="BW254" s="177"/>
      <c r="BX254" s="267"/>
      <c r="BY254" s="267"/>
      <c r="BZ254" s="267"/>
      <c r="CA254" s="267"/>
      <c r="CB254" s="267"/>
      <c r="CC254" s="267"/>
      <c r="CD254" s="267"/>
      <c r="CE254" s="267"/>
      <c r="CF254" s="267"/>
      <c r="CG254" s="267"/>
      <c r="CH254" s="267"/>
      <c r="CI254" s="435"/>
      <c r="CJ254" s="436"/>
      <c r="CK254" s="437"/>
      <c r="CM254" s="64" t="s">
        <v>3077</v>
      </c>
      <c r="CN254" s="707">
        <v>51</v>
      </c>
    </row>
    <row r="255" spans="5:92" x14ac:dyDescent="0.25">
      <c r="E255" s="369"/>
      <c r="P255" s="140"/>
      <c r="Q255" s="140"/>
      <c r="R255" s="140"/>
      <c r="S255" s="140"/>
      <c r="T255" s="140"/>
      <c r="U255" s="140"/>
      <c r="BV255" s="177"/>
      <c r="BW255" s="177"/>
      <c r="BX255" s="267"/>
      <c r="BY255" s="267"/>
      <c r="BZ255" s="267"/>
      <c r="CA255" s="267"/>
      <c r="CB255" s="267"/>
      <c r="CC255" s="267"/>
      <c r="CD255" s="267"/>
      <c r="CE255" s="267"/>
      <c r="CF255" s="267"/>
      <c r="CG255" s="267"/>
      <c r="CH255" s="267"/>
      <c r="CI255" s="435"/>
      <c r="CJ255" s="436"/>
      <c r="CK255" s="437"/>
      <c r="CM255" s="64" t="s">
        <v>3084</v>
      </c>
      <c r="CN255" s="707">
        <v>57</v>
      </c>
    </row>
    <row r="256" spans="5:92" x14ac:dyDescent="0.25">
      <c r="E256" s="369"/>
      <c r="P256" s="140"/>
      <c r="Q256" s="140"/>
      <c r="R256" s="140"/>
      <c r="S256" s="140"/>
      <c r="T256" s="140"/>
      <c r="U256" s="140"/>
      <c r="BV256" s="177"/>
      <c r="BW256" s="177"/>
      <c r="BX256" s="267"/>
      <c r="BY256" s="267"/>
      <c r="BZ256" s="267"/>
      <c r="CA256" s="267"/>
      <c r="CB256" s="267"/>
      <c r="CC256" s="267"/>
      <c r="CD256" s="267"/>
      <c r="CE256" s="267"/>
      <c r="CF256" s="267"/>
      <c r="CG256" s="267"/>
      <c r="CH256" s="267"/>
      <c r="CI256" s="435"/>
      <c r="CJ256" s="436"/>
      <c r="CK256" s="437"/>
      <c r="CM256" s="64" t="s">
        <v>3085</v>
      </c>
      <c r="CN256" s="707">
        <v>25</v>
      </c>
    </row>
    <row r="257" spans="5:92" x14ac:dyDescent="0.25">
      <c r="E257" s="369"/>
      <c r="P257" s="140"/>
      <c r="Q257" s="140"/>
      <c r="R257" s="140"/>
      <c r="S257" s="140"/>
      <c r="T257" s="140"/>
      <c r="U257" s="140"/>
      <c r="BV257" s="177"/>
      <c r="BW257" s="177"/>
      <c r="BX257" s="267"/>
      <c r="BY257" s="267"/>
      <c r="BZ257" s="267"/>
      <c r="CA257" s="267"/>
      <c r="CB257" s="267"/>
      <c r="CC257" s="267"/>
      <c r="CD257" s="267"/>
      <c r="CE257" s="267"/>
      <c r="CF257" s="267"/>
      <c r="CG257" s="267"/>
      <c r="CH257" s="267"/>
      <c r="CI257" s="435"/>
      <c r="CJ257" s="436"/>
      <c r="CK257" s="437"/>
      <c r="CM257" s="64" t="s">
        <v>3342</v>
      </c>
      <c r="CN257" s="707">
        <v>41</v>
      </c>
    </row>
    <row r="258" spans="5:92" x14ac:dyDescent="0.25">
      <c r="E258" s="369"/>
      <c r="P258" s="140"/>
      <c r="Q258" s="140"/>
      <c r="R258" s="140"/>
      <c r="S258" s="140"/>
      <c r="T258" s="140"/>
      <c r="U258" s="140"/>
      <c r="BV258" s="177"/>
      <c r="BW258" s="177"/>
      <c r="BX258" s="267"/>
      <c r="BY258" s="267"/>
      <c r="BZ258" s="267"/>
      <c r="CA258" s="267"/>
      <c r="CB258" s="267"/>
      <c r="CC258" s="267"/>
      <c r="CD258" s="267"/>
      <c r="CE258" s="267"/>
      <c r="CF258" s="267"/>
      <c r="CG258" s="267"/>
      <c r="CH258" s="267"/>
      <c r="CI258" s="435"/>
      <c r="CJ258" s="436"/>
      <c r="CK258" s="437"/>
      <c r="CM258" s="64" t="s">
        <v>1284</v>
      </c>
      <c r="CN258" s="707">
        <v>27</v>
      </c>
    </row>
    <row r="259" spans="5:92" x14ac:dyDescent="0.25">
      <c r="E259" s="369"/>
      <c r="P259" s="140"/>
      <c r="Q259" s="140"/>
      <c r="R259" s="140"/>
      <c r="S259" s="140"/>
      <c r="T259" s="140"/>
      <c r="U259" s="140"/>
      <c r="BV259" s="177"/>
      <c r="BW259" s="177"/>
      <c r="BX259" s="267"/>
      <c r="BY259" s="267"/>
      <c r="BZ259" s="267"/>
      <c r="CA259" s="267"/>
      <c r="CB259" s="267"/>
      <c r="CC259" s="267"/>
      <c r="CD259" s="267"/>
      <c r="CE259" s="267"/>
      <c r="CF259" s="267"/>
      <c r="CG259" s="267"/>
      <c r="CH259" s="267"/>
      <c r="CI259" s="435"/>
      <c r="CJ259" s="436"/>
      <c r="CK259" s="437"/>
      <c r="CM259" s="64" t="s">
        <v>3086</v>
      </c>
      <c r="CN259" s="707">
        <v>41</v>
      </c>
    </row>
    <row r="260" spans="5:92" x14ac:dyDescent="0.25">
      <c r="E260" s="369"/>
      <c r="P260" s="140"/>
      <c r="Q260" s="140"/>
      <c r="R260" s="140"/>
      <c r="S260" s="140"/>
      <c r="T260" s="140"/>
      <c r="U260" s="140"/>
      <c r="BV260" s="177"/>
      <c r="BW260" s="177"/>
      <c r="BX260" s="267"/>
      <c r="BY260" s="267"/>
      <c r="BZ260" s="267"/>
      <c r="CA260" s="267"/>
      <c r="CB260" s="267"/>
      <c r="CC260" s="267"/>
      <c r="CD260" s="267"/>
      <c r="CE260" s="267"/>
      <c r="CF260" s="267"/>
      <c r="CG260" s="267"/>
      <c r="CH260" s="267"/>
      <c r="CI260" s="435"/>
      <c r="CJ260" s="436"/>
      <c r="CK260" s="437"/>
      <c r="CM260" s="64" t="s">
        <v>791</v>
      </c>
      <c r="CN260" s="707">
        <v>33</v>
      </c>
    </row>
    <row r="261" spans="5:92" x14ac:dyDescent="0.25">
      <c r="E261" s="369"/>
      <c r="P261" s="140"/>
      <c r="Q261" s="140"/>
      <c r="R261" s="140"/>
      <c r="S261" s="140"/>
      <c r="T261" s="140"/>
      <c r="U261" s="140"/>
      <c r="BV261" s="177"/>
      <c r="BW261" s="177"/>
      <c r="BX261" s="267"/>
      <c r="BY261" s="267"/>
      <c r="BZ261" s="267"/>
      <c r="CA261" s="267"/>
      <c r="CB261" s="267"/>
      <c r="CC261" s="267"/>
      <c r="CD261" s="267"/>
      <c r="CE261" s="267"/>
      <c r="CF261" s="267"/>
      <c r="CG261" s="267"/>
      <c r="CH261" s="267"/>
      <c r="CI261" s="435"/>
      <c r="CJ261" s="436"/>
      <c r="CK261" s="437"/>
      <c r="CM261" s="64" t="s">
        <v>855</v>
      </c>
      <c r="CN261" s="707"/>
    </row>
    <row r="262" spans="5:92" x14ac:dyDescent="0.25">
      <c r="E262" s="369"/>
      <c r="P262" s="140"/>
      <c r="Q262" s="140"/>
      <c r="R262" s="140"/>
      <c r="S262" s="140"/>
      <c r="T262" s="140"/>
      <c r="U262" s="140"/>
      <c r="BV262" s="177"/>
      <c r="BW262" s="177"/>
      <c r="BX262" s="267"/>
      <c r="BY262" s="267"/>
      <c r="BZ262" s="267"/>
      <c r="CA262" s="267"/>
      <c r="CB262" s="267"/>
      <c r="CC262" s="267"/>
      <c r="CD262" s="267"/>
      <c r="CE262" s="267"/>
      <c r="CF262" s="267"/>
      <c r="CG262" s="267"/>
      <c r="CH262" s="267"/>
      <c r="CI262" s="435"/>
      <c r="CJ262" s="436"/>
      <c r="CK262" s="437"/>
      <c r="CM262" s="64" t="s">
        <v>3087</v>
      </c>
      <c r="CN262" s="707">
        <v>55.8</v>
      </c>
    </row>
    <row r="263" spans="5:92" x14ac:dyDescent="0.25">
      <c r="E263" s="369"/>
      <c r="P263" s="140"/>
      <c r="Q263" s="140"/>
      <c r="R263" s="140"/>
      <c r="S263" s="140"/>
      <c r="T263" s="140"/>
      <c r="U263" s="140"/>
      <c r="BV263" s="177"/>
      <c r="BW263" s="177"/>
      <c r="BX263" s="267"/>
      <c r="BY263" s="267"/>
      <c r="BZ263" s="267"/>
      <c r="CA263" s="267"/>
      <c r="CB263" s="267"/>
      <c r="CC263" s="267"/>
      <c r="CD263" s="267"/>
      <c r="CE263" s="267"/>
      <c r="CF263" s="267"/>
      <c r="CG263" s="267"/>
      <c r="CH263" s="267"/>
      <c r="CI263" s="435"/>
      <c r="CJ263" s="436"/>
      <c r="CK263" s="437"/>
      <c r="CM263" s="64" t="s">
        <v>282</v>
      </c>
      <c r="CN263" s="707">
        <v>27</v>
      </c>
    </row>
    <row r="264" spans="5:92" x14ac:dyDescent="0.25">
      <c r="E264" s="369"/>
      <c r="P264" s="140"/>
      <c r="Q264" s="140"/>
      <c r="R264" s="140"/>
      <c r="S264" s="140"/>
      <c r="T264" s="140"/>
      <c r="U264" s="140"/>
      <c r="BV264" s="177"/>
      <c r="BW264" s="177"/>
      <c r="BX264" s="267"/>
      <c r="BY264" s="267"/>
      <c r="BZ264" s="267"/>
      <c r="CA264" s="267"/>
      <c r="CB264" s="267"/>
      <c r="CC264" s="267"/>
      <c r="CD264" s="267"/>
      <c r="CE264" s="267"/>
      <c r="CF264" s="267"/>
      <c r="CG264" s="267"/>
      <c r="CH264" s="267"/>
      <c r="CI264" s="435"/>
      <c r="CJ264" s="436"/>
      <c r="CK264" s="437"/>
      <c r="CM264" s="64" t="s">
        <v>3088</v>
      </c>
      <c r="CN264" s="707">
        <v>46</v>
      </c>
    </row>
    <row r="265" spans="5:92" x14ac:dyDescent="0.25">
      <c r="E265" s="369"/>
      <c r="P265" s="140"/>
      <c r="Q265" s="140"/>
      <c r="R265" s="140"/>
      <c r="S265" s="140"/>
      <c r="T265" s="140"/>
      <c r="U265" s="140"/>
      <c r="BV265" s="177"/>
      <c r="BW265" s="177"/>
      <c r="BX265" s="267"/>
      <c r="BY265" s="267"/>
      <c r="BZ265" s="267"/>
      <c r="CA265" s="267"/>
      <c r="CB265" s="267"/>
      <c r="CC265" s="267"/>
      <c r="CD265" s="267"/>
      <c r="CE265" s="267"/>
      <c r="CF265" s="267"/>
      <c r="CG265" s="267"/>
      <c r="CH265" s="267"/>
      <c r="CI265" s="435"/>
      <c r="CJ265" s="436"/>
      <c r="CK265" s="437"/>
      <c r="CM265" s="64" t="s">
        <v>923</v>
      </c>
      <c r="CN265" s="707">
        <v>27</v>
      </c>
    </row>
    <row r="266" spans="5:92" x14ac:dyDescent="0.25">
      <c r="E266" s="369"/>
      <c r="P266" s="140"/>
      <c r="Q266" s="140"/>
      <c r="R266" s="140"/>
      <c r="S266" s="140"/>
      <c r="T266" s="140"/>
      <c r="U266" s="140"/>
      <c r="BV266" s="177"/>
      <c r="BW266" s="177"/>
      <c r="BX266" s="267"/>
      <c r="BY266" s="267"/>
      <c r="BZ266" s="267"/>
      <c r="CA266" s="267"/>
      <c r="CB266" s="267"/>
      <c r="CC266" s="267"/>
      <c r="CD266" s="267"/>
      <c r="CE266" s="267"/>
      <c r="CF266" s="267"/>
      <c r="CG266" s="267"/>
      <c r="CH266" s="267"/>
      <c r="CI266" s="435"/>
      <c r="CJ266" s="436"/>
      <c r="CK266" s="437"/>
      <c r="CM266" s="64" t="s">
        <v>3089</v>
      </c>
      <c r="CN266" s="707">
        <v>37.833333333333336</v>
      </c>
    </row>
    <row r="267" spans="5:92" x14ac:dyDescent="0.25">
      <c r="E267" s="369"/>
      <c r="P267" s="140"/>
      <c r="Q267" s="140"/>
      <c r="R267" s="140"/>
      <c r="S267" s="140"/>
      <c r="T267" s="140"/>
      <c r="U267" s="140"/>
      <c r="BV267" s="177"/>
      <c r="BW267" s="177"/>
      <c r="BX267" s="267"/>
      <c r="BY267" s="267"/>
      <c r="BZ267" s="267"/>
      <c r="CA267" s="267"/>
      <c r="CB267" s="267"/>
      <c r="CC267" s="267"/>
      <c r="CD267" s="267"/>
      <c r="CE267" s="267"/>
      <c r="CF267" s="267"/>
      <c r="CG267" s="267"/>
      <c r="CH267" s="267"/>
      <c r="CI267" s="435"/>
      <c r="CJ267" s="436"/>
      <c r="CK267" s="437"/>
      <c r="CM267" s="64" t="s">
        <v>84</v>
      </c>
      <c r="CN267" s="707">
        <v>27</v>
      </c>
    </row>
    <row r="268" spans="5:92" x14ac:dyDescent="0.25">
      <c r="E268" s="369"/>
      <c r="P268" s="140"/>
      <c r="Q268" s="140"/>
      <c r="R268" s="140"/>
      <c r="S268" s="140"/>
      <c r="T268" s="140"/>
      <c r="U268" s="140"/>
      <c r="BV268" s="177"/>
      <c r="BW268" s="177"/>
      <c r="BX268" s="267"/>
      <c r="BY268" s="267"/>
      <c r="BZ268" s="267"/>
      <c r="CA268" s="267"/>
      <c r="CB268" s="267"/>
      <c r="CC268" s="267"/>
      <c r="CD268" s="267"/>
      <c r="CE268" s="267"/>
      <c r="CF268" s="267"/>
      <c r="CG268" s="267"/>
      <c r="CH268" s="267"/>
      <c r="CI268" s="435"/>
      <c r="CJ268" s="436"/>
      <c r="CK268" s="437"/>
      <c r="CM268" s="64" t="s">
        <v>3090</v>
      </c>
      <c r="CN268" s="707">
        <v>27</v>
      </c>
    </row>
    <row r="269" spans="5:92" x14ac:dyDescent="0.25">
      <c r="E269" s="369"/>
      <c r="P269" s="140"/>
      <c r="Q269" s="140"/>
      <c r="R269" s="140"/>
      <c r="S269" s="140"/>
      <c r="T269" s="140"/>
      <c r="U269" s="140"/>
      <c r="BV269" s="177"/>
      <c r="BW269" s="177"/>
      <c r="BX269" s="267"/>
      <c r="BY269" s="267"/>
      <c r="BZ269" s="267"/>
      <c r="CA269" s="267"/>
      <c r="CB269" s="267"/>
      <c r="CC269" s="267"/>
      <c r="CD269" s="267"/>
      <c r="CE269" s="267"/>
      <c r="CF269" s="267"/>
      <c r="CG269" s="267"/>
      <c r="CH269" s="267"/>
      <c r="CI269" s="435"/>
      <c r="CJ269" s="436"/>
      <c r="CK269" s="437"/>
      <c r="CM269" s="64" t="s">
        <v>3091</v>
      </c>
      <c r="CN269" s="707">
        <v>57</v>
      </c>
    </row>
    <row r="270" spans="5:92" x14ac:dyDescent="0.25">
      <c r="E270" s="369"/>
      <c r="P270" s="140"/>
      <c r="Q270" s="140"/>
      <c r="R270" s="140"/>
      <c r="S270" s="140"/>
      <c r="T270" s="140"/>
      <c r="U270" s="140"/>
      <c r="BV270" s="177"/>
      <c r="BW270" s="177"/>
      <c r="BX270" s="267"/>
      <c r="BY270" s="267"/>
      <c r="BZ270" s="267"/>
      <c r="CA270" s="267"/>
      <c r="CB270" s="267"/>
      <c r="CC270" s="267"/>
      <c r="CD270" s="267"/>
      <c r="CE270" s="267"/>
      <c r="CF270" s="267"/>
      <c r="CG270" s="267"/>
      <c r="CH270" s="267"/>
      <c r="CI270" s="435"/>
      <c r="CJ270" s="436"/>
      <c r="CK270" s="437"/>
      <c r="CM270" s="64" t="s">
        <v>3092</v>
      </c>
      <c r="CN270" s="707">
        <v>27</v>
      </c>
    </row>
    <row r="271" spans="5:92" x14ac:dyDescent="0.25">
      <c r="E271" s="369"/>
      <c r="P271" s="140"/>
      <c r="Q271" s="140"/>
      <c r="R271" s="140"/>
      <c r="S271" s="140"/>
      <c r="T271" s="140"/>
      <c r="U271" s="140"/>
      <c r="BV271" s="177"/>
      <c r="BW271" s="177"/>
      <c r="BX271" s="267"/>
      <c r="BY271" s="267"/>
      <c r="BZ271" s="267"/>
      <c r="CA271" s="267"/>
      <c r="CB271" s="267"/>
      <c r="CC271" s="267"/>
      <c r="CD271" s="267"/>
      <c r="CE271" s="267"/>
      <c r="CF271" s="267"/>
      <c r="CG271" s="267"/>
      <c r="CH271" s="267"/>
      <c r="CI271" s="435"/>
      <c r="CJ271" s="436"/>
      <c r="CK271" s="437"/>
      <c r="CM271" s="64" t="s">
        <v>3093</v>
      </c>
      <c r="CN271" s="707">
        <v>46.666666666666664</v>
      </c>
    </row>
    <row r="272" spans="5:92" x14ac:dyDescent="0.25">
      <c r="E272" s="369"/>
      <c r="P272" s="140"/>
      <c r="Q272" s="140"/>
      <c r="R272" s="140"/>
      <c r="S272" s="140"/>
      <c r="T272" s="140"/>
      <c r="U272" s="140"/>
      <c r="BV272" s="177"/>
      <c r="BW272" s="177"/>
      <c r="BX272" s="267"/>
      <c r="BY272" s="267"/>
      <c r="BZ272" s="267"/>
      <c r="CA272" s="267"/>
      <c r="CB272" s="267"/>
      <c r="CC272" s="267"/>
      <c r="CD272" s="267"/>
      <c r="CE272" s="267"/>
      <c r="CF272" s="267"/>
      <c r="CG272" s="267"/>
      <c r="CH272" s="267"/>
      <c r="CI272" s="435"/>
      <c r="CJ272" s="436"/>
      <c r="CK272" s="437"/>
      <c r="CM272" s="64" t="s">
        <v>3094</v>
      </c>
      <c r="CN272" s="707">
        <v>33.5</v>
      </c>
    </row>
    <row r="273" spans="5:92" x14ac:dyDescent="0.25">
      <c r="E273" s="369"/>
      <c r="P273" s="140"/>
      <c r="Q273" s="140"/>
      <c r="R273" s="140"/>
      <c r="S273" s="140"/>
      <c r="T273" s="140"/>
      <c r="U273" s="140"/>
      <c r="BV273" s="177"/>
      <c r="BW273" s="177"/>
      <c r="BX273" s="267"/>
      <c r="BY273" s="267"/>
      <c r="BZ273" s="267"/>
      <c r="CA273" s="267"/>
      <c r="CB273" s="267"/>
      <c r="CC273" s="267"/>
      <c r="CD273" s="267"/>
      <c r="CE273" s="267"/>
      <c r="CF273" s="267"/>
      <c r="CG273" s="267"/>
      <c r="CH273" s="267"/>
      <c r="CI273" s="435"/>
      <c r="CJ273" s="436"/>
      <c r="CK273" s="437"/>
      <c r="CM273" s="64" t="s">
        <v>3095</v>
      </c>
      <c r="CN273" s="707">
        <v>34.5</v>
      </c>
    </row>
    <row r="274" spans="5:92" x14ac:dyDescent="0.25">
      <c r="E274" s="369"/>
      <c r="P274" s="140"/>
      <c r="Q274" s="140"/>
      <c r="R274" s="140"/>
      <c r="S274" s="140"/>
      <c r="T274" s="140"/>
      <c r="U274" s="140"/>
      <c r="BV274" s="177"/>
      <c r="BW274" s="177"/>
      <c r="BX274" s="267"/>
      <c r="BY274" s="267"/>
      <c r="BZ274" s="267"/>
      <c r="CA274" s="267"/>
      <c r="CB274" s="267"/>
      <c r="CC274" s="267"/>
      <c r="CD274" s="267"/>
      <c r="CE274" s="267"/>
      <c r="CF274" s="267"/>
      <c r="CG274" s="267"/>
      <c r="CH274" s="267"/>
      <c r="CI274" s="435"/>
      <c r="CJ274" s="436"/>
      <c r="CK274" s="437"/>
      <c r="CM274" s="64" t="s">
        <v>1130</v>
      </c>
      <c r="CN274" s="707">
        <v>44.2</v>
      </c>
    </row>
    <row r="275" spans="5:92" x14ac:dyDescent="0.25">
      <c r="E275" s="369"/>
      <c r="P275" s="140"/>
      <c r="Q275" s="140"/>
      <c r="R275" s="140"/>
      <c r="S275" s="140"/>
      <c r="T275" s="140"/>
      <c r="U275" s="140"/>
      <c r="BV275" s="177"/>
      <c r="BW275" s="177"/>
      <c r="BX275" s="267"/>
      <c r="BY275" s="267"/>
      <c r="BZ275" s="267"/>
      <c r="CA275" s="267"/>
      <c r="CB275" s="267"/>
      <c r="CC275" s="267"/>
      <c r="CD275" s="267"/>
      <c r="CE275" s="267"/>
      <c r="CF275" s="267"/>
      <c r="CG275" s="267"/>
      <c r="CH275" s="267"/>
      <c r="CI275" s="435"/>
      <c r="CJ275" s="436"/>
      <c r="CK275" s="437"/>
      <c r="CM275" s="64" t="s">
        <v>1136</v>
      </c>
      <c r="CN275" s="707">
        <v>44.2</v>
      </c>
    </row>
    <row r="276" spans="5:92" x14ac:dyDescent="0.25">
      <c r="E276" s="369"/>
      <c r="P276" s="140"/>
      <c r="Q276" s="140"/>
      <c r="R276" s="140"/>
      <c r="S276" s="140"/>
      <c r="T276" s="140"/>
      <c r="U276" s="140"/>
      <c r="BV276" s="177"/>
      <c r="BW276" s="177"/>
      <c r="BX276" s="267"/>
      <c r="BY276" s="267"/>
      <c r="BZ276" s="267"/>
      <c r="CA276" s="267"/>
      <c r="CB276" s="267"/>
      <c r="CC276" s="267"/>
      <c r="CD276" s="267"/>
      <c r="CE276" s="267"/>
      <c r="CF276" s="267"/>
      <c r="CG276" s="267"/>
      <c r="CH276" s="267"/>
      <c r="CI276" s="435"/>
      <c r="CJ276" s="436"/>
      <c r="CK276" s="437"/>
      <c r="CM276"/>
      <c r="CN276"/>
    </row>
    <row r="277" spans="5:92" x14ac:dyDescent="0.25">
      <c r="E277" s="369"/>
      <c r="P277" s="140"/>
      <c r="Q277" s="140"/>
      <c r="R277" s="140"/>
      <c r="S277" s="140"/>
      <c r="T277" s="140"/>
      <c r="U277" s="140"/>
      <c r="BV277" s="177"/>
      <c r="BW277" s="177"/>
      <c r="BX277" s="267"/>
      <c r="BY277" s="267"/>
      <c r="BZ277" s="267"/>
      <c r="CA277" s="267"/>
      <c r="CB277" s="267"/>
      <c r="CC277" s="267"/>
      <c r="CD277" s="267"/>
      <c r="CE277" s="267"/>
      <c r="CF277" s="267"/>
      <c r="CG277" s="267"/>
      <c r="CH277" s="267"/>
      <c r="CI277" s="435"/>
      <c r="CJ277" s="436"/>
      <c r="CK277" s="437"/>
    </row>
    <row r="278" spans="5:92" x14ac:dyDescent="0.25">
      <c r="E278" s="369"/>
      <c r="P278" s="140"/>
      <c r="Q278" s="140"/>
      <c r="R278" s="140"/>
      <c r="S278" s="140"/>
      <c r="T278" s="140"/>
      <c r="U278" s="140"/>
      <c r="BV278" s="177"/>
      <c r="BW278" s="177"/>
      <c r="BX278" s="267"/>
      <c r="BY278" s="267"/>
      <c r="BZ278" s="267"/>
      <c r="CA278" s="267"/>
      <c r="CB278" s="267"/>
      <c r="CC278" s="267"/>
      <c r="CD278" s="267"/>
      <c r="CE278" s="267"/>
      <c r="CF278" s="267"/>
      <c r="CG278" s="267"/>
      <c r="CH278" s="267"/>
      <c r="CI278" s="435"/>
      <c r="CJ278" s="436"/>
      <c r="CK278" s="437"/>
    </row>
    <row r="279" spans="5:92" x14ac:dyDescent="0.25">
      <c r="E279" s="369"/>
      <c r="P279" s="140"/>
      <c r="Q279" s="140"/>
      <c r="R279" s="140"/>
      <c r="S279" s="140"/>
      <c r="T279" s="140"/>
      <c r="U279" s="140"/>
      <c r="BV279" s="177"/>
      <c r="BW279" s="177"/>
      <c r="BX279" s="267"/>
      <c r="BY279" s="267"/>
      <c r="BZ279" s="267"/>
      <c r="CA279" s="267"/>
      <c r="CB279" s="267"/>
      <c r="CC279" s="267"/>
      <c r="CD279" s="267"/>
      <c r="CE279" s="267"/>
      <c r="CF279" s="267"/>
      <c r="CG279" s="267"/>
      <c r="CH279" s="267"/>
      <c r="CI279" s="435"/>
      <c r="CJ279" s="436"/>
      <c r="CK279" s="437"/>
    </row>
    <row r="280" spans="5:92" x14ac:dyDescent="0.25">
      <c r="E280" s="369"/>
      <c r="P280" s="140"/>
      <c r="Q280" s="140"/>
      <c r="R280" s="140"/>
      <c r="S280" s="140"/>
      <c r="T280" s="140"/>
      <c r="U280" s="140"/>
      <c r="BV280" s="177"/>
      <c r="BW280" s="177"/>
      <c r="BX280" s="267"/>
      <c r="BY280" s="267"/>
      <c r="BZ280" s="267"/>
      <c r="CA280" s="267"/>
      <c r="CB280" s="267"/>
      <c r="CC280" s="267"/>
      <c r="CD280" s="267"/>
      <c r="CE280" s="267"/>
      <c r="CF280" s="267"/>
      <c r="CG280" s="267"/>
      <c r="CH280" s="267"/>
      <c r="CI280" s="435"/>
      <c r="CJ280" s="436"/>
      <c r="CK280" s="437"/>
    </row>
    <row r="281" spans="5:92" x14ac:dyDescent="0.25">
      <c r="E281" s="369"/>
      <c r="P281" s="140"/>
      <c r="Q281" s="140"/>
      <c r="R281" s="140"/>
      <c r="S281" s="140"/>
      <c r="T281" s="140"/>
      <c r="U281" s="140"/>
      <c r="BV281" s="177"/>
      <c r="BW281" s="177"/>
      <c r="BX281" s="267"/>
      <c r="BY281" s="267"/>
      <c r="BZ281" s="267"/>
      <c r="CA281" s="267"/>
      <c r="CB281" s="267"/>
      <c r="CC281" s="267"/>
      <c r="CD281" s="267"/>
      <c r="CE281" s="267"/>
      <c r="CF281" s="267"/>
      <c r="CG281" s="267"/>
      <c r="CH281" s="267"/>
      <c r="CI281" s="435"/>
      <c r="CJ281" s="436"/>
      <c r="CK281" s="437"/>
    </row>
    <row r="282" spans="5:92" x14ac:dyDescent="0.25">
      <c r="E282" s="369"/>
      <c r="P282" s="140"/>
      <c r="Q282" s="140"/>
      <c r="R282" s="140"/>
      <c r="S282" s="140"/>
      <c r="T282" s="140"/>
      <c r="U282" s="140"/>
      <c r="BV282" s="177"/>
      <c r="BW282" s="177"/>
      <c r="BX282" s="267"/>
      <c r="BY282" s="267"/>
      <c r="BZ282" s="267"/>
      <c r="CA282" s="267"/>
      <c r="CB282" s="267"/>
      <c r="CC282" s="267"/>
      <c r="CD282" s="267"/>
      <c r="CE282" s="267"/>
      <c r="CF282" s="267"/>
      <c r="CG282" s="267"/>
      <c r="CH282" s="267"/>
      <c r="CI282" s="435"/>
      <c r="CJ282" s="436"/>
      <c r="CK282" s="437"/>
    </row>
    <row r="283" spans="5:92" x14ac:dyDescent="0.25">
      <c r="E283" s="369"/>
      <c r="P283" s="140"/>
      <c r="Q283" s="140"/>
      <c r="R283" s="140"/>
      <c r="S283" s="140"/>
      <c r="T283" s="140"/>
      <c r="U283" s="140"/>
      <c r="BV283" s="177"/>
      <c r="BW283" s="177"/>
      <c r="BX283" s="267"/>
      <c r="BY283" s="267"/>
      <c r="BZ283" s="267"/>
      <c r="CA283" s="267"/>
      <c r="CB283" s="267"/>
      <c r="CC283" s="267"/>
      <c r="CD283" s="267"/>
      <c r="CE283" s="267"/>
      <c r="CF283" s="267"/>
      <c r="CG283" s="267"/>
      <c r="CH283" s="267"/>
      <c r="CI283" s="435"/>
      <c r="CJ283" s="436"/>
      <c r="CK283" s="437"/>
    </row>
    <row r="284" spans="5:92" x14ac:dyDescent="0.25">
      <c r="E284" s="369"/>
      <c r="P284" s="140"/>
      <c r="Q284" s="140"/>
      <c r="R284" s="140"/>
      <c r="S284" s="140"/>
      <c r="T284" s="140"/>
      <c r="U284" s="140"/>
      <c r="BV284" s="177"/>
      <c r="BW284" s="177"/>
      <c r="BX284" s="267"/>
      <c r="BY284" s="267"/>
      <c r="BZ284" s="267"/>
      <c r="CA284" s="267"/>
      <c r="CB284" s="267"/>
      <c r="CC284" s="267"/>
      <c r="CD284" s="267"/>
      <c r="CE284" s="267"/>
      <c r="CF284" s="267"/>
      <c r="CG284" s="267"/>
      <c r="CH284" s="267"/>
      <c r="CI284" s="435"/>
      <c r="CJ284" s="436"/>
      <c r="CK284" s="437"/>
    </row>
    <row r="285" spans="5:92" x14ac:dyDescent="0.25">
      <c r="E285" s="369"/>
      <c r="P285" s="140"/>
      <c r="Q285" s="140"/>
      <c r="R285" s="140"/>
      <c r="S285" s="140"/>
      <c r="T285" s="140"/>
      <c r="U285" s="140"/>
      <c r="BV285" s="177"/>
      <c r="BW285" s="177"/>
      <c r="BX285" s="267"/>
      <c r="BY285" s="267"/>
      <c r="BZ285" s="267"/>
      <c r="CA285" s="267"/>
      <c r="CB285" s="267"/>
      <c r="CC285" s="267"/>
      <c r="CD285" s="267"/>
      <c r="CE285" s="267"/>
      <c r="CF285" s="267"/>
      <c r="CG285" s="267"/>
      <c r="CH285" s="267"/>
      <c r="CI285" s="435"/>
      <c r="CJ285" s="436"/>
      <c r="CK285" s="437"/>
    </row>
    <row r="286" spans="5:92" x14ac:dyDescent="0.25">
      <c r="E286" s="369"/>
      <c r="P286" s="140"/>
      <c r="Q286" s="140"/>
      <c r="R286" s="140"/>
      <c r="S286" s="140"/>
      <c r="T286" s="140"/>
      <c r="U286" s="140"/>
      <c r="BV286" s="177"/>
      <c r="BW286" s="177"/>
      <c r="BX286" s="267"/>
      <c r="BY286" s="267"/>
      <c r="BZ286" s="267"/>
      <c r="CA286" s="267"/>
      <c r="CB286" s="267"/>
      <c r="CC286" s="267"/>
      <c r="CD286" s="267"/>
      <c r="CE286" s="267"/>
      <c r="CF286" s="267"/>
      <c r="CG286" s="267"/>
      <c r="CH286" s="267"/>
      <c r="CI286" s="435"/>
      <c r="CJ286" s="436"/>
      <c r="CK286" s="437"/>
    </row>
    <row r="287" spans="5:92" x14ac:dyDescent="0.25">
      <c r="E287" s="369"/>
      <c r="P287" s="140"/>
      <c r="Q287" s="140"/>
      <c r="R287" s="140"/>
      <c r="S287" s="140"/>
      <c r="T287" s="140"/>
      <c r="U287" s="140"/>
      <c r="BV287" s="177"/>
      <c r="BW287" s="177"/>
      <c r="BX287" s="267"/>
      <c r="BY287" s="267"/>
      <c r="BZ287" s="267"/>
      <c r="CA287" s="267"/>
      <c r="CB287" s="267"/>
      <c r="CC287" s="267"/>
      <c r="CD287" s="267"/>
      <c r="CE287" s="267"/>
      <c r="CF287" s="267"/>
      <c r="CG287" s="267"/>
      <c r="CH287" s="267"/>
      <c r="CI287" s="435"/>
      <c r="CJ287" s="436"/>
      <c r="CK287" s="437"/>
    </row>
    <row r="288" spans="5:92" x14ac:dyDescent="0.25">
      <c r="E288" s="369"/>
      <c r="P288" s="140"/>
      <c r="Q288" s="140"/>
      <c r="R288" s="140"/>
      <c r="S288" s="140"/>
      <c r="T288" s="140"/>
      <c r="U288" s="140"/>
      <c r="BV288" s="177"/>
      <c r="BW288" s="177"/>
      <c r="BX288" s="267"/>
      <c r="BY288" s="267"/>
      <c r="BZ288" s="267"/>
      <c r="CA288" s="267"/>
      <c r="CB288" s="267"/>
      <c r="CC288" s="267"/>
      <c r="CD288" s="267"/>
      <c r="CE288" s="267"/>
      <c r="CF288" s="267"/>
      <c r="CG288" s="267"/>
      <c r="CH288" s="267"/>
      <c r="CI288" s="435"/>
      <c r="CJ288" s="436"/>
      <c r="CK288" s="437"/>
    </row>
    <row r="289" spans="5:89" x14ac:dyDescent="0.25">
      <c r="E289" s="369"/>
      <c r="P289" s="140"/>
      <c r="Q289" s="140"/>
      <c r="R289" s="140"/>
      <c r="S289" s="140"/>
      <c r="T289" s="140"/>
      <c r="U289" s="140"/>
      <c r="BV289" s="177"/>
      <c r="BW289" s="177"/>
      <c r="BX289" s="267"/>
      <c r="BY289" s="267"/>
      <c r="BZ289" s="267"/>
      <c r="CA289" s="267"/>
      <c r="CB289" s="267"/>
      <c r="CC289" s="267"/>
      <c r="CD289" s="267"/>
      <c r="CE289" s="267"/>
      <c r="CF289" s="267"/>
      <c r="CG289" s="267"/>
      <c r="CH289" s="267"/>
      <c r="CI289" s="435"/>
      <c r="CJ289" s="436"/>
      <c r="CK289" s="437"/>
    </row>
    <row r="290" spans="5:89" x14ac:dyDescent="0.25">
      <c r="E290" s="369"/>
      <c r="P290" s="140"/>
      <c r="Q290" s="140"/>
      <c r="R290" s="140"/>
      <c r="S290" s="140"/>
      <c r="T290" s="140"/>
      <c r="U290" s="140"/>
      <c r="BV290" s="177"/>
      <c r="BW290" s="177"/>
      <c r="BX290" s="267"/>
      <c r="BY290" s="267"/>
      <c r="BZ290" s="267"/>
      <c r="CA290" s="267"/>
      <c r="CB290" s="267"/>
      <c r="CC290" s="267"/>
      <c r="CD290" s="267"/>
      <c r="CE290" s="267"/>
      <c r="CF290" s="267"/>
      <c r="CG290" s="267"/>
      <c r="CH290" s="267"/>
      <c r="CI290" s="435"/>
      <c r="CJ290" s="436"/>
      <c r="CK290" s="437"/>
    </row>
    <row r="291" spans="5:89" x14ac:dyDescent="0.25">
      <c r="E291" s="369"/>
      <c r="P291" s="140"/>
      <c r="Q291" s="140"/>
      <c r="R291" s="140"/>
      <c r="S291" s="140"/>
      <c r="T291" s="140"/>
      <c r="U291" s="140"/>
      <c r="BV291" s="177"/>
      <c r="BW291" s="177"/>
      <c r="BX291" s="267"/>
      <c r="BY291" s="267"/>
      <c r="BZ291" s="267"/>
      <c r="CA291" s="267"/>
      <c r="CB291" s="267"/>
      <c r="CC291" s="267"/>
      <c r="CD291" s="267"/>
      <c r="CE291" s="267"/>
      <c r="CF291" s="267"/>
      <c r="CG291" s="267"/>
      <c r="CH291" s="267"/>
      <c r="CI291" s="435"/>
      <c r="CJ291" s="436"/>
      <c r="CK291" s="437"/>
    </row>
    <row r="292" spans="5:89" x14ac:dyDescent="0.25">
      <c r="E292" s="369"/>
      <c r="P292" s="140"/>
      <c r="Q292" s="140"/>
      <c r="R292" s="140"/>
      <c r="S292" s="140"/>
      <c r="T292" s="140"/>
      <c r="U292" s="140"/>
      <c r="BV292" s="177"/>
      <c r="BW292" s="177"/>
      <c r="BX292" s="267"/>
      <c r="BY292" s="267"/>
      <c r="BZ292" s="267"/>
      <c r="CA292" s="267"/>
      <c r="CB292" s="267"/>
      <c r="CC292" s="267"/>
      <c r="CD292" s="267"/>
      <c r="CE292" s="267"/>
      <c r="CF292" s="267"/>
      <c r="CG292" s="267"/>
      <c r="CH292" s="267"/>
      <c r="CI292" s="435"/>
      <c r="CJ292" s="436"/>
      <c r="CK292" s="437"/>
    </row>
    <row r="293" spans="5:89" x14ac:dyDescent="0.25">
      <c r="E293" s="369"/>
      <c r="P293" s="140"/>
      <c r="Q293" s="140"/>
      <c r="R293" s="140"/>
      <c r="S293" s="140"/>
      <c r="T293" s="140"/>
      <c r="U293" s="140"/>
      <c r="BV293" s="177"/>
      <c r="BW293" s="177"/>
      <c r="BX293" s="267"/>
      <c r="BY293" s="267"/>
      <c r="BZ293" s="267"/>
      <c r="CA293" s="267"/>
      <c r="CB293" s="267"/>
      <c r="CC293" s="267"/>
      <c r="CD293" s="267"/>
      <c r="CE293" s="267"/>
      <c r="CF293" s="267"/>
      <c r="CG293" s="267"/>
      <c r="CH293" s="267"/>
      <c r="CI293" s="435"/>
      <c r="CJ293" s="436"/>
      <c r="CK293" s="437"/>
    </row>
    <row r="294" spans="5:89" x14ac:dyDescent="0.25">
      <c r="E294" s="369"/>
      <c r="P294" s="140"/>
      <c r="Q294" s="140"/>
      <c r="R294" s="140"/>
      <c r="S294" s="140"/>
      <c r="T294" s="140"/>
      <c r="U294" s="140"/>
      <c r="BV294" s="177"/>
      <c r="BW294" s="177"/>
      <c r="BX294" s="267"/>
      <c r="BY294" s="267"/>
      <c r="BZ294" s="267"/>
      <c r="CA294" s="267"/>
      <c r="CB294" s="267"/>
      <c r="CC294" s="267"/>
      <c r="CD294" s="267"/>
      <c r="CE294" s="267"/>
      <c r="CF294" s="267"/>
      <c r="CG294" s="267"/>
      <c r="CH294" s="267"/>
      <c r="CI294" s="435"/>
      <c r="CJ294" s="436"/>
      <c r="CK294" s="437"/>
    </row>
    <row r="295" spans="5:89" x14ac:dyDescent="0.25">
      <c r="E295" s="369"/>
      <c r="P295" s="140"/>
      <c r="Q295" s="140"/>
      <c r="R295" s="140"/>
      <c r="S295" s="140"/>
      <c r="T295" s="140"/>
      <c r="U295" s="140"/>
      <c r="BV295" s="177"/>
      <c r="BW295" s="177"/>
      <c r="BX295" s="267"/>
      <c r="BY295" s="267"/>
      <c r="BZ295" s="267"/>
      <c r="CA295" s="267"/>
      <c r="CB295" s="267"/>
      <c r="CC295" s="267"/>
      <c r="CD295" s="267"/>
      <c r="CE295" s="267"/>
      <c r="CF295" s="267"/>
      <c r="CG295" s="267"/>
      <c r="CH295" s="267"/>
      <c r="CI295" s="435"/>
      <c r="CJ295" s="436"/>
      <c r="CK295" s="437"/>
    </row>
    <row r="296" spans="5:89" x14ac:dyDescent="0.25">
      <c r="E296" s="369"/>
      <c r="P296" s="140"/>
      <c r="Q296" s="140"/>
      <c r="R296" s="140"/>
      <c r="S296" s="140"/>
      <c r="T296" s="140"/>
      <c r="U296" s="140"/>
      <c r="BV296" s="177"/>
      <c r="BW296" s="177"/>
      <c r="BX296" s="267"/>
      <c r="BY296" s="267"/>
      <c r="BZ296" s="267"/>
      <c r="CA296" s="267"/>
      <c r="CB296" s="267"/>
      <c r="CC296" s="267"/>
      <c r="CD296" s="267"/>
      <c r="CE296" s="267"/>
      <c r="CF296" s="267"/>
      <c r="CG296" s="267"/>
      <c r="CH296" s="267"/>
      <c r="CI296" s="435"/>
      <c r="CJ296" s="436"/>
      <c r="CK296" s="437"/>
    </row>
    <row r="297" spans="5:89" x14ac:dyDescent="0.25">
      <c r="E297" s="369"/>
      <c r="P297" s="140"/>
      <c r="Q297" s="140"/>
      <c r="R297" s="140"/>
      <c r="S297" s="140"/>
      <c r="T297" s="140"/>
      <c r="U297" s="140"/>
      <c r="BV297" s="177"/>
      <c r="BW297" s="177"/>
      <c r="BX297" s="267"/>
      <c r="BY297" s="267"/>
      <c r="BZ297" s="267"/>
      <c r="CA297" s="267"/>
      <c r="CB297" s="267"/>
      <c r="CC297" s="267"/>
      <c r="CD297" s="267"/>
      <c r="CE297" s="267"/>
      <c r="CF297" s="267"/>
      <c r="CG297" s="267"/>
      <c r="CH297" s="267"/>
      <c r="CI297" s="435"/>
      <c r="CJ297" s="436"/>
      <c r="CK297" s="437"/>
    </row>
    <row r="298" spans="5:89" x14ac:dyDescent="0.25">
      <c r="E298" s="369"/>
      <c r="P298" s="140"/>
      <c r="Q298" s="140"/>
      <c r="R298" s="140"/>
      <c r="S298" s="140"/>
      <c r="T298" s="140"/>
      <c r="U298" s="140"/>
      <c r="BV298" s="177"/>
      <c r="BW298" s="177"/>
      <c r="BX298" s="267"/>
      <c r="BY298" s="267"/>
      <c r="BZ298" s="267"/>
      <c r="CA298" s="267"/>
      <c r="CB298" s="267"/>
      <c r="CC298" s="267"/>
      <c r="CD298" s="267"/>
      <c r="CE298" s="267"/>
      <c r="CF298" s="267"/>
      <c r="CG298" s="267"/>
      <c r="CH298" s="267"/>
      <c r="CI298" s="435"/>
      <c r="CJ298" s="436"/>
      <c r="CK298" s="437"/>
    </row>
    <row r="299" spans="5:89" x14ac:dyDescent="0.25">
      <c r="E299" s="369"/>
      <c r="P299" s="140"/>
      <c r="Q299" s="140"/>
      <c r="R299" s="140"/>
      <c r="S299" s="140"/>
      <c r="T299" s="140"/>
      <c r="U299" s="140"/>
      <c r="BV299" s="177"/>
      <c r="BW299" s="177"/>
      <c r="BX299" s="267"/>
      <c r="BY299" s="267"/>
      <c r="BZ299" s="267"/>
      <c r="CA299" s="267"/>
      <c r="CB299" s="267"/>
      <c r="CC299" s="267"/>
      <c r="CD299" s="267"/>
      <c r="CE299" s="267"/>
      <c r="CF299" s="267"/>
      <c r="CG299" s="267"/>
      <c r="CH299" s="267"/>
      <c r="CI299" s="435"/>
      <c r="CJ299" s="436"/>
      <c r="CK299" s="437"/>
    </row>
    <row r="300" spans="5:89" x14ac:dyDescent="0.25">
      <c r="E300" s="369"/>
      <c r="P300" s="140"/>
      <c r="Q300" s="140"/>
      <c r="R300" s="140"/>
      <c r="S300" s="140"/>
      <c r="T300" s="140"/>
      <c r="U300" s="140"/>
      <c r="BV300" s="177"/>
      <c r="BW300" s="177"/>
      <c r="BX300" s="267"/>
      <c r="BY300" s="267"/>
      <c r="BZ300" s="267"/>
      <c r="CA300" s="267"/>
      <c r="CB300" s="267"/>
      <c r="CC300" s="267"/>
      <c r="CD300" s="267"/>
      <c r="CE300" s="267"/>
      <c r="CF300" s="267"/>
      <c r="CG300" s="267"/>
      <c r="CH300" s="267"/>
      <c r="CI300" s="435"/>
      <c r="CJ300" s="436"/>
      <c r="CK300" s="437"/>
    </row>
    <row r="301" spans="5:89" x14ac:dyDescent="0.25">
      <c r="E301" s="369"/>
      <c r="P301" s="140"/>
      <c r="Q301" s="140"/>
      <c r="R301" s="140"/>
      <c r="S301" s="140"/>
      <c r="T301" s="140"/>
      <c r="U301" s="140"/>
      <c r="BV301" s="177"/>
      <c r="BW301" s="177"/>
      <c r="BX301" s="267"/>
      <c r="BY301" s="267"/>
      <c r="BZ301" s="267"/>
      <c r="CA301" s="267"/>
      <c r="CB301" s="267"/>
      <c r="CC301" s="267"/>
      <c r="CD301" s="267"/>
      <c r="CE301" s="267"/>
      <c r="CF301" s="267"/>
      <c r="CG301" s="267"/>
      <c r="CH301" s="267"/>
      <c r="CI301" s="435"/>
      <c r="CJ301" s="436"/>
      <c r="CK301" s="437"/>
    </row>
    <row r="302" spans="5:89" x14ac:dyDescent="0.25">
      <c r="E302" s="369"/>
      <c r="P302" s="140"/>
      <c r="Q302" s="140"/>
      <c r="R302" s="140"/>
      <c r="S302" s="140"/>
      <c r="T302" s="140"/>
      <c r="U302" s="140"/>
      <c r="BV302" s="177"/>
      <c r="BW302" s="177"/>
      <c r="BX302" s="267"/>
      <c r="BY302" s="267"/>
      <c r="BZ302" s="267"/>
      <c r="CA302" s="267"/>
      <c r="CB302" s="267"/>
      <c r="CC302" s="267"/>
      <c r="CD302" s="267"/>
      <c r="CE302" s="267"/>
      <c r="CF302" s="267"/>
      <c r="CG302" s="267"/>
      <c r="CH302" s="267"/>
      <c r="CI302" s="435"/>
      <c r="CJ302" s="436"/>
      <c r="CK302" s="437"/>
    </row>
    <row r="303" spans="5:89" x14ac:dyDescent="0.25">
      <c r="E303" s="369"/>
      <c r="P303" s="140"/>
      <c r="Q303" s="140"/>
      <c r="R303" s="140"/>
      <c r="S303" s="140"/>
      <c r="T303" s="140"/>
      <c r="U303" s="140"/>
      <c r="BV303" s="177"/>
      <c r="BW303" s="177"/>
      <c r="BX303" s="267"/>
      <c r="BY303" s="267"/>
      <c r="BZ303" s="267"/>
      <c r="CA303" s="267"/>
      <c r="CB303" s="267"/>
      <c r="CC303" s="267"/>
      <c r="CD303" s="267"/>
      <c r="CE303" s="267"/>
      <c r="CF303" s="267"/>
      <c r="CG303" s="267"/>
      <c r="CH303" s="267"/>
      <c r="CI303" s="435"/>
      <c r="CJ303" s="436"/>
      <c r="CK303" s="437"/>
    </row>
    <row r="304" spans="5:89" x14ac:dyDescent="0.25">
      <c r="E304" s="369"/>
      <c r="P304" s="140"/>
      <c r="Q304" s="140"/>
      <c r="R304" s="140"/>
      <c r="S304" s="140"/>
      <c r="T304" s="140"/>
      <c r="U304" s="140"/>
      <c r="BV304" s="177"/>
      <c r="BW304" s="177"/>
      <c r="BX304" s="267"/>
      <c r="BY304" s="267"/>
      <c r="BZ304" s="267"/>
      <c r="CA304" s="267"/>
      <c r="CB304" s="267"/>
      <c r="CC304" s="267"/>
      <c r="CD304" s="267"/>
      <c r="CE304" s="267"/>
      <c r="CF304" s="267"/>
      <c r="CG304" s="267"/>
      <c r="CH304" s="267"/>
      <c r="CI304" s="435"/>
      <c r="CJ304" s="436"/>
      <c r="CK304" s="437"/>
    </row>
    <row r="305" spans="5:89" x14ac:dyDescent="0.25">
      <c r="E305" s="369"/>
      <c r="P305" s="140"/>
      <c r="Q305" s="140"/>
      <c r="R305" s="140"/>
      <c r="S305" s="140"/>
      <c r="T305" s="140"/>
      <c r="U305" s="140"/>
      <c r="BV305" s="177"/>
      <c r="BW305" s="177"/>
      <c r="BX305" s="267"/>
      <c r="BY305" s="267"/>
      <c r="BZ305" s="267"/>
      <c r="CA305" s="267"/>
      <c r="CB305" s="267"/>
      <c r="CC305" s="267"/>
      <c r="CD305" s="267"/>
      <c r="CE305" s="267"/>
      <c r="CF305" s="267"/>
      <c r="CG305" s="267"/>
      <c r="CH305" s="267"/>
      <c r="CI305" s="435"/>
      <c r="CJ305" s="436"/>
      <c r="CK305" s="437"/>
    </row>
    <row r="306" spans="5:89" x14ac:dyDescent="0.25">
      <c r="E306" s="369"/>
      <c r="P306" s="140"/>
      <c r="Q306" s="140"/>
      <c r="R306" s="140"/>
      <c r="S306" s="140"/>
      <c r="T306" s="140"/>
      <c r="U306" s="140"/>
      <c r="BV306" s="177"/>
      <c r="BW306" s="177"/>
      <c r="BX306" s="267"/>
      <c r="BY306" s="267"/>
      <c r="BZ306" s="267"/>
      <c r="CA306" s="267"/>
      <c r="CB306" s="267"/>
      <c r="CC306" s="267"/>
      <c r="CD306" s="267"/>
      <c r="CE306" s="267"/>
      <c r="CF306" s="267"/>
      <c r="CG306" s="267"/>
      <c r="CH306" s="267"/>
      <c r="CI306" s="435"/>
      <c r="CJ306" s="436"/>
      <c r="CK306" s="437"/>
    </row>
    <row r="307" spans="5:89" x14ac:dyDescent="0.25">
      <c r="E307" s="369"/>
      <c r="P307" s="140"/>
      <c r="Q307" s="140"/>
      <c r="R307" s="140"/>
      <c r="S307" s="140"/>
      <c r="T307" s="140"/>
      <c r="U307" s="140"/>
      <c r="BV307" s="177"/>
      <c r="BW307" s="177"/>
      <c r="BX307" s="267"/>
      <c r="BY307" s="267"/>
      <c r="BZ307" s="267"/>
      <c r="CA307" s="267"/>
      <c r="CB307" s="267"/>
      <c r="CC307" s="267"/>
      <c r="CD307" s="267"/>
      <c r="CE307" s="267"/>
      <c r="CF307" s="267"/>
      <c r="CG307" s="267"/>
      <c r="CH307" s="267"/>
      <c r="CI307" s="435"/>
      <c r="CJ307" s="436"/>
      <c r="CK307" s="437"/>
    </row>
    <row r="308" spans="5:89" x14ac:dyDescent="0.25">
      <c r="E308" s="369"/>
      <c r="P308" s="140"/>
      <c r="Q308" s="140"/>
      <c r="R308" s="140"/>
      <c r="S308" s="140"/>
      <c r="T308" s="140"/>
      <c r="U308" s="140"/>
      <c r="BV308" s="177"/>
      <c r="BW308" s="177"/>
      <c r="BX308" s="267"/>
      <c r="BY308" s="267"/>
      <c r="BZ308" s="267"/>
      <c r="CA308" s="267"/>
      <c r="CB308" s="267"/>
      <c r="CC308" s="267"/>
      <c r="CD308" s="267"/>
      <c r="CE308" s="267"/>
      <c r="CF308" s="267"/>
      <c r="CG308" s="267"/>
      <c r="CH308" s="267"/>
      <c r="CI308" s="435"/>
      <c r="CJ308" s="436"/>
      <c r="CK308" s="437"/>
    </row>
    <row r="309" spans="5:89" x14ac:dyDescent="0.25">
      <c r="E309" s="369"/>
      <c r="P309" s="140"/>
      <c r="Q309" s="140"/>
      <c r="R309" s="140"/>
      <c r="S309" s="140"/>
      <c r="T309" s="140"/>
      <c r="U309" s="140"/>
      <c r="BV309" s="177"/>
      <c r="BW309" s="177"/>
      <c r="BX309" s="267"/>
      <c r="BY309" s="267"/>
      <c r="BZ309" s="267"/>
      <c r="CA309" s="267"/>
      <c r="CB309" s="267"/>
      <c r="CC309" s="267"/>
      <c r="CD309" s="267"/>
      <c r="CE309" s="267"/>
      <c r="CF309" s="267"/>
      <c r="CG309" s="267"/>
      <c r="CH309" s="267"/>
      <c r="CI309" s="435"/>
      <c r="CJ309" s="436"/>
      <c r="CK309" s="437"/>
    </row>
    <row r="310" spans="5:89" x14ac:dyDescent="0.25">
      <c r="E310" s="369"/>
      <c r="P310" s="140"/>
      <c r="Q310" s="140"/>
      <c r="R310" s="140"/>
      <c r="S310" s="140"/>
      <c r="T310" s="140"/>
      <c r="U310" s="140"/>
      <c r="BV310" s="177"/>
      <c r="BW310" s="177"/>
      <c r="BX310" s="267"/>
      <c r="BY310" s="267"/>
      <c r="BZ310" s="267"/>
      <c r="CA310" s="267"/>
      <c r="CB310" s="267"/>
      <c r="CC310" s="267"/>
      <c r="CD310" s="267"/>
      <c r="CE310" s="267"/>
      <c r="CF310" s="267"/>
      <c r="CG310" s="267"/>
      <c r="CH310" s="267"/>
      <c r="CI310" s="435"/>
      <c r="CJ310" s="436"/>
      <c r="CK310" s="437"/>
    </row>
    <row r="311" spans="5:89" x14ac:dyDescent="0.25">
      <c r="E311" s="369"/>
      <c r="P311" s="140"/>
      <c r="Q311" s="140"/>
      <c r="R311" s="140"/>
      <c r="S311" s="140"/>
      <c r="T311" s="140"/>
      <c r="U311" s="140"/>
      <c r="BV311" s="177"/>
      <c r="BW311" s="177"/>
      <c r="BX311" s="267"/>
      <c r="BY311" s="267"/>
      <c r="BZ311" s="267"/>
      <c r="CA311" s="267"/>
      <c r="CB311" s="267"/>
      <c r="CC311" s="267"/>
      <c r="CD311" s="267"/>
      <c r="CE311" s="267"/>
      <c r="CF311" s="267"/>
      <c r="CG311" s="267"/>
      <c r="CH311" s="267"/>
      <c r="CI311" s="435"/>
      <c r="CJ311" s="436"/>
      <c r="CK311" s="437"/>
    </row>
    <row r="312" spans="5:89" x14ac:dyDescent="0.25">
      <c r="E312" s="369"/>
      <c r="P312" s="140"/>
      <c r="Q312" s="140"/>
      <c r="R312" s="140"/>
      <c r="S312" s="140"/>
      <c r="T312" s="140"/>
      <c r="U312" s="140"/>
      <c r="BV312" s="177"/>
      <c r="BW312" s="177"/>
      <c r="BX312" s="267"/>
      <c r="BY312" s="267"/>
      <c r="BZ312" s="267"/>
      <c r="CA312" s="267"/>
      <c r="CB312" s="267"/>
      <c r="CC312" s="267"/>
      <c r="CD312" s="267"/>
      <c r="CE312" s="267"/>
      <c r="CF312" s="267"/>
      <c r="CG312" s="267"/>
      <c r="CH312" s="267"/>
      <c r="CI312" s="435"/>
      <c r="CJ312" s="436"/>
      <c r="CK312" s="437"/>
    </row>
    <row r="313" spans="5:89" x14ac:dyDescent="0.25">
      <c r="E313" s="369"/>
      <c r="P313" s="140"/>
      <c r="Q313" s="140"/>
      <c r="R313" s="140"/>
      <c r="S313" s="140"/>
      <c r="T313" s="140"/>
      <c r="U313" s="140"/>
      <c r="BV313" s="177"/>
      <c r="BW313" s="177"/>
      <c r="BX313" s="267"/>
      <c r="BY313" s="267"/>
      <c r="BZ313" s="267"/>
      <c r="CA313" s="267"/>
      <c r="CB313" s="267"/>
      <c r="CC313" s="267"/>
      <c r="CD313" s="267"/>
      <c r="CE313" s="267"/>
      <c r="CF313" s="267"/>
      <c r="CG313" s="267"/>
      <c r="CH313" s="267"/>
      <c r="CI313" s="435"/>
      <c r="CJ313" s="436"/>
      <c r="CK313" s="437"/>
    </row>
    <row r="314" spans="5:89" x14ac:dyDescent="0.25">
      <c r="E314" s="369"/>
      <c r="P314" s="140"/>
      <c r="Q314" s="140"/>
      <c r="R314" s="140"/>
      <c r="S314" s="140"/>
      <c r="T314" s="140"/>
      <c r="U314" s="140"/>
      <c r="BV314" s="177"/>
      <c r="BW314" s="177"/>
      <c r="BX314" s="267"/>
      <c r="BY314" s="267"/>
      <c r="BZ314" s="267"/>
      <c r="CA314" s="267"/>
      <c r="CB314" s="267"/>
      <c r="CC314" s="267"/>
      <c r="CD314" s="267"/>
      <c r="CE314" s="267"/>
      <c r="CF314" s="267"/>
      <c r="CG314" s="267"/>
      <c r="CH314" s="267"/>
      <c r="CI314" s="435"/>
      <c r="CJ314" s="436"/>
      <c r="CK314" s="437"/>
    </row>
    <row r="315" spans="5:89" x14ac:dyDescent="0.25">
      <c r="E315" s="369"/>
      <c r="P315" s="140"/>
      <c r="Q315" s="140"/>
      <c r="R315" s="140"/>
      <c r="S315" s="140"/>
      <c r="T315" s="140"/>
      <c r="U315" s="140"/>
      <c r="BV315" s="177"/>
      <c r="BW315" s="177"/>
      <c r="BX315" s="267"/>
      <c r="BY315" s="267"/>
      <c r="BZ315" s="267"/>
      <c r="CA315" s="267"/>
      <c r="CB315" s="267"/>
      <c r="CC315" s="267"/>
      <c r="CD315" s="267"/>
      <c r="CE315" s="267"/>
      <c r="CF315" s="267"/>
      <c r="CG315" s="267"/>
      <c r="CH315" s="267"/>
      <c r="CI315" s="435"/>
      <c r="CJ315" s="436"/>
      <c r="CK315" s="437"/>
    </row>
    <row r="316" spans="5:89" x14ac:dyDescent="0.25">
      <c r="E316" s="369"/>
      <c r="P316" s="140"/>
      <c r="Q316" s="140"/>
      <c r="R316" s="140"/>
      <c r="S316" s="140"/>
      <c r="T316" s="140"/>
      <c r="U316" s="140"/>
      <c r="BV316" s="177"/>
      <c r="BW316" s="177"/>
      <c r="BX316" s="267"/>
      <c r="BY316" s="267"/>
      <c r="BZ316" s="267"/>
      <c r="CA316" s="267"/>
      <c r="CB316" s="267"/>
      <c r="CC316" s="267"/>
      <c r="CD316" s="267"/>
      <c r="CE316" s="267"/>
      <c r="CF316" s="267"/>
      <c r="CG316" s="267"/>
      <c r="CH316" s="267"/>
      <c r="CI316" s="435"/>
      <c r="CJ316" s="436"/>
      <c r="CK316" s="437"/>
    </row>
    <row r="317" spans="5:89" x14ac:dyDescent="0.25">
      <c r="E317" s="369"/>
      <c r="P317" s="140"/>
      <c r="Q317" s="140"/>
      <c r="R317" s="140"/>
      <c r="S317" s="140"/>
      <c r="T317" s="140"/>
      <c r="U317" s="140"/>
      <c r="BV317" s="177"/>
      <c r="BW317" s="177"/>
      <c r="BX317" s="267"/>
      <c r="BY317" s="267"/>
      <c r="BZ317" s="267"/>
      <c r="CA317" s="267"/>
      <c r="CB317" s="267"/>
      <c r="CC317" s="267"/>
      <c r="CD317" s="267"/>
      <c r="CE317" s="267"/>
      <c r="CF317" s="267"/>
      <c r="CG317" s="267"/>
      <c r="CH317" s="267"/>
      <c r="CI317" s="435"/>
      <c r="CJ317" s="436"/>
      <c r="CK317" s="437"/>
    </row>
    <row r="318" spans="5:89" x14ac:dyDescent="0.25">
      <c r="E318" s="369"/>
      <c r="P318" s="140"/>
      <c r="Q318" s="140"/>
      <c r="R318" s="140"/>
      <c r="S318" s="140"/>
      <c r="T318" s="140"/>
      <c r="U318" s="140"/>
      <c r="BV318" s="177"/>
      <c r="BW318" s="177"/>
      <c r="BX318" s="267"/>
      <c r="BY318" s="267"/>
      <c r="BZ318" s="267"/>
      <c r="CA318" s="267"/>
      <c r="CB318" s="267"/>
      <c r="CC318" s="267"/>
      <c r="CD318" s="267"/>
      <c r="CE318" s="267"/>
      <c r="CF318" s="267"/>
      <c r="CG318" s="267"/>
      <c r="CH318" s="267"/>
      <c r="CI318" s="435"/>
      <c r="CJ318" s="436"/>
      <c r="CK318" s="437"/>
    </row>
    <row r="319" spans="5:89" x14ac:dyDescent="0.25">
      <c r="E319" s="369"/>
      <c r="P319" s="140"/>
      <c r="Q319" s="140"/>
      <c r="R319" s="140"/>
      <c r="S319" s="140"/>
      <c r="T319" s="140"/>
      <c r="U319" s="140"/>
      <c r="BV319" s="177"/>
      <c r="BW319" s="177"/>
      <c r="BX319" s="267"/>
      <c r="BY319" s="267"/>
      <c r="BZ319" s="267"/>
      <c r="CA319" s="267"/>
      <c r="CB319" s="267"/>
      <c r="CC319" s="267"/>
      <c r="CD319" s="267"/>
      <c r="CE319" s="267"/>
      <c r="CF319" s="267"/>
      <c r="CG319" s="267"/>
      <c r="CH319" s="267"/>
      <c r="CI319" s="435"/>
      <c r="CJ319" s="436"/>
      <c r="CK319" s="437"/>
    </row>
    <row r="320" spans="5:89" x14ac:dyDescent="0.25">
      <c r="E320" s="369"/>
      <c r="P320" s="140"/>
      <c r="Q320" s="140"/>
      <c r="R320" s="140"/>
      <c r="S320" s="140"/>
      <c r="T320" s="140"/>
      <c r="U320" s="140"/>
      <c r="BV320" s="177"/>
      <c r="BW320" s="177"/>
      <c r="BX320" s="267"/>
      <c r="BY320" s="267"/>
      <c r="BZ320" s="267"/>
      <c r="CA320" s="267"/>
      <c r="CB320" s="267"/>
      <c r="CC320" s="267"/>
      <c r="CD320" s="267"/>
      <c r="CE320" s="267"/>
      <c r="CF320" s="267"/>
      <c r="CG320" s="267"/>
      <c r="CH320" s="267"/>
      <c r="CI320" s="435"/>
      <c r="CJ320" s="436"/>
      <c r="CK320" s="437"/>
    </row>
    <row r="321" spans="5:89" x14ac:dyDescent="0.25">
      <c r="E321" s="369"/>
      <c r="P321" s="140"/>
      <c r="Q321" s="140"/>
      <c r="R321" s="140"/>
      <c r="S321" s="140"/>
      <c r="T321" s="140"/>
      <c r="U321" s="140"/>
      <c r="BV321" s="177"/>
      <c r="BW321" s="177"/>
      <c r="BX321" s="267"/>
      <c r="BY321" s="267"/>
      <c r="BZ321" s="267"/>
      <c r="CA321" s="267"/>
      <c r="CB321" s="267"/>
      <c r="CC321" s="267"/>
      <c r="CD321" s="267"/>
      <c r="CE321" s="267"/>
      <c r="CF321" s="267"/>
      <c r="CG321" s="267"/>
      <c r="CH321" s="267"/>
      <c r="CI321" s="435"/>
      <c r="CJ321" s="436"/>
      <c r="CK321" s="437"/>
    </row>
    <row r="322" spans="5:89" x14ac:dyDescent="0.25">
      <c r="E322" s="369"/>
      <c r="P322" s="140"/>
      <c r="Q322" s="140"/>
      <c r="R322" s="140"/>
      <c r="S322" s="140"/>
      <c r="T322" s="140"/>
      <c r="U322" s="140"/>
      <c r="BV322" s="177"/>
      <c r="BW322" s="177"/>
      <c r="BX322" s="267"/>
      <c r="BY322" s="267"/>
      <c r="BZ322" s="267"/>
      <c r="CA322" s="267"/>
      <c r="CB322" s="267"/>
      <c r="CC322" s="267"/>
      <c r="CD322" s="267"/>
      <c r="CE322" s="267"/>
      <c r="CF322" s="267"/>
      <c r="CG322" s="267"/>
      <c r="CH322" s="267"/>
      <c r="CI322" s="435"/>
      <c r="CJ322" s="436"/>
      <c r="CK322" s="437"/>
    </row>
    <row r="323" spans="5:89" x14ac:dyDescent="0.25">
      <c r="E323" s="369"/>
      <c r="P323" s="140"/>
      <c r="Q323" s="140"/>
      <c r="R323" s="140"/>
      <c r="S323" s="140"/>
      <c r="T323" s="140"/>
      <c r="U323" s="140"/>
      <c r="BV323" s="177"/>
      <c r="BW323" s="177"/>
      <c r="BX323" s="267"/>
      <c r="BY323" s="267"/>
      <c r="BZ323" s="267"/>
      <c r="CA323" s="267"/>
      <c r="CB323" s="267"/>
      <c r="CC323" s="267"/>
      <c r="CD323" s="267"/>
      <c r="CE323" s="267"/>
      <c r="CF323" s="267"/>
      <c r="CG323" s="267"/>
      <c r="CH323" s="267"/>
      <c r="CI323" s="435"/>
      <c r="CJ323" s="436"/>
      <c r="CK323" s="437"/>
    </row>
    <row r="324" spans="5:89" x14ac:dyDescent="0.25">
      <c r="E324" s="369"/>
      <c r="P324" s="140"/>
      <c r="Q324" s="140"/>
      <c r="R324" s="140"/>
      <c r="S324" s="140"/>
      <c r="T324" s="140"/>
      <c r="U324" s="140"/>
      <c r="BV324" s="177"/>
      <c r="BW324" s="177"/>
      <c r="BX324" s="267"/>
      <c r="BY324" s="267"/>
      <c r="BZ324" s="267"/>
      <c r="CA324" s="267"/>
      <c r="CB324" s="267"/>
      <c r="CC324" s="267"/>
      <c r="CD324" s="267"/>
      <c r="CE324" s="267"/>
      <c r="CF324" s="267"/>
      <c r="CG324" s="267"/>
      <c r="CH324" s="267"/>
      <c r="CI324" s="435"/>
      <c r="CJ324" s="436"/>
      <c r="CK324" s="437"/>
    </row>
    <row r="325" spans="5:89" x14ac:dyDescent="0.25">
      <c r="E325" s="369"/>
      <c r="P325" s="140"/>
      <c r="Q325" s="140"/>
      <c r="R325" s="140"/>
      <c r="S325" s="140"/>
      <c r="T325" s="140"/>
      <c r="U325" s="140"/>
      <c r="BV325" s="177"/>
      <c r="BW325" s="177"/>
      <c r="BX325" s="267"/>
      <c r="BY325" s="267"/>
      <c r="BZ325" s="267"/>
      <c r="CA325" s="267"/>
      <c r="CB325" s="267"/>
      <c r="CC325" s="267"/>
      <c r="CD325" s="267"/>
      <c r="CE325" s="267"/>
      <c r="CF325" s="267"/>
      <c r="CG325" s="267"/>
      <c r="CH325" s="267"/>
      <c r="CI325" s="435"/>
      <c r="CJ325" s="436"/>
      <c r="CK325" s="437"/>
    </row>
    <row r="326" spans="5:89" x14ac:dyDescent="0.25">
      <c r="E326" s="369"/>
      <c r="P326" s="140"/>
      <c r="Q326" s="140"/>
      <c r="R326" s="140"/>
      <c r="S326" s="140"/>
      <c r="T326" s="140"/>
      <c r="U326" s="140"/>
      <c r="BV326" s="177"/>
      <c r="BW326" s="177"/>
      <c r="BX326" s="267"/>
      <c r="BY326" s="267"/>
      <c r="BZ326" s="267"/>
      <c r="CA326" s="267"/>
      <c r="CB326" s="267"/>
      <c r="CC326" s="267"/>
      <c r="CD326" s="267"/>
      <c r="CE326" s="267"/>
      <c r="CF326" s="267"/>
      <c r="CG326" s="267"/>
      <c r="CH326" s="267"/>
      <c r="CI326" s="435"/>
      <c r="CJ326" s="436"/>
      <c r="CK326" s="437"/>
    </row>
    <row r="327" spans="5:89" x14ac:dyDescent="0.25">
      <c r="E327" s="369"/>
      <c r="P327" s="140"/>
      <c r="Q327" s="140"/>
      <c r="R327" s="140"/>
      <c r="S327" s="140"/>
      <c r="T327" s="140"/>
      <c r="U327" s="140"/>
      <c r="BV327" s="177"/>
      <c r="BW327" s="177"/>
      <c r="BX327" s="267"/>
      <c r="BY327" s="267"/>
      <c r="BZ327" s="267"/>
      <c r="CA327" s="267"/>
      <c r="CB327" s="267"/>
      <c r="CC327" s="267"/>
      <c r="CD327" s="267"/>
      <c r="CE327" s="267"/>
      <c r="CF327" s="267"/>
      <c r="CG327" s="267"/>
      <c r="CH327" s="267"/>
      <c r="CI327" s="435"/>
      <c r="CJ327" s="436"/>
      <c r="CK327" s="437"/>
    </row>
    <row r="328" spans="5:89" x14ac:dyDescent="0.25">
      <c r="E328" s="369"/>
      <c r="P328" s="140"/>
      <c r="Q328" s="140"/>
      <c r="R328" s="140"/>
      <c r="S328" s="140"/>
      <c r="T328" s="140"/>
      <c r="U328" s="140"/>
      <c r="BV328" s="177"/>
      <c r="BW328" s="177"/>
      <c r="BX328" s="267"/>
      <c r="BY328" s="267"/>
      <c r="BZ328" s="267"/>
      <c r="CA328" s="267"/>
      <c r="CB328" s="267"/>
      <c r="CC328" s="267"/>
      <c r="CD328" s="267"/>
      <c r="CE328" s="267"/>
      <c r="CF328" s="267"/>
      <c r="CG328" s="267"/>
      <c r="CH328" s="267"/>
      <c r="CI328" s="435"/>
      <c r="CJ328" s="436"/>
      <c r="CK328" s="437"/>
    </row>
    <row r="329" spans="5:89" x14ac:dyDescent="0.25">
      <c r="E329" s="369"/>
      <c r="P329" s="140"/>
      <c r="Q329" s="140"/>
      <c r="R329" s="140"/>
      <c r="S329" s="140"/>
      <c r="T329" s="140"/>
      <c r="U329" s="140"/>
      <c r="BV329" s="177"/>
      <c r="BW329" s="177"/>
      <c r="BX329" s="267"/>
      <c r="BY329" s="267"/>
      <c r="BZ329" s="267"/>
      <c r="CA329" s="267"/>
      <c r="CB329" s="267"/>
      <c r="CC329" s="267"/>
      <c r="CD329" s="267"/>
      <c r="CE329" s="267"/>
      <c r="CF329" s="267"/>
      <c r="CG329" s="267"/>
      <c r="CH329" s="267"/>
      <c r="CI329" s="435"/>
      <c r="CJ329" s="436"/>
      <c r="CK329" s="437"/>
    </row>
    <row r="330" spans="5:89" x14ac:dyDescent="0.25">
      <c r="E330" s="369"/>
      <c r="P330" s="140"/>
      <c r="Q330" s="140"/>
      <c r="R330" s="140"/>
      <c r="S330" s="140"/>
      <c r="T330" s="140"/>
      <c r="U330" s="140"/>
      <c r="BV330" s="177"/>
      <c r="BW330" s="177"/>
      <c r="BX330" s="267"/>
      <c r="BY330" s="267"/>
      <c r="BZ330" s="267"/>
      <c r="CA330" s="267"/>
      <c r="CB330" s="267"/>
      <c r="CC330" s="267"/>
      <c r="CD330" s="267"/>
      <c r="CE330" s="267"/>
      <c r="CF330" s="267"/>
      <c r="CG330" s="267"/>
      <c r="CH330" s="267"/>
      <c r="CI330" s="435"/>
      <c r="CJ330" s="436"/>
      <c r="CK330" s="437"/>
    </row>
    <row r="331" spans="5:89" x14ac:dyDescent="0.25">
      <c r="E331" s="369"/>
      <c r="P331" s="140"/>
      <c r="Q331" s="140"/>
      <c r="R331" s="140"/>
      <c r="S331" s="140"/>
      <c r="T331" s="140"/>
      <c r="U331" s="140"/>
      <c r="BV331" s="177"/>
      <c r="BW331" s="177"/>
      <c r="BX331" s="267"/>
      <c r="BY331" s="267"/>
      <c r="BZ331" s="267"/>
      <c r="CA331" s="267"/>
      <c r="CB331" s="267"/>
      <c r="CC331" s="267"/>
      <c r="CD331" s="267"/>
      <c r="CE331" s="267"/>
      <c r="CF331" s="267"/>
      <c r="CG331" s="267"/>
      <c r="CH331" s="267"/>
      <c r="CI331" s="435"/>
      <c r="CJ331" s="436"/>
      <c r="CK331" s="437"/>
    </row>
    <row r="332" spans="5:89" x14ac:dyDescent="0.25">
      <c r="E332" s="369"/>
      <c r="P332" s="140"/>
      <c r="Q332" s="140"/>
      <c r="R332" s="140"/>
      <c r="S332" s="140"/>
      <c r="T332" s="140"/>
      <c r="U332" s="140"/>
      <c r="BV332" s="177"/>
      <c r="BW332" s="177"/>
      <c r="BX332" s="267"/>
      <c r="BY332" s="267"/>
      <c r="BZ332" s="267"/>
      <c r="CA332" s="267"/>
      <c r="CB332" s="267"/>
      <c r="CC332" s="267"/>
      <c r="CD332" s="267"/>
      <c r="CE332" s="267"/>
      <c r="CF332" s="267"/>
      <c r="CG332" s="267"/>
      <c r="CH332" s="267"/>
      <c r="CI332" s="435"/>
      <c r="CJ332" s="436"/>
      <c r="CK332" s="437"/>
    </row>
    <row r="333" spans="5:89" x14ac:dyDescent="0.25">
      <c r="E333" s="369"/>
      <c r="P333" s="140"/>
      <c r="Q333" s="140"/>
      <c r="R333" s="140"/>
      <c r="S333" s="140"/>
      <c r="T333" s="140"/>
      <c r="U333" s="140"/>
      <c r="BV333" s="177"/>
      <c r="BW333" s="177"/>
      <c r="BX333" s="267"/>
      <c r="BY333" s="267"/>
      <c r="BZ333" s="267"/>
      <c r="CA333" s="267"/>
      <c r="CB333" s="267"/>
      <c r="CC333" s="267"/>
      <c r="CD333" s="267"/>
      <c r="CE333" s="267"/>
      <c r="CF333" s="267"/>
      <c r="CG333" s="267"/>
      <c r="CH333" s="267"/>
      <c r="CI333" s="435"/>
      <c r="CJ333" s="436"/>
      <c r="CK333" s="437"/>
    </row>
    <row r="334" spans="5:89" x14ac:dyDescent="0.25">
      <c r="E334" s="369"/>
      <c r="P334" s="140"/>
      <c r="Q334" s="140"/>
      <c r="R334" s="140"/>
      <c r="S334" s="140"/>
      <c r="T334" s="140"/>
      <c r="U334" s="140"/>
      <c r="BV334" s="177"/>
      <c r="BW334" s="177"/>
      <c r="BX334" s="267"/>
      <c r="BY334" s="267"/>
      <c r="BZ334" s="267"/>
      <c r="CA334" s="267"/>
      <c r="CB334" s="267"/>
      <c r="CC334" s="267"/>
      <c r="CD334" s="267"/>
      <c r="CE334" s="267"/>
      <c r="CF334" s="267"/>
      <c r="CG334" s="267"/>
      <c r="CH334" s="267"/>
      <c r="CI334" s="435"/>
      <c r="CJ334" s="436"/>
      <c r="CK334" s="437"/>
    </row>
    <row r="335" spans="5:89" x14ac:dyDescent="0.25">
      <c r="E335" s="369"/>
      <c r="P335" s="140"/>
      <c r="Q335" s="140"/>
      <c r="R335" s="140"/>
      <c r="S335" s="140"/>
      <c r="T335" s="140"/>
      <c r="U335" s="140"/>
      <c r="BV335" s="177"/>
      <c r="BW335" s="177"/>
      <c r="BX335" s="267"/>
      <c r="BY335" s="267"/>
      <c r="BZ335" s="267"/>
      <c r="CA335" s="267"/>
      <c r="CB335" s="267"/>
      <c r="CC335" s="267"/>
      <c r="CD335" s="267"/>
      <c r="CE335" s="267"/>
      <c r="CF335" s="267"/>
      <c r="CG335" s="267"/>
      <c r="CH335" s="267"/>
      <c r="CI335" s="435"/>
      <c r="CJ335" s="436"/>
      <c r="CK335" s="437"/>
    </row>
    <row r="336" spans="5:89" x14ac:dyDescent="0.25">
      <c r="E336" s="369"/>
      <c r="P336" s="140"/>
      <c r="Q336" s="140"/>
      <c r="R336" s="140"/>
      <c r="S336" s="140"/>
      <c r="T336" s="140"/>
      <c r="U336" s="140"/>
      <c r="BV336" s="177"/>
      <c r="BW336" s="177"/>
      <c r="BX336" s="267"/>
      <c r="BY336" s="267"/>
      <c r="BZ336" s="267"/>
      <c r="CA336" s="267"/>
      <c r="CB336" s="267"/>
      <c r="CC336" s="267"/>
      <c r="CD336" s="267"/>
      <c r="CE336" s="267"/>
      <c r="CF336" s="267"/>
      <c r="CG336" s="267"/>
      <c r="CH336" s="267"/>
      <c r="CI336" s="435"/>
      <c r="CJ336" s="436"/>
      <c r="CK336" s="437"/>
    </row>
    <row r="337" spans="5:89" x14ac:dyDescent="0.25">
      <c r="E337" s="369"/>
      <c r="P337" s="140"/>
      <c r="Q337" s="140"/>
      <c r="R337" s="140"/>
      <c r="S337" s="140"/>
      <c r="T337" s="140"/>
      <c r="U337" s="140"/>
      <c r="BV337" s="177"/>
      <c r="BW337" s="177"/>
      <c r="BX337" s="267"/>
      <c r="BY337" s="267"/>
      <c r="BZ337" s="267"/>
      <c r="CA337" s="267"/>
      <c r="CB337" s="267"/>
      <c r="CC337" s="267"/>
      <c r="CD337" s="267"/>
      <c r="CE337" s="267"/>
      <c r="CF337" s="267"/>
      <c r="CG337" s="267"/>
      <c r="CH337" s="267"/>
      <c r="CI337" s="435"/>
      <c r="CJ337" s="436"/>
      <c r="CK337" s="437"/>
    </row>
    <row r="338" spans="5:89" x14ac:dyDescent="0.25">
      <c r="E338" s="369"/>
      <c r="P338" s="140"/>
      <c r="Q338" s="140"/>
      <c r="R338" s="140"/>
      <c r="S338" s="140"/>
      <c r="T338" s="140"/>
      <c r="U338" s="140"/>
      <c r="BV338" s="177"/>
      <c r="BW338" s="177"/>
      <c r="BX338" s="267"/>
      <c r="BY338" s="267"/>
      <c r="BZ338" s="267"/>
      <c r="CA338" s="267"/>
      <c r="CB338" s="267"/>
      <c r="CC338" s="267"/>
      <c r="CD338" s="267"/>
      <c r="CE338" s="267"/>
      <c r="CF338" s="267"/>
      <c r="CG338" s="267"/>
      <c r="CH338" s="267"/>
      <c r="CI338" s="435"/>
      <c r="CJ338" s="436"/>
      <c r="CK338" s="437"/>
    </row>
    <row r="339" spans="5:89" x14ac:dyDescent="0.25">
      <c r="E339" s="369"/>
      <c r="P339" s="140"/>
      <c r="Q339" s="140"/>
      <c r="R339" s="140"/>
      <c r="S339" s="140"/>
      <c r="T339" s="140"/>
      <c r="U339" s="140"/>
      <c r="BV339" s="177"/>
      <c r="BW339" s="177"/>
      <c r="BX339" s="267"/>
      <c r="BY339" s="267"/>
      <c r="BZ339" s="267"/>
      <c r="CA339" s="267"/>
      <c r="CB339" s="267"/>
      <c r="CC339" s="267"/>
      <c r="CD339" s="267"/>
      <c r="CE339" s="267"/>
      <c r="CF339" s="267"/>
      <c r="CG339" s="267"/>
      <c r="CH339" s="267"/>
      <c r="CI339" s="435"/>
      <c r="CJ339" s="436"/>
      <c r="CK339" s="437"/>
    </row>
    <row r="340" spans="5:89" x14ac:dyDescent="0.25">
      <c r="E340" s="369"/>
      <c r="P340" s="140"/>
      <c r="Q340" s="140"/>
      <c r="R340" s="140"/>
      <c r="S340" s="140"/>
      <c r="T340" s="140"/>
      <c r="U340" s="140"/>
      <c r="BV340" s="177"/>
      <c r="BW340" s="177"/>
      <c r="BX340" s="267"/>
      <c r="BY340" s="267"/>
      <c r="BZ340" s="267"/>
      <c r="CA340" s="267"/>
      <c r="CB340" s="267"/>
      <c r="CC340" s="267"/>
      <c r="CD340" s="267"/>
      <c r="CE340" s="267"/>
      <c r="CF340" s="267"/>
      <c r="CG340" s="267"/>
      <c r="CH340" s="267"/>
      <c r="CI340" s="435"/>
      <c r="CJ340" s="436"/>
      <c r="CK340" s="437"/>
    </row>
    <row r="341" spans="5:89" x14ac:dyDescent="0.25">
      <c r="E341" s="369"/>
      <c r="P341" s="140"/>
      <c r="Q341" s="140"/>
      <c r="R341" s="140"/>
      <c r="S341" s="140"/>
      <c r="T341" s="140"/>
      <c r="U341" s="140"/>
      <c r="BV341" s="177"/>
      <c r="BW341" s="177"/>
      <c r="BX341" s="267"/>
      <c r="BY341" s="267"/>
      <c r="BZ341" s="267"/>
      <c r="CA341" s="267"/>
      <c r="CB341" s="267"/>
      <c r="CC341" s="267"/>
      <c r="CD341" s="267"/>
      <c r="CE341" s="267"/>
      <c r="CF341" s="267"/>
      <c r="CG341" s="267"/>
      <c r="CH341" s="267"/>
      <c r="CI341" s="435"/>
      <c r="CJ341" s="436"/>
      <c r="CK341" s="437"/>
    </row>
    <row r="342" spans="5:89" x14ac:dyDescent="0.25">
      <c r="E342" s="204"/>
      <c r="P342" s="140"/>
      <c r="Q342" s="140"/>
      <c r="R342" s="140"/>
      <c r="S342" s="140"/>
      <c r="T342" s="140"/>
      <c r="U342" s="140"/>
      <c r="BV342" s="177"/>
      <c r="BW342" s="177"/>
      <c r="BX342" s="267"/>
      <c r="BY342" s="267"/>
      <c r="BZ342" s="267"/>
      <c r="CA342" s="267"/>
      <c r="CB342" s="267"/>
      <c r="CC342" s="267"/>
      <c r="CD342" s="267"/>
      <c r="CE342" s="267"/>
      <c r="CF342" s="267"/>
      <c r="CG342" s="267"/>
      <c r="CH342" s="267"/>
      <c r="CI342" s="435"/>
      <c r="CJ342" s="436"/>
      <c r="CK342" s="437"/>
    </row>
    <row r="343" spans="5:89" x14ac:dyDescent="0.25">
      <c r="P343" s="140"/>
      <c r="Q343" s="140"/>
      <c r="R343" s="140"/>
      <c r="S343" s="140"/>
      <c r="T343" s="140"/>
      <c r="U343" s="140"/>
      <c r="BV343" s="177"/>
      <c r="BW343" s="177"/>
      <c r="BX343" s="267"/>
      <c r="BY343" s="267"/>
      <c r="BZ343" s="267"/>
      <c r="CA343" s="267"/>
      <c r="CB343" s="267"/>
      <c r="CC343" s="267"/>
      <c r="CD343" s="267"/>
      <c r="CE343" s="267"/>
      <c r="CF343" s="267"/>
      <c r="CG343" s="267"/>
      <c r="CH343" s="267"/>
      <c r="CI343" s="435"/>
      <c r="CJ343" s="436"/>
      <c r="CK343" s="437"/>
    </row>
    <row r="344" spans="5:89" x14ac:dyDescent="0.25">
      <c r="P344" s="140"/>
      <c r="Q344" s="140"/>
      <c r="R344" s="140"/>
      <c r="S344" s="140"/>
      <c r="T344" s="140"/>
      <c r="U344" s="140"/>
      <c r="BV344" s="177"/>
      <c r="BW344" s="177"/>
      <c r="BX344" s="267"/>
      <c r="BY344" s="267"/>
      <c r="BZ344" s="267"/>
      <c r="CA344" s="267"/>
      <c r="CB344" s="267"/>
      <c r="CC344" s="267"/>
      <c r="CD344" s="267"/>
      <c r="CE344" s="267"/>
      <c r="CF344" s="267"/>
      <c r="CG344" s="267"/>
      <c r="CH344" s="267"/>
      <c r="CI344" s="435"/>
      <c r="CJ344" s="436"/>
      <c r="CK344" s="437"/>
    </row>
    <row r="345" spans="5:89" x14ac:dyDescent="0.25">
      <c r="P345" s="140"/>
      <c r="Q345" s="140"/>
      <c r="R345" s="140"/>
      <c r="S345" s="140"/>
      <c r="T345" s="140"/>
      <c r="U345" s="140"/>
      <c r="BV345" s="177"/>
      <c r="BW345" s="177"/>
      <c r="BX345" s="267"/>
      <c r="BY345" s="267"/>
      <c r="BZ345" s="267"/>
      <c r="CA345" s="267"/>
      <c r="CB345" s="267"/>
      <c r="CC345" s="267"/>
      <c r="CD345" s="267"/>
      <c r="CE345" s="267"/>
      <c r="CF345" s="267"/>
      <c r="CG345" s="267"/>
      <c r="CH345" s="267"/>
      <c r="CI345" s="435"/>
      <c r="CJ345" s="436"/>
      <c r="CK345" s="437"/>
    </row>
    <row r="346" spans="5:89" x14ac:dyDescent="0.25">
      <c r="P346" s="140"/>
      <c r="Q346" s="140"/>
      <c r="R346" s="140"/>
      <c r="S346" s="140"/>
      <c r="T346" s="140"/>
      <c r="U346" s="140"/>
      <c r="BV346" s="177"/>
      <c r="BW346" s="177"/>
      <c r="BX346" s="267"/>
      <c r="BY346" s="267"/>
      <c r="BZ346" s="267"/>
      <c r="CA346" s="267"/>
      <c r="CB346" s="267"/>
      <c r="CC346" s="267"/>
      <c r="CD346" s="267"/>
      <c r="CE346" s="267"/>
      <c r="CF346" s="267"/>
      <c r="CG346" s="267"/>
      <c r="CH346" s="267"/>
      <c r="CI346" s="435"/>
      <c r="CJ346" s="436"/>
      <c r="CK346" s="437"/>
    </row>
    <row r="347" spans="5:89" x14ac:dyDescent="0.25">
      <c r="P347" s="140"/>
      <c r="Q347" s="140"/>
      <c r="R347" s="140"/>
      <c r="S347" s="140"/>
      <c r="T347" s="140"/>
      <c r="U347" s="140"/>
      <c r="BV347" s="177"/>
      <c r="BW347" s="177"/>
      <c r="BX347" s="267"/>
      <c r="BY347" s="267"/>
      <c r="BZ347" s="267"/>
      <c r="CA347" s="267"/>
      <c r="CB347" s="267"/>
      <c r="CC347" s="267"/>
      <c r="CD347" s="267"/>
      <c r="CE347" s="267"/>
      <c r="CF347" s="267"/>
      <c r="CG347" s="267"/>
      <c r="CH347" s="267"/>
      <c r="CI347" s="435"/>
      <c r="CJ347" s="436"/>
      <c r="CK347" s="437"/>
    </row>
    <row r="348" spans="5:89" x14ac:dyDescent="0.25">
      <c r="P348" s="140"/>
      <c r="Q348" s="140"/>
      <c r="R348" s="140"/>
      <c r="S348" s="140"/>
      <c r="T348" s="140"/>
      <c r="U348" s="140"/>
      <c r="BV348" s="177"/>
      <c r="BW348" s="177"/>
      <c r="BX348" s="267"/>
      <c r="BY348" s="267"/>
      <c r="BZ348" s="267"/>
      <c r="CA348" s="267"/>
      <c r="CB348" s="267"/>
      <c r="CC348" s="267"/>
      <c r="CD348" s="267"/>
      <c r="CE348" s="267"/>
      <c r="CF348" s="267"/>
      <c r="CG348" s="267"/>
      <c r="CH348" s="267"/>
      <c r="CI348" s="435"/>
      <c r="CJ348" s="436"/>
      <c r="CK348" s="437"/>
    </row>
    <row r="349" spans="5:89" x14ac:dyDescent="0.25">
      <c r="P349" s="140"/>
      <c r="Q349" s="140"/>
      <c r="R349" s="140"/>
      <c r="S349" s="140"/>
      <c r="T349" s="140"/>
      <c r="U349" s="140"/>
      <c r="BV349" s="177"/>
      <c r="BW349" s="177"/>
      <c r="BX349" s="267"/>
      <c r="BY349" s="267"/>
      <c r="BZ349" s="267"/>
      <c r="CA349" s="267"/>
      <c r="CB349" s="267"/>
      <c r="CC349" s="267"/>
      <c r="CD349" s="267"/>
      <c r="CE349" s="267"/>
      <c r="CF349" s="267"/>
      <c r="CG349" s="267"/>
      <c r="CH349" s="267"/>
      <c r="CI349" s="435"/>
      <c r="CJ349" s="436"/>
      <c r="CK349" s="437"/>
    </row>
    <row r="350" spans="5:89" x14ac:dyDescent="0.25">
      <c r="P350" s="140"/>
      <c r="Q350" s="140"/>
      <c r="R350" s="140"/>
      <c r="S350" s="140"/>
      <c r="T350" s="140"/>
      <c r="U350" s="140"/>
      <c r="BV350" s="177"/>
      <c r="BW350" s="177"/>
      <c r="BX350" s="267"/>
      <c r="BY350" s="267"/>
      <c r="BZ350" s="267"/>
      <c r="CA350" s="267"/>
      <c r="CB350" s="267"/>
      <c r="CC350" s="267"/>
      <c r="CD350" s="267"/>
      <c r="CE350" s="267"/>
      <c r="CF350" s="267"/>
      <c r="CG350" s="267"/>
      <c r="CH350" s="267"/>
      <c r="CI350" s="435"/>
      <c r="CJ350" s="436"/>
      <c r="CK350" s="437"/>
    </row>
    <row r="351" spans="5:89" x14ac:dyDescent="0.25">
      <c r="P351" s="140"/>
      <c r="Q351" s="140"/>
      <c r="R351" s="140"/>
      <c r="S351" s="140"/>
      <c r="T351" s="140"/>
      <c r="U351" s="140"/>
      <c r="BV351" s="177"/>
      <c r="BW351" s="177"/>
      <c r="BX351" s="267"/>
      <c r="BY351" s="267"/>
      <c r="BZ351" s="267"/>
      <c r="CA351" s="267"/>
      <c r="CB351" s="267"/>
      <c r="CC351" s="267"/>
      <c r="CD351" s="267"/>
      <c r="CE351" s="267"/>
      <c r="CF351" s="267"/>
      <c r="CG351" s="267"/>
      <c r="CH351" s="267"/>
      <c r="CI351" s="435"/>
      <c r="CJ351" s="436"/>
      <c r="CK351" s="437"/>
    </row>
    <row r="352" spans="5:89" x14ac:dyDescent="0.25">
      <c r="P352" s="140"/>
      <c r="Q352" s="140"/>
      <c r="R352" s="140"/>
      <c r="S352" s="140"/>
      <c r="T352" s="140"/>
      <c r="U352" s="140"/>
      <c r="BV352" s="177"/>
      <c r="BW352" s="177"/>
      <c r="BX352" s="267"/>
      <c r="BY352" s="267"/>
      <c r="BZ352" s="267"/>
      <c r="CA352" s="267"/>
      <c r="CB352" s="267"/>
      <c r="CC352" s="267"/>
      <c r="CD352" s="267"/>
      <c r="CE352" s="267"/>
      <c r="CF352" s="267"/>
      <c r="CG352" s="267"/>
      <c r="CH352" s="267"/>
      <c r="CI352" s="435"/>
      <c r="CJ352" s="436"/>
      <c r="CK352" s="437"/>
    </row>
    <row r="353" spans="16:89" x14ac:dyDescent="0.25">
      <c r="P353" s="140"/>
      <c r="Q353" s="140"/>
      <c r="R353" s="140"/>
      <c r="S353" s="140"/>
      <c r="T353" s="140"/>
      <c r="U353" s="140"/>
      <c r="BV353" s="177"/>
      <c r="BW353" s="177"/>
      <c r="BX353" s="267"/>
      <c r="BY353" s="267"/>
      <c r="BZ353" s="267"/>
      <c r="CA353" s="267"/>
      <c r="CB353" s="267"/>
      <c r="CC353" s="267"/>
      <c r="CD353" s="267"/>
      <c r="CE353" s="267"/>
      <c r="CF353" s="267"/>
      <c r="CG353" s="267"/>
      <c r="CH353" s="267"/>
      <c r="CI353" s="435"/>
      <c r="CJ353" s="436"/>
      <c r="CK353" s="437"/>
    </row>
    <row r="354" spans="16:89" x14ac:dyDescent="0.25">
      <c r="P354" s="140"/>
      <c r="Q354" s="140"/>
      <c r="R354" s="140"/>
      <c r="S354" s="140"/>
      <c r="T354" s="140"/>
      <c r="U354" s="140"/>
      <c r="BV354" s="177"/>
      <c r="BW354" s="177"/>
      <c r="BX354" s="267"/>
      <c r="BY354" s="267"/>
      <c r="BZ354" s="267"/>
      <c r="CA354" s="267"/>
      <c r="CB354" s="267"/>
      <c r="CC354" s="267"/>
      <c r="CD354" s="267"/>
      <c r="CE354" s="267"/>
      <c r="CF354" s="267"/>
      <c r="CG354" s="267"/>
      <c r="CH354" s="267"/>
      <c r="CI354" s="435"/>
      <c r="CJ354" s="436"/>
      <c r="CK354" s="437"/>
    </row>
    <row r="355" spans="16:89" x14ac:dyDescent="0.25">
      <c r="P355" s="140"/>
      <c r="Q355" s="140"/>
      <c r="R355" s="140"/>
      <c r="S355" s="140"/>
      <c r="T355" s="140"/>
      <c r="U355" s="140"/>
      <c r="BV355" s="177"/>
      <c r="BW355" s="177"/>
      <c r="BX355" s="267"/>
      <c r="BY355" s="267"/>
      <c r="BZ355" s="267"/>
      <c r="CA355" s="267"/>
      <c r="CB355" s="267"/>
      <c r="CC355" s="267"/>
      <c r="CD355" s="267"/>
      <c r="CE355" s="267"/>
      <c r="CF355" s="267"/>
      <c r="CG355" s="267"/>
      <c r="CH355" s="267"/>
      <c r="CI355" s="435"/>
      <c r="CJ355" s="436"/>
      <c r="CK355" s="437"/>
    </row>
    <row r="356" spans="16:89" x14ac:dyDescent="0.25">
      <c r="P356" s="140"/>
      <c r="Q356" s="140"/>
      <c r="R356" s="140"/>
      <c r="S356" s="140"/>
      <c r="T356" s="140"/>
      <c r="U356" s="140"/>
      <c r="BV356" s="177"/>
      <c r="BW356" s="177"/>
      <c r="BX356" s="267"/>
      <c r="BY356" s="267"/>
      <c r="BZ356" s="267"/>
      <c r="CA356" s="267"/>
      <c r="CB356" s="267"/>
      <c r="CC356" s="267"/>
      <c r="CD356" s="267"/>
      <c r="CE356" s="267"/>
      <c r="CF356" s="267"/>
      <c r="CG356" s="267"/>
      <c r="CH356" s="267"/>
      <c r="CI356" s="435"/>
      <c r="CJ356" s="436"/>
      <c r="CK356" s="437"/>
    </row>
    <row r="357" spans="16:89" x14ac:dyDescent="0.25">
      <c r="P357" s="140"/>
      <c r="Q357" s="140"/>
      <c r="R357" s="140"/>
      <c r="S357" s="140"/>
      <c r="T357" s="140"/>
      <c r="U357" s="140"/>
      <c r="BV357" s="177"/>
      <c r="BW357" s="177"/>
      <c r="BX357" s="267"/>
      <c r="BY357" s="267"/>
      <c r="BZ357" s="267"/>
      <c r="CA357" s="267"/>
      <c r="CB357" s="267"/>
      <c r="CC357" s="267"/>
      <c r="CD357" s="267"/>
      <c r="CE357" s="267"/>
      <c r="CF357" s="267"/>
      <c r="CG357" s="267"/>
      <c r="CH357" s="267"/>
      <c r="CI357" s="435"/>
      <c r="CJ357" s="436"/>
      <c r="CK357" s="437"/>
    </row>
    <row r="358" spans="16:89" x14ac:dyDescent="0.25">
      <c r="P358" s="140"/>
      <c r="Q358" s="140"/>
      <c r="R358" s="140"/>
      <c r="S358" s="140"/>
      <c r="T358" s="140"/>
      <c r="U358" s="140"/>
      <c r="BV358" s="177"/>
      <c r="BW358" s="177"/>
      <c r="BX358" s="267"/>
      <c r="BY358" s="267"/>
      <c r="BZ358" s="267"/>
      <c r="CA358" s="267"/>
      <c r="CB358" s="267"/>
      <c r="CC358" s="267"/>
      <c r="CD358" s="267"/>
      <c r="CE358" s="267"/>
      <c r="CF358" s="267"/>
      <c r="CG358" s="267"/>
      <c r="CH358" s="267"/>
      <c r="CI358" s="435"/>
      <c r="CJ358" s="436"/>
      <c r="CK358" s="437"/>
    </row>
    <row r="359" spans="16:89" x14ac:dyDescent="0.25">
      <c r="P359" s="140"/>
      <c r="Q359" s="140"/>
      <c r="R359" s="140"/>
      <c r="S359" s="140"/>
      <c r="T359" s="140"/>
      <c r="U359" s="140"/>
      <c r="BV359" s="177"/>
      <c r="BW359" s="177"/>
      <c r="BX359" s="267"/>
      <c r="BY359" s="267"/>
      <c r="BZ359" s="267"/>
      <c r="CA359" s="267"/>
      <c r="CB359" s="267"/>
      <c r="CC359" s="267"/>
      <c r="CD359" s="267"/>
      <c r="CE359" s="267"/>
      <c r="CF359" s="267"/>
      <c r="CG359" s="267"/>
      <c r="CH359" s="267"/>
      <c r="CI359" s="435"/>
      <c r="CJ359" s="436"/>
      <c r="CK359" s="437"/>
    </row>
    <row r="360" spans="16:89" x14ac:dyDescent="0.25">
      <c r="P360" s="140"/>
      <c r="Q360" s="140"/>
      <c r="R360" s="140"/>
      <c r="S360" s="140"/>
      <c r="T360" s="140"/>
      <c r="U360" s="140"/>
      <c r="BV360" s="177"/>
      <c r="BW360" s="177"/>
      <c r="BX360" s="267"/>
      <c r="BY360" s="267"/>
      <c r="BZ360" s="267"/>
      <c r="CA360" s="267"/>
      <c r="CB360" s="267"/>
      <c r="CC360" s="267"/>
      <c r="CD360" s="267"/>
      <c r="CE360" s="267"/>
      <c r="CF360" s="267"/>
      <c r="CG360" s="267"/>
      <c r="CH360" s="267"/>
      <c r="CI360" s="435"/>
      <c r="CJ360" s="436"/>
      <c r="CK360" s="437"/>
    </row>
    <row r="361" spans="16:89" x14ac:dyDescent="0.25">
      <c r="P361" s="140"/>
      <c r="Q361" s="140"/>
      <c r="R361" s="140"/>
      <c r="S361" s="140"/>
      <c r="T361" s="140"/>
      <c r="U361" s="140"/>
      <c r="BV361" s="177"/>
      <c r="BW361" s="177"/>
      <c r="BX361" s="267"/>
      <c r="BY361" s="267"/>
      <c r="BZ361" s="267"/>
      <c r="CA361" s="267"/>
      <c r="CB361" s="267"/>
      <c r="CC361" s="267"/>
      <c r="CD361" s="267"/>
      <c r="CE361" s="267"/>
      <c r="CF361" s="267"/>
      <c r="CG361" s="267"/>
      <c r="CH361" s="267"/>
      <c r="CI361" s="435"/>
      <c r="CJ361" s="436"/>
      <c r="CK361" s="437"/>
    </row>
    <row r="362" spans="16:89" x14ac:dyDescent="0.25">
      <c r="P362" s="140"/>
      <c r="Q362" s="140"/>
      <c r="R362" s="140"/>
      <c r="S362" s="140"/>
      <c r="T362" s="140"/>
      <c r="U362" s="140"/>
      <c r="BV362" s="177"/>
      <c r="BW362" s="177"/>
      <c r="BX362" s="267"/>
      <c r="BY362" s="267"/>
      <c r="BZ362" s="267"/>
      <c r="CA362" s="267"/>
      <c r="CB362" s="267"/>
      <c r="CC362" s="267"/>
      <c r="CD362" s="267"/>
      <c r="CE362" s="267"/>
      <c r="CF362" s="267"/>
      <c r="CG362" s="267"/>
      <c r="CH362" s="267"/>
      <c r="CI362" s="435"/>
      <c r="CJ362" s="436"/>
      <c r="CK362" s="437"/>
    </row>
    <row r="363" spans="16:89" x14ac:dyDescent="0.25">
      <c r="P363" s="140"/>
      <c r="Q363" s="140"/>
      <c r="R363" s="140"/>
      <c r="S363" s="140"/>
      <c r="T363" s="140"/>
      <c r="U363" s="140"/>
      <c r="BV363" s="177"/>
      <c r="BW363" s="177"/>
      <c r="BX363" s="267"/>
      <c r="BY363" s="267"/>
      <c r="BZ363" s="267"/>
      <c r="CA363" s="267"/>
      <c r="CB363" s="267"/>
      <c r="CC363" s="267"/>
      <c r="CD363" s="267"/>
      <c r="CE363" s="267"/>
      <c r="CF363" s="267"/>
      <c r="CG363" s="267"/>
      <c r="CH363" s="267"/>
      <c r="CI363" s="435"/>
      <c r="CJ363" s="436"/>
      <c r="CK363" s="437"/>
    </row>
    <row r="364" spans="16:89" x14ac:dyDescent="0.25">
      <c r="P364" s="140"/>
      <c r="Q364" s="140"/>
      <c r="R364" s="140"/>
      <c r="S364" s="140"/>
      <c r="T364" s="140"/>
      <c r="U364" s="140"/>
      <c r="BV364" s="177"/>
      <c r="BW364" s="177"/>
      <c r="BX364" s="267"/>
      <c r="BY364" s="267"/>
      <c r="BZ364" s="267"/>
      <c r="CA364" s="267"/>
      <c r="CB364" s="267"/>
      <c r="CC364" s="267"/>
      <c r="CD364" s="267"/>
      <c r="CE364" s="267"/>
      <c r="CF364" s="267"/>
      <c r="CG364" s="267"/>
      <c r="CH364" s="267"/>
      <c r="CI364" s="435"/>
      <c r="CJ364" s="436"/>
      <c r="CK364" s="437"/>
    </row>
    <row r="365" spans="16:89" x14ac:dyDescent="0.25">
      <c r="P365" s="140"/>
      <c r="Q365" s="140"/>
      <c r="R365" s="140"/>
      <c r="S365" s="140"/>
      <c r="T365" s="140"/>
      <c r="U365" s="140"/>
      <c r="BV365" s="177"/>
      <c r="BW365" s="177"/>
      <c r="BX365" s="267"/>
      <c r="BY365" s="267"/>
      <c r="BZ365" s="267"/>
      <c r="CA365" s="267"/>
      <c r="CB365" s="267"/>
      <c r="CC365" s="267"/>
      <c r="CD365" s="267"/>
      <c r="CE365" s="267"/>
      <c r="CF365" s="267"/>
      <c r="CG365" s="267"/>
      <c r="CH365" s="267"/>
      <c r="CI365" s="435"/>
      <c r="CJ365" s="436"/>
      <c r="CK365" s="437"/>
    </row>
    <row r="366" spans="16:89" x14ac:dyDescent="0.25">
      <c r="P366" s="140"/>
      <c r="Q366" s="140"/>
      <c r="R366" s="140"/>
      <c r="S366" s="140"/>
      <c r="T366" s="140"/>
      <c r="U366" s="140"/>
      <c r="BV366" s="177"/>
      <c r="BW366" s="177"/>
      <c r="BX366" s="267"/>
      <c r="BY366" s="267"/>
      <c r="BZ366" s="267"/>
      <c r="CA366" s="267"/>
      <c r="CB366" s="267"/>
      <c r="CC366" s="267"/>
      <c r="CD366" s="267"/>
      <c r="CE366" s="267"/>
      <c r="CF366" s="267"/>
      <c r="CG366" s="267"/>
      <c r="CH366" s="267"/>
      <c r="CI366" s="435"/>
      <c r="CJ366" s="436"/>
      <c r="CK366" s="437"/>
    </row>
    <row r="367" spans="16:89" x14ac:dyDescent="0.25">
      <c r="P367" s="140"/>
      <c r="Q367" s="140"/>
      <c r="R367" s="140"/>
      <c r="S367" s="140"/>
      <c r="T367" s="140"/>
      <c r="U367" s="140"/>
      <c r="BV367" s="177"/>
      <c r="BW367" s="177"/>
      <c r="BX367" s="267"/>
      <c r="BY367" s="267"/>
      <c r="BZ367" s="267"/>
      <c r="CA367" s="267"/>
      <c r="CB367" s="267"/>
      <c r="CC367" s="267"/>
      <c r="CD367" s="267"/>
      <c r="CE367" s="267"/>
      <c r="CF367" s="267"/>
      <c r="CG367" s="267"/>
      <c r="CH367" s="267"/>
      <c r="CI367" s="435"/>
      <c r="CJ367" s="436"/>
      <c r="CK367" s="437"/>
    </row>
    <row r="368" spans="16:89" x14ac:dyDescent="0.25">
      <c r="P368" s="140"/>
      <c r="Q368" s="140"/>
      <c r="R368" s="140"/>
      <c r="S368" s="140"/>
      <c r="T368" s="140"/>
      <c r="U368" s="140"/>
      <c r="BV368" s="177"/>
      <c r="BW368" s="177"/>
      <c r="BX368" s="267"/>
      <c r="BY368" s="267"/>
      <c r="BZ368" s="267"/>
      <c r="CA368" s="267"/>
      <c r="CB368" s="267"/>
      <c r="CC368" s="267"/>
      <c r="CD368" s="267"/>
      <c r="CE368" s="267"/>
      <c r="CF368" s="267"/>
      <c r="CG368" s="267"/>
      <c r="CH368" s="267"/>
      <c r="CI368" s="435"/>
      <c r="CJ368" s="436"/>
      <c r="CK368" s="437"/>
    </row>
    <row r="369" spans="16:89" x14ac:dyDescent="0.25">
      <c r="P369" s="140"/>
      <c r="Q369" s="140"/>
      <c r="R369" s="140"/>
      <c r="S369" s="140"/>
      <c r="T369" s="140"/>
      <c r="U369" s="140"/>
      <c r="BV369" s="177"/>
      <c r="BW369" s="177"/>
      <c r="BX369" s="267"/>
      <c r="BY369" s="267"/>
      <c r="BZ369" s="267"/>
      <c r="CA369" s="267"/>
      <c r="CB369" s="267"/>
      <c r="CC369" s="267"/>
      <c r="CD369" s="267"/>
      <c r="CE369" s="267"/>
      <c r="CF369" s="267"/>
      <c r="CG369" s="267"/>
      <c r="CH369" s="267"/>
      <c r="CI369" s="435"/>
      <c r="CJ369" s="436"/>
      <c r="CK369" s="437"/>
    </row>
    <row r="370" spans="16:89" x14ac:dyDescent="0.25">
      <c r="P370" s="140"/>
      <c r="Q370" s="140"/>
      <c r="R370" s="140"/>
      <c r="S370" s="140"/>
      <c r="T370" s="140"/>
      <c r="U370" s="140"/>
      <c r="BV370" s="177"/>
      <c r="BW370" s="177"/>
      <c r="BX370" s="267"/>
      <c r="BY370" s="267"/>
      <c r="BZ370" s="267"/>
      <c r="CA370" s="267"/>
      <c r="CB370" s="267"/>
      <c r="CC370" s="267"/>
      <c r="CD370" s="267"/>
      <c r="CE370" s="267"/>
      <c r="CF370" s="267"/>
      <c r="CG370" s="267"/>
      <c r="CH370" s="267"/>
      <c r="CI370" s="435"/>
      <c r="CJ370" s="436"/>
      <c r="CK370" s="437"/>
    </row>
    <row r="371" spans="16:89" x14ac:dyDescent="0.25">
      <c r="P371" s="140"/>
      <c r="Q371" s="140"/>
      <c r="R371" s="140"/>
      <c r="S371" s="140"/>
      <c r="T371" s="140"/>
      <c r="U371" s="140"/>
      <c r="BV371" s="177"/>
      <c r="BW371" s="177"/>
      <c r="BX371" s="267"/>
      <c r="BY371" s="267"/>
      <c r="BZ371" s="267"/>
      <c r="CA371" s="267"/>
      <c r="CB371" s="267"/>
      <c r="CC371" s="267"/>
      <c r="CD371" s="267"/>
      <c r="CE371" s="267"/>
      <c r="CF371" s="267"/>
      <c r="CG371" s="267"/>
      <c r="CH371" s="267"/>
      <c r="CI371" s="435"/>
      <c r="CJ371" s="436"/>
      <c r="CK371" s="437"/>
    </row>
    <row r="372" spans="16:89" x14ac:dyDescent="0.25">
      <c r="P372" s="140"/>
      <c r="Q372" s="140"/>
      <c r="R372" s="140"/>
      <c r="S372" s="140"/>
      <c r="T372" s="140"/>
      <c r="U372" s="140"/>
      <c r="BV372" s="177"/>
      <c r="BW372" s="177"/>
      <c r="BX372" s="267"/>
      <c r="BY372" s="267"/>
      <c r="BZ372" s="267"/>
      <c r="CA372" s="267"/>
      <c r="CB372" s="267"/>
      <c r="CC372" s="267"/>
      <c r="CD372" s="267"/>
      <c r="CE372" s="267"/>
      <c r="CF372" s="267"/>
      <c r="CG372" s="267"/>
      <c r="CH372" s="267"/>
      <c r="CI372" s="435"/>
      <c r="CJ372" s="436"/>
      <c r="CK372" s="437"/>
    </row>
    <row r="373" spans="16:89" x14ac:dyDescent="0.25">
      <c r="P373" s="140"/>
      <c r="Q373" s="140"/>
      <c r="R373" s="140"/>
      <c r="S373" s="140"/>
      <c r="T373" s="140"/>
      <c r="U373" s="140"/>
      <c r="BV373" s="177"/>
      <c r="BW373" s="177"/>
      <c r="BX373" s="267"/>
      <c r="BY373" s="267"/>
      <c r="BZ373" s="267"/>
      <c r="CA373" s="267"/>
      <c r="CB373" s="267"/>
      <c r="CC373" s="267"/>
      <c r="CD373" s="267"/>
      <c r="CE373" s="267"/>
      <c r="CF373" s="267"/>
      <c r="CG373" s="267"/>
      <c r="CH373" s="267"/>
      <c r="CI373" s="435"/>
      <c r="CJ373" s="436"/>
      <c r="CK373" s="437"/>
    </row>
    <row r="374" spans="16:89" x14ac:dyDescent="0.25">
      <c r="P374" s="140"/>
      <c r="Q374" s="140"/>
      <c r="R374" s="140"/>
      <c r="S374" s="140"/>
      <c r="T374" s="140"/>
      <c r="U374" s="140"/>
      <c r="BV374" s="177"/>
      <c r="BW374" s="177"/>
      <c r="BX374" s="267"/>
      <c r="BY374" s="267"/>
      <c r="BZ374" s="267"/>
      <c r="CA374" s="267"/>
      <c r="CB374" s="267"/>
      <c r="CC374" s="267"/>
      <c r="CD374" s="267"/>
      <c r="CE374" s="267"/>
      <c r="CF374" s="267"/>
      <c r="CG374" s="267"/>
      <c r="CH374" s="267"/>
      <c r="CI374" s="435"/>
      <c r="CJ374" s="436"/>
      <c r="CK374" s="437"/>
    </row>
    <row r="375" spans="16:89" x14ac:dyDescent="0.25">
      <c r="P375" s="140"/>
      <c r="Q375" s="140"/>
      <c r="R375" s="140"/>
      <c r="S375" s="140"/>
      <c r="T375" s="140"/>
      <c r="U375" s="140"/>
      <c r="BV375" s="177"/>
      <c r="BW375" s="177"/>
      <c r="BX375" s="267"/>
      <c r="BY375" s="267"/>
      <c r="BZ375" s="267"/>
      <c r="CA375" s="267"/>
      <c r="CB375" s="267"/>
      <c r="CC375" s="267"/>
      <c r="CD375" s="267"/>
      <c r="CE375" s="267"/>
      <c r="CF375" s="267"/>
      <c r="CG375" s="267"/>
      <c r="CH375" s="267"/>
      <c r="CI375" s="435"/>
      <c r="CJ375" s="436"/>
      <c r="CK375" s="437"/>
    </row>
    <row r="376" spans="16:89" x14ac:dyDescent="0.25">
      <c r="P376" s="140"/>
      <c r="Q376" s="140"/>
      <c r="R376" s="140"/>
      <c r="S376" s="140"/>
      <c r="T376" s="140"/>
      <c r="U376" s="140"/>
      <c r="BV376" s="177"/>
      <c r="BW376" s="177"/>
      <c r="BX376" s="267"/>
      <c r="BY376" s="267"/>
      <c r="BZ376" s="267"/>
      <c r="CA376" s="267"/>
      <c r="CB376" s="267"/>
      <c r="CC376" s="267"/>
      <c r="CD376" s="267"/>
      <c r="CE376" s="267"/>
      <c r="CF376" s="267"/>
      <c r="CG376" s="267"/>
      <c r="CH376" s="267"/>
      <c r="CI376" s="435"/>
      <c r="CJ376" s="436"/>
      <c r="CK376" s="437"/>
    </row>
    <row r="377" spans="16:89" x14ac:dyDescent="0.25">
      <c r="P377" s="140"/>
      <c r="Q377" s="140"/>
      <c r="R377" s="140"/>
      <c r="S377" s="140"/>
      <c r="T377" s="140"/>
      <c r="U377" s="140"/>
      <c r="BV377" s="177"/>
      <c r="BW377" s="177"/>
      <c r="BX377" s="267"/>
      <c r="BY377" s="267"/>
      <c r="BZ377" s="267"/>
      <c r="CA377" s="267"/>
      <c r="CB377" s="267"/>
      <c r="CC377" s="267"/>
      <c r="CD377" s="267"/>
      <c r="CE377" s="267"/>
      <c r="CF377" s="267"/>
      <c r="CG377" s="267"/>
      <c r="CH377" s="267"/>
      <c r="CI377" s="435"/>
      <c r="CJ377" s="436"/>
      <c r="CK377" s="437"/>
    </row>
    <row r="378" spans="16:89" x14ac:dyDescent="0.25">
      <c r="P378" s="140"/>
      <c r="Q378" s="140"/>
      <c r="R378" s="140"/>
      <c r="S378" s="140"/>
      <c r="T378" s="140"/>
      <c r="U378" s="140"/>
      <c r="BV378" s="177"/>
      <c r="BW378" s="177"/>
      <c r="BX378" s="267"/>
      <c r="BY378" s="267"/>
      <c r="BZ378" s="267"/>
      <c r="CA378" s="267"/>
      <c r="CB378" s="267"/>
      <c r="CC378" s="267"/>
      <c r="CD378" s="267"/>
      <c r="CE378" s="267"/>
      <c r="CF378" s="267"/>
      <c r="CG378" s="267"/>
      <c r="CH378" s="267"/>
      <c r="CI378" s="435"/>
      <c r="CJ378" s="436"/>
      <c r="CK378" s="437"/>
    </row>
    <row r="379" spans="16:89" x14ac:dyDescent="0.25">
      <c r="P379" s="140"/>
      <c r="Q379" s="140"/>
      <c r="R379" s="140"/>
      <c r="S379" s="140"/>
      <c r="T379" s="140"/>
      <c r="U379" s="140"/>
      <c r="BV379" s="177"/>
      <c r="BW379" s="177"/>
      <c r="BX379" s="267"/>
      <c r="BY379" s="267"/>
      <c r="BZ379" s="267"/>
      <c r="CA379" s="267"/>
      <c r="CB379" s="267"/>
      <c r="CC379" s="267"/>
      <c r="CD379" s="267"/>
      <c r="CE379" s="267"/>
      <c r="CF379" s="267"/>
      <c r="CG379" s="267"/>
      <c r="CH379" s="267"/>
      <c r="CI379" s="435"/>
      <c r="CJ379" s="436"/>
      <c r="CK379" s="437"/>
    </row>
    <row r="380" spans="16:89" x14ac:dyDescent="0.25">
      <c r="P380" s="140"/>
      <c r="Q380" s="140"/>
      <c r="R380" s="140"/>
      <c r="S380" s="140"/>
      <c r="T380" s="140"/>
      <c r="U380" s="140"/>
      <c r="BV380" s="177"/>
      <c r="BW380" s="177"/>
      <c r="BX380" s="267"/>
      <c r="BY380" s="267"/>
      <c r="BZ380" s="267"/>
      <c r="CA380" s="267"/>
      <c r="CB380" s="267"/>
      <c r="CC380" s="267"/>
      <c r="CD380" s="267"/>
      <c r="CE380" s="267"/>
      <c r="CF380" s="267"/>
      <c r="CG380" s="267"/>
      <c r="CH380" s="267"/>
      <c r="CI380" s="435"/>
      <c r="CJ380" s="436"/>
      <c r="CK380" s="437"/>
    </row>
    <row r="381" spans="16:89" x14ac:dyDescent="0.25">
      <c r="P381" s="140"/>
      <c r="Q381" s="140"/>
      <c r="R381" s="140"/>
      <c r="S381" s="140"/>
      <c r="T381" s="140"/>
      <c r="U381" s="140"/>
      <c r="BV381" s="177"/>
      <c r="BW381" s="177"/>
      <c r="BX381" s="267"/>
      <c r="BY381" s="267"/>
      <c r="BZ381" s="267"/>
      <c r="CA381" s="267"/>
      <c r="CB381" s="267"/>
      <c r="CC381" s="267"/>
      <c r="CD381" s="267"/>
      <c r="CE381" s="267"/>
      <c r="CF381" s="267"/>
      <c r="CG381" s="267"/>
      <c r="CH381" s="267"/>
      <c r="CI381" s="435"/>
      <c r="CJ381" s="436"/>
      <c r="CK381" s="437"/>
    </row>
    <row r="382" spans="16:89" x14ac:dyDescent="0.25">
      <c r="P382" s="140"/>
      <c r="Q382" s="140"/>
      <c r="R382" s="140"/>
      <c r="S382" s="140"/>
      <c r="T382" s="140"/>
      <c r="U382" s="140"/>
      <c r="BV382" s="177"/>
      <c r="BW382" s="177"/>
      <c r="BX382" s="267"/>
      <c r="BY382" s="267"/>
      <c r="BZ382" s="267"/>
      <c r="CA382" s="267"/>
      <c r="CB382" s="267"/>
      <c r="CC382" s="267"/>
      <c r="CD382" s="267"/>
      <c r="CE382" s="267"/>
      <c r="CF382" s="267"/>
      <c r="CG382" s="267"/>
      <c r="CH382" s="267"/>
      <c r="CI382" s="435"/>
      <c r="CJ382" s="436"/>
      <c r="CK382" s="437"/>
    </row>
    <row r="383" spans="16:89" x14ac:dyDescent="0.25">
      <c r="P383" s="140"/>
      <c r="Q383" s="140"/>
      <c r="R383" s="140"/>
      <c r="S383" s="140"/>
      <c r="T383" s="140"/>
      <c r="U383" s="140"/>
      <c r="BV383" s="177"/>
      <c r="BW383" s="177"/>
      <c r="BX383" s="267"/>
      <c r="BY383" s="267"/>
      <c r="BZ383" s="267"/>
      <c r="CA383" s="267"/>
      <c r="CB383" s="267"/>
      <c r="CC383" s="267"/>
      <c r="CD383" s="267"/>
      <c r="CE383" s="267"/>
      <c r="CF383" s="267"/>
      <c r="CG383" s="267"/>
      <c r="CH383" s="267"/>
      <c r="CI383" s="435"/>
      <c r="CJ383" s="436"/>
      <c r="CK383" s="437"/>
    </row>
    <row r="384" spans="16:89" x14ac:dyDescent="0.25">
      <c r="P384" s="140"/>
      <c r="Q384" s="140"/>
      <c r="R384" s="140"/>
      <c r="S384" s="140"/>
      <c r="T384" s="140"/>
      <c r="U384" s="140"/>
      <c r="BV384" s="177"/>
      <c r="BW384" s="177"/>
      <c r="BX384" s="267"/>
      <c r="BY384" s="267"/>
      <c r="BZ384" s="267"/>
      <c r="CA384" s="267"/>
      <c r="CB384" s="267"/>
      <c r="CC384" s="267"/>
      <c r="CD384" s="267"/>
      <c r="CE384" s="267"/>
      <c r="CF384" s="267"/>
      <c r="CG384" s="267"/>
      <c r="CH384" s="267"/>
      <c r="CI384" s="435"/>
      <c r="CJ384" s="436"/>
      <c r="CK384" s="437"/>
    </row>
    <row r="385" spans="16:89" x14ac:dyDescent="0.25">
      <c r="P385" s="140"/>
      <c r="Q385" s="140"/>
      <c r="R385" s="140"/>
      <c r="S385" s="140"/>
      <c r="T385" s="140"/>
      <c r="U385" s="140"/>
      <c r="BV385" s="177"/>
      <c r="BW385" s="177"/>
      <c r="BX385" s="267"/>
      <c r="BY385" s="267"/>
      <c r="BZ385" s="267"/>
      <c r="CA385" s="267"/>
      <c r="CB385" s="267"/>
      <c r="CC385" s="267"/>
      <c r="CD385" s="267"/>
      <c r="CE385" s="267"/>
      <c r="CF385" s="267"/>
      <c r="CG385" s="267"/>
      <c r="CH385" s="267"/>
      <c r="CI385" s="435"/>
      <c r="CJ385" s="436"/>
      <c r="CK385" s="437"/>
    </row>
    <row r="386" spans="16:89" x14ac:dyDescent="0.25">
      <c r="P386" s="140"/>
      <c r="Q386" s="140"/>
      <c r="R386" s="140"/>
      <c r="S386" s="140"/>
      <c r="T386" s="140"/>
      <c r="U386" s="140"/>
      <c r="BV386" s="177"/>
      <c r="BW386" s="177"/>
      <c r="BX386" s="267"/>
      <c r="BY386" s="267"/>
      <c r="BZ386" s="267"/>
      <c r="CA386" s="267"/>
      <c r="CB386" s="267"/>
      <c r="CC386" s="267"/>
      <c r="CD386" s="267"/>
      <c r="CE386" s="267"/>
      <c r="CF386" s="267"/>
      <c r="CG386" s="267"/>
      <c r="CH386" s="267"/>
      <c r="CI386" s="435"/>
      <c r="CJ386" s="436"/>
      <c r="CK386" s="437"/>
    </row>
    <row r="387" spans="16:89" x14ac:dyDescent="0.25">
      <c r="P387" s="140"/>
      <c r="Q387" s="140"/>
      <c r="R387" s="140"/>
      <c r="S387" s="140"/>
      <c r="T387" s="140"/>
      <c r="U387" s="140"/>
      <c r="BV387" s="177"/>
      <c r="BW387" s="177"/>
      <c r="BX387" s="267"/>
      <c r="BY387" s="267"/>
      <c r="BZ387" s="267"/>
      <c r="CA387" s="267"/>
      <c r="CB387" s="267"/>
      <c r="CC387" s="267"/>
      <c r="CD387" s="267"/>
      <c r="CE387" s="267"/>
      <c r="CF387" s="267"/>
      <c r="CG387" s="267"/>
      <c r="CH387" s="267"/>
      <c r="CI387" s="435"/>
      <c r="CJ387" s="436"/>
      <c r="CK387" s="437"/>
    </row>
    <row r="388" spans="16:89" x14ac:dyDescent="0.25">
      <c r="P388" s="140"/>
      <c r="Q388" s="140"/>
      <c r="R388" s="140"/>
      <c r="S388" s="140"/>
      <c r="T388" s="140"/>
      <c r="U388" s="140"/>
      <c r="BV388" s="177"/>
      <c r="BW388" s="177"/>
      <c r="BX388" s="267"/>
      <c r="BY388" s="267"/>
      <c r="BZ388" s="267"/>
      <c r="CA388" s="267"/>
      <c r="CB388" s="267"/>
      <c r="CC388" s="267"/>
      <c r="CD388" s="267"/>
      <c r="CE388" s="267"/>
      <c r="CF388" s="267"/>
      <c r="CG388" s="267"/>
      <c r="CH388" s="267"/>
      <c r="CI388" s="435"/>
      <c r="CJ388" s="436"/>
      <c r="CK388" s="437"/>
    </row>
    <row r="389" spans="16:89" x14ac:dyDescent="0.25">
      <c r="P389" s="140"/>
      <c r="Q389" s="140"/>
      <c r="R389" s="140"/>
      <c r="S389" s="140"/>
      <c r="T389" s="140"/>
      <c r="U389" s="140"/>
      <c r="BV389" s="177"/>
      <c r="BW389" s="177"/>
      <c r="BX389" s="267"/>
      <c r="BY389" s="267"/>
      <c r="BZ389" s="267"/>
      <c r="CA389" s="267"/>
      <c r="CB389" s="267"/>
      <c r="CC389" s="267"/>
      <c r="CD389" s="267"/>
      <c r="CE389" s="267"/>
      <c r="CF389" s="267"/>
      <c r="CG389" s="267"/>
      <c r="CH389" s="267"/>
      <c r="CI389" s="435"/>
      <c r="CJ389" s="436"/>
      <c r="CK389" s="437"/>
    </row>
    <row r="390" spans="16:89" x14ac:dyDescent="0.25">
      <c r="P390" s="140"/>
      <c r="Q390" s="140"/>
      <c r="R390" s="140"/>
      <c r="S390" s="140"/>
      <c r="T390" s="140"/>
      <c r="U390" s="140"/>
      <c r="BV390" s="177"/>
      <c r="BW390" s="177"/>
      <c r="BX390" s="267"/>
      <c r="BY390" s="267"/>
      <c r="BZ390" s="267"/>
      <c r="CA390" s="267"/>
      <c r="CB390" s="267"/>
      <c r="CC390" s="267"/>
      <c r="CD390" s="267"/>
      <c r="CE390" s="267"/>
      <c r="CF390" s="267"/>
      <c r="CG390" s="267"/>
      <c r="CH390" s="267"/>
      <c r="CI390" s="435"/>
      <c r="CJ390" s="436"/>
      <c r="CK390" s="437"/>
    </row>
    <row r="391" spans="16:89" x14ac:dyDescent="0.25">
      <c r="P391" s="140"/>
      <c r="Q391" s="140"/>
      <c r="R391" s="140"/>
      <c r="S391" s="140"/>
      <c r="T391" s="140"/>
      <c r="U391" s="140"/>
      <c r="BV391" s="177"/>
      <c r="BW391" s="177"/>
      <c r="BX391" s="267"/>
      <c r="BY391" s="267"/>
      <c r="BZ391" s="267"/>
      <c r="CA391" s="267"/>
      <c r="CB391" s="267"/>
      <c r="CC391" s="267"/>
      <c r="CD391" s="267"/>
      <c r="CE391" s="267"/>
      <c r="CF391" s="267"/>
      <c r="CG391" s="267"/>
      <c r="CH391" s="267"/>
      <c r="CI391" s="435"/>
      <c r="CJ391" s="436"/>
      <c r="CK391" s="437"/>
    </row>
    <row r="392" spans="16:89" x14ac:dyDescent="0.25">
      <c r="P392" s="140"/>
      <c r="Q392" s="140"/>
      <c r="R392" s="140"/>
      <c r="S392" s="140"/>
      <c r="T392" s="140"/>
      <c r="U392" s="140"/>
      <c r="BV392" s="177"/>
      <c r="BW392" s="177"/>
      <c r="BX392" s="267"/>
      <c r="BY392" s="267"/>
      <c r="BZ392" s="267"/>
      <c r="CA392" s="267"/>
      <c r="CB392" s="267"/>
      <c r="CC392" s="267"/>
      <c r="CD392" s="267"/>
      <c r="CE392" s="267"/>
      <c r="CF392" s="267"/>
      <c r="CG392" s="267"/>
      <c r="CH392" s="267"/>
      <c r="CI392" s="435"/>
      <c r="CJ392" s="436"/>
      <c r="CK392" s="437"/>
    </row>
    <row r="393" spans="16:89" x14ac:dyDescent="0.25">
      <c r="P393" s="140"/>
      <c r="Q393" s="140"/>
      <c r="R393" s="140"/>
      <c r="S393" s="140"/>
      <c r="T393" s="140"/>
      <c r="U393" s="140"/>
      <c r="BV393" s="177"/>
      <c r="BW393" s="177"/>
      <c r="BX393" s="267"/>
      <c r="BY393" s="267"/>
      <c r="BZ393" s="267"/>
      <c r="CA393" s="267"/>
      <c r="CB393" s="267"/>
      <c r="CC393" s="267"/>
      <c r="CD393" s="267"/>
      <c r="CE393" s="267"/>
      <c r="CF393" s="267"/>
      <c r="CG393" s="267"/>
      <c r="CH393" s="267"/>
      <c r="CI393" s="435"/>
      <c r="CJ393" s="436"/>
      <c r="CK393" s="437"/>
    </row>
    <row r="394" spans="16:89" x14ac:dyDescent="0.25">
      <c r="P394" s="140"/>
      <c r="Q394" s="140"/>
      <c r="R394" s="140"/>
      <c r="S394" s="140"/>
      <c r="T394" s="140"/>
      <c r="U394" s="140"/>
      <c r="BV394" s="177"/>
      <c r="BW394" s="177"/>
      <c r="BX394" s="267"/>
      <c r="BY394" s="267"/>
      <c r="BZ394" s="267"/>
      <c r="CA394" s="267"/>
      <c r="CB394" s="267"/>
      <c r="CC394" s="267"/>
      <c r="CD394" s="267"/>
      <c r="CE394" s="267"/>
      <c r="CF394" s="267"/>
      <c r="CG394" s="267"/>
      <c r="CH394" s="267"/>
      <c r="CI394" s="435"/>
      <c r="CJ394" s="436"/>
      <c r="CK394" s="437"/>
    </row>
    <row r="395" spans="16:89" x14ac:dyDescent="0.25">
      <c r="P395" s="140"/>
      <c r="Q395" s="140"/>
      <c r="R395" s="140"/>
      <c r="S395" s="140"/>
      <c r="T395" s="140"/>
      <c r="U395" s="140"/>
      <c r="BV395" s="177"/>
      <c r="BW395" s="177"/>
      <c r="BX395" s="267"/>
      <c r="BY395" s="267"/>
      <c r="BZ395" s="267"/>
      <c r="CA395" s="267"/>
      <c r="CB395" s="267"/>
      <c r="CC395" s="267"/>
      <c r="CD395" s="267"/>
      <c r="CE395" s="267"/>
      <c r="CF395" s="267"/>
      <c r="CG395" s="267"/>
      <c r="CH395" s="267"/>
      <c r="CI395" s="435"/>
      <c r="CJ395" s="436"/>
      <c r="CK395" s="437"/>
    </row>
    <row r="396" spans="16:89" x14ac:dyDescent="0.25">
      <c r="P396" s="140"/>
      <c r="Q396" s="140"/>
      <c r="R396" s="140"/>
      <c r="S396" s="140"/>
      <c r="T396" s="140"/>
      <c r="U396" s="140"/>
      <c r="BV396" s="177"/>
      <c r="BW396" s="177"/>
      <c r="BX396" s="267"/>
      <c r="BY396" s="267"/>
      <c r="BZ396" s="267"/>
      <c r="CA396" s="267"/>
      <c r="CB396" s="267"/>
      <c r="CC396" s="267"/>
      <c r="CD396" s="267"/>
      <c r="CE396" s="267"/>
      <c r="CF396" s="267"/>
      <c r="CG396" s="267"/>
      <c r="CH396" s="267"/>
      <c r="CI396" s="435"/>
      <c r="CJ396" s="436"/>
      <c r="CK396" s="437"/>
    </row>
    <row r="397" spans="16:89" x14ac:dyDescent="0.25">
      <c r="P397" s="140"/>
      <c r="Q397" s="140"/>
      <c r="R397" s="140"/>
      <c r="S397" s="140"/>
      <c r="T397" s="140"/>
      <c r="U397" s="140"/>
      <c r="BV397" s="177"/>
      <c r="BW397" s="177"/>
      <c r="BX397" s="267"/>
      <c r="BY397" s="267"/>
      <c r="BZ397" s="267"/>
      <c r="CA397" s="267"/>
      <c r="CB397" s="267"/>
      <c r="CC397" s="267"/>
      <c r="CD397" s="267"/>
      <c r="CE397" s="267"/>
      <c r="CF397" s="267"/>
      <c r="CG397" s="267"/>
      <c r="CH397" s="267"/>
      <c r="CI397" s="435"/>
      <c r="CJ397" s="436"/>
      <c r="CK397" s="437"/>
    </row>
    <row r="398" spans="16:89" x14ac:dyDescent="0.25">
      <c r="P398" s="140"/>
      <c r="Q398" s="140"/>
      <c r="R398" s="140"/>
      <c r="S398" s="140"/>
      <c r="T398" s="140"/>
      <c r="U398" s="140"/>
      <c r="BV398" s="177"/>
      <c r="BW398" s="177"/>
      <c r="BX398" s="267"/>
      <c r="BY398" s="267"/>
      <c r="BZ398" s="267"/>
      <c r="CA398" s="267"/>
      <c r="CB398" s="267"/>
      <c r="CC398" s="267"/>
      <c r="CD398" s="267"/>
      <c r="CE398" s="267"/>
      <c r="CF398" s="267"/>
      <c r="CG398" s="267"/>
      <c r="CH398" s="267"/>
      <c r="CI398" s="435"/>
      <c r="CJ398" s="436"/>
      <c r="CK398" s="437"/>
    </row>
    <row r="399" spans="16:89" x14ac:dyDescent="0.25">
      <c r="P399" s="140"/>
      <c r="Q399" s="140"/>
      <c r="R399" s="140"/>
      <c r="S399" s="140"/>
      <c r="T399" s="140"/>
      <c r="U399" s="140"/>
      <c r="BV399" s="177"/>
      <c r="BW399" s="177"/>
      <c r="BX399" s="267"/>
      <c r="BY399" s="267"/>
      <c r="BZ399" s="267"/>
      <c r="CA399" s="267"/>
      <c r="CB399" s="267"/>
      <c r="CC399" s="267"/>
      <c r="CD399" s="267"/>
      <c r="CE399" s="267"/>
      <c r="CF399" s="267"/>
      <c r="CG399" s="267"/>
      <c r="CH399" s="267"/>
      <c r="CI399" s="435"/>
      <c r="CJ399" s="436"/>
      <c r="CK399" s="437"/>
    </row>
    <row r="400" spans="16:89" x14ac:dyDescent="0.25">
      <c r="P400" s="140"/>
      <c r="Q400" s="140"/>
      <c r="R400" s="140"/>
      <c r="S400" s="140"/>
      <c r="T400" s="140"/>
      <c r="U400" s="140"/>
      <c r="BV400" s="177"/>
      <c r="BW400" s="177"/>
      <c r="BX400" s="267"/>
      <c r="BY400" s="267"/>
      <c r="BZ400" s="267"/>
      <c r="CA400" s="267"/>
      <c r="CB400" s="267"/>
      <c r="CC400" s="267"/>
      <c r="CD400" s="267"/>
      <c r="CE400" s="267"/>
      <c r="CF400" s="267"/>
      <c r="CG400" s="267"/>
      <c r="CH400" s="267"/>
      <c r="CI400" s="435"/>
      <c r="CJ400" s="436"/>
      <c r="CK400" s="437"/>
    </row>
    <row r="401" spans="16:89" x14ac:dyDescent="0.25">
      <c r="P401" s="140"/>
      <c r="Q401" s="140"/>
      <c r="R401" s="140"/>
      <c r="S401" s="140"/>
      <c r="T401" s="140"/>
      <c r="U401" s="140"/>
      <c r="BV401" s="177"/>
      <c r="BW401" s="177"/>
      <c r="BX401" s="267"/>
      <c r="BY401" s="267"/>
      <c r="BZ401" s="267"/>
      <c r="CA401" s="267"/>
      <c r="CB401" s="267"/>
      <c r="CC401" s="267"/>
      <c r="CD401" s="267"/>
      <c r="CE401" s="267"/>
      <c r="CF401" s="267"/>
      <c r="CG401" s="267"/>
      <c r="CH401" s="267"/>
      <c r="CI401" s="435"/>
      <c r="CJ401" s="436"/>
      <c r="CK401" s="437"/>
    </row>
    <row r="402" spans="16:89" x14ac:dyDescent="0.25">
      <c r="P402" s="140"/>
      <c r="Q402" s="140"/>
      <c r="R402" s="140"/>
      <c r="S402" s="140"/>
      <c r="T402" s="140"/>
      <c r="U402" s="140"/>
      <c r="BV402" s="177"/>
      <c r="BW402" s="177"/>
      <c r="BX402" s="267"/>
      <c r="BY402" s="267"/>
      <c r="BZ402" s="267"/>
      <c r="CA402" s="267"/>
      <c r="CB402" s="267"/>
      <c r="CC402" s="267"/>
      <c r="CD402" s="267"/>
      <c r="CE402" s="267"/>
      <c r="CF402" s="267"/>
      <c r="CG402" s="267"/>
      <c r="CH402" s="267"/>
      <c r="CI402" s="435"/>
      <c r="CJ402" s="436"/>
      <c r="CK402" s="437"/>
    </row>
    <row r="403" spans="16:89" x14ac:dyDescent="0.25">
      <c r="P403" s="140"/>
      <c r="Q403" s="140"/>
      <c r="R403" s="140"/>
      <c r="S403" s="140"/>
      <c r="T403" s="140"/>
      <c r="U403" s="140"/>
      <c r="BV403" s="177"/>
      <c r="BW403" s="177"/>
      <c r="BX403" s="267"/>
      <c r="BY403" s="267"/>
      <c r="BZ403" s="267"/>
      <c r="CA403" s="267"/>
      <c r="CB403" s="267"/>
      <c r="CC403" s="267"/>
      <c r="CD403" s="267"/>
      <c r="CE403" s="267"/>
      <c r="CF403" s="267"/>
      <c r="CG403" s="267"/>
      <c r="CH403" s="267"/>
      <c r="CI403" s="435"/>
      <c r="CJ403" s="436"/>
      <c r="CK403" s="437"/>
    </row>
    <row r="404" spans="16:89" x14ac:dyDescent="0.25">
      <c r="P404" s="140"/>
      <c r="Q404" s="140"/>
      <c r="R404" s="140"/>
      <c r="S404" s="140"/>
      <c r="T404" s="140"/>
      <c r="U404" s="140"/>
      <c r="BV404" s="177"/>
      <c r="BW404" s="177"/>
      <c r="BX404" s="267"/>
      <c r="BY404" s="267"/>
      <c r="BZ404" s="267"/>
      <c r="CA404" s="267"/>
      <c r="CB404" s="267"/>
      <c r="CC404" s="267"/>
      <c r="CD404" s="267"/>
      <c r="CE404" s="267"/>
      <c r="CF404" s="267"/>
      <c r="CG404" s="267"/>
      <c r="CH404" s="267"/>
      <c r="CI404" s="435"/>
      <c r="CJ404" s="436"/>
      <c r="CK404" s="437"/>
    </row>
    <row r="405" spans="16:89" x14ac:dyDescent="0.25">
      <c r="P405" s="140"/>
      <c r="Q405" s="140"/>
      <c r="R405" s="140"/>
      <c r="S405" s="140"/>
      <c r="T405" s="140"/>
      <c r="U405" s="140"/>
      <c r="BV405" s="177"/>
      <c r="BW405" s="177"/>
      <c r="BX405" s="267"/>
      <c r="BY405" s="267"/>
      <c r="BZ405" s="267"/>
      <c r="CA405" s="267"/>
      <c r="CB405" s="267"/>
      <c r="CC405" s="267"/>
      <c r="CD405" s="267"/>
      <c r="CE405" s="267"/>
      <c r="CF405" s="267"/>
      <c r="CG405" s="267"/>
      <c r="CH405" s="267"/>
      <c r="CI405" s="435"/>
      <c r="CJ405" s="436"/>
      <c r="CK405" s="437"/>
    </row>
    <row r="406" spans="16:89" x14ac:dyDescent="0.25">
      <c r="P406" s="140"/>
      <c r="Q406" s="140"/>
      <c r="R406" s="140"/>
      <c r="S406" s="140"/>
      <c r="T406" s="140"/>
      <c r="U406" s="140"/>
      <c r="BV406" s="177"/>
      <c r="BW406" s="177"/>
      <c r="BX406" s="267"/>
      <c r="BY406" s="267"/>
      <c r="BZ406" s="267"/>
      <c r="CA406" s="267"/>
      <c r="CB406" s="267"/>
      <c r="CC406" s="267"/>
      <c r="CD406" s="267"/>
      <c r="CE406" s="267"/>
      <c r="CF406" s="267"/>
      <c r="CG406" s="267"/>
      <c r="CH406" s="267"/>
      <c r="CI406" s="435"/>
      <c r="CJ406" s="436"/>
      <c r="CK406" s="437"/>
    </row>
    <row r="407" spans="16:89" x14ac:dyDescent="0.25">
      <c r="P407" s="140"/>
      <c r="Q407" s="140"/>
      <c r="R407" s="140"/>
      <c r="S407" s="140"/>
      <c r="T407" s="140"/>
      <c r="U407" s="140"/>
      <c r="BV407" s="177"/>
      <c r="BW407" s="177"/>
      <c r="BX407" s="267"/>
      <c r="BY407" s="267"/>
      <c r="BZ407" s="267"/>
      <c r="CA407" s="267"/>
      <c r="CB407" s="267"/>
      <c r="CC407" s="267"/>
      <c r="CD407" s="267"/>
      <c r="CE407" s="267"/>
      <c r="CF407" s="267"/>
      <c r="CG407" s="267"/>
      <c r="CH407" s="267"/>
      <c r="CI407" s="435"/>
      <c r="CJ407" s="436"/>
      <c r="CK407" s="437"/>
    </row>
    <row r="408" spans="16:89" x14ac:dyDescent="0.25">
      <c r="P408" s="140"/>
      <c r="Q408" s="140"/>
      <c r="R408" s="140"/>
      <c r="S408" s="140"/>
      <c r="T408" s="140"/>
      <c r="U408" s="140"/>
      <c r="BV408" s="177"/>
      <c r="BW408" s="177"/>
      <c r="BX408" s="267"/>
      <c r="BY408" s="267"/>
      <c r="BZ408" s="267"/>
      <c r="CA408" s="267"/>
      <c r="CB408" s="267"/>
      <c r="CC408" s="267"/>
      <c r="CD408" s="267"/>
      <c r="CE408" s="267"/>
      <c r="CF408" s="267"/>
      <c r="CG408" s="267"/>
      <c r="CH408" s="267"/>
      <c r="CI408" s="435"/>
      <c r="CJ408" s="436"/>
      <c r="CK408" s="437"/>
    </row>
    <row r="409" spans="16:89" x14ac:dyDescent="0.25">
      <c r="P409" s="140"/>
      <c r="Q409" s="140"/>
      <c r="R409" s="140"/>
      <c r="S409" s="140"/>
      <c r="T409" s="140"/>
      <c r="U409" s="140"/>
      <c r="BV409" s="177"/>
      <c r="BW409" s="177"/>
      <c r="BX409" s="267"/>
      <c r="BY409" s="267"/>
      <c r="BZ409" s="267"/>
      <c r="CA409" s="267"/>
      <c r="CB409" s="267"/>
      <c r="CC409" s="267"/>
      <c r="CD409" s="267"/>
      <c r="CE409" s="267"/>
      <c r="CF409" s="267"/>
      <c r="CG409" s="267"/>
      <c r="CH409" s="267"/>
      <c r="CI409" s="435"/>
      <c r="CJ409" s="436"/>
      <c r="CK409" s="437"/>
    </row>
    <row r="410" spans="16:89" x14ac:dyDescent="0.25">
      <c r="P410" s="140"/>
      <c r="Q410" s="140"/>
      <c r="R410" s="140"/>
      <c r="S410" s="140"/>
      <c r="T410" s="140"/>
      <c r="U410" s="140"/>
      <c r="BV410" s="177"/>
      <c r="BW410" s="177"/>
      <c r="BX410" s="267"/>
      <c r="BY410" s="267"/>
      <c r="BZ410" s="267"/>
      <c r="CA410" s="267"/>
      <c r="CB410" s="267"/>
      <c r="CC410" s="267"/>
      <c r="CD410" s="267"/>
      <c r="CE410" s="267"/>
      <c r="CF410" s="267"/>
      <c r="CG410" s="267"/>
      <c r="CH410" s="267"/>
      <c r="CI410" s="435"/>
      <c r="CJ410" s="436"/>
      <c r="CK410" s="437"/>
    </row>
    <row r="411" spans="16:89" x14ac:dyDescent="0.25">
      <c r="P411" s="140"/>
      <c r="Q411" s="140"/>
      <c r="R411" s="140"/>
      <c r="S411" s="140"/>
      <c r="T411" s="140"/>
      <c r="U411" s="140"/>
      <c r="BV411" s="177"/>
      <c r="BW411" s="177"/>
      <c r="BX411" s="267"/>
      <c r="BY411" s="267"/>
      <c r="BZ411" s="267"/>
      <c r="CA411" s="267"/>
      <c r="CB411" s="267"/>
      <c r="CC411" s="267"/>
      <c r="CD411" s="267"/>
      <c r="CE411" s="267"/>
      <c r="CF411" s="267"/>
      <c r="CG411" s="267"/>
      <c r="CH411" s="267"/>
      <c r="CI411" s="435"/>
      <c r="CJ411" s="436"/>
      <c r="CK411" s="437"/>
    </row>
    <row r="412" spans="16:89" x14ac:dyDescent="0.25">
      <c r="P412" s="140"/>
      <c r="Q412" s="140"/>
      <c r="R412" s="140"/>
      <c r="S412" s="140"/>
      <c r="T412" s="140"/>
      <c r="U412" s="140"/>
      <c r="BV412" s="177"/>
      <c r="BW412" s="177"/>
      <c r="BX412" s="267"/>
      <c r="BY412" s="267"/>
      <c r="BZ412" s="267"/>
      <c r="CA412" s="267"/>
      <c r="CB412" s="267"/>
      <c r="CC412" s="267"/>
      <c r="CD412" s="267"/>
      <c r="CE412" s="267"/>
      <c r="CF412" s="267"/>
      <c r="CG412" s="267"/>
      <c r="CH412" s="267"/>
      <c r="CI412" s="435"/>
      <c r="CJ412" s="436"/>
      <c r="CK412" s="437"/>
    </row>
    <row r="413" spans="16:89" x14ac:dyDescent="0.25">
      <c r="P413" s="140"/>
      <c r="Q413" s="140"/>
      <c r="R413" s="140"/>
      <c r="S413" s="140"/>
      <c r="T413" s="140"/>
      <c r="U413" s="140"/>
      <c r="BV413" s="177"/>
      <c r="BW413" s="177"/>
      <c r="BX413" s="267"/>
      <c r="BY413" s="267"/>
      <c r="BZ413" s="267"/>
      <c r="CA413" s="267"/>
      <c r="CB413" s="267"/>
      <c r="CC413" s="267"/>
      <c r="CD413" s="267"/>
      <c r="CE413" s="267"/>
      <c r="CF413" s="267"/>
      <c r="CG413" s="267"/>
      <c r="CH413" s="267"/>
      <c r="CI413" s="435"/>
      <c r="CJ413" s="436"/>
      <c r="CK413" s="437"/>
    </row>
    <row r="414" spans="16:89" x14ac:dyDescent="0.25">
      <c r="P414" s="140"/>
      <c r="Q414" s="140"/>
      <c r="R414" s="140"/>
      <c r="S414" s="140"/>
      <c r="T414" s="140"/>
      <c r="U414" s="140"/>
      <c r="BV414" s="177"/>
      <c r="BW414" s="177"/>
      <c r="BX414" s="267"/>
      <c r="BY414" s="267"/>
      <c r="BZ414" s="267"/>
      <c r="CA414" s="267"/>
      <c r="CB414" s="267"/>
      <c r="CC414" s="267"/>
      <c r="CD414" s="267"/>
      <c r="CE414" s="267"/>
      <c r="CF414" s="267"/>
      <c r="CG414" s="267"/>
      <c r="CH414" s="267"/>
      <c r="CI414" s="435"/>
      <c r="CJ414" s="436"/>
      <c r="CK414" s="437"/>
    </row>
    <row r="415" spans="16:89" x14ac:dyDescent="0.25">
      <c r="P415" s="140"/>
      <c r="Q415" s="140"/>
      <c r="R415" s="140"/>
      <c r="S415" s="140"/>
      <c r="T415" s="140"/>
      <c r="U415" s="140"/>
      <c r="BV415" s="177"/>
      <c r="BW415" s="177"/>
      <c r="BX415" s="267"/>
      <c r="BY415" s="267"/>
      <c r="BZ415" s="267"/>
      <c r="CA415" s="267"/>
      <c r="CB415" s="267"/>
      <c r="CC415" s="267"/>
      <c r="CD415" s="267"/>
      <c r="CE415" s="267"/>
      <c r="CF415" s="267"/>
      <c r="CG415" s="267"/>
      <c r="CH415" s="267"/>
      <c r="CI415" s="435"/>
      <c r="CJ415" s="436"/>
      <c r="CK415" s="437"/>
    </row>
    <row r="416" spans="16:89" x14ac:dyDescent="0.25">
      <c r="P416" s="140"/>
      <c r="Q416" s="140"/>
      <c r="R416" s="140"/>
      <c r="S416" s="140"/>
      <c r="T416" s="140"/>
      <c r="U416" s="140"/>
      <c r="BV416" s="177"/>
      <c r="BW416" s="177"/>
      <c r="BX416" s="267"/>
      <c r="BY416" s="267"/>
      <c r="BZ416" s="267"/>
      <c r="CA416" s="267"/>
      <c r="CB416" s="267"/>
      <c r="CC416" s="267"/>
      <c r="CD416" s="267"/>
      <c r="CE416" s="267"/>
      <c r="CF416" s="267"/>
      <c r="CG416" s="267"/>
      <c r="CH416" s="267"/>
      <c r="CI416" s="435"/>
      <c r="CJ416" s="436"/>
      <c r="CK416" s="437"/>
    </row>
    <row r="417" spans="16:89" x14ac:dyDescent="0.25">
      <c r="P417" s="140"/>
      <c r="Q417" s="140"/>
      <c r="R417" s="140"/>
      <c r="S417" s="140"/>
      <c r="T417" s="140"/>
      <c r="U417" s="140"/>
      <c r="BV417" s="177"/>
      <c r="BW417" s="177"/>
      <c r="BX417" s="267"/>
      <c r="BY417" s="267"/>
      <c r="BZ417" s="267"/>
      <c r="CA417" s="267"/>
      <c r="CB417" s="267"/>
      <c r="CC417" s="267"/>
      <c r="CD417" s="267"/>
      <c r="CE417" s="267"/>
      <c r="CF417" s="267"/>
      <c r="CG417" s="267"/>
      <c r="CH417" s="267"/>
      <c r="CI417" s="435"/>
      <c r="CJ417" s="436"/>
      <c r="CK417" s="437"/>
    </row>
    <row r="418" spans="16:89" x14ac:dyDescent="0.25">
      <c r="P418" s="140"/>
      <c r="Q418" s="140"/>
      <c r="R418" s="140"/>
      <c r="S418" s="140"/>
      <c r="T418" s="140"/>
      <c r="U418" s="140"/>
      <c r="BV418" s="177"/>
      <c r="BW418" s="177"/>
      <c r="BX418" s="267"/>
      <c r="BY418" s="267"/>
      <c r="BZ418" s="267"/>
      <c r="CA418" s="267"/>
      <c r="CB418" s="267"/>
      <c r="CC418" s="267"/>
      <c r="CD418" s="267"/>
      <c r="CE418" s="267"/>
      <c r="CF418" s="267"/>
      <c r="CG418" s="267"/>
      <c r="CH418" s="267"/>
      <c r="CI418" s="435"/>
      <c r="CJ418" s="436"/>
      <c r="CK418" s="437"/>
    </row>
    <row r="419" spans="16:89" x14ac:dyDescent="0.25">
      <c r="P419" s="140"/>
      <c r="Q419" s="140"/>
      <c r="R419" s="140"/>
      <c r="S419" s="140"/>
      <c r="T419" s="140"/>
      <c r="U419" s="140"/>
      <c r="BV419" s="177"/>
      <c r="BW419" s="177"/>
      <c r="BX419" s="267"/>
      <c r="BY419" s="267"/>
      <c r="BZ419" s="267"/>
      <c r="CA419" s="267"/>
      <c r="CB419" s="267"/>
      <c r="CC419" s="267"/>
      <c r="CD419" s="267"/>
      <c r="CE419" s="267"/>
      <c r="CF419" s="267"/>
      <c r="CG419" s="267"/>
      <c r="CH419" s="267"/>
      <c r="CI419" s="435"/>
      <c r="CJ419" s="436"/>
      <c r="CK419" s="437"/>
    </row>
    <row r="420" spans="16:89" x14ac:dyDescent="0.25">
      <c r="P420" s="140"/>
      <c r="Q420" s="140"/>
      <c r="R420" s="140"/>
      <c r="S420" s="140"/>
      <c r="T420" s="140"/>
      <c r="U420" s="140"/>
      <c r="BV420" s="177"/>
      <c r="BW420" s="177"/>
      <c r="BX420" s="267"/>
      <c r="BY420" s="267"/>
      <c r="BZ420" s="267"/>
      <c r="CA420" s="267"/>
      <c r="CB420" s="267"/>
      <c r="CC420" s="267"/>
      <c r="CD420" s="267"/>
      <c r="CE420" s="267"/>
      <c r="CF420" s="267"/>
      <c r="CG420" s="267"/>
      <c r="CH420" s="267"/>
      <c r="CI420" s="435"/>
      <c r="CJ420" s="436"/>
      <c r="CK420" s="437"/>
    </row>
    <row r="421" spans="16:89" x14ac:dyDescent="0.25">
      <c r="P421" s="140"/>
      <c r="Q421" s="140"/>
      <c r="R421" s="140"/>
      <c r="S421" s="140"/>
      <c r="T421" s="140"/>
      <c r="U421" s="140"/>
      <c r="BV421" s="177"/>
      <c r="BW421" s="177"/>
      <c r="BX421" s="267"/>
      <c r="BY421" s="267"/>
      <c r="BZ421" s="267"/>
      <c r="CA421" s="267"/>
      <c r="CB421" s="267"/>
      <c r="CC421" s="267"/>
      <c r="CD421" s="267"/>
      <c r="CE421" s="267"/>
      <c r="CF421" s="267"/>
      <c r="CG421" s="267"/>
      <c r="CH421" s="267"/>
      <c r="CI421" s="435"/>
      <c r="CJ421" s="436"/>
      <c r="CK421" s="437"/>
    </row>
    <row r="422" spans="16:89" x14ac:dyDescent="0.25">
      <c r="P422" s="140"/>
      <c r="Q422" s="140"/>
      <c r="R422" s="140"/>
      <c r="S422" s="140"/>
      <c r="T422" s="140"/>
      <c r="U422" s="140"/>
      <c r="BV422" s="177"/>
      <c r="BW422" s="177"/>
      <c r="BX422" s="267"/>
      <c r="BY422" s="267"/>
      <c r="BZ422" s="267"/>
      <c r="CA422" s="267"/>
      <c r="CB422" s="267"/>
      <c r="CC422" s="267"/>
      <c r="CD422" s="267"/>
      <c r="CE422" s="267"/>
      <c r="CF422" s="267"/>
      <c r="CG422" s="267"/>
      <c r="CH422" s="267"/>
      <c r="CI422" s="435"/>
      <c r="CJ422" s="436"/>
      <c r="CK422" s="437"/>
    </row>
    <row r="423" spans="16:89" x14ac:dyDescent="0.25">
      <c r="P423" s="140"/>
      <c r="Q423" s="140"/>
      <c r="R423" s="140"/>
      <c r="S423" s="140"/>
      <c r="T423" s="140"/>
      <c r="U423" s="140"/>
      <c r="BV423" s="177"/>
      <c r="BW423" s="177"/>
      <c r="BX423" s="267"/>
      <c r="BY423" s="267"/>
      <c r="BZ423" s="267"/>
      <c r="CA423" s="267"/>
      <c r="CB423" s="267"/>
      <c r="CC423" s="267"/>
      <c r="CD423" s="267"/>
      <c r="CE423" s="267"/>
      <c r="CF423" s="267"/>
      <c r="CG423" s="267"/>
      <c r="CH423" s="267"/>
      <c r="CI423" s="435"/>
      <c r="CJ423" s="436"/>
      <c r="CK423" s="437"/>
    </row>
    <row r="424" spans="16:89" x14ac:dyDescent="0.25">
      <c r="P424" s="140"/>
      <c r="Q424" s="140"/>
      <c r="R424" s="140"/>
      <c r="S424" s="140"/>
      <c r="T424" s="140"/>
      <c r="U424" s="140"/>
      <c r="BV424" s="177"/>
      <c r="BW424" s="177"/>
      <c r="BX424" s="267"/>
      <c r="BY424" s="267"/>
      <c r="BZ424" s="267"/>
      <c r="CA424" s="267"/>
      <c r="CB424" s="267"/>
      <c r="CC424" s="267"/>
      <c r="CD424" s="267"/>
      <c r="CE424" s="267"/>
      <c r="CF424" s="267"/>
      <c r="CG424" s="267"/>
      <c r="CH424" s="267"/>
      <c r="CI424" s="435"/>
      <c r="CJ424" s="436"/>
      <c r="CK424" s="437"/>
    </row>
    <row r="425" spans="16:89" x14ac:dyDescent="0.25">
      <c r="P425" s="140"/>
      <c r="Q425" s="140"/>
      <c r="R425" s="140"/>
      <c r="S425" s="140"/>
      <c r="T425" s="140"/>
      <c r="U425" s="140"/>
      <c r="BV425" s="177"/>
      <c r="BW425" s="177"/>
      <c r="BX425" s="267"/>
      <c r="BY425" s="267"/>
      <c r="BZ425" s="267"/>
      <c r="CA425" s="267"/>
      <c r="CB425" s="267"/>
      <c r="CC425" s="267"/>
      <c r="CD425" s="267"/>
      <c r="CE425" s="267"/>
      <c r="CF425" s="267"/>
      <c r="CG425" s="267"/>
      <c r="CH425" s="267"/>
      <c r="CI425" s="435"/>
      <c r="CJ425" s="436"/>
      <c r="CK425" s="437"/>
    </row>
    <row r="426" spans="16:89" x14ac:dyDescent="0.25">
      <c r="P426" s="140"/>
      <c r="Q426" s="140"/>
      <c r="R426" s="140"/>
      <c r="S426" s="140"/>
      <c r="T426" s="140"/>
      <c r="U426" s="140"/>
      <c r="BV426" s="177"/>
      <c r="BW426" s="177"/>
      <c r="BX426" s="267"/>
      <c r="BY426" s="267"/>
      <c r="BZ426" s="267"/>
      <c r="CA426" s="267"/>
      <c r="CB426" s="267"/>
      <c r="CC426" s="267"/>
      <c r="CD426" s="267"/>
      <c r="CE426" s="267"/>
      <c r="CF426" s="267"/>
      <c r="CG426" s="267"/>
      <c r="CH426" s="267"/>
      <c r="CI426" s="435"/>
      <c r="CJ426" s="436"/>
      <c r="CK426" s="437"/>
    </row>
    <row r="427" spans="16:89" x14ac:dyDescent="0.25">
      <c r="P427" s="140"/>
      <c r="Q427" s="140"/>
      <c r="R427" s="140"/>
      <c r="S427" s="140"/>
      <c r="T427" s="140"/>
      <c r="U427" s="140"/>
      <c r="BV427" s="177"/>
      <c r="BW427" s="177"/>
      <c r="BX427" s="267"/>
      <c r="BY427" s="267"/>
      <c r="BZ427" s="267"/>
      <c r="CA427" s="267"/>
      <c r="CB427" s="267"/>
      <c r="CC427" s="267"/>
      <c r="CD427" s="267"/>
      <c r="CE427" s="267"/>
      <c r="CF427" s="267"/>
      <c r="CG427" s="267"/>
      <c r="CH427" s="267"/>
      <c r="CI427" s="435"/>
      <c r="CJ427" s="436"/>
      <c r="CK427" s="437"/>
    </row>
    <row r="428" spans="16:89" x14ac:dyDescent="0.25">
      <c r="P428" s="140"/>
      <c r="Q428" s="140"/>
      <c r="R428" s="140"/>
      <c r="S428" s="140"/>
      <c r="T428" s="140"/>
      <c r="U428" s="140"/>
      <c r="BV428" s="177"/>
      <c r="BW428" s="177"/>
      <c r="BX428" s="267"/>
      <c r="BY428" s="267"/>
      <c r="BZ428" s="267"/>
      <c r="CA428" s="267"/>
      <c r="CB428" s="267"/>
      <c r="CC428" s="267"/>
      <c r="CD428" s="267"/>
      <c r="CE428" s="267"/>
      <c r="CF428" s="267"/>
      <c r="CG428" s="267"/>
      <c r="CH428" s="267"/>
      <c r="CI428" s="435"/>
      <c r="CJ428" s="436"/>
      <c r="CK428" s="437"/>
    </row>
    <row r="429" spans="16:89" x14ac:dyDescent="0.25">
      <c r="P429" s="140"/>
      <c r="Q429" s="140"/>
      <c r="R429" s="140"/>
      <c r="S429" s="140"/>
      <c r="T429" s="140"/>
      <c r="U429" s="140"/>
      <c r="BV429" s="177"/>
      <c r="BW429" s="177"/>
      <c r="BX429" s="267"/>
      <c r="BY429" s="267"/>
      <c r="BZ429" s="267"/>
      <c r="CA429" s="267"/>
      <c r="CB429" s="267"/>
      <c r="CC429" s="267"/>
      <c r="CD429" s="267"/>
      <c r="CE429" s="267"/>
      <c r="CF429" s="267"/>
      <c r="CG429" s="267"/>
      <c r="CH429" s="267"/>
      <c r="CI429" s="435"/>
      <c r="CJ429" s="436"/>
      <c r="CK429" s="437"/>
    </row>
    <row r="430" spans="16:89" x14ac:dyDescent="0.25">
      <c r="P430" s="140"/>
      <c r="Q430" s="140"/>
      <c r="R430" s="140"/>
      <c r="S430" s="140"/>
      <c r="T430" s="140"/>
      <c r="U430" s="140"/>
      <c r="BV430" s="177"/>
      <c r="BW430" s="177"/>
      <c r="BX430" s="267"/>
      <c r="BY430" s="267"/>
      <c r="BZ430" s="267"/>
      <c r="CA430" s="267"/>
      <c r="CB430" s="267"/>
      <c r="CC430" s="267"/>
      <c r="CD430" s="267"/>
      <c r="CE430" s="267"/>
      <c r="CF430" s="267"/>
      <c r="CG430" s="267"/>
      <c r="CH430" s="267"/>
      <c r="CI430" s="435"/>
      <c r="CJ430" s="436"/>
      <c r="CK430" s="437"/>
    </row>
    <row r="431" spans="16:89" x14ac:dyDescent="0.25">
      <c r="P431" s="140"/>
      <c r="Q431" s="140"/>
      <c r="R431" s="140"/>
      <c r="S431" s="140"/>
      <c r="T431" s="140"/>
      <c r="U431" s="140"/>
      <c r="BV431" s="177"/>
      <c r="BW431" s="177"/>
      <c r="BX431" s="267"/>
      <c r="BY431" s="267"/>
      <c r="BZ431" s="267"/>
      <c r="CA431" s="267"/>
      <c r="CB431" s="267"/>
      <c r="CC431" s="267"/>
      <c r="CD431" s="267"/>
      <c r="CE431" s="267"/>
      <c r="CF431" s="267"/>
      <c r="CG431" s="267"/>
      <c r="CH431" s="267"/>
      <c r="CI431" s="435"/>
      <c r="CJ431" s="436"/>
      <c r="CK431" s="437"/>
    </row>
    <row r="432" spans="16:89" x14ac:dyDescent="0.25">
      <c r="P432" s="140"/>
      <c r="Q432" s="140"/>
      <c r="R432" s="140"/>
      <c r="S432" s="140"/>
      <c r="T432" s="140"/>
      <c r="U432" s="140"/>
      <c r="BV432" s="177"/>
      <c r="BW432" s="177"/>
      <c r="BX432" s="267"/>
      <c r="BY432" s="267"/>
      <c r="BZ432" s="267"/>
      <c r="CA432" s="267"/>
      <c r="CB432" s="267"/>
      <c r="CC432" s="267"/>
      <c r="CD432" s="267"/>
      <c r="CE432" s="267"/>
      <c r="CF432" s="267"/>
      <c r="CG432" s="267"/>
      <c r="CH432" s="267"/>
      <c r="CI432" s="435"/>
      <c r="CJ432" s="436"/>
      <c r="CK432" s="437"/>
    </row>
    <row r="433" spans="16:89" x14ac:dyDescent="0.25">
      <c r="P433" s="140"/>
      <c r="Q433" s="140"/>
      <c r="R433" s="140"/>
      <c r="S433" s="140"/>
      <c r="T433" s="140"/>
      <c r="U433" s="140"/>
      <c r="BV433" s="177"/>
      <c r="BW433" s="177"/>
      <c r="BX433" s="267"/>
      <c r="BY433" s="267"/>
      <c r="BZ433" s="267"/>
      <c r="CA433" s="267"/>
      <c r="CB433" s="267"/>
      <c r="CC433" s="267"/>
      <c r="CD433" s="267"/>
      <c r="CE433" s="267"/>
      <c r="CF433" s="267"/>
      <c r="CG433" s="267"/>
      <c r="CH433" s="267"/>
      <c r="CI433" s="435"/>
      <c r="CJ433" s="436"/>
      <c r="CK433" s="437"/>
    </row>
    <row r="434" spans="16:89" x14ac:dyDescent="0.25">
      <c r="P434" s="140"/>
      <c r="Q434" s="140"/>
      <c r="R434" s="140"/>
      <c r="S434" s="140"/>
      <c r="T434" s="140"/>
      <c r="U434" s="140"/>
      <c r="BV434" s="177"/>
      <c r="BW434" s="177"/>
      <c r="BX434" s="267"/>
      <c r="BY434" s="267"/>
      <c r="BZ434" s="267"/>
      <c r="CA434" s="267"/>
      <c r="CB434" s="267"/>
      <c r="CC434" s="267"/>
      <c r="CD434" s="267"/>
      <c r="CE434" s="267"/>
      <c r="CF434" s="267"/>
      <c r="CG434" s="267"/>
      <c r="CH434" s="267"/>
      <c r="CI434" s="435"/>
      <c r="CJ434" s="436"/>
      <c r="CK434" s="437"/>
    </row>
    <row r="435" spans="16:89" x14ac:dyDescent="0.25">
      <c r="P435" s="140"/>
      <c r="Q435" s="140"/>
      <c r="R435" s="140"/>
      <c r="S435" s="140"/>
      <c r="T435" s="140"/>
      <c r="U435" s="140"/>
      <c r="BV435" s="177"/>
      <c r="BW435" s="177"/>
      <c r="BX435" s="267"/>
      <c r="BY435" s="267"/>
      <c r="BZ435" s="267"/>
      <c r="CA435" s="267"/>
      <c r="CB435" s="267"/>
      <c r="CC435" s="267"/>
      <c r="CD435" s="267"/>
      <c r="CE435" s="267"/>
      <c r="CF435" s="267"/>
      <c r="CG435" s="267"/>
      <c r="CH435" s="267"/>
      <c r="CI435" s="435"/>
      <c r="CJ435" s="436"/>
      <c r="CK435" s="437"/>
    </row>
    <row r="436" spans="16:89" x14ac:dyDescent="0.25">
      <c r="P436" s="140"/>
      <c r="Q436" s="140"/>
      <c r="R436" s="140"/>
      <c r="S436" s="140"/>
      <c r="T436" s="140"/>
      <c r="U436" s="140"/>
      <c r="BV436" s="177"/>
      <c r="BW436" s="177"/>
      <c r="BX436" s="267"/>
      <c r="BY436" s="267"/>
      <c r="BZ436" s="267"/>
      <c r="CA436" s="267"/>
      <c r="CB436" s="267"/>
      <c r="CC436" s="267"/>
      <c r="CD436" s="267"/>
      <c r="CE436" s="267"/>
      <c r="CF436" s="267"/>
      <c r="CG436" s="267"/>
      <c r="CH436" s="267"/>
      <c r="CI436" s="435"/>
      <c r="CJ436" s="436"/>
      <c r="CK436" s="437"/>
    </row>
    <row r="437" spans="16:89" x14ac:dyDescent="0.25">
      <c r="P437" s="140"/>
      <c r="Q437" s="140"/>
      <c r="R437" s="140"/>
      <c r="S437" s="140"/>
      <c r="T437" s="140"/>
      <c r="U437" s="140"/>
      <c r="BV437" s="177"/>
      <c r="BW437" s="177"/>
      <c r="BX437" s="267"/>
      <c r="BY437" s="267"/>
      <c r="BZ437" s="267"/>
      <c r="CA437" s="267"/>
      <c r="CB437" s="267"/>
      <c r="CC437" s="267"/>
      <c r="CD437" s="267"/>
      <c r="CE437" s="267"/>
      <c r="CF437" s="267"/>
      <c r="CG437" s="267"/>
      <c r="CH437" s="267"/>
      <c r="CI437" s="435"/>
      <c r="CJ437" s="436"/>
      <c r="CK437" s="437"/>
    </row>
    <row r="438" spans="16:89" x14ac:dyDescent="0.25">
      <c r="P438" s="165">
        <f ca="1">EDATE(H6,57)</f>
        <v>47899</v>
      </c>
      <c r="BV438" s="177"/>
      <c r="BW438" s="177"/>
      <c r="BX438" s="267"/>
      <c r="BY438" s="267"/>
      <c r="BZ438" s="267"/>
      <c r="CA438" s="267"/>
      <c r="CB438" s="267"/>
      <c r="CC438" s="267"/>
      <c r="CD438" s="267"/>
      <c r="CE438" s="267"/>
      <c r="CF438" s="267"/>
      <c r="CG438" s="267"/>
      <c r="CH438" s="267"/>
      <c r="CI438" s="435"/>
      <c r="CJ438" s="436"/>
      <c r="CK438" s="437"/>
    </row>
    <row r="439" spans="16:89" x14ac:dyDescent="0.25">
      <c r="BV439" s="177"/>
      <c r="BW439" s="177"/>
      <c r="BX439" s="267"/>
      <c r="BY439" s="267"/>
      <c r="BZ439" s="267"/>
      <c r="CA439" s="267"/>
      <c r="CB439" s="267"/>
      <c r="CC439" s="267"/>
      <c r="CD439" s="267"/>
      <c r="CE439" s="267"/>
      <c r="CF439" s="267"/>
      <c r="CG439" s="267"/>
      <c r="CH439" s="267"/>
      <c r="CI439" s="435"/>
      <c r="CJ439" s="436"/>
      <c r="CK439" s="437"/>
    </row>
    <row r="440" spans="16:89" x14ac:dyDescent="0.25">
      <c r="BV440" s="177"/>
      <c r="BW440" s="177"/>
      <c r="BX440" s="267"/>
      <c r="BY440" s="267"/>
      <c r="BZ440" s="267"/>
      <c r="CA440" s="267"/>
      <c r="CB440" s="267"/>
      <c r="CC440" s="267"/>
      <c r="CD440" s="267"/>
      <c r="CE440" s="267"/>
      <c r="CF440" s="267"/>
      <c r="CG440" s="267"/>
      <c r="CH440" s="267"/>
      <c r="CI440" s="435"/>
      <c r="CJ440" s="436"/>
      <c r="CK440" s="437"/>
    </row>
    <row r="441" spans="16:89" x14ac:dyDescent="0.25">
      <c r="BV441" s="177"/>
      <c r="BW441" s="177"/>
      <c r="BX441" s="267"/>
      <c r="BY441" s="267"/>
      <c r="BZ441" s="267"/>
      <c r="CA441" s="267"/>
      <c r="CB441" s="267"/>
      <c r="CC441" s="267"/>
      <c r="CD441" s="267"/>
      <c r="CE441" s="267"/>
      <c r="CF441" s="267"/>
      <c r="CG441" s="267"/>
      <c r="CH441" s="267"/>
      <c r="CI441" s="435"/>
      <c r="CJ441" s="436"/>
      <c r="CK441" s="437"/>
    </row>
    <row r="442" spans="16:89" x14ac:dyDescent="0.25">
      <c r="BV442" s="177"/>
      <c r="BW442" s="177"/>
      <c r="BX442" s="267"/>
      <c r="BY442" s="267"/>
      <c r="BZ442" s="267"/>
      <c r="CA442" s="267"/>
      <c r="CB442" s="267"/>
      <c r="CC442" s="267"/>
      <c r="CD442" s="267"/>
      <c r="CE442" s="267"/>
      <c r="CF442" s="267"/>
      <c r="CG442" s="267"/>
      <c r="CH442" s="267"/>
      <c r="CI442" s="435"/>
      <c r="CJ442" s="436"/>
      <c r="CK442" s="437"/>
    </row>
    <row r="443" spans="16:89" x14ac:dyDescent="0.25">
      <c r="BV443" s="177"/>
      <c r="BW443" s="177"/>
      <c r="BX443" s="267"/>
      <c r="BY443" s="267"/>
      <c r="BZ443" s="267"/>
      <c r="CA443" s="267"/>
      <c r="CB443" s="267"/>
      <c r="CC443" s="267"/>
      <c r="CD443" s="267"/>
      <c r="CE443" s="267"/>
      <c r="CF443" s="267"/>
      <c r="CG443" s="267"/>
      <c r="CH443" s="267"/>
      <c r="CI443" s="435"/>
      <c r="CJ443" s="436"/>
      <c r="CK443" s="437"/>
    </row>
    <row r="444" spans="16:89" x14ac:dyDescent="0.25">
      <c r="BV444" s="177"/>
      <c r="BW444" s="177"/>
      <c r="BX444" s="267"/>
      <c r="BY444" s="267"/>
      <c r="BZ444" s="267"/>
      <c r="CA444" s="267"/>
      <c r="CB444" s="267"/>
      <c r="CC444" s="267"/>
      <c r="CD444" s="267"/>
      <c r="CE444" s="267"/>
      <c r="CF444" s="267"/>
      <c r="CG444" s="267"/>
      <c r="CH444" s="267"/>
      <c r="CI444" s="435"/>
      <c r="CJ444" s="436"/>
      <c r="CK444" s="437"/>
    </row>
    <row r="445" spans="16:89" x14ac:dyDescent="0.25">
      <c r="BV445" s="177"/>
      <c r="BW445" s="177"/>
      <c r="BX445" s="267"/>
      <c r="BY445" s="267"/>
      <c r="BZ445" s="267"/>
      <c r="CA445" s="267"/>
      <c r="CB445" s="267"/>
      <c r="CC445" s="267"/>
      <c r="CD445" s="267"/>
      <c r="CE445" s="267"/>
      <c r="CF445" s="267"/>
      <c r="CG445" s="267"/>
      <c r="CH445" s="267"/>
      <c r="CI445" s="435"/>
      <c r="CJ445" s="436"/>
      <c r="CK445" s="437"/>
    </row>
    <row r="446" spans="16:89" x14ac:dyDescent="0.25">
      <c r="BV446" s="177"/>
      <c r="BW446" s="177"/>
      <c r="BX446" s="267"/>
      <c r="BY446" s="267"/>
      <c r="BZ446" s="267"/>
      <c r="CA446" s="267"/>
      <c r="CB446" s="267"/>
      <c r="CC446" s="267"/>
      <c r="CD446" s="267"/>
      <c r="CE446" s="267"/>
      <c r="CF446" s="267"/>
      <c r="CG446" s="267"/>
      <c r="CH446" s="267"/>
      <c r="CI446" s="435"/>
      <c r="CJ446" s="436"/>
      <c r="CK446" s="437"/>
    </row>
    <row r="447" spans="16:89" x14ac:dyDescent="0.25">
      <c r="BV447" s="177"/>
      <c r="BW447" s="177"/>
      <c r="BX447" s="267"/>
      <c r="BY447" s="267"/>
      <c r="BZ447" s="267"/>
      <c r="CA447" s="267"/>
      <c r="CB447" s="267"/>
      <c r="CC447" s="267"/>
      <c r="CD447" s="267"/>
      <c r="CE447" s="267"/>
      <c r="CF447" s="267"/>
      <c r="CG447" s="267"/>
      <c r="CH447" s="267"/>
      <c r="CI447" s="435"/>
      <c r="CJ447" s="436"/>
      <c r="CK447" s="437"/>
    </row>
    <row r="448" spans="16:89" x14ac:dyDescent="0.25">
      <c r="BV448" s="177"/>
      <c r="BW448" s="177"/>
      <c r="BX448" s="267"/>
      <c r="BY448" s="267"/>
      <c r="BZ448" s="267"/>
      <c r="CA448" s="267"/>
      <c r="CB448" s="267"/>
      <c r="CC448" s="267"/>
      <c r="CD448" s="267"/>
      <c r="CE448" s="267"/>
      <c r="CF448" s="267"/>
      <c r="CG448" s="267"/>
      <c r="CH448" s="267"/>
      <c r="CI448" s="435"/>
      <c r="CJ448" s="436"/>
      <c r="CK448" s="437"/>
    </row>
    <row r="449" spans="74:89" x14ac:dyDescent="0.25">
      <c r="BV449" s="177"/>
      <c r="BW449" s="177"/>
      <c r="BX449" s="267"/>
      <c r="BY449" s="267"/>
      <c r="BZ449" s="267"/>
      <c r="CA449" s="267"/>
      <c r="CB449" s="267"/>
      <c r="CC449" s="267"/>
      <c r="CD449" s="267"/>
      <c r="CE449" s="267"/>
      <c r="CF449" s="267"/>
      <c r="CG449" s="267"/>
      <c r="CH449" s="267"/>
      <c r="CI449" s="435"/>
      <c r="CJ449" s="436"/>
      <c r="CK449" s="437"/>
    </row>
    <row r="450" spans="74:89" x14ac:dyDescent="0.25">
      <c r="BV450" s="177"/>
      <c r="BW450" s="177"/>
      <c r="BX450" s="267"/>
      <c r="BY450" s="267"/>
      <c r="BZ450" s="267"/>
      <c r="CA450" s="267"/>
      <c r="CB450" s="267"/>
      <c r="CC450" s="267"/>
      <c r="CD450" s="267"/>
      <c r="CE450" s="267"/>
      <c r="CF450" s="267"/>
      <c r="CG450" s="267"/>
      <c r="CH450" s="267"/>
      <c r="CI450" s="435"/>
      <c r="CJ450" s="436"/>
      <c r="CK450" s="437"/>
    </row>
    <row r="451" spans="74:89" x14ac:dyDescent="0.25">
      <c r="BV451" s="177"/>
      <c r="BW451" s="177"/>
      <c r="BX451" s="267"/>
      <c r="BY451" s="267"/>
      <c r="BZ451" s="267"/>
      <c r="CA451" s="267"/>
      <c r="CB451" s="267"/>
      <c r="CC451" s="267"/>
      <c r="CD451" s="267"/>
      <c r="CE451" s="267"/>
      <c r="CF451" s="267"/>
      <c r="CG451" s="267"/>
      <c r="CH451" s="267"/>
      <c r="CI451" s="435"/>
      <c r="CJ451" s="436"/>
      <c r="CK451" s="437"/>
    </row>
    <row r="452" spans="74:89" x14ac:dyDescent="0.25">
      <c r="BV452" s="177"/>
      <c r="BW452" s="177"/>
      <c r="BX452" s="267"/>
      <c r="BY452" s="267"/>
      <c r="BZ452" s="267"/>
      <c r="CA452" s="267"/>
      <c r="CB452" s="267"/>
      <c r="CC452" s="267"/>
      <c r="CD452" s="267"/>
      <c r="CE452" s="267"/>
      <c r="CF452" s="267"/>
      <c r="CG452" s="267"/>
      <c r="CH452" s="267"/>
      <c r="CI452" s="435"/>
      <c r="CJ452" s="436"/>
      <c r="CK452" s="437"/>
    </row>
    <row r="453" spans="74:89" x14ac:dyDescent="0.25">
      <c r="BV453" s="177"/>
      <c r="BW453" s="177"/>
      <c r="BX453" s="267"/>
      <c r="BY453" s="267"/>
      <c r="BZ453" s="267"/>
      <c r="CA453" s="267"/>
      <c r="CB453" s="267"/>
      <c r="CC453" s="267"/>
      <c r="CD453" s="267"/>
      <c r="CE453" s="267"/>
      <c r="CF453" s="267"/>
      <c r="CG453" s="267"/>
      <c r="CH453" s="267"/>
      <c r="CI453" s="435"/>
      <c r="CJ453" s="436"/>
      <c r="CK453" s="437"/>
    </row>
    <row r="454" spans="74:89" x14ac:dyDescent="0.25">
      <c r="BV454" s="177"/>
      <c r="BW454" s="177"/>
      <c r="BX454" s="267"/>
      <c r="BY454" s="267"/>
      <c r="BZ454" s="267"/>
      <c r="CA454" s="267"/>
      <c r="CB454" s="267"/>
      <c r="CC454" s="267"/>
      <c r="CD454" s="267"/>
      <c r="CE454" s="267"/>
      <c r="CF454" s="267"/>
      <c r="CG454" s="267"/>
      <c r="CH454" s="267"/>
      <c r="CI454" s="435"/>
      <c r="CJ454" s="436"/>
      <c r="CK454" s="437"/>
    </row>
    <row r="455" spans="74:89" x14ac:dyDescent="0.25">
      <c r="BV455" s="177"/>
      <c r="BW455" s="177"/>
      <c r="BX455" s="267"/>
      <c r="BY455" s="267"/>
      <c r="BZ455" s="267"/>
      <c r="CA455" s="267"/>
      <c r="CB455" s="267"/>
      <c r="CC455" s="267"/>
      <c r="CD455" s="267"/>
      <c r="CE455" s="267"/>
      <c r="CF455" s="267"/>
      <c r="CG455" s="267"/>
      <c r="CH455" s="267"/>
      <c r="CI455" s="435"/>
      <c r="CJ455" s="436"/>
      <c r="CK455" s="437"/>
    </row>
    <row r="456" spans="74:89" x14ac:dyDescent="0.25">
      <c r="BV456" s="177"/>
      <c r="BW456" s="177"/>
      <c r="BX456" s="267"/>
      <c r="BY456" s="267"/>
      <c r="BZ456" s="267"/>
      <c r="CA456" s="267"/>
      <c r="CB456" s="267"/>
      <c r="CC456" s="267"/>
      <c r="CD456" s="267"/>
      <c r="CE456" s="267"/>
      <c r="CF456" s="267"/>
      <c r="CG456" s="267"/>
      <c r="CH456" s="267"/>
      <c r="CI456" s="435"/>
      <c r="CJ456" s="436"/>
      <c r="CK456" s="437"/>
    </row>
    <row r="457" spans="74:89" x14ac:dyDescent="0.25">
      <c r="BV457" s="177"/>
      <c r="BW457" s="177"/>
      <c r="BX457" s="267"/>
      <c r="BY457" s="267"/>
      <c r="BZ457" s="267"/>
      <c r="CA457" s="267"/>
      <c r="CB457" s="267"/>
      <c r="CC457" s="267"/>
      <c r="CD457" s="267"/>
      <c r="CE457" s="267"/>
      <c r="CF457" s="267"/>
      <c r="CG457" s="267"/>
      <c r="CH457" s="267"/>
      <c r="CI457" s="435"/>
      <c r="CJ457" s="436"/>
      <c r="CK457" s="437"/>
    </row>
    <row r="458" spans="74:89" x14ac:dyDescent="0.25">
      <c r="BV458" s="177"/>
      <c r="BW458" s="177"/>
      <c r="BX458" s="267"/>
      <c r="BY458" s="267"/>
      <c r="BZ458" s="267"/>
      <c r="CA458" s="267"/>
      <c r="CB458" s="267"/>
      <c r="CC458" s="267"/>
      <c r="CD458" s="267"/>
      <c r="CE458" s="267"/>
      <c r="CF458" s="267"/>
      <c r="CG458" s="267"/>
      <c r="CH458" s="267"/>
      <c r="CI458" s="435"/>
      <c r="CJ458" s="436"/>
      <c r="CK458" s="437"/>
    </row>
    <row r="459" spans="74:89" x14ac:dyDescent="0.25">
      <c r="BV459" s="177"/>
      <c r="BW459" s="177"/>
      <c r="BX459" s="267"/>
      <c r="BY459" s="267"/>
      <c r="BZ459" s="267"/>
      <c r="CA459" s="267"/>
      <c r="CB459" s="267"/>
      <c r="CC459" s="267"/>
      <c r="CD459" s="267"/>
      <c r="CE459" s="267"/>
      <c r="CF459" s="267"/>
      <c r="CG459" s="267"/>
      <c r="CH459" s="267"/>
      <c r="CI459" s="435"/>
      <c r="CJ459" s="436"/>
      <c r="CK459" s="437"/>
    </row>
    <row r="460" spans="74:89" x14ac:dyDescent="0.25">
      <c r="BV460" s="177"/>
      <c r="BW460" s="177"/>
      <c r="BX460" s="267"/>
      <c r="BY460" s="267"/>
      <c r="BZ460" s="267"/>
      <c r="CA460" s="267"/>
      <c r="CB460" s="267"/>
      <c r="CC460" s="267"/>
      <c r="CD460" s="267"/>
      <c r="CE460" s="267"/>
      <c r="CF460" s="267"/>
      <c r="CG460" s="267"/>
      <c r="CH460" s="267"/>
      <c r="CI460" s="435"/>
      <c r="CJ460" s="436"/>
      <c r="CK460" s="437"/>
    </row>
    <row r="461" spans="74:89" x14ac:dyDescent="0.25">
      <c r="BV461" s="177"/>
      <c r="BW461" s="177"/>
      <c r="BX461" s="267"/>
      <c r="BY461" s="267"/>
      <c r="BZ461" s="267"/>
      <c r="CA461" s="267"/>
      <c r="CB461" s="267"/>
      <c r="CC461" s="267"/>
      <c r="CD461" s="267"/>
      <c r="CE461" s="267"/>
      <c r="CF461" s="267"/>
      <c r="CG461" s="267"/>
      <c r="CH461" s="267"/>
      <c r="CI461" s="435"/>
      <c r="CJ461" s="436"/>
      <c r="CK461" s="437"/>
    </row>
    <row r="462" spans="74:89" x14ac:dyDescent="0.25">
      <c r="BV462" s="177"/>
      <c r="BW462" s="177"/>
      <c r="BX462" s="267"/>
      <c r="BY462" s="267"/>
      <c r="BZ462" s="267"/>
      <c r="CA462" s="267"/>
      <c r="CB462" s="267"/>
      <c r="CC462" s="267"/>
      <c r="CD462" s="267"/>
      <c r="CE462" s="267"/>
      <c r="CF462" s="267"/>
      <c r="CG462" s="267"/>
      <c r="CH462" s="267"/>
      <c r="CI462" s="435"/>
      <c r="CJ462" s="436"/>
      <c r="CK462" s="437"/>
    </row>
    <row r="463" spans="74:89" x14ac:dyDescent="0.25">
      <c r="BV463" s="177"/>
      <c r="BW463" s="177"/>
      <c r="BX463" s="267"/>
      <c r="BY463" s="267"/>
      <c r="BZ463" s="267"/>
      <c r="CA463" s="267"/>
      <c r="CB463" s="267"/>
      <c r="CC463" s="267"/>
      <c r="CD463" s="267"/>
      <c r="CE463" s="267"/>
      <c r="CF463" s="267"/>
      <c r="CG463" s="267"/>
      <c r="CH463" s="267"/>
      <c r="CI463" s="435"/>
      <c r="CJ463" s="436"/>
      <c r="CK463" s="437"/>
    </row>
    <row r="464" spans="74:89" x14ac:dyDescent="0.25">
      <c r="BV464" s="177"/>
      <c r="BW464" s="177"/>
      <c r="BX464" s="267"/>
      <c r="BY464" s="267"/>
      <c r="BZ464" s="267"/>
      <c r="CA464" s="267"/>
      <c r="CB464" s="267"/>
      <c r="CC464" s="267"/>
      <c r="CD464" s="267"/>
      <c r="CE464" s="267"/>
      <c r="CF464" s="267"/>
      <c r="CG464" s="267"/>
      <c r="CH464" s="267"/>
      <c r="CI464" s="435"/>
      <c r="CJ464" s="436"/>
      <c r="CK464" s="437"/>
    </row>
    <row r="465" spans="74:89" x14ac:dyDescent="0.25">
      <c r="BV465" s="177"/>
      <c r="BW465" s="177"/>
      <c r="BX465" s="267"/>
      <c r="BY465" s="267"/>
      <c r="BZ465" s="267"/>
      <c r="CA465" s="267"/>
      <c r="CB465" s="267"/>
      <c r="CC465" s="267"/>
      <c r="CD465" s="267"/>
      <c r="CE465" s="267"/>
      <c r="CF465" s="267"/>
      <c r="CG465" s="267"/>
      <c r="CH465" s="267"/>
      <c r="CI465" s="435"/>
      <c r="CJ465" s="436"/>
      <c r="CK465" s="437"/>
    </row>
    <row r="466" spans="74:89" x14ac:dyDescent="0.25">
      <c r="BV466" s="177"/>
      <c r="BW466" s="177"/>
      <c r="BX466" s="267"/>
      <c r="BY466" s="267"/>
      <c r="BZ466" s="267"/>
      <c r="CA466" s="267"/>
      <c r="CB466" s="267"/>
      <c r="CC466" s="267"/>
      <c r="CD466" s="267"/>
      <c r="CE466" s="267"/>
      <c r="CF466" s="267"/>
      <c r="CG466" s="267"/>
      <c r="CH466" s="267"/>
      <c r="CI466" s="435"/>
      <c r="CJ466" s="436"/>
      <c r="CK466" s="437"/>
    </row>
    <row r="467" spans="74:89" x14ac:dyDescent="0.25">
      <c r="BV467" s="177"/>
      <c r="BW467" s="177"/>
      <c r="BX467" s="267"/>
      <c r="BY467" s="267"/>
      <c r="BZ467" s="267"/>
      <c r="CA467" s="267"/>
      <c r="CB467" s="267"/>
      <c r="CC467" s="267"/>
      <c r="CD467" s="267"/>
      <c r="CE467" s="267"/>
      <c r="CF467" s="267"/>
      <c r="CG467" s="267"/>
      <c r="CH467" s="267"/>
      <c r="CI467" s="435"/>
      <c r="CJ467" s="436"/>
      <c r="CK467" s="437"/>
    </row>
    <row r="468" spans="74:89" x14ac:dyDescent="0.25">
      <c r="BV468" s="177"/>
      <c r="BW468" s="177"/>
      <c r="BX468" s="267"/>
      <c r="BY468" s="267"/>
      <c r="BZ468" s="267"/>
      <c r="CA468" s="267"/>
      <c r="CB468" s="267"/>
      <c r="CC468" s="267"/>
      <c r="CD468" s="267"/>
      <c r="CE468" s="267"/>
      <c r="CF468" s="267"/>
      <c r="CG468" s="267"/>
      <c r="CH468" s="267"/>
      <c r="CI468" s="435"/>
      <c r="CJ468" s="436"/>
      <c r="CK468" s="437"/>
    </row>
    <row r="469" spans="74:89" x14ac:dyDescent="0.25">
      <c r="BV469" s="177"/>
      <c r="BW469" s="177"/>
      <c r="BX469" s="267"/>
      <c r="BY469" s="267"/>
      <c r="BZ469" s="267"/>
      <c r="CA469" s="267"/>
      <c r="CB469" s="267"/>
      <c r="CC469" s="267"/>
      <c r="CD469" s="267"/>
      <c r="CE469" s="267"/>
      <c r="CF469" s="267"/>
      <c r="CG469" s="267"/>
      <c r="CH469" s="267"/>
      <c r="CI469" s="435"/>
      <c r="CJ469" s="436"/>
      <c r="CK469" s="437"/>
    </row>
    <row r="470" spans="74:89" x14ac:dyDescent="0.25">
      <c r="BV470" s="177"/>
      <c r="BW470" s="177"/>
      <c r="BX470" s="267"/>
      <c r="BY470" s="267"/>
      <c r="BZ470" s="267"/>
      <c r="CA470" s="267"/>
      <c r="CB470" s="267"/>
      <c r="CC470" s="267"/>
      <c r="CD470" s="267"/>
      <c r="CE470" s="267"/>
      <c r="CF470" s="267"/>
      <c r="CG470" s="267"/>
      <c r="CH470" s="267"/>
      <c r="CI470" s="435"/>
      <c r="CJ470" s="436"/>
      <c r="CK470" s="437"/>
    </row>
    <row r="471" spans="74:89" x14ac:dyDescent="0.25">
      <c r="BV471" s="177"/>
      <c r="BW471" s="177"/>
      <c r="BX471" s="267"/>
      <c r="BY471" s="267"/>
      <c r="BZ471" s="267"/>
      <c r="CA471" s="267"/>
      <c r="CB471" s="267"/>
      <c r="CC471" s="267"/>
      <c r="CD471" s="267"/>
      <c r="CE471" s="267"/>
      <c r="CF471" s="267"/>
      <c r="CG471" s="267"/>
      <c r="CH471" s="267"/>
      <c r="CI471" s="435"/>
      <c r="CJ471" s="436"/>
      <c r="CK471" s="437"/>
    </row>
    <row r="472" spans="74:89" x14ac:dyDescent="0.25">
      <c r="BV472" s="177"/>
      <c r="BW472" s="177"/>
      <c r="BX472" s="267"/>
      <c r="BY472" s="267"/>
      <c r="BZ472" s="267"/>
      <c r="CA472" s="267"/>
      <c r="CB472" s="267"/>
      <c r="CC472" s="267"/>
      <c r="CD472" s="267"/>
      <c r="CE472" s="267"/>
      <c r="CF472" s="267"/>
      <c r="CG472" s="267"/>
      <c r="CH472" s="267"/>
      <c r="CI472" s="435"/>
      <c r="CJ472" s="436"/>
      <c r="CK472" s="437"/>
    </row>
    <row r="473" spans="74:89" x14ac:dyDescent="0.25">
      <c r="BV473" s="177"/>
      <c r="BW473" s="177"/>
      <c r="BX473" s="267"/>
      <c r="BY473" s="267"/>
      <c r="BZ473" s="267"/>
      <c r="CA473" s="267"/>
      <c r="CB473" s="267"/>
      <c r="CC473" s="267"/>
      <c r="CD473" s="267"/>
      <c r="CE473" s="267"/>
      <c r="CF473" s="267"/>
      <c r="CG473" s="267"/>
      <c r="CH473" s="267"/>
      <c r="CI473" s="435"/>
      <c r="CJ473" s="436"/>
      <c r="CK473" s="437"/>
    </row>
    <row r="474" spans="74:89" x14ac:dyDescent="0.25">
      <c r="BV474" s="177"/>
      <c r="BW474" s="177"/>
      <c r="BX474" s="267"/>
      <c r="BY474" s="267"/>
      <c r="BZ474" s="267"/>
      <c r="CA474" s="267"/>
      <c r="CB474" s="267"/>
      <c r="CC474" s="267"/>
      <c r="CD474" s="267"/>
      <c r="CE474" s="267"/>
      <c r="CF474" s="267"/>
      <c r="CG474" s="267"/>
      <c r="CH474" s="267"/>
      <c r="CI474" s="435"/>
      <c r="CJ474" s="436"/>
      <c r="CK474" s="437"/>
    </row>
    <row r="475" spans="74:89" x14ac:dyDescent="0.25">
      <c r="BV475" s="177"/>
      <c r="BW475" s="177"/>
      <c r="BX475" s="267"/>
      <c r="BY475" s="267"/>
      <c r="BZ475" s="267"/>
      <c r="CA475" s="267"/>
      <c r="CB475" s="267"/>
      <c r="CC475" s="267"/>
      <c r="CD475" s="267"/>
      <c r="CE475" s="267"/>
      <c r="CF475" s="267"/>
      <c r="CG475" s="267"/>
      <c r="CH475" s="267"/>
      <c r="CI475" s="435"/>
      <c r="CJ475" s="436"/>
      <c r="CK475" s="437"/>
    </row>
    <row r="476" spans="74:89" x14ac:dyDescent="0.25">
      <c r="BV476" s="177"/>
      <c r="BW476" s="177"/>
      <c r="BX476" s="267"/>
      <c r="BY476" s="267"/>
      <c r="BZ476" s="267"/>
      <c r="CA476" s="267"/>
      <c r="CB476" s="267"/>
      <c r="CC476" s="267"/>
      <c r="CD476" s="267"/>
      <c r="CE476" s="267"/>
      <c r="CF476" s="267"/>
      <c r="CG476" s="267"/>
      <c r="CH476" s="267"/>
      <c r="CI476" s="435"/>
      <c r="CJ476" s="436"/>
      <c r="CK476" s="437"/>
    </row>
    <row r="477" spans="74:89" x14ac:dyDescent="0.25">
      <c r="BV477" s="177"/>
      <c r="BW477" s="177"/>
      <c r="BX477" s="267"/>
      <c r="BY477" s="267"/>
      <c r="BZ477" s="267"/>
      <c r="CA477" s="267"/>
      <c r="CB477" s="267"/>
      <c r="CC477" s="267"/>
      <c r="CD477" s="267"/>
      <c r="CE477" s="267"/>
      <c r="CF477" s="267"/>
      <c r="CG477" s="267"/>
      <c r="CH477" s="267"/>
      <c r="CI477" s="435"/>
      <c r="CJ477" s="436"/>
      <c r="CK477" s="437"/>
    </row>
    <row r="478" spans="74:89" x14ac:dyDescent="0.25">
      <c r="BV478" s="177"/>
      <c r="BW478" s="177"/>
      <c r="BX478" s="267"/>
      <c r="BY478" s="267"/>
      <c r="BZ478" s="267"/>
      <c r="CA478" s="267"/>
      <c r="CB478" s="267"/>
      <c r="CC478" s="267"/>
      <c r="CD478" s="267"/>
      <c r="CE478" s="267"/>
      <c r="CF478" s="267"/>
      <c r="CG478" s="267"/>
      <c r="CH478" s="267"/>
      <c r="CI478" s="435"/>
      <c r="CJ478" s="436"/>
      <c r="CK478" s="437"/>
    </row>
    <row r="479" spans="74:89" x14ac:dyDescent="0.25">
      <c r="BV479" s="177"/>
      <c r="BW479" s="177"/>
      <c r="BX479" s="267"/>
      <c r="BY479" s="267"/>
      <c r="BZ479" s="267"/>
      <c r="CA479" s="267"/>
      <c r="CB479" s="267"/>
      <c r="CC479" s="267"/>
      <c r="CD479" s="267"/>
      <c r="CE479" s="267"/>
      <c r="CF479" s="267"/>
      <c r="CG479" s="267"/>
      <c r="CH479" s="267"/>
      <c r="CI479" s="435"/>
      <c r="CJ479" s="436"/>
      <c r="CK479" s="437"/>
    </row>
    <row r="480" spans="74:89" x14ac:dyDescent="0.25">
      <c r="BV480" s="177"/>
      <c r="BW480" s="17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  <c r="CH480" s="267"/>
      <c r="CI480" s="435"/>
      <c r="CJ480" s="436"/>
      <c r="CK480" s="437"/>
    </row>
    <row r="481" spans="74:89" x14ac:dyDescent="0.25">
      <c r="BV481" s="177"/>
      <c r="BW481" s="177"/>
      <c r="BX481" s="267"/>
      <c r="BY481" s="267"/>
      <c r="BZ481" s="267"/>
      <c r="CA481" s="267"/>
      <c r="CB481" s="267"/>
      <c r="CC481" s="267"/>
      <c r="CD481" s="267"/>
      <c r="CE481" s="267"/>
      <c r="CF481" s="267"/>
      <c r="CG481" s="267"/>
      <c r="CH481" s="267"/>
      <c r="CI481" s="435"/>
      <c r="CJ481" s="436"/>
      <c r="CK481" s="437"/>
    </row>
    <row r="482" spans="74:89" x14ac:dyDescent="0.25">
      <c r="BV482" s="177"/>
      <c r="BW482" s="177"/>
      <c r="BX482" s="267"/>
      <c r="BY482" s="267"/>
      <c r="BZ482" s="267"/>
      <c r="CA482" s="267"/>
      <c r="CB482" s="267"/>
      <c r="CC482" s="267"/>
      <c r="CD482" s="267"/>
      <c r="CE482" s="267"/>
      <c r="CF482" s="267"/>
      <c r="CG482" s="267"/>
      <c r="CH482" s="267"/>
      <c r="CI482" s="435"/>
      <c r="CJ482" s="436"/>
      <c r="CK482" s="437"/>
    </row>
    <row r="483" spans="74:89" x14ac:dyDescent="0.25">
      <c r="BV483" s="177"/>
      <c r="BW483" s="177"/>
      <c r="BX483" s="267"/>
      <c r="BY483" s="267"/>
      <c r="BZ483" s="267"/>
      <c r="CA483" s="267"/>
      <c r="CB483" s="267"/>
      <c r="CC483" s="267"/>
      <c r="CD483" s="267"/>
      <c r="CE483" s="267"/>
      <c r="CF483" s="267"/>
      <c r="CG483" s="267"/>
      <c r="CH483" s="267"/>
      <c r="CI483" s="435"/>
      <c r="CJ483" s="436"/>
      <c r="CK483" s="437"/>
    </row>
    <row r="484" spans="74:89" x14ac:dyDescent="0.25">
      <c r="BV484" s="177"/>
      <c r="BW484" s="177"/>
      <c r="BX484" s="267"/>
      <c r="BY484" s="267"/>
      <c r="BZ484" s="267"/>
      <c r="CA484" s="267"/>
      <c r="CB484" s="267"/>
      <c r="CC484" s="267"/>
      <c r="CD484" s="267"/>
      <c r="CE484" s="267"/>
      <c r="CF484" s="267"/>
      <c r="CG484" s="267"/>
      <c r="CH484" s="267"/>
      <c r="CI484" s="435"/>
      <c r="CJ484" s="436"/>
      <c r="CK484" s="437"/>
    </row>
    <row r="485" spans="74:89" x14ac:dyDescent="0.25">
      <c r="BV485" s="177"/>
      <c r="BW485" s="177"/>
      <c r="BX485" s="267"/>
      <c r="BY485" s="267"/>
      <c r="BZ485" s="267"/>
      <c r="CA485" s="267"/>
      <c r="CB485" s="267"/>
      <c r="CC485" s="267"/>
      <c r="CD485" s="267"/>
      <c r="CE485" s="267"/>
      <c r="CF485" s="267"/>
      <c r="CG485" s="267"/>
      <c r="CH485" s="267"/>
      <c r="CI485" s="435"/>
      <c r="CJ485" s="436"/>
      <c r="CK485" s="437"/>
    </row>
    <row r="486" spans="74:89" x14ac:dyDescent="0.25">
      <c r="BV486" s="177"/>
      <c r="BW486" s="177"/>
      <c r="BX486" s="267"/>
      <c r="BY486" s="267"/>
      <c r="BZ486" s="267"/>
      <c r="CA486" s="267"/>
      <c r="CB486" s="267"/>
      <c r="CC486" s="267"/>
      <c r="CD486" s="267"/>
      <c r="CE486" s="267"/>
      <c r="CF486" s="267"/>
      <c r="CG486" s="267"/>
      <c r="CH486" s="267"/>
      <c r="CI486" s="435"/>
      <c r="CJ486" s="436"/>
      <c r="CK486" s="437"/>
    </row>
    <row r="487" spans="74:89" x14ac:dyDescent="0.25">
      <c r="BV487" s="177"/>
      <c r="BW487" s="177"/>
      <c r="BX487" s="267"/>
      <c r="BY487" s="267"/>
      <c r="BZ487" s="267"/>
      <c r="CA487" s="267"/>
      <c r="CB487" s="267"/>
      <c r="CC487" s="267"/>
      <c r="CD487" s="267"/>
      <c r="CE487" s="267"/>
      <c r="CF487" s="267"/>
      <c r="CG487" s="267"/>
      <c r="CH487" s="267"/>
      <c r="CI487" s="435"/>
      <c r="CJ487" s="436"/>
      <c r="CK487" s="437"/>
    </row>
    <row r="488" spans="74:89" x14ac:dyDescent="0.25">
      <c r="BV488" s="177"/>
      <c r="BW488" s="177"/>
      <c r="BX488" s="267"/>
      <c r="BY488" s="267"/>
      <c r="BZ488" s="267"/>
      <c r="CA488" s="267"/>
      <c r="CB488" s="267"/>
      <c r="CC488" s="267"/>
      <c r="CD488" s="267"/>
      <c r="CE488" s="267"/>
      <c r="CF488" s="267"/>
      <c r="CG488" s="267"/>
      <c r="CH488" s="267"/>
      <c r="CI488" s="435"/>
      <c r="CJ488" s="436"/>
      <c r="CK488" s="437"/>
    </row>
    <row r="489" spans="74:89" x14ac:dyDescent="0.25">
      <c r="BV489" s="177"/>
      <c r="BW489" s="177"/>
      <c r="BX489" s="267"/>
      <c r="BY489" s="267"/>
      <c r="BZ489" s="267"/>
      <c r="CA489" s="267"/>
      <c r="CB489" s="267"/>
      <c r="CC489" s="267"/>
      <c r="CD489" s="267"/>
      <c r="CE489" s="267"/>
      <c r="CF489" s="267"/>
      <c r="CG489" s="267"/>
      <c r="CH489" s="267"/>
      <c r="CI489" s="435"/>
      <c r="CJ489" s="436"/>
      <c r="CK489" s="437"/>
    </row>
    <row r="490" spans="74:89" x14ac:dyDescent="0.25">
      <c r="BV490" s="177"/>
      <c r="BW490" s="177"/>
      <c r="BX490" s="267"/>
      <c r="BY490" s="267"/>
      <c r="BZ490" s="267"/>
      <c r="CA490" s="267"/>
      <c r="CB490" s="267"/>
      <c r="CC490" s="267"/>
      <c r="CD490" s="267"/>
      <c r="CE490" s="267"/>
      <c r="CF490" s="267"/>
      <c r="CG490" s="267"/>
      <c r="CH490" s="267"/>
      <c r="CI490" s="435"/>
      <c r="CJ490" s="436"/>
      <c r="CK490" s="437"/>
    </row>
    <row r="491" spans="74:89" x14ac:dyDescent="0.25">
      <c r="BV491" s="177"/>
      <c r="BW491" s="177"/>
      <c r="BX491" s="267"/>
      <c r="BY491" s="267"/>
      <c r="BZ491" s="267"/>
      <c r="CA491" s="267"/>
      <c r="CB491" s="267"/>
      <c r="CC491" s="267"/>
      <c r="CD491" s="267"/>
      <c r="CE491" s="267"/>
      <c r="CF491" s="267"/>
      <c r="CG491" s="267"/>
      <c r="CH491" s="267"/>
      <c r="CI491" s="435"/>
      <c r="CJ491" s="436"/>
      <c r="CK491" s="437"/>
    </row>
    <row r="492" spans="74:89" x14ac:dyDescent="0.25">
      <c r="BV492" s="177"/>
      <c r="BW492" s="177"/>
      <c r="BX492" s="267"/>
      <c r="BY492" s="267"/>
      <c r="BZ492" s="267"/>
      <c r="CA492" s="267"/>
      <c r="CB492" s="267"/>
      <c r="CC492" s="267"/>
      <c r="CD492" s="267"/>
      <c r="CE492" s="267"/>
      <c r="CF492" s="267"/>
      <c r="CG492" s="267"/>
      <c r="CH492" s="267"/>
      <c r="CI492" s="435"/>
      <c r="CJ492" s="436"/>
      <c r="CK492" s="437"/>
    </row>
    <row r="493" spans="74:89" x14ac:dyDescent="0.25">
      <c r="BV493" s="177"/>
      <c r="BW493" s="177"/>
      <c r="BX493" s="267"/>
      <c r="BY493" s="267"/>
      <c r="BZ493" s="267"/>
      <c r="CA493" s="267"/>
      <c r="CB493" s="267"/>
      <c r="CC493" s="267"/>
      <c r="CD493" s="267"/>
      <c r="CE493" s="267"/>
      <c r="CF493" s="267"/>
      <c r="CG493" s="267"/>
      <c r="CH493" s="267"/>
      <c r="CI493" s="435"/>
      <c r="CJ493" s="436"/>
      <c r="CK493" s="437"/>
    </row>
    <row r="494" spans="74:89" x14ac:dyDescent="0.25">
      <c r="BV494" s="177"/>
      <c r="BW494" s="177"/>
      <c r="BX494" s="267"/>
      <c r="BY494" s="267"/>
      <c r="BZ494" s="267"/>
      <c r="CA494" s="267"/>
      <c r="CB494" s="267"/>
      <c r="CC494" s="267"/>
      <c r="CD494" s="267"/>
      <c r="CE494" s="267"/>
      <c r="CF494" s="267"/>
      <c r="CG494" s="267"/>
      <c r="CH494" s="267"/>
      <c r="CI494" s="435"/>
      <c r="CJ494" s="436"/>
      <c r="CK494" s="437"/>
    </row>
    <row r="495" spans="74:89" x14ac:dyDescent="0.25">
      <c r="BV495" s="177"/>
      <c r="BW495" s="177"/>
      <c r="BX495" s="267"/>
      <c r="BY495" s="267"/>
      <c r="BZ495" s="267"/>
      <c r="CA495" s="267"/>
      <c r="CB495" s="267"/>
      <c r="CC495" s="267"/>
      <c r="CD495" s="267"/>
      <c r="CE495" s="267"/>
      <c r="CF495" s="267"/>
      <c r="CG495" s="267"/>
      <c r="CH495" s="267"/>
      <c r="CI495" s="435"/>
      <c r="CJ495" s="436"/>
      <c r="CK495" s="437"/>
    </row>
    <row r="496" spans="74:89" x14ac:dyDescent="0.25">
      <c r="BV496" s="177"/>
      <c r="BW496" s="177"/>
      <c r="BX496" s="267"/>
      <c r="BY496" s="267"/>
      <c r="BZ496" s="267"/>
      <c r="CA496" s="267"/>
      <c r="CB496" s="267"/>
      <c r="CC496" s="267"/>
      <c r="CD496" s="267"/>
      <c r="CE496" s="267"/>
      <c r="CF496" s="267"/>
      <c r="CG496" s="267"/>
      <c r="CH496" s="267"/>
      <c r="CI496" s="435"/>
      <c r="CJ496" s="436"/>
      <c r="CK496" s="437"/>
    </row>
    <row r="497" spans="74:89" x14ac:dyDescent="0.25">
      <c r="BV497" s="177"/>
      <c r="BW497" s="177"/>
      <c r="BX497" s="267"/>
      <c r="BY497" s="267"/>
      <c r="BZ497" s="267"/>
      <c r="CA497" s="267"/>
      <c r="CB497" s="267"/>
      <c r="CC497" s="267"/>
      <c r="CD497" s="267"/>
      <c r="CE497" s="267"/>
      <c r="CF497" s="267"/>
      <c r="CG497" s="267"/>
      <c r="CH497" s="267"/>
      <c r="CI497" s="435"/>
      <c r="CJ497" s="436"/>
      <c r="CK497" s="437"/>
    </row>
    <row r="498" spans="74:89" x14ac:dyDescent="0.25">
      <c r="BV498" s="177"/>
      <c r="BW498" s="177"/>
      <c r="BX498" s="267"/>
      <c r="BY498" s="267"/>
      <c r="BZ498" s="267"/>
      <c r="CA498" s="267"/>
      <c r="CB498" s="267"/>
      <c r="CC498" s="267"/>
      <c r="CD498" s="267"/>
      <c r="CE498" s="267"/>
      <c r="CF498" s="267"/>
      <c r="CG498" s="267"/>
      <c r="CH498" s="267"/>
      <c r="CI498" s="435"/>
      <c r="CJ498" s="436"/>
      <c r="CK498" s="437"/>
    </row>
    <row r="499" spans="74:89" x14ac:dyDescent="0.25">
      <c r="BV499" s="177"/>
      <c r="BW499" s="177"/>
      <c r="BX499" s="267"/>
      <c r="BY499" s="267"/>
      <c r="BZ499" s="267"/>
      <c r="CA499" s="267"/>
      <c r="CB499" s="267"/>
      <c r="CC499" s="267"/>
      <c r="CD499" s="267"/>
      <c r="CE499" s="267"/>
      <c r="CF499" s="267"/>
      <c r="CG499" s="267"/>
      <c r="CH499" s="267"/>
      <c r="CI499" s="435"/>
      <c r="CJ499" s="436"/>
      <c r="CK499" s="437"/>
    </row>
    <row r="500" spans="74:89" x14ac:dyDescent="0.25">
      <c r="BV500" s="177"/>
      <c r="BW500" s="177"/>
      <c r="BX500" s="267"/>
      <c r="BY500" s="267"/>
      <c r="BZ500" s="267"/>
      <c r="CA500" s="267"/>
      <c r="CB500" s="267"/>
      <c r="CC500" s="267"/>
      <c r="CD500" s="267"/>
      <c r="CE500" s="267"/>
      <c r="CF500" s="267"/>
      <c r="CG500" s="267"/>
      <c r="CH500" s="267"/>
      <c r="CI500" s="435"/>
      <c r="CJ500" s="436"/>
      <c r="CK500" s="437"/>
    </row>
    <row r="501" spans="74:89" x14ac:dyDescent="0.25">
      <c r="BV501" s="177"/>
      <c r="BW501" s="177"/>
      <c r="BX501" s="267"/>
      <c r="BY501" s="267"/>
      <c r="BZ501" s="267"/>
      <c r="CA501" s="267"/>
      <c r="CB501" s="267"/>
      <c r="CC501" s="267"/>
      <c r="CD501" s="267"/>
      <c r="CE501" s="267"/>
      <c r="CF501" s="267"/>
      <c r="CG501" s="267"/>
      <c r="CH501" s="267"/>
      <c r="CI501" s="435"/>
      <c r="CJ501" s="436"/>
      <c r="CK501" s="437"/>
    </row>
    <row r="502" spans="74:89" x14ac:dyDescent="0.25">
      <c r="BV502" s="177"/>
      <c r="BW502" s="177"/>
      <c r="BX502" s="267"/>
      <c r="BY502" s="267"/>
      <c r="BZ502" s="267"/>
      <c r="CA502" s="267"/>
      <c r="CB502" s="267"/>
      <c r="CC502" s="267"/>
      <c r="CD502" s="267"/>
      <c r="CE502" s="267"/>
      <c r="CF502" s="267"/>
      <c r="CG502" s="267"/>
      <c r="CH502" s="267"/>
      <c r="CI502" s="435"/>
      <c r="CJ502" s="436"/>
      <c r="CK502" s="437"/>
    </row>
    <row r="503" spans="74:89" x14ac:dyDescent="0.25">
      <c r="BV503" s="177"/>
      <c r="BW503" s="177"/>
      <c r="BX503" s="267"/>
      <c r="BY503" s="267"/>
      <c r="BZ503" s="267"/>
      <c r="CA503" s="267"/>
      <c r="CB503" s="267"/>
      <c r="CC503" s="267"/>
      <c r="CD503" s="267"/>
      <c r="CE503" s="267"/>
      <c r="CF503" s="267"/>
      <c r="CG503" s="267"/>
      <c r="CH503" s="267"/>
      <c r="CI503" s="435"/>
      <c r="CJ503" s="436"/>
      <c r="CK503" s="437"/>
    </row>
    <row r="504" spans="74:89" x14ac:dyDescent="0.25">
      <c r="BV504" s="177"/>
      <c r="BW504" s="177"/>
      <c r="BX504" s="267"/>
      <c r="BY504" s="267"/>
      <c r="BZ504" s="267"/>
      <c r="CA504" s="267"/>
      <c r="CB504" s="267"/>
      <c r="CC504" s="267"/>
      <c r="CD504" s="267"/>
      <c r="CE504" s="267"/>
      <c r="CF504" s="267"/>
      <c r="CG504" s="267"/>
      <c r="CH504" s="267"/>
      <c r="CI504" s="435"/>
      <c r="CJ504" s="436"/>
      <c r="CK504" s="437"/>
    </row>
    <row r="505" spans="74:89" x14ac:dyDescent="0.25">
      <c r="BV505" s="177"/>
      <c r="BW505" s="177"/>
      <c r="BX505" s="267"/>
      <c r="BY505" s="267"/>
      <c r="BZ505" s="267"/>
      <c r="CA505" s="267"/>
      <c r="CB505" s="267"/>
      <c r="CC505" s="267"/>
      <c r="CD505" s="267"/>
      <c r="CE505" s="267"/>
      <c r="CF505" s="267"/>
      <c r="CG505" s="267"/>
      <c r="CH505" s="267"/>
      <c r="CI505" s="435"/>
      <c r="CJ505" s="436"/>
      <c r="CK505" s="437"/>
    </row>
    <row r="506" spans="74:89" x14ac:dyDescent="0.25">
      <c r="BV506" s="177"/>
      <c r="BW506" s="177"/>
      <c r="BX506" s="267"/>
      <c r="BY506" s="267"/>
      <c r="BZ506" s="267"/>
      <c r="CA506" s="267"/>
      <c r="CB506" s="267"/>
      <c r="CC506" s="267"/>
      <c r="CD506" s="267"/>
      <c r="CE506" s="267"/>
      <c r="CF506" s="267"/>
      <c r="CG506" s="267"/>
      <c r="CH506" s="267"/>
      <c r="CI506" s="435"/>
      <c r="CJ506" s="436"/>
      <c r="CK506" s="437"/>
    </row>
    <row r="507" spans="74:89" x14ac:dyDescent="0.25">
      <c r="BV507" s="177"/>
      <c r="BW507" s="177"/>
      <c r="BX507" s="267"/>
      <c r="BY507" s="267"/>
      <c r="BZ507" s="267"/>
      <c r="CA507" s="267"/>
      <c r="CB507" s="267"/>
      <c r="CC507" s="267"/>
      <c r="CD507" s="267"/>
      <c r="CE507" s="267"/>
      <c r="CF507" s="267"/>
      <c r="CG507" s="267"/>
      <c r="CH507" s="267"/>
      <c r="CI507" s="435"/>
      <c r="CJ507" s="436"/>
      <c r="CK507" s="437"/>
    </row>
    <row r="508" spans="74:89" x14ac:dyDescent="0.25">
      <c r="BV508" s="177"/>
      <c r="BW508" s="177"/>
      <c r="BX508" s="267"/>
      <c r="BY508" s="267"/>
      <c r="BZ508" s="267"/>
      <c r="CA508" s="267"/>
      <c r="CB508" s="267"/>
      <c r="CC508" s="267"/>
      <c r="CD508" s="267"/>
      <c r="CE508" s="267"/>
      <c r="CF508" s="267"/>
      <c r="CG508" s="267"/>
      <c r="CH508" s="267"/>
      <c r="CI508" s="435"/>
      <c r="CJ508" s="436"/>
      <c r="CK508" s="437"/>
    </row>
    <row r="509" spans="74:89" x14ac:dyDescent="0.25">
      <c r="BV509" s="177"/>
      <c r="BW509" s="177"/>
      <c r="BX509" s="267"/>
      <c r="BY509" s="267"/>
      <c r="BZ509" s="267"/>
      <c r="CA509" s="267"/>
      <c r="CB509" s="267"/>
      <c r="CC509" s="267"/>
      <c r="CD509" s="267"/>
      <c r="CE509" s="267"/>
      <c r="CF509" s="267"/>
      <c r="CG509" s="267"/>
      <c r="CH509" s="267"/>
      <c r="CI509" s="435"/>
      <c r="CJ509" s="436"/>
      <c r="CK509" s="437"/>
    </row>
    <row r="510" spans="74:89" x14ac:dyDescent="0.25">
      <c r="BV510" s="177"/>
      <c r="BW510" s="177"/>
      <c r="BX510" s="267"/>
      <c r="BY510" s="267"/>
      <c r="BZ510" s="267"/>
      <c r="CA510" s="267"/>
      <c r="CB510" s="267"/>
      <c r="CC510" s="267"/>
      <c r="CD510" s="267"/>
      <c r="CE510" s="267"/>
      <c r="CF510" s="267"/>
      <c r="CG510" s="267"/>
      <c r="CH510" s="267"/>
      <c r="CI510" s="435"/>
      <c r="CJ510" s="436"/>
      <c r="CK510" s="437"/>
    </row>
    <row r="511" spans="74:89" x14ac:dyDescent="0.25">
      <c r="BV511" s="177"/>
      <c r="BW511" s="177"/>
      <c r="BX511" s="267"/>
      <c r="BY511" s="267"/>
      <c r="BZ511" s="267"/>
      <c r="CA511" s="267"/>
      <c r="CB511" s="267"/>
      <c r="CC511" s="267"/>
      <c r="CD511" s="267"/>
      <c r="CE511" s="267"/>
      <c r="CF511" s="267"/>
      <c r="CG511" s="267"/>
      <c r="CH511" s="267"/>
      <c r="CI511" s="435"/>
      <c r="CJ511" s="436"/>
      <c r="CK511" s="437"/>
    </row>
    <row r="512" spans="74:89" x14ac:dyDescent="0.25">
      <c r="BV512" s="177"/>
      <c r="BW512" s="177"/>
      <c r="BX512" s="267"/>
      <c r="BY512" s="267"/>
      <c r="BZ512" s="267"/>
      <c r="CA512" s="267"/>
      <c r="CB512" s="267"/>
      <c r="CC512" s="267"/>
      <c r="CD512" s="267"/>
      <c r="CE512" s="267"/>
      <c r="CF512" s="267"/>
      <c r="CG512" s="267"/>
      <c r="CH512" s="267"/>
      <c r="CI512" s="435"/>
      <c r="CJ512" s="436"/>
      <c r="CK512" s="437"/>
    </row>
    <row r="513" spans="74:89" x14ac:dyDescent="0.25">
      <c r="BV513" s="177"/>
      <c r="BW513" s="177"/>
      <c r="BX513" s="267"/>
      <c r="BY513" s="267"/>
      <c r="BZ513" s="267"/>
      <c r="CA513" s="267"/>
      <c r="CB513" s="267"/>
      <c r="CC513" s="267"/>
      <c r="CD513" s="267"/>
      <c r="CE513" s="267"/>
      <c r="CF513" s="267"/>
      <c r="CG513" s="267"/>
      <c r="CH513" s="267"/>
      <c r="CI513" s="435"/>
      <c r="CJ513" s="436"/>
      <c r="CK513" s="437"/>
    </row>
    <row r="514" spans="74:89" x14ac:dyDescent="0.25">
      <c r="BV514" s="177"/>
      <c r="BW514" s="177"/>
      <c r="BX514" s="267"/>
      <c r="BY514" s="267"/>
      <c r="BZ514" s="267"/>
      <c r="CA514" s="267"/>
      <c r="CB514" s="267"/>
      <c r="CC514" s="267"/>
      <c r="CD514" s="267"/>
      <c r="CE514" s="267"/>
      <c r="CF514" s="267"/>
      <c r="CG514" s="267"/>
      <c r="CH514" s="267"/>
      <c r="CI514" s="435"/>
      <c r="CJ514" s="436"/>
      <c r="CK514" s="437"/>
    </row>
    <row r="515" spans="74:89" x14ac:dyDescent="0.25">
      <c r="BV515" s="177"/>
      <c r="BW515" s="177"/>
      <c r="BX515" s="267"/>
      <c r="BY515" s="267"/>
      <c r="BZ515" s="267"/>
      <c r="CA515" s="267"/>
      <c r="CB515" s="267"/>
      <c r="CC515" s="267"/>
      <c r="CD515" s="267"/>
      <c r="CE515" s="267"/>
      <c r="CF515" s="267"/>
      <c r="CG515" s="267"/>
      <c r="CH515" s="267"/>
      <c r="CI515" s="435"/>
      <c r="CJ515" s="436"/>
      <c r="CK515" s="437"/>
    </row>
    <row r="516" spans="74:89" x14ac:dyDescent="0.25">
      <c r="BV516" s="177"/>
      <c r="BW516" s="177"/>
      <c r="BX516" s="267"/>
      <c r="BY516" s="267"/>
      <c r="BZ516" s="267"/>
      <c r="CA516" s="267"/>
      <c r="CB516" s="267"/>
      <c r="CC516" s="267"/>
      <c r="CD516" s="267"/>
      <c r="CE516" s="267"/>
      <c r="CF516" s="267"/>
      <c r="CG516" s="267"/>
      <c r="CH516" s="267"/>
      <c r="CI516" s="435"/>
      <c r="CJ516" s="436"/>
      <c r="CK516" s="437"/>
    </row>
    <row r="517" spans="74:89" x14ac:dyDescent="0.25">
      <c r="BV517" s="177"/>
      <c r="BW517" s="177"/>
      <c r="BX517" s="267"/>
      <c r="BY517" s="267"/>
      <c r="BZ517" s="267"/>
      <c r="CA517" s="267"/>
      <c r="CB517" s="267"/>
      <c r="CC517" s="267"/>
      <c r="CD517" s="267"/>
      <c r="CE517" s="267"/>
      <c r="CF517" s="267"/>
      <c r="CG517" s="267"/>
      <c r="CH517" s="267"/>
      <c r="CI517" s="435"/>
      <c r="CJ517" s="436"/>
      <c r="CK517" s="437"/>
    </row>
    <row r="518" spans="74:89" x14ac:dyDescent="0.25">
      <c r="BV518" s="177"/>
      <c r="BW518" s="177"/>
      <c r="BX518" s="267"/>
      <c r="BY518" s="267"/>
      <c r="BZ518" s="267"/>
      <c r="CA518" s="267"/>
      <c r="CB518" s="267"/>
      <c r="CC518" s="267"/>
      <c r="CD518" s="267"/>
      <c r="CE518" s="267"/>
      <c r="CF518" s="267"/>
      <c r="CG518" s="267"/>
      <c r="CH518" s="267"/>
      <c r="CI518" s="435"/>
      <c r="CJ518" s="436"/>
      <c r="CK518" s="437"/>
    </row>
    <row r="519" spans="74:89" x14ac:dyDescent="0.25">
      <c r="BV519" s="177"/>
      <c r="BW519" s="177"/>
      <c r="BX519" s="267"/>
      <c r="BY519" s="267"/>
      <c r="BZ519" s="267"/>
      <c r="CA519" s="267"/>
      <c r="CB519" s="267"/>
      <c r="CC519" s="267"/>
      <c r="CD519" s="267"/>
      <c r="CE519" s="267"/>
      <c r="CF519" s="267"/>
      <c r="CG519" s="267"/>
      <c r="CH519" s="267"/>
      <c r="CI519" s="435"/>
      <c r="CJ519" s="436"/>
      <c r="CK519" s="437"/>
    </row>
    <row r="520" spans="74:89" x14ac:dyDescent="0.25">
      <c r="BV520" s="177"/>
      <c r="BW520" s="177"/>
      <c r="BX520" s="267"/>
      <c r="BY520" s="267"/>
      <c r="BZ520" s="267"/>
      <c r="CA520" s="267"/>
      <c r="CB520" s="267"/>
      <c r="CC520" s="267"/>
      <c r="CD520" s="267"/>
      <c r="CE520" s="267"/>
      <c r="CF520" s="267"/>
      <c r="CG520" s="267"/>
      <c r="CH520" s="267"/>
      <c r="CI520" s="435"/>
      <c r="CJ520" s="436"/>
      <c r="CK520" s="437"/>
    </row>
    <row r="521" spans="74:89" x14ac:dyDescent="0.25">
      <c r="BV521" s="177"/>
      <c r="BW521" s="177"/>
      <c r="BX521" s="267"/>
      <c r="BY521" s="267"/>
      <c r="BZ521" s="267"/>
      <c r="CA521" s="267"/>
      <c r="CB521" s="267"/>
      <c r="CC521" s="267"/>
      <c r="CD521" s="267"/>
      <c r="CE521" s="267"/>
      <c r="CF521" s="267"/>
      <c r="CG521" s="267"/>
      <c r="CH521" s="267"/>
      <c r="CI521" s="435"/>
      <c r="CJ521" s="436"/>
      <c r="CK521" s="437"/>
    </row>
    <row r="522" spans="74:89" x14ac:dyDescent="0.25">
      <c r="BV522" s="177"/>
      <c r="BW522" s="177"/>
      <c r="BX522" s="267"/>
      <c r="BY522" s="267"/>
      <c r="BZ522" s="267"/>
      <c r="CA522" s="267"/>
      <c r="CB522" s="267"/>
      <c r="CC522" s="267"/>
      <c r="CD522" s="267"/>
      <c r="CE522" s="267"/>
      <c r="CF522" s="267"/>
      <c r="CG522" s="267"/>
      <c r="CH522" s="267"/>
      <c r="CI522" s="435"/>
      <c r="CJ522" s="436"/>
      <c r="CK522" s="437"/>
    </row>
    <row r="523" spans="74:89" x14ac:dyDescent="0.25">
      <c r="BV523" s="177"/>
      <c r="BW523" s="177"/>
      <c r="BX523" s="267"/>
      <c r="BY523" s="267"/>
      <c r="BZ523" s="267"/>
      <c r="CA523" s="267"/>
      <c r="CB523" s="267"/>
      <c r="CC523" s="267"/>
      <c r="CD523" s="267"/>
      <c r="CE523" s="267"/>
      <c r="CF523" s="267"/>
      <c r="CG523" s="267"/>
      <c r="CH523" s="267"/>
      <c r="CI523" s="435"/>
      <c r="CJ523" s="436"/>
      <c r="CK523" s="437"/>
    </row>
    <row r="524" spans="74:89" x14ac:dyDescent="0.25">
      <c r="BV524" s="177"/>
      <c r="BW524" s="177"/>
      <c r="BX524" s="267"/>
      <c r="BY524" s="267"/>
      <c r="BZ524" s="267"/>
      <c r="CA524" s="267"/>
      <c r="CB524" s="267"/>
      <c r="CC524" s="267"/>
      <c r="CD524" s="267"/>
      <c r="CE524" s="267"/>
      <c r="CF524" s="267"/>
      <c r="CG524" s="267"/>
      <c r="CH524" s="267"/>
      <c r="CI524" s="435"/>
      <c r="CJ524" s="436"/>
      <c r="CK524" s="437"/>
    </row>
    <row r="525" spans="74:89" x14ac:dyDescent="0.25">
      <c r="BV525" s="177"/>
      <c r="BW525" s="177"/>
      <c r="BX525" s="267"/>
      <c r="BY525" s="267"/>
      <c r="BZ525" s="267"/>
      <c r="CA525" s="267"/>
      <c r="CB525" s="267"/>
      <c r="CC525" s="267"/>
      <c r="CD525" s="267"/>
      <c r="CE525" s="267"/>
      <c r="CF525" s="267"/>
      <c r="CG525" s="267"/>
      <c r="CH525" s="267"/>
      <c r="CI525" s="435"/>
      <c r="CJ525" s="436"/>
      <c r="CK525" s="437"/>
    </row>
    <row r="526" spans="74:89" x14ac:dyDescent="0.25">
      <c r="BV526" s="177"/>
      <c r="BW526" s="177"/>
      <c r="BX526" s="267"/>
      <c r="BY526" s="267"/>
      <c r="BZ526" s="267"/>
      <c r="CA526" s="267"/>
      <c r="CB526" s="267"/>
      <c r="CC526" s="267"/>
      <c r="CD526" s="267"/>
      <c r="CE526" s="267"/>
      <c r="CF526" s="267"/>
      <c r="CG526" s="267"/>
      <c r="CH526" s="267"/>
      <c r="CI526" s="435"/>
      <c r="CJ526" s="436"/>
      <c r="CK526" s="437"/>
    </row>
    <row r="527" spans="74:89" x14ac:dyDescent="0.25">
      <c r="BV527" s="177"/>
      <c r="BW527" s="177"/>
      <c r="BX527" s="267"/>
      <c r="BY527" s="267"/>
      <c r="BZ527" s="267"/>
      <c r="CA527" s="267"/>
      <c r="CB527" s="267"/>
      <c r="CC527" s="267"/>
      <c r="CD527" s="267"/>
      <c r="CE527" s="267"/>
      <c r="CF527" s="267"/>
      <c r="CG527" s="267"/>
      <c r="CH527" s="267"/>
      <c r="CI527" s="435"/>
      <c r="CJ527" s="436"/>
      <c r="CK527" s="437"/>
    </row>
    <row r="528" spans="74:89" x14ac:dyDescent="0.25">
      <c r="BV528" s="177"/>
      <c r="BW528" s="177"/>
      <c r="BX528" s="267"/>
      <c r="BY528" s="267"/>
      <c r="BZ528" s="267"/>
      <c r="CA528" s="267"/>
      <c r="CB528" s="267"/>
      <c r="CC528" s="267"/>
      <c r="CD528" s="267"/>
      <c r="CE528" s="267"/>
      <c r="CF528" s="267"/>
      <c r="CG528" s="267"/>
      <c r="CH528" s="267"/>
      <c r="CI528" s="435"/>
      <c r="CJ528" s="436"/>
      <c r="CK528" s="437"/>
    </row>
    <row r="529" spans="74:89" x14ac:dyDescent="0.25">
      <c r="BV529" s="177"/>
      <c r="BW529" s="177"/>
      <c r="BX529" s="267"/>
      <c r="BY529" s="267"/>
      <c r="BZ529" s="267"/>
      <c r="CA529" s="267"/>
      <c r="CB529" s="267"/>
      <c r="CC529" s="267"/>
      <c r="CD529" s="267"/>
      <c r="CE529" s="267"/>
      <c r="CF529" s="267"/>
      <c r="CG529" s="267"/>
      <c r="CH529" s="267"/>
      <c r="CI529" s="435"/>
      <c r="CJ529" s="436"/>
      <c r="CK529" s="437"/>
    </row>
    <row r="530" spans="74:89" x14ac:dyDescent="0.25">
      <c r="BV530" s="177"/>
      <c r="BW530" s="177"/>
      <c r="BX530" s="267"/>
      <c r="BY530" s="267"/>
      <c r="BZ530" s="267"/>
      <c r="CA530" s="267"/>
      <c r="CB530" s="267"/>
      <c r="CC530" s="267"/>
      <c r="CD530" s="267"/>
      <c r="CE530" s="267"/>
      <c r="CF530" s="267"/>
      <c r="CG530" s="267"/>
      <c r="CH530" s="267"/>
      <c r="CI530" s="435"/>
      <c r="CJ530" s="436"/>
      <c r="CK530" s="437"/>
    </row>
    <row r="531" spans="74:89" x14ac:dyDescent="0.25">
      <c r="BV531" s="177"/>
      <c r="BW531" s="177"/>
      <c r="BX531" s="267"/>
      <c r="BY531" s="267"/>
      <c r="BZ531" s="267"/>
      <c r="CA531" s="267"/>
      <c r="CB531" s="267"/>
      <c r="CC531" s="267"/>
      <c r="CD531" s="267"/>
      <c r="CE531" s="267"/>
      <c r="CF531" s="267"/>
      <c r="CG531" s="267"/>
      <c r="CH531" s="267"/>
      <c r="CI531" s="435"/>
      <c r="CJ531" s="436"/>
      <c r="CK531" s="437"/>
    </row>
    <row r="532" spans="74:89" x14ac:dyDescent="0.25">
      <c r="BV532" s="177"/>
      <c r="BW532" s="177"/>
      <c r="BX532" s="267"/>
      <c r="BY532" s="267"/>
      <c r="BZ532" s="267"/>
      <c r="CA532" s="267"/>
      <c r="CB532" s="267"/>
      <c r="CC532" s="267"/>
      <c r="CD532" s="267"/>
      <c r="CE532" s="267"/>
      <c r="CF532" s="267"/>
      <c r="CG532" s="267"/>
      <c r="CH532" s="267"/>
      <c r="CI532" s="435"/>
      <c r="CJ532" s="436"/>
      <c r="CK532" s="437"/>
    </row>
    <row r="533" spans="74:89" x14ac:dyDescent="0.25">
      <c r="BV533" s="177"/>
      <c r="BW533" s="177"/>
      <c r="BX533" s="267"/>
      <c r="BY533" s="267"/>
      <c r="BZ533" s="267"/>
      <c r="CA533" s="267"/>
      <c r="CB533" s="267"/>
      <c r="CC533" s="267"/>
      <c r="CD533" s="267"/>
      <c r="CE533" s="267"/>
      <c r="CF533" s="267"/>
      <c r="CG533" s="267"/>
      <c r="CH533" s="267"/>
      <c r="CI533" s="435"/>
      <c r="CJ533" s="436"/>
      <c r="CK533" s="437"/>
    </row>
    <row r="534" spans="74:89" x14ac:dyDescent="0.25">
      <c r="BV534" s="177"/>
      <c r="BW534" s="177"/>
      <c r="BX534" s="267"/>
      <c r="BY534" s="267"/>
      <c r="BZ534" s="267"/>
      <c r="CA534" s="267"/>
      <c r="CB534" s="267"/>
      <c r="CC534" s="267"/>
      <c r="CD534" s="267"/>
      <c r="CE534" s="267"/>
      <c r="CF534" s="267"/>
      <c r="CG534" s="267"/>
      <c r="CH534" s="267"/>
      <c r="CI534" s="435"/>
      <c r="CJ534" s="436"/>
      <c r="CK534" s="437"/>
    </row>
    <row r="535" spans="74:89" x14ac:dyDescent="0.25">
      <c r="BV535" s="177"/>
      <c r="BW535" s="177"/>
      <c r="BX535" s="267"/>
      <c r="BY535" s="267"/>
      <c r="BZ535" s="267"/>
      <c r="CA535" s="267"/>
      <c r="CB535" s="267"/>
      <c r="CC535" s="267"/>
      <c r="CD535" s="267"/>
      <c r="CE535" s="267"/>
      <c r="CF535" s="267"/>
      <c r="CG535" s="267"/>
      <c r="CH535" s="267"/>
      <c r="CI535" s="435"/>
      <c r="CJ535" s="436"/>
      <c r="CK535" s="437"/>
    </row>
    <row r="536" spans="74:89" x14ac:dyDescent="0.25">
      <c r="BV536" s="177"/>
      <c r="BW536" s="177"/>
      <c r="BX536" s="267"/>
      <c r="BY536" s="267"/>
      <c r="BZ536" s="267"/>
      <c r="CA536" s="267"/>
      <c r="CB536" s="267"/>
      <c r="CC536" s="267"/>
      <c r="CD536" s="267"/>
      <c r="CE536" s="267"/>
      <c r="CF536" s="267"/>
      <c r="CG536" s="267"/>
      <c r="CH536" s="267"/>
      <c r="CI536" s="435"/>
      <c r="CJ536" s="436"/>
      <c r="CK536" s="437"/>
    </row>
    <row r="537" spans="74:89" x14ac:dyDescent="0.25">
      <c r="BV537" s="177"/>
      <c r="BW537" s="177"/>
      <c r="BX537" s="267"/>
      <c r="BY537" s="267"/>
      <c r="BZ537" s="267"/>
      <c r="CA537" s="267"/>
      <c r="CB537" s="267"/>
      <c r="CC537" s="267"/>
      <c r="CD537" s="267"/>
      <c r="CE537" s="267"/>
      <c r="CF537" s="267"/>
      <c r="CG537" s="267"/>
      <c r="CH537" s="267"/>
      <c r="CI537" s="435"/>
      <c r="CJ537" s="436"/>
      <c r="CK537" s="437"/>
    </row>
    <row r="538" spans="74:89" x14ac:dyDescent="0.25">
      <c r="BV538" s="177"/>
      <c r="BW538" s="177"/>
      <c r="BX538" s="267"/>
      <c r="BY538" s="267"/>
      <c r="BZ538" s="267"/>
      <c r="CA538" s="267"/>
      <c r="CB538" s="267"/>
      <c r="CC538" s="267"/>
      <c r="CD538" s="267"/>
      <c r="CE538" s="267"/>
      <c r="CF538" s="267"/>
      <c r="CG538" s="267"/>
      <c r="CH538" s="267"/>
      <c r="CI538" s="435"/>
      <c r="CJ538" s="436"/>
      <c r="CK538" s="437"/>
    </row>
    <row r="539" spans="74:89" x14ac:dyDescent="0.25">
      <c r="BV539" s="177"/>
      <c r="BW539" s="177"/>
      <c r="BX539" s="267"/>
      <c r="BY539" s="267"/>
      <c r="BZ539" s="267"/>
      <c r="CA539" s="267"/>
      <c r="CB539" s="267"/>
      <c r="CC539" s="267"/>
      <c r="CD539" s="267"/>
      <c r="CE539" s="267"/>
      <c r="CF539" s="267"/>
      <c r="CG539" s="267"/>
      <c r="CH539" s="267"/>
      <c r="CI539" s="435"/>
      <c r="CJ539" s="436"/>
      <c r="CK539" s="437"/>
    </row>
    <row r="540" spans="74:89" x14ac:dyDescent="0.25">
      <c r="BV540" s="177"/>
      <c r="BW540" s="177"/>
      <c r="BX540" s="267"/>
      <c r="BY540" s="267"/>
      <c r="BZ540" s="267"/>
      <c r="CA540" s="267"/>
      <c r="CB540" s="267"/>
      <c r="CC540" s="267"/>
      <c r="CD540" s="267"/>
      <c r="CE540" s="267"/>
      <c r="CF540" s="267"/>
      <c r="CG540" s="267"/>
      <c r="CH540" s="267"/>
      <c r="CI540" s="435"/>
      <c r="CJ540" s="436"/>
      <c r="CK540" s="437"/>
    </row>
    <row r="541" spans="74:89" x14ac:dyDescent="0.25">
      <c r="BV541" s="177"/>
      <c r="BW541" s="177"/>
      <c r="BX541" s="267"/>
      <c r="BY541" s="267"/>
      <c r="BZ541" s="267"/>
      <c r="CA541" s="267"/>
      <c r="CB541" s="267"/>
      <c r="CC541" s="267"/>
      <c r="CD541" s="267"/>
      <c r="CE541" s="267"/>
      <c r="CF541" s="267"/>
      <c r="CG541" s="267"/>
      <c r="CH541" s="267"/>
      <c r="CI541" s="435"/>
      <c r="CJ541" s="436"/>
      <c r="CK541" s="437"/>
    </row>
    <row r="542" spans="74:89" x14ac:dyDescent="0.25">
      <c r="BV542" s="177"/>
      <c r="BW542" s="177"/>
      <c r="BX542" s="267"/>
      <c r="BY542" s="267"/>
      <c r="BZ542" s="267"/>
      <c r="CA542" s="267"/>
      <c r="CB542" s="267"/>
      <c r="CC542" s="267"/>
      <c r="CD542" s="267"/>
      <c r="CE542" s="267"/>
      <c r="CF542" s="267"/>
      <c r="CG542" s="267"/>
      <c r="CH542" s="267"/>
      <c r="CI542" s="435"/>
      <c r="CJ542" s="436"/>
      <c r="CK542" s="437"/>
    </row>
    <row r="543" spans="74:89" x14ac:dyDescent="0.25">
      <c r="BV543" s="177"/>
      <c r="BW543" s="177"/>
      <c r="BX543" s="267"/>
      <c r="BY543" s="267"/>
      <c r="BZ543" s="267"/>
      <c r="CA543" s="267"/>
      <c r="CB543" s="267"/>
      <c r="CC543" s="267"/>
      <c r="CD543" s="267"/>
      <c r="CE543" s="267"/>
      <c r="CF543" s="267"/>
      <c r="CG543" s="267"/>
      <c r="CH543" s="267"/>
      <c r="CI543" s="435"/>
      <c r="CJ543" s="436"/>
      <c r="CK543" s="437"/>
    </row>
    <row r="544" spans="74:89" x14ac:dyDescent="0.25">
      <c r="BV544" s="177"/>
      <c r="BW544" s="177"/>
      <c r="BX544" s="267"/>
      <c r="BY544" s="267"/>
      <c r="BZ544" s="267"/>
      <c r="CA544" s="267"/>
      <c r="CB544" s="267"/>
      <c r="CC544" s="267"/>
      <c r="CD544" s="267"/>
      <c r="CE544" s="267"/>
      <c r="CF544" s="267"/>
      <c r="CG544" s="267"/>
      <c r="CH544" s="267"/>
      <c r="CI544" s="435"/>
      <c r="CJ544" s="436"/>
      <c r="CK544" s="437"/>
    </row>
    <row r="545" spans="74:89" x14ac:dyDescent="0.25">
      <c r="BV545" s="177"/>
      <c r="BW545" s="177"/>
      <c r="BX545" s="267"/>
      <c r="BY545" s="267"/>
      <c r="BZ545" s="267"/>
      <c r="CA545" s="267"/>
      <c r="CB545" s="267"/>
      <c r="CC545" s="267"/>
      <c r="CD545" s="267"/>
      <c r="CE545" s="267"/>
      <c r="CF545" s="267"/>
      <c r="CG545" s="267"/>
      <c r="CH545" s="267"/>
      <c r="CI545" s="435"/>
      <c r="CJ545" s="436"/>
      <c r="CK545" s="437"/>
    </row>
    <row r="546" spans="74:89" x14ac:dyDescent="0.25">
      <c r="BV546" s="177"/>
      <c r="BW546" s="177"/>
      <c r="BX546" s="267"/>
      <c r="BY546" s="267"/>
      <c r="BZ546" s="267"/>
      <c r="CA546" s="267"/>
      <c r="CB546" s="267"/>
      <c r="CC546" s="267"/>
      <c r="CD546" s="267"/>
      <c r="CE546" s="267"/>
      <c r="CF546" s="267"/>
      <c r="CG546" s="267"/>
      <c r="CH546" s="267"/>
      <c r="CI546" s="435"/>
      <c r="CJ546" s="436"/>
      <c r="CK546" s="437"/>
    </row>
    <row r="547" spans="74:89" x14ac:dyDescent="0.25">
      <c r="BV547" s="177"/>
      <c r="BW547" s="177"/>
      <c r="BX547" s="267"/>
      <c r="BY547" s="267"/>
      <c r="BZ547" s="267"/>
      <c r="CA547" s="267"/>
      <c r="CB547" s="267"/>
      <c r="CC547" s="267"/>
      <c r="CD547" s="267"/>
      <c r="CE547" s="267"/>
      <c r="CF547" s="267"/>
      <c r="CG547" s="267"/>
      <c r="CH547" s="267"/>
      <c r="CI547" s="435"/>
      <c r="CJ547" s="436"/>
      <c r="CK547" s="437"/>
    </row>
    <row r="548" spans="74:89" x14ac:dyDescent="0.25">
      <c r="BV548" s="177"/>
      <c r="BW548" s="177"/>
      <c r="BX548" s="267"/>
      <c r="BY548" s="267"/>
      <c r="BZ548" s="267"/>
      <c r="CA548" s="267"/>
      <c r="CB548" s="267"/>
      <c r="CC548" s="267"/>
      <c r="CD548" s="267"/>
      <c r="CE548" s="267"/>
      <c r="CF548" s="267"/>
      <c r="CG548" s="267"/>
      <c r="CH548" s="267"/>
      <c r="CI548" s="435"/>
      <c r="CJ548" s="436"/>
      <c r="CK548" s="437"/>
    </row>
    <row r="549" spans="74:89" x14ac:dyDescent="0.25">
      <c r="BV549" s="177"/>
      <c r="BW549" s="177"/>
      <c r="BX549" s="267"/>
      <c r="BY549" s="267"/>
      <c r="BZ549" s="267"/>
      <c r="CA549" s="267"/>
      <c r="CB549" s="267"/>
      <c r="CC549" s="267"/>
      <c r="CD549" s="267"/>
      <c r="CE549" s="267"/>
      <c r="CF549" s="267"/>
      <c r="CG549" s="267"/>
      <c r="CH549" s="267"/>
      <c r="CI549" s="435"/>
      <c r="CJ549" s="436"/>
      <c r="CK549" s="437"/>
    </row>
    <row r="550" spans="74:89" x14ac:dyDescent="0.25">
      <c r="BV550" s="177"/>
      <c r="BW550" s="177"/>
      <c r="BX550" s="267"/>
      <c r="BY550" s="267"/>
      <c r="BZ550" s="267"/>
      <c r="CA550" s="267"/>
      <c r="CB550" s="267"/>
      <c r="CC550" s="267"/>
      <c r="CD550" s="267"/>
      <c r="CE550" s="267"/>
      <c r="CF550" s="267"/>
      <c r="CG550" s="267"/>
      <c r="CH550" s="267"/>
      <c r="CI550" s="435"/>
      <c r="CJ550" s="436"/>
      <c r="CK550" s="437"/>
    </row>
    <row r="551" spans="74:89" x14ac:dyDescent="0.25">
      <c r="BV551" s="177"/>
      <c r="BW551" s="177"/>
      <c r="BX551" s="267"/>
      <c r="BY551" s="267"/>
      <c r="BZ551" s="267"/>
      <c r="CA551" s="267"/>
      <c r="CB551" s="267"/>
      <c r="CC551" s="267"/>
      <c r="CD551" s="267"/>
      <c r="CE551" s="267"/>
      <c r="CF551" s="267"/>
      <c r="CG551" s="267"/>
      <c r="CH551" s="267"/>
      <c r="CI551" s="435"/>
      <c r="CJ551" s="436"/>
      <c r="CK551" s="437"/>
    </row>
    <row r="552" spans="74:89" x14ac:dyDescent="0.25">
      <c r="BV552" s="177"/>
      <c r="BW552" s="177"/>
      <c r="BX552" s="267"/>
      <c r="BY552" s="267"/>
      <c r="BZ552" s="267"/>
      <c r="CA552" s="267"/>
      <c r="CB552" s="267"/>
      <c r="CC552" s="267"/>
      <c r="CD552" s="267"/>
      <c r="CE552" s="267"/>
      <c r="CF552" s="267"/>
      <c r="CG552" s="267"/>
      <c r="CH552" s="267"/>
      <c r="CI552" s="435"/>
      <c r="CJ552" s="436"/>
      <c r="CK552" s="437"/>
    </row>
    <row r="553" spans="74:89" x14ac:dyDescent="0.25">
      <c r="BV553" s="177"/>
      <c r="BW553" s="177"/>
      <c r="BX553" s="267"/>
      <c r="BY553" s="267"/>
      <c r="BZ553" s="267"/>
      <c r="CA553" s="267"/>
      <c r="CB553" s="267"/>
      <c r="CC553" s="267"/>
      <c r="CD553" s="267"/>
      <c r="CE553" s="267"/>
      <c r="CF553" s="267"/>
      <c r="CG553" s="267"/>
      <c r="CH553" s="267"/>
      <c r="CI553" s="435"/>
      <c r="CJ553" s="436"/>
      <c r="CK553" s="437"/>
    </row>
    <row r="554" spans="74:89" x14ac:dyDescent="0.25">
      <c r="BV554" s="177"/>
      <c r="BW554" s="177"/>
      <c r="BX554" s="267"/>
      <c r="BY554" s="267"/>
      <c r="BZ554" s="267"/>
      <c r="CA554" s="267"/>
      <c r="CB554" s="267"/>
      <c r="CC554" s="267"/>
      <c r="CD554" s="267"/>
      <c r="CE554" s="267"/>
      <c r="CF554" s="267"/>
      <c r="CG554" s="267"/>
      <c r="CH554" s="267"/>
      <c r="CI554" s="435"/>
      <c r="CJ554" s="436"/>
      <c r="CK554" s="437"/>
    </row>
    <row r="555" spans="74:89" x14ac:dyDescent="0.25">
      <c r="BV555" s="177"/>
      <c r="BW555" s="177"/>
      <c r="BX555" s="267"/>
      <c r="BY555" s="267"/>
      <c r="BZ555" s="267"/>
      <c r="CA555" s="267"/>
      <c r="CB555" s="267"/>
      <c r="CC555" s="267"/>
      <c r="CD555" s="267"/>
      <c r="CE555" s="267"/>
      <c r="CF555" s="267"/>
      <c r="CG555" s="267"/>
      <c r="CH555" s="267"/>
      <c r="CI555" s="435"/>
      <c r="CJ555" s="436"/>
      <c r="CK555" s="437"/>
    </row>
    <row r="556" spans="74:89" x14ac:dyDescent="0.25">
      <c r="BV556" s="177"/>
      <c r="BW556" s="177"/>
      <c r="BX556" s="267"/>
      <c r="BY556" s="267"/>
      <c r="BZ556" s="267"/>
      <c r="CA556" s="267"/>
      <c r="CB556" s="267"/>
      <c r="CC556" s="267"/>
      <c r="CD556" s="267"/>
      <c r="CE556" s="267"/>
      <c r="CF556" s="267"/>
      <c r="CG556" s="267"/>
      <c r="CH556" s="267"/>
      <c r="CI556" s="435"/>
      <c r="CJ556" s="436"/>
      <c r="CK556" s="437"/>
    </row>
    <row r="557" spans="74:89" x14ac:dyDescent="0.25">
      <c r="BV557" s="177"/>
      <c r="BW557" s="177"/>
      <c r="BX557" s="267"/>
      <c r="BY557" s="267"/>
      <c r="BZ557" s="267"/>
      <c r="CA557" s="267"/>
      <c r="CB557" s="267"/>
      <c r="CC557" s="267"/>
      <c r="CD557" s="267"/>
      <c r="CE557" s="267"/>
      <c r="CF557" s="267"/>
      <c r="CG557" s="267"/>
      <c r="CH557" s="267"/>
      <c r="CI557" s="435"/>
      <c r="CJ557" s="436"/>
      <c r="CK557" s="437"/>
    </row>
    <row r="558" spans="74:89" x14ac:dyDescent="0.25">
      <c r="BV558" s="177"/>
      <c r="BW558" s="177"/>
      <c r="BX558" s="267"/>
      <c r="BY558" s="267"/>
      <c r="BZ558" s="267"/>
      <c r="CA558" s="267"/>
      <c r="CB558" s="267"/>
      <c r="CC558" s="267"/>
      <c r="CD558" s="267"/>
      <c r="CE558" s="267"/>
      <c r="CF558" s="267"/>
      <c r="CG558" s="267"/>
      <c r="CH558" s="267"/>
      <c r="CI558" s="435"/>
      <c r="CJ558" s="436"/>
      <c r="CK558" s="437"/>
    </row>
    <row r="559" spans="74:89" x14ac:dyDescent="0.25">
      <c r="BV559" s="177"/>
      <c r="BW559" s="177"/>
      <c r="BX559" s="267"/>
      <c r="BY559" s="267"/>
      <c r="BZ559" s="267"/>
      <c r="CA559" s="267"/>
      <c r="CB559" s="267"/>
      <c r="CC559" s="267"/>
      <c r="CD559" s="267"/>
      <c r="CE559" s="267"/>
      <c r="CF559" s="267"/>
      <c r="CG559" s="267"/>
      <c r="CH559" s="267"/>
      <c r="CI559" s="435"/>
      <c r="CJ559" s="436"/>
      <c r="CK559" s="437"/>
    </row>
    <row r="560" spans="74:89" x14ac:dyDescent="0.25">
      <c r="BV560" s="177"/>
      <c r="BW560" s="177"/>
      <c r="BX560" s="267"/>
      <c r="BY560" s="267"/>
      <c r="BZ560" s="267"/>
      <c r="CA560" s="267"/>
      <c r="CB560" s="267"/>
      <c r="CC560" s="267"/>
      <c r="CD560" s="267"/>
      <c r="CE560" s="267"/>
      <c r="CF560" s="267"/>
      <c r="CG560" s="267"/>
      <c r="CH560" s="267"/>
      <c r="CI560" s="435"/>
      <c r="CJ560" s="436"/>
      <c r="CK560" s="437"/>
    </row>
    <row r="561" spans="74:89" x14ac:dyDescent="0.25">
      <c r="BV561" s="177"/>
      <c r="BW561" s="177"/>
      <c r="BX561" s="267"/>
      <c r="BY561" s="267"/>
      <c r="BZ561" s="267"/>
      <c r="CA561" s="267"/>
      <c r="CB561" s="267"/>
      <c r="CC561" s="267"/>
      <c r="CD561" s="267"/>
      <c r="CE561" s="267"/>
      <c r="CF561" s="267"/>
      <c r="CG561" s="267"/>
      <c r="CH561" s="267"/>
      <c r="CI561" s="435"/>
      <c r="CJ561" s="436"/>
      <c r="CK561" s="437"/>
    </row>
    <row r="562" spans="74:89" x14ac:dyDescent="0.25">
      <c r="BV562" s="177"/>
      <c r="BW562" s="177"/>
      <c r="BX562" s="267"/>
      <c r="BY562" s="267"/>
      <c r="BZ562" s="267"/>
      <c r="CA562" s="267"/>
      <c r="CB562" s="267"/>
      <c r="CC562" s="267"/>
      <c r="CD562" s="267"/>
      <c r="CE562" s="267"/>
      <c r="CF562" s="267"/>
      <c r="CG562" s="267"/>
      <c r="CH562" s="267"/>
      <c r="CI562" s="435"/>
      <c r="CJ562" s="436"/>
      <c r="CK562" s="437"/>
    </row>
    <row r="563" spans="74:89" x14ac:dyDescent="0.25">
      <c r="BV563" s="177"/>
      <c r="BW563" s="177"/>
      <c r="BX563" s="267"/>
      <c r="BY563" s="267"/>
      <c r="BZ563" s="267"/>
      <c r="CA563" s="267"/>
      <c r="CB563" s="267"/>
      <c r="CC563" s="267"/>
      <c r="CD563" s="267"/>
      <c r="CE563" s="267"/>
      <c r="CF563" s="267"/>
      <c r="CG563" s="267"/>
      <c r="CH563" s="267"/>
      <c r="CI563" s="435"/>
      <c r="CJ563" s="436"/>
      <c r="CK563" s="437"/>
    </row>
    <row r="564" spans="74:89" x14ac:dyDescent="0.25">
      <c r="BV564" s="177"/>
      <c r="BW564" s="177"/>
      <c r="BX564" s="267"/>
      <c r="BY564" s="267"/>
      <c r="BZ564" s="267"/>
      <c r="CA564" s="267"/>
      <c r="CB564" s="267"/>
      <c r="CC564" s="267"/>
      <c r="CD564" s="267"/>
      <c r="CE564" s="267"/>
      <c r="CF564" s="267"/>
      <c r="CG564" s="267"/>
      <c r="CH564" s="267"/>
      <c r="CI564" s="435"/>
      <c r="CJ564" s="436"/>
      <c r="CK564" s="437"/>
    </row>
    <row r="565" spans="74:89" x14ac:dyDescent="0.25">
      <c r="BV565" s="177"/>
      <c r="BW565" s="177"/>
      <c r="BX565" s="267"/>
      <c r="BY565" s="267"/>
      <c r="BZ565" s="267"/>
      <c r="CA565" s="267"/>
      <c r="CB565" s="267"/>
      <c r="CC565" s="267"/>
      <c r="CD565" s="267"/>
      <c r="CE565" s="267"/>
      <c r="CF565" s="267"/>
      <c r="CG565" s="267"/>
      <c r="CH565" s="267"/>
      <c r="CI565" s="435"/>
      <c r="CJ565" s="436"/>
      <c r="CK565" s="437"/>
    </row>
    <row r="566" spans="74:89" x14ac:dyDescent="0.25">
      <c r="BV566" s="177"/>
      <c r="BW566" s="177"/>
      <c r="BX566" s="267"/>
      <c r="BY566" s="267"/>
      <c r="BZ566" s="267"/>
      <c r="CA566" s="267"/>
      <c r="CB566" s="267"/>
      <c r="CC566" s="267"/>
      <c r="CD566" s="267"/>
      <c r="CE566" s="267"/>
      <c r="CF566" s="267"/>
      <c r="CG566" s="267"/>
      <c r="CH566" s="267"/>
      <c r="CI566" s="435"/>
      <c r="CJ566" s="436"/>
      <c r="CK566" s="437"/>
    </row>
    <row r="567" spans="74:89" x14ac:dyDescent="0.25">
      <c r="BV567" s="177"/>
      <c r="BW567" s="177"/>
      <c r="BX567" s="267"/>
      <c r="BY567" s="267"/>
      <c r="BZ567" s="267"/>
      <c r="CA567" s="267"/>
      <c r="CB567" s="267"/>
      <c r="CC567" s="267"/>
      <c r="CD567" s="267"/>
      <c r="CE567" s="267"/>
      <c r="CF567" s="267"/>
      <c r="CG567" s="267"/>
      <c r="CH567" s="267"/>
      <c r="CI567" s="435"/>
      <c r="CJ567" s="436"/>
      <c r="CK567" s="437"/>
    </row>
    <row r="568" spans="74:89" x14ac:dyDescent="0.25">
      <c r="BV568" s="177"/>
      <c r="BW568" s="177"/>
      <c r="BX568" s="267"/>
      <c r="BY568" s="267"/>
      <c r="BZ568" s="267"/>
      <c r="CA568" s="267"/>
      <c r="CB568" s="267"/>
      <c r="CC568" s="267"/>
      <c r="CD568" s="267"/>
      <c r="CE568" s="267"/>
      <c r="CF568" s="267"/>
      <c r="CG568" s="267"/>
      <c r="CH568" s="267"/>
      <c r="CI568" s="435"/>
      <c r="CJ568" s="436"/>
      <c r="CK568" s="437"/>
    </row>
    <row r="569" spans="74:89" x14ac:dyDescent="0.25">
      <c r="BV569" s="177"/>
      <c r="BW569" s="177"/>
      <c r="BX569" s="267"/>
      <c r="BY569" s="267"/>
      <c r="BZ569" s="267"/>
      <c r="CA569" s="267"/>
      <c r="CB569" s="267"/>
      <c r="CC569" s="267"/>
      <c r="CD569" s="267"/>
      <c r="CE569" s="267"/>
      <c r="CF569" s="267"/>
      <c r="CG569" s="267"/>
      <c r="CH569" s="267"/>
      <c r="CI569" s="435"/>
      <c r="CJ569" s="436"/>
      <c r="CK569" s="437"/>
    </row>
    <row r="570" spans="74:89" x14ac:dyDescent="0.25">
      <c r="BV570" s="177"/>
      <c r="BW570" s="177"/>
      <c r="BX570" s="267"/>
      <c r="BY570" s="267"/>
      <c r="BZ570" s="267"/>
      <c r="CA570" s="267"/>
      <c r="CB570" s="267"/>
      <c r="CC570" s="267"/>
      <c r="CD570" s="267"/>
      <c r="CE570" s="267"/>
      <c r="CF570" s="267"/>
      <c r="CG570" s="267"/>
      <c r="CH570" s="267"/>
      <c r="CI570" s="435"/>
      <c r="CJ570" s="436"/>
      <c r="CK570" s="437"/>
    </row>
    <row r="571" spans="74:89" x14ac:dyDescent="0.25">
      <c r="BV571" s="177"/>
      <c r="BW571" s="177"/>
      <c r="BX571" s="267"/>
      <c r="BY571" s="267"/>
      <c r="BZ571" s="267"/>
      <c r="CA571" s="267"/>
      <c r="CB571" s="267"/>
      <c r="CC571" s="267"/>
      <c r="CD571" s="267"/>
      <c r="CE571" s="267"/>
      <c r="CF571" s="267"/>
      <c r="CG571" s="267"/>
      <c r="CH571" s="267"/>
      <c r="CI571" s="435"/>
      <c r="CJ571" s="436"/>
      <c r="CK571" s="437"/>
    </row>
    <row r="572" spans="74:89" x14ac:dyDescent="0.25">
      <c r="BV572" s="177"/>
      <c r="BW572" s="177"/>
      <c r="BX572" s="267"/>
      <c r="BY572" s="267"/>
      <c r="BZ572" s="267"/>
      <c r="CA572" s="267"/>
      <c r="CB572" s="267"/>
      <c r="CC572" s="267"/>
      <c r="CD572" s="267"/>
      <c r="CE572" s="267"/>
      <c r="CF572" s="267"/>
      <c r="CG572" s="267"/>
      <c r="CH572" s="267"/>
      <c r="CI572" s="435"/>
      <c r="CJ572" s="436"/>
      <c r="CK572" s="437"/>
    </row>
    <row r="573" spans="74:89" x14ac:dyDescent="0.25">
      <c r="BV573" s="177"/>
      <c r="BW573" s="177"/>
      <c r="BX573" s="267"/>
      <c r="BY573" s="267"/>
      <c r="BZ573" s="267"/>
      <c r="CA573" s="267"/>
      <c r="CB573" s="267"/>
      <c r="CC573" s="267"/>
      <c r="CD573" s="267"/>
      <c r="CE573" s="267"/>
      <c r="CF573" s="267"/>
      <c r="CG573" s="267"/>
      <c r="CH573" s="267"/>
      <c r="CI573" s="435"/>
      <c r="CJ573" s="436"/>
      <c r="CK573" s="437"/>
    </row>
    <row r="574" spans="74:89" x14ac:dyDescent="0.25">
      <c r="BV574" s="177"/>
      <c r="BW574" s="177"/>
      <c r="BX574" s="267"/>
      <c r="BY574" s="267"/>
      <c r="BZ574" s="267"/>
      <c r="CA574" s="267"/>
      <c r="CB574" s="267"/>
      <c r="CC574" s="267"/>
      <c r="CD574" s="267"/>
      <c r="CE574" s="267"/>
      <c r="CF574" s="267"/>
      <c r="CG574" s="267"/>
      <c r="CH574" s="267"/>
      <c r="CI574" s="435"/>
      <c r="CJ574" s="436"/>
      <c r="CK574" s="437"/>
    </row>
    <row r="575" spans="74:89" x14ac:dyDescent="0.25">
      <c r="BV575" s="177"/>
      <c r="BW575" s="177"/>
      <c r="BX575" s="267"/>
      <c r="BY575" s="267"/>
      <c r="BZ575" s="267"/>
      <c r="CA575" s="267"/>
      <c r="CB575" s="267"/>
      <c r="CC575" s="267"/>
      <c r="CD575" s="267"/>
      <c r="CE575" s="267"/>
      <c r="CF575" s="267"/>
      <c r="CG575" s="267"/>
      <c r="CH575" s="267"/>
      <c r="CI575" s="435"/>
      <c r="CJ575" s="436"/>
      <c r="CK575" s="437"/>
    </row>
    <row r="576" spans="74:89" x14ac:dyDescent="0.25">
      <c r="BV576" s="177"/>
      <c r="BW576" s="177"/>
      <c r="BX576" s="267"/>
      <c r="BY576" s="267"/>
      <c r="BZ576" s="267"/>
      <c r="CA576" s="267"/>
      <c r="CB576" s="267"/>
      <c r="CC576" s="267"/>
      <c r="CD576" s="267"/>
      <c r="CE576" s="267"/>
      <c r="CF576" s="267"/>
      <c r="CG576" s="267"/>
      <c r="CH576" s="267"/>
      <c r="CI576" s="435"/>
      <c r="CJ576" s="436"/>
      <c r="CK576" s="437"/>
    </row>
    <row r="577" spans="74:89" x14ac:dyDescent="0.25">
      <c r="BV577" s="177"/>
      <c r="BW577" s="177"/>
      <c r="BX577" s="267"/>
      <c r="BY577" s="267"/>
      <c r="BZ577" s="267"/>
      <c r="CA577" s="267"/>
      <c r="CB577" s="267"/>
      <c r="CC577" s="267"/>
      <c r="CD577" s="267"/>
      <c r="CE577" s="267"/>
      <c r="CF577" s="267"/>
      <c r="CG577" s="267"/>
      <c r="CH577" s="267"/>
      <c r="CI577" s="435"/>
      <c r="CJ577" s="436"/>
      <c r="CK577" s="437"/>
    </row>
    <row r="578" spans="74:89" x14ac:dyDescent="0.25">
      <c r="BV578" s="177"/>
      <c r="BW578" s="177"/>
      <c r="BX578" s="267"/>
      <c r="BY578" s="267"/>
      <c r="BZ578" s="267"/>
      <c r="CA578" s="267"/>
      <c r="CB578" s="267"/>
      <c r="CC578" s="267"/>
      <c r="CD578" s="267"/>
      <c r="CE578" s="267"/>
      <c r="CF578" s="267"/>
      <c r="CG578" s="267"/>
      <c r="CH578" s="267"/>
      <c r="CI578" s="435"/>
      <c r="CJ578" s="436"/>
      <c r="CK578" s="437"/>
    </row>
    <row r="579" spans="74:89" x14ac:dyDescent="0.25">
      <c r="BV579" s="177"/>
      <c r="BW579" s="177"/>
      <c r="BX579" s="267"/>
      <c r="BY579" s="267"/>
      <c r="BZ579" s="267"/>
      <c r="CA579" s="267"/>
      <c r="CB579" s="267"/>
      <c r="CC579" s="267"/>
      <c r="CD579" s="267"/>
      <c r="CE579" s="267"/>
      <c r="CF579" s="267"/>
      <c r="CG579" s="267"/>
      <c r="CH579" s="267"/>
      <c r="CI579" s="435"/>
      <c r="CJ579" s="436"/>
      <c r="CK579" s="437"/>
    </row>
    <row r="580" spans="74:89" x14ac:dyDescent="0.25">
      <c r="BV580" s="177"/>
      <c r="BW580" s="177"/>
      <c r="BX580" s="267"/>
      <c r="BY580" s="267"/>
      <c r="BZ580" s="267"/>
      <c r="CA580" s="267"/>
      <c r="CB580" s="267"/>
      <c r="CC580" s="267"/>
      <c r="CD580" s="267"/>
      <c r="CE580" s="267"/>
      <c r="CF580" s="267"/>
      <c r="CG580" s="267"/>
      <c r="CH580" s="267"/>
      <c r="CI580" s="435"/>
      <c r="CJ580" s="436"/>
      <c r="CK580" s="437"/>
    </row>
    <row r="581" spans="74:89" x14ac:dyDescent="0.25">
      <c r="BV581" s="177"/>
      <c r="BW581" s="177"/>
      <c r="BX581" s="267"/>
      <c r="BY581" s="267"/>
      <c r="BZ581" s="267"/>
      <c r="CA581" s="267"/>
      <c r="CB581" s="267"/>
      <c r="CC581" s="267"/>
      <c r="CD581" s="267"/>
      <c r="CE581" s="267"/>
      <c r="CF581" s="267"/>
      <c r="CG581" s="267"/>
      <c r="CH581" s="267"/>
      <c r="CI581" s="435"/>
      <c r="CJ581" s="436"/>
      <c r="CK581" s="437"/>
    </row>
    <row r="582" spans="74:89" x14ac:dyDescent="0.25">
      <c r="BV582" s="177"/>
      <c r="BW582" s="177"/>
      <c r="BX582" s="267"/>
      <c r="BY582" s="267"/>
      <c r="BZ582" s="267"/>
      <c r="CA582" s="267"/>
      <c r="CB582" s="267"/>
      <c r="CC582" s="267"/>
      <c r="CD582" s="267"/>
      <c r="CE582" s="267"/>
      <c r="CF582" s="267"/>
      <c r="CG582" s="267"/>
      <c r="CH582" s="267"/>
      <c r="CI582" s="435"/>
      <c r="CJ582" s="436"/>
      <c r="CK582" s="437"/>
    </row>
    <row r="583" spans="74:89" x14ac:dyDescent="0.25">
      <c r="BV583" s="177"/>
      <c r="BW583" s="177"/>
      <c r="BX583" s="267"/>
      <c r="BY583" s="267"/>
      <c r="BZ583" s="267"/>
      <c r="CA583" s="267"/>
      <c r="CB583" s="267"/>
      <c r="CC583" s="267"/>
      <c r="CD583" s="267"/>
      <c r="CE583" s="267"/>
      <c r="CF583" s="267"/>
      <c r="CG583" s="267"/>
      <c r="CH583" s="267"/>
      <c r="CI583" s="435"/>
      <c r="CJ583" s="436"/>
      <c r="CK583" s="437"/>
    </row>
    <row r="584" spans="74:89" x14ac:dyDescent="0.25">
      <c r="BV584" s="177"/>
      <c r="BW584" s="177"/>
      <c r="BX584" s="267"/>
      <c r="BY584" s="267"/>
      <c r="BZ584" s="267"/>
      <c r="CA584" s="267"/>
      <c r="CB584" s="267"/>
      <c r="CC584" s="267"/>
      <c r="CD584" s="267"/>
      <c r="CE584" s="267"/>
      <c r="CF584" s="267"/>
      <c r="CG584" s="267"/>
      <c r="CH584" s="267"/>
      <c r="CI584" s="435"/>
      <c r="CJ584" s="436"/>
      <c r="CK584" s="437"/>
    </row>
    <row r="585" spans="74:89" x14ac:dyDescent="0.25">
      <c r="BV585" s="177"/>
      <c r="BW585" s="177"/>
      <c r="BX585" s="267"/>
      <c r="BY585" s="267"/>
      <c r="BZ585" s="267"/>
      <c r="CA585" s="267"/>
      <c r="CB585" s="267"/>
      <c r="CC585" s="267"/>
      <c r="CD585" s="267"/>
      <c r="CE585" s="267"/>
      <c r="CF585" s="267"/>
      <c r="CG585" s="267"/>
      <c r="CH585" s="267"/>
      <c r="CI585" s="435"/>
      <c r="CJ585" s="436"/>
      <c r="CK585" s="437"/>
    </row>
    <row r="586" spans="74:89" x14ac:dyDescent="0.25">
      <c r="BV586" s="177"/>
      <c r="BW586" s="177"/>
      <c r="BX586" s="267"/>
      <c r="BY586" s="267"/>
      <c r="BZ586" s="267"/>
      <c r="CA586" s="267"/>
      <c r="CB586" s="267"/>
      <c r="CC586" s="267"/>
      <c r="CD586" s="267"/>
      <c r="CE586" s="267"/>
      <c r="CF586" s="267"/>
      <c r="CG586" s="267"/>
      <c r="CH586" s="267"/>
      <c r="CI586" s="435"/>
      <c r="CJ586" s="436"/>
      <c r="CK586" s="437"/>
    </row>
    <row r="587" spans="74:89" x14ac:dyDescent="0.25">
      <c r="BV587" s="177"/>
      <c r="BW587" s="177"/>
      <c r="BX587" s="267"/>
      <c r="BY587" s="267"/>
      <c r="BZ587" s="267"/>
      <c r="CA587" s="267"/>
      <c r="CB587" s="267"/>
      <c r="CC587" s="267"/>
      <c r="CD587" s="267"/>
      <c r="CE587" s="267"/>
      <c r="CF587" s="267"/>
      <c r="CG587" s="267"/>
      <c r="CH587" s="267"/>
      <c r="CI587" s="435"/>
      <c r="CJ587" s="436"/>
      <c r="CK587" s="437"/>
    </row>
    <row r="588" spans="74:89" x14ac:dyDescent="0.25">
      <c r="BV588" s="177"/>
      <c r="BW588" s="177"/>
      <c r="BX588" s="267"/>
      <c r="BY588" s="267"/>
      <c r="BZ588" s="267"/>
      <c r="CA588" s="267"/>
      <c r="CB588" s="267"/>
      <c r="CC588" s="267"/>
      <c r="CD588" s="267"/>
      <c r="CE588" s="267"/>
      <c r="CF588" s="267"/>
      <c r="CG588" s="267"/>
      <c r="CH588" s="267"/>
      <c r="CI588" s="435"/>
      <c r="CJ588" s="436"/>
      <c r="CK588" s="437"/>
    </row>
    <row r="589" spans="74:89" x14ac:dyDescent="0.25">
      <c r="BV589" s="177"/>
      <c r="BW589" s="177"/>
      <c r="BX589" s="267"/>
      <c r="BY589" s="267"/>
      <c r="BZ589" s="267"/>
      <c r="CA589" s="267"/>
      <c r="CB589" s="267"/>
      <c r="CC589" s="267"/>
      <c r="CD589" s="267"/>
      <c r="CE589" s="267"/>
      <c r="CF589" s="267"/>
      <c r="CG589" s="267"/>
      <c r="CH589" s="267"/>
      <c r="CI589" s="435"/>
      <c r="CJ589" s="436"/>
      <c r="CK589" s="437"/>
    </row>
    <row r="590" spans="74:89" x14ac:dyDescent="0.25">
      <c r="BV590" s="177"/>
      <c r="BW590" s="177"/>
      <c r="BX590" s="267"/>
      <c r="BY590" s="267"/>
      <c r="BZ590" s="267"/>
      <c r="CA590" s="267"/>
      <c r="CB590" s="267"/>
      <c r="CC590" s="267"/>
      <c r="CD590" s="267"/>
      <c r="CE590" s="267"/>
      <c r="CF590" s="267"/>
      <c r="CG590" s="267"/>
      <c r="CH590" s="267"/>
      <c r="CI590" s="435"/>
      <c r="CJ590" s="436"/>
      <c r="CK590" s="437"/>
    </row>
    <row r="591" spans="74:89" x14ac:dyDescent="0.25">
      <c r="BV591" s="177"/>
      <c r="BW591" s="177"/>
      <c r="BX591" s="267"/>
      <c r="BY591" s="267"/>
      <c r="BZ591" s="267"/>
      <c r="CA591" s="267"/>
      <c r="CB591" s="267"/>
      <c r="CC591" s="267"/>
      <c r="CD591" s="267"/>
      <c r="CE591" s="267"/>
      <c r="CF591" s="267"/>
      <c r="CG591" s="267"/>
      <c r="CH591" s="267"/>
      <c r="CI591" s="435"/>
      <c r="CJ591" s="436"/>
      <c r="CK591" s="437"/>
    </row>
    <row r="592" spans="74:89" x14ac:dyDescent="0.25">
      <c r="BV592" s="177"/>
      <c r="BW592" s="177"/>
      <c r="BX592" s="267"/>
      <c r="BY592" s="267"/>
      <c r="BZ592" s="267"/>
      <c r="CA592" s="267"/>
      <c r="CB592" s="267"/>
      <c r="CC592" s="267"/>
      <c r="CD592" s="267"/>
      <c r="CE592" s="267"/>
      <c r="CF592" s="267"/>
      <c r="CG592" s="267"/>
      <c r="CH592" s="267"/>
      <c r="CI592" s="435"/>
      <c r="CJ592" s="436"/>
      <c r="CK592" s="437"/>
    </row>
    <row r="593" spans="74:89" x14ac:dyDescent="0.25">
      <c r="BV593" s="177"/>
      <c r="BW593" s="177"/>
      <c r="BX593" s="267"/>
      <c r="BY593" s="267"/>
      <c r="BZ593" s="267"/>
      <c r="CA593" s="267"/>
      <c r="CB593" s="267"/>
      <c r="CC593" s="267"/>
      <c r="CD593" s="267"/>
      <c r="CE593" s="267"/>
      <c r="CF593" s="267"/>
      <c r="CG593" s="267"/>
      <c r="CH593" s="267"/>
      <c r="CI593" s="435"/>
      <c r="CJ593" s="436"/>
      <c r="CK593" s="437"/>
    </row>
    <row r="594" spans="74:89" x14ac:dyDescent="0.25">
      <c r="BV594" s="177"/>
      <c r="BW594" s="177"/>
      <c r="BX594" s="267"/>
      <c r="BY594" s="267"/>
      <c r="BZ594" s="267"/>
      <c r="CA594" s="267"/>
      <c r="CB594" s="267"/>
      <c r="CC594" s="267"/>
      <c r="CD594" s="267"/>
      <c r="CE594" s="267"/>
      <c r="CF594" s="267"/>
      <c r="CG594" s="267"/>
      <c r="CH594" s="267"/>
      <c r="CI594" s="435"/>
      <c r="CJ594" s="436"/>
      <c r="CK594" s="437"/>
    </row>
    <row r="595" spans="74:89" x14ac:dyDescent="0.25">
      <c r="BV595" s="177"/>
      <c r="BW595" s="177"/>
      <c r="BX595" s="267"/>
      <c r="BY595" s="267"/>
      <c r="BZ595" s="267"/>
      <c r="CA595" s="267"/>
      <c r="CB595" s="267"/>
      <c r="CC595" s="267"/>
      <c r="CD595" s="267"/>
      <c r="CE595" s="267"/>
      <c r="CF595" s="267"/>
      <c r="CG595" s="267"/>
      <c r="CH595" s="267"/>
      <c r="CI595" s="435"/>
      <c r="CJ595" s="436"/>
      <c r="CK595" s="437"/>
    </row>
    <row r="596" spans="74:89" x14ac:dyDescent="0.25">
      <c r="BV596" s="177"/>
      <c r="BW596" s="177"/>
      <c r="BX596" s="267"/>
      <c r="BY596" s="267"/>
      <c r="BZ596" s="267"/>
      <c r="CA596" s="267"/>
      <c r="CB596" s="267"/>
      <c r="CC596" s="267"/>
      <c r="CD596" s="267"/>
      <c r="CE596" s="267"/>
      <c r="CF596" s="267"/>
      <c r="CG596" s="267"/>
      <c r="CH596" s="267"/>
      <c r="CI596" s="435"/>
      <c r="CJ596" s="436"/>
      <c r="CK596" s="437"/>
    </row>
    <row r="597" spans="74:89" x14ac:dyDescent="0.25">
      <c r="BV597" s="177"/>
      <c r="BW597" s="177"/>
      <c r="BX597" s="267"/>
      <c r="BY597" s="267"/>
      <c r="BZ597" s="267"/>
      <c r="CA597" s="267"/>
      <c r="CB597" s="267"/>
      <c r="CC597" s="267"/>
      <c r="CD597" s="267"/>
      <c r="CE597" s="267"/>
      <c r="CF597" s="267"/>
      <c r="CG597" s="267"/>
      <c r="CH597" s="267"/>
      <c r="CI597" s="435"/>
      <c r="CJ597" s="436"/>
      <c r="CK597" s="437"/>
    </row>
    <row r="598" spans="74:89" x14ac:dyDescent="0.25">
      <c r="BV598" s="177"/>
      <c r="BW598" s="177"/>
      <c r="BX598" s="267"/>
      <c r="BY598" s="267"/>
      <c r="BZ598" s="267"/>
      <c r="CA598" s="267"/>
      <c r="CB598" s="267"/>
      <c r="CC598" s="267"/>
      <c r="CD598" s="267"/>
      <c r="CE598" s="267"/>
      <c r="CF598" s="267"/>
      <c r="CG598" s="267"/>
      <c r="CH598" s="267"/>
      <c r="CI598" s="435"/>
      <c r="CJ598" s="436"/>
      <c r="CK598" s="437"/>
    </row>
    <row r="599" spans="74:89" x14ac:dyDescent="0.25">
      <c r="BV599" s="177"/>
      <c r="BW599" s="177"/>
      <c r="BX599" s="267"/>
      <c r="BY599" s="267"/>
      <c r="BZ599" s="267"/>
      <c r="CA599" s="267"/>
      <c r="CB599" s="267"/>
      <c r="CC599" s="267"/>
      <c r="CD599" s="267"/>
      <c r="CE599" s="267"/>
      <c r="CF599" s="267"/>
      <c r="CG599" s="267"/>
      <c r="CH599" s="267"/>
      <c r="CI599" s="435"/>
      <c r="CJ599" s="436"/>
      <c r="CK599" s="437"/>
    </row>
    <row r="600" spans="74:89" x14ac:dyDescent="0.25">
      <c r="BV600" s="177"/>
      <c r="BW600" s="177"/>
      <c r="BX600" s="267"/>
      <c r="BY600" s="267"/>
      <c r="BZ600" s="267"/>
      <c r="CA600" s="267"/>
      <c r="CB600" s="267"/>
      <c r="CC600" s="267"/>
      <c r="CD600" s="267"/>
      <c r="CE600" s="267"/>
      <c r="CF600" s="267"/>
      <c r="CG600" s="267"/>
      <c r="CH600" s="267"/>
      <c r="CI600" s="435"/>
      <c r="CJ600" s="436"/>
      <c r="CK600" s="437"/>
    </row>
    <row r="601" spans="74:89" x14ac:dyDescent="0.25">
      <c r="BV601" s="177"/>
      <c r="BW601" s="177"/>
      <c r="BX601" s="267"/>
      <c r="BY601" s="267"/>
      <c r="BZ601" s="267"/>
      <c r="CA601" s="267"/>
      <c r="CB601" s="267"/>
      <c r="CC601" s="267"/>
      <c r="CD601" s="267"/>
      <c r="CE601" s="267"/>
      <c r="CF601" s="267"/>
      <c r="CG601" s="267"/>
      <c r="CH601" s="267"/>
      <c r="CI601" s="435"/>
      <c r="CJ601" s="436"/>
      <c r="CK601" s="437"/>
    </row>
    <row r="602" spans="74:89" x14ac:dyDescent="0.25">
      <c r="BV602" s="177"/>
      <c r="BW602" s="177"/>
      <c r="BX602" s="267"/>
      <c r="BY602" s="267"/>
      <c r="BZ602" s="267"/>
      <c r="CA602" s="267"/>
      <c r="CB602" s="267"/>
      <c r="CC602" s="267"/>
      <c r="CD602" s="267"/>
      <c r="CE602" s="267"/>
      <c r="CF602" s="267"/>
      <c r="CG602" s="267"/>
      <c r="CH602" s="267"/>
      <c r="CI602" s="435"/>
      <c r="CJ602" s="436"/>
      <c r="CK602" s="437"/>
    </row>
    <row r="603" spans="74:89" x14ac:dyDescent="0.25">
      <c r="BV603" s="177"/>
      <c r="BW603" s="177"/>
      <c r="BX603" s="267"/>
      <c r="BY603" s="267"/>
      <c r="BZ603" s="267"/>
      <c r="CA603" s="267"/>
      <c r="CB603" s="267"/>
      <c r="CC603" s="267"/>
      <c r="CD603" s="267"/>
      <c r="CE603" s="267"/>
      <c r="CF603" s="267"/>
      <c r="CG603" s="267"/>
      <c r="CH603" s="267"/>
      <c r="CI603" s="435"/>
      <c r="CJ603" s="436"/>
      <c r="CK603" s="437"/>
    </row>
    <row r="604" spans="74:89" x14ac:dyDescent="0.25">
      <c r="BV604" s="177"/>
      <c r="BW604" s="177"/>
      <c r="BX604" s="267"/>
      <c r="BY604" s="267"/>
      <c r="BZ604" s="267"/>
      <c r="CA604" s="267"/>
      <c r="CB604" s="267"/>
      <c r="CC604" s="267"/>
      <c r="CD604" s="267"/>
      <c r="CE604" s="267"/>
      <c r="CF604" s="267"/>
      <c r="CG604" s="267"/>
      <c r="CH604" s="267"/>
      <c r="CI604" s="435"/>
      <c r="CJ604" s="436"/>
      <c r="CK604" s="437"/>
    </row>
    <row r="605" spans="74:89" x14ac:dyDescent="0.25">
      <c r="BV605" s="177"/>
      <c r="BW605" s="177"/>
      <c r="BX605" s="267"/>
      <c r="BY605" s="267"/>
      <c r="BZ605" s="267"/>
      <c r="CA605" s="267"/>
      <c r="CB605" s="267"/>
      <c r="CC605" s="267"/>
      <c r="CD605" s="267"/>
      <c r="CE605" s="267"/>
      <c r="CF605" s="267"/>
      <c r="CG605" s="267"/>
      <c r="CH605" s="267"/>
      <c r="CI605" s="435"/>
      <c r="CJ605" s="436"/>
      <c r="CK605" s="437"/>
    </row>
    <row r="606" spans="74:89" x14ac:dyDescent="0.25">
      <c r="BV606" s="177"/>
      <c r="BW606" s="17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  <c r="CH606" s="267"/>
      <c r="CI606" s="435"/>
      <c r="CJ606" s="436"/>
      <c r="CK606" s="437"/>
    </row>
    <row r="607" spans="74:89" x14ac:dyDescent="0.25">
      <c r="BV607" s="177"/>
      <c r="BW607" s="177"/>
      <c r="BX607" s="267"/>
      <c r="BY607" s="267"/>
      <c r="BZ607" s="267"/>
      <c r="CA607" s="267"/>
      <c r="CB607" s="267"/>
      <c r="CC607" s="267"/>
      <c r="CD607" s="267"/>
      <c r="CE607" s="267"/>
      <c r="CF607" s="267"/>
      <c r="CG607" s="267"/>
      <c r="CH607" s="267"/>
      <c r="CI607" s="435"/>
      <c r="CJ607" s="436"/>
      <c r="CK607" s="437"/>
    </row>
    <row r="608" spans="74:89" x14ac:dyDescent="0.25">
      <c r="BV608" s="177"/>
      <c r="BW608" s="177"/>
      <c r="BX608" s="267"/>
      <c r="BY608" s="267"/>
      <c r="BZ608" s="267"/>
      <c r="CA608" s="267"/>
      <c r="CB608" s="267"/>
      <c r="CC608" s="267"/>
      <c r="CD608" s="267"/>
      <c r="CE608" s="267"/>
      <c r="CF608" s="267"/>
      <c r="CG608" s="267"/>
      <c r="CH608" s="267"/>
      <c r="CI608" s="435"/>
      <c r="CJ608" s="436"/>
      <c r="CK608" s="437"/>
    </row>
    <row r="609" spans="74:89" x14ac:dyDescent="0.25">
      <c r="BV609" s="177"/>
      <c r="BW609" s="177"/>
      <c r="BX609" s="267"/>
      <c r="BY609" s="267"/>
      <c r="BZ609" s="267"/>
      <c r="CA609" s="267"/>
      <c r="CB609" s="267"/>
      <c r="CC609" s="267"/>
      <c r="CD609" s="267"/>
      <c r="CE609" s="267"/>
      <c r="CF609" s="267"/>
      <c r="CG609" s="267"/>
      <c r="CH609" s="267"/>
      <c r="CI609" s="435"/>
      <c r="CJ609" s="436"/>
      <c r="CK609" s="437"/>
    </row>
    <row r="610" spans="74:89" x14ac:dyDescent="0.25">
      <c r="BV610" s="177"/>
      <c r="BW610" s="17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  <c r="CH610" s="267"/>
      <c r="CI610" s="435"/>
      <c r="CJ610" s="436"/>
      <c r="CK610" s="437"/>
    </row>
    <row r="611" spans="74:89" x14ac:dyDescent="0.25">
      <c r="BV611" s="177"/>
      <c r="BW611" s="17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  <c r="CH611" s="267"/>
      <c r="CI611" s="435"/>
      <c r="CJ611" s="436"/>
      <c r="CK611" s="437"/>
    </row>
    <row r="612" spans="74:89" x14ac:dyDescent="0.25">
      <c r="BV612" s="177"/>
      <c r="BW612" s="17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  <c r="CH612" s="267"/>
      <c r="CI612" s="435"/>
      <c r="CJ612" s="436"/>
      <c r="CK612" s="437"/>
    </row>
    <row r="613" spans="74:89" x14ac:dyDescent="0.25">
      <c r="BV613" s="177"/>
      <c r="BW613" s="17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  <c r="CH613" s="267"/>
      <c r="CI613" s="435"/>
      <c r="CJ613" s="436"/>
      <c r="CK613" s="437"/>
    </row>
    <row r="614" spans="74:89" x14ac:dyDescent="0.25">
      <c r="BV614" s="177"/>
      <c r="BW614" s="17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  <c r="CH614" s="267"/>
      <c r="CI614" s="435"/>
      <c r="CJ614" s="436"/>
      <c r="CK614" s="437"/>
    </row>
    <row r="615" spans="74:89" x14ac:dyDescent="0.25">
      <c r="BV615" s="177"/>
      <c r="BW615" s="17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  <c r="CH615" s="267"/>
      <c r="CI615" s="435"/>
      <c r="CJ615" s="436"/>
      <c r="CK615" s="437"/>
    </row>
    <row r="616" spans="74:89" x14ac:dyDescent="0.25">
      <c r="BV616" s="177"/>
      <c r="BW616" s="17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  <c r="CH616" s="267"/>
      <c r="CI616" s="435"/>
      <c r="CJ616" s="436"/>
      <c r="CK616" s="437"/>
    </row>
    <row r="617" spans="74:89" x14ac:dyDescent="0.25">
      <c r="BV617" s="177"/>
      <c r="BW617" s="17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  <c r="CH617" s="267"/>
      <c r="CI617" s="435"/>
      <c r="CJ617" s="436"/>
      <c r="CK617" s="437"/>
    </row>
    <row r="618" spans="74:89" x14ac:dyDescent="0.25">
      <c r="BV618" s="177"/>
      <c r="BW618" s="177"/>
      <c r="BX618" s="267"/>
      <c r="BY618" s="267"/>
      <c r="BZ618" s="267"/>
      <c r="CA618" s="267"/>
      <c r="CB618" s="267"/>
      <c r="CC618" s="267"/>
      <c r="CD618" s="267"/>
      <c r="CE618" s="267"/>
      <c r="CF618" s="267"/>
      <c r="CG618" s="267"/>
      <c r="CH618" s="267"/>
      <c r="CI618" s="435"/>
      <c r="CJ618" s="436"/>
      <c r="CK618" s="437"/>
    </row>
    <row r="619" spans="74:89" x14ac:dyDescent="0.25">
      <c r="BV619" s="177"/>
      <c r="BW619" s="17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  <c r="CH619" s="267"/>
      <c r="CI619" s="435"/>
      <c r="CJ619" s="436"/>
      <c r="CK619" s="437"/>
    </row>
    <row r="620" spans="74:89" x14ac:dyDescent="0.25">
      <c r="BV620" s="177"/>
      <c r="BW620" s="17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  <c r="CH620" s="267"/>
      <c r="CI620" s="435"/>
      <c r="CJ620" s="436"/>
      <c r="CK620" s="437"/>
    </row>
    <row r="621" spans="74:89" x14ac:dyDescent="0.25">
      <c r="BV621" s="177"/>
      <c r="BW621" s="17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  <c r="CH621" s="267"/>
      <c r="CI621" s="435"/>
      <c r="CJ621" s="436"/>
      <c r="CK621" s="437"/>
    </row>
    <row r="622" spans="74:89" x14ac:dyDescent="0.25">
      <c r="BV622" s="177"/>
      <c r="BW622" s="17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  <c r="CH622" s="267"/>
      <c r="CI622" s="435"/>
      <c r="CJ622" s="436"/>
      <c r="CK622" s="437"/>
    </row>
    <row r="623" spans="74:89" x14ac:dyDescent="0.25">
      <c r="BV623" s="177"/>
      <c r="BW623" s="17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  <c r="CH623" s="267"/>
      <c r="CI623" s="435"/>
      <c r="CJ623" s="436"/>
      <c r="CK623" s="437"/>
    </row>
    <row r="624" spans="74:89" x14ac:dyDescent="0.25">
      <c r="BV624" s="177"/>
      <c r="BW624" s="17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  <c r="CH624" s="267"/>
      <c r="CI624" s="435"/>
      <c r="CJ624" s="436"/>
      <c r="CK624" s="437"/>
    </row>
    <row r="625" spans="74:89" x14ac:dyDescent="0.25">
      <c r="BV625" s="177"/>
      <c r="BW625" s="17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  <c r="CH625" s="267"/>
      <c r="CI625" s="435"/>
      <c r="CJ625" s="436"/>
      <c r="CK625" s="437"/>
    </row>
    <row r="626" spans="74:89" x14ac:dyDescent="0.25">
      <c r="BV626" s="177"/>
      <c r="BW626" s="17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  <c r="CH626" s="267"/>
      <c r="CI626" s="435"/>
      <c r="CJ626" s="436"/>
      <c r="CK626" s="437"/>
    </row>
    <row r="627" spans="74:89" x14ac:dyDescent="0.25">
      <c r="BV627" s="177"/>
      <c r="BW627" s="17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  <c r="CH627" s="267"/>
      <c r="CI627" s="435"/>
      <c r="CJ627" s="436"/>
      <c r="CK627" s="437"/>
    </row>
    <row r="628" spans="74:89" x14ac:dyDescent="0.25">
      <c r="BV628" s="177"/>
      <c r="BW628" s="17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  <c r="CH628" s="267"/>
      <c r="CI628" s="435"/>
      <c r="CJ628" s="436"/>
      <c r="CK628" s="437"/>
    </row>
    <row r="629" spans="74:89" x14ac:dyDescent="0.25">
      <c r="BV629" s="177"/>
      <c r="BW629" s="17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  <c r="CH629" s="267"/>
      <c r="CI629" s="435"/>
      <c r="CJ629" s="436"/>
      <c r="CK629" s="437"/>
    </row>
    <row r="630" spans="74:89" x14ac:dyDescent="0.25">
      <c r="BV630" s="177"/>
      <c r="BW630" s="17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  <c r="CH630" s="267"/>
      <c r="CI630" s="435"/>
      <c r="CJ630" s="436"/>
      <c r="CK630" s="437"/>
    </row>
    <row r="631" spans="74:89" x14ac:dyDescent="0.25">
      <c r="BV631" s="177"/>
      <c r="BW631" s="17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  <c r="CH631" s="267"/>
      <c r="CI631" s="435"/>
      <c r="CJ631" s="436"/>
      <c r="CK631" s="437"/>
    </row>
    <row r="632" spans="74:89" x14ac:dyDescent="0.25">
      <c r="BV632" s="177"/>
      <c r="BW632" s="17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  <c r="CH632" s="267"/>
      <c r="CI632" s="435"/>
      <c r="CJ632" s="436"/>
      <c r="CK632" s="437"/>
    </row>
    <row r="633" spans="74:89" x14ac:dyDescent="0.25">
      <c r="BV633" s="177"/>
      <c r="BW633" s="17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  <c r="CH633" s="267"/>
      <c r="CI633" s="435"/>
      <c r="CJ633" s="436"/>
      <c r="CK633" s="437"/>
    </row>
    <row r="634" spans="74:89" x14ac:dyDescent="0.25">
      <c r="BV634" s="177"/>
      <c r="BW634" s="17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  <c r="CH634" s="267"/>
      <c r="CI634" s="435"/>
      <c r="CJ634" s="436"/>
      <c r="CK634" s="437"/>
    </row>
    <row r="635" spans="74:89" x14ac:dyDescent="0.25">
      <c r="BV635" s="177"/>
      <c r="BW635" s="17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  <c r="CH635" s="267"/>
      <c r="CI635" s="435"/>
      <c r="CJ635" s="436"/>
      <c r="CK635" s="437"/>
    </row>
    <row r="636" spans="74:89" x14ac:dyDescent="0.25">
      <c r="BV636" s="177"/>
      <c r="BW636" s="17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  <c r="CH636" s="267"/>
      <c r="CI636" s="435"/>
      <c r="CJ636" s="436"/>
      <c r="CK636" s="437"/>
    </row>
    <row r="637" spans="74:89" x14ac:dyDescent="0.25">
      <c r="BV637" s="177"/>
      <c r="BW637" s="177"/>
      <c r="BX637" s="267"/>
      <c r="BY637" s="267"/>
      <c r="BZ637" s="267"/>
      <c r="CA637" s="267"/>
      <c r="CB637" s="267"/>
      <c r="CC637" s="267"/>
      <c r="CD637" s="267"/>
      <c r="CE637" s="267"/>
      <c r="CF637" s="267"/>
      <c r="CG637" s="267"/>
      <c r="CH637" s="267"/>
      <c r="CI637" s="435"/>
      <c r="CJ637" s="436"/>
      <c r="CK637" s="437"/>
    </row>
    <row r="638" spans="74:89" x14ac:dyDescent="0.25">
      <c r="BV638" s="177"/>
      <c r="BW638" s="177"/>
      <c r="BX638" s="267"/>
      <c r="BY638" s="267"/>
      <c r="BZ638" s="267"/>
      <c r="CA638" s="267"/>
      <c r="CB638" s="267"/>
      <c r="CC638" s="267"/>
      <c r="CD638" s="267"/>
      <c r="CE638" s="267"/>
      <c r="CF638" s="267"/>
      <c r="CG638" s="267"/>
      <c r="CH638" s="267"/>
      <c r="CI638" s="435"/>
      <c r="CJ638" s="436"/>
      <c r="CK638" s="437"/>
    </row>
    <row r="639" spans="74:89" x14ac:dyDescent="0.25">
      <c r="BV639" s="177"/>
      <c r="BW639" s="17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  <c r="CH639" s="267"/>
      <c r="CI639" s="435"/>
      <c r="CJ639" s="436"/>
      <c r="CK639" s="437"/>
    </row>
    <row r="640" spans="74:89" x14ac:dyDescent="0.25">
      <c r="BV640" s="177"/>
      <c r="BW640" s="17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  <c r="CH640" s="267"/>
      <c r="CI640" s="435"/>
      <c r="CJ640" s="436"/>
      <c r="CK640" s="437"/>
    </row>
    <row r="641" spans="74:89" x14ac:dyDescent="0.25">
      <c r="BV641" s="177"/>
      <c r="BW641" s="17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  <c r="CH641" s="267"/>
      <c r="CI641" s="435"/>
      <c r="CJ641" s="436"/>
      <c r="CK641" s="437"/>
    </row>
    <row r="642" spans="74:89" x14ac:dyDescent="0.25">
      <c r="BV642" s="177"/>
      <c r="BW642" s="177"/>
      <c r="BX642" s="267"/>
      <c r="BY642" s="267"/>
      <c r="BZ642" s="267"/>
      <c r="CA642" s="267"/>
      <c r="CB642" s="267"/>
      <c r="CC642" s="267"/>
      <c r="CD642" s="267"/>
      <c r="CE642" s="267"/>
      <c r="CF642" s="267"/>
      <c r="CG642" s="267"/>
      <c r="CH642" s="267"/>
      <c r="CI642" s="435"/>
      <c r="CJ642" s="436"/>
      <c r="CK642" s="437"/>
    </row>
    <row r="643" spans="74:89" x14ac:dyDescent="0.25">
      <c r="BV643" s="177"/>
      <c r="BW643" s="17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  <c r="CH643" s="267"/>
      <c r="CI643" s="435"/>
      <c r="CJ643" s="436"/>
      <c r="CK643" s="437"/>
    </row>
    <row r="644" spans="74:89" x14ac:dyDescent="0.25">
      <c r="BV644" s="177"/>
      <c r="BW644" s="17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  <c r="CH644" s="267"/>
      <c r="CI644" s="435"/>
      <c r="CJ644" s="436"/>
      <c r="CK644" s="437"/>
    </row>
    <row r="645" spans="74:89" x14ac:dyDescent="0.25">
      <c r="BV645" s="177"/>
      <c r="BW645" s="177"/>
      <c r="BX645" s="267"/>
      <c r="BY645" s="267"/>
      <c r="BZ645" s="267"/>
      <c r="CA645" s="267"/>
      <c r="CB645" s="267"/>
      <c r="CC645" s="267"/>
      <c r="CD645" s="267"/>
      <c r="CE645" s="267"/>
      <c r="CF645" s="267"/>
      <c r="CG645" s="267"/>
      <c r="CH645" s="267"/>
      <c r="CI645" s="435"/>
      <c r="CJ645" s="436"/>
      <c r="CK645" s="437"/>
    </row>
    <row r="646" spans="74:89" x14ac:dyDescent="0.25">
      <c r="BV646" s="177"/>
      <c r="BW646" s="17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  <c r="CH646" s="267"/>
      <c r="CI646" s="435"/>
      <c r="CJ646" s="436"/>
      <c r="CK646" s="437"/>
    </row>
    <row r="647" spans="74:89" x14ac:dyDescent="0.25">
      <c r="BV647" s="177"/>
      <c r="BW647" s="17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  <c r="CH647" s="267"/>
      <c r="CI647" s="435"/>
      <c r="CJ647" s="436"/>
      <c r="CK647" s="437"/>
    </row>
    <row r="648" spans="74:89" x14ac:dyDescent="0.25">
      <c r="BV648" s="177"/>
      <c r="BW648" s="177"/>
      <c r="BX648" s="267"/>
      <c r="BY648" s="267"/>
      <c r="BZ648" s="267"/>
      <c r="CA648" s="267"/>
      <c r="CB648" s="267"/>
      <c r="CC648" s="267"/>
      <c r="CD648" s="267"/>
      <c r="CE648" s="267"/>
      <c r="CF648" s="267"/>
      <c r="CG648" s="267"/>
      <c r="CH648" s="267"/>
      <c r="CI648" s="435"/>
      <c r="CJ648" s="436"/>
      <c r="CK648" s="437"/>
    </row>
    <row r="649" spans="74:89" x14ac:dyDescent="0.25">
      <c r="BV649" s="177"/>
      <c r="BW649" s="17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  <c r="CH649" s="267"/>
      <c r="CI649" s="435"/>
      <c r="CJ649" s="436"/>
      <c r="CK649" s="437"/>
    </row>
    <row r="650" spans="74:89" x14ac:dyDescent="0.25">
      <c r="BV650" s="177"/>
      <c r="BW650" s="17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  <c r="CH650" s="267"/>
      <c r="CI650" s="435"/>
      <c r="CJ650" s="436"/>
      <c r="CK650" s="437"/>
    </row>
    <row r="651" spans="74:89" x14ac:dyDescent="0.25">
      <c r="BV651" s="177"/>
      <c r="BW651" s="17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  <c r="CH651" s="267"/>
      <c r="CI651" s="435"/>
      <c r="CJ651" s="436"/>
      <c r="CK651" s="437"/>
    </row>
    <row r="652" spans="74:89" x14ac:dyDescent="0.25">
      <c r="BV652" s="177"/>
      <c r="BW652" s="177"/>
      <c r="BX652" s="267"/>
      <c r="BY652" s="267"/>
      <c r="BZ652" s="267"/>
      <c r="CA652" s="267"/>
      <c r="CB652" s="267"/>
      <c r="CC652" s="267"/>
      <c r="CD652" s="267"/>
      <c r="CE652" s="267"/>
      <c r="CF652" s="267"/>
      <c r="CG652" s="267"/>
      <c r="CH652" s="267"/>
      <c r="CI652" s="435"/>
      <c r="CJ652" s="436"/>
      <c r="CK652" s="437"/>
    </row>
    <row r="653" spans="74:89" x14ac:dyDescent="0.25">
      <c r="BV653" s="177"/>
      <c r="BW653" s="17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  <c r="CH653" s="267"/>
      <c r="CI653" s="435"/>
      <c r="CJ653" s="436"/>
      <c r="CK653" s="437"/>
    </row>
    <row r="654" spans="74:89" x14ac:dyDescent="0.25">
      <c r="BV654" s="177"/>
      <c r="BW654" s="17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  <c r="CH654" s="267"/>
      <c r="CI654" s="435"/>
      <c r="CJ654" s="436"/>
      <c r="CK654" s="437"/>
    </row>
    <row r="655" spans="74:89" x14ac:dyDescent="0.25">
      <c r="BV655" s="177"/>
      <c r="BW655" s="17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  <c r="CH655" s="267"/>
      <c r="CI655" s="435"/>
      <c r="CJ655" s="436"/>
      <c r="CK655" s="437"/>
    </row>
    <row r="656" spans="74:89" x14ac:dyDescent="0.25">
      <c r="BV656" s="177"/>
      <c r="BW656" s="17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  <c r="CH656" s="267"/>
      <c r="CI656" s="435"/>
      <c r="CJ656" s="436"/>
      <c r="CK656" s="437"/>
    </row>
    <row r="657" spans="74:89" x14ac:dyDescent="0.25">
      <c r="BV657" s="177"/>
      <c r="BW657" s="17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  <c r="CH657" s="267"/>
      <c r="CI657" s="435"/>
      <c r="CJ657" s="436"/>
      <c r="CK657" s="437"/>
    </row>
    <row r="658" spans="74:89" x14ac:dyDescent="0.25">
      <c r="BV658" s="177"/>
      <c r="BW658" s="17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  <c r="CH658" s="267"/>
      <c r="CI658" s="435"/>
      <c r="CJ658" s="436"/>
      <c r="CK658" s="437"/>
    </row>
    <row r="659" spans="74:89" x14ac:dyDescent="0.25">
      <c r="BV659" s="177"/>
      <c r="BW659" s="177"/>
      <c r="BX659" s="267"/>
      <c r="BY659" s="267"/>
      <c r="BZ659" s="267"/>
      <c r="CA659" s="267"/>
      <c r="CB659" s="267"/>
      <c r="CC659" s="267"/>
      <c r="CD659" s="267"/>
      <c r="CE659" s="267"/>
      <c r="CF659" s="267"/>
      <c r="CG659" s="267"/>
      <c r="CH659" s="267"/>
      <c r="CI659" s="435"/>
      <c r="CJ659" s="436"/>
      <c r="CK659" s="437"/>
    </row>
    <row r="660" spans="74:89" x14ac:dyDescent="0.25">
      <c r="BV660" s="177"/>
      <c r="BW660" s="17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  <c r="CH660" s="267"/>
      <c r="CI660" s="435"/>
      <c r="CJ660" s="436"/>
      <c r="CK660" s="437"/>
    </row>
    <row r="661" spans="74:89" x14ac:dyDescent="0.25">
      <c r="BV661" s="177"/>
      <c r="BW661" s="177"/>
      <c r="BX661" s="267"/>
      <c r="BY661" s="267"/>
      <c r="BZ661" s="267"/>
      <c r="CA661" s="267"/>
      <c r="CB661" s="267"/>
      <c r="CC661" s="267"/>
      <c r="CD661" s="267"/>
      <c r="CE661" s="267"/>
      <c r="CF661" s="267"/>
      <c r="CG661" s="267"/>
      <c r="CH661" s="267"/>
      <c r="CI661" s="435"/>
      <c r="CJ661" s="436"/>
      <c r="CK661" s="437"/>
    </row>
    <row r="662" spans="74:89" x14ac:dyDescent="0.25">
      <c r="BV662" s="177"/>
      <c r="BW662" s="17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  <c r="CH662" s="267"/>
      <c r="CI662" s="435"/>
      <c r="CJ662" s="436"/>
      <c r="CK662" s="437"/>
    </row>
    <row r="663" spans="74:89" x14ac:dyDescent="0.25">
      <c r="BV663" s="177"/>
      <c r="BW663" s="177"/>
      <c r="BX663" s="267"/>
      <c r="BY663" s="267"/>
      <c r="BZ663" s="267"/>
      <c r="CA663" s="267"/>
      <c r="CB663" s="267"/>
      <c r="CC663" s="267"/>
      <c r="CD663" s="267"/>
      <c r="CE663" s="267"/>
      <c r="CF663" s="267"/>
      <c r="CG663" s="267"/>
      <c r="CH663" s="267"/>
      <c r="CI663" s="435"/>
      <c r="CJ663" s="436"/>
      <c r="CK663" s="437"/>
    </row>
    <row r="664" spans="74:89" x14ac:dyDescent="0.25">
      <c r="BV664" s="177"/>
      <c r="BW664" s="17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  <c r="CH664" s="267"/>
      <c r="CI664" s="435"/>
      <c r="CJ664" s="436"/>
      <c r="CK664" s="437"/>
    </row>
    <row r="665" spans="74:89" x14ac:dyDescent="0.25">
      <c r="BV665" s="177"/>
      <c r="BW665" s="17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  <c r="CH665" s="267"/>
      <c r="CI665" s="435"/>
      <c r="CJ665" s="436"/>
      <c r="CK665" s="437"/>
    </row>
    <row r="666" spans="74:89" x14ac:dyDescent="0.25">
      <c r="BV666" s="177"/>
      <c r="BW666" s="177"/>
      <c r="BX666" s="267"/>
      <c r="BY666" s="267"/>
      <c r="BZ666" s="267"/>
      <c r="CA666" s="267"/>
      <c r="CB666" s="267"/>
      <c r="CC666" s="267"/>
      <c r="CD666" s="267"/>
      <c r="CE666" s="267"/>
      <c r="CF666" s="267"/>
      <c r="CG666" s="267"/>
      <c r="CH666" s="267"/>
      <c r="CI666" s="435"/>
      <c r="CJ666" s="436"/>
      <c r="CK666" s="437"/>
    </row>
    <row r="667" spans="74:89" x14ac:dyDescent="0.25">
      <c r="BV667" s="177"/>
      <c r="BW667" s="17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  <c r="CH667" s="267"/>
      <c r="CI667" s="435"/>
      <c r="CJ667" s="436"/>
      <c r="CK667" s="437"/>
    </row>
    <row r="668" spans="74:89" x14ac:dyDescent="0.25">
      <c r="BV668" s="177"/>
      <c r="BW668" s="177"/>
      <c r="BX668" s="267"/>
      <c r="BY668" s="267"/>
      <c r="BZ668" s="267"/>
      <c r="CA668" s="267"/>
      <c r="CB668" s="267"/>
      <c r="CC668" s="267"/>
      <c r="CD668" s="267"/>
      <c r="CE668" s="267"/>
      <c r="CF668" s="267"/>
      <c r="CG668" s="267"/>
      <c r="CH668" s="267"/>
      <c r="CI668" s="435"/>
      <c r="CJ668" s="436"/>
      <c r="CK668" s="437"/>
    </row>
    <row r="669" spans="74:89" x14ac:dyDescent="0.25">
      <c r="BV669" s="177"/>
      <c r="BW669" s="17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  <c r="CH669" s="267"/>
      <c r="CI669" s="435"/>
      <c r="CJ669" s="436"/>
      <c r="CK669" s="437"/>
    </row>
    <row r="670" spans="74:89" x14ac:dyDescent="0.25">
      <c r="BV670" s="177"/>
      <c r="BW670" s="177"/>
      <c r="BX670" s="267"/>
      <c r="BY670" s="267"/>
      <c r="BZ670" s="267"/>
      <c r="CA670" s="267"/>
      <c r="CB670" s="267"/>
      <c r="CC670" s="267"/>
      <c r="CD670" s="267"/>
      <c r="CE670" s="267"/>
      <c r="CF670" s="267"/>
      <c r="CG670" s="267"/>
      <c r="CH670" s="267"/>
      <c r="CI670" s="435"/>
      <c r="CJ670" s="436"/>
      <c r="CK670" s="437"/>
    </row>
    <row r="671" spans="74:89" x14ac:dyDescent="0.25">
      <c r="BV671" s="177"/>
      <c r="BW671" s="17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  <c r="CH671" s="267"/>
      <c r="CI671" s="435"/>
      <c r="CJ671" s="436"/>
      <c r="CK671" s="437"/>
    </row>
    <row r="672" spans="74:89" x14ac:dyDescent="0.25">
      <c r="BV672" s="177"/>
      <c r="BW672" s="177"/>
      <c r="BX672" s="267"/>
      <c r="BY672" s="267"/>
      <c r="BZ672" s="267"/>
      <c r="CA672" s="267"/>
      <c r="CB672" s="267"/>
      <c r="CC672" s="267"/>
      <c r="CD672" s="267"/>
      <c r="CE672" s="267"/>
      <c r="CF672" s="267"/>
      <c r="CG672" s="267"/>
      <c r="CH672" s="267"/>
      <c r="CI672" s="435"/>
      <c r="CJ672" s="436"/>
      <c r="CK672" s="437"/>
    </row>
    <row r="673" spans="74:89" x14ac:dyDescent="0.25">
      <c r="BV673" s="177"/>
      <c r="BW673" s="17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  <c r="CH673" s="267"/>
      <c r="CI673" s="435"/>
      <c r="CJ673" s="436"/>
      <c r="CK673" s="437"/>
    </row>
    <row r="674" spans="74:89" x14ac:dyDescent="0.25">
      <c r="BV674" s="177"/>
      <c r="BW674" s="17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  <c r="CH674" s="267"/>
      <c r="CI674" s="435"/>
      <c r="CJ674" s="436"/>
      <c r="CK674" s="437"/>
    </row>
    <row r="675" spans="74:89" x14ac:dyDescent="0.25">
      <c r="BV675" s="177"/>
      <c r="BW675" s="17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  <c r="CH675" s="267"/>
      <c r="CI675" s="435"/>
      <c r="CJ675" s="436"/>
      <c r="CK675" s="437"/>
    </row>
    <row r="676" spans="74:89" x14ac:dyDescent="0.25">
      <c r="BV676" s="177"/>
      <c r="BW676" s="17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  <c r="CH676" s="267"/>
      <c r="CI676" s="435"/>
      <c r="CJ676" s="436"/>
      <c r="CK676" s="437"/>
    </row>
    <row r="677" spans="74:89" x14ac:dyDescent="0.25">
      <c r="BV677" s="177"/>
      <c r="BW677" s="17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  <c r="CH677" s="267"/>
      <c r="CI677" s="435"/>
      <c r="CJ677" s="436"/>
      <c r="CK677" s="437"/>
    </row>
    <row r="678" spans="74:89" x14ac:dyDescent="0.25">
      <c r="BV678" s="177"/>
      <c r="BW678" s="17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  <c r="CH678" s="267"/>
      <c r="CI678" s="435"/>
      <c r="CJ678" s="436"/>
      <c r="CK678" s="437"/>
    </row>
    <row r="679" spans="74:89" x14ac:dyDescent="0.25">
      <c r="BV679" s="177"/>
      <c r="BW679" s="17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  <c r="CH679" s="267"/>
      <c r="CI679" s="435"/>
      <c r="CJ679" s="436"/>
      <c r="CK679" s="437"/>
    </row>
    <row r="680" spans="74:89" x14ac:dyDescent="0.25">
      <c r="BV680" s="177"/>
      <c r="BW680" s="177"/>
      <c r="BX680" s="267"/>
      <c r="BY680" s="267"/>
      <c r="BZ680" s="267"/>
      <c r="CA680" s="267"/>
      <c r="CB680" s="267"/>
      <c r="CC680" s="267"/>
      <c r="CD680" s="267"/>
      <c r="CE680" s="267"/>
      <c r="CF680" s="267"/>
      <c r="CG680" s="267"/>
      <c r="CH680" s="267"/>
      <c r="CI680" s="435"/>
      <c r="CJ680" s="436"/>
      <c r="CK680" s="437"/>
    </row>
    <row r="681" spans="74:89" x14ac:dyDescent="0.25">
      <c r="BV681" s="177"/>
      <c r="BW681" s="17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  <c r="CH681" s="267"/>
      <c r="CI681" s="435"/>
      <c r="CJ681" s="436"/>
      <c r="CK681" s="437"/>
    </row>
    <row r="682" spans="74:89" x14ac:dyDescent="0.25">
      <c r="BV682" s="177"/>
      <c r="BW682" s="17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  <c r="CH682" s="267"/>
      <c r="CI682" s="435"/>
      <c r="CJ682" s="436"/>
      <c r="CK682" s="437"/>
    </row>
    <row r="683" spans="74:89" x14ac:dyDescent="0.25">
      <c r="BV683" s="177"/>
      <c r="BW683" s="17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  <c r="CH683" s="267"/>
      <c r="CI683" s="435"/>
      <c r="CJ683" s="436"/>
      <c r="CK683" s="437"/>
    </row>
    <row r="684" spans="74:89" x14ac:dyDescent="0.25">
      <c r="BV684" s="177"/>
      <c r="BW684" s="17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  <c r="CH684" s="267"/>
      <c r="CI684" s="435"/>
      <c r="CJ684" s="436"/>
      <c r="CK684" s="437"/>
    </row>
    <row r="685" spans="74:89" x14ac:dyDescent="0.25">
      <c r="BV685" s="177"/>
      <c r="BW685" s="17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  <c r="CH685" s="267"/>
      <c r="CI685" s="435"/>
      <c r="CJ685" s="436"/>
      <c r="CK685" s="437"/>
    </row>
    <row r="686" spans="74:89" x14ac:dyDescent="0.25">
      <c r="BV686" s="177"/>
      <c r="BW686" s="17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  <c r="CH686" s="267"/>
      <c r="CI686" s="435"/>
      <c r="CJ686" s="436"/>
      <c r="CK686" s="437"/>
    </row>
    <row r="687" spans="74:89" x14ac:dyDescent="0.25">
      <c r="BV687" s="177"/>
      <c r="BW687" s="17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  <c r="CH687" s="267"/>
      <c r="CI687" s="435"/>
      <c r="CJ687" s="436"/>
      <c r="CK687" s="437"/>
    </row>
    <row r="688" spans="74:89" x14ac:dyDescent="0.25">
      <c r="BV688" s="177"/>
      <c r="BW688" s="177"/>
      <c r="BX688" s="267"/>
      <c r="BY688" s="267"/>
      <c r="BZ688" s="267"/>
      <c r="CA688" s="267"/>
      <c r="CB688" s="267"/>
      <c r="CC688" s="267"/>
      <c r="CD688" s="267"/>
      <c r="CE688" s="267"/>
      <c r="CF688" s="267"/>
      <c r="CG688" s="267"/>
      <c r="CH688" s="267"/>
      <c r="CI688" s="435"/>
      <c r="CJ688" s="436"/>
      <c r="CK688" s="437"/>
    </row>
    <row r="689" spans="74:89" x14ac:dyDescent="0.25">
      <c r="BV689" s="177"/>
      <c r="BW689" s="17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435"/>
      <c r="CJ689" s="436"/>
      <c r="CK689" s="437"/>
    </row>
    <row r="690" spans="74:89" x14ac:dyDescent="0.25">
      <c r="BV690" s="177"/>
      <c r="BW690" s="17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  <c r="CH690" s="267"/>
      <c r="CI690" s="435"/>
      <c r="CJ690" s="436"/>
      <c r="CK690" s="437"/>
    </row>
    <row r="691" spans="74:89" x14ac:dyDescent="0.25">
      <c r="BV691" s="177"/>
      <c r="BW691" s="17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  <c r="CH691" s="267"/>
      <c r="CI691" s="435"/>
      <c r="CJ691" s="436"/>
      <c r="CK691" s="437"/>
    </row>
    <row r="692" spans="74:89" x14ac:dyDescent="0.25">
      <c r="BV692" s="177"/>
      <c r="BW692" s="177"/>
      <c r="BX692" s="267"/>
      <c r="BY692" s="267"/>
      <c r="BZ692" s="267"/>
      <c r="CA692" s="267"/>
      <c r="CB692" s="267"/>
      <c r="CC692" s="267"/>
      <c r="CD692" s="267"/>
      <c r="CE692" s="267"/>
      <c r="CF692" s="267"/>
      <c r="CG692" s="267"/>
      <c r="CH692" s="267"/>
      <c r="CI692" s="435"/>
      <c r="CJ692" s="436"/>
      <c r="CK692" s="437"/>
    </row>
    <row r="693" spans="74:89" x14ac:dyDescent="0.25">
      <c r="BV693" s="177"/>
      <c r="BW693" s="17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  <c r="CH693" s="267"/>
      <c r="CI693" s="435"/>
      <c r="CJ693" s="436"/>
      <c r="CK693" s="437"/>
    </row>
    <row r="694" spans="74:89" x14ac:dyDescent="0.25">
      <c r="BV694" s="177"/>
      <c r="BW694" s="177"/>
      <c r="BX694" s="267"/>
      <c r="BY694" s="267"/>
      <c r="BZ694" s="267"/>
      <c r="CA694" s="267"/>
      <c r="CB694" s="267"/>
      <c r="CC694" s="267"/>
      <c r="CD694" s="267"/>
      <c r="CE694" s="267"/>
      <c r="CF694" s="267"/>
      <c r="CG694" s="267"/>
      <c r="CH694" s="267"/>
      <c r="CI694" s="435"/>
      <c r="CJ694" s="436"/>
      <c r="CK694" s="437"/>
    </row>
    <row r="695" spans="74:89" x14ac:dyDescent="0.25">
      <c r="BV695" s="177"/>
      <c r="BW695" s="17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  <c r="CH695" s="267"/>
      <c r="CI695" s="435"/>
      <c r="CJ695" s="436"/>
      <c r="CK695" s="437"/>
    </row>
    <row r="696" spans="74:89" x14ac:dyDescent="0.25">
      <c r="BV696" s="177"/>
      <c r="BW696" s="177"/>
      <c r="BX696" s="267"/>
      <c r="BY696" s="267"/>
      <c r="BZ696" s="267"/>
      <c r="CA696" s="267"/>
      <c r="CB696" s="267"/>
      <c r="CC696" s="267"/>
      <c r="CD696" s="267"/>
      <c r="CE696" s="267"/>
      <c r="CF696" s="267"/>
      <c r="CG696" s="267"/>
      <c r="CH696" s="267"/>
      <c r="CI696" s="435"/>
      <c r="CJ696" s="436"/>
      <c r="CK696" s="437"/>
    </row>
    <row r="697" spans="74:89" x14ac:dyDescent="0.25">
      <c r="BV697" s="177"/>
      <c r="BW697" s="17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  <c r="CH697" s="267"/>
      <c r="CI697" s="435"/>
      <c r="CJ697" s="436"/>
      <c r="CK697" s="437"/>
    </row>
    <row r="698" spans="74:89" x14ac:dyDescent="0.25">
      <c r="BV698" s="177"/>
      <c r="BW698" s="177"/>
      <c r="BX698" s="267"/>
      <c r="BY698" s="267"/>
      <c r="BZ698" s="267"/>
      <c r="CA698" s="267"/>
      <c r="CB698" s="267"/>
      <c r="CC698" s="267"/>
      <c r="CD698" s="267"/>
      <c r="CE698" s="267"/>
      <c r="CF698" s="267"/>
      <c r="CG698" s="267"/>
      <c r="CH698" s="267"/>
      <c r="CI698" s="435"/>
      <c r="CJ698" s="436"/>
      <c r="CK698" s="437"/>
    </row>
    <row r="699" spans="74:89" x14ac:dyDescent="0.25">
      <c r="BV699" s="177"/>
      <c r="BW699" s="17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  <c r="CH699" s="267"/>
      <c r="CI699" s="435"/>
      <c r="CJ699" s="436"/>
      <c r="CK699" s="437"/>
    </row>
    <row r="700" spans="74:89" x14ac:dyDescent="0.25">
      <c r="BV700" s="177"/>
      <c r="BW700" s="177"/>
      <c r="BX700" s="267"/>
      <c r="BY700" s="267"/>
      <c r="BZ700" s="267"/>
      <c r="CA700" s="267"/>
      <c r="CB700" s="267"/>
      <c r="CC700" s="267"/>
      <c r="CD700" s="267"/>
      <c r="CE700" s="267"/>
      <c r="CF700" s="267"/>
      <c r="CG700" s="267"/>
      <c r="CH700" s="267"/>
      <c r="CI700" s="435"/>
      <c r="CJ700" s="436"/>
      <c r="CK700" s="437"/>
    </row>
    <row r="701" spans="74:89" x14ac:dyDescent="0.25">
      <c r="BV701" s="177"/>
      <c r="BW701" s="17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  <c r="CH701" s="267"/>
      <c r="CI701" s="435"/>
      <c r="CJ701" s="436"/>
      <c r="CK701" s="437"/>
    </row>
    <row r="702" spans="74:89" x14ac:dyDescent="0.25">
      <c r="BV702" s="177"/>
      <c r="BW702" s="17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  <c r="CH702" s="267"/>
      <c r="CI702" s="435"/>
      <c r="CJ702" s="436"/>
      <c r="CK702" s="437"/>
    </row>
    <row r="703" spans="74:89" x14ac:dyDescent="0.25">
      <c r="BV703" s="177"/>
      <c r="BW703" s="177"/>
      <c r="BX703" s="267"/>
      <c r="BY703" s="267"/>
      <c r="BZ703" s="267"/>
      <c r="CA703" s="267"/>
      <c r="CB703" s="267"/>
      <c r="CC703" s="267"/>
      <c r="CD703" s="267"/>
      <c r="CE703" s="267"/>
      <c r="CF703" s="267"/>
      <c r="CG703" s="267"/>
      <c r="CH703" s="267"/>
      <c r="CI703" s="435"/>
      <c r="CJ703" s="436"/>
      <c r="CK703" s="437"/>
    </row>
    <row r="704" spans="74:89" x14ac:dyDescent="0.25">
      <c r="BV704" s="177"/>
      <c r="BW704" s="177"/>
      <c r="BX704" s="267"/>
      <c r="BY704" s="267"/>
      <c r="BZ704" s="267"/>
      <c r="CA704" s="267"/>
      <c r="CB704" s="267"/>
      <c r="CC704" s="267"/>
      <c r="CD704" s="267"/>
      <c r="CE704" s="267"/>
      <c r="CF704" s="267"/>
      <c r="CG704" s="267"/>
      <c r="CH704" s="267"/>
      <c r="CI704" s="435"/>
      <c r="CJ704" s="436"/>
      <c r="CK704" s="437"/>
    </row>
    <row r="705" spans="74:89" x14ac:dyDescent="0.25">
      <c r="BV705" s="177"/>
      <c r="BW705" s="17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  <c r="CH705" s="267"/>
      <c r="CI705" s="435"/>
      <c r="CJ705" s="436"/>
      <c r="CK705" s="437"/>
    </row>
    <row r="706" spans="74:89" x14ac:dyDescent="0.25">
      <c r="BV706" s="177"/>
      <c r="BW706" s="177"/>
      <c r="BX706" s="267"/>
      <c r="BY706" s="267"/>
      <c r="BZ706" s="267"/>
      <c r="CA706" s="267"/>
      <c r="CB706" s="267"/>
      <c r="CC706" s="267"/>
      <c r="CD706" s="267"/>
      <c r="CE706" s="267"/>
      <c r="CF706" s="267"/>
      <c r="CG706" s="267"/>
      <c r="CH706" s="267"/>
      <c r="CI706" s="435"/>
      <c r="CJ706" s="436"/>
      <c r="CK706" s="437"/>
    </row>
    <row r="707" spans="74:89" x14ac:dyDescent="0.25">
      <c r="BV707" s="177"/>
      <c r="BW707" s="17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  <c r="CH707" s="267"/>
      <c r="CI707" s="435"/>
      <c r="CJ707" s="436"/>
      <c r="CK707" s="437"/>
    </row>
    <row r="708" spans="74:89" x14ac:dyDescent="0.25">
      <c r="BV708" s="177"/>
      <c r="BW708" s="177"/>
      <c r="BX708" s="267"/>
      <c r="BY708" s="267"/>
      <c r="BZ708" s="267"/>
      <c r="CA708" s="267"/>
      <c r="CB708" s="267"/>
      <c r="CC708" s="267"/>
      <c r="CD708" s="267"/>
      <c r="CE708" s="267"/>
      <c r="CF708" s="267"/>
      <c r="CG708" s="267"/>
      <c r="CH708" s="267"/>
      <c r="CI708" s="435"/>
      <c r="CJ708" s="436"/>
      <c r="CK708" s="437"/>
    </row>
    <row r="709" spans="74:89" x14ac:dyDescent="0.25">
      <c r="BV709" s="177"/>
      <c r="BW709" s="17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  <c r="CH709" s="267"/>
      <c r="CI709" s="435"/>
      <c r="CJ709" s="436"/>
      <c r="CK709" s="437"/>
    </row>
    <row r="710" spans="74:89" x14ac:dyDescent="0.25">
      <c r="BV710" s="177"/>
      <c r="BW710" s="177"/>
      <c r="BX710" s="267"/>
      <c r="BY710" s="267"/>
      <c r="BZ710" s="267"/>
      <c r="CA710" s="267"/>
      <c r="CB710" s="267"/>
      <c r="CC710" s="267"/>
      <c r="CD710" s="267"/>
      <c r="CE710" s="267"/>
      <c r="CF710" s="267"/>
      <c r="CG710" s="267"/>
      <c r="CH710" s="267"/>
      <c r="CI710" s="435"/>
      <c r="CJ710" s="436"/>
      <c r="CK710" s="437"/>
    </row>
    <row r="711" spans="74:89" x14ac:dyDescent="0.25">
      <c r="BV711" s="177"/>
      <c r="BW711" s="17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  <c r="CH711" s="267"/>
      <c r="CI711" s="435"/>
      <c r="CJ711" s="436"/>
      <c r="CK711" s="437"/>
    </row>
    <row r="712" spans="74:89" x14ac:dyDescent="0.25">
      <c r="BV712" s="177"/>
      <c r="BW712" s="17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  <c r="CH712" s="267"/>
      <c r="CI712" s="435"/>
      <c r="CJ712" s="436"/>
      <c r="CK712" s="437"/>
    </row>
    <row r="713" spans="74:89" x14ac:dyDescent="0.25">
      <c r="BV713" s="177"/>
      <c r="BW713" s="177"/>
      <c r="BX713" s="267"/>
      <c r="BY713" s="267"/>
      <c r="BZ713" s="267"/>
      <c r="CA713" s="267"/>
      <c r="CB713" s="267"/>
      <c r="CC713" s="267"/>
      <c r="CD713" s="267"/>
      <c r="CE713" s="267"/>
      <c r="CF713" s="267"/>
      <c r="CG713" s="267"/>
      <c r="CH713" s="267"/>
      <c r="CI713" s="435"/>
      <c r="CJ713" s="436"/>
      <c r="CK713" s="437"/>
    </row>
    <row r="714" spans="74:89" x14ac:dyDescent="0.25">
      <c r="BV714" s="177"/>
      <c r="BW714" s="17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  <c r="CH714" s="267"/>
      <c r="CI714" s="435"/>
      <c r="CJ714" s="436"/>
      <c r="CK714" s="437"/>
    </row>
    <row r="715" spans="74:89" x14ac:dyDescent="0.25">
      <c r="BV715" s="177"/>
      <c r="BW715" s="17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  <c r="CH715" s="267"/>
      <c r="CI715" s="435"/>
      <c r="CJ715" s="436"/>
      <c r="CK715" s="437"/>
    </row>
    <row r="716" spans="74:89" x14ac:dyDescent="0.25">
      <c r="BV716" s="177"/>
      <c r="BW716" s="177"/>
      <c r="BX716" s="267"/>
      <c r="BY716" s="267"/>
      <c r="BZ716" s="267"/>
      <c r="CA716" s="267"/>
      <c r="CB716" s="267"/>
      <c r="CC716" s="267"/>
      <c r="CD716" s="267"/>
      <c r="CE716" s="267"/>
      <c r="CF716" s="267"/>
      <c r="CG716" s="267"/>
      <c r="CH716" s="267"/>
      <c r="CI716" s="435"/>
      <c r="CJ716" s="436"/>
      <c r="CK716" s="437"/>
    </row>
    <row r="717" spans="74:89" x14ac:dyDescent="0.25">
      <c r="BV717" s="177"/>
      <c r="BW717" s="177"/>
      <c r="BX717" s="267"/>
      <c r="BY717" s="267"/>
      <c r="BZ717" s="267"/>
      <c r="CA717" s="267"/>
      <c r="CB717" s="267"/>
      <c r="CC717" s="267"/>
      <c r="CD717" s="267"/>
      <c r="CE717" s="267"/>
      <c r="CF717" s="267"/>
      <c r="CG717" s="267"/>
      <c r="CH717" s="267"/>
      <c r="CI717" s="435"/>
      <c r="CJ717" s="436"/>
      <c r="CK717" s="437"/>
    </row>
    <row r="718" spans="74:89" x14ac:dyDescent="0.25">
      <c r="BV718" s="177"/>
      <c r="BW718" s="17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  <c r="CH718" s="267"/>
      <c r="CI718" s="435"/>
      <c r="CJ718" s="436"/>
      <c r="CK718" s="437"/>
    </row>
    <row r="719" spans="74:89" x14ac:dyDescent="0.25">
      <c r="BV719" s="177"/>
      <c r="BW719" s="17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  <c r="CH719" s="267"/>
      <c r="CI719" s="435"/>
      <c r="CJ719" s="436"/>
      <c r="CK719" s="437"/>
    </row>
    <row r="720" spans="74:89" x14ac:dyDescent="0.25">
      <c r="BV720" s="177"/>
      <c r="BW720" s="177"/>
      <c r="BX720" s="267"/>
      <c r="BY720" s="267"/>
      <c r="BZ720" s="267"/>
      <c r="CA720" s="267"/>
      <c r="CB720" s="267"/>
      <c r="CC720" s="267"/>
      <c r="CD720" s="267"/>
      <c r="CE720" s="267"/>
      <c r="CF720" s="267"/>
      <c r="CG720" s="267"/>
      <c r="CH720" s="267"/>
      <c r="CI720" s="435"/>
      <c r="CJ720" s="436"/>
      <c r="CK720" s="437"/>
    </row>
    <row r="721" spans="74:89" x14ac:dyDescent="0.25">
      <c r="BV721" s="177"/>
      <c r="BW721" s="17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  <c r="CH721" s="267"/>
      <c r="CI721" s="435"/>
      <c r="CJ721" s="436"/>
      <c r="CK721" s="437"/>
    </row>
    <row r="722" spans="74:89" x14ac:dyDescent="0.25">
      <c r="BV722" s="177"/>
      <c r="BW722" s="177"/>
      <c r="BX722" s="267"/>
      <c r="BY722" s="267"/>
      <c r="BZ722" s="267"/>
      <c r="CA722" s="267"/>
      <c r="CB722" s="267"/>
      <c r="CC722" s="267"/>
      <c r="CD722" s="267"/>
      <c r="CE722" s="267"/>
      <c r="CF722" s="267"/>
      <c r="CG722" s="267"/>
      <c r="CH722" s="267"/>
      <c r="CI722" s="435"/>
      <c r="CJ722" s="436"/>
      <c r="CK722" s="437"/>
    </row>
    <row r="723" spans="74:89" x14ac:dyDescent="0.25">
      <c r="BV723" s="177"/>
      <c r="BW723" s="17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  <c r="CH723" s="267"/>
      <c r="CI723" s="435"/>
      <c r="CJ723" s="436"/>
      <c r="CK723" s="437"/>
    </row>
    <row r="724" spans="74:89" x14ac:dyDescent="0.25">
      <c r="BV724" s="177"/>
      <c r="BW724" s="17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  <c r="CH724" s="267"/>
      <c r="CI724" s="435"/>
      <c r="CJ724" s="436"/>
      <c r="CK724" s="437"/>
    </row>
    <row r="725" spans="74:89" x14ac:dyDescent="0.25">
      <c r="BV725" s="177"/>
      <c r="BW725" s="177"/>
      <c r="BX725" s="267"/>
      <c r="BY725" s="267"/>
      <c r="BZ725" s="267"/>
      <c r="CA725" s="267"/>
      <c r="CB725" s="267"/>
      <c r="CC725" s="267"/>
      <c r="CD725" s="267"/>
      <c r="CE725" s="267"/>
      <c r="CF725" s="267"/>
      <c r="CG725" s="267"/>
      <c r="CH725" s="267"/>
      <c r="CI725" s="435"/>
      <c r="CJ725" s="436"/>
      <c r="CK725" s="437"/>
    </row>
    <row r="726" spans="74:89" x14ac:dyDescent="0.25">
      <c r="BV726" s="177"/>
      <c r="BW726" s="17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  <c r="CH726" s="267"/>
      <c r="CI726" s="435"/>
      <c r="CJ726" s="436"/>
      <c r="CK726" s="437"/>
    </row>
    <row r="727" spans="74:89" x14ac:dyDescent="0.25">
      <c r="BV727" s="177"/>
      <c r="BW727" s="17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  <c r="CH727" s="267"/>
      <c r="CI727" s="435"/>
      <c r="CJ727" s="436"/>
      <c r="CK727" s="437"/>
    </row>
    <row r="728" spans="74:89" x14ac:dyDescent="0.25">
      <c r="BV728" s="177"/>
      <c r="BW728" s="17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  <c r="CH728" s="267"/>
      <c r="CI728" s="435"/>
      <c r="CJ728" s="436"/>
      <c r="CK728" s="437"/>
    </row>
    <row r="729" spans="74:89" x14ac:dyDescent="0.25">
      <c r="BV729" s="177"/>
      <c r="BW729" s="177"/>
      <c r="BX729" s="267"/>
      <c r="BY729" s="267"/>
      <c r="BZ729" s="267"/>
      <c r="CA729" s="267"/>
      <c r="CB729" s="267"/>
      <c r="CC729" s="267"/>
      <c r="CD729" s="267"/>
      <c r="CE729" s="267"/>
      <c r="CF729" s="267"/>
      <c r="CG729" s="267"/>
      <c r="CH729" s="267"/>
      <c r="CI729" s="435"/>
      <c r="CJ729" s="436"/>
      <c r="CK729" s="437"/>
    </row>
    <row r="730" spans="74:89" x14ac:dyDescent="0.25">
      <c r="BV730" s="177"/>
      <c r="BW730" s="177"/>
      <c r="BX730" s="267"/>
      <c r="BY730" s="267"/>
      <c r="BZ730" s="267"/>
      <c r="CA730" s="267"/>
      <c r="CB730" s="267"/>
      <c r="CC730" s="267"/>
      <c r="CD730" s="267"/>
      <c r="CE730" s="267"/>
      <c r="CF730" s="267"/>
      <c r="CG730" s="267"/>
      <c r="CH730" s="267"/>
      <c r="CI730" s="435"/>
      <c r="CJ730" s="436"/>
      <c r="CK730" s="437"/>
    </row>
    <row r="731" spans="74:89" x14ac:dyDescent="0.25">
      <c r="BV731" s="177"/>
      <c r="BW731" s="17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  <c r="CH731" s="267"/>
      <c r="CI731" s="435"/>
      <c r="CJ731" s="436"/>
      <c r="CK731" s="437"/>
    </row>
    <row r="732" spans="74:89" x14ac:dyDescent="0.25">
      <c r="BV732" s="177"/>
      <c r="BW732" s="177"/>
      <c r="BX732" s="267"/>
      <c r="BY732" s="267"/>
      <c r="BZ732" s="267"/>
      <c r="CA732" s="267"/>
      <c r="CB732" s="267"/>
      <c r="CC732" s="267"/>
      <c r="CD732" s="267"/>
      <c r="CE732" s="267"/>
      <c r="CF732" s="267"/>
      <c r="CG732" s="267"/>
      <c r="CH732" s="267"/>
      <c r="CI732" s="435"/>
      <c r="CJ732" s="436"/>
      <c r="CK732" s="437"/>
    </row>
    <row r="733" spans="74:89" x14ac:dyDescent="0.25">
      <c r="BV733" s="177"/>
      <c r="BW733" s="177"/>
      <c r="BX733" s="267"/>
      <c r="BY733" s="267"/>
      <c r="BZ733" s="267"/>
      <c r="CA733" s="267"/>
      <c r="CB733" s="267"/>
      <c r="CC733" s="267"/>
      <c r="CD733" s="267"/>
      <c r="CE733" s="267"/>
      <c r="CF733" s="267"/>
      <c r="CG733" s="267"/>
      <c r="CH733" s="267"/>
      <c r="CI733" s="435"/>
      <c r="CJ733" s="436"/>
      <c r="CK733" s="437"/>
    </row>
    <row r="734" spans="74:89" x14ac:dyDescent="0.25">
      <c r="BV734" s="177"/>
      <c r="BW734" s="177"/>
      <c r="BX734" s="267"/>
      <c r="BY734" s="267"/>
      <c r="BZ734" s="267"/>
      <c r="CA734" s="267"/>
      <c r="CB734" s="267"/>
      <c r="CC734" s="267"/>
      <c r="CD734" s="267"/>
      <c r="CE734" s="267"/>
      <c r="CF734" s="267"/>
      <c r="CG734" s="267"/>
      <c r="CH734" s="267"/>
      <c r="CI734" s="435"/>
      <c r="CJ734" s="436"/>
      <c r="CK734" s="437"/>
    </row>
    <row r="735" spans="74:89" x14ac:dyDescent="0.25">
      <c r="BV735" s="177"/>
      <c r="BW735" s="177"/>
      <c r="BX735" s="267"/>
      <c r="BY735" s="267"/>
      <c r="BZ735" s="267"/>
      <c r="CA735" s="267"/>
      <c r="CB735" s="267"/>
      <c r="CC735" s="267"/>
      <c r="CD735" s="267"/>
      <c r="CE735" s="267"/>
      <c r="CF735" s="267"/>
      <c r="CG735" s="267"/>
      <c r="CH735" s="267"/>
      <c r="CI735" s="435"/>
      <c r="CJ735" s="436"/>
      <c r="CK735" s="437"/>
    </row>
    <row r="736" spans="74:89" x14ac:dyDescent="0.25">
      <c r="BV736" s="177"/>
      <c r="BW736" s="177"/>
      <c r="BX736" s="267"/>
      <c r="BY736" s="267"/>
      <c r="BZ736" s="267"/>
      <c r="CA736" s="267"/>
      <c r="CB736" s="267"/>
      <c r="CC736" s="267"/>
      <c r="CD736" s="267"/>
      <c r="CE736" s="267"/>
      <c r="CF736" s="267"/>
      <c r="CG736" s="267"/>
      <c r="CH736" s="267"/>
      <c r="CI736" s="435"/>
      <c r="CJ736" s="436"/>
      <c r="CK736" s="437"/>
    </row>
    <row r="737" spans="74:89" x14ac:dyDescent="0.25">
      <c r="BV737" s="177"/>
      <c r="BW737" s="177"/>
      <c r="BX737" s="267"/>
      <c r="BY737" s="267"/>
      <c r="BZ737" s="267"/>
      <c r="CA737" s="267"/>
      <c r="CB737" s="267"/>
      <c r="CC737" s="267"/>
      <c r="CD737" s="267"/>
      <c r="CE737" s="267"/>
      <c r="CF737" s="267"/>
      <c r="CG737" s="267"/>
      <c r="CH737" s="267"/>
      <c r="CI737" s="435"/>
      <c r="CJ737" s="436"/>
      <c r="CK737" s="437"/>
    </row>
    <row r="738" spans="74:89" x14ac:dyDescent="0.25">
      <c r="BV738" s="177"/>
      <c r="BW738" s="177"/>
      <c r="BX738" s="267"/>
      <c r="BY738" s="267"/>
      <c r="BZ738" s="267"/>
      <c r="CA738" s="267"/>
      <c r="CB738" s="267"/>
      <c r="CC738" s="267"/>
      <c r="CD738" s="267"/>
      <c r="CE738" s="267"/>
      <c r="CF738" s="267"/>
      <c r="CG738" s="267"/>
      <c r="CH738" s="267"/>
      <c r="CI738" s="435"/>
      <c r="CJ738" s="436"/>
      <c r="CK738" s="437"/>
    </row>
    <row r="739" spans="74:89" x14ac:dyDescent="0.25">
      <c r="BV739" s="177"/>
      <c r="BW739" s="177"/>
      <c r="BX739" s="267"/>
      <c r="BY739" s="267"/>
      <c r="BZ739" s="267"/>
      <c r="CA739" s="267"/>
      <c r="CB739" s="267"/>
      <c r="CC739" s="267"/>
      <c r="CD739" s="267"/>
      <c r="CE739" s="267"/>
      <c r="CF739" s="267"/>
      <c r="CG739" s="267"/>
      <c r="CH739" s="267"/>
      <c r="CI739" s="435"/>
      <c r="CJ739" s="436"/>
      <c r="CK739" s="437"/>
    </row>
    <row r="740" spans="74:89" x14ac:dyDescent="0.25">
      <c r="BV740" s="177"/>
      <c r="BW740" s="177"/>
      <c r="BX740" s="267"/>
      <c r="BY740" s="267"/>
      <c r="BZ740" s="267"/>
      <c r="CA740" s="267"/>
      <c r="CB740" s="267"/>
      <c r="CC740" s="267"/>
      <c r="CD740" s="267"/>
      <c r="CE740" s="267"/>
      <c r="CF740" s="267"/>
      <c r="CG740" s="267"/>
      <c r="CH740" s="267"/>
      <c r="CI740" s="435"/>
      <c r="CJ740" s="436"/>
      <c r="CK740" s="437"/>
    </row>
    <row r="741" spans="74:89" x14ac:dyDescent="0.25">
      <c r="BV741" s="177"/>
      <c r="BW741" s="17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  <c r="CH741" s="267"/>
      <c r="CI741" s="435"/>
      <c r="CJ741" s="436"/>
      <c r="CK741" s="437"/>
    </row>
    <row r="742" spans="74:89" x14ac:dyDescent="0.25">
      <c r="BV742" s="177"/>
      <c r="BW742" s="177"/>
      <c r="BX742" s="267"/>
      <c r="BY742" s="267"/>
      <c r="BZ742" s="267"/>
      <c r="CA742" s="267"/>
      <c r="CB742" s="267"/>
      <c r="CC742" s="267"/>
      <c r="CD742" s="267"/>
      <c r="CE742" s="267"/>
      <c r="CF742" s="267"/>
      <c r="CG742" s="267"/>
      <c r="CH742" s="267"/>
      <c r="CI742" s="435"/>
      <c r="CJ742" s="436"/>
      <c r="CK742" s="437"/>
    </row>
    <row r="743" spans="74:89" x14ac:dyDescent="0.25">
      <c r="BV743" s="177"/>
      <c r="BW743" s="17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  <c r="CH743" s="267"/>
      <c r="CI743" s="435"/>
      <c r="CJ743" s="436"/>
      <c r="CK743" s="437"/>
    </row>
    <row r="744" spans="74:89" x14ac:dyDescent="0.25">
      <c r="BV744" s="177"/>
      <c r="BW744" s="177"/>
      <c r="BX744" s="267"/>
      <c r="BY744" s="267"/>
      <c r="BZ744" s="267"/>
      <c r="CA744" s="267"/>
      <c r="CB744" s="267"/>
      <c r="CC744" s="267"/>
      <c r="CD744" s="267"/>
      <c r="CE744" s="267"/>
      <c r="CF744" s="267"/>
      <c r="CG744" s="267"/>
      <c r="CH744" s="267"/>
      <c r="CI744" s="435"/>
      <c r="CJ744" s="436"/>
      <c r="CK744" s="437"/>
    </row>
    <row r="745" spans="74:89" x14ac:dyDescent="0.25">
      <c r="BV745" s="177"/>
      <c r="BW745" s="17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  <c r="CH745" s="267"/>
      <c r="CI745" s="435"/>
      <c r="CJ745" s="436"/>
      <c r="CK745" s="437"/>
    </row>
    <row r="746" spans="74:89" x14ac:dyDescent="0.25">
      <c r="BV746" s="177"/>
      <c r="BW746" s="177"/>
      <c r="BX746" s="267"/>
      <c r="BY746" s="267"/>
      <c r="BZ746" s="267"/>
      <c r="CA746" s="267"/>
      <c r="CB746" s="267"/>
      <c r="CC746" s="267"/>
      <c r="CD746" s="267"/>
      <c r="CE746" s="267"/>
      <c r="CF746" s="267"/>
      <c r="CG746" s="267"/>
      <c r="CH746" s="267"/>
      <c r="CI746" s="435"/>
      <c r="CJ746" s="436"/>
      <c r="CK746" s="437"/>
    </row>
    <row r="747" spans="74:89" x14ac:dyDescent="0.25">
      <c r="BV747" s="177"/>
      <c r="BW747" s="17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  <c r="CH747" s="267"/>
      <c r="CI747" s="435"/>
      <c r="CJ747" s="436"/>
      <c r="CK747" s="437"/>
    </row>
    <row r="748" spans="74:89" x14ac:dyDescent="0.25">
      <c r="BV748" s="177"/>
      <c r="BW748" s="177"/>
      <c r="BX748" s="267"/>
      <c r="BY748" s="267"/>
      <c r="BZ748" s="267"/>
      <c r="CA748" s="267"/>
      <c r="CB748" s="267"/>
      <c r="CC748" s="267"/>
      <c r="CD748" s="267"/>
      <c r="CE748" s="267"/>
      <c r="CF748" s="267"/>
      <c r="CG748" s="267"/>
      <c r="CH748" s="267"/>
      <c r="CI748" s="435"/>
      <c r="CJ748" s="436"/>
      <c r="CK748" s="437"/>
    </row>
    <row r="749" spans="74:89" x14ac:dyDescent="0.25">
      <c r="BV749" s="177"/>
      <c r="BW749" s="17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  <c r="CH749" s="267"/>
      <c r="CI749" s="435"/>
      <c r="CJ749" s="436"/>
      <c r="CK749" s="437"/>
    </row>
    <row r="750" spans="74:89" x14ac:dyDescent="0.25">
      <c r="BV750" s="177"/>
      <c r="BW750" s="177"/>
      <c r="BX750" s="267"/>
      <c r="BY750" s="267"/>
      <c r="BZ750" s="267"/>
      <c r="CA750" s="267"/>
      <c r="CB750" s="267"/>
      <c r="CC750" s="267"/>
      <c r="CD750" s="267"/>
      <c r="CE750" s="267"/>
      <c r="CF750" s="267"/>
      <c r="CG750" s="267"/>
      <c r="CH750" s="267"/>
      <c r="CI750" s="435"/>
      <c r="CJ750" s="436"/>
      <c r="CK750" s="437"/>
    </row>
    <row r="751" spans="74:89" x14ac:dyDescent="0.25">
      <c r="BV751" s="177"/>
      <c r="BW751" s="17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  <c r="CH751" s="267"/>
      <c r="CI751" s="435"/>
      <c r="CJ751" s="436"/>
      <c r="CK751" s="437"/>
    </row>
    <row r="752" spans="74:89" x14ac:dyDescent="0.25">
      <c r="BV752" s="177"/>
      <c r="BW752" s="177"/>
      <c r="BX752" s="267"/>
      <c r="BY752" s="267"/>
      <c r="BZ752" s="267"/>
      <c r="CA752" s="267"/>
      <c r="CB752" s="267"/>
      <c r="CC752" s="267"/>
      <c r="CD752" s="267"/>
      <c r="CE752" s="267"/>
      <c r="CF752" s="267"/>
      <c r="CG752" s="267"/>
      <c r="CH752" s="267"/>
      <c r="CI752" s="435"/>
      <c r="CJ752" s="436"/>
      <c r="CK752" s="437"/>
    </row>
    <row r="753" spans="74:89" x14ac:dyDescent="0.25">
      <c r="BV753" s="177"/>
      <c r="BW753" s="17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  <c r="CH753" s="267"/>
      <c r="CI753" s="435"/>
      <c r="CJ753" s="436"/>
      <c r="CK753" s="437"/>
    </row>
    <row r="754" spans="74:89" x14ac:dyDescent="0.25">
      <c r="BV754" s="177"/>
      <c r="BW754" s="17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  <c r="CH754" s="267"/>
      <c r="CI754" s="435"/>
      <c r="CJ754" s="436"/>
      <c r="CK754" s="437"/>
    </row>
    <row r="755" spans="74:89" x14ac:dyDescent="0.25">
      <c r="BV755" s="177"/>
      <c r="BW755" s="17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  <c r="CH755" s="267"/>
      <c r="CI755" s="435"/>
      <c r="CJ755" s="436"/>
      <c r="CK755" s="437"/>
    </row>
    <row r="756" spans="74:89" x14ac:dyDescent="0.25">
      <c r="BV756" s="177"/>
      <c r="BW756" s="177"/>
      <c r="BX756" s="267"/>
      <c r="BY756" s="267"/>
      <c r="BZ756" s="267"/>
      <c r="CA756" s="267"/>
      <c r="CB756" s="267"/>
      <c r="CC756" s="267"/>
      <c r="CD756" s="267"/>
      <c r="CE756" s="267"/>
      <c r="CF756" s="267"/>
      <c r="CG756" s="267"/>
      <c r="CH756" s="267"/>
      <c r="CI756" s="435"/>
      <c r="CJ756" s="436"/>
      <c r="CK756" s="437"/>
    </row>
    <row r="757" spans="74:89" x14ac:dyDescent="0.25">
      <c r="BV757" s="177"/>
      <c r="BW757" s="17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  <c r="CH757" s="267"/>
      <c r="CI757" s="435"/>
      <c r="CJ757" s="436"/>
      <c r="CK757" s="437"/>
    </row>
    <row r="758" spans="74:89" x14ac:dyDescent="0.25">
      <c r="BV758" s="177"/>
      <c r="BW758" s="17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  <c r="CH758" s="267"/>
      <c r="CI758" s="435"/>
      <c r="CJ758" s="436"/>
      <c r="CK758" s="437"/>
    </row>
    <row r="759" spans="74:89" x14ac:dyDescent="0.25">
      <c r="BV759" s="177"/>
      <c r="BW759" s="17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  <c r="CH759" s="267"/>
      <c r="CI759" s="435"/>
      <c r="CJ759" s="436"/>
      <c r="CK759" s="437"/>
    </row>
    <row r="760" spans="74:89" x14ac:dyDescent="0.25">
      <c r="BV760" s="177"/>
      <c r="BW760" s="177"/>
      <c r="BX760" s="267"/>
      <c r="BY760" s="267"/>
      <c r="BZ760" s="267"/>
      <c r="CA760" s="267"/>
      <c r="CB760" s="267"/>
      <c r="CC760" s="267"/>
      <c r="CD760" s="267"/>
      <c r="CE760" s="267"/>
      <c r="CF760" s="267"/>
      <c r="CG760" s="267"/>
      <c r="CH760" s="267"/>
      <c r="CI760" s="435"/>
      <c r="CJ760" s="436"/>
      <c r="CK760" s="437"/>
    </row>
    <row r="761" spans="74:89" x14ac:dyDescent="0.25">
      <c r="BV761" s="177"/>
      <c r="BW761" s="17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  <c r="CH761" s="267"/>
      <c r="CI761" s="435"/>
      <c r="CJ761" s="436"/>
      <c r="CK761" s="437"/>
    </row>
    <row r="762" spans="74:89" x14ac:dyDescent="0.25">
      <c r="BV762" s="177"/>
      <c r="BW762" s="177"/>
      <c r="BX762" s="267"/>
      <c r="BY762" s="267"/>
      <c r="BZ762" s="267"/>
      <c r="CA762" s="267"/>
      <c r="CB762" s="267"/>
      <c r="CC762" s="267"/>
      <c r="CD762" s="267"/>
      <c r="CE762" s="267"/>
      <c r="CF762" s="267"/>
      <c r="CG762" s="267"/>
      <c r="CH762" s="267"/>
      <c r="CI762" s="435"/>
      <c r="CJ762" s="436"/>
      <c r="CK762" s="437"/>
    </row>
    <row r="763" spans="74:89" x14ac:dyDescent="0.25">
      <c r="BV763" s="177"/>
      <c r="BW763" s="17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  <c r="CH763" s="267"/>
      <c r="CI763" s="435"/>
      <c r="CJ763" s="436"/>
      <c r="CK763" s="437"/>
    </row>
    <row r="764" spans="74:89" x14ac:dyDescent="0.25">
      <c r="BV764" s="177"/>
      <c r="BW764" s="177"/>
      <c r="BX764" s="267"/>
      <c r="BY764" s="267"/>
      <c r="BZ764" s="267"/>
      <c r="CA764" s="267"/>
      <c r="CB764" s="267"/>
      <c r="CC764" s="267"/>
      <c r="CD764" s="267"/>
      <c r="CE764" s="267"/>
      <c r="CF764" s="267"/>
      <c r="CG764" s="267"/>
      <c r="CH764" s="267"/>
      <c r="CI764" s="435"/>
      <c r="CJ764" s="436"/>
      <c r="CK764" s="437"/>
    </row>
    <row r="765" spans="74:89" x14ac:dyDescent="0.25">
      <c r="BV765" s="177"/>
      <c r="BW765" s="17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  <c r="CH765" s="267"/>
      <c r="CI765" s="435"/>
      <c r="CJ765" s="436"/>
      <c r="CK765" s="437"/>
    </row>
    <row r="766" spans="74:89" x14ac:dyDescent="0.25">
      <c r="BV766" s="177"/>
      <c r="BW766" s="177"/>
      <c r="BX766" s="267"/>
      <c r="BY766" s="267"/>
      <c r="BZ766" s="267"/>
      <c r="CA766" s="267"/>
      <c r="CB766" s="267"/>
      <c r="CC766" s="267"/>
      <c r="CD766" s="267"/>
      <c r="CE766" s="267"/>
      <c r="CF766" s="267"/>
      <c r="CG766" s="267"/>
      <c r="CH766" s="267"/>
      <c r="CI766" s="435"/>
      <c r="CJ766" s="436"/>
      <c r="CK766" s="437"/>
    </row>
    <row r="767" spans="74:89" x14ac:dyDescent="0.25">
      <c r="BV767" s="177"/>
      <c r="BW767" s="17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  <c r="CH767" s="267"/>
      <c r="CI767" s="435"/>
      <c r="CJ767" s="436"/>
      <c r="CK767" s="437"/>
    </row>
    <row r="768" spans="74:89" x14ac:dyDescent="0.25">
      <c r="BV768" s="177"/>
      <c r="BW768" s="17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  <c r="CH768" s="267"/>
      <c r="CI768" s="435"/>
      <c r="CJ768" s="436"/>
      <c r="CK768" s="437"/>
    </row>
    <row r="769" spans="74:89" x14ac:dyDescent="0.25">
      <c r="BV769" s="177"/>
      <c r="BW769" s="17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  <c r="CH769" s="267"/>
      <c r="CI769" s="435"/>
      <c r="CJ769" s="436"/>
      <c r="CK769" s="437"/>
    </row>
    <row r="770" spans="74:89" x14ac:dyDescent="0.25">
      <c r="BV770" s="177"/>
      <c r="BW770" s="17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  <c r="CH770" s="267"/>
      <c r="CI770" s="435"/>
      <c r="CJ770" s="436"/>
      <c r="CK770" s="437"/>
    </row>
    <row r="771" spans="74:89" x14ac:dyDescent="0.25">
      <c r="BV771" s="177"/>
      <c r="BW771" s="17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  <c r="CH771" s="267"/>
      <c r="CI771" s="435"/>
      <c r="CJ771" s="436"/>
      <c r="CK771" s="437"/>
    </row>
    <row r="772" spans="74:89" x14ac:dyDescent="0.25">
      <c r="BV772" s="177"/>
      <c r="BW772" s="17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  <c r="CH772" s="267"/>
      <c r="CI772" s="435"/>
      <c r="CJ772" s="436"/>
      <c r="CK772" s="437"/>
    </row>
    <row r="773" spans="74:89" x14ac:dyDescent="0.25">
      <c r="BV773" s="177"/>
      <c r="BW773" s="17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  <c r="CH773" s="267"/>
      <c r="CI773" s="435"/>
      <c r="CJ773" s="436"/>
      <c r="CK773" s="437"/>
    </row>
    <row r="774" spans="74:89" x14ac:dyDescent="0.25">
      <c r="BV774" s="177"/>
      <c r="BW774" s="177"/>
      <c r="BX774" s="267"/>
      <c r="BY774" s="267"/>
      <c r="BZ774" s="267"/>
      <c r="CA774" s="267"/>
      <c r="CB774" s="267"/>
      <c r="CC774" s="267"/>
      <c r="CD774" s="267"/>
      <c r="CE774" s="267"/>
      <c r="CF774" s="267"/>
      <c r="CG774" s="267"/>
      <c r="CH774" s="267"/>
      <c r="CI774" s="435"/>
      <c r="CJ774" s="436"/>
      <c r="CK774" s="437"/>
    </row>
    <row r="775" spans="74:89" x14ac:dyDescent="0.25">
      <c r="BV775" s="177"/>
      <c r="BW775" s="17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  <c r="CH775" s="267"/>
      <c r="CI775" s="435"/>
      <c r="CJ775" s="436"/>
      <c r="CK775" s="437"/>
    </row>
    <row r="776" spans="74:89" x14ac:dyDescent="0.25">
      <c r="BV776" s="177"/>
      <c r="BW776" s="177"/>
      <c r="BX776" s="267"/>
      <c r="BY776" s="267"/>
      <c r="BZ776" s="267"/>
      <c r="CA776" s="267"/>
      <c r="CB776" s="267"/>
      <c r="CC776" s="267"/>
      <c r="CD776" s="267"/>
      <c r="CE776" s="267"/>
      <c r="CF776" s="267"/>
      <c r="CG776" s="267"/>
      <c r="CH776" s="267"/>
      <c r="CI776" s="435"/>
      <c r="CJ776" s="436"/>
      <c r="CK776" s="437"/>
    </row>
    <row r="777" spans="74:89" x14ac:dyDescent="0.25">
      <c r="BV777" s="177"/>
      <c r="BW777" s="17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  <c r="CH777" s="267"/>
      <c r="CI777" s="435"/>
      <c r="CJ777" s="436"/>
      <c r="CK777" s="437"/>
    </row>
    <row r="778" spans="74:89" x14ac:dyDescent="0.25">
      <c r="BV778" s="177"/>
      <c r="BW778" s="177"/>
      <c r="BX778" s="267"/>
      <c r="BY778" s="267"/>
      <c r="BZ778" s="267"/>
      <c r="CA778" s="267"/>
      <c r="CB778" s="267"/>
      <c r="CC778" s="267"/>
      <c r="CD778" s="267"/>
      <c r="CE778" s="267"/>
      <c r="CF778" s="267"/>
      <c r="CG778" s="267"/>
      <c r="CH778" s="267"/>
      <c r="CI778" s="435"/>
      <c r="CJ778" s="436"/>
      <c r="CK778" s="437"/>
    </row>
    <row r="779" spans="74:89" x14ac:dyDescent="0.25">
      <c r="BV779" s="177"/>
      <c r="BW779" s="17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  <c r="CH779" s="267"/>
      <c r="CI779" s="435"/>
      <c r="CJ779" s="436"/>
      <c r="CK779" s="437"/>
    </row>
    <row r="780" spans="74:89" x14ac:dyDescent="0.25">
      <c r="BV780" s="177"/>
      <c r="BW780" s="177"/>
      <c r="BX780" s="267"/>
      <c r="BY780" s="267"/>
      <c r="BZ780" s="267"/>
      <c r="CA780" s="267"/>
      <c r="CB780" s="267"/>
      <c r="CC780" s="267"/>
      <c r="CD780" s="267"/>
      <c r="CE780" s="267"/>
      <c r="CF780" s="267"/>
      <c r="CG780" s="267"/>
      <c r="CH780" s="267"/>
      <c r="CI780" s="435"/>
      <c r="CJ780" s="436"/>
      <c r="CK780" s="437"/>
    </row>
    <row r="781" spans="74:89" x14ac:dyDescent="0.25">
      <c r="BV781" s="177"/>
      <c r="BW781" s="17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  <c r="CH781" s="267"/>
      <c r="CI781" s="435"/>
      <c r="CJ781" s="436"/>
      <c r="CK781" s="437"/>
    </row>
    <row r="782" spans="74:89" x14ac:dyDescent="0.25">
      <c r="BV782" s="177"/>
      <c r="BW782" s="17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  <c r="CH782" s="267"/>
      <c r="CI782" s="435"/>
      <c r="CJ782" s="436"/>
      <c r="CK782" s="437"/>
    </row>
    <row r="783" spans="74:89" x14ac:dyDescent="0.25">
      <c r="BV783" s="177"/>
      <c r="BW783" s="177"/>
      <c r="BX783" s="267"/>
      <c r="BY783" s="267"/>
      <c r="BZ783" s="267"/>
      <c r="CA783" s="267"/>
      <c r="CB783" s="267"/>
      <c r="CC783" s="267"/>
      <c r="CD783" s="267"/>
      <c r="CE783" s="267"/>
      <c r="CF783" s="267"/>
      <c r="CG783" s="267"/>
      <c r="CH783" s="267"/>
      <c r="CI783" s="435"/>
      <c r="CJ783" s="436"/>
      <c r="CK783" s="437"/>
    </row>
    <row r="784" spans="74:89" x14ac:dyDescent="0.25">
      <c r="BV784" s="177"/>
      <c r="BW784" s="17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  <c r="CH784" s="267"/>
      <c r="CI784" s="435"/>
      <c r="CJ784" s="436"/>
      <c r="CK784" s="437"/>
    </row>
    <row r="785" spans="74:89" x14ac:dyDescent="0.25">
      <c r="BV785" s="177"/>
      <c r="BW785" s="177"/>
      <c r="BX785" s="267"/>
      <c r="BY785" s="267"/>
      <c r="BZ785" s="267"/>
      <c r="CA785" s="267"/>
      <c r="CB785" s="267"/>
      <c r="CC785" s="267"/>
      <c r="CD785" s="267"/>
      <c r="CE785" s="267"/>
      <c r="CF785" s="267"/>
      <c r="CG785" s="267"/>
      <c r="CH785" s="267"/>
      <c r="CI785" s="435"/>
      <c r="CJ785" s="436"/>
      <c r="CK785" s="437"/>
    </row>
    <row r="786" spans="74:89" x14ac:dyDescent="0.25">
      <c r="BV786" s="177"/>
      <c r="BW786" s="17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  <c r="CH786" s="267"/>
      <c r="CI786" s="435"/>
      <c r="CJ786" s="436"/>
      <c r="CK786" s="437"/>
    </row>
    <row r="787" spans="74:89" x14ac:dyDescent="0.25">
      <c r="BV787" s="177"/>
      <c r="BW787" s="177"/>
      <c r="BX787" s="267"/>
      <c r="BY787" s="267"/>
      <c r="BZ787" s="267"/>
      <c r="CA787" s="267"/>
      <c r="CB787" s="267"/>
      <c r="CC787" s="267"/>
      <c r="CD787" s="267"/>
      <c r="CE787" s="267"/>
      <c r="CF787" s="267"/>
      <c r="CG787" s="267"/>
      <c r="CH787" s="267"/>
      <c r="CI787" s="435"/>
      <c r="CJ787" s="436"/>
      <c r="CK787" s="437"/>
    </row>
    <row r="788" spans="74:89" x14ac:dyDescent="0.25">
      <c r="BV788" s="177"/>
      <c r="BW788" s="17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  <c r="CH788" s="267"/>
      <c r="CI788" s="435"/>
      <c r="CJ788" s="436"/>
      <c r="CK788" s="437"/>
    </row>
    <row r="789" spans="74:89" x14ac:dyDescent="0.25">
      <c r="BV789" s="177"/>
      <c r="BW789" s="177"/>
      <c r="BX789" s="267"/>
      <c r="BY789" s="267"/>
      <c r="BZ789" s="267"/>
      <c r="CA789" s="267"/>
      <c r="CB789" s="267"/>
      <c r="CC789" s="267"/>
      <c r="CD789" s="267"/>
      <c r="CE789" s="267"/>
      <c r="CF789" s="267"/>
      <c r="CG789" s="267"/>
      <c r="CH789" s="267"/>
      <c r="CI789" s="435"/>
      <c r="CJ789" s="436"/>
      <c r="CK789" s="437"/>
    </row>
    <row r="790" spans="74:89" x14ac:dyDescent="0.25">
      <c r="BV790" s="177"/>
      <c r="BW790" s="17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  <c r="CH790" s="267"/>
      <c r="CI790" s="435"/>
      <c r="CJ790" s="436"/>
      <c r="CK790" s="437"/>
    </row>
    <row r="791" spans="74:89" x14ac:dyDescent="0.25">
      <c r="BV791" s="177"/>
      <c r="BW791" s="177"/>
      <c r="BX791" s="267"/>
      <c r="BY791" s="267"/>
      <c r="BZ791" s="267"/>
      <c r="CA791" s="267"/>
      <c r="CB791" s="267"/>
      <c r="CC791" s="267"/>
      <c r="CD791" s="267"/>
      <c r="CE791" s="267"/>
      <c r="CF791" s="267"/>
      <c r="CG791" s="267"/>
      <c r="CH791" s="267"/>
      <c r="CI791" s="435"/>
      <c r="CJ791" s="436"/>
      <c r="CK791" s="437"/>
    </row>
    <row r="792" spans="74:89" x14ac:dyDescent="0.25">
      <c r="BV792" s="177"/>
      <c r="BW792" s="17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  <c r="CH792" s="267"/>
      <c r="CI792" s="435"/>
      <c r="CJ792" s="436"/>
      <c r="CK792" s="437"/>
    </row>
    <row r="793" spans="74:89" x14ac:dyDescent="0.25">
      <c r="BV793" s="177"/>
      <c r="BW793" s="177"/>
      <c r="BX793" s="267"/>
      <c r="BY793" s="267"/>
      <c r="BZ793" s="267"/>
      <c r="CA793" s="267"/>
      <c r="CB793" s="267"/>
      <c r="CC793" s="267"/>
      <c r="CD793" s="267"/>
      <c r="CE793" s="267"/>
      <c r="CF793" s="267"/>
      <c r="CG793" s="267"/>
      <c r="CH793" s="267"/>
      <c r="CI793" s="435"/>
      <c r="CJ793" s="436"/>
      <c r="CK793" s="437"/>
    </row>
    <row r="794" spans="74:89" x14ac:dyDescent="0.25">
      <c r="BV794" s="177"/>
      <c r="BW794" s="17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  <c r="CH794" s="267"/>
      <c r="CI794" s="435"/>
      <c r="CJ794" s="436"/>
      <c r="CK794" s="437"/>
    </row>
    <row r="795" spans="74:89" x14ac:dyDescent="0.25">
      <c r="BV795" s="177"/>
      <c r="BW795" s="177"/>
      <c r="BX795" s="267"/>
      <c r="BY795" s="267"/>
      <c r="BZ795" s="267"/>
      <c r="CA795" s="267"/>
      <c r="CB795" s="267"/>
      <c r="CC795" s="267"/>
      <c r="CD795" s="267"/>
      <c r="CE795" s="267"/>
      <c r="CF795" s="267"/>
      <c r="CG795" s="267"/>
      <c r="CH795" s="267"/>
      <c r="CI795" s="435"/>
      <c r="CJ795" s="436"/>
      <c r="CK795" s="437"/>
    </row>
    <row r="796" spans="74:89" x14ac:dyDescent="0.25">
      <c r="BV796" s="177"/>
      <c r="BW796" s="17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  <c r="CH796" s="267"/>
      <c r="CI796" s="435"/>
      <c r="CJ796" s="436"/>
      <c r="CK796" s="437"/>
    </row>
    <row r="797" spans="74:89" x14ac:dyDescent="0.25">
      <c r="BV797" s="177"/>
      <c r="BW797" s="17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  <c r="CH797" s="267"/>
      <c r="CI797" s="435"/>
      <c r="CJ797" s="436"/>
      <c r="CK797" s="437"/>
    </row>
    <row r="798" spans="74:89" x14ac:dyDescent="0.25">
      <c r="BV798" s="177"/>
      <c r="BW798" s="177"/>
      <c r="BX798" s="267"/>
      <c r="BY798" s="267"/>
      <c r="BZ798" s="267"/>
      <c r="CA798" s="267"/>
      <c r="CB798" s="267"/>
      <c r="CC798" s="267"/>
      <c r="CD798" s="267"/>
      <c r="CE798" s="267"/>
      <c r="CF798" s="267"/>
      <c r="CG798" s="267"/>
      <c r="CH798" s="267"/>
      <c r="CI798" s="435"/>
      <c r="CJ798" s="436"/>
      <c r="CK798" s="437"/>
    </row>
    <row r="799" spans="74:89" x14ac:dyDescent="0.25">
      <c r="BV799" s="177"/>
      <c r="BW799" s="17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  <c r="CH799" s="267"/>
      <c r="CI799" s="435"/>
      <c r="CJ799" s="436"/>
      <c r="CK799" s="437"/>
    </row>
    <row r="800" spans="74:89" x14ac:dyDescent="0.25">
      <c r="BV800" s="177"/>
      <c r="BW800" s="177"/>
      <c r="BX800" s="267"/>
      <c r="BY800" s="267"/>
      <c r="BZ800" s="267"/>
      <c r="CA800" s="267"/>
      <c r="CB800" s="267"/>
      <c r="CC800" s="267"/>
      <c r="CD800" s="267"/>
      <c r="CE800" s="267"/>
      <c r="CF800" s="267"/>
      <c r="CG800" s="267"/>
      <c r="CH800" s="267"/>
      <c r="CI800" s="435"/>
      <c r="CJ800" s="436"/>
      <c r="CK800" s="437"/>
    </row>
    <row r="801" spans="74:89" x14ac:dyDescent="0.25">
      <c r="BV801" s="177"/>
      <c r="BW801" s="17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  <c r="CH801" s="267"/>
      <c r="CI801" s="435"/>
      <c r="CJ801" s="436"/>
      <c r="CK801" s="437"/>
    </row>
    <row r="802" spans="74:89" x14ac:dyDescent="0.25">
      <c r="BV802" s="177"/>
      <c r="BW802" s="17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  <c r="CH802" s="267"/>
      <c r="CI802" s="435"/>
      <c r="CJ802" s="436"/>
      <c r="CK802" s="437"/>
    </row>
    <row r="803" spans="74:89" x14ac:dyDescent="0.25">
      <c r="BV803" s="177"/>
      <c r="BW803" s="177"/>
      <c r="BX803" s="267"/>
      <c r="BY803" s="267"/>
      <c r="BZ803" s="267"/>
      <c r="CA803" s="267"/>
      <c r="CB803" s="267"/>
      <c r="CC803" s="267"/>
      <c r="CD803" s="267"/>
      <c r="CE803" s="267"/>
      <c r="CF803" s="267"/>
      <c r="CG803" s="267"/>
      <c r="CH803" s="267"/>
      <c r="CI803" s="435"/>
      <c r="CJ803" s="436"/>
      <c r="CK803" s="437"/>
    </row>
    <row r="804" spans="74:89" x14ac:dyDescent="0.25">
      <c r="BV804" s="177"/>
      <c r="BW804" s="17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  <c r="CH804" s="267"/>
      <c r="CI804" s="435"/>
      <c r="CJ804" s="436"/>
      <c r="CK804" s="437"/>
    </row>
    <row r="805" spans="74:89" x14ac:dyDescent="0.25">
      <c r="BV805" s="177"/>
      <c r="BW805" s="17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  <c r="CH805" s="267"/>
      <c r="CI805" s="435"/>
      <c r="CJ805" s="436"/>
      <c r="CK805" s="437"/>
    </row>
    <row r="806" spans="74:89" x14ac:dyDescent="0.25">
      <c r="BV806" s="177"/>
      <c r="BW806" s="17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  <c r="CH806" s="267"/>
      <c r="CI806" s="435"/>
      <c r="CJ806" s="436"/>
      <c r="CK806" s="437"/>
    </row>
    <row r="807" spans="74:89" x14ac:dyDescent="0.25">
      <c r="BV807" s="177"/>
      <c r="BW807" s="17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  <c r="CH807" s="267"/>
      <c r="CI807" s="435"/>
      <c r="CJ807" s="436"/>
      <c r="CK807" s="437"/>
    </row>
    <row r="808" spans="74:89" x14ac:dyDescent="0.25">
      <c r="BV808" s="177"/>
      <c r="BW808" s="17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  <c r="CH808" s="267"/>
      <c r="CI808" s="435"/>
      <c r="CJ808" s="436"/>
      <c r="CK808" s="437"/>
    </row>
    <row r="809" spans="74:89" x14ac:dyDescent="0.25">
      <c r="BV809" s="177"/>
      <c r="BW809" s="177"/>
      <c r="BX809" s="267"/>
      <c r="BY809" s="267"/>
      <c r="BZ809" s="267"/>
      <c r="CA809" s="267"/>
      <c r="CB809" s="267"/>
      <c r="CC809" s="267"/>
      <c r="CD809" s="267"/>
      <c r="CE809" s="267"/>
      <c r="CF809" s="267"/>
      <c r="CG809" s="267"/>
      <c r="CH809" s="267"/>
      <c r="CI809" s="435"/>
      <c r="CJ809" s="436"/>
      <c r="CK809" s="437"/>
    </row>
    <row r="810" spans="74:89" x14ac:dyDescent="0.25">
      <c r="BV810" s="177"/>
      <c r="BW810" s="17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  <c r="CH810" s="267"/>
      <c r="CI810" s="435"/>
      <c r="CJ810" s="436"/>
      <c r="CK810" s="437"/>
    </row>
    <row r="811" spans="74:89" x14ac:dyDescent="0.25">
      <c r="BV811" s="177"/>
      <c r="BW811" s="177"/>
      <c r="BX811" s="267"/>
      <c r="BY811" s="267"/>
      <c r="BZ811" s="267"/>
      <c r="CA811" s="267"/>
      <c r="CB811" s="267"/>
      <c r="CC811" s="267"/>
      <c r="CD811" s="267"/>
      <c r="CE811" s="267"/>
      <c r="CF811" s="267"/>
      <c r="CG811" s="267"/>
      <c r="CH811" s="267"/>
      <c r="CI811" s="435"/>
      <c r="CJ811" s="436"/>
      <c r="CK811" s="437"/>
    </row>
    <row r="812" spans="74:89" x14ac:dyDescent="0.25">
      <c r="BV812" s="177"/>
      <c r="BW812" s="17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  <c r="CH812" s="267"/>
      <c r="CI812" s="435"/>
      <c r="CJ812" s="436"/>
      <c r="CK812" s="437"/>
    </row>
    <row r="813" spans="74:89" x14ac:dyDescent="0.25">
      <c r="BV813" s="177"/>
      <c r="BW813" s="177"/>
      <c r="BX813" s="267"/>
      <c r="BY813" s="267"/>
      <c r="BZ813" s="267"/>
      <c r="CA813" s="267"/>
      <c r="CB813" s="267"/>
      <c r="CC813" s="267"/>
      <c r="CD813" s="267"/>
      <c r="CE813" s="267"/>
      <c r="CF813" s="267"/>
      <c r="CG813" s="267"/>
      <c r="CH813" s="267"/>
      <c r="CI813" s="435"/>
      <c r="CJ813" s="436"/>
      <c r="CK813" s="437"/>
    </row>
    <row r="814" spans="74:89" x14ac:dyDescent="0.25">
      <c r="BV814" s="177"/>
      <c r="BW814" s="17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  <c r="CH814" s="267"/>
      <c r="CI814" s="435"/>
      <c r="CJ814" s="436"/>
      <c r="CK814" s="437"/>
    </row>
    <row r="815" spans="74:89" x14ac:dyDescent="0.25">
      <c r="BV815" s="177"/>
      <c r="BW815" s="177"/>
      <c r="BX815" s="267"/>
      <c r="BY815" s="267"/>
      <c r="BZ815" s="267"/>
      <c r="CA815" s="267"/>
      <c r="CB815" s="267"/>
      <c r="CC815" s="267"/>
      <c r="CD815" s="267"/>
      <c r="CE815" s="267"/>
      <c r="CF815" s="267"/>
      <c r="CG815" s="267"/>
      <c r="CH815" s="267"/>
      <c r="CI815" s="435"/>
      <c r="CJ815" s="436"/>
      <c r="CK815" s="437"/>
    </row>
    <row r="816" spans="74:89" x14ac:dyDescent="0.25">
      <c r="BV816" s="177"/>
      <c r="BW816" s="17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  <c r="CH816" s="267"/>
      <c r="CI816" s="435"/>
      <c r="CJ816" s="436"/>
      <c r="CK816" s="437"/>
    </row>
    <row r="817" spans="74:89" x14ac:dyDescent="0.25">
      <c r="BV817" s="177"/>
      <c r="BW817" s="177"/>
      <c r="BX817" s="267"/>
      <c r="BY817" s="267"/>
      <c r="BZ817" s="267"/>
      <c r="CA817" s="267"/>
      <c r="CB817" s="267"/>
      <c r="CC817" s="267"/>
      <c r="CD817" s="267"/>
      <c r="CE817" s="267"/>
      <c r="CF817" s="267"/>
      <c r="CG817" s="267"/>
      <c r="CH817" s="267"/>
      <c r="CI817" s="435"/>
      <c r="CJ817" s="436"/>
      <c r="CK817" s="437"/>
    </row>
    <row r="818" spans="74:89" x14ac:dyDescent="0.25">
      <c r="BV818" s="177"/>
      <c r="BW818" s="17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  <c r="CH818" s="267"/>
      <c r="CI818" s="435"/>
      <c r="CJ818" s="436"/>
      <c r="CK818" s="437"/>
    </row>
    <row r="819" spans="74:89" x14ac:dyDescent="0.25">
      <c r="BV819" s="177"/>
      <c r="BW819" s="177"/>
      <c r="BX819" s="267"/>
      <c r="BY819" s="267"/>
      <c r="BZ819" s="267"/>
      <c r="CA819" s="267"/>
      <c r="CB819" s="267"/>
      <c r="CC819" s="267"/>
      <c r="CD819" s="267"/>
      <c r="CE819" s="267"/>
      <c r="CF819" s="267"/>
      <c r="CG819" s="267"/>
      <c r="CH819" s="267"/>
      <c r="CI819" s="435"/>
      <c r="CJ819" s="436"/>
      <c r="CK819" s="437"/>
    </row>
    <row r="820" spans="74:89" x14ac:dyDescent="0.25">
      <c r="BV820" s="177"/>
      <c r="BW820" s="17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  <c r="CH820" s="267"/>
      <c r="CI820" s="435"/>
      <c r="CJ820" s="436"/>
      <c r="CK820" s="437"/>
    </row>
    <row r="821" spans="74:89" x14ac:dyDescent="0.25">
      <c r="BV821" s="177"/>
      <c r="BW821" s="17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  <c r="CH821" s="267"/>
      <c r="CI821" s="435"/>
      <c r="CJ821" s="436"/>
      <c r="CK821" s="437"/>
    </row>
    <row r="822" spans="74:89" x14ac:dyDescent="0.25">
      <c r="BV822" s="177"/>
      <c r="BW822" s="17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  <c r="CH822" s="267"/>
      <c r="CI822" s="435"/>
      <c r="CJ822" s="436"/>
      <c r="CK822" s="437"/>
    </row>
    <row r="823" spans="74:89" x14ac:dyDescent="0.25">
      <c r="BV823" s="177"/>
      <c r="BW823" s="177"/>
      <c r="BX823" s="267"/>
      <c r="BY823" s="267"/>
      <c r="BZ823" s="267"/>
      <c r="CA823" s="267"/>
      <c r="CB823" s="267"/>
      <c r="CC823" s="267"/>
      <c r="CD823" s="267"/>
      <c r="CE823" s="267"/>
      <c r="CF823" s="267"/>
      <c r="CG823" s="267"/>
      <c r="CH823" s="267"/>
      <c r="CI823" s="435"/>
      <c r="CJ823" s="436"/>
      <c r="CK823" s="437"/>
    </row>
    <row r="824" spans="74:89" x14ac:dyDescent="0.25">
      <c r="BV824" s="177"/>
      <c r="BW824" s="17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  <c r="CH824" s="267"/>
      <c r="CI824" s="435"/>
      <c r="CJ824" s="436"/>
      <c r="CK824" s="437"/>
    </row>
    <row r="825" spans="74:89" x14ac:dyDescent="0.25">
      <c r="BV825" s="177"/>
      <c r="BW825" s="177"/>
      <c r="BX825" s="267"/>
      <c r="BY825" s="267"/>
      <c r="BZ825" s="267"/>
      <c r="CA825" s="267"/>
      <c r="CB825" s="267"/>
      <c r="CC825" s="267"/>
      <c r="CD825" s="267"/>
      <c r="CE825" s="267"/>
      <c r="CF825" s="267"/>
      <c r="CG825" s="267"/>
      <c r="CH825" s="267"/>
      <c r="CI825" s="435"/>
      <c r="CJ825" s="436"/>
      <c r="CK825" s="437"/>
    </row>
    <row r="826" spans="74:89" x14ac:dyDescent="0.25">
      <c r="BV826" s="177"/>
      <c r="BW826" s="17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  <c r="CH826" s="267"/>
      <c r="CI826" s="435"/>
      <c r="CJ826" s="436"/>
      <c r="CK826" s="437"/>
    </row>
    <row r="827" spans="74:89" x14ac:dyDescent="0.25">
      <c r="BV827" s="177"/>
      <c r="BW827" s="177"/>
      <c r="BX827" s="267"/>
      <c r="BY827" s="267"/>
      <c r="BZ827" s="267"/>
      <c r="CA827" s="267"/>
      <c r="CB827" s="267"/>
      <c r="CC827" s="267"/>
      <c r="CD827" s="267"/>
      <c r="CE827" s="267"/>
      <c r="CF827" s="267"/>
      <c r="CG827" s="267"/>
      <c r="CH827" s="267"/>
      <c r="CI827" s="435"/>
      <c r="CJ827" s="436"/>
      <c r="CK827" s="437"/>
    </row>
    <row r="828" spans="74:89" x14ac:dyDescent="0.25">
      <c r="BV828" s="177"/>
      <c r="BW828" s="17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  <c r="CH828" s="267"/>
      <c r="CI828" s="435"/>
      <c r="CJ828" s="436"/>
      <c r="CK828" s="437"/>
    </row>
    <row r="829" spans="74:89" x14ac:dyDescent="0.25">
      <c r="BV829" s="177"/>
      <c r="BW829" s="177"/>
      <c r="BX829" s="267"/>
      <c r="BY829" s="267"/>
      <c r="BZ829" s="267"/>
      <c r="CA829" s="267"/>
      <c r="CB829" s="267"/>
      <c r="CC829" s="267"/>
      <c r="CD829" s="267"/>
      <c r="CE829" s="267"/>
      <c r="CF829" s="267"/>
      <c r="CG829" s="267"/>
      <c r="CH829" s="267"/>
      <c r="CI829" s="435"/>
      <c r="CJ829" s="436"/>
      <c r="CK829" s="437"/>
    </row>
    <row r="830" spans="74:89" x14ac:dyDescent="0.25">
      <c r="BV830" s="177"/>
      <c r="BW830" s="17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  <c r="CH830" s="267"/>
      <c r="CI830" s="435"/>
      <c r="CJ830" s="436"/>
      <c r="CK830" s="437"/>
    </row>
    <row r="831" spans="74:89" x14ac:dyDescent="0.25">
      <c r="BV831" s="177"/>
      <c r="BW831" s="177"/>
      <c r="BX831" s="267"/>
      <c r="BY831" s="267"/>
      <c r="BZ831" s="267"/>
      <c r="CA831" s="267"/>
      <c r="CB831" s="267"/>
      <c r="CC831" s="267"/>
      <c r="CD831" s="267"/>
      <c r="CE831" s="267"/>
      <c r="CF831" s="267"/>
      <c r="CG831" s="267"/>
      <c r="CH831" s="267"/>
      <c r="CI831" s="435"/>
      <c r="CJ831" s="436"/>
      <c r="CK831" s="437"/>
    </row>
    <row r="832" spans="74:89" x14ac:dyDescent="0.25">
      <c r="BV832" s="177"/>
      <c r="BW832" s="17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  <c r="CH832" s="267"/>
      <c r="CI832" s="435"/>
      <c r="CJ832" s="436"/>
      <c r="CK832" s="437"/>
    </row>
    <row r="833" spans="74:89" x14ac:dyDescent="0.25">
      <c r="BV833" s="177"/>
      <c r="BW833" s="177"/>
      <c r="BX833" s="267"/>
      <c r="BY833" s="267"/>
      <c r="BZ833" s="267"/>
      <c r="CA833" s="267"/>
      <c r="CB833" s="267"/>
      <c r="CC833" s="267"/>
      <c r="CD833" s="267"/>
      <c r="CE833" s="267"/>
      <c r="CF833" s="267"/>
      <c r="CG833" s="267"/>
      <c r="CH833" s="267"/>
      <c r="CI833" s="435"/>
      <c r="CJ833" s="436"/>
      <c r="CK833" s="437"/>
    </row>
    <row r="834" spans="74:89" x14ac:dyDescent="0.25">
      <c r="BV834" s="177"/>
      <c r="BW834" s="17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  <c r="CH834" s="267"/>
      <c r="CI834" s="435"/>
      <c r="CJ834" s="436"/>
      <c r="CK834" s="437"/>
    </row>
    <row r="835" spans="74:89" x14ac:dyDescent="0.25">
      <c r="BV835" s="177"/>
      <c r="BW835" s="177"/>
      <c r="BX835" s="267"/>
      <c r="BY835" s="267"/>
      <c r="BZ835" s="267"/>
      <c r="CA835" s="267"/>
      <c r="CB835" s="267"/>
      <c r="CC835" s="267"/>
      <c r="CD835" s="267"/>
      <c r="CE835" s="267"/>
      <c r="CF835" s="267"/>
      <c r="CG835" s="267"/>
      <c r="CH835" s="267"/>
      <c r="CI835" s="435"/>
      <c r="CJ835" s="436"/>
      <c r="CK835" s="437"/>
    </row>
    <row r="836" spans="74:89" x14ac:dyDescent="0.25">
      <c r="BV836" s="177"/>
      <c r="BW836" s="17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  <c r="CH836" s="267"/>
      <c r="CI836" s="435"/>
      <c r="CJ836" s="436"/>
      <c r="CK836" s="437"/>
    </row>
    <row r="837" spans="74:89" x14ac:dyDescent="0.25">
      <c r="BV837" s="177"/>
      <c r="BW837" s="17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  <c r="CH837" s="267"/>
      <c r="CI837" s="435"/>
      <c r="CJ837" s="436"/>
      <c r="CK837" s="437"/>
    </row>
    <row r="838" spans="74:89" x14ac:dyDescent="0.25">
      <c r="BV838" s="177"/>
      <c r="BW838" s="177"/>
      <c r="BX838" s="267"/>
      <c r="BY838" s="267"/>
      <c r="BZ838" s="267"/>
      <c r="CA838" s="267"/>
      <c r="CB838" s="267"/>
      <c r="CC838" s="267"/>
      <c r="CD838" s="267"/>
      <c r="CE838" s="267"/>
      <c r="CF838" s="267"/>
      <c r="CG838" s="267"/>
      <c r="CH838" s="267"/>
      <c r="CI838" s="435"/>
      <c r="CJ838" s="436"/>
      <c r="CK838" s="437"/>
    </row>
    <row r="839" spans="74:89" x14ac:dyDescent="0.25">
      <c r="BV839" s="177"/>
      <c r="BW839" s="17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  <c r="CH839" s="267"/>
      <c r="CI839" s="435"/>
      <c r="CJ839" s="436"/>
      <c r="CK839" s="437"/>
    </row>
    <row r="840" spans="74:89" x14ac:dyDescent="0.25">
      <c r="BV840" s="177"/>
      <c r="BW840" s="177"/>
      <c r="BX840" s="267"/>
      <c r="BY840" s="267"/>
      <c r="BZ840" s="267"/>
      <c r="CA840" s="267"/>
      <c r="CB840" s="267"/>
      <c r="CC840" s="267"/>
      <c r="CD840" s="267"/>
      <c r="CE840" s="267"/>
      <c r="CF840" s="267"/>
      <c r="CG840" s="267"/>
      <c r="CH840" s="267"/>
      <c r="CI840" s="435"/>
      <c r="CJ840" s="436"/>
      <c r="CK840" s="437"/>
    </row>
    <row r="841" spans="74:89" x14ac:dyDescent="0.25">
      <c r="BV841" s="177"/>
      <c r="BW841" s="17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  <c r="CH841" s="267"/>
      <c r="CI841" s="435"/>
      <c r="CJ841" s="436"/>
      <c r="CK841" s="437"/>
    </row>
    <row r="842" spans="74:89" x14ac:dyDescent="0.25">
      <c r="BV842" s="177"/>
      <c r="BW842" s="177"/>
      <c r="BX842" s="267"/>
      <c r="BY842" s="267"/>
      <c r="BZ842" s="267"/>
      <c r="CA842" s="267"/>
      <c r="CB842" s="267"/>
      <c r="CC842" s="267"/>
      <c r="CD842" s="267"/>
      <c r="CE842" s="267"/>
      <c r="CF842" s="267"/>
      <c r="CG842" s="267"/>
      <c r="CH842" s="267"/>
      <c r="CI842" s="435"/>
      <c r="CJ842" s="436"/>
      <c r="CK842" s="437"/>
    </row>
    <row r="843" spans="74:89" x14ac:dyDescent="0.25">
      <c r="BV843" s="177"/>
      <c r="BW843" s="17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  <c r="CH843" s="267"/>
      <c r="CI843" s="435"/>
      <c r="CJ843" s="436"/>
      <c r="CK843" s="437"/>
    </row>
    <row r="844" spans="74:89" x14ac:dyDescent="0.25">
      <c r="BV844" s="177"/>
      <c r="BW844" s="177"/>
      <c r="BX844" s="267"/>
      <c r="BY844" s="267"/>
      <c r="BZ844" s="267"/>
      <c r="CA844" s="267"/>
      <c r="CB844" s="267"/>
      <c r="CC844" s="267"/>
      <c r="CD844" s="267"/>
      <c r="CE844" s="267"/>
      <c r="CF844" s="267"/>
      <c r="CG844" s="267"/>
      <c r="CH844" s="267"/>
      <c r="CI844" s="435"/>
      <c r="CJ844" s="436"/>
      <c r="CK844" s="437"/>
    </row>
    <row r="845" spans="74:89" x14ac:dyDescent="0.25">
      <c r="BV845" s="177"/>
      <c r="BW845" s="17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  <c r="CH845" s="267"/>
      <c r="CI845" s="435"/>
      <c r="CJ845" s="436"/>
      <c r="CK845" s="437"/>
    </row>
    <row r="846" spans="74:89" x14ac:dyDescent="0.25">
      <c r="BV846" s="177"/>
      <c r="BW846" s="177"/>
      <c r="BX846" s="267"/>
      <c r="BY846" s="267"/>
      <c r="BZ846" s="267"/>
      <c r="CA846" s="267"/>
      <c r="CB846" s="267"/>
      <c r="CC846" s="267"/>
      <c r="CD846" s="267"/>
      <c r="CE846" s="267"/>
      <c r="CF846" s="267"/>
      <c r="CG846" s="267"/>
      <c r="CH846" s="267"/>
      <c r="CI846" s="435"/>
      <c r="CJ846" s="436"/>
      <c r="CK846" s="437"/>
    </row>
    <row r="847" spans="74:89" x14ac:dyDescent="0.25">
      <c r="BV847" s="177"/>
      <c r="BW847" s="17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  <c r="CH847" s="267"/>
      <c r="CI847" s="435"/>
      <c r="CJ847" s="436"/>
      <c r="CK847" s="437"/>
    </row>
    <row r="848" spans="74:89" x14ac:dyDescent="0.25">
      <c r="BV848" s="177"/>
      <c r="BW848" s="177"/>
      <c r="BX848" s="267"/>
      <c r="BY848" s="267"/>
      <c r="BZ848" s="267"/>
      <c r="CA848" s="267"/>
      <c r="CB848" s="267"/>
      <c r="CC848" s="267"/>
      <c r="CD848" s="267"/>
      <c r="CE848" s="267"/>
      <c r="CF848" s="267"/>
      <c r="CG848" s="267"/>
      <c r="CH848" s="267"/>
      <c r="CI848" s="435"/>
      <c r="CJ848" s="436"/>
      <c r="CK848" s="437"/>
    </row>
    <row r="849" spans="74:89" x14ac:dyDescent="0.25">
      <c r="BV849" s="177"/>
      <c r="BW849" s="17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  <c r="CH849" s="267"/>
      <c r="CI849" s="435"/>
      <c r="CJ849" s="436"/>
      <c r="CK849" s="437"/>
    </row>
    <row r="850" spans="74:89" x14ac:dyDescent="0.25">
      <c r="BV850" s="177"/>
      <c r="BW850" s="17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  <c r="CH850" s="267"/>
      <c r="CI850" s="435"/>
      <c r="CJ850" s="436"/>
      <c r="CK850" s="437"/>
    </row>
    <row r="851" spans="74:89" x14ac:dyDescent="0.25">
      <c r="BV851" s="177"/>
      <c r="BW851" s="177"/>
      <c r="BX851" s="267"/>
      <c r="BY851" s="267"/>
      <c r="BZ851" s="267"/>
      <c r="CA851" s="267"/>
      <c r="CB851" s="267"/>
      <c r="CC851" s="267"/>
      <c r="CD851" s="267"/>
      <c r="CE851" s="267"/>
      <c r="CF851" s="267"/>
      <c r="CG851" s="267"/>
      <c r="CH851" s="267"/>
      <c r="CI851" s="435"/>
      <c r="CJ851" s="436"/>
      <c r="CK851" s="437"/>
    </row>
    <row r="852" spans="74:89" x14ac:dyDescent="0.25">
      <c r="BV852" s="177"/>
      <c r="BW852" s="17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  <c r="CH852" s="267"/>
      <c r="CI852" s="435"/>
      <c r="CJ852" s="436"/>
      <c r="CK852" s="437"/>
    </row>
    <row r="853" spans="74:89" x14ac:dyDescent="0.25">
      <c r="BV853" s="177"/>
      <c r="BW853" s="177"/>
      <c r="BX853" s="267"/>
      <c r="BY853" s="267"/>
      <c r="BZ853" s="267"/>
      <c r="CA853" s="267"/>
      <c r="CB853" s="267"/>
      <c r="CC853" s="267"/>
      <c r="CD853" s="267"/>
      <c r="CE853" s="267"/>
      <c r="CF853" s="267"/>
      <c r="CG853" s="267"/>
      <c r="CH853" s="267"/>
      <c r="CI853" s="435"/>
      <c r="CJ853" s="436"/>
      <c r="CK853" s="437"/>
    </row>
    <row r="854" spans="74:89" x14ac:dyDescent="0.25">
      <c r="BV854" s="177"/>
      <c r="BW854" s="17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  <c r="CH854" s="267"/>
      <c r="CI854" s="435"/>
      <c r="CJ854" s="436"/>
      <c r="CK854" s="437"/>
    </row>
    <row r="855" spans="74:89" x14ac:dyDescent="0.25">
      <c r="BV855" s="177"/>
      <c r="BW855" s="177"/>
      <c r="BX855" s="267"/>
      <c r="BY855" s="267"/>
      <c r="BZ855" s="267"/>
      <c r="CA855" s="267"/>
      <c r="CB855" s="267"/>
      <c r="CC855" s="267"/>
      <c r="CD855" s="267"/>
      <c r="CE855" s="267"/>
      <c r="CF855" s="267"/>
      <c r="CG855" s="267"/>
      <c r="CH855" s="267"/>
      <c r="CI855" s="435"/>
      <c r="CJ855" s="436"/>
      <c r="CK855" s="437"/>
    </row>
    <row r="856" spans="74:89" x14ac:dyDescent="0.25">
      <c r="BV856" s="177"/>
      <c r="BW856" s="17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  <c r="CH856" s="267"/>
      <c r="CI856" s="435"/>
      <c r="CJ856" s="436"/>
      <c r="CK856" s="437"/>
    </row>
    <row r="857" spans="74:89" x14ac:dyDescent="0.25">
      <c r="BV857" s="177"/>
      <c r="BW857" s="177"/>
      <c r="BX857" s="267"/>
      <c r="BY857" s="267"/>
      <c r="BZ857" s="267"/>
      <c r="CA857" s="267"/>
      <c r="CB857" s="267"/>
      <c r="CC857" s="267"/>
      <c r="CD857" s="267"/>
      <c r="CE857" s="267"/>
      <c r="CF857" s="267"/>
      <c r="CG857" s="267"/>
      <c r="CH857" s="267"/>
      <c r="CI857" s="435"/>
      <c r="CJ857" s="436"/>
      <c r="CK857" s="437"/>
    </row>
    <row r="858" spans="74:89" x14ac:dyDescent="0.25">
      <c r="BV858" s="177"/>
      <c r="BW858" s="17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  <c r="CH858" s="267"/>
      <c r="CI858" s="435"/>
      <c r="CJ858" s="436"/>
      <c r="CK858" s="437"/>
    </row>
    <row r="859" spans="74:89" x14ac:dyDescent="0.25">
      <c r="BV859" s="177"/>
      <c r="BW859" s="177"/>
      <c r="BX859" s="267"/>
      <c r="BY859" s="267"/>
      <c r="BZ859" s="267"/>
      <c r="CA859" s="267"/>
      <c r="CB859" s="267"/>
      <c r="CC859" s="267"/>
      <c r="CD859" s="267"/>
      <c r="CE859" s="267"/>
      <c r="CF859" s="267"/>
      <c r="CG859" s="267"/>
      <c r="CH859" s="267"/>
      <c r="CI859" s="435"/>
      <c r="CJ859" s="436"/>
      <c r="CK859" s="437"/>
    </row>
    <row r="860" spans="74:89" x14ac:dyDescent="0.25">
      <c r="BV860" s="177"/>
      <c r="BW860" s="17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  <c r="CH860" s="267"/>
      <c r="CI860" s="435"/>
      <c r="CJ860" s="436"/>
      <c r="CK860" s="437"/>
    </row>
    <row r="861" spans="74:89" x14ac:dyDescent="0.25">
      <c r="BV861" s="177"/>
      <c r="BW861" s="177"/>
      <c r="BX861" s="267"/>
      <c r="BY861" s="267"/>
      <c r="BZ861" s="267"/>
      <c r="CA861" s="267"/>
      <c r="CB861" s="267"/>
      <c r="CC861" s="267"/>
      <c r="CD861" s="267"/>
      <c r="CE861" s="267"/>
      <c r="CF861" s="267"/>
      <c r="CG861" s="267"/>
      <c r="CH861" s="267"/>
      <c r="CI861" s="435"/>
      <c r="CJ861" s="436"/>
      <c r="CK861" s="437"/>
    </row>
    <row r="862" spans="74:89" x14ac:dyDescent="0.25">
      <c r="BV862" s="177"/>
      <c r="BW862" s="17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  <c r="CH862" s="267"/>
      <c r="CI862" s="435"/>
      <c r="CJ862" s="436"/>
      <c r="CK862" s="437"/>
    </row>
    <row r="863" spans="74:89" x14ac:dyDescent="0.25">
      <c r="BV863" s="177"/>
      <c r="BW863" s="177"/>
      <c r="BX863" s="267"/>
      <c r="BY863" s="267"/>
      <c r="BZ863" s="267"/>
      <c r="CA863" s="267"/>
      <c r="CB863" s="267"/>
      <c r="CC863" s="267"/>
      <c r="CD863" s="267"/>
      <c r="CE863" s="267"/>
      <c r="CF863" s="267"/>
      <c r="CG863" s="267"/>
      <c r="CH863" s="267"/>
      <c r="CI863" s="435"/>
      <c r="CJ863" s="436"/>
      <c r="CK863" s="437"/>
    </row>
    <row r="864" spans="74:89" x14ac:dyDescent="0.25">
      <c r="BV864" s="177"/>
      <c r="BW864" s="17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  <c r="CH864" s="267"/>
      <c r="CI864" s="435"/>
      <c r="CJ864" s="436"/>
      <c r="CK864" s="437"/>
    </row>
    <row r="865" spans="74:89" x14ac:dyDescent="0.25">
      <c r="BV865" s="177"/>
      <c r="BW865" s="177"/>
      <c r="BX865" s="267"/>
      <c r="BY865" s="267"/>
      <c r="BZ865" s="267"/>
      <c r="CA865" s="267"/>
      <c r="CB865" s="267"/>
      <c r="CC865" s="267"/>
      <c r="CD865" s="267"/>
      <c r="CE865" s="267"/>
      <c r="CF865" s="267"/>
      <c r="CG865" s="267"/>
      <c r="CH865" s="267"/>
      <c r="CI865" s="435"/>
      <c r="CJ865" s="436"/>
      <c r="CK865" s="437"/>
    </row>
    <row r="866" spans="74:89" x14ac:dyDescent="0.25">
      <c r="BV866" s="177"/>
      <c r="BW866" s="17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  <c r="CH866" s="267"/>
      <c r="CI866" s="435"/>
      <c r="CJ866" s="436"/>
      <c r="CK866" s="437"/>
    </row>
    <row r="867" spans="74:89" x14ac:dyDescent="0.25">
      <c r="BV867" s="177"/>
      <c r="BW867" s="177"/>
      <c r="BX867" s="267"/>
      <c r="BY867" s="267"/>
      <c r="BZ867" s="267"/>
      <c r="CA867" s="267"/>
      <c r="CB867" s="267"/>
      <c r="CC867" s="267"/>
      <c r="CD867" s="267"/>
      <c r="CE867" s="267"/>
      <c r="CF867" s="267"/>
      <c r="CG867" s="267"/>
      <c r="CH867" s="267"/>
      <c r="CI867" s="435"/>
      <c r="CJ867" s="436"/>
      <c r="CK867" s="437"/>
    </row>
    <row r="868" spans="74:89" x14ac:dyDescent="0.25">
      <c r="BV868" s="177"/>
      <c r="BW868" s="17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  <c r="CH868" s="267"/>
      <c r="CI868" s="435"/>
      <c r="CJ868" s="436"/>
      <c r="CK868" s="437"/>
    </row>
    <row r="869" spans="74:89" x14ac:dyDescent="0.25">
      <c r="BV869" s="177"/>
      <c r="BW869" s="177"/>
      <c r="BX869" s="267"/>
      <c r="BY869" s="267"/>
      <c r="BZ869" s="267"/>
      <c r="CA869" s="267"/>
      <c r="CB869" s="267"/>
      <c r="CC869" s="267"/>
      <c r="CD869" s="267"/>
      <c r="CE869" s="267"/>
      <c r="CF869" s="267"/>
      <c r="CG869" s="267"/>
      <c r="CH869" s="267"/>
      <c r="CI869" s="435"/>
      <c r="CJ869" s="436"/>
      <c r="CK869" s="437"/>
    </row>
    <row r="870" spans="74:89" x14ac:dyDescent="0.25">
      <c r="BV870" s="177"/>
      <c r="BW870" s="17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  <c r="CH870" s="267"/>
      <c r="CI870" s="435"/>
      <c r="CJ870" s="436"/>
      <c r="CK870" s="437"/>
    </row>
    <row r="871" spans="74:89" x14ac:dyDescent="0.25">
      <c r="BV871" s="177"/>
      <c r="BW871" s="177"/>
      <c r="BX871" s="267"/>
      <c r="BY871" s="267"/>
      <c r="BZ871" s="267"/>
      <c r="CA871" s="267"/>
      <c r="CB871" s="267"/>
      <c r="CC871" s="267"/>
      <c r="CD871" s="267"/>
      <c r="CE871" s="267"/>
      <c r="CF871" s="267"/>
      <c r="CG871" s="267"/>
      <c r="CH871" s="267"/>
      <c r="CI871" s="435"/>
      <c r="CJ871" s="436"/>
      <c r="CK871" s="437"/>
    </row>
    <row r="872" spans="74:89" x14ac:dyDescent="0.25">
      <c r="BV872" s="177"/>
      <c r="BW872" s="17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  <c r="CH872" s="267"/>
      <c r="CI872" s="435"/>
      <c r="CJ872" s="436"/>
      <c r="CK872" s="437"/>
    </row>
    <row r="873" spans="74:89" x14ac:dyDescent="0.25">
      <c r="BV873" s="177"/>
      <c r="BW873" s="177"/>
      <c r="BX873" s="267"/>
      <c r="BY873" s="267"/>
      <c r="BZ873" s="267"/>
      <c r="CA873" s="267"/>
      <c r="CB873" s="267"/>
      <c r="CC873" s="267"/>
      <c r="CD873" s="267"/>
      <c r="CE873" s="267"/>
      <c r="CF873" s="267"/>
      <c r="CG873" s="267"/>
      <c r="CH873" s="267"/>
      <c r="CI873" s="435"/>
      <c r="CJ873" s="436"/>
      <c r="CK873" s="437"/>
    </row>
    <row r="874" spans="74:89" x14ac:dyDescent="0.25">
      <c r="BV874" s="177"/>
      <c r="BW874" s="17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  <c r="CH874" s="267"/>
      <c r="CI874" s="435"/>
      <c r="CJ874" s="436"/>
      <c r="CK874" s="437"/>
    </row>
    <row r="875" spans="74:89" x14ac:dyDescent="0.25">
      <c r="BV875" s="177"/>
      <c r="BW875" s="177"/>
      <c r="BX875" s="267"/>
      <c r="BY875" s="267"/>
      <c r="BZ875" s="267"/>
      <c r="CA875" s="267"/>
      <c r="CB875" s="267"/>
      <c r="CC875" s="267"/>
      <c r="CD875" s="267"/>
      <c r="CE875" s="267"/>
      <c r="CF875" s="267"/>
      <c r="CG875" s="267"/>
      <c r="CH875" s="267"/>
      <c r="CI875" s="435"/>
      <c r="CJ875" s="436"/>
      <c r="CK875" s="437"/>
    </row>
    <row r="876" spans="74:89" x14ac:dyDescent="0.25">
      <c r="BV876" s="177"/>
      <c r="BW876" s="17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  <c r="CH876" s="267"/>
      <c r="CI876" s="435"/>
      <c r="CJ876" s="436"/>
      <c r="CK876" s="437"/>
    </row>
    <row r="877" spans="74:89" x14ac:dyDescent="0.25">
      <c r="BV877" s="177"/>
      <c r="BW877" s="177"/>
      <c r="BX877" s="267"/>
      <c r="BY877" s="267"/>
      <c r="BZ877" s="267"/>
      <c r="CA877" s="267"/>
      <c r="CB877" s="267"/>
      <c r="CC877" s="267"/>
      <c r="CD877" s="267"/>
      <c r="CE877" s="267"/>
      <c r="CF877" s="267"/>
      <c r="CG877" s="267"/>
      <c r="CH877" s="267"/>
      <c r="CI877" s="435"/>
      <c r="CJ877" s="436"/>
      <c r="CK877" s="437"/>
    </row>
    <row r="878" spans="74:89" x14ac:dyDescent="0.25">
      <c r="BV878" s="177"/>
      <c r="BW878" s="17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  <c r="CH878" s="267"/>
      <c r="CI878" s="435"/>
      <c r="CJ878" s="436"/>
      <c r="CK878" s="437"/>
    </row>
    <row r="879" spans="74:89" x14ac:dyDescent="0.25">
      <c r="BV879" s="177"/>
      <c r="BW879" s="177"/>
      <c r="BX879" s="267"/>
      <c r="BY879" s="267"/>
      <c r="BZ879" s="267"/>
      <c r="CA879" s="267"/>
      <c r="CB879" s="267"/>
      <c r="CC879" s="267"/>
      <c r="CD879" s="267"/>
      <c r="CE879" s="267"/>
      <c r="CF879" s="267"/>
      <c r="CG879" s="267"/>
      <c r="CH879" s="267"/>
      <c r="CI879" s="435"/>
      <c r="CJ879" s="436"/>
      <c r="CK879" s="437"/>
    </row>
    <row r="880" spans="74:89" x14ac:dyDescent="0.25">
      <c r="BV880" s="177"/>
      <c r="BW880" s="17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  <c r="CH880" s="267"/>
      <c r="CI880" s="435"/>
      <c r="CJ880" s="436"/>
      <c r="CK880" s="437"/>
    </row>
    <row r="881" spans="74:89" x14ac:dyDescent="0.25">
      <c r="BV881" s="177"/>
      <c r="BW881" s="177"/>
      <c r="BX881" s="267"/>
      <c r="BY881" s="267"/>
      <c r="BZ881" s="267"/>
      <c r="CA881" s="267"/>
      <c r="CB881" s="267"/>
      <c r="CC881" s="267"/>
      <c r="CD881" s="267"/>
      <c r="CE881" s="267"/>
      <c r="CF881" s="267"/>
      <c r="CG881" s="267"/>
      <c r="CH881" s="267"/>
      <c r="CI881" s="435"/>
      <c r="CJ881" s="436"/>
      <c r="CK881" s="437"/>
    </row>
    <row r="882" spans="74:89" x14ac:dyDescent="0.25">
      <c r="BV882" s="177"/>
      <c r="BW882" s="17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  <c r="CH882" s="267"/>
      <c r="CI882" s="435"/>
      <c r="CJ882" s="436"/>
      <c r="CK882" s="437"/>
    </row>
    <row r="883" spans="74:89" x14ac:dyDescent="0.25">
      <c r="BV883" s="177"/>
      <c r="BW883" s="177"/>
      <c r="BX883" s="267"/>
      <c r="BY883" s="267"/>
      <c r="BZ883" s="267"/>
      <c r="CA883" s="267"/>
      <c r="CB883" s="267"/>
      <c r="CC883" s="267"/>
      <c r="CD883" s="267"/>
      <c r="CE883" s="267"/>
      <c r="CF883" s="267"/>
      <c r="CG883" s="267"/>
      <c r="CH883" s="267"/>
      <c r="CI883" s="435"/>
      <c r="CJ883" s="436"/>
      <c r="CK883" s="437"/>
    </row>
    <row r="884" spans="74:89" x14ac:dyDescent="0.25">
      <c r="BV884" s="177"/>
      <c r="BW884" s="17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  <c r="CH884" s="267"/>
      <c r="CI884" s="435"/>
      <c r="CJ884" s="436"/>
      <c r="CK884" s="437"/>
    </row>
    <row r="885" spans="74:89" x14ac:dyDescent="0.25">
      <c r="BV885" s="177"/>
      <c r="BW885" s="17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  <c r="CH885" s="267"/>
      <c r="CI885" s="435"/>
      <c r="CJ885" s="436"/>
      <c r="CK885" s="437"/>
    </row>
    <row r="886" spans="74:89" x14ac:dyDescent="0.25">
      <c r="BV886" s="177"/>
      <c r="BW886" s="17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  <c r="CH886" s="267"/>
      <c r="CI886" s="435"/>
      <c r="CJ886" s="436"/>
      <c r="CK886" s="437"/>
    </row>
    <row r="887" spans="74:89" x14ac:dyDescent="0.25">
      <c r="BV887" s="177"/>
      <c r="BW887" s="177"/>
      <c r="BX887" s="267"/>
      <c r="BY887" s="267"/>
      <c r="BZ887" s="267"/>
      <c r="CA887" s="267"/>
      <c r="CB887" s="267"/>
      <c r="CC887" s="267"/>
      <c r="CD887" s="267"/>
      <c r="CE887" s="267"/>
      <c r="CF887" s="267"/>
      <c r="CG887" s="267"/>
      <c r="CH887" s="267"/>
      <c r="CI887" s="435"/>
      <c r="CJ887" s="436"/>
      <c r="CK887" s="437"/>
    </row>
    <row r="888" spans="74:89" x14ac:dyDescent="0.25">
      <c r="BV888" s="177"/>
      <c r="BW888" s="17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  <c r="CH888" s="267"/>
      <c r="CI888" s="435"/>
      <c r="CJ888" s="436"/>
      <c r="CK888" s="437"/>
    </row>
    <row r="889" spans="74:89" x14ac:dyDescent="0.25">
      <c r="BV889" s="177"/>
      <c r="BW889" s="177"/>
      <c r="BX889" s="267"/>
      <c r="BY889" s="267"/>
      <c r="BZ889" s="267"/>
      <c r="CA889" s="267"/>
      <c r="CB889" s="267"/>
      <c r="CC889" s="267"/>
      <c r="CD889" s="267"/>
      <c r="CE889" s="267"/>
      <c r="CF889" s="267"/>
      <c r="CG889" s="267"/>
      <c r="CH889" s="267"/>
      <c r="CI889" s="435"/>
      <c r="CJ889" s="436"/>
      <c r="CK889" s="437"/>
    </row>
    <row r="890" spans="74:89" x14ac:dyDescent="0.25">
      <c r="BV890" s="177"/>
      <c r="BW890" s="17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  <c r="CH890" s="267"/>
      <c r="CI890" s="435"/>
      <c r="CJ890" s="436"/>
      <c r="CK890" s="437"/>
    </row>
    <row r="891" spans="74:89" x14ac:dyDescent="0.25">
      <c r="BV891" s="177"/>
      <c r="BW891" s="177"/>
      <c r="BX891" s="267"/>
      <c r="BY891" s="267"/>
      <c r="BZ891" s="267"/>
      <c r="CA891" s="267"/>
      <c r="CB891" s="267"/>
      <c r="CC891" s="267"/>
      <c r="CD891" s="267"/>
      <c r="CE891" s="267"/>
      <c r="CF891" s="267"/>
      <c r="CG891" s="267"/>
      <c r="CH891" s="267"/>
      <c r="CI891" s="435"/>
      <c r="CJ891" s="436"/>
      <c r="CK891" s="437"/>
    </row>
    <row r="892" spans="74:89" x14ac:dyDescent="0.25">
      <c r="BV892" s="177"/>
      <c r="BW892" s="17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  <c r="CH892" s="267"/>
      <c r="CI892" s="435"/>
      <c r="CJ892" s="436"/>
      <c r="CK892" s="437"/>
    </row>
    <row r="893" spans="74:89" x14ac:dyDescent="0.25">
      <c r="BV893" s="177"/>
      <c r="BW893" s="177"/>
      <c r="BX893" s="267"/>
      <c r="BY893" s="267"/>
      <c r="BZ893" s="267"/>
      <c r="CA893" s="267"/>
      <c r="CB893" s="267"/>
      <c r="CC893" s="267"/>
      <c r="CD893" s="267"/>
      <c r="CE893" s="267"/>
      <c r="CF893" s="267"/>
      <c r="CG893" s="267"/>
      <c r="CH893" s="267"/>
      <c r="CI893" s="435"/>
      <c r="CJ893" s="436"/>
      <c r="CK893" s="437"/>
    </row>
    <row r="894" spans="74:89" x14ac:dyDescent="0.25">
      <c r="BV894" s="177"/>
      <c r="BW894" s="17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  <c r="CH894" s="267"/>
      <c r="CI894" s="435"/>
      <c r="CJ894" s="436"/>
      <c r="CK894" s="437"/>
    </row>
    <row r="895" spans="74:89" x14ac:dyDescent="0.25">
      <c r="BV895" s="177"/>
      <c r="BW895" s="17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  <c r="CH895" s="267"/>
      <c r="CI895" s="435"/>
      <c r="CJ895" s="436"/>
      <c r="CK895" s="437"/>
    </row>
    <row r="896" spans="74:89" x14ac:dyDescent="0.25">
      <c r="BV896" s="177"/>
      <c r="BW896" s="17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  <c r="CH896" s="267"/>
      <c r="CI896" s="435"/>
      <c r="CJ896" s="436"/>
      <c r="CK896" s="437"/>
    </row>
    <row r="897" spans="74:89" x14ac:dyDescent="0.25">
      <c r="BV897" s="177"/>
      <c r="BW897" s="177"/>
      <c r="BX897" s="267"/>
      <c r="BY897" s="267"/>
      <c r="BZ897" s="267"/>
      <c r="CA897" s="267"/>
      <c r="CB897" s="267"/>
      <c r="CC897" s="267"/>
      <c r="CD897" s="267"/>
      <c r="CE897" s="267"/>
      <c r="CF897" s="267"/>
      <c r="CG897" s="267"/>
      <c r="CH897" s="267"/>
      <c r="CI897" s="435"/>
      <c r="CJ897" s="436"/>
      <c r="CK897" s="437"/>
    </row>
    <row r="898" spans="74:89" x14ac:dyDescent="0.25">
      <c r="BV898" s="177"/>
      <c r="BW898" s="17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  <c r="CH898" s="267"/>
      <c r="CI898" s="435"/>
      <c r="CJ898" s="436"/>
      <c r="CK898" s="437"/>
    </row>
    <row r="899" spans="74:89" x14ac:dyDescent="0.25">
      <c r="BV899" s="177"/>
      <c r="BW899" s="177"/>
      <c r="BX899" s="267"/>
      <c r="BY899" s="267"/>
      <c r="BZ899" s="267"/>
      <c r="CA899" s="267"/>
      <c r="CB899" s="267"/>
      <c r="CC899" s="267"/>
      <c r="CD899" s="267"/>
      <c r="CE899" s="267"/>
      <c r="CF899" s="267"/>
      <c r="CG899" s="267"/>
      <c r="CH899" s="267"/>
      <c r="CI899" s="435"/>
      <c r="CJ899" s="436"/>
      <c r="CK899" s="437"/>
    </row>
    <row r="900" spans="74:89" x14ac:dyDescent="0.25">
      <c r="BV900" s="177"/>
      <c r="BW900" s="17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  <c r="CH900" s="267"/>
      <c r="CI900" s="435"/>
      <c r="CJ900" s="436"/>
      <c r="CK900" s="437"/>
    </row>
    <row r="901" spans="74:89" x14ac:dyDescent="0.25">
      <c r="BV901" s="177"/>
      <c r="BW901" s="177"/>
      <c r="BX901" s="267"/>
      <c r="BY901" s="267"/>
      <c r="BZ901" s="267"/>
      <c r="CA901" s="267"/>
      <c r="CB901" s="267"/>
      <c r="CC901" s="267"/>
      <c r="CD901" s="267"/>
      <c r="CE901" s="267"/>
      <c r="CF901" s="267"/>
      <c r="CG901" s="267"/>
      <c r="CH901" s="267"/>
      <c r="CI901" s="435"/>
      <c r="CJ901" s="436"/>
      <c r="CK901" s="437"/>
    </row>
    <row r="902" spans="74:89" x14ac:dyDescent="0.25">
      <c r="BV902" s="177"/>
      <c r="BW902" s="17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  <c r="CH902" s="267"/>
      <c r="CI902" s="435"/>
      <c r="CJ902" s="436"/>
      <c r="CK902" s="437"/>
    </row>
    <row r="903" spans="74:89" x14ac:dyDescent="0.25">
      <c r="BV903" s="177"/>
      <c r="BW903" s="177"/>
      <c r="BX903" s="267"/>
      <c r="BY903" s="267"/>
      <c r="BZ903" s="267"/>
      <c r="CA903" s="267"/>
      <c r="CB903" s="267"/>
      <c r="CC903" s="267"/>
      <c r="CD903" s="267"/>
      <c r="CE903" s="267"/>
      <c r="CF903" s="267"/>
      <c r="CG903" s="267"/>
      <c r="CH903" s="267"/>
      <c r="CI903" s="435"/>
      <c r="CJ903" s="436"/>
      <c r="CK903" s="437"/>
    </row>
    <row r="904" spans="74:89" x14ac:dyDescent="0.25">
      <c r="BV904" s="177"/>
      <c r="BW904" s="17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  <c r="CH904" s="267"/>
      <c r="CI904" s="435"/>
      <c r="CJ904" s="436"/>
      <c r="CK904" s="437"/>
    </row>
    <row r="905" spans="74:89" x14ac:dyDescent="0.25">
      <c r="BV905" s="177"/>
      <c r="BW905" s="17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  <c r="CH905" s="267"/>
      <c r="CI905" s="435"/>
      <c r="CJ905" s="436"/>
      <c r="CK905" s="437"/>
    </row>
    <row r="906" spans="74:89" x14ac:dyDescent="0.25">
      <c r="BV906" s="177"/>
      <c r="BW906" s="17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  <c r="CH906" s="267"/>
      <c r="CI906" s="435"/>
      <c r="CJ906" s="436"/>
      <c r="CK906" s="437"/>
    </row>
    <row r="907" spans="74:89" x14ac:dyDescent="0.25">
      <c r="BV907" s="177"/>
      <c r="BW907" s="17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  <c r="CH907" s="267"/>
      <c r="CI907" s="435"/>
      <c r="CJ907" s="436"/>
      <c r="CK907" s="437"/>
    </row>
    <row r="908" spans="74:89" x14ac:dyDescent="0.25">
      <c r="BV908" s="177"/>
      <c r="BW908" s="17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  <c r="CH908" s="267"/>
      <c r="CI908" s="435"/>
      <c r="CJ908" s="436"/>
      <c r="CK908" s="437"/>
    </row>
    <row r="909" spans="74:89" x14ac:dyDescent="0.25">
      <c r="BV909" s="177"/>
      <c r="BW909" s="17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  <c r="CH909" s="267"/>
      <c r="CI909" s="435"/>
      <c r="CJ909" s="436"/>
      <c r="CK909" s="437"/>
    </row>
    <row r="910" spans="74:89" x14ac:dyDescent="0.25">
      <c r="BV910" s="177"/>
      <c r="BW910" s="17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  <c r="CH910" s="267"/>
      <c r="CI910" s="435"/>
      <c r="CJ910" s="436"/>
      <c r="CK910" s="437"/>
    </row>
    <row r="911" spans="74:89" x14ac:dyDescent="0.25">
      <c r="BV911" s="177"/>
      <c r="BW911" s="17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  <c r="CH911" s="267"/>
      <c r="CI911" s="435"/>
      <c r="CJ911" s="436"/>
      <c r="CK911" s="437"/>
    </row>
    <row r="912" spans="74:89" x14ac:dyDescent="0.25">
      <c r="BV912" s="177"/>
      <c r="BW912" s="17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  <c r="CH912" s="267"/>
      <c r="CI912" s="435"/>
      <c r="CJ912" s="436"/>
      <c r="CK912" s="437"/>
    </row>
    <row r="913" spans="74:89" x14ac:dyDescent="0.25">
      <c r="BV913" s="177"/>
      <c r="BW913" s="17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  <c r="CH913" s="267"/>
      <c r="CI913" s="435"/>
      <c r="CJ913" s="436"/>
      <c r="CK913" s="437"/>
    </row>
    <row r="914" spans="74:89" x14ac:dyDescent="0.25">
      <c r="BV914" s="177"/>
      <c r="BW914" s="177"/>
      <c r="BX914" s="267"/>
      <c r="BY914" s="267"/>
      <c r="BZ914" s="267"/>
      <c r="CA914" s="267"/>
      <c r="CB914" s="267"/>
      <c r="CC914" s="267"/>
      <c r="CD914" s="267"/>
      <c r="CE914" s="267"/>
      <c r="CF914" s="267"/>
      <c r="CG914" s="267"/>
      <c r="CH914" s="267"/>
      <c r="CI914" s="435"/>
      <c r="CJ914" s="436"/>
      <c r="CK914" s="437"/>
    </row>
    <row r="915" spans="74:89" x14ac:dyDescent="0.25">
      <c r="BV915" s="177"/>
      <c r="BW915" s="17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  <c r="CH915" s="267"/>
      <c r="CI915" s="435"/>
      <c r="CJ915" s="436"/>
      <c r="CK915" s="437"/>
    </row>
    <row r="916" spans="74:89" x14ac:dyDescent="0.25">
      <c r="BV916" s="177"/>
      <c r="BW916" s="17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  <c r="CH916" s="267"/>
      <c r="CI916" s="435"/>
      <c r="CJ916" s="436"/>
      <c r="CK916" s="437"/>
    </row>
    <row r="917" spans="74:89" x14ac:dyDescent="0.25">
      <c r="BV917" s="177"/>
      <c r="BW917" s="17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  <c r="CH917" s="267"/>
      <c r="CI917" s="435"/>
      <c r="CJ917" s="436"/>
      <c r="CK917" s="437"/>
    </row>
    <row r="918" spans="74:89" x14ac:dyDescent="0.25">
      <c r="BV918" s="177"/>
      <c r="BW918" s="17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  <c r="CH918" s="267"/>
      <c r="CI918" s="435"/>
      <c r="CJ918" s="436"/>
      <c r="CK918" s="437"/>
    </row>
    <row r="919" spans="74:89" x14ac:dyDescent="0.25">
      <c r="BV919" s="177"/>
      <c r="BW919" s="17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  <c r="CH919" s="267"/>
      <c r="CI919" s="435"/>
      <c r="CJ919" s="436"/>
      <c r="CK919" s="437"/>
    </row>
    <row r="920" spans="74:89" x14ac:dyDescent="0.25">
      <c r="BV920" s="177"/>
      <c r="BW920" s="17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  <c r="CH920" s="267"/>
      <c r="CI920" s="435"/>
      <c r="CJ920" s="436"/>
      <c r="CK920" s="437"/>
    </row>
    <row r="921" spans="74:89" x14ac:dyDescent="0.25">
      <c r="BV921" s="177"/>
      <c r="BW921" s="17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  <c r="CH921" s="267"/>
      <c r="CI921" s="435"/>
      <c r="CJ921" s="436"/>
      <c r="CK921" s="437"/>
    </row>
    <row r="922" spans="74:89" x14ac:dyDescent="0.25">
      <c r="BV922" s="177"/>
      <c r="BW922" s="177"/>
      <c r="BX922" s="267"/>
      <c r="BY922" s="267"/>
      <c r="BZ922" s="267"/>
      <c r="CA922" s="267"/>
      <c r="CB922" s="267"/>
      <c r="CC922" s="267"/>
      <c r="CD922" s="267"/>
      <c r="CE922" s="267"/>
      <c r="CF922" s="267"/>
      <c r="CG922" s="267"/>
      <c r="CH922" s="267"/>
      <c r="CI922" s="435"/>
      <c r="CJ922" s="436"/>
      <c r="CK922" s="437"/>
    </row>
    <row r="923" spans="74:89" x14ac:dyDescent="0.25">
      <c r="BV923" s="177"/>
      <c r="BW923" s="17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  <c r="CH923" s="267"/>
      <c r="CI923" s="435"/>
      <c r="CJ923" s="436"/>
      <c r="CK923" s="437"/>
    </row>
    <row r="924" spans="74:89" x14ac:dyDescent="0.25">
      <c r="BV924" s="177"/>
      <c r="BW924" s="177"/>
      <c r="BX924" s="267"/>
      <c r="BY924" s="267"/>
      <c r="BZ924" s="267"/>
      <c r="CA924" s="267"/>
      <c r="CB924" s="267"/>
      <c r="CC924" s="267"/>
      <c r="CD924" s="267"/>
      <c r="CE924" s="267"/>
      <c r="CF924" s="267"/>
      <c r="CG924" s="267"/>
      <c r="CH924" s="267"/>
      <c r="CI924" s="435"/>
      <c r="CJ924" s="436"/>
      <c r="CK924" s="437"/>
    </row>
    <row r="925" spans="74:89" x14ac:dyDescent="0.25">
      <c r="BV925" s="177"/>
      <c r="BW925" s="17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  <c r="CH925" s="267"/>
      <c r="CI925" s="435"/>
      <c r="CJ925" s="436"/>
      <c r="CK925" s="437"/>
    </row>
    <row r="926" spans="74:89" x14ac:dyDescent="0.25">
      <c r="BV926" s="177"/>
      <c r="BW926" s="177"/>
      <c r="BX926" s="267"/>
      <c r="BY926" s="267"/>
      <c r="BZ926" s="267"/>
      <c r="CA926" s="267"/>
      <c r="CB926" s="267"/>
      <c r="CC926" s="267"/>
      <c r="CD926" s="267"/>
      <c r="CE926" s="267"/>
      <c r="CF926" s="267"/>
      <c r="CG926" s="267"/>
      <c r="CH926" s="267"/>
      <c r="CI926" s="435"/>
      <c r="CJ926" s="436"/>
      <c r="CK926" s="437"/>
    </row>
    <row r="927" spans="74:89" x14ac:dyDescent="0.25">
      <c r="BV927" s="177"/>
      <c r="BW927" s="17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  <c r="CH927" s="267"/>
      <c r="CI927" s="435"/>
      <c r="CJ927" s="436"/>
      <c r="CK927" s="437"/>
    </row>
    <row r="928" spans="74:89" x14ac:dyDescent="0.25">
      <c r="BV928" s="177"/>
      <c r="BW928" s="177"/>
      <c r="BX928" s="267"/>
      <c r="BY928" s="267"/>
      <c r="BZ928" s="267"/>
      <c r="CA928" s="267"/>
      <c r="CB928" s="267"/>
      <c r="CC928" s="267"/>
      <c r="CD928" s="267"/>
      <c r="CE928" s="267"/>
      <c r="CF928" s="267"/>
      <c r="CG928" s="267"/>
      <c r="CH928" s="267"/>
      <c r="CI928" s="435"/>
      <c r="CJ928" s="436"/>
      <c r="CK928" s="437"/>
    </row>
    <row r="929" spans="74:89" x14ac:dyDescent="0.25">
      <c r="BV929" s="177"/>
      <c r="BW929" s="17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  <c r="CH929" s="267"/>
      <c r="CI929" s="435"/>
      <c r="CJ929" s="436"/>
      <c r="CK929" s="437"/>
    </row>
    <row r="930" spans="74:89" x14ac:dyDescent="0.25">
      <c r="BV930" s="177"/>
      <c r="BW930" s="17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  <c r="CH930" s="267"/>
      <c r="CI930" s="435"/>
      <c r="CJ930" s="436"/>
      <c r="CK930" s="437"/>
    </row>
    <row r="931" spans="74:89" x14ac:dyDescent="0.25">
      <c r="BV931" s="177"/>
      <c r="BW931" s="17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  <c r="CH931" s="267"/>
      <c r="CI931" s="435"/>
      <c r="CJ931" s="436"/>
      <c r="CK931" s="437"/>
    </row>
    <row r="932" spans="74:89" x14ac:dyDescent="0.25">
      <c r="BV932" s="177"/>
      <c r="BW932" s="17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  <c r="CH932" s="267"/>
      <c r="CI932" s="435"/>
      <c r="CJ932" s="436"/>
      <c r="CK932" s="437"/>
    </row>
    <row r="933" spans="74:89" x14ac:dyDescent="0.25">
      <c r="BV933" s="177"/>
      <c r="BW933" s="17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  <c r="CH933" s="267"/>
      <c r="CI933" s="435"/>
      <c r="CJ933" s="436"/>
      <c r="CK933" s="437"/>
    </row>
    <row r="934" spans="74:89" x14ac:dyDescent="0.25">
      <c r="BV934" s="177"/>
      <c r="BW934" s="17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  <c r="CH934" s="267"/>
      <c r="CI934" s="435"/>
      <c r="CJ934" s="436"/>
      <c r="CK934" s="437"/>
    </row>
    <row r="935" spans="74:89" x14ac:dyDescent="0.25">
      <c r="BV935" s="177"/>
      <c r="BW935" s="17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  <c r="CH935" s="267"/>
      <c r="CI935" s="435"/>
      <c r="CJ935" s="436"/>
      <c r="CK935" s="437"/>
    </row>
    <row r="936" spans="74:89" x14ac:dyDescent="0.25">
      <c r="BV936" s="177"/>
      <c r="BW936" s="17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  <c r="CH936" s="267"/>
      <c r="CI936" s="435"/>
      <c r="CJ936" s="436"/>
      <c r="CK936" s="437"/>
    </row>
    <row r="937" spans="74:89" x14ac:dyDescent="0.25">
      <c r="BV937" s="177"/>
      <c r="BW937" s="17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  <c r="CH937" s="267"/>
      <c r="CI937" s="435"/>
      <c r="CJ937" s="436"/>
      <c r="CK937" s="437"/>
    </row>
    <row r="938" spans="74:89" x14ac:dyDescent="0.25">
      <c r="BV938" s="177"/>
      <c r="BW938" s="17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  <c r="CH938" s="267"/>
      <c r="CI938" s="435"/>
      <c r="CJ938" s="436"/>
      <c r="CK938" s="437"/>
    </row>
    <row r="939" spans="74:89" x14ac:dyDescent="0.25">
      <c r="BV939" s="177"/>
      <c r="BW939" s="17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  <c r="CH939" s="267"/>
      <c r="CI939" s="435"/>
      <c r="CJ939" s="436"/>
      <c r="CK939" s="437"/>
    </row>
    <row r="940" spans="74:89" x14ac:dyDescent="0.25">
      <c r="BV940" s="177"/>
      <c r="BW940" s="17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  <c r="CH940" s="267"/>
      <c r="CI940" s="435"/>
      <c r="CJ940" s="436"/>
      <c r="CK940" s="437"/>
    </row>
    <row r="941" spans="74:89" x14ac:dyDescent="0.25">
      <c r="BV941" s="177"/>
      <c r="BW941" s="17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  <c r="CH941" s="267"/>
      <c r="CI941" s="435"/>
      <c r="CJ941" s="436"/>
      <c r="CK941" s="437"/>
    </row>
    <row r="942" spans="74:89" x14ac:dyDescent="0.25">
      <c r="BV942" s="177"/>
      <c r="BW942" s="17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  <c r="CH942" s="267"/>
      <c r="CI942" s="435"/>
      <c r="CJ942" s="436"/>
      <c r="CK942" s="437"/>
    </row>
    <row r="943" spans="74:89" x14ac:dyDescent="0.25">
      <c r="BV943" s="177"/>
      <c r="BW943" s="17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  <c r="CH943" s="267"/>
      <c r="CI943" s="435"/>
      <c r="CJ943" s="436"/>
      <c r="CK943" s="437"/>
    </row>
    <row r="944" spans="74:89" x14ac:dyDescent="0.25">
      <c r="BV944" s="177"/>
      <c r="BW944" s="17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  <c r="CH944" s="267"/>
      <c r="CI944" s="435"/>
      <c r="CJ944" s="436"/>
      <c r="CK944" s="437"/>
    </row>
    <row r="945" spans="74:89" x14ac:dyDescent="0.25">
      <c r="BV945" s="177"/>
      <c r="BW945" s="17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  <c r="CH945" s="267"/>
      <c r="CI945" s="435"/>
      <c r="CJ945" s="436"/>
      <c r="CK945" s="437"/>
    </row>
    <row r="946" spans="74:89" x14ac:dyDescent="0.25">
      <c r="BV946" s="177"/>
      <c r="BW946" s="17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  <c r="CH946" s="267"/>
      <c r="CI946" s="435"/>
      <c r="CJ946" s="436"/>
      <c r="CK946" s="437"/>
    </row>
    <row r="947" spans="74:89" x14ac:dyDescent="0.25">
      <c r="BV947" s="177"/>
      <c r="BW947" s="177"/>
      <c r="BX947" s="267"/>
      <c r="BY947" s="267"/>
      <c r="BZ947" s="267"/>
      <c r="CA947" s="267"/>
      <c r="CB947" s="267"/>
      <c r="CC947" s="267"/>
      <c r="CD947" s="267"/>
      <c r="CE947" s="267"/>
      <c r="CF947" s="267"/>
      <c r="CG947" s="267"/>
      <c r="CH947" s="267"/>
      <c r="CI947" s="435"/>
      <c r="CJ947" s="436"/>
      <c r="CK947" s="437"/>
    </row>
    <row r="948" spans="74:89" x14ac:dyDescent="0.25">
      <c r="BV948" s="177"/>
      <c r="BW948" s="17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  <c r="CH948" s="267"/>
      <c r="CI948" s="435"/>
      <c r="CJ948" s="436"/>
      <c r="CK948" s="437"/>
    </row>
    <row r="949" spans="74:89" x14ac:dyDescent="0.25">
      <c r="BV949" s="177"/>
      <c r="BW949" s="177"/>
      <c r="BX949" s="267"/>
      <c r="BY949" s="267"/>
      <c r="BZ949" s="267"/>
      <c r="CA949" s="267"/>
      <c r="CB949" s="267"/>
      <c r="CC949" s="267"/>
      <c r="CD949" s="267"/>
      <c r="CE949" s="267"/>
      <c r="CF949" s="267"/>
      <c r="CG949" s="267"/>
      <c r="CH949" s="267"/>
      <c r="CI949" s="435"/>
      <c r="CJ949" s="436"/>
      <c r="CK949" s="437"/>
    </row>
    <row r="950" spans="74:89" x14ac:dyDescent="0.25">
      <c r="BV950" s="177"/>
      <c r="BW950" s="17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  <c r="CH950" s="267"/>
      <c r="CI950" s="435"/>
      <c r="CJ950" s="436"/>
      <c r="CK950" s="437"/>
    </row>
    <row r="951" spans="74:89" x14ac:dyDescent="0.25">
      <c r="BV951" s="177"/>
      <c r="BW951" s="177"/>
      <c r="BX951" s="267"/>
      <c r="BY951" s="267"/>
      <c r="BZ951" s="267"/>
      <c r="CA951" s="267"/>
      <c r="CB951" s="267"/>
      <c r="CC951" s="267"/>
      <c r="CD951" s="267"/>
      <c r="CE951" s="267"/>
      <c r="CF951" s="267"/>
      <c r="CG951" s="267"/>
      <c r="CH951" s="267"/>
      <c r="CI951" s="435"/>
      <c r="CJ951" s="436"/>
      <c r="CK951" s="437"/>
    </row>
    <row r="952" spans="74:89" x14ac:dyDescent="0.25">
      <c r="BV952" s="177"/>
      <c r="BW952" s="17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  <c r="CH952" s="267"/>
      <c r="CI952" s="435"/>
      <c r="CJ952" s="436"/>
      <c r="CK952" s="437"/>
    </row>
    <row r="953" spans="74:89" x14ac:dyDescent="0.25">
      <c r="BV953" s="177"/>
      <c r="BW953" s="17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  <c r="CH953" s="267"/>
      <c r="CI953" s="435"/>
      <c r="CJ953" s="436"/>
      <c r="CK953" s="437"/>
    </row>
    <row r="954" spans="74:89" x14ac:dyDescent="0.25">
      <c r="BV954" s="177"/>
      <c r="BW954" s="177"/>
      <c r="BX954" s="267"/>
      <c r="BY954" s="267"/>
      <c r="BZ954" s="267"/>
      <c r="CA954" s="267"/>
      <c r="CB954" s="267"/>
      <c r="CC954" s="267"/>
      <c r="CD954" s="267"/>
      <c r="CE954" s="267"/>
      <c r="CF954" s="267"/>
      <c r="CG954" s="267"/>
      <c r="CH954" s="267"/>
      <c r="CI954" s="435"/>
      <c r="CJ954" s="436"/>
      <c r="CK954" s="437"/>
    </row>
    <row r="955" spans="74:89" x14ac:dyDescent="0.25">
      <c r="BV955" s="177"/>
      <c r="BW955" s="17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  <c r="CH955" s="267"/>
      <c r="CI955" s="435"/>
      <c r="CJ955" s="436"/>
      <c r="CK955" s="437"/>
    </row>
    <row r="956" spans="74:89" x14ac:dyDescent="0.25">
      <c r="BV956" s="177"/>
      <c r="BW956" s="177"/>
      <c r="BX956" s="267"/>
      <c r="BY956" s="267"/>
      <c r="BZ956" s="267"/>
      <c r="CA956" s="267"/>
      <c r="CB956" s="267"/>
      <c r="CC956" s="267"/>
      <c r="CD956" s="267"/>
      <c r="CE956" s="267"/>
      <c r="CF956" s="267"/>
      <c r="CG956" s="267"/>
      <c r="CH956" s="267"/>
      <c r="CI956" s="435"/>
      <c r="CJ956" s="436"/>
      <c r="CK956" s="437"/>
    </row>
    <row r="957" spans="74:89" x14ac:dyDescent="0.25">
      <c r="BV957" s="177"/>
      <c r="BW957" s="17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  <c r="CH957" s="267"/>
      <c r="CI957" s="435"/>
      <c r="CJ957" s="436"/>
      <c r="CK957" s="437"/>
    </row>
    <row r="958" spans="74:89" x14ac:dyDescent="0.25">
      <c r="BV958" s="177"/>
      <c r="BW958" s="177"/>
      <c r="BX958" s="267"/>
      <c r="BY958" s="267"/>
      <c r="BZ958" s="267"/>
      <c r="CA958" s="267"/>
      <c r="CB958" s="267"/>
      <c r="CC958" s="267"/>
      <c r="CD958" s="267"/>
      <c r="CE958" s="267"/>
      <c r="CF958" s="267"/>
      <c r="CG958" s="267"/>
      <c r="CH958" s="267"/>
      <c r="CI958" s="435"/>
      <c r="CJ958" s="436"/>
      <c r="CK958" s="437"/>
    </row>
    <row r="959" spans="74:89" x14ac:dyDescent="0.25">
      <c r="BV959" s="177"/>
      <c r="BW959" s="17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  <c r="CH959" s="267"/>
      <c r="CI959" s="435"/>
      <c r="CJ959" s="436"/>
      <c r="CK959" s="437"/>
    </row>
    <row r="960" spans="74:89" x14ac:dyDescent="0.25">
      <c r="BV960" s="177"/>
      <c r="BW960" s="17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  <c r="CH960" s="267"/>
      <c r="CI960" s="435"/>
      <c r="CJ960" s="436"/>
      <c r="CK960" s="437"/>
    </row>
    <row r="961" spans="74:89" x14ac:dyDescent="0.25">
      <c r="BV961" s="177"/>
      <c r="BW961" s="17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  <c r="CH961" s="267"/>
      <c r="CI961" s="435"/>
      <c r="CJ961" s="436"/>
      <c r="CK961" s="437"/>
    </row>
    <row r="962" spans="74:89" x14ac:dyDescent="0.25">
      <c r="BV962" s="177"/>
      <c r="BW962" s="17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  <c r="CH962" s="267"/>
      <c r="CI962" s="435"/>
      <c r="CJ962" s="436"/>
      <c r="CK962" s="437"/>
    </row>
    <row r="963" spans="74:89" x14ac:dyDescent="0.25">
      <c r="BV963" s="177"/>
      <c r="BW963" s="17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  <c r="CH963" s="267"/>
      <c r="CI963" s="435"/>
      <c r="CJ963" s="436"/>
      <c r="CK963" s="437"/>
    </row>
    <row r="964" spans="74:89" x14ac:dyDescent="0.25">
      <c r="BV964" s="177"/>
      <c r="BW964" s="17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  <c r="CH964" s="267"/>
      <c r="CI964" s="435"/>
      <c r="CJ964" s="436"/>
      <c r="CK964" s="437"/>
    </row>
    <row r="965" spans="74:89" x14ac:dyDescent="0.25">
      <c r="BV965" s="177"/>
      <c r="BW965" s="177"/>
      <c r="BX965" s="267"/>
      <c r="BY965" s="267"/>
      <c r="BZ965" s="267"/>
      <c r="CA965" s="267"/>
      <c r="CB965" s="267"/>
      <c r="CC965" s="267"/>
      <c r="CD965" s="267"/>
      <c r="CE965" s="267"/>
      <c r="CF965" s="267"/>
      <c r="CG965" s="267"/>
      <c r="CH965" s="267"/>
      <c r="CI965" s="435"/>
      <c r="CJ965" s="436"/>
      <c r="CK965" s="437"/>
    </row>
    <row r="966" spans="74:89" x14ac:dyDescent="0.25">
      <c r="BV966" s="177"/>
      <c r="BW966" s="17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  <c r="CH966" s="267"/>
      <c r="CI966" s="435"/>
      <c r="CJ966" s="436"/>
      <c r="CK966" s="437"/>
    </row>
    <row r="967" spans="74:89" x14ac:dyDescent="0.25">
      <c r="BV967" s="177"/>
      <c r="BW967" s="177"/>
      <c r="BX967" s="267"/>
      <c r="BY967" s="267"/>
      <c r="BZ967" s="267"/>
      <c r="CA967" s="267"/>
      <c r="CB967" s="267"/>
      <c r="CC967" s="267"/>
      <c r="CD967" s="267"/>
      <c r="CE967" s="267"/>
      <c r="CF967" s="267"/>
      <c r="CG967" s="267"/>
      <c r="CH967" s="267"/>
      <c r="CI967" s="435"/>
      <c r="CJ967" s="436"/>
      <c r="CK967" s="437"/>
    </row>
    <row r="968" spans="74:89" x14ac:dyDescent="0.25">
      <c r="BV968" s="177"/>
      <c r="BW968" s="17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  <c r="CH968" s="267"/>
      <c r="CI968" s="435"/>
      <c r="CJ968" s="436"/>
      <c r="CK968" s="437"/>
    </row>
    <row r="969" spans="74:89" x14ac:dyDescent="0.25">
      <c r="BV969" s="177"/>
      <c r="BW969" s="177"/>
      <c r="BX969" s="267"/>
      <c r="BY969" s="267"/>
      <c r="BZ969" s="267"/>
      <c r="CA969" s="267"/>
      <c r="CB969" s="267"/>
      <c r="CC969" s="267"/>
      <c r="CD969" s="267"/>
      <c r="CE969" s="267"/>
      <c r="CF969" s="267"/>
      <c r="CG969" s="267"/>
      <c r="CH969" s="267"/>
      <c r="CI969" s="435"/>
      <c r="CJ969" s="436"/>
      <c r="CK969" s="437"/>
    </row>
    <row r="970" spans="74:89" x14ac:dyDescent="0.25">
      <c r="BV970" s="177"/>
      <c r="BW970" s="17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  <c r="CH970" s="267"/>
      <c r="CI970" s="435"/>
      <c r="CJ970" s="436"/>
      <c r="CK970" s="437"/>
    </row>
    <row r="971" spans="74:89" x14ac:dyDescent="0.25">
      <c r="BV971" s="177"/>
      <c r="BW971" s="17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  <c r="CH971" s="267"/>
      <c r="CI971" s="435"/>
      <c r="CJ971" s="436"/>
      <c r="CK971" s="437"/>
    </row>
    <row r="972" spans="74:89" x14ac:dyDescent="0.25">
      <c r="BV972" s="177"/>
      <c r="BW972" s="177"/>
      <c r="BX972" s="267"/>
      <c r="BY972" s="267"/>
      <c r="BZ972" s="267"/>
      <c r="CA972" s="267"/>
      <c r="CB972" s="267"/>
      <c r="CC972" s="267"/>
      <c r="CD972" s="267"/>
      <c r="CE972" s="267"/>
      <c r="CF972" s="267"/>
      <c r="CG972" s="267"/>
      <c r="CH972" s="267"/>
      <c r="CI972" s="435"/>
      <c r="CJ972" s="436"/>
      <c r="CK972" s="437"/>
    </row>
    <row r="973" spans="74:89" x14ac:dyDescent="0.25">
      <c r="BV973" s="177"/>
      <c r="BW973" s="17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  <c r="CH973" s="267"/>
      <c r="CI973" s="435"/>
      <c r="CJ973" s="436"/>
      <c r="CK973" s="437"/>
    </row>
    <row r="974" spans="74:89" x14ac:dyDescent="0.25">
      <c r="BV974" s="177"/>
      <c r="BW974" s="17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  <c r="CH974" s="267"/>
      <c r="CI974" s="435"/>
      <c r="CJ974" s="436"/>
      <c r="CK974" s="437"/>
    </row>
    <row r="975" spans="74:89" x14ac:dyDescent="0.25">
      <c r="BV975" s="177"/>
      <c r="BW975" s="177"/>
      <c r="BX975" s="267"/>
      <c r="BY975" s="267"/>
      <c r="BZ975" s="267"/>
      <c r="CA975" s="267"/>
      <c r="CB975" s="267"/>
      <c r="CC975" s="267"/>
      <c r="CD975" s="267"/>
      <c r="CE975" s="267"/>
      <c r="CF975" s="267"/>
      <c r="CG975" s="267"/>
      <c r="CH975" s="267"/>
      <c r="CI975" s="435"/>
      <c r="CJ975" s="436"/>
      <c r="CK975" s="437"/>
    </row>
    <row r="976" spans="74:89" x14ac:dyDescent="0.25">
      <c r="BV976" s="177"/>
      <c r="BW976" s="17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  <c r="CH976" s="267"/>
      <c r="CI976" s="435"/>
      <c r="CJ976" s="436"/>
      <c r="CK976" s="437"/>
    </row>
    <row r="977" spans="74:89" x14ac:dyDescent="0.25">
      <c r="BV977" s="177"/>
      <c r="BW977" s="17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  <c r="CH977" s="267"/>
      <c r="CI977" s="435"/>
      <c r="CJ977" s="436"/>
      <c r="CK977" s="437"/>
    </row>
    <row r="978" spans="74:89" x14ac:dyDescent="0.25">
      <c r="BV978" s="177"/>
      <c r="BW978" s="17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  <c r="CH978" s="267"/>
      <c r="CI978" s="435"/>
      <c r="CJ978" s="436"/>
      <c r="CK978" s="437"/>
    </row>
    <row r="979" spans="74:89" x14ac:dyDescent="0.25">
      <c r="BV979" s="177"/>
      <c r="BW979" s="177"/>
      <c r="BX979" s="267"/>
      <c r="BY979" s="267"/>
      <c r="BZ979" s="267"/>
      <c r="CA979" s="267"/>
      <c r="CB979" s="267"/>
      <c r="CC979" s="267"/>
      <c r="CD979" s="267"/>
      <c r="CE979" s="267"/>
      <c r="CF979" s="267"/>
      <c r="CG979" s="267"/>
      <c r="CH979" s="267"/>
      <c r="CI979" s="435"/>
      <c r="CJ979" s="436"/>
      <c r="CK979" s="437"/>
    </row>
    <row r="980" spans="74:89" x14ac:dyDescent="0.25">
      <c r="BV980" s="177"/>
      <c r="BW980" s="17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  <c r="CH980" s="267"/>
      <c r="CI980" s="435"/>
      <c r="CJ980" s="436"/>
      <c r="CK980" s="437"/>
    </row>
    <row r="981" spans="74:89" x14ac:dyDescent="0.25">
      <c r="BV981" s="177"/>
      <c r="BW981" s="17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  <c r="CH981" s="267"/>
      <c r="CI981" s="435"/>
      <c r="CJ981" s="436"/>
      <c r="CK981" s="437"/>
    </row>
    <row r="982" spans="74:89" x14ac:dyDescent="0.25">
      <c r="BV982" s="177"/>
      <c r="BW982" s="17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  <c r="CH982" s="267"/>
      <c r="CI982" s="435"/>
      <c r="CJ982" s="436"/>
      <c r="CK982" s="437"/>
    </row>
    <row r="983" spans="74:89" x14ac:dyDescent="0.25">
      <c r="BV983" s="177"/>
      <c r="BW983" s="177"/>
      <c r="BX983" s="267"/>
      <c r="BY983" s="267"/>
      <c r="BZ983" s="267"/>
      <c r="CA983" s="267"/>
      <c r="CB983" s="267"/>
      <c r="CC983" s="267"/>
      <c r="CD983" s="267"/>
      <c r="CE983" s="267"/>
      <c r="CF983" s="267"/>
      <c r="CG983" s="267"/>
      <c r="CH983" s="267"/>
      <c r="CI983" s="435"/>
      <c r="CJ983" s="436"/>
      <c r="CK983" s="437"/>
    </row>
    <row r="984" spans="74:89" x14ac:dyDescent="0.25">
      <c r="BV984" s="177"/>
      <c r="BW984" s="17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  <c r="CH984" s="267"/>
      <c r="CI984" s="435"/>
      <c r="CJ984" s="436"/>
      <c r="CK984" s="437"/>
    </row>
    <row r="985" spans="74:89" x14ac:dyDescent="0.25">
      <c r="BV985" s="177"/>
      <c r="BW985" s="17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  <c r="CH985" s="267"/>
      <c r="CI985" s="435"/>
      <c r="CJ985" s="436"/>
      <c r="CK985" s="437"/>
    </row>
    <row r="986" spans="74:89" x14ac:dyDescent="0.25">
      <c r="BV986" s="177"/>
      <c r="BW986" s="177"/>
      <c r="BX986" s="267"/>
      <c r="BY986" s="267"/>
      <c r="BZ986" s="267"/>
      <c r="CA986" s="267"/>
      <c r="CB986" s="267"/>
      <c r="CC986" s="267"/>
      <c r="CD986" s="267"/>
      <c r="CE986" s="267"/>
      <c r="CF986" s="267"/>
      <c r="CG986" s="267"/>
      <c r="CH986" s="267"/>
      <c r="CI986" s="435"/>
      <c r="CJ986" s="436"/>
      <c r="CK986" s="437"/>
    </row>
    <row r="987" spans="74:89" x14ac:dyDescent="0.25">
      <c r="BV987" s="177"/>
      <c r="BW987" s="17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  <c r="CH987" s="267"/>
      <c r="CI987" s="435"/>
      <c r="CJ987" s="436"/>
      <c r="CK987" s="437"/>
    </row>
    <row r="988" spans="74:89" x14ac:dyDescent="0.25">
      <c r="BV988" s="177"/>
      <c r="BW988" s="177"/>
      <c r="BX988" s="267"/>
      <c r="BY988" s="267"/>
      <c r="BZ988" s="267"/>
      <c r="CA988" s="267"/>
      <c r="CB988" s="267"/>
      <c r="CC988" s="267"/>
      <c r="CD988" s="267"/>
      <c r="CE988" s="267"/>
      <c r="CF988" s="267"/>
      <c r="CG988" s="267"/>
      <c r="CH988" s="267"/>
      <c r="CI988" s="435"/>
      <c r="CJ988" s="436"/>
      <c r="CK988" s="437"/>
    </row>
    <row r="989" spans="74:89" x14ac:dyDescent="0.25">
      <c r="BV989" s="177"/>
      <c r="BW989" s="17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  <c r="CH989" s="267"/>
      <c r="CI989" s="435"/>
      <c r="CJ989" s="436"/>
      <c r="CK989" s="437"/>
    </row>
    <row r="990" spans="74:89" x14ac:dyDescent="0.25">
      <c r="BV990" s="177"/>
      <c r="BW990" s="177"/>
      <c r="BX990" s="267"/>
      <c r="BY990" s="267"/>
      <c r="BZ990" s="267"/>
      <c r="CA990" s="267"/>
      <c r="CB990" s="267"/>
      <c r="CC990" s="267"/>
      <c r="CD990" s="267"/>
      <c r="CE990" s="267"/>
      <c r="CF990" s="267"/>
      <c r="CG990" s="267"/>
      <c r="CH990" s="267"/>
      <c r="CI990" s="435"/>
      <c r="CJ990" s="436"/>
      <c r="CK990" s="437"/>
    </row>
    <row r="991" spans="74:89" x14ac:dyDescent="0.25">
      <c r="BV991" s="177"/>
      <c r="BW991" s="17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  <c r="CH991" s="267"/>
      <c r="CI991" s="435"/>
      <c r="CJ991" s="436"/>
      <c r="CK991" s="437"/>
    </row>
    <row r="992" spans="74:89" x14ac:dyDescent="0.25">
      <c r="BV992" s="177"/>
      <c r="BW992" s="17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  <c r="CH992" s="267"/>
      <c r="CI992" s="435"/>
      <c r="CJ992" s="436"/>
      <c r="CK992" s="437"/>
    </row>
    <row r="993" spans="74:89" x14ac:dyDescent="0.25">
      <c r="BV993" s="177"/>
      <c r="BW993" s="177"/>
      <c r="BX993" s="267"/>
      <c r="BY993" s="267"/>
      <c r="BZ993" s="267"/>
      <c r="CA993" s="267"/>
      <c r="CB993" s="267"/>
      <c r="CC993" s="267"/>
      <c r="CD993" s="267"/>
      <c r="CE993" s="267"/>
      <c r="CF993" s="267"/>
      <c r="CG993" s="267"/>
      <c r="CH993" s="267"/>
      <c r="CI993" s="435"/>
      <c r="CJ993" s="436"/>
      <c r="CK993" s="437"/>
    </row>
    <row r="994" spans="74:89" x14ac:dyDescent="0.25">
      <c r="BV994" s="177"/>
      <c r="BW994" s="17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  <c r="CH994" s="267"/>
      <c r="CI994" s="435"/>
      <c r="CJ994" s="436"/>
      <c r="CK994" s="437"/>
    </row>
    <row r="995" spans="74:89" x14ac:dyDescent="0.25">
      <c r="BV995" s="177"/>
      <c r="BW995" s="177"/>
      <c r="BX995" s="267"/>
      <c r="BY995" s="267"/>
      <c r="BZ995" s="267"/>
      <c r="CA995" s="267"/>
      <c r="CB995" s="267"/>
      <c r="CC995" s="267"/>
      <c r="CD995" s="267"/>
      <c r="CE995" s="267"/>
      <c r="CF995" s="267"/>
      <c r="CG995" s="267"/>
      <c r="CH995" s="267"/>
      <c r="CI995" s="435"/>
      <c r="CJ995" s="436"/>
      <c r="CK995" s="437"/>
    </row>
    <row r="996" spans="74:89" x14ac:dyDescent="0.25">
      <c r="BV996" s="177"/>
      <c r="BW996" s="17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  <c r="CH996" s="267"/>
      <c r="CI996" s="435"/>
      <c r="CJ996" s="436"/>
      <c r="CK996" s="437"/>
    </row>
    <row r="997" spans="74:89" x14ac:dyDescent="0.25">
      <c r="BV997" s="177"/>
      <c r="BW997" s="177"/>
      <c r="BX997" s="267"/>
      <c r="BY997" s="267"/>
      <c r="BZ997" s="267"/>
      <c r="CA997" s="267"/>
      <c r="CB997" s="267"/>
      <c r="CC997" s="267"/>
      <c r="CD997" s="267"/>
      <c r="CE997" s="267"/>
      <c r="CF997" s="267"/>
      <c r="CG997" s="267"/>
      <c r="CH997" s="267"/>
      <c r="CI997" s="435"/>
      <c r="CJ997" s="436"/>
      <c r="CK997" s="437"/>
    </row>
    <row r="998" spans="74:89" x14ac:dyDescent="0.25">
      <c r="BV998" s="177"/>
      <c r="BW998" s="17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  <c r="CH998" s="267"/>
      <c r="CI998" s="435"/>
      <c r="CJ998" s="436"/>
      <c r="CK998" s="437"/>
    </row>
    <row r="999" spans="74:89" x14ac:dyDescent="0.25">
      <c r="BV999" s="177"/>
      <c r="BW999" s="177"/>
      <c r="BX999" s="267"/>
      <c r="BY999" s="267"/>
      <c r="BZ999" s="267"/>
      <c r="CA999" s="267"/>
      <c r="CB999" s="267"/>
      <c r="CC999" s="267"/>
      <c r="CD999" s="267"/>
      <c r="CE999" s="267"/>
      <c r="CF999" s="267"/>
      <c r="CG999" s="267"/>
      <c r="CH999" s="267"/>
      <c r="CI999" s="435"/>
      <c r="CJ999" s="436"/>
      <c r="CK999" s="437"/>
    </row>
    <row r="1000" spans="74:89" x14ac:dyDescent="0.25">
      <c r="BV1000" s="177"/>
      <c r="BW1000" s="17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  <c r="CH1000" s="267"/>
      <c r="CI1000" s="435"/>
      <c r="CJ1000" s="436"/>
      <c r="CK1000" s="437"/>
    </row>
    <row r="1001" spans="74:89" x14ac:dyDescent="0.25">
      <c r="BV1001" s="177"/>
      <c r="BW1001" s="17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  <c r="CH1001" s="267"/>
      <c r="CI1001" s="435"/>
      <c r="CJ1001" s="436"/>
      <c r="CK1001" s="437"/>
    </row>
    <row r="1002" spans="74:89" x14ac:dyDescent="0.25">
      <c r="BV1002" s="177"/>
      <c r="BW1002" s="17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  <c r="CH1002" s="267"/>
      <c r="CI1002" s="435"/>
      <c r="CJ1002" s="436"/>
      <c r="CK1002" s="437"/>
    </row>
    <row r="1003" spans="74:89" x14ac:dyDescent="0.25">
      <c r="BV1003" s="177"/>
      <c r="BW1003" s="177"/>
      <c r="BX1003" s="267"/>
      <c r="BY1003" s="267"/>
      <c r="BZ1003" s="267"/>
      <c r="CA1003" s="267"/>
      <c r="CB1003" s="267"/>
      <c r="CC1003" s="267"/>
      <c r="CD1003" s="267"/>
      <c r="CE1003" s="267"/>
      <c r="CF1003" s="267"/>
      <c r="CG1003" s="267"/>
      <c r="CH1003" s="267"/>
      <c r="CI1003" s="435"/>
      <c r="CJ1003" s="436"/>
      <c r="CK1003" s="437"/>
    </row>
    <row r="1004" spans="74:89" x14ac:dyDescent="0.25">
      <c r="BV1004" s="177"/>
      <c r="BW1004" s="17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  <c r="CH1004" s="267"/>
      <c r="CI1004" s="435"/>
      <c r="CJ1004" s="436"/>
      <c r="CK1004" s="437"/>
    </row>
    <row r="1005" spans="74:89" x14ac:dyDescent="0.25">
      <c r="BV1005" s="177"/>
      <c r="BW1005" s="177"/>
      <c r="BX1005" s="267"/>
      <c r="BY1005" s="267"/>
      <c r="BZ1005" s="267"/>
      <c r="CA1005" s="267"/>
      <c r="CB1005" s="267"/>
      <c r="CC1005" s="267"/>
      <c r="CD1005" s="267"/>
      <c r="CE1005" s="267"/>
      <c r="CF1005" s="267"/>
      <c r="CG1005" s="267"/>
      <c r="CH1005" s="267"/>
      <c r="CI1005" s="435"/>
      <c r="CJ1005" s="436"/>
      <c r="CK1005" s="437"/>
    </row>
    <row r="1006" spans="74:89" x14ac:dyDescent="0.25">
      <c r="BV1006" s="177"/>
      <c r="BW1006" s="17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  <c r="CH1006" s="267"/>
      <c r="CI1006" s="435"/>
      <c r="CJ1006" s="436"/>
      <c r="CK1006" s="437"/>
    </row>
    <row r="1007" spans="74:89" x14ac:dyDescent="0.25">
      <c r="BV1007" s="177"/>
      <c r="BW1007" s="17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  <c r="CH1007" s="267"/>
      <c r="CI1007" s="435"/>
      <c r="CJ1007" s="436"/>
      <c r="CK1007" s="437"/>
    </row>
    <row r="1008" spans="74:89" x14ac:dyDescent="0.25">
      <c r="BV1008" s="177"/>
      <c r="BW1008" s="17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  <c r="CH1008" s="267"/>
      <c r="CI1008" s="435"/>
      <c r="CJ1008" s="436"/>
      <c r="CK1008" s="437"/>
    </row>
    <row r="1009" spans="74:89" x14ac:dyDescent="0.25">
      <c r="BV1009" s="177"/>
      <c r="BW1009" s="177"/>
      <c r="BX1009" s="267"/>
      <c r="BY1009" s="267"/>
      <c r="BZ1009" s="267"/>
      <c r="CA1009" s="267"/>
      <c r="CB1009" s="267"/>
      <c r="CC1009" s="267"/>
      <c r="CD1009" s="267"/>
      <c r="CE1009" s="267"/>
      <c r="CF1009" s="267"/>
      <c r="CG1009" s="267"/>
      <c r="CH1009" s="267"/>
      <c r="CI1009" s="435"/>
      <c r="CJ1009" s="436"/>
      <c r="CK1009" s="437"/>
    </row>
    <row r="1010" spans="74:89" x14ac:dyDescent="0.25">
      <c r="BV1010" s="177"/>
      <c r="BW1010" s="17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  <c r="CH1010" s="267"/>
      <c r="CI1010" s="435"/>
      <c r="CJ1010" s="436"/>
      <c r="CK1010" s="437"/>
    </row>
    <row r="1011" spans="74:89" x14ac:dyDescent="0.25">
      <c r="BV1011" s="177"/>
      <c r="BW1011" s="177"/>
      <c r="BX1011" s="267"/>
      <c r="BY1011" s="267"/>
      <c r="BZ1011" s="267"/>
      <c r="CA1011" s="267"/>
      <c r="CB1011" s="267"/>
      <c r="CC1011" s="267"/>
      <c r="CD1011" s="267"/>
      <c r="CE1011" s="267"/>
      <c r="CF1011" s="267"/>
      <c r="CG1011" s="267"/>
      <c r="CH1011" s="267"/>
      <c r="CI1011" s="435"/>
      <c r="CJ1011" s="436"/>
      <c r="CK1011" s="437"/>
    </row>
    <row r="1012" spans="74:89" x14ac:dyDescent="0.25">
      <c r="BV1012" s="177"/>
      <c r="BW1012" s="17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  <c r="CH1012" s="267"/>
      <c r="CI1012" s="435"/>
      <c r="CJ1012" s="436"/>
      <c r="CK1012" s="437"/>
    </row>
    <row r="1013" spans="74:89" x14ac:dyDescent="0.25">
      <c r="BV1013" s="177"/>
      <c r="BW1013" s="177"/>
      <c r="BX1013" s="267"/>
      <c r="BY1013" s="267"/>
      <c r="BZ1013" s="267"/>
      <c r="CA1013" s="267"/>
      <c r="CB1013" s="267"/>
      <c r="CC1013" s="267"/>
      <c r="CD1013" s="267"/>
      <c r="CE1013" s="267"/>
      <c r="CF1013" s="267"/>
      <c r="CG1013" s="267"/>
      <c r="CH1013" s="267"/>
      <c r="CI1013" s="435"/>
      <c r="CJ1013" s="436"/>
      <c r="CK1013" s="437"/>
    </row>
    <row r="1014" spans="74:89" x14ac:dyDescent="0.25">
      <c r="BV1014" s="177"/>
      <c r="BW1014" s="17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  <c r="CH1014" s="267"/>
      <c r="CI1014" s="435"/>
      <c r="CJ1014" s="436"/>
      <c r="CK1014" s="437"/>
    </row>
    <row r="1015" spans="74:89" x14ac:dyDescent="0.25">
      <c r="BV1015" s="177"/>
      <c r="BW1015" s="177"/>
      <c r="BX1015" s="267"/>
      <c r="BY1015" s="267"/>
      <c r="BZ1015" s="267"/>
      <c r="CA1015" s="267"/>
      <c r="CB1015" s="267"/>
      <c r="CC1015" s="267"/>
      <c r="CD1015" s="267"/>
      <c r="CE1015" s="267"/>
      <c r="CF1015" s="267"/>
      <c r="CG1015" s="267"/>
      <c r="CH1015" s="267"/>
      <c r="CI1015" s="435"/>
      <c r="CJ1015" s="436"/>
      <c r="CK1015" s="437"/>
    </row>
    <row r="1016" spans="74:89" x14ac:dyDescent="0.25">
      <c r="BV1016" s="177"/>
      <c r="BW1016" s="17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  <c r="CH1016" s="267"/>
      <c r="CI1016" s="435"/>
      <c r="CJ1016" s="436"/>
      <c r="CK1016" s="437"/>
    </row>
    <row r="1017" spans="74:89" x14ac:dyDescent="0.25">
      <c r="BV1017" s="177"/>
      <c r="BW1017" s="177"/>
      <c r="BX1017" s="267"/>
      <c r="BY1017" s="267"/>
      <c r="BZ1017" s="267"/>
      <c r="CA1017" s="267"/>
      <c r="CB1017" s="267"/>
      <c r="CC1017" s="267"/>
      <c r="CD1017" s="267"/>
      <c r="CE1017" s="267"/>
      <c r="CF1017" s="267"/>
      <c r="CG1017" s="267"/>
      <c r="CH1017" s="267"/>
      <c r="CI1017" s="435"/>
      <c r="CJ1017" s="436"/>
      <c r="CK1017" s="437"/>
    </row>
    <row r="1018" spans="74:89" x14ac:dyDescent="0.25">
      <c r="BV1018" s="177"/>
      <c r="BW1018" s="17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  <c r="CH1018" s="267"/>
      <c r="CI1018" s="435"/>
      <c r="CJ1018" s="436"/>
      <c r="CK1018" s="437"/>
    </row>
    <row r="1019" spans="74:89" x14ac:dyDescent="0.25">
      <c r="BV1019" s="177"/>
      <c r="BW1019" s="177"/>
      <c r="BX1019" s="267"/>
      <c r="BY1019" s="267"/>
      <c r="BZ1019" s="267"/>
      <c r="CA1019" s="267"/>
      <c r="CB1019" s="267"/>
      <c r="CC1019" s="267"/>
      <c r="CD1019" s="267"/>
      <c r="CE1019" s="267"/>
      <c r="CF1019" s="267"/>
      <c r="CG1019" s="267"/>
      <c r="CH1019" s="267"/>
      <c r="CI1019" s="435"/>
      <c r="CJ1019" s="436"/>
      <c r="CK1019" s="437"/>
    </row>
    <row r="1020" spans="74:89" x14ac:dyDescent="0.25">
      <c r="BV1020" s="177"/>
      <c r="BW1020" s="17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  <c r="CH1020" s="267"/>
      <c r="CI1020" s="435"/>
      <c r="CJ1020" s="436"/>
      <c r="CK1020" s="437"/>
    </row>
    <row r="1021" spans="74:89" x14ac:dyDescent="0.25">
      <c r="BV1021" s="177"/>
      <c r="BW1021" s="177"/>
      <c r="BX1021" s="267"/>
      <c r="BY1021" s="267"/>
      <c r="BZ1021" s="267"/>
      <c r="CA1021" s="267"/>
      <c r="CB1021" s="267"/>
      <c r="CC1021" s="267"/>
      <c r="CD1021" s="267"/>
      <c r="CE1021" s="267"/>
      <c r="CF1021" s="267"/>
      <c r="CG1021" s="267"/>
      <c r="CH1021" s="267"/>
      <c r="CI1021" s="435"/>
      <c r="CJ1021" s="436"/>
      <c r="CK1021" s="437"/>
    </row>
    <row r="1022" spans="74:89" x14ac:dyDescent="0.25">
      <c r="BV1022" s="177"/>
      <c r="BW1022" s="17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  <c r="CH1022" s="267"/>
      <c r="CI1022" s="435"/>
      <c r="CJ1022" s="436"/>
      <c r="CK1022" s="437"/>
    </row>
    <row r="1023" spans="74:89" x14ac:dyDescent="0.25">
      <c r="BV1023" s="177"/>
      <c r="BW1023" s="177"/>
      <c r="BX1023" s="267"/>
      <c r="BY1023" s="267"/>
      <c r="BZ1023" s="267"/>
      <c r="CA1023" s="267"/>
      <c r="CB1023" s="267"/>
      <c r="CC1023" s="267"/>
      <c r="CD1023" s="267"/>
      <c r="CE1023" s="267"/>
      <c r="CF1023" s="267"/>
      <c r="CG1023" s="267"/>
      <c r="CH1023" s="267"/>
      <c r="CI1023" s="435"/>
      <c r="CJ1023" s="436"/>
      <c r="CK1023" s="437"/>
    </row>
    <row r="1024" spans="74:89" x14ac:dyDescent="0.25">
      <c r="BV1024" s="177"/>
      <c r="BW1024" s="17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  <c r="CH1024" s="267"/>
      <c r="CI1024" s="435"/>
      <c r="CJ1024" s="436"/>
      <c r="CK1024" s="437"/>
    </row>
    <row r="1025" spans="74:89" x14ac:dyDescent="0.25">
      <c r="BV1025" s="177"/>
      <c r="BW1025" s="177"/>
      <c r="BX1025" s="267"/>
      <c r="BY1025" s="267"/>
      <c r="BZ1025" s="267"/>
      <c r="CA1025" s="267"/>
      <c r="CB1025" s="267"/>
      <c r="CC1025" s="267"/>
      <c r="CD1025" s="267"/>
      <c r="CE1025" s="267"/>
      <c r="CF1025" s="267"/>
      <c r="CG1025" s="267"/>
      <c r="CH1025" s="267"/>
      <c r="CI1025" s="435"/>
      <c r="CJ1025" s="436"/>
      <c r="CK1025" s="437"/>
    </row>
    <row r="1026" spans="74:89" x14ac:dyDescent="0.25">
      <c r="BV1026" s="177"/>
      <c r="BW1026" s="17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  <c r="CH1026" s="267"/>
      <c r="CI1026" s="435"/>
      <c r="CJ1026" s="436"/>
      <c r="CK1026" s="437"/>
    </row>
    <row r="1027" spans="74:89" x14ac:dyDescent="0.25">
      <c r="BV1027" s="177"/>
      <c r="BW1027" s="177"/>
      <c r="BX1027" s="267"/>
      <c r="BY1027" s="267"/>
      <c r="BZ1027" s="267"/>
      <c r="CA1027" s="267"/>
      <c r="CB1027" s="267"/>
      <c r="CC1027" s="267"/>
      <c r="CD1027" s="267"/>
      <c r="CE1027" s="267"/>
      <c r="CF1027" s="267"/>
      <c r="CG1027" s="267"/>
      <c r="CH1027" s="267"/>
      <c r="CI1027" s="435"/>
      <c r="CJ1027" s="436"/>
      <c r="CK1027" s="437"/>
    </row>
    <row r="1028" spans="74:89" x14ac:dyDescent="0.25">
      <c r="BV1028" s="177"/>
      <c r="BW1028" s="17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  <c r="CH1028" s="267"/>
      <c r="CI1028" s="435"/>
      <c r="CJ1028" s="436"/>
      <c r="CK1028" s="437"/>
    </row>
    <row r="1029" spans="74:89" x14ac:dyDescent="0.25">
      <c r="BV1029" s="177"/>
      <c r="BW1029" s="17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  <c r="CH1029" s="267"/>
      <c r="CI1029" s="435"/>
      <c r="CJ1029" s="436"/>
      <c r="CK1029" s="437"/>
    </row>
    <row r="1030" spans="74:89" x14ac:dyDescent="0.25">
      <c r="BV1030" s="177"/>
      <c r="BW1030" s="177"/>
      <c r="BX1030" s="267"/>
      <c r="BY1030" s="267"/>
      <c r="BZ1030" s="267"/>
      <c r="CA1030" s="267"/>
      <c r="CB1030" s="267"/>
      <c r="CC1030" s="267"/>
      <c r="CD1030" s="267"/>
      <c r="CE1030" s="267"/>
      <c r="CF1030" s="267"/>
      <c r="CG1030" s="267"/>
      <c r="CH1030" s="267"/>
      <c r="CI1030" s="435"/>
      <c r="CJ1030" s="436"/>
      <c r="CK1030" s="437"/>
    </row>
    <row r="1031" spans="74:89" x14ac:dyDescent="0.25">
      <c r="BV1031" s="177"/>
      <c r="BW1031" s="17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  <c r="CH1031" s="267"/>
      <c r="CI1031" s="435"/>
      <c r="CJ1031" s="436"/>
      <c r="CK1031" s="437"/>
    </row>
    <row r="1032" spans="74:89" x14ac:dyDescent="0.25">
      <c r="BV1032" s="177"/>
      <c r="BW1032" s="177"/>
      <c r="BX1032" s="267"/>
      <c r="BY1032" s="267"/>
      <c r="BZ1032" s="267"/>
      <c r="CA1032" s="267"/>
      <c r="CB1032" s="267"/>
      <c r="CC1032" s="267"/>
      <c r="CD1032" s="267"/>
      <c r="CE1032" s="267"/>
      <c r="CF1032" s="267"/>
      <c r="CG1032" s="267"/>
      <c r="CH1032" s="267"/>
      <c r="CI1032" s="435"/>
      <c r="CJ1032" s="436"/>
      <c r="CK1032" s="437"/>
    </row>
    <row r="1033" spans="74:89" x14ac:dyDescent="0.25">
      <c r="BV1033" s="177"/>
      <c r="BW1033" s="17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  <c r="CH1033" s="267"/>
      <c r="CI1033" s="435"/>
      <c r="CJ1033" s="436"/>
      <c r="CK1033" s="437"/>
    </row>
    <row r="1034" spans="74:89" x14ac:dyDescent="0.25">
      <c r="BV1034" s="177"/>
      <c r="BW1034" s="177"/>
      <c r="BX1034" s="267"/>
      <c r="BY1034" s="267"/>
      <c r="BZ1034" s="267"/>
      <c r="CA1034" s="267"/>
      <c r="CB1034" s="267"/>
      <c r="CC1034" s="267"/>
      <c r="CD1034" s="267"/>
      <c r="CE1034" s="267"/>
      <c r="CF1034" s="267"/>
      <c r="CG1034" s="267"/>
      <c r="CH1034" s="267"/>
      <c r="CI1034" s="435"/>
      <c r="CJ1034" s="436"/>
      <c r="CK1034" s="437"/>
    </row>
    <row r="1035" spans="74:89" x14ac:dyDescent="0.25">
      <c r="BV1035" s="177"/>
      <c r="BW1035" s="17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  <c r="CH1035" s="267"/>
      <c r="CI1035" s="435"/>
      <c r="CJ1035" s="436"/>
      <c r="CK1035" s="437"/>
    </row>
    <row r="1036" spans="74:89" x14ac:dyDescent="0.25">
      <c r="BV1036" s="177"/>
      <c r="BW1036" s="17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  <c r="CH1036" s="267"/>
      <c r="CI1036" s="435"/>
      <c r="CJ1036" s="436"/>
      <c r="CK1036" s="437"/>
    </row>
    <row r="1037" spans="74:89" x14ac:dyDescent="0.25">
      <c r="BV1037" s="177"/>
      <c r="BW1037" s="177"/>
      <c r="BX1037" s="267"/>
      <c r="BY1037" s="267"/>
      <c r="BZ1037" s="267"/>
      <c r="CA1037" s="267"/>
      <c r="CB1037" s="267"/>
      <c r="CC1037" s="267"/>
      <c r="CD1037" s="267"/>
      <c r="CE1037" s="267"/>
      <c r="CF1037" s="267"/>
      <c r="CG1037" s="267"/>
      <c r="CH1037" s="267"/>
      <c r="CI1037" s="435"/>
      <c r="CJ1037" s="436"/>
      <c r="CK1037" s="437"/>
    </row>
    <row r="1038" spans="74:89" x14ac:dyDescent="0.25">
      <c r="BV1038" s="177"/>
      <c r="BW1038" s="17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  <c r="CH1038" s="267"/>
      <c r="CI1038" s="435"/>
      <c r="CJ1038" s="436"/>
      <c r="CK1038" s="437"/>
    </row>
    <row r="1039" spans="74:89" x14ac:dyDescent="0.25">
      <c r="BV1039" s="177"/>
      <c r="BW1039" s="17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  <c r="CH1039" s="267"/>
      <c r="CI1039" s="435"/>
      <c r="CJ1039" s="436"/>
      <c r="CK1039" s="437"/>
    </row>
    <row r="1040" spans="74:89" x14ac:dyDescent="0.25">
      <c r="BV1040" s="177"/>
      <c r="BW1040" s="177"/>
      <c r="BX1040" s="267"/>
      <c r="BY1040" s="267"/>
      <c r="BZ1040" s="267"/>
      <c r="CA1040" s="267"/>
      <c r="CB1040" s="267"/>
      <c r="CC1040" s="267"/>
      <c r="CD1040" s="267"/>
      <c r="CE1040" s="267"/>
      <c r="CF1040" s="267"/>
      <c r="CG1040" s="267"/>
      <c r="CH1040" s="267"/>
      <c r="CI1040" s="435"/>
      <c r="CJ1040" s="436"/>
      <c r="CK1040" s="437"/>
    </row>
    <row r="1041" spans="74:89" x14ac:dyDescent="0.25">
      <c r="BV1041" s="177"/>
      <c r="BW1041" s="17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  <c r="CH1041" s="267"/>
      <c r="CI1041" s="435"/>
      <c r="CJ1041" s="436"/>
      <c r="CK1041" s="437"/>
    </row>
    <row r="1042" spans="74:89" x14ac:dyDescent="0.25">
      <c r="BV1042" s="177"/>
      <c r="BW1042" s="177"/>
      <c r="BX1042" s="267"/>
      <c r="BY1042" s="267"/>
      <c r="BZ1042" s="267"/>
      <c r="CA1042" s="267"/>
      <c r="CB1042" s="267"/>
      <c r="CC1042" s="267"/>
      <c r="CD1042" s="267"/>
      <c r="CE1042" s="267"/>
      <c r="CF1042" s="267"/>
      <c r="CG1042" s="267"/>
      <c r="CH1042" s="267"/>
      <c r="CI1042" s="435"/>
      <c r="CJ1042" s="436"/>
      <c r="CK1042" s="437"/>
    </row>
    <row r="1043" spans="74:89" x14ac:dyDescent="0.25">
      <c r="BV1043" s="177"/>
      <c r="BW1043" s="17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  <c r="CH1043" s="267"/>
      <c r="CI1043" s="435"/>
      <c r="CJ1043" s="436"/>
      <c r="CK1043" s="437"/>
    </row>
    <row r="1044" spans="74:89" x14ac:dyDescent="0.25">
      <c r="BV1044" s="177"/>
      <c r="BW1044" s="177"/>
      <c r="BX1044" s="267"/>
      <c r="BY1044" s="267"/>
      <c r="BZ1044" s="267"/>
      <c r="CA1044" s="267"/>
      <c r="CB1044" s="267"/>
      <c r="CC1044" s="267"/>
      <c r="CD1044" s="267"/>
      <c r="CE1044" s="267"/>
      <c r="CF1044" s="267"/>
      <c r="CG1044" s="267"/>
      <c r="CH1044" s="267"/>
      <c r="CI1044" s="435"/>
      <c r="CJ1044" s="436"/>
      <c r="CK1044" s="437"/>
    </row>
    <row r="1045" spans="74:89" x14ac:dyDescent="0.25">
      <c r="BV1045" s="177"/>
      <c r="BW1045" s="17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  <c r="CH1045" s="267"/>
      <c r="CI1045" s="435"/>
      <c r="CJ1045" s="436"/>
      <c r="CK1045" s="437"/>
    </row>
    <row r="1046" spans="74:89" x14ac:dyDescent="0.25">
      <c r="BV1046" s="177"/>
      <c r="BW1046" s="17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  <c r="CH1046" s="267"/>
      <c r="CI1046" s="435"/>
      <c r="CJ1046" s="436"/>
      <c r="CK1046" s="437"/>
    </row>
    <row r="1047" spans="74:89" x14ac:dyDescent="0.25">
      <c r="BV1047" s="177"/>
      <c r="BW1047" s="17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  <c r="CH1047" s="267"/>
      <c r="CI1047" s="435"/>
      <c r="CJ1047" s="436"/>
      <c r="CK1047" s="437"/>
    </row>
    <row r="1048" spans="74:89" x14ac:dyDescent="0.25">
      <c r="BV1048" s="177"/>
      <c r="BW1048" s="177"/>
      <c r="BX1048" s="267"/>
      <c r="BY1048" s="267"/>
      <c r="BZ1048" s="267"/>
      <c r="CA1048" s="267"/>
      <c r="CB1048" s="267"/>
      <c r="CC1048" s="267"/>
      <c r="CD1048" s="267"/>
      <c r="CE1048" s="267"/>
      <c r="CF1048" s="267"/>
      <c r="CG1048" s="267"/>
      <c r="CH1048" s="267"/>
      <c r="CI1048" s="435"/>
      <c r="CJ1048" s="436"/>
      <c r="CK1048" s="437"/>
    </row>
    <row r="1049" spans="74:89" x14ac:dyDescent="0.25">
      <c r="BV1049" s="177"/>
      <c r="BW1049" s="17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  <c r="CH1049" s="267"/>
      <c r="CI1049" s="435"/>
      <c r="CJ1049" s="436"/>
      <c r="CK1049" s="437"/>
    </row>
    <row r="1050" spans="74:89" x14ac:dyDescent="0.25">
      <c r="BV1050" s="177"/>
      <c r="BW1050" s="17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  <c r="CH1050" s="267"/>
      <c r="CI1050" s="435"/>
      <c r="CJ1050" s="436"/>
      <c r="CK1050" s="437"/>
    </row>
    <row r="1051" spans="74:89" x14ac:dyDescent="0.25">
      <c r="BV1051" s="177"/>
      <c r="BW1051" s="177"/>
      <c r="BX1051" s="267"/>
      <c r="BY1051" s="267"/>
      <c r="BZ1051" s="267"/>
      <c r="CA1051" s="267"/>
      <c r="CB1051" s="267"/>
      <c r="CC1051" s="267"/>
      <c r="CD1051" s="267"/>
      <c r="CE1051" s="267"/>
      <c r="CF1051" s="267"/>
      <c r="CG1051" s="267"/>
      <c r="CH1051" s="267"/>
      <c r="CI1051" s="435"/>
      <c r="CJ1051" s="436"/>
      <c r="CK1051" s="437"/>
    </row>
    <row r="1052" spans="74:89" x14ac:dyDescent="0.25">
      <c r="BV1052" s="177"/>
      <c r="BW1052" s="17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  <c r="CH1052" s="267"/>
      <c r="CI1052" s="435"/>
      <c r="CJ1052" s="436"/>
      <c r="CK1052" s="437"/>
    </row>
    <row r="1053" spans="74:89" x14ac:dyDescent="0.25">
      <c r="BV1053" s="177"/>
      <c r="BW1053" s="17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  <c r="CH1053" s="267"/>
      <c r="CI1053" s="435"/>
      <c r="CJ1053" s="436"/>
      <c r="CK1053" s="437"/>
    </row>
    <row r="1054" spans="74:89" x14ac:dyDescent="0.25">
      <c r="BV1054" s="177"/>
      <c r="BW1054" s="17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  <c r="CH1054" s="267"/>
      <c r="CI1054" s="435"/>
      <c r="CJ1054" s="436"/>
      <c r="CK1054" s="437"/>
    </row>
    <row r="1055" spans="74:89" x14ac:dyDescent="0.25">
      <c r="BV1055" s="177"/>
      <c r="BW1055" s="177"/>
      <c r="BX1055" s="267"/>
      <c r="BY1055" s="267"/>
      <c r="BZ1055" s="267"/>
      <c r="CA1055" s="267"/>
      <c r="CB1055" s="267"/>
      <c r="CC1055" s="267"/>
      <c r="CD1055" s="267"/>
      <c r="CE1055" s="267"/>
      <c r="CF1055" s="267"/>
      <c r="CG1055" s="267"/>
      <c r="CH1055" s="267"/>
      <c r="CI1055" s="435"/>
      <c r="CJ1055" s="436"/>
      <c r="CK1055" s="437"/>
    </row>
    <row r="1056" spans="74:89" x14ac:dyDescent="0.25">
      <c r="BV1056" s="177"/>
      <c r="BW1056" s="17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  <c r="CH1056" s="267"/>
      <c r="CI1056" s="435"/>
      <c r="CJ1056" s="436"/>
      <c r="CK1056" s="437"/>
    </row>
    <row r="1057" spans="74:89" x14ac:dyDescent="0.25">
      <c r="BV1057" s="177"/>
      <c r="BW1057" s="177"/>
      <c r="BX1057" s="267"/>
      <c r="BY1057" s="267"/>
      <c r="BZ1057" s="267"/>
      <c r="CA1057" s="267"/>
      <c r="CB1057" s="267"/>
      <c r="CC1057" s="267"/>
      <c r="CD1057" s="267"/>
      <c r="CE1057" s="267"/>
      <c r="CF1057" s="267"/>
      <c r="CG1057" s="267"/>
      <c r="CH1057" s="267"/>
      <c r="CI1057" s="435"/>
      <c r="CJ1057" s="436"/>
      <c r="CK1057" s="437"/>
    </row>
    <row r="1058" spans="74:89" x14ac:dyDescent="0.25">
      <c r="BV1058" s="177"/>
      <c r="BW1058" s="17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  <c r="CH1058" s="267"/>
      <c r="CI1058" s="435"/>
      <c r="CJ1058" s="436"/>
      <c r="CK1058" s="437"/>
    </row>
    <row r="1059" spans="74:89" x14ac:dyDescent="0.25">
      <c r="BV1059" s="177"/>
      <c r="BW1059" s="177"/>
      <c r="BX1059" s="267"/>
      <c r="BY1059" s="267"/>
      <c r="BZ1059" s="267"/>
      <c r="CA1059" s="267"/>
      <c r="CB1059" s="267"/>
      <c r="CC1059" s="267"/>
      <c r="CD1059" s="267"/>
      <c r="CE1059" s="267"/>
      <c r="CF1059" s="267"/>
      <c r="CG1059" s="267"/>
      <c r="CH1059" s="267"/>
      <c r="CI1059" s="435"/>
      <c r="CJ1059" s="436"/>
      <c r="CK1059" s="437"/>
    </row>
    <row r="1060" spans="74:89" x14ac:dyDescent="0.25">
      <c r="BV1060" s="177"/>
      <c r="BW1060" s="17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  <c r="CH1060" s="267"/>
      <c r="CI1060" s="435"/>
      <c r="CJ1060" s="436"/>
      <c r="CK1060" s="437"/>
    </row>
    <row r="1061" spans="74:89" x14ac:dyDescent="0.25">
      <c r="BV1061" s="177"/>
      <c r="BW1061" s="177"/>
      <c r="BX1061" s="267"/>
      <c r="BY1061" s="267"/>
      <c r="BZ1061" s="267"/>
      <c r="CA1061" s="267"/>
      <c r="CB1061" s="267"/>
      <c r="CC1061" s="267"/>
      <c r="CD1061" s="267"/>
      <c r="CE1061" s="267"/>
      <c r="CF1061" s="267"/>
      <c r="CG1061" s="267"/>
      <c r="CH1061" s="267"/>
      <c r="CI1061" s="435"/>
      <c r="CJ1061" s="436"/>
      <c r="CK1061" s="437"/>
    </row>
    <row r="1062" spans="74:89" x14ac:dyDescent="0.25">
      <c r="BV1062" s="177"/>
      <c r="BW1062" s="17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  <c r="CH1062" s="267"/>
      <c r="CI1062" s="435"/>
      <c r="CJ1062" s="436"/>
      <c r="CK1062" s="437"/>
    </row>
    <row r="1063" spans="74:89" x14ac:dyDescent="0.25">
      <c r="BV1063" s="177"/>
      <c r="BW1063" s="17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  <c r="CH1063" s="267"/>
      <c r="CI1063" s="435"/>
      <c r="CJ1063" s="436"/>
      <c r="CK1063" s="437"/>
    </row>
    <row r="1064" spans="74:89" x14ac:dyDescent="0.25">
      <c r="BV1064" s="177"/>
      <c r="BW1064" s="17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  <c r="CH1064" s="267"/>
      <c r="CI1064" s="435"/>
      <c r="CJ1064" s="436"/>
      <c r="CK1064" s="437"/>
    </row>
    <row r="1065" spans="74:89" x14ac:dyDescent="0.25">
      <c r="BV1065" s="177"/>
      <c r="BW1065" s="17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  <c r="CH1065" s="267"/>
      <c r="CI1065" s="435"/>
      <c r="CJ1065" s="436"/>
      <c r="CK1065" s="437"/>
    </row>
    <row r="1066" spans="74:89" x14ac:dyDescent="0.25">
      <c r="BV1066" s="177"/>
      <c r="BW1066" s="17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  <c r="CH1066" s="267"/>
      <c r="CI1066" s="435"/>
      <c r="CJ1066" s="436"/>
      <c r="CK1066" s="437"/>
    </row>
    <row r="1067" spans="74:89" x14ac:dyDescent="0.25">
      <c r="BV1067" s="177"/>
      <c r="BW1067" s="177"/>
      <c r="BX1067" s="267"/>
      <c r="BY1067" s="267"/>
      <c r="BZ1067" s="267"/>
      <c r="CA1067" s="267"/>
      <c r="CB1067" s="267"/>
      <c r="CC1067" s="267"/>
      <c r="CD1067" s="267"/>
      <c r="CE1067" s="267"/>
      <c r="CF1067" s="267"/>
      <c r="CG1067" s="267"/>
      <c r="CH1067" s="267"/>
      <c r="CI1067" s="435"/>
      <c r="CJ1067" s="436"/>
      <c r="CK1067" s="437"/>
    </row>
    <row r="1068" spans="74:89" x14ac:dyDescent="0.25">
      <c r="BV1068" s="177"/>
      <c r="BW1068" s="17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  <c r="CH1068" s="267"/>
      <c r="CI1068" s="435"/>
      <c r="CJ1068" s="436"/>
      <c r="CK1068" s="437"/>
    </row>
    <row r="1069" spans="74:89" x14ac:dyDescent="0.25">
      <c r="BV1069" s="177"/>
      <c r="BW1069" s="17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  <c r="CH1069" s="267"/>
      <c r="CI1069" s="435"/>
      <c r="CJ1069" s="436"/>
      <c r="CK1069" s="437"/>
    </row>
    <row r="1070" spans="74:89" x14ac:dyDescent="0.25">
      <c r="BV1070" s="177"/>
      <c r="BW1070" s="17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  <c r="CH1070" s="267"/>
      <c r="CI1070" s="435"/>
      <c r="CJ1070" s="436"/>
      <c r="CK1070" s="437"/>
    </row>
    <row r="1071" spans="74:89" x14ac:dyDescent="0.25">
      <c r="BV1071" s="177"/>
      <c r="BW1071" s="177"/>
      <c r="BX1071" s="267"/>
      <c r="BY1071" s="267"/>
      <c r="BZ1071" s="267"/>
      <c r="CA1071" s="267"/>
      <c r="CB1071" s="267"/>
      <c r="CC1071" s="267"/>
      <c r="CD1071" s="267"/>
      <c r="CE1071" s="267"/>
      <c r="CF1071" s="267"/>
      <c r="CG1071" s="267"/>
      <c r="CH1071" s="267"/>
      <c r="CI1071" s="435"/>
      <c r="CJ1071" s="436"/>
      <c r="CK1071" s="437"/>
    </row>
    <row r="1072" spans="74:89" x14ac:dyDescent="0.25">
      <c r="BV1072" s="177"/>
      <c r="BW1072" s="17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  <c r="CH1072" s="267"/>
      <c r="CI1072" s="435"/>
      <c r="CJ1072" s="436"/>
      <c r="CK1072" s="437"/>
    </row>
    <row r="1073" spans="74:89" x14ac:dyDescent="0.25">
      <c r="BV1073" s="177"/>
      <c r="BW1073" s="17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  <c r="CH1073" s="267"/>
      <c r="CI1073" s="435"/>
      <c r="CJ1073" s="436"/>
      <c r="CK1073" s="437"/>
    </row>
    <row r="1074" spans="74:89" x14ac:dyDescent="0.25">
      <c r="BV1074" s="177"/>
      <c r="BW1074" s="17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  <c r="CH1074" s="267"/>
      <c r="CI1074" s="435"/>
      <c r="CJ1074" s="436"/>
      <c r="CK1074" s="437"/>
    </row>
    <row r="1075" spans="74:89" x14ac:dyDescent="0.25">
      <c r="BV1075" s="177"/>
      <c r="BW1075" s="177"/>
      <c r="BX1075" s="267"/>
      <c r="BY1075" s="267"/>
      <c r="BZ1075" s="267"/>
      <c r="CA1075" s="267"/>
      <c r="CB1075" s="267"/>
      <c r="CC1075" s="267"/>
      <c r="CD1075" s="267"/>
      <c r="CE1075" s="267"/>
      <c r="CF1075" s="267"/>
      <c r="CG1075" s="267"/>
      <c r="CH1075" s="267"/>
      <c r="CI1075" s="435"/>
      <c r="CJ1075" s="436"/>
      <c r="CK1075" s="437"/>
    </row>
    <row r="1076" spans="74:89" x14ac:dyDescent="0.25">
      <c r="BV1076" s="177"/>
      <c r="BW1076" s="17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  <c r="CH1076" s="267"/>
      <c r="CI1076" s="435"/>
      <c r="CJ1076" s="436"/>
      <c r="CK1076" s="437"/>
    </row>
    <row r="1077" spans="74:89" x14ac:dyDescent="0.25">
      <c r="BV1077" s="177"/>
      <c r="BW1077" s="177"/>
      <c r="BX1077" s="267"/>
      <c r="BY1077" s="267"/>
      <c r="BZ1077" s="267"/>
      <c r="CA1077" s="267"/>
      <c r="CB1077" s="267"/>
      <c r="CC1077" s="267"/>
      <c r="CD1077" s="267"/>
      <c r="CE1077" s="267"/>
      <c r="CF1077" s="267"/>
      <c r="CG1077" s="267"/>
      <c r="CH1077" s="267"/>
      <c r="CI1077" s="435"/>
      <c r="CJ1077" s="436"/>
      <c r="CK1077" s="437"/>
    </row>
    <row r="1078" spans="74:89" x14ac:dyDescent="0.25">
      <c r="BV1078" s="177"/>
      <c r="BW1078" s="17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  <c r="CH1078" s="267"/>
      <c r="CI1078" s="435"/>
      <c r="CJ1078" s="436"/>
      <c r="CK1078" s="437"/>
    </row>
    <row r="1079" spans="74:89" x14ac:dyDescent="0.25">
      <c r="BV1079" s="177"/>
      <c r="BW1079" s="177"/>
      <c r="BX1079" s="267"/>
      <c r="BY1079" s="267"/>
      <c r="BZ1079" s="267"/>
      <c r="CA1079" s="267"/>
      <c r="CB1079" s="267"/>
      <c r="CC1079" s="267"/>
      <c r="CD1079" s="267"/>
      <c r="CE1079" s="267"/>
      <c r="CF1079" s="267"/>
      <c r="CG1079" s="267"/>
      <c r="CH1079" s="267"/>
      <c r="CI1079" s="435"/>
      <c r="CJ1079" s="436"/>
      <c r="CK1079" s="437"/>
    </row>
    <row r="1080" spans="74:89" x14ac:dyDescent="0.25">
      <c r="BV1080" s="177"/>
      <c r="BW1080" s="17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  <c r="CH1080" s="267"/>
      <c r="CI1080" s="435"/>
      <c r="CJ1080" s="436"/>
      <c r="CK1080" s="437"/>
    </row>
    <row r="1081" spans="74:89" x14ac:dyDescent="0.25">
      <c r="BV1081" s="177"/>
      <c r="BW1081" s="177"/>
      <c r="BX1081" s="267"/>
      <c r="BY1081" s="267"/>
      <c r="BZ1081" s="267"/>
      <c r="CA1081" s="267"/>
      <c r="CB1081" s="267"/>
      <c r="CC1081" s="267"/>
      <c r="CD1081" s="267"/>
      <c r="CE1081" s="267"/>
      <c r="CF1081" s="267"/>
      <c r="CG1081" s="267"/>
      <c r="CH1081" s="267"/>
      <c r="CI1081" s="435"/>
      <c r="CJ1081" s="436"/>
      <c r="CK1081" s="437"/>
    </row>
    <row r="1082" spans="74:89" x14ac:dyDescent="0.25">
      <c r="BV1082" s="177"/>
      <c r="BW1082" s="17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  <c r="CH1082" s="267"/>
      <c r="CI1082" s="435"/>
      <c r="CJ1082" s="436"/>
      <c r="CK1082" s="437"/>
    </row>
    <row r="1083" spans="74:89" x14ac:dyDescent="0.25">
      <c r="BV1083" s="177"/>
      <c r="BW1083" s="177"/>
      <c r="BX1083" s="267"/>
      <c r="BY1083" s="267"/>
      <c r="BZ1083" s="267"/>
      <c r="CA1083" s="267"/>
      <c r="CB1083" s="267"/>
      <c r="CC1083" s="267"/>
      <c r="CD1083" s="267"/>
      <c r="CE1083" s="267"/>
      <c r="CF1083" s="267"/>
      <c r="CG1083" s="267"/>
      <c r="CH1083" s="267"/>
      <c r="CI1083" s="435"/>
      <c r="CJ1083" s="436"/>
      <c r="CK1083" s="437"/>
    </row>
    <row r="1084" spans="74:89" x14ac:dyDescent="0.25">
      <c r="BV1084" s="177"/>
      <c r="BW1084" s="17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  <c r="CH1084" s="267"/>
      <c r="CI1084" s="435"/>
      <c r="CJ1084" s="436"/>
      <c r="CK1084" s="437"/>
    </row>
    <row r="1085" spans="74:89" x14ac:dyDescent="0.25">
      <c r="BV1085" s="177"/>
      <c r="BW1085" s="177"/>
      <c r="BX1085" s="267"/>
      <c r="BY1085" s="267"/>
      <c r="BZ1085" s="267"/>
      <c r="CA1085" s="267"/>
      <c r="CB1085" s="267"/>
      <c r="CC1085" s="267"/>
      <c r="CD1085" s="267"/>
      <c r="CE1085" s="267"/>
      <c r="CF1085" s="267"/>
      <c r="CG1085" s="267"/>
      <c r="CH1085" s="267"/>
      <c r="CI1085" s="435"/>
      <c r="CJ1085" s="436"/>
      <c r="CK1085" s="437"/>
    </row>
    <row r="1086" spans="74:89" x14ac:dyDescent="0.25">
      <c r="BV1086" s="177"/>
      <c r="BW1086" s="17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  <c r="CH1086" s="267"/>
      <c r="CI1086" s="435"/>
      <c r="CJ1086" s="436"/>
      <c r="CK1086" s="437"/>
    </row>
    <row r="1087" spans="74:89" x14ac:dyDescent="0.25">
      <c r="BV1087" s="177"/>
      <c r="BW1087" s="177"/>
      <c r="BX1087" s="267"/>
      <c r="BY1087" s="267"/>
      <c r="BZ1087" s="267"/>
      <c r="CA1087" s="267"/>
      <c r="CB1087" s="267"/>
      <c r="CC1087" s="267"/>
      <c r="CD1087" s="267"/>
      <c r="CE1087" s="267"/>
      <c r="CF1087" s="267"/>
      <c r="CG1087" s="267"/>
      <c r="CH1087" s="267"/>
      <c r="CI1087" s="435"/>
      <c r="CJ1087" s="436"/>
      <c r="CK1087" s="437"/>
    </row>
    <row r="1088" spans="74:89" x14ac:dyDescent="0.25">
      <c r="BV1088" s="177"/>
      <c r="BW1088" s="17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  <c r="CH1088" s="267"/>
      <c r="CI1088" s="435"/>
      <c r="CJ1088" s="436"/>
      <c r="CK1088" s="437"/>
    </row>
    <row r="1089" spans="74:89" x14ac:dyDescent="0.25">
      <c r="BV1089" s="177"/>
      <c r="BW1089" s="177"/>
      <c r="BX1089" s="267"/>
      <c r="BY1089" s="267"/>
      <c r="BZ1089" s="267"/>
      <c r="CA1089" s="267"/>
      <c r="CB1089" s="267"/>
      <c r="CC1089" s="267"/>
      <c r="CD1089" s="267"/>
      <c r="CE1089" s="267"/>
      <c r="CF1089" s="267"/>
      <c r="CG1089" s="267"/>
      <c r="CH1089" s="267"/>
      <c r="CI1089" s="435"/>
      <c r="CJ1089" s="436"/>
      <c r="CK1089" s="437"/>
    </row>
    <row r="1090" spans="74:89" x14ac:dyDescent="0.25">
      <c r="BV1090" s="177"/>
      <c r="BW1090" s="17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  <c r="CH1090" s="267"/>
      <c r="CI1090" s="435"/>
      <c r="CJ1090" s="436"/>
      <c r="CK1090" s="437"/>
    </row>
    <row r="1091" spans="74:89" x14ac:dyDescent="0.25">
      <c r="BV1091" s="177"/>
      <c r="BW1091" s="17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  <c r="CH1091" s="267"/>
      <c r="CI1091" s="435"/>
      <c r="CJ1091" s="436"/>
      <c r="CK1091" s="437"/>
    </row>
    <row r="1092" spans="74:89" x14ac:dyDescent="0.25">
      <c r="BV1092" s="177"/>
      <c r="BW1092" s="177"/>
      <c r="BX1092" s="267"/>
      <c r="BY1092" s="267"/>
      <c r="BZ1092" s="267"/>
      <c r="CA1092" s="267"/>
      <c r="CB1092" s="267"/>
      <c r="CC1092" s="267"/>
      <c r="CD1092" s="267"/>
      <c r="CE1092" s="267"/>
      <c r="CF1092" s="267"/>
      <c r="CG1092" s="267"/>
      <c r="CH1092" s="267"/>
      <c r="CI1092" s="435"/>
      <c r="CJ1092" s="436"/>
      <c r="CK1092" s="437"/>
    </row>
    <row r="1093" spans="74:89" x14ac:dyDescent="0.25">
      <c r="BV1093" s="177"/>
      <c r="BW1093" s="17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  <c r="CH1093" s="267"/>
      <c r="CI1093" s="435"/>
      <c r="CJ1093" s="436"/>
      <c r="CK1093" s="437"/>
    </row>
    <row r="1094" spans="74:89" x14ac:dyDescent="0.25">
      <c r="BV1094" s="177"/>
      <c r="BW1094" s="17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  <c r="CH1094" s="267"/>
      <c r="CI1094" s="435"/>
      <c r="CJ1094" s="436"/>
      <c r="CK1094" s="437"/>
    </row>
    <row r="1095" spans="74:89" x14ac:dyDescent="0.25">
      <c r="BV1095" s="177"/>
      <c r="BW1095" s="177"/>
      <c r="BX1095" s="267"/>
      <c r="BY1095" s="267"/>
      <c r="BZ1095" s="267"/>
      <c r="CA1095" s="267"/>
      <c r="CB1095" s="267"/>
      <c r="CC1095" s="267"/>
      <c r="CD1095" s="267"/>
      <c r="CE1095" s="267"/>
      <c r="CF1095" s="267"/>
      <c r="CG1095" s="267"/>
      <c r="CH1095" s="267"/>
      <c r="CI1095" s="435"/>
      <c r="CJ1095" s="436"/>
      <c r="CK1095" s="437"/>
    </row>
    <row r="1096" spans="74:89" x14ac:dyDescent="0.25">
      <c r="BV1096" s="177"/>
      <c r="BW1096" s="17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  <c r="CH1096" s="267"/>
      <c r="CI1096" s="435"/>
      <c r="CJ1096" s="436"/>
      <c r="CK1096" s="437"/>
    </row>
    <row r="1097" spans="74:89" x14ac:dyDescent="0.25">
      <c r="BV1097" s="177"/>
      <c r="BW1097" s="177"/>
      <c r="BX1097" s="267"/>
      <c r="BY1097" s="267"/>
      <c r="BZ1097" s="267"/>
      <c r="CA1097" s="267"/>
      <c r="CB1097" s="267"/>
      <c r="CC1097" s="267"/>
      <c r="CD1097" s="267"/>
      <c r="CE1097" s="267"/>
      <c r="CF1097" s="267"/>
      <c r="CG1097" s="267"/>
      <c r="CH1097" s="267"/>
      <c r="CI1097" s="435"/>
      <c r="CJ1097" s="436"/>
      <c r="CK1097" s="437"/>
    </row>
    <row r="1098" spans="74:89" x14ac:dyDescent="0.25">
      <c r="BV1098" s="177"/>
      <c r="BW1098" s="17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  <c r="CH1098" s="267"/>
      <c r="CI1098" s="435"/>
      <c r="CJ1098" s="436"/>
      <c r="CK1098" s="437"/>
    </row>
    <row r="1099" spans="74:89" x14ac:dyDescent="0.25">
      <c r="BV1099" s="177"/>
      <c r="BW1099" s="177"/>
      <c r="BX1099" s="267"/>
      <c r="BY1099" s="267"/>
      <c r="BZ1099" s="267"/>
      <c r="CA1099" s="267"/>
      <c r="CB1099" s="267"/>
      <c r="CC1099" s="267"/>
      <c r="CD1099" s="267"/>
      <c r="CE1099" s="267"/>
      <c r="CF1099" s="267"/>
      <c r="CG1099" s="267"/>
      <c r="CH1099" s="267"/>
      <c r="CI1099" s="435"/>
      <c r="CJ1099" s="436"/>
      <c r="CK1099" s="437"/>
    </row>
    <row r="1100" spans="74:89" x14ac:dyDescent="0.25">
      <c r="BV1100" s="177"/>
      <c r="BW1100" s="17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  <c r="CH1100" s="267"/>
      <c r="CI1100" s="435"/>
      <c r="CJ1100" s="436"/>
      <c r="CK1100" s="437"/>
    </row>
    <row r="1101" spans="74:89" x14ac:dyDescent="0.25">
      <c r="BV1101" s="177"/>
      <c r="BW1101" s="177"/>
      <c r="BX1101" s="267"/>
      <c r="BY1101" s="267"/>
      <c r="BZ1101" s="267"/>
      <c r="CA1101" s="267"/>
      <c r="CB1101" s="267"/>
      <c r="CC1101" s="267"/>
      <c r="CD1101" s="267"/>
      <c r="CE1101" s="267"/>
      <c r="CF1101" s="267"/>
      <c r="CG1101" s="267"/>
      <c r="CH1101" s="267"/>
      <c r="CI1101" s="435"/>
      <c r="CJ1101" s="436"/>
      <c r="CK1101" s="437"/>
    </row>
    <row r="1102" spans="74:89" x14ac:dyDescent="0.25">
      <c r="BV1102" s="177"/>
      <c r="BW1102" s="17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  <c r="CH1102" s="267"/>
      <c r="CI1102" s="435"/>
      <c r="CJ1102" s="436"/>
      <c r="CK1102" s="437"/>
    </row>
    <row r="1103" spans="74:89" x14ac:dyDescent="0.25">
      <c r="BV1103" s="177"/>
      <c r="BW1103" s="17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  <c r="CH1103" s="267"/>
      <c r="CI1103" s="435"/>
      <c r="CJ1103" s="436"/>
      <c r="CK1103" s="437"/>
    </row>
    <row r="1104" spans="74:89" x14ac:dyDescent="0.25">
      <c r="BV1104" s="177"/>
      <c r="BW1104" s="17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  <c r="CH1104" s="267"/>
      <c r="CI1104" s="435"/>
      <c r="CJ1104" s="436"/>
      <c r="CK1104" s="437"/>
    </row>
    <row r="1105" spans="74:89" x14ac:dyDescent="0.25">
      <c r="BV1105" s="177"/>
      <c r="BW1105" s="17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  <c r="CH1105" s="267"/>
      <c r="CI1105" s="435"/>
      <c r="CJ1105" s="436"/>
      <c r="CK1105" s="437"/>
    </row>
    <row r="1106" spans="74:89" x14ac:dyDescent="0.25">
      <c r="BV1106" s="177"/>
      <c r="BW1106" s="17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  <c r="CH1106" s="267"/>
      <c r="CI1106" s="435"/>
      <c r="CJ1106" s="436"/>
      <c r="CK1106" s="437"/>
    </row>
    <row r="1107" spans="74:89" x14ac:dyDescent="0.25">
      <c r="BV1107" s="177"/>
      <c r="BW1107" s="17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  <c r="CH1107" s="267"/>
      <c r="CI1107" s="435"/>
      <c r="CJ1107" s="436"/>
      <c r="CK1107" s="437"/>
    </row>
    <row r="1108" spans="74:89" x14ac:dyDescent="0.25">
      <c r="BV1108" s="177"/>
      <c r="BW1108" s="17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  <c r="CH1108" s="267"/>
      <c r="CI1108" s="435"/>
      <c r="CJ1108" s="436"/>
      <c r="CK1108" s="437"/>
    </row>
    <row r="1109" spans="74:89" x14ac:dyDescent="0.25">
      <c r="BV1109" s="177"/>
      <c r="BW1109" s="177"/>
      <c r="BX1109" s="267"/>
      <c r="BY1109" s="267"/>
      <c r="BZ1109" s="267"/>
      <c r="CA1109" s="267"/>
      <c r="CB1109" s="267"/>
      <c r="CC1109" s="267"/>
      <c r="CD1109" s="267"/>
      <c r="CE1109" s="267"/>
      <c r="CF1109" s="267"/>
      <c r="CG1109" s="267"/>
      <c r="CH1109" s="267"/>
      <c r="CI1109" s="435"/>
      <c r="CJ1109" s="436"/>
      <c r="CK1109" s="437"/>
    </row>
    <row r="1110" spans="74:89" x14ac:dyDescent="0.25">
      <c r="BV1110" s="177"/>
      <c r="BW1110" s="17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  <c r="CH1110" s="267"/>
      <c r="CI1110" s="435"/>
      <c r="CJ1110" s="436"/>
      <c r="CK1110" s="437"/>
    </row>
    <row r="1111" spans="74:89" x14ac:dyDescent="0.25">
      <c r="BV1111" s="177"/>
      <c r="BW1111" s="177"/>
      <c r="BX1111" s="267"/>
      <c r="BY1111" s="267"/>
      <c r="BZ1111" s="267"/>
      <c r="CA1111" s="267"/>
      <c r="CB1111" s="267"/>
      <c r="CC1111" s="267"/>
      <c r="CD1111" s="267"/>
      <c r="CE1111" s="267"/>
      <c r="CF1111" s="267"/>
      <c r="CG1111" s="267"/>
      <c r="CH1111" s="267"/>
      <c r="CI1111" s="435"/>
      <c r="CJ1111" s="436"/>
      <c r="CK1111" s="437"/>
    </row>
    <row r="1112" spans="74:89" x14ac:dyDescent="0.25">
      <c r="BV1112" s="177"/>
      <c r="BW1112" s="17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  <c r="CH1112" s="267"/>
      <c r="CI1112" s="435"/>
      <c r="CJ1112" s="436"/>
      <c r="CK1112" s="437"/>
    </row>
    <row r="1113" spans="74:89" x14ac:dyDescent="0.25">
      <c r="BV1113" s="177"/>
      <c r="BW1113" s="177"/>
      <c r="BX1113" s="267"/>
      <c r="BY1113" s="267"/>
      <c r="BZ1113" s="267"/>
      <c r="CA1113" s="267"/>
      <c r="CB1113" s="267"/>
      <c r="CC1113" s="267"/>
      <c r="CD1113" s="267"/>
      <c r="CE1113" s="267"/>
      <c r="CF1113" s="267"/>
      <c r="CG1113" s="267"/>
      <c r="CH1113" s="267"/>
      <c r="CI1113" s="435"/>
      <c r="CJ1113" s="436"/>
      <c r="CK1113" s="437"/>
    </row>
    <row r="1114" spans="74:89" x14ac:dyDescent="0.25">
      <c r="BV1114" s="177"/>
      <c r="BW1114" s="17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  <c r="CH1114" s="267"/>
      <c r="CI1114" s="435"/>
      <c r="CJ1114" s="436"/>
      <c r="CK1114" s="437"/>
    </row>
    <row r="1115" spans="74:89" x14ac:dyDescent="0.25">
      <c r="BV1115" s="177"/>
      <c r="BW1115" s="177"/>
      <c r="BX1115" s="267"/>
      <c r="BY1115" s="267"/>
      <c r="BZ1115" s="267"/>
      <c r="CA1115" s="267"/>
      <c r="CB1115" s="267"/>
      <c r="CC1115" s="267"/>
      <c r="CD1115" s="267"/>
      <c r="CE1115" s="267"/>
      <c r="CF1115" s="267"/>
      <c r="CG1115" s="267"/>
      <c r="CH1115" s="267"/>
      <c r="CI1115" s="435"/>
      <c r="CJ1115" s="436"/>
      <c r="CK1115" s="437"/>
    </row>
    <row r="1116" spans="74:89" x14ac:dyDescent="0.25">
      <c r="BV1116" s="177"/>
      <c r="BW1116" s="17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  <c r="CH1116" s="267"/>
      <c r="CI1116" s="435"/>
      <c r="CJ1116" s="436"/>
      <c r="CK1116" s="437"/>
    </row>
    <row r="1117" spans="74:89" x14ac:dyDescent="0.25">
      <c r="BV1117" s="177"/>
      <c r="BW1117" s="17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  <c r="CH1117" s="267"/>
      <c r="CI1117" s="435"/>
      <c r="CJ1117" s="436"/>
      <c r="CK1117" s="437"/>
    </row>
    <row r="1118" spans="74:89" x14ac:dyDescent="0.25">
      <c r="BV1118" s="177"/>
      <c r="BW1118" s="177"/>
      <c r="BX1118" s="267"/>
      <c r="BY1118" s="267"/>
      <c r="BZ1118" s="267"/>
      <c r="CA1118" s="267"/>
      <c r="CB1118" s="267"/>
      <c r="CC1118" s="267"/>
      <c r="CD1118" s="267"/>
      <c r="CE1118" s="267"/>
      <c r="CF1118" s="267"/>
      <c r="CG1118" s="267"/>
      <c r="CH1118" s="267"/>
      <c r="CI1118" s="435"/>
      <c r="CJ1118" s="436"/>
      <c r="CK1118" s="437"/>
    </row>
    <row r="1119" spans="74:89" x14ac:dyDescent="0.25">
      <c r="BV1119" s="177"/>
      <c r="BW1119" s="17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  <c r="CH1119" s="267"/>
      <c r="CI1119" s="435"/>
      <c r="CJ1119" s="436"/>
      <c r="CK1119" s="437"/>
    </row>
    <row r="1120" spans="74:89" x14ac:dyDescent="0.25">
      <c r="BV1120" s="177"/>
      <c r="BW1120" s="177"/>
      <c r="BX1120" s="267"/>
      <c r="BY1120" s="267"/>
      <c r="BZ1120" s="267"/>
      <c r="CA1120" s="267"/>
      <c r="CB1120" s="267"/>
      <c r="CC1120" s="267"/>
      <c r="CD1120" s="267"/>
      <c r="CE1120" s="267"/>
      <c r="CF1120" s="267"/>
      <c r="CG1120" s="267"/>
      <c r="CH1120" s="267"/>
      <c r="CI1120" s="435"/>
      <c r="CJ1120" s="436"/>
      <c r="CK1120" s="437"/>
    </row>
    <row r="1121" spans="74:89" x14ac:dyDescent="0.25">
      <c r="BV1121" s="177"/>
      <c r="BW1121" s="17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  <c r="CH1121" s="267"/>
      <c r="CI1121" s="435"/>
      <c r="CJ1121" s="436"/>
      <c r="CK1121" s="437"/>
    </row>
    <row r="1122" spans="74:89" x14ac:dyDescent="0.25">
      <c r="BV1122" s="177"/>
      <c r="BW1122" s="177"/>
      <c r="BX1122" s="267"/>
      <c r="BY1122" s="267"/>
      <c r="BZ1122" s="267"/>
      <c r="CA1122" s="267"/>
      <c r="CB1122" s="267"/>
      <c r="CC1122" s="267"/>
      <c r="CD1122" s="267"/>
      <c r="CE1122" s="267"/>
      <c r="CF1122" s="267"/>
      <c r="CG1122" s="267"/>
      <c r="CH1122" s="267"/>
      <c r="CI1122" s="435"/>
      <c r="CJ1122" s="436"/>
      <c r="CK1122" s="437"/>
    </row>
    <row r="1123" spans="74:89" x14ac:dyDescent="0.25">
      <c r="BV1123" s="177"/>
      <c r="BW1123" s="17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  <c r="CH1123" s="267"/>
      <c r="CI1123" s="435"/>
      <c r="CJ1123" s="436"/>
      <c r="CK1123" s="437"/>
    </row>
    <row r="1124" spans="74:89" x14ac:dyDescent="0.25">
      <c r="BV1124" s="177"/>
      <c r="BW1124" s="177"/>
      <c r="BX1124" s="267"/>
      <c r="BY1124" s="267"/>
      <c r="BZ1124" s="267"/>
      <c r="CA1124" s="267"/>
      <c r="CB1124" s="267"/>
      <c r="CC1124" s="267"/>
      <c r="CD1124" s="267"/>
      <c r="CE1124" s="267"/>
      <c r="CF1124" s="267"/>
      <c r="CG1124" s="267"/>
      <c r="CH1124" s="267"/>
      <c r="CI1124" s="435"/>
      <c r="CJ1124" s="436"/>
      <c r="CK1124" s="437"/>
    </row>
    <row r="1125" spans="74:89" x14ac:dyDescent="0.25">
      <c r="BV1125" s="177"/>
      <c r="BW1125" s="17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  <c r="CH1125" s="267"/>
      <c r="CI1125" s="435"/>
      <c r="CJ1125" s="436"/>
      <c r="CK1125" s="437"/>
    </row>
    <row r="1126" spans="74:89" x14ac:dyDescent="0.25">
      <c r="BV1126" s="177"/>
      <c r="BW1126" s="177"/>
      <c r="BX1126" s="267"/>
      <c r="BY1126" s="267"/>
      <c r="BZ1126" s="267"/>
      <c r="CA1126" s="267"/>
      <c r="CB1126" s="267"/>
      <c r="CC1126" s="267"/>
      <c r="CD1126" s="267"/>
      <c r="CE1126" s="267"/>
      <c r="CF1126" s="267"/>
      <c r="CG1126" s="267"/>
      <c r="CH1126" s="267"/>
      <c r="CI1126" s="435"/>
      <c r="CJ1126" s="436"/>
      <c r="CK1126" s="437"/>
    </row>
    <row r="1127" spans="74:89" x14ac:dyDescent="0.25">
      <c r="BV1127" s="177"/>
      <c r="BW1127" s="17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  <c r="CH1127" s="267"/>
      <c r="CI1127" s="435"/>
      <c r="CJ1127" s="436"/>
      <c r="CK1127" s="437"/>
    </row>
    <row r="1128" spans="74:89" x14ac:dyDescent="0.25">
      <c r="BV1128" s="177"/>
      <c r="BW1128" s="177"/>
      <c r="BX1128" s="267"/>
      <c r="BY1128" s="267"/>
      <c r="BZ1128" s="267"/>
      <c r="CA1128" s="267"/>
      <c r="CB1128" s="267"/>
      <c r="CC1128" s="267"/>
      <c r="CD1128" s="267"/>
      <c r="CE1128" s="267"/>
      <c r="CF1128" s="267"/>
      <c r="CG1128" s="267"/>
      <c r="CH1128" s="267"/>
      <c r="CI1128" s="435"/>
      <c r="CJ1128" s="436"/>
      <c r="CK1128" s="437"/>
    </row>
    <row r="1129" spans="74:89" x14ac:dyDescent="0.25">
      <c r="BV1129" s="177"/>
      <c r="BW1129" s="17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  <c r="CH1129" s="267"/>
      <c r="CI1129" s="435"/>
      <c r="CJ1129" s="436"/>
      <c r="CK1129" s="437"/>
    </row>
    <row r="1130" spans="74:89" x14ac:dyDescent="0.25">
      <c r="BV1130" s="177"/>
      <c r="BW1130" s="177"/>
      <c r="BX1130" s="267"/>
      <c r="BY1130" s="267"/>
      <c r="BZ1130" s="267"/>
      <c r="CA1130" s="267"/>
      <c r="CB1130" s="267"/>
      <c r="CC1130" s="267"/>
      <c r="CD1130" s="267"/>
      <c r="CE1130" s="267"/>
      <c r="CF1130" s="267"/>
      <c r="CG1130" s="267"/>
      <c r="CH1130" s="267"/>
      <c r="CI1130" s="435"/>
      <c r="CJ1130" s="436"/>
      <c r="CK1130" s="437"/>
    </row>
    <row r="1131" spans="74:89" x14ac:dyDescent="0.25">
      <c r="BV1131" s="177"/>
      <c r="BW1131" s="17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  <c r="CH1131" s="267"/>
      <c r="CI1131" s="435"/>
      <c r="CJ1131" s="436"/>
      <c r="CK1131" s="437"/>
    </row>
    <row r="1132" spans="74:89" x14ac:dyDescent="0.25">
      <c r="BV1132" s="177"/>
      <c r="BW1132" s="17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  <c r="CH1132" s="267"/>
      <c r="CI1132" s="435"/>
      <c r="CJ1132" s="436"/>
      <c r="CK1132" s="437"/>
    </row>
    <row r="1133" spans="74:89" x14ac:dyDescent="0.25">
      <c r="BV1133" s="177"/>
      <c r="BW1133" s="177"/>
      <c r="BX1133" s="267"/>
      <c r="BY1133" s="267"/>
      <c r="BZ1133" s="267"/>
      <c r="CA1133" s="267"/>
      <c r="CB1133" s="267"/>
      <c r="CC1133" s="267"/>
      <c r="CD1133" s="267"/>
      <c r="CE1133" s="267"/>
      <c r="CF1133" s="267"/>
      <c r="CG1133" s="267"/>
      <c r="CH1133" s="267"/>
      <c r="CI1133" s="435"/>
      <c r="CJ1133" s="436"/>
      <c r="CK1133" s="437"/>
    </row>
    <row r="1134" spans="74:89" x14ac:dyDescent="0.25">
      <c r="BV1134" s="177"/>
      <c r="BW1134" s="17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  <c r="CH1134" s="267"/>
      <c r="CI1134" s="435"/>
      <c r="CJ1134" s="436"/>
      <c r="CK1134" s="437"/>
    </row>
    <row r="1135" spans="74:89" x14ac:dyDescent="0.25">
      <c r="BV1135" s="177"/>
      <c r="BW1135" s="177"/>
      <c r="BX1135" s="267"/>
      <c r="BY1135" s="267"/>
      <c r="BZ1135" s="267"/>
      <c r="CA1135" s="267"/>
      <c r="CB1135" s="267"/>
      <c r="CC1135" s="267"/>
      <c r="CD1135" s="267"/>
      <c r="CE1135" s="267"/>
      <c r="CF1135" s="267"/>
      <c r="CG1135" s="267"/>
      <c r="CH1135" s="267"/>
      <c r="CI1135" s="435"/>
      <c r="CJ1135" s="436"/>
      <c r="CK1135" s="437"/>
    </row>
    <row r="1136" spans="74:89" x14ac:dyDescent="0.25">
      <c r="BV1136" s="177"/>
      <c r="BW1136" s="17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  <c r="CH1136" s="267"/>
      <c r="CI1136" s="435"/>
      <c r="CJ1136" s="436"/>
      <c r="CK1136" s="437"/>
    </row>
    <row r="1137" spans="74:89" x14ac:dyDescent="0.25">
      <c r="BV1137" s="177"/>
      <c r="BW1137" s="17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  <c r="CH1137" s="267"/>
      <c r="CI1137" s="435"/>
      <c r="CJ1137" s="436"/>
      <c r="CK1137" s="437"/>
    </row>
    <row r="1138" spans="74:89" x14ac:dyDescent="0.25">
      <c r="BV1138" s="177"/>
      <c r="BW1138" s="177"/>
      <c r="BX1138" s="267"/>
      <c r="BY1138" s="267"/>
      <c r="BZ1138" s="267"/>
      <c r="CA1138" s="267"/>
      <c r="CB1138" s="267"/>
      <c r="CC1138" s="267"/>
      <c r="CD1138" s="267"/>
      <c r="CE1138" s="267"/>
      <c r="CF1138" s="267"/>
      <c r="CG1138" s="267"/>
      <c r="CH1138" s="267"/>
      <c r="CI1138" s="435"/>
      <c r="CJ1138" s="436"/>
      <c r="CK1138" s="437"/>
    </row>
    <row r="1139" spans="74:89" x14ac:dyDescent="0.25">
      <c r="BV1139" s="177"/>
      <c r="BW1139" s="17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  <c r="CH1139" s="267"/>
      <c r="CI1139" s="435"/>
      <c r="CJ1139" s="436"/>
      <c r="CK1139" s="437"/>
    </row>
    <row r="1140" spans="74:89" x14ac:dyDescent="0.25">
      <c r="BV1140" s="177"/>
      <c r="BW1140" s="17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  <c r="CH1140" s="267"/>
      <c r="CI1140" s="435"/>
      <c r="CJ1140" s="436"/>
      <c r="CK1140" s="437"/>
    </row>
    <row r="1141" spans="74:89" x14ac:dyDescent="0.25">
      <c r="BV1141" s="177"/>
      <c r="BW1141" s="17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  <c r="CH1141" s="267"/>
      <c r="CI1141" s="435"/>
      <c r="CJ1141" s="436"/>
      <c r="CK1141" s="437"/>
    </row>
    <row r="1142" spans="74:89" x14ac:dyDescent="0.25">
      <c r="BV1142" s="177"/>
      <c r="BW1142" s="17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  <c r="CH1142" s="267"/>
      <c r="CI1142" s="435"/>
      <c r="CJ1142" s="436"/>
      <c r="CK1142" s="437"/>
    </row>
    <row r="1143" spans="74:89" x14ac:dyDescent="0.25">
      <c r="BV1143" s="177"/>
      <c r="BW1143" s="17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  <c r="CH1143" s="267"/>
      <c r="CI1143" s="435"/>
      <c r="CJ1143" s="436"/>
      <c r="CK1143" s="437"/>
    </row>
    <row r="1144" spans="74:89" x14ac:dyDescent="0.25">
      <c r="BV1144" s="177"/>
      <c r="BW1144" s="177"/>
      <c r="BX1144" s="267"/>
      <c r="BY1144" s="267"/>
      <c r="BZ1144" s="267"/>
      <c r="CA1144" s="267"/>
      <c r="CB1144" s="267"/>
      <c r="CC1144" s="267"/>
      <c r="CD1144" s="267"/>
      <c r="CE1144" s="267"/>
      <c r="CF1144" s="267"/>
      <c r="CG1144" s="267"/>
      <c r="CH1144" s="267"/>
      <c r="CI1144" s="435"/>
      <c r="CJ1144" s="436"/>
      <c r="CK1144" s="437"/>
    </row>
    <row r="1145" spans="74:89" x14ac:dyDescent="0.25">
      <c r="BV1145" s="177"/>
      <c r="BW1145" s="17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  <c r="CH1145" s="267"/>
      <c r="CI1145" s="435"/>
      <c r="CJ1145" s="436"/>
      <c r="CK1145" s="437"/>
    </row>
    <row r="1146" spans="74:89" x14ac:dyDescent="0.25">
      <c r="BV1146" s="177"/>
      <c r="BW1146" s="177"/>
      <c r="BX1146" s="267"/>
      <c r="BY1146" s="267"/>
      <c r="BZ1146" s="267"/>
      <c r="CA1146" s="267"/>
      <c r="CB1146" s="267"/>
      <c r="CC1146" s="267"/>
      <c r="CD1146" s="267"/>
      <c r="CE1146" s="267"/>
      <c r="CF1146" s="267"/>
      <c r="CG1146" s="267"/>
      <c r="CH1146" s="267"/>
      <c r="CI1146" s="435"/>
      <c r="CJ1146" s="436"/>
      <c r="CK1146" s="437"/>
    </row>
    <row r="1147" spans="74:89" x14ac:dyDescent="0.25">
      <c r="BV1147" s="177"/>
      <c r="BW1147" s="17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  <c r="CH1147" s="267"/>
      <c r="CI1147" s="435"/>
      <c r="CJ1147" s="436"/>
      <c r="CK1147" s="437"/>
    </row>
    <row r="1148" spans="74:89" x14ac:dyDescent="0.25">
      <c r="BV1148" s="177"/>
      <c r="BW1148" s="177"/>
      <c r="BX1148" s="267"/>
      <c r="BY1148" s="267"/>
      <c r="BZ1148" s="267"/>
      <c r="CA1148" s="267"/>
      <c r="CB1148" s="267"/>
      <c r="CC1148" s="267"/>
      <c r="CD1148" s="267"/>
      <c r="CE1148" s="267"/>
      <c r="CF1148" s="267"/>
      <c r="CG1148" s="267"/>
      <c r="CH1148" s="267"/>
      <c r="CI1148" s="435"/>
      <c r="CJ1148" s="436"/>
      <c r="CK1148" s="437"/>
    </row>
    <row r="1149" spans="74:89" x14ac:dyDescent="0.25">
      <c r="BV1149" s="177"/>
      <c r="BW1149" s="17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  <c r="CH1149" s="267"/>
      <c r="CI1149" s="435"/>
      <c r="CJ1149" s="436"/>
      <c r="CK1149" s="437"/>
    </row>
    <row r="1150" spans="74:89" x14ac:dyDescent="0.25">
      <c r="BV1150" s="177"/>
      <c r="BW1150" s="177"/>
      <c r="BX1150" s="267"/>
      <c r="BY1150" s="267"/>
      <c r="BZ1150" s="267"/>
      <c r="CA1150" s="267"/>
      <c r="CB1150" s="267"/>
      <c r="CC1150" s="267"/>
      <c r="CD1150" s="267"/>
      <c r="CE1150" s="267"/>
      <c r="CF1150" s="267"/>
      <c r="CG1150" s="267"/>
      <c r="CH1150" s="267"/>
      <c r="CI1150" s="435"/>
      <c r="CJ1150" s="436"/>
      <c r="CK1150" s="437"/>
    </row>
    <row r="1151" spans="74:89" x14ac:dyDescent="0.25">
      <c r="BV1151" s="177"/>
      <c r="BW1151" s="17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  <c r="CH1151" s="267"/>
      <c r="CI1151" s="435"/>
      <c r="CJ1151" s="436"/>
      <c r="CK1151" s="437"/>
    </row>
    <row r="1152" spans="74:89" x14ac:dyDescent="0.25">
      <c r="BV1152" s="177"/>
      <c r="BW1152" s="177"/>
      <c r="BX1152" s="267"/>
      <c r="BY1152" s="267"/>
      <c r="BZ1152" s="267"/>
      <c r="CA1152" s="267"/>
      <c r="CB1152" s="267"/>
      <c r="CC1152" s="267"/>
      <c r="CD1152" s="267"/>
      <c r="CE1152" s="267"/>
      <c r="CF1152" s="267"/>
      <c r="CG1152" s="267"/>
      <c r="CH1152" s="267"/>
      <c r="CI1152" s="435"/>
      <c r="CJ1152" s="436"/>
      <c r="CK1152" s="437"/>
    </row>
    <row r="1153" spans="74:89" x14ac:dyDescent="0.25">
      <c r="BV1153" s="177"/>
      <c r="BW1153" s="17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  <c r="CH1153" s="267"/>
      <c r="CI1153" s="435"/>
      <c r="CJ1153" s="436"/>
      <c r="CK1153" s="437"/>
    </row>
    <row r="1154" spans="74:89" x14ac:dyDescent="0.25">
      <c r="BV1154" s="177"/>
      <c r="BW1154" s="177"/>
      <c r="BX1154" s="267"/>
      <c r="BY1154" s="267"/>
      <c r="BZ1154" s="267"/>
      <c r="CA1154" s="267"/>
      <c r="CB1154" s="267"/>
      <c r="CC1154" s="267"/>
      <c r="CD1154" s="267"/>
      <c r="CE1154" s="267"/>
      <c r="CF1154" s="267"/>
      <c r="CG1154" s="267"/>
      <c r="CH1154" s="267"/>
      <c r="CI1154" s="435"/>
      <c r="CJ1154" s="436"/>
      <c r="CK1154" s="437"/>
    </row>
    <row r="1155" spans="74:89" x14ac:dyDescent="0.25">
      <c r="BV1155" s="177"/>
      <c r="BW1155" s="17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  <c r="CH1155" s="267"/>
      <c r="CI1155" s="435"/>
      <c r="CJ1155" s="436"/>
      <c r="CK1155" s="437"/>
    </row>
    <row r="1156" spans="74:89" x14ac:dyDescent="0.25">
      <c r="BV1156" s="177"/>
      <c r="BW1156" s="17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  <c r="CH1156" s="267"/>
      <c r="CI1156" s="435"/>
      <c r="CJ1156" s="436"/>
      <c r="CK1156" s="437"/>
    </row>
    <row r="1157" spans="74:89" x14ac:dyDescent="0.25">
      <c r="BV1157" s="177"/>
      <c r="BW1157" s="17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  <c r="CH1157" s="267"/>
      <c r="CI1157" s="435"/>
      <c r="CJ1157" s="436"/>
      <c r="CK1157" s="437"/>
    </row>
    <row r="1158" spans="74:89" x14ac:dyDescent="0.25">
      <c r="BV1158" s="177"/>
      <c r="BW1158" s="177"/>
      <c r="BX1158" s="267"/>
      <c r="BY1158" s="267"/>
      <c r="BZ1158" s="267"/>
      <c r="CA1158" s="267"/>
      <c r="CB1158" s="267"/>
      <c r="CC1158" s="267"/>
      <c r="CD1158" s="267"/>
      <c r="CE1158" s="267"/>
      <c r="CF1158" s="267"/>
      <c r="CG1158" s="267"/>
      <c r="CH1158" s="267"/>
      <c r="CI1158" s="435"/>
      <c r="CJ1158" s="436"/>
      <c r="CK1158" s="437"/>
    </row>
    <row r="1159" spans="74:89" x14ac:dyDescent="0.25">
      <c r="BV1159" s="177"/>
      <c r="BW1159" s="17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  <c r="CH1159" s="267"/>
      <c r="CI1159" s="435"/>
      <c r="CJ1159" s="436"/>
      <c r="CK1159" s="437"/>
    </row>
    <row r="1160" spans="74:89" x14ac:dyDescent="0.25">
      <c r="BV1160" s="177"/>
      <c r="BW1160" s="177"/>
      <c r="BX1160" s="267"/>
      <c r="BY1160" s="267"/>
      <c r="BZ1160" s="267"/>
      <c r="CA1160" s="267"/>
      <c r="CB1160" s="267"/>
      <c r="CC1160" s="267"/>
      <c r="CD1160" s="267"/>
      <c r="CE1160" s="267"/>
      <c r="CF1160" s="267"/>
      <c r="CG1160" s="267"/>
      <c r="CH1160" s="267"/>
      <c r="CI1160" s="435"/>
      <c r="CJ1160" s="436"/>
      <c r="CK1160" s="437"/>
    </row>
    <row r="1161" spans="74:89" x14ac:dyDescent="0.25">
      <c r="BV1161" s="177"/>
      <c r="BW1161" s="17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  <c r="CH1161" s="267"/>
      <c r="CI1161" s="435"/>
      <c r="CJ1161" s="436"/>
      <c r="CK1161" s="437"/>
    </row>
    <row r="1162" spans="74:89" x14ac:dyDescent="0.25">
      <c r="BV1162" s="177"/>
      <c r="BW1162" s="177"/>
      <c r="BX1162" s="267"/>
      <c r="BY1162" s="267"/>
      <c r="BZ1162" s="267"/>
      <c r="CA1162" s="267"/>
      <c r="CB1162" s="267"/>
      <c r="CC1162" s="267"/>
      <c r="CD1162" s="267"/>
      <c r="CE1162" s="267"/>
      <c r="CF1162" s="267"/>
      <c r="CG1162" s="267"/>
      <c r="CH1162" s="267"/>
      <c r="CI1162" s="435"/>
      <c r="CJ1162" s="436"/>
      <c r="CK1162" s="437"/>
    </row>
    <row r="1163" spans="74:89" x14ac:dyDescent="0.25">
      <c r="BV1163" s="177"/>
      <c r="BW1163" s="17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  <c r="CH1163" s="267"/>
      <c r="CI1163" s="435"/>
      <c r="CJ1163" s="436"/>
      <c r="CK1163" s="437"/>
    </row>
    <row r="1164" spans="74:89" x14ac:dyDescent="0.25">
      <c r="BV1164" s="177"/>
      <c r="BW1164" s="177"/>
      <c r="BX1164" s="267"/>
      <c r="BY1164" s="267"/>
      <c r="BZ1164" s="267"/>
      <c r="CA1164" s="267"/>
      <c r="CB1164" s="267"/>
      <c r="CC1164" s="267"/>
      <c r="CD1164" s="267"/>
      <c r="CE1164" s="267"/>
      <c r="CF1164" s="267"/>
      <c r="CG1164" s="267"/>
      <c r="CH1164" s="267"/>
      <c r="CI1164" s="435"/>
      <c r="CJ1164" s="436"/>
      <c r="CK1164" s="437"/>
    </row>
    <row r="1165" spans="74:89" x14ac:dyDescent="0.25">
      <c r="BV1165" s="177"/>
      <c r="BW1165" s="17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  <c r="CH1165" s="267"/>
      <c r="CI1165" s="435"/>
      <c r="CJ1165" s="436"/>
      <c r="CK1165" s="437"/>
    </row>
    <row r="1166" spans="74:89" x14ac:dyDescent="0.25">
      <c r="BV1166" s="177"/>
      <c r="BW1166" s="177"/>
      <c r="BX1166" s="267"/>
      <c r="BY1166" s="267"/>
      <c r="BZ1166" s="267"/>
      <c r="CA1166" s="267"/>
      <c r="CB1166" s="267"/>
      <c r="CC1166" s="267"/>
      <c r="CD1166" s="267"/>
      <c r="CE1166" s="267"/>
      <c r="CF1166" s="267"/>
      <c r="CG1166" s="267"/>
      <c r="CH1166" s="267"/>
      <c r="CI1166" s="435"/>
      <c r="CJ1166" s="436"/>
      <c r="CK1166" s="437"/>
    </row>
    <row r="1167" spans="74:89" x14ac:dyDescent="0.25">
      <c r="BV1167" s="177"/>
      <c r="BW1167" s="17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  <c r="CH1167" s="267"/>
      <c r="CI1167" s="435"/>
      <c r="CJ1167" s="436"/>
      <c r="CK1167" s="437"/>
    </row>
    <row r="1168" spans="74:89" x14ac:dyDescent="0.25">
      <c r="BV1168" s="177"/>
      <c r="BW1168" s="177"/>
      <c r="BX1168" s="267"/>
      <c r="BY1168" s="267"/>
      <c r="BZ1168" s="267"/>
      <c r="CA1168" s="267"/>
      <c r="CB1168" s="267"/>
      <c r="CC1168" s="267"/>
      <c r="CD1168" s="267"/>
      <c r="CE1168" s="267"/>
      <c r="CF1168" s="267"/>
      <c r="CG1168" s="267"/>
      <c r="CH1168" s="267"/>
      <c r="CI1168" s="435"/>
      <c r="CJ1168" s="436"/>
      <c r="CK1168" s="437"/>
    </row>
    <row r="1169" spans="74:89" x14ac:dyDescent="0.25">
      <c r="BV1169" s="177"/>
      <c r="BW1169" s="17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  <c r="CH1169" s="267"/>
      <c r="CI1169" s="435"/>
      <c r="CJ1169" s="436"/>
      <c r="CK1169" s="437"/>
    </row>
    <row r="1170" spans="74:89" x14ac:dyDescent="0.25">
      <c r="BV1170" s="177"/>
      <c r="BW1170" s="177"/>
      <c r="BX1170" s="267"/>
      <c r="BY1170" s="267"/>
      <c r="BZ1170" s="267"/>
      <c r="CA1170" s="267"/>
      <c r="CB1170" s="267"/>
      <c r="CC1170" s="267"/>
      <c r="CD1170" s="267"/>
      <c r="CE1170" s="267"/>
      <c r="CF1170" s="267"/>
      <c r="CG1170" s="267"/>
      <c r="CH1170" s="267"/>
      <c r="CI1170" s="435"/>
      <c r="CJ1170" s="436"/>
      <c r="CK1170" s="437"/>
    </row>
    <row r="1171" spans="74:89" x14ac:dyDescent="0.25">
      <c r="BV1171" s="177"/>
      <c r="BW1171" s="17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  <c r="CH1171" s="267"/>
      <c r="CI1171" s="435"/>
      <c r="CJ1171" s="436"/>
      <c r="CK1171" s="437"/>
    </row>
    <row r="1172" spans="74:89" x14ac:dyDescent="0.25">
      <c r="BV1172" s="177"/>
      <c r="BW1172" s="17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  <c r="CH1172" s="267"/>
      <c r="CI1172" s="435"/>
      <c r="CJ1172" s="436"/>
      <c r="CK1172" s="437"/>
    </row>
    <row r="1173" spans="74:89" x14ac:dyDescent="0.25">
      <c r="BV1173" s="177"/>
      <c r="BW1173" s="177"/>
      <c r="BX1173" s="267"/>
      <c r="BY1173" s="267"/>
      <c r="BZ1173" s="267"/>
      <c r="CA1173" s="267"/>
      <c r="CB1173" s="267"/>
      <c r="CC1173" s="267"/>
      <c r="CD1173" s="267"/>
      <c r="CE1173" s="267"/>
      <c r="CF1173" s="267"/>
      <c r="CG1173" s="267"/>
      <c r="CH1173" s="267"/>
      <c r="CI1173" s="435"/>
      <c r="CJ1173" s="436"/>
      <c r="CK1173" s="437"/>
    </row>
    <row r="1174" spans="74:89" x14ac:dyDescent="0.25">
      <c r="BV1174" s="177"/>
      <c r="BW1174" s="17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  <c r="CH1174" s="267"/>
      <c r="CI1174" s="435"/>
      <c r="CJ1174" s="436"/>
      <c r="CK1174" s="437"/>
    </row>
    <row r="1175" spans="74:89" x14ac:dyDescent="0.25">
      <c r="BV1175" s="177"/>
      <c r="BW1175" s="177"/>
      <c r="BX1175" s="267"/>
      <c r="BY1175" s="267"/>
      <c r="BZ1175" s="267"/>
      <c r="CA1175" s="267"/>
      <c r="CB1175" s="267"/>
      <c r="CC1175" s="267"/>
      <c r="CD1175" s="267"/>
      <c r="CE1175" s="267"/>
      <c r="CF1175" s="267"/>
      <c r="CG1175" s="267"/>
      <c r="CH1175" s="267"/>
      <c r="CI1175" s="435"/>
      <c r="CJ1175" s="436"/>
      <c r="CK1175" s="437"/>
    </row>
    <row r="1176" spans="74:89" x14ac:dyDescent="0.25">
      <c r="BV1176" s="177"/>
      <c r="BW1176" s="17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  <c r="CH1176" s="267"/>
      <c r="CI1176" s="435"/>
      <c r="CJ1176" s="436"/>
      <c r="CK1176" s="437"/>
    </row>
    <row r="1177" spans="74:89" x14ac:dyDescent="0.25">
      <c r="BV1177" s="177"/>
      <c r="BW1177" s="177"/>
      <c r="BX1177" s="267"/>
      <c r="BY1177" s="267"/>
      <c r="BZ1177" s="267"/>
      <c r="CA1177" s="267"/>
      <c r="CB1177" s="267"/>
      <c r="CC1177" s="267"/>
      <c r="CD1177" s="267"/>
      <c r="CE1177" s="267"/>
      <c r="CF1177" s="267"/>
      <c r="CG1177" s="267"/>
      <c r="CH1177" s="267"/>
      <c r="CI1177" s="435"/>
      <c r="CJ1177" s="436"/>
      <c r="CK1177" s="437"/>
    </row>
    <row r="1178" spans="74:89" x14ac:dyDescent="0.25">
      <c r="BV1178" s="177"/>
      <c r="BW1178" s="17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  <c r="CH1178" s="267"/>
      <c r="CI1178" s="435"/>
      <c r="CJ1178" s="436"/>
      <c r="CK1178" s="437"/>
    </row>
    <row r="1179" spans="74:89" x14ac:dyDescent="0.25">
      <c r="BV1179" s="177"/>
      <c r="BW1179" s="177"/>
      <c r="BX1179" s="267"/>
      <c r="BY1179" s="267"/>
      <c r="BZ1179" s="267"/>
      <c r="CA1179" s="267"/>
      <c r="CB1179" s="267"/>
      <c r="CC1179" s="267"/>
      <c r="CD1179" s="267"/>
      <c r="CE1179" s="267"/>
      <c r="CF1179" s="267"/>
      <c r="CG1179" s="267"/>
      <c r="CH1179" s="267"/>
      <c r="CI1179" s="435"/>
      <c r="CJ1179" s="436"/>
      <c r="CK1179" s="437"/>
    </row>
    <row r="1180" spans="74:89" x14ac:dyDescent="0.25">
      <c r="BV1180" s="177"/>
      <c r="BW1180" s="17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  <c r="CH1180" s="267"/>
      <c r="CI1180" s="435"/>
      <c r="CJ1180" s="436"/>
      <c r="CK1180" s="437"/>
    </row>
    <row r="1181" spans="74:89" x14ac:dyDescent="0.25">
      <c r="BV1181" s="177"/>
      <c r="BW1181" s="177"/>
      <c r="BX1181" s="267"/>
      <c r="BY1181" s="267"/>
      <c r="BZ1181" s="267"/>
      <c r="CA1181" s="267"/>
      <c r="CB1181" s="267"/>
      <c r="CC1181" s="267"/>
      <c r="CD1181" s="267"/>
      <c r="CE1181" s="267"/>
      <c r="CF1181" s="267"/>
      <c r="CG1181" s="267"/>
      <c r="CH1181" s="267"/>
      <c r="CI1181" s="435"/>
      <c r="CJ1181" s="436"/>
      <c r="CK1181" s="437"/>
    </row>
    <row r="1182" spans="74:89" x14ac:dyDescent="0.25">
      <c r="BV1182" s="177"/>
      <c r="BW1182" s="17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  <c r="CH1182" s="267"/>
      <c r="CI1182" s="435"/>
      <c r="CJ1182" s="436"/>
      <c r="CK1182" s="437"/>
    </row>
    <row r="1183" spans="74:89" x14ac:dyDescent="0.25">
      <c r="BV1183" s="177"/>
      <c r="BW1183" s="177"/>
      <c r="BX1183" s="267"/>
      <c r="BY1183" s="267"/>
      <c r="BZ1183" s="267"/>
      <c r="CA1183" s="267"/>
      <c r="CB1183" s="267"/>
      <c r="CC1183" s="267"/>
      <c r="CD1183" s="267"/>
      <c r="CE1183" s="267"/>
      <c r="CF1183" s="267"/>
      <c r="CG1183" s="267"/>
      <c r="CH1183" s="267"/>
      <c r="CI1183" s="435"/>
      <c r="CJ1183" s="436"/>
      <c r="CK1183" s="437"/>
    </row>
    <row r="1184" spans="74:89" x14ac:dyDescent="0.25">
      <c r="BV1184" s="177"/>
      <c r="BW1184" s="17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  <c r="CH1184" s="267"/>
      <c r="CI1184" s="435"/>
      <c r="CJ1184" s="436"/>
      <c r="CK1184" s="437"/>
    </row>
    <row r="1185" spans="74:89" x14ac:dyDescent="0.25">
      <c r="BV1185" s="177"/>
      <c r="BW1185" s="17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  <c r="CH1185" s="267"/>
      <c r="CI1185" s="435"/>
      <c r="CJ1185" s="436"/>
      <c r="CK1185" s="437"/>
    </row>
    <row r="1186" spans="74:89" x14ac:dyDescent="0.25">
      <c r="BV1186" s="177"/>
      <c r="BW1186" s="177"/>
      <c r="BX1186" s="267"/>
      <c r="BY1186" s="267"/>
      <c r="BZ1186" s="267"/>
      <c r="CA1186" s="267"/>
      <c r="CB1186" s="267"/>
      <c r="CC1186" s="267"/>
      <c r="CD1186" s="267"/>
      <c r="CE1186" s="267"/>
      <c r="CF1186" s="267"/>
      <c r="CG1186" s="267"/>
      <c r="CH1186" s="267"/>
      <c r="CI1186" s="435"/>
      <c r="CJ1186" s="436"/>
      <c r="CK1186" s="437"/>
    </row>
    <row r="1187" spans="74:89" x14ac:dyDescent="0.25">
      <c r="BV1187" s="177"/>
      <c r="BW1187" s="17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  <c r="CH1187" s="267"/>
      <c r="CI1187" s="435"/>
      <c r="CJ1187" s="436"/>
      <c r="CK1187" s="437"/>
    </row>
    <row r="1188" spans="74:89" x14ac:dyDescent="0.25">
      <c r="BV1188" s="177"/>
      <c r="BW1188" s="177"/>
      <c r="BX1188" s="267"/>
      <c r="BY1188" s="267"/>
      <c r="BZ1188" s="267"/>
      <c r="CA1188" s="267"/>
      <c r="CB1188" s="267"/>
      <c r="CC1188" s="267"/>
      <c r="CD1188" s="267"/>
      <c r="CE1188" s="267"/>
      <c r="CF1188" s="267"/>
      <c r="CG1188" s="267"/>
      <c r="CH1188" s="267"/>
      <c r="CI1188" s="435"/>
      <c r="CJ1188" s="436"/>
      <c r="CK1188" s="437"/>
    </row>
    <row r="1189" spans="74:89" x14ac:dyDescent="0.25">
      <c r="BV1189" s="177"/>
      <c r="BW1189" s="17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  <c r="CH1189" s="267"/>
      <c r="CI1189" s="435"/>
      <c r="CJ1189" s="436"/>
      <c r="CK1189" s="437"/>
    </row>
    <row r="1190" spans="74:89" x14ac:dyDescent="0.25">
      <c r="BV1190" s="177"/>
      <c r="BW1190" s="177"/>
      <c r="BX1190" s="267"/>
      <c r="BY1190" s="267"/>
      <c r="BZ1190" s="267"/>
      <c r="CA1190" s="267"/>
      <c r="CB1190" s="267"/>
      <c r="CC1190" s="267"/>
      <c r="CD1190" s="267"/>
      <c r="CE1190" s="267"/>
      <c r="CF1190" s="267"/>
      <c r="CG1190" s="267"/>
      <c r="CH1190" s="267"/>
      <c r="CI1190" s="435"/>
      <c r="CJ1190" s="436"/>
      <c r="CK1190" s="437"/>
    </row>
    <row r="1191" spans="74:89" x14ac:dyDescent="0.25">
      <c r="BV1191" s="177"/>
      <c r="BW1191" s="17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  <c r="CH1191" s="267"/>
      <c r="CI1191" s="435"/>
      <c r="CJ1191" s="436"/>
      <c r="CK1191" s="437"/>
    </row>
    <row r="1192" spans="74:89" x14ac:dyDescent="0.25">
      <c r="BV1192" s="177"/>
      <c r="BW1192" s="177"/>
      <c r="BX1192" s="267"/>
      <c r="BY1192" s="267"/>
      <c r="BZ1192" s="267"/>
      <c r="CA1192" s="267"/>
      <c r="CB1192" s="267"/>
      <c r="CC1192" s="267"/>
      <c r="CD1192" s="267"/>
      <c r="CE1192" s="267"/>
      <c r="CF1192" s="267"/>
      <c r="CG1192" s="267"/>
      <c r="CH1192" s="267"/>
      <c r="CI1192" s="435"/>
      <c r="CJ1192" s="436"/>
      <c r="CK1192" s="437"/>
    </row>
    <row r="1193" spans="74:89" x14ac:dyDescent="0.25">
      <c r="BV1193" s="177"/>
      <c r="BW1193" s="17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  <c r="CH1193" s="267"/>
      <c r="CI1193" s="435"/>
      <c r="CJ1193" s="436"/>
      <c r="CK1193" s="437"/>
    </row>
    <row r="1194" spans="74:89" x14ac:dyDescent="0.25">
      <c r="BV1194" s="177"/>
      <c r="BW1194" s="177"/>
      <c r="BX1194" s="267"/>
      <c r="BY1194" s="267"/>
      <c r="BZ1194" s="267"/>
      <c r="CA1194" s="267"/>
      <c r="CB1194" s="267"/>
      <c r="CC1194" s="267"/>
      <c r="CD1194" s="267"/>
      <c r="CE1194" s="267"/>
      <c r="CF1194" s="267"/>
      <c r="CG1194" s="267"/>
      <c r="CH1194" s="267"/>
      <c r="CI1194" s="435"/>
      <c r="CJ1194" s="436"/>
      <c r="CK1194" s="437"/>
    </row>
    <row r="1195" spans="74:89" x14ac:dyDescent="0.25">
      <c r="BV1195" s="177"/>
      <c r="BW1195" s="17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  <c r="CH1195" s="267"/>
      <c r="CI1195" s="435"/>
      <c r="CJ1195" s="436"/>
      <c r="CK1195" s="437"/>
    </row>
    <row r="1196" spans="74:89" x14ac:dyDescent="0.25">
      <c r="BV1196" s="177"/>
      <c r="BW1196" s="177"/>
      <c r="BX1196" s="267"/>
      <c r="BY1196" s="267"/>
      <c r="BZ1196" s="267"/>
      <c r="CA1196" s="267"/>
      <c r="CB1196" s="267"/>
      <c r="CC1196" s="267"/>
      <c r="CD1196" s="267"/>
      <c r="CE1196" s="267"/>
      <c r="CF1196" s="267"/>
      <c r="CG1196" s="267"/>
      <c r="CH1196" s="267"/>
      <c r="CI1196" s="435"/>
      <c r="CJ1196" s="436"/>
      <c r="CK1196" s="437"/>
    </row>
    <row r="1197" spans="74:89" x14ac:dyDescent="0.25">
      <c r="BV1197" s="177"/>
      <c r="BW1197" s="17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  <c r="CH1197" s="267"/>
      <c r="CI1197" s="435"/>
      <c r="CJ1197" s="436"/>
      <c r="CK1197" s="437"/>
    </row>
    <row r="1198" spans="74:89" x14ac:dyDescent="0.25">
      <c r="BV1198" s="177"/>
      <c r="BW1198" s="177"/>
      <c r="BX1198" s="267"/>
      <c r="BY1198" s="267"/>
      <c r="BZ1198" s="267"/>
      <c r="CA1198" s="267"/>
      <c r="CB1198" s="267"/>
      <c r="CC1198" s="267"/>
      <c r="CD1198" s="267"/>
      <c r="CE1198" s="267"/>
      <c r="CF1198" s="267"/>
      <c r="CG1198" s="267"/>
      <c r="CH1198" s="267"/>
      <c r="CI1198" s="435"/>
      <c r="CJ1198" s="436"/>
      <c r="CK1198" s="437"/>
    </row>
    <row r="1199" spans="74:89" x14ac:dyDescent="0.25">
      <c r="BV1199" s="177"/>
      <c r="BW1199" s="17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  <c r="CH1199" s="267"/>
      <c r="CI1199" s="435"/>
      <c r="CJ1199" s="436"/>
      <c r="CK1199" s="437"/>
    </row>
    <row r="1200" spans="74:89" x14ac:dyDescent="0.25">
      <c r="BV1200" s="177"/>
      <c r="BW1200" s="177"/>
      <c r="BX1200" s="267"/>
      <c r="BY1200" s="267"/>
      <c r="BZ1200" s="267"/>
      <c r="CA1200" s="267"/>
      <c r="CB1200" s="267"/>
      <c r="CC1200" s="267"/>
      <c r="CD1200" s="267"/>
      <c r="CE1200" s="267"/>
      <c r="CF1200" s="267"/>
      <c r="CG1200" s="267"/>
      <c r="CH1200" s="267"/>
      <c r="CI1200" s="435"/>
      <c r="CJ1200" s="436"/>
      <c r="CK1200" s="437"/>
    </row>
    <row r="1201" spans="74:89" x14ac:dyDescent="0.25">
      <c r="BV1201" s="177"/>
      <c r="BW1201" s="17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  <c r="CH1201" s="267"/>
      <c r="CI1201" s="435"/>
      <c r="CJ1201" s="436"/>
      <c r="CK1201" s="437"/>
    </row>
    <row r="1202" spans="74:89" x14ac:dyDescent="0.25">
      <c r="BV1202" s="177"/>
      <c r="BW1202" s="177"/>
      <c r="BX1202" s="267"/>
      <c r="BY1202" s="267"/>
      <c r="BZ1202" s="267"/>
      <c r="CA1202" s="267"/>
      <c r="CB1202" s="267"/>
      <c r="CC1202" s="267"/>
      <c r="CD1202" s="267"/>
      <c r="CE1202" s="267"/>
      <c r="CF1202" s="267"/>
      <c r="CG1202" s="267"/>
      <c r="CH1202" s="267"/>
      <c r="CI1202" s="435"/>
      <c r="CJ1202" s="436"/>
      <c r="CK1202" s="437"/>
    </row>
    <row r="1203" spans="74:89" x14ac:dyDescent="0.25">
      <c r="BV1203" s="177"/>
      <c r="BW1203" s="17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  <c r="CH1203" s="267"/>
      <c r="CI1203" s="435"/>
      <c r="CJ1203" s="436"/>
      <c r="CK1203" s="437"/>
    </row>
    <row r="1204" spans="74:89" x14ac:dyDescent="0.25">
      <c r="BV1204" s="177"/>
      <c r="BW1204" s="177"/>
      <c r="BX1204" s="267"/>
      <c r="BY1204" s="267"/>
      <c r="BZ1204" s="267"/>
      <c r="CA1204" s="267"/>
      <c r="CB1204" s="267"/>
      <c r="CC1204" s="267"/>
      <c r="CD1204" s="267"/>
      <c r="CE1204" s="267"/>
      <c r="CF1204" s="267"/>
      <c r="CG1204" s="267"/>
      <c r="CH1204" s="267"/>
      <c r="CI1204" s="435"/>
      <c r="CJ1204" s="436"/>
      <c r="CK1204" s="437"/>
    </row>
    <row r="1205" spans="74:89" x14ac:dyDescent="0.25">
      <c r="BV1205" s="177"/>
      <c r="BW1205" s="17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  <c r="CH1205" s="267"/>
      <c r="CI1205" s="435"/>
      <c r="CJ1205" s="436"/>
      <c r="CK1205" s="437"/>
    </row>
    <row r="1206" spans="74:89" x14ac:dyDescent="0.25">
      <c r="BV1206" s="177"/>
      <c r="BW1206" s="177"/>
      <c r="BX1206" s="267"/>
      <c r="BY1206" s="267"/>
      <c r="BZ1206" s="267"/>
      <c r="CA1206" s="267"/>
      <c r="CB1206" s="267"/>
      <c r="CC1206" s="267"/>
      <c r="CD1206" s="267"/>
      <c r="CE1206" s="267"/>
      <c r="CF1206" s="267"/>
      <c r="CG1206" s="267"/>
      <c r="CH1206" s="267"/>
      <c r="CI1206" s="435"/>
      <c r="CJ1206" s="436"/>
      <c r="CK1206" s="437"/>
    </row>
    <row r="1207" spans="74:89" x14ac:dyDescent="0.25">
      <c r="BV1207" s="177"/>
      <c r="BW1207" s="17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  <c r="CH1207" s="267"/>
      <c r="CI1207" s="435"/>
      <c r="CJ1207" s="436"/>
      <c r="CK1207" s="437"/>
    </row>
    <row r="1208" spans="74:89" x14ac:dyDescent="0.25">
      <c r="BV1208" s="177"/>
      <c r="BW1208" s="177"/>
      <c r="BX1208" s="267"/>
      <c r="BY1208" s="267"/>
      <c r="BZ1208" s="267"/>
      <c r="CA1208" s="267"/>
      <c r="CB1208" s="267"/>
      <c r="CC1208" s="267"/>
      <c r="CD1208" s="267"/>
      <c r="CE1208" s="267"/>
      <c r="CF1208" s="267"/>
      <c r="CG1208" s="267"/>
      <c r="CH1208" s="267"/>
      <c r="CI1208" s="435"/>
      <c r="CJ1208" s="436"/>
      <c r="CK1208" s="437"/>
    </row>
    <row r="1209" spans="74:89" x14ac:dyDescent="0.25">
      <c r="BV1209" s="177"/>
      <c r="BW1209" s="17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  <c r="CH1209" s="267"/>
      <c r="CI1209" s="435"/>
      <c r="CJ1209" s="436"/>
      <c r="CK1209" s="437"/>
    </row>
    <row r="1210" spans="74:89" x14ac:dyDescent="0.25">
      <c r="BV1210" s="177"/>
      <c r="BW1210" s="177"/>
      <c r="BX1210" s="267"/>
      <c r="BY1210" s="267"/>
      <c r="BZ1210" s="267"/>
      <c r="CA1210" s="267"/>
      <c r="CB1210" s="267"/>
      <c r="CC1210" s="267"/>
      <c r="CD1210" s="267"/>
      <c r="CE1210" s="267"/>
      <c r="CF1210" s="267"/>
      <c r="CG1210" s="267"/>
      <c r="CH1210" s="267"/>
      <c r="CI1210" s="435"/>
      <c r="CJ1210" s="436"/>
      <c r="CK1210" s="437"/>
    </row>
    <row r="1211" spans="74:89" x14ac:dyDescent="0.25">
      <c r="BV1211" s="177"/>
      <c r="BW1211" s="17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  <c r="CH1211" s="267"/>
      <c r="CI1211" s="435"/>
      <c r="CJ1211" s="436"/>
      <c r="CK1211" s="437"/>
    </row>
    <row r="1212" spans="74:89" x14ac:dyDescent="0.25">
      <c r="BV1212" s="177"/>
      <c r="BW1212" s="177"/>
      <c r="BX1212" s="267"/>
      <c r="BY1212" s="267"/>
      <c r="BZ1212" s="267"/>
      <c r="CA1212" s="267"/>
      <c r="CB1212" s="267"/>
      <c r="CC1212" s="267"/>
      <c r="CD1212" s="267"/>
      <c r="CE1212" s="267"/>
      <c r="CF1212" s="267"/>
      <c r="CG1212" s="267"/>
      <c r="CH1212" s="267"/>
      <c r="CI1212" s="435"/>
      <c r="CJ1212" s="436"/>
      <c r="CK1212" s="437"/>
    </row>
    <row r="1213" spans="74:89" x14ac:dyDescent="0.25">
      <c r="BV1213" s="177"/>
      <c r="BW1213" s="17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  <c r="CH1213" s="267"/>
      <c r="CI1213" s="435"/>
      <c r="CJ1213" s="436"/>
      <c r="CK1213" s="437"/>
    </row>
    <row r="1214" spans="74:89" x14ac:dyDescent="0.25">
      <c r="BV1214" s="177"/>
      <c r="BW1214" s="177"/>
      <c r="BX1214" s="267"/>
      <c r="BY1214" s="267"/>
      <c r="BZ1214" s="267"/>
      <c r="CA1214" s="267"/>
      <c r="CB1214" s="267"/>
      <c r="CC1214" s="267"/>
      <c r="CD1214" s="267"/>
      <c r="CE1214" s="267"/>
      <c r="CF1214" s="267"/>
      <c r="CG1214" s="267"/>
      <c r="CH1214" s="267"/>
      <c r="CI1214" s="435"/>
      <c r="CJ1214" s="436"/>
      <c r="CK1214" s="437"/>
    </row>
    <row r="1215" spans="74:89" x14ac:dyDescent="0.25">
      <c r="BV1215" s="177"/>
      <c r="BW1215" s="17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  <c r="CH1215" s="267"/>
      <c r="CI1215" s="435"/>
      <c r="CJ1215" s="436"/>
      <c r="CK1215" s="437"/>
    </row>
    <row r="1216" spans="74:89" x14ac:dyDescent="0.25">
      <c r="BV1216" s="177"/>
      <c r="BW1216" s="177"/>
      <c r="BX1216" s="267"/>
      <c r="BY1216" s="267"/>
      <c r="BZ1216" s="267"/>
      <c r="CA1216" s="267"/>
      <c r="CB1216" s="267"/>
      <c r="CC1216" s="267"/>
      <c r="CD1216" s="267"/>
      <c r="CE1216" s="267"/>
      <c r="CF1216" s="267"/>
      <c r="CG1216" s="267"/>
      <c r="CH1216" s="267"/>
      <c r="CI1216" s="435"/>
      <c r="CJ1216" s="436"/>
      <c r="CK1216" s="437"/>
    </row>
    <row r="1217" spans="74:89" x14ac:dyDescent="0.25">
      <c r="BV1217" s="177"/>
      <c r="BW1217" s="17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  <c r="CH1217" s="267"/>
      <c r="CI1217" s="435"/>
      <c r="CJ1217" s="436"/>
      <c r="CK1217" s="437"/>
    </row>
    <row r="1218" spans="74:89" x14ac:dyDescent="0.25">
      <c r="BV1218" s="177"/>
      <c r="BW1218" s="177"/>
      <c r="BX1218" s="267"/>
      <c r="BY1218" s="267"/>
      <c r="BZ1218" s="267"/>
      <c r="CA1218" s="267"/>
      <c r="CB1218" s="267"/>
      <c r="CC1218" s="267"/>
      <c r="CD1218" s="267"/>
      <c r="CE1218" s="267"/>
      <c r="CF1218" s="267"/>
      <c r="CG1218" s="267"/>
      <c r="CH1218" s="267"/>
      <c r="CI1218" s="435"/>
      <c r="CJ1218" s="436"/>
      <c r="CK1218" s="437"/>
    </row>
    <row r="1219" spans="74:89" x14ac:dyDescent="0.25">
      <c r="BV1219" s="177"/>
      <c r="BW1219" s="17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  <c r="CH1219" s="267"/>
      <c r="CI1219" s="435"/>
      <c r="CJ1219" s="436"/>
      <c r="CK1219" s="437"/>
    </row>
    <row r="1220" spans="74:89" x14ac:dyDescent="0.25">
      <c r="BV1220" s="177"/>
      <c r="BW1220" s="17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  <c r="CH1220" s="267"/>
      <c r="CI1220" s="435"/>
      <c r="CJ1220" s="436"/>
      <c r="CK1220" s="437"/>
    </row>
    <row r="1221" spans="74:89" x14ac:dyDescent="0.25">
      <c r="BV1221" s="177"/>
      <c r="BW1221" s="17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  <c r="CH1221" s="267"/>
      <c r="CI1221" s="435"/>
      <c r="CJ1221" s="436"/>
      <c r="CK1221" s="437"/>
    </row>
    <row r="1222" spans="74:89" x14ac:dyDescent="0.25">
      <c r="BV1222" s="177"/>
      <c r="BW1222" s="177"/>
      <c r="BX1222" s="267"/>
      <c r="BY1222" s="267"/>
      <c r="BZ1222" s="267"/>
      <c r="CA1222" s="267"/>
      <c r="CB1222" s="267"/>
      <c r="CC1222" s="267"/>
      <c r="CD1222" s="267"/>
      <c r="CE1222" s="267"/>
      <c r="CF1222" s="267"/>
      <c r="CG1222" s="267"/>
      <c r="CH1222" s="267"/>
      <c r="CI1222" s="435"/>
      <c r="CJ1222" s="436"/>
      <c r="CK1222" s="437"/>
    </row>
    <row r="1223" spans="74:89" x14ac:dyDescent="0.25">
      <c r="BV1223" s="177"/>
      <c r="BW1223" s="17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  <c r="CH1223" s="267"/>
      <c r="CI1223" s="435"/>
      <c r="CJ1223" s="436"/>
      <c r="CK1223" s="437"/>
    </row>
    <row r="1224" spans="74:89" x14ac:dyDescent="0.25">
      <c r="BV1224" s="177"/>
      <c r="BW1224" s="177"/>
      <c r="BX1224" s="267"/>
      <c r="BY1224" s="267"/>
      <c r="BZ1224" s="267"/>
      <c r="CA1224" s="267"/>
      <c r="CB1224" s="267"/>
      <c r="CC1224" s="267"/>
      <c r="CD1224" s="267"/>
      <c r="CE1224" s="267"/>
      <c r="CF1224" s="267"/>
      <c r="CG1224" s="267"/>
      <c r="CH1224" s="267"/>
      <c r="CI1224" s="435"/>
      <c r="CJ1224" s="436"/>
      <c r="CK1224" s="437"/>
    </row>
    <row r="1225" spans="74:89" x14ac:dyDescent="0.25">
      <c r="BV1225" s="177"/>
      <c r="BW1225" s="17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  <c r="CH1225" s="267"/>
      <c r="CI1225" s="435"/>
      <c r="CJ1225" s="436"/>
      <c r="CK1225" s="437"/>
    </row>
    <row r="1226" spans="74:89" x14ac:dyDescent="0.25">
      <c r="BV1226" s="177"/>
      <c r="BW1226" s="177"/>
      <c r="BX1226" s="267"/>
      <c r="BY1226" s="267"/>
      <c r="BZ1226" s="267"/>
      <c r="CA1226" s="267"/>
      <c r="CB1226" s="267"/>
      <c r="CC1226" s="267"/>
      <c r="CD1226" s="267"/>
      <c r="CE1226" s="267"/>
      <c r="CF1226" s="267"/>
      <c r="CG1226" s="267"/>
      <c r="CH1226" s="267"/>
      <c r="CI1226" s="435"/>
      <c r="CJ1226" s="436"/>
      <c r="CK1226" s="437"/>
    </row>
    <row r="1227" spans="74:89" x14ac:dyDescent="0.25">
      <c r="BV1227" s="177"/>
      <c r="BW1227" s="17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  <c r="CH1227" s="267"/>
      <c r="CI1227" s="435"/>
      <c r="CJ1227" s="436"/>
      <c r="CK1227" s="437"/>
    </row>
    <row r="1228" spans="74:89" x14ac:dyDescent="0.25">
      <c r="BV1228" s="177"/>
      <c r="BW1228" s="177"/>
      <c r="BX1228" s="267"/>
      <c r="BY1228" s="267"/>
      <c r="BZ1228" s="267"/>
      <c r="CA1228" s="267"/>
      <c r="CB1228" s="267"/>
      <c r="CC1228" s="267"/>
      <c r="CD1228" s="267"/>
      <c r="CE1228" s="267"/>
      <c r="CF1228" s="267"/>
      <c r="CG1228" s="267"/>
      <c r="CH1228" s="267"/>
      <c r="CI1228" s="435"/>
      <c r="CJ1228" s="436"/>
      <c r="CK1228" s="437"/>
    </row>
    <row r="1229" spans="74:89" x14ac:dyDescent="0.25">
      <c r="BV1229" s="177"/>
      <c r="BW1229" s="17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  <c r="CH1229" s="267"/>
      <c r="CI1229" s="435"/>
      <c r="CJ1229" s="436"/>
      <c r="CK1229" s="437"/>
    </row>
    <row r="1230" spans="74:89" x14ac:dyDescent="0.25">
      <c r="BV1230" s="177"/>
      <c r="BW1230" s="17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  <c r="CH1230" s="267"/>
      <c r="CI1230" s="435"/>
      <c r="CJ1230" s="436"/>
      <c r="CK1230" s="437"/>
    </row>
    <row r="1231" spans="74:89" x14ac:dyDescent="0.25">
      <c r="BV1231" s="177"/>
      <c r="BW1231" s="17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  <c r="CH1231" s="267"/>
      <c r="CI1231" s="435"/>
      <c r="CJ1231" s="436"/>
      <c r="CK1231" s="437"/>
    </row>
    <row r="1232" spans="74:89" x14ac:dyDescent="0.25">
      <c r="BV1232" s="177"/>
      <c r="BW1232" s="177"/>
      <c r="BX1232" s="267"/>
      <c r="BY1232" s="267"/>
      <c r="BZ1232" s="267"/>
      <c r="CA1232" s="267"/>
      <c r="CB1232" s="267"/>
      <c r="CC1232" s="267"/>
      <c r="CD1232" s="267"/>
      <c r="CE1232" s="267"/>
      <c r="CF1232" s="267"/>
      <c r="CG1232" s="267"/>
      <c r="CH1232" s="267"/>
      <c r="CI1232" s="435"/>
      <c r="CJ1232" s="436"/>
      <c r="CK1232" s="437"/>
    </row>
    <row r="1233" spans="74:89" x14ac:dyDescent="0.25">
      <c r="BV1233" s="177"/>
      <c r="BW1233" s="17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  <c r="CH1233" s="267"/>
      <c r="CI1233" s="435"/>
      <c r="CJ1233" s="436"/>
      <c r="CK1233" s="437"/>
    </row>
    <row r="1234" spans="74:89" x14ac:dyDescent="0.25">
      <c r="BV1234" s="177"/>
      <c r="BW1234" s="177"/>
      <c r="BX1234" s="267"/>
      <c r="BY1234" s="267"/>
      <c r="BZ1234" s="267"/>
      <c r="CA1234" s="267"/>
      <c r="CB1234" s="267"/>
      <c r="CC1234" s="267"/>
      <c r="CD1234" s="267"/>
      <c r="CE1234" s="267"/>
      <c r="CF1234" s="267"/>
      <c r="CG1234" s="267"/>
      <c r="CH1234" s="267"/>
      <c r="CI1234" s="435"/>
      <c r="CJ1234" s="436"/>
      <c r="CK1234" s="437"/>
    </row>
    <row r="1235" spans="74:89" x14ac:dyDescent="0.25">
      <c r="BV1235" s="177"/>
      <c r="BW1235" s="17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  <c r="CH1235" s="267"/>
      <c r="CI1235" s="435"/>
      <c r="CJ1235" s="436"/>
      <c r="CK1235" s="437"/>
    </row>
    <row r="1236" spans="74:89" x14ac:dyDescent="0.25">
      <c r="BV1236" s="177"/>
      <c r="BW1236" s="177"/>
      <c r="BX1236" s="267"/>
      <c r="BY1236" s="267"/>
      <c r="BZ1236" s="267"/>
      <c r="CA1236" s="267"/>
      <c r="CB1236" s="267"/>
      <c r="CC1236" s="267"/>
      <c r="CD1236" s="267"/>
      <c r="CE1236" s="267"/>
      <c r="CF1236" s="267"/>
      <c r="CG1236" s="267"/>
      <c r="CH1236" s="267"/>
      <c r="CI1236" s="435"/>
      <c r="CJ1236" s="436"/>
      <c r="CK1236" s="437"/>
    </row>
    <row r="1237" spans="74:89" x14ac:dyDescent="0.25">
      <c r="BV1237" s="177"/>
      <c r="BW1237" s="17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  <c r="CH1237" s="267"/>
      <c r="CI1237" s="435"/>
      <c r="CJ1237" s="436"/>
      <c r="CK1237" s="437"/>
    </row>
    <row r="1238" spans="74:89" x14ac:dyDescent="0.25">
      <c r="BV1238" s="177"/>
      <c r="BW1238" s="177"/>
      <c r="BX1238" s="267"/>
      <c r="BY1238" s="267"/>
      <c r="BZ1238" s="267"/>
      <c r="CA1238" s="267"/>
      <c r="CB1238" s="267"/>
      <c r="CC1238" s="267"/>
      <c r="CD1238" s="267"/>
      <c r="CE1238" s="267"/>
      <c r="CF1238" s="267"/>
      <c r="CG1238" s="267"/>
      <c r="CH1238" s="267"/>
      <c r="CI1238" s="435"/>
      <c r="CJ1238" s="436"/>
      <c r="CK1238" s="437"/>
    </row>
    <row r="1239" spans="74:89" x14ac:dyDescent="0.25">
      <c r="BV1239" s="177"/>
      <c r="BW1239" s="17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  <c r="CH1239" s="267"/>
      <c r="CI1239" s="435"/>
      <c r="CJ1239" s="436"/>
      <c r="CK1239" s="437"/>
    </row>
    <row r="1240" spans="74:89" x14ac:dyDescent="0.25">
      <c r="BV1240" s="177"/>
      <c r="BW1240" s="17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  <c r="CH1240" s="267"/>
      <c r="CI1240" s="435"/>
      <c r="CJ1240" s="436"/>
      <c r="CK1240" s="437"/>
    </row>
    <row r="1241" spans="74:89" x14ac:dyDescent="0.25">
      <c r="BV1241" s="177"/>
      <c r="BW1241" s="17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  <c r="CH1241" s="267"/>
      <c r="CI1241" s="435"/>
      <c r="CJ1241" s="436"/>
      <c r="CK1241" s="437"/>
    </row>
    <row r="1242" spans="74:89" x14ac:dyDescent="0.25">
      <c r="BV1242" s="177"/>
      <c r="BW1242" s="17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  <c r="CH1242" s="267"/>
      <c r="CI1242" s="435"/>
      <c r="CJ1242" s="436"/>
      <c r="CK1242" s="437"/>
    </row>
    <row r="1243" spans="74:89" x14ac:dyDescent="0.25">
      <c r="BV1243" s="177"/>
      <c r="BW1243" s="17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  <c r="CH1243" s="267"/>
      <c r="CI1243" s="435"/>
      <c r="CJ1243" s="436"/>
      <c r="CK1243" s="437"/>
    </row>
    <row r="1244" spans="74:89" x14ac:dyDescent="0.25">
      <c r="BV1244" s="177"/>
      <c r="BW1244" s="17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  <c r="CH1244" s="267"/>
      <c r="CI1244" s="435"/>
      <c r="CJ1244" s="436"/>
      <c r="CK1244" s="437"/>
    </row>
    <row r="1245" spans="74:89" x14ac:dyDescent="0.25">
      <c r="BV1245" s="177"/>
      <c r="BW1245" s="17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  <c r="CH1245" s="267"/>
      <c r="CI1245" s="435"/>
      <c r="CJ1245" s="436"/>
      <c r="CK1245" s="437"/>
    </row>
    <row r="1246" spans="74:89" x14ac:dyDescent="0.25">
      <c r="BV1246" s="177"/>
      <c r="BW1246" s="17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  <c r="CH1246" s="267"/>
      <c r="CI1246" s="435"/>
      <c r="CJ1246" s="436"/>
      <c r="CK1246" s="437"/>
    </row>
    <row r="1247" spans="74:89" x14ac:dyDescent="0.25">
      <c r="BV1247" s="177"/>
      <c r="BW1247" s="17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  <c r="CH1247" s="267"/>
      <c r="CI1247" s="435"/>
      <c r="CJ1247" s="436"/>
      <c r="CK1247" s="437"/>
    </row>
    <row r="1248" spans="74:89" x14ac:dyDescent="0.25">
      <c r="BV1248" s="177"/>
      <c r="BW1248" s="17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  <c r="CH1248" s="267"/>
      <c r="CI1248" s="435"/>
      <c r="CJ1248" s="436"/>
      <c r="CK1248" s="437"/>
    </row>
    <row r="1249" spans="74:89" x14ac:dyDescent="0.25">
      <c r="BV1249" s="177"/>
      <c r="BW1249" s="177"/>
      <c r="BX1249" s="267"/>
      <c r="BY1249" s="267"/>
      <c r="BZ1249" s="267"/>
      <c r="CA1249" s="267"/>
      <c r="CB1249" s="267"/>
      <c r="CC1249" s="267"/>
      <c r="CD1249" s="267"/>
      <c r="CE1249" s="267"/>
      <c r="CF1249" s="267"/>
      <c r="CG1249" s="267"/>
      <c r="CH1249" s="267"/>
      <c r="CI1249" s="435"/>
      <c r="CJ1249" s="436"/>
      <c r="CK1249" s="437"/>
    </row>
    <row r="1250" spans="74:89" x14ac:dyDescent="0.25">
      <c r="BV1250" s="177"/>
      <c r="BW1250" s="17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  <c r="CH1250" s="267"/>
      <c r="CI1250" s="435"/>
      <c r="CJ1250" s="436"/>
      <c r="CK1250" s="437"/>
    </row>
    <row r="1251" spans="74:89" x14ac:dyDescent="0.25">
      <c r="BV1251" s="177"/>
      <c r="BW1251" s="17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  <c r="CH1251" s="267"/>
      <c r="CI1251" s="435"/>
      <c r="CJ1251" s="436"/>
      <c r="CK1251" s="437"/>
    </row>
    <row r="1252" spans="74:89" x14ac:dyDescent="0.25">
      <c r="BV1252" s="177"/>
      <c r="BW1252" s="17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  <c r="CH1252" s="267"/>
      <c r="CI1252" s="435"/>
      <c r="CJ1252" s="436"/>
      <c r="CK1252" s="437"/>
    </row>
    <row r="1253" spans="74:89" x14ac:dyDescent="0.25">
      <c r="BV1253" s="177"/>
      <c r="BW1253" s="17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  <c r="CH1253" s="267"/>
      <c r="CI1253" s="435"/>
      <c r="CJ1253" s="436"/>
      <c r="CK1253" s="437"/>
    </row>
    <row r="1254" spans="74:89" x14ac:dyDescent="0.25">
      <c r="BV1254" s="177"/>
      <c r="BW1254" s="17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  <c r="CH1254" s="267"/>
      <c r="CI1254" s="435"/>
      <c r="CJ1254" s="436"/>
      <c r="CK1254" s="437"/>
    </row>
    <row r="1255" spans="74:89" x14ac:dyDescent="0.25">
      <c r="BV1255" s="177"/>
      <c r="BW1255" s="17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  <c r="CH1255" s="267"/>
      <c r="CI1255" s="435"/>
      <c r="CJ1255" s="436"/>
      <c r="CK1255" s="437"/>
    </row>
    <row r="1256" spans="74:89" x14ac:dyDescent="0.25">
      <c r="BV1256" s="177"/>
      <c r="BW1256" s="17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  <c r="CH1256" s="267"/>
      <c r="CI1256" s="435"/>
      <c r="CJ1256" s="436"/>
      <c r="CK1256" s="437"/>
    </row>
    <row r="1257" spans="74:89" x14ac:dyDescent="0.25">
      <c r="BV1257" s="177"/>
      <c r="BW1257" s="177"/>
      <c r="BX1257" s="267"/>
      <c r="BY1257" s="267"/>
      <c r="BZ1257" s="267"/>
      <c r="CA1257" s="267"/>
      <c r="CB1257" s="267"/>
      <c r="CC1257" s="267"/>
      <c r="CD1257" s="267"/>
      <c r="CE1257" s="267"/>
      <c r="CF1257" s="267"/>
      <c r="CG1257" s="267"/>
      <c r="CH1257" s="267"/>
      <c r="CI1257" s="435"/>
      <c r="CJ1257" s="436"/>
      <c r="CK1257" s="437"/>
    </row>
    <row r="1258" spans="74:89" x14ac:dyDescent="0.25">
      <c r="BV1258" s="177"/>
      <c r="BW1258" s="17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  <c r="CH1258" s="267"/>
      <c r="CI1258" s="435"/>
      <c r="CJ1258" s="436"/>
      <c r="CK1258" s="437"/>
    </row>
    <row r="1259" spans="74:89" x14ac:dyDescent="0.25">
      <c r="BV1259" s="177"/>
      <c r="BW1259" s="177"/>
      <c r="BX1259" s="267"/>
      <c r="BY1259" s="267"/>
      <c r="BZ1259" s="267"/>
      <c r="CA1259" s="267"/>
      <c r="CB1259" s="267"/>
      <c r="CC1259" s="267"/>
      <c r="CD1259" s="267"/>
      <c r="CE1259" s="267"/>
      <c r="CF1259" s="267"/>
      <c r="CG1259" s="267"/>
      <c r="CH1259" s="267"/>
      <c r="CI1259" s="435"/>
      <c r="CJ1259" s="436"/>
      <c r="CK1259" s="437"/>
    </row>
    <row r="1260" spans="74:89" x14ac:dyDescent="0.25">
      <c r="BV1260" s="177"/>
      <c r="BW1260" s="17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  <c r="CH1260" s="267"/>
      <c r="CI1260" s="435"/>
      <c r="CJ1260" s="436"/>
      <c r="CK1260" s="437"/>
    </row>
    <row r="1261" spans="74:89" x14ac:dyDescent="0.25">
      <c r="BV1261" s="177"/>
      <c r="BW1261" s="177"/>
      <c r="BX1261" s="267"/>
      <c r="BY1261" s="267"/>
      <c r="BZ1261" s="267"/>
      <c r="CA1261" s="267"/>
      <c r="CB1261" s="267"/>
      <c r="CC1261" s="267"/>
      <c r="CD1261" s="267"/>
      <c r="CE1261" s="267"/>
      <c r="CF1261" s="267"/>
      <c r="CG1261" s="267"/>
      <c r="CH1261" s="267"/>
      <c r="CI1261" s="435"/>
      <c r="CJ1261" s="436"/>
      <c r="CK1261" s="437"/>
    </row>
    <row r="1262" spans="74:89" x14ac:dyDescent="0.25">
      <c r="BV1262" s="177"/>
      <c r="BW1262" s="17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  <c r="CH1262" s="267"/>
      <c r="CI1262" s="435"/>
      <c r="CJ1262" s="436"/>
      <c r="CK1262" s="437"/>
    </row>
    <row r="1263" spans="74:89" x14ac:dyDescent="0.25">
      <c r="BV1263" s="177"/>
      <c r="BW1263" s="177"/>
      <c r="BX1263" s="267"/>
      <c r="BY1263" s="267"/>
      <c r="BZ1263" s="267"/>
      <c r="CA1263" s="267"/>
      <c r="CB1263" s="267"/>
      <c r="CC1263" s="267"/>
      <c r="CD1263" s="267"/>
      <c r="CE1263" s="267"/>
      <c r="CF1263" s="267"/>
      <c r="CG1263" s="267"/>
      <c r="CH1263" s="267"/>
      <c r="CI1263" s="435"/>
      <c r="CJ1263" s="436"/>
      <c r="CK1263" s="437"/>
    </row>
    <row r="1264" spans="74:89" x14ac:dyDescent="0.25">
      <c r="BV1264" s="177"/>
      <c r="BW1264" s="17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  <c r="CH1264" s="267"/>
      <c r="CI1264" s="435"/>
      <c r="CJ1264" s="436"/>
      <c r="CK1264" s="437"/>
    </row>
    <row r="1265" spans="74:89" x14ac:dyDescent="0.25">
      <c r="BV1265" s="177"/>
      <c r="BW1265" s="17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  <c r="CH1265" s="267"/>
      <c r="CI1265" s="435"/>
      <c r="CJ1265" s="436"/>
      <c r="CK1265" s="437"/>
    </row>
    <row r="1266" spans="74:89" x14ac:dyDescent="0.25">
      <c r="BV1266" s="177"/>
      <c r="BW1266" s="17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  <c r="CH1266" s="267"/>
      <c r="CI1266" s="435"/>
      <c r="CJ1266" s="436"/>
      <c r="CK1266" s="437"/>
    </row>
    <row r="1267" spans="74:89" x14ac:dyDescent="0.25">
      <c r="BV1267" s="177"/>
      <c r="BW1267" s="177"/>
      <c r="BX1267" s="267"/>
      <c r="BY1267" s="267"/>
      <c r="BZ1267" s="267"/>
      <c r="CA1267" s="267"/>
      <c r="CB1267" s="267"/>
      <c r="CC1267" s="267"/>
      <c r="CD1267" s="267"/>
      <c r="CE1267" s="267"/>
      <c r="CF1267" s="267"/>
      <c r="CG1267" s="267"/>
      <c r="CH1267" s="267"/>
      <c r="CI1267" s="435"/>
      <c r="CJ1267" s="436"/>
      <c r="CK1267" s="437"/>
    </row>
    <row r="1268" spans="74:89" x14ac:dyDescent="0.25">
      <c r="BV1268" s="177"/>
      <c r="BW1268" s="177"/>
      <c r="BX1268" s="267"/>
      <c r="BY1268" s="267"/>
      <c r="BZ1268" s="267"/>
      <c r="CA1268" s="267"/>
      <c r="CB1268" s="267"/>
      <c r="CC1268" s="267"/>
      <c r="CD1268" s="267"/>
      <c r="CE1268" s="267"/>
      <c r="CF1268" s="267"/>
      <c r="CG1268" s="267"/>
      <c r="CH1268" s="267"/>
      <c r="CI1268" s="435"/>
      <c r="CJ1268" s="436"/>
      <c r="CK1268" s="437"/>
    </row>
    <row r="1269" spans="74:89" x14ac:dyDescent="0.25">
      <c r="BV1269" s="177"/>
      <c r="BW1269" s="177"/>
      <c r="BX1269" s="267"/>
      <c r="BY1269" s="267"/>
      <c r="BZ1269" s="267"/>
      <c r="CA1269" s="267"/>
      <c r="CB1269" s="267"/>
      <c r="CC1269" s="267"/>
      <c r="CD1269" s="267"/>
      <c r="CE1269" s="267"/>
      <c r="CF1269" s="267"/>
      <c r="CG1269" s="267"/>
      <c r="CH1269" s="267"/>
      <c r="CI1269" s="435"/>
      <c r="CJ1269" s="436"/>
      <c r="CK1269" s="437"/>
    </row>
    <row r="1270" spans="74:89" x14ac:dyDescent="0.25">
      <c r="BV1270" s="177"/>
      <c r="BW1270" s="177"/>
      <c r="BX1270" s="267"/>
      <c r="BY1270" s="267"/>
      <c r="BZ1270" s="267"/>
      <c r="CA1270" s="267"/>
      <c r="CB1270" s="267"/>
      <c r="CC1270" s="267"/>
      <c r="CD1270" s="267"/>
      <c r="CE1270" s="267"/>
      <c r="CF1270" s="267"/>
      <c r="CG1270" s="267"/>
      <c r="CH1270" s="267"/>
      <c r="CI1270" s="435"/>
      <c r="CJ1270" s="436"/>
      <c r="CK1270" s="437"/>
    </row>
    <row r="1271" spans="74:89" x14ac:dyDescent="0.25">
      <c r="BV1271" s="177"/>
      <c r="BW1271" s="177"/>
      <c r="BX1271" s="267"/>
      <c r="BY1271" s="267"/>
      <c r="BZ1271" s="267"/>
      <c r="CA1271" s="267"/>
      <c r="CB1271" s="267"/>
      <c r="CC1271" s="267"/>
      <c r="CD1271" s="267"/>
      <c r="CE1271" s="267"/>
      <c r="CF1271" s="267"/>
      <c r="CG1271" s="267"/>
      <c r="CH1271" s="267"/>
      <c r="CI1271" s="435"/>
      <c r="CJ1271" s="436"/>
      <c r="CK1271" s="437"/>
    </row>
    <row r="1272" spans="74:89" x14ac:dyDescent="0.25">
      <c r="BV1272" s="177"/>
      <c r="BW1272" s="177"/>
      <c r="BX1272" s="267"/>
      <c r="BY1272" s="267"/>
      <c r="BZ1272" s="267"/>
      <c r="CA1272" s="267"/>
      <c r="CB1272" s="267"/>
      <c r="CC1272" s="267"/>
      <c r="CD1272" s="267"/>
      <c r="CE1272" s="267"/>
      <c r="CF1272" s="267"/>
      <c r="CG1272" s="267"/>
      <c r="CH1272" s="267"/>
      <c r="CI1272" s="435"/>
      <c r="CJ1272" s="436"/>
      <c r="CK1272" s="437"/>
    </row>
    <row r="1273" spans="74:89" x14ac:dyDescent="0.25">
      <c r="BV1273" s="177"/>
      <c r="BW1273" s="177"/>
      <c r="BX1273" s="267"/>
      <c r="BY1273" s="267"/>
      <c r="BZ1273" s="267"/>
      <c r="CA1273" s="267"/>
      <c r="CB1273" s="267"/>
      <c r="CC1273" s="267"/>
      <c r="CD1273" s="267"/>
      <c r="CE1273" s="267"/>
      <c r="CF1273" s="267"/>
      <c r="CG1273" s="267"/>
      <c r="CH1273" s="267"/>
      <c r="CI1273" s="435"/>
      <c r="CJ1273" s="436"/>
      <c r="CK1273" s="437"/>
    </row>
    <row r="1274" spans="74:89" x14ac:dyDescent="0.25">
      <c r="BV1274" s="177"/>
      <c r="BW1274" s="177"/>
      <c r="BX1274" s="267"/>
      <c r="BY1274" s="267"/>
      <c r="BZ1274" s="267"/>
      <c r="CA1274" s="267"/>
      <c r="CB1274" s="267"/>
      <c r="CC1274" s="267"/>
      <c r="CD1274" s="267"/>
      <c r="CE1274" s="267"/>
      <c r="CF1274" s="267"/>
      <c r="CG1274" s="267"/>
      <c r="CH1274" s="267"/>
      <c r="CI1274" s="435"/>
      <c r="CJ1274" s="436"/>
      <c r="CK1274" s="437"/>
    </row>
    <row r="1275" spans="74:89" x14ac:dyDescent="0.25">
      <c r="BV1275" s="177"/>
      <c r="BW1275" s="177"/>
      <c r="BX1275" s="267"/>
      <c r="BY1275" s="267"/>
      <c r="BZ1275" s="267"/>
      <c r="CA1275" s="267"/>
      <c r="CB1275" s="267"/>
      <c r="CC1275" s="267"/>
      <c r="CD1275" s="267"/>
      <c r="CE1275" s="267"/>
      <c r="CF1275" s="267"/>
      <c r="CG1275" s="267"/>
      <c r="CH1275" s="267"/>
      <c r="CI1275" s="435"/>
      <c r="CJ1275" s="436"/>
      <c r="CK1275" s="437"/>
    </row>
    <row r="1276" spans="74:89" x14ac:dyDescent="0.25">
      <c r="BV1276" s="177"/>
      <c r="BW1276" s="177"/>
      <c r="BX1276" s="267"/>
      <c r="BY1276" s="267"/>
      <c r="BZ1276" s="267"/>
      <c r="CA1276" s="267"/>
      <c r="CB1276" s="267"/>
      <c r="CC1276" s="267"/>
      <c r="CD1276" s="267"/>
      <c r="CE1276" s="267"/>
      <c r="CF1276" s="267"/>
      <c r="CG1276" s="267"/>
      <c r="CH1276" s="267"/>
      <c r="CI1276" s="435"/>
      <c r="CJ1276" s="436"/>
      <c r="CK1276" s="437"/>
    </row>
    <row r="1277" spans="74:89" x14ac:dyDescent="0.25">
      <c r="BV1277" s="177"/>
      <c r="BW1277" s="177"/>
      <c r="BX1277" s="267"/>
      <c r="BY1277" s="267"/>
      <c r="BZ1277" s="267"/>
      <c r="CA1277" s="267"/>
      <c r="CB1277" s="267"/>
      <c r="CC1277" s="267"/>
      <c r="CD1277" s="267"/>
      <c r="CE1277" s="267"/>
      <c r="CF1277" s="267"/>
      <c r="CG1277" s="267"/>
      <c r="CH1277" s="267"/>
      <c r="CI1277" s="435"/>
      <c r="CJ1277" s="436"/>
      <c r="CK1277" s="437"/>
    </row>
    <row r="1278" spans="74:89" x14ac:dyDescent="0.25">
      <c r="BV1278" s="177"/>
      <c r="BW1278" s="177"/>
      <c r="BX1278" s="267"/>
      <c r="BY1278" s="267"/>
      <c r="BZ1278" s="267"/>
      <c r="CA1278" s="267"/>
      <c r="CB1278" s="267"/>
      <c r="CC1278" s="267"/>
      <c r="CD1278" s="267"/>
      <c r="CE1278" s="267"/>
      <c r="CF1278" s="267"/>
      <c r="CG1278" s="267"/>
      <c r="CH1278" s="267"/>
      <c r="CI1278" s="435"/>
      <c r="CJ1278" s="436"/>
      <c r="CK1278" s="437"/>
    </row>
    <row r="1279" spans="74:89" x14ac:dyDescent="0.25">
      <c r="BV1279" s="177"/>
      <c r="BW1279" s="177"/>
      <c r="BX1279" s="267"/>
      <c r="BY1279" s="267"/>
      <c r="BZ1279" s="267"/>
      <c r="CA1279" s="267"/>
      <c r="CB1279" s="267"/>
      <c r="CC1279" s="267"/>
      <c r="CD1279" s="267"/>
      <c r="CE1279" s="267"/>
      <c r="CF1279" s="267"/>
      <c r="CG1279" s="267"/>
      <c r="CH1279" s="267"/>
      <c r="CI1279" s="435"/>
      <c r="CJ1279" s="436"/>
      <c r="CK1279" s="437"/>
    </row>
    <row r="1280" spans="74:89" x14ac:dyDescent="0.25">
      <c r="BV1280" s="177"/>
      <c r="BW1280" s="177"/>
      <c r="BX1280" s="267"/>
      <c r="BY1280" s="267"/>
      <c r="BZ1280" s="267"/>
      <c r="CA1280" s="267"/>
      <c r="CB1280" s="267"/>
      <c r="CC1280" s="267"/>
      <c r="CD1280" s="267"/>
      <c r="CE1280" s="267"/>
      <c r="CF1280" s="267"/>
      <c r="CG1280" s="267"/>
      <c r="CH1280" s="267"/>
      <c r="CI1280" s="435"/>
      <c r="CJ1280" s="436"/>
      <c r="CK1280" s="437"/>
    </row>
    <row r="1281" spans="74:89" x14ac:dyDescent="0.25">
      <c r="BV1281" s="177"/>
      <c r="BW1281" s="177"/>
      <c r="BX1281" s="267"/>
      <c r="BY1281" s="267"/>
      <c r="BZ1281" s="267"/>
      <c r="CA1281" s="267"/>
      <c r="CB1281" s="267"/>
      <c r="CC1281" s="267"/>
      <c r="CD1281" s="267"/>
      <c r="CE1281" s="267"/>
      <c r="CF1281" s="267"/>
      <c r="CG1281" s="267"/>
      <c r="CH1281" s="267"/>
      <c r="CI1281" s="435"/>
      <c r="CJ1281" s="436"/>
      <c r="CK1281" s="437"/>
    </row>
    <row r="1282" spans="74:89" x14ac:dyDescent="0.25">
      <c r="BV1282" s="177"/>
      <c r="BW1282" s="177"/>
      <c r="BX1282" s="267"/>
      <c r="BY1282" s="267"/>
      <c r="BZ1282" s="267"/>
      <c r="CA1282" s="267"/>
      <c r="CB1282" s="267"/>
      <c r="CC1282" s="267"/>
      <c r="CD1282" s="267"/>
      <c r="CE1282" s="267"/>
      <c r="CF1282" s="267"/>
      <c r="CG1282" s="267"/>
      <c r="CH1282" s="267"/>
      <c r="CI1282" s="435"/>
      <c r="CJ1282" s="436"/>
      <c r="CK1282" s="437"/>
    </row>
    <row r="1283" spans="74:89" x14ac:dyDescent="0.25">
      <c r="BV1283" s="177"/>
      <c r="BW1283" s="177"/>
      <c r="BX1283" s="267"/>
      <c r="BY1283" s="267"/>
      <c r="BZ1283" s="267"/>
      <c r="CA1283" s="267"/>
      <c r="CB1283" s="267"/>
      <c r="CC1283" s="267"/>
      <c r="CD1283" s="267"/>
      <c r="CE1283" s="267"/>
      <c r="CF1283" s="267"/>
      <c r="CG1283" s="267"/>
      <c r="CH1283" s="267"/>
      <c r="CI1283" s="435"/>
      <c r="CJ1283" s="436"/>
      <c r="CK1283" s="437"/>
    </row>
    <row r="1284" spans="74:89" x14ac:dyDescent="0.25">
      <c r="BV1284" s="177"/>
      <c r="BW1284" s="177"/>
      <c r="BX1284" s="267"/>
      <c r="BY1284" s="267"/>
      <c r="BZ1284" s="267"/>
      <c r="CA1284" s="267"/>
      <c r="CB1284" s="267"/>
      <c r="CC1284" s="267"/>
      <c r="CD1284" s="267"/>
      <c r="CE1284" s="267"/>
      <c r="CF1284" s="267"/>
      <c r="CG1284" s="267"/>
      <c r="CH1284" s="267"/>
      <c r="CI1284" s="435"/>
      <c r="CJ1284" s="436"/>
      <c r="CK1284" s="437"/>
    </row>
    <row r="1285" spans="74:89" x14ac:dyDescent="0.25">
      <c r="BV1285" s="177"/>
      <c r="BW1285" s="177"/>
      <c r="BX1285" s="267"/>
      <c r="BY1285" s="267"/>
      <c r="BZ1285" s="267"/>
      <c r="CA1285" s="267"/>
      <c r="CB1285" s="267"/>
      <c r="CC1285" s="267"/>
      <c r="CD1285" s="267"/>
      <c r="CE1285" s="267"/>
      <c r="CF1285" s="267"/>
      <c r="CG1285" s="267"/>
      <c r="CH1285" s="267"/>
      <c r="CI1285" s="435"/>
      <c r="CJ1285" s="436"/>
      <c r="CK1285" s="437"/>
    </row>
    <row r="1286" spans="74:89" x14ac:dyDescent="0.25">
      <c r="BV1286" s="177"/>
      <c r="BW1286" s="177"/>
      <c r="BX1286" s="267"/>
      <c r="BY1286" s="267"/>
      <c r="BZ1286" s="267"/>
      <c r="CA1286" s="267"/>
      <c r="CB1286" s="267"/>
      <c r="CC1286" s="267"/>
      <c r="CD1286" s="267"/>
      <c r="CE1286" s="267"/>
      <c r="CF1286" s="267"/>
      <c r="CG1286" s="267"/>
      <c r="CH1286" s="267"/>
      <c r="CI1286" s="435"/>
      <c r="CJ1286" s="436"/>
      <c r="CK1286" s="437"/>
    </row>
    <row r="1287" spans="74:89" x14ac:dyDescent="0.25">
      <c r="BV1287" s="177"/>
      <c r="BW1287" s="177"/>
      <c r="BX1287" s="267"/>
      <c r="BY1287" s="267"/>
      <c r="BZ1287" s="267"/>
      <c r="CA1287" s="267"/>
      <c r="CB1287" s="267"/>
      <c r="CC1287" s="267"/>
      <c r="CD1287" s="267"/>
      <c r="CE1287" s="267"/>
      <c r="CF1287" s="267"/>
      <c r="CG1287" s="267"/>
      <c r="CH1287" s="267"/>
      <c r="CI1287" s="435"/>
      <c r="CJ1287" s="436"/>
      <c r="CK1287" s="437"/>
    </row>
    <row r="1288" spans="74:89" x14ac:dyDescent="0.25">
      <c r="BV1288" s="177"/>
      <c r="BW1288" s="177"/>
      <c r="BX1288" s="267"/>
      <c r="BY1288" s="267"/>
      <c r="BZ1288" s="267"/>
      <c r="CA1288" s="267"/>
      <c r="CB1288" s="267"/>
      <c r="CC1288" s="267"/>
      <c r="CD1288" s="267"/>
      <c r="CE1288" s="267"/>
      <c r="CF1288" s="267"/>
      <c r="CG1288" s="267"/>
      <c r="CH1288" s="267"/>
      <c r="CI1288" s="435"/>
      <c r="CJ1288" s="436"/>
      <c r="CK1288" s="437"/>
    </row>
    <row r="1289" spans="74:89" x14ac:dyDescent="0.25">
      <c r="BV1289" s="177"/>
      <c r="BW1289" s="177"/>
      <c r="BX1289" s="267"/>
      <c r="BY1289" s="267"/>
      <c r="BZ1289" s="267"/>
      <c r="CA1289" s="267"/>
      <c r="CB1289" s="267"/>
      <c r="CC1289" s="267"/>
      <c r="CD1289" s="267"/>
      <c r="CE1289" s="267"/>
      <c r="CF1289" s="267"/>
      <c r="CG1289" s="267"/>
      <c r="CH1289" s="267"/>
      <c r="CI1289" s="435"/>
      <c r="CJ1289" s="436"/>
      <c r="CK1289" s="437"/>
    </row>
    <row r="1290" spans="74:89" x14ac:dyDescent="0.25">
      <c r="BV1290" s="177"/>
      <c r="BW1290" s="177"/>
      <c r="BX1290" s="267"/>
      <c r="BY1290" s="267"/>
      <c r="BZ1290" s="267"/>
      <c r="CA1290" s="267"/>
      <c r="CB1290" s="267"/>
      <c r="CC1290" s="267"/>
      <c r="CD1290" s="267"/>
      <c r="CE1290" s="267"/>
      <c r="CF1290" s="267"/>
      <c r="CG1290" s="267"/>
      <c r="CH1290" s="267"/>
      <c r="CI1290" s="435"/>
      <c r="CJ1290" s="436"/>
      <c r="CK1290" s="437"/>
    </row>
    <row r="1291" spans="74:89" x14ac:dyDescent="0.25">
      <c r="BV1291" s="177"/>
      <c r="BW1291" s="177"/>
      <c r="BX1291" s="267"/>
      <c r="BY1291" s="267"/>
      <c r="BZ1291" s="267"/>
      <c r="CA1291" s="267"/>
      <c r="CB1291" s="267"/>
      <c r="CC1291" s="267"/>
      <c r="CD1291" s="267"/>
      <c r="CE1291" s="267"/>
      <c r="CF1291" s="267"/>
      <c r="CG1291" s="267"/>
      <c r="CH1291" s="267"/>
      <c r="CI1291" s="435"/>
      <c r="CJ1291" s="436"/>
      <c r="CK1291" s="437"/>
    </row>
    <row r="1292" spans="74:89" x14ac:dyDescent="0.25">
      <c r="BV1292" s="177"/>
      <c r="BW1292" s="177"/>
      <c r="BX1292" s="267"/>
      <c r="BY1292" s="267"/>
      <c r="BZ1292" s="267"/>
      <c r="CA1292" s="267"/>
      <c r="CB1292" s="267"/>
      <c r="CC1292" s="267"/>
      <c r="CD1292" s="267"/>
      <c r="CE1292" s="267"/>
      <c r="CF1292" s="267"/>
      <c r="CG1292" s="267"/>
      <c r="CH1292" s="267"/>
      <c r="CI1292" s="435"/>
      <c r="CJ1292" s="436"/>
      <c r="CK1292" s="437"/>
    </row>
    <row r="1293" spans="74:89" x14ac:dyDescent="0.25">
      <c r="BV1293" s="177"/>
      <c r="BW1293" s="177"/>
      <c r="BX1293" s="267"/>
      <c r="BY1293" s="267"/>
      <c r="BZ1293" s="267"/>
      <c r="CA1293" s="267"/>
      <c r="CB1293" s="267"/>
      <c r="CC1293" s="267"/>
      <c r="CD1293" s="267"/>
      <c r="CE1293" s="267"/>
      <c r="CF1293" s="267"/>
      <c r="CG1293" s="267"/>
      <c r="CH1293" s="267"/>
      <c r="CI1293" s="435"/>
      <c r="CJ1293" s="436"/>
      <c r="CK1293" s="437"/>
    </row>
    <row r="1294" spans="74:89" x14ac:dyDescent="0.25">
      <c r="BV1294" s="177"/>
      <c r="BW1294" s="177"/>
      <c r="BX1294" s="267"/>
      <c r="BY1294" s="267"/>
      <c r="BZ1294" s="267"/>
      <c r="CA1294" s="267"/>
      <c r="CB1294" s="267"/>
      <c r="CC1294" s="267"/>
      <c r="CD1294" s="267"/>
      <c r="CE1294" s="267"/>
      <c r="CF1294" s="267"/>
      <c r="CG1294" s="267"/>
      <c r="CH1294" s="267"/>
      <c r="CI1294" s="435"/>
      <c r="CJ1294" s="436"/>
      <c r="CK1294" s="437"/>
    </row>
    <row r="1295" spans="74:89" x14ac:dyDescent="0.25">
      <c r="BV1295" s="177"/>
      <c r="BW1295" s="177"/>
      <c r="BX1295" s="267"/>
      <c r="BY1295" s="267"/>
      <c r="BZ1295" s="267"/>
      <c r="CA1295" s="267"/>
      <c r="CB1295" s="267"/>
      <c r="CC1295" s="267"/>
      <c r="CD1295" s="267"/>
      <c r="CE1295" s="267"/>
      <c r="CF1295" s="267"/>
      <c r="CG1295" s="267"/>
      <c r="CH1295" s="267"/>
      <c r="CI1295" s="435"/>
      <c r="CJ1295" s="436"/>
      <c r="CK1295" s="437"/>
    </row>
    <row r="1296" spans="74:89" x14ac:dyDescent="0.25">
      <c r="BV1296" s="177"/>
      <c r="BW1296" s="177"/>
      <c r="BX1296" s="267"/>
      <c r="BY1296" s="267"/>
      <c r="BZ1296" s="267"/>
      <c r="CA1296" s="267"/>
      <c r="CB1296" s="267"/>
      <c r="CC1296" s="267"/>
      <c r="CD1296" s="267"/>
      <c r="CE1296" s="267"/>
      <c r="CF1296" s="267"/>
      <c r="CG1296" s="267"/>
      <c r="CH1296" s="267"/>
      <c r="CI1296" s="435"/>
      <c r="CJ1296" s="436"/>
      <c r="CK1296" s="437"/>
    </row>
    <row r="1297" spans="74:89" x14ac:dyDescent="0.25">
      <c r="BV1297" s="177"/>
      <c r="BW1297" s="177"/>
      <c r="BX1297" s="267"/>
      <c r="BY1297" s="267"/>
      <c r="BZ1297" s="267"/>
      <c r="CA1297" s="267"/>
      <c r="CB1297" s="267"/>
      <c r="CC1297" s="267"/>
      <c r="CD1297" s="267"/>
      <c r="CE1297" s="267"/>
      <c r="CF1297" s="267"/>
      <c r="CG1297" s="267"/>
      <c r="CH1297" s="267"/>
      <c r="CI1297" s="435"/>
      <c r="CJ1297" s="436"/>
      <c r="CK1297" s="437"/>
    </row>
    <row r="1298" spans="74:89" x14ac:dyDescent="0.25">
      <c r="BV1298" s="177"/>
      <c r="BW1298" s="177"/>
      <c r="BX1298" s="267"/>
      <c r="BY1298" s="267"/>
      <c r="BZ1298" s="267"/>
      <c r="CA1298" s="267"/>
      <c r="CB1298" s="267"/>
      <c r="CC1298" s="267"/>
      <c r="CD1298" s="267"/>
      <c r="CE1298" s="267"/>
      <c r="CF1298" s="267"/>
      <c r="CG1298" s="267"/>
      <c r="CH1298" s="267"/>
      <c r="CI1298" s="435"/>
      <c r="CJ1298" s="436"/>
      <c r="CK1298" s="437"/>
    </row>
    <row r="1299" spans="74:89" x14ac:dyDescent="0.25">
      <c r="BV1299" s="177"/>
      <c r="BW1299" s="177"/>
      <c r="BX1299" s="267"/>
      <c r="BY1299" s="267"/>
      <c r="BZ1299" s="267"/>
      <c r="CA1299" s="267"/>
      <c r="CB1299" s="267"/>
      <c r="CC1299" s="267"/>
      <c r="CD1299" s="267"/>
      <c r="CE1299" s="267"/>
      <c r="CF1299" s="267"/>
      <c r="CG1299" s="267"/>
      <c r="CH1299" s="267"/>
      <c r="CI1299" s="435"/>
      <c r="CJ1299" s="436"/>
      <c r="CK1299" s="437"/>
    </row>
    <row r="1300" spans="74:89" x14ac:dyDescent="0.25">
      <c r="BV1300" s="177"/>
      <c r="BW1300" s="177"/>
      <c r="BX1300" s="267"/>
      <c r="BY1300" s="267"/>
      <c r="BZ1300" s="267"/>
      <c r="CA1300" s="267"/>
      <c r="CB1300" s="267"/>
      <c r="CC1300" s="267"/>
      <c r="CD1300" s="267"/>
      <c r="CE1300" s="267"/>
      <c r="CF1300" s="267"/>
      <c r="CG1300" s="267"/>
      <c r="CH1300" s="267"/>
      <c r="CI1300" s="435"/>
      <c r="CJ1300" s="436"/>
      <c r="CK1300" s="437"/>
    </row>
    <row r="1301" spans="74:89" x14ac:dyDescent="0.25">
      <c r="BV1301" s="177"/>
      <c r="BW1301" s="177"/>
      <c r="BX1301" s="267"/>
      <c r="BY1301" s="267"/>
      <c r="BZ1301" s="267"/>
      <c r="CA1301" s="267"/>
      <c r="CB1301" s="267"/>
      <c r="CC1301" s="267"/>
      <c r="CD1301" s="267"/>
      <c r="CE1301" s="267"/>
      <c r="CF1301" s="267"/>
      <c r="CG1301" s="267"/>
      <c r="CH1301" s="267"/>
      <c r="CI1301" s="435"/>
      <c r="CJ1301" s="436"/>
      <c r="CK1301" s="437"/>
    </row>
    <row r="1302" spans="74:89" x14ac:dyDescent="0.25">
      <c r="BV1302" s="177"/>
      <c r="BW1302" s="177"/>
      <c r="BX1302" s="267"/>
      <c r="BY1302" s="267"/>
      <c r="BZ1302" s="267"/>
      <c r="CA1302" s="267"/>
      <c r="CB1302" s="267"/>
      <c r="CC1302" s="267"/>
      <c r="CD1302" s="267"/>
      <c r="CE1302" s="267"/>
      <c r="CF1302" s="267"/>
      <c r="CG1302" s="267"/>
      <c r="CH1302" s="267"/>
      <c r="CI1302" s="435"/>
      <c r="CJ1302" s="436"/>
      <c r="CK1302" s="437"/>
    </row>
    <row r="1303" spans="74:89" x14ac:dyDescent="0.25">
      <c r="BV1303" s="177"/>
      <c r="BW1303" s="177"/>
      <c r="BX1303" s="267"/>
      <c r="BY1303" s="267"/>
      <c r="BZ1303" s="267"/>
      <c r="CA1303" s="267"/>
      <c r="CB1303" s="267"/>
      <c r="CC1303" s="267"/>
      <c r="CD1303" s="267"/>
      <c r="CE1303" s="267"/>
      <c r="CF1303" s="267"/>
      <c r="CG1303" s="267"/>
      <c r="CH1303" s="267"/>
      <c r="CI1303" s="435"/>
      <c r="CJ1303" s="436"/>
      <c r="CK1303" s="437"/>
    </row>
    <row r="1304" spans="74:89" x14ac:dyDescent="0.25">
      <c r="BV1304" s="177"/>
      <c r="BW1304" s="177"/>
      <c r="BX1304" s="267"/>
      <c r="BY1304" s="267"/>
      <c r="BZ1304" s="267"/>
      <c r="CA1304" s="267"/>
      <c r="CB1304" s="267"/>
      <c r="CC1304" s="267"/>
      <c r="CD1304" s="267"/>
      <c r="CE1304" s="267"/>
      <c r="CF1304" s="267"/>
      <c r="CG1304" s="267"/>
      <c r="CH1304" s="267"/>
      <c r="CI1304" s="435"/>
      <c r="CJ1304" s="436"/>
      <c r="CK1304" s="437"/>
    </row>
    <row r="1305" spans="74:89" x14ac:dyDescent="0.25">
      <c r="BV1305" s="177"/>
      <c r="BW1305" s="177"/>
      <c r="BX1305" s="267"/>
      <c r="BY1305" s="267"/>
      <c r="BZ1305" s="267"/>
      <c r="CA1305" s="267"/>
      <c r="CB1305" s="267"/>
      <c r="CC1305" s="267"/>
      <c r="CD1305" s="267"/>
      <c r="CE1305" s="267"/>
      <c r="CF1305" s="267"/>
      <c r="CG1305" s="267"/>
      <c r="CH1305" s="267"/>
      <c r="CI1305" s="435"/>
      <c r="CJ1305" s="436"/>
      <c r="CK1305" s="437"/>
    </row>
    <row r="1306" spans="74:89" x14ac:dyDescent="0.25">
      <c r="BV1306" s="177"/>
      <c r="BW1306" s="177"/>
      <c r="BX1306" s="267"/>
      <c r="BY1306" s="267"/>
      <c r="BZ1306" s="267"/>
      <c r="CA1306" s="267"/>
      <c r="CB1306" s="267"/>
      <c r="CC1306" s="267"/>
      <c r="CD1306" s="267"/>
      <c r="CE1306" s="267"/>
      <c r="CF1306" s="267"/>
      <c r="CG1306" s="267"/>
      <c r="CH1306" s="267"/>
      <c r="CI1306" s="435"/>
      <c r="CJ1306" s="436"/>
      <c r="CK1306" s="437"/>
    </row>
    <row r="1307" spans="74:89" x14ac:dyDescent="0.25">
      <c r="BV1307" s="177"/>
      <c r="BW1307" s="177"/>
      <c r="BX1307" s="267"/>
      <c r="BY1307" s="267"/>
      <c r="BZ1307" s="267"/>
      <c r="CA1307" s="267"/>
      <c r="CB1307" s="267"/>
      <c r="CC1307" s="267"/>
      <c r="CD1307" s="267"/>
      <c r="CE1307" s="267"/>
      <c r="CF1307" s="267"/>
      <c r="CG1307" s="267"/>
      <c r="CH1307" s="267"/>
      <c r="CI1307" s="435"/>
      <c r="CJ1307" s="436"/>
      <c r="CK1307" s="437"/>
    </row>
    <row r="1308" spans="74:89" x14ac:dyDescent="0.25">
      <c r="BV1308" s="177"/>
      <c r="BW1308" s="177"/>
      <c r="BX1308" s="267"/>
      <c r="BY1308" s="267"/>
      <c r="BZ1308" s="267"/>
      <c r="CA1308" s="267"/>
      <c r="CB1308" s="267"/>
      <c r="CC1308" s="267"/>
      <c r="CD1308" s="267"/>
      <c r="CE1308" s="267"/>
      <c r="CF1308" s="267"/>
      <c r="CG1308" s="267"/>
      <c r="CH1308" s="267"/>
      <c r="CI1308" s="435"/>
      <c r="CJ1308" s="436"/>
      <c r="CK1308" s="437"/>
    </row>
    <row r="1309" spans="74:89" x14ac:dyDescent="0.25">
      <c r="BV1309" s="177"/>
      <c r="BW1309" s="177"/>
      <c r="BX1309" s="267"/>
      <c r="BY1309" s="267"/>
      <c r="BZ1309" s="267"/>
      <c r="CA1309" s="267"/>
      <c r="CB1309" s="267"/>
      <c r="CC1309" s="267"/>
      <c r="CD1309" s="267"/>
      <c r="CE1309" s="267"/>
      <c r="CF1309" s="267"/>
      <c r="CG1309" s="267"/>
      <c r="CH1309" s="267"/>
      <c r="CI1309" s="435"/>
      <c r="CJ1309" s="436"/>
      <c r="CK1309" s="437"/>
    </row>
    <row r="1310" spans="74:89" x14ac:dyDescent="0.25">
      <c r="BV1310" s="177"/>
      <c r="BW1310" s="177"/>
      <c r="BX1310" s="267"/>
      <c r="BY1310" s="267"/>
      <c r="BZ1310" s="267"/>
      <c r="CA1310" s="267"/>
      <c r="CB1310" s="267"/>
      <c r="CC1310" s="267"/>
      <c r="CD1310" s="267"/>
      <c r="CE1310" s="267"/>
      <c r="CF1310" s="267"/>
      <c r="CG1310" s="267"/>
      <c r="CH1310" s="267"/>
      <c r="CI1310" s="435"/>
      <c r="CJ1310" s="436"/>
      <c r="CK1310" s="437"/>
    </row>
    <row r="1311" spans="74:89" x14ac:dyDescent="0.25">
      <c r="BV1311" s="177"/>
      <c r="BW1311" s="177"/>
      <c r="BX1311" s="267"/>
      <c r="BY1311" s="267"/>
      <c r="BZ1311" s="267"/>
      <c r="CA1311" s="267"/>
      <c r="CB1311" s="267"/>
      <c r="CC1311" s="267"/>
      <c r="CD1311" s="267"/>
      <c r="CE1311" s="267"/>
      <c r="CF1311" s="267"/>
      <c r="CG1311" s="267"/>
      <c r="CH1311" s="267"/>
      <c r="CI1311" s="435"/>
      <c r="CJ1311" s="436"/>
      <c r="CK1311" s="437"/>
    </row>
    <row r="1312" spans="74:89" x14ac:dyDescent="0.25">
      <c r="BV1312" s="177"/>
      <c r="BW1312" s="177"/>
      <c r="BX1312" s="267"/>
      <c r="BY1312" s="267"/>
      <c r="BZ1312" s="267"/>
      <c r="CA1312" s="267"/>
      <c r="CB1312" s="267"/>
      <c r="CC1312" s="267"/>
      <c r="CD1312" s="267"/>
      <c r="CE1312" s="267"/>
      <c r="CF1312" s="267"/>
      <c r="CG1312" s="267"/>
      <c r="CH1312" s="267"/>
      <c r="CI1312" s="435"/>
      <c r="CJ1312" s="436"/>
      <c r="CK1312" s="437"/>
    </row>
    <row r="1313" spans="74:89" x14ac:dyDescent="0.25">
      <c r="BV1313" s="177"/>
      <c r="BW1313" s="177"/>
      <c r="BX1313" s="267"/>
      <c r="BY1313" s="267"/>
      <c r="BZ1313" s="267"/>
      <c r="CA1313" s="267"/>
      <c r="CB1313" s="267"/>
      <c r="CC1313" s="267"/>
      <c r="CD1313" s="267"/>
      <c r="CE1313" s="267"/>
      <c r="CF1313" s="267"/>
      <c r="CG1313" s="267"/>
      <c r="CH1313" s="267"/>
      <c r="CI1313" s="435"/>
      <c r="CJ1313" s="436"/>
      <c r="CK1313" s="437"/>
    </row>
    <row r="1314" spans="74:89" x14ac:dyDescent="0.25">
      <c r="BV1314" s="177"/>
      <c r="BW1314" s="177"/>
      <c r="BX1314" s="267"/>
      <c r="BY1314" s="267"/>
      <c r="BZ1314" s="267"/>
      <c r="CA1314" s="267"/>
      <c r="CB1314" s="267"/>
      <c r="CC1314" s="267"/>
      <c r="CD1314" s="267"/>
      <c r="CE1314" s="267"/>
      <c r="CF1314" s="267"/>
      <c r="CG1314" s="267"/>
      <c r="CH1314" s="267"/>
      <c r="CI1314" s="435"/>
      <c r="CJ1314" s="436"/>
      <c r="CK1314" s="437"/>
    </row>
    <row r="1315" spans="74:89" x14ac:dyDescent="0.25">
      <c r="BV1315" s="177"/>
      <c r="BW1315" s="177"/>
      <c r="BX1315" s="267"/>
      <c r="BY1315" s="267"/>
      <c r="BZ1315" s="267"/>
      <c r="CA1315" s="267"/>
      <c r="CB1315" s="267"/>
      <c r="CC1315" s="267"/>
      <c r="CD1315" s="267"/>
      <c r="CE1315" s="267"/>
      <c r="CF1315" s="267"/>
      <c r="CG1315" s="267"/>
      <c r="CH1315" s="267"/>
      <c r="CI1315" s="435"/>
      <c r="CJ1315" s="436"/>
      <c r="CK1315" s="437"/>
    </row>
    <row r="1316" spans="74:89" x14ac:dyDescent="0.25">
      <c r="BV1316" s="177"/>
      <c r="BW1316" s="177"/>
      <c r="BX1316" s="267"/>
      <c r="BY1316" s="267"/>
      <c r="BZ1316" s="267"/>
      <c r="CA1316" s="267"/>
      <c r="CB1316" s="267"/>
      <c r="CC1316" s="267"/>
      <c r="CD1316" s="267"/>
      <c r="CE1316" s="267"/>
      <c r="CF1316" s="267"/>
      <c r="CG1316" s="267"/>
      <c r="CH1316" s="267"/>
      <c r="CI1316" s="435"/>
      <c r="CJ1316" s="436"/>
      <c r="CK1316" s="437"/>
    </row>
    <row r="1317" spans="74:89" x14ac:dyDescent="0.25">
      <c r="BV1317" s="177"/>
      <c r="BW1317" s="177"/>
      <c r="BX1317" s="267"/>
      <c r="BY1317" s="267"/>
      <c r="BZ1317" s="267"/>
      <c r="CA1317" s="267"/>
      <c r="CB1317" s="267"/>
      <c r="CC1317" s="267"/>
      <c r="CD1317" s="267"/>
      <c r="CE1317" s="267"/>
      <c r="CF1317" s="267"/>
      <c r="CG1317" s="267"/>
      <c r="CH1317" s="267"/>
      <c r="CI1317" s="435"/>
      <c r="CJ1317" s="436"/>
      <c r="CK1317" s="437"/>
    </row>
    <row r="1318" spans="74:89" x14ac:dyDescent="0.25">
      <c r="BV1318" s="177"/>
      <c r="BW1318" s="177"/>
      <c r="BX1318" s="267"/>
      <c r="BY1318" s="267"/>
      <c r="BZ1318" s="267"/>
      <c r="CA1318" s="267"/>
      <c r="CB1318" s="267"/>
      <c r="CC1318" s="267"/>
      <c r="CD1318" s="267"/>
      <c r="CE1318" s="267"/>
      <c r="CF1318" s="267"/>
      <c r="CG1318" s="267"/>
      <c r="CH1318" s="267"/>
      <c r="CI1318" s="435"/>
      <c r="CJ1318" s="436"/>
      <c r="CK1318" s="437"/>
    </row>
    <row r="1319" spans="74:89" x14ac:dyDescent="0.25">
      <c r="BV1319" s="177"/>
      <c r="BW1319" s="177"/>
      <c r="BX1319" s="267"/>
      <c r="BY1319" s="267"/>
      <c r="BZ1319" s="267"/>
      <c r="CA1319" s="267"/>
      <c r="CB1319" s="267"/>
      <c r="CC1319" s="267"/>
      <c r="CD1319" s="267"/>
      <c r="CE1319" s="267"/>
      <c r="CF1319" s="267"/>
      <c r="CG1319" s="267"/>
      <c r="CH1319" s="267"/>
      <c r="CI1319" s="435"/>
      <c r="CJ1319" s="436"/>
      <c r="CK1319" s="437"/>
    </row>
    <row r="1320" spans="74:89" x14ac:dyDescent="0.25">
      <c r="BV1320" s="177"/>
      <c r="BW1320" s="177"/>
      <c r="BX1320" s="267"/>
      <c r="BY1320" s="267"/>
      <c r="BZ1320" s="267"/>
      <c r="CA1320" s="267"/>
      <c r="CB1320" s="267"/>
      <c r="CC1320" s="267"/>
      <c r="CD1320" s="267"/>
      <c r="CE1320" s="267"/>
      <c r="CF1320" s="267"/>
      <c r="CG1320" s="267"/>
      <c r="CH1320" s="267"/>
      <c r="CI1320" s="435"/>
      <c r="CJ1320" s="436"/>
      <c r="CK1320" s="437"/>
    </row>
    <row r="1321" spans="74:89" x14ac:dyDescent="0.25">
      <c r="BV1321" s="177"/>
      <c r="BW1321" s="177"/>
      <c r="BX1321" s="267"/>
      <c r="BY1321" s="267"/>
      <c r="BZ1321" s="267"/>
      <c r="CA1321" s="267"/>
      <c r="CB1321" s="267"/>
      <c r="CC1321" s="267"/>
      <c r="CD1321" s="267"/>
      <c r="CE1321" s="267"/>
      <c r="CF1321" s="267"/>
      <c r="CG1321" s="267"/>
      <c r="CH1321" s="267"/>
      <c r="CI1321" s="435"/>
      <c r="CJ1321" s="436"/>
      <c r="CK1321" s="437"/>
    </row>
    <row r="1322" spans="74:89" x14ac:dyDescent="0.25">
      <c r="BV1322" s="177"/>
      <c r="BW1322" s="177"/>
      <c r="BX1322" s="267"/>
      <c r="BY1322" s="267"/>
      <c r="BZ1322" s="267"/>
      <c r="CA1322" s="267"/>
      <c r="CB1322" s="267"/>
      <c r="CC1322" s="267"/>
      <c r="CD1322" s="267"/>
      <c r="CE1322" s="267"/>
      <c r="CF1322" s="267"/>
      <c r="CG1322" s="267"/>
      <c r="CH1322" s="267"/>
      <c r="CI1322" s="435"/>
      <c r="CJ1322" s="436"/>
      <c r="CK1322" s="437"/>
    </row>
    <row r="1323" spans="74:89" x14ac:dyDescent="0.25">
      <c r="BV1323" s="177"/>
      <c r="BW1323" s="177"/>
      <c r="BX1323" s="267"/>
      <c r="BY1323" s="267"/>
      <c r="BZ1323" s="267"/>
      <c r="CA1323" s="267"/>
      <c r="CB1323" s="267"/>
      <c r="CC1323" s="267"/>
      <c r="CD1323" s="267"/>
      <c r="CE1323" s="267"/>
      <c r="CF1323" s="267"/>
      <c r="CG1323" s="267"/>
      <c r="CH1323" s="267"/>
      <c r="CI1323" s="435"/>
      <c r="CJ1323" s="436"/>
      <c r="CK1323" s="437"/>
    </row>
    <row r="1324" spans="74:89" x14ac:dyDescent="0.25">
      <c r="BV1324" s="177"/>
      <c r="BW1324" s="177"/>
      <c r="BX1324" s="267"/>
      <c r="BY1324" s="267"/>
      <c r="BZ1324" s="267"/>
      <c r="CA1324" s="267"/>
      <c r="CB1324" s="267"/>
      <c r="CC1324" s="267"/>
      <c r="CD1324" s="267"/>
      <c r="CE1324" s="267"/>
      <c r="CF1324" s="267"/>
      <c r="CG1324" s="267"/>
      <c r="CH1324" s="267"/>
      <c r="CI1324" s="435"/>
      <c r="CJ1324" s="436"/>
      <c r="CK1324" s="437"/>
    </row>
    <row r="1325" spans="74:89" x14ac:dyDescent="0.25">
      <c r="BV1325" s="177"/>
      <c r="BW1325" s="177"/>
      <c r="BX1325" s="267"/>
      <c r="BY1325" s="267"/>
      <c r="BZ1325" s="267"/>
      <c r="CA1325" s="267"/>
      <c r="CB1325" s="267"/>
      <c r="CC1325" s="267"/>
      <c r="CD1325" s="267"/>
      <c r="CE1325" s="267"/>
      <c r="CF1325" s="267"/>
      <c r="CG1325" s="267"/>
      <c r="CH1325" s="267"/>
      <c r="CI1325" s="435"/>
      <c r="CJ1325" s="436"/>
      <c r="CK1325" s="437"/>
    </row>
    <row r="1326" spans="74:89" x14ac:dyDescent="0.25">
      <c r="BV1326" s="177"/>
      <c r="BW1326" s="177"/>
      <c r="BX1326" s="267"/>
      <c r="BY1326" s="267"/>
      <c r="BZ1326" s="267"/>
      <c r="CA1326" s="267"/>
      <c r="CB1326" s="267"/>
      <c r="CC1326" s="267"/>
      <c r="CD1326" s="267"/>
      <c r="CE1326" s="267"/>
      <c r="CF1326" s="267"/>
      <c r="CG1326" s="267"/>
      <c r="CH1326" s="267"/>
      <c r="CI1326" s="435"/>
      <c r="CJ1326" s="436"/>
      <c r="CK1326" s="437"/>
    </row>
    <row r="1327" spans="74:89" x14ac:dyDescent="0.25">
      <c r="BV1327" s="177"/>
      <c r="BW1327" s="177"/>
      <c r="BX1327" s="267"/>
      <c r="BY1327" s="267"/>
      <c r="BZ1327" s="267"/>
      <c r="CA1327" s="267"/>
      <c r="CB1327" s="267"/>
      <c r="CC1327" s="267"/>
      <c r="CD1327" s="267"/>
      <c r="CE1327" s="267"/>
      <c r="CF1327" s="267"/>
      <c r="CG1327" s="267"/>
      <c r="CH1327" s="267"/>
      <c r="CI1327" s="435"/>
      <c r="CJ1327" s="436"/>
      <c r="CK1327" s="437"/>
    </row>
    <row r="1328" spans="74:89" x14ac:dyDescent="0.25">
      <c r="BV1328" s="177"/>
      <c r="BW1328" s="177"/>
      <c r="BX1328" s="267"/>
      <c r="BY1328" s="267"/>
      <c r="BZ1328" s="267"/>
      <c r="CA1328" s="267"/>
      <c r="CB1328" s="267"/>
      <c r="CC1328" s="267"/>
      <c r="CD1328" s="267"/>
      <c r="CE1328" s="267"/>
      <c r="CF1328" s="267"/>
      <c r="CG1328" s="267"/>
      <c r="CH1328" s="267"/>
      <c r="CI1328" s="435"/>
      <c r="CJ1328" s="436"/>
      <c r="CK1328" s="437"/>
    </row>
    <row r="1329" spans="74:89" x14ac:dyDescent="0.25">
      <c r="BV1329" s="177"/>
      <c r="BW1329" s="177"/>
      <c r="BX1329" s="267"/>
      <c r="BY1329" s="267"/>
      <c r="BZ1329" s="267"/>
      <c r="CA1329" s="267"/>
      <c r="CB1329" s="267"/>
      <c r="CC1329" s="267"/>
      <c r="CD1329" s="267"/>
      <c r="CE1329" s="267"/>
      <c r="CF1329" s="267"/>
      <c r="CG1329" s="267"/>
      <c r="CH1329" s="267"/>
      <c r="CI1329" s="435"/>
      <c r="CJ1329" s="436"/>
      <c r="CK1329" s="437"/>
    </row>
    <row r="1330" spans="74:89" x14ac:dyDescent="0.25">
      <c r="BV1330" s="177"/>
      <c r="BW1330" s="177"/>
      <c r="BX1330" s="267"/>
      <c r="BY1330" s="267"/>
      <c r="BZ1330" s="267"/>
      <c r="CA1330" s="267"/>
      <c r="CB1330" s="267"/>
      <c r="CC1330" s="267"/>
      <c r="CD1330" s="267"/>
      <c r="CE1330" s="267"/>
      <c r="CF1330" s="267"/>
      <c r="CG1330" s="267"/>
      <c r="CH1330" s="267"/>
      <c r="CI1330" s="435"/>
      <c r="CJ1330" s="436"/>
      <c r="CK1330" s="437"/>
    </row>
    <row r="1331" spans="74:89" x14ac:dyDescent="0.25">
      <c r="BV1331" s="177"/>
      <c r="BW1331" s="177"/>
      <c r="BX1331" s="267"/>
      <c r="BY1331" s="267"/>
      <c r="BZ1331" s="267"/>
      <c r="CA1331" s="267"/>
      <c r="CB1331" s="267"/>
      <c r="CC1331" s="267"/>
      <c r="CD1331" s="267"/>
      <c r="CE1331" s="267"/>
      <c r="CF1331" s="267"/>
      <c r="CG1331" s="267"/>
      <c r="CH1331" s="267"/>
      <c r="CI1331" s="435"/>
      <c r="CJ1331" s="436"/>
      <c r="CK1331" s="437"/>
    </row>
    <row r="1332" spans="74:89" x14ac:dyDescent="0.25">
      <c r="BV1332" s="177"/>
      <c r="BW1332" s="177"/>
      <c r="BX1332" s="267"/>
      <c r="BY1332" s="267"/>
      <c r="BZ1332" s="267"/>
      <c r="CA1332" s="267"/>
      <c r="CB1332" s="267"/>
      <c r="CC1332" s="267"/>
      <c r="CD1332" s="267"/>
      <c r="CE1332" s="267"/>
      <c r="CF1332" s="267"/>
      <c r="CG1332" s="267"/>
      <c r="CH1332" s="267"/>
      <c r="CI1332" s="435"/>
      <c r="CJ1332" s="436"/>
      <c r="CK1332" s="437"/>
    </row>
    <row r="1333" spans="74:89" x14ac:dyDescent="0.25">
      <c r="BV1333" s="177"/>
      <c r="BW1333" s="177"/>
      <c r="BX1333" s="267"/>
      <c r="BY1333" s="267"/>
      <c r="BZ1333" s="267"/>
      <c r="CA1333" s="267"/>
      <c r="CB1333" s="267"/>
      <c r="CC1333" s="267"/>
      <c r="CD1333" s="267"/>
      <c r="CE1333" s="267"/>
      <c r="CF1333" s="267"/>
      <c r="CG1333" s="267"/>
      <c r="CH1333" s="267"/>
      <c r="CI1333" s="435"/>
      <c r="CJ1333" s="436"/>
      <c r="CK1333" s="437"/>
    </row>
    <row r="1334" spans="74:89" x14ac:dyDescent="0.25">
      <c r="BV1334" s="177"/>
      <c r="BW1334" s="177"/>
      <c r="BX1334" s="267"/>
      <c r="BY1334" s="267"/>
      <c r="BZ1334" s="267"/>
      <c r="CA1334" s="267"/>
      <c r="CB1334" s="267"/>
      <c r="CC1334" s="267"/>
      <c r="CD1334" s="267"/>
      <c r="CE1334" s="267"/>
      <c r="CF1334" s="267"/>
      <c r="CG1334" s="267"/>
      <c r="CH1334" s="267"/>
      <c r="CI1334" s="435"/>
      <c r="CJ1334" s="436"/>
      <c r="CK1334" s="437"/>
    </row>
    <row r="1335" spans="74:89" x14ac:dyDescent="0.25">
      <c r="BV1335" s="177"/>
      <c r="BW1335" s="177"/>
      <c r="BX1335" s="267"/>
      <c r="BY1335" s="267"/>
      <c r="BZ1335" s="267"/>
      <c r="CA1335" s="267"/>
      <c r="CB1335" s="267"/>
      <c r="CC1335" s="267"/>
      <c r="CD1335" s="267"/>
      <c r="CE1335" s="267"/>
      <c r="CF1335" s="267"/>
      <c r="CG1335" s="267"/>
      <c r="CH1335" s="267"/>
      <c r="CI1335" s="435"/>
      <c r="CJ1335" s="436"/>
      <c r="CK1335" s="437"/>
    </row>
  </sheetData>
  <sheetProtection algorithmName="SHA-512" hashValue="EI44UZEG5Pl7VOjFVQVUx4bTe5tcoYAy523Xzv55TKwAfACt97T9fR6rs7tJ1d5fuUDCS1D7Sbkzkyx2hDkVQw==" saltValue="N83JSRweUUkRk4/eU3vE7Q==" spinCount="100000" sheet="1" objects="1" scenarios="1"/>
  <protectedRanges>
    <protectedRange sqref="E25" name="Intervalo1_1"/>
    <protectedRange sqref="F23:G23 E22" name="Intervalo1_2"/>
    <protectedRange sqref="E23" name="Intervalo1_2_3"/>
    <protectedRange sqref="E16:U17" name="Intervalo1_2_3_1_1_2_2_1"/>
    <protectedRange sqref="E18:U18" name="Intervalo1_2_3_1_1_1_1_2_1"/>
  </protectedRanges>
  <mergeCells count="62">
    <mergeCell ref="F48:H48"/>
    <mergeCell ref="F49:H49"/>
    <mergeCell ref="F50:H50"/>
    <mergeCell ref="F51:H51"/>
    <mergeCell ref="F52:H52"/>
    <mergeCell ref="F43:H43"/>
    <mergeCell ref="F44:H44"/>
    <mergeCell ref="F45:H45"/>
    <mergeCell ref="F46:H46"/>
    <mergeCell ref="F47:H47"/>
    <mergeCell ref="F27:H27"/>
    <mergeCell ref="F38:H38"/>
    <mergeCell ref="F39:H39"/>
    <mergeCell ref="F40:H40"/>
    <mergeCell ref="F41:H41"/>
    <mergeCell ref="F28:H28"/>
    <mergeCell ref="F29:H29"/>
    <mergeCell ref="F30:H30"/>
    <mergeCell ref="F31:H31"/>
    <mergeCell ref="F32:H32"/>
    <mergeCell ref="F42:H42"/>
    <mergeCell ref="F33:H33"/>
    <mergeCell ref="F34:H34"/>
    <mergeCell ref="F35:H35"/>
    <mergeCell ref="F36:H36"/>
    <mergeCell ref="F37:H37"/>
    <mergeCell ref="C27:D27"/>
    <mergeCell ref="C16:D16"/>
    <mergeCell ref="C17:D17"/>
    <mergeCell ref="C25:D25"/>
    <mergeCell ref="C26:D26"/>
    <mergeCell ref="B16:B20"/>
    <mergeCell ref="B22:B23"/>
    <mergeCell ref="C23:D23"/>
    <mergeCell ref="C22:D22"/>
    <mergeCell ref="C24:D24"/>
    <mergeCell ref="C18:D18"/>
    <mergeCell ref="C20:D20"/>
    <mergeCell ref="C19:D19"/>
    <mergeCell ref="C15:D15"/>
    <mergeCell ref="AU12:AV12"/>
    <mergeCell ref="AY12:AZ12"/>
    <mergeCell ref="AQ9:AS9"/>
    <mergeCell ref="C13:D13"/>
    <mergeCell ref="AQ13:AR13"/>
    <mergeCell ref="AU13:AV13"/>
    <mergeCell ref="AY13:AZ13"/>
    <mergeCell ref="AQ14:AR14"/>
    <mergeCell ref="AU14:AV14"/>
    <mergeCell ref="AY14:AZ14"/>
    <mergeCell ref="AU9:AW9"/>
    <mergeCell ref="AY9:BA9"/>
    <mergeCell ref="AQ12:AR12"/>
    <mergeCell ref="E1:M1"/>
    <mergeCell ref="G25:J25"/>
    <mergeCell ref="AQ15:AR15"/>
    <mergeCell ref="AU15:AV15"/>
    <mergeCell ref="AY15:AZ15"/>
    <mergeCell ref="H6:I6"/>
    <mergeCell ref="K6:L6"/>
    <mergeCell ref="H4:I4"/>
    <mergeCell ref="E3:F5"/>
  </mergeCells>
  <phoneticPr fontId="20" type="noConversion"/>
  <conditionalFormatting sqref="C28:C30">
    <cfRule type="containsText" dxfId="40" priority="16" operator="containsText" text="Válido somente para Portabilidade Especial">
      <formula>NOT(ISERROR(SEARCH("Válido somente para Portabilidade Especial",C28)))</formula>
    </cfRule>
  </conditionalFormatting>
  <conditionalFormatting sqref="C32:C35">
    <cfRule type="containsText" dxfId="39" priority="13" operator="containsText" text="Válido somente para Portabilidade Especial">
      <formula>NOT(ISERROR(SEARCH("Válido somente para Portabilidade Especial",C32)))</formula>
    </cfRule>
  </conditionalFormatting>
  <conditionalFormatting sqref="E15:U15">
    <cfRule type="cellIs" dxfId="38" priority="56" operator="equal">
      <formula>"manter"</formula>
    </cfRule>
    <cfRule type="cellIs" dxfId="37" priority="57" operator="equal">
      <formula>"Desvincular"</formula>
    </cfRule>
    <cfRule type="containsText" dxfId="36" priority="105" operator="containsText" text="INVIÁVEL">
      <formula>NOT(ISERROR(SEARCH("INVIÁVEL",E15)))</formula>
    </cfRule>
    <cfRule type="containsText" dxfId="35" priority="106" operator="containsText" text="SEGUIR">
      <formula>NOT(ISERROR(SEARCH("SEGUIR",E15)))</formula>
    </cfRule>
  </conditionalFormatting>
  <conditionalFormatting sqref="E19:U19">
    <cfRule type="cellIs" dxfId="34" priority="156" operator="lessThan">
      <formula>$F$24</formula>
    </cfRule>
  </conditionalFormatting>
  <conditionalFormatting sqref="F28:F52">
    <cfRule type="cellIs" dxfId="33" priority="12" operator="equal">
      <formula>0</formula>
    </cfRule>
  </conditionalFormatting>
  <conditionalFormatting sqref="G25">
    <cfRule type="cellIs" dxfId="32" priority="60" operator="equal">
      <formula>"EXISTEM PORTABILIDADES ABAIXO DA TAXA PERMITIDA"</formula>
    </cfRule>
  </conditionalFormatting>
  <conditionalFormatting sqref="M28:M52">
    <cfRule type="expression" dxfId="31" priority="230">
      <formula>N28=$E$59</formula>
    </cfRule>
    <cfRule type="expression" dxfId="30" priority="231">
      <formula>N28=$C$59</formula>
    </cfRule>
    <cfRule type="expression" dxfId="29" priority="232">
      <formula>N28=$C$59</formula>
    </cfRule>
    <cfRule type="cellIs" dxfId="28" priority="233" operator="greaterThan">
      <formula>99.99</formula>
    </cfRule>
    <cfRule type="cellIs" dxfId="27" priority="234" operator="equal">
      <formula>$K$26</formula>
    </cfRule>
    <cfRule type="cellIs" dxfId="26" priority="235" operator="equal">
      <formula>$M$36</formula>
    </cfRule>
    <cfRule type="cellIs" dxfId="25" priority="236" operator="lessThan">
      <formula>K28*2%</formula>
    </cfRule>
    <cfRule type="cellIs" dxfId="24" priority="237" operator="greaterThan">
      <formula>K30*2%</formula>
    </cfRule>
  </conditionalFormatting>
  <conditionalFormatting sqref="N28:N52">
    <cfRule type="cellIs" dxfId="23" priority="1" operator="equal">
      <formula>"Não Disponível"</formula>
    </cfRule>
    <cfRule type="cellIs" dxfId="22" priority="61" operator="equal">
      <formula>"Não Libera Troco"</formula>
    </cfRule>
    <cfRule type="containsText" dxfId="21" priority="135" operator="containsText" text="TAB disponivel">
      <formula>NOT(ISERROR(SEARCH("TAB disponivel",N28)))</formula>
    </cfRule>
    <cfRule type="containsText" dxfId="20" priority="136" operator="containsText" text="Tabela Superior Taxa Ponderada">
      <formula>NOT(ISERROR(SEARCH("Tabela Superior Taxa Ponderada",N28)))</formula>
    </cfRule>
    <cfRule type="cellIs" dxfId="19" priority="153" operator="equal">
      <formula>"vide obs  (*)"</formula>
    </cfRule>
    <cfRule type="cellIs" dxfId="18" priority="154" operator="equal">
      <formula>"TAB disponivel "</formula>
    </cfRule>
  </conditionalFormatting>
  <conditionalFormatting sqref="O28:O52">
    <cfRule type="cellIs" dxfId="17" priority="213" operator="equal">
      <formula>$G$47</formula>
    </cfRule>
    <cfRule type="cellIs" dxfId="16" priority="214" operator="equal">
      <formula>"Sem Reassinatura"</formula>
    </cfRule>
    <cfRule type="cellIs" dxfId="15" priority="215" operator="equal">
      <formula>"Gera Reassinatura"</formula>
    </cfRule>
  </conditionalFormatting>
  <dataValidations count="1">
    <dataValidation type="list" operator="notEqual" allowBlank="1" showInputMessage="1" showErrorMessage="1" sqref="F6" xr:uid="{00000000-0002-0000-0200-000000000000}">
      <formula1>$CM$2:$CM$290</formula1>
    </dataValidation>
  </dataValidations>
  <pageMargins left="0.51181102362204722" right="0.51181102362204722" top="0.78740157480314965" bottom="0.78740157480314965" header="0.31496062992125984" footer="0.31496062992125984"/>
  <pageSetup paperSize="9" scale="75" orientation="landscape" r:id="rId2"/>
  <ignoredErrors>
    <ignoredError sqref="V24 V28:V34" unlockedFormula="1"/>
    <ignoredError sqref="V21 V19" formula="1" unlockedFormula="1"/>
    <ignoredError sqref="I3" evalError="1"/>
  </ignoredErrors>
  <drawing r:id="rId3"/>
  <legacy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6D4-9A67-4ADC-869D-A6210E031963}">
  <dimension ref="A1:D12"/>
  <sheetViews>
    <sheetView showGridLines="0" workbookViewId="0">
      <selection activeCell="I8" sqref="I8"/>
    </sheetView>
  </sheetViews>
  <sheetFormatPr defaultRowHeight="15" x14ac:dyDescent="0.25"/>
  <cols>
    <col min="1" max="1" width="4.7109375" bestFit="1" customWidth="1"/>
    <col min="2" max="2" width="18.42578125" bestFit="1" customWidth="1"/>
    <col min="3" max="3" width="30.85546875" style="583" bestFit="1" customWidth="1"/>
    <col min="4" max="4" width="28.42578125" style="583" bestFit="1" customWidth="1"/>
  </cols>
  <sheetData>
    <row r="1" spans="1:4" x14ac:dyDescent="0.25">
      <c r="A1" s="580" t="s">
        <v>3096</v>
      </c>
      <c r="B1" s="581" t="s">
        <v>34</v>
      </c>
      <c r="C1" s="582" t="s">
        <v>3097</v>
      </c>
      <c r="D1"/>
    </row>
    <row r="2" spans="1:4" x14ac:dyDescent="0.25">
      <c r="A2" s="584">
        <v>22</v>
      </c>
      <c r="B2" s="586" t="s">
        <v>3836</v>
      </c>
      <c r="C2" s="585">
        <v>46161</v>
      </c>
      <c r="D2"/>
    </row>
    <row r="3" spans="1:4" x14ac:dyDescent="0.25">
      <c r="A3" s="584">
        <v>22</v>
      </c>
      <c r="B3" s="586" t="s">
        <v>3837</v>
      </c>
      <c r="C3" s="585">
        <v>46161</v>
      </c>
      <c r="D3"/>
    </row>
    <row r="4" spans="1:4" x14ac:dyDescent="0.25">
      <c r="A4" s="584">
        <v>15</v>
      </c>
      <c r="B4" s="586" t="s">
        <v>42</v>
      </c>
      <c r="C4" s="585">
        <v>46161</v>
      </c>
    </row>
    <row r="5" spans="1:4" x14ac:dyDescent="0.25">
      <c r="A5" s="584">
        <v>10</v>
      </c>
      <c r="B5" s="586" t="s">
        <v>3838</v>
      </c>
      <c r="C5" s="585">
        <v>46161</v>
      </c>
    </row>
    <row r="6" spans="1:4" x14ac:dyDescent="0.25">
      <c r="A6" s="584">
        <v>10</v>
      </c>
      <c r="B6" s="586" t="s">
        <v>3839</v>
      </c>
      <c r="C6" s="585">
        <v>46161</v>
      </c>
    </row>
    <row r="7" spans="1:4" x14ac:dyDescent="0.25">
      <c r="A7" s="584">
        <v>6</v>
      </c>
      <c r="B7" s="586" t="s">
        <v>3840</v>
      </c>
      <c r="C7" s="585">
        <v>46160</v>
      </c>
    </row>
    <row r="8" spans="1:4" x14ac:dyDescent="0.25">
      <c r="A8" s="584">
        <v>6</v>
      </c>
      <c r="B8" s="586" t="s">
        <v>3841</v>
      </c>
      <c r="C8" s="585">
        <v>46160</v>
      </c>
    </row>
    <row r="9" spans="1:4" x14ac:dyDescent="0.25">
      <c r="A9" s="584">
        <v>5</v>
      </c>
      <c r="B9" s="586" t="s">
        <v>3842</v>
      </c>
      <c r="C9" s="585">
        <v>46161</v>
      </c>
    </row>
    <row r="10" spans="1:4" x14ac:dyDescent="0.25">
      <c r="A10" s="584">
        <v>5</v>
      </c>
      <c r="B10" s="586" t="s">
        <v>3438</v>
      </c>
      <c r="C10" s="585">
        <v>46161</v>
      </c>
    </row>
    <row r="11" spans="1:4" x14ac:dyDescent="0.25">
      <c r="A11" s="584">
        <v>3</v>
      </c>
      <c r="B11" s="586" t="s">
        <v>3077</v>
      </c>
      <c r="C11" s="585">
        <v>46160</v>
      </c>
    </row>
    <row r="12" spans="1:4" x14ac:dyDescent="0.25">
      <c r="A12" s="584">
        <v>2</v>
      </c>
      <c r="B12" s="586" t="s">
        <v>2539</v>
      </c>
      <c r="C12" s="585">
        <v>46160</v>
      </c>
    </row>
  </sheetData>
  <sheetProtection algorithmName="SHA-512" hashValue="KFBajjZIzp9LRcfs/cxD9Hpnn5TjJ4OpRPgQHOUuhZAZnLdrBab852na6jWY33dEYy5JIbApwe+j6WB6hvEp2w==" saltValue="kilzV5MEqyULTH5W+XYA9Q==" spinCount="100000" sheet="1" objects="1" scenarios="1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3416-0173-47E8-887B-B2D93F5D7317}">
  <sheetPr codeName="Planilha12">
    <tabColor theme="0" tint="-0.499984740745262"/>
  </sheetPr>
  <dimension ref="B1:AN24"/>
  <sheetViews>
    <sheetView showGridLines="0" zoomScale="130" zoomScaleNormal="130" workbookViewId="0">
      <selection activeCell="D12" sqref="D12"/>
    </sheetView>
  </sheetViews>
  <sheetFormatPr defaultRowHeight="15" x14ac:dyDescent="0.25"/>
  <cols>
    <col min="1" max="1" width="24.85546875" customWidth="1"/>
    <col min="2" max="2" width="25.140625" customWidth="1"/>
    <col min="3" max="3" width="23" bestFit="1" customWidth="1"/>
    <col min="4" max="4" width="29.28515625" customWidth="1"/>
    <col min="5" max="5" width="25.140625" customWidth="1"/>
    <col min="6" max="6" width="22.28515625" customWidth="1"/>
    <col min="7" max="7" width="12.7109375" bestFit="1" customWidth="1"/>
    <col min="9" max="9" width="11" bestFit="1" customWidth="1"/>
    <col min="12" max="12" width="9.140625" hidden="1" customWidth="1"/>
    <col min="13" max="13" width="27.85546875" hidden="1" customWidth="1"/>
    <col min="14" max="14" width="33.42578125" hidden="1" customWidth="1"/>
    <col min="15" max="15" width="21.7109375" hidden="1" customWidth="1"/>
    <col min="16" max="16" width="9.140625" hidden="1" customWidth="1"/>
    <col min="17" max="17" width="13.7109375" hidden="1" customWidth="1"/>
    <col min="18" max="19" width="9.140625" hidden="1" customWidth="1"/>
    <col min="20" max="20" width="12.42578125" hidden="1" customWidth="1"/>
    <col min="21" max="23" width="9.140625" hidden="1" customWidth="1"/>
    <col min="24" max="25" width="13.7109375" hidden="1" customWidth="1"/>
    <col min="26" max="26" width="6.5703125" hidden="1" customWidth="1"/>
    <col min="27" max="27" width="8.5703125" hidden="1" customWidth="1"/>
    <col min="28" max="28" width="12.7109375" hidden="1" customWidth="1"/>
    <col min="29" max="29" width="12.42578125" hidden="1" customWidth="1"/>
    <col min="30" max="32" width="9.140625" hidden="1" customWidth="1"/>
    <col min="33" max="33" width="27.85546875" hidden="1" customWidth="1"/>
    <col min="34" max="34" width="12.7109375" hidden="1" customWidth="1"/>
    <col min="35" max="38" width="9.140625" hidden="1" customWidth="1"/>
    <col min="39" max="39" width="12.7109375" hidden="1" customWidth="1"/>
    <col min="40" max="40" width="12.7109375" customWidth="1"/>
    <col min="41" max="42" width="9.140625" customWidth="1"/>
  </cols>
  <sheetData>
    <row r="1" spans="2:40" ht="3" customHeight="1" thickBot="1" x14ac:dyDescent="0.3"/>
    <row r="2" spans="2:40" ht="75.75" customHeight="1" thickBot="1" x14ac:dyDescent="0.3">
      <c r="C2" s="666" t="s">
        <v>2386</v>
      </c>
      <c r="D2" s="667"/>
      <c r="E2" s="668"/>
    </row>
    <row r="3" spans="2:40" ht="6" customHeight="1" thickBot="1" x14ac:dyDescent="0.3"/>
    <row r="4" spans="2:40" ht="18" customHeight="1" thickTop="1" thickBot="1" x14ac:dyDescent="0.3">
      <c r="B4" s="674" t="s">
        <v>2590</v>
      </c>
      <c r="C4" s="675"/>
      <c r="D4" s="511" t="str">
        <f>CONCATENATE("Empregadores Disponíveis: ",GETPIVOTDATA("[Measures].[Contagem Distinta de - Selecione -]",'empregadores aumento ir'!$E$5))</f>
        <v>Empregadores Disponíveis: 1</v>
      </c>
      <c r="E4" s="23" t="s">
        <v>2441</v>
      </c>
    </row>
    <row r="5" spans="2:40" ht="18.75" customHeight="1" thickTop="1" thickBot="1" x14ac:dyDescent="0.3">
      <c r="B5" s="669" t="s">
        <v>2381</v>
      </c>
      <c r="C5" s="670"/>
      <c r="E5" s="87"/>
      <c r="F5" s="87"/>
      <c r="G5" s="87"/>
      <c r="H5" s="87"/>
      <c r="I5" s="87"/>
      <c r="M5" s="671" t="s">
        <v>2380</v>
      </c>
      <c r="N5" s="671"/>
    </row>
    <row r="6" spans="2:40" ht="4.5" customHeight="1" thickBot="1" x14ac:dyDescent="0.3">
      <c r="B6" s="673"/>
      <c r="C6" s="673"/>
      <c r="E6" s="176">
        <f>C8*12%</f>
        <v>599.13599999999985</v>
      </c>
      <c r="F6" s="176"/>
      <c r="G6" s="176"/>
      <c r="H6" s="87"/>
      <c r="I6" s="87"/>
      <c r="N6" s="1">
        <v>3533.42</v>
      </c>
      <c r="X6" s="3"/>
      <c r="Y6" s="3"/>
      <c r="Z6" s="3"/>
      <c r="AA6" s="3"/>
      <c r="AB6" s="3"/>
      <c r="AC6" s="3"/>
      <c r="AD6" s="3"/>
      <c r="AE6" s="3"/>
    </row>
    <row r="7" spans="2:40" s="42" customFormat="1" ht="27.75" customHeight="1" x14ac:dyDescent="0.25">
      <c r="B7" s="498" t="s">
        <v>2379</v>
      </c>
      <c r="C7" s="572">
        <v>464.29</v>
      </c>
      <c r="E7" s="377">
        <v>978.62</v>
      </c>
      <c r="F7" s="133" t="s">
        <v>2378</v>
      </c>
      <c r="G7" s="177"/>
      <c r="H7" s="177"/>
      <c r="I7" s="177"/>
      <c r="M7" s="253" t="s">
        <v>2377</v>
      </c>
      <c r="N7" s="484">
        <v>5000</v>
      </c>
      <c r="X7" s="483">
        <f>N7-Z7-AA7-Y20</f>
        <v>5000</v>
      </c>
      <c r="Y7" s="481" t="b">
        <v>0</v>
      </c>
      <c r="Z7" s="481">
        <f>IF(AC7=TRUE,AH11,0)</f>
        <v>0</v>
      </c>
      <c r="AA7" s="481">
        <f>IF(N9&gt;=65,AH10,0)</f>
        <v>0</v>
      </c>
      <c r="AB7" s="481"/>
      <c r="AC7" s="481" t="b">
        <v>0</v>
      </c>
      <c r="AD7" s="481"/>
      <c r="AE7" s="481"/>
    </row>
    <row r="8" spans="2:40" s="42" customFormat="1" ht="24" customHeight="1" x14ac:dyDescent="0.25">
      <c r="B8" s="499" t="s">
        <v>2376</v>
      </c>
      <c r="C8" s="500">
        <f>MAX('Calculadora Inversa IRPF'!H10:H13)+'Calculadora Inversa IRPF'!$I$10</f>
        <v>4992.7999999999993</v>
      </c>
      <c r="E8" s="187">
        <f>C8*0.133145</f>
        <v>664.76635599999997</v>
      </c>
      <c r="F8" s="133" t="s">
        <v>2375</v>
      </c>
      <c r="G8" s="177"/>
      <c r="H8" s="177"/>
      <c r="I8" s="177"/>
      <c r="M8" s="253" t="s">
        <v>2374</v>
      </c>
      <c r="N8" s="473">
        <f>X7</f>
        <v>5000</v>
      </c>
      <c r="O8" s="480"/>
      <c r="X8" s="483">
        <f>N7-(5000-MIN('Calculadora Inversa IRPF'!B19:B23)-AA7)-X21</f>
        <v>2428.8000000000002</v>
      </c>
      <c r="Y8" s="481"/>
      <c r="Z8" s="481"/>
      <c r="AA8" s="481"/>
      <c r="AB8" s="481"/>
      <c r="AC8" s="481"/>
      <c r="AD8" s="481"/>
      <c r="AE8" s="481"/>
    </row>
    <row r="9" spans="2:40" s="42" customFormat="1" ht="24" customHeight="1" x14ac:dyDescent="0.25">
      <c r="B9" s="499" t="s">
        <v>2373</v>
      </c>
      <c r="C9" s="500">
        <f>IF(C8&lt;=5000,0,IF(C8&lt;7350,C7-E9,(C8*'Calculadora Inversa IRPF'!D44)-'Calculadora Inversa IRPF'!E44))</f>
        <v>0</v>
      </c>
      <c r="E9" s="187">
        <f>E7-E8</f>
        <v>313.85364400000003</v>
      </c>
      <c r="F9" s="133" t="s">
        <v>2372</v>
      </c>
      <c r="G9" s="177"/>
      <c r="H9" s="177"/>
      <c r="I9" s="177"/>
      <c r="M9" s="253" t="s">
        <v>2371</v>
      </c>
      <c r="N9" s="482">
        <v>43</v>
      </c>
      <c r="Q9" s="480"/>
      <c r="X9" s="481"/>
      <c r="Y9" s="481"/>
      <c r="Z9" s="481"/>
      <c r="AA9" s="481"/>
      <c r="AB9" s="481"/>
      <c r="AC9" s="481"/>
      <c r="AD9" s="481"/>
      <c r="AE9" s="481"/>
      <c r="AG9" s="253" t="s">
        <v>2370</v>
      </c>
      <c r="AH9" s="472">
        <f>N7-N18</f>
        <v>5000</v>
      </c>
      <c r="AN9" s="480"/>
    </row>
    <row r="10" spans="2:40" s="8" customFormat="1" ht="24" customHeight="1" x14ac:dyDescent="0.25">
      <c r="B10" s="499" t="s">
        <v>2369</v>
      </c>
      <c r="C10" s="501">
        <f>IF(AND($C$8&gt;='Calculadora Inversa IRPF'!B39,'Margem IR Publico'!$C$8&lt;='Calculadora Inversa IRPF'!C39),'Calculadora Inversa IRPF'!D39,IF(AND($C$8&gt;='Calculadora Inversa IRPF'!B40,'Margem IR Publico'!$C$8&lt;='Calculadora Inversa IRPF'!C40),'Calculadora Inversa IRPF'!D40,IF(AND($C$8&gt;='Calculadora Inversa IRPF'!B41,'Margem IR Publico'!$C$8&lt;='Calculadora Inversa IRPF'!C41),'Calculadora Inversa IRPF'!D41,IF(AND($C$8&gt;='Calculadora Inversa IRPF'!B42,'Margem IR Publico'!$C$8&lt;='Calculadora Inversa IRPF'!C42),'Calculadora Inversa IRPF'!D42,IF(AND($C$8&gt;='Calculadora Inversa IRPF'!B43,'Margem IR Publico'!$C$8&lt;='Calculadora Inversa IRPF'!C43),'Calculadora Inversa IRPF'!D43,"Tabela Progressiva Atual")))))</f>
        <v>1</v>
      </c>
      <c r="E10" s="187">
        <f>E9*13</f>
        <v>4080.0973720000002</v>
      </c>
      <c r="F10" s="133" t="s">
        <v>2368</v>
      </c>
      <c r="G10" s="133"/>
      <c r="H10" s="133"/>
      <c r="M10" s="253" t="s">
        <v>2367</v>
      </c>
      <c r="N10" s="477">
        <f>IF(AND($X$7&gt;='Calculadora Inversa IRPF'!B10,'Margem IR Publico'!$X$7&lt;='Calculadora Inversa IRPF'!C10),'Calculadora Inversa IRPF'!D10,IF(AND($X$7&gt;='Calculadora Inversa IRPF'!B11,'Margem IR Publico'!$X$7&lt;='Calculadora Inversa IRPF'!C11),'Calculadora Inversa IRPF'!D11,IF(AND($X$7&gt;='Calculadora Inversa IRPF'!B12,'Margem IR Publico'!$X$7&lt;='Calculadora Inversa IRPF'!C12),'Calculadora Inversa IRPF'!D12,IF(AND($X$7&gt;='Calculadora Inversa IRPF'!B13,'Margem IR Publico'!$X$7&lt;='Calculadora Inversa IRPF'!C13),'Calculadora Inversa IRPF'!D13,0))))</f>
        <v>0.27500000000000002</v>
      </c>
      <c r="X10" s="448"/>
      <c r="Y10" s="448"/>
      <c r="Z10" s="448"/>
      <c r="AA10" s="448"/>
      <c r="AB10" s="448"/>
      <c r="AC10" s="448"/>
      <c r="AD10" s="448"/>
      <c r="AE10" s="448"/>
      <c r="AG10" s="253" t="s">
        <v>2366</v>
      </c>
      <c r="AH10" s="479">
        <v>1903</v>
      </c>
    </row>
    <row r="11" spans="2:40" s="8" customFormat="1" ht="24" hidden="1" customHeight="1" x14ac:dyDescent="0.25">
      <c r="B11" s="499" t="s">
        <v>2365</v>
      </c>
      <c r="C11" s="502">
        <f>C7-C9</f>
        <v>464.29</v>
      </c>
      <c r="E11" s="253" t="s">
        <v>2364</v>
      </c>
      <c r="F11" s="478">
        <f>C11*13</f>
        <v>6035.77</v>
      </c>
      <c r="M11" s="253" t="s">
        <v>2363</v>
      </c>
      <c r="N11" s="473">
        <f>IF(AND($X$7&gt;='Calculadora Inversa IRPF'!B10,'Margem IR Publico'!$X$7&lt;='Calculadora Inversa IRPF'!C10),'Calculadora Inversa IRPF'!E10,IF(AND($X$7&gt;='Calculadora Inversa IRPF'!B11,'Margem IR Publico'!$X$7&lt;='Calculadora Inversa IRPF'!C11),'Calculadora Inversa IRPF'!E11,IF(AND($X$7&gt;='Calculadora Inversa IRPF'!B12,'Margem IR Publico'!$X$7&lt;='Calculadora Inversa IRPF'!C12),'Calculadora Inversa IRPF'!E12,IF(AND($X$7&gt;='Calculadora Inversa IRPF'!B13,'Margem IR Publico'!$X$7&lt;='Calculadora Inversa IRPF'!C13),'Calculadora Inversa IRPF'!E13,0))))</f>
        <v>908.73</v>
      </c>
      <c r="X11" s="448"/>
      <c r="Y11" s="448"/>
      <c r="Z11" s="448"/>
      <c r="AA11" s="448"/>
      <c r="AB11" s="448"/>
      <c r="AC11" s="448"/>
      <c r="AD11" s="448"/>
      <c r="AE11" s="448"/>
      <c r="AG11" s="253" t="s">
        <v>2362</v>
      </c>
      <c r="AH11" s="479">
        <v>607.20000000000005</v>
      </c>
    </row>
    <row r="12" spans="2:40" s="8" customFormat="1" ht="24" customHeight="1" thickBot="1" x14ac:dyDescent="0.3">
      <c r="B12" s="503" t="s">
        <v>2361</v>
      </c>
      <c r="C12" s="504">
        <f>IF(C10="Tabela Progressiva Atual",0,((C7-C9) * 30%))</f>
        <v>139.28700000000001</v>
      </c>
      <c r="F12" s="43"/>
      <c r="M12" s="253" t="s">
        <v>2353</v>
      </c>
      <c r="N12" s="473">
        <f>(N8*N10)-N11</f>
        <v>466.27</v>
      </c>
      <c r="X12" s="448"/>
      <c r="Y12" s="448"/>
      <c r="Z12" s="448"/>
      <c r="AA12" s="448"/>
      <c r="AB12" s="448"/>
      <c r="AC12" s="448"/>
      <c r="AD12" s="448"/>
      <c r="AE12" s="448"/>
      <c r="AM12" s="43">
        <f>N12*25%</f>
        <v>116.5675</v>
      </c>
    </row>
    <row r="13" spans="2:40" x14ac:dyDescent="0.25">
      <c r="B13" s="571" t="s">
        <v>2584</v>
      </c>
      <c r="I13" s="1"/>
      <c r="N13" s="1">
        <f>Y23</f>
        <v>0</v>
      </c>
      <c r="X13" s="3"/>
      <c r="Y13" s="3"/>
      <c r="Z13" s="3"/>
      <c r="AA13" s="3"/>
      <c r="AB13" s="3"/>
      <c r="AC13" s="3"/>
      <c r="AD13" s="3"/>
      <c r="AE13" s="3"/>
    </row>
    <row r="14" spans="2:40" x14ac:dyDescent="0.25">
      <c r="M14" s="253" t="s">
        <v>2360</v>
      </c>
      <c r="N14" s="477">
        <f>IF(AND($X$8&gt;='Calculadora Inversa IRPF'!B10,'Margem IR Publico'!$X$8&lt;='Calculadora Inversa IRPF'!C10),'Calculadora Inversa IRPF'!D10,IF(AND($X$8&gt;='Calculadora Inversa IRPF'!B11,'Margem IR Publico'!$X$8&lt;='Calculadora Inversa IRPF'!C11),'Calculadora Inversa IRPF'!D11,IF(AND($X$8&gt;='Calculadora Inversa IRPF'!B12,'Margem IR Publico'!$X$8&lt;='Calculadora Inversa IRPF'!C12),'Calculadora Inversa IRPF'!D12,IF(AND($X$8&gt;='Calculadora Inversa IRPF'!B13,'Margem IR Publico'!$X$8&lt;='Calculadora Inversa IRPF'!C13),'Calculadora Inversa IRPF'!D13,0))))</f>
        <v>0</v>
      </c>
      <c r="X14" s="672" t="s">
        <v>2359</v>
      </c>
      <c r="Y14" s="672"/>
      <c r="Z14" s="672"/>
      <c r="AA14" s="3"/>
      <c r="AB14" s="3"/>
      <c r="AC14" s="3"/>
      <c r="AD14" s="3"/>
      <c r="AE14" s="3"/>
    </row>
    <row r="15" spans="2:40" x14ac:dyDescent="0.25">
      <c r="C15" s="27"/>
      <c r="M15" s="253" t="s">
        <v>2358</v>
      </c>
      <c r="N15" s="473">
        <f>IF(AND($X$8&gt;='Calculadora Inversa IRPF'!B10,'Margem IR Publico'!$X$8&lt;='Calculadora Inversa IRPF'!C10),'Calculadora Inversa IRPF'!E10,IF(AND($X$8&gt;='Calculadora Inversa IRPF'!B11,'Margem IR Publico'!$X$8&lt;='Calculadora Inversa IRPF'!C11),'Calculadora Inversa IRPF'!E11,IF(AND($X$8&gt;='Calculadora Inversa IRPF'!B12,'Margem IR Publico'!$X$8&lt;='Calculadora Inversa IRPF'!C12),'Calculadora Inversa IRPF'!E12,IF(AND($X$8&gt;='Calculadora Inversa IRPF'!B13,'Margem IR Publico'!$X$8&lt;='Calculadora Inversa IRPF'!C13),'Calculadora Inversa IRPF'!E13,0))))</f>
        <v>0</v>
      </c>
      <c r="X15" s="471">
        <v>1518</v>
      </c>
      <c r="Y15" s="471"/>
      <c r="Z15" s="476">
        <v>7.4999999999999997E-2</v>
      </c>
      <c r="AA15" s="3">
        <v>0</v>
      </c>
      <c r="AB15" s="3"/>
      <c r="AC15" s="3"/>
      <c r="AD15" s="3"/>
      <c r="AE15" s="3"/>
      <c r="AM15" s="1">
        <f>3367.68</f>
        <v>3367.68</v>
      </c>
    </row>
    <row r="16" spans="2:40" x14ac:dyDescent="0.25">
      <c r="C16" s="1"/>
      <c r="M16" s="475"/>
      <c r="N16" s="475"/>
      <c r="X16" s="471">
        <v>1518.01</v>
      </c>
      <c r="Y16" s="471">
        <v>2793.88</v>
      </c>
      <c r="Z16" s="470">
        <v>0.09</v>
      </c>
      <c r="AA16" s="3">
        <v>22.77</v>
      </c>
      <c r="AB16" s="3"/>
      <c r="AC16" s="3"/>
      <c r="AD16" s="3"/>
      <c r="AE16" s="3"/>
      <c r="AM16" s="1">
        <f>AM15/12</f>
        <v>280.64</v>
      </c>
    </row>
    <row r="17" spans="6:31" x14ac:dyDescent="0.25">
      <c r="F17" s="373"/>
      <c r="M17" s="475"/>
      <c r="N17" s="475"/>
      <c r="X17" s="468">
        <v>2793.89</v>
      </c>
      <c r="Y17" s="468">
        <v>4190.83</v>
      </c>
      <c r="Z17" s="474">
        <v>0.12</v>
      </c>
      <c r="AA17" s="3">
        <v>106.59</v>
      </c>
      <c r="AB17" s="3"/>
      <c r="AC17" s="3"/>
      <c r="AD17" s="3"/>
      <c r="AE17" s="3"/>
    </row>
    <row r="18" spans="6:31" x14ac:dyDescent="0.25">
      <c r="F18" s="1"/>
      <c r="M18" s="253" t="s">
        <v>2357</v>
      </c>
      <c r="N18" s="473">
        <f>(X8*N14)-N15</f>
        <v>0</v>
      </c>
      <c r="X18" s="471">
        <v>4190.84</v>
      </c>
      <c r="Y18" s="471">
        <v>8157.41</v>
      </c>
      <c r="Z18" s="470">
        <v>0.14000000000000001</v>
      </c>
      <c r="AA18" s="3">
        <v>190.4</v>
      </c>
      <c r="AB18" s="3"/>
      <c r="AC18" s="3"/>
      <c r="AD18" s="3"/>
      <c r="AE18" s="3"/>
    </row>
    <row r="19" spans="6:31" x14ac:dyDescent="0.25">
      <c r="F19" s="1"/>
      <c r="M19" s="253" t="s">
        <v>2356</v>
      </c>
      <c r="N19" s="472">
        <f>(N12-N18)*30%</f>
        <v>139.881</v>
      </c>
      <c r="X19" s="471">
        <v>8157.42</v>
      </c>
      <c r="Y19" s="471"/>
      <c r="Z19" s="470"/>
      <c r="AA19" s="3"/>
      <c r="AB19" s="451"/>
      <c r="AC19" s="3"/>
      <c r="AD19" s="3"/>
      <c r="AE19" s="3"/>
    </row>
    <row r="20" spans="6:31" x14ac:dyDescent="0.25">
      <c r="F20" s="1"/>
      <c r="X20" s="469">
        <f>IF(AND(Y7=TRUE,AC7=FALSE),IF(AND($N$7&gt;=X15,$N$7&lt;=Y15),Z15,IF(AND($N$7&gt;=X16,$N$7&lt;=Y16),Z16,IF(AND($N$7&gt;=X17,$N$7&lt;=Y17),Z17,IF(AND($N$7&gt;=X18,$N$7&lt;=Y18),Z18,IF(($N$7&gt;=X19),Z19,0))))),0)</f>
        <v>0</v>
      </c>
      <c r="Y20" s="468">
        <f>IF(Y7=TRUE,IF(N7&gt;X19,AB19,(X20*N7)-X21),0)</f>
        <v>0</v>
      </c>
      <c r="Z20" s="3"/>
      <c r="AA20" s="3"/>
      <c r="AB20" s="3"/>
      <c r="AC20" s="3"/>
      <c r="AD20" s="3"/>
      <c r="AE20" s="3"/>
    </row>
    <row r="21" spans="6:31" x14ac:dyDescent="0.25">
      <c r="X21" s="467">
        <f>IF(AND(Y7=TRUE,AC7=FALSE),IF(AND($N$7&gt;=X15,$N$7&lt;=Y15),AA15,IF(AND($N$7&gt;=X16,$N$7&lt;=Y16),AA16,IF(AND($N$7&gt;=X17,$N$7&lt;=Y17),AA17,IF(AND($N$7&gt;=X18,$N$7&lt;=Y18),AA18,IF(($N$7&gt;=X19),AA19,0))))),0)</f>
        <v>0</v>
      </c>
      <c r="Y21" s="3"/>
      <c r="Z21" s="3"/>
      <c r="AA21" s="3"/>
      <c r="AB21" s="3"/>
      <c r="AC21" s="3"/>
      <c r="AD21" s="3"/>
      <c r="AE21" s="3"/>
    </row>
    <row r="22" spans="6:31" x14ac:dyDescent="0.25">
      <c r="X22" s="3"/>
      <c r="Y22" s="3"/>
      <c r="Z22" s="3"/>
      <c r="AA22" s="3"/>
      <c r="AB22" s="3"/>
      <c r="AC22" s="3"/>
      <c r="AD22" s="3"/>
      <c r="AE22" s="3"/>
    </row>
    <row r="23" spans="6:31" x14ac:dyDescent="0.25">
      <c r="Q23" s="373">
        <f>1515.37/16%</f>
        <v>9471.0625</v>
      </c>
      <c r="X23" s="451">
        <f>N7*X20</f>
        <v>0</v>
      </c>
      <c r="Y23" s="466">
        <f>X23-X21</f>
        <v>0</v>
      </c>
      <c r="Z23" s="3"/>
      <c r="AA23" s="3"/>
      <c r="AB23" s="3"/>
      <c r="AC23" s="3"/>
      <c r="AD23" s="3"/>
      <c r="AE23" s="3"/>
    </row>
    <row r="24" spans="6:31" x14ac:dyDescent="0.25">
      <c r="X24" s="3"/>
      <c r="Y24" s="3"/>
      <c r="Z24" s="3"/>
      <c r="AA24" s="3"/>
      <c r="AB24" s="3"/>
      <c r="AC24" s="3"/>
      <c r="AD24" s="3"/>
      <c r="AE24" s="3"/>
    </row>
  </sheetData>
  <mergeCells count="6">
    <mergeCell ref="C2:E2"/>
    <mergeCell ref="B5:C5"/>
    <mergeCell ref="M5:N5"/>
    <mergeCell ref="X14:Z14"/>
    <mergeCell ref="B6:C6"/>
    <mergeCell ref="B4:C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mpregador Disponível" promptTitle="Empregador Disponível" xr:uid="{5EC65F57-BD2E-486B-82D2-AEC7A6903871}">
          <x14:formula1>
            <xm:f>'empregadores aumento ir'!$C$5:$C$191</xm:f>
          </x14:formula1>
          <xm:sqref>E4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E7A6-6AEA-449C-8798-0E0BD08D9A73}">
  <sheetPr codeName="Planilha7">
    <tabColor rgb="FF002060"/>
  </sheetPr>
  <dimension ref="B1:T131"/>
  <sheetViews>
    <sheetView showGridLines="0" zoomScale="115" zoomScaleNormal="115" workbookViewId="0">
      <selection activeCell="D17" sqref="D17"/>
    </sheetView>
  </sheetViews>
  <sheetFormatPr defaultRowHeight="15" x14ac:dyDescent="0.25"/>
  <cols>
    <col min="1" max="1" width="5.140625" customWidth="1"/>
    <col min="2" max="2" width="2.7109375" customWidth="1"/>
    <col min="3" max="3" width="23.42578125" style="6" bestFit="1" customWidth="1"/>
    <col min="4" max="4" width="14.140625" style="6" bestFit="1" customWidth="1"/>
    <col min="5" max="5" width="16.85546875" bestFit="1" customWidth="1"/>
    <col min="6" max="6" width="12" customWidth="1"/>
    <col min="7" max="7" width="22" customWidth="1"/>
    <col min="8" max="8" width="0.7109375" customWidth="1"/>
    <col min="9" max="9" width="14.85546875" bestFit="1" customWidth="1"/>
    <col min="10" max="10" width="12.85546875" bestFit="1" customWidth="1"/>
    <col min="13" max="13" width="29.42578125" style="158" customWidth="1"/>
    <col min="14" max="14" width="19.42578125" style="158" hidden="1" customWidth="1"/>
    <col min="15" max="15" width="13" style="158" hidden="1" customWidth="1"/>
    <col min="16" max="16" width="17.7109375" style="158" hidden="1" customWidth="1"/>
    <col min="17" max="17" width="13" style="158" hidden="1" customWidth="1"/>
    <col min="18" max="20" width="9.140625" style="158" customWidth="1"/>
    <col min="21" max="25" width="9.140625" customWidth="1"/>
  </cols>
  <sheetData>
    <row r="1" spans="3:20" ht="4.5" customHeight="1" x14ac:dyDescent="0.25"/>
    <row r="2" spans="3:20" ht="27" customHeight="1" thickBot="1" x14ac:dyDescent="0.3">
      <c r="I2" s="687" t="s">
        <v>194</v>
      </c>
      <c r="J2" s="688"/>
      <c r="K2" s="688"/>
      <c r="L2" s="688"/>
      <c r="M2" s="688"/>
    </row>
    <row r="3" spans="3:20" ht="19.5" customHeight="1" x14ac:dyDescent="0.25">
      <c r="D3" s="689" t="s">
        <v>1183</v>
      </c>
      <c r="E3" s="690"/>
      <c r="F3" s="690"/>
      <c r="G3" s="691"/>
    </row>
    <row r="4" spans="3:20" ht="50.25" customHeight="1" thickBot="1" x14ac:dyDescent="0.3">
      <c r="D4" s="692"/>
      <c r="E4" s="693"/>
      <c r="F4" s="693"/>
      <c r="G4" s="694"/>
    </row>
    <row r="6" spans="3:20" ht="18" hidden="1" customHeight="1" thickBot="1" x14ac:dyDescent="0.3">
      <c r="C6" s="676" t="s">
        <v>200</v>
      </c>
      <c r="D6" s="677"/>
      <c r="E6" s="677"/>
      <c r="F6" s="677"/>
      <c r="G6" s="678"/>
    </row>
    <row r="7" spans="3:20" s="8" customFormat="1" ht="23.25" hidden="1" customHeight="1" thickBot="1" x14ac:dyDescent="0.3">
      <c r="C7" s="679" t="s">
        <v>199</v>
      </c>
      <c r="D7" s="680"/>
      <c r="E7" s="124" t="s">
        <v>198</v>
      </c>
      <c r="F7" s="123"/>
      <c r="G7" s="122" t="s">
        <v>197</v>
      </c>
      <c r="M7" s="331"/>
      <c r="N7" s="331"/>
      <c r="O7" s="331"/>
      <c r="P7" s="331"/>
      <c r="Q7" s="331"/>
      <c r="R7" s="331"/>
      <c r="S7" s="331"/>
      <c r="T7" s="331"/>
    </row>
    <row r="8" spans="3:20" ht="16.5" hidden="1" thickBot="1" x14ac:dyDescent="0.3">
      <c r="C8" s="121">
        <v>0</v>
      </c>
      <c r="D8" s="120">
        <v>2428.8000000000002</v>
      </c>
      <c r="E8" s="119">
        <v>0</v>
      </c>
      <c r="F8" s="118"/>
      <c r="G8" s="117">
        <v>0</v>
      </c>
    </row>
    <row r="9" spans="3:20" ht="16.5" hidden="1" thickBot="1" x14ac:dyDescent="0.3">
      <c r="C9" s="121">
        <v>2428.81</v>
      </c>
      <c r="D9" s="120">
        <v>2826.65</v>
      </c>
      <c r="E9" s="119">
        <v>7.4999999999999997E-2</v>
      </c>
      <c r="F9" s="118"/>
      <c r="G9" s="117">
        <v>182.16</v>
      </c>
      <c r="I9" s="111"/>
      <c r="J9" s="111"/>
    </row>
    <row r="10" spans="3:20" ht="16.5" hidden="1" thickBot="1" x14ac:dyDescent="0.3">
      <c r="C10" s="121">
        <v>2826.66</v>
      </c>
      <c r="D10" s="120">
        <v>3751.05</v>
      </c>
      <c r="E10" s="119">
        <v>0.15</v>
      </c>
      <c r="F10" s="118"/>
      <c r="G10" s="117">
        <v>394.16</v>
      </c>
      <c r="I10" s="111"/>
      <c r="J10" s="111"/>
      <c r="N10" s="157"/>
      <c r="O10" s="157"/>
      <c r="P10" s="157"/>
      <c r="Q10" s="157"/>
      <c r="R10" s="157"/>
    </row>
    <row r="11" spans="3:20" ht="16.5" hidden="1" thickBot="1" x14ac:dyDescent="0.3">
      <c r="C11" s="121">
        <v>3751.06</v>
      </c>
      <c r="D11" s="120">
        <v>4664.68</v>
      </c>
      <c r="E11" s="119">
        <v>0.22500000000000001</v>
      </c>
      <c r="F11" s="118"/>
      <c r="G11" s="117">
        <v>675.49</v>
      </c>
      <c r="I11" s="327" t="s">
        <v>478</v>
      </c>
      <c r="J11" s="329">
        <v>1903.98</v>
      </c>
      <c r="N11" s="157"/>
      <c r="O11" s="157"/>
      <c r="P11" s="157"/>
      <c r="Q11" s="157"/>
      <c r="R11" s="157"/>
    </row>
    <row r="12" spans="3:20" ht="17.25" hidden="1" customHeight="1" thickBot="1" x14ac:dyDescent="0.3">
      <c r="C12" s="116">
        <v>4664.6899999999996</v>
      </c>
      <c r="D12" s="115">
        <v>999999</v>
      </c>
      <c r="E12" s="114">
        <v>0.27500000000000002</v>
      </c>
      <c r="F12" s="113"/>
      <c r="G12" s="112">
        <v>908.73</v>
      </c>
      <c r="I12" s="328" t="s">
        <v>477</v>
      </c>
      <c r="J12" s="330">
        <v>607.20000000000005</v>
      </c>
      <c r="N12" s="332" t="s">
        <v>196</v>
      </c>
      <c r="O12" s="333">
        <f>IF(O14=TRUE,D17*30%,0)</f>
        <v>0</v>
      </c>
      <c r="P12" s="157"/>
      <c r="Q12" s="157"/>
      <c r="R12" s="157"/>
    </row>
    <row r="13" spans="3:20" ht="25.5" customHeight="1" thickBot="1" x14ac:dyDescent="0.3">
      <c r="E13" s="89"/>
      <c r="F13" s="89"/>
      <c r="N13" s="339" t="s">
        <v>195</v>
      </c>
      <c r="O13" s="341"/>
      <c r="P13" s="339" t="b">
        <f>IF(AND(D17&gt;=O29,D17&lt;=$Q$13),TRUE,FALSE)</f>
        <v>1</v>
      </c>
      <c r="Q13" s="344">
        <f>VLOOKUP(O22,indices!$E$22:$F$1512,2,TRUE)</f>
        <v>1560.1499999999617</v>
      </c>
      <c r="R13" s="334"/>
    </row>
    <row r="14" spans="3:20" ht="21.75" customHeight="1" thickBot="1" x14ac:dyDescent="0.3">
      <c r="C14" s="681" t="s">
        <v>201</v>
      </c>
      <c r="D14" s="682"/>
      <c r="E14" s="683"/>
      <c r="F14" s="110"/>
      <c r="G14" s="131" t="s">
        <v>186</v>
      </c>
      <c r="H14" s="8"/>
      <c r="I14" s="129">
        <v>44197</v>
      </c>
      <c r="N14" s="339" t="s">
        <v>193</v>
      </c>
      <c r="O14" s="341" t="b">
        <v>0</v>
      </c>
      <c r="P14" s="339" t="s">
        <v>173</v>
      </c>
      <c r="Q14" s="341" t="str">
        <f>VLOOKUP(O17,especies!$A:$D,4,FALSE)</f>
        <v>Sim</v>
      </c>
      <c r="R14" s="334"/>
    </row>
    <row r="15" spans="3:20" ht="21.75" customHeight="1" thickBot="1" x14ac:dyDescent="0.3">
      <c r="C15" s="684"/>
      <c r="D15" s="685"/>
      <c r="E15" s="686"/>
      <c r="F15" s="110"/>
      <c r="G15" s="132" t="s">
        <v>183</v>
      </c>
      <c r="H15" s="8"/>
      <c r="I15" s="130">
        <v>60</v>
      </c>
      <c r="N15" s="339" t="s">
        <v>192</v>
      </c>
      <c r="O15" s="342">
        <f>IF(O14=TRUE,E17*30%,0)</f>
        <v>0</v>
      </c>
      <c r="P15" s="339" t="s">
        <v>191</v>
      </c>
      <c r="Q15" s="345">
        <f>VLOOKUP(O17,especies!$A:$E,5,FALSE)</f>
        <v>0.35</v>
      </c>
      <c r="R15" s="334"/>
    </row>
    <row r="16" spans="3:20" s="5" customFormat="1" ht="13.5" hidden="1" thickBot="1" x14ac:dyDescent="0.25">
      <c r="C16" s="290">
        <f>IFERROR(VLOOKUP(O18,indices!$B$2:$C$13,2,FALSE),indices!C14)</f>
        <v>3.9E-2</v>
      </c>
      <c r="D16" s="291">
        <f>B17-Q16-O12-J12-O21</f>
        <v>910.8</v>
      </c>
      <c r="E16" s="292">
        <f>E17-Q16-O15-O21-J12</f>
        <v>1013.8</v>
      </c>
      <c r="F16" s="109"/>
      <c r="M16" s="335"/>
      <c r="N16" s="340" t="s">
        <v>190</v>
      </c>
      <c r="O16" s="343" t="b">
        <v>0</v>
      </c>
      <c r="P16" s="336" t="s">
        <v>189</v>
      </c>
      <c r="Q16" s="337">
        <f>IF(O16=TRUE,$J$11,0)</f>
        <v>0</v>
      </c>
      <c r="R16" s="338"/>
      <c r="S16" s="335"/>
      <c r="T16" s="335"/>
    </row>
    <row r="17" spans="2:20" s="8" customFormat="1" ht="23.25" customHeight="1" thickBot="1" x14ac:dyDescent="0.25">
      <c r="B17" s="133">
        <f>IF(P13=TRUE,O29,D17)</f>
        <v>1518</v>
      </c>
      <c r="C17" s="301" t="s">
        <v>2563</v>
      </c>
      <c r="D17" s="287">
        <v>1518</v>
      </c>
      <c r="E17" s="509">
        <f>IF(P13=TRUE,O22,D17*(1+C16))</f>
        <v>1621</v>
      </c>
      <c r="F17" s="108"/>
      <c r="G17" s="128"/>
      <c r="J17" s="5"/>
      <c r="K17" s="5"/>
      <c r="L17" s="5"/>
      <c r="M17" s="5"/>
      <c r="N17" s="339" t="s">
        <v>188</v>
      </c>
      <c r="O17" s="485">
        <v>34</v>
      </c>
      <c r="P17" s="448"/>
      <c r="Q17" s="448"/>
      <c r="R17" s="448"/>
    </row>
    <row r="18" spans="2:20" s="8" customFormat="1" ht="15.75" hidden="1" thickBot="1" x14ac:dyDescent="0.3">
      <c r="C18" s="293" t="s">
        <v>187</v>
      </c>
      <c r="D18" s="294">
        <f>IF(AND(D16&gt;=$C$8,D16&lt;=$D$8),$E$8,IF(AND(D16&gt;=$C$9,D16&lt;=$D$9),$E$9,IF(AND(D16&gt;=$C$10,D16&lt;=$D$10),$E$10,IF(AND(D16&gt;=$C$11,D16&lt;=$D$11),$E$11,IF(D16&gt;=$C$12,E12,0)))))</f>
        <v>0</v>
      </c>
      <c r="E18" s="298">
        <f>IF(AND(E16&gt;=$C$8,E16&lt;=$D$8),$E$8,IF(AND(E16&gt;=$C$9,E16&lt;=$D$9),$E$9,IF(AND(E16&gt;=$C$10,E16&lt;=$D$10),$E$10,IF(AND(E16&gt;=$C$11,E16&lt;=$D$11),$E$11,IF(E16&gt;=$C$12,E12,0)))))</f>
        <v>0</v>
      </c>
      <c r="F18" s="107"/>
      <c r="N18" s="339" t="s">
        <v>185</v>
      </c>
      <c r="O18" s="486">
        <f>VALUE(CONCATENATE(MONTH(O19),YEAR(O19)))</f>
        <v>102020</v>
      </c>
      <c r="P18" s="448"/>
      <c r="Q18" s="448"/>
      <c r="R18" s="448"/>
    </row>
    <row r="19" spans="2:20" s="8" customFormat="1" ht="15.75" hidden="1" thickBot="1" x14ac:dyDescent="0.3">
      <c r="C19" s="295" t="s">
        <v>184</v>
      </c>
      <c r="D19" s="296">
        <f>IF(AND(D16&gt;=$C$8,D16&lt;=$D$8),$G$8,IF(AND(D16&gt;=$C$9,D16&lt;=$D$9),$G$9,IF(AND(D16&gt;=$C$10,D16&lt;=$D$10),$G$10,IF(AND(D16&gt;=$C$11,D16&lt;=$D$11),$G$11,IF(D16&gt;=$C$12,G12,0)))))</f>
        <v>0</v>
      </c>
      <c r="E19" s="299">
        <f>IF(AND(E16&gt;=$C$8,E16&lt;=$D$8),$G$8,IF(AND(E16&gt;=$C$9,E16&lt;=$D$9),$G$9,IF(AND(E16&gt;=$C$10,E16&lt;=$D$10),$G$10,IF(AND(E16&gt;=$C$11,E16&lt;=$D$11),$G$11,IF(E16&gt;=$C$12,G12,0)))))</f>
        <v>0</v>
      </c>
      <c r="F19" s="106"/>
      <c r="N19" s="339" t="s">
        <v>182</v>
      </c>
      <c r="O19" s="487">
        <f>EDATE(I14,O20)</f>
        <v>44105</v>
      </c>
      <c r="P19" s="448"/>
      <c r="Q19" s="448"/>
      <c r="R19" s="448"/>
    </row>
    <row r="20" spans="2:20" s="8" customFormat="1" ht="15.75" hidden="1" thickBot="1" x14ac:dyDescent="0.3">
      <c r="C20" s="295" t="s">
        <v>181</v>
      </c>
      <c r="D20" s="299">
        <f>IF(D16&lt;=5000,0,(((D16*D18)-D19)-IF(AND(D17&gt;5000,D17&lt;=7350),P33,0)))</f>
        <v>0</v>
      </c>
      <c r="E20" s="299">
        <f>IF(E16&lt;=5000,0,(((E16*E18)-E19)-IF(AND(E17&gt;5000,E17&lt;=7350),O33,0)))</f>
        <v>0</v>
      </c>
      <c r="F20" s="106"/>
      <c r="G20" s="125"/>
      <c r="N20" s="339" t="s">
        <v>180</v>
      </c>
      <c r="O20" s="485">
        <v>-3</v>
      </c>
      <c r="P20" s="448"/>
      <c r="Q20" s="448"/>
      <c r="R20" s="448"/>
    </row>
    <row r="21" spans="2:20" s="8" customFormat="1" ht="15.75" hidden="1" thickBot="1" x14ac:dyDescent="0.3">
      <c r="C21" s="295" t="s">
        <v>179</v>
      </c>
      <c r="D21" s="297">
        <f>IF(O13=TRUE,1518,D17)-D20-O12</f>
        <v>1518</v>
      </c>
      <c r="E21" s="300">
        <f>IF(O13=TRUE,O22,E17)-E20-O15</f>
        <v>1621</v>
      </c>
      <c r="F21" s="106"/>
      <c r="G21" s="43"/>
      <c r="N21" s="339" t="s">
        <v>178</v>
      </c>
      <c r="O21" s="485">
        <f>IF(I15&gt;=65,$J$11,0)</f>
        <v>0</v>
      </c>
      <c r="P21" s="448"/>
      <c r="Q21" s="488"/>
      <c r="R21" s="448"/>
    </row>
    <row r="22" spans="2:20" ht="20.25" customHeight="1" thickBot="1" x14ac:dyDescent="0.3">
      <c r="C22" s="288" t="s">
        <v>203</v>
      </c>
      <c r="D22" s="289">
        <v>1.8499999999999999E-2</v>
      </c>
      <c r="M22"/>
      <c r="N22" s="339" t="s">
        <v>177</v>
      </c>
      <c r="O22" s="489">
        <v>1621</v>
      </c>
      <c r="P22" s="448"/>
      <c r="Q22" s="449"/>
      <c r="R22" s="448"/>
      <c r="S22"/>
      <c r="T22"/>
    </row>
    <row r="23" spans="2:20" ht="3.75" customHeight="1" thickBot="1" x14ac:dyDescent="0.3">
      <c r="C23"/>
      <c r="D23"/>
      <c r="G23" s="1"/>
      <c r="M23"/>
      <c r="N23" s="505"/>
      <c r="O23" s="481"/>
      <c r="P23" s="448"/>
      <c r="Q23" s="449"/>
      <c r="R23" s="448"/>
      <c r="S23"/>
      <c r="T23"/>
    </row>
    <row r="24" spans="2:20" s="8" customFormat="1" ht="22.5" customHeight="1" thickBot="1" x14ac:dyDescent="0.3">
      <c r="C24" s="126" t="s">
        <v>176</v>
      </c>
      <c r="D24" s="127">
        <f>IF(Q14="Sim",(E21*Q15)-(D21*Q15),0)</f>
        <v>36.049999999999955</v>
      </c>
      <c r="E24"/>
      <c r="N24" s="506"/>
      <c r="O24" s="481"/>
      <c r="P24" s="448"/>
      <c r="Q24" s="448"/>
      <c r="R24" s="448"/>
    </row>
    <row r="25" spans="2:20" ht="3" customHeight="1" x14ac:dyDescent="0.25">
      <c r="G25" s="8"/>
      <c r="M25"/>
      <c r="N25" s="506"/>
      <c r="O25" s="481"/>
      <c r="P25" s="448"/>
      <c r="Q25" s="448"/>
      <c r="R25" s="448"/>
      <c r="S25"/>
      <c r="T25"/>
    </row>
    <row r="26" spans="2:20" ht="3" customHeight="1" thickBot="1" x14ac:dyDescent="0.3">
      <c r="G26" s="8"/>
      <c r="M26"/>
      <c r="N26" s="506"/>
      <c r="O26" s="490">
        <f>O22/1320-1</f>
        <v>0.22803030303030303</v>
      </c>
      <c r="P26" s="448"/>
      <c r="Q26" s="448"/>
      <c r="R26" s="448"/>
      <c r="S26"/>
      <c r="T26"/>
    </row>
    <row r="27" spans="2:20" ht="38.25" thickBot="1" x14ac:dyDescent="0.3">
      <c r="C27" s="134" t="s">
        <v>204</v>
      </c>
      <c r="D27" s="127">
        <f>E35/1.03129</f>
        <v>1518.4089829242987</v>
      </c>
      <c r="G27" s="415"/>
      <c r="M27"/>
      <c r="N27" s="339" t="s">
        <v>36</v>
      </c>
      <c r="O27" s="485">
        <v>96</v>
      </c>
      <c r="P27" s="448"/>
      <c r="Q27" s="448"/>
      <c r="R27" s="448"/>
      <c r="S27"/>
      <c r="T27"/>
    </row>
    <row r="28" spans="2:20" x14ac:dyDescent="0.25">
      <c r="D28" s="105"/>
      <c r="M28"/>
      <c r="N28" s="339" t="s">
        <v>202</v>
      </c>
      <c r="O28" s="485">
        <v>55</v>
      </c>
      <c r="P28" s="448"/>
      <c r="Q28" s="448"/>
      <c r="R28" s="448"/>
      <c r="S28"/>
      <c r="T28"/>
    </row>
    <row r="29" spans="2:20" x14ac:dyDescent="0.25">
      <c r="E29" s="1"/>
      <c r="F29" s="1"/>
      <c r="G29" s="1"/>
      <c r="M29"/>
      <c r="N29" s="507" t="s">
        <v>481</v>
      </c>
      <c r="O29" s="491">
        <v>1518</v>
      </c>
      <c r="P29"/>
      <c r="Q29"/>
      <c r="R29"/>
      <c r="S29"/>
      <c r="T29"/>
    </row>
    <row r="30" spans="2:20" x14ac:dyDescent="0.25">
      <c r="D30" s="101"/>
      <c r="G30" s="1"/>
      <c r="N30" s="507" t="s">
        <v>2382</v>
      </c>
      <c r="O30" s="458">
        <v>978.62</v>
      </c>
      <c r="P30" s="458">
        <v>978.62</v>
      </c>
      <c r="Q30"/>
      <c r="R30"/>
      <c r="S30"/>
      <c r="T30"/>
    </row>
    <row r="31" spans="2:20" x14ac:dyDescent="0.25">
      <c r="D31" s="105"/>
      <c r="G31" s="492"/>
      <c r="M31"/>
      <c r="N31" s="507" t="s">
        <v>2383</v>
      </c>
      <c r="O31" s="508">
        <v>0.13314500000000001</v>
      </c>
      <c r="P31" s="508">
        <v>0.13314500000000001</v>
      </c>
      <c r="Q31"/>
      <c r="R31"/>
      <c r="S31"/>
      <c r="T31"/>
    </row>
    <row r="32" spans="2:20" x14ac:dyDescent="0.25">
      <c r="D32" s="105"/>
      <c r="G32" s="492"/>
      <c r="M32"/>
      <c r="N32" s="507" t="s">
        <v>2384</v>
      </c>
      <c r="O32" s="373">
        <f>E16*O31</f>
        <v>134.98240100000001</v>
      </c>
      <c r="P32" s="373">
        <f>D16*P31</f>
        <v>121.268466</v>
      </c>
      <c r="Q32"/>
      <c r="R32"/>
      <c r="S32"/>
      <c r="T32"/>
    </row>
    <row r="33" spans="3:20" x14ac:dyDescent="0.25">
      <c r="D33" s="495"/>
      <c r="M33"/>
      <c r="N33" s="507" t="s">
        <v>2385</v>
      </c>
      <c r="O33" s="1">
        <f>O30-O32</f>
        <v>843.63759900000002</v>
      </c>
      <c r="P33" s="1">
        <f>P30-P32</f>
        <v>857.35153400000002</v>
      </c>
      <c r="Q33"/>
      <c r="R33"/>
      <c r="S33"/>
      <c r="T33"/>
    </row>
    <row r="34" spans="3:20" x14ac:dyDescent="0.25">
      <c r="M34"/>
      <c r="N34"/>
      <c r="O34"/>
      <c r="P34"/>
      <c r="Q34"/>
      <c r="R34"/>
      <c r="S34"/>
      <c r="T34"/>
    </row>
    <row r="35" spans="3:20" hidden="1" x14ac:dyDescent="0.25">
      <c r="C35" s="496">
        <v>46028</v>
      </c>
      <c r="E35" s="447">
        <f>SUM(E36:E131)</f>
        <v>1565.92</v>
      </c>
    </row>
    <row r="36" spans="3:20" hidden="1" x14ac:dyDescent="0.25">
      <c r="C36" s="496">
        <v>46091</v>
      </c>
      <c r="D36" s="105">
        <f>$D$24</f>
        <v>36.049999999999955</v>
      </c>
      <c r="E36" s="459">
        <f>ROUND(D36/(1+$D$22)^((C36-$C$35)/30),2)</f>
        <v>34.69</v>
      </c>
    </row>
    <row r="37" spans="3:20" hidden="1" x14ac:dyDescent="0.25">
      <c r="C37" s="493">
        <f>EDATE(C36,1)</f>
        <v>46122</v>
      </c>
      <c r="D37" s="105">
        <f t="shared" ref="D37:D100" si="0">$D$24</f>
        <v>36.049999999999955</v>
      </c>
      <c r="E37" s="459">
        <f t="shared" ref="E37:E100" si="1">ROUND(D37/(1+$D$22)^((C37-$C$35)/30),2)</f>
        <v>34.04</v>
      </c>
    </row>
    <row r="38" spans="3:20" hidden="1" x14ac:dyDescent="0.25">
      <c r="C38" s="493">
        <f t="shared" ref="C38:C101" si="2">EDATE(C37,1)</f>
        <v>46152</v>
      </c>
      <c r="D38" s="105">
        <f t="shared" si="0"/>
        <v>36.049999999999955</v>
      </c>
      <c r="E38" s="459">
        <f t="shared" si="1"/>
        <v>33.42</v>
      </c>
    </row>
    <row r="39" spans="3:20" hidden="1" x14ac:dyDescent="0.25">
      <c r="C39" s="493">
        <f t="shared" si="2"/>
        <v>46183</v>
      </c>
      <c r="D39" s="105">
        <f t="shared" si="0"/>
        <v>36.049999999999955</v>
      </c>
      <c r="E39" s="459">
        <f t="shared" si="1"/>
        <v>32.79</v>
      </c>
    </row>
    <row r="40" spans="3:20" hidden="1" x14ac:dyDescent="0.25">
      <c r="C40" s="493">
        <f t="shared" si="2"/>
        <v>46213</v>
      </c>
      <c r="D40" s="105">
        <f t="shared" si="0"/>
        <v>36.049999999999955</v>
      </c>
      <c r="E40" s="459">
        <f t="shared" si="1"/>
        <v>32.200000000000003</v>
      </c>
    </row>
    <row r="41" spans="3:20" hidden="1" x14ac:dyDescent="0.25">
      <c r="C41" s="493">
        <f t="shared" si="2"/>
        <v>46244</v>
      </c>
      <c r="D41" s="105">
        <f t="shared" si="0"/>
        <v>36.049999999999955</v>
      </c>
      <c r="E41" s="459">
        <f t="shared" si="1"/>
        <v>31.59</v>
      </c>
    </row>
    <row r="42" spans="3:20" hidden="1" x14ac:dyDescent="0.25">
      <c r="C42" s="493">
        <f t="shared" si="2"/>
        <v>46275</v>
      </c>
      <c r="D42" s="105">
        <f t="shared" si="0"/>
        <v>36.049999999999955</v>
      </c>
      <c r="E42" s="459">
        <f t="shared" si="1"/>
        <v>31</v>
      </c>
    </row>
    <row r="43" spans="3:20" hidden="1" x14ac:dyDescent="0.25">
      <c r="C43" s="493">
        <f t="shared" si="2"/>
        <v>46305</v>
      </c>
      <c r="D43" s="105">
        <f t="shared" si="0"/>
        <v>36.049999999999955</v>
      </c>
      <c r="E43" s="459">
        <f t="shared" si="1"/>
        <v>30.44</v>
      </c>
    </row>
    <row r="44" spans="3:20" hidden="1" x14ac:dyDescent="0.25">
      <c r="C44" s="493">
        <f t="shared" si="2"/>
        <v>46336</v>
      </c>
      <c r="D44" s="105">
        <f t="shared" si="0"/>
        <v>36.049999999999955</v>
      </c>
      <c r="E44" s="459">
        <f t="shared" si="1"/>
        <v>29.87</v>
      </c>
    </row>
    <row r="45" spans="3:20" hidden="1" x14ac:dyDescent="0.25">
      <c r="C45" s="493">
        <f t="shared" si="2"/>
        <v>46366</v>
      </c>
      <c r="D45" s="105">
        <f t="shared" si="0"/>
        <v>36.049999999999955</v>
      </c>
      <c r="E45" s="459">
        <f t="shared" si="1"/>
        <v>29.32</v>
      </c>
    </row>
    <row r="46" spans="3:20" hidden="1" x14ac:dyDescent="0.25">
      <c r="C46" s="493">
        <f t="shared" si="2"/>
        <v>46397</v>
      </c>
      <c r="D46" s="105">
        <f t="shared" si="0"/>
        <v>36.049999999999955</v>
      </c>
      <c r="E46" s="459">
        <f t="shared" si="1"/>
        <v>28.77</v>
      </c>
    </row>
    <row r="47" spans="3:20" hidden="1" x14ac:dyDescent="0.25">
      <c r="C47" s="493">
        <f t="shared" si="2"/>
        <v>46428</v>
      </c>
      <c r="D47" s="105">
        <f t="shared" si="0"/>
        <v>36.049999999999955</v>
      </c>
      <c r="E47" s="459">
        <f t="shared" si="1"/>
        <v>28.23</v>
      </c>
    </row>
    <row r="48" spans="3:20" hidden="1" x14ac:dyDescent="0.25">
      <c r="C48" s="493">
        <f t="shared" si="2"/>
        <v>46456</v>
      </c>
      <c r="D48" s="105">
        <f t="shared" si="0"/>
        <v>36.049999999999955</v>
      </c>
      <c r="E48" s="459">
        <f t="shared" si="1"/>
        <v>27.75</v>
      </c>
    </row>
    <row r="49" spans="3:5" hidden="1" x14ac:dyDescent="0.25">
      <c r="C49" s="493">
        <f t="shared" si="2"/>
        <v>46487</v>
      </c>
      <c r="D49" s="105">
        <f t="shared" si="0"/>
        <v>36.049999999999955</v>
      </c>
      <c r="E49" s="459">
        <f t="shared" si="1"/>
        <v>27.23</v>
      </c>
    </row>
    <row r="50" spans="3:5" hidden="1" x14ac:dyDescent="0.25">
      <c r="C50" s="493">
        <f t="shared" si="2"/>
        <v>46517</v>
      </c>
      <c r="D50" s="105">
        <f t="shared" si="0"/>
        <v>36.049999999999955</v>
      </c>
      <c r="E50" s="459">
        <f t="shared" si="1"/>
        <v>26.74</v>
      </c>
    </row>
    <row r="51" spans="3:5" hidden="1" x14ac:dyDescent="0.25">
      <c r="C51" s="493">
        <f t="shared" si="2"/>
        <v>46548</v>
      </c>
      <c r="D51" s="105">
        <f t="shared" si="0"/>
        <v>36.049999999999955</v>
      </c>
      <c r="E51" s="459">
        <f t="shared" si="1"/>
        <v>26.24</v>
      </c>
    </row>
    <row r="52" spans="3:5" hidden="1" x14ac:dyDescent="0.25">
      <c r="C52" s="493">
        <f t="shared" si="2"/>
        <v>46578</v>
      </c>
      <c r="D52" s="105">
        <f t="shared" si="0"/>
        <v>36.049999999999955</v>
      </c>
      <c r="E52" s="459">
        <f t="shared" si="1"/>
        <v>25.76</v>
      </c>
    </row>
    <row r="53" spans="3:5" hidden="1" x14ac:dyDescent="0.25">
      <c r="C53" s="493">
        <f t="shared" si="2"/>
        <v>46609</v>
      </c>
      <c r="D53" s="105">
        <f t="shared" si="0"/>
        <v>36.049999999999955</v>
      </c>
      <c r="E53" s="459">
        <f t="shared" si="1"/>
        <v>25.28</v>
      </c>
    </row>
    <row r="54" spans="3:5" hidden="1" x14ac:dyDescent="0.25">
      <c r="C54" s="493">
        <f t="shared" si="2"/>
        <v>46640</v>
      </c>
      <c r="D54" s="105">
        <f t="shared" si="0"/>
        <v>36.049999999999955</v>
      </c>
      <c r="E54" s="459">
        <f t="shared" si="1"/>
        <v>24.8</v>
      </c>
    </row>
    <row r="55" spans="3:5" hidden="1" x14ac:dyDescent="0.25">
      <c r="C55" s="493">
        <f t="shared" si="2"/>
        <v>46670</v>
      </c>
      <c r="D55" s="105">
        <f t="shared" si="0"/>
        <v>36.049999999999955</v>
      </c>
      <c r="E55" s="459">
        <f t="shared" si="1"/>
        <v>24.35</v>
      </c>
    </row>
    <row r="56" spans="3:5" hidden="1" x14ac:dyDescent="0.25">
      <c r="C56" s="493">
        <f t="shared" si="2"/>
        <v>46701</v>
      </c>
      <c r="D56" s="105">
        <f t="shared" si="0"/>
        <v>36.049999999999955</v>
      </c>
      <c r="E56" s="459">
        <f t="shared" si="1"/>
        <v>23.9</v>
      </c>
    </row>
    <row r="57" spans="3:5" hidden="1" x14ac:dyDescent="0.25">
      <c r="C57" s="493">
        <f t="shared" si="2"/>
        <v>46731</v>
      </c>
      <c r="D57" s="105">
        <f t="shared" si="0"/>
        <v>36.049999999999955</v>
      </c>
      <c r="E57" s="459">
        <f t="shared" si="1"/>
        <v>23.46</v>
      </c>
    </row>
    <row r="58" spans="3:5" hidden="1" x14ac:dyDescent="0.25">
      <c r="C58" s="493">
        <f t="shared" si="2"/>
        <v>46762</v>
      </c>
      <c r="D58" s="105">
        <f t="shared" si="0"/>
        <v>36.049999999999955</v>
      </c>
      <c r="E58" s="459">
        <f t="shared" si="1"/>
        <v>23.02</v>
      </c>
    </row>
    <row r="59" spans="3:5" hidden="1" x14ac:dyDescent="0.25">
      <c r="C59" s="493">
        <f t="shared" si="2"/>
        <v>46793</v>
      </c>
      <c r="D59" s="105">
        <f t="shared" si="0"/>
        <v>36.049999999999955</v>
      </c>
      <c r="E59" s="459">
        <f t="shared" si="1"/>
        <v>22.59</v>
      </c>
    </row>
    <row r="60" spans="3:5" hidden="1" x14ac:dyDescent="0.25">
      <c r="C60" s="493">
        <f t="shared" si="2"/>
        <v>46822</v>
      </c>
      <c r="D60" s="105">
        <f t="shared" si="0"/>
        <v>36.049999999999955</v>
      </c>
      <c r="E60" s="459">
        <f t="shared" si="1"/>
        <v>22.19</v>
      </c>
    </row>
    <row r="61" spans="3:5" hidden="1" x14ac:dyDescent="0.25">
      <c r="C61" s="493">
        <f t="shared" si="2"/>
        <v>46853</v>
      </c>
      <c r="D61" s="105">
        <f t="shared" si="0"/>
        <v>36.049999999999955</v>
      </c>
      <c r="E61" s="459">
        <f t="shared" si="1"/>
        <v>21.78</v>
      </c>
    </row>
    <row r="62" spans="3:5" hidden="1" x14ac:dyDescent="0.25">
      <c r="C62" s="493">
        <f t="shared" si="2"/>
        <v>46883</v>
      </c>
      <c r="D62" s="105">
        <f t="shared" si="0"/>
        <v>36.049999999999955</v>
      </c>
      <c r="E62" s="459">
        <f t="shared" si="1"/>
        <v>21.38</v>
      </c>
    </row>
    <row r="63" spans="3:5" hidden="1" x14ac:dyDescent="0.25">
      <c r="C63" s="493">
        <f t="shared" si="2"/>
        <v>46914</v>
      </c>
      <c r="D63" s="105">
        <f t="shared" si="0"/>
        <v>36.049999999999955</v>
      </c>
      <c r="E63" s="459">
        <f t="shared" si="1"/>
        <v>20.98</v>
      </c>
    </row>
    <row r="64" spans="3:5" hidden="1" x14ac:dyDescent="0.25">
      <c r="C64" s="493">
        <f t="shared" si="2"/>
        <v>46944</v>
      </c>
      <c r="D64" s="105">
        <f t="shared" si="0"/>
        <v>36.049999999999955</v>
      </c>
      <c r="E64" s="459">
        <f t="shared" si="1"/>
        <v>20.6</v>
      </c>
    </row>
    <row r="65" spans="3:5" hidden="1" x14ac:dyDescent="0.25">
      <c r="C65" s="493">
        <f t="shared" si="2"/>
        <v>46975</v>
      </c>
      <c r="D65" s="105">
        <f t="shared" si="0"/>
        <v>36.049999999999955</v>
      </c>
      <c r="E65" s="459">
        <f t="shared" si="1"/>
        <v>20.21</v>
      </c>
    </row>
    <row r="66" spans="3:5" hidden="1" x14ac:dyDescent="0.25">
      <c r="C66" s="493">
        <f t="shared" si="2"/>
        <v>47006</v>
      </c>
      <c r="D66" s="105">
        <f t="shared" si="0"/>
        <v>36.049999999999955</v>
      </c>
      <c r="E66" s="459">
        <f t="shared" si="1"/>
        <v>19.829999999999998</v>
      </c>
    </row>
    <row r="67" spans="3:5" hidden="1" x14ac:dyDescent="0.25">
      <c r="C67" s="493">
        <f t="shared" si="2"/>
        <v>47036</v>
      </c>
      <c r="D67" s="105">
        <f t="shared" si="0"/>
        <v>36.049999999999955</v>
      </c>
      <c r="E67" s="459">
        <f t="shared" si="1"/>
        <v>19.47</v>
      </c>
    </row>
    <row r="68" spans="3:5" hidden="1" x14ac:dyDescent="0.25">
      <c r="C68" s="493">
        <f t="shared" si="2"/>
        <v>47067</v>
      </c>
      <c r="D68" s="105">
        <f t="shared" si="0"/>
        <v>36.049999999999955</v>
      </c>
      <c r="E68" s="459">
        <f t="shared" si="1"/>
        <v>19.11</v>
      </c>
    </row>
    <row r="69" spans="3:5" hidden="1" x14ac:dyDescent="0.25">
      <c r="C69" s="493">
        <f t="shared" si="2"/>
        <v>47097</v>
      </c>
      <c r="D69" s="105">
        <f t="shared" si="0"/>
        <v>36.049999999999955</v>
      </c>
      <c r="E69" s="459">
        <f t="shared" si="1"/>
        <v>18.760000000000002</v>
      </c>
    </row>
    <row r="70" spans="3:5" hidden="1" x14ac:dyDescent="0.25">
      <c r="C70" s="493">
        <f t="shared" si="2"/>
        <v>47128</v>
      </c>
      <c r="D70" s="105">
        <f t="shared" si="0"/>
        <v>36.049999999999955</v>
      </c>
      <c r="E70" s="459">
        <f t="shared" si="1"/>
        <v>18.41</v>
      </c>
    </row>
    <row r="71" spans="3:5" hidden="1" x14ac:dyDescent="0.25">
      <c r="C71" s="493">
        <f t="shared" si="2"/>
        <v>47159</v>
      </c>
      <c r="D71" s="105">
        <f t="shared" si="0"/>
        <v>36.049999999999955</v>
      </c>
      <c r="E71" s="459">
        <f t="shared" si="1"/>
        <v>18.059999999999999</v>
      </c>
    </row>
    <row r="72" spans="3:5" hidden="1" x14ac:dyDescent="0.25">
      <c r="C72" s="493">
        <f t="shared" si="2"/>
        <v>47187</v>
      </c>
      <c r="D72" s="105">
        <f t="shared" si="0"/>
        <v>36.049999999999955</v>
      </c>
      <c r="E72" s="459">
        <f t="shared" si="1"/>
        <v>17.760000000000002</v>
      </c>
    </row>
    <row r="73" spans="3:5" hidden="1" x14ac:dyDescent="0.25">
      <c r="C73" s="493">
        <f t="shared" si="2"/>
        <v>47218</v>
      </c>
      <c r="D73" s="105">
        <f t="shared" si="0"/>
        <v>36.049999999999955</v>
      </c>
      <c r="E73" s="459">
        <f t="shared" si="1"/>
        <v>17.420000000000002</v>
      </c>
    </row>
    <row r="74" spans="3:5" hidden="1" x14ac:dyDescent="0.25">
      <c r="C74" s="493">
        <f t="shared" si="2"/>
        <v>47248</v>
      </c>
      <c r="D74" s="105">
        <f t="shared" si="0"/>
        <v>36.049999999999955</v>
      </c>
      <c r="E74" s="459">
        <f t="shared" si="1"/>
        <v>17.11</v>
      </c>
    </row>
    <row r="75" spans="3:5" hidden="1" x14ac:dyDescent="0.25">
      <c r="C75" s="493">
        <f t="shared" si="2"/>
        <v>47279</v>
      </c>
      <c r="D75" s="105">
        <f t="shared" si="0"/>
        <v>36.049999999999955</v>
      </c>
      <c r="E75" s="459">
        <f t="shared" si="1"/>
        <v>16.79</v>
      </c>
    </row>
    <row r="76" spans="3:5" hidden="1" x14ac:dyDescent="0.25">
      <c r="C76" s="493">
        <f t="shared" si="2"/>
        <v>47309</v>
      </c>
      <c r="D76" s="105">
        <f t="shared" si="0"/>
        <v>36.049999999999955</v>
      </c>
      <c r="E76" s="459">
        <f t="shared" si="1"/>
        <v>16.48</v>
      </c>
    </row>
    <row r="77" spans="3:5" hidden="1" x14ac:dyDescent="0.25">
      <c r="C77" s="493">
        <f t="shared" si="2"/>
        <v>47340</v>
      </c>
      <c r="D77" s="105">
        <f t="shared" si="0"/>
        <v>36.049999999999955</v>
      </c>
      <c r="E77" s="459">
        <f t="shared" si="1"/>
        <v>16.170000000000002</v>
      </c>
    </row>
    <row r="78" spans="3:5" hidden="1" x14ac:dyDescent="0.25">
      <c r="C78" s="493">
        <f t="shared" si="2"/>
        <v>47371</v>
      </c>
      <c r="D78" s="105">
        <f t="shared" si="0"/>
        <v>36.049999999999955</v>
      </c>
      <c r="E78" s="459">
        <f t="shared" si="1"/>
        <v>15.87</v>
      </c>
    </row>
    <row r="79" spans="3:5" hidden="1" x14ac:dyDescent="0.25">
      <c r="C79" s="493">
        <f t="shared" si="2"/>
        <v>47401</v>
      </c>
      <c r="D79" s="105">
        <f t="shared" si="0"/>
        <v>36.049999999999955</v>
      </c>
      <c r="E79" s="459">
        <f t="shared" si="1"/>
        <v>15.58</v>
      </c>
    </row>
    <row r="80" spans="3:5" hidden="1" x14ac:dyDescent="0.25">
      <c r="C80" s="493">
        <f t="shared" si="2"/>
        <v>47432</v>
      </c>
      <c r="D80" s="105">
        <f t="shared" si="0"/>
        <v>36.049999999999955</v>
      </c>
      <c r="E80" s="459">
        <f t="shared" si="1"/>
        <v>15.29</v>
      </c>
    </row>
    <row r="81" spans="3:5" hidden="1" x14ac:dyDescent="0.25">
      <c r="C81" s="493">
        <f t="shared" si="2"/>
        <v>47462</v>
      </c>
      <c r="D81" s="105">
        <f t="shared" si="0"/>
        <v>36.049999999999955</v>
      </c>
      <c r="E81" s="459">
        <f t="shared" si="1"/>
        <v>15.01</v>
      </c>
    </row>
    <row r="82" spans="3:5" hidden="1" x14ac:dyDescent="0.25">
      <c r="C82" s="493">
        <f t="shared" si="2"/>
        <v>47493</v>
      </c>
      <c r="D82" s="105">
        <f t="shared" si="0"/>
        <v>36.049999999999955</v>
      </c>
      <c r="E82" s="459">
        <f t="shared" si="1"/>
        <v>14.73</v>
      </c>
    </row>
    <row r="83" spans="3:5" hidden="1" x14ac:dyDescent="0.25">
      <c r="C83" s="493">
        <f t="shared" si="2"/>
        <v>47524</v>
      </c>
      <c r="D83" s="105">
        <f t="shared" si="0"/>
        <v>36.049999999999955</v>
      </c>
      <c r="E83" s="459">
        <f t="shared" si="1"/>
        <v>14.45</v>
      </c>
    </row>
    <row r="84" spans="3:5" hidden="1" x14ac:dyDescent="0.25">
      <c r="C84" s="493">
        <f t="shared" si="2"/>
        <v>47552</v>
      </c>
      <c r="D84" s="105">
        <f t="shared" si="0"/>
        <v>36.049999999999955</v>
      </c>
      <c r="E84" s="459">
        <f t="shared" si="1"/>
        <v>14.21</v>
      </c>
    </row>
    <row r="85" spans="3:5" hidden="1" x14ac:dyDescent="0.25">
      <c r="C85" s="493">
        <f t="shared" si="2"/>
        <v>47583</v>
      </c>
      <c r="D85" s="105">
        <f t="shared" si="0"/>
        <v>36.049999999999955</v>
      </c>
      <c r="E85" s="459">
        <f t="shared" si="1"/>
        <v>13.94</v>
      </c>
    </row>
    <row r="86" spans="3:5" hidden="1" x14ac:dyDescent="0.25">
      <c r="C86" s="493">
        <f t="shared" si="2"/>
        <v>47613</v>
      </c>
      <c r="D86" s="105">
        <f t="shared" si="0"/>
        <v>36.049999999999955</v>
      </c>
      <c r="E86" s="459">
        <f t="shared" si="1"/>
        <v>13.69</v>
      </c>
    </row>
    <row r="87" spans="3:5" hidden="1" x14ac:dyDescent="0.25">
      <c r="C87" s="493">
        <f t="shared" si="2"/>
        <v>47644</v>
      </c>
      <c r="D87" s="105">
        <f t="shared" si="0"/>
        <v>36.049999999999955</v>
      </c>
      <c r="E87" s="459">
        <f t="shared" si="1"/>
        <v>13.43</v>
      </c>
    </row>
    <row r="88" spans="3:5" hidden="1" x14ac:dyDescent="0.25">
      <c r="C88" s="493">
        <f t="shared" si="2"/>
        <v>47674</v>
      </c>
      <c r="D88" s="105">
        <f t="shared" si="0"/>
        <v>36.049999999999955</v>
      </c>
      <c r="E88" s="459">
        <f t="shared" si="1"/>
        <v>13.19</v>
      </c>
    </row>
    <row r="89" spans="3:5" hidden="1" x14ac:dyDescent="0.25">
      <c r="C89" s="493">
        <f t="shared" si="2"/>
        <v>47705</v>
      </c>
      <c r="D89" s="105">
        <f t="shared" si="0"/>
        <v>36.049999999999955</v>
      </c>
      <c r="E89" s="459">
        <f t="shared" si="1"/>
        <v>12.94</v>
      </c>
    </row>
    <row r="90" spans="3:5" hidden="1" x14ac:dyDescent="0.25">
      <c r="C90" s="493">
        <f t="shared" si="2"/>
        <v>47736</v>
      </c>
      <c r="D90" s="105">
        <f t="shared" si="0"/>
        <v>36.049999999999955</v>
      </c>
      <c r="E90" s="459">
        <f t="shared" si="1"/>
        <v>12.7</v>
      </c>
    </row>
    <row r="91" spans="3:5" hidden="1" x14ac:dyDescent="0.25">
      <c r="C91" s="493">
        <f t="shared" si="2"/>
        <v>47766</v>
      </c>
      <c r="D91" s="105">
        <f t="shared" si="0"/>
        <v>36.049999999999955</v>
      </c>
      <c r="E91" s="459">
        <f t="shared" si="1"/>
        <v>12.47</v>
      </c>
    </row>
    <row r="92" spans="3:5" hidden="1" x14ac:dyDescent="0.25">
      <c r="C92" s="493">
        <f t="shared" si="2"/>
        <v>47797</v>
      </c>
      <c r="D92" s="105">
        <f t="shared" si="0"/>
        <v>36.049999999999955</v>
      </c>
      <c r="E92" s="459">
        <f t="shared" si="1"/>
        <v>12.23</v>
      </c>
    </row>
    <row r="93" spans="3:5" hidden="1" x14ac:dyDescent="0.25">
      <c r="C93" s="493">
        <f t="shared" si="2"/>
        <v>47827</v>
      </c>
      <c r="D93" s="105">
        <f t="shared" si="0"/>
        <v>36.049999999999955</v>
      </c>
      <c r="E93" s="459">
        <f t="shared" si="1"/>
        <v>12.01</v>
      </c>
    </row>
    <row r="94" spans="3:5" hidden="1" x14ac:dyDescent="0.25">
      <c r="C94" s="493">
        <f t="shared" si="2"/>
        <v>47858</v>
      </c>
      <c r="D94" s="105">
        <f t="shared" si="0"/>
        <v>36.049999999999955</v>
      </c>
      <c r="E94" s="459">
        <f t="shared" si="1"/>
        <v>11.78</v>
      </c>
    </row>
    <row r="95" spans="3:5" hidden="1" x14ac:dyDescent="0.25">
      <c r="C95" s="493">
        <f t="shared" si="2"/>
        <v>47889</v>
      </c>
      <c r="D95" s="105">
        <f t="shared" si="0"/>
        <v>36.049999999999955</v>
      </c>
      <c r="E95" s="459">
        <f t="shared" si="1"/>
        <v>11.56</v>
      </c>
    </row>
    <row r="96" spans="3:5" hidden="1" x14ac:dyDescent="0.25">
      <c r="C96" s="493">
        <f t="shared" si="2"/>
        <v>47917</v>
      </c>
      <c r="D96" s="105">
        <f t="shared" si="0"/>
        <v>36.049999999999955</v>
      </c>
      <c r="E96" s="459">
        <f t="shared" si="1"/>
        <v>11.37</v>
      </c>
    </row>
    <row r="97" spans="3:5" hidden="1" x14ac:dyDescent="0.25">
      <c r="C97" s="493">
        <f t="shared" si="2"/>
        <v>47948</v>
      </c>
      <c r="D97" s="105">
        <f t="shared" si="0"/>
        <v>36.049999999999955</v>
      </c>
      <c r="E97" s="459">
        <f t="shared" si="1"/>
        <v>11.15</v>
      </c>
    </row>
    <row r="98" spans="3:5" hidden="1" x14ac:dyDescent="0.25">
      <c r="C98" s="493">
        <f t="shared" si="2"/>
        <v>47978</v>
      </c>
      <c r="D98" s="105">
        <f t="shared" si="0"/>
        <v>36.049999999999955</v>
      </c>
      <c r="E98" s="459">
        <f t="shared" si="1"/>
        <v>10.95</v>
      </c>
    </row>
    <row r="99" spans="3:5" hidden="1" x14ac:dyDescent="0.25">
      <c r="C99" s="493">
        <f t="shared" si="2"/>
        <v>48009</v>
      </c>
      <c r="D99" s="105">
        <f t="shared" si="0"/>
        <v>36.049999999999955</v>
      </c>
      <c r="E99" s="459">
        <f t="shared" si="1"/>
        <v>10.75</v>
      </c>
    </row>
    <row r="100" spans="3:5" hidden="1" x14ac:dyDescent="0.25">
      <c r="C100" s="493">
        <f t="shared" si="2"/>
        <v>48039</v>
      </c>
      <c r="D100" s="105">
        <f t="shared" si="0"/>
        <v>36.049999999999955</v>
      </c>
      <c r="E100" s="459">
        <f t="shared" si="1"/>
        <v>10.55</v>
      </c>
    </row>
    <row r="101" spans="3:5" hidden="1" x14ac:dyDescent="0.25">
      <c r="C101" s="493">
        <f t="shared" si="2"/>
        <v>48070</v>
      </c>
      <c r="D101" s="105">
        <f t="shared" ref="D101:D131" si="3">$D$24</f>
        <v>36.049999999999955</v>
      </c>
      <c r="E101" s="459">
        <f t="shared" ref="E101:E131" si="4">ROUND(D101/(1+$D$22)^((C101-$C$35)/30),2)</f>
        <v>10.35</v>
      </c>
    </row>
    <row r="102" spans="3:5" hidden="1" x14ac:dyDescent="0.25">
      <c r="C102" s="493">
        <f t="shared" ref="C102:C118" si="5">EDATE(C101,1)</f>
        <v>48101</v>
      </c>
      <c r="D102" s="105">
        <f t="shared" si="3"/>
        <v>36.049999999999955</v>
      </c>
      <c r="E102" s="459">
        <f t="shared" si="4"/>
        <v>10.16</v>
      </c>
    </row>
    <row r="103" spans="3:5" hidden="1" x14ac:dyDescent="0.25">
      <c r="C103" s="493">
        <f t="shared" si="5"/>
        <v>48131</v>
      </c>
      <c r="D103" s="105">
        <f t="shared" si="3"/>
        <v>36.049999999999955</v>
      </c>
      <c r="E103" s="459">
        <f t="shared" si="4"/>
        <v>9.9700000000000006</v>
      </c>
    </row>
    <row r="104" spans="3:5" hidden="1" x14ac:dyDescent="0.25">
      <c r="C104" s="493">
        <f t="shared" si="5"/>
        <v>48162</v>
      </c>
      <c r="D104" s="105">
        <f t="shared" si="3"/>
        <v>36.049999999999955</v>
      </c>
      <c r="E104" s="459">
        <f t="shared" si="4"/>
        <v>9.7899999999999991</v>
      </c>
    </row>
    <row r="105" spans="3:5" hidden="1" x14ac:dyDescent="0.25">
      <c r="C105" s="493">
        <f t="shared" si="5"/>
        <v>48192</v>
      </c>
      <c r="D105" s="105">
        <f t="shared" si="3"/>
        <v>36.049999999999955</v>
      </c>
      <c r="E105" s="459">
        <f t="shared" si="4"/>
        <v>9.61</v>
      </c>
    </row>
    <row r="106" spans="3:5" hidden="1" x14ac:dyDescent="0.25">
      <c r="C106" s="493">
        <f t="shared" si="5"/>
        <v>48223</v>
      </c>
      <c r="D106" s="105">
        <f t="shared" si="3"/>
        <v>36.049999999999955</v>
      </c>
      <c r="E106" s="459">
        <f t="shared" si="4"/>
        <v>9.43</v>
      </c>
    </row>
    <row r="107" spans="3:5" hidden="1" x14ac:dyDescent="0.25">
      <c r="C107" s="493">
        <f t="shared" si="5"/>
        <v>48254</v>
      </c>
      <c r="D107" s="105">
        <f t="shared" si="3"/>
        <v>36.049999999999955</v>
      </c>
      <c r="E107" s="459">
        <f t="shared" si="4"/>
        <v>9.25</v>
      </c>
    </row>
    <row r="108" spans="3:5" hidden="1" x14ac:dyDescent="0.25">
      <c r="C108" s="493">
        <f t="shared" si="5"/>
        <v>48283</v>
      </c>
      <c r="D108" s="105">
        <f t="shared" si="3"/>
        <v>36.049999999999955</v>
      </c>
      <c r="E108" s="459">
        <f t="shared" si="4"/>
        <v>9.09</v>
      </c>
    </row>
    <row r="109" spans="3:5" hidden="1" x14ac:dyDescent="0.25">
      <c r="C109" s="493">
        <f t="shared" si="5"/>
        <v>48314</v>
      </c>
      <c r="D109" s="105">
        <f t="shared" si="3"/>
        <v>36.049999999999955</v>
      </c>
      <c r="E109" s="459">
        <f t="shared" si="4"/>
        <v>8.92</v>
      </c>
    </row>
    <row r="110" spans="3:5" hidden="1" x14ac:dyDescent="0.25">
      <c r="C110" s="493">
        <f t="shared" si="5"/>
        <v>48344</v>
      </c>
      <c r="D110" s="105">
        <f t="shared" si="3"/>
        <v>36.049999999999955</v>
      </c>
      <c r="E110" s="459">
        <f t="shared" si="4"/>
        <v>8.76</v>
      </c>
    </row>
    <row r="111" spans="3:5" hidden="1" x14ac:dyDescent="0.25">
      <c r="C111" s="493">
        <f t="shared" si="5"/>
        <v>48375</v>
      </c>
      <c r="D111" s="105">
        <f t="shared" si="3"/>
        <v>36.049999999999955</v>
      </c>
      <c r="E111" s="459">
        <f t="shared" si="4"/>
        <v>8.59</v>
      </c>
    </row>
    <row r="112" spans="3:5" hidden="1" x14ac:dyDescent="0.25">
      <c r="C112" s="493">
        <f t="shared" si="5"/>
        <v>48405</v>
      </c>
      <c r="D112" s="105">
        <f t="shared" si="3"/>
        <v>36.049999999999955</v>
      </c>
      <c r="E112" s="459">
        <f t="shared" si="4"/>
        <v>8.44</v>
      </c>
    </row>
    <row r="113" spans="3:5" hidden="1" x14ac:dyDescent="0.25">
      <c r="C113" s="493">
        <f t="shared" si="5"/>
        <v>48436</v>
      </c>
      <c r="D113" s="105">
        <f t="shared" si="3"/>
        <v>36.049999999999955</v>
      </c>
      <c r="E113" s="459">
        <f t="shared" si="4"/>
        <v>8.2799999999999994</v>
      </c>
    </row>
    <row r="114" spans="3:5" hidden="1" x14ac:dyDescent="0.25">
      <c r="C114" s="493">
        <f t="shared" si="5"/>
        <v>48467</v>
      </c>
      <c r="D114" s="105">
        <f t="shared" si="3"/>
        <v>36.049999999999955</v>
      </c>
      <c r="E114" s="459">
        <f t="shared" si="4"/>
        <v>8.1199999999999992</v>
      </c>
    </row>
    <row r="115" spans="3:5" hidden="1" x14ac:dyDescent="0.25">
      <c r="C115" s="493">
        <f t="shared" si="5"/>
        <v>48497</v>
      </c>
      <c r="D115" s="105">
        <f t="shared" si="3"/>
        <v>36.049999999999955</v>
      </c>
      <c r="E115" s="459">
        <f t="shared" si="4"/>
        <v>7.97</v>
      </c>
    </row>
    <row r="116" spans="3:5" hidden="1" x14ac:dyDescent="0.25">
      <c r="C116" s="493">
        <f t="shared" si="5"/>
        <v>48528</v>
      </c>
      <c r="D116" s="105">
        <f t="shared" si="3"/>
        <v>36.049999999999955</v>
      </c>
      <c r="E116" s="459">
        <f t="shared" si="4"/>
        <v>7.83</v>
      </c>
    </row>
    <row r="117" spans="3:5" hidden="1" x14ac:dyDescent="0.25">
      <c r="C117" s="493">
        <f t="shared" si="5"/>
        <v>48558</v>
      </c>
      <c r="D117" s="105">
        <f t="shared" si="3"/>
        <v>36.049999999999955</v>
      </c>
      <c r="E117" s="459">
        <f t="shared" si="4"/>
        <v>7.68</v>
      </c>
    </row>
    <row r="118" spans="3:5" hidden="1" x14ac:dyDescent="0.25">
      <c r="C118" s="493">
        <f t="shared" si="5"/>
        <v>48589</v>
      </c>
      <c r="D118" s="105">
        <f t="shared" si="3"/>
        <v>36.049999999999955</v>
      </c>
      <c r="E118" s="459">
        <f t="shared" si="4"/>
        <v>7.54</v>
      </c>
    </row>
    <row r="119" spans="3:5" hidden="1" x14ac:dyDescent="0.25">
      <c r="C119" s="493">
        <f>EDATE(C118,1)</f>
        <v>48620</v>
      </c>
      <c r="D119" s="105">
        <f t="shared" si="3"/>
        <v>36.049999999999955</v>
      </c>
      <c r="E119" s="459">
        <f t="shared" si="4"/>
        <v>7.4</v>
      </c>
    </row>
    <row r="120" spans="3:5" hidden="1" x14ac:dyDescent="0.25">
      <c r="C120" s="493">
        <f t="shared" ref="C120:C126" si="6">EDATE(C119,1)</f>
        <v>48648</v>
      </c>
      <c r="D120" s="105">
        <f t="shared" si="3"/>
        <v>36.049999999999955</v>
      </c>
      <c r="E120" s="459">
        <f t="shared" si="4"/>
        <v>7.27</v>
      </c>
    </row>
    <row r="121" spans="3:5" hidden="1" x14ac:dyDescent="0.25">
      <c r="C121" s="493">
        <f t="shared" si="6"/>
        <v>48679</v>
      </c>
      <c r="D121" s="105">
        <f t="shared" si="3"/>
        <v>36.049999999999955</v>
      </c>
      <c r="E121" s="459">
        <f t="shared" si="4"/>
        <v>7.14</v>
      </c>
    </row>
    <row r="122" spans="3:5" hidden="1" x14ac:dyDescent="0.25">
      <c r="C122" s="493">
        <f t="shared" si="6"/>
        <v>48709</v>
      </c>
      <c r="D122" s="105">
        <f t="shared" si="3"/>
        <v>36.049999999999955</v>
      </c>
      <c r="E122" s="459">
        <f t="shared" si="4"/>
        <v>7.01</v>
      </c>
    </row>
    <row r="123" spans="3:5" hidden="1" x14ac:dyDescent="0.25">
      <c r="C123" s="493">
        <f t="shared" si="6"/>
        <v>48740</v>
      </c>
      <c r="D123" s="105">
        <f t="shared" si="3"/>
        <v>36.049999999999955</v>
      </c>
      <c r="E123" s="459">
        <f t="shared" si="4"/>
        <v>6.87</v>
      </c>
    </row>
    <row r="124" spans="3:5" hidden="1" x14ac:dyDescent="0.25">
      <c r="C124" s="493">
        <f t="shared" si="6"/>
        <v>48770</v>
      </c>
      <c r="D124" s="105">
        <f t="shared" si="3"/>
        <v>36.049999999999955</v>
      </c>
      <c r="E124" s="459">
        <f t="shared" si="4"/>
        <v>6.75</v>
      </c>
    </row>
    <row r="125" spans="3:5" hidden="1" x14ac:dyDescent="0.25">
      <c r="C125" s="493">
        <f t="shared" si="6"/>
        <v>48801</v>
      </c>
      <c r="D125" s="105">
        <f t="shared" si="3"/>
        <v>36.049999999999955</v>
      </c>
      <c r="E125" s="459">
        <f t="shared" si="4"/>
        <v>6.62</v>
      </c>
    </row>
    <row r="126" spans="3:5" hidden="1" x14ac:dyDescent="0.25">
      <c r="C126" s="493">
        <f t="shared" si="6"/>
        <v>48832</v>
      </c>
      <c r="D126" s="105">
        <f t="shared" si="3"/>
        <v>36.049999999999955</v>
      </c>
      <c r="E126" s="459">
        <f t="shared" si="4"/>
        <v>6.5</v>
      </c>
    </row>
    <row r="127" spans="3:5" hidden="1" x14ac:dyDescent="0.25">
      <c r="C127" s="493">
        <f>EDATE(C126,1)</f>
        <v>48862</v>
      </c>
      <c r="D127" s="105">
        <f t="shared" si="3"/>
        <v>36.049999999999955</v>
      </c>
      <c r="E127" s="459">
        <f t="shared" si="4"/>
        <v>6.38</v>
      </c>
    </row>
    <row r="128" spans="3:5" hidden="1" x14ac:dyDescent="0.25">
      <c r="C128" s="493">
        <f t="shared" ref="C128:C131" si="7">EDATE(C127,1)</f>
        <v>48893</v>
      </c>
      <c r="D128" s="105">
        <f t="shared" si="3"/>
        <v>36.049999999999955</v>
      </c>
      <c r="E128" s="459">
        <f t="shared" si="4"/>
        <v>6.26</v>
      </c>
    </row>
    <row r="129" spans="3:5" hidden="1" x14ac:dyDescent="0.25">
      <c r="C129" s="493">
        <f t="shared" si="7"/>
        <v>48923</v>
      </c>
      <c r="D129" s="105">
        <f t="shared" si="3"/>
        <v>36.049999999999955</v>
      </c>
      <c r="E129" s="459">
        <f t="shared" si="4"/>
        <v>6.15</v>
      </c>
    </row>
    <row r="130" spans="3:5" hidden="1" x14ac:dyDescent="0.25">
      <c r="C130" s="493">
        <f t="shared" si="7"/>
        <v>48954</v>
      </c>
      <c r="D130" s="105">
        <f t="shared" si="3"/>
        <v>36.049999999999955</v>
      </c>
      <c r="E130" s="459">
        <f t="shared" si="4"/>
        <v>6.03</v>
      </c>
    </row>
    <row r="131" spans="3:5" hidden="1" x14ac:dyDescent="0.25">
      <c r="C131" s="493">
        <f t="shared" si="7"/>
        <v>48985</v>
      </c>
      <c r="D131" s="105">
        <f t="shared" si="3"/>
        <v>36.049999999999955</v>
      </c>
      <c r="E131" s="459">
        <f t="shared" si="4"/>
        <v>5.92</v>
      </c>
    </row>
  </sheetData>
  <mergeCells count="5">
    <mergeCell ref="C6:G6"/>
    <mergeCell ref="C7:D7"/>
    <mergeCell ref="C14:E15"/>
    <mergeCell ref="I2:M2"/>
    <mergeCell ref="D3:G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List Box 1">
              <controlPr defaultSize="0" autoLine="0" autoPict="0">
                <anchor moveWithCells="1">
                  <from>
                    <xdr:col>7</xdr:col>
                    <xdr:colOff>38100</xdr:colOff>
                    <xdr:row>2</xdr:row>
                    <xdr:rowOff>38100</xdr:rowOff>
                  </from>
                  <to>
                    <xdr:col>17</xdr:col>
                    <xdr:colOff>28575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16</xdr:row>
                    <xdr:rowOff>19050</xdr:rowOff>
                  </from>
                  <to>
                    <xdr:col>7</xdr:col>
                    <xdr:colOff>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C799-8172-421F-BA38-43F97B8B9B39}">
  <sheetPr codeName="Planilha13">
    <tabColor theme="0" tint="-0.499984740745262"/>
  </sheetPr>
  <dimension ref="B1:T131"/>
  <sheetViews>
    <sheetView showGridLines="0" zoomScale="115" zoomScaleNormal="115" workbookViewId="0">
      <selection activeCell="E17" sqref="E17"/>
    </sheetView>
  </sheetViews>
  <sheetFormatPr defaultRowHeight="15" x14ac:dyDescent="0.25"/>
  <cols>
    <col min="1" max="1" width="5.140625" customWidth="1"/>
    <col min="2" max="2" width="5.28515625" customWidth="1"/>
    <col min="3" max="3" width="23.42578125" style="6" bestFit="1" customWidth="1"/>
    <col min="4" max="4" width="14.140625" style="6" bestFit="1" customWidth="1"/>
    <col min="5" max="5" width="16.85546875" bestFit="1" customWidth="1"/>
    <col min="6" max="6" width="9.42578125" customWidth="1"/>
    <col min="7" max="7" width="22" customWidth="1"/>
    <col min="8" max="8" width="0.7109375" customWidth="1"/>
    <col min="9" max="9" width="14.85546875" bestFit="1" customWidth="1"/>
    <col min="10" max="10" width="12.85546875" bestFit="1" customWidth="1"/>
    <col min="13" max="13" width="22" style="158" customWidth="1"/>
    <col min="14" max="14" width="19.42578125" style="158" hidden="1" customWidth="1"/>
    <col min="15" max="15" width="13" style="158" hidden="1" customWidth="1"/>
    <col min="16" max="16" width="17.7109375" style="158" hidden="1" customWidth="1"/>
    <col min="17" max="17" width="13" style="158" hidden="1" customWidth="1"/>
    <col min="18" max="20" width="9.140625" style="158" customWidth="1"/>
    <col min="21" max="25" width="9.140625" customWidth="1"/>
  </cols>
  <sheetData>
    <row r="1" spans="3:20" ht="4.5" customHeight="1" x14ac:dyDescent="0.25"/>
    <row r="2" spans="3:20" ht="19.5" customHeight="1" thickBot="1" x14ac:dyDescent="0.3"/>
    <row r="3" spans="3:20" ht="19.5" customHeight="1" x14ac:dyDescent="0.25">
      <c r="D3" s="689" t="s">
        <v>2588</v>
      </c>
      <c r="E3" s="690"/>
      <c r="F3" s="690"/>
      <c r="G3" s="691"/>
    </row>
    <row r="4" spans="3:20" ht="50.25" customHeight="1" thickBot="1" x14ac:dyDescent="0.3">
      <c r="D4" s="692"/>
      <c r="E4" s="693"/>
      <c r="F4" s="693"/>
      <c r="G4" s="694"/>
    </row>
    <row r="6" spans="3:20" ht="18" hidden="1" customHeight="1" thickBot="1" x14ac:dyDescent="0.3">
      <c r="C6" s="676" t="s">
        <v>200</v>
      </c>
      <c r="D6" s="677"/>
      <c r="E6" s="677"/>
      <c r="F6" s="677"/>
      <c r="G6" s="678"/>
    </row>
    <row r="7" spans="3:20" s="8" customFormat="1" ht="23.25" hidden="1" customHeight="1" thickBot="1" x14ac:dyDescent="0.3">
      <c r="C7" s="679" t="s">
        <v>199</v>
      </c>
      <c r="D7" s="680"/>
      <c r="E7" s="124" t="s">
        <v>198</v>
      </c>
      <c r="F7" s="123"/>
      <c r="G7" s="122" t="s">
        <v>197</v>
      </c>
      <c r="M7" s="331"/>
      <c r="N7" s="331"/>
      <c r="O7" s="331"/>
      <c r="P7" s="331"/>
      <c r="Q7" s="331"/>
      <c r="R7" s="331"/>
      <c r="S7" s="331"/>
      <c r="T7" s="331"/>
    </row>
    <row r="8" spans="3:20" ht="16.5" hidden="1" thickBot="1" x14ac:dyDescent="0.3">
      <c r="C8" s="121">
        <v>0</v>
      </c>
      <c r="D8" s="120">
        <v>2428.8000000000002</v>
      </c>
      <c r="E8" s="119">
        <v>0</v>
      </c>
      <c r="F8" s="118"/>
      <c r="G8" s="117">
        <v>0</v>
      </c>
    </row>
    <row r="9" spans="3:20" ht="16.5" hidden="1" thickBot="1" x14ac:dyDescent="0.3">
      <c r="C9" s="121">
        <v>2428.81</v>
      </c>
      <c r="D9" s="120">
        <v>2826.65</v>
      </c>
      <c r="E9" s="119">
        <v>7.4999999999999997E-2</v>
      </c>
      <c r="F9" s="118"/>
      <c r="G9" s="117">
        <v>182.16</v>
      </c>
      <c r="I9" s="111"/>
      <c r="J9" s="111"/>
    </row>
    <row r="10" spans="3:20" ht="16.5" hidden="1" thickBot="1" x14ac:dyDescent="0.3">
      <c r="C10" s="121">
        <v>2826.66</v>
      </c>
      <c r="D10" s="120">
        <v>3751.05</v>
      </c>
      <c r="E10" s="119">
        <v>0.15</v>
      </c>
      <c r="F10" s="118"/>
      <c r="G10" s="117">
        <v>394.16</v>
      </c>
      <c r="I10" s="111"/>
      <c r="J10" s="111"/>
      <c r="N10" s="157"/>
      <c r="O10" s="157"/>
      <c r="P10" s="157"/>
      <c r="Q10" s="157"/>
      <c r="R10" s="157"/>
    </row>
    <row r="11" spans="3:20" ht="16.5" hidden="1" thickBot="1" x14ac:dyDescent="0.3">
      <c r="C11" s="121">
        <v>3751.06</v>
      </c>
      <c r="D11" s="120">
        <v>4664.68</v>
      </c>
      <c r="E11" s="119">
        <v>0.22500000000000001</v>
      </c>
      <c r="F11" s="118"/>
      <c r="G11" s="117">
        <v>675.49</v>
      </c>
      <c r="I11" s="327" t="s">
        <v>478</v>
      </c>
      <c r="J11" s="329">
        <v>1903.98</v>
      </c>
      <c r="N11" s="157"/>
      <c r="O11" s="157"/>
      <c r="P11" s="157"/>
      <c r="Q11" s="157"/>
      <c r="R11" s="157"/>
    </row>
    <row r="12" spans="3:20" ht="17.25" hidden="1" customHeight="1" thickBot="1" x14ac:dyDescent="0.3">
      <c r="C12" s="116">
        <v>4664.6899999999996</v>
      </c>
      <c r="D12" s="115">
        <v>999999</v>
      </c>
      <c r="E12" s="114">
        <v>0.27500000000000002</v>
      </c>
      <c r="F12" s="113"/>
      <c r="G12" s="112">
        <v>908.73</v>
      </c>
      <c r="I12" s="328" t="s">
        <v>477</v>
      </c>
      <c r="J12" s="330">
        <v>607.20000000000005</v>
      </c>
      <c r="N12" s="332" t="s">
        <v>196</v>
      </c>
      <c r="O12" s="333">
        <f>IF(O14=TRUE,D17*30%,0)</f>
        <v>0</v>
      </c>
      <c r="P12" s="157"/>
      <c r="Q12" s="157"/>
      <c r="R12" s="157"/>
    </row>
    <row r="13" spans="3:20" ht="25.5" customHeight="1" thickBot="1" x14ac:dyDescent="0.3">
      <c r="E13" s="89"/>
      <c r="F13" s="89"/>
      <c r="N13" s="339" t="s">
        <v>195</v>
      </c>
      <c r="O13" s="341"/>
      <c r="P13" s="339" t="b">
        <f>IF(AND(D17&gt;=O29,D17&lt;=$Q$13),TRUE,FALSE)</f>
        <v>0</v>
      </c>
      <c r="Q13" s="344">
        <f>VLOOKUP(O22,indices!$E$22:$F$1512,2,TRUE)</f>
        <v>1560.1499999999617</v>
      </c>
      <c r="R13" s="334"/>
    </row>
    <row r="14" spans="3:20" ht="21.75" customHeight="1" thickBot="1" x14ac:dyDescent="0.3">
      <c r="C14" s="681" t="s">
        <v>2589</v>
      </c>
      <c r="D14" s="682"/>
      <c r="E14" s="683"/>
      <c r="F14" s="110"/>
      <c r="G14" s="131" t="s">
        <v>186</v>
      </c>
      <c r="H14" s="8"/>
      <c r="I14" s="129">
        <v>44197</v>
      </c>
      <c r="N14" s="339" t="s">
        <v>193</v>
      </c>
      <c r="O14" s="341" t="b">
        <v>0</v>
      </c>
      <c r="P14" s="339" t="s">
        <v>173</v>
      </c>
      <c r="Q14" s="341" t="str">
        <f>VLOOKUP(O17,especies!$A:$D,4,FALSE)</f>
        <v>Sim</v>
      </c>
      <c r="R14" s="334"/>
    </row>
    <row r="15" spans="3:20" ht="21.75" customHeight="1" thickBot="1" x14ac:dyDescent="0.3">
      <c r="C15" s="684"/>
      <c r="D15" s="685"/>
      <c r="E15" s="686"/>
      <c r="F15" s="110"/>
      <c r="G15" s="132" t="s">
        <v>183</v>
      </c>
      <c r="H15" s="8"/>
      <c r="I15" s="130">
        <v>60</v>
      </c>
      <c r="N15" s="339" t="s">
        <v>192</v>
      </c>
      <c r="O15" s="342">
        <f>IF(O14=TRUE,E17*30%,0)</f>
        <v>0</v>
      </c>
      <c r="P15" s="339" t="s">
        <v>191</v>
      </c>
      <c r="Q15" s="345">
        <f>VLOOKUP(O17,especies!$A:$E,5,FALSE)</f>
        <v>0.35</v>
      </c>
      <c r="R15" s="334"/>
    </row>
    <row r="16" spans="3:20" s="5" customFormat="1" ht="13.5" hidden="1" thickBot="1" x14ac:dyDescent="0.25">
      <c r="C16" s="290"/>
      <c r="D16" s="291">
        <f>B17-Q16-O12-J12-O21</f>
        <v>4392.8</v>
      </c>
      <c r="E16" s="292">
        <f>E17-Q16-O15-O21-J12</f>
        <v>4392.8</v>
      </c>
      <c r="F16" s="109"/>
      <c r="M16" s="335"/>
      <c r="N16" s="340" t="s">
        <v>190</v>
      </c>
      <c r="O16" s="343" t="b">
        <v>0</v>
      </c>
      <c r="P16" s="336" t="s">
        <v>189</v>
      </c>
      <c r="Q16" s="337">
        <f>IF(O16=TRUE,$J$11,0)</f>
        <v>0</v>
      </c>
      <c r="R16" s="338"/>
      <c r="S16" s="335"/>
      <c r="T16" s="335"/>
    </row>
    <row r="17" spans="2:20" s="8" customFormat="1" ht="23.25" customHeight="1" thickBot="1" x14ac:dyDescent="0.25">
      <c r="B17" s="133">
        <f>IF(P13=TRUE,O29,D17)</f>
        <v>5000</v>
      </c>
      <c r="C17" s="301" t="s">
        <v>199</v>
      </c>
      <c r="D17" s="287">
        <v>5000</v>
      </c>
      <c r="E17" s="509">
        <f>D17</f>
        <v>5000</v>
      </c>
      <c r="F17" s="108"/>
      <c r="G17" s="128"/>
      <c r="J17" s="5"/>
      <c r="K17" s="5"/>
      <c r="L17" s="5"/>
      <c r="M17" s="5"/>
      <c r="N17" s="339" t="s">
        <v>188</v>
      </c>
      <c r="O17" s="485">
        <v>30</v>
      </c>
      <c r="P17" s="448"/>
      <c r="Q17" s="448"/>
      <c r="R17" s="448"/>
    </row>
    <row r="18" spans="2:20" s="8" customFormat="1" ht="15.75" hidden="1" thickBot="1" x14ac:dyDescent="0.3">
      <c r="C18" s="293" t="s">
        <v>187</v>
      </c>
      <c r="D18" s="294">
        <f>IF(AND(D16&gt;=$C$8,D16&lt;=$D$8),$E$8,IF(AND(D16&gt;=$C$9,D16&lt;=$D$9),$E$9,IF(AND(D16&gt;=$C$10,D16&lt;=$D$10),$E$10,IF(AND(D16&gt;=$C$11,D16&lt;=$D$11),$E$11,IF(D16&gt;=$C$12,E12,0)))))</f>
        <v>0.22500000000000001</v>
      </c>
      <c r="E18" s="298">
        <f>IF(AND(E16&gt;=$C$8,E16&lt;=$D$8),$E$8,IF(AND(E16&gt;=$C$9,E16&lt;=$D$9),$E$9,IF(AND(E16&gt;=$C$10,E16&lt;=$D$10),$E$10,IF(AND(E16&gt;=$C$11,E16&lt;=$D$11),$E$11,IF(E16&gt;=$C$12,E12,0)))))</f>
        <v>0.22500000000000001</v>
      </c>
      <c r="F18" s="107"/>
      <c r="N18" s="339" t="s">
        <v>185</v>
      </c>
      <c r="O18" s="486">
        <f>VALUE(CONCATENATE(MONTH(O19),YEAR(O19)))</f>
        <v>102020</v>
      </c>
      <c r="P18" s="448"/>
      <c r="Q18" s="448"/>
      <c r="R18" s="448"/>
    </row>
    <row r="19" spans="2:20" s="8" customFormat="1" ht="15.75" hidden="1" thickBot="1" x14ac:dyDescent="0.3">
      <c r="C19" s="295" t="s">
        <v>184</v>
      </c>
      <c r="D19" s="296">
        <f>IF(AND(D16&gt;=$C$8,D16&lt;=$D$8),$G$8,IF(AND(D16&gt;=$C$9,D16&lt;=$D$9),$G$9,IF(AND(D16&gt;=$C$10,D16&lt;=$D$10),$G$10,IF(AND(D16&gt;=$C$11,D16&lt;=$D$11),$G$11,IF(D16&gt;=$C$12,G12,0)))))</f>
        <v>675.49</v>
      </c>
      <c r="E19" s="299">
        <f>IF(AND(E16&gt;=$C$8,E16&lt;=$D$8),$G$8,IF(AND(E16&gt;=$C$9,E16&lt;=$D$9),$G$9,IF(AND(E16&gt;=$C$10,E16&lt;=$D$10),$G$10,IF(AND(E16&gt;=$C$11,E16&lt;=$D$11),$G$11,IF(E16&gt;=$C$12,G12,0)))))</f>
        <v>675.49</v>
      </c>
      <c r="F19" s="106"/>
      <c r="N19" s="339" t="s">
        <v>182</v>
      </c>
      <c r="O19" s="487">
        <f>EDATE(I14,O20)</f>
        <v>44105</v>
      </c>
      <c r="P19" s="448"/>
      <c r="Q19" s="448"/>
      <c r="R19" s="448"/>
    </row>
    <row r="20" spans="2:20" s="8" customFormat="1" ht="15.75" hidden="1" thickBot="1" x14ac:dyDescent="0.3">
      <c r="C20" s="295" t="s">
        <v>181</v>
      </c>
      <c r="D20" s="299">
        <f>(D16*D18)-D19</f>
        <v>312.8900000000001</v>
      </c>
      <c r="E20" s="299">
        <f>IF(E16&lt;=5000,0,(((E16*E18)-E19)-IF(AND(E17&gt;5000,E17&lt;=7350),O33,0)))</f>
        <v>0</v>
      </c>
      <c r="F20" s="106"/>
      <c r="G20" s="125"/>
      <c r="N20" s="339" t="s">
        <v>180</v>
      </c>
      <c r="O20" s="485">
        <v>-3</v>
      </c>
      <c r="P20" s="448"/>
      <c r="Q20" s="448"/>
      <c r="R20" s="448"/>
    </row>
    <row r="21" spans="2:20" s="8" customFormat="1" ht="15.75" hidden="1" thickBot="1" x14ac:dyDescent="0.3">
      <c r="C21" s="295" t="s">
        <v>179</v>
      </c>
      <c r="D21" s="297">
        <f>IF(O13=TRUE,1518,D17)-D20-O12</f>
        <v>4687.1099999999997</v>
      </c>
      <c r="E21" s="300">
        <f>IF(O13=TRUE,O22,E17)-E20-O15</f>
        <v>5000</v>
      </c>
      <c r="F21" s="106"/>
      <c r="G21" s="43"/>
      <c r="N21" s="339" t="s">
        <v>178</v>
      </c>
      <c r="O21" s="485">
        <f>IF(I15&gt;=65,$J$11,0)</f>
        <v>0</v>
      </c>
      <c r="P21" s="448"/>
      <c r="Q21" s="488"/>
      <c r="R21" s="448"/>
    </row>
    <row r="22" spans="2:20" ht="20.25" customHeight="1" thickBot="1" x14ac:dyDescent="0.3">
      <c r="C22" s="288" t="s">
        <v>203</v>
      </c>
      <c r="D22" s="289">
        <v>1.8499999999999999E-2</v>
      </c>
      <c r="M22"/>
      <c r="N22" s="339" t="s">
        <v>177</v>
      </c>
      <c r="O22" s="489">
        <v>1621</v>
      </c>
      <c r="P22" s="448"/>
      <c r="Q22" s="449"/>
      <c r="R22" s="448"/>
      <c r="S22"/>
      <c r="T22"/>
    </row>
    <row r="23" spans="2:20" ht="3.75" customHeight="1" thickBot="1" x14ac:dyDescent="0.3">
      <c r="C23"/>
      <c r="D23"/>
      <c r="G23" s="1"/>
      <c r="M23"/>
      <c r="N23" s="505"/>
      <c r="O23" s="481"/>
      <c r="P23" s="448"/>
      <c r="Q23" s="449"/>
      <c r="R23" s="448"/>
      <c r="S23"/>
      <c r="T23"/>
    </row>
    <row r="24" spans="2:20" s="8" customFormat="1" ht="22.5" customHeight="1" thickBot="1" x14ac:dyDescent="0.3">
      <c r="C24" s="126" t="s">
        <v>2587</v>
      </c>
      <c r="D24" s="127">
        <f>IF(Q14="Sim",(E21*Q15)-(D21*Q15),0)</f>
        <v>109.5115000000003</v>
      </c>
      <c r="E24"/>
      <c r="N24" s="506"/>
      <c r="O24" s="481"/>
      <c r="P24" s="448"/>
      <c r="Q24" s="448"/>
      <c r="R24" s="448"/>
    </row>
    <row r="25" spans="2:20" ht="3" customHeight="1" x14ac:dyDescent="0.25">
      <c r="G25" s="8"/>
      <c r="M25"/>
      <c r="N25" s="506"/>
      <c r="O25" s="481"/>
      <c r="P25" s="448"/>
      <c r="Q25" s="448"/>
      <c r="R25" s="448"/>
      <c r="S25"/>
      <c r="T25"/>
    </row>
    <row r="26" spans="2:20" ht="3" customHeight="1" thickBot="1" x14ac:dyDescent="0.3">
      <c r="G26" s="8"/>
      <c r="M26"/>
      <c r="N26" s="506"/>
      <c r="O26" s="490">
        <f>O22/1320-1</f>
        <v>0.22803030303030303</v>
      </c>
      <c r="P26" s="448"/>
      <c r="Q26" s="448"/>
      <c r="R26" s="448"/>
      <c r="S26"/>
      <c r="T26"/>
    </row>
    <row r="27" spans="2:20" ht="38.25" thickBot="1" x14ac:dyDescent="0.3">
      <c r="C27" s="134" t="s">
        <v>204</v>
      </c>
      <c r="D27" s="127">
        <f>E35/1.03129</f>
        <v>4612.504727089372</v>
      </c>
      <c r="G27" s="415"/>
      <c r="M27"/>
      <c r="N27" s="339" t="s">
        <v>36</v>
      </c>
      <c r="O27" s="485">
        <v>96</v>
      </c>
      <c r="P27" s="448"/>
      <c r="Q27" s="448"/>
      <c r="R27" s="448"/>
      <c r="S27"/>
      <c r="T27"/>
    </row>
    <row r="28" spans="2:20" x14ac:dyDescent="0.25">
      <c r="D28" s="105"/>
      <c r="M28"/>
      <c r="N28" s="339" t="s">
        <v>202</v>
      </c>
      <c r="O28" s="485">
        <v>55</v>
      </c>
      <c r="P28" s="448"/>
      <c r="Q28" s="448"/>
      <c r="R28" s="448"/>
      <c r="S28"/>
      <c r="T28"/>
    </row>
    <row r="29" spans="2:20" x14ac:dyDescent="0.25">
      <c r="E29" s="1"/>
      <c r="F29" s="1"/>
      <c r="G29" s="1"/>
      <c r="M29"/>
      <c r="N29" s="507" t="s">
        <v>481</v>
      </c>
      <c r="O29" s="491">
        <v>1518</v>
      </c>
      <c r="P29"/>
      <c r="Q29"/>
      <c r="R29"/>
      <c r="S29"/>
      <c r="T29"/>
    </row>
    <row r="30" spans="2:20" x14ac:dyDescent="0.25">
      <c r="D30" s="101"/>
      <c r="G30" s="1"/>
      <c r="N30" s="507" t="s">
        <v>2382</v>
      </c>
      <c r="O30" s="458">
        <v>978.62</v>
      </c>
      <c r="P30" s="458">
        <v>978.62</v>
      </c>
      <c r="Q30"/>
      <c r="R30"/>
      <c r="S30"/>
      <c r="T30"/>
    </row>
    <row r="31" spans="2:20" x14ac:dyDescent="0.25">
      <c r="D31" s="105"/>
      <c r="G31" s="492"/>
      <c r="M31"/>
      <c r="N31" s="507" t="s">
        <v>2383</v>
      </c>
      <c r="O31" s="508">
        <v>0.13314500000000001</v>
      </c>
      <c r="P31" s="508">
        <v>0.13314500000000001</v>
      </c>
      <c r="Q31"/>
      <c r="R31"/>
      <c r="S31"/>
      <c r="T31"/>
    </row>
    <row r="32" spans="2:20" x14ac:dyDescent="0.25">
      <c r="D32" s="105"/>
      <c r="G32" s="492"/>
      <c r="M32"/>
      <c r="N32" s="507" t="s">
        <v>2384</v>
      </c>
      <c r="O32" s="373">
        <f>E16*O31</f>
        <v>584.87935600000003</v>
      </c>
      <c r="P32" s="373">
        <f>D16*P31</f>
        <v>584.87935600000003</v>
      </c>
      <c r="Q32"/>
      <c r="R32"/>
      <c r="S32"/>
      <c r="T32"/>
    </row>
    <row r="33" spans="3:20" x14ac:dyDescent="0.25">
      <c r="D33" s="495"/>
      <c r="M33"/>
      <c r="N33" s="507" t="s">
        <v>2385</v>
      </c>
      <c r="O33" s="1">
        <f>O30-O32</f>
        <v>393.74064399999997</v>
      </c>
      <c r="P33" s="1">
        <f>P30-P32</f>
        <v>393.74064399999997</v>
      </c>
      <c r="Q33"/>
      <c r="R33"/>
      <c r="S33"/>
      <c r="T33"/>
    </row>
    <row r="34" spans="3:20" x14ac:dyDescent="0.25">
      <c r="M34"/>
      <c r="N34"/>
      <c r="O34"/>
      <c r="P34"/>
      <c r="Q34"/>
      <c r="R34"/>
      <c r="S34"/>
      <c r="T34"/>
    </row>
    <row r="35" spans="3:20" hidden="1" x14ac:dyDescent="0.25">
      <c r="C35" s="496">
        <v>46028</v>
      </c>
      <c r="E35" s="447">
        <f>SUM(E36:E131)</f>
        <v>4756.829999999999</v>
      </c>
    </row>
    <row r="36" spans="3:20" hidden="1" x14ac:dyDescent="0.25">
      <c r="C36" s="496">
        <v>46091</v>
      </c>
      <c r="D36" s="105">
        <f>$D$24</f>
        <v>109.5115000000003</v>
      </c>
      <c r="E36" s="459">
        <f>ROUND(D36/(1+$D$22)^((C36-$C$35)/30),2)</f>
        <v>105.38</v>
      </c>
    </row>
    <row r="37" spans="3:20" hidden="1" x14ac:dyDescent="0.25">
      <c r="C37" s="493">
        <f>EDATE(C36,1)</f>
        <v>46122</v>
      </c>
      <c r="D37" s="105">
        <f t="shared" ref="D37:D100" si="0">$D$24</f>
        <v>109.5115000000003</v>
      </c>
      <c r="E37" s="459">
        <f t="shared" ref="E37:E100" si="1">ROUND(D37/(1+$D$22)^((C37-$C$35)/30),2)</f>
        <v>103.4</v>
      </c>
    </row>
    <row r="38" spans="3:20" hidden="1" x14ac:dyDescent="0.25">
      <c r="C38" s="493">
        <f t="shared" ref="C38:C101" si="2">EDATE(C37,1)</f>
        <v>46152</v>
      </c>
      <c r="D38" s="105">
        <f t="shared" si="0"/>
        <v>109.5115000000003</v>
      </c>
      <c r="E38" s="459">
        <f t="shared" si="1"/>
        <v>101.52</v>
      </c>
    </row>
    <row r="39" spans="3:20" hidden="1" x14ac:dyDescent="0.25">
      <c r="C39" s="493">
        <f t="shared" si="2"/>
        <v>46183</v>
      </c>
      <c r="D39" s="105">
        <f t="shared" si="0"/>
        <v>109.5115000000003</v>
      </c>
      <c r="E39" s="459">
        <f t="shared" si="1"/>
        <v>99.62</v>
      </c>
    </row>
    <row r="40" spans="3:20" hidden="1" x14ac:dyDescent="0.25">
      <c r="C40" s="493">
        <f t="shared" si="2"/>
        <v>46213</v>
      </c>
      <c r="D40" s="105">
        <f t="shared" si="0"/>
        <v>109.5115000000003</v>
      </c>
      <c r="E40" s="459">
        <f t="shared" si="1"/>
        <v>97.81</v>
      </c>
    </row>
    <row r="41" spans="3:20" hidden="1" x14ac:dyDescent="0.25">
      <c r="C41" s="493">
        <f t="shared" si="2"/>
        <v>46244</v>
      </c>
      <c r="D41" s="105">
        <f t="shared" si="0"/>
        <v>109.5115000000003</v>
      </c>
      <c r="E41" s="459">
        <f t="shared" si="1"/>
        <v>95.97</v>
      </c>
    </row>
    <row r="42" spans="3:20" hidden="1" x14ac:dyDescent="0.25">
      <c r="C42" s="493">
        <f t="shared" si="2"/>
        <v>46275</v>
      </c>
      <c r="D42" s="105">
        <f t="shared" si="0"/>
        <v>109.5115000000003</v>
      </c>
      <c r="E42" s="459">
        <f t="shared" si="1"/>
        <v>94.17</v>
      </c>
    </row>
    <row r="43" spans="3:20" hidden="1" x14ac:dyDescent="0.25">
      <c r="C43" s="493">
        <f t="shared" si="2"/>
        <v>46305</v>
      </c>
      <c r="D43" s="105">
        <f t="shared" si="0"/>
        <v>109.5115000000003</v>
      </c>
      <c r="E43" s="459">
        <f t="shared" si="1"/>
        <v>92.46</v>
      </c>
    </row>
    <row r="44" spans="3:20" hidden="1" x14ac:dyDescent="0.25">
      <c r="C44" s="493">
        <f t="shared" si="2"/>
        <v>46336</v>
      </c>
      <c r="D44" s="105">
        <f t="shared" si="0"/>
        <v>109.5115000000003</v>
      </c>
      <c r="E44" s="459">
        <f t="shared" si="1"/>
        <v>90.72</v>
      </c>
    </row>
    <row r="45" spans="3:20" hidden="1" x14ac:dyDescent="0.25">
      <c r="C45" s="493">
        <f t="shared" si="2"/>
        <v>46366</v>
      </c>
      <c r="D45" s="105">
        <f t="shared" si="0"/>
        <v>109.5115000000003</v>
      </c>
      <c r="E45" s="459">
        <f t="shared" si="1"/>
        <v>89.08</v>
      </c>
    </row>
    <row r="46" spans="3:20" hidden="1" x14ac:dyDescent="0.25">
      <c r="C46" s="493">
        <f t="shared" si="2"/>
        <v>46397</v>
      </c>
      <c r="D46" s="105">
        <f t="shared" si="0"/>
        <v>109.5115000000003</v>
      </c>
      <c r="E46" s="459">
        <f t="shared" si="1"/>
        <v>87.41</v>
      </c>
    </row>
    <row r="47" spans="3:20" hidden="1" x14ac:dyDescent="0.25">
      <c r="C47" s="493">
        <f t="shared" si="2"/>
        <v>46428</v>
      </c>
      <c r="D47" s="105">
        <f t="shared" si="0"/>
        <v>109.5115000000003</v>
      </c>
      <c r="E47" s="459">
        <f t="shared" si="1"/>
        <v>85.77</v>
      </c>
    </row>
    <row r="48" spans="3:20" hidden="1" x14ac:dyDescent="0.25">
      <c r="C48" s="493">
        <f t="shared" si="2"/>
        <v>46456</v>
      </c>
      <c r="D48" s="105">
        <f t="shared" si="0"/>
        <v>109.5115000000003</v>
      </c>
      <c r="E48" s="459">
        <f t="shared" si="1"/>
        <v>84.31</v>
      </c>
    </row>
    <row r="49" spans="3:5" hidden="1" x14ac:dyDescent="0.25">
      <c r="C49" s="493">
        <f t="shared" si="2"/>
        <v>46487</v>
      </c>
      <c r="D49" s="105">
        <f t="shared" si="0"/>
        <v>109.5115000000003</v>
      </c>
      <c r="E49" s="459">
        <f t="shared" si="1"/>
        <v>82.73</v>
      </c>
    </row>
    <row r="50" spans="3:5" hidden="1" x14ac:dyDescent="0.25">
      <c r="C50" s="493">
        <f t="shared" si="2"/>
        <v>46517</v>
      </c>
      <c r="D50" s="105">
        <f t="shared" si="0"/>
        <v>109.5115000000003</v>
      </c>
      <c r="E50" s="459">
        <f t="shared" si="1"/>
        <v>81.23</v>
      </c>
    </row>
    <row r="51" spans="3:5" hidden="1" x14ac:dyDescent="0.25">
      <c r="C51" s="493">
        <f t="shared" si="2"/>
        <v>46548</v>
      </c>
      <c r="D51" s="105">
        <f t="shared" si="0"/>
        <v>109.5115000000003</v>
      </c>
      <c r="E51" s="459">
        <f t="shared" si="1"/>
        <v>79.7</v>
      </c>
    </row>
    <row r="52" spans="3:5" hidden="1" x14ac:dyDescent="0.25">
      <c r="C52" s="493">
        <f t="shared" si="2"/>
        <v>46578</v>
      </c>
      <c r="D52" s="105">
        <f t="shared" si="0"/>
        <v>109.5115000000003</v>
      </c>
      <c r="E52" s="459">
        <f t="shared" si="1"/>
        <v>78.25</v>
      </c>
    </row>
    <row r="53" spans="3:5" hidden="1" x14ac:dyDescent="0.25">
      <c r="C53" s="493">
        <f t="shared" si="2"/>
        <v>46609</v>
      </c>
      <c r="D53" s="105">
        <f t="shared" si="0"/>
        <v>109.5115000000003</v>
      </c>
      <c r="E53" s="459">
        <f t="shared" si="1"/>
        <v>76.790000000000006</v>
      </c>
    </row>
    <row r="54" spans="3:5" hidden="1" x14ac:dyDescent="0.25">
      <c r="C54" s="493">
        <f t="shared" si="2"/>
        <v>46640</v>
      </c>
      <c r="D54" s="105">
        <f t="shared" si="0"/>
        <v>109.5115000000003</v>
      </c>
      <c r="E54" s="459">
        <f t="shared" si="1"/>
        <v>75.349999999999994</v>
      </c>
    </row>
    <row r="55" spans="3:5" hidden="1" x14ac:dyDescent="0.25">
      <c r="C55" s="493">
        <f t="shared" si="2"/>
        <v>46670</v>
      </c>
      <c r="D55" s="105">
        <f t="shared" si="0"/>
        <v>109.5115000000003</v>
      </c>
      <c r="E55" s="459">
        <f t="shared" si="1"/>
        <v>73.98</v>
      </c>
    </row>
    <row r="56" spans="3:5" hidden="1" x14ac:dyDescent="0.25">
      <c r="C56" s="493">
        <f t="shared" si="2"/>
        <v>46701</v>
      </c>
      <c r="D56" s="105">
        <f t="shared" si="0"/>
        <v>109.5115000000003</v>
      </c>
      <c r="E56" s="459">
        <f t="shared" si="1"/>
        <v>72.59</v>
      </c>
    </row>
    <row r="57" spans="3:5" hidden="1" x14ac:dyDescent="0.25">
      <c r="C57" s="493">
        <f t="shared" si="2"/>
        <v>46731</v>
      </c>
      <c r="D57" s="105">
        <f t="shared" si="0"/>
        <v>109.5115000000003</v>
      </c>
      <c r="E57" s="459">
        <f t="shared" si="1"/>
        <v>71.27</v>
      </c>
    </row>
    <row r="58" spans="3:5" hidden="1" x14ac:dyDescent="0.25">
      <c r="C58" s="493">
        <f t="shared" si="2"/>
        <v>46762</v>
      </c>
      <c r="D58" s="105">
        <f t="shared" si="0"/>
        <v>109.5115000000003</v>
      </c>
      <c r="E58" s="459">
        <f t="shared" si="1"/>
        <v>69.930000000000007</v>
      </c>
    </row>
    <row r="59" spans="3:5" hidden="1" x14ac:dyDescent="0.25">
      <c r="C59" s="493">
        <f t="shared" si="2"/>
        <v>46793</v>
      </c>
      <c r="D59" s="105">
        <f t="shared" si="0"/>
        <v>109.5115000000003</v>
      </c>
      <c r="E59" s="459">
        <f t="shared" si="1"/>
        <v>68.62</v>
      </c>
    </row>
    <row r="60" spans="3:5" hidden="1" x14ac:dyDescent="0.25">
      <c r="C60" s="493">
        <f t="shared" si="2"/>
        <v>46822</v>
      </c>
      <c r="D60" s="105">
        <f t="shared" si="0"/>
        <v>109.5115000000003</v>
      </c>
      <c r="E60" s="459">
        <f t="shared" si="1"/>
        <v>67.42</v>
      </c>
    </row>
    <row r="61" spans="3:5" hidden="1" x14ac:dyDescent="0.25">
      <c r="C61" s="493">
        <f t="shared" si="2"/>
        <v>46853</v>
      </c>
      <c r="D61" s="105">
        <f t="shared" si="0"/>
        <v>109.5115000000003</v>
      </c>
      <c r="E61" s="459">
        <f t="shared" si="1"/>
        <v>66.150000000000006</v>
      </c>
    </row>
    <row r="62" spans="3:5" hidden="1" x14ac:dyDescent="0.25">
      <c r="C62" s="493">
        <f t="shared" si="2"/>
        <v>46883</v>
      </c>
      <c r="D62" s="105">
        <f t="shared" si="0"/>
        <v>109.5115000000003</v>
      </c>
      <c r="E62" s="459">
        <f t="shared" si="1"/>
        <v>64.95</v>
      </c>
    </row>
    <row r="63" spans="3:5" hidden="1" x14ac:dyDescent="0.25">
      <c r="C63" s="493">
        <f t="shared" si="2"/>
        <v>46914</v>
      </c>
      <c r="D63" s="105">
        <f t="shared" si="0"/>
        <v>109.5115000000003</v>
      </c>
      <c r="E63" s="459">
        <f t="shared" si="1"/>
        <v>63.73</v>
      </c>
    </row>
    <row r="64" spans="3:5" hidden="1" x14ac:dyDescent="0.25">
      <c r="C64" s="493">
        <f t="shared" si="2"/>
        <v>46944</v>
      </c>
      <c r="D64" s="105">
        <f t="shared" si="0"/>
        <v>109.5115000000003</v>
      </c>
      <c r="E64" s="459">
        <f t="shared" si="1"/>
        <v>62.57</v>
      </c>
    </row>
    <row r="65" spans="3:5" hidden="1" x14ac:dyDescent="0.25">
      <c r="C65" s="493">
        <f t="shared" si="2"/>
        <v>46975</v>
      </c>
      <c r="D65" s="105">
        <f t="shared" si="0"/>
        <v>109.5115000000003</v>
      </c>
      <c r="E65" s="459">
        <f t="shared" si="1"/>
        <v>61.4</v>
      </c>
    </row>
    <row r="66" spans="3:5" hidden="1" x14ac:dyDescent="0.25">
      <c r="C66" s="493">
        <f t="shared" si="2"/>
        <v>47006</v>
      </c>
      <c r="D66" s="105">
        <f t="shared" si="0"/>
        <v>109.5115000000003</v>
      </c>
      <c r="E66" s="459">
        <f t="shared" si="1"/>
        <v>60.25</v>
      </c>
    </row>
    <row r="67" spans="3:5" hidden="1" x14ac:dyDescent="0.25">
      <c r="C67" s="493">
        <f t="shared" si="2"/>
        <v>47036</v>
      </c>
      <c r="D67" s="105">
        <f t="shared" si="0"/>
        <v>109.5115000000003</v>
      </c>
      <c r="E67" s="459">
        <f t="shared" si="1"/>
        <v>59.15</v>
      </c>
    </row>
    <row r="68" spans="3:5" hidden="1" x14ac:dyDescent="0.25">
      <c r="C68" s="493">
        <f t="shared" si="2"/>
        <v>47067</v>
      </c>
      <c r="D68" s="105">
        <f t="shared" si="0"/>
        <v>109.5115000000003</v>
      </c>
      <c r="E68" s="459">
        <f t="shared" si="1"/>
        <v>58.04</v>
      </c>
    </row>
    <row r="69" spans="3:5" hidden="1" x14ac:dyDescent="0.25">
      <c r="C69" s="493">
        <f t="shared" si="2"/>
        <v>47097</v>
      </c>
      <c r="D69" s="105">
        <f t="shared" si="0"/>
        <v>109.5115000000003</v>
      </c>
      <c r="E69" s="459">
        <f t="shared" si="1"/>
        <v>56.99</v>
      </c>
    </row>
    <row r="70" spans="3:5" hidden="1" x14ac:dyDescent="0.25">
      <c r="C70" s="493">
        <f t="shared" si="2"/>
        <v>47128</v>
      </c>
      <c r="D70" s="105">
        <f t="shared" si="0"/>
        <v>109.5115000000003</v>
      </c>
      <c r="E70" s="459">
        <f t="shared" si="1"/>
        <v>55.92</v>
      </c>
    </row>
    <row r="71" spans="3:5" hidden="1" x14ac:dyDescent="0.25">
      <c r="C71" s="493">
        <f t="shared" si="2"/>
        <v>47159</v>
      </c>
      <c r="D71" s="105">
        <f t="shared" si="0"/>
        <v>109.5115000000003</v>
      </c>
      <c r="E71" s="459">
        <f t="shared" si="1"/>
        <v>54.87</v>
      </c>
    </row>
    <row r="72" spans="3:5" hidden="1" x14ac:dyDescent="0.25">
      <c r="C72" s="493">
        <f t="shared" si="2"/>
        <v>47187</v>
      </c>
      <c r="D72" s="105">
        <f t="shared" si="0"/>
        <v>109.5115000000003</v>
      </c>
      <c r="E72" s="459">
        <f t="shared" si="1"/>
        <v>53.94</v>
      </c>
    </row>
    <row r="73" spans="3:5" hidden="1" x14ac:dyDescent="0.25">
      <c r="C73" s="493">
        <f t="shared" si="2"/>
        <v>47218</v>
      </c>
      <c r="D73" s="105">
        <f t="shared" si="0"/>
        <v>109.5115000000003</v>
      </c>
      <c r="E73" s="459">
        <f t="shared" si="1"/>
        <v>52.93</v>
      </c>
    </row>
    <row r="74" spans="3:5" hidden="1" x14ac:dyDescent="0.25">
      <c r="C74" s="493">
        <f t="shared" si="2"/>
        <v>47248</v>
      </c>
      <c r="D74" s="105">
        <f t="shared" si="0"/>
        <v>109.5115000000003</v>
      </c>
      <c r="E74" s="459">
        <f t="shared" si="1"/>
        <v>51.97</v>
      </c>
    </row>
    <row r="75" spans="3:5" hidden="1" x14ac:dyDescent="0.25">
      <c r="C75" s="493">
        <f t="shared" si="2"/>
        <v>47279</v>
      </c>
      <c r="D75" s="105">
        <f t="shared" si="0"/>
        <v>109.5115000000003</v>
      </c>
      <c r="E75" s="459">
        <f t="shared" si="1"/>
        <v>50.99</v>
      </c>
    </row>
    <row r="76" spans="3:5" hidden="1" x14ac:dyDescent="0.25">
      <c r="C76" s="493">
        <f t="shared" si="2"/>
        <v>47309</v>
      </c>
      <c r="D76" s="105">
        <f t="shared" si="0"/>
        <v>109.5115000000003</v>
      </c>
      <c r="E76" s="459">
        <f t="shared" si="1"/>
        <v>50.06</v>
      </c>
    </row>
    <row r="77" spans="3:5" hidden="1" x14ac:dyDescent="0.25">
      <c r="C77" s="493">
        <f t="shared" si="2"/>
        <v>47340</v>
      </c>
      <c r="D77" s="105">
        <f t="shared" si="0"/>
        <v>109.5115000000003</v>
      </c>
      <c r="E77" s="459">
        <f t="shared" si="1"/>
        <v>49.12</v>
      </c>
    </row>
    <row r="78" spans="3:5" hidden="1" x14ac:dyDescent="0.25">
      <c r="C78" s="493">
        <f t="shared" si="2"/>
        <v>47371</v>
      </c>
      <c r="D78" s="105">
        <f t="shared" si="0"/>
        <v>109.5115000000003</v>
      </c>
      <c r="E78" s="459">
        <f t="shared" si="1"/>
        <v>48.2</v>
      </c>
    </row>
    <row r="79" spans="3:5" hidden="1" x14ac:dyDescent="0.25">
      <c r="C79" s="493">
        <f t="shared" si="2"/>
        <v>47401</v>
      </c>
      <c r="D79" s="105">
        <f t="shared" si="0"/>
        <v>109.5115000000003</v>
      </c>
      <c r="E79" s="459">
        <f t="shared" si="1"/>
        <v>47.33</v>
      </c>
    </row>
    <row r="80" spans="3:5" hidden="1" x14ac:dyDescent="0.25">
      <c r="C80" s="493">
        <f t="shared" si="2"/>
        <v>47432</v>
      </c>
      <c r="D80" s="105">
        <f t="shared" si="0"/>
        <v>109.5115000000003</v>
      </c>
      <c r="E80" s="459">
        <f t="shared" si="1"/>
        <v>46.44</v>
      </c>
    </row>
    <row r="81" spans="3:5" hidden="1" x14ac:dyDescent="0.25">
      <c r="C81" s="493">
        <f t="shared" si="2"/>
        <v>47462</v>
      </c>
      <c r="D81" s="105">
        <f t="shared" si="0"/>
        <v>109.5115000000003</v>
      </c>
      <c r="E81" s="459">
        <f t="shared" si="1"/>
        <v>45.6</v>
      </c>
    </row>
    <row r="82" spans="3:5" hidden="1" x14ac:dyDescent="0.25">
      <c r="C82" s="493">
        <f t="shared" si="2"/>
        <v>47493</v>
      </c>
      <c r="D82" s="105">
        <f t="shared" si="0"/>
        <v>109.5115000000003</v>
      </c>
      <c r="E82" s="459">
        <f t="shared" si="1"/>
        <v>44.74</v>
      </c>
    </row>
    <row r="83" spans="3:5" hidden="1" x14ac:dyDescent="0.25">
      <c r="C83" s="493">
        <f t="shared" si="2"/>
        <v>47524</v>
      </c>
      <c r="D83" s="105">
        <f t="shared" si="0"/>
        <v>109.5115000000003</v>
      </c>
      <c r="E83" s="459">
        <f t="shared" si="1"/>
        <v>43.9</v>
      </c>
    </row>
    <row r="84" spans="3:5" hidden="1" x14ac:dyDescent="0.25">
      <c r="C84" s="493">
        <f t="shared" si="2"/>
        <v>47552</v>
      </c>
      <c r="D84" s="105">
        <f t="shared" si="0"/>
        <v>109.5115000000003</v>
      </c>
      <c r="E84" s="459">
        <f t="shared" si="1"/>
        <v>43.16</v>
      </c>
    </row>
    <row r="85" spans="3:5" hidden="1" x14ac:dyDescent="0.25">
      <c r="C85" s="493">
        <f t="shared" si="2"/>
        <v>47583</v>
      </c>
      <c r="D85" s="105">
        <f t="shared" si="0"/>
        <v>109.5115000000003</v>
      </c>
      <c r="E85" s="459">
        <f t="shared" si="1"/>
        <v>42.35</v>
      </c>
    </row>
    <row r="86" spans="3:5" hidden="1" x14ac:dyDescent="0.25">
      <c r="C86" s="493">
        <f t="shared" si="2"/>
        <v>47613</v>
      </c>
      <c r="D86" s="105">
        <f t="shared" si="0"/>
        <v>109.5115000000003</v>
      </c>
      <c r="E86" s="459">
        <f t="shared" si="1"/>
        <v>41.58</v>
      </c>
    </row>
    <row r="87" spans="3:5" hidden="1" x14ac:dyDescent="0.25">
      <c r="C87" s="493">
        <f t="shared" si="2"/>
        <v>47644</v>
      </c>
      <c r="D87" s="105">
        <f t="shared" si="0"/>
        <v>109.5115000000003</v>
      </c>
      <c r="E87" s="459">
        <f t="shared" si="1"/>
        <v>40.799999999999997</v>
      </c>
    </row>
    <row r="88" spans="3:5" hidden="1" x14ac:dyDescent="0.25">
      <c r="C88" s="493">
        <f t="shared" si="2"/>
        <v>47674</v>
      </c>
      <c r="D88" s="105">
        <f t="shared" si="0"/>
        <v>109.5115000000003</v>
      </c>
      <c r="E88" s="459">
        <f t="shared" si="1"/>
        <v>40.06</v>
      </c>
    </row>
    <row r="89" spans="3:5" hidden="1" x14ac:dyDescent="0.25">
      <c r="C89" s="493">
        <f t="shared" si="2"/>
        <v>47705</v>
      </c>
      <c r="D89" s="105">
        <f t="shared" si="0"/>
        <v>109.5115000000003</v>
      </c>
      <c r="E89" s="459">
        <f t="shared" si="1"/>
        <v>39.299999999999997</v>
      </c>
    </row>
    <row r="90" spans="3:5" hidden="1" x14ac:dyDescent="0.25">
      <c r="C90" s="493">
        <f t="shared" si="2"/>
        <v>47736</v>
      </c>
      <c r="D90" s="105">
        <f t="shared" si="0"/>
        <v>109.5115000000003</v>
      </c>
      <c r="E90" s="459">
        <f t="shared" si="1"/>
        <v>38.57</v>
      </c>
    </row>
    <row r="91" spans="3:5" hidden="1" x14ac:dyDescent="0.25">
      <c r="C91" s="493">
        <f t="shared" si="2"/>
        <v>47766</v>
      </c>
      <c r="D91" s="105">
        <f t="shared" si="0"/>
        <v>109.5115000000003</v>
      </c>
      <c r="E91" s="459">
        <f t="shared" si="1"/>
        <v>37.869999999999997</v>
      </c>
    </row>
    <row r="92" spans="3:5" hidden="1" x14ac:dyDescent="0.25">
      <c r="C92" s="493">
        <f t="shared" si="2"/>
        <v>47797</v>
      </c>
      <c r="D92" s="105">
        <f t="shared" si="0"/>
        <v>109.5115000000003</v>
      </c>
      <c r="E92" s="459">
        <f t="shared" si="1"/>
        <v>37.159999999999997</v>
      </c>
    </row>
    <row r="93" spans="3:5" hidden="1" x14ac:dyDescent="0.25">
      <c r="C93" s="493">
        <f t="shared" si="2"/>
        <v>47827</v>
      </c>
      <c r="D93" s="105">
        <f t="shared" si="0"/>
        <v>109.5115000000003</v>
      </c>
      <c r="E93" s="459">
        <f t="shared" si="1"/>
        <v>36.479999999999997</v>
      </c>
    </row>
    <row r="94" spans="3:5" hidden="1" x14ac:dyDescent="0.25">
      <c r="C94" s="493">
        <f t="shared" si="2"/>
        <v>47858</v>
      </c>
      <c r="D94" s="105">
        <f t="shared" si="0"/>
        <v>109.5115000000003</v>
      </c>
      <c r="E94" s="459">
        <f t="shared" si="1"/>
        <v>35.799999999999997</v>
      </c>
    </row>
    <row r="95" spans="3:5" hidden="1" x14ac:dyDescent="0.25">
      <c r="C95" s="493">
        <f t="shared" si="2"/>
        <v>47889</v>
      </c>
      <c r="D95" s="105">
        <f t="shared" si="0"/>
        <v>109.5115000000003</v>
      </c>
      <c r="E95" s="459">
        <f t="shared" si="1"/>
        <v>35.119999999999997</v>
      </c>
    </row>
    <row r="96" spans="3:5" hidden="1" x14ac:dyDescent="0.25">
      <c r="C96" s="493">
        <f t="shared" si="2"/>
        <v>47917</v>
      </c>
      <c r="D96" s="105">
        <f t="shared" si="0"/>
        <v>109.5115000000003</v>
      </c>
      <c r="E96" s="459">
        <f t="shared" si="1"/>
        <v>34.53</v>
      </c>
    </row>
    <row r="97" spans="3:5" hidden="1" x14ac:dyDescent="0.25">
      <c r="C97" s="493">
        <f t="shared" si="2"/>
        <v>47948</v>
      </c>
      <c r="D97" s="105">
        <f t="shared" si="0"/>
        <v>109.5115000000003</v>
      </c>
      <c r="E97" s="459">
        <f t="shared" si="1"/>
        <v>33.880000000000003</v>
      </c>
    </row>
    <row r="98" spans="3:5" hidden="1" x14ac:dyDescent="0.25">
      <c r="C98" s="493">
        <f t="shared" si="2"/>
        <v>47978</v>
      </c>
      <c r="D98" s="105">
        <f t="shared" si="0"/>
        <v>109.5115000000003</v>
      </c>
      <c r="E98" s="459">
        <f t="shared" si="1"/>
        <v>33.270000000000003</v>
      </c>
    </row>
    <row r="99" spans="3:5" hidden="1" x14ac:dyDescent="0.25">
      <c r="C99" s="493">
        <f t="shared" si="2"/>
        <v>48009</v>
      </c>
      <c r="D99" s="105">
        <f t="shared" si="0"/>
        <v>109.5115000000003</v>
      </c>
      <c r="E99" s="459">
        <f t="shared" si="1"/>
        <v>32.64</v>
      </c>
    </row>
    <row r="100" spans="3:5" hidden="1" x14ac:dyDescent="0.25">
      <c r="C100" s="493">
        <f t="shared" si="2"/>
        <v>48039</v>
      </c>
      <c r="D100" s="105">
        <f t="shared" si="0"/>
        <v>109.5115000000003</v>
      </c>
      <c r="E100" s="459">
        <f t="shared" si="1"/>
        <v>32.049999999999997</v>
      </c>
    </row>
    <row r="101" spans="3:5" hidden="1" x14ac:dyDescent="0.25">
      <c r="C101" s="493">
        <f t="shared" si="2"/>
        <v>48070</v>
      </c>
      <c r="D101" s="105">
        <f t="shared" ref="D101:D131" si="3">$D$24</f>
        <v>109.5115000000003</v>
      </c>
      <c r="E101" s="459">
        <f t="shared" ref="E101:E131" si="4">ROUND(D101/(1+$D$22)^((C101-$C$35)/30),2)</f>
        <v>31.45</v>
      </c>
    </row>
    <row r="102" spans="3:5" hidden="1" x14ac:dyDescent="0.25">
      <c r="C102" s="493">
        <f t="shared" ref="C102:C118" si="5">EDATE(C101,1)</f>
        <v>48101</v>
      </c>
      <c r="D102" s="105">
        <f t="shared" si="3"/>
        <v>109.5115000000003</v>
      </c>
      <c r="E102" s="459">
        <f t="shared" si="4"/>
        <v>30.86</v>
      </c>
    </row>
    <row r="103" spans="3:5" hidden="1" x14ac:dyDescent="0.25">
      <c r="C103" s="493">
        <f t="shared" si="5"/>
        <v>48131</v>
      </c>
      <c r="D103" s="105">
        <f t="shared" si="3"/>
        <v>109.5115000000003</v>
      </c>
      <c r="E103" s="459">
        <f t="shared" si="4"/>
        <v>30.3</v>
      </c>
    </row>
    <row r="104" spans="3:5" hidden="1" x14ac:dyDescent="0.25">
      <c r="C104" s="493">
        <f t="shared" si="5"/>
        <v>48162</v>
      </c>
      <c r="D104" s="105">
        <f t="shared" si="3"/>
        <v>109.5115000000003</v>
      </c>
      <c r="E104" s="459">
        <f t="shared" si="4"/>
        <v>29.73</v>
      </c>
    </row>
    <row r="105" spans="3:5" hidden="1" x14ac:dyDescent="0.25">
      <c r="C105" s="493">
        <f t="shared" si="5"/>
        <v>48192</v>
      </c>
      <c r="D105" s="105">
        <f t="shared" si="3"/>
        <v>109.5115000000003</v>
      </c>
      <c r="E105" s="459">
        <f t="shared" si="4"/>
        <v>29.19</v>
      </c>
    </row>
    <row r="106" spans="3:5" hidden="1" x14ac:dyDescent="0.25">
      <c r="C106" s="493">
        <f t="shared" si="5"/>
        <v>48223</v>
      </c>
      <c r="D106" s="105">
        <f t="shared" si="3"/>
        <v>109.5115000000003</v>
      </c>
      <c r="E106" s="459">
        <f t="shared" si="4"/>
        <v>28.64</v>
      </c>
    </row>
    <row r="107" spans="3:5" hidden="1" x14ac:dyDescent="0.25">
      <c r="C107" s="493">
        <f t="shared" si="5"/>
        <v>48254</v>
      </c>
      <c r="D107" s="105">
        <f t="shared" si="3"/>
        <v>109.5115000000003</v>
      </c>
      <c r="E107" s="459">
        <f t="shared" si="4"/>
        <v>28.1</v>
      </c>
    </row>
    <row r="108" spans="3:5" hidden="1" x14ac:dyDescent="0.25">
      <c r="C108" s="493">
        <f t="shared" si="5"/>
        <v>48283</v>
      </c>
      <c r="D108" s="105">
        <f t="shared" si="3"/>
        <v>109.5115000000003</v>
      </c>
      <c r="E108" s="459">
        <f t="shared" si="4"/>
        <v>27.61</v>
      </c>
    </row>
    <row r="109" spans="3:5" hidden="1" x14ac:dyDescent="0.25">
      <c r="C109" s="493">
        <f t="shared" si="5"/>
        <v>48314</v>
      </c>
      <c r="D109" s="105">
        <f t="shared" si="3"/>
        <v>109.5115000000003</v>
      </c>
      <c r="E109" s="459">
        <f t="shared" si="4"/>
        <v>27.09</v>
      </c>
    </row>
    <row r="110" spans="3:5" hidden="1" x14ac:dyDescent="0.25">
      <c r="C110" s="493">
        <f t="shared" si="5"/>
        <v>48344</v>
      </c>
      <c r="D110" s="105">
        <f t="shared" si="3"/>
        <v>109.5115000000003</v>
      </c>
      <c r="E110" s="459">
        <f t="shared" si="4"/>
        <v>26.6</v>
      </c>
    </row>
    <row r="111" spans="3:5" hidden="1" x14ac:dyDescent="0.25">
      <c r="C111" s="493">
        <f t="shared" si="5"/>
        <v>48375</v>
      </c>
      <c r="D111" s="105">
        <f t="shared" si="3"/>
        <v>109.5115000000003</v>
      </c>
      <c r="E111" s="459">
        <f t="shared" si="4"/>
        <v>26.1</v>
      </c>
    </row>
    <row r="112" spans="3:5" hidden="1" x14ac:dyDescent="0.25">
      <c r="C112" s="493">
        <f t="shared" si="5"/>
        <v>48405</v>
      </c>
      <c r="D112" s="105">
        <f t="shared" si="3"/>
        <v>109.5115000000003</v>
      </c>
      <c r="E112" s="459">
        <f t="shared" si="4"/>
        <v>25.63</v>
      </c>
    </row>
    <row r="113" spans="3:5" hidden="1" x14ac:dyDescent="0.25">
      <c r="C113" s="493">
        <f t="shared" si="5"/>
        <v>48436</v>
      </c>
      <c r="D113" s="105">
        <f t="shared" si="3"/>
        <v>109.5115000000003</v>
      </c>
      <c r="E113" s="459">
        <f t="shared" si="4"/>
        <v>25.15</v>
      </c>
    </row>
    <row r="114" spans="3:5" hidden="1" x14ac:dyDescent="0.25">
      <c r="C114" s="493">
        <f t="shared" si="5"/>
        <v>48467</v>
      </c>
      <c r="D114" s="105">
        <f t="shared" si="3"/>
        <v>109.5115000000003</v>
      </c>
      <c r="E114" s="459">
        <f t="shared" si="4"/>
        <v>24.67</v>
      </c>
    </row>
    <row r="115" spans="3:5" hidden="1" x14ac:dyDescent="0.25">
      <c r="C115" s="493">
        <f t="shared" si="5"/>
        <v>48497</v>
      </c>
      <c r="D115" s="105">
        <f t="shared" si="3"/>
        <v>109.5115000000003</v>
      </c>
      <c r="E115" s="459">
        <f t="shared" si="4"/>
        <v>24.23</v>
      </c>
    </row>
    <row r="116" spans="3:5" hidden="1" x14ac:dyDescent="0.25">
      <c r="C116" s="493">
        <f t="shared" si="5"/>
        <v>48528</v>
      </c>
      <c r="D116" s="105">
        <f t="shared" si="3"/>
        <v>109.5115000000003</v>
      </c>
      <c r="E116" s="459">
        <f t="shared" si="4"/>
        <v>23.77</v>
      </c>
    </row>
    <row r="117" spans="3:5" hidden="1" x14ac:dyDescent="0.25">
      <c r="C117" s="493">
        <f t="shared" si="5"/>
        <v>48558</v>
      </c>
      <c r="D117" s="105">
        <f t="shared" si="3"/>
        <v>109.5115000000003</v>
      </c>
      <c r="E117" s="459">
        <f t="shared" si="4"/>
        <v>23.34</v>
      </c>
    </row>
    <row r="118" spans="3:5" hidden="1" x14ac:dyDescent="0.25">
      <c r="C118" s="493">
        <f t="shared" si="5"/>
        <v>48589</v>
      </c>
      <c r="D118" s="105">
        <f t="shared" si="3"/>
        <v>109.5115000000003</v>
      </c>
      <c r="E118" s="459">
        <f t="shared" si="4"/>
        <v>22.9</v>
      </c>
    </row>
    <row r="119" spans="3:5" hidden="1" x14ac:dyDescent="0.25">
      <c r="C119" s="493">
        <f>EDATE(C118,1)</f>
        <v>48620</v>
      </c>
      <c r="D119" s="105">
        <f t="shared" si="3"/>
        <v>109.5115000000003</v>
      </c>
      <c r="E119" s="459">
        <f t="shared" si="4"/>
        <v>22.47</v>
      </c>
    </row>
    <row r="120" spans="3:5" hidden="1" x14ac:dyDescent="0.25">
      <c r="C120" s="493">
        <f t="shared" ref="C120:C126" si="6">EDATE(C119,1)</f>
        <v>48648</v>
      </c>
      <c r="D120" s="105">
        <f t="shared" si="3"/>
        <v>109.5115000000003</v>
      </c>
      <c r="E120" s="459">
        <f t="shared" si="4"/>
        <v>22.09</v>
      </c>
    </row>
    <row r="121" spans="3:5" hidden="1" x14ac:dyDescent="0.25">
      <c r="C121" s="493">
        <f t="shared" si="6"/>
        <v>48679</v>
      </c>
      <c r="D121" s="105">
        <f t="shared" si="3"/>
        <v>109.5115000000003</v>
      </c>
      <c r="E121" s="459">
        <f t="shared" si="4"/>
        <v>21.68</v>
      </c>
    </row>
    <row r="122" spans="3:5" hidden="1" x14ac:dyDescent="0.25">
      <c r="C122" s="493">
        <f t="shared" si="6"/>
        <v>48709</v>
      </c>
      <c r="D122" s="105">
        <f t="shared" si="3"/>
        <v>109.5115000000003</v>
      </c>
      <c r="E122" s="459">
        <f t="shared" si="4"/>
        <v>21.28</v>
      </c>
    </row>
    <row r="123" spans="3:5" hidden="1" x14ac:dyDescent="0.25">
      <c r="C123" s="493">
        <f t="shared" si="6"/>
        <v>48740</v>
      </c>
      <c r="D123" s="105">
        <f t="shared" si="3"/>
        <v>109.5115000000003</v>
      </c>
      <c r="E123" s="459">
        <f t="shared" si="4"/>
        <v>20.88</v>
      </c>
    </row>
    <row r="124" spans="3:5" hidden="1" x14ac:dyDescent="0.25">
      <c r="C124" s="493">
        <f t="shared" si="6"/>
        <v>48770</v>
      </c>
      <c r="D124" s="105">
        <f t="shared" si="3"/>
        <v>109.5115000000003</v>
      </c>
      <c r="E124" s="459">
        <f t="shared" si="4"/>
        <v>20.5</v>
      </c>
    </row>
    <row r="125" spans="3:5" hidden="1" x14ac:dyDescent="0.25">
      <c r="C125" s="493">
        <f t="shared" si="6"/>
        <v>48801</v>
      </c>
      <c r="D125" s="105">
        <f t="shared" si="3"/>
        <v>109.5115000000003</v>
      </c>
      <c r="E125" s="459">
        <f t="shared" si="4"/>
        <v>20.12</v>
      </c>
    </row>
    <row r="126" spans="3:5" hidden="1" x14ac:dyDescent="0.25">
      <c r="C126" s="493">
        <f t="shared" si="6"/>
        <v>48832</v>
      </c>
      <c r="D126" s="105">
        <f t="shared" si="3"/>
        <v>109.5115000000003</v>
      </c>
      <c r="E126" s="459">
        <f t="shared" si="4"/>
        <v>19.739999999999998</v>
      </c>
    </row>
    <row r="127" spans="3:5" hidden="1" x14ac:dyDescent="0.25">
      <c r="C127" s="493">
        <f>EDATE(C126,1)</f>
        <v>48862</v>
      </c>
      <c r="D127" s="105">
        <f t="shared" si="3"/>
        <v>109.5115000000003</v>
      </c>
      <c r="E127" s="459">
        <f t="shared" si="4"/>
        <v>19.38</v>
      </c>
    </row>
    <row r="128" spans="3:5" hidden="1" x14ac:dyDescent="0.25">
      <c r="C128" s="493">
        <f t="shared" ref="C128:C131" si="7">EDATE(C127,1)</f>
        <v>48893</v>
      </c>
      <c r="D128" s="105">
        <f t="shared" si="3"/>
        <v>109.5115000000003</v>
      </c>
      <c r="E128" s="459">
        <f t="shared" si="4"/>
        <v>19.02</v>
      </c>
    </row>
    <row r="129" spans="3:5" hidden="1" x14ac:dyDescent="0.25">
      <c r="C129" s="493">
        <f t="shared" si="7"/>
        <v>48923</v>
      </c>
      <c r="D129" s="105">
        <f t="shared" si="3"/>
        <v>109.5115000000003</v>
      </c>
      <c r="E129" s="459">
        <f t="shared" si="4"/>
        <v>18.670000000000002</v>
      </c>
    </row>
    <row r="130" spans="3:5" hidden="1" x14ac:dyDescent="0.25">
      <c r="C130" s="493">
        <f t="shared" si="7"/>
        <v>48954</v>
      </c>
      <c r="D130" s="105">
        <f t="shared" si="3"/>
        <v>109.5115000000003</v>
      </c>
      <c r="E130" s="459">
        <f t="shared" si="4"/>
        <v>18.32</v>
      </c>
    </row>
    <row r="131" spans="3:5" hidden="1" x14ac:dyDescent="0.25">
      <c r="C131" s="493">
        <f t="shared" si="7"/>
        <v>48985</v>
      </c>
      <c r="D131" s="105">
        <f t="shared" si="3"/>
        <v>109.5115000000003</v>
      </c>
      <c r="E131" s="459">
        <f t="shared" si="4"/>
        <v>17.98</v>
      </c>
    </row>
  </sheetData>
  <mergeCells count="4">
    <mergeCell ref="D3:G4"/>
    <mergeCell ref="C6:G6"/>
    <mergeCell ref="C7:D7"/>
    <mergeCell ref="C14:E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4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16</xdr:row>
                    <xdr:rowOff>19050</xdr:rowOff>
                  </from>
                  <to>
                    <xdr:col>7</xdr:col>
                    <xdr:colOff>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A940-60FD-4ECA-A3BC-86835FC3F945}">
  <sheetPr codeName="Planilha51"/>
  <dimension ref="A1:W1638"/>
  <sheetViews>
    <sheetView topLeftCell="A256" workbookViewId="0">
      <selection activeCell="A275" sqref="A275"/>
    </sheetView>
  </sheetViews>
  <sheetFormatPr defaultRowHeight="15" x14ac:dyDescent="0.25"/>
  <cols>
    <col min="1" max="1" width="23.7109375" bestFit="1" customWidth="1"/>
    <col min="2" max="2" width="25.85546875" bestFit="1" customWidth="1"/>
    <col min="3" max="3" width="3" style="6" bestFit="1" customWidth="1"/>
    <col min="4" max="4" width="20.140625" bestFit="1" customWidth="1"/>
    <col min="5" max="5" width="6.140625" style="101" bestFit="1" customWidth="1"/>
    <col min="6" max="6" width="7" bestFit="1" customWidth="1"/>
    <col min="7" max="7" width="6.85546875" bestFit="1" customWidth="1"/>
    <col min="8" max="8" width="17" style="101" bestFit="1" customWidth="1"/>
    <col min="9" max="9" width="5.85546875" bestFit="1" customWidth="1"/>
    <col min="10" max="10" width="16.28515625" bestFit="1" customWidth="1"/>
    <col min="11" max="11" width="40.5703125" bestFit="1" customWidth="1"/>
    <col min="12" max="12" width="9.140625" bestFit="1" customWidth="1"/>
    <col min="13" max="13" width="7.85546875" style="6" bestFit="1" customWidth="1"/>
    <col min="14" max="14" width="11.140625" bestFit="1" customWidth="1"/>
    <col min="15" max="15" width="14.7109375" bestFit="1" customWidth="1"/>
    <col min="16" max="16" width="16.42578125" bestFit="1" customWidth="1"/>
    <col min="17" max="17" width="9.28515625" bestFit="1" customWidth="1"/>
    <col min="18" max="18" width="9.7109375" bestFit="1" customWidth="1"/>
    <col min="19" max="19" width="10.7109375" bestFit="1" customWidth="1"/>
    <col min="20" max="20" width="19.7109375" bestFit="1" customWidth="1"/>
    <col min="21" max="21" width="12.42578125" style="27" bestFit="1" customWidth="1"/>
    <col min="22" max="22" width="9" bestFit="1" customWidth="1"/>
    <col min="23" max="24" width="8.140625" bestFit="1" customWidth="1"/>
  </cols>
  <sheetData>
    <row r="1" spans="1:23" x14ac:dyDescent="0.25">
      <c r="A1" t="s">
        <v>34</v>
      </c>
      <c r="B1" t="s">
        <v>441</v>
      </c>
      <c r="C1" s="6" t="s">
        <v>440</v>
      </c>
      <c r="D1" t="s">
        <v>65</v>
      </c>
      <c r="E1" s="101" t="s">
        <v>67</v>
      </c>
      <c r="F1" t="s">
        <v>36</v>
      </c>
      <c r="G1" t="s">
        <v>37</v>
      </c>
      <c r="H1" s="101" t="s">
        <v>68</v>
      </c>
      <c r="I1" t="s">
        <v>41</v>
      </c>
      <c r="J1" t="s">
        <v>69</v>
      </c>
      <c r="K1" s="6" t="s">
        <v>89</v>
      </c>
      <c r="L1" t="s">
        <v>90</v>
      </c>
      <c r="M1" s="6" t="s">
        <v>305</v>
      </c>
      <c r="N1" t="s">
        <v>306</v>
      </c>
      <c r="O1" t="s">
        <v>1163</v>
      </c>
      <c r="P1" t="s">
        <v>318</v>
      </c>
      <c r="Q1" t="s">
        <v>376</v>
      </c>
      <c r="R1" t="s">
        <v>561</v>
      </c>
      <c r="S1" t="s">
        <v>95</v>
      </c>
      <c r="T1" s="27" t="s">
        <v>100</v>
      </c>
      <c r="U1" t="s">
        <v>208</v>
      </c>
      <c r="V1" t="s">
        <v>302</v>
      </c>
      <c r="W1" t="s">
        <v>303</v>
      </c>
    </row>
    <row r="2" spans="1:23" x14ac:dyDescent="0.25">
      <c r="A2" t="s">
        <v>319</v>
      </c>
      <c r="B2" t="str">
        <f>CONCATENATE(Consulta1[[#This Row],[id]],Consulta1[[#This Row],[EMPREGADOR]])</f>
        <v>1AERONAUTICA 999</v>
      </c>
      <c r="C2" s="6">
        <f>IF(A2=A1,C1+1,1)</f>
        <v>1</v>
      </c>
      <c r="D2" t="s">
        <v>3502</v>
      </c>
      <c r="E2" s="101">
        <v>2.5000000000000001E-2</v>
      </c>
      <c r="F2" s="6">
        <v>96</v>
      </c>
      <c r="G2" t="s">
        <v>1349</v>
      </c>
      <c r="H2" s="82">
        <v>2.16</v>
      </c>
      <c r="I2">
        <v>10</v>
      </c>
      <c r="K2" t="s">
        <v>3503</v>
      </c>
      <c r="L2" s="6" t="s">
        <v>1471</v>
      </c>
      <c r="M2" s="6">
        <v>12</v>
      </c>
      <c r="N2" s="6">
        <v>2</v>
      </c>
      <c r="O2">
        <v>500</v>
      </c>
      <c r="P2">
        <v>202605</v>
      </c>
      <c r="Q2" t="s">
        <v>377</v>
      </c>
      <c r="R2" t="s">
        <v>1350</v>
      </c>
      <c r="S2">
        <f>Consulta1[[#This Row],[min_port]]/100</f>
        <v>1.34E-2</v>
      </c>
      <c r="T2" s="252">
        <f>Consulta1[[#This Row],[TETO_COMERCIAL]]/100</f>
        <v>2.1600000000000001E-2</v>
      </c>
      <c r="U2" t="b">
        <f>Consulta1[[#This Row],[TETO_COMERCIAL_%]]=Consulta1[[#This Row],[TAXA]]</f>
        <v>0</v>
      </c>
      <c r="V2" t="str">
        <f>CONCATENATE(Consulta1[[#This Row],[MES_ALTERACAO]],Consulta1[[#This Row],[VIRADA]])</f>
        <v>20260512</v>
      </c>
      <c r="W2">
        <f>VLOOKUP(Consulta1[[#This Row],[Coluna2]],CALENDARIO!$J:$K,2,FALSE)</f>
        <v>7</v>
      </c>
    </row>
    <row r="3" spans="1:23" x14ac:dyDescent="0.25">
      <c r="A3" t="s">
        <v>319</v>
      </c>
      <c r="B3" t="str">
        <f>CONCATENATE(Consulta1[[#This Row],[id]],Consulta1[[#This Row],[EMPREGADOR]])</f>
        <v>2AERONAUTICA 999</v>
      </c>
      <c r="C3" s="6">
        <f>IF(A3=A2,C2+1,1)</f>
        <v>2</v>
      </c>
      <c r="D3" t="s">
        <v>3504</v>
      </c>
      <c r="E3" s="101">
        <v>0.02</v>
      </c>
      <c r="F3" s="6">
        <v>96</v>
      </c>
      <c r="G3" t="s">
        <v>1349</v>
      </c>
      <c r="H3" s="82">
        <v>2.16</v>
      </c>
      <c r="I3">
        <v>10</v>
      </c>
      <c r="J3">
        <v>44</v>
      </c>
      <c r="K3" t="s">
        <v>3505</v>
      </c>
      <c r="L3" s="6" t="s">
        <v>1471</v>
      </c>
      <c r="M3" s="6">
        <v>12</v>
      </c>
      <c r="N3" s="6">
        <v>2</v>
      </c>
      <c r="O3">
        <v>500</v>
      </c>
      <c r="P3">
        <v>202605</v>
      </c>
      <c r="Q3" t="s">
        <v>377</v>
      </c>
      <c r="R3" t="s">
        <v>1350</v>
      </c>
      <c r="S3">
        <f>Consulta1[[#This Row],[min_port]]/100</f>
        <v>1.34E-2</v>
      </c>
      <c r="T3" s="252">
        <f>Consulta1[[#This Row],[TETO_COMERCIAL]]/100</f>
        <v>2.1600000000000001E-2</v>
      </c>
      <c r="U3" t="b">
        <f>Consulta1[[#This Row],[TETO_COMERCIAL_%]]=Consulta1[[#This Row],[TAXA]]</f>
        <v>0</v>
      </c>
      <c r="V3" t="str">
        <f>CONCATENATE(Consulta1[[#This Row],[MES_ALTERACAO]],Consulta1[[#This Row],[VIRADA]])</f>
        <v>20260512</v>
      </c>
      <c r="W3">
        <f>VLOOKUP(Consulta1[[#This Row],[Coluna2]],CALENDARIO!$J:$K,2,FALSE)</f>
        <v>7</v>
      </c>
    </row>
    <row r="4" spans="1:23" x14ac:dyDescent="0.25">
      <c r="A4" t="s">
        <v>319</v>
      </c>
      <c r="B4" t="str">
        <f>CONCATENATE(Consulta1[[#This Row],[id]],Consulta1[[#This Row],[EMPREGADOR]])</f>
        <v>3AERONAUTICA 999</v>
      </c>
      <c r="C4" s="6">
        <f>IF(A4=A3,C3+1,1)</f>
        <v>3</v>
      </c>
      <c r="D4" t="s">
        <v>3506</v>
      </c>
      <c r="E4" s="101">
        <v>1.9599999999999999E-2</v>
      </c>
      <c r="F4" s="6">
        <v>96</v>
      </c>
      <c r="G4" t="s">
        <v>1349</v>
      </c>
      <c r="H4" s="82">
        <v>2.16</v>
      </c>
      <c r="I4">
        <v>10</v>
      </c>
      <c r="J4">
        <v>47</v>
      </c>
      <c r="K4" t="s">
        <v>3507</v>
      </c>
      <c r="L4" s="6" t="s">
        <v>1471</v>
      </c>
      <c r="M4" s="6">
        <v>12</v>
      </c>
      <c r="N4" s="6">
        <v>2</v>
      </c>
      <c r="O4">
        <v>500</v>
      </c>
      <c r="P4">
        <v>202605</v>
      </c>
      <c r="Q4" t="s">
        <v>377</v>
      </c>
      <c r="R4" t="s">
        <v>1350</v>
      </c>
      <c r="S4">
        <f>Consulta1[[#This Row],[min_port]]/100</f>
        <v>1.34E-2</v>
      </c>
      <c r="T4" s="252">
        <f>Consulta1[[#This Row],[TETO_COMERCIAL]]/100</f>
        <v>2.1600000000000001E-2</v>
      </c>
      <c r="U4" t="b">
        <f>Consulta1[[#This Row],[TETO_COMERCIAL_%]]=Consulta1[[#This Row],[TAXA]]</f>
        <v>0</v>
      </c>
      <c r="V4" t="str">
        <f>CONCATENATE(Consulta1[[#This Row],[MES_ALTERACAO]],Consulta1[[#This Row],[VIRADA]])</f>
        <v>20260512</v>
      </c>
      <c r="W4">
        <f>VLOOKUP(Consulta1[[#This Row],[Coluna2]],CALENDARIO!$J:$K,2,FALSE)</f>
        <v>7</v>
      </c>
    </row>
    <row r="5" spans="1:23" x14ac:dyDescent="0.25">
      <c r="A5" t="s">
        <v>319</v>
      </c>
      <c r="B5" t="str">
        <f>CONCATENATE(Consulta1[[#This Row],[id]],Consulta1[[#This Row],[EMPREGADOR]])</f>
        <v>4AERONAUTICA 999</v>
      </c>
      <c r="C5" s="6">
        <f>IF(A5=A4,C4+1,1)</f>
        <v>4</v>
      </c>
      <c r="D5" t="s">
        <v>3508</v>
      </c>
      <c r="E5" s="101">
        <v>1.9199999999999998E-2</v>
      </c>
      <c r="F5" s="6">
        <v>96</v>
      </c>
      <c r="G5" t="s">
        <v>1349</v>
      </c>
      <c r="H5" s="82">
        <v>2.16</v>
      </c>
      <c r="I5">
        <v>10</v>
      </c>
      <c r="J5">
        <v>49</v>
      </c>
      <c r="K5" t="s">
        <v>3509</v>
      </c>
      <c r="L5" s="6" t="s">
        <v>1471</v>
      </c>
      <c r="M5" s="6">
        <v>12</v>
      </c>
      <c r="N5" s="6">
        <v>2</v>
      </c>
      <c r="O5">
        <v>500</v>
      </c>
      <c r="P5">
        <v>202605</v>
      </c>
      <c r="Q5" t="s">
        <v>377</v>
      </c>
      <c r="R5" t="s">
        <v>1350</v>
      </c>
      <c r="S5">
        <f>Consulta1[[#This Row],[min_port]]/100</f>
        <v>1.34E-2</v>
      </c>
      <c r="T5" s="252">
        <f>Consulta1[[#This Row],[TETO_COMERCIAL]]/100</f>
        <v>2.1600000000000001E-2</v>
      </c>
      <c r="U5" t="b">
        <f>Consulta1[[#This Row],[TETO_COMERCIAL_%]]=Consulta1[[#This Row],[TAXA]]</f>
        <v>0</v>
      </c>
      <c r="V5" t="str">
        <f>CONCATENATE(Consulta1[[#This Row],[MES_ALTERACAO]],Consulta1[[#This Row],[VIRADA]])</f>
        <v>20260512</v>
      </c>
      <c r="W5">
        <f>VLOOKUP(Consulta1[[#This Row],[Coluna2]],CALENDARIO!$J:$K,2,FALSE)</f>
        <v>7</v>
      </c>
    </row>
    <row r="6" spans="1:23" x14ac:dyDescent="0.25">
      <c r="A6" t="s">
        <v>319</v>
      </c>
      <c r="B6" t="str">
        <f>CONCATENATE(Consulta1[[#This Row],[id]],Consulta1[[#This Row],[EMPREGADOR]])</f>
        <v>5AERONAUTICA 999</v>
      </c>
      <c r="C6" s="6">
        <f>IF(A6=A5,C5+1,1)</f>
        <v>5</v>
      </c>
      <c r="D6" t="s">
        <v>3510</v>
      </c>
      <c r="E6" s="101">
        <v>1.8799999999999997E-2</v>
      </c>
      <c r="F6" s="6">
        <v>96</v>
      </c>
      <c r="G6" t="s">
        <v>1349</v>
      </c>
      <c r="H6" s="82">
        <v>2.16</v>
      </c>
      <c r="I6">
        <v>10</v>
      </c>
      <c r="J6">
        <v>43</v>
      </c>
      <c r="K6" t="s">
        <v>3511</v>
      </c>
      <c r="L6" s="6" t="s">
        <v>1471</v>
      </c>
      <c r="M6" s="6">
        <v>12</v>
      </c>
      <c r="N6" s="6">
        <v>2</v>
      </c>
      <c r="O6">
        <v>500</v>
      </c>
      <c r="P6">
        <v>202605</v>
      </c>
      <c r="Q6" t="s">
        <v>377</v>
      </c>
      <c r="R6" t="s">
        <v>1350</v>
      </c>
      <c r="S6">
        <f>Consulta1[[#This Row],[min_port]]/100</f>
        <v>1.34E-2</v>
      </c>
      <c r="T6" s="252">
        <f>Consulta1[[#This Row],[TETO_COMERCIAL]]/100</f>
        <v>2.1600000000000001E-2</v>
      </c>
      <c r="U6" t="b">
        <f>Consulta1[[#This Row],[TETO_COMERCIAL_%]]=Consulta1[[#This Row],[TAXA]]</f>
        <v>0</v>
      </c>
      <c r="V6" t="str">
        <f>CONCATENATE(Consulta1[[#This Row],[MES_ALTERACAO]],Consulta1[[#This Row],[VIRADA]])</f>
        <v>20260512</v>
      </c>
      <c r="W6">
        <f>VLOOKUP(Consulta1[[#This Row],[Coluna2]],CALENDARIO!$J:$K,2,FALSE)</f>
        <v>7</v>
      </c>
    </row>
    <row r="7" spans="1:23" x14ac:dyDescent="0.25">
      <c r="A7" t="s">
        <v>319</v>
      </c>
      <c r="B7" t="str">
        <f>CONCATENATE(Consulta1[[#This Row],[id]],Consulta1[[#This Row],[EMPREGADOR]])</f>
        <v>6AERONAUTICA 999</v>
      </c>
      <c r="C7" s="6">
        <f>IF(A7=A6,C6+1,1)</f>
        <v>6</v>
      </c>
      <c r="D7" t="s">
        <v>3512</v>
      </c>
      <c r="E7" s="101">
        <v>1.84E-2</v>
      </c>
      <c r="F7" s="6">
        <v>96</v>
      </c>
      <c r="G7" t="s">
        <v>1349</v>
      </c>
      <c r="H7" s="82">
        <v>2.16</v>
      </c>
      <c r="I7">
        <v>10</v>
      </c>
      <c r="J7">
        <v>44</v>
      </c>
      <c r="K7" t="s">
        <v>3513</v>
      </c>
      <c r="L7" s="6" t="s">
        <v>1471</v>
      </c>
      <c r="M7" s="6">
        <v>12</v>
      </c>
      <c r="N7" s="6">
        <v>2</v>
      </c>
      <c r="O7">
        <v>500</v>
      </c>
      <c r="P7">
        <v>202605</v>
      </c>
      <c r="Q7" t="s">
        <v>377</v>
      </c>
      <c r="R7" t="s">
        <v>1350</v>
      </c>
      <c r="S7">
        <f>Consulta1[[#This Row],[min_port]]/100</f>
        <v>1.34E-2</v>
      </c>
      <c r="T7" s="252">
        <f>Consulta1[[#This Row],[TETO_COMERCIAL]]/100</f>
        <v>2.1600000000000001E-2</v>
      </c>
      <c r="U7" t="b">
        <f>Consulta1[[#This Row],[TETO_COMERCIAL_%]]=Consulta1[[#This Row],[TAXA]]</f>
        <v>0</v>
      </c>
      <c r="V7" t="str">
        <f>CONCATENATE(Consulta1[[#This Row],[MES_ALTERACAO]],Consulta1[[#This Row],[VIRADA]])</f>
        <v>20260512</v>
      </c>
      <c r="W7">
        <f>VLOOKUP(Consulta1[[#This Row],[Coluna2]],CALENDARIO!$J:$K,2,FALSE)</f>
        <v>7</v>
      </c>
    </row>
    <row r="8" spans="1:23" x14ac:dyDescent="0.25">
      <c r="A8" t="s">
        <v>319</v>
      </c>
      <c r="B8" t="str">
        <f>CONCATENATE(Consulta1[[#This Row],[id]],Consulta1[[#This Row],[EMPREGADOR]])</f>
        <v>7AERONAUTICA 999</v>
      </c>
      <c r="C8" s="6">
        <f>IF(A8=A7,C7+1,1)</f>
        <v>7</v>
      </c>
      <c r="D8" t="s">
        <v>3514</v>
      </c>
      <c r="E8" s="101">
        <v>1.8000000000000002E-2</v>
      </c>
      <c r="F8" s="6">
        <v>96</v>
      </c>
      <c r="G8" t="s">
        <v>1349</v>
      </c>
      <c r="H8" s="82">
        <v>2.16</v>
      </c>
      <c r="I8">
        <v>10</v>
      </c>
      <c r="J8">
        <v>44</v>
      </c>
      <c r="K8" t="s">
        <v>3515</v>
      </c>
      <c r="L8" s="6" t="s">
        <v>1471</v>
      </c>
      <c r="M8" s="6">
        <v>12</v>
      </c>
      <c r="N8" s="6">
        <v>2</v>
      </c>
      <c r="O8">
        <v>500</v>
      </c>
      <c r="P8">
        <v>202605</v>
      </c>
      <c r="Q8" t="s">
        <v>377</v>
      </c>
      <c r="R8" t="s">
        <v>1350</v>
      </c>
      <c r="S8">
        <f>Consulta1[[#This Row],[min_port]]/100</f>
        <v>1.34E-2</v>
      </c>
      <c r="T8" s="252">
        <f>Consulta1[[#This Row],[TETO_COMERCIAL]]/100</f>
        <v>2.1600000000000001E-2</v>
      </c>
      <c r="U8" t="b">
        <f>Consulta1[[#This Row],[TETO_COMERCIAL_%]]=Consulta1[[#This Row],[TAXA]]</f>
        <v>0</v>
      </c>
      <c r="V8" t="str">
        <f>CONCATENATE(Consulta1[[#This Row],[MES_ALTERACAO]],Consulta1[[#This Row],[VIRADA]])</f>
        <v>20260512</v>
      </c>
      <c r="W8">
        <f>VLOOKUP(Consulta1[[#This Row],[Coluna2]],CALENDARIO!$J:$K,2,FALSE)</f>
        <v>7</v>
      </c>
    </row>
    <row r="9" spans="1:23" x14ac:dyDescent="0.25">
      <c r="A9" t="s">
        <v>319</v>
      </c>
      <c r="B9" t="str">
        <f>CONCATENATE(Consulta1[[#This Row],[id]],Consulta1[[#This Row],[EMPREGADOR]])</f>
        <v>8AERONAUTICA 999</v>
      </c>
      <c r="C9" s="6">
        <f>IF(A9=A8,C8+1,1)</f>
        <v>8</v>
      </c>
      <c r="D9" t="s">
        <v>3516</v>
      </c>
      <c r="E9" s="101">
        <v>1.7600000000000001E-2</v>
      </c>
      <c r="F9" s="6">
        <v>96</v>
      </c>
      <c r="G9" t="s">
        <v>1349</v>
      </c>
      <c r="H9" s="82">
        <v>2.16</v>
      </c>
      <c r="I9">
        <v>10</v>
      </c>
      <c r="J9">
        <v>42</v>
      </c>
      <c r="K9" t="s">
        <v>3517</v>
      </c>
      <c r="L9" s="6" t="s">
        <v>1471</v>
      </c>
      <c r="M9" s="6">
        <v>12</v>
      </c>
      <c r="N9" s="6">
        <v>2</v>
      </c>
      <c r="O9">
        <v>500</v>
      </c>
      <c r="P9">
        <v>202605</v>
      </c>
      <c r="Q9" t="s">
        <v>377</v>
      </c>
      <c r="R9" t="s">
        <v>1350</v>
      </c>
      <c r="S9">
        <f>Consulta1[[#This Row],[min_port]]/100</f>
        <v>1.34E-2</v>
      </c>
      <c r="T9" s="252">
        <f>Consulta1[[#This Row],[TETO_COMERCIAL]]/100</f>
        <v>2.1600000000000001E-2</v>
      </c>
      <c r="U9" t="b">
        <f>Consulta1[[#This Row],[TETO_COMERCIAL_%]]=Consulta1[[#This Row],[TAXA]]</f>
        <v>0</v>
      </c>
      <c r="V9" t="str">
        <f>CONCATENATE(Consulta1[[#This Row],[MES_ALTERACAO]],Consulta1[[#This Row],[VIRADA]])</f>
        <v>20260512</v>
      </c>
      <c r="W9">
        <f>VLOOKUP(Consulta1[[#This Row],[Coluna2]],CALENDARIO!$J:$K,2,FALSE)</f>
        <v>7</v>
      </c>
    </row>
    <row r="10" spans="1:23" x14ac:dyDescent="0.25">
      <c r="A10" t="s">
        <v>319</v>
      </c>
      <c r="B10" t="str">
        <f>CONCATENATE(Consulta1[[#This Row],[id]],Consulta1[[#This Row],[EMPREGADOR]])</f>
        <v>9AERONAUTICA 999</v>
      </c>
      <c r="C10" s="6">
        <f>IF(A10=A9,C9+1,1)</f>
        <v>9</v>
      </c>
      <c r="D10" t="s">
        <v>3518</v>
      </c>
      <c r="E10" s="101">
        <v>1.72E-2</v>
      </c>
      <c r="F10" s="6">
        <v>96</v>
      </c>
      <c r="G10" t="s">
        <v>1349</v>
      </c>
      <c r="H10" s="82">
        <v>2.16</v>
      </c>
      <c r="I10">
        <v>10</v>
      </c>
      <c r="J10">
        <v>44</v>
      </c>
      <c r="K10" t="s">
        <v>3519</v>
      </c>
      <c r="L10" s="6" t="s">
        <v>1471</v>
      </c>
      <c r="M10" s="6">
        <v>12</v>
      </c>
      <c r="N10" s="6">
        <v>2</v>
      </c>
      <c r="O10">
        <v>500</v>
      </c>
      <c r="P10">
        <v>202605</v>
      </c>
      <c r="Q10" t="s">
        <v>377</v>
      </c>
      <c r="R10" t="s">
        <v>1350</v>
      </c>
      <c r="S10">
        <f>Consulta1[[#This Row],[min_port]]/100</f>
        <v>1.34E-2</v>
      </c>
      <c r="T10" s="252">
        <f>Consulta1[[#This Row],[TETO_COMERCIAL]]/100</f>
        <v>2.1600000000000001E-2</v>
      </c>
      <c r="U10" t="b">
        <f>Consulta1[[#This Row],[TETO_COMERCIAL_%]]=Consulta1[[#This Row],[TAXA]]</f>
        <v>0</v>
      </c>
      <c r="V10" t="str">
        <f>CONCATENATE(Consulta1[[#This Row],[MES_ALTERACAO]],Consulta1[[#This Row],[VIRADA]])</f>
        <v>20260512</v>
      </c>
      <c r="W10">
        <f>VLOOKUP(Consulta1[[#This Row],[Coluna2]],CALENDARIO!$J:$K,2,FALSE)</f>
        <v>7</v>
      </c>
    </row>
    <row r="11" spans="1:23" x14ac:dyDescent="0.25">
      <c r="A11" t="s">
        <v>319</v>
      </c>
      <c r="B11" t="str">
        <f>CONCATENATE(Consulta1[[#This Row],[id]],Consulta1[[#This Row],[EMPREGADOR]])</f>
        <v>10AERONAUTICA 999</v>
      </c>
      <c r="C11" s="6">
        <f>IF(A11=A10,C10+1,1)</f>
        <v>10</v>
      </c>
      <c r="D11" t="s">
        <v>3520</v>
      </c>
      <c r="E11" s="101">
        <v>1.6799999999999999E-2</v>
      </c>
      <c r="F11" s="6">
        <v>96</v>
      </c>
      <c r="G11" t="s">
        <v>1349</v>
      </c>
      <c r="H11" s="82">
        <v>2.16</v>
      </c>
      <c r="I11">
        <v>10</v>
      </c>
      <c r="J11">
        <v>42</v>
      </c>
      <c r="K11" t="s">
        <v>3521</v>
      </c>
      <c r="L11" s="6" t="s">
        <v>1471</v>
      </c>
      <c r="M11" s="6">
        <v>12</v>
      </c>
      <c r="N11" s="6">
        <v>2</v>
      </c>
      <c r="O11">
        <v>500</v>
      </c>
      <c r="P11">
        <v>202605</v>
      </c>
      <c r="Q11" t="s">
        <v>377</v>
      </c>
      <c r="R11" t="s">
        <v>1350</v>
      </c>
      <c r="S11">
        <f>Consulta1[[#This Row],[min_port]]/100</f>
        <v>1.34E-2</v>
      </c>
      <c r="T11" s="252">
        <f>Consulta1[[#This Row],[TETO_COMERCIAL]]/100</f>
        <v>2.1600000000000001E-2</v>
      </c>
      <c r="U11" t="b">
        <f>Consulta1[[#This Row],[TETO_COMERCIAL_%]]=Consulta1[[#This Row],[TAXA]]</f>
        <v>0</v>
      </c>
      <c r="V11" t="str">
        <f>CONCATENATE(Consulta1[[#This Row],[MES_ALTERACAO]],Consulta1[[#This Row],[VIRADA]])</f>
        <v>20260512</v>
      </c>
      <c r="W11">
        <f>VLOOKUP(Consulta1[[#This Row],[Coluna2]],CALENDARIO!$J:$K,2,FALSE)</f>
        <v>7</v>
      </c>
    </row>
    <row r="12" spans="1:23" x14ac:dyDescent="0.25">
      <c r="A12" t="s">
        <v>319</v>
      </c>
      <c r="B12" t="str">
        <f>CONCATENATE(Consulta1[[#This Row],[id]],Consulta1[[#This Row],[EMPREGADOR]])</f>
        <v>11AERONAUTICA 999</v>
      </c>
      <c r="C12" s="6">
        <f>IF(A12=A11,C11+1,1)</f>
        <v>11</v>
      </c>
      <c r="D12" t="s">
        <v>3522</v>
      </c>
      <c r="E12" s="101">
        <v>1.6399999999999998E-2</v>
      </c>
      <c r="F12" s="6">
        <v>96</v>
      </c>
      <c r="G12" t="s">
        <v>1349</v>
      </c>
      <c r="H12" s="82">
        <v>2.16</v>
      </c>
      <c r="I12">
        <v>10</v>
      </c>
      <c r="J12">
        <v>42</v>
      </c>
      <c r="K12" t="s">
        <v>3523</v>
      </c>
      <c r="L12" s="6" t="s">
        <v>1471</v>
      </c>
      <c r="M12" s="6">
        <v>12</v>
      </c>
      <c r="N12" s="6">
        <v>2</v>
      </c>
      <c r="O12">
        <v>500</v>
      </c>
      <c r="P12">
        <v>202605</v>
      </c>
      <c r="Q12" t="s">
        <v>377</v>
      </c>
      <c r="R12" t="s">
        <v>1350</v>
      </c>
      <c r="S12">
        <f>Consulta1[[#This Row],[min_port]]/100</f>
        <v>1.34E-2</v>
      </c>
      <c r="T12" s="252">
        <f>Consulta1[[#This Row],[TETO_COMERCIAL]]/100</f>
        <v>2.1600000000000001E-2</v>
      </c>
      <c r="U12" t="b">
        <f>Consulta1[[#This Row],[TETO_COMERCIAL_%]]=Consulta1[[#This Row],[TAXA]]</f>
        <v>0</v>
      </c>
      <c r="V12" t="str">
        <f>CONCATENATE(Consulta1[[#This Row],[MES_ALTERACAO]],Consulta1[[#This Row],[VIRADA]])</f>
        <v>20260512</v>
      </c>
      <c r="W12">
        <f>VLOOKUP(Consulta1[[#This Row],[Coluna2]],CALENDARIO!$J:$K,2,FALSE)</f>
        <v>7</v>
      </c>
    </row>
    <row r="13" spans="1:23" x14ac:dyDescent="0.25">
      <c r="A13" t="s">
        <v>319</v>
      </c>
      <c r="B13" t="str">
        <f>CONCATENATE(Consulta1[[#This Row],[id]],Consulta1[[#This Row],[EMPREGADOR]])</f>
        <v>12AERONAUTICA 999</v>
      </c>
      <c r="C13" s="6">
        <f>IF(A13=A12,C12+1,1)</f>
        <v>12</v>
      </c>
      <c r="D13" t="s">
        <v>3674</v>
      </c>
      <c r="E13" s="101">
        <v>1.61E-2</v>
      </c>
      <c r="F13" s="6">
        <v>96</v>
      </c>
      <c r="G13" t="s">
        <v>1349</v>
      </c>
      <c r="H13" s="82">
        <v>2.16</v>
      </c>
      <c r="I13">
        <v>10</v>
      </c>
      <c r="J13">
        <v>55</v>
      </c>
      <c r="K13" t="s">
        <v>3752</v>
      </c>
      <c r="L13" s="6" t="s">
        <v>1471</v>
      </c>
      <c r="M13" s="6">
        <v>12</v>
      </c>
      <c r="N13" s="6">
        <v>2</v>
      </c>
      <c r="O13">
        <v>500</v>
      </c>
      <c r="P13">
        <v>202605</v>
      </c>
      <c r="Q13" t="s">
        <v>377</v>
      </c>
      <c r="R13" t="s">
        <v>1350</v>
      </c>
      <c r="S13">
        <f>Consulta1[[#This Row],[min_port]]/100</f>
        <v>1.34E-2</v>
      </c>
      <c r="T13" s="252">
        <f>Consulta1[[#This Row],[TETO_COMERCIAL]]/100</f>
        <v>2.1600000000000001E-2</v>
      </c>
      <c r="U13" t="b">
        <f>Consulta1[[#This Row],[TETO_COMERCIAL_%]]=Consulta1[[#This Row],[TAXA]]</f>
        <v>0</v>
      </c>
      <c r="V13" t="str">
        <f>CONCATENATE(Consulta1[[#This Row],[MES_ALTERACAO]],Consulta1[[#This Row],[VIRADA]])</f>
        <v>20260512</v>
      </c>
      <c r="W13">
        <f>VLOOKUP(Consulta1[[#This Row],[Coluna2]],CALENDARIO!$J:$K,2,FALSE)</f>
        <v>7</v>
      </c>
    </row>
    <row r="14" spans="1:23" x14ac:dyDescent="0.25">
      <c r="A14" t="s">
        <v>319</v>
      </c>
      <c r="B14" t="str">
        <f>CONCATENATE(Consulta1[[#This Row],[id]],Consulta1[[#This Row],[EMPREGADOR]])</f>
        <v>13AERONAUTICA 999</v>
      </c>
      <c r="C14" s="6">
        <f>IF(A14=A13,C13+1,1)</f>
        <v>13</v>
      </c>
      <c r="D14" t="s">
        <v>3524</v>
      </c>
      <c r="E14" s="101">
        <v>1.61E-2</v>
      </c>
      <c r="F14" s="6">
        <v>96</v>
      </c>
      <c r="G14" t="s">
        <v>1349</v>
      </c>
      <c r="H14" s="82">
        <v>2.16</v>
      </c>
      <c r="I14">
        <v>10</v>
      </c>
      <c r="J14">
        <v>42</v>
      </c>
      <c r="K14" t="s">
        <v>3525</v>
      </c>
      <c r="L14" s="6" t="s">
        <v>1471</v>
      </c>
      <c r="M14" s="6">
        <v>12</v>
      </c>
      <c r="N14" s="6">
        <v>2</v>
      </c>
      <c r="O14">
        <v>500</v>
      </c>
      <c r="P14">
        <v>202605</v>
      </c>
      <c r="Q14" t="s">
        <v>377</v>
      </c>
      <c r="R14" t="s">
        <v>1350</v>
      </c>
      <c r="S14">
        <f>Consulta1[[#This Row],[min_port]]/100</f>
        <v>1.34E-2</v>
      </c>
      <c r="T14" s="252">
        <f>Consulta1[[#This Row],[TETO_COMERCIAL]]/100</f>
        <v>2.1600000000000001E-2</v>
      </c>
      <c r="U14" t="b">
        <f>Consulta1[[#This Row],[TETO_COMERCIAL_%]]=Consulta1[[#This Row],[TAXA]]</f>
        <v>0</v>
      </c>
      <c r="V14" t="str">
        <f>CONCATENATE(Consulta1[[#This Row],[MES_ALTERACAO]],Consulta1[[#This Row],[VIRADA]])</f>
        <v>20260512</v>
      </c>
      <c r="W14">
        <f>VLOOKUP(Consulta1[[#This Row],[Coluna2]],CALENDARIO!$J:$K,2,FALSE)</f>
        <v>7</v>
      </c>
    </row>
    <row r="15" spans="1:23" x14ac:dyDescent="0.25">
      <c r="A15" t="s">
        <v>213</v>
      </c>
      <c r="B15" t="str">
        <f>CONCATENATE(Consulta1[[#This Row],[id]],Consulta1[[#This Row],[EMPREGADOR]])</f>
        <v>1AMAZONPREV-AOL</v>
      </c>
      <c r="C15" s="6">
        <f>IF(A15=A14,C14+1,1)</f>
        <v>1</v>
      </c>
      <c r="D15" t="s">
        <v>71</v>
      </c>
      <c r="E15" s="101">
        <v>2.5000000000000001E-2</v>
      </c>
      <c r="F15" s="6">
        <v>120</v>
      </c>
      <c r="G15" t="s">
        <v>1349</v>
      </c>
      <c r="H15" s="82">
        <v>2.5</v>
      </c>
      <c r="I15">
        <v>10</v>
      </c>
      <c r="J15">
        <v>56</v>
      </c>
      <c r="K15" t="s">
        <v>1351</v>
      </c>
      <c r="L15" s="6" t="s">
        <v>2934</v>
      </c>
      <c r="M15" s="6">
        <v>30</v>
      </c>
      <c r="N15" s="6">
        <v>2</v>
      </c>
      <c r="O15">
        <v>500</v>
      </c>
      <c r="P15">
        <v>202605</v>
      </c>
      <c r="Q15" t="s">
        <v>378</v>
      </c>
      <c r="R15" t="s">
        <v>1353</v>
      </c>
      <c r="S15">
        <f>Consulta1[[#This Row],[min_port]]/100</f>
        <v>1.6399999999999998E-2</v>
      </c>
      <c r="T15" s="252">
        <f>Consulta1[[#This Row],[TETO_COMERCIAL]]/100</f>
        <v>2.5000000000000001E-2</v>
      </c>
      <c r="U15" t="b">
        <f>Consulta1[[#This Row],[TETO_COMERCIAL_%]]=Consulta1[[#This Row],[TAXA]]</f>
        <v>1</v>
      </c>
      <c r="V15" t="str">
        <f>CONCATENATE(Consulta1[[#This Row],[MES_ALTERACAO]],Consulta1[[#This Row],[VIRADA]])</f>
        <v>20260530</v>
      </c>
      <c r="W15">
        <f>VLOOKUP(Consulta1[[#This Row],[Coluna2]],CALENDARIO!$J:$K,2,FALSE)</f>
        <v>20</v>
      </c>
    </row>
    <row r="16" spans="1:23" x14ac:dyDescent="0.25">
      <c r="A16" t="s">
        <v>213</v>
      </c>
      <c r="B16" t="str">
        <f>CONCATENATE(Consulta1[[#This Row],[id]],Consulta1[[#This Row],[EMPREGADOR]])</f>
        <v>2AMAZONPREV-AOL</v>
      </c>
      <c r="C16" s="6">
        <f>IF(A16=A15,C15+1,1)</f>
        <v>2</v>
      </c>
      <c r="D16" t="s">
        <v>320</v>
      </c>
      <c r="E16" s="101">
        <v>2.4E-2</v>
      </c>
      <c r="F16" s="6">
        <v>120</v>
      </c>
      <c r="G16" t="s">
        <v>1349</v>
      </c>
      <c r="H16" s="82">
        <v>2.5</v>
      </c>
      <c r="I16">
        <v>10</v>
      </c>
      <c r="J16">
        <v>55</v>
      </c>
      <c r="K16" t="s">
        <v>1354</v>
      </c>
      <c r="L16" s="6" t="s">
        <v>2934</v>
      </c>
      <c r="M16" s="6">
        <v>30</v>
      </c>
      <c r="N16" s="6">
        <v>2</v>
      </c>
      <c r="O16">
        <v>500</v>
      </c>
      <c r="P16">
        <v>202605</v>
      </c>
      <c r="Q16" t="s">
        <v>378</v>
      </c>
      <c r="R16" t="s">
        <v>1353</v>
      </c>
      <c r="S16">
        <f>Consulta1[[#This Row],[min_port]]/100</f>
        <v>1.6399999999999998E-2</v>
      </c>
      <c r="T16" s="252">
        <f>Consulta1[[#This Row],[TETO_COMERCIAL]]/100</f>
        <v>2.5000000000000001E-2</v>
      </c>
      <c r="U16" t="b">
        <f>Consulta1[[#This Row],[TETO_COMERCIAL_%]]=Consulta1[[#This Row],[TAXA]]</f>
        <v>0</v>
      </c>
      <c r="V16" t="str">
        <f>CONCATENATE(Consulta1[[#This Row],[MES_ALTERACAO]],Consulta1[[#This Row],[VIRADA]])</f>
        <v>20260530</v>
      </c>
      <c r="W16">
        <f>VLOOKUP(Consulta1[[#This Row],[Coluna2]],CALENDARIO!$J:$K,2,FALSE)</f>
        <v>20</v>
      </c>
    </row>
    <row r="17" spans="1:23" x14ac:dyDescent="0.25">
      <c r="A17" t="s">
        <v>213</v>
      </c>
      <c r="B17" t="str">
        <f>CONCATENATE(Consulta1[[#This Row],[id]],Consulta1[[#This Row],[EMPREGADOR]])</f>
        <v>3AMAZONPREV-AOL</v>
      </c>
      <c r="C17" s="6">
        <f>IF(A17=A16,C16+1,1)</f>
        <v>3</v>
      </c>
      <c r="D17" t="s">
        <v>2935</v>
      </c>
      <c r="E17" s="101">
        <v>2.3E-2</v>
      </c>
      <c r="F17" s="6">
        <v>120</v>
      </c>
      <c r="G17" t="s">
        <v>1349</v>
      </c>
      <c r="H17" s="82">
        <v>2.5</v>
      </c>
      <c r="I17">
        <v>10</v>
      </c>
      <c r="J17">
        <v>56</v>
      </c>
      <c r="K17" t="s">
        <v>2936</v>
      </c>
      <c r="L17" s="6" t="s">
        <v>2934</v>
      </c>
      <c r="M17" s="6">
        <v>30</v>
      </c>
      <c r="N17" s="6">
        <v>2</v>
      </c>
      <c r="O17">
        <v>500</v>
      </c>
      <c r="P17">
        <v>202605</v>
      </c>
      <c r="Q17" t="s">
        <v>378</v>
      </c>
      <c r="R17" t="s">
        <v>1353</v>
      </c>
      <c r="S17">
        <f>Consulta1[[#This Row],[min_port]]/100</f>
        <v>1.6399999999999998E-2</v>
      </c>
      <c r="T17" s="252">
        <f>Consulta1[[#This Row],[TETO_COMERCIAL]]/100</f>
        <v>2.5000000000000001E-2</v>
      </c>
      <c r="U17" t="b">
        <f>Consulta1[[#This Row],[TETO_COMERCIAL_%]]=Consulta1[[#This Row],[TAXA]]</f>
        <v>0</v>
      </c>
      <c r="V17" t="str">
        <f>CONCATENATE(Consulta1[[#This Row],[MES_ALTERACAO]],Consulta1[[#This Row],[VIRADA]])</f>
        <v>20260530</v>
      </c>
      <c r="W17">
        <f>VLOOKUP(Consulta1[[#This Row],[Coluna2]],CALENDARIO!$J:$K,2,FALSE)</f>
        <v>20</v>
      </c>
    </row>
    <row r="18" spans="1:23" x14ac:dyDescent="0.25">
      <c r="A18" t="s">
        <v>213</v>
      </c>
      <c r="B18" t="str">
        <f>CONCATENATE(Consulta1[[#This Row],[id]],Consulta1[[#This Row],[EMPREGADOR]])</f>
        <v>4AMAZONPREV-AOL</v>
      </c>
      <c r="C18" s="6">
        <f>IF(A18=A17,C17+1,1)</f>
        <v>4</v>
      </c>
      <c r="D18" t="s">
        <v>2937</v>
      </c>
      <c r="E18" s="101">
        <v>2.2000000000000002E-2</v>
      </c>
      <c r="F18" s="6">
        <v>120</v>
      </c>
      <c r="G18" t="s">
        <v>1349</v>
      </c>
      <c r="H18" s="82">
        <v>2.5</v>
      </c>
      <c r="I18">
        <v>10</v>
      </c>
      <c r="J18">
        <v>55</v>
      </c>
      <c r="K18" t="s">
        <v>2938</v>
      </c>
      <c r="L18" s="6" t="s">
        <v>2934</v>
      </c>
      <c r="M18" s="6">
        <v>30</v>
      </c>
      <c r="N18" s="6">
        <v>2</v>
      </c>
      <c r="O18">
        <v>500</v>
      </c>
      <c r="P18">
        <v>202605</v>
      </c>
      <c r="Q18" t="s">
        <v>378</v>
      </c>
      <c r="R18" t="s">
        <v>1353</v>
      </c>
      <c r="S18">
        <f>Consulta1[[#This Row],[min_port]]/100</f>
        <v>1.6399999999999998E-2</v>
      </c>
      <c r="T18" s="252">
        <f>Consulta1[[#This Row],[TETO_COMERCIAL]]/100</f>
        <v>2.5000000000000001E-2</v>
      </c>
      <c r="U18" t="b">
        <f>Consulta1[[#This Row],[TETO_COMERCIAL_%]]=Consulta1[[#This Row],[TAXA]]</f>
        <v>0</v>
      </c>
      <c r="V18" t="str">
        <f>CONCATENATE(Consulta1[[#This Row],[MES_ALTERACAO]],Consulta1[[#This Row],[VIRADA]])</f>
        <v>20260530</v>
      </c>
      <c r="W18">
        <f>VLOOKUP(Consulta1[[#This Row],[Coluna2]],CALENDARIO!$J:$K,2,FALSE)</f>
        <v>20</v>
      </c>
    </row>
    <row r="19" spans="1:23" x14ac:dyDescent="0.25">
      <c r="A19" t="s">
        <v>213</v>
      </c>
      <c r="B19" t="str">
        <f>CONCATENATE(Consulta1[[#This Row],[id]],Consulta1[[#This Row],[EMPREGADOR]])</f>
        <v>5AMAZONPREV-AOL</v>
      </c>
      <c r="C19" s="6">
        <f>IF(A19=A18,C18+1,1)</f>
        <v>5</v>
      </c>
      <c r="D19" t="s">
        <v>2939</v>
      </c>
      <c r="E19" s="101">
        <v>1.9E-2</v>
      </c>
      <c r="F19" s="6">
        <v>120</v>
      </c>
      <c r="G19" t="s">
        <v>1349</v>
      </c>
      <c r="H19" s="82">
        <v>2.5</v>
      </c>
      <c r="I19">
        <v>10</v>
      </c>
      <c r="J19">
        <v>51</v>
      </c>
      <c r="K19" t="s">
        <v>2940</v>
      </c>
      <c r="L19" s="6" t="s">
        <v>2934</v>
      </c>
      <c r="M19" s="6">
        <v>30</v>
      </c>
      <c r="N19" s="6">
        <v>2</v>
      </c>
      <c r="O19">
        <v>45000</v>
      </c>
      <c r="P19">
        <v>202605</v>
      </c>
      <c r="Q19" t="s">
        <v>378</v>
      </c>
      <c r="R19" t="s">
        <v>1353</v>
      </c>
      <c r="S19">
        <f>Consulta1[[#This Row],[min_port]]/100</f>
        <v>1.6399999999999998E-2</v>
      </c>
      <c r="T19" s="252">
        <f>Consulta1[[#This Row],[TETO_COMERCIAL]]/100</f>
        <v>2.5000000000000001E-2</v>
      </c>
      <c r="U19" t="b">
        <f>Consulta1[[#This Row],[TETO_COMERCIAL_%]]=Consulta1[[#This Row],[TAXA]]</f>
        <v>0</v>
      </c>
      <c r="V19" t="str">
        <f>CONCATENATE(Consulta1[[#This Row],[MES_ALTERACAO]],Consulta1[[#This Row],[VIRADA]])</f>
        <v>20260530</v>
      </c>
      <c r="W19">
        <f>VLOOKUP(Consulta1[[#This Row],[Coluna2]],CALENDARIO!$J:$K,2,FALSE)</f>
        <v>20</v>
      </c>
    </row>
    <row r="20" spans="1:23" x14ac:dyDescent="0.25">
      <c r="A20" t="s">
        <v>213</v>
      </c>
      <c r="B20" t="str">
        <f>CONCATENATE(Consulta1[[#This Row],[id]],Consulta1[[#This Row],[EMPREGADOR]])</f>
        <v>6AMAZONPREV-AOL</v>
      </c>
      <c r="C20" s="6">
        <f>IF(A20=A19,C19+1,1)</f>
        <v>6</v>
      </c>
      <c r="D20" t="s">
        <v>2941</v>
      </c>
      <c r="E20" s="101">
        <v>1.8000000000000002E-2</v>
      </c>
      <c r="F20" s="6">
        <v>120</v>
      </c>
      <c r="G20" t="s">
        <v>1349</v>
      </c>
      <c r="H20" s="82">
        <v>2.5</v>
      </c>
      <c r="I20">
        <v>10</v>
      </c>
      <c r="J20">
        <v>54</v>
      </c>
      <c r="K20" t="s">
        <v>2942</v>
      </c>
      <c r="L20" s="6" t="s">
        <v>2934</v>
      </c>
      <c r="M20" s="6">
        <v>30</v>
      </c>
      <c r="N20" s="6">
        <v>2</v>
      </c>
      <c r="O20">
        <v>60000</v>
      </c>
      <c r="P20">
        <v>202605</v>
      </c>
      <c r="Q20" t="s">
        <v>378</v>
      </c>
      <c r="R20" t="s">
        <v>1353</v>
      </c>
      <c r="S20">
        <f>Consulta1[[#This Row],[min_port]]/100</f>
        <v>1.6399999999999998E-2</v>
      </c>
      <c r="T20" s="252">
        <f>Consulta1[[#This Row],[TETO_COMERCIAL]]/100</f>
        <v>2.5000000000000001E-2</v>
      </c>
      <c r="U20" t="b">
        <f>Consulta1[[#This Row],[TETO_COMERCIAL_%]]=Consulta1[[#This Row],[TAXA]]</f>
        <v>0</v>
      </c>
      <c r="V20" t="str">
        <f>CONCATENATE(Consulta1[[#This Row],[MES_ALTERACAO]],Consulta1[[#This Row],[VIRADA]])</f>
        <v>20260530</v>
      </c>
      <c r="W20">
        <f>VLOOKUP(Consulta1[[#This Row],[Coluna2]],CALENDARIO!$J:$K,2,FALSE)</f>
        <v>20</v>
      </c>
    </row>
    <row r="21" spans="1:23" x14ac:dyDescent="0.25">
      <c r="A21" t="s">
        <v>2994</v>
      </c>
      <c r="B21" t="str">
        <f>CONCATENATE(Consulta1[[#This Row],[id]],Consulta1[[#This Row],[EMPREGADOR]])</f>
        <v>1ASS LEG   ES</v>
      </c>
      <c r="C21" s="6">
        <f>IF(A21=A20,C20+1,1)</f>
        <v>1</v>
      </c>
      <c r="D21" t="s">
        <v>932</v>
      </c>
      <c r="E21" s="101">
        <v>2.5000000000000001E-2</v>
      </c>
      <c r="F21" s="6">
        <v>120</v>
      </c>
      <c r="G21" t="s">
        <v>1349</v>
      </c>
      <c r="H21" s="82">
        <v>2.5</v>
      </c>
      <c r="I21">
        <v>5</v>
      </c>
      <c r="J21">
        <v>46</v>
      </c>
      <c r="K21" t="s">
        <v>1355</v>
      </c>
      <c r="L21" s="6" t="s">
        <v>1356</v>
      </c>
      <c r="M21" s="6">
        <v>8</v>
      </c>
      <c r="N21" s="6">
        <v>2</v>
      </c>
      <c r="O21">
        <v>500</v>
      </c>
      <c r="P21">
        <v>202605</v>
      </c>
      <c r="Q21" t="s">
        <v>377</v>
      </c>
      <c r="R21" t="s">
        <v>1350</v>
      </c>
      <c r="S21">
        <f>Consulta1[[#This Row],[min_port]]/100</f>
        <v>1.3000000000000001E-2</v>
      </c>
      <c r="T21" s="252">
        <f>Consulta1[[#This Row],[TETO_COMERCIAL]]/100</f>
        <v>2.5000000000000001E-2</v>
      </c>
      <c r="U21" t="b">
        <f>Consulta1[[#This Row],[TETO_COMERCIAL_%]]=Consulta1[[#This Row],[TAXA]]</f>
        <v>1</v>
      </c>
      <c r="V21" t="str">
        <f>CONCATENATE(Consulta1[[#This Row],[MES_ALTERACAO]],Consulta1[[#This Row],[VIRADA]])</f>
        <v>2026058</v>
      </c>
      <c r="W21">
        <f>VLOOKUP(Consulta1[[#This Row],[Coluna2]],CALENDARIO!$J:$K,2,FALSE)</f>
        <v>5</v>
      </c>
    </row>
    <row r="22" spans="1:23" x14ac:dyDescent="0.25">
      <c r="A22" t="s">
        <v>2994</v>
      </c>
      <c r="B22" t="str">
        <f>CONCATENATE(Consulta1[[#This Row],[id]],Consulta1[[#This Row],[EMPREGADOR]])</f>
        <v>2ASS LEG   ES</v>
      </c>
      <c r="C22" s="6">
        <f>IF(A22=A21,C21+1,1)</f>
        <v>2</v>
      </c>
      <c r="D22" t="s">
        <v>933</v>
      </c>
      <c r="E22" s="101">
        <v>2.3E-2</v>
      </c>
      <c r="F22" s="6">
        <v>120</v>
      </c>
      <c r="G22" t="s">
        <v>1349</v>
      </c>
      <c r="H22" s="82">
        <v>2.5</v>
      </c>
      <c r="I22">
        <v>5</v>
      </c>
      <c r="J22">
        <v>46</v>
      </c>
      <c r="K22" t="s">
        <v>1357</v>
      </c>
      <c r="L22" s="6" t="s">
        <v>1356</v>
      </c>
      <c r="M22" s="6">
        <v>8</v>
      </c>
      <c r="N22" s="6">
        <v>2</v>
      </c>
      <c r="O22">
        <v>500</v>
      </c>
      <c r="P22">
        <v>202605</v>
      </c>
      <c r="Q22" t="s">
        <v>377</v>
      </c>
      <c r="R22" t="s">
        <v>1350</v>
      </c>
      <c r="S22">
        <f>Consulta1[[#This Row],[min_port]]/100</f>
        <v>1.3000000000000001E-2</v>
      </c>
      <c r="T22" s="252">
        <f>Consulta1[[#This Row],[TETO_COMERCIAL]]/100</f>
        <v>2.5000000000000001E-2</v>
      </c>
      <c r="U22" t="b">
        <f>Consulta1[[#This Row],[TETO_COMERCIAL_%]]=Consulta1[[#This Row],[TAXA]]</f>
        <v>0</v>
      </c>
      <c r="V22" t="str">
        <f>CONCATENATE(Consulta1[[#This Row],[MES_ALTERACAO]],Consulta1[[#This Row],[VIRADA]])</f>
        <v>2026058</v>
      </c>
      <c r="W22">
        <f>VLOOKUP(Consulta1[[#This Row],[Coluna2]],CALENDARIO!$J:$K,2,FALSE)</f>
        <v>5</v>
      </c>
    </row>
    <row r="23" spans="1:23" x14ac:dyDescent="0.25">
      <c r="A23" t="s">
        <v>2994</v>
      </c>
      <c r="B23" t="str">
        <f>CONCATENATE(Consulta1[[#This Row],[id]],Consulta1[[#This Row],[EMPREGADOR]])</f>
        <v>3ASS LEG   ES</v>
      </c>
      <c r="C23" s="6">
        <f>IF(A23=A22,C22+1,1)</f>
        <v>3</v>
      </c>
      <c r="D23" t="s">
        <v>934</v>
      </c>
      <c r="E23" s="101">
        <v>2.1000000000000001E-2</v>
      </c>
      <c r="F23" s="6">
        <v>120</v>
      </c>
      <c r="G23" t="s">
        <v>1349</v>
      </c>
      <c r="H23" s="82">
        <v>2.5</v>
      </c>
      <c r="I23">
        <v>5</v>
      </c>
      <c r="J23">
        <v>46</v>
      </c>
      <c r="K23" t="s">
        <v>1358</v>
      </c>
      <c r="L23" s="6" t="s">
        <v>1356</v>
      </c>
      <c r="M23" s="6">
        <v>8</v>
      </c>
      <c r="N23" s="6">
        <v>2</v>
      </c>
      <c r="O23">
        <v>500</v>
      </c>
      <c r="P23">
        <v>202605</v>
      </c>
      <c r="Q23" t="s">
        <v>377</v>
      </c>
      <c r="R23" t="s">
        <v>1350</v>
      </c>
      <c r="S23">
        <f>Consulta1[[#This Row],[min_port]]/100</f>
        <v>1.3000000000000001E-2</v>
      </c>
      <c r="T23" s="252">
        <f>Consulta1[[#This Row],[TETO_COMERCIAL]]/100</f>
        <v>2.5000000000000001E-2</v>
      </c>
      <c r="U23" t="b">
        <f>Consulta1[[#This Row],[TETO_COMERCIAL_%]]=Consulta1[[#This Row],[TAXA]]</f>
        <v>0</v>
      </c>
      <c r="V23" t="str">
        <f>CONCATENATE(Consulta1[[#This Row],[MES_ALTERACAO]],Consulta1[[#This Row],[VIRADA]])</f>
        <v>2026058</v>
      </c>
      <c r="W23">
        <f>VLOOKUP(Consulta1[[#This Row],[Coluna2]],CALENDARIO!$J:$K,2,FALSE)</f>
        <v>5</v>
      </c>
    </row>
    <row r="24" spans="1:23" x14ac:dyDescent="0.25">
      <c r="A24" t="s">
        <v>2994</v>
      </c>
      <c r="B24" t="str">
        <f>CONCATENATE(Consulta1[[#This Row],[id]],Consulta1[[#This Row],[EMPREGADOR]])</f>
        <v>4ASS LEG   ES</v>
      </c>
      <c r="C24" s="6">
        <f>IF(A24=A23,C23+1,1)</f>
        <v>4</v>
      </c>
      <c r="D24" t="s">
        <v>935</v>
      </c>
      <c r="E24" s="101">
        <v>1.9E-2</v>
      </c>
      <c r="F24" s="6">
        <v>120</v>
      </c>
      <c r="G24" t="s">
        <v>1349</v>
      </c>
      <c r="H24" s="82">
        <v>2.5</v>
      </c>
      <c r="I24">
        <v>5</v>
      </c>
      <c r="J24">
        <v>46</v>
      </c>
      <c r="K24" t="s">
        <v>1359</v>
      </c>
      <c r="L24" s="6" t="s">
        <v>1356</v>
      </c>
      <c r="M24" s="6">
        <v>8</v>
      </c>
      <c r="N24" s="6">
        <v>2</v>
      </c>
      <c r="O24">
        <v>500</v>
      </c>
      <c r="P24">
        <v>202605</v>
      </c>
      <c r="Q24" t="s">
        <v>377</v>
      </c>
      <c r="R24" t="s">
        <v>1350</v>
      </c>
      <c r="S24">
        <f>Consulta1[[#This Row],[min_port]]/100</f>
        <v>1.3000000000000001E-2</v>
      </c>
      <c r="T24" s="252">
        <f>Consulta1[[#This Row],[TETO_COMERCIAL]]/100</f>
        <v>2.5000000000000001E-2</v>
      </c>
      <c r="U24" t="b">
        <f>Consulta1[[#This Row],[TETO_COMERCIAL_%]]=Consulta1[[#This Row],[TAXA]]</f>
        <v>0</v>
      </c>
      <c r="V24" t="str">
        <f>CONCATENATE(Consulta1[[#This Row],[MES_ALTERACAO]],Consulta1[[#This Row],[VIRADA]])</f>
        <v>2026058</v>
      </c>
      <c r="W24">
        <f>VLOOKUP(Consulta1[[#This Row],[Coluna2]],CALENDARIO!$J:$K,2,FALSE)</f>
        <v>5</v>
      </c>
    </row>
    <row r="25" spans="1:23" x14ac:dyDescent="0.25">
      <c r="A25" t="s">
        <v>2994</v>
      </c>
      <c r="B25" t="str">
        <f>CONCATENATE(Consulta1[[#This Row],[id]],Consulta1[[#This Row],[EMPREGADOR]])</f>
        <v>5ASS LEG   ES</v>
      </c>
      <c r="C25" s="6">
        <f>IF(A25=A24,C24+1,1)</f>
        <v>5</v>
      </c>
      <c r="D25" t="s">
        <v>936</v>
      </c>
      <c r="E25" s="101">
        <v>1.8000000000000002E-2</v>
      </c>
      <c r="F25" s="6">
        <v>120</v>
      </c>
      <c r="G25" t="s">
        <v>1349</v>
      </c>
      <c r="H25" s="82">
        <v>2.5</v>
      </c>
      <c r="I25">
        <v>5</v>
      </c>
      <c r="J25">
        <v>46</v>
      </c>
      <c r="K25" t="s">
        <v>1360</v>
      </c>
      <c r="L25" s="6" t="s">
        <v>1356</v>
      </c>
      <c r="M25" s="6">
        <v>8</v>
      </c>
      <c r="N25" s="6">
        <v>2</v>
      </c>
      <c r="O25">
        <v>500</v>
      </c>
      <c r="P25">
        <v>202605</v>
      </c>
      <c r="Q25" t="s">
        <v>377</v>
      </c>
      <c r="R25" t="s">
        <v>1350</v>
      </c>
      <c r="S25">
        <f>Consulta1[[#This Row],[min_port]]/100</f>
        <v>1.3000000000000001E-2</v>
      </c>
      <c r="T25" s="252">
        <f>Consulta1[[#This Row],[TETO_COMERCIAL]]/100</f>
        <v>2.5000000000000001E-2</v>
      </c>
      <c r="U25" t="b">
        <f>Consulta1[[#This Row],[TETO_COMERCIAL_%]]=Consulta1[[#This Row],[TAXA]]</f>
        <v>0</v>
      </c>
      <c r="V25" t="str">
        <f>CONCATENATE(Consulta1[[#This Row],[MES_ALTERACAO]],Consulta1[[#This Row],[VIRADA]])</f>
        <v>2026058</v>
      </c>
      <c r="W25">
        <f>VLOOKUP(Consulta1[[#This Row],[Coluna2]],CALENDARIO!$J:$K,2,FALSE)</f>
        <v>5</v>
      </c>
    </row>
    <row r="26" spans="1:23" x14ac:dyDescent="0.25">
      <c r="A26" t="s">
        <v>2994</v>
      </c>
      <c r="B26" t="str">
        <f>CONCATENATE(Consulta1[[#This Row],[id]],Consulta1[[#This Row],[EMPREGADOR]])</f>
        <v>6ASS LEG   ES</v>
      </c>
      <c r="C26" s="6">
        <f>IF(A26=A25,C25+1,1)</f>
        <v>6</v>
      </c>
      <c r="D26" t="s">
        <v>937</v>
      </c>
      <c r="E26" s="101">
        <v>1.7500000000000002E-2</v>
      </c>
      <c r="F26" s="6">
        <v>120</v>
      </c>
      <c r="G26" t="s">
        <v>1349</v>
      </c>
      <c r="H26" s="82">
        <v>2.5</v>
      </c>
      <c r="I26">
        <v>5</v>
      </c>
      <c r="J26">
        <v>46</v>
      </c>
      <c r="K26" t="s">
        <v>1361</v>
      </c>
      <c r="L26" s="6" t="s">
        <v>1356</v>
      </c>
      <c r="M26" s="6">
        <v>8</v>
      </c>
      <c r="N26" s="6">
        <v>2</v>
      </c>
      <c r="O26">
        <v>500</v>
      </c>
      <c r="P26">
        <v>202605</v>
      </c>
      <c r="Q26" t="s">
        <v>377</v>
      </c>
      <c r="R26" t="s">
        <v>1350</v>
      </c>
      <c r="S26">
        <f>Consulta1[[#This Row],[min_port]]/100</f>
        <v>1.3000000000000001E-2</v>
      </c>
      <c r="T26" s="252">
        <f>Consulta1[[#This Row],[TETO_COMERCIAL]]/100</f>
        <v>2.5000000000000001E-2</v>
      </c>
      <c r="U26" t="b">
        <f>Consulta1[[#This Row],[TETO_COMERCIAL_%]]=Consulta1[[#This Row],[TAXA]]</f>
        <v>0</v>
      </c>
      <c r="V26" t="str">
        <f>CONCATENATE(Consulta1[[#This Row],[MES_ALTERACAO]],Consulta1[[#This Row],[VIRADA]])</f>
        <v>2026058</v>
      </c>
      <c r="W26">
        <f>VLOOKUP(Consulta1[[#This Row],[Coluna2]],CALENDARIO!$J:$K,2,FALSE)</f>
        <v>5</v>
      </c>
    </row>
    <row r="27" spans="1:23" x14ac:dyDescent="0.25">
      <c r="A27" t="s">
        <v>2994</v>
      </c>
      <c r="B27" t="str">
        <f>CONCATENATE(Consulta1[[#This Row],[id]],Consulta1[[#This Row],[EMPREGADOR]])</f>
        <v>7ASS LEG   ES</v>
      </c>
      <c r="C27" s="6">
        <f>IF(A27=A26,C26+1,1)</f>
        <v>7</v>
      </c>
      <c r="D27" t="s">
        <v>938</v>
      </c>
      <c r="E27" s="101">
        <v>1.7000000000000001E-2</v>
      </c>
      <c r="F27" s="6">
        <v>120</v>
      </c>
      <c r="G27" t="s">
        <v>1349</v>
      </c>
      <c r="H27" s="82">
        <v>2.5</v>
      </c>
      <c r="I27">
        <v>5</v>
      </c>
      <c r="J27">
        <v>46</v>
      </c>
      <c r="K27" t="s">
        <v>1362</v>
      </c>
      <c r="L27" s="6" t="s">
        <v>1356</v>
      </c>
      <c r="M27" s="6">
        <v>8</v>
      </c>
      <c r="N27" s="6">
        <v>2</v>
      </c>
      <c r="O27">
        <v>500</v>
      </c>
      <c r="P27">
        <v>202605</v>
      </c>
      <c r="Q27" t="s">
        <v>377</v>
      </c>
      <c r="R27" t="s">
        <v>1350</v>
      </c>
      <c r="S27">
        <f>Consulta1[[#This Row],[min_port]]/100</f>
        <v>1.3000000000000001E-2</v>
      </c>
      <c r="T27" s="252">
        <f>Consulta1[[#This Row],[TETO_COMERCIAL]]/100</f>
        <v>2.5000000000000001E-2</v>
      </c>
      <c r="U27" t="b">
        <f>Consulta1[[#This Row],[TETO_COMERCIAL_%]]=Consulta1[[#This Row],[TAXA]]</f>
        <v>0</v>
      </c>
      <c r="V27" t="str">
        <f>CONCATENATE(Consulta1[[#This Row],[MES_ALTERACAO]],Consulta1[[#This Row],[VIRADA]])</f>
        <v>2026058</v>
      </c>
      <c r="W27">
        <f>VLOOKUP(Consulta1[[#This Row],[Coluna2]],CALENDARIO!$J:$K,2,FALSE)</f>
        <v>5</v>
      </c>
    </row>
    <row r="28" spans="1:23" x14ac:dyDescent="0.25">
      <c r="A28" t="s">
        <v>2994</v>
      </c>
      <c r="B28" t="str">
        <f>CONCATENATE(Consulta1[[#This Row],[id]],Consulta1[[#This Row],[EMPREGADOR]])</f>
        <v>8ASS LEG   ES</v>
      </c>
      <c r="C28" s="6">
        <f>IF(A28=A27,C27+1,1)</f>
        <v>8</v>
      </c>
      <c r="D28" t="s">
        <v>939</v>
      </c>
      <c r="E28" s="101">
        <v>1.6500000000000001E-2</v>
      </c>
      <c r="F28" s="6">
        <v>120</v>
      </c>
      <c r="G28" t="s">
        <v>1349</v>
      </c>
      <c r="H28" s="82">
        <v>2.5</v>
      </c>
      <c r="I28">
        <v>5</v>
      </c>
      <c r="J28">
        <v>46</v>
      </c>
      <c r="K28" t="s">
        <v>1363</v>
      </c>
      <c r="L28" s="6" t="s">
        <v>1356</v>
      </c>
      <c r="M28" s="6">
        <v>8</v>
      </c>
      <c r="N28" s="6">
        <v>2</v>
      </c>
      <c r="O28">
        <v>500</v>
      </c>
      <c r="P28">
        <v>202605</v>
      </c>
      <c r="Q28" t="s">
        <v>377</v>
      </c>
      <c r="R28" t="s">
        <v>1350</v>
      </c>
      <c r="S28">
        <f>Consulta1[[#This Row],[min_port]]/100</f>
        <v>1.3000000000000001E-2</v>
      </c>
      <c r="T28" s="252">
        <f>Consulta1[[#This Row],[TETO_COMERCIAL]]/100</f>
        <v>2.5000000000000001E-2</v>
      </c>
      <c r="U28" t="b">
        <f>Consulta1[[#This Row],[TETO_COMERCIAL_%]]=Consulta1[[#This Row],[TAXA]]</f>
        <v>0</v>
      </c>
      <c r="V28" t="str">
        <f>CONCATENATE(Consulta1[[#This Row],[MES_ALTERACAO]],Consulta1[[#This Row],[VIRADA]])</f>
        <v>2026058</v>
      </c>
      <c r="W28">
        <f>VLOOKUP(Consulta1[[#This Row],[Coluna2]],CALENDARIO!$J:$K,2,FALSE)</f>
        <v>5</v>
      </c>
    </row>
    <row r="29" spans="1:23" x14ac:dyDescent="0.25">
      <c r="A29" t="s">
        <v>2994</v>
      </c>
      <c r="B29" t="str">
        <f>CONCATENATE(Consulta1[[#This Row],[id]],Consulta1[[#This Row],[EMPREGADOR]])</f>
        <v>9ASS LEG   ES</v>
      </c>
      <c r="C29" s="6">
        <f>IF(A29=A28,C28+1,1)</f>
        <v>9</v>
      </c>
      <c r="D29" t="s">
        <v>940</v>
      </c>
      <c r="E29" s="101">
        <v>1.6E-2</v>
      </c>
      <c r="F29" s="6">
        <v>120</v>
      </c>
      <c r="G29" t="s">
        <v>1349</v>
      </c>
      <c r="H29" s="82">
        <v>2.5</v>
      </c>
      <c r="I29">
        <v>5</v>
      </c>
      <c r="J29">
        <v>46</v>
      </c>
      <c r="K29" t="s">
        <v>1364</v>
      </c>
      <c r="L29" s="6" t="s">
        <v>1356</v>
      </c>
      <c r="M29" s="6">
        <v>8</v>
      </c>
      <c r="N29" s="6">
        <v>2</v>
      </c>
      <c r="O29">
        <v>500</v>
      </c>
      <c r="P29">
        <v>202605</v>
      </c>
      <c r="Q29" t="s">
        <v>377</v>
      </c>
      <c r="R29" t="s">
        <v>1350</v>
      </c>
      <c r="S29">
        <f>Consulta1[[#This Row],[min_port]]/100</f>
        <v>1.3000000000000001E-2</v>
      </c>
      <c r="T29" s="252">
        <f>Consulta1[[#This Row],[TETO_COMERCIAL]]/100</f>
        <v>2.5000000000000001E-2</v>
      </c>
      <c r="U29" t="b">
        <f>Consulta1[[#This Row],[TETO_COMERCIAL_%]]=Consulta1[[#This Row],[TAXA]]</f>
        <v>0</v>
      </c>
      <c r="V29" t="str">
        <f>CONCATENATE(Consulta1[[#This Row],[MES_ALTERACAO]],Consulta1[[#This Row],[VIRADA]])</f>
        <v>2026058</v>
      </c>
      <c r="W29">
        <f>VLOOKUP(Consulta1[[#This Row],[Coluna2]],CALENDARIO!$J:$K,2,FALSE)</f>
        <v>5</v>
      </c>
    </row>
    <row r="30" spans="1:23" x14ac:dyDescent="0.25">
      <c r="A30" t="s">
        <v>941</v>
      </c>
      <c r="B30" t="str">
        <f>CONCATENATE(Consulta1[[#This Row],[id]],Consulta1[[#This Row],[EMPREGADOR]])</f>
        <v>1ASSISPREV</v>
      </c>
      <c r="C30" s="6">
        <f>IF(A30=A29,C29+1,1)</f>
        <v>1</v>
      </c>
      <c r="D30" t="s">
        <v>942</v>
      </c>
      <c r="E30" s="101">
        <v>2.5000000000000001E-2</v>
      </c>
      <c r="F30" s="6">
        <v>120</v>
      </c>
      <c r="G30" t="s">
        <v>1349</v>
      </c>
      <c r="H30" s="82">
        <v>2.5</v>
      </c>
      <c r="I30">
        <v>15</v>
      </c>
      <c r="K30" t="s">
        <v>1365</v>
      </c>
      <c r="L30" s="6" t="s">
        <v>1366</v>
      </c>
      <c r="M30" s="6">
        <v>20</v>
      </c>
      <c r="N30" s="6">
        <v>2</v>
      </c>
      <c r="O30">
        <v>500</v>
      </c>
      <c r="P30">
        <v>202605</v>
      </c>
      <c r="Q30" t="s">
        <v>377</v>
      </c>
      <c r="R30" t="s">
        <v>1350</v>
      </c>
      <c r="S30">
        <f>Consulta1[[#This Row],[min_port]]/100</f>
        <v>1.8000000000000002E-2</v>
      </c>
      <c r="T30" s="252">
        <f>Consulta1[[#This Row],[TETO_COMERCIAL]]/100</f>
        <v>2.5000000000000001E-2</v>
      </c>
      <c r="U30" t="b">
        <f>Consulta1[[#This Row],[TETO_COMERCIAL_%]]=Consulta1[[#This Row],[TAXA]]</f>
        <v>1</v>
      </c>
      <c r="V30" t="str">
        <f>CONCATENATE(Consulta1[[#This Row],[MES_ALTERACAO]],Consulta1[[#This Row],[VIRADA]])</f>
        <v>20260520</v>
      </c>
      <c r="W30">
        <f>VLOOKUP(Consulta1[[#This Row],[Coluna2]],CALENDARIO!$J:$K,2,FALSE)</f>
        <v>13</v>
      </c>
    </row>
    <row r="31" spans="1:23" x14ac:dyDescent="0.25">
      <c r="A31" t="s">
        <v>941</v>
      </c>
      <c r="B31" t="str">
        <f>CONCATENATE(Consulta1[[#This Row],[id]],Consulta1[[#This Row],[EMPREGADOR]])</f>
        <v>2ASSISPREV</v>
      </c>
      <c r="C31" s="6">
        <f>IF(A31=A30,C30+1,1)</f>
        <v>2</v>
      </c>
      <c r="D31" t="s">
        <v>943</v>
      </c>
      <c r="E31" s="101">
        <v>2.1499999999999998E-2</v>
      </c>
      <c r="F31" s="6">
        <v>120</v>
      </c>
      <c r="G31" t="s">
        <v>1349</v>
      </c>
      <c r="H31" s="82">
        <v>2.5</v>
      </c>
      <c r="I31">
        <v>15</v>
      </c>
      <c r="K31" t="s">
        <v>1367</v>
      </c>
      <c r="L31" s="6" t="s">
        <v>1366</v>
      </c>
      <c r="M31" s="6">
        <v>20</v>
      </c>
      <c r="N31" s="6">
        <v>2</v>
      </c>
      <c r="O31">
        <v>500</v>
      </c>
      <c r="P31">
        <v>202605</v>
      </c>
      <c r="Q31" t="s">
        <v>377</v>
      </c>
      <c r="R31" t="s">
        <v>1350</v>
      </c>
      <c r="S31">
        <f>Consulta1[[#This Row],[min_port]]/100</f>
        <v>1.8000000000000002E-2</v>
      </c>
      <c r="T31" s="252">
        <f>Consulta1[[#This Row],[TETO_COMERCIAL]]/100</f>
        <v>2.5000000000000001E-2</v>
      </c>
      <c r="U31" t="b">
        <f>Consulta1[[#This Row],[TETO_COMERCIAL_%]]=Consulta1[[#This Row],[TAXA]]</f>
        <v>0</v>
      </c>
      <c r="V31" t="str">
        <f>CONCATENATE(Consulta1[[#This Row],[MES_ALTERACAO]],Consulta1[[#This Row],[VIRADA]])</f>
        <v>20260520</v>
      </c>
      <c r="W31">
        <f>VLOOKUP(Consulta1[[#This Row],[Coluna2]],CALENDARIO!$J:$K,2,FALSE)</f>
        <v>13</v>
      </c>
    </row>
    <row r="32" spans="1:23" x14ac:dyDescent="0.25">
      <c r="A32" t="s">
        <v>941</v>
      </c>
      <c r="B32" t="str">
        <f>CONCATENATE(Consulta1[[#This Row],[id]],Consulta1[[#This Row],[EMPREGADOR]])</f>
        <v>3ASSISPREV</v>
      </c>
      <c r="C32" s="6">
        <f>IF(A32=A31,C31+1,1)</f>
        <v>3</v>
      </c>
      <c r="D32" t="s">
        <v>944</v>
      </c>
      <c r="E32" s="101">
        <v>2.1099999999999997E-2</v>
      </c>
      <c r="F32" s="6">
        <v>120</v>
      </c>
      <c r="G32" t="s">
        <v>1349</v>
      </c>
      <c r="H32" s="82">
        <v>2.5</v>
      </c>
      <c r="I32">
        <v>15</v>
      </c>
      <c r="K32" t="s">
        <v>1368</v>
      </c>
      <c r="L32" s="6" t="s">
        <v>1366</v>
      </c>
      <c r="M32" s="6">
        <v>20</v>
      </c>
      <c r="N32" s="6">
        <v>2</v>
      </c>
      <c r="O32">
        <v>500</v>
      </c>
      <c r="P32">
        <v>202605</v>
      </c>
      <c r="Q32" t="s">
        <v>377</v>
      </c>
      <c r="R32" t="s">
        <v>1350</v>
      </c>
      <c r="S32">
        <f>Consulta1[[#This Row],[min_port]]/100</f>
        <v>1.8000000000000002E-2</v>
      </c>
      <c r="T32" s="252">
        <f>Consulta1[[#This Row],[TETO_COMERCIAL]]/100</f>
        <v>2.5000000000000001E-2</v>
      </c>
      <c r="U32" t="b">
        <f>Consulta1[[#This Row],[TETO_COMERCIAL_%]]=Consulta1[[#This Row],[TAXA]]</f>
        <v>0</v>
      </c>
      <c r="V32" t="str">
        <f>CONCATENATE(Consulta1[[#This Row],[MES_ALTERACAO]],Consulta1[[#This Row],[VIRADA]])</f>
        <v>20260520</v>
      </c>
      <c r="W32">
        <f>VLOOKUP(Consulta1[[#This Row],[Coluna2]],CALENDARIO!$J:$K,2,FALSE)</f>
        <v>13</v>
      </c>
    </row>
    <row r="33" spans="1:23" x14ac:dyDescent="0.25">
      <c r="A33" t="s">
        <v>941</v>
      </c>
      <c r="B33" t="str">
        <f>CONCATENATE(Consulta1[[#This Row],[id]],Consulta1[[#This Row],[EMPREGADOR]])</f>
        <v>4ASSISPREV</v>
      </c>
      <c r="C33" s="6">
        <f>IF(A33=A32,C32+1,1)</f>
        <v>4</v>
      </c>
      <c r="D33" t="s">
        <v>945</v>
      </c>
      <c r="E33" s="101">
        <v>2.06E-2</v>
      </c>
      <c r="F33" s="6">
        <v>120</v>
      </c>
      <c r="G33" t="s">
        <v>1349</v>
      </c>
      <c r="H33" s="82">
        <v>2.5</v>
      </c>
      <c r="I33">
        <v>15</v>
      </c>
      <c r="K33" t="s">
        <v>1369</v>
      </c>
      <c r="L33" s="6" t="s">
        <v>1366</v>
      </c>
      <c r="M33" s="6">
        <v>20</v>
      </c>
      <c r="N33" s="6">
        <v>2</v>
      </c>
      <c r="O33">
        <v>500</v>
      </c>
      <c r="P33">
        <v>202605</v>
      </c>
      <c r="Q33" t="s">
        <v>377</v>
      </c>
      <c r="R33" t="s">
        <v>1350</v>
      </c>
      <c r="S33">
        <f>Consulta1[[#This Row],[min_port]]/100</f>
        <v>1.8000000000000002E-2</v>
      </c>
      <c r="T33" s="252">
        <f>Consulta1[[#This Row],[TETO_COMERCIAL]]/100</f>
        <v>2.5000000000000001E-2</v>
      </c>
      <c r="U33" t="b">
        <f>Consulta1[[#This Row],[TETO_COMERCIAL_%]]=Consulta1[[#This Row],[TAXA]]</f>
        <v>0</v>
      </c>
      <c r="V33" t="str">
        <f>CONCATENATE(Consulta1[[#This Row],[MES_ALTERACAO]],Consulta1[[#This Row],[VIRADA]])</f>
        <v>20260520</v>
      </c>
      <c r="W33">
        <f>VLOOKUP(Consulta1[[#This Row],[Coluna2]],CALENDARIO!$J:$K,2,FALSE)</f>
        <v>13</v>
      </c>
    </row>
    <row r="34" spans="1:23" x14ac:dyDescent="0.25">
      <c r="A34" t="s">
        <v>941</v>
      </c>
      <c r="B34" t="str">
        <f>CONCATENATE(Consulta1[[#This Row],[id]],Consulta1[[#This Row],[EMPREGADOR]])</f>
        <v>5ASSISPREV</v>
      </c>
      <c r="C34" s="6">
        <f>IF(A34=A33,C33+1,1)</f>
        <v>5</v>
      </c>
      <c r="D34" t="s">
        <v>946</v>
      </c>
      <c r="E34" s="101">
        <v>2.0099999999999996E-2</v>
      </c>
      <c r="F34" s="6">
        <v>120</v>
      </c>
      <c r="G34" t="s">
        <v>1349</v>
      </c>
      <c r="H34" s="82">
        <v>2.5</v>
      </c>
      <c r="I34">
        <v>15</v>
      </c>
      <c r="J34">
        <v>43</v>
      </c>
      <c r="K34" t="s">
        <v>1370</v>
      </c>
      <c r="L34" s="6" t="s">
        <v>1366</v>
      </c>
      <c r="M34" s="6">
        <v>20</v>
      </c>
      <c r="N34" s="6">
        <v>2</v>
      </c>
      <c r="O34">
        <v>500</v>
      </c>
      <c r="P34">
        <v>202605</v>
      </c>
      <c r="Q34" t="s">
        <v>377</v>
      </c>
      <c r="R34" t="s">
        <v>1350</v>
      </c>
      <c r="S34">
        <f>Consulta1[[#This Row],[min_port]]/100</f>
        <v>1.8000000000000002E-2</v>
      </c>
      <c r="T34" s="252">
        <f>Consulta1[[#This Row],[TETO_COMERCIAL]]/100</f>
        <v>2.5000000000000001E-2</v>
      </c>
      <c r="U34" t="b">
        <f>Consulta1[[#This Row],[TETO_COMERCIAL_%]]=Consulta1[[#This Row],[TAXA]]</f>
        <v>0</v>
      </c>
      <c r="V34" t="str">
        <f>CONCATENATE(Consulta1[[#This Row],[MES_ALTERACAO]],Consulta1[[#This Row],[VIRADA]])</f>
        <v>20260520</v>
      </c>
      <c r="W34">
        <f>VLOOKUP(Consulta1[[#This Row],[Coluna2]],CALENDARIO!$J:$K,2,FALSE)</f>
        <v>13</v>
      </c>
    </row>
    <row r="35" spans="1:23" x14ac:dyDescent="0.25">
      <c r="A35" t="s">
        <v>500</v>
      </c>
      <c r="B35" t="str">
        <f>CONCATENATE(Consulta1[[#This Row],[id]],Consulta1[[#This Row],[EMPREGADOR]])</f>
        <v>1CAM CUIABA EST</v>
      </c>
      <c r="C35" s="6">
        <f>IF(A35=A34,C34+1,1)</f>
        <v>1</v>
      </c>
      <c r="D35" t="s">
        <v>501</v>
      </c>
      <c r="E35" s="101">
        <v>2.5000000000000001E-2</v>
      </c>
      <c r="F35" s="6">
        <v>96</v>
      </c>
      <c r="G35" t="s">
        <v>1349</v>
      </c>
      <c r="H35" s="82">
        <v>2.5</v>
      </c>
      <c r="I35">
        <v>26</v>
      </c>
      <c r="K35" t="s">
        <v>2592</v>
      </c>
      <c r="L35" s="6" t="s">
        <v>1372</v>
      </c>
      <c r="M35" s="6">
        <v>12</v>
      </c>
      <c r="N35" s="6">
        <v>2</v>
      </c>
      <c r="O35">
        <v>500</v>
      </c>
      <c r="P35">
        <v>202605</v>
      </c>
      <c r="Q35" t="s">
        <v>378</v>
      </c>
      <c r="R35" t="s">
        <v>1350</v>
      </c>
      <c r="S35">
        <f>Consulta1[[#This Row],[min_port]]/100</f>
        <v>1.6E-2</v>
      </c>
      <c r="T35" s="252">
        <f>Consulta1[[#This Row],[TETO_COMERCIAL]]/100</f>
        <v>2.5000000000000001E-2</v>
      </c>
      <c r="U35" t="b">
        <f>Consulta1[[#This Row],[TETO_COMERCIAL_%]]=Consulta1[[#This Row],[TAXA]]</f>
        <v>1</v>
      </c>
      <c r="V35" t="str">
        <f>CONCATENATE(Consulta1[[#This Row],[MES_ALTERACAO]],Consulta1[[#This Row],[VIRADA]])</f>
        <v>20260512</v>
      </c>
      <c r="W35">
        <f>VLOOKUP(Consulta1[[#This Row],[Coluna2]],CALENDARIO!$J:$K,2,FALSE)</f>
        <v>7</v>
      </c>
    </row>
    <row r="36" spans="1:23" x14ac:dyDescent="0.25">
      <c r="A36" t="s">
        <v>500</v>
      </c>
      <c r="B36" t="str">
        <f>CONCATENATE(Consulta1[[#This Row],[id]],Consulta1[[#This Row],[EMPREGADOR]])</f>
        <v>2CAM CUIABA EST</v>
      </c>
      <c r="C36" s="6">
        <f>IF(A36=A35,C35+1,1)</f>
        <v>2</v>
      </c>
      <c r="D36" t="s">
        <v>502</v>
      </c>
      <c r="E36" s="101">
        <v>2.4E-2</v>
      </c>
      <c r="F36" s="6">
        <v>96</v>
      </c>
      <c r="G36" t="s">
        <v>1349</v>
      </c>
      <c r="H36" s="82">
        <v>2.5</v>
      </c>
      <c r="I36">
        <v>26</v>
      </c>
      <c r="K36" t="s">
        <v>2593</v>
      </c>
      <c r="L36" s="6" t="s">
        <v>1372</v>
      </c>
      <c r="M36" s="6">
        <v>12</v>
      </c>
      <c r="N36" s="6">
        <v>2</v>
      </c>
      <c r="O36">
        <v>500</v>
      </c>
      <c r="P36">
        <v>202605</v>
      </c>
      <c r="Q36" t="s">
        <v>378</v>
      </c>
      <c r="R36" t="s">
        <v>1350</v>
      </c>
      <c r="S36">
        <f>Consulta1[[#This Row],[min_port]]/100</f>
        <v>1.6E-2</v>
      </c>
      <c r="T36" s="252">
        <f>Consulta1[[#This Row],[TETO_COMERCIAL]]/100</f>
        <v>2.5000000000000001E-2</v>
      </c>
      <c r="U36" t="b">
        <f>Consulta1[[#This Row],[TETO_COMERCIAL_%]]=Consulta1[[#This Row],[TAXA]]</f>
        <v>0</v>
      </c>
      <c r="V36" t="str">
        <f>CONCATENATE(Consulta1[[#This Row],[MES_ALTERACAO]],Consulta1[[#This Row],[VIRADA]])</f>
        <v>20260512</v>
      </c>
      <c r="W36">
        <f>VLOOKUP(Consulta1[[#This Row],[Coluna2]],CALENDARIO!$J:$K,2,FALSE)</f>
        <v>7</v>
      </c>
    </row>
    <row r="37" spans="1:23" x14ac:dyDescent="0.25">
      <c r="A37" t="s">
        <v>500</v>
      </c>
      <c r="B37" t="str">
        <f>CONCATENATE(Consulta1[[#This Row],[id]],Consulta1[[#This Row],[EMPREGADOR]])</f>
        <v>3CAM CUIABA EST</v>
      </c>
      <c r="C37" s="6">
        <f>IF(A37=A36,C36+1,1)</f>
        <v>3</v>
      </c>
      <c r="D37" t="s">
        <v>503</v>
      </c>
      <c r="E37" s="101">
        <v>2.2000000000000002E-2</v>
      </c>
      <c r="F37" s="6">
        <v>96</v>
      </c>
      <c r="G37" t="s">
        <v>1349</v>
      </c>
      <c r="H37" s="82">
        <v>2.5</v>
      </c>
      <c r="I37">
        <v>26</v>
      </c>
      <c r="K37" t="s">
        <v>2594</v>
      </c>
      <c r="L37" s="6" t="s">
        <v>1372</v>
      </c>
      <c r="M37" s="6">
        <v>12</v>
      </c>
      <c r="N37" s="6">
        <v>2</v>
      </c>
      <c r="O37">
        <v>500</v>
      </c>
      <c r="P37">
        <v>202605</v>
      </c>
      <c r="Q37" t="s">
        <v>378</v>
      </c>
      <c r="R37" t="s">
        <v>1350</v>
      </c>
      <c r="S37">
        <f>Consulta1[[#This Row],[min_port]]/100</f>
        <v>1.6E-2</v>
      </c>
      <c r="T37" s="252">
        <f>Consulta1[[#This Row],[TETO_COMERCIAL]]/100</f>
        <v>2.5000000000000001E-2</v>
      </c>
      <c r="U37" t="b">
        <f>Consulta1[[#This Row],[TETO_COMERCIAL_%]]=Consulta1[[#This Row],[TAXA]]</f>
        <v>0</v>
      </c>
      <c r="V37" t="str">
        <f>CONCATENATE(Consulta1[[#This Row],[MES_ALTERACAO]],Consulta1[[#This Row],[VIRADA]])</f>
        <v>20260512</v>
      </c>
      <c r="W37">
        <f>VLOOKUP(Consulta1[[#This Row],[Coluna2]],CALENDARIO!$J:$K,2,FALSE)</f>
        <v>7</v>
      </c>
    </row>
    <row r="38" spans="1:23" x14ac:dyDescent="0.25">
      <c r="A38" t="s">
        <v>3841</v>
      </c>
      <c r="B38" t="str">
        <f>CONCATENATE(Consulta1[[#This Row],[id]],Consulta1[[#This Row],[EMPREGADOR]])</f>
        <v>1CARAGUAPRE PORT</v>
      </c>
      <c r="C38" s="6">
        <f>IF(A38=A37,C37+1,1)</f>
        <v>1</v>
      </c>
      <c r="D38" t="s">
        <v>797</v>
      </c>
      <c r="E38" s="101">
        <v>2.5000000000000001E-2</v>
      </c>
      <c r="F38" s="6">
        <v>120</v>
      </c>
      <c r="G38" t="s">
        <v>1349</v>
      </c>
      <c r="H38" s="82">
        <v>2.5</v>
      </c>
      <c r="I38">
        <v>10</v>
      </c>
      <c r="K38" t="s">
        <v>1373</v>
      </c>
      <c r="L38" s="6" t="s">
        <v>1374</v>
      </c>
      <c r="M38" s="6">
        <v>5</v>
      </c>
      <c r="N38" s="6">
        <v>2</v>
      </c>
      <c r="O38">
        <v>500</v>
      </c>
      <c r="P38">
        <v>202605</v>
      </c>
      <c r="Q38" t="s">
        <v>377</v>
      </c>
      <c r="R38" t="s">
        <v>1353</v>
      </c>
      <c r="S38">
        <f>Consulta1[[#This Row],[min_port]]/100</f>
        <v>1.4999999999999999E-2</v>
      </c>
      <c r="T38" s="252">
        <f>Consulta1[[#This Row],[TETO_COMERCIAL]]/100</f>
        <v>2.5000000000000001E-2</v>
      </c>
      <c r="U38" t="b">
        <f>Consulta1[[#This Row],[TETO_COMERCIAL_%]]=Consulta1[[#This Row],[TAXA]]</f>
        <v>1</v>
      </c>
      <c r="V38" t="str">
        <f>CONCATENATE(Consulta1[[#This Row],[MES_ALTERACAO]],Consulta1[[#This Row],[VIRADA]])</f>
        <v>2026055</v>
      </c>
      <c r="W38">
        <f>VLOOKUP(Consulta1[[#This Row],[Coluna2]],CALENDARIO!$J:$K,2,FALSE)</f>
        <v>2</v>
      </c>
    </row>
    <row r="39" spans="1:23" x14ac:dyDescent="0.25">
      <c r="A39" t="s">
        <v>3841</v>
      </c>
      <c r="B39" t="str">
        <f>CONCATENATE(Consulta1[[#This Row],[id]],Consulta1[[#This Row],[EMPREGADOR]])</f>
        <v>2CARAGUAPRE PORT</v>
      </c>
      <c r="C39" s="6">
        <f>IF(A39=A38,C38+1,1)</f>
        <v>2</v>
      </c>
      <c r="D39" t="s">
        <v>798</v>
      </c>
      <c r="E39" s="101">
        <v>2.3900000000000001E-2</v>
      </c>
      <c r="F39" s="6">
        <v>120</v>
      </c>
      <c r="G39" t="s">
        <v>1349</v>
      </c>
      <c r="H39" s="82">
        <v>2.5</v>
      </c>
      <c r="I39">
        <v>10</v>
      </c>
      <c r="K39" t="s">
        <v>1375</v>
      </c>
      <c r="L39" s="6" t="s">
        <v>1374</v>
      </c>
      <c r="M39" s="6">
        <v>5</v>
      </c>
      <c r="N39" s="6">
        <v>2</v>
      </c>
      <c r="O39">
        <v>500</v>
      </c>
      <c r="P39">
        <v>202605</v>
      </c>
      <c r="Q39" t="s">
        <v>377</v>
      </c>
      <c r="R39" t="s">
        <v>1353</v>
      </c>
      <c r="S39">
        <f>Consulta1[[#This Row],[min_port]]/100</f>
        <v>1.4999999999999999E-2</v>
      </c>
      <c r="T39" s="252">
        <f>Consulta1[[#This Row],[TETO_COMERCIAL]]/100</f>
        <v>2.5000000000000001E-2</v>
      </c>
      <c r="U39" t="b">
        <f>Consulta1[[#This Row],[TETO_COMERCIAL_%]]=Consulta1[[#This Row],[TAXA]]</f>
        <v>0</v>
      </c>
      <c r="V39" t="str">
        <f>CONCATENATE(Consulta1[[#This Row],[MES_ALTERACAO]],Consulta1[[#This Row],[VIRADA]])</f>
        <v>2026055</v>
      </c>
      <c r="W39">
        <f>VLOOKUP(Consulta1[[#This Row],[Coluna2]],CALENDARIO!$J:$K,2,FALSE)</f>
        <v>2</v>
      </c>
    </row>
    <row r="40" spans="1:23" x14ac:dyDescent="0.25">
      <c r="A40" t="s">
        <v>3841</v>
      </c>
      <c r="B40" t="str">
        <f>CONCATENATE(Consulta1[[#This Row],[id]],Consulta1[[#This Row],[EMPREGADOR]])</f>
        <v>3CARAGUAPRE PORT</v>
      </c>
      <c r="C40" s="6">
        <f>IF(A40=A39,C39+1,1)</f>
        <v>3</v>
      </c>
      <c r="D40" t="s">
        <v>799</v>
      </c>
      <c r="E40" s="101">
        <v>2.29E-2</v>
      </c>
      <c r="F40" s="6">
        <v>120</v>
      </c>
      <c r="G40" t="s">
        <v>1349</v>
      </c>
      <c r="H40" s="82">
        <v>2.5</v>
      </c>
      <c r="I40">
        <v>10</v>
      </c>
      <c r="K40" t="s">
        <v>1376</v>
      </c>
      <c r="L40" s="6" t="s">
        <v>1374</v>
      </c>
      <c r="M40" s="6">
        <v>5</v>
      </c>
      <c r="N40" s="6">
        <v>2</v>
      </c>
      <c r="O40">
        <v>500</v>
      </c>
      <c r="P40">
        <v>202605</v>
      </c>
      <c r="Q40" t="s">
        <v>377</v>
      </c>
      <c r="R40" t="s">
        <v>1353</v>
      </c>
      <c r="S40">
        <f>Consulta1[[#This Row],[min_port]]/100</f>
        <v>1.4999999999999999E-2</v>
      </c>
      <c r="T40" s="252">
        <f>Consulta1[[#This Row],[TETO_COMERCIAL]]/100</f>
        <v>2.5000000000000001E-2</v>
      </c>
      <c r="U40" t="b">
        <f>Consulta1[[#This Row],[TETO_COMERCIAL_%]]=Consulta1[[#This Row],[TAXA]]</f>
        <v>0</v>
      </c>
      <c r="V40" t="str">
        <f>CONCATENATE(Consulta1[[#This Row],[MES_ALTERACAO]],Consulta1[[#This Row],[VIRADA]])</f>
        <v>2026055</v>
      </c>
      <c r="W40">
        <f>VLOOKUP(Consulta1[[#This Row],[Coluna2]],CALENDARIO!$J:$K,2,FALSE)</f>
        <v>2</v>
      </c>
    </row>
    <row r="41" spans="1:23" x14ac:dyDescent="0.25">
      <c r="A41" t="s">
        <v>3841</v>
      </c>
      <c r="B41" t="str">
        <f>CONCATENATE(Consulta1[[#This Row],[id]],Consulta1[[#This Row],[EMPREGADOR]])</f>
        <v>4CARAGUAPRE PORT</v>
      </c>
      <c r="C41" s="6">
        <f>IF(A41=A40,C40+1,1)</f>
        <v>4</v>
      </c>
      <c r="D41" t="s">
        <v>800</v>
      </c>
      <c r="E41" s="101">
        <v>2.1899999999999999E-2</v>
      </c>
      <c r="F41" s="6">
        <v>120</v>
      </c>
      <c r="G41" t="s">
        <v>1349</v>
      </c>
      <c r="H41" s="82">
        <v>2.5</v>
      </c>
      <c r="I41">
        <v>10</v>
      </c>
      <c r="K41" t="s">
        <v>1377</v>
      </c>
      <c r="L41" s="6" t="s">
        <v>1374</v>
      </c>
      <c r="M41" s="6">
        <v>5</v>
      </c>
      <c r="N41" s="6">
        <v>2</v>
      </c>
      <c r="O41">
        <v>500</v>
      </c>
      <c r="P41">
        <v>202605</v>
      </c>
      <c r="Q41" t="s">
        <v>377</v>
      </c>
      <c r="R41" t="s">
        <v>1353</v>
      </c>
      <c r="S41">
        <f>Consulta1[[#This Row],[min_port]]/100</f>
        <v>1.4999999999999999E-2</v>
      </c>
      <c r="T41" s="252">
        <f>Consulta1[[#This Row],[TETO_COMERCIAL]]/100</f>
        <v>2.5000000000000001E-2</v>
      </c>
      <c r="U41" t="b">
        <f>Consulta1[[#This Row],[TETO_COMERCIAL_%]]=Consulta1[[#This Row],[TAXA]]</f>
        <v>0</v>
      </c>
      <c r="V41" t="str">
        <f>CONCATENATE(Consulta1[[#This Row],[MES_ALTERACAO]],Consulta1[[#This Row],[VIRADA]])</f>
        <v>2026055</v>
      </c>
      <c r="W41">
        <f>VLOOKUP(Consulta1[[#This Row],[Coluna2]],CALENDARIO!$J:$K,2,FALSE)</f>
        <v>2</v>
      </c>
    </row>
    <row r="42" spans="1:23" x14ac:dyDescent="0.25">
      <c r="A42" t="s">
        <v>3841</v>
      </c>
      <c r="B42" t="str">
        <f>CONCATENATE(Consulta1[[#This Row],[id]],Consulta1[[#This Row],[EMPREGADOR]])</f>
        <v>5CARAGUAPRE PORT</v>
      </c>
      <c r="C42" s="6">
        <f>IF(A42=A41,C41+1,1)</f>
        <v>5</v>
      </c>
      <c r="D42" t="s">
        <v>801</v>
      </c>
      <c r="E42" s="101">
        <v>2.0899999999999998E-2</v>
      </c>
      <c r="F42" s="6">
        <v>120</v>
      </c>
      <c r="G42" t="s">
        <v>1349</v>
      </c>
      <c r="H42" s="82">
        <v>2.5</v>
      </c>
      <c r="I42">
        <v>10</v>
      </c>
      <c r="K42" t="s">
        <v>1378</v>
      </c>
      <c r="L42" s="6" t="s">
        <v>1374</v>
      </c>
      <c r="M42" s="6">
        <v>5</v>
      </c>
      <c r="N42" s="6">
        <v>2</v>
      </c>
      <c r="O42">
        <v>500</v>
      </c>
      <c r="P42">
        <v>202605</v>
      </c>
      <c r="Q42" t="s">
        <v>377</v>
      </c>
      <c r="R42" t="s">
        <v>1353</v>
      </c>
      <c r="S42">
        <f>Consulta1[[#This Row],[min_port]]/100</f>
        <v>1.4999999999999999E-2</v>
      </c>
      <c r="T42" s="252">
        <f>Consulta1[[#This Row],[TETO_COMERCIAL]]/100</f>
        <v>2.5000000000000001E-2</v>
      </c>
      <c r="U42" t="b">
        <f>Consulta1[[#This Row],[TETO_COMERCIAL_%]]=Consulta1[[#This Row],[TAXA]]</f>
        <v>0</v>
      </c>
      <c r="V42" t="str">
        <f>CONCATENATE(Consulta1[[#This Row],[MES_ALTERACAO]],Consulta1[[#This Row],[VIRADA]])</f>
        <v>2026055</v>
      </c>
      <c r="W42">
        <f>VLOOKUP(Consulta1[[#This Row],[Coluna2]],CALENDARIO!$J:$K,2,FALSE)</f>
        <v>2</v>
      </c>
    </row>
    <row r="43" spans="1:23" x14ac:dyDescent="0.25">
      <c r="A43" t="s">
        <v>3841</v>
      </c>
      <c r="B43" t="str">
        <f>CONCATENATE(Consulta1[[#This Row],[id]],Consulta1[[#This Row],[EMPREGADOR]])</f>
        <v>6CARAGUAPRE PORT</v>
      </c>
      <c r="C43" s="6">
        <f>IF(A43=A42,C42+1,1)</f>
        <v>6</v>
      </c>
      <c r="D43" t="s">
        <v>802</v>
      </c>
      <c r="E43" s="101">
        <v>2.0400000000000001E-2</v>
      </c>
      <c r="F43" s="6">
        <v>120</v>
      </c>
      <c r="G43" t="s">
        <v>1349</v>
      </c>
      <c r="H43" s="82">
        <v>2.5</v>
      </c>
      <c r="I43">
        <v>10</v>
      </c>
      <c r="K43" t="s">
        <v>1379</v>
      </c>
      <c r="L43" s="6" t="s">
        <v>1374</v>
      </c>
      <c r="M43" s="6">
        <v>5</v>
      </c>
      <c r="N43" s="6">
        <v>2</v>
      </c>
      <c r="O43">
        <v>500</v>
      </c>
      <c r="P43">
        <v>202605</v>
      </c>
      <c r="Q43" t="s">
        <v>377</v>
      </c>
      <c r="R43" t="s">
        <v>1353</v>
      </c>
      <c r="S43">
        <f>Consulta1[[#This Row],[min_port]]/100</f>
        <v>1.4999999999999999E-2</v>
      </c>
      <c r="T43" s="252">
        <f>Consulta1[[#This Row],[TETO_COMERCIAL]]/100</f>
        <v>2.5000000000000001E-2</v>
      </c>
      <c r="U43" t="b">
        <f>Consulta1[[#This Row],[TETO_COMERCIAL_%]]=Consulta1[[#This Row],[TAXA]]</f>
        <v>0</v>
      </c>
      <c r="V43" t="str">
        <f>CONCATENATE(Consulta1[[#This Row],[MES_ALTERACAO]],Consulta1[[#This Row],[VIRADA]])</f>
        <v>2026055</v>
      </c>
      <c r="W43">
        <f>VLOOKUP(Consulta1[[#This Row],[Coluna2]],CALENDARIO!$J:$K,2,FALSE)</f>
        <v>2</v>
      </c>
    </row>
    <row r="44" spans="1:23" x14ac:dyDescent="0.25">
      <c r="A44" t="s">
        <v>2331</v>
      </c>
      <c r="B44" t="str">
        <f>CONCATENATE(Consulta1[[#This Row],[id]],Consulta1[[#This Row],[EMPREGADOR]])</f>
        <v>1CODAU - UBERABA</v>
      </c>
      <c r="C44" s="6">
        <f>IF(A44=A43,C43+1,1)</f>
        <v>1</v>
      </c>
      <c r="D44" t="s">
        <v>2332</v>
      </c>
      <c r="E44" s="101">
        <v>2.2000000000000002E-2</v>
      </c>
      <c r="F44" s="6">
        <v>120</v>
      </c>
      <c r="G44" t="s">
        <v>1349</v>
      </c>
      <c r="H44" s="82">
        <v>2.35</v>
      </c>
      <c r="I44">
        <v>17</v>
      </c>
      <c r="K44" t="s">
        <v>2333</v>
      </c>
      <c r="L44" s="6" t="s">
        <v>1374</v>
      </c>
      <c r="M44" s="6">
        <v>10</v>
      </c>
      <c r="N44" s="6">
        <v>2</v>
      </c>
      <c r="O44">
        <v>500</v>
      </c>
      <c r="P44">
        <v>202605</v>
      </c>
      <c r="Q44" t="s">
        <v>377</v>
      </c>
      <c r="R44" t="s">
        <v>1353</v>
      </c>
      <c r="S44">
        <f>Consulta1[[#This Row],[min_port]]/100</f>
        <v>1.4999999999999999E-2</v>
      </c>
      <c r="T44" s="252">
        <f>Consulta1[[#This Row],[TETO_COMERCIAL]]/100</f>
        <v>2.35E-2</v>
      </c>
      <c r="U44" t="b">
        <f>Consulta1[[#This Row],[TETO_COMERCIAL_%]]=Consulta1[[#This Row],[TAXA]]</f>
        <v>0</v>
      </c>
      <c r="V44" t="str">
        <f>CONCATENATE(Consulta1[[#This Row],[MES_ALTERACAO]],Consulta1[[#This Row],[VIRADA]])</f>
        <v>20260510</v>
      </c>
      <c r="W44">
        <f>VLOOKUP(Consulta1[[#This Row],[Coluna2]],CALENDARIO!$J:$K,2,FALSE)</f>
        <v>5</v>
      </c>
    </row>
    <row r="45" spans="1:23" x14ac:dyDescent="0.25">
      <c r="A45" t="s">
        <v>2331</v>
      </c>
      <c r="B45" t="str">
        <f>CONCATENATE(Consulta1[[#This Row],[id]],Consulta1[[#This Row],[EMPREGADOR]])</f>
        <v>2CODAU - UBERABA</v>
      </c>
      <c r="C45" s="6">
        <f>IF(A45=A44,C44+1,1)</f>
        <v>2</v>
      </c>
      <c r="D45" t="s">
        <v>2334</v>
      </c>
      <c r="E45" s="101">
        <v>2.1000000000000001E-2</v>
      </c>
      <c r="F45" s="6">
        <v>120</v>
      </c>
      <c r="G45" t="s">
        <v>1349</v>
      </c>
      <c r="H45" s="82">
        <v>2.35</v>
      </c>
      <c r="I45">
        <v>17</v>
      </c>
      <c r="K45" t="s">
        <v>2335</v>
      </c>
      <c r="L45" s="6" t="s">
        <v>1374</v>
      </c>
      <c r="M45" s="6">
        <v>10</v>
      </c>
      <c r="N45" s="6">
        <v>2</v>
      </c>
      <c r="O45">
        <v>500</v>
      </c>
      <c r="P45">
        <v>202605</v>
      </c>
      <c r="Q45" t="s">
        <v>377</v>
      </c>
      <c r="R45" t="s">
        <v>1353</v>
      </c>
      <c r="S45">
        <f>Consulta1[[#This Row],[min_port]]/100</f>
        <v>1.4999999999999999E-2</v>
      </c>
      <c r="T45" s="252">
        <f>Consulta1[[#This Row],[TETO_COMERCIAL]]/100</f>
        <v>2.35E-2</v>
      </c>
      <c r="U45" t="b">
        <f>Consulta1[[#This Row],[TETO_COMERCIAL_%]]=Consulta1[[#This Row],[TAXA]]</f>
        <v>0</v>
      </c>
      <c r="V45" t="str">
        <f>CONCATENATE(Consulta1[[#This Row],[MES_ALTERACAO]],Consulta1[[#This Row],[VIRADA]])</f>
        <v>20260510</v>
      </c>
      <c r="W45">
        <f>VLOOKUP(Consulta1[[#This Row],[Coluna2]],CALENDARIO!$J:$K,2,FALSE)</f>
        <v>5</v>
      </c>
    </row>
    <row r="46" spans="1:23" x14ac:dyDescent="0.25">
      <c r="A46" t="s">
        <v>2331</v>
      </c>
      <c r="B46" t="str">
        <f>CONCATENATE(Consulta1[[#This Row],[id]],Consulta1[[#This Row],[EMPREGADOR]])</f>
        <v>3CODAU - UBERABA</v>
      </c>
      <c r="C46" s="6">
        <f>IF(A46=A45,C45+1,1)</f>
        <v>3</v>
      </c>
      <c r="D46" t="s">
        <v>2336</v>
      </c>
      <c r="E46" s="101">
        <v>0.02</v>
      </c>
      <c r="F46" s="6">
        <v>120</v>
      </c>
      <c r="G46" t="s">
        <v>1349</v>
      </c>
      <c r="H46" s="82">
        <v>2.35</v>
      </c>
      <c r="I46">
        <v>17</v>
      </c>
      <c r="K46" t="s">
        <v>2337</v>
      </c>
      <c r="L46" s="6" t="s">
        <v>1374</v>
      </c>
      <c r="M46" s="6">
        <v>10</v>
      </c>
      <c r="N46" s="6">
        <v>2</v>
      </c>
      <c r="O46">
        <v>500</v>
      </c>
      <c r="P46">
        <v>202605</v>
      </c>
      <c r="Q46" t="s">
        <v>377</v>
      </c>
      <c r="R46" t="s">
        <v>1353</v>
      </c>
      <c r="S46">
        <f>Consulta1[[#This Row],[min_port]]/100</f>
        <v>1.4999999999999999E-2</v>
      </c>
      <c r="T46" s="252">
        <f>Consulta1[[#This Row],[TETO_COMERCIAL]]/100</f>
        <v>2.35E-2</v>
      </c>
      <c r="U46" t="b">
        <f>Consulta1[[#This Row],[TETO_COMERCIAL_%]]=Consulta1[[#This Row],[TAXA]]</f>
        <v>0</v>
      </c>
      <c r="V46" t="str">
        <f>CONCATENATE(Consulta1[[#This Row],[MES_ALTERACAO]],Consulta1[[#This Row],[VIRADA]])</f>
        <v>20260510</v>
      </c>
      <c r="W46">
        <f>VLOOKUP(Consulta1[[#This Row],[Coluna2]],CALENDARIO!$J:$K,2,FALSE)</f>
        <v>5</v>
      </c>
    </row>
    <row r="47" spans="1:23" x14ac:dyDescent="0.25">
      <c r="A47" t="s">
        <v>3439</v>
      </c>
      <c r="B47" t="str">
        <f>CONCATENATE(Consulta1[[#This Row],[id]],Consulta1[[#This Row],[EMPREGADOR]])</f>
        <v>1COMCAP</v>
      </c>
      <c r="C47" s="6">
        <f>IF(A47=A46,C46+1,1)</f>
        <v>1</v>
      </c>
      <c r="D47" t="s">
        <v>3440</v>
      </c>
      <c r="E47" s="101">
        <v>2.5000000000000001E-2</v>
      </c>
      <c r="F47" s="6">
        <v>120</v>
      </c>
      <c r="G47" t="s">
        <v>1349</v>
      </c>
      <c r="H47" s="82">
        <v>2.5</v>
      </c>
      <c r="I47">
        <v>20</v>
      </c>
      <c r="K47" t="s">
        <v>3441</v>
      </c>
      <c r="L47" s="6" t="s">
        <v>1381</v>
      </c>
      <c r="M47" s="6">
        <v>20</v>
      </c>
      <c r="N47" s="6">
        <v>2</v>
      </c>
      <c r="O47">
        <v>500</v>
      </c>
      <c r="P47">
        <v>202605</v>
      </c>
      <c r="Q47" t="s">
        <v>378</v>
      </c>
      <c r="R47" t="s">
        <v>1353</v>
      </c>
      <c r="S47">
        <f>Consulta1[[#This Row],[min_port]]/100</f>
        <v>1.3999999999999999E-2</v>
      </c>
      <c r="T47" s="252">
        <f>Consulta1[[#This Row],[TETO_COMERCIAL]]/100</f>
        <v>2.5000000000000001E-2</v>
      </c>
      <c r="U47" t="b">
        <f>Consulta1[[#This Row],[TETO_COMERCIAL_%]]=Consulta1[[#This Row],[TAXA]]</f>
        <v>1</v>
      </c>
      <c r="V47" t="str">
        <f>CONCATENATE(Consulta1[[#This Row],[MES_ALTERACAO]],Consulta1[[#This Row],[VIRADA]])</f>
        <v>20260520</v>
      </c>
      <c r="W47">
        <f>VLOOKUP(Consulta1[[#This Row],[Coluna2]],CALENDARIO!$J:$K,2,FALSE)</f>
        <v>13</v>
      </c>
    </row>
    <row r="48" spans="1:23" x14ac:dyDescent="0.25">
      <c r="A48" t="s">
        <v>3439</v>
      </c>
      <c r="B48" t="str">
        <f>CONCATENATE(Consulta1[[#This Row],[id]],Consulta1[[#This Row],[EMPREGADOR]])</f>
        <v>2COMCAP</v>
      </c>
      <c r="C48" s="6">
        <f>IF(A48=A47,C47+1,1)</f>
        <v>2</v>
      </c>
      <c r="D48" t="s">
        <v>3442</v>
      </c>
      <c r="E48" s="101">
        <v>2.2000000000000002E-2</v>
      </c>
      <c r="F48" s="6">
        <v>120</v>
      </c>
      <c r="G48" t="s">
        <v>1349</v>
      </c>
      <c r="H48" s="82">
        <v>2.5</v>
      </c>
      <c r="I48">
        <v>20</v>
      </c>
      <c r="K48" t="s">
        <v>3443</v>
      </c>
      <c r="L48" s="6" t="s">
        <v>1381</v>
      </c>
      <c r="M48" s="6">
        <v>20</v>
      </c>
      <c r="N48" s="6">
        <v>2</v>
      </c>
      <c r="O48">
        <v>500</v>
      </c>
      <c r="P48">
        <v>202605</v>
      </c>
      <c r="Q48" t="s">
        <v>378</v>
      </c>
      <c r="R48" t="s">
        <v>1353</v>
      </c>
      <c r="S48">
        <f>Consulta1[[#This Row],[min_port]]/100</f>
        <v>1.3999999999999999E-2</v>
      </c>
      <c r="T48" s="252">
        <f>Consulta1[[#This Row],[TETO_COMERCIAL]]/100</f>
        <v>2.5000000000000001E-2</v>
      </c>
      <c r="U48" t="b">
        <f>Consulta1[[#This Row],[TETO_COMERCIAL_%]]=Consulta1[[#This Row],[TAXA]]</f>
        <v>0</v>
      </c>
      <c r="V48" t="str">
        <f>CONCATENATE(Consulta1[[#This Row],[MES_ALTERACAO]],Consulta1[[#This Row],[VIRADA]])</f>
        <v>20260520</v>
      </c>
      <c r="W48">
        <f>VLOOKUP(Consulta1[[#This Row],[Coluna2]],CALENDARIO!$J:$K,2,FALSE)</f>
        <v>13</v>
      </c>
    </row>
    <row r="49" spans="1:23" x14ac:dyDescent="0.25">
      <c r="A49" t="s">
        <v>3439</v>
      </c>
      <c r="B49" t="str">
        <f>CONCATENATE(Consulta1[[#This Row],[id]],Consulta1[[#This Row],[EMPREGADOR]])</f>
        <v>3COMCAP</v>
      </c>
      <c r="C49" s="6">
        <f>IF(A49=A48,C48+1,1)</f>
        <v>3</v>
      </c>
      <c r="D49" t="s">
        <v>3444</v>
      </c>
      <c r="E49" s="101">
        <v>0.02</v>
      </c>
      <c r="F49" s="6">
        <v>120</v>
      </c>
      <c r="G49" t="s">
        <v>1349</v>
      </c>
      <c r="H49" s="82">
        <v>2.5</v>
      </c>
      <c r="I49">
        <v>20</v>
      </c>
      <c r="K49" t="s">
        <v>3445</v>
      </c>
      <c r="L49" s="6" t="s">
        <v>1381</v>
      </c>
      <c r="M49" s="6">
        <v>20</v>
      </c>
      <c r="N49" s="6">
        <v>2</v>
      </c>
      <c r="O49">
        <v>500</v>
      </c>
      <c r="P49">
        <v>202605</v>
      </c>
      <c r="Q49" t="s">
        <v>378</v>
      </c>
      <c r="R49" t="s">
        <v>1353</v>
      </c>
      <c r="S49">
        <f>Consulta1[[#This Row],[min_port]]/100</f>
        <v>1.3999999999999999E-2</v>
      </c>
      <c r="T49" s="252">
        <f>Consulta1[[#This Row],[TETO_COMERCIAL]]/100</f>
        <v>2.5000000000000001E-2</v>
      </c>
      <c r="U49" t="b">
        <f>Consulta1[[#This Row],[TETO_COMERCIAL_%]]=Consulta1[[#This Row],[TAXA]]</f>
        <v>0</v>
      </c>
      <c r="V49" t="str">
        <f>CONCATENATE(Consulta1[[#This Row],[MES_ALTERACAO]],Consulta1[[#This Row],[VIRADA]])</f>
        <v>20260520</v>
      </c>
      <c r="W49">
        <f>VLOOKUP(Consulta1[[#This Row],[Coluna2]],CALENDARIO!$J:$K,2,FALSE)</f>
        <v>13</v>
      </c>
    </row>
    <row r="50" spans="1:23" x14ac:dyDescent="0.25">
      <c r="A50" t="s">
        <v>3439</v>
      </c>
      <c r="B50" t="str">
        <f>CONCATENATE(Consulta1[[#This Row],[id]],Consulta1[[#This Row],[EMPREGADOR]])</f>
        <v>4COMCAP</v>
      </c>
      <c r="C50" s="6">
        <f>IF(A50=A49,C49+1,1)</f>
        <v>4</v>
      </c>
      <c r="D50" t="s">
        <v>3446</v>
      </c>
      <c r="E50" s="101">
        <v>1.9E-2</v>
      </c>
      <c r="F50" s="6">
        <v>120</v>
      </c>
      <c r="G50" t="s">
        <v>1349</v>
      </c>
      <c r="H50" s="82">
        <v>2.5</v>
      </c>
      <c r="I50">
        <v>20</v>
      </c>
      <c r="K50" t="s">
        <v>3447</v>
      </c>
      <c r="L50" s="6" t="s">
        <v>1381</v>
      </c>
      <c r="M50" s="6">
        <v>20</v>
      </c>
      <c r="N50" s="6">
        <v>2</v>
      </c>
      <c r="O50">
        <v>500</v>
      </c>
      <c r="P50">
        <v>202605</v>
      </c>
      <c r="Q50" t="s">
        <v>378</v>
      </c>
      <c r="R50" t="s">
        <v>1353</v>
      </c>
      <c r="S50">
        <f>Consulta1[[#This Row],[min_port]]/100</f>
        <v>1.3999999999999999E-2</v>
      </c>
      <c r="T50" s="252">
        <f>Consulta1[[#This Row],[TETO_COMERCIAL]]/100</f>
        <v>2.5000000000000001E-2</v>
      </c>
      <c r="U50" t="b">
        <f>Consulta1[[#This Row],[TETO_COMERCIAL_%]]=Consulta1[[#This Row],[TAXA]]</f>
        <v>0</v>
      </c>
      <c r="V50" t="str">
        <f>CONCATENATE(Consulta1[[#This Row],[MES_ALTERACAO]],Consulta1[[#This Row],[VIRADA]])</f>
        <v>20260520</v>
      </c>
      <c r="W50">
        <f>VLOOKUP(Consulta1[[#This Row],[Coluna2]],CALENDARIO!$J:$K,2,FALSE)</f>
        <v>13</v>
      </c>
    </row>
    <row r="51" spans="1:23" x14ac:dyDescent="0.25">
      <c r="A51" t="s">
        <v>3439</v>
      </c>
      <c r="B51" t="str">
        <f>CONCATENATE(Consulta1[[#This Row],[id]],Consulta1[[#This Row],[EMPREGADOR]])</f>
        <v>5COMCAP</v>
      </c>
      <c r="C51" s="6">
        <f>IF(A51=A50,C50+1,1)</f>
        <v>5</v>
      </c>
      <c r="D51" t="s">
        <v>3448</v>
      </c>
      <c r="E51" s="101">
        <v>1.8500000000000003E-2</v>
      </c>
      <c r="F51" s="6">
        <v>120</v>
      </c>
      <c r="G51" t="s">
        <v>1349</v>
      </c>
      <c r="H51" s="82">
        <v>2.5</v>
      </c>
      <c r="I51">
        <v>20</v>
      </c>
      <c r="K51" t="s">
        <v>3449</v>
      </c>
      <c r="L51" s="6" t="s">
        <v>1381</v>
      </c>
      <c r="M51" s="6">
        <v>20</v>
      </c>
      <c r="N51" s="6">
        <v>2</v>
      </c>
      <c r="O51">
        <v>500</v>
      </c>
      <c r="P51">
        <v>202605</v>
      </c>
      <c r="Q51" t="s">
        <v>378</v>
      </c>
      <c r="R51" t="s">
        <v>1353</v>
      </c>
      <c r="S51">
        <f>Consulta1[[#This Row],[min_port]]/100</f>
        <v>1.3999999999999999E-2</v>
      </c>
      <c r="T51" s="252">
        <f>Consulta1[[#This Row],[TETO_COMERCIAL]]/100</f>
        <v>2.5000000000000001E-2</v>
      </c>
      <c r="U51" t="b">
        <f>Consulta1[[#This Row],[TETO_COMERCIAL_%]]=Consulta1[[#This Row],[TAXA]]</f>
        <v>0</v>
      </c>
      <c r="V51" t="str">
        <f>CONCATENATE(Consulta1[[#This Row],[MES_ALTERACAO]],Consulta1[[#This Row],[VIRADA]])</f>
        <v>20260520</v>
      </c>
      <c r="W51">
        <f>VLOOKUP(Consulta1[[#This Row],[Coluna2]],CALENDARIO!$J:$K,2,FALSE)</f>
        <v>13</v>
      </c>
    </row>
    <row r="52" spans="1:23" x14ac:dyDescent="0.25">
      <c r="A52" t="s">
        <v>2995</v>
      </c>
      <c r="B52" t="str">
        <f>CONCATENATE(Consulta1[[#This Row],[id]],Consulta1[[#This Row],[EMPREGADOR]])</f>
        <v>1CUIABAPREV</v>
      </c>
      <c r="C52" s="6">
        <f>IF(A52=A51,C51+1,1)</f>
        <v>1</v>
      </c>
      <c r="D52" t="s">
        <v>522</v>
      </c>
      <c r="E52" s="101">
        <v>2.5000000000000001E-2</v>
      </c>
      <c r="F52" s="6">
        <v>96</v>
      </c>
      <c r="G52" t="s">
        <v>1349</v>
      </c>
      <c r="H52" s="82">
        <v>2.5</v>
      </c>
      <c r="I52">
        <v>30</v>
      </c>
      <c r="J52">
        <v>69</v>
      </c>
      <c r="K52" t="s">
        <v>1380</v>
      </c>
      <c r="L52" s="6" t="s">
        <v>1381</v>
      </c>
      <c r="M52" s="6">
        <v>10</v>
      </c>
      <c r="N52" s="6">
        <v>2</v>
      </c>
      <c r="O52">
        <v>500</v>
      </c>
      <c r="P52">
        <v>202605</v>
      </c>
      <c r="Q52" t="s">
        <v>377</v>
      </c>
      <c r="R52" t="s">
        <v>1353</v>
      </c>
      <c r="S52">
        <f>Consulta1[[#This Row],[min_port]]/100</f>
        <v>1.3999999999999999E-2</v>
      </c>
      <c r="T52" s="252">
        <f>Consulta1[[#This Row],[TETO_COMERCIAL]]/100</f>
        <v>2.5000000000000001E-2</v>
      </c>
      <c r="U52" t="b">
        <f>Consulta1[[#This Row],[TETO_COMERCIAL_%]]=Consulta1[[#This Row],[TAXA]]</f>
        <v>1</v>
      </c>
      <c r="V52" t="str">
        <f>CONCATENATE(Consulta1[[#This Row],[MES_ALTERACAO]],Consulta1[[#This Row],[VIRADA]])</f>
        <v>20260510</v>
      </c>
      <c r="W52">
        <f>VLOOKUP(Consulta1[[#This Row],[Coluna2]],CALENDARIO!$J:$K,2,FALSE)</f>
        <v>5</v>
      </c>
    </row>
    <row r="53" spans="1:23" x14ac:dyDescent="0.25">
      <c r="A53" t="s">
        <v>2995</v>
      </c>
      <c r="B53" t="str">
        <f>CONCATENATE(Consulta1[[#This Row],[id]],Consulta1[[#This Row],[EMPREGADOR]])</f>
        <v>2CUIABAPREV</v>
      </c>
      <c r="C53" s="6">
        <f>IF(A53=A52,C52+1,1)</f>
        <v>2</v>
      </c>
      <c r="D53" t="s">
        <v>523</v>
      </c>
      <c r="E53" s="101">
        <v>2.2499999999999999E-2</v>
      </c>
      <c r="F53" s="6">
        <v>96</v>
      </c>
      <c r="G53" t="s">
        <v>1349</v>
      </c>
      <c r="H53" s="82">
        <v>2.5</v>
      </c>
      <c r="I53">
        <v>30</v>
      </c>
      <c r="J53">
        <v>64</v>
      </c>
      <c r="K53" t="s">
        <v>1382</v>
      </c>
      <c r="L53" s="6" t="s">
        <v>1381</v>
      </c>
      <c r="M53" s="6">
        <v>10</v>
      </c>
      <c r="N53" s="6">
        <v>2</v>
      </c>
      <c r="O53">
        <v>500</v>
      </c>
      <c r="P53">
        <v>202605</v>
      </c>
      <c r="Q53" t="s">
        <v>377</v>
      </c>
      <c r="R53" t="s">
        <v>1353</v>
      </c>
      <c r="S53">
        <f>Consulta1[[#This Row],[min_port]]/100</f>
        <v>1.3999999999999999E-2</v>
      </c>
      <c r="T53" s="252">
        <f>Consulta1[[#This Row],[TETO_COMERCIAL]]/100</f>
        <v>2.5000000000000001E-2</v>
      </c>
      <c r="U53" t="b">
        <f>Consulta1[[#This Row],[TETO_COMERCIAL_%]]=Consulta1[[#This Row],[TAXA]]</f>
        <v>0</v>
      </c>
      <c r="V53" t="str">
        <f>CONCATENATE(Consulta1[[#This Row],[MES_ALTERACAO]],Consulta1[[#This Row],[VIRADA]])</f>
        <v>20260510</v>
      </c>
      <c r="W53">
        <f>VLOOKUP(Consulta1[[#This Row],[Coluna2]],CALENDARIO!$J:$K,2,FALSE)</f>
        <v>5</v>
      </c>
    </row>
    <row r="54" spans="1:23" x14ac:dyDescent="0.25">
      <c r="A54" t="s">
        <v>2995</v>
      </c>
      <c r="B54" t="str">
        <f>CONCATENATE(Consulta1[[#This Row],[id]],Consulta1[[#This Row],[EMPREGADOR]])</f>
        <v>3CUIABAPREV</v>
      </c>
      <c r="C54" s="6">
        <f>IF(A54=A53,C53+1,1)</f>
        <v>3</v>
      </c>
      <c r="D54" t="s">
        <v>524</v>
      </c>
      <c r="E54" s="101">
        <v>2.2000000000000002E-2</v>
      </c>
      <c r="F54" s="6">
        <v>96</v>
      </c>
      <c r="G54" t="s">
        <v>1349</v>
      </c>
      <c r="H54" s="82">
        <v>2.5</v>
      </c>
      <c r="I54">
        <v>30</v>
      </c>
      <c r="J54">
        <v>66</v>
      </c>
      <c r="K54" t="s">
        <v>1383</v>
      </c>
      <c r="L54" s="6" t="s">
        <v>1381</v>
      </c>
      <c r="M54" s="6">
        <v>10</v>
      </c>
      <c r="N54" s="6">
        <v>2</v>
      </c>
      <c r="O54">
        <v>500</v>
      </c>
      <c r="P54">
        <v>202605</v>
      </c>
      <c r="Q54" t="s">
        <v>377</v>
      </c>
      <c r="R54" t="s">
        <v>1353</v>
      </c>
      <c r="S54">
        <f>Consulta1[[#This Row],[min_port]]/100</f>
        <v>1.3999999999999999E-2</v>
      </c>
      <c r="T54" s="252">
        <f>Consulta1[[#This Row],[TETO_COMERCIAL]]/100</f>
        <v>2.5000000000000001E-2</v>
      </c>
      <c r="U54" t="b">
        <f>Consulta1[[#This Row],[TETO_COMERCIAL_%]]=Consulta1[[#This Row],[TAXA]]</f>
        <v>0</v>
      </c>
      <c r="V54" t="str">
        <f>CONCATENATE(Consulta1[[#This Row],[MES_ALTERACAO]],Consulta1[[#This Row],[VIRADA]])</f>
        <v>20260510</v>
      </c>
      <c r="W54">
        <f>VLOOKUP(Consulta1[[#This Row],[Coluna2]],CALENDARIO!$J:$K,2,FALSE)</f>
        <v>5</v>
      </c>
    </row>
    <row r="55" spans="1:23" x14ac:dyDescent="0.25">
      <c r="A55" t="s">
        <v>2995</v>
      </c>
      <c r="B55" t="str">
        <f>CONCATENATE(Consulta1[[#This Row],[id]],Consulta1[[#This Row],[EMPREGADOR]])</f>
        <v>4CUIABAPREV</v>
      </c>
      <c r="C55" s="6">
        <f>IF(A55=A54,C54+1,1)</f>
        <v>4</v>
      </c>
      <c r="D55" t="s">
        <v>1047</v>
      </c>
      <c r="E55" s="101">
        <v>2.1000000000000001E-2</v>
      </c>
      <c r="F55" s="6">
        <v>96</v>
      </c>
      <c r="G55" t="s">
        <v>1349</v>
      </c>
      <c r="H55" s="82">
        <v>2.5</v>
      </c>
      <c r="I55">
        <v>30</v>
      </c>
      <c r="J55">
        <v>62</v>
      </c>
      <c r="K55" t="s">
        <v>1384</v>
      </c>
      <c r="L55" s="6" t="s">
        <v>1381</v>
      </c>
      <c r="M55" s="6">
        <v>10</v>
      </c>
      <c r="N55" s="6">
        <v>2</v>
      </c>
      <c r="O55">
        <v>500</v>
      </c>
      <c r="P55">
        <v>202605</v>
      </c>
      <c r="Q55" t="s">
        <v>377</v>
      </c>
      <c r="R55" t="s">
        <v>1353</v>
      </c>
      <c r="S55">
        <f>Consulta1[[#This Row],[min_port]]/100</f>
        <v>1.3999999999999999E-2</v>
      </c>
      <c r="T55" s="252">
        <f>Consulta1[[#This Row],[TETO_COMERCIAL]]/100</f>
        <v>2.5000000000000001E-2</v>
      </c>
      <c r="U55" t="b">
        <f>Consulta1[[#This Row],[TETO_COMERCIAL_%]]=Consulta1[[#This Row],[TAXA]]</f>
        <v>0</v>
      </c>
      <c r="V55" t="str">
        <f>CONCATENATE(Consulta1[[#This Row],[MES_ALTERACAO]],Consulta1[[#This Row],[VIRADA]])</f>
        <v>20260510</v>
      </c>
      <c r="W55">
        <f>VLOOKUP(Consulta1[[#This Row],[Coluna2]],CALENDARIO!$J:$K,2,FALSE)</f>
        <v>5</v>
      </c>
    </row>
    <row r="56" spans="1:23" x14ac:dyDescent="0.25">
      <c r="A56" t="s">
        <v>2995</v>
      </c>
      <c r="B56" t="str">
        <f>CONCATENATE(Consulta1[[#This Row],[id]],Consulta1[[#This Row],[EMPREGADOR]])</f>
        <v>5CUIABAPREV</v>
      </c>
      <c r="C56" s="6">
        <f>IF(A56=A55,C55+1,1)</f>
        <v>5</v>
      </c>
      <c r="D56" t="s">
        <v>1048</v>
      </c>
      <c r="E56" s="101">
        <v>0.02</v>
      </c>
      <c r="F56" s="6">
        <v>96</v>
      </c>
      <c r="G56" t="s">
        <v>1349</v>
      </c>
      <c r="H56" s="82">
        <v>2.5</v>
      </c>
      <c r="I56">
        <v>30</v>
      </c>
      <c r="J56">
        <v>69</v>
      </c>
      <c r="K56" t="s">
        <v>1385</v>
      </c>
      <c r="L56" s="6" t="s">
        <v>1381</v>
      </c>
      <c r="M56" s="6">
        <v>10</v>
      </c>
      <c r="N56" s="6">
        <v>2</v>
      </c>
      <c r="O56">
        <v>500</v>
      </c>
      <c r="P56">
        <v>202605</v>
      </c>
      <c r="Q56" t="s">
        <v>377</v>
      </c>
      <c r="R56" t="s">
        <v>1353</v>
      </c>
      <c r="S56">
        <f>Consulta1[[#This Row],[min_port]]/100</f>
        <v>1.3999999999999999E-2</v>
      </c>
      <c r="T56" s="252">
        <f>Consulta1[[#This Row],[TETO_COMERCIAL]]/100</f>
        <v>2.5000000000000001E-2</v>
      </c>
      <c r="U56" t="b">
        <f>Consulta1[[#This Row],[TETO_COMERCIAL_%]]=Consulta1[[#This Row],[TAXA]]</f>
        <v>0</v>
      </c>
      <c r="V56" t="str">
        <f>CONCATENATE(Consulta1[[#This Row],[MES_ALTERACAO]],Consulta1[[#This Row],[VIRADA]])</f>
        <v>20260510</v>
      </c>
      <c r="W56">
        <f>VLOOKUP(Consulta1[[#This Row],[Coluna2]],CALENDARIO!$J:$K,2,FALSE)</f>
        <v>5</v>
      </c>
    </row>
    <row r="57" spans="1:23" x14ac:dyDescent="0.25">
      <c r="A57" t="s">
        <v>2995</v>
      </c>
      <c r="B57" t="str">
        <f>CONCATENATE(Consulta1[[#This Row],[id]],Consulta1[[#This Row],[EMPREGADOR]])</f>
        <v>6CUIABAPREV</v>
      </c>
      <c r="C57" s="6">
        <f>IF(A57=A56,C56+1,1)</f>
        <v>6</v>
      </c>
      <c r="D57" t="s">
        <v>1049</v>
      </c>
      <c r="E57" s="101">
        <v>1.95E-2</v>
      </c>
      <c r="F57" s="6">
        <v>96</v>
      </c>
      <c r="G57" t="s">
        <v>1349</v>
      </c>
      <c r="H57" s="82">
        <v>2.5</v>
      </c>
      <c r="I57">
        <v>30</v>
      </c>
      <c r="K57" t="s">
        <v>1386</v>
      </c>
      <c r="L57" s="6" t="s">
        <v>1381</v>
      </c>
      <c r="M57" s="6">
        <v>10</v>
      </c>
      <c r="N57" s="6">
        <v>2</v>
      </c>
      <c r="O57">
        <v>500</v>
      </c>
      <c r="P57">
        <v>202605</v>
      </c>
      <c r="Q57" t="s">
        <v>377</v>
      </c>
      <c r="R57" t="s">
        <v>1353</v>
      </c>
      <c r="S57">
        <f>Consulta1[[#This Row],[min_port]]/100</f>
        <v>1.3999999999999999E-2</v>
      </c>
      <c r="T57" s="252">
        <f>Consulta1[[#This Row],[TETO_COMERCIAL]]/100</f>
        <v>2.5000000000000001E-2</v>
      </c>
      <c r="U57" t="b">
        <f>Consulta1[[#This Row],[TETO_COMERCIAL_%]]=Consulta1[[#This Row],[TAXA]]</f>
        <v>0</v>
      </c>
      <c r="V57" t="str">
        <f>CONCATENATE(Consulta1[[#This Row],[MES_ALTERACAO]],Consulta1[[#This Row],[VIRADA]])</f>
        <v>20260510</v>
      </c>
      <c r="W57">
        <f>VLOOKUP(Consulta1[[#This Row],[Coluna2]],CALENDARIO!$J:$K,2,FALSE)</f>
        <v>5</v>
      </c>
    </row>
    <row r="58" spans="1:23" x14ac:dyDescent="0.25">
      <c r="A58" t="s">
        <v>2995</v>
      </c>
      <c r="B58" t="str">
        <f>CONCATENATE(Consulta1[[#This Row],[id]],Consulta1[[#This Row],[EMPREGADOR]])</f>
        <v>7CUIABAPREV</v>
      </c>
      <c r="C58" s="6">
        <f>IF(A58=A57,C57+1,1)</f>
        <v>7</v>
      </c>
      <c r="D58" t="s">
        <v>1302</v>
      </c>
      <c r="E58" s="101">
        <v>1.8500000000000003E-2</v>
      </c>
      <c r="F58" s="6">
        <v>96</v>
      </c>
      <c r="G58" t="s">
        <v>1349</v>
      </c>
      <c r="H58" s="82">
        <v>2.5</v>
      </c>
      <c r="I58">
        <v>30</v>
      </c>
      <c r="J58">
        <v>63</v>
      </c>
      <c r="K58" t="s">
        <v>1387</v>
      </c>
      <c r="L58" s="6" t="s">
        <v>1381</v>
      </c>
      <c r="M58" s="6">
        <v>10</v>
      </c>
      <c r="N58" s="6">
        <v>2</v>
      </c>
      <c r="O58">
        <v>500</v>
      </c>
      <c r="P58">
        <v>202605</v>
      </c>
      <c r="Q58" t="s">
        <v>377</v>
      </c>
      <c r="R58" t="s">
        <v>1353</v>
      </c>
      <c r="S58">
        <f>Consulta1[[#This Row],[min_port]]/100</f>
        <v>1.3999999999999999E-2</v>
      </c>
      <c r="T58" s="252">
        <f>Consulta1[[#This Row],[TETO_COMERCIAL]]/100</f>
        <v>2.5000000000000001E-2</v>
      </c>
      <c r="U58" t="b">
        <f>Consulta1[[#This Row],[TETO_COMERCIAL_%]]=Consulta1[[#This Row],[TAXA]]</f>
        <v>0</v>
      </c>
      <c r="V58" t="str">
        <f>CONCATENATE(Consulta1[[#This Row],[MES_ALTERACAO]],Consulta1[[#This Row],[VIRADA]])</f>
        <v>20260510</v>
      </c>
      <c r="W58">
        <f>VLOOKUP(Consulta1[[#This Row],[Coluna2]],CALENDARIO!$J:$K,2,FALSE)</f>
        <v>5</v>
      </c>
    </row>
    <row r="59" spans="1:23" x14ac:dyDescent="0.25">
      <c r="A59" t="s">
        <v>2995</v>
      </c>
      <c r="B59" t="str">
        <f>CONCATENATE(Consulta1[[#This Row],[id]],Consulta1[[#This Row],[EMPREGADOR]])</f>
        <v>8CUIABAPREV</v>
      </c>
      <c r="C59" s="6">
        <f>IF(A59=A58,C58+1,1)</f>
        <v>8</v>
      </c>
      <c r="D59" t="s">
        <v>1303</v>
      </c>
      <c r="E59" s="101">
        <v>1.78E-2</v>
      </c>
      <c r="F59" s="6">
        <v>96</v>
      </c>
      <c r="G59" t="s">
        <v>1349</v>
      </c>
      <c r="H59" s="82">
        <v>2.5</v>
      </c>
      <c r="I59">
        <v>30</v>
      </c>
      <c r="J59">
        <v>64</v>
      </c>
      <c r="K59" t="s">
        <v>1388</v>
      </c>
      <c r="L59" s="6" t="s">
        <v>1381</v>
      </c>
      <c r="M59" s="6">
        <v>10</v>
      </c>
      <c r="N59" s="6">
        <v>2</v>
      </c>
      <c r="O59">
        <v>500</v>
      </c>
      <c r="P59">
        <v>202605</v>
      </c>
      <c r="Q59" t="s">
        <v>377</v>
      </c>
      <c r="R59" t="s">
        <v>1353</v>
      </c>
      <c r="S59">
        <f>Consulta1[[#This Row],[min_port]]/100</f>
        <v>1.3999999999999999E-2</v>
      </c>
      <c r="T59" s="252">
        <f>Consulta1[[#This Row],[TETO_COMERCIAL]]/100</f>
        <v>2.5000000000000001E-2</v>
      </c>
      <c r="U59" t="b">
        <f>Consulta1[[#This Row],[TETO_COMERCIAL_%]]=Consulta1[[#This Row],[TAXA]]</f>
        <v>0</v>
      </c>
      <c r="V59" t="str">
        <f>CONCATENATE(Consulta1[[#This Row],[MES_ALTERACAO]],Consulta1[[#This Row],[VIRADA]])</f>
        <v>20260510</v>
      </c>
      <c r="W59">
        <f>VLOOKUP(Consulta1[[#This Row],[Coluna2]],CALENDARIO!$J:$K,2,FALSE)</f>
        <v>5</v>
      </c>
    </row>
    <row r="60" spans="1:23" x14ac:dyDescent="0.25">
      <c r="A60" t="s">
        <v>2995</v>
      </c>
      <c r="B60" t="str">
        <f>CONCATENATE(Consulta1[[#This Row],[id]],Consulta1[[#This Row],[EMPREGADOR]])</f>
        <v>9CUIABAPREV</v>
      </c>
      <c r="C60" s="6">
        <f>IF(A60=A59,C59+1,1)</f>
        <v>9</v>
      </c>
      <c r="D60" t="s">
        <v>1304</v>
      </c>
      <c r="E60" s="101">
        <v>1.7500000000000002E-2</v>
      </c>
      <c r="F60" s="6">
        <v>96</v>
      </c>
      <c r="G60" t="s">
        <v>1349</v>
      </c>
      <c r="H60" s="82">
        <v>2.5</v>
      </c>
      <c r="I60">
        <v>30</v>
      </c>
      <c r="J60">
        <v>66</v>
      </c>
      <c r="K60" t="s">
        <v>1389</v>
      </c>
      <c r="L60" s="6" t="s">
        <v>1381</v>
      </c>
      <c r="M60" s="6">
        <v>10</v>
      </c>
      <c r="N60" s="6">
        <v>2</v>
      </c>
      <c r="O60">
        <v>500</v>
      </c>
      <c r="P60">
        <v>202605</v>
      </c>
      <c r="Q60" t="s">
        <v>377</v>
      </c>
      <c r="R60" t="s">
        <v>1353</v>
      </c>
      <c r="S60">
        <f>Consulta1[[#This Row],[min_port]]/100</f>
        <v>1.3999999999999999E-2</v>
      </c>
      <c r="T60" s="252">
        <f>Consulta1[[#This Row],[TETO_COMERCIAL]]/100</f>
        <v>2.5000000000000001E-2</v>
      </c>
      <c r="U60" t="b">
        <f>Consulta1[[#This Row],[TETO_COMERCIAL_%]]=Consulta1[[#This Row],[TAXA]]</f>
        <v>0</v>
      </c>
      <c r="V60" t="str">
        <f>CONCATENATE(Consulta1[[#This Row],[MES_ALTERACAO]],Consulta1[[#This Row],[VIRADA]])</f>
        <v>20260510</v>
      </c>
      <c r="W60">
        <f>VLOOKUP(Consulta1[[#This Row],[Coluna2]],CALENDARIO!$J:$K,2,FALSE)</f>
        <v>5</v>
      </c>
    </row>
    <row r="61" spans="1:23" x14ac:dyDescent="0.25">
      <c r="A61" t="s">
        <v>2996</v>
      </c>
      <c r="B61" t="str">
        <f>CONCATENATE(Consulta1[[#This Row],[id]],Consulta1[[#This Row],[EMPREGADOR]])</f>
        <v>1DEP EST ROD DER</v>
      </c>
      <c r="C61" s="6">
        <f>IF(A61=A60,C60+1,1)</f>
        <v>1</v>
      </c>
      <c r="D61" t="s">
        <v>1023</v>
      </c>
      <c r="E61" s="101">
        <v>2.5000000000000001E-2</v>
      </c>
      <c r="F61" s="6">
        <v>120</v>
      </c>
      <c r="G61" t="s">
        <v>1349</v>
      </c>
      <c r="H61" s="82">
        <v>2.5</v>
      </c>
      <c r="I61">
        <v>21</v>
      </c>
      <c r="J61">
        <v>55</v>
      </c>
      <c r="K61" t="s">
        <v>1390</v>
      </c>
      <c r="L61" s="6" t="s">
        <v>1374</v>
      </c>
      <c r="M61" s="6">
        <v>10</v>
      </c>
      <c r="N61" s="6">
        <v>2</v>
      </c>
      <c r="O61">
        <v>500</v>
      </c>
      <c r="P61">
        <v>202605</v>
      </c>
      <c r="Q61" t="s">
        <v>377</v>
      </c>
      <c r="R61" t="s">
        <v>1353</v>
      </c>
      <c r="S61">
        <f>Consulta1[[#This Row],[min_port]]/100</f>
        <v>1.4999999999999999E-2</v>
      </c>
      <c r="T61" s="252">
        <f>Consulta1[[#This Row],[TETO_COMERCIAL]]/100</f>
        <v>2.5000000000000001E-2</v>
      </c>
      <c r="U61" t="b">
        <f>Consulta1[[#This Row],[TETO_COMERCIAL_%]]=Consulta1[[#This Row],[TAXA]]</f>
        <v>1</v>
      </c>
      <c r="V61" t="str">
        <f>CONCATENATE(Consulta1[[#This Row],[MES_ALTERACAO]],Consulta1[[#This Row],[VIRADA]])</f>
        <v>20260510</v>
      </c>
      <c r="W61">
        <f>VLOOKUP(Consulta1[[#This Row],[Coluna2]],CALENDARIO!$J:$K,2,FALSE)</f>
        <v>5</v>
      </c>
    </row>
    <row r="62" spans="1:23" x14ac:dyDescent="0.25">
      <c r="A62" t="s">
        <v>2996</v>
      </c>
      <c r="B62" t="str">
        <f>CONCATENATE(Consulta1[[#This Row],[id]],Consulta1[[#This Row],[EMPREGADOR]])</f>
        <v>2DEP EST ROD DER</v>
      </c>
      <c r="C62" s="6">
        <f>IF(A62=A61,C61+1,1)</f>
        <v>2</v>
      </c>
      <c r="D62" t="s">
        <v>1024</v>
      </c>
      <c r="E62" s="101">
        <v>2.4E-2</v>
      </c>
      <c r="F62" s="6">
        <v>120</v>
      </c>
      <c r="G62" t="s">
        <v>1349</v>
      </c>
      <c r="H62" s="82">
        <v>2.5</v>
      </c>
      <c r="I62">
        <v>21</v>
      </c>
      <c r="K62" t="s">
        <v>1391</v>
      </c>
      <c r="L62" s="6" t="s">
        <v>1374</v>
      </c>
      <c r="M62" s="6">
        <v>10</v>
      </c>
      <c r="N62" s="6">
        <v>2</v>
      </c>
      <c r="O62">
        <v>500</v>
      </c>
      <c r="P62">
        <v>202605</v>
      </c>
      <c r="Q62" t="s">
        <v>377</v>
      </c>
      <c r="R62" t="s">
        <v>1353</v>
      </c>
      <c r="S62">
        <f>Consulta1[[#This Row],[min_port]]/100</f>
        <v>1.4999999999999999E-2</v>
      </c>
      <c r="T62" s="252">
        <f>Consulta1[[#This Row],[TETO_COMERCIAL]]/100</f>
        <v>2.5000000000000001E-2</v>
      </c>
      <c r="U62" t="b">
        <f>Consulta1[[#This Row],[TETO_COMERCIAL_%]]=Consulta1[[#This Row],[TAXA]]</f>
        <v>0</v>
      </c>
      <c r="V62" t="str">
        <f>CONCATENATE(Consulta1[[#This Row],[MES_ALTERACAO]],Consulta1[[#This Row],[VIRADA]])</f>
        <v>20260510</v>
      </c>
      <c r="W62">
        <f>VLOOKUP(Consulta1[[#This Row],[Coluna2]],CALENDARIO!$J:$K,2,FALSE)</f>
        <v>5</v>
      </c>
    </row>
    <row r="63" spans="1:23" x14ac:dyDescent="0.25">
      <c r="A63" t="s">
        <v>2996</v>
      </c>
      <c r="B63" t="str">
        <f>CONCATENATE(Consulta1[[#This Row],[id]],Consulta1[[#This Row],[EMPREGADOR]])</f>
        <v>3DEP EST ROD DER</v>
      </c>
      <c r="C63" s="6">
        <f>IF(A63=A62,C62+1,1)</f>
        <v>3</v>
      </c>
      <c r="D63" t="s">
        <v>1025</v>
      </c>
      <c r="E63" s="101">
        <v>2.3E-2</v>
      </c>
      <c r="F63" s="6">
        <v>120</v>
      </c>
      <c r="G63" t="s">
        <v>1349</v>
      </c>
      <c r="H63" s="82">
        <v>2.5</v>
      </c>
      <c r="I63">
        <v>21</v>
      </c>
      <c r="K63" t="s">
        <v>1392</v>
      </c>
      <c r="L63" s="6" t="s">
        <v>1374</v>
      </c>
      <c r="M63" s="6">
        <v>10</v>
      </c>
      <c r="N63" s="6">
        <v>2</v>
      </c>
      <c r="O63">
        <v>500</v>
      </c>
      <c r="P63">
        <v>202605</v>
      </c>
      <c r="Q63" t="s">
        <v>377</v>
      </c>
      <c r="R63" t="s">
        <v>1353</v>
      </c>
      <c r="S63">
        <f>Consulta1[[#This Row],[min_port]]/100</f>
        <v>1.4999999999999999E-2</v>
      </c>
      <c r="T63" s="252">
        <f>Consulta1[[#This Row],[TETO_COMERCIAL]]/100</f>
        <v>2.5000000000000001E-2</v>
      </c>
      <c r="U63" t="b">
        <f>Consulta1[[#This Row],[TETO_COMERCIAL_%]]=Consulta1[[#This Row],[TAXA]]</f>
        <v>0</v>
      </c>
      <c r="V63" t="str">
        <f>CONCATENATE(Consulta1[[#This Row],[MES_ALTERACAO]],Consulta1[[#This Row],[VIRADA]])</f>
        <v>20260510</v>
      </c>
      <c r="W63">
        <f>VLOOKUP(Consulta1[[#This Row],[Coluna2]],CALENDARIO!$J:$K,2,FALSE)</f>
        <v>5</v>
      </c>
    </row>
    <row r="64" spans="1:23" x14ac:dyDescent="0.25">
      <c r="A64" t="s">
        <v>2996</v>
      </c>
      <c r="B64" t="str">
        <f>CONCATENATE(Consulta1[[#This Row],[id]],Consulta1[[#This Row],[EMPREGADOR]])</f>
        <v>4DEP EST ROD DER</v>
      </c>
      <c r="C64" s="6">
        <f>IF(A64=A63,C63+1,1)</f>
        <v>4</v>
      </c>
      <c r="D64" t="s">
        <v>3153</v>
      </c>
      <c r="E64" s="101">
        <v>2.2000000000000002E-2</v>
      </c>
      <c r="F64" s="6">
        <v>120</v>
      </c>
      <c r="G64" t="s">
        <v>1349</v>
      </c>
      <c r="H64" s="82">
        <v>2.5</v>
      </c>
      <c r="I64">
        <v>21</v>
      </c>
      <c r="K64" t="s">
        <v>3154</v>
      </c>
      <c r="L64" s="6" t="s">
        <v>1374</v>
      </c>
      <c r="M64" s="6">
        <v>10</v>
      </c>
      <c r="N64" s="6">
        <v>2</v>
      </c>
      <c r="O64">
        <v>500</v>
      </c>
      <c r="P64">
        <v>202605</v>
      </c>
      <c r="Q64" t="s">
        <v>377</v>
      </c>
      <c r="R64" t="s">
        <v>1353</v>
      </c>
      <c r="S64">
        <f>Consulta1[[#This Row],[min_port]]/100</f>
        <v>1.4999999999999999E-2</v>
      </c>
      <c r="T64" s="252">
        <f>Consulta1[[#This Row],[TETO_COMERCIAL]]/100</f>
        <v>2.5000000000000001E-2</v>
      </c>
      <c r="U64" t="b">
        <f>Consulta1[[#This Row],[TETO_COMERCIAL_%]]=Consulta1[[#This Row],[TAXA]]</f>
        <v>0</v>
      </c>
      <c r="V64" t="str">
        <f>CONCATENATE(Consulta1[[#This Row],[MES_ALTERACAO]],Consulta1[[#This Row],[VIRADA]])</f>
        <v>20260510</v>
      </c>
      <c r="W64">
        <f>VLOOKUP(Consulta1[[#This Row],[Coluna2]],CALENDARIO!$J:$K,2,FALSE)</f>
        <v>5</v>
      </c>
    </row>
    <row r="65" spans="1:23" x14ac:dyDescent="0.25">
      <c r="A65" t="s">
        <v>2996</v>
      </c>
      <c r="B65" t="str">
        <f>CONCATENATE(Consulta1[[#This Row],[id]],Consulta1[[#This Row],[EMPREGADOR]])</f>
        <v>5DEP EST ROD DER</v>
      </c>
      <c r="C65" s="6">
        <f>IF(A65=A64,C64+1,1)</f>
        <v>5</v>
      </c>
      <c r="D65" t="s">
        <v>3155</v>
      </c>
      <c r="E65" s="101">
        <v>2.1000000000000001E-2</v>
      </c>
      <c r="F65" s="6">
        <v>120</v>
      </c>
      <c r="G65" t="s">
        <v>1349</v>
      </c>
      <c r="H65" s="82">
        <v>2.5</v>
      </c>
      <c r="I65">
        <v>21</v>
      </c>
      <c r="K65" t="s">
        <v>3156</v>
      </c>
      <c r="L65" s="6" t="s">
        <v>1374</v>
      </c>
      <c r="M65" s="6">
        <v>10</v>
      </c>
      <c r="N65" s="6">
        <v>2</v>
      </c>
      <c r="O65">
        <v>500</v>
      </c>
      <c r="P65">
        <v>202605</v>
      </c>
      <c r="Q65" t="s">
        <v>377</v>
      </c>
      <c r="R65" t="s">
        <v>1353</v>
      </c>
      <c r="S65">
        <f>Consulta1[[#This Row],[min_port]]/100</f>
        <v>1.4999999999999999E-2</v>
      </c>
      <c r="T65" s="252">
        <f>Consulta1[[#This Row],[TETO_COMERCIAL]]/100</f>
        <v>2.5000000000000001E-2</v>
      </c>
      <c r="U65" t="b">
        <f>Consulta1[[#This Row],[TETO_COMERCIAL_%]]=Consulta1[[#This Row],[TAXA]]</f>
        <v>0</v>
      </c>
      <c r="V65" t="str">
        <f>CONCATENATE(Consulta1[[#This Row],[MES_ALTERACAO]],Consulta1[[#This Row],[VIRADA]])</f>
        <v>20260510</v>
      </c>
      <c r="W65">
        <f>VLOOKUP(Consulta1[[#This Row],[Coluna2]],CALENDARIO!$J:$K,2,FALSE)</f>
        <v>5</v>
      </c>
    </row>
    <row r="66" spans="1:23" x14ac:dyDescent="0.25">
      <c r="A66" t="s">
        <v>651</v>
      </c>
      <c r="B66" t="str">
        <f>CONCATENATE(Consulta1[[#This Row],[id]],Consulta1[[#This Row],[EMPREGADOR]])</f>
        <v>1EMBASA - AOL</v>
      </c>
      <c r="C66" s="6">
        <f>IF(A66=A65,C65+1,1)</f>
        <v>1</v>
      </c>
      <c r="D66" t="s">
        <v>652</v>
      </c>
      <c r="E66" s="101">
        <v>2.5000000000000001E-2</v>
      </c>
      <c r="F66" s="6">
        <v>96</v>
      </c>
      <c r="G66" t="s">
        <v>1349</v>
      </c>
      <c r="H66" s="82">
        <v>2.5</v>
      </c>
      <c r="I66">
        <v>10</v>
      </c>
      <c r="J66">
        <v>52</v>
      </c>
      <c r="K66" t="s">
        <v>1393</v>
      </c>
      <c r="L66" s="6" t="s">
        <v>1394</v>
      </c>
      <c r="M66" s="6">
        <v>15</v>
      </c>
      <c r="N66" s="6">
        <v>2</v>
      </c>
      <c r="O66">
        <v>500</v>
      </c>
      <c r="P66">
        <v>202605</v>
      </c>
      <c r="Q66" t="s">
        <v>377</v>
      </c>
      <c r="R66" t="s">
        <v>1350</v>
      </c>
      <c r="S66">
        <f>Consulta1[[#This Row],[min_port]]/100</f>
        <v>1.67E-2</v>
      </c>
      <c r="T66" s="252">
        <f>Consulta1[[#This Row],[TETO_COMERCIAL]]/100</f>
        <v>2.5000000000000001E-2</v>
      </c>
      <c r="U66" t="b">
        <f>Consulta1[[#This Row],[TETO_COMERCIAL_%]]=Consulta1[[#This Row],[TAXA]]</f>
        <v>1</v>
      </c>
      <c r="V66" t="str">
        <f>CONCATENATE(Consulta1[[#This Row],[MES_ALTERACAO]],Consulta1[[#This Row],[VIRADA]])</f>
        <v>20260515</v>
      </c>
      <c r="W66">
        <f>VLOOKUP(Consulta1[[#This Row],[Coluna2]],CALENDARIO!$J:$K,2,FALSE)</f>
        <v>10</v>
      </c>
    </row>
    <row r="67" spans="1:23" x14ac:dyDescent="0.25">
      <c r="A67" t="s">
        <v>651</v>
      </c>
      <c r="B67" t="str">
        <f>CONCATENATE(Consulta1[[#This Row],[id]],Consulta1[[#This Row],[EMPREGADOR]])</f>
        <v>2EMBASA - AOL</v>
      </c>
      <c r="C67" s="6">
        <f>IF(A67=A66,C66+1,1)</f>
        <v>2</v>
      </c>
      <c r="D67" t="s">
        <v>653</v>
      </c>
      <c r="E67" s="101">
        <v>2.4500000000000001E-2</v>
      </c>
      <c r="F67" s="6">
        <v>96</v>
      </c>
      <c r="G67" t="s">
        <v>1349</v>
      </c>
      <c r="H67" s="82">
        <v>2.5</v>
      </c>
      <c r="I67">
        <v>10</v>
      </c>
      <c r="J67">
        <v>52</v>
      </c>
      <c r="K67" t="s">
        <v>1395</v>
      </c>
      <c r="L67" s="6" t="s">
        <v>1394</v>
      </c>
      <c r="M67" s="6">
        <v>15</v>
      </c>
      <c r="N67" s="6">
        <v>2</v>
      </c>
      <c r="O67">
        <v>500</v>
      </c>
      <c r="P67">
        <v>202605</v>
      </c>
      <c r="Q67" t="s">
        <v>377</v>
      </c>
      <c r="R67" t="s">
        <v>1350</v>
      </c>
      <c r="S67">
        <f>Consulta1[[#This Row],[min_port]]/100</f>
        <v>1.67E-2</v>
      </c>
      <c r="T67" s="252">
        <f>Consulta1[[#This Row],[TETO_COMERCIAL]]/100</f>
        <v>2.5000000000000001E-2</v>
      </c>
      <c r="U67" t="b">
        <f>Consulta1[[#This Row],[TETO_COMERCIAL_%]]=Consulta1[[#This Row],[TAXA]]</f>
        <v>0</v>
      </c>
      <c r="V67" t="str">
        <f>CONCATENATE(Consulta1[[#This Row],[MES_ALTERACAO]],Consulta1[[#This Row],[VIRADA]])</f>
        <v>20260515</v>
      </c>
      <c r="W67">
        <f>VLOOKUP(Consulta1[[#This Row],[Coluna2]],CALENDARIO!$J:$K,2,FALSE)</f>
        <v>10</v>
      </c>
    </row>
    <row r="68" spans="1:23" x14ac:dyDescent="0.25">
      <c r="A68" t="s">
        <v>651</v>
      </c>
      <c r="B68" t="str">
        <f>CONCATENATE(Consulta1[[#This Row],[id]],Consulta1[[#This Row],[EMPREGADOR]])</f>
        <v>3EMBASA - AOL</v>
      </c>
      <c r="C68" s="6">
        <f>IF(A68=A67,C67+1,1)</f>
        <v>3</v>
      </c>
      <c r="D68" t="s">
        <v>654</v>
      </c>
      <c r="E68" s="101">
        <v>2.4E-2</v>
      </c>
      <c r="F68" s="6">
        <v>96</v>
      </c>
      <c r="G68" t="s">
        <v>1349</v>
      </c>
      <c r="H68" s="82">
        <v>2.5</v>
      </c>
      <c r="I68">
        <v>10</v>
      </c>
      <c r="J68">
        <v>52</v>
      </c>
      <c r="K68" t="s">
        <v>1396</v>
      </c>
      <c r="L68" s="6" t="s">
        <v>1394</v>
      </c>
      <c r="M68" s="6">
        <v>15</v>
      </c>
      <c r="N68" s="6">
        <v>2</v>
      </c>
      <c r="O68">
        <v>500</v>
      </c>
      <c r="P68">
        <v>202605</v>
      </c>
      <c r="Q68" t="s">
        <v>377</v>
      </c>
      <c r="R68" t="s">
        <v>1350</v>
      </c>
      <c r="S68">
        <f>Consulta1[[#This Row],[min_port]]/100</f>
        <v>1.67E-2</v>
      </c>
      <c r="T68" s="252">
        <f>Consulta1[[#This Row],[TETO_COMERCIAL]]/100</f>
        <v>2.5000000000000001E-2</v>
      </c>
      <c r="U68" t="b">
        <f>Consulta1[[#This Row],[TETO_COMERCIAL_%]]=Consulta1[[#This Row],[TAXA]]</f>
        <v>0</v>
      </c>
      <c r="V68" t="str">
        <f>CONCATENATE(Consulta1[[#This Row],[MES_ALTERACAO]],Consulta1[[#This Row],[VIRADA]])</f>
        <v>20260515</v>
      </c>
      <c r="W68">
        <f>VLOOKUP(Consulta1[[#This Row],[Coluna2]],CALENDARIO!$J:$K,2,FALSE)</f>
        <v>10</v>
      </c>
    </row>
    <row r="69" spans="1:23" x14ac:dyDescent="0.25">
      <c r="A69" t="s">
        <v>651</v>
      </c>
      <c r="B69" t="str">
        <f>CONCATENATE(Consulta1[[#This Row],[id]],Consulta1[[#This Row],[EMPREGADOR]])</f>
        <v>4EMBASA - AOL</v>
      </c>
      <c r="C69" s="6">
        <f>IF(A69=A68,C68+1,1)</f>
        <v>4</v>
      </c>
      <c r="D69" t="s">
        <v>655</v>
      </c>
      <c r="E69" s="101">
        <v>2.3199999999999998E-2</v>
      </c>
      <c r="F69" s="6">
        <v>96</v>
      </c>
      <c r="G69" t="s">
        <v>1349</v>
      </c>
      <c r="H69" s="82">
        <v>2.5</v>
      </c>
      <c r="I69">
        <v>10</v>
      </c>
      <c r="J69">
        <v>52</v>
      </c>
      <c r="K69" t="s">
        <v>1397</v>
      </c>
      <c r="L69" s="6" t="s">
        <v>1394</v>
      </c>
      <c r="M69" s="6">
        <v>15</v>
      </c>
      <c r="N69" s="6">
        <v>2</v>
      </c>
      <c r="O69">
        <v>500</v>
      </c>
      <c r="P69">
        <v>202605</v>
      </c>
      <c r="Q69" t="s">
        <v>377</v>
      </c>
      <c r="R69" t="s">
        <v>1350</v>
      </c>
      <c r="S69">
        <f>Consulta1[[#This Row],[min_port]]/100</f>
        <v>1.67E-2</v>
      </c>
      <c r="T69" s="252">
        <f>Consulta1[[#This Row],[TETO_COMERCIAL]]/100</f>
        <v>2.5000000000000001E-2</v>
      </c>
      <c r="U69" t="b">
        <f>Consulta1[[#This Row],[TETO_COMERCIAL_%]]=Consulta1[[#This Row],[TAXA]]</f>
        <v>0</v>
      </c>
      <c r="V69" t="str">
        <f>CONCATENATE(Consulta1[[#This Row],[MES_ALTERACAO]],Consulta1[[#This Row],[VIRADA]])</f>
        <v>20260515</v>
      </c>
      <c r="W69">
        <f>VLOOKUP(Consulta1[[#This Row],[Coluna2]],CALENDARIO!$J:$K,2,FALSE)</f>
        <v>10</v>
      </c>
    </row>
    <row r="70" spans="1:23" x14ac:dyDescent="0.25">
      <c r="A70" t="s">
        <v>2997</v>
      </c>
      <c r="B70" t="str">
        <f>CONCATENATE(Consulta1[[#This Row],[id]],Consulta1[[#This Row],[EMPREGADOR]])</f>
        <v>1EMBUPREV SP</v>
      </c>
      <c r="C70" s="6">
        <f>IF(A70=A69,C69+1,1)</f>
        <v>1</v>
      </c>
      <c r="D70" t="s">
        <v>2487</v>
      </c>
      <c r="E70" s="101">
        <v>2.5000000000000001E-2</v>
      </c>
      <c r="F70" s="6">
        <v>120</v>
      </c>
      <c r="G70" t="s">
        <v>1349</v>
      </c>
      <c r="H70" s="82">
        <v>2.5</v>
      </c>
      <c r="I70">
        <v>17</v>
      </c>
      <c r="K70" t="s">
        <v>2488</v>
      </c>
      <c r="L70" s="6" t="s">
        <v>1519</v>
      </c>
      <c r="M70" s="6">
        <v>15</v>
      </c>
      <c r="N70" s="6">
        <v>2</v>
      </c>
      <c r="O70">
        <v>500</v>
      </c>
      <c r="P70">
        <v>202605</v>
      </c>
      <c r="Q70" t="s">
        <v>377</v>
      </c>
      <c r="R70" t="s">
        <v>1353</v>
      </c>
      <c r="S70">
        <f>Consulta1[[#This Row],[min_port]]/100</f>
        <v>1.3500000000000002E-2</v>
      </c>
      <c r="T70" s="252">
        <f>Consulta1[[#This Row],[TETO_COMERCIAL]]/100</f>
        <v>2.5000000000000001E-2</v>
      </c>
      <c r="U70" t="b">
        <f>Consulta1[[#This Row],[TETO_COMERCIAL_%]]=Consulta1[[#This Row],[TAXA]]</f>
        <v>1</v>
      </c>
      <c r="V70" t="str">
        <f>CONCATENATE(Consulta1[[#This Row],[MES_ALTERACAO]],Consulta1[[#This Row],[VIRADA]])</f>
        <v>20260515</v>
      </c>
      <c r="W70">
        <f>VLOOKUP(Consulta1[[#This Row],[Coluna2]],CALENDARIO!$J:$K,2,FALSE)</f>
        <v>10</v>
      </c>
    </row>
    <row r="71" spans="1:23" x14ac:dyDescent="0.25">
      <c r="A71" t="s">
        <v>2997</v>
      </c>
      <c r="B71" t="str">
        <f>CONCATENATE(Consulta1[[#This Row],[id]],Consulta1[[#This Row],[EMPREGADOR]])</f>
        <v>2EMBUPREV SP</v>
      </c>
      <c r="C71" s="6">
        <f>IF(A71=A70,C70+1,1)</f>
        <v>2</v>
      </c>
      <c r="D71" t="s">
        <v>2489</v>
      </c>
      <c r="E71" s="101">
        <v>2.3900000000000001E-2</v>
      </c>
      <c r="F71" s="6">
        <v>120</v>
      </c>
      <c r="G71" t="s">
        <v>1349</v>
      </c>
      <c r="H71" s="82">
        <v>2.5</v>
      </c>
      <c r="I71">
        <v>17</v>
      </c>
      <c r="K71" t="s">
        <v>2490</v>
      </c>
      <c r="L71" s="6" t="s">
        <v>1519</v>
      </c>
      <c r="M71" s="6">
        <v>15</v>
      </c>
      <c r="N71" s="6">
        <v>2</v>
      </c>
      <c r="O71">
        <v>500</v>
      </c>
      <c r="P71">
        <v>202605</v>
      </c>
      <c r="Q71" t="s">
        <v>377</v>
      </c>
      <c r="R71" t="s">
        <v>1353</v>
      </c>
      <c r="S71">
        <f>Consulta1[[#This Row],[min_port]]/100</f>
        <v>1.3500000000000002E-2</v>
      </c>
      <c r="T71" s="252">
        <f>Consulta1[[#This Row],[TETO_COMERCIAL]]/100</f>
        <v>2.5000000000000001E-2</v>
      </c>
      <c r="U71" t="b">
        <f>Consulta1[[#This Row],[TETO_COMERCIAL_%]]=Consulta1[[#This Row],[TAXA]]</f>
        <v>0</v>
      </c>
      <c r="V71" t="str">
        <f>CONCATENATE(Consulta1[[#This Row],[MES_ALTERACAO]],Consulta1[[#This Row],[VIRADA]])</f>
        <v>20260515</v>
      </c>
      <c r="W71">
        <f>VLOOKUP(Consulta1[[#This Row],[Coluna2]],CALENDARIO!$J:$K,2,FALSE)</f>
        <v>10</v>
      </c>
    </row>
    <row r="72" spans="1:23" x14ac:dyDescent="0.25">
      <c r="A72" t="s">
        <v>2997</v>
      </c>
      <c r="B72" t="str">
        <f>CONCATENATE(Consulta1[[#This Row],[id]],Consulta1[[#This Row],[EMPREGADOR]])</f>
        <v>3EMBUPREV SP</v>
      </c>
      <c r="C72" s="6">
        <f>IF(A72=A71,C71+1,1)</f>
        <v>3</v>
      </c>
      <c r="D72" t="s">
        <v>2495</v>
      </c>
      <c r="E72" s="101">
        <v>2.29E-2</v>
      </c>
      <c r="F72" s="6">
        <v>120</v>
      </c>
      <c r="G72" t="s">
        <v>1349</v>
      </c>
      <c r="H72" s="82">
        <v>2.5</v>
      </c>
      <c r="I72">
        <v>17</v>
      </c>
      <c r="K72" t="s">
        <v>2496</v>
      </c>
      <c r="L72" s="6" t="s">
        <v>1519</v>
      </c>
      <c r="M72" s="6">
        <v>15</v>
      </c>
      <c r="N72" s="6">
        <v>2</v>
      </c>
      <c r="O72">
        <v>500</v>
      </c>
      <c r="P72">
        <v>202605</v>
      </c>
      <c r="Q72" t="s">
        <v>377</v>
      </c>
      <c r="R72" t="s">
        <v>1353</v>
      </c>
      <c r="S72">
        <f>Consulta1[[#This Row],[min_port]]/100</f>
        <v>1.3500000000000002E-2</v>
      </c>
      <c r="T72" s="252">
        <f>Consulta1[[#This Row],[TETO_COMERCIAL]]/100</f>
        <v>2.5000000000000001E-2</v>
      </c>
      <c r="U72" t="b">
        <f>Consulta1[[#This Row],[TETO_COMERCIAL_%]]=Consulta1[[#This Row],[TAXA]]</f>
        <v>0</v>
      </c>
      <c r="V72" t="str">
        <f>CONCATENATE(Consulta1[[#This Row],[MES_ALTERACAO]],Consulta1[[#This Row],[VIRADA]])</f>
        <v>20260515</v>
      </c>
      <c r="W72">
        <f>VLOOKUP(Consulta1[[#This Row],[Coluna2]],CALENDARIO!$J:$K,2,FALSE)</f>
        <v>10</v>
      </c>
    </row>
    <row r="73" spans="1:23" x14ac:dyDescent="0.25">
      <c r="A73" t="s">
        <v>2997</v>
      </c>
      <c r="B73" t="str">
        <f>CONCATENATE(Consulta1[[#This Row],[id]],Consulta1[[#This Row],[EMPREGADOR]])</f>
        <v>4EMBUPREV SP</v>
      </c>
      <c r="C73" s="6">
        <f>IF(A73=A72,C72+1,1)</f>
        <v>4</v>
      </c>
      <c r="D73" t="s">
        <v>2497</v>
      </c>
      <c r="E73" s="101">
        <v>2.1899999999999999E-2</v>
      </c>
      <c r="F73" s="6">
        <v>120</v>
      </c>
      <c r="G73" t="s">
        <v>1349</v>
      </c>
      <c r="H73" s="82">
        <v>2.5</v>
      </c>
      <c r="I73">
        <v>17</v>
      </c>
      <c r="K73" t="s">
        <v>2498</v>
      </c>
      <c r="L73" s="6" t="s">
        <v>1519</v>
      </c>
      <c r="M73" s="6">
        <v>15</v>
      </c>
      <c r="N73" s="6">
        <v>2</v>
      </c>
      <c r="O73">
        <v>500</v>
      </c>
      <c r="P73">
        <v>202605</v>
      </c>
      <c r="Q73" t="s">
        <v>377</v>
      </c>
      <c r="R73" t="s">
        <v>1353</v>
      </c>
      <c r="S73">
        <f>Consulta1[[#This Row],[min_port]]/100</f>
        <v>1.3500000000000002E-2</v>
      </c>
      <c r="T73" s="252">
        <f>Consulta1[[#This Row],[TETO_COMERCIAL]]/100</f>
        <v>2.5000000000000001E-2</v>
      </c>
      <c r="U73" t="b">
        <f>Consulta1[[#This Row],[TETO_COMERCIAL_%]]=Consulta1[[#This Row],[TAXA]]</f>
        <v>0</v>
      </c>
      <c r="V73" t="str">
        <f>CONCATENATE(Consulta1[[#This Row],[MES_ALTERACAO]],Consulta1[[#This Row],[VIRADA]])</f>
        <v>20260515</v>
      </c>
      <c r="W73">
        <f>VLOOKUP(Consulta1[[#This Row],[Coluna2]],CALENDARIO!$J:$K,2,FALSE)</f>
        <v>10</v>
      </c>
    </row>
    <row r="74" spans="1:23" x14ac:dyDescent="0.25">
      <c r="A74" t="s">
        <v>2997</v>
      </c>
      <c r="B74" t="str">
        <f>CONCATENATE(Consulta1[[#This Row],[id]],Consulta1[[#This Row],[EMPREGADOR]])</f>
        <v>5EMBUPREV SP</v>
      </c>
      <c r="C74" s="6">
        <f>IF(A74=A73,C73+1,1)</f>
        <v>5</v>
      </c>
      <c r="D74" t="s">
        <v>2499</v>
      </c>
      <c r="E74" s="101">
        <v>2.0899999999999998E-2</v>
      </c>
      <c r="F74" s="6">
        <v>120</v>
      </c>
      <c r="G74" t="s">
        <v>1349</v>
      </c>
      <c r="H74" s="82">
        <v>2.5</v>
      </c>
      <c r="I74">
        <v>17</v>
      </c>
      <c r="K74" t="s">
        <v>2500</v>
      </c>
      <c r="L74" s="6" t="s">
        <v>1519</v>
      </c>
      <c r="M74" s="6">
        <v>15</v>
      </c>
      <c r="N74" s="6">
        <v>2</v>
      </c>
      <c r="O74">
        <v>500</v>
      </c>
      <c r="P74">
        <v>202605</v>
      </c>
      <c r="Q74" t="s">
        <v>377</v>
      </c>
      <c r="R74" t="s">
        <v>1353</v>
      </c>
      <c r="S74">
        <f>Consulta1[[#This Row],[min_port]]/100</f>
        <v>1.3500000000000002E-2</v>
      </c>
      <c r="T74" s="252">
        <f>Consulta1[[#This Row],[TETO_COMERCIAL]]/100</f>
        <v>2.5000000000000001E-2</v>
      </c>
      <c r="U74" t="b">
        <f>Consulta1[[#This Row],[TETO_COMERCIAL_%]]=Consulta1[[#This Row],[TAXA]]</f>
        <v>0</v>
      </c>
      <c r="V74" t="str">
        <f>CONCATENATE(Consulta1[[#This Row],[MES_ALTERACAO]],Consulta1[[#This Row],[VIRADA]])</f>
        <v>20260515</v>
      </c>
      <c r="W74">
        <f>VLOOKUP(Consulta1[[#This Row],[Coluna2]],CALENDARIO!$J:$K,2,FALSE)</f>
        <v>10</v>
      </c>
    </row>
    <row r="75" spans="1:23" x14ac:dyDescent="0.25">
      <c r="A75" t="s">
        <v>2997</v>
      </c>
      <c r="B75" t="str">
        <f>CONCATENATE(Consulta1[[#This Row],[id]],Consulta1[[#This Row],[EMPREGADOR]])</f>
        <v>6EMBUPREV SP</v>
      </c>
      <c r="C75" s="6">
        <f>IF(A75=A74,C74+1,1)</f>
        <v>6</v>
      </c>
      <c r="D75" t="s">
        <v>2501</v>
      </c>
      <c r="E75" s="101">
        <v>1.9900000000000001E-2</v>
      </c>
      <c r="F75" s="6">
        <v>120</v>
      </c>
      <c r="G75" t="s">
        <v>1349</v>
      </c>
      <c r="H75" s="82">
        <v>2.5</v>
      </c>
      <c r="I75">
        <v>17</v>
      </c>
      <c r="K75" t="s">
        <v>2502</v>
      </c>
      <c r="L75" s="6" t="s">
        <v>1519</v>
      </c>
      <c r="M75" s="6">
        <v>15</v>
      </c>
      <c r="N75" s="6">
        <v>2</v>
      </c>
      <c r="O75">
        <v>500</v>
      </c>
      <c r="P75">
        <v>202605</v>
      </c>
      <c r="Q75" t="s">
        <v>377</v>
      </c>
      <c r="R75" t="s">
        <v>1353</v>
      </c>
      <c r="S75">
        <f>Consulta1[[#This Row],[min_port]]/100</f>
        <v>1.3500000000000002E-2</v>
      </c>
      <c r="T75" s="252">
        <f>Consulta1[[#This Row],[TETO_COMERCIAL]]/100</f>
        <v>2.5000000000000001E-2</v>
      </c>
      <c r="U75" t="b">
        <f>Consulta1[[#This Row],[TETO_COMERCIAL_%]]=Consulta1[[#This Row],[TAXA]]</f>
        <v>0</v>
      </c>
      <c r="V75" t="str">
        <f>CONCATENATE(Consulta1[[#This Row],[MES_ALTERACAO]],Consulta1[[#This Row],[VIRADA]])</f>
        <v>20260515</v>
      </c>
      <c r="W75">
        <f>VLOOKUP(Consulta1[[#This Row],[Coluna2]],CALENDARIO!$J:$K,2,FALSE)</f>
        <v>10</v>
      </c>
    </row>
    <row r="76" spans="1:23" x14ac:dyDescent="0.25">
      <c r="A76" t="s">
        <v>2997</v>
      </c>
      <c r="B76" t="str">
        <f>CONCATENATE(Consulta1[[#This Row],[id]],Consulta1[[#This Row],[EMPREGADOR]])</f>
        <v>7EMBUPREV SP</v>
      </c>
      <c r="C76" s="6">
        <f>IF(A76=A75,C75+1,1)</f>
        <v>7</v>
      </c>
      <c r="D76" t="s">
        <v>2503</v>
      </c>
      <c r="E76" s="101">
        <v>1.9599999999999999E-2</v>
      </c>
      <c r="F76" s="6">
        <v>120</v>
      </c>
      <c r="G76" t="s">
        <v>1349</v>
      </c>
      <c r="H76" s="82">
        <v>2.5</v>
      </c>
      <c r="I76">
        <v>17</v>
      </c>
      <c r="K76" t="s">
        <v>2504</v>
      </c>
      <c r="L76" s="6" t="s">
        <v>1519</v>
      </c>
      <c r="M76" s="6">
        <v>15</v>
      </c>
      <c r="N76" s="6">
        <v>2</v>
      </c>
      <c r="O76">
        <v>500</v>
      </c>
      <c r="P76">
        <v>202605</v>
      </c>
      <c r="Q76" t="s">
        <v>377</v>
      </c>
      <c r="R76" t="s">
        <v>1353</v>
      </c>
      <c r="S76">
        <f>Consulta1[[#This Row],[min_port]]/100</f>
        <v>1.3500000000000002E-2</v>
      </c>
      <c r="T76" s="252">
        <f>Consulta1[[#This Row],[TETO_COMERCIAL]]/100</f>
        <v>2.5000000000000001E-2</v>
      </c>
      <c r="U76" t="b">
        <f>Consulta1[[#This Row],[TETO_COMERCIAL_%]]=Consulta1[[#This Row],[TAXA]]</f>
        <v>0</v>
      </c>
      <c r="V76" t="str">
        <f>CONCATENATE(Consulta1[[#This Row],[MES_ALTERACAO]],Consulta1[[#This Row],[VIRADA]])</f>
        <v>20260515</v>
      </c>
      <c r="W76">
        <f>VLOOKUP(Consulta1[[#This Row],[Coluna2]],CALENDARIO!$J:$K,2,FALSE)</f>
        <v>10</v>
      </c>
    </row>
    <row r="77" spans="1:23" x14ac:dyDescent="0.25">
      <c r="A77" t="s">
        <v>2998</v>
      </c>
      <c r="B77" t="str">
        <f>CONCATENATE(Consulta1[[#This Row],[id]],Consulta1[[#This Row],[EMPREGADOR]])</f>
        <v>1EMPAER MT</v>
      </c>
      <c r="C77" s="6">
        <f>IF(A77=A76,C76+1,1)</f>
        <v>1</v>
      </c>
      <c r="D77" t="s">
        <v>2827</v>
      </c>
      <c r="E77" s="101">
        <v>1.7500000000000002E-2</v>
      </c>
      <c r="F77" s="6">
        <v>96</v>
      </c>
      <c r="G77" t="s">
        <v>1349</v>
      </c>
      <c r="H77" s="82">
        <v>1.75</v>
      </c>
      <c r="I77">
        <v>23</v>
      </c>
      <c r="K77" t="s">
        <v>2828</v>
      </c>
      <c r="L77" s="6" t="s">
        <v>1381</v>
      </c>
      <c r="M77" s="6">
        <v>15</v>
      </c>
      <c r="N77" s="6">
        <v>2</v>
      </c>
      <c r="O77">
        <v>500</v>
      </c>
      <c r="P77">
        <v>202605</v>
      </c>
      <c r="Q77" t="s">
        <v>377</v>
      </c>
      <c r="R77" t="s">
        <v>1353</v>
      </c>
      <c r="S77">
        <f>Consulta1[[#This Row],[min_port]]/100</f>
        <v>1.3999999999999999E-2</v>
      </c>
      <c r="T77" s="252">
        <f>Consulta1[[#This Row],[TETO_COMERCIAL]]/100</f>
        <v>1.7500000000000002E-2</v>
      </c>
      <c r="U77" t="b">
        <f>Consulta1[[#This Row],[TETO_COMERCIAL_%]]=Consulta1[[#This Row],[TAXA]]</f>
        <v>1</v>
      </c>
      <c r="V77" t="str">
        <f>CONCATENATE(Consulta1[[#This Row],[MES_ALTERACAO]],Consulta1[[#This Row],[VIRADA]])</f>
        <v>20260515</v>
      </c>
      <c r="W77">
        <f>VLOOKUP(Consulta1[[#This Row],[Coluna2]],CALENDARIO!$J:$K,2,FALSE)</f>
        <v>10</v>
      </c>
    </row>
    <row r="78" spans="1:23" x14ac:dyDescent="0.25">
      <c r="A78" t="s">
        <v>2998</v>
      </c>
      <c r="B78" t="str">
        <f>CONCATENATE(Consulta1[[#This Row],[id]],Consulta1[[#This Row],[EMPREGADOR]])</f>
        <v>2EMPAER MT</v>
      </c>
      <c r="C78" s="6">
        <f>IF(A78=A77,C77+1,1)</f>
        <v>2</v>
      </c>
      <c r="D78" t="s">
        <v>2829</v>
      </c>
      <c r="E78" s="101">
        <v>1.72E-2</v>
      </c>
      <c r="F78" s="6">
        <v>96</v>
      </c>
      <c r="G78" t="s">
        <v>1349</v>
      </c>
      <c r="H78" s="82">
        <v>1.75</v>
      </c>
      <c r="I78">
        <v>23</v>
      </c>
      <c r="K78" t="s">
        <v>2830</v>
      </c>
      <c r="L78" s="6" t="s">
        <v>1381</v>
      </c>
      <c r="M78" s="6">
        <v>15</v>
      </c>
      <c r="N78" s="6">
        <v>2</v>
      </c>
      <c r="O78">
        <v>500</v>
      </c>
      <c r="P78">
        <v>202605</v>
      </c>
      <c r="Q78" t="s">
        <v>377</v>
      </c>
      <c r="R78" t="s">
        <v>1353</v>
      </c>
      <c r="S78">
        <f>Consulta1[[#This Row],[min_port]]/100</f>
        <v>1.3999999999999999E-2</v>
      </c>
      <c r="T78" s="252">
        <f>Consulta1[[#This Row],[TETO_COMERCIAL]]/100</f>
        <v>1.7500000000000002E-2</v>
      </c>
      <c r="U78" t="b">
        <f>Consulta1[[#This Row],[TETO_COMERCIAL_%]]=Consulta1[[#This Row],[TAXA]]</f>
        <v>0</v>
      </c>
      <c r="V78" t="str">
        <f>CONCATENATE(Consulta1[[#This Row],[MES_ALTERACAO]],Consulta1[[#This Row],[VIRADA]])</f>
        <v>20260515</v>
      </c>
      <c r="W78">
        <f>VLOOKUP(Consulta1[[#This Row],[Coluna2]],CALENDARIO!$J:$K,2,FALSE)</f>
        <v>10</v>
      </c>
    </row>
    <row r="79" spans="1:23" x14ac:dyDescent="0.25">
      <c r="A79" t="s">
        <v>2998</v>
      </c>
      <c r="B79" t="str">
        <f>CONCATENATE(Consulta1[[#This Row],[id]],Consulta1[[#This Row],[EMPREGADOR]])</f>
        <v>3EMPAER MT</v>
      </c>
      <c r="C79" s="6">
        <f>IF(A79=A78,C78+1,1)</f>
        <v>3</v>
      </c>
      <c r="D79" t="s">
        <v>2831</v>
      </c>
      <c r="E79" s="101">
        <v>1.6799999999999999E-2</v>
      </c>
      <c r="F79" s="6">
        <v>96</v>
      </c>
      <c r="G79" t="s">
        <v>1349</v>
      </c>
      <c r="H79" s="82">
        <v>1.75</v>
      </c>
      <c r="I79">
        <v>23</v>
      </c>
      <c r="K79" t="s">
        <v>2832</v>
      </c>
      <c r="L79" s="6" t="s">
        <v>1381</v>
      </c>
      <c r="M79" s="6">
        <v>15</v>
      </c>
      <c r="N79" s="6">
        <v>2</v>
      </c>
      <c r="O79">
        <v>500</v>
      </c>
      <c r="P79">
        <v>202605</v>
      </c>
      <c r="Q79" t="s">
        <v>377</v>
      </c>
      <c r="R79" t="s">
        <v>1353</v>
      </c>
      <c r="S79">
        <f>Consulta1[[#This Row],[min_port]]/100</f>
        <v>1.3999999999999999E-2</v>
      </c>
      <c r="T79" s="252">
        <f>Consulta1[[#This Row],[TETO_COMERCIAL]]/100</f>
        <v>1.7500000000000002E-2</v>
      </c>
      <c r="U79" t="b">
        <f>Consulta1[[#This Row],[TETO_COMERCIAL_%]]=Consulta1[[#This Row],[TAXA]]</f>
        <v>0</v>
      </c>
      <c r="V79" t="str">
        <f>CONCATENATE(Consulta1[[#This Row],[MES_ALTERACAO]],Consulta1[[#This Row],[VIRADA]])</f>
        <v>20260515</v>
      </c>
      <c r="W79">
        <f>VLOOKUP(Consulta1[[#This Row],[Coluna2]],CALENDARIO!$J:$K,2,FALSE)</f>
        <v>10</v>
      </c>
    </row>
    <row r="80" spans="1:23" x14ac:dyDescent="0.25">
      <c r="A80" t="s">
        <v>72</v>
      </c>
      <c r="B80" t="str">
        <f>CONCATENATE(Consulta1[[#This Row],[id]],Consulta1[[#This Row],[EMPREGADOR]])</f>
        <v>1EXERCITO</v>
      </c>
      <c r="C80" s="6">
        <f>IF(A80=A79,C79+1,1)</f>
        <v>1</v>
      </c>
      <c r="D80" t="s">
        <v>3526</v>
      </c>
      <c r="E80" s="101">
        <v>1.9E-2</v>
      </c>
      <c r="F80" s="6">
        <v>96</v>
      </c>
      <c r="G80" t="s">
        <v>1349</v>
      </c>
      <c r="H80" s="82">
        <v>2.16</v>
      </c>
      <c r="I80">
        <v>2</v>
      </c>
      <c r="J80">
        <v>52</v>
      </c>
      <c r="K80" t="s">
        <v>3527</v>
      </c>
      <c r="L80" s="6" t="s">
        <v>1471</v>
      </c>
      <c r="M80" s="6">
        <v>31</v>
      </c>
      <c r="N80" s="6">
        <v>2</v>
      </c>
      <c r="O80">
        <v>500</v>
      </c>
      <c r="P80">
        <v>202605</v>
      </c>
      <c r="Q80" t="s">
        <v>377</v>
      </c>
      <c r="R80" t="s">
        <v>1353</v>
      </c>
      <c r="S80">
        <f>Consulta1[[#This Row],[min_port]]/100</f>
        <v>1.34E-2</v>
      </c>
      <c r="T80" s="252">
        <f>Consulta1[[#This Row],[TETO_COMERCIAL]]/100</f>
        <v>2.1600000000000001E-2</v>
      </c>
      <c r="U80" t="b">
        <f>Consulta1[[#This Row],[TETO_COMERCIAL_%]]=Consulta1[[#This Row],[TAXA]]</f>
        <v>0</v>
      </c>
      <c r="V80" t="str">
        <f>CONCATENATE(Consulta1[[#This Row],[MES_ALTERACAO]],Consulta1[[#This Row],[VIRADA]])</f>
        <v>20260531</v>
      </c>
      <c r="W80">
        <f>VLOOKUP(Consulta1[[#This Row],[Coluna2]],CALENDARIO!$J:$K,2,FALSE)</f>
        <v>20</v>
      </c>
    </row>
    <row r="81" spans="1:23" x14ac:dyDescent="0.25">
      <c r="A81" t="s">
        <v>72</v>
      </c>
      <c r="B81" t="str">
        <f>CONCATENATE(Consulta1[[#This Row],[id]],Consulta1[[#This Row],[EMPREGADOR]])</f>
        <v>2EXERCITO</v>
      </c>
      <c r="C81" s="6">
        <f>IF(A81=A80,C80+1,1)</f>
        <v>2</v>
      </c>
      <c r="D81" t="s">
        <v>3528</v>
      </c>
      <c r="E81" s="101">
        <v>1.8600000000000002E-2</v>
      </c>
      <c r="F81" s="6">
        <v>96</v>
      </c>
      <c r="G81" t="s">
        <v>1349</v>
      </c>
      <c r="H81" s="82">
        <v>2.16</v>
      </c>
      <c r="I81">
        <v>2</v>
      </c>
      <c r="J81">
        <v>52</v>
      </c>
      <c r="K81" t="s">
        <v>3529</v>
      </c>
      <c r="L81" s="6" t="s">
        <v>1471</v>
      </c>
      <c r="M81" s="6">
        <v>31</v>
      </c>
      <c r="N81" s="6">
        <v>2</v>
      </c>
      <c r="O81">
        <v>500</v>
      </c>
      <c r="P81">
        <v>202605</v>
      </c>
      <c r="Q81" t="s">
        <v>377</v>
      </c>
      <c r="R81" t="s">
        <v>1353</v>
      </c>
      <c r="S81">
        <f>Consulta1[[#This Row],[min_port]]/100</f>
        <v>1.34E-2</v>
      </c>
      <c r="T81" s="252">
        <f>Consulta1[[#This Row],[TETO_COMERCIAL]]/100</f>
        <v>2.1600000000000001E-2</v>
      </c>
      <c r="U81" t="b">
        <f>Consulta1[[#This Row],[TETO_COMERCIAL_%]]=Consulta1[[#This Row],[TAXA]]</f>
        <v>0</v>
      </c>
      <c r="V81" t="str">
        <f>CONCATENATE(Consulta1[[#This Row],[MES_ALTERACAO]],Consulta1[[#This Row],[VIRADA]])</f>
        <v>20260531</v>
      </c>
      <c r="W81">
        <f>VLOOKUP(Consulta1[[#This Row],[Coluna2]],CALENDARIO!$J:$K,2,FALSE)</f>
        <v>20</v>
      </c>
    </row>
    <row r="82" spans="1:23" x14ac:dyDescent="0.25">
      <c r="A82" t="s">
        <v>72</v>
      </c>
      <c r="B82" t="str">
        <f>CONCATENATE(Consulta1[[#This Row],[id]],Consulta1[[#This Row],[EMPREGADOR]])</f>
        <v>3EXERCITO</v>
      </c>
      <c r="C82" s="6">
        <f>IF(A82=A81,C81+1,1)</f>
        <v>3</v>
      </c>
      <c r="D82" t="s">
        <v>3530</v>
      </c>
      <c r="E82" s="101">
        <v>1.8200000000000001E-2</v>
      </c>
      <c r="F82" s="6">
        <v>96</v>
      </c>
      <c r="G82" t="s">
        <v>1349</v>
      </c>
      <c r="H82" s="82">
        <v>2.16</v>
      </c>
      <c r="I82">
        <v>2</v>
      </c>
      <c r="J82">
        <v>52</v>
      </c>
      <c r="K82" t="s">
        <v>3531</v>
      </c>
      <c r="L82" s="6" t="s">
        <v>1471</v>
      </c>
      <c r="M82" s="6">
        <v>31</v>
      </c>
      <c r="N82" s="6">
        <v>2</v>
      </c>
      <c r="O82">
        <v>500</v>
      </c>
      <c r="P82">
        <v>202605</v>
      </c>
      <c r="Q82" t="s">
        <v>377</v>
      </c>
      <c r="R82" t="s">
        <v>1353</v>
      </c>
      <c r="S82">
        <f>Consulta1[[#This Row],[min_port]]/100</f>
        <v>1.34E-2</v>
      </c>
      <c r="T82" s="252">
        <f>Consulta1[[#This Row],[TETO_COMERCIAL]]/100</f>
        <v>2.1600000000000001E-2</v>
      </c>
      <c r="U82" t="b">
        <f>Consulta1[[#This Row],[TETO_COMERCIAL_%]]=Consulta1[[#This Row],[TAXA]]</f>
        <v>0</v>
      </c>
      <c r="V82" t="str">
        <f>CONCATENATE(Consulta1[[#This Row],[MES_ALTERACAO]],Consulta1[[#This Row],[VIRADA]])</f>
        <v>20260531</v>
      </c>
      <c r="W82">
        <f>VLOOKUP(Consulta1[[#This Row],[Coluna2]],CALENDARIO!$J:$K,2,FALSE)</f>
        <v>20</v>
      </c>
    </row>
    <row r="83" spans="1:23" x14ac:dyDescent="0.25">
      <c r="A83" t="s">
        <v>72</v>
      </c>
      <c r="B83" t="str">
        <f>CONCATENATE(Consulta1[[#This Row],[id]],Consulta1[[#This Row],[EMPREGADOR]])</f>
        <v>4EXERCITO</v>
      </c>
      <c r="C83" s="6">
        <f>IF(A83=A82,C82+1,1)</f>
        <v>4</v>
      </c>
      <c r="D83" t="s">
        <v>3532</v>
      </c>
      <c r="E83" s="101">
        <v>1.78E-2</v>
      </c>
      <c r="F83" s="6">
        <v>96</v>
      </c>
      <c r="G83" t="s">
        <v>1349</v>
      </c>
      <c r="H83" s="82">
        <v>2.16</v>
      </c>
      <c r="I83">
        <v>2</v>
      </c>
      <c r="J83">
        <v>51</v>
      </c>
      <c r="K83" t="s">
        <v>3533</v>
      </c>
      <c r="L83" s="6" t="s">
        <v>1471</v>
      </c>
      <c r="M83" s="6">
        <v>31</v>
      </c>
      <c r="N83" s="6">
        <v>2</v>
      </c>
      <c r="O83">
        <v>500</v>
      </c>
      <c r="P83">
        <v>202605</v>
      </c>
      <c r="Q83" t="s">
        <v>377</v>
      </c>
      <c r="R83" t="s">
        <v>1353</v>
      </c>
      <c r="S83">
        <f>Consulta1[[#This Row],[min_port]]/100</f>
        <v>1.34E-2</v>
      </c>
      <c r="T83" s="252">
        <f>Consulta1[[#This Row],[TETO_COMERCIAL]]/100</f>
        <v>2.1600000000000001E-2</v>
      </c>
      <c r="U83" t="b">
        <f>Consulta1[[#This Row],[TETO_COMERCIAL_%]]=Consulta1[[#This Row],[TAXA]]</f>
        <v>0</v>
      </c>
      <c r="V83" t="str">
        <f>CONCATENATE(Consulta1[[#This Row],[MES_ALTERACAO]],Consulta1[[#This Row],[VIRADA]])</f>
        <v>20260531</v>
      </c>
      <c r="W83">
        <f>VLOOKUP(Consulta1[[#This Row],[Coluna2]],CALENDARIO!$J:$K,2,FALSE)</f>
        <v>20</v>
      </c>
    </row>
    <row r="84" spans="1:23" x14ac:dyDescent="0.25">
      <c r="A84" t="s">
        <v>72</v>
      </c>
      <c r="B84" t="str">
        <f>CONCATENATE(Consulta1[[#This Row],[id]],Consulta1[[#This Row],[EMPREGADOR]])</f>
        <v>5EXERCITO</v>
      </c>
      <c r="C84" s="6">
        <f>IF(A84=A83,C83+1,1)</f>
        <v>5</v>
      </c>
      <c r="D84" t="s">
        <v>3534</v>
      </c>
      <c r="E84" s="101">
        <v>1.7399999999999999E-2</v>
      </c>
      <c r="F84" s="6">
        <v>96</v>
      </c>
      <c r="G84" t="s">
        <v>1349</v>
      </c>
      <c r="H84" s="82">
        <v>2.16</v>
      </c>
      <c r="I84">
        <v>2</v>
      </c>
      <c r="J84">
        <v>52</v>
      </c>
      <c r="K84" t="s">
        <v>3535</v>
      </c>
      <c r="L84" s="6" t="s">
        <v>1471</v>
      </c>
      <c r="M84" s="6">
        <v>31</v>
      </c>
      <c r="N84" s="6">
        <v>2</v>
      </c>
      <c r="O84">
        <v>500</v>
      </c>
      <c r="P84">
        <v>202605</v>
      </c>
      <c r="Q84" t="s">
        <v>377</v>
      </c>
      <c r="R84" t="s">
        <v>1353</v>
      </c>
      <c r="S84">
        <f>Consulta1[[#This Row],[min_port]]/100</f>
        <v>1.34E-2</v>
      </c>
      <c r="T84" s="252">
        <f>Consulta1[[#This Row],[TETO_COMERCIAL]]/100</f>
        <v>2.1600000000000001E-2</v>
      </c>
      <c r="U84" t="b">
        <f>Consulta1[[#This Row],[TETO_COMERCIAL_%]]=Consulta1[[#This Row],[TAXA]]</f>
        <v>0</v>
      </c>
      <c r="V84" t="str">
        <f>CONCATENATE(Consulta1[[#This Row],[MES_ALTERACAO]],Consulta1[[#This Row],[VIRADA]])</f>
        <v>20260531</v>
      </c>
      <c r="W84">
        <f>VLOOKUP(Consulta1[[#This Row],[Coluna2]],CALENDARIO!$J:$K,2,FALSE)</f>
        <v>20</v>
      </c>
    </row>
    <row r="85" spans="1:23" x14ac:dyDescent="0.25">
      <c r="A85" t="s">
        <v>72</v>
      </c>
      <c r="B85" t="str">
        <f>CONCATENATE(Consulta1[[#This Row],[id]],Consulta1[[#This Row],[EMPREGADOR]])</f>
        <v>6EXERCITO</v>
      </c>
      <c r="C85" s="6">
        <f>IF(A85=A84,C84+1,1)</f>
        <v>6</v>
      </c>
      <c r="D85" t="s">
        <v>3536</v>
      </c>
      <c r="E85" s="101">
        <v>1.7000000000000001E-2</v>
      </c>
      <c r="F85" s="6">
        <v>96</v>
      </c>
      <c r="G85" t="s">
        <v>1349</v>
      </c>
      <c r="H85" s="82">
        <v>2.16</v>
      </c>
      <c r="I85">
        <v>2</v>
      </c>
      <c r="J85">
        <v>51</v>
      </c>
      <c r="K85" t="s">
        <v>3537</v>
      </c>
      <c r="L85" s="6" t="s">
        <v>1471</v>
      </c>
      <c r="M85" s="6">
        <v>31</v>
      </c>
      <c r="N85" s="6">
        <v>2</v>
      </c>
      <c r="O85">
        <v>500</v>
      </c>
      <c r="P85">
        <v>202605</v>
      </c>
      <c r="Q85" t="s">
        <v>377</v>
      </c>
      <c r="R85" t="s">
        <v>1353</v>
      </c>
      <c r="S85">
        <f>Consulta1[[#This Row],[min_port]]/100</f>
        <v>1.34E-2</v>
      </c>
      <c r="T85" s="252">
        <f>Consulta1[[#This Row],[TETO_COMERCIAL]]/100</f>
        <v>2.1600000000000001E-2</v>
      </c>
      <c r="U85" t="b">
        <f>Consulta1[[#This Row],[TETO_COMERCIAL_%]]=Consulta1[[#This Row],[TAXA]]</f>
        <v>0</v>
      </c>
      <c r="V85" t="str">
        <f>CONCATENATE(Consulta1[[#This Row],[MES_ALTERACAO]],Consulta1[[#This Row],[VIRADA]])</f>
        <v>20260531</v>
      </c>
      <c r="W85">
        <f>VLOOKUP(Consulta1[[#This Row],[Coluna2]],CALENDARIO!$J:$K,2,FALSE)</f>
        <v>20</v>
      </c>
    </row>
    <row r="86" spans="1:23" x14ac:dyDescent="0.25">
      <c r="A86" t="s">
        <v>72</v>
      </c>
      <c r="B86" t="str">
        <f>CONCATENATE(Consulta1[[#This Row],[id]],Consulta1[[#This Row],[EMPREGADOR]])</f>
        <v>7EXERCITO</v>
      </c>
      <c r="C86" s="6">
        <f>IF(A86=A85,C85+1,1)</f>
        <v>7</v>
      </c>
      <c r="D86" t="s">
        <v>3675</v>
      </c>
      <c r="E86" s="101">
        <v>1.66E-2</v>
      </c>
      <c r="F86" s="6">
        <v>96</v>
      </c>
      <c r="G86" t="s">
        <v>1349</v>
      </c>
      <c r="H86" s="82">
        <v>2.16</v>
      </c>
      <c r="I86">
        <v>2</v>
      </c>
      <c r="J86">
        <v>49</v>
      </c>
      <c r="K86" t="s">
        <v>3753</v>
      </c>
      <c r="L86" s="6" t="s">
        <v>1471</v>
      </c>
      <c r="M86" s="6">
        <v>31</v>
      </c>
      <c r="N86" s="6">
        <v>2</v>
      </c>
      <c r="O86">
        <v>500</v>
      </c>
      <c r="P86">
        <v>202605</v>
      </c>
      <c r="Q86" t="s">
        <v>377</v>
      </c>
      <c r="R86" t="s">
        <v>1353</v>
      </c>
      <c r="S86">
        <f>Consulta1[[#This Row],[min_port]]/100</f>
        <v>1.34E-2</v>
      </c>
      <c r="T86" s="252">
        <f>Consulta1[[#This Row],[TETO_COMERCIAL]]/100</f>
        <v>2.1600000000000001E-2</v>
      </c>
      <c r="U86" t="b">
        <f>Consulta1[[#This Row],[TETO_COMERCIAL_%]]=Consulta1[[#This Row],[TAXA]]</f>
        <v>0</v>
      </c>
      <c r="V86" t="str">
        <f>CONCATENATE(Consulta1[[#This Row],[MES_ALTERACAO]],Consulta1[[#This Row],[VIRADA]])</f>
        <v>20260531</v>
      </c>
      <c r="W86">
        <f>VLOOKUP(Consulta1[[#This Row],[Coluna2]],CALENDARIO!$J:$K,2,FALSE)</f>
        <v>20</v>
      </c>
    </row>
    <row r="87" spans="1:23" x14ac:dyDescent="0.25">
      <c r="A87" t="s">
        <v>72</v>
      </c>
      <c r="B87" t="str">
        <f>CONCATENATE(Consulta1[[#This Row],[id]],Consulta1[[#This Row],[EMPREGADOR]])</f>
        <v>8EXERCITO</v>
      </c>
      <c r="C87" s="6">
        <f>IF(A87=A86,C86+1,1)</f>
        <v>8</v>
      </c>
      <c r="D87" t="s">
        <v>3538</v>
      </c>
      <c r="E87" s="101">
        <v>1.66E-2</v>
      </c>
      <c r="F87" s="6">
        <v>96</v>
      </c>
      <c r="G87" t="s">
        <v>1349</v>
      </c>
      <c r="H87" s="82">
        <v>2.16</v>
      </c>
      <c r="I87">
        <v>2</v>
      </c>
      <c r="J87">
        <v>50</v>
      </c>
      <c r="K87" t="s">
        <v>3539</v>
      </c>
      <c r="L87" s="6" t="s">
        <v>1471</v>
      </c>
      <c r="M87" s="6">
        <v>31</v>
      </c>
      <c r="N87" s="6">
        <v>2</v>
      </c>
      <c r="O87">
        <v>500</v>
      </c>
      <c r="P87">
        <v>202605</v>
      </c>
      <c r="Q87" t="s">
        <v>377</v>
      </c>
      <c r="R87" t="s">
        <v>1353</v>
      </c>
      <c r="S87">
        <f>Consulta1[[#This Row],[min_port]]/100</f>
        <v>1.34E-2</v>
      </c>
      <c r="T87" s="252">
        <f>Consulta1[[#This Row],[TETO_COMERCIAL]]/100</f>
        <v>2.1600000000000001E-2</v>
      </c>
      <c r="U87" t="b">
        <f>Consulta1[[#This Row],[TETO_COMERCIAL_%]]=Consulta1[[#This Row],[TAXA]]</f>
        <v>0</v>
      </c>
      <c r="V87" t="str">
        <f>CONCATENATE(Consulta1[[#This Row],[MES_ALTERACAO]],Consulta1[[#This Row],[VIRADA]])</f>
        <v>20260531</v>
      </c>
      <c r="W87">
        <f>VLOOKUP(Consulta1[[#This Row],[Coluna2]],CALENDARIO!$J:$K,2,FALSE)</f>
        <v>20</v>
      </c>
    </row>
    <row r="88" spans="1:23" x14ac:dyDescent="0.25">
      <c r="A88" t="s">
        <v>2999</v>
      </c>
      <c r="B88" t="str">
        <f>CONCATENATE(Consulta1[[#This Row],[id]],Consulta1[[#This Row],[EMPREGADOR]])</f>
        <v>1F PREV SORRISO</v>
      </c>
      <c r="C88" s="6">
        <f>IF(A88=A87,C87+1,1)</f>
        <v>1</v>
      </c>
      <c r="D88" t="s">
        <v>285</v>
      </c>
      <c r="E88" s="101">
        <v>1.8000000000000002E-2</v>
      </c>
      <c r="F88" s="6">
        <v>120</v>
      </c>
      <c r="G88" t="s">
        <v>1349</v>
      </c>
      <c r="H88" s="82">
        <v>1.9</v>
      </c>
      <c r="I88">
        <v>15</v>
      </c>
      <c r="J88">
        <v>43</v>
      </c>
      <c r="K88" t="s">
        <v>2179</v>
      </c>
      <c r="L88" s="6" t="s">
        <v>1371</v>
      </c>
      <c r="M88" s="6">
        <v>15</v>
      </c>
      <c r="N88" s="6">
        <v>2</v>
      </c>
      <c r="O88">
        <v>500</v>
      </c>
      <c r="P88">
        <v>202605</v>
      </c>
      <c r="Q88" t="s">
        <v>377</v>
      </c>
      <c r="R88" t="s">
        <v>1353</v>
      </c>
      <c r="S88">
        <f>Consulta1[[#This Row],[min_port]]/100</f>
        <v>1.4499999999999999E-2</v>
      </c>
      <c r="T88" s="252">
        <f>Consulta1[[#This Row],[TETO_COMERCIAL]]/100</f>
        <v>1.9E-2</v>
      </c>
      <c r="U88" t="b">
        <f>Consulta1[[#This Row],[TETO_COMERCIAL_%]]=Consulta1[[#This Row],[TAXA]]</f>
        <v>0</v>
      </c>
      <c r="V88" t="str">
        <f>CONCATENATE(Consulta1[[#This Row],[MES_ALTERACAO]],Consulta1[[#This Row],[VIRADA]])</f>
        <v>20260515</v>
      </c>
      <c r="W88">
        <f>VLOOKUP(Consulta1[[#This Row],[Coluna2]],CALENDARIO!$J:$K,2,FALSE)</f>
        <v>10</v>
      </c>
    </row>
    <row r="89" spans="1:23" x14ac:dyDescent="0.25">
      <c r="A89" t="s">
        <v>3000</v>
      </c>
      <c r="B89" t="str">
        <f>CONCATENATE(Consulta1[[#This Row],[id]],Consulta1[[#This Row],[EMPREGADOR]])</f>
        <v>1FUNPREV BAURU</v>
      </c>
      <c r="C89" s="6">
        <f>IF(A89=A88,C88+1,1)</f>
        <v>1</v>
      </c>
      <c r="D89" t="s">
        <v>993</v>
      </c>
      <c r="E89" s="101">
        <v>2.5000000000000001E-2</v>
      </c>
      <c r="F89" s="6">
        <v>120</v>
      </c>
      <c r="G89" t="s">
        <v>1349</v>
      </c>
      <c r="H89" s="82">
        <v>2.5</v>
      </c>
      <c r="I89">
        <v>10</v>
      </c>
      <c r="J89">
        <v>36</v>
      </c>
      <c r="K89" t="s">
        <v>1398</v>
      </c>
      <c r="L89" s="6" t="s">
        <v>1399</v>
      </c>
      <c r="M89" s="6">
        <v>15</v>
      </c>
      <c r="N89" s="6">
        <v>2</v>
      </c>
      <c r="O89">
        <v>500</v>
      </c>
      <c r="P89">
        <v>202605</v>
      </c>
      <c r="Q89" t="s">
        <v>377</v>
      </c>
      <c r="R89" t="s">
        <v>1350</v>
      </c>
      <c r="S89">
        <f>Consulta1[[#This Row],[min_port]]/100</f>
        <v>1.3899999999999999E-2</v>
      </c>
      <c r="T89" s="252">
        <f>Consulta1[[#This Row],[TETO_COMERCIAL]]/100</f>
        <v>2.5000000000000001E-2</v>
      </c>
      <c r="U89" t="b">
        <f>Consulta1[[#This Row],[TETO_COMERCIAL_%]]=Consulta1[[#This Row],[TAXA]]</f>
        <v>1</v>
      </c>
      <c r="V89" t="str">
        <f>CONCATENATE(Consulta1[[#This Row],[MES_ALTERACAO]],Consulta1[[#This Row],[VIRADA]])</f>
        <v>20260515</v>
      </c>
      <c r="W89">
        <f>VLOOKUP(Consulta1[[#This Row],[Coluna2]],CALENDARIO!$J:$K,2,FALSE)</f>
        <v>10</v>
      </c>
    </row>
    <row r="90" spans="1:23" x14ac:dyDescent="0.25">
      <c r="A90" t="s">
        <v>3000</v>
      </c>
      <c r="B90" t="str">
        <f>CONCATENATE(Consulta1[[#This Row],[id]],Consulta1[[#This Row],[EMPREGADOR]])</f>
        <v>2FUNPREV BAURU</v>
      </c>
      <c r="C90" s="6">
        <f>IF(A90=A89,C89+1,1)</f>
        <v>2</v>
      </c>
      <c r="D90" t="s">
        <v>994</v>
      </c>
      <c r="E90" s="101">
        <v>2.4E-2</v>
      </c>
      <c r="F90" s="6">
        <v>120</v>
      </c>
      <c r="G90" t="s">
        <v>1349</v>
      </c>
      <c r="H90" s="82">
        <v>2.5</v>
      </c>
      <c r="I90">
        <v>10</v>
      </c>
      <c r="K90" t="s">
        <v>1400</v>
      </c>
      <c r="L90" s="6" t="s">
        <v>1399</v>
      </c>
      <c r="M90" s="6">
        <v>15</v>
      </c>
      <c r="N90" s="6">
        <v>2</v>
      </c>
      <c r="O90">
        <v>500</v>
      </c>
      <c r="P90">
        <v>202605</v>
      </c>
      <c r="Q90" t="s">
        <v>377</v>
      </c>
      <c r="R90" t="s">
        <v>1350</v>
      </c>
      <c r="S90">
        <f>Consulta1[[#This Row],[min_port]]/100</f>
        <v>1.3899999999999999E-2</v>
      </c>
      <c r="T90" s="252">
        <f>Consulta1[[#This Row],[TETO_COMERCIAL]]/100</f>
        <v>2.5000000000000001E-2</v>
      </c>
      <c r="U90" t="b">
        <f>Consulta1[[#This Row],[TETO_COMERCIAL_%]]=Consulta1[[#This Row],[TAXA]]</f>
        <v>0</v>
      </c>
      <c r="V90" t="str">
        <f>CONCATENATE(Consulta1[[#This Row],[MES_ALTERACAO]],Consulta1[[#This Row],[VIRADA]])</f>
        <v>20260515</v>
      </c>
      <c r="W90">
        <f>VLOOKUP(Consulta1[[#This Row],[Coluna2]],CALENDARIO!$J:$K,2,FALSE)</f>
        <v>10</v>
      </c>
    </row>
    <row r="91" spans="1:23" x14ac:dyDescent="0.25">
      <c r="A91" t="s">
        <v>3000</v>
      </c>
      <c r="B91" t="str">
        <f>CONCATENATE(Consulta1[[#This Row],[id]],Consulta1[[#This Row],[EMPREGADOR]])</f>
        <v>3FUNPREV BAURU</v>
      </c>
      <c r="C91" s="6">
        <f>IF(A91=A90,C90+1,1)</f>
        <v>3</v>
      </c>
      <c r="D91" t="s">
        <v>995</v>
      </c>
      <c r="E91" s="101">
        <v>2.3E-2</v>
      </c>
      <c r="F91" s="6">
        <v>120</v>
      </c>
      <c r="G91" t="s">
        <v>1349</v>
      </c>
      <c r="H91" s="82">
        <v>2.5</v>
      </c>
      <c r="I91">
        <v>10</v>
      </c>
      <c r="J91">
        <v>37</v>
      </c>
      <c r="K91" t="s">
        <v>1401</v>
      </c>
      <c r="L91" s="6" t="s">
        <v>1399</v>
      </c>
      <c r="M91" s="6">
        <v>15</v>
      </c>
      <c r="N91" s="6">
        <v>2</v>
      </c>
      <c r="O91">
        <v>500</v>
      </c>
      <c r="P91">
        <v>202605</v>
      </c>
      <c r="Q91" t="s">
        <v>377</v>
      </c>
      <c r="R91" t="s">
        <v>1350</v>
      </c>
      <c r="S91">
        <f>Consulta1[[#This Row],[min_port]]/100</f>
        <v>1.3899999999999999E-2</v>
      </c>
      <c r="T91" s="252">
        <f>Consulta1[[#This Row],[TETO_COMERCIAL]]/100</f>
        <v>2.5000000000000001E-2</v>
      </c>
      <c r="U91" t="b">
        <f>Consulta1[[#This Row],[TETO_COMERCIAL_%]]=Consulta1[[#This Row],[TAXA]]</f>
        <v>0</v>
      </c>
      <c r="V91" t="str">
        <f>CONCATENATE(Consulta1[[#This Row],[MES_ALTERACAO]],Consulta1[[#This Row],[VIRADA]])</f>
        <v>20260515</v>
      </c>
      <c r="W91">
        <f>VLOOKUP(Consulta1[[#This Row],[Coluna2]],CALENDARIO!$J:$K,2,FALSE)</f>
        <v>10</v>
      </c>
    </row>
    <row r="92" spans="1:23" x14ac:dyDescent="0.25">
      <c r="A92" t="s">
        <v>3000</v>
      </c>
      <c r="B92" t="str">
        <f>CONCATENATE(Consulta1[[#This Row],[id]],Consulta1[[#This Row],[EMPREGADOR]])</f>
        <v>4FUNPREV BAURU</v>
      </c>
      <c r="C92" s="6">
        <f>IF(A92=A91,C91+1,1)</f>
        <v>4</v>
      </c>
      <c r="D92" t="s">
        <v>996</v>
      </c>
      <c r="E92" s="101">
        <v>2.2000000000000002E-2</v>
      </c>
      <c r="F92" s="6">
        <v>120</v>
      </c>
      <c r="G92" t="s">
        <v>1349</v>
      </c>
      <c r="H92" s="82">
        <v>2.5</v>
      </c>
      <c r="I92">
        <v>10</v>
      </c>
      <c r="K92" t="s">
        <v>1402</v>
      </c>
      <c r="L92" s="6" t="s">
        <v>1399</v>
      </c>
      <c r="M92" s="6">
        <v>15</v>
      </c>
      <c r="N92" s="6">
        <v>2</v>
      </c>
      <c r="O92">
        <v>500</v>
      </c>
      <c r="P92">
        <v>202605</v>
      </c>
      <c r="Q92" t="s">
        <v>377</v>
      </c>
      <c r="R92" t="s">
        <v>1350</v>
      </c>
      <c r="S92">
        <f>Consulta1[[#This Row],[min_port]]/100</f>
        <v>1.3899999999999999E-2</v>
      </c>
      <c r="T92" s="252">
        <f>Consulta1[[#This Row],[TETO_COMERCIAL]]/100</f>
        <v>2.5000000000000001E-2</v>
      </c>
      <c r="U92" t="b">
        <f>Consulta1[[#This Row],[TETO_COMERCIAL_%]]=Consulta1[[#This Row],[TAXA]]</f>
        <v>0</v>
      </c>
      <c r="V92" t="str">
        <f>CONCATENATE(Consulta1[[#This Row],[MES_ALTERACAO]],Consulta1[[#This Row],[VIRADA]])</f>
        <v>20260515</v>
      </c>
      <c r="W92">
        <f>VLOOKUP(Consulta1[[#This Row],[Coluna2]],CALENDARIO!$J:$K,2,FALSE)</f>
        <v>10</v>
      </c>
    </row>
    <row r="93" spans="1:23" x14ac:dyDescent="0.25">
      <c r="A93" t="s">
        <v>3000</v>
      </c>
      <c r="B93" t="str">
        <f>CONCATENATE(Consulta1[[#This Row],[id]],Consulta1[[#This Row],[EMPREGADOR]])</f>
        <v>5FUNPREV BAURU</v>
      </c>
      <c r="C93" s="6">
        <f>IF(A93=A92,C92+1,1)</f>
        <v>5</v>
      </c>
      <c r="D93" t="s">
        <v>997</v>
      </c>
      <c r="E93" s="101">
        <v>2.1000000000000001E-2</v>
      </c>
      <c r="F93" s="6">
        <v>120</v>
      </c>
      <c r="G93" t="s">
        <v>1349</v>
      </c>
      <c r="H93" s="82">
        <v>2.5</v>
      </c>
      <c r="I93">
        <v>10</v>
      </c>
      <c r="J93">
        <v>30</v>
      </c>
      <c r="K93" t="s">
        <v>1403</v>
      </c>
      <c r="L93" s="6" t="s">
        <v>1399</v>
      </c>
      <c r="M93" s="6">
        <v>15</v>
      </c>
      <c r="N93" s="6">
        <v>2</v>
      </c>
      <c r="O93">
        <v>500</v>
      </c>
      <c r="P93">
        <v>202605</v>
      </c>
      <c r="Q93" t="s">
        <v>377</v>
      </c>
      <c r="R93" t="s">
        <v>1350</v>
      </c>
      <c r="S93">
        <f>Consulta1[[#This Row],[min_port]]/100</f>
        <v>1.3899999999999999E-2</v>
      </c>
      <c r="T93" s="252">
        <f>Consulta1[[#This Row],[TETO_COMERCIAL]]/100</f>
        <v>2.5000000000000001E-2</v>
      </c>
      <c r="U93" t="b">
        <f>Consulta1[[#This Row],[TETO_COMERCIAL_%]]=Consulta1[[#This Row],[TAXA]]</f>
        <v>0</v>
      </c>
      <c r="V93" t="str">
        <f>CONCATENATE(Consulta1[[#This Row],[MES_ALTERACAO]],Consulta1[[#This Row],[VIRADA]])</f>
        <v>20260515</v>
      </c>
      <c r="W93">
        <f>VLOOKUP(Consulta1[[#This Row],[Coluna2]],CALENDARIO!$J:$K,2,FALSE)</f>
        <v>10</v>
      </c>
    </row>
    <row r="94" spans="1:23" x14ac:dyDescent="0.25">
      <c r="A94" t="s">
        <v>3000</v>
      </c>
      <c r="B94" t="str">
        <f>CONCATENATE(Consulta1[[#This Row],[id]],Consulta1[[#This Row],[EMPREGADOR]])</f>
        <v>6FUNPREV BAURU</v>
      </c>
      <c r="C94" s="6">
        <f>IF(A94=A93,C93+1,1)</f>
        <v>6</v>
      </c>
      <c r="D94" t="s">
        <v>998</v>
      </c>
      <c r="E94" s="101">
        <v>2.06E-2</v>
      </c>
      <c r="F94" s="6">
        <v>120</v>
      </c>
      <c r="G94" t="s">
        <v>1349</v>
      </c>
      <c r="H94" s="82">
        <v>2.5</v>
      </c>
      <c r="I94">
        <v>10</v>
      </c>
      <c r="K94" t="s">
        <v>1404</v>
      </c>
      <c r="L94" s="6" t="s">
        <v>1399</v>
      </c>
      <c r="M94" s="6">
        <v>15</v>
      </c>
      <c r="N94" s="6">
        <v>2</v>
      </c>
      <c r="O94">
        <v>500</v>
      </c>
      <c r="P94">
        <v>202605</v>
      </c>
      <c r="Q94" t="s">
        <v>377</v>
      </c>
      <c r="R94" t="s">
        <v>1350</v>
      </c>
      <c r="S94">
        <f>Consulta1[[#This Row],[min_port]]/100</f>
        <v>1.3899999999999999E-2</v>
      </c>
      <c r="T94" s="252">
        <f>Consulta1[[#This Row],[TETO_COMERCIAL]]/100</f>
        <v>2.5000000000000001E-2</v>
      </c>
      <c r="U94" t="b">
        <f>Consulta1[[#This Row],[TETO_COMERCIAL_%]]=Consulta1[[#This Row],[TAXA]]</f>
        <v>0</v>
      </c>
      <c r="V94" t="str">
        <f>CONCATENATE(Consulta1[[#This Row],[MES_ALTERACAO]],Consulta1[[#This Row],[VIRADA]])</f>
        <v>20260515</v>
      </c>
      <c r="W94">
        <f>VLOOKUP(Consulta1[[#This Row],[Coluna2]],CALENDARIO!$J:$K,2,FALSE)</f>
        <v>10</v>
      </c>
    </row>
    <row r="95" spans="1:23" x14ac:dyDescent="0.25">
      <c r="A95" t="s">
        <v>3000</v>
      </c>
      <c r="B95" t="str">
        <f>CONCATENATE(Consulta1[[#This Row],[id]],Consulta1[[#This Row],[EMPREGADOR]])</f>
        <v>7FUNPREV BAURU</v>
      </c>
      <c r="C95" s="6">
        <f>IF(A95=A94,C94+1,1)</f>
        <v>7</v>
      </c>
      <c r="D95" t="s">
        <v>999</v>
      </c>
      <c r="E95" s="101">
        <v>1.9799999999999998E-2</v>
      </c>
      <c r="F95" s="6">
        <v>120</v>
      </c>
      <c r="G95" t="s">
        <v>1349</v>
      </c>
      <c r="H95" s="82">
        <v>2.5</v>
      </c>
      <c r="I95">
        <v>10</v>
      </c>
      <c r="J95">
        <v>27</v>
      </c>
      <c r="K95" t="s">
        <v>1405</v>
      </c>
      <c r="L95" s="6" t="s">
        <v>1399</v>
      </c>
      <c r="M95" s="6">
        <v>15</v>
      </c>
      <c r="N95" s="6">
        <v>2</v>
      </c>
      <c r="O95">
        <v>500</v>
      </c>
      <c r="P95">
        <v>202605</v>
      </c>
      <c r="Q95" t="s">
        <v>377</v>
      </c>
      <c r="R95" t="s">
        <v>1350</v>
      </c>
      <c r="S95">
        <f>Consulta1[[#This Row],[min_port]]/100</f>
        <v>1.3899999999999999E-2</v>
      </c>
      <c r="T95" s="252">
        <f>Consulta1[[#This Row],[TETO_COMERCIAL]]/100</f>
        <v>2.5000000000000001E-2</v>
      </c>
      <c r="U95" t="b">
        <f>Consulta1[[#This Row],[TETO_COMERCIAL_%]]=Consulta1[[#This Row],[TAXA]]</f>
        <v>0</v>
      </c>
      <c r="V95" t="str">
        <f>CONCATENATE(Consulta1[[#This Row],[MES_ALTERACAO]],Consulta1[[#This Row],[VIRADA]])</f>
        <v>20260515</v>
      </c>
      <c r="W95">
        <f>VLOOKUP(Consulta1[[#This Row],[Coluna2]],CALENDARIO!$J:$K,2,FALSE)</f>
        <v>10</v>
      </c>
    </row>
    <row r="96" spans="1:23" x14ac:dyDescent="0.25">
      <c r="A96" t="s">
        <v>3000</v>
      </c>
      <c r="B96" t="str">
        <f>CONCATENATE(Consulta1[[#This Row],[id]],Consulta1[[#This Row],[EMPREGADOR]])</f>
        <v>8FUNPREV BAURU</v>
      </c>
      <c r="C96" s="6">
        <f>IF(A96=A95,C95+1,1)</f>
        <v>8</v>
      </c>
      <c r="D96" t="s">
        <v>1000</v>
      </c>
      <c r="E96" s="101">
        <v>1.6399999999999998E-2</v>
      </c>
      <c r="F96" s="6">
        <v>120</v>
      </c>
      <c r="G96" t="s">
        <v>1349</v>
      </c>
      <c r="H96" s="82">
        <v>2.5</v>
      </c>
      <c r="I96">
        <v>10</v>
      </c>
      <c r="J96">
        <v>43</v>
      </c>
      <c r="K96" t="s">
        <v>1406</v>
      </c>
      <c r="L96" s="6" t="s">
        <v>1399</v>
      </c>
      <c r="M96" s="6">
        <v>15</v>
      </c>
      <c r="N96" s="6">
        <v>2</v>
      </c>
      <c r="O96">
        <v>500</v>
      </c>
      <c r="P96">
        <v>202605</v>
      </c>
      <c r="Q96" t="s">
        <v>377</v>
      </c>
      <c r="R96" t="s">
        <v>1350</v>
      </c>
      <c r="S96">
        <f>Consulta1[[#This Row],[min_port]]/100</f>
        <v>1.3899999999999999E-2</v>
      </c>
      <c r="T96" s="252">
        <f>Consulta1[[#This Row],[TETO_COMERCIAL]]/100</f>
        <v>2.5000000000000001E-2</v>
      </c>
      <c r="U96" t="b">
        <f>Consulta1[[#This Row],[TETO_COMERCIAL_%]]=Consulta1[[#This Row],[TAXA]]</f>
        <v>0</v>
      </c>
      <c r="V96" t="str">
        <f>CONCATENATE(Consulta1[[#This Row],[MES_ALTERACAO]],Consulta1[[#This Row],[VIRADA]])</f>
        <v>20260515</v>
      </c>
      <c r="W96">
        <f>VLOOKUP(Consulta1[[#This Row],[Coluna2]],CALENDARIO!$J:$K,2,FALSE)</f>
        <v>10</v>
      </c>
    </row>
    <row r="97" spans="1:23" x14ac:dyDescent="0.25">
      <c r="A97" t="s">
        <v>3001</v>
      </c>
      <c r="B97" t="str">
        <f>CONCATENATE(Consulta1[[#This Row],[id]],Consulta1[[#This Row],[EMPREGADOR]])</f>
        <v>1GOV ACRE</v>
      </c>
      <c r="C97" s="6">
        <f>IF(A97=A96,C96+1,1)</f>
        <v>1</v>
      </c>
      <c r="D97" t="s">
        <v>572</v>
      </c>
      <c r="E97" s="101">
        <v>2.5000000000000001E-2</v>
      </c>
      <c r="F97" s="6">
        <v>120</v>
      </c>
      <c r="G97" t="s">
        <v>1349</v>
      </c>
      <c r="H97" s="82">
        <v>2.5</v>
      </c>
      <c r="I97">
        <v>5</v>
      </c>
      <c r="J97">
        <v>48</v>
      </c>
      <c r="K97" t="s">
        <v>2943</v>
      </c>
      <c r="L97" s="6" t="s">
        <v>1731</v>
      </c>
      <c r="M97" s="6">
        <v>2</v>
      </c>
      <c r="N97" s="6">
        <v>2</v>
      </c>
      <c r="O97">
        <v>500</v>
      </c>
      <c r="P97">
        <v>202605</v>
      </c>
      <c r="Q97" t="s">
        <v>377</v>
      </c>
      <c r="R97" t="s">
        <v>1353</v>
      </c>
      <c r="S97">
        <f>Consulta1[[#This Row],[min_port]]/100</f>
        <v>1.3600000000000001E-2</v>
      </c>
      <c r="T97" s="252">
        <f>Consulta1[[#This Row],[TETO_COMERCIAL]]/100</f>
        <v>2.5000000000000001E-2</v>
      </c>
      <c r="U97" t="b">
        <f>Consulta1[[#This Row],[TETO_COMERCIAL_%]]=Consulta1[[#This Row],[TAXA]]</f>
        <v>1</v>
      </c>
      <c r="V97" t="str">
        <f>CONCATENATE(Consulta1[[#This Row],[MES_ALTERACAO]],Consulta1[[#This Row],[VIRADA]])</f>
        <v>2026052</v>
      </c>
      <c r="W97">
        <f>VLOOKUP(Consulta1[[#This Row],[Coluna2]],CALENDARIO!$J:$K,2,FALSE)</f>
        <v>0</v>
      </c>
    </row>
    <row r="98" spans="1:23" x14ac:dyDescent="0.25">
      <c r="A98" t="s">
        <v>3001</v>
      </c>
      <c r="B98" t="str">
        <f>CONCATENATE(Consulta1[[#This Row],[id]],Consulta1[[#This Row],[EMPREGADOR]])</f>
        <v>2GOV ACRE</v>
      </c>
      <c r="C98" s="6">
        <f>IF(A98=A97,C97+1,1)</f>
        <v>2</v>
      </c>
      <c r="D98" s="256" t="s">
        <v>321</v>
      </c>
      <c r="E98" s="257">
        <v>2.4E-2</v>
      </c>
      <c r="F98" s="587">
        <v>120</v>
      </c>
      <c r="G98" s="256" t="s">
        <v>1349</v>
      </c>
      <c r="H98" s="82">
        <v>2.5</v>
      </c>
      <c r="I98" s="256">
        <v>5</v>
      </c>
      <c r="J98">
        <v>48</v>
      </c>
      <c r="K98" s="256" t="s">
        <v>2944</v>
      </c>
      <c r="L98" s="6" t="s">
        <v>1731</v>
      </c>
      <c r="M98" s="6">
        <v>2</v>
      </c>
      <c r="N98" s="6">
        <v>2</v>
      </c>
      <c r="O98">
        <v>500</v>
      </c>
      <c r="P98">
        <v>202605</v>
      </c>
      <c r="Q98" t="s">
        <v>377</v>
      </c>
      <c r="R98" t="s">
        <v>1353</v>
      </c>
      <c r="S98">
        <f>Consulta1[[#This Row],[min_port]]/100</f>
        <v>1.3600000000000001E-2</v>
      </c>
      <c r="T98" s="252">
        <f>Consulta1[[#This Row],[TETO_COMERCIAL]]/100</f>
        <v>2.5000000000000001E-2</v>
      </c>
      <c r="U98" t="b">
        <f>Consulta1[[#This Row],[TETO_COMERCIAL_%]]=Consulta1[[#This Row],[TAXA]]</f>
        <v>0</v>
      </c>
      <c r="V98" t="str">
        <f>CONCATENATE(Consulta1[[#This Row],[MES_ALTERACAO]],Consulta1[[#This Row],[VIRADA]])</f>
        <v>2026052</v>
      </c>
      <c r="W98">
        <f>VLOOKUP(Consulta1[[#This Row],[Coluna2]],CALENDARIO!$J:$K,2,FALSE)</f>
        <v>0</v>
      </c>
    </row>
    <row r="99" spans="1:23" x14ac:dyDescent="0.25">
      <c r="A99" t="s">
        <v>3001</v>
      </c>
      <c r="B99" t="str">
        <f>CONCATENATE(Consulta1[[#This Row],[id]],Consulta1[[#This Row],[EMPREGADOR]])</f>
        <v>3GOV ACRE</v>
      </c>
      <c r="C99" s="6">
        <f>IF(A99=A98,C98+1,1)</f>
        <v>3</v>
      </c>
      <c r="D99" t="s">
        <v>322</v>
      </c>
      <c r="E99" s="101">
        <v>2.3E-2</v>
      </c>
      <c r="F99" s="6">
        <v>120</v>
      </c>
      <c r="G99" t="s">
        <v>1349</v>
      </c>
      <c r="H99" s="82">
        <v>2.5</v>
      </c>
      <c r="I99">
        <v>5</v>
      </c>
      <c r="J99">
        <v>48</v>
      </c>
      <c r="K99" t="s">
        <v>2945</v>
      </c>
      <c r="L99" s="6" t="s">
        <v>1731</v>
      </c>
      <c r="M99" s="6">
        <v>2</v>
      </c>
      <c r="N99" s="6">
        <v>2</v>
      </c>
      <c r="O99">
        <v>500</v>
      </c>
      <c r="P99">
        <v>202605</v>
      </c>
      <c r="Q99" t="s">
        <v>377</v>
      </c>
      <c r="R99" t="s">
        <v>1353</v>
      </c>
      <c r="S99">
        <f>Consulta1[[#This Row],[min_port]]/100</f>
        <v>1.3600000000000001E-2</v>
      </c>
      <c r="T99" s="252">
        <f>Consulta1[[#This Row],[TETO_COMERCIAL]]/100</f>
        <v>2.5000000000000001E-2</v>
      </c>
      <c r="U99" t="b">
        <f>Consulta1[[#This Row],[TETO_COMERCIAL_%]]=Consulta1[[#This Row],[TAXA]]</f>
        <v>0</v>
      </c>
      <c r="V99" t="str">
        <f>CONCATENATE(Consulta1[[#This Row],[MES_ALTERACAO]],Consulta1[[#This Row],[VIRADA]])</f>
        <v>2026052</v>
      </c>
      <c r="W99">
        <f>VLOOKUP(Consulta1[[#This Row],[Coluna2]],CALENDARIO!$J:$K,2,FALSE)</f>
        <v>0</v>
      </c>
    </row>
    <row r="100" spans="1:23" x14ac:dyDescent="0.25">
      <c r="A100" t="s">
        <v>3001</v>
      </c>
      <c r="B100" t="str">
        <f>CONCATENATE(Consulta1[[#This Row],[id]],Consulta1[[#This Row],[EMPREGADOR]])</f>
        <v>4GOV ACRE</v>
      </c>
      <c r="C100" s="6">
        <f>IF(A100=A99,C99+1,1)</f>
        <v>4</v>
      </c>
      <c r="D100" t="s">
        <v>323</v>
      </c>
      <c r="E100" s="101">
        <v>2.2000000000000002E-2</v>
      </c>
      <c r="F100" s="6">
        <v>120</v>
      </c>
      <c r="G100" t="s">
        <v>1349</v>
      </c>
      <c r="H100" s="82">
        <v>2.5</v>
      </c>
      <c r="I100">
        <v>5</v>
      </c>
      <c r="J100">
        <v>48</v>
      </c>
      <c r="K100" t="s">
        <v>2946</v>
      </c>
      <c r="L100" s="6" t="s">
        <v>1731</v>
      </c>
      <c r="M100" s="6">
        <v>2</v>
      </c>
      <c r="N100" s="6">
        <v>2</v>
      </c>
      <c r="O100">
        <v>500</v>
      </c>
      <c r="P100">
        <v>202605</v>
      </c>
      <c r="Q100" t="s">
        <v>377</v>
      </c>
      <c r="R100" t="s">
        <v>1353</v>
      </c>
      <c r="S100">
        <f>Consulta1[[#This Row],[min_port]]/100</f>
        <v>1.3600000000000001E-2</v>
      </c>
      <c r="T100" s="252">
        <f>Consulta1[[#This Row],[TETO_COMERCIAL]]/100</f>
        <v>2.5000000000000001E-2</v>
      </c>
      <c r="U100" t="b">
        <f>Consulta1[[#This Row],[TETO_COMERCIAL_%]]=Consulta1[[#This Row],[TAXA]]</f>
        <v>0</v>
      </c>
      <c r="V100" t="str">
        <f>CONCATENATE(Consulta1[[#This Row],[MES_ALTERACAO]],Consulta1[[#This Row],[VIRADA]])</f>
        <v>2026052</v>
      </c>
      <c r="W100">
        <f>VLOOKUP(Consulta1[[#This Row],[Coluna2]],CALENDARIO!$J:$K,2,FALSE)</f>
        <v>0</v>
      </c>
    </row>
    <row r="101" spans="1:23" x14ac:dyDescent="0.25">
      <c r="A101" t="s">
        <v>3001</v>
      </c>
      <c r="B101" t="str">
        <f>CONCATENATE(Consulta1[[#This Row],[id]],Consulta1[[#This Row],[EMPREGADOR]])</f>
        <v>5GOV ACRE</v>
      </c>
      <c r="C101" s="6">
        <f>IF(A101=A100,C100+1,1)</f>
        <v>5</v>
      </c>
      <c r="D101" t="s">
        <v>707</v>
      </c>
      <c r="E101" s="101">
        <v>2.1000000000000001E-2</v>
      </c>
      <c r="F101" s="6">
        <v>120</v>
      </c>
      <c r="G101" t="s">
        <v>1349</v>
      </c>
      <c r="H101" s="82">
        <v>2.5</v>
      </c>
      <c r="I101">
        <v>5</v>
      </c>
      <c r="J101">
        <v>47</v>
      </c>
      <c r="K101" t="s">
        <v>2947</v>
      </c>
      <c r="L101" s="6" t="s">
        <v>1731</v>
      </c>
      <c r="M101" s="6">
        <v>2</v>
      </c>
      <c r="N101" s="6">
        <v>2</v>
      </c>
      <c r="O101">
        <v>500</v>
      </c>
      <c r="P101">
        <v>202605</v>
      </c>
      <c r="Q101" t="s">
        <v>377</v>
      </c>
      <c r="R101" t="s">
        <v>1353</v>
      </c>
      <c r="S101">
        <f>Consulta1[[#This Row],[min_port]]/100</f>
        <v>1.3600000000000001E-2</v>
      </c>
      <c r="T101" s="252">
        <f>Consulta1[[#This Row],[TETO_COMERCIAL]]/100</f>
        <v>2.5000000000000001E-2</v>
      </c>
      <c r="U101" t="b">
        <f>Consulta1[[#This Row],[TETO_COMERCIAL_%]]=Consulta1[[#This Row],[TAXA]]</f>
        <v>0</v>
      </c>
      <c r="V101" t="str">
        <f>CONCATENATE(Consulta1[[#This Row],[MES_ALTERACAO]],Consulta1[[#This Row],[VIRADA]])</f>
        <v>2026052</v>
      </c>
      <c r="W101">
        <f>VLOOKUP(Consulta1[[#This Row],[Coluna2]],CALENDARIO!$J:$K,2,FALSE)</f>
        <v>0</v>
      </c>
    </row>
    <row r="102" spans="1:23" x14ac:dyDescent="0.25">
      <c r="A102" t="s">
        <v>3001</v>
      </c>
      <c r="B102" t="str">
        <f>CONCATENATE(Consulta1[[#This Row],[id]],Consulta1[[#This Row],[EMPREGADOR]])</f>
        <v>6GOV ACRE</v>
      </c>
      <c r="C102" s="6">
        <f>IF(A102=A101,C101+1,1)</f>
        <v>6</v>
      </c>
      <c r="D102" t="s">
        <v>708</v>
      </c>
      <c r="E102" s="101">
        <v>0.02</v>
      </c>
      <c r="F102" s="6">
        <v>120</v>
      </c>
      <c r="G102" t="s">
        <v>1349</v>
      </c>
      <c r="H102" s="82">
        <v>2.5</v>
      </c>
      <c r="I102">
        <v>5</v>
      </c>
      <c r="J102">
        <v>51</v>
      </c>
      <c r="K102" t="s">
        <v>2948</v>
      </c>
      <c r="L102" s="6" t="s">
        <v>1731</v>
      </c>
      <c r="M102" s="6">
        <v>2</v>
      </c>
      <c r="N102" s="6">
        <v>2</v>
      </c>
      <c r="O102">
        <v>500</v>
      </c>
      <c r="P102">
        <v>202605</v>
      </c>
      <c r="Q102" t="s">
        <v>377</v>
      </c>
      <c r="R102" t="s">
        <v>1353</v>
      </c>
      <c r="S102">
        <f>Consulta1[[#This Row],[min_port]]/100</f>
        <v>1.3600000000000001E-2</v>
      </c>
      <c r="T102" s="252">
        <f>Consulta1[[#This Row],[TETO_COMERCIAL]]/100</f>
        <v>2.5000000000000001E-2</v>
      </c>
      <c r="U102" t="b">
        <f>Consulta1[[#This Row],[TETO_COMERCIAL_%]]=Consulta1[[#This Row],[TAXA]]</f>
        <v>0</v>
      </c>
      <c r="V102" t="str">
        <f>CONCATENATE(Consulta1[[#This Row],[MES_ALTERACAO]],Consulta1[[#This Row],[VIRADA]])</f>
        <v>2026052</v>
      </c>
      <c r="W102">
        <f>VLOOKUP(Consulta1[[#This Row],[Coluna2]],CALENDARIO!$J:$K,2,FALSE)</f>
        <v>0</v>
      </c>
    </row>
    <row r="103" spans="1:23" x14ac:dyDescent="0.25">
      <c r="A103" t="s">
        <v>3001</v>
      </c>
      <c r="B103" t="str">
        <f>CONCATENATE(Consulta1[[#This Row],[id]],Consulta1[[#This Row],[EMPREGADOR]])</f>
        <v>7GOV ACRE</v>
      </c>
      <c r="C103" s="6">
        <f>IF(A103=A102,C102+1,1)</f>
        <v>7</v>
      </c>
      <c r="D103" t="s">
        <v>709</v>
      </c>
      <c r="E103" s="101">
        <v>1.9E-2</v>
      </c>
      <c r="F103" s="6">
        <v>120</v>
      </c>
      <c r="G103" t="s">
        <v>1349</v>
      </c>
      <c r="H103" s="82">
        <v>2.5</v>
      </c>
      <c r="I103">
        <v>5</v>
      </c>
      <c r="J103">
        <v>48</v>
      </c>
      <c r="K103" t="s">
        <v>2949</v>
      </c>
      <c r="L103" s="6" t="s">
        <v>1731</v>
      </c>
      <c r="M103" s="6">
        <v>2</v>
      </c>
      <c r="N103" s="6">
        <v>2</v>
      </c>
      <c r="O103">
        <v>500</v>
      </c>
      <c r="P103">
        <v>202605</v>
      </c>
      <c r="Q103" t="s">
        <v>377</v>
      </c>
      <c r="R103" t="s">
        <v>1353</v>
      </c>
      <c r="S103">
        <f>Consulta1[[#This Row],[min_port]]/100</f>
        <v>1.3600000000000001E-2</v>
      </c>
      <c r="T103" s="252">
        <f>Consulta1[[#This Row],[TETO_COMERCIAL]]/100</f>
        <v>2.5000000000000001E-2</v>
      </c>
      <c r="U103" t="b">
        <f>Consulta1[[#This Row],[TETO_COMERCIAL_%]]=Consulta1[[#This Row],[TAXA]]</f>
        <v>0</v>
      </c>
      <c r="V103" t="str">
        <f>CONCATENATE(Consulta1[[#This Row],[MES_ALTERACAO]],Consulta1[[#This Row],[VIRADA]])</f>
        <v>2026052</v>
      </c>
      <c r="W103">
        <f>VLOOKUP(Consulta1[[#This Row],[Coluna2]],CALENDARIO!$J:$K,2,FALSE)</f>
        <v>0</v>
      </c>
    </row>
    <row r="104" spans="1:23" x14ac:dyDescent="0.25">
      <c r="A104" t="s">
        <v>3001</v>
      </c>
      <c r="B104" t="str">
        <f>CONCATENATE(Consulta1[[#This Row],[id]],Consulta1[[#This Row],[EMPREGADOR]])</f>
        <v>8GOV ACRE</v>
      </c>
      <c r="C104" s="6">
        <f>IF(A104=A103,C103+1,1)</f>
        <v>8</v>
      </c>
      <c r="D104" t="s">
        <v>1008</v>
      </c>
      <c r="E104" s="101">
        <v>1.8000000000000002E-2</v>
      </c>
      <c r="F104" s="6">
        <v>120</v>
      </c>
      <c r="G104" t="s">
        <v>1349</v>
      </c>
      <c r="H104" s="82">
        <v>2.5</v>
      </c>
      <c r="I104">
        <v>5</v>
      </c>
      <c r="J104">
        <v>49</v>
      </c>
      <c r="K104" t="s">
        <v>2950</v>
      </c>
      <c r="L104" s="6" t="s">
        <v>1731</v>
      </c>
      <c r="M104" s="6">
        <v>2</v>
      </c>
      <c r="N104" s="6">
        <v>2</v>
      </c>
      <c r="O104">
        <v>500</v>
      </c>
      <c r="P104">
        <v>202605</v>
      </c>
      <c r="Q104" t="s">
        <v>377</v>
      </c>
      <c r="R104" t="s">
        <v>1353</v>
      </c>
      <c r="S104">
        <f>Consulta1[[#This Row],[min_port]]/100</f>
        <v>1.3600000000000001E-2</v>
      </c>
      <c r="T104" s="252">
        <f>Consulta1[[#This Row],[TETO_COMERCIAL]]/100</f>
        <v>2.5000000000000001E-2</v>
      </c>
      <c r="U104" t="b">
        <f>Consulta1[[#This Row],[TETO_COMERCIAL_%]]=Consulta1[[#This Row],[TAXA]]</f>
        <v>0</v>
      </c>
      <c r="V104" t="str">
        <f>CONCATENATE(Consulta1[[#This Row],[MES_ALTERACAO]],Consulta1[[#This Row],[VIRADA]])</f>
        <v>2026052</v>
      </c>
      <c r="W104">
        <f>VLOOKUP(Consulta1[[#This Row],[Coluna2]],CALENDARIO!$J:$K,2,FALSE)</f>
        <v>0</v>
      </c>
    </row>
    <row r="105" spans="1:23" x14ac:dyDescent="0.25">
      <c r="A105" t="s">
        <v>3001</v>
      </c>
      <c r="B105" t="str">
        <f>CONCATENATE(Consulta1[[#This Row],[id]],Consulta1[[#This Row],[EMPREGADOR]])</f>
        <v>9GOV ACRE</v>
      </c>
      <c r="C105" s="6">
        <f>IF(A105=A104,C104+1,1)</f>
        <v>9</v>
      </c>
      <c r="D105" t="s">
        <v>2951</v>
      </c>
      <c r="E105" s="101">
        <v>1.6200000000000003E-2</v>
      </c>
      <c r="F105" s="6">
        <v>120</v>
      </c>
      <c r="G105" t="s">
        <v>1349</v>
      </c>
      <c r="H105" s="82">
        <v>2.5</v>
      </c>
      <c r="I105">
        <v>5</v>
      </c>
      <c r="J105">
        <v>56</v>
      </c>
      <c r="K105" t="s">
        <v>2952</v>
      </c>
      <c r="L105" s="6" t="s">
        <v>1731</v>
      </c>
      <c r="M105" s="6">
        <v>2</v>
      </c>
      <c r="N105" s="6">
        <v>2</v>
      </c>
      <c r="O105">
        <v>45000</v>
      </c>
      <c r="P105">
        <v>202605</v>
      </c>
      <c r="Q105" t="s">
        <v>377</v>
      </c>
      <c r="R105" t="s">
        <v>1353</v>
      </c>
      <c r="S105">
        <f>Consulta1[[#This Row],[min_port]]/100</f>
        <v>1.3600000000000001E-2</v>
      </c>
      <c r="T105" s="252">
        <f>Consulta1[[#This Row],[TETO_COMERCIAL]]/100</f>
        <v>2.5000000000000001E-2</v>
      </c>
      <c r="U105" t="b">
        <f>Consulta1[[#This Row],[TETO_COMERCIAL_%]]=Consulta1[[#This Row],[TAXA]]</f>
        <v>0</v>
      </c>
      <c r="V105" t="str">
        <f>CONCATENATE(Consulta1[[#This Row],[MES_ALTERACAO]],Consulta1[[#This Row],[VIRADA]])</f>
        <v>2026052</v>
      </c>
      <c r="W105">
        <f>VLOOKUP(Consulta1[[#This Row],[Coluna2]],CALENDARIO!$J:$K,2,FALSE)</f>
        <v>0</v>
      </c>
    </row>
    <row r="106" spans="1:23" x14ac:dyDescent="0.25">
      <c r="A106" t="s">
        <v>3001</v>
      </c>
      <c r="B106" t="str">
        <f>CONCATENATE(Consulta1[[#This Row],[id]],Consulta1[[#This Row],[EMPREGADOR]])</f>
        <v>10GOV ACRE</v>
      </c>
      <c r="C106" s="6">
        <f>IF(A106=A105,C105+1,1)</f>
        <v>10</v>
      </c>
      <c r="D106" t="s">
        <v>2953</v>
      </c>
      <c r="E106" s="101">
        <v>1.6200000000000003E-2</v>
      </c>
      <c r="F106" s="6">
        <v>120</v>
      </c>
      <c r="G106" t="s">
        <v>1349</v>
      </c>
      <c r="H106" s="82">
        <v>2.5</v>
      </c>
      <c r="I106">
        <v>5</v>
      </c>
      <c r="J106">
        <v>52</v>
      </c>
      <c r="K106" t="s">
        <v>2954</v>
      </c>
      <c r="L106" s="6" t="s">
        <v>1731</v>
      </c>
      <c r="M106" s="6">
        <v>2</v>
      </c>
      <c r="N106" s="6">
        <v>2</v>
      </c>
      <c r="O106">
        <v>60000</v>
      </c>
      <c r="P106">
        <v>202605</v>
      </c>
      <c r="Q106" t="s">
        <v>377</v>
      </c>
      <c r="R106" t="s">
        <v>1353</v>
      </c>
      <c r="S106">
        <f>Consulta1[[#This Row],[min_port]]/100</f>
        <v>1.3600000000000001E-2</v>
      </c>
      <c r="T106" s="252">
        <f>Consulta1[[#This Row],[TETO_COMERCIAL]]/100</f>
        <v>2.5000000000000001E-2</v>
      </c>
      <c r="U106" t="b">
        <f>Consulta1[[#This Row],[TETO_COMERCIAL_%]]=Consulta1[[#This Row],[TAXA]]</f>
        <v>0</v>
      </c>
      <c r="V106" t="str">
        <f>CONCATENATE(Consulta1[[#This Row],[MES_ALTERACAO]],Consulta1[[#This Row],[VIRADA]])</f>
        <v>2026052</v>
      </c>
      <c r="W106">
        <f>VLOOKUP(Consulta1[[#This Row],[Coluna2]],CALENDARIO!$J:$K,2,FALSE)</f>
        <v>0</v>
      </c>
    </row>
    <row r="107" spans="1:23" x14ac:dyDescent="0.25">
      <c r="A107" t="s">
        <v>214</v>
      </c>
      <c r="B107" t="str">
        <f>CONCATENATE(Consulta1[[#This Row],[id]],Consulta1[[#This Row],[EMPREGADOR]])</f>
        <v>1GOV BAHIA-AOL</v>
      </c>
      <c r="C107" s="6">
        <f>IF(A107=A106,C106+1,1)</f>
        <v>1</v>
      </c>
      <c r="D107" t="s">
        <v>2875</v>
      </c>
      <c r="E107" s="101">
        <v>2.5000000000000001E-2</v>
      </c>
      <c r="F107" s="6">
        <v>120</v>
      </c>
      <c r="G107" t="s">
        <v>1349</v>
      </c>
      <c r="H107" s="82">
        <v>2.5</v>
      </c>
      <c r="I107">
        <v>10</v>
      </c>
      <c r="J107">
        <v>52</v>
      </c>
      <c r="K107" t="s">
        <v>2876</v>
      </c>
      <c r="L107" s="6" t="s">
        <v>2877</v>
      </c>
      <c r="M107" s="6">
        <v>1</v>
      </c>
      <c r="N107" s="6">
        <v>2</v>
      </c>
      <c r="O107">
        <v>500</v>
      </c>
      <c r="P107">
        <v>202605</v>
      </c>
      <c r="Q107" t="s">
        <v>377</v>
      </c>
      <c r="R107" t="s">
        <v>1353</v>
      </c>
      <c r="S107">
        <f>Consulta1[[#This Row],[min_port]]/100</f>
        <v>1.2800000000000001E-2</v>
      </c>
      <c r="T107" s="252">
        <f>Consulta1[[#This Row],[TETO_COMERCIAL]]/100</f>
        <v>2.5000000000000001E-2</v>
      </c>
      <c r="U107" t="b">
        <f>Consulta1[[#This Row],[TETO_COMERCIAL_%]]=Consulta1[[#This Row],[TAXA]]</f>
        <v>1</v>
      </c>
      <c r="V107" t="str">
        <f>CONCATENATE(Consulta1[[#This Row],[MES_ALTERACAO]],Consulta1[[#This Row],[VIRADA]])</f>
        <v>2026051</v>
      </c>
      <c r="W107">
        <f>VLOOKUP(Consulta1[[#This Row],[Coluna2]],CALENDARIO!$J:$K,2,FALSE)</f>
        <v>0</v>
      </c>
    </row>
    <row r="108" spans="1:23" x14ac:dyDescent="0.25">
      <c r="A108" t="s">
        <v>214</v>
      </c>
      <c r="B108" t="str">
        <f>CONCATENATE(Consulta1[[#This Row],[id]],Consulta1[[#This Row],[EMPREGADOR]])</f>
        <v>2GOV BAHIA-AOL</v>
      </c>
      <c r="C108" s="6">
        <f>IF(A108=A107,C107+1,1)</f>
        <v>2</v>
      </c>
      <c r="D108" t="s">
        <v>2878</v>
      </c>
      <c r="E108" s="101">
        <v>2.4E-2</v>
      </c>
      <c r="F108" s="6">
        <v>120</v>
      </c>
      <c r="G108" t="s">
        <v>1349</v>
      </c>
      <c r="H108" s="82">
        <v>2.5</v>
      </c>
      <c r="I108">
        <v>10</v>
      </c>
      <c r="J108">
        <v>52</v>
      </c>
      <c r="K108" t="s">
        <v>2879</v>
      </c>
      <c r="L108" s="6" t="s">
        <v>2877</v>
      </c>
      <c r="M108" s="6">
        <v>1</v>
      </c>
      <c r="N108" s="6">
        <v>2</v>
      </c>
      <c r="O108">
        <v>500</v>
      </c>
      <c r="P108">
        <v>202605</v>
      </c>
      <c r="Q108" t="s">
        <v>377</v>
      </c>
      <c r="R108" t="s">
        <v>1353</v>
      </c>
      <c r="S108">
        <f>Consulta1[[#This Row],[min_port]]/100</f>
        <v>1.2800000000000001E-2</v>
      </c>
      <c r="T108" s="252">
        <f>Consulta1[[#This Row],[TETO_COMERCIAL]]/100</f>
        <v>2.5000000000000001E-2</v>
      </c>
      <c r="U108" t="b">
        <f>Consulta1[[#This Row],[TETO_COMERCIAL_%]]=Consulta1[[#This Row],[TAXA]]</f>
        <v>0</v>
      </c>
      <c r="V108" t="str">
        <f>CONCATENATE(Consulta1[[#This Row],[MES_ALTERACAO]],Consulta1[[#This Row],[VIRADA]])</f>
        <v>2026051</v>
      </c>
      <c r="W108">
        <f>VLOOKUP(Consulta1[[#This Row],[Coluna2]],CALENDARIO!$J:$K,2,FALSE)</f>
        <v>0</v>
      </c>
    </row>
    <row r="109" spans="1:23" x14ac:dyDescent="0.25">
      <c r="A109" t="s">
        <v>214</v>
      </c>
      <c r="B109" t="str">
        <f>CONCATENATE(Consulta1[[#This Row],[id]],Consulta1[[#This Row],[EMPREGADOR]])</f>
        <v>3GOV BAHIA-AOL</v>
      </c>
      <c r="C109" s="6">
        <f>IF(A109=A108,C108+1,1)</f>
        <v>3</v>
      </c>
      <c r="D109" t="s">
        <v>2880</v>
      </c>
      <c r="E109" s="101">
        <v>2.3E-2</v>
      </c>
      <c r="F109" s="6">
        <v>120</v>
      </c>
      <c r="G109" t="s">
        <v>1349</v>
      </c>
      <c r="H109" s="82">
        <v>2.5</v>
      </c>
      <c r="I109">
        <v>10</v>
      </c>
      <c r="J109">
        <v>52</v>
      </c>
      <c r="K109" t="s">
        <v>2881</v>
      </c>
      <c r="L109" s="6" t="s">
        <v>2877</v>
      </c>
      <c r="M109" s="6">
        <v>1</v>
      </c>
      <c r="N109" s="6">
        <v>2</v>
      </c>
      <c r="O109">
        <v>500</v>
      </c>
      <c r="P109">
        <v>202605</v>
      </c>
      <c r="Q109" t="s">
        <v>377</v>
      </c>
      <c r="R109" t="s">
        <v>1353</v>
      </c>
      <c r="S109">
        <f>Consulta1[[#This Row],[min_port]]/100</f>
        <v>1.2800000000000001E-2</v>
      </c>
      <c r="T109" s="252">
        <f>Consulta1[[#This Row],[TETO_COMERCIAL]]/100</f>
        <v>2.5000000000000001E-2</v>
      </c>
      <c r="U109" t="b">
        <f>Consulta1[[#This Row],[TETO_COMERCIAL_%]]=Consulta1[[#This Row],[TAXA]]</f>
        <v>0</v>
      </c>
      <c r="V109" t="str">
        <f>CONCATENATE(Consulta1[[#This Row],[MES_ALTERACAO]],Consulta1[[#This Row],[VIRADA]])</f>
        <v>2026051</v>
      </c>
      <c r="W109">
        <f>VLOOKUP(Consulta1[[#This Row],[Coluna2]],CALENDARIO!$J:$K,2,FALSE)</f>
        <v>0</v>
      </c>
    </row>
    <row r="110" spans="1:23" x14ac:dyDescent="0.25">
      <c r="A110" t="s">
        <v>214</v>
      </c>
      <c r="B110" t="str">
        <f>CONCATENATE(Consulta1[[#This Row],[id]],Consulta1[[#This Row],[EMPREGADOR]])</f>
        <v>4GOV BAHIA-AOL</v>
      </c>
      <c r="C110" s="6">
        <f>IF(A110=A109,C109+1,1)</f>
        <v>4</v>
      </c>
      <c r="D110" t="s">
        <v>2882</v>
      </c>
      <c r="E110" s="101">
        <v>2.2000000000000002E-2</v>
      </c>
      <c r="F110" s="6">
        <v>120</v>
      </c>
      <c r="G110" t="s">
        <v>1349</v>
      </c>
      <c r="H110" s="82">
        <v>2.5</v>
      </c>
      <c r="I110">
        <v>10</v>
      </c>
      <c r="J110">
        <v>52</v>
      </c>
      <c r="K110" t="s">
        <v>2883</v>
      </c>
      <c r="L110" s="6" t="s">
        <v>2877</v>
      </c>
      <c r="M110" s="6">
        <v>1</v>
      </c>
      <c r="N110" s="6">
        <v>2</v>
      </c>
      <c r="O110">
        <v>500</v>
      </c>
      <c r="P110">
        <v>202605</v>
      </c>
      <c r="Q110" t="s">
        <v>377</v>
      </c>
      <c r="R110" t="s">
        <v>1353</v>
      </c>
      <c r="S110">
        <f>Consulta1[[#This Row],[min_port]]/100</f>
        <v>1.2800000000000001E-2</v>
      </c>
      <c r="T110" s="252">
        <f>Consulta1[[#This Row],[TETO_COMERCIAL]]/100</f>
        <v>2.5000000000000001E-2</v>
      </c>
      <c r="U110" t="b">
        <f>Consulta1[[#This Row],[TETO_COMERCIAL_%]]=Consulta1[[#This Row],[TAXA]]</f>
        <v>0</v>
      </c>
      <c r="V110" t="str">
        <f>CONCATENATE(Consulta1[[#This Row],[MES_ALTERACAO]],Consulta1[[#This Row],[VIRADA]])</f>
        <v>2026051</v>
      </c>
      <c r="W110">
        <f>VLOOKUP(Consulta1[[#This Row],[Coluna2]],CALENDARIO!$J:$K,2,FALSE)</f>
        <v>0</v>
      </c>
    </row>
    <row r="111" spans="1:23" x14ac:dyDescent="0.25">
      <c r="A111" t="s">
        <v>214</v>
      </c>
      <c r="B111" t="str">
        <f>CONCATENATE(Consulta1[[#This Row],[id]],Consulta1[[#This Row],[EMPREGADOR]])</f>
        <v>5GOV BAHIA-AOL</v>
      </c>
      <c r="C111" s="6">
        <f>IF(A111=A110,C110+1,1)</f>
        <v>5</v>
      </c>
      <c r="D111" t="s">
        <v>2884</v>
      </c>
      <c r="E111" s="101">
        <v>2.1000000000000001E-2</v>
      </c>
      <c r="F111" s="6">
        <v>120</v>
      </c>
      <c r="G111" t="s">
        <v>1349</v>
      </c>
      <c r="H111" s="82">
        <v>2.5</v>
      </c>
      <c r="I111">
        <v>10</v>
      </c>
      <c r="J111">
        <v>52</v>
      </c>
      <c r="K111" t="s">
        <v>2885</v>
      </c>
      <c r="L111" s="6" t="s">
        <v>2877</v>
      </c>
      <c r="M111" s="6">
        <v>1</v>
      </c>
      <c r="N111" s="6">
        <v>2</v>
      </c>
      <c r="O111">
        <v>500</v>
      </c>
      <c r="P111">
        <v>202605</v>
      </c>
      <c r="Q111" t="s">
        <v>377</v>
      </c>
      <c r="R111" t="s">
        <v>1353</v>
      </c>
      <c r="S111">
        <f>Consulta1[[#This Row],[min_port]]/100</f>
        <v>1.2800000000000001E-2</v>
      </c>
      <c r="T111" s="252">
        <f>Consulta1[[#This Row],[TETO_COMERCIAL]]/100</f>
        <v>2.5000000000000001E-2</v>
      </c>
      <c r="U111" t="b">
        <f>Consulta1[[#This Row],[TETO_COMERCIAL_%]]=Consulta1[[#This Row],[TAXA]]</f>
        <v>0</v>
      </c>
      <c r="V111" t="str">
        <f>CONCATENATE(Consulta1[[#This Row],[MES_ALTERACAO]],Consulta1[[#This Row],[VIRADA]])</f>
        <v>2026051</v>
      </c>
      <c r="W111">
        <f>VLOOKUP(Consulta1[[#This Row],[Coluna2]],CALENDARIO!$J:$K,2,FALSE)</f>
        <v>0</v>
      </c>
    </row>
    <row r="112" spans="1:23" x14ac:dyDescent="0.25">
      <c r="A112" t="s">
        <v>214</v>
      </c>
      <c r="B112" t="str">
        <f>CONCATENATE(Consulta1[[#This Row],[id]],Consulta1[[#This Row],[EMPREGADOR]])</f>
        <v>6GOV BAHIA-AOL</v>
      </c>
      <c r="C112" s="6">
        <f>IF(A112=A111,C111+1,1)</f>
        <v>6</v>
      </c>
      <c r="D112" t="s">
        <v>2886</v>
      </c>
      <c r="E112" s="101">
        <v>0.02</v>
      </c>
      <c r="F112" s="6">
        <v>120</v>
      </c>
      <c r="G112" t="s">
        <v>1349</v>
      </c>
      <c r="H112" s="82">
        <v>2.5</v>
      </c>
      <c r="I112">
        <v>10</v>
      </c>
      <c r="J112">
        <v>52</v>
      </c>
      <c r="K112" t="s">
        <v>2887</v>
      </c>
      <c r="L112" s="6" t="s">
        <v>2877</v>
      </c>
      <c r="M112" s="6">
        <v>1</v>
      </c>
      <c r="N112" s="6">
        <v>2</v>
      </c>
      <c r="O112">
        <v>500</v>
      </c>
      <c r="P112">
        <v>202605</v>
      </c>
      <c r="Q112" t="s">
        <v>377</v>
      </c>
      <c r="R112" t="s">
        <v>1353</v>
      </c>
      <c r="S112">
        <f>Consulta1[[#This Row],[min_port]]/100</f>
        <v>1.2800000000000001E-2</v>
      </c>
      <c r="T112" s="252">
        <f>Consulta1[[#This Row],[TETO_COMERCIAL]]/100</f>
        <v>2.5000000000000001E-2</v>
      </c>
      <c r="U112" t="b">
        <f>Consulta1[[#This Row],[TETO_COMERCIAL_%]]=Consulta1[[#This Row],[TAXA]]</f>
        <v>0</v>
      </c>
      <c r="V112" t="str">
        <f>CONCATENATE(Consulta1[[#This Row],[MES_ALTERACAO]],Consulta1[[#This Row],[VIRADA]])</f>
        <v>2026051</v>
      </c>
      <c r="W112">
        <f>VLOOKUP(Consulta1[[#This Row],[Coluna2]],CALENDARIO!$J:$K,2,FALSE)</f>
        <v>0</v>
      </c>
    </row>
    <row r="113" spans="1:23" x14ac:dyDescent="0.25">
      <c r="A113" t="s">
        <v>214</v>
      </c>
      <c r="B113" t="str">
        <f>CONCATENATE(Consulta1[[#This Row],[id]],Consulta1[[#This Row],[EMPREGADOR]])</f>
        <v>7GOV BAHIA-AOL</v>
      </c>
      <c r="C113" s="6">
        <f>IF(A113=A112,C112+1,1)</f>
        <v>7</v>
      </c>
      <c r="D113" t="s">
        <v>2888</v>
      </c>
      <c r="E113" s="101">
        <v>1.9E-2</v>
      </c>
      <c r="F113" s="6">
        <v>120</v>
      </c>
      <c r="G113" t="s">
        <v>1349</v>
      </c>
      <c r="H113" s="82">
        <v>2.5</v>
      </c>
      <c r="I113">
        <v>10</v>
      </c>
      <c r="J113">
        <v>52</v>
      </c>
      <c r="K113" t="s">
        <v>2889</v>
      </c>
      <c r="L113" s="6" t="s">
        <v>2877</v>
      </c>
      <c r="M113" s="6">
        <v>1</v>
      </c>
      <c r="N113" s="6">
        <v>2</v>
      </c>
      <c r="O113">
        <v>500</v>
      </c>
      <c r="P113">
        <v>202605</v>
      </c>
      <c r="Q113" t="s">
        <v>377</v>
      </c>
      <c r="R113" t="s">
        <v>1353</v>
      </c>
      <c r="S113">
        <f>Consulta1[[#This Row],[min_port]]/100</f>
        <v>1.2800000000000001E-2</v>
      </c>
      <c r="T113" s="252">
        <f>Consulta1[[#This Row],[TETO_COMERCIAL]]/100</f>
        <v>2.5000000000000001E-2</v>
      </c>
      <c r="U113" t="b">
        <f>Consulta1[[#This Row],[TETO_COMERCIAL_%]]=Consulta1[[#This Row],[TAXA]]</f>
        <v>0</v>
      </c>
      <c r="V113" t="str">
        <f>CONCATENATE(Consulta1[[#This Row],[MES_ALTERACAO]],Consulta1[[#This Row],[VIRADA]])</f>
        <v>2026051</v>
      </c>
      <c r="W113">
        <f>VLOOKUP(Consulta1[[#This Row],[Coluna2]],CALENDARIO!$J:$K,2,FALSE)</f>
        <v>0</v>
      </c>
    </row>
    <row r="114" spans="1:23" x14ac:dyDescent="0.25">
      <c r="A114" t="s">
        <v>214</v>
      </c>
      <c r="B114" t="str">
        <f>CONCATENATE(Consulta1[[#This Row],[id]],Consulta1[[#This Row],[EMPREGADOR]])</f>
        <v>8GOV BAHIA-AOL</v>
      </c>
      <c r="C114" s="6">
        <f>IF(A114=A113,C113+1,1)</f>
        <v>8</v>
      </c>
      <c r="D114" t="s">
        <v>2890</v>
      </c>
      <c r="E114" s="101">
        <v>1.8000000000000002E-2</v>
      </c>
      <c r="F114" s="6">
        <v>120</v>
      </c>
      <c r="G114" t="s">
        <v>1349</v>
      </c>
      <c r="H114" s="82">
        <v>2.5</v>
      </c>
      <c r="I114">
        <v>10</v>
      </c>
      <c r="J114">
        <v>52</v>
      </c>
      <c r="K114" t="s">
        <v>2891</v>
      </c>
      <c r="L114" s="6" t="s">
        <v>2877</v>
      </c>
      <c r="M114" s="6">
        <v>1</v>
      </c>
      <c r="N114" s="6">
        <v>2</v>
      </c>
      <c r="O114">
        <v>500</v>
      </c>
      <c r="P114">
        <v>202605</v>
      </c>
      <c r="Q114" t="s">
        <v>377</v>
      </c>
      <c r="R114" t="s">
        <v>1353</v>
      </c>
      <c r="S114">
        <f>Consulta1[[#This Row],[min_port]]/100</f>
        <v>1.2800000000000001E-2</v>
      </c>
      <c r="T114" s="252">
        <f>Consulta1[[#This Row],[TETO_COMERCIAL]]/100</f>
        <v>2.5000000000000001E-2</v>
      </c>
      <c r="U114" t="b">
        <f>Consulta1[[#This Row],[TETO_COMERCIAL_%]]=Consulta1[[#This Row],[TAXA]]</f>
        <v>0</v>
      </c>
      <c r="V114" t="str">
        <f>CONCATENATE(Consulta1[[#This Row],[MES_ALTERACAO]],Consulta1[[#This Row],[VIRADA]])</f>
        <v>2026051</v>
      </c>
      <c r="W114">
        <f>VLOOKUP(Consulta1[[#This Row],[Coluna2]],CALENDARIO!$J:$K,2,FALSE)</f>
        <v>0</v>
      </c>
    </row>
    <row r="115" spans="1:23" x14ac:dyDescent="0.25">
      <c r="A115" t="s">
        <v>214</v>
      </c>
      <c r="B115" t="str">
        <f>CONCATENATE(Consulta1[[#This Row],[id]],Consulta1[[#This Row],[EMPREGADOR]])</f>
        <v>9GOV BAHIA-AOL</v>
      </c>
      <c r="C115" s="6">
        <f>IF(A115=A114,C114+1,1)</f>
        <v>9</v>
      </c>
      <c r="D115" t="s">
        <v>2892</v>
      </c>
      <c r="E115" s="101">
        <v>1.7500000000000002E-2</v>
      </c>
      <c r="F115" s="6">
        <v>120</v>
      </c>
      <c r="G115" t="s">
        <v>1349</v>
      </c>
      <c r="H115" s="82">
        <v>2.5</v>
      </c>
      <c r="I115">
        <v>10</v>
      </c>
      <c r="J115">
        <v>52</v>
      </c>
      <c r="K115" t="s">
        <v>2893</v>
      </c>
      <c r="L115" s="6" t="s">
        <v>2877</v>
      </c>
      <c r="M115" s="6">
        <v>1</v>
      </c>
      <c r="N115" s="6">
        <v>2</v>
      </c>
      <c r="O115">
        <v>500</v>
      </c>
      <c r="P115">
        <v>202605</v>
      </c>
      <c r="Q115" t="s">
        <v>377</v>
      </c>
      <c r="R115" t="s">
        <v>1353</v>
      </c>
      <c r="S115">
        <f>Consulta1[[#This Row],[min_port]]/100</f>
        <v>1.2800000000000001E-2</v>
      </c>
      <c r="T115" s="252">
        <f>Consulta1[[#This Row],[TETO_COMERCIAL]]/100</f>
        <v>2.5000000000000001E-2</v>
      </c>
      <c r="U115" t="b">
        <f>Consulta1[[#This Row],[TETO_COMERCIAL_%]]=Consulta1[[#This Row],[TAXA]]</f>
        <v>0</v>
      </c>
      <c r="V115" t="str">
        <f>CONCATENATE(Consulta1[[#This Row],[MES_ALTERACAO]],Consulta1[[#This Row],[VIRADA]])</f>
        <v>2026051</v>
      </c>
      <c r="W115">
        <f>VLOOKUP(Consulta1[[#This Row],[Coluna2]],CALENDARIO!$J:$K,2,FALSE)</f>
        <v>0</v>
      </c>
    </row>
    <row r="116" spans="1:23" x14ac:dyDescent="0.25">
      <c r="A116" t="s">
        <v>214</v>
      </c>
      <c r="B116" t="str">
        <f>CONCATENATE(Consulta1[[#This Row],[id]],Consulta1[[#This Row],[EMPREGADOR]])</f>
        <v>10GOV BAHIA-AOL</v>
      </c>
      <c r="C116" s="6">
        <f>IF(A116=A115,C115+1,1)</f>
        <v>10</v>
      </c>
      <c r="D116" t="s">
        <v>2894</v>
      </c>
      <c r="E116" s="101">
        <v>1.7000000000000001E-2</v>
      </c>
      <c r="F116" s="6">
        <v>120</v>
      </c>
      <c r="G116" t="s">
        <v>1349</v>
      </c>
      <c r="H116" s="82">
        <v>2.5</v>
      </c>
      <c r="I116">
        <v>10</v>
      </c>
      <c r="J116">
        <v>52</v>
      </c>
      <c r="K116" t="s">
        <v>2895</v>
      </c>
      <c r="L116" s="6" t="s">
        <v>2877</v>
      </c>
      <c r="M116" s="6">
        <v>1</v>
      </c>
      <c r="N116" s="6">
        <v>2</v>
      </c>
      <c r="O116">
        <v>500</v>
      </c>
      <c r="P116">
        <v>202605</v>
      </c>
      <c r="Q116" t="s">
        <v>377</v>
      </c>
      <c r="R116" t="s">
        <v>1353</v>
      </c>
      <c r="S116">
        <f>Consulta1[[#This Row],[min_port]]/100</f>
        <v>1.2800000000000001E-2</v>
      </c>
      <c r="T116" s="252">
        <f>Consulta1[[#This Row],[TETO_COMERCIAL]]/100</f>
        <v>2.5000000000000001E-2</v>
      </c>
      <c r="U116" t="b">
        <f>Consulta1[[#This Row],[TETO_COMERCIAL_%]]=Consulta1[[#This Row],[TAXA]]</f>
        <v>0</v>
      </c>
      <c r="V116" t="str">
        <f>CONCATENATE(Consulta1[[#This Row],[MES_ALTERACAO]],Consulta1[[#This Row],[VIRADA]])</f>
        <v>2026051</v>
      </c>
      <c r="W116">
        <f>VLOOKUP(Consulta1[[#This Row],[Coluna2]],CALENDARIO!$J:$K,2,FALSE)</f>
        <v>0</v>
      </c>
    </row>
    <row r="117" spans="1:23" x14ac:dyDescent="0.25">
      <c r="A117" t="s">
        <v>214</v>
      </c>
      <c r="B117" t="str">
        <f>CONCATENATE(Consulta1[[#This Row],[id]],Consulta1[[#This Row],[EMPREGADOR]])</f>
        <v>11GOV BAHIA-AOL</v>
      </c>
      <c r="C117" s="6">
        <f>IF(A117=A116,C116+1,1)</f>
        <v>11</v>
      </c>
      <c r="D117" t="s">
        <v>2896</v>
      </c>
      <c r="E117" s="101">
        <v>1.67E-2</v>
      </c>
      <c r="F117" s="6">
        <v>120</v>
      </c>
      <c r="G117" t="s">
        <v>1349</v>
      </c>
      <c r="H117" s="82">
        <v>2.5</v>
      </c>
      <c r="I117">
        <v>10</v>
      </c>
      <c r="J117">
        <v>52</v>
      </c>
      <c r="K117" t="s">
        <v>2897</v>
      </c>
      <c r="L117" s="6" t="s">
        <v>2877</v>
      </c>
      <c r="M117" s="6">
        <v>1</v>
      </c>
      <c r="N117" s="6">
        <v>2</v>
      </c>
      <c r="O117">
        <v>500</v>
      </c>
      <c r="P117">
        <v>202605</v>
      </c>
      <c r="Q117" t="s">
        <v>377</v>
      </c>
      <c r="R117" t="s">
        <v>1353</v>
      </c>
      <c r="S117">
        <f>Consulta1[[#This Row],[min_port]]/100</f>
        <v>1.2800000000000001E-2</v>
      </c>
      <c r="T117" s="252">
        <f>Consulta1[[#This Row],[TETO_COMERCIAL]]/100</f>
        <v>2.5000000000000001E-2</v>
      </c>
      <c r="U117" t="b">
        <f>Consulta1[[#This Row],[TETO_COMERCIAL_%]]=Consulta1[[#This Row],[TAXA]]</f>
        <v>0</v>
      </c>
      <c r="V117" t="str">
        <f>CONCATENATE(Consulta1[[#This Row],[MES_ALTERACAO]],Consulta1[[#This Row],[VIRADA]])</f>
        <v>2026051</v>
      </c>
      <c r="W117">
        <f>VLOOKUP(Consulta1[[#This Row],[Coluna2]],CALENDARIO!$J:$K,2,FALSE)</f>
        <v>0</v>
      </c>
    </row>
    <row r="118" spans="1:23" x14ac:dyDescent="0.25">
      <c r="A118" t="s">
        <v>214</v>
      </c>
      <c r="B118" t="str">
        <f>CONCATENATE(Consulta1[[#This Row],[id]],Consulta1[[#This Row],[EMPREGADOR]])</f>
        <v>12GOV BAHIA-AOL</v>
      </c>
      <c r="C118" s="6">
        <f>IF(A118=A117,C117+1,1)</f>
        <v>12</v>
      </c>
      <c r="D118" t="s">
        <v>2898</v>
      </c>
      <c r="E118" s="101">
        <v>1.55E-2</v>
      </c>
      <c r="F118" s="6">
        <v>120</v>
      </c>
      <c r="G118" t="s">
        <v>1349</v>
      </c>
      <c r="H118" s="82">
        <v>2.5</v>
      </c>
      <c r="I118">
        <v>10</v>
      </c>
      <c r="J118">
        <v>52</v>
      </c>
      <c r="K118" t="s">
        <v>2899</v>
      </c>
      <c r="L118" s="6" t="s">
        <v>2877</v>
      </c>
      <c r="M118" s="6">
        <v>1</v>
      </c>
      <c r="N118" s="6">
        <v>2</v>
      </c>
      <c r="O118">
        <v>30000</v>
      </c>
      <c r="P118">
        <v>202605</v>
      </c>
      <c r="Q118" t="s">
        <v>377</v>
      </c>
      <c r="R118" t="s">
        <v>1353</v>
      </c>
      <c r="S118">
        <f>Consulta1[[#This Row],[min_port]]/100</f>
        <v>1.2800000000000001E-2</v>
      </c>
      <c r="T118" s="252">
        <f>Consulta1[[#This Row],[TETO_COMERCIAL]]/100</f>
        <v>2.5000000000000001E-2</v>
      </c>
      <c r="U118" t="b">
        <f>Consulta1[[#This Row],[TETO_COMERCIAL_%]]=Consulta1[[#This Row],[TAXA]]</f>
        <v>0</v>
      </c>
      <c r="V118" t="str">
        <f>CONCATENATE(Consulta1[[#This Row],[MES_ALTERACAO]],Consulta1[[#This Row],[VIRADA]])</f>
        <v>2026051</v>
      </c>
      <c r="W118">
        <f>VLOOKUP(Consulta1[[#This Row],[Coluna2]],CALENDARIO!$J:$K,2,FALSE)</f>
        <v>0</v>
      </c>
    </row>
    <row r="119" spans="1:23" x14ac:dyDescent="0.25">
      <c r="A119" t="s">
        <v>214</v>
      </c>
      <c r="B119" t="str">
        <f>CONCATENATE(Consulta1[[#This Row],[id]],Consulta1[[#This Row],[EMPREGADOR]])</f>
        <v>13GOV BAHIA-AOL</v>
      </c>
      <c r="C119" s="6">
        <f>IF(A119=A118,C118+1,1)</f>
        <v>13</v>
      </c>
      <c r="D119" t="s">
        <v>2900</v>
      </c>
      <c r="E119" s="101">
        <v>1.54E-2</v>
      </c>
      <c r="F119" s="6">
        <v>120</v>
      </c>
      <c r="G119" t="s">
        <v>1349</v>
      </c>
      <c r="H119" s="82">
        <v>2.5</v>
      </c>
      <c r="I119">
        <v>10</v>
      </c>
      <c r="J119">
        <v>52</v>
      </c>
      <c r="K119" t="s">
        <v>2901</v>
      </c>
      <c r="L119" s="6" t="s">
        <v>2877</v>
      </c>
      <c r="M119" s="6">
        <v>1</v>
      </c>
      <c r="N119" s="6">
        <v>2</v>
      </c>
      <c r="O119">
        <v>50000</v>
      </c>
      <c r="P119">
        <v>202605</v>
      </c>
      <c r="Q119" t="s">
        <v>377</v>
      </c>
      <c r="R119" t="s">
        <v>1353</v>
      </c>
      <c r="S119">
        <f>Consulta1[[#This Row],[min_port]]/100</f>
        <v>1.2800000000000001E-2</v>
      </c>
      <c r="T119" s="252">
        <f>Consulta1[[#This Row],[TETO_COMERCIAL]]/100</f>
        <v>2.5000000000000001E-2</v>
      </c>
      <c r="U119" t="b">
        <f>Consulta1[[#This Row],[TETO_COMERCIAL_%]]=Consulta1[[#This Row],[TAXA]]</f>
        <v>0</v>
      </c>
      <c r="V119" t="str">
        <f>CONCATENATE(Consulta1[[#This Row],[MES_ALTERACAO]],Consulta1[[#This Row],[VIRADA]])</f>
        <v>2026051</v>
      </c>
      <c r="W119">
        <f>VLOOKUP(Consulta1[[#This Row],[Coluna2]],CALENDARIO!$J:$K,2,FALSE)</f>
        <v>0</v>
      </c>
    </row>
    <row r="120" spans="1:23" x14ac:dyDescent="0.25">
      <c r="A120" t="s">
        <v>605</v>
      </c>
      <c r="B120" t="str">
        <f>CONCATENATE(Consulta1[[#This Row],[id]],Consulta1[[#This Row],[EMPREGADOR]])</f>
        <v>1GOV CE</v>
      </c>
      <c r="C120" s="6">
        <f>IF(A120=A119,C119+1,1)</f>
        <v>1</v>
      </c>
      <c r="D120" t="s">
        <v>947</v>
      </c>
      <c r="E120" s="101">
        <v>2.5000000000000001E-2</v>
      </c>
      <c r="F120" s="6">
        <v>120</v>
      </c>
      <c r="G120" t="s">
        <v>1349</v>
      </c>
      <c r="H120" s="82">
        <v>2.5</v>
      </c>
      <c r="I120">
        <v>8</v>
      </c>
      <c r="J120">
        <v>52</v>
      </c>
      <c r="K120" t="s">
        <v>1408</v>
      </c>
      <c r="L120" s="6" t="s">
        <v>1409</v>
      </c>
      <c r="M120" s="6">
        <v>10</v>
      </c>
      <c r="N120" s="6">
        <v>2</v>
      </c>
      <c r="O120">
        <v>500</v>
      </c>
      <c r="P120">
        <v>202605</v>
      </c>
      <c r="Q120" t="s">
        <v>378</v>
      </c>
      <c r="R120" t="s">
        <v>1350</v>
      </c>
      <c r="S120">
        <f>Consulta1[[#This Row],[min_port]]/100</f>
        <v>1.55E-2</v>
      </c>
      <c r="T120" s="252">
        <f>Consulta1[[#This Row],[TETO_COMERCIAL]]/100</f>
        <v>2.5000000000000001E-2</v>
      </c>
      <c r="U120" t="b">
        <f>Consulta1[[#This Row],[TETO_COMERCIAL_%]]=Consulta1[[#This Row],[TAXA]]</f>
        <v>1</v>
      </c>
      <c r="V120" t="str">
        <f>CONCATENATE(Consulta1[[#This Row],[MES_ALTERACAO]],Consulta1[[#This Row],[VIRADA]])</f>
        <v>20260510</v>
      </c>
      <c r="W120">
        <f>VLOOKUP(Consulta1[[#This Row],[Coluna2]],CALENDARIO!$J:$K,2,FALSE)</f>
        <v>5</v>
      </c>
    </row>
    <row r="121" spans="1:23" x14ac:dyDescent="0.25">
      <c r="A121" t="s">
        <v>605</v>
      </c>
      <c r="B121" t="str">
        <f>CONCATENATE(Consulta1[[#This Row],[id]],Consulta1[[#This Row],[EMPREGADOR]])</f>
        <v>2GOV CE</v>
      </c>
      <c r="C121" s="6">
        <f>IF(A121=A120,C120+1,1)</f>
        <v>2</v>
      </c>
      <c r="D121" t="s">
        <v>948</v>
      </c>
      <c r="E121" s="101">
        <v>2.4E-2</v>
      </c>
      <c r="F121" s="6">
        <v>120</v>
      </c>
      <c r="G121" t="s">
        <v>1349</v>
      </c>
      <c r="H121" s="82">
        <v>2.5</v>
      </c>
      <c r="I121">
        <v>8</v>
      </c>
      <c r="J121">
        <v>52</v>
      </c>
      <c r="K121" t="s">
        <v>1410</v>
      </c>
      <c r="L121" s="6" t="s">
        <v>1409</v>
      </c>
      <c r="M121" s="6">
        <v>10</v>
      </c>
      <c r="N121" s="6">
        <v>2</v>
      </c>
      <c r="O121">
        <v>500</v>
      </c>
      <c r="P121">
        <v>202605</v>
      </c>
      <c r="Q121" t="s">
        <v>378</v>
      </c>
      <c r="R121" t="s">
        <v>1350</v>
      </c>
      <c r="S121">
        <f>Consulta1[[#This Row],[min_port]]/100</f>
        <v>1.55E-2</v>
      </c>
      <c r="T121" s="252">
        <f>Consulta1[[#This Row],[TETO_COMERCIAL]]/100</f>
        <v>2.5000000000000001E-2</v>
      </c>
      <c r="U121" t="b">
        <f>Consulta1[[#This Row],[TETO_COMERCIAL_%]]=Consulta1[[#This Row],[TAXA]]</f>
        <v>0</v>
      </c>
      <c r="V121" t="str">
        <f>CONCATENATE(Consulta1[[#This Row],[MES_ALTERACAO]],Consulta1[[#This Row],[VIRADA]])</f>
        <v>20260510</v>
      </c>
      <c r="W121">
        <f>VLOOKUP(Consulta1[[#This Row],[Coluna2]],CALENDARIO!$J:$K,2,FALSE)</f>
        <v>5</v>
      </c>
    </row>
    <row r="122" spans="1:23" x14ac:dyDescent="0.25">
      <c r="A122" t="s">
        <v>605</v>
      </c>
      <c r="B122" t="str">
        <f>CONCATENATE(Consulta1[[#This Row],[id]],Consulta1[[#This Row],[EMPREGADOR]])</f>
        <v>3GOV CE</v>
      </c>
      <c r="C122" s="6">
        <f>IF(A122=A121,C121+1,1)</f>
        <v>3</v>
      </c>
      <c r="D122" t="s">
        <v>949</v>
      </c>
      <c r="E122" s="101">
        <v>2.3E-2</v>
      </c>
      <c r="F122" s="6">
        <v>120</v>
      </c>
      <c r="G122" t="s">
        <v>1349</v>
      </c>
      <c r="H122" s="82">
        <v>2.5</v>
      </c>
      <c r="I122">
        <v>8</v>
      </c>
      <c r="J122">
        <v>52</v>
      </c>
      <c r="K122" t="s">
        <v>1411</v>
      </c>
      <c r="L122" s="6" t="s">
        <v>1409</v>
      </c>
      <c r="M122" s="6">
        <v>10</v>
      </c>
      <c r="N122" s="6">
        <v>2</v>
      </c>
      <c r="O122">
        <v>500</v>
      </c>
      <c r="P122">
        <v>202605</v>
      </c>
      <c r="Q122" t="s">
        <v>378</v>
      </c>
      <c r="R122" t="s">
        <v>1350</v>
      </c>
      <c r="S122">
        <f>Consulta1[[#This Row],[min_port]]/100</f>
        <v>1.55E-2</v>
      </c>
      <c r="T122" s="252">
        <f>Consulta1[[#This Row],[TETO_COMERCIAL]]/100</f>
        <v>2.5000000000000001E-2</v>
      </c>
      <c r="U122" t="b">
        <f>Consulta1[[#This Row],[TETO_COMERCIAL_%]]=Consulta1[[#This Row],[TAXA]]</f>
        <v>0</v>
      </c>
      <c r="V122" t="str">
        <f>CONCATENATE(Consulta1[[#This Row],[MES_ALTERACAO]],Consulta1[[#This Row],[VIRADA]])</f>
        <v>20260510</v>
      </c>
      <c r="W122">
        <f>VLOOKUP(Consulta1[[#This Row],[Coluna2]],CALENDARIO!$J:$K,2,FALSE)</f>
        <v>5</v>
      </c>
    </row>
    <row r="123" spans="1:23" x14ac:dyDescent="0.25">
      <c r="A123" t="s">
        <v>605</v>
      </c>
      <c r="B123" t="str">
        <f>CONCATENATE(Consulta1[[#This Row],[id]],Consulta1[[#This Row],[EMPREGADOR]])</f>
        <v>4GOV CE</v>
      </c>
      <c r="C123" s="6">
        <f>IF(A123=A122,C122+1,1)</f>
        <v>4</v>
      </c>
      <c r="D123" t="s">
        <v>950</v>
      </c>
      <c r="E123" s="101">
        <v>2.2000000000000002E-2</v>
      </c>
      <c r="F123" s="6">
        <v>120</v>
      </c>
      <c r="G123" t="s">
        <v>1349</v>
      </c>
      <c r="H123" s="82">
        <v>2.5</v>
      </c>
      <c r="I123">
        <v>8</v>
      </c>
      <c r="J123">
        <v>52</v>
      </c>
      <c r="K123" t="s">
        <v>1412</v>
      </c>
      <c r="L123" s="6" t="s">
        <v>1409</v>
      </c>
      <c r="M123" s="6">
        <v>10</v>
      </c>
      <c r="N123" s="6">
        <v>2</v>
      </c>
      <c r="O123">
        <v>500</v>
      </c>
      <c r="P123">
        <v>202605</v>
      </c>
      <c r="Q123" t="s">
        <v>378</v>
      </c>
      <c r="R123" t="s">
        <v>1350</v>
      </c>
      <c r="S123">
        <f>Consulta1[[#This Row],[min_port]]/100</f>
        <v>1.55E-2</v>
      </c>
      <c r="T123" s="252">
        <f>Consulta1[[#This Row],[TETO_COMERCIAL]]/100</f>
        <v>2.5000000000000001E-2</v>
      </c>
      <c r="U123" t="b">
        <f>Consulta1[[#This Row],[TETO_COMERCIAL_%]]=Consulta1[[#This Row],[TAXA]]</f>
        <v>0</v>
      </c>
      <c r="V123" t="str">
        <f>CONCATENATE(Consulta1[[#This Row],[MES_ALTERACAO]],Consulta1[[#This Row],[VIRADA]])</f>
        <v>20260510</v>
      </c>
      <c r="W123">
        <f>VLOOKUP(Consulta1[[#This Row],[Coluna2]],CALENDARIO!$J:$K,2,FALSE)</f>
        <v>5</v>
      </c>
    </row>
    <row r="124" spans="1:23" x14ac:dyDescent="0.25">
      <c r="A124" t="s">
        <v>605</v>
      </c>
      <c r="B124" t="str">
        <f>CONCATENATE(Consulta1[[#This Row],[id]],Consulta1[[#This Row],[EMPREGADOR]])</f>
        <v>5GOV CE</v>
      </c>
      <c r="C124" s="6">
        <f>IF(A124=A123,C123+1,1)</f>
        <v>5</v>
      </c>
      <c r="D124" t="s">
        <v>951</v>
      </c>
      <c r="E124" s="101">
        <v>2.1000000000000001E-2</v>
      </c>
      <c r="F124" s="6">
        <v>120</v>
      </c>
      <c r="G124" t="s">
        <v>1349</v>
      </c>
      <c r="H124" s="82">
        <v>2.5</v>
      </c>
      <c r="I124">
        <v>8</v>
      </c>
      <c r="J124">
        <v>52</v>
      </c>
      <c r="K124" t="s">
        <v>1413</v>
      </c>
      <c r="L124" s="6" t="s">
        <v>1409</v>
      </c>
      <c r="M124" s="6">
        <v>10</v>
      </c>
      <c r="N124" s="6">
        <v>2</v>
      </c>
      <c r="O124">
        <v>500</v>
      </c>
      <c r="P124">
        <v>202605</v>
      </c>
      <c r="Q124" t="s">
        <v>378</v>
      </c>
      <c r="R124" t="s">
        <v>1350</v>
      </c>
      <c r="S124">
        <f>Consulta1[[#This Row],[min_port]]/100</f>
        <v>1.55E-2</v>
      </c>
      <c r="T124" s="252">
        <f>Consulta1[[#This Row],[TETO_COMERCIAL]]/100</f>
        <v>2.5000000000000001E-2</v>
      </c>
      <c r="U124" t="b">
        <f>Consulta1[[#This Row],[TETO_COMERCIAL_%]]=Consulta1[[#This Row],[TAXA]]</f>
        <v>0</v>
      </c>
      <c r="V124" t="str">
        <f>CONCATENATE(Consulta1[[#This Row],[MES_ALTERACAO]],Consulta1[[#This Row],[VIRADA]])</f>
        <v>20260510</v>
      </c>
      <c r="W124">
        <f>VLOOKUP(Consulta1[[#This Row],[Coluna2]],CALENDARIO!$J:$K,2,FALSE)</f>
        <v>5</v>
      </c>
    </row>
    <row r="125" spans="1:23" x14ac:dyDescent="0.25">
      <c r="A125" t="s">
        <v>605</v>
      </c>
      <c r="B125" t="str">
        <f>CONCATENATE(Consulta1[[#This Row],[id]],Consulta1[[#This Row],[EMPREGADOR]])</f>
        <v>6GOV CE</v>
      </c>
      <c r="C125" s="6">
        <f>IF(A125=A124,C124+1,1)</f>
        <v>6</v>
      </c>
      <c r="D125" t="s">
        <v>952</v>
      </c>
      <c r="E125" s="101">
        <v>2.0499999999999997E-2</v>
      </c>
      <c r="F125" s="6">
        <v>120</v>
      </c>
      <c r="G125" t="s">
        <v>1349</v>
      </c>
      <c r="H125" s="82">
        <v>2.5</v>
      </c>
      <c r="I125">
        <v>8</v>
      </c>
      <c r="J125">
        <v>52</v>
      </c>
      <c r="K125" t="s">
        <v>1414</v>
      </c>
      <c r="L125" s="6" t="s">
        <v>1409</v>
      </c>
      <c r="M125" s="6">
        <v>10</v>
      </c>
      <c r="N125" s="6">
        <v>2</v>
      </c>
      <c r="O125">
        <v>500</v>
      </c>
      <c r="P125">
        <v>202605</v>
      </c>
      <c r="Q125" t="s">
        <v>378</v>
      </c>
      <c r="R125" t="s">
        <v>1350</v>
      </c>
      <c r="S125">
        <f>Consulta1[[#This Row],[min_port]]/100</f>
        <v>1.55E-2</v>
      </c>
      <c r="T125" s="252">
        <f>Consulta1[[#This Row],[TETO_COMERCIAL]]/100</f>
        <v>2.5000000000000001E-2</v>
      </c>
      <c r="U125" t="b">
        <f>Consulta1[[#This Row],[TETO_COMERCIAL_%]]=Consulta1[[#This Row],[TAXA]]</f>
        <v>0</v>
      </c>
      <c r="V125" t="str">
        <f>CONCATENATE(Consulta1[[#This Row],[MES_ALTERACAO]],Consulta1[[#This Row],[VIRADA]])</f>
        <v>20260510</v>
      </c>
      <c r="W125">
        <f>VLOOKUP(Consulta1[[#This Row],[Coluna2]],CALENDARIO!$J:$K,2,FALSE)</f>
        <v>5</v>
      </c>
    </row>
    <row r="126" spans="1:23" x14ac:dyDescent="0.25">
      <c r="A126" t="s">
        <v>605</v>
      </c>
      <c r="B126" t="str">
        <f>CONCATENATE(Consulta1[[#This Row],[id]],Consulta1[[#This Row],[EMPREGADOR]])</f>
        <v>7GOV CE</v>
      </c>
      <c r="C126" s="6">
        <f>IF(A126=A125,C125+1,1)</f>
        <v>7</v>
      </c>
      <c r="D126" t="s">
        <v>2791</v>
      </c>
      <c r="E126" s="101">
        <v>1.95E-2</v>
      </c>
      <c r="F126" s="6">
        <v>120</v>
      </c>
      <c r="G126" t="s">
        <v>1349</v>
      </c>
      <c r="H126" s="82">
        <v>2.5</v>
      </c>
      <c r="I126">
        <v>8</v>
      </c>
      <c r="J126">
        <v>52</v>
      </c>
      <c r="K126" t="s">
        <v>2792</v>
      </c>
      <c r="L126" s="6" t="s">
        <v>1409</v>
      </c>
      <c r="M126" s="6">
        <v>10</v>
      </c>
      <c r="N126" s="6">
        <v>2</v>
      </c>
      <c r="O126">
        <v>500</v>
      </c>
      <c r="P126">
        <v>202605</v>
      </c>
      <c r="Q126" t="s">
        <v>378</v>
      </c>
      <c r="R126" t="s">
        <v>1350</v>
      </c>
      <c r="S126">
        <f>Consulta1[[#This Row],[min_port]]/100</f>
        <v>1.55E-2</v>
      </c>
      <c r="T126" s="252">
        <f>Consulta1[[#This Row],[TETO_COMERCIAL]]/100</f>
        <v>2.5000000000000001E-2</v>
      </c>
      <c r="U126" t="b">
        <f>Consulta1[[#This Row],[TETO_COMERCIAL_%]]=Consulta1[[#This Row],[TAXA]]</f>
        <v>0</v>
      </c>
      <c r="V126" t="str">
        <f>CONCATENATE(Consulta1[[#This Row],[MES_ALTERACAO]],Consulta1[[#This Row],[VIRADA]])</f>
        <v>20260510</v>
      </c>
      <c r="W126">
        <f>VLOOKUP(Consulta1[[#This Row],[Coluna2]],CALENDARIO!$J:$K,2,FALSE)</f>
        <v>5</v>
      </c>
    </row>
    <row r="127" spans="1:23" x14ac:dyDescent="0.25">
      <c r="A127" t="s">
        <v>605</v>
      </c>
      <c r="B127" t="str">
        <f>CONCATENATE(Consulta1[[#This Row],[id]],Consulta1[[#This Row],[EMPREGADOR]])</f>
        <v>8GOV CE</v>
      </c>
      <c r="C127" s="6">
        <f>IF(A127=A126,C126+1,1)</f>
        <v>8</v>
      </c>
      <c r="D127" t="s">
        <v>2833</v>
      </c>
      <c r="E127" s="101">
        <v>1.8500000000000003E-2</v>
      </c>
      <c r="F127" s="6">
        <v>120</v>
      </c>
      <c r="G127" t="s">
        <v>1349</v>
      </c>
      <c r="H127" s="82">
        <v>2.5</v>
      </c>
      <c r="I127">
        <v>8</v>
      </c>
      <c r="J127">
        <v>52</v>
      </c>
      <c r="K127" t="s">
        <v>2834</v>
      </c>
      <c r="L127" s="6" t="s">
        <v>1409</v>
      </c>
      <c r="M127" s="6">
        <v>10</v>
      </c>
      <c r="N127" s="6">
        <v>2</v>
      </c>
      <c r="O127">
        <v>500</v>
      </c>
      <c r="P127">
        <v>202605</v>
      </c>
      <c r="Q127" t="s">
        <v>378</v>
      </c>
      <c r="R127" t="s">
        <v>1350</v>
      </c>
      <c r="S127">
        <f>Consulta1[[#This Row],[min_port]]/100</f>
        <v>1.55E-2</v>
      </c>
      <c r="T127" s="252">
        <f>Consulta1[[#This Row],[TETO_COMERCIAL]]/100</f>
        <v>2.5000000000000001E-2</v>
      </c>
      <c r="U127" t="b">
        <f>Consulta1[[#This Row],[TETO_COMERCIAL_%]]=Consulta1[[#This Row],[TAXA]]</f>
        <v>0</v>
      </c>
      <c r="V127" t="str">
        <f>CONCATENATE(Consulta1[[#This Row],[MES_ALTERACAO]],Consulta1[[#This Row],[VIRADA]])</f>
        <v>20260510</v>
      </c>
      <c r="W127">
        <f>VLOOKUP(Consulta1[[#This Row],[Coluna2]],CALENDARIO!$J:$K,2,FALSE)</f>
        <v>5</v>
      </c>
    </row>
    <row r="128" spans="1:23" x14ac:dyDescent="0.25">
      <c r="A128" t="s">
        <v>605</v>
      </c>
      <c r="B128" t="str">
        <f>CONCATENATE(Consulta1[[#This Row],[id]],Consulta1[[#This Row],[EMPREGADOR]])</f>
        <v>9GOV CE</v>
      </c>
      <c r="C128" s="6">
        <f>IF(A128=A127,C127+1,1)</f>
        <v>9</v>
      </c>
      <c r="D128" t="s">
        <v>2793</v>
      </c>
      <c r="E128" s="101">
        <v>1.7500000000000002E-2</v>
      </c>
      <c r="F128" s="6">
        <v>120</v>
      </c>
      <c r="G128" t="s">
        <v>1349</v>
      </c>
      <c r="H128" s="82">
        <v>2.5</v>
      </c>
      <c r="I128">
        <v>8</v>
      </c>
      <c r="J128">
        <v>52</v>
      </c>
      <c r="K128" t="s">
        <v>2794</v>
      </c>
      <c r="L128" s="6" t="s">
        <v>1409</v>
      </c>
      <c r="M128" s="6">
        <v>10</v>
      </c>
      <c r="N128" s="6">
        <v>2</v>
      </c>
      <c r="O128">
        <v>35000</v>
      </c>
      <c r="P128">
        <v>202605</v>
      </c>
      <c r="Q128" t="s">
        <v>378</v>
      </c>
      <c r="R128" t="s">
        <v>1350</v>
      </c>
      <c r="S128">
        <f>Consulta1[[#This Row],[min_port]]/100</f>
        <v>1.55E-2</v>
      </c>
      <c r="T128" s="252">
        <f>Consulta1[[#This Row],[TETO_COMERCIAL]]/100</f>
        <v>2.5000000000000001E-2</v>
      </c>
      <c r="U128" t="b">
        <f>Consulta1[[#This Row],[TETO_COMERCIAL_%]]=Consulta1[[#This Row],[TAXA]]</f>
        <v>0</v>
      </c>
      <c r="V128" t="str">
        <f>CONCATENATE(Consulta1[[#This Row],[MES_ALTERACAO]],Consulta1[[#This Row],[VIRADA]])</f>
        <v>20260510</v>
      </c>
      <c r="W128">
        <f>VLOOKUP(Consulta1[[#This Row],[Coluna2]],CALENDARIO!$J:$K,2,FALSE)</f>
        <v>5</v>
      </c>
    </row>
    <row r="129" spans="1:23" x14ac:dyDescent="0.25">
      <c r="A129" t="s">
        <v>605</v>
      </c>
      <c r="B129" t="str">
        <f>CONCATENATE(Consulta1[[#This Row],[id]],Consulta1[[#This Row],[EMPREGADOR]])</f>
        <v>10GOV CE</v>
      </c>
      <c r="C129" s="6">
        <f>IF(A129=A128,C128+1,1)</f>
        <v>10</v>
      </c>
      <c r="D129" t="s">
        <v>2795</v>
      </c>
      <c r="E129" s="101">
        <v>1.7000000000000001E-2</v>
      </c>
      <c r="F129" s="6">
        <v>120</v>
      </c>
      <c r="G129" t="s">
        <v>1349</v>
      </c>
      <c r="H129" s="82">
        <v>2.5</v>
      </c>
      <c r="I129">
        <v>8</v>
      </c>
      <c r="J129">
        <v>52</v>
      </c>
      <c r="K129" t="s">
        <v>2796</v>
      </c>
      <c r="L129" s="6" t="s">
        <v>1409</v>
      </c>
      <c r="M129" s="6">
        <v>10</v>
      </c>
      <c r="N129" s="6">
        <v>2</v>
      </c>
      <c r="O129">
        <v>50000</v>
      </c>
      <c r="P129">
        <v>202605</v>
      </c>
      <c r="Q129" t="s">
        <v>378</v>
      </c>
      <c r="R129" t="s">
        <v>1350</v>
      </c>
      <c r="S129">
        <f>Consulta1[[#This Row],[min_port]]/100</f>
        <v>1.55E-2</v>
      </c>
      <c r="T129" s="252">
        <f>Consulta1[[#This Row],[TETO_COMERCIAL]]/100</f>
        <v>2.5000000000000001E-2</v>
      </c>
      <c r="U129" t="b">
        <f>Consulta1[[#This Row],[TETO_COMERCIAL_%]]=Consulta1[[#This Row],[TAXA]]</f>
        <v>0</v>
      </c>
      <c r="V129" t="str">
        <f>CONCATENATE(Consulta1[[#This Row],[MES_ALTERACAO]],Consulta1[[#This Row],[VIRADA]])</f>
        <v>20260510</v>
      </c>
      <c r="W129">
        <f>VLOOKUP(Consulta1[[#This Row],[Coluna2]],CALENDARIO!$J:$K,2,FALSE)</f>
        <v>5</v>
      </c>
    </row>
    <row r="130" spans="1:23" x14ac:dyDescent="0.25">
      <c r="A130" t="s">
        <v>3450</v>
      </c>
      <c r="B130" t="str">
        <f>CONCATENATE(Consulta1[[#This Row],[id]],Consulta1[[#This Row],[EMPREGADOR]])</f>
        <v>1GOV ES</v>
      </c>
      <c r="C130" s="6">
        <f>IF(A130=A129,C129+1,1)</f>
        <v>1</v>
      </c>
      <c r="D130" t="s">
        <v>73</v>
      </c>
      <c r="E130" s="101">
        <v>1.8500000000000003E-2</v>
      </c>
      <c r="F130" s="6">
        <v>120</v>
      </c>
      <c r="G130" t="s">
        <v>1349</v>
      </c>
      <c r="H130" s="82">
        <v>1.85</v>
      </c>
      <c r="I130">
        <v>20</v>
      </c>
      <c r="J130">
        <v>69</v>
      </c>
      <c r="K130" t="s">
        <v>1415</v>
      </c>
      <c r="L130" s="6" t="s">
        <v>1416</v>
      </c>
      <c r="M130" s="6">
        <v>26</v>
      </c>
      <c r="N130" s="6">
        <v>2</v>
      </c>
      <c r="O130">
        <v>500</v>
      </c>
      <c r="P130">
        <v>202605</v>
      </c>
      <c r="Q130" t="s">
        <v>377</v>
      </c>
      <c r="R130" t="s">
        <v>1353</v>
      </c>
      <c r="S130">
        <f>Consulta1[[#This Row],[min_port]]/100</f>
        <v>1.38E-2</v>
      </c>
      <c r="T130" s="252">
        <f>Consulta1[[#This Row],[TETO_COMERCIAL]]/100</f>
        <v>1.8500000000000003E-2</v>
      </c>
      <c r="U130" t="b">
        <f>Consulta1[[#This Row],[TETO_COMERCIAL_%]]=Consulta1[[#This Row],[TAXA]]</f>
        <v>1</v>
      </c>
      <c r="V130" t="str">
        <f>CONCATENATE(Consulta1[[#This Row],[MES_ALTERACAO]],Consulta1[[#This Row],[VIRADA]])</f>
        <v>20260526</v>
      </c>
      <c r="W130">
        <f>VLOOKUP(Consulta1[[#This Row],[Coluna2]],CALENDARIO!$J:$K,2,FALSE)</f>
        <v>17</v>
      </c>
    </row>
    <row r="131" spans="1:23" x14ac:dyDescent="0.25">
      <c r="A131" t="s">
        <v>3450</v>
      </c>
      <c r="B131" t="str">
        <f>CONCATENATE(Consulta1[[#This Row],[id]],Consulta1[[#This Row],[EMPREGADOR]])</f>
        <v>2GOV ES</v>
      </c>
      <c r="C131" s="6">
        <f>IF(A131=A130,C130+1,1)</f>
        <v>2</v>
      </c>
      <c r="D131" t="s">
        <v>682</v>
      </c>
      <c r="E131" s="101">
        <v>1.8000000000000002E-2</v>
      </c>
      <c r="F131" s="6">
        <v>120</v>
      </c>
      <c r="G131" t="s">
        <v>1349</v>
      </c>
      <c r="H131" s="82">
        <v>1.85</v>
      </c>
      <c r="I131">
        <v>20</v>
      </c>
      <c r="J131">
        <v>69</v>
      </c>
      <c r="K131" t="s">
        <v>1417</v>
      </c>
      <c r="L131" s="6" t="s">
        <v>1416</v>
      </c>
      <c r="M131" s="6">
        <v>26</v>
      </c>
      <c r="N131" s="6">
        <v>2</v>
      </c>
      <c r="O131">
        <v>500</v>
      </c>
      <c r="P131">
        <v>202605</v>
      </c>
      <c r="Q131" t="s">
        <v>377</v>
      </c>
      <c r="R131" t="s">
        <v>1353</v>
      </c>
      <c r="S131">
        <f>Consulta1[[#This Row],[min_port]]/100</f>
        <v>1.38E-2</v>
      </c>
      <c r="T131" s="252">
        <f>Consulta1[[#This Row],[TETO_COMERCIAL]]/100</f>
        <v>1.8500000000000003E-2</v>
      </c>
      <c r="U131" t="b">
        <f>Consulta1[[#This Row],[TETO_COMERCIAL_%]]=Consulta1[[#This Row],[TAXA]]</f>
        <v>0</v>
      </c>
      <c r="V131" t="str">
        <f>CONCATENATE(Consulta1[[#This Row],[MES_ALTERACAO]],Consulta1[[#This Row],[VIRADA]])</f>
        <v>20260526</v>
      </c>
      <c r="W131">
        <f>VLOOKUP(Consulta1[[#This Row],[Coluna2]],CALENDARIO!$J:$K,2,FALSE)</f>
        <v>17</v>
      </c>
    </row>
    <row r="132" spans="1:23" x14ac:dyDescent="0.25">
      <c r="A132" t="s">
        <v>3450</v>
      </c>
      <c r="B132" t="str">
        <f>CONCATENATE(Consulta1[[#This Row],[id]],Consulta1[[#This Row],[EMPREGADOR]])</f>
        <v>3GOV ES</v>
      </c>
      <c r="C132" s="6">
        <f>IF(A132=A131,C131+1,1)</f>
        <v>3</v>
      </c>
      <c r="D132" t="s">
        <v>683</v>
      </c>
      <c r="E132" s="101">
        <v>1.7500000000000002E-2</v>
      </c>
      <c r="F132" s="6">
        <v>120</v>
      </c>
      <c r="G132" t="s">
        <v>1349</v>
      </c>
      <c r="H132" s="82">
        <v>1.85</v>
      </c>
      <c r="I132">
        <v>20</v>
      </c>
      <c r="J132">
        <v>69</v>
      </c>
      <c r="K132" t="s">
        <v>1418</v>
      </c>
      <c r="L132" s="6" t="s">
        <v>1416</v>
      </c>
      <c r="M132" s="6">
        <v>26</v>
      </c>
      <c r="N132" s="6">
        <v>2</v>
      </c>
      <c r="O132">
        <v>500</v>
      </c>
      <c r="P132">
        <v>202605</v>
      </c>
      <c r="Q132" t="s">
        <v>377</v>
      </c>
      <c r="R132" t="s">
        <v>1353</v>
      </c>
      <c r="S132">
        <f>Consulta1[[#This Row],[min_port]]/100</f>
        <v>1.38E-2</v>
      </c>
      <c r="T132" s="252">
        <f>Consulta1[[#This Row],[TETO_COMERCIAL]]/100</f>
        <v>1.8500000000000003E-2</v>
      </c>
      <c r="U132" t="b">
        <f>Consulta1[[#This Row],[TETO_COMERCIAL_%]]=Consulta1[[#This Row],[TAXA]]</f>
        <v>0</v>
      </c>
      <c r="V132" t="str">
        <f>CONCATENATE(Consulta1[[#This Row],[MES_ALTERACAO]],Consulta1[[#This Row],[VIRADA]])</f>
        <v>20260526</v>
      </c>
      <c r="W132">
        <f>VLOOKUP(Consulta1[[#This Row],[Coluna2]],CALENDARIO!$J:$K,2,FALSE)</f>
        <v>17</v>
      </c>
    </row>
    <row r="133" spans="1:23" x14ac:dyDescent="0.25">
      <c r="A133" t="s">
        <v>3450</v>
      </c>
      <c r="B133" t="str">
        <f>CONCATENATE(Consulta1[[#This Row],[id]],Consulta1[[#This Row],[EMPREGADOR]])</f>
        <v>4GOV ES</v>
      </c>
      <c r="C133" s="6">
        <f>IF(A133=A132,C132+1,1)</f>
        <v>4</v>
      </c>
      <c r="D133" t="s">
        <v>684</v>
      </c>
      <c r="E133" s="101">
        <v>1.7000000000000001E-2</v>
      </c>
      <c r="F133" s="6">
        <v>120</v>
      </c>
      <c r="G133" t="s">
        <v>1349</v>
      </c>
      <c r="H133" s="82">
        <v>1.85</v>
      </c>
      <c r="I133">
        <v>20</v>
      </c>
      <c r="J133">
        <v>69</v>
      </c>
      <c r="K133" t="s">
        <v>1419</v>
      </c>
      <c r="L133" s="6" t="s">
        <v>1416</v>
      </c>
      <c r="M133" s="6">
        <v>26</v>
      </c>
      <c r="N133" s="6">
        <v>2</v>
      </c>
      <c r="O133">
        <v>500</v>
      </c>
      <c r="P133">
        <v>202605</v>
      </c>
      <c r="Q133" t="s">
        <v>377</v>
      </c>
      <c r="R133" t="s">
        <v>1353</v>
      </c>
      <c r="S133">
        <f>Consulta1[[#This Row],[min_port]]/100</f>
        <v>1.38E-2</v>
      </c>
      <c r="T133" s="252">
        <f>Consulta1[[#This Row],[TETO_COMERCIAL]]/100</f>
        <v>1.8500000000000003E-2</v>
      </c>
      <c r="U133" t="b">
        <f>Consulta1[[#This Row],[TETO_COMERCIAL_%]]=Consulta1[[#This Row],[TAXA]]</f>
        <v>0</v>
      </c>
      <c r="V133" t="str">
        <f>CONCATENATE(Consulta1[[#This Row],[MES_ALTERACAO]],Consulta1[[#This Row],[VIRADA]])</f>
        <v>20260526</v>
      </c>
      <c r="W133">
        <f>VLOOKUP(Consulta1[[#This Row],[Coluna2]],CALENDARIO!$J:$K,2,FALSE)</f>
        <v>17</v>
      </c>
    </row>
    <row r="134" spans="1:23" x14ac:dyDescent="0.25">
      <c r="A134" t="s">
        <v>3450</v>
      </c>
      <c r="B134" t="str">
        <f>CONCATENATE(Consulta1[[#This Row],[id]],Consulta1[[#This Row],[EMPREGADOR]])</f>
        <v>5GOV ES</v>
      </c>
      <c r="C134" s="6">
        <f>IF(A134=A133,C133+1,1)</f>
        <v>5</v>
      </c>
      <c r="D134" t="s">
        <v>1009</v>
      </c>
      <c r="E134" s="101">
        <v>1.67E-2</v>
      </c>
      <c r="F134" s="6">
        <v>120</v>
      </c>
      <c r="G134" t="s">
        <v>1349</v>
      </c>
      <c r="H134" s="82">
        <v>1.85</v>
      </c>
      <c r="I134">
        <v>20</v>
      </c>
      <c r="J134">
        <v>69</v>
      </c>
      <c r="K134" t="s">
        <v>1420</v>
      </c>
      <c r="L134" s="6" t="s">
        <v>1416</v>
      </c>
      <c r="M134" s="6">
        <v>26</v>
      </c>
      <c r="N134" s="6">
        <v>2</v>
      </c>
      <c r="O134">
        <v>500</v>
      </c>
      <c r="P134">
        <v>202605</v>
      </c>
      <c r="Q134" t="s">
        <v>377</v>
      </c>
      <c r="R134" t="s">
        <v>1353</v>
      </c>
      <c r="S134">
        <f>Consulta1[[#This Row],[min_port]]/100</f>
        <v>1.38E-2</v>
      </c>
      <c r="T134" s="252">
        <f>Consulta1[[#This Row],[TETO_COMERCIAL]]/100</f>
        <v>1.8500000000000003E-2</v>
      </c>
      <c r="U134" t="b">
        <f>Consulta1[[#This Row],[TETO_COMERCIAL_%]]=Consulta1[[#This Row],[TAXA]]</f>
        <v>0</v>
      </c>
      <c r="V134" t="str">
        <f>CONCATENATE(Consulta1[[#This Row],[MES_ALTERACAO]],Consulta1[[#This Row],[VIRADA]])</f>
        <v>20260526</v>
      </c>
      <c r="W134">
        <f>VLOOKUP(Consulta1[[#This Row],[Coluna2]],CALENDARIO!$J:$K,2,FALSE)</f>
        <v>17</v>
      </c>
    </row>
    <row r="135" spans="1:23" x14ac:dyDescent="0.25">
      <c r="A135" t="s">
        <v>3450</v>
      </c>
      <c r="B135" t="str">
        <f>CONCATENATE(Consulta1[[#This Row],[id]],Consulta1[[#This Row],[EMPREGADOR]])</f>
        <v>6GOV ES</v>
      </c>
      <c r="C135" s="6">
        <f>IF(A135=A134,C134+1,1)</f>
        <v>6</v>
      </c>
      <c r="D135" t="s">
        <v>1010</v>
      </c>
      <c r="E135" s="101">
        <v>1.6399999999999998E-2</v>
      </c>
      <c r="F135" s="6">
        <v>120</v>
      </c>
      <c r="G135" t="s">
        <v>1349</v>
      </c>
      <c r="H135" s="82">
        <v>1.85</v>
      </c>
      <c r="I135">
        <v>20</v>
      </c>
      <c r="J135">
        <v>69</v>
      </c>
      <c r="K135" t="s">
        <v>1421</v>
      </c>
      <c r="L135" s="6" t="s">
        <v>1416</v>
      </c>
      <c r="M135" s="6">
        <v>26</v>
      </c>
      <c r="N135" s="6">
        <v>2</v>
      </c>
      <c r="O135">
        <v>500</v>
      </c>
      <c r="P135">
        <v>202605</v>
      </c>
      <c r="Q135" t="s">
        <v>377</v>
      </c>
      <c r="R135" t="s">
        <v>1353</v>
      </c>
      <c r="S135">
        <f>Consulta1[[#This Row],[min_port]]/100</f>
        <v>1.38E-2</v>
      </c>
      <c r="T135" s="252">
        <f>Consulta1[[#This Row],[TETO_COMERCIAL]]/100</f>
        <v>1.8500000000000003E-2</v>
      </c>
      <c r="U135" t="b">
        <f>Consulta1[[#This Row],[TETO_COMERCIAL_%]]=Consulta1[[#This Row],[TAXA]]</f>
        <v>0</v>
      </c>
      <c r="V135" t="str">
        <f>CONCATENATE(Consulta1[[#This Row],[MES_ALTERACAO]],Consulta1[[#This Row],[VIRADA]])</f>
        <v>20260526</v>
      </c>
      <c r="W135">
        <f>VLOOKUP(Consulta1[[#This Row],[Coluna2]],CALENDARIO!$J:$K,2,FALSE)</f>
        <v>17</v>
      </c>
    </row>
    <row r="136" spans="1:23" x14ac:dyDescent="0.25">
      <c r="A136" t="s">
        <v>3450</v>
      </c>
      <c r="B136" t="str">
        <f>CONCATENATE(Consulta1[[#This Row],[id]],Consulta1[[#This Row],[EMPREGADOR]])</f>
        <v>7GOV ES</v>
      </c>
      <c r="C136" s="6">
        <f>IF(A136=A135,C135+1,1)</f>
        <v>7</v>
      </c>
      <c r="D136" t="s">
        <v>1011</v>
      </c>
      <c r="E136" s="101">
        <v>1.61E-2</v>
      </c>
      <c r="F136" s="6">
        <v>120</v>
      </c>
      <c r="G136" t="s">
        <v>1349</v>
      </c>
      <c r="H136" s="82">
        <v>1.85</v>
      </c>
      <c r="I136">
        <v>20</v>
      </c>
      <c r="J136">
        <v>69</v>
      </c>
      <c r="K136" t="s">
        <v>1422</v>
      </c>
      <c r="L136" s="6" t="s">
        <v>1416</v>
      </c>
      <c r="M136" s="6">
        <v>26</v>
      </c>
      <c r="N136" s="6">
        <v>2</v>
      </c>
      <c r="O136">
        <v>500</v>
      </c>
      <c r="P136">
        <v>202605</v>
      </c>
      <c r="Q136" t="s">
        <v>377</v>
      </c>
      <c r="R136" t="s">
        <v>1353</v>
      </c>
      <c r="S136">
        <f>Consulta1[[#This Row],[min_port]]/100</f>
        <v>1.38E-2</v>
      </c>
      <c r="T136" s="252">
        <f>Consulta1[[#This Row],[TETO_COMERCIAL]]/100</f>
        <v>1.8500000000000003E-2</v>
      </c>
      <c r="U136" t="b">
        <f>Consulta1[[#This Row],[TETO_COMERCIAL_%]]=Consulta1[[#This Row],[TAXA]]</f>
        <v>0</v>
      </c>
      <c r="V136" t="str">
        <f>CONCATENATE(Consulta1[[#This Row],[MES_ALTERACAO]],Consulta1[[#This Row],[VIRADA]])</f>
        <v>20260526</v>
      </c>
      <c r="W136">
        <f>VLOOKUP(Consulta1[[#This Row],[Coluna2]],CALENDARIO!$J:$K,2,FALSE)</f>
        <v>17</v>
      </c>
    </row>
    <row r="137" spans="1:23" x14ac:dyDescent="0.25">
      <c r="A137" t="s">
        <v>3450</v>
      </c>
      <c r="B137" t="str">
        <f>CONCATENATE(Consulta1[[#This Row],[id]],Consulta1[[#This Row],[EMPREGADOR]])</f>
        <v>8GOV ES</v>
      </c>
      <c r="C137" s="6">
        <f>IF(A137=A136,C136+1,1)</f>
        <v>8</v>
      </c>
      <c r="D137" t="s">
        <v>1012</v>
      </c>
      <c r="E137" s="101">
        <v>1.5800000000000002E-2</v>
      </c>
      <c r="F137" s="6">
        <v>120</v>
      </c>
      <c r="G137" t="s">
        <v>1349</v>
      </c>
      <c r="H137" s="82">
        <v>1.85</v>
      </c>
      <c r="I137">
        <v>20</v>
      </c>
      <c r="J137">
        <v>69</v>
      </c>
      <c r="K137" t="s">
        <v>1423</v>
      </c>
      <c r="L137" s="6" t="s">
        <v>1416</v>
      </c>
      <c r="M137" s="6">
        <v>26</v>
      </c>
      <c r="N137" s="6">
        <v>2</v>
      </c>
      <c r="O137">
        <v>500</v>
      </c>
      <c r="P137">
        <v>202605</v>
      </c>
      <c r="Q137" t="s">
        <v>377</v>
      </c>
      <c r="R137" t="s">
        <v>1353</v>
      </c>
      <c r="S137">
        <f>Consulta1[[#This Row],[min_port]]/100</f>
        <v>1.38E-2</v>
      </c>
      <c r="T137" s="252">
        <f>Consulta1[[#This Row],[TETO_COMERCIAL]]/100</f>
        <v>1.8500000000000003E-2</v>
      </c>
      <c r="U137" t="b">
        <f>Consulta1[[#This Row],[TETO_COMERCIAL_%]]=Consulta1[[#This Row],[TAXA]]</f>
        <v>0</v>
      </c>
      <c r="V137" t="str">
        <f>CONCATENATE(Consulta1[[#This Row],[MES_ALTERACAO]],Consulta1[[#This Row],[VIRADA]])</f>
        <v>20260526</v>
      </c>
      <c r="W137">
        <f>VLOOKUP(Consulta1[[#This Row],[Coluna2]],CALENDARIO!$J:$K,2,FALSE)</f>
        <v>17</v>
      </c>
    </row>
    <row r="138" spans="1:23" x14ac:dyDescent="0.25">
      <c r="A138" t="s">
        <v>3450</v>
      </c>
      <c r="B138" t="str">
        <f>CONCATENATE(Consulta1[[#This Row],[id]],Consulta1[[#This Row],[EMPREGADOR]])</f>
        <v>9GOV ES</v>
      </c>
      <c r="C138" s="6">
        <f>IF(A138=A137,C137+1,1)</f>
        <v>9</v>
      </c>
      <c r="D138" t="s">
        <v>2387</v>
      </c>
      <c r="E138" s="101">
        <v>1.55E-2</v>
      </c>
      <c r="F138" s="6">
        <v>120</v>
      </c>
      <c r="G138" t="s">
        <v>1349</v>
      </c>
      <c r="H138" s="82">
        <v>1.85</v>
      </c>
      <c r="I138">
        <v>20</v>
      </c>
      <c r="J138">
        <v>69</v>
      </c>
      <c r="K138" t="s">
        <v>2388</v>
      </c>
      <c r="L138" s="6" t="s">
        <v>1416</v>
      </c>
      <c r="M138" s="6">
        <v>26</v>
      </c>
      <c r="N138" s="6">
        <v>2</v>
      </c>
      <c r="O138">
        <v>500</v>
      </c>
      <c r="P138">
        <v>202605</v>
      </c>
      <c r="Q138" t="s">
        <v>377</v>
      </c>
      <c r="R138" t="s">
        <v>1353</v>
      </c>
      <c r="S138">
        <f>Consulta1[[#This Row],[min_port]]/100</f>
        <v>1.38E-2</v>
      </c>
      <c r="T138" s="252">
        <f>Consulta1[[#This Row],[TETO_COMERCIAL]]/100</f>
        <v>1.8500000000000003E-2</v>
      </c>
      <c r="U138" t="b">
        <f>Consulta1[[#This Row],[TETO_COMERCIAL_%]]=Consulta1[[#This Row],[TAXA]]</f>
        <v>0</v>
      </c>
      <c r="V138" t="str">
        <f>CONCATENATE(Consulta1[[#This Row],[MES_ALTERACAO]],Consulta1[[#This Row],[VIRADA]])</f>
        <v>20260526</v>
      </c>
      <c r="W138">
        <f>VLOOKUP(Consulta1[[#This Row],[Coluna2]],CALENDARIO!$J:$K,2,FALSE)</f>
        <v>17</v>
      </c>
    </row>
    <row r="139" spans="1:23" x14ac:dyDescent="0.25">
      <c r="A139" t="s">
        <v>3450</v>
      </c>
      <c r="B139" t="str">
        <f>CONCATENATE(Consulta1[[#This Row],[id]],Consulta1[[#This Row],[EMPREGADOR]])</f>
        <v>10GOV ES</v>
      </c>
      <c r="C139" s="6">
        <f>IF(A139=A138,C138+1,1)</f>
        <v>10</v>
      </c>
      <c r="D139" t="s">
        <v>2389</v>
      </c>
      <c r="E139" s="101">
        <v>1.5300000000000001E-2</v>
      </c>
      <c r="F139" s="6">
        <v>120</v>
      </c>
      <c r="G139" t="s">
        <v>1349</v>
      </c>
      <c r="H139" s="82">
        <v>1.85</v>
      </c>
      <c r="I139">
        <v>20</v>
      </c>
      <c r="J139">
        <v>69</v>
      </c>
      <c r="K139" t="s">
        <v>2390</v>
      </c>
      <c r="L139" s="6" t="s">
        <v>1416</v>
      </c>
      <c r="M139" s="6">
        <v>26</v>
      </c>
      <c r="N139" s="6">
        <v>2</v>
      </c>
      <c r="O139">
        <v>20000</v>
      </c>
      <c r="P139">
        <v>202605</v>
      </c>
      <c r="Q139" t="s">
        <v>377</v>
      </c>
      <c r="R139" t="s">
        <v>1353</v>
      </c>
      <c r="S139">
        <f>Consulta1[[#This Row],[min_port]]/100</f>
        <v>1.38E-2</v>
      </c>
      <c r="T139" s="252">
        <f>Consulta1[[#This Row],[TETO_COMERCIAL]]/100</f>
        <v>1.8500000000000003E-2</v>
      </c>
      <c r="U139" t="b">
        <f>Consulta1[[#This Row],[TETO_COMERCIAL_%]]=Consulta1[[#This Row],[TAXA]]</f>
        <v>0</v>
      </c>
      <c r="V139" t="str">
        <f>CONCATENATE(Consulta1[[#This Row],[MES_ALTERACAO]],Consulta1[[#This Row],[VIRADA]])</f>
        <v>20260526</v>
      </c>
      <c r="W139">
        <f>VLOOKUP(Consulta1[[#This Row],[Coluna2]],CALENDARIO!$J:$K,2,FALSE)</f>
        <v>17</v>
      </c>
    </row>
    <row r="140" spans="1:23" x14ac:dyDescent="0.25">
      <c r="A140" t="s">
        <v>3450</v>
      </c>
      <c r="B140" t="str">
        <f>CONCATENATE(Consulta1[[#This Row],[id]],Consulta1[[#This Row],[EMPREGADOR]])</f>
        <v>11GOV ES</v>
      </c>
      <c r="C140" s="6">
        <f>IF(A140=A139,C139+1,1)</f>
        <v>11</v>
      </c>
      <c r="D140" t="s">
        <v>2391</v>
      </c>
      <c r="E140" s="101">
        <v>1.5100000000000001E-2</v>
      </c>
      <c r="F140" s="6">
        <v>120</v>
      </c>
      <c r="G140" t="s">
        <v>1349</v>
      </c>
      <c r="H140" s="82">
        <v>1.85</v>
      </c>
      <c r="I140">
        <v>20</v>
      </c>
      <c r="J140">
        <v>69</v>
      </c>
      <c r="K140" t="s">
        <v>2392</v>
      </c>
      <c r="L140" s="6" t="s">
        <v>1416</v>
      </c>
      <c r="M140" s="6">
        <v>26</v>
      </c>
      <c r="N140" s="6">
        <v>2</v>
      </c>
      <c r="O140">
        <v>30000</v>
      </c>
      <c r="P140">
        <v>202605</v>
      </c>
      <c r="Q140" t="s">
        <v>377</v>
      </c>
      <c r="R140" t="s">
        <v>1353</v>
      </c>
      <c r="S140">
        <f>Consulta1[[#This Row],[min_port]]/100</f>
        <v>1.38E-2</v>
      </c>
      <c r="T140" s="252">
        <f>Consulta1[[#This Row],[TETO_COMERCIAL]]/100</f>
        <v>1.8500000000000003E-2</v>
      </c>
      <c r="U140" t="b">
        <f>Consulta1[[#This Row],[TETO_COMERCIAL_%]]=Consulta1[[#This Row],[TAXA]]</f>
        <v>0</v>
      </c>
      <c r="V140" t="str">
        <f>CONCATENATE(Consulta1[[#This Row],[MES_ALTERACAO]],Consulta1[[#This Row],[VIRADA]])</f>
        <v>20260526</v>
      </c>
      <c r="W140">
        <f>VLOOKUP(Consulta1[[#This Row],[Coluna2]],CALENDARIO!$J:$K,2,FALSE)</f>
        <v>17</v>
      </c>
    </row>
    <row r="141" spans="1:23" x14ac:dyDescent="0.25">
      <c r="A141" t="s">
        <v>3843</v>
      </c>
      <c r="B141" t="str">
        <f>CONCATENATE(Consulta1[[#This Row],[id]],Consulta1[[#This Row],[EMPREGADOR]])</f>
        <v>1GOV GOIAS</v>
      </c>
      <c r="C141" s="6">
        <f>IF(A141=A140,C140+1,1)</f>
        <v>1</v>
      </c>
      <c r="D141" t="s">
        <v>3676</v>
      </c>
      <c r="E141" s="101">
        <v>1.83E-2</v>
      </c>
      <c r="F141" s="6">
        <v>120</v>
      </c>
      <c r="G141" t="s">
        <v>1349</v>
      </c>
      <c r="H141" s="82">
        <v>2.5</v>
      </c>
      <c r="I141">
        <v>28</v>
      </c>
      <c r="J141">
        <v>44</v>
      </c>
      <c r="K141" t="s">
        <v>3677</v>
      </c>
      <c r="L141" s="6"/>
      <c r="M141" s="6">
        <v>7</v>
      </c>
      <c r="N141" s="6">
        <v>2</v>
      </c>
      <c r="O141">
        <v>50000</v>
      </c>
      <c r="P141">
        <v>202605</v>
      </c>
      <c r="Q141" t="s">
        <v>377</v>
      </c>
      <c r="R141" t="s">
        <v>1350</v>
      </c>
      <c r="S141">
        <f>Consulta1[[#This Row],[min_port]]/100</f>
        <v>0</v>
      </c>
      <c r="T141" s="252">
        <f>Consulta1[[#This Row],[TETO_COMERCIAL]]/100</f>
        <v>2.5000000000000001E-2</v>
      </c>
      <c r="U141" t="b">
        <f>Consulta1[[#This Row],[TETO_COMERCIAL_%]]=Consulta1[[#This Row],[TAXA]]</f>
        <v>0</v>
      </c>
      <c r="V141" t="str">
        <f>CONCATENATE(Consulta1[[#This Row],[MES_ALTERACAO]],Consulta1[[#This Row],[VIRADA]])</f>
        <v>2026057</v>
      </c>
      <c r="W141">
        <f>VLOOKUP(Consulta1[[#This Row],[Coluna2]],CALENDARIO!$J:$K,2,FALSE)</f>
        <v>4</v>
      </c>
    </row>
    <row r="142" spans="1:23" x14ac:dyDescent="0.25">
      <c r="A142" t="s">
        <v>3844</v>
      </c>
      <c r="B142" t="str">
        <f>CONCATENATE(Consulta1[[#This Row],[id]],Consulta1[[#This Row],[EMPREGADOR]])</f>
        <v>1GOV GOIAS CLT</v>
      </c>
      <c r="C142" s="6">
        <f>IF(A142=A141,C141+1,1)</f>
        <v>1</v>
      </c>
      <c r="D142" t="s">
        <v>3678</v>
      </c>
      <c r="E142" s="101">
        <v>1.83E-2</v>
      </c>
      <c r="F142" s="6">
        <v>120</v>
      </c>
      <c r="G142" t="s">
        <v>1349</v>
      </c>
      <c r="H142" s="82">
        <v>2.5</v>
      </c>
      <c r="I142">
        <v>28</v>
      </c>
      <c r="K142" t="s">
        <v>3679</v>
      </c>
      <c r="L142" s="6"/>
      <c r="M142" s="6">
        <v>7</v>
      </c>
      <c r="N142" s="6">
        <v>2</v>
      </c>
      <c r="O142">
        <v>50000</v>
      </c>
      <c r="P142">
        <v>202605</v>
      </c>
      <c r="Q142" t="s">
        <v>377</v>
      </c>
      <c r="R142" t="s">
        <v>1350</v>
      </c>
      <c r="S142">
        <f>Consulta1[[#This Row],[min_port]]/100</f>
        <v>0</v>
      </c>
      <c r="T142" s="252">
        <f>Consulta1[[#This Row],[TETO_COMERCIAL]]/100</f>
        <v>2.5000000000000001E-2</v>
      </c>
      <c r="U142" t="b">
        <f>Consulta1[[#This Row],[TETO_COMERCIAL_%]]=Consulta1[[#This Row],[TAXA]]</f>
        <v>0</v>
      </c>
      <c r="V142" t="str">
        <f>CONCATENATE(Consulta1[[#This Row],[MES_ALTERACAO]],Consulta1[[#This Row],[VIRADA]])</f>
        <v>2026057</v>
      </c>
      <c r="W142">
        <f>VLOOKUP(Consulta1[[#This Row],[Coluna2]],CALENDARIO!$J:$K,2,FALSE)</f>
        <v>4</v>
      </c>
    </row>
    <row r="143" spans="1:23" x14ac:dyDescent="0.25">
      <c r="A143" t="s">
        <v>3836</v>
      </c>
      <c r="B143" t="str">
        <f>CONCATENATE(Consulta1[[#This Row],[id]],Consulta1[[#This Row],[EMPREGADOR]])</f>
        <v>1GOV GOIAS PORT</v>
      </c>
      <c r="C143" s="6">
        <f>IF(A143=A142,C142+1,1)</f>
        <v>1</v>
      </c>
      <c r="D143" t="s">
        <v>3845</v>
      </c>
      <c r="E143" s="101">
        <v>2.5000000000000001E-2</v>
      </c>
      <c r="F143" s="6">
        <v>120</v>
      </c>
      <c r="G143" t="s">
        <v>1349</v>
      </c>
      <c r="H143" s="82">
        <v>2.5</v>
      </c>
      <c r="I143">
        <v>28</v>
      </c>
      <c r="K143" t="s">
        <v>3846</v>
      </c>
      <c r="L143" s="6" t="s">
        <v>1407</v>
      </c>
      <c r="M143" s="6">
        <v>7</v>
      </c>
      <c r="N143" s="6">
        <v>2</v>
      </c>
      <c r="O143">
        <v>500</v>
      </c>
      <c r="P143">
        <v>202605</v>
      </c>
      <c r="Q143" t="s">
        <v>377</v>
      </c>
      <c r="R143" t="s">
        <v>1350</v>
      </c>
      <c r="S143">
        <f>Consulta1[[#This Row],[min_port]]/100</f>
        <v>1.49E-2</v>
      </c>
      <c r="T143" s="252">
        <f>Consulta1[[#This Row],[TETO_COMERCIAL]]/100</f>
        <v>2.5000000000000001E-2</v>
      </c>
      <c r="U143" t="b">
        <f>Consulta1[[#This Row],[TETO_COMERCIAL_%]]=Consulta1[[#This Row],[TAXA]]</f>
        <v>1</v>
      </c>
      <c r="V143" t="str">
        <f>CONCATENATE(Consulta1[[#This Row],[MES_ALTERACAO]],Consulta1[[#This Row],[VIRADA]])</f>
        <v>2026057</v>
      </c>
      <c r="W143">
        <f>VLOOKUP(Consulta1[[#This Row],[Coluna2]],CALENDARIO!$J:$K,2,FALSE)</f>
        <v>4</v>
      </c>
    </row>
    <row r="144" spans="1:23" x14ac:dyDescent="0.25">
      <c r="A144" t="s">
        <v>3836</v>
      </c>
      <c r="B144" t="str">
        <f>CONCATENATE(Consulta1[[#This Row],[id]],Consulta1[[#This Row],[EMPREGADOR]])</f>
        <v>2GOV GOIAS PORT</v>
      </c>
      <c r="C144" s="6">
        <f>IF(A144=A143,C143+1,1)</f>
        <v>2</v>
      </c>
      <c r="D144" t="s">
        <v>3847</v>
      </c>
      <c r="E144" s="101">
        <v>2.3E-2</v>
      </c>
      <c r="F144" s="6">
        <v>120</v>
      </c>
      <c r="G144" t="s">
        <v>1349</v>
      </c>
      <c r="H144" s="82">
        <v>2.5</v>
      </c>
      <c r="I144">
        <v>28</v>
      </c>
      <c r="K144" t="s">
        <v>3848</v>
      </c>
      <c r="L144" s="6" t="s">
        <v>1407</v>
      </c>
      <c r="M144" s="6">
        <v>7</v>
      </c>
      <c r="N144" s="6">
        <v>2</v>
      </c>
      <c r="O144">
        <v>500</v>
      </c>
      <c r="P144">
        <v>202605</v>
      </c>
      <c r="Q144" t="s">
        <v>377</v>
      </c>
      <c r="R144" t="s">
        <v>1350</v>
      </c>
      <c r="S144">
        <f>Consulta1[[#This Row],[min_port]]/100</f>
        <v>1.49E-2</v>
      </c>
      <c r="T144" s="252">
        <f>Consulta1[[#This Row],[TETO_COMERCIAL]]/100</f>
        <v>2.5000000000000001E-2</v>
      </c>
      <c r="U144" t="b">
        <f>Consulta1[[#This Row],[TETO_COMERCIAL_%]]=Consulta1[[#This Row],[TAXA]]</f>
        <v>0</v>
      </c>
      <c r="V144" t="str">
        <f>CONCATENATE(Consulta1[[#This Row],[MES_ALTERACAO]],Consulta1[[#This Row],[VIRADA]])</f>
        <v>2026057</v>
      </c>
      <c r="W144">
        <f>VLOOKUP(Consulta1[[#This Row],[Coluna2]],CALENDARIO!$J:$K,2,FALSE)</f>
        <v>4</v>
      </c>
    </row>
    <row r="145" spans="1:23" x14ac:dyDescent="0.25">
      <c r="A145" t="s">
        <v>3836</v>
      </c>
      <c r="B145" t="str">
        <f>CONCATENATE(Consulta1[[#This Row],[id]],Consulta1[[#This Row],[EMPREGADOR]])</f>
        <v>3GOV GOIAS PORT</v>
      </c>
      <c r="C145" s="6">
        <f>IF(A145=A144,C144+1,1)</f>
        <v>3</v>
      </c>
      <c r="D145" t="s">
        <v>3849</v>
      </c>
      <c r="E145" s="101">
        <v>2.2499999999999999E-2</v>
      </c>
      <c r="F145" s="6">
        <v>120</v>
      </c>
      <c r="G145" t="s">
        <v>1349</v>
      </c>
      <c r="H145" s="82">
        <v>2.5</v>
      </c>
      <c r="I145">
        <v>28</v>
      </c>
      <c r="K145" t="s">
        <v>3850</v>
      </c>
      <c r="L145" s="6" t="s">
        <v>1407</v>
      </c>
      <c r="M145" s="6">
        <v>7</v>
      </c>
      <c r="N145" s="6">
        <v>2</v>
      </c>
      <c r="O145">
        <v>500</v>
      </c>
      <c r="P145">
        <v>202605</v>
      </c>
      <c r="Q145" t="s">
        <v>377</v>
      </c>
      <c r="R145" t="s">
        <v>1350</v>
      </c>
      <c r="S145">
        <f>Consulta1[[#This Row],[min_port]]/100</f>
        <v>1.49E-2</v>
      </c>
      <c r="T145" s="252">
        <f>Consulta1[[#This Row],[TETO_COMERCIAL]]/100</f>
        <v>2.5000000000000001E-2</v>
      </c>
      <c r="U145" t="b">
        <f>Consulta1[[#This Row],[TETO_COMERCIAL_%]]=Consulta1[[#This Row],[TAXA]]</f>
        <v>0</v>
      </c>
      <c r="V145" t="str">
        <f>CONCATENATE(Consulta1[[#This Row],[MES_ALTERACAO]],Consulta1[[#This Row],[VIRADA]])</f>
        <v>2026057</v>
      </c>
      <c r="W145">
        <f>VLOOKUP(Consulta1[[#This Row],[Coluna2]],CALENDARIO!$J:$K,2,FALSE)</f>
        <v>4</v>
      </c>
    </row>
    <row r="146" spans="1:23" x14ac:dyDescent="0.25">
      <c r="A146" t="s">
        <v>3836</v>
      </c>
      <c r="B146" t="str">
        <f>CONCATENATE(Consulta1[[#This Row],[id]],Consulta1[[#This Row],[EMPREGADOR]])</f>
        <v>4GOV GOIAS PORT</v>
      </c>
      <c r="C146" s="6">
        <f>IF(A146=A145,C145+1,1)</f>
        <v>4</v>
      </c>
      <c r="D146" t="s">
        <v>3851</v>
      </c>
      <c r="E146" s="101">
        <v>2.2000000000000002E-2</v>
      </c>
      <c r="F146" s="6">
        <v>120</v>
      </c>
      <c r="G146" t="s">
        <v>1349</v>
      </c>
      <c r="H146" s="82">
        <v>2.5</v>
      </c>
      <c r="I146">
        <v>28</v>
      </c>
      <c r="K146" t="s">
        <v>3852</v>
      </c>
      <c r="L146" s="6" t="s">
        <v>1407</v>
      </c>
      <c r="M146" s="6">
        <v>7</v>
      </c>
      <c r="N146" s="6">
        <v>2</v>
      </c>
      <c r="O146">
        <v>500</v>
      </c>
      <c r="P146">
        <v>202605</v>
      </c>
      <c r="Q146" t="s">
        <v>377</v>
      </c>
      <c r="R146" t="s">
        <v>1350</v>
      </c>
      <c r="S146">
        <f>Consulta1[[#This Row],[min_port]]/100</f>
        <v>1.49E-2</v>
      </c>
      <c r="T146" s="252">
        <f>Consulta1[[#This Row],[TETO_COMERCIAL]]/100</f>
        <v>2.5000000000000001E-2</v>
      </c>
      <c r="U146" t="b">
        <f>Consulta1[[#This Row],[TETO_COMERCIAL_%]]=Consulta1[[#This Row],[TAXA]]</f>
        <v>0</v>
      </c>
      <c r="V146" t="str">
        <f>CONCATENATE(Consulta1[[#This Row],[MES_ALTERACAO]],Consulta1[[#This Row],[VIRADA]])</f>
        <v>2026057</v>
      </c>
      <c r="W146">
        <f>VLOOKUP(Consulta1[[#This Row],[Coluna2]],CALENDARIO!$J:$K,2,FALSE)</f>
        <v>4</v>
      </c>
    </row>
    <row r="147" spans="1:23" x14ac:dyDescent="0.25">
      <c r="A147" t="s">
        <v>3836</v>
      </c>
      <c r="B147" t="str">
        <f>CONCATENATE(Consulta1[[#This Row],[id]],Consulta1[[#This Row],[EMPREGADOR]])</f>
        <v>5GOV GOIAS PORT</v>
      </c>
      <c r="C147" s="6">
        <f>IF(A147=A146,C146+1,1)</f>
        <v>5</v>
      </c>
      <c r="D147" t="s">
        <v>3853</v>
      </c>
      <c r="E147" s="101">
        <v>2.1499999999999998E-2</v>
      </c>
      <c r="F147" s="6">
        <v>120</v>
      </c>
      <c r="G147" t="s">
        <v>1349</v>
      </c>
      <c r="H147" s="82">
        <v>2.5</v>
      </c>
      <c r="I147">
        <v>28</v>
      </c>
      <c r="K147" t="s">
        <v>3854</v>
      </c>
      <c r="L147" s="6" t="s">
        <v>1407</v>
      </c>
      <c r="M147" s="6">
        <v>7</v>
      </c>
      <c r="N147" s="6">
        <v>2</v>
      </c>
      <c r="O147">
        <v>500</v>
      </c>
      <c r="P147">
        <v>202605</v>
      </c>
      <c r="Q147" t="s">
        <v>377</v>
      </c>
      <c r="R147" t="s">
        <v>1350</v>
      </c>
      <c r="S147">
        <f>Consulta1[[#This Row],[min_port]]/100</f>
        <v>1.49E-2</v>
      </c>
      <c r="T147" s="252">
        <f>Consulta1[[#This Row],[TETO_COMERCIAL]]/100</f>
        <v>2.5000000000000001E-2</v>
      </c>
      <c r="U147" t="b">
        <f>Consulta1[[#This Row],[TETO_COMERCIAL_%]]=Consulta1[[#This Row],[TAXA]]</f>
        <v>0</v>
      </c>
      <c r="V147" t="str">
        <f>CONCATENATE(Consulta1[[#This Row],[MES_ALTERACAO]],Consulta1[[#This Row],[VIRADA]])</f>
        <v>2026057</v>
      </c>
      <c r="W147">
        <f>VLOOKUP(Consulta1[[#This Row],[Coluna2]],CALENDARIO!$J:$K,2,FALSE)</f>
        <v>4</v>
      </c>
    </row>
    <row r="148" spans="1:23" x14ac:dyDescent="0.25">
      <c r="A148" t="s">
        <v>3836</v>
      </c>
      <c r="B148" t="str">
        <f>CONCATENATE(Consulta1[[#This Row],[id]],Consulta1[[#This Row],[EMPREGADOR]])</f>
        <v>6GOV GOIAS PORT</v>
      </c>
      <c r="C148" s="6">
        <f>IF(A148=A147,C147+1,1)</f>
        <v>6</v>
      </c>
      <c r="D148" t="s">
        <v>3855</v>
      </c>
      <c r="E148" s="101">
        <v>2.1000000000000001E-2</v>
      </c>
      <c r="F148" s="6">
        <v>120</v>
      </c>
      <c r="G148" t="s">
        <v>1349</v>
      </c>
      <c r="H148" s="82">
        <v>2.5</v>
      </c>
      <c r="I148">
        <v>28</v>
      </c>
      <c r="K148" t="s">
        <v>3856</v>
      </c>
      <c r="L148" s="6" t="s">
        <v>1407</v>
      </c>
      <c r="M148" s="6">
        <v>7</v>
      </c>
      <c r="N148" s="6">
        <v>2</v>
      </c>
      <c r="O148">
        <v>500</v>
      </c>
      <c r="P148">
        <v>202605</v>
      </c>
      <c r="Q148" t="s">
        <v>377</v>
      </c>
      <c r="R148" t="s">
        <v>1350</v>
      </c>
      <c r="S148">
        <f>Consulta1[[#This Row],[min_port]]/100</f>
        <v>1.49E-2</v>
      </c>
      <c r="T148" s="252">
        <f>Consulta1[[#This Row],[TETO_COMERCIAL]]/100</f>
        <v>2.5000000000000001E-2</v>
      </c>
      <c r="U148" t="b">
        <f>Consulta1[[#This Row],[TETO_COMERCIAL_%]]=Consulta1[[#This Row],[TAXA]]</f>
        <v>0</v>
      </c>
      <c r="V148" t="str">
        <f>CONCATENATE(Consulta1[[#This Row],[MES_ALTERACAO]],Consulta1[[#This Row],[VIRADA]])</f>
        <v>2026057</v>
      </c>
      <c r="W148">
        <f>VLOOKUP(Consulta1[[#This Row],[Coluna2]],CALENDARIO!$J:$K,2,FALSE)</f>
        <v>4</v>
      </c>
    </row>
    <row r="149" spans="1:23" x14ac:dyDescent="0.25">
      <c r="A149" t="s">
        <v>3836</v>
      </c>
      <c r="B149" t="str">
        <f>CONCATENATE(Consulta1[[#This Row],[id]],Consulta1[[#This Row],[EMPREGADOR]])</f>
        <v>7GOV GOIAS PORT</v>
      </c>
      <c r="C149" s="6">
        <f>IF(A149=A148,C148+1,1)</f>
        <v>7</v>
      </c>
      <c r="D149" t="s">
        <v>3857</v>
      </c>
      <c r="E149" s="101">
        <v>2.0499999999999997E-2</v>
      </c>
      <c r="F149" s="6">
        <v>120</v>
      </c>
      <c r="G149" t="s">
        <v>1349</v>
      </c>
      <c r="H149" s="82">
        <v>2.5</v>
      </c>
      <c r="I149">
        <v>28</v>
      </c>
      <c r="K149" t="s">
        <v>3858</v>
      </c>
      <c r="L149" s="6" t="s">
        <v>1407</v>
      </c>
      <c r="M149" s="6">
        <v>7</v>
      </c>
      <c r="N149" s="6">
        <v>2</v>
      </c>
      <c r="O149">
        <v>500</v>
      </c>
      <c r="P149">
        <v>202605</v>
      </c>
      <c r="Q149" t="s">
        <v>377</v>
      </c>
      <c r="R149" t="s">
        <v>1350</v>
      </c>
      <c r="S149">
        <f>Consulta1[[#This Row],[min_port]]/100</f>
        <v>1.49E-2</v>
      </c>
      <c r="T149" s="252">
        <f>Consulta1[[#This Row],[TETO_COMERCIAL]]/100</f>
        <v>2.5000000000000001E-2</v>
      </c>
      <c r="U149" t="b">
        <f>Consulta1[[#This Row],[TETO_COMERCIAL_%]]=Consulta1[[#This Row],[TAXA]]</f>
        <v>0</v>
      </c>
      <c r="V149" t="str">
        <f>CONCATENATE(Consulta1[[#This Row],[MES_ALTERACAO]],Consulta1[[#This Row],[VIRADA]])</f>
        <v>2026057</v>
      </c>
      <c r="W149">
        <f>VLOOKUP(Consulta1[[#This Row],[Coluna2]],CALENDARIO!$J:$K,2,FALSE)</f>
        <v>4</v>
      </c>
    </row>
    <row r="150" spans="1:23" x14ac:dyDescent="0.25">
      <c r="A150" t="s">
        <v>3836</v>
      </c>
      <c r="B150" t="str">
        <f>CONCATENATE(Consulta1[[#This Row],[id]],Consulta1[[#This Row],[EMPREGADOR]])</f>
        <v>8GOV GOIAS PORT</v>
      </c>
      <c r="C150" s="6">
        <f>IF(A150=A149,C149+1,1)</f>
        <v>8</v>
      </c>
      <c r="D150" t="s">
        <v>3859</v>
      </c>
      <c r="E150" s="101">
        <v>0.02</v>
      </c>
      <c r="F150" s="6">
        <v>120</v>
      </c>
      <c r="G150" t="s">
        <v>1349</v>
      </c>
      <c r="H150" s="82">
        <v>2.5</v>
      </c>
      <c r="I150">
        <v>28</v>
      </c>
      <c r="K150" t="s">
        <v>3860</v>
      </c>
      <c r="L150" s="6" t="s">
        <v>1407</v>
      </c>
      <c r="M150" s="6">
        <v>7</v>
      </c>
      <c r="N150" s="6">
        <v>2</v>
      </c>
      <c r="O150">
        <v>500</v>
      </c>
      <c r="P150">
        <v>202605</v>
      </c>
      <c r="Q150" t="s">
        <v>377</v>
      </c>
      <c r="R150" t="s">
        <v>1350</v>
      </c>
      <c r="S150">
        <f>Consulta1[[#This Row],[min_port]]/100</f>
        <v>1.49E-2</v>
      </c>
      <c r="T150" s="252">
        <f>Consulta1[[#This Row],[TETO_COMERCIAL]]/100</f>
        <v>2.5000000000000001E-2</v>
      </c>
      <c r="U150" t="b">
        <f>Consulta1[[#This Row],[TETO_COMERCIAL_%]]=Consulta1[[#This Row],[TAXA]]</f>
        <v>0</v>
      </c>
      <c r="V150" t="str">
        <f>CONCATENATE(Consulta1[[#This Row],[MES_ALTERACAO]],Consulta1[[#This Row],[VIRADA]])</f>
        <v>2026057</v>
      </c>
      <c r="W150">
        <f>VLOOKUP(Consulta1[[#This Row],[Coluna2]],CALENDARIO!$J:$K,2,FALSE)</f>
        <v>4</v>
      </c>
    </row>
    <row r="151" spans="1:23" x14ac:dyDescent="0.25">
      <c r="A151" t="s">
        <v>3836</v>
      </c>
      <c r="B151" t="str">
        <f>CONCATENATE(Consulta1[[#This Row],[id]],Consulta1[[#This Row],[EMPREGADOR]])</f>
        <v>9GOV GOIAS PORT</v>
      </c>
      <c r="C151" s="6">
        <f>IF(A151=A150,C150+1,1)</f>
        <v>9</v>
      </c>
      <c r="D151" t="s">
        <v>3861</v>
      </c>
      <c r="E151" s="101">
        <v>1.95E-2</v>
      </c>
      <c r="F151" s="6">
        <v>120</v>
      </c>
      <c r="G151" t="s">
        <v>1349</v>
      </c>
      <c r="H151" s="82">
        <v>2.5</v>
      </c>
      <c r="I151">
        <v>28</v>
      </c>
      <c r="K151" t="s">
        <v>3862</v>
      </c>
      <c r="L151" s="6" t="s">
        <v>1407</v>
      </c>
      <c r="M151" s="6">
        <v>7</v>
      </c>
      <c r="N151" s="6">
        <v>2</v>
      </c>
      <c r="O151">
        <v>500</v>
      </c>
      <c r="P151">
        <v>202605</v>
      </c>
      <c r="Q151" t="s">
        <v>377</v>
      </c>
      <c r="R151" t="s">
        <v>1350</v>
      </c>
      <c r="S151">
        <f>Consulta1[[#This Row],[min_port]]/100</f>
        <v>1.49E-2</v>
      </c>
      <c r="T151" s="252">
        <f>Consulta1[[#This Row],[TETO_COMERCIAL]]/100</f>
        <v>2.5000000000000001E-2</v>
      </c>
      <c r="U151" t="b">
        <f>Consulta1[[#This Row],[TETO_COMERCIAL_%]]=Consulta1[[#This Row],[TAXA]]</f>
        <v>0</v>
      </c>
      <c r="V151" t="str">
        <f>CONCATENATE(Consulta1[[#This Row],[MES_ALTERACAO]],Consulta1[[#This Row],[VIRADA]])</f>
        <v>2026057</v>
      </c>
      <c r="W151">
        <f>VLOOKUP(Consulta1[[#This Row],[Coluna2]],CALENDARIO!$J:$K,2,FALSE)</f>
        <v>4</v>
      </c>
    </row>
    <row r="152" spans="1:23" x14ac:dyDescent="0.25">
      <c r="A152" t="s">
        <v>3836</v>
      </c>
      <c r="B152" t="str">
        <f>CONCATENATE(Consulta1[[#This Row],[id]],Consulta1[[#This Row],[EMPREGADOR]])</f>
        <v>10GOV GOIAS PORT</v>
      </c>
      <c r="C152" s="6">
        <f>IF(A152=A151,C151+1,1)</f>
        <v>10</v>
      </c>
      <c r="D152" t="s">
        <v>3863</v>
      </c>
      <c r="E152" s="101">
        <v>1.9E-2</v>
      </c>
      <c r="F152" s="6">
        <v>120</v>
      </c>
      <c r="G152" t="s">
        <v>1349</v>
      </c>
      <c r="H152" s="82">
        <v>2.5</v>
      </c>
      <c r="I152">
        <v>28</v>
      </c>
      <c r="K152" t="s">
        <v>3864</v>
      </c>
      <c r="L152" s="6" t="s">
        <v>1407</v>
      </c>
      <c r="M152" s="6">
        <v>7</v>
      </c>
      <c r="N152" s="6">
        <v>2</v>
      </c>
      <c r="O152">
        <v>500</v>
      </c>
      <c r="P152">
        <v>202605</v>
      </c>
      <c r="Q152" t="s">
        <v>377</v>
      </c>
      <c r="R152" t="s">
        <v>1350</v>
      </c>
      <c r="S152">
        <f>Consulta1[[#This Row],[min_port]]/100</f>
        <v>1.49E-2</v>
      </c>
      <c r="T152" s="252">
        <f>Consulta1[[#This Row],[TETO_COMERCIAL]]/100</f>
        <v>2.5000000000000001E-2</v>
      </c>
      <c r="U152" t="b">
        <f>Consulta1[[#This Row],[TETO_COMERCIAL_%]]=Consulta1[[#This Row],[TAXA]]</f>
        <v>0</v>
      </c>
      <c r="V152" t="str">
        <f>CONCATENATE(Consulta1[[#This Row],[MES_ALTERACAO]],Consulta1[[#This Row],[VIRADA]])</f>
        <v>2026057</v>
      </c>
      <c r="W152">
        <f>VLOOKUP(Consulta1[[#This Row],[Coluna2]],CALENDARIO!$J:$K,2,FALSE)</f>
        <v>4</v>
      </c>
    </row>
    <row r="153" spans="1:23" x14ac:dyDescent="0.25">
      <c r="A153" t="s">
        <v>3836</v>
      </c>
      <c r="B153" t="str">
        <f>CONCATENATE(Consulta1[[#This Row],[id]],Consulta1[[#This Row],[EMPREGADOR]])</f>
        <v>11GOV GOIAS PORT</v>
      </c>
      <c r="C153" s="6">
        <f>IF(A153=A152,C152+1,1)</f>
        <v>11</v>
      </c>
      <c r="D153" t="s">
        <v>3865</v>
      </c>
      <c r="E153" s="101">
        <v>1.8600000000000002E-2</v>
      </c>
      <c r="F153" s="6">
        <v>120</v>
      </c>
      <c r="G153" t="s">
        <v>1349</v>
      </c>
      <c r="H153" s="82">
        <v>2.5</v>
      </c>
      <c r="I153">
        <v>28</v>
      </c>
      <c r="K153" t="s">
        <v>3866</v>
      </c>
      <c r="L153" s="6" t="s">
        <v>1407</v>
      </c>
      <c r="M153" s="6">
        <v>7</v>
      </c>
      <c r="N153" s="6">
        <v>2</v>
      </c>
      <c r="O153">
        <v>500</v>
      </c>
      <c r="P153">
        <v>202605</v>
      </c>
      <c r="Q153" t="s">
        <v>377</v>
      </c>
      <c r="R153" t="s">
        <v>1350</v>
      </c>
      <c r="S153">
        <f>Consulta1[[#This Row],[min_port]]/100</f>
        <v>1.49E-2</v>
      </c>
      <c r="T153" s="252">
        <f>Consulta1[[#This Row],[TETO_COMERCIAL]]/100</f>
        <v>2.5000000000000001E-2</v>
      </c>
      <c r="U153" t="b">
        <f>Consulta1[[#This Row],[TETO_COMERCIAL_%]]=Consulta1[[#This Row],[TAXA]]</f>
        <v>0</v>
      </c>
      <c r="V153" t="str">
        <f>CONCATENATE(Consulta1[[#This Row],[MES_ALTERACAO]],Consulta1[[#This Row],[VIRADA]])</f>
        <v>2026057</v>
      </c>
      <c r="W153">
        <f>VLOOKUP(Consulta1[[#This Row],[Coluna2]],CALENDARIO!$J:$K,2,FALSE)</f>
        <v>4</v>
      </c>
    </row>
    <row r="154" spans="1:23" x14ac:dyDescent="0.25">
      <c r="A154" t="s">
        <v>3836</v>
      </c>
      <c r="B154" t="str">
        <f>CONCATENATE(Consulta1[[#This Row],[id]],Consulta1[[#This Row],[EMPREGADOR]])</f>
        <v>12GOV GOIAS PORT</v>
      </c>
      <c r="C154" s="6">
        <f>IF(A154=A153,C153+1,1)</f>
        <v>12</v>
      </c>
      <c r="D154" t="s">
        <v>3867</v>
      </c>
      <c r="E154" s="101">
        <v>1.83E-2</v>
      </c>
      <c r="F154" s="6">
        <v>120</v>
      </c>
      <c r="G154" t="s">
        <v>1349</v>
      </c>
      <c r="H154" s="82">
        <v>2.5</v>
      </c>
      <c r="I154">
        <v>28</v>
      </c>
      <c r="K154" t="s">
        <v>3868</v>
      </c>
      <c r="L154" s="6" t="s">
        <v>1407</v>
      </c>
      <c r="M154" s="6">
        <v>7</v>
      </c>
      <c r="N154" s="6">
        <v>2</v>
      </c>
      <c r="O154">
        <v>50000</v>
      </c>
      <c r="P154">
        <v>202605</v>
      </c>
      <c r="Q154" t="s">
        <v>377</v>
      </c>
      <c r="R154" t="s">
        <v>1350</v>
      </c>
      <c r="S154">
        <f>Consulta1[[#This Row],[min_port]]/100</f>
        <v>1.49E-2</v>
      </c>
      <c r="T154" s="252">
        <f>Consulta1[[#This Row],[TETO_COMERCIAL]]/100</f>
        <v>2.5000000000000001E-2</v>
      </c>
      <c r="U154" t="b">
        <f>Consulta1[[#This Row],[TETO_COMERCIAL_%]]=Consulta1[[#This Row],[TAXA]]</f>
        <v>0</v>
      </c>
      <c r="V154" t="str">
        <f>CONCATENATE(Consulta1[[#This Row],[MES_ALTERACAO]],Consulta1[[#This Row],[VIRADA]])</f>
        <v>2026057</v>
      </c>
      <c r="W154">
        <f>VLOOKUP(Consulta1[[#This Row],[Coluna2]],CALENDARIO!$J:$K,2,FALSE)</f>
        <v>4</v>
      </c>
    </row>
    <row r="155" spans="1:23" x14ac:dyDescent="0.25">
      <c r="A155" t="s">
        <v>3869</v>
      </c>
      <c r="B155" t="str">
        <f>CONCATENATE(Consulta1[[#This Row],[id]],Consulta1[[#This Row],[EMPREGADOR]])</f>
        <v>1GOV GOIAS PORT CLT</v>
      </c>
      <c r="C155" s="6">
        <f>IF(A155=A154,C154+1,1)</f>
        <v>1</v>
      </c>
      <c r="D155" t="s">
        <v>3870</v>
      </c>
      <c r="E155" s="101">
        <v>2.5000000000000001E-2</v>
      </c>
      <c r="F155" s="6">
        <v>120</v>
      </c>
      <c r="G155" t="s">
        <v>1349</v>
      </c>
      <c r="H155" s="82">
        <v>2.5</v>
      </c>
      <c r="I155">
        <v>28</v>
      </c>
      <c r="K155" t="s">
        <v>3871</v>
      </c>
      <c r="L155" s="6" t="s">
        <v>1407</v>
      </c>
      <c r="M155" s="6">
        <v>7</v>
      </c>
      <c r="N155" s="6">
        <v>2</v>
      </c>
      <c r="O155">
        <v>500</v>
      </c>
      <c r="P155">
        <v>202605</v>
      </c>
      <c r="Q155" t="s">
        <v>377</v>
      </c>
      <c r="R155" t="s">
        <v>1350</v>
      </c>
      <c r="S155">
        <f>Consulta1[[#This Row],[min_port]]/100</f>
        <v>1.49E-2</v>
      </c>
      <c r="T155" s="252">
        <f>Consulta1[[#This Row],[TETO_COMERCIAL]]/100</f>
        <v>2.5000000000000001E-2</v>
      </c>
      <c r="U155" t="b">
        <f>Consulta1[[#This Row],[TETO_COMERCIAL_%]]=Consulta1[[#This Row],[TAXA]]</f>
        <v>1</v>
      </c>
      <c r="V155" t="str">
        <f>CONCATENATE(Consulta1[[#This Row],[MES_ALTERACAO]],Consulta1[[#This Row],[VIRADA]])</f>
        <v>2026057</v>
      </c>
      <c r="W155">
        <f>VLOOKUP(Consulta1[[#This Row],[Coluna2]],CALENDARIO!$J:$K,2,FALSE)</f>
        <v>4</v>
      </c>
    </row>
    <row r="156" spans="1:23" x14ac:dyDescent="0.25">
      <c r="A156" t="s">
        <v>3869</v>
      </c>
      <c r="B156" t="str">
        <f>CONCATENATE(Consulta1[[#This Row],[id]],Consulta1[[#This Row],[EMPREGADOR]])</f>
        <v>2GOV GOIAS PORT CLT</v>
      </c>
      <c r="C156" s="6">
        <f>IF(A156=A155,C155+1,1)</f>
        <v>2</v>
      </c>
      <c r="D156" t="s">
        <v>3872</v>
      </c>
      <c r="E156" s="101">
        <v>2.3E-2</v>
      </c>
      <c r="F156" s="6">
        <v>120</v>
      </c>
      <c r="G156" t="s">
        <v>1349</v>
      </c>
      <c r="H156" s="82">
        <v>2.5</v>
      </c>
      <c r="I156">
        <v>28</v>
      </c>
      <c r="K156" t="s">
        <v>3873</v>
      </c>
      <c r="L156" s="6" t="s">
        <v>1407</v>
      </c>
      <c r="M156" s="6">
        <v>7</v>
      </c>
      <c r="N156" s="6">
        <v>2</v>
      </c>
      <c r="O156">
        <v>500</v>
      </c>
      <c r="P156">
        <v>202605</v>
      </c>
      <c r="Q156" t="s">
        <v>377</v>
      </c>
      <c r="R156" t="s">
        <v>1350</v>
      </c>
      <c r="S156">
        <f>Consulta1[[#This Row],[min_port]]/100</f>
        <v>1.49E-2</v>
      </c>
      <c r="T156" s="252">
        <f>Consulta1[[#This Row],[TETO_COMERCIAL]]/100</f>
        <v>2.5000000000000001E-2</v>
      </c>
      <c r="U156" t="b">
        <f>Consulta1[[#This Row],[TETO_COMERCIAL_%]]=Consulta1[[#This Row],[TAXA]]</f>
        <v>0</v>
      </c>
      <c r="V156" t="str">
        <f>CONCATENATE(Consulta1[[#This Row],[MES_ALTERACAO]],Consulta1[[#This Row],[VIRADA]])</f>
        <v>2026057</v>
      </c>
      <c r="W156">
        <f>VLOOKUP(Consulta1[[#This Row],[Coluna2]],CALENDARIO!$J:$K,2,FALSE)</f>
        <v>4</v>
      </c>
    </row>
    <row r="157" spans="1:23" x14ac:dyDescent="0.25">
      <c r="A157" t="s">
        <v>3869</v>
      </c>
      <c r="B157" t="str">
        <f>CONCATENATE(Consulta1[[#This Row],[id]],Consulta1[[#This Row],[EMPREGADOR]])</f>
        <v>3GOV GOIAS PORT CLT</v>
      </c>
      <c r="C157" s="6">
        <f>IF(A157=A156,C156+1,1)</f>
        <v>3</v>
      </c>
      <c r="D157" t="s">
        <v>3874</v>
      </c>
      <c r="E157" s="101">
        <v>2.2499999999999999E-2</v>
      </c>
      <c r="F157" s="6">
        <v>120</v>
      </c>
      <c r="G157" t="s">
        <v>1349</v>
      </c>
      <c r="H157" s="82">
        <v>2.5</v>
      </c>
      <c r="I157">
        <v>28</v>
      </c>
      <c r="K157" t="s">
        <v>3875</v>
      </c>
      <c r="L157" s="6" t="s">
        <v>1407</v>
      </c>
      <c r="M157" s="6">
        <v>7</v>
      </c>
      <c r="N157" s="6">
        <v>2</v>
      </c>
      <c r="O157">
        <v>500</v>
      </c>
      <c r="P157">
        <v>202605</v>
      </c>
      <c r="Q157" t="s">
        <v>377</v>
      </c>
      <c r="R157" t="s">
        <v>1350</v>
      </c>
      <c r="S157">
        <f>Consulta1[[#This Row],[min_port]]/100</f>
        <v>1.49E-2</v>
      </c>
      <c r="T157" s="252">
        <f>Consulta1[[#This Row],[TETO_COMERCIAL]]/100</f>
        <v>2.5000000000000001E-2</v>
      </c>
      <c r="U157" t="b">
        <f>Consulta1[[#This Row],[TETO_COMERCIAL_%]]=Consulta1[[#This Row],[TAXA]]</f>
        <v>0</v>
      </c>
      <c r="V157" t="str">
        <f>CONCATENATE(Consulta1[[#This Row],[MES_ALTERACAO]],Consulta1[[#This Row],[VIRADA]])</f>
        <v>2026057</v>
      </c>
      <c r="W157">
        <f>VLOOKUP(Consulta1[[#This Row],[Coluna2]],CALENDARIO!$J:$K,2,FALSE)</f>
        <v>4</v>
      </c>
    </row>
    <row r="158" spans="1:23" x14ac:dyDescent="0.25">
      <c r="A158" t="s">
        <v>3869</v>
      </c>
      <c r="B158" t="str">
        <f>CONCATENATE(Consulta1[[#This Row],[id]],Consulta1[[#This Row],[EMPREGADOR]])</f>
        <v>4GOV GOIAS PORT CLT</v>
      </c>
      <c r="C158" s="6">
        <f>IF(A158=A157,C157+1,1)</f>
        <v>4</v>
      </c>
      <c r="D158" t="s">
        <v>3876</v>
      </c>
      <c r="E158" s="101">
        <v>2.2000000000000002E-2</v>
      </c>
      <c r="F158" s="6">
        <v>120</v>
      </c>
      <c r="G158" t="s">
        <v>1349</v>
      </c>
      <c r="H158" s="82">
        <v>2.5</v>
      </c>
      <c r="I158">
        <v>28</v>
      </c>
      <c r="K158" t="s">
        <v>3877</v>
      </c>
      <c r="L158" s="6" t="s">
        <v>1407</v>
      </c>
      <c r="M158" s="6">
        <v>7</v>
      </c>
      <c r="N158" s="6">
        <v>2</v>
      </c>
      <c r="O158">
        <v>500</v>
      </c>
      <c r="P158">
        <v>202605</v>
      </c>
      <c r="Q158" t="s">
        <v>377</v>
      </c>
      <c r="R158" t="s">
        <v>1350</v>
      </c>
      <c r="S158">
        <f>Consulta1[[#This Row],[min_port]]/100</f>
        <v>1.49E-2</v>
      </c>
      <c r="T158" s="252">
        <f>Consulta1[[#This Row],[TETO_COMERCIAL]]/100</f>
        <v>2.5000000000000001E-2</v>
      </c>
      <c r="U158" t="b">
        <f>Consulta1[[#This Row],[TETO_COMERCIAL_%]]=Consulta1[[#This Row],[TAXA]]</f>
        <v>0</v>
      </c>
      <c r="V158" t="str">
        <f>CONCATENATE(Consulta1[[#This Row],[MES_ALTERACAO]],Consulta1[[#This Row],[VIRADA]])</f>
        <v>2026057</v>
      </c>
      <c r="W158">
        <f>VLOOKUP(Consulta1[[#This Row],[Coluna2]],CALENDARIO!$J:$K,2,FALSE)</f>
        <v>4</v>
      </c>
    </row>
    <row r="159" spans="1:23" x14ac:dyDescent="0.25">
      <c r="A159" t="s">
        <v>3869</v>
      </c>
      <c r="B159" t="str">
        <f>CONCATENATE(Consulta1[[#This Row],[id]],Consulta1[[#This Row],[EMPREGADOR]])</f>
        <v>5GOV GOIAS PORT CLT</v>
      </c>
      <c r="C159" s="6">
        <f>IF(A159=A158,C158+1,1)</f>
        <v>5</v>
      </c>
      <c r="D159" t="s">
        <v>3878</v>
      </c>
      <c r="E159" s="101">
        <v>2.1499999999999998E-2</v>
      </c>
      <c r="F159" s="6">
        <v>120</v>
      </c>
      <c r="G159" t="s">
        <v>1349</v>
      </c>
      <c r="H159" s="82">
        <v>2.5</v>
      </c>
      <c r="I159">
        <v>28</v>
      </c>
      <c r="K159" t="s">
        <v>3879</v>
      </c>
      <c r="L159" s="6" t="s">
        <v>1407</v>
      </c>
      <c r="M159" s="6">
        <v>7</v>
      </c>
      <c r="N159" s="6">
        <v>2</v>
      </c>
      <c r="O159">
        <v>500</v>
      </c>
      <c r="P159">
        <v>202605</v>
      </c>
      <c r="Q159" t="s">
        <v>377</v>
      </c>
      <c r="R159" t="s">
        <v>1350</v>
      </c>
      <c r="S159">
        <f>Consulta1[[#This Row],[min_port]]/100</f>
        <v>1.49E-2</v>
      </c>
      <c r="T159" s="252">
        <f>Consulta1[[#This Row],[TETO_COMERCIAL]]/100</f>
        <v>2.5000000000000001E-2</v>
      </c>
      <c r="U159" t="b">
        <f>Consulta1[[#This Row],[TETO_COMERCIAL_%]]=Consulta1[[#This Row],[TAXA]]</f>
        <v>0</v>
      </c>
      <c r="V159" t="str">
        <f>CONCATENATE(Consulta1[[#This Row],[MES_ALTERACAO]],Consulta1[[#This Row],[VIRADA]])</f>
        <v>2026057</v>
      </c>
      <c r="W159">
        <f>VLOOKUP(Consulta1[[#This Row],[Coluna2]],CALENDARIO!$J:$K,2,FALSE)</f>
        <v>4</v>
      </c>
    </row>
    <row r="160" spans="1:23" x14ac:dyDescent="0.25">
      <c r="A160" t="s">
        <v>3869</v>
      </c>
      <c r="B160" t="str">
        <f>CONCATENATE(Consulta1[[#This Row],[id]],Consulta1[[#This Row],[EMPREGADOR]])</f>
        <v>6GOV GOIAS PORT CLT</v>
      </c>
      <c r="C160" s="6">
        <f>IF(A160=A159,C159+1,1)</f>
        <v>6</v>
      </c>
      <c r="D160" t="s">
        <v>3880</v>
      </c>
      <c r="E160" s="101">
        <v>2.1000000000000001E-2</v>
      </c>
      <c r="F160" s="6">
        <v>120</v>
      </c>
      <c r="G160" t="s">
        <v>1349</v>
      </c>
      <c r="H160" s="82">
        <v>2.5</v>
      </c>
      <c r="I160">
        <v>28</v>
      </c>
      <c r="K160" t="s">
        <v>3881</v>
      </c>
      <c r="L160" s="6" t="s">
        <v>1407</v>
      </c>
      <c r="M160" s="6">
        <v>7</v>
      </c>
      <c r="N160" s="6">
        <v>2</v>
      </c>
      <c r="O160">
        <v>500</v>
      </c>
      <c r="P160">
        <v>202605</v>
      </c>
      <c r="Q160" t="s">
        <v>377</v>
      </c>
      <c r="R160" t="s">
        <v>1350</v>
      </c>
      <c r="S160">
        <f>Consulta1[[#This Row],[min_port]]/100</f>
        <v>1.49E-2</v>
      </c>
      <c r="T160" s="252">
        <f>Consulta1[[#This Row],[TETO_COMERCIAL]]/100</f>
        <v>2.5000000000000001E-2</v>
      </c>
      <c r="U160" t="b">
        <f>Consulta1[[#This Row],[TETO_COMERCIAL_%]]=Consulta1[[#This Row],[TAXA]]</f>
        <v>0</v>
      </c>
      <c r="V160" t="str">
        <f>CONCATENATE(Consulta1[[#This Row],[MES_ALTERACAO]],Consulta1[[#This Row],[VIRADA]])</f>
        <v>2026057</v>
      </c>
      <c r="W160">
        <f>VLOOKUP(Consulta1[[#This Row],[Coluna2]],CALENDARIO!$J:$K,2,FALSE)</f>
        <v>4</v>
      </c>
    </row>
    <row r="161" spans="1:23" x14ac:dyDescent="0.25">
      <c r="A161" t="s">
        <v>3869</v>
      </c>
      <c r="B161" t="str">
        <f>CONCATENATE(Consulta1[[#This Row],[id]],Consulta1[[#This Row],[EMPREGADOR]])</f>
        <v>7GOV GOIAS PORT CLT</v>
      </c>
      <c r="C161" s="6">
        <f>IF(A161=A160,C160+1,1)</f>
        <v>7</v>
      </c>
      <c r="D161" t="s">
        <v>3882</v>
      </c>
      <c r="E161" s="101">
        <v>2.0499999999999997E-2</v>
      </c>
      <c r="F161" s="6">
        <v>120</v>
      </c>
      <c r="G161" t="s">
        <v>1349</v>
      </c>
      <c r="H161" s="82">
        <v>2.5</v>
      </c>
      <c r="I161">
        <v>28</v>
      </c>
      <c r="K161" t="s">
        <v>3883</v>
      </c>
      <c r="L161" s="6" t="s">
        <v>1407</v>
      </c>
      <c r="M161" s="6">
        <v>7</v>
      </c>
      <c r="N161" s="6">
        <v>2</v>
      </c>
      <c r="O161">
        <v>500</v>
      </c>
      <c r="P161">
        <v>202605</v>
      </c>
      <c r="Q161" t="s">
        <v>377</v>
      </c>
      <c r="R161" t="s">
        <v>1350</v>
      </c>
      <c r="S161">
        <f>Consulta1[[#This Row],[min_port]]/100</f>
        <v>1.49E-2</v>
      </c>
      <c r="T161" s="252">
        <f>Consulta1[[#This Row],[TETO_COMERCIAL]]/100</f>
        <v>2.5000000000000001E-2</v>
      </c>
      <c r="U161" t="b">
        <f>Consulta1[[#This Row],[TETO_COMERCIAL_%]]=Consulta1[[#This Row],[TAXA]]</f>
        <v>0</v>
      </c>
      <c r="V161" t="str">
        <f>CONCATENATE(Consulta1[[#This Row],[MES_ALTERACAO]],Consulta1[[#This Row],[VIRADA]])</f>
        <v>2026057</v>
      </c>
      <c r="W161">
        <f>VLOOKUP(Consulta1[[#This Row],[Coluna2]],CALENDARIO!$J:$K,2,FALSE)</f>
        <v>4</v>
      </c>
    </row>
    <row r="162" spans="1:23" x14ac:dyDescent="0.25">
      <c r="A162" t="s">
        <v>3869</v>
      </c>
      <c r="B162" t="str">
        <f>CONCATENATE(Consulta1[[#This Row],[id]],Consulta1[[#This Row],[EMPREGADOR]])</f>
        <v>8GOV GOIAS PORT CLT</v>
      </c>
      <c r="C162" s="6">
        <f>IF(A162=A161,C161+1,1)</f>
        <v>8</v>
      </c>
      <c r="D162" t="s">
        <v>3884</v>
      </c>
      <c r="E162" s="101">
        <v>0.02</v>
      </c>
      <c r="F162" s="6">
        <v>120</v>
      </c>
      <c r="G162" t="s">
        <v>1349</v>
      </c>
      <c r="H162" s="82">
        <v>2.5</v>
      </c>
      <c r="I162">
        <v>28</v>
      </c>
      <c r="K162" t="s">
        <v>3885</v>
      </c>
      <c r="L162" s="6" t="s">
        <v>1407</v>
      </c>
      <c r="M162" s="6">
        <v>7</v>
      </c>
      <c r="N162" s="6">
        <v>2</v>
      </c>
      <c r="O162">
        <v>500</v>
      </c>
      <c r="P162">
        <v>202605</v>
      </c>
      <c r="Q162" t="s">
        <v>377</v>
      </c>
      <c r="R162" t="s">
        <v>1350</v>
      </c>
      <c r="S162">
        <f>Consulta1[[#This Row],[min_port]]/100</f>
        <v>1.49E-2</v>
      </c>
      <c r="T162" s="252">
        <f>Consulta1[[#This Row],[TETO_COMERCIAL]]/100</f>
        <v>2.5000000000000001E-2</v>
      </c>
      <c r="U162" t="b">
        <f>Consulta1[[#This Row],[TETO_COMERCIAL_%]]=Consulta1[[#This Row],[TAXA]]</f>
        <v>0</v>
      </c>
      <c r="V162" t="str">
        <f>CONCATENATE(Consulta1[[#This Row],[MES_ALTERACAO]],Consulta1[[#This Row],[VIRADA]])</f>
        <v>2026057</v>
      </c>
      <c r="W162">
        <f>VLOOKUP(Consulta1[[#This Row],[Coluna2]],CALENDARIO!$J:$K,2,FALSE)</f>
        <v>4</v>
      </c>
    </row>
    <row r="163" spans="1:23" x14ac:dyDescent="0.25">
      <c r="A163" t="s">
        <v>3869</v>
      </c>
      <c r="B163" t="str">
        <f>CONCATENATE(Consulta1[[#This Row],[id]],Consulta1[[#This Row],[EMPREGADOR]])</f>
        <v>9GOV GOIAS PORT CLT</v>
      </c>
      <c r="C163" s="6">
        <f>IF(A163=A162,C162+1,1)</f>
        <v>9</v>
      </c>
      <c r="D163" t="s">
        <v>3886</v>
      </c>
      <c r="E163" s="101">
        <v>1.95E-2</v>
      </c>
      <c r="F163" s="6">
        <v>120</v>
      </c>
      <c r="G163" t="s">
        <v>1349</v>
      </c>
      <c r="H163" s="82">
        <v>2.5</v>
      </c>
      <c r="I163">
        <v>28</v>
      </c>
      <c r="K163" t="s">
        <v>3887</v>
      </c>
      <c r="L163" s="6" t="s">
        <v>1407</v>
      </c>
      <c r="M163" s="6">
        <v>7</v>
      </c>
      <c r="N163" s="6">
        <v>2</v>
      </c>
      <c r="O163">
        <v>500</v>
      </c>
      <c r="P163">
        <v>202605</v>
      </c>
      <c r="Q163" t="s">
        <v>377</v>
      </c>
      <c r="R163" t="s">
        <v>1350</v>
      </c>
      <c r="S163">
        <f>Consulta1[[#This Row],[min_port]]/100</f>
        <v>1.49E-2</v>
      </c>
      <c r="T163" s="252">
        <f>Consulta1[[#This Row],[TETO_COMERCIAL]]/100</f>
        <v>2.5000000000000001E-2</v>
      </c>
      <c r="U163" t="b">
        <f>Consulta1[[#This Row],[TETO_COMERCIAL_%]]=Consulta1[[#This Row],[TAXA]]</f>
        <v>0</v>
      </c>
      <c r="V163" t="str">
        <f>CONCATENATE(Consulta1[[#This Row],[MES_ALTERACAO]],Consulta1[[#This Row],[VIRADA]])</f>
        <v>2026057</v>
      </c>
      <c r="W163">
        <f>VLOOKUP(Consulta1[[#This Row],[Coluna2]],CALENDARIO!$J:$K,2,FALSE)</f>
        <v>4</v>
      </c>
    </row>
    <row r="164" spans="1:23" x14ac:dyDescent="0.25">
      <c r="A164" t="s">
        <v>3869</v>
      </c>
      <c r="B164" t="str">
        <f>CONCATENATE(Consulta1[[#This Row],[id]],Consulta1[[#This Row],[EMPREGADOR]])</f>
        <v>10GOV GOIAS PORT CLT</v>
      </c>
      <c r="C164" s="6">
        <f>IF(A164=A163,C163+1,1)</f>
        <v>10</v>
      </c>
      <c r="D164" t="s">
        <v>3888</v>
      </c>
      <c r="E164" s="101">
        <v>1.9E-2</v>
      </c>
      <c r="F164" s="6">
        <v>120</v>
      </c>
      <c r="G164" t="s">
        <v>1349</v>
      </c>
      <c r="H164" s="82">
        <v>2.5</v>
      </c>
      <c r="I164">
        <v>28</v>
      </c>
      <c r="K164" t="s">
        <v>3889</v>
      </c>
      <c r="L164" s="6" t="s">
        <v>1407</v>
      </c>
      <c r="M164" s="6">
        <v>7</v>
      </c>
      <c r="N164" s="6">
        <v>2</v>
      </c>
      <c r="O164">
        <v>500</v>
      </c>
      <c r="P164">
        <v>202605</v>
      </c>
      <c r="Q164" t="s">
        <v>377</v>
      </c>
      <c r="R164" t="s">
        <v>1350</v>
      </c>
      <c r="S164">
        <f>Consulta1[[#This Row],[min_port]]/100</f>
        <v>1.49E-2</v>
      </c>
      <c r="T164" s="252">
        <f>Consulta1[[#This Row],[TETO_COMERCIAL]]/100</f>
        <v>2.5000000000000001E-2</v>
      </c>
      <c r="U164" t="b">
        <f>Consulta1[[#This Row],[TETO_COMERCIAL_%]]=Consulta1[[#This Row],[TAXA]]</f>
        <v>0</v>
      </c>
      <c r="V164" t="str">
        <f>CONCATENATE(Consulta1[[#This Row],[MES_ALTERACAO]],Consulta1[[#This Row],[VIRADA]])</f>
        <v>2026057</v>
      </c>
      <c r="W164">
        <f>VLOOKUP(Consulta1[[#This Row],[Coluna2]],CALENDARIO!$J:$K,2,FALSE)</f>
        <v>4</v>
      </c>
    </row>
    <row r="165" spans="1:23" x14ac:dyDescent="0.25">
      <c r="A165" t="s">
        <v>3869</v>
      </c>
      <c r="B165" t="str">
        <f>CONCATENATE(Consulta1[[#This Row],[id]],Consulta1[[#This Row],[EMPREGADOR]])</f>
        <v>11GOV GOIAS PORT CLT</v>
      </c>
      <c r="C165" s="6">
        <f>IF(A165=A164,C164+1,1)</f>
        <v>11</v>
      </c>
      <c r="D165" t="s">
        <v>3890</v>
      </c>
      <c r="E165" s="101">
        <v>1.8600000000000002E-2</v>
      </c>
      <c r="F165" s="6">
        <v>120</v>
      </c>
      <c r="G165" t="s">
        <v>1349</v>
      </c>
      <c r="H165" s="82">
        <v>2.5</v>
      </c>
      <c r="I165">
        <v>28</v>
      </c>
      <c r="K165" t="s">
        <v>3891</v>
      </c>
      <c r="L165" s="6" t="s">
        <v>1407</v>
      </c>
      <c r="M165" s="6">
        <v>7</v>
      </c>
      <c r="N165" s="6">
        <v>2</v>
      </c>
      <c r="O165">
        <v>500</v>
      </c>
      <c r="P165">
        <v>202605</v>
      </c>
      <c r="Q165" t="s">
        <v>377</v>
      </c>
      <c r="R165" t="s">
        <v>1350</v>
      </c>
      <c r="S165">
        <f>Consulta1[[#This Row],[min_port]]/100</f>
        <v>1.49E-2</v>
      </c>
      <c r="T165" s="252">
        <f>Consulta1[[#This Row],[TETO_COMERCIAL]]/100</f>
        <v>2.5000000000000001E-2</v>
      </c>
      <c r="U165" t="b">
        <f>Consulta1[[#This Row],[TETO_COMERCIAL_%]]=Consulta1[[#This Row],[TAXA]]</f>
        <v>0</v>
      </c>
      <c r="V165" t="str">
        <f>CONCATENATE(Consulta1[[#This Row],[MES_ALTERACAO]],Consulta1[[#This Row],[VIRADA]])</f>
        <v>2026057</v>
      </c>
      <c r="W165">
        <f>VLOOKUP(Consulta1[[#This Row],[Coluna2]],CALENDARIO!$J:$K,2,FALSE)</f>
        <v>4</v>
      </c>
    </row>
    <row r="166" spans="1:23" x14ac:dyDescent="0.25">
      <c r="A166" t="s">
        <v>3869</v>
      </c>
      <c r="B166" t="str">
        <f>CONCATENATE(Consulta1[[#This Row],[id]],Consulta1[[#This Row],[EMPREGADOR]])</f>
        <v>12GOV GOIAS PORT CLT</v>
      </c>
      <c r="C166" s="6">
        <f>IF(A166=A165,C165+1,1)</f>
        <v>12</v>
      </c>
      <c r="D166" t="s">
        <v>3892</v>
      </c>
      <c r="E166" s="101">
        <v>1.83E-2</v>
      </c>
      <c r="F166" s="6">
        <v>120</v>
      </c>
      <c r="G166" t="s">
        <v>1349</v>
      </c>
      <c r="H166" s="82">
        <v>2.5</v>
      </c>
      <c r="I166">
        <v>28</v>
      </c>
      <c r="K166" t="s">
        <v>3893</v>
      </c>
      <c r="L166" s="6" t="s">
        <v>1407</v>
      </c>
      <c r="M166" s="6">
        <v>7</v>
      </c>
      <c r="N166" s="6">
        <v>2</v>
      </c>
      <c r="O166">
        <v>50000</v>
      </c>
      <c r="P166">
        <v>202605</v>
      </c>
      <c r="Q166" t="s">
        <v>377</v>
      </c>
      <c r="R166" t="s">
        <v>1350</v>
      </c>
      <c r="S166">
        <f>Consulta1[[#This Row],[min_port]]/100</f>
        <v>1.49E-2</v>
      </c>
      <c r="T166" s="252">
        <f>Consulta1[[#This Row],[TETO_COMERCIAL]]/100</f>
        <v>2.5000000000000001E-2</v>
      </c>
      <c r="U166" t="b">
        <f>Consulta1[[#This Row],[TETO_COMERCIAL_%]]=Consulta1[[#This Row],[TAXA]]</f>
        <v>0</v>
      </c>
      <c r="V166" t="str">
        <f>CONCATENATE(Consulta1[[#This Row],[MES_ALTERACAO]],Consulta1[[#This Row],[VIRADA]])</f>
        <v>2026057</v>
      </c>
      <c r="W166">
        <f>VLOOKUP(Consulta1[[#This Row],[Coluna2]],CALENDARIO!$J:$K,2,FALSE)</f>
        <v>4</v>
      </c>
    </row>
    <row r="167" spans="1:23" x14ac:dyDescent="0.25">
      <c r="A167" t="s">
        <v>215</v>
      </c>
      <c r="B167" t="str">
        <f>CONCATENATE(Consulta1[[#This Row],[id]],Consulta1[[#This Row],[EMPREGADOR]])</f>
        <v>1GOV MA AOL</v>
      </c>
      <c r="C167" s="6">
        <f>IF(A167=A166,C166+1,1)</f>
        <v>1</v>
      </c>
      <c r="D167" t="s">
        <v>3285</v>
      </c>
      <c r="E167" s="101">
        <v>2.5000000000000001E-2</v>
      </c>
      <c r="F167" s="6">
        <v>120</v>
      </c>
      <c r="G167" t="s">
        <v>1349</v>
      </c>
      <c r="H167" s="82">
        <v>2.5</v>
      </c>
      <c r="I167">
        <v>15</v>
      </c>
      <c r="J167">
        <v>60</v>
      </c>
      <c r="K167" t="s">
        <v>3286</v>
      </c>
      <c r="L167" s="6" t="s">
        <v>1381</v>
      </c>
      <c r="M167" s="6">
        <v>28</v>
      </c>
      <c r="N167" s="6">
        <v>2</v>
      </c>
      <c r="O167">
        <v>500</v>
      </c>
      <c r="P167">
        <v>202605</v>
      </c>
      <c r="Q167" t="s">
        <v>377</v>
      </c>
      <c r="R167" t="s">
        <v>1353</v>
      </c>
      <c r="S167">
        <f>Consulta1[[#This Row],[min_port]]/100</f>
        <v>1.3999999999999999E-2</v>
      </c>
      <c r="T167" s="252">
        <f>Consulta1[[#This Row],[TETO_COMERCIAL]]/100</f>
        <v>2.5000000000000001E-2</v>
      </c>
      <c r="U167" t="b">
        <f>Consulta1[[#This Row],[TETO_COMERCIAL_%]]=Consulta1[[#This Row],[TAXA]]</f>
        <v>1</v>
      </c>
      <c r="V167" t="str">
        <f>CONCATENATE(Consulta1[[#This Row],[MES_ALTERACAO]],Consulta1[[#This Row],[VIRADA]])</f>
        <v>20260528</v>
      </c>
      <c r="W167">
        <f>VLOOKUP(Consulta1[[#This Row],[Coluna2]],CALENDARIO!$J:$K,2,FALSE)</f>
        <v>19</v>
      </c>
    </row>
    <row r="168" spans="1:23" x14ac:dyDescent="0.25">
      <c r="A168" t="s">
        <v>215</v>
      </c>
      <c r="B168" t="str">
        <f>CONCATENATE(Consulta1[[#This Row],[id]],Consulta1[[#This Row],[EMPREGADOR]])</f>
        <v>2GOV MA AOL</v>
      </c>
      <c r="C168" s="6">
        <f>IF(A168=A167,C167+1,1)</f>
        <v>2</v>
      </c>
      <c r="D168" t="s">
        <v>3287</v>
      </c>
      <c r="E168" s="101">
        <v>2.4E-2</v>
      </c>
      <c r="F168" s="6">
        <v>120</v>
      </c>
      <c r="G168" t="s">
        <v>1349</v>
      </c>
      <c r="H168" s="82">
        <v>2.5</v>
      </c>
      <c r="I168">
        <v>15</v>
      </c>
      <c r="J168">
        <v>60</v>
      </c>
      <c r="K168" t="s">
        <v>3288</v>
      </c>
      <c r="L168" s="6" t="s">
        <v>1381</v>
      </c>
      <c r="M168" s="6">
        <v>28</v>
      </c>
      <c r="N168" s="6">
        <v>2</v>
      </c>
      <c r="O168">
        <v>500</v>
      </c>
      <c r="P168">
        <v>202605</v>
      </c>
      <c r="Q168" t="s">
        <v>377</v>
      </c>
      <c r="R168" t="s">
        <v>1353</v>
      </c>
      <c r="S168">
        <f>Consulta1[[#This Row],[min_port]]/100</f>
        <v>1.3999999999999999E-2</v>
      </c>
      <c r="T168" s="252">
        <f>Consulta1[[#This Row],[TETO_COMERCIAL]]/100</f>
        <v>2.5000000000000001E-2</v>
      </c>
      <c r="U168" t="b">
        <f>Consulta1[[#This Row],[TETO_COMERCIAL_%]]=Consulta1[[#This Row],[TAXA]]</f>
        <v>0</v>
      </c>
      <c r="V168" t="str">
        <f>CONCATENATE(Consulta1[[#This Row],[MES_ALTERACAO]],Consulta1[[#This Row],[VIRADA]])</f>
        <v>20260528</v>
      </c>
      <c r="W168">
        <f>VLOOKUP(Consulta1[[#This Row],[Coluna2]],CALENDARIO!$J:$K,2,FALSE)</f>
        <v>19</v>
      </c>
    </row>
    <row r="169" spans="1:23" x14ac:dyDescent="0.25">
      <c r="A169" t="s">
        <v>215</v>
      </c>
      <c r="B169" t="str">
        <f>CONCATENATE(Consulta1[[#This Row],[id]],Consulta1[[#This Row],[EMPREGADOR]])</f>
        <v>3GOV MA AOL</v>
      </c>
      <c r="C169" s="6">
        <f>IF(A169=A168,C168+1,1)</f>
        <v>3</v>
      </c>
      <c r="D169" t="s">
        <v>3289</v>
      </c>
      <c r="E169" s="101">
        <v>2.3E-2</v>
      </c>
      <c r="F169" s="6">
        <v>120</v>
      </c>
      <c r="G169" t="s">
        <v>1349</v>
      </c>
      <c r="H169" s="82">
        <v>2.5</v>
      </c>
      <c r="I169">
        <v>15</v>
      </c>
      <c r="J169">
        <v>60</v>
      </c>
      <c r="K169" t="s">
        <v>3290</v>
      </c>
      <c r="L169" s="6" t="s">
        <v>1381</v>
      </c>
      <c r="M169" s="6">
        <v>28</v>
      </c>
      <c r="N169" s="6">
        <v>2</v>
      </c>
      <c r="O169">
        <v>500</v>
      </c>
      <c r="P169">
        <v>202605</v>
      </c>
      <c r="Q169" t="s">
        <v>377</v>
      </c>
      <c r="R169" t="s">
        <v>1353</v>
      </c>
      <c r="S169">
        <f>Consulta1[[#This Row],[min_port]]/100</f>
        <v>1.3999999999999999E-2</v>
      </c>
      <c r="T169" s="252">
        <f>Consulta1[[#This Row],[TETO_COMERCIAL]]/100</f>
        <v>2.5000000000000001E-2</v>
      </c>
      <c r="U169" t="b">
        <f>Consulta1[[#This Row],[TETO_COMERCIAL_%]]=Consulta1[[#This Row],[TAXA]]</f>
        <v>0</v>
      </c>
      <c r="V169" t="str">
        <f>CONCATENATE(Consulta1[[#This Row],[MES_ALTERACAO]],Consulta1[[#This Row],[VIRADA]])</f>
        <v>20260528</v>
      </c>
      <c r="W169">
        <f>VLOOKUP(Consulta1[[#This Row],[Coluna2]],CALENDARIO!$J:$K,2,FALSE)</f>
        <v>19</v>
      </c>
    </row>
    <row r="170" spans="1:23" x14ac:dyDescent="0.25">
      <c r="A170" t="s">
        <v>215</v>
      </c>
      <c r="B170" t="str">
        <f>CONCATENATE(Consulta1[[#This Row],[id]],Consulta1[[#This Row],[EMPREGADOR]])</f>
        <v>4GOV MA AOL</v>
      </c>
      <c r="C170" s="6">
        <f>IF(A170=A169,C169+1,1)</f>
        <v>4</v>
      </c>
      <c r="D170" t="s">
        <v>3291</v>
      </c>
      <c r="E170" s="101">
        <v>2.2000000000000002E-2</v>
      </c>
      <c r="F170" s="6">
        <v>120</v>
      </c>
      <c r="G170" t="s">
        <v>1349</v>
      </c>
      <c r="H170" s="82">
        <v>2.5</v>
      </c>
      <c r="I170">
        <v>15</v>
      </c>
      <c r="J170">
        <v>60</v>
      </c>
      <c r="K170" t="s">
        <v>3292</v>
      </c>
      <c r="L170" s="6" t="s">
        <v>1381</v>
      </c>
      <c r="M170" s="6">
        <v>28</v>
      </c>
      <c r="N170" s="6">
        <v>2</v>
      </c>
      <c r="O170">
        <v>500</v>
      </c>
      <c r="P170">
        <v>202605</v>
      </c>
      <c r="Q170" t="s">
        <v>377</v>
      </c>
      <c r="R170" t="s">
        <v>1353</v>
      </c>
      <c r="S170">
        <f>Consulta1[[#This Row],[min_port]]/100</f>
        <v>1.3999999999999999E-2</v>
      </c>
      <c r="T170" s="252">
        <f>Consulta1[[#This Row],[TETO_COMERCIAL]]/100</f>
        <v>2.5000000000000001E-2</v>
      </c>
      <c r="U170" t="b">
        <f>Consulta1[[#This Row],[TETO_COMERCIAL_%]]=Consulta1[[#This Row],[TAXA]]</f>
        <v>0</v>
      </c>
      <c r="V170" t="str">
        <f>CONCATENATE(Consulta1[[#This Row],[MES_ALTERACAO]],Consulta1[[#This Row],[VIRADA]])</f>
        <v>20260528</v>
      </c>
      <c r="W170">
        <f>VLOOKUP(Consulta1[[#This Row],[Coluna2]],CALENDARIO!$J:$K,2,FALSE)</f>
        <v>19</v>
      </c>
    </row>
    <row r="171" spans="1:23" x14ac:dyDescent="0.25">
      <c r="A171" t="s">
        <v>215</v>
      </c>
      <c r="B171" t="str">
        <f>CONCATENATE(Consulta1[[#This Row],[id]],Consulta1[[#This Row],[EMPREGADOR]])</f>
        <v>5GOV MA AOL</v>
      </c>
      <c r="C171" s="6">
        <f>IF(A171=A170,C170+1,1)</f>
        <v>5</v>
      </c>
      <c r="D171" t="s">
        <v>3293</v>
      </c>
      <c r="E171" s="101">
        <v>2.1000000000000001E-2</v>
      </c>
      <c r="F171" s="6">
        <v>120</v>
      </c>
      <c r="G171" t="s">
        <v>1349</v>
      </c>
      <c r="H171" s="82">
        <v>2.5</v>
      </c>
      <c r="I171">
        <v>15</v>
      </c>
      <c r="J171">
        <v>60</v>
      </c>
      <c r="K171" t="s">
        <v>3294</v>
      </c>
      <c r="L171" s="6" t="s">
        <v>1381</v>
      </c>
      <c r="M171" s="6">
        <v>28</v>
      </c>
      <c r="N171" s="6">
        <v>2</v>
      </c>
      <c r="O171">
        <v>500</v>
      </c>
      <c r="P171">
        <v>202605</v>
      </c>
      <c r="Q171" t="s">
        <v>377</v>
      </c>
      <c r="R171" t="s">
        <v>1353</v>
      </c>
      <c r="S171">
        <f>Consulta1[[#This Row],[min_port]]/100</f>
        <v>1.3999999999999999E-2</v>
      </c>
      <c r="T171" s="252">
        <f>Consulta1[[#This Row],[TETO_COMERCIAL]]/100</f>
        <v>2.5000000000000001E-2</v>
      </c>
      <c r="U171" t="b">
        <f>Consulta1[[#This Row],[TETO_COMERCIAL_%]]=Consulta1[[#This Row],[TAXA]]</f>
        <v>0</v>
      </c>
      <c r="V171" t="str">
        <f>CONCATENATE(Consulta1[[#This Row],[MES_ALTERACAO]],Consulta1[[#This Row],[VIRADA]])</f>
        <v>20260528</v>
      </c>
      <c r="W171">
        <f>VLOOKUP(Consulta1[[#This Row],[Coluna2]],CALENDARIO!$J:$K,2,FALSE)</f>
        <v>19</v>
      </c>
    </row>
    <row r="172" spans="1:23" x14ac:dyDescent="0.25">
      <c r="A172" t="s">
        <v>215</v>
      </c>
      <c r="B172" t="str">
        <f>CONCATENATE(Consulta1[[#This Row],[id]],Consulta1[[#This Row],[EMPREGADOR]])</f>
        <v>6GOV MA AOL</v>
      </c>
      <c r="C172" s="6">
        <f>IF(A172=A171,C171+1,1)</f>
        <v>6</v>
      </c>
      <c r="D172" t="s">
        <v>3295</v>
      </c>
      <c r="E172" s="101">
        <v>2.0299999999999999E-2</v>
      </c>
      <c r="F172" s="6">
        <v>120</v>
      </c>
      <c r="G172" t="s">
        <v>1349</v>
      </c>
      <c r="H172" s="82">
        <v>2.5</v>
      </c>
      <c r="I172">
        <v>15</v>
      </c>
      <c r="J172">
        <v>60</v>
      </c>
      <c r="K172" t="s">
        <v>3296</v>
      </c>
      <c r="L172" s="6" t="s">
        <v>1381</v>
      </c>
      <c r="M172" s="6">
        <v>28</v>
      </c>
      <c r="N172" s="6">
        <v>2</v>
      </c>
      <c r="O172">
        <v>500</v>
      </c>
      <c r="P172">
        <v>202605</v>
      </c>
      <c r="Q172" t="s">
        <v>377</v>
      </c>
      <c r="R172" t="s">
        <v>1353</v>
      </c>
      <c r="S172">
        <f>Consulta1[[#This Row],[min_port]]/100</f>
        <v>1.3999999999999999E-2</v>
      </c>
      <c r="T172" s="252">
        <f>Consulta1[[#This Row],[TETO_COMERCIAL]]/100</f>
        <v>2.5000000000000001E-2</v>
      </c>
      <c r="U172" t="b">
        <f>Consulta1[[#This Row],[TETO_COMERCIAL_%]]=Consulta1[[#This Row],[TAXA]]</f>
        <v>0</v>
      </c>
      <c r="V172" t="str">
        <f>CONCATENATE(Consulta1[[#This Row],[MES_ALTERACAO]],Consulta1[[#This Row],[VIRADA]])</f>
        <v>20260528</v>
      </c>
      <c r="W172">
        <f>VLOOKUP(Consulta1[[#This Row],[Coluna2]],CALENDARIO!$J:$K,2,FALSE)</f>
        <v>19</v>
      </c>
    </row>
    <row r="173" spans="1:23" x14ac:dyDescent="0.25">
      <c r="A173" t="s">
        <v>215</v>
      </c>
      <c r="B173" t="str">
        <f>CONCATENATE(Consulta1[[#This Row],[id]],Consulta1[[#This Row],[EMPREGADOR]])</f>
        <v>7GOV MA AOL</v>
      </c>
      <c r="C173" s="6">
        <f>IF(A173=A172,C172+1,1)</f>
        <v>7</v>
      </c>
      <c r="D173" t="s">
        <v>3297</v>
      </c>
      <c r="E173" s="101">
        <v>1.8000000000000002E-2</v>
      </c>
      <c r="F173" s="6">
        <v>120</v>
      </c>
      <c r="G173" t="s">
        <v>1349</v>
      </c>
      <c r="H173" s="82">
        <v>2.5</v>
      </c>
      <c r="I173">
        <v>15</v>
      </c>
      <c r="J173">
        <v>60</v>
      </c>
      <c r="K173" t="s">
        <v>3298</v>
      </c>
      <c r="L173" s="6" t="s">
        <v>1381</v>
      </c>
      <c r="M173" s="6">
        <v>28</v>
      </c>
      <c r="N173" s="6">
        <v>2</v>
      </c>
      <c r="O173">
        <v>30000</v>
      </c>
      <c r="P173">
        <v>202605</v>
      </c>
      <c r="Q173" t="s">
        <v>377</v>
      </c>
      <c r="R173" t="s">
        <v>1353</v>
      </c>
      <c r="S173">
        <f>Consulta1[[#This Row],[min_port]]/100</f>
        <v>1.3999999999999999E-2</v>
      </c>
      <c r="T173" s="252">
        <f>Consulta1[[#This Row],[TETO_COMERCIAL]]/100</f>
        <v>2.5000000000000001E-2</v>
      </c>
      <c r="U173" t="b">
        <f>Consulta1[[#This Row],[TETO_COMERCIAL_%]]=Consulta1[[#This Row],[TAXA]]</f>
        <v>0</v>
      </c>
      <c r="V173" t="str">
        <f>CONCATENATE(Consulta1[[#This Row],[MES_ALTERACAO]],Consulta1[[#This Row],[VIRADA]])</f>
        <v>20260528</v>
      </c>
      <c r="W173">
        <f>VLOOKUP(Consulta1[[#This Row],[Coluna2]],CALENDARIO!$J:$K,2,FALSE)</f>
        <v>19</v>
      </c>
    </row>
    <row r="174" spans="1:23" x14ac:dyDescent="0.25">
      <c r="A174" t="s">
        <v>215</v>
      </c>
      <c r="B174" t="str">
        <f>CONCATENATE(Consulta1[[#This Row],[id]],Consulta1[[#This Row],[EMPREGADOR]])</f>
        <v>8GOV MA AOL</v>
      </c>
      <c r="C174" s="6">
        <f>IF(A174=A173,C173+1,1)</f>
        <v>8</v>
      </c>
      <c r="D174" t="s">
        <v>3299</v>
      </c>
      <c r="E174" s="101">
        <v>1.7399999999999999E-2</v>
      </c>
      <c r="F174" s="6">
        <v>120</v>
      </c>
      <c r="G174" t="s">
        <v>1349</v>
      </c>
      <c r="H174" s="82">
        <v>2.5</v>
      </c>
      <c r="I174">
        <v>15</v>
      </c>
      <c r="J174">
        <v>60</v>
      </c>
      <c r="K174" t="s">
        <v>3300</v>
      </c>
      <c r="L174" s="6" t="s">
        <v>1381</v>
      </c>
      <c r="M174" s="6">
        <v>28</v>
      </c>
      <c r="N174" s="6">
        <v>2</v>
      </c>
      <c r="O174">
        <v>50000</v>
      </c>
      <c r="P174">
        <v>202605</v>
      </c>
      <c r="Q174" t="s">
        <v>377</v>
      </c>
      <c r="R174" t="s">
        <v>1353</v>
      </c>
      <c r="S174">
        <f>Consulta1[[#This Row],[min_port]]/100</f>
        <v>1.3999999999999999E-2</v>
      </c>
      <c r="T174" s="252">
        <f>Consulta1[[#This Row],[TETO_COMERCIAL]]/100</f>
        <v>2.5000000000000001E-2</v>
      </c>
      <c r="U174" t="b">
        <f>Consulta1[[#This Row],[TETO_COMERCIAL_%]]=Consulta1[[#This Row],[TAXA]]</f>
        <v>0</v>
      </c>
      <c r="V174" t="str">
        <f>CONCATENATE(Consulta1[[#This Row],[MES_ALTERACAO]],Consulta1[[#This Row],[VIRADA]])</f>
        <v>20260528</v>
      </c>
      <c r="W174">
        <f>VLOOKUP(Consulta1[[#This Row],[Coluna2]],CALENDARIO!$J:$K,2,FALSE)</f>
        <v>19</v>
      </c>
    </row>
    <row r="175" spans="1:23" x14ac:dyDescent="0.25">
      <c r="A175" t="s">
        <v>3002</v>
      </c>
      <c r="B175" t="str">
        <f>CONCATENATE(Consulta1[[#This Row],[id]],Consulta1[[#This Row],[EMPREGADOR]])</f>
        <v>1GOV MG BOMBEIRO</v>
      </c>
      <c r="C175" s="6">
        <f>IF(A175=A174,C174+1,1)</f>
        <v>1</v>
      </c>
      <c r="D175" t="s">
        <v>2645</v>
      </c>
      <c r="E175" s="101">
        <v>2.5000000000000001E-2</v>
      </c>
      <c r="F175" s="6">
        <v>120</v>
      </c>
      <c r="G175" t="s">
        <v>1349</v>
      </c>
      <c r="H175" s="82">
        <v>2.5</v>
      </c>
      <c r="I175">
        <v>7</v>
      </c>
      <c r="K175" t="s">
        <v>2646</v>
      </c>
      <c r="L175" s="6" t="s">
        <v>1605</v>
      </c>
      <c r="M175" s="6">
        <v>31</v>
      </c>
      <c r="N175" s="6">
        <v>2</v>
      </c>
      <c r="O175">
        <v>500</v>
      </c>
      <c r="P175">
        <v>202605</v>
      </c>
      <c r="Q175" t="s">
        <v>377</v>
      </c>
      <c r="R175" t="s">
        <v>1353</v>
      </c>
      <c r="S175">
        <f>Consulta1[[#This Row],[min_port]]/100</f>
        <v>1.43E-2</v>
      </c>
      <c r="T175" s="252">
        <f>Consulta1[[#This Row],[TETO_COMERCIAL]]/100</f>
        <v>2.5000000000000001E-2</v>
      </c>
      <c r="U175" t="b">
        <f>Consulta1[[#This Row],[TETO_COMERCIAL_%]]=Consulta1[[#This Row],[TAXA]]</f>
        <v>1</v>
      </c>
      <c r="V175" t="str">
        <f>CONCATENATE(Consulta1[[#This Row],[MES_ALTERACAO]],Consulta1[[#This Row],[VIRADA]])</f>
        <v>20260531</v>
      </c>
      <c r="W175">
        <f>VLOOKUP(Consulta1[[#This Row],[Coluna2]],CALENDARIO!$J:$K,2,FALSE)</f>
        <v>20</v>
      </c>
    </row>
    <row r="176" spans="1:23" x14ac:dyDescent="0.25">
      <c r="A176" t="s">
        <v>3002</v>
      </c>
      <c r="B176" t="str">
        <f>CONCATENATE(Consulta1[[#This Row],[id]],Consulta1[[#This Row],[EMPREGADOR]])</f>
        <v>2GOV MG BOMBEIRO</v>
      </c>
      <c r="C176" s="6">
        <f>IF(A176=A175,C175+1,1)</f>
        <v>2</v>
      </c>
      <c r="D176" t="s">
        <v>2647</v>
      </c>
      <c r="E176" s="101">
        <v>2.2499999999999999E-2</v>
      </c>
      <c r="F176" s="6">
        <v>120</v>
      </c>
      <c r="G176" t="s">
        <v>1349</v>
      </c>
      <c r="H176" s="82">
        <v>2.5</v>
      </c>
      <c r="I176">
        <v>7</v>
      </c>
      <c r="J176">
        <v>61</v>
      </c>
      <c r="K176" t="s">
        <v>2648</v>
      </c>
      <c r="L176" s="6" t="s">
        <v>1605</v>
      </c>
      <c r="M176" s="6">
        <v>31</v>
      </c>
      <c r="N176" s="6">
        <v>2</v>
      </c>
      <c r="O176">
        <v>500</v>
      </c>
      <c r="P176">
        <v>202605</v>
      </c>
      <c r="Q176" t="s">
        <v>377</v>
      </c>
      <c r="R176" t="s">
        <v>1353</v>
      </c>
      <c r="S176">
        <f>Consulta1[[#This Row],[min_port]]/100</f>
        <v>1.43E-2</v>
      </c>
      <c r="T176" s="252">
        <f>Consulta1[[#This Row],[TETO_COMERCIAL]]/100</f>
        <v>2.5000000000000001E-2</v>
      </c>
      <c r="U176" t="b">
        <f>Consulta1[[#This Row],[TETO_COMERCIAL_%]]=Consulta1[[#This Row],[TAXA]]</f>
        <v>0</v>
      </c>
      <c r="V176" t="str">
        <f>CONCATENATE(Consulta1[[#This Row],[MES_ALTERACAO]],Consulta1[[#This Row],[VIRADA]])</f>
        <v>20260531</v>
      </c>
      <c r="W176">
        <f>VLOOKUP(Consulta1[[#This Row],[Coluna2]],CALENDARIO!$J:$K,2,FALSE)</f>
        <v>20</v>
      </c>
    </row>
    <row r="177" spans="1:23" x14ac:dyDescent="0.25">
      <c r="A177" t="s">
        <v>3002</v>
      </c>
      <c r="B177" t="str">
        <f>CONCATENATE(Consulta1[[#This Row],[id]],Consulta1[[#This Row],[EMPREGADOR]])</f>
        <v>3GOV MG BOMBEIRO</v>
      </c>
      <c r="C177" s="6">
        <f>IF(A177=A176,C176+1,1)</f>
        <v>3</v>
      </c>
      <c r="D177" t="s">
        <v>2649</v>
      </c>
      <c r="E177" s="101">
        <v>0.02</v>
      </c>
      <c r="F177" s="6">
        <v>120</v>
      </c>
      <c r="G177" t="s">
        <v>1349</v>
      </c>
      <c r="H177" s="82">
        <v>2.5</v>
      </c>
      <c r="I177">
        <v>7</v>
      </c>
      <c r="J177">
        <v>53</v>
      </c>
      <c r="K177" t="s">
        <v>2650</v>
      </c>
      <c r="L177" s="6" t="s">
        <v>1605</v>
      </c>
      <c r="M177" s="6">
        <v>31</v>
      </c>
      <c r="N177" s="6">
        <v>2</v>
      </c>
      <c r="O177">
        <v>500</v>
      </c>
      <c r="P177">
        <v>202605</v>
      </c>
      <c r="Q177" t="s">
        <v>377</v>
      </c>
      <c r="R177" t="s">
        <v>1353</v>
      </c>
      <c r="S177">
        <f>Consulta1[[#This Row],[min_port]]/100</f>
        <v>1.43E-2</v>
      </c>
      <c r="T177" s="252">
        <f>Consulta1[[#This Row],[TETO_COMERCIAL]]/100</f>
        <v>2.5000000000000001E-2</v>
      </c>
      <c r="U177" t="b">
        <f>Consulta1[[#This Row],[TETO_COMERCIAL_%]]=Consulta1[[#This Row],[TAXA]]</f>
        <v>0</v>
      </c>
      <c r="V177" t="str">
        <f>CONCATENATE(Consulta1[[#This Row],[MES_ALTERACAO]],Consulta1[[#This Row],[VIRADA]])</f>
        <v>20260531</v>
      </c>
      <c r="W177">
        <f>VLOOKUP(Consulta1[[#This Row],[Coluna2]],CALENDARIO!$J:$K,2,FALSE)</f>
        <v>20</v>
      </c>
    </row>
    <row r="178" spans="1:23" x14ac:dyDescent="0.25">
      <c r="A178" t="s">
        <v>3002</v>
      </c>
      <c r="B178" t="str">
        <f>CONCATENATE(Consulta1[[#This Row],[id]],Consulta1[[#This Row],[EMPREGADOR]])</f>
        <v>4GOV MG BOMBEIRO</v>
      </c>
      <c r="C178" s="6">
        <f>IF(A178=A177,C177+1,1)</f>
        <v>4</v>
      </c>
      <c r="D178" t="s">
        <v>2651</v>
      </c>
      <c r="E178" s="101">
        <v>1.95E-2</v>
      </c>
      <c r="F178" s="6">
        <v>120</v>
      </c>
      <c r="G178" t="s">
        <v>1349</v>
      </c>
      <c r="H178" s="82">
        <v>2.5</v>
      </c>
      <c r="I178">
        <v>7</v>
      </c>
      <c r="J178">
        <v>55</v>
      </c>
      <c r="K178" t="s">
        <v>2652</v>
      </c>
      <c r="L178" s="6" t="s">
        <v>1605</v>
      </c>
      <c r="M178" s="6">
        <v>31</v>
      </c>
      <c r="N178" s="6">
        <v>2</v>
      </c>
      <c r="O178">
        <v>500</v>
      </c>
      <c r="P178">
        <v>202605</v>
      </c>
      <c r="Q178" t="s">
        <v>377</v>
      </c>
      <c r="R178" t="s">
        <v>1353</v>
      </c>
      <c r="S178">
        <f>Consulta1[[#This Row],[min_port]]/100</f>
        <v>1.43E-2</v>
      </c>
      <c r="T178" s="252">
        <f>Consulta1[[#This Row],[TETO_COMERCIAL]]/100</f>
        <v>2.5000000000000001E-2</v>
      </c>
      <c r="U178" t="b">
        <f>Consulta1[[#This Row],[TETO_COMERCIAL_%]]=Consulta1[[#This Row],[TAXA]]</f>
        <v>0</v>
      </c>
      <c r="V178" t="str">
        <f>CONCATENATE(Consulta1[[#This Row],[MES_ALTERACAO]],Consulta1[[#This Row],[VIRADA]])</f>
        <v>20260531</v>
      </c>
      <c r="W178">
        <f>VLOOKUP(Consulta1[[#This Row],[Coluna2]],CALENDARIO!$J:$K,2,FALSE)</f>
        <v>20</v>
      </c>
    </row>
    <row r="179" spans="1:23" x14ac:dyDescent="0.25">
      <c r="A179" t="s">
        <v>3002</v>
      </c>
      <c r="B179" t="str">
        <f>CONCATENATE(Consulta1[[#This Row],[id]],Consulta1[[#This Row],[EMPREGADOR]])</f>
        <v>5GOV MG BOMBEIRO</v>
      </c>
      <c r="C179" s="6">
        <f>IF(A179=A178,C178+1,1)</f>
        <v>5</v>
      </c>
      <c r="D179" t="s">
        <v>2653</v>
      </c>
      <c r="E179" s="101">
        <v>1.9E-2</v>
      </c>
      <c r="F179" s="6">
        <v>120</v>
      </c>
      <c r="G179" t="s">
        <v>1349</v>
      </c>
      <c r="H179" s="82">
        <v>2.5</v>
      </c>
      <c r="I179">
        <v>7</v>
      </c>
      <c r="J179">
        <v>54</v>
      </c>
      <c r="K179" t="s">
        <v>2654</v>
      </c>
      <c r="L179" s="6" t="s">
        <v>1605</v>
      </c>
      <c r="M179" s="6">
        <v>31</v>
      </c>
      <c r="N179" s="6">
        <v>2</v>
      </c>
      <c r="O179">
        <v>500</v>
      </c>
      <c r="P179">
        <v>202605</v>
      </c>
      <c r="Q179" t="s">
        <v>377</v>
      </c>
      <c r="R179" t="s">
        <v>1353</v>
      </c>
      <c r="S179">
        <f>Consulta1[[#This Row],[min_port]]/100</f>
        <v>1.43E-2</v>
      </c>
      <c r="T179" s="252">
        <f>Consulta1[[#This Row],[TETO_COMERCIAL]]/100</f>
        <v>2.5000000000000001E-2</v>
      </c>
      <c r="U179" t="b">
        <f>Consulta1[[#This Row],[TETO_COMERCIAL_%]]=Consulta1[[#This Row],[TAXA]]</f>
        <v>0</v>
      </c>
      <c r="V179" t="str">
        <f>CONCATENATE(Consulta1[[#This Row],[MES_ALTERACAO]],Consulta1[[#This Row],[VIRADA]])</f>
        <v>20260531</v>
      </c>
      <c r="W179">
        <f>VLOOKUP(Consulta1[[#This Row],[Coluna2]],CALENDARIO!$J:$K,2,FALSE)</f>
        <v>20</v>
      </c>
    </row>
    <row r="180" spans="1:23" x14ac:dyDescent="0.25">
      <c r="A180" t="s">
        <v>3002</v>
      </c>
      <c r="B180" t="str">
        <f>CONCATENATE(Consulta1[[#This Row],[id]],Consulta1[[#This Row],[EMPREGADOR]])</f>
        <v>6GOV MG BOMBEIRO</v>
      </c>
      <c r="C180" s="6">
        <f>IF(A180=A179,C179+1,1)</f>
        <v>6</v>
      </c>
      <c r="D180" t="s">
        <v>2655</v>
      </c>
      <c r="E180" s="101">
        <v>1.8500000000000003E-2</v>
      </c>
      <c r="F180" s="6">
        <v>120</v>
      </c>
      <c r="G180" t="s">
        <v>1349</v>
      </c>
      <c r="H180" s="82">
        <v>2.5</v>
      </c>
      <c r="I180">
        <v>7</v>
      </c>
      <c r="J180">
        <v>47</v>
      </c>
      <c r="K180" t="s">
        <v>2656</v>
      </c>
      <c r="L180" s="6" t="s">
        <v>1605</v>
      </c>
      <c r="M180" s="6">
        <v>31</v>
      </c>
      <c r="N180" s="6">
        <v>2</v>
      </c>
      <c r="O180">
        <v>500</v>
      </c>
      <c r="P180">
        <v>202605</v>
      </c>
      <c r="Q180" t="s">
        <v>377</v>
      </c>
      <c r="R180" t="s">
        <v>1353</v>
      </c>
      <c r="S180">
        <f>Consulta1[[#This Row],[min_port]]/100</f>
        <v>1.43E-2</v>
      </c>
      <c r="T180" s="252">
        <f>Consulta1[[#This Row],[TETO_COMERCIAL]]/100</f>
        <v>2.5000000000000001E-2</v>
      </c>
      <c r="U180" t="b">
        <f>Consulta1[[#This Row],[TETO_COMERCIAL_%]]=Consulta1[[#This Row],[TAXA]]</f>
        <v>0</v>
      </c>
      <c r="V180" t="str">
        <f>CONCATENATE(Consulta1[[#This Row],[MES_ALTERACAO]],Consulta1[[#This Row],[VIRADA]])</f>
        <v>20260531</v>
      </c>
      <c r="W180">
        <f>VLOOKUP(Consulta1[[#This Row],[Coluna2]],CALENDARIO!$J:$K,2,FALSE)</f>
        <v>20</v>
      </c>
    </row>
    <row r="181" spans="1:23" x14ac:dyDescent="0.25">
      <c r="A181" t="s">
        <v>3002</v>
      </c>
      <c r="B181" t="str">
        <f>CONCATENATE(Consulta1[[#This Row],[id]],Consulta1[[#This Row],[EMPREGADOR]])</f>
        <v>7GOV MG BOMBEIRO</v>
      </c>
      <c r="C181" s="6">
        <f>IF(A181=A180,C180+1,1)</f>
        <v>7</v>
      </c>
      <c r="D181" t="s">
        <v>2657</v>
      </c>
      <c r="E181" s="101">
        <v>1.8000000000000002E-2</v>
      </c>
      <c r="F181" s="6">
        <v>120</v>
      </c>
      <c r="G181" t="s">
        <v>1349</v>
      </c>
      <c r="H181" s="82">
        <v>2.5</v>
      </c>
      <c r="I181">
        <v>7</v>
      </c>
      <c r="J181">
        <v>51</v>
      </c>
      <c r="K181" t="s">
        <v>2658</v>
      </c>
      <c r="L181" s="6" t="s">
        <v>1605</v>
      </c>
      <c r="M181" s="6">
        <v>31</v>
      </c>
      <c r="N181" s="6">
        <v>2</v>
      </c>
      <c r="O181">
        <v>500</v>
      </c>
      <c r="P181">
        <v>202605</v>
      </c>
      <c r="Q181" t="s">
        <v>377</v>
      </c>
      <c r="R181" t="s">
        <v>1353</v>
      </c>
      <c r="S181">
        <f>Consulta1[[#This Row],[min_port]]/100</f>
        <v>1.43E-2</v>
      </c>
      <c r="T181" s="252">
        <f>Consulta1[[#This Row],[TETO_COMERCIAL]]/100</f>
        <v>2.5000000000000001E-2</v>
      </c>
      <c r="U181" t="b">
        <f>Consulta1[[#This Row],[TETO_COMERCIAL_%]]=Consulta1[[#This Row],[TAXA]]</f>
        <v>0</v>
      </c>
      <c r="V181" t="str">
        <f>CONCATENATE(Consulta1[[#This Row],[MES_ALTERACAO]],Consulta1[[#This Row],[VIRADA]])</f>
        <v>20260531</v>
      </c>
      <c r="W181">
        <f>VLOOKUP(Consulta1[[#This Row],[Coluna2]],CALENDARIO!$J:$K,2,FALSE)</f>
        <v>20</v>
      </c>
    </row>
    <row r="182" spans="1:23" x14ac:dyDescent="0.25">
      <c r="A182" t="s">
        <v>3002</v>
      </c>
      <c r="B182" t="str">
        <f>CONCATENATE(Consulta1[[#This Row],[id]],Consulta1[[#This Row],[EMPREGADOR]])</f>
        <v>8GOV MG BOMBEIRO</v>
      </c>
      <c r="C182" s="6">
        <f>IF(A182=A181,C181+1,1)</f>
        <v>8</v>
      </c>
      <c r="D182" t="s">
        <v>2659</v>
      </c>
      <c r="E182" s="101">
        <v>1.7500000000000002E-2</v>
      </c>
      <c r="F182" s="6">
        <v>120</v>
      </c>
      <c r="G182" t="s">
        <v>1349</v>
      </c>
      <c r="H182" s="82">
        <v>2.5</v>
      </c>
      <c r="I182">
        <v>7</v>
      </c>
      <c r="J182">
        <v>51</v>
      </c>
      <c r="K182" t="s">
        <v>2660</v>
      </c>
      <c r="L182" s="6" t="s">
        <v>1605</v>
      </c>
      <c r="M182" s="6">
        <v>31</v>
      </c>
      <c r="N182" s="6">
        <v>2</v>
      </c>
      <c r="O182">
        <v>500</v>
      </c>
      <c r="P182">
        <v>202605</v>
      </c>
      <c r="Q182" t="s">
        <v>377</v>
      </c>
      <c r="R182" t="s">
        <v>1353</v>
      </c>
      <c r="S182">
        <f>Consulta1[[#This Row],[min_port]]/100</f>
        <v>1.43E-2</v>
      </c>
      <c r="T182" s="252">
        <f>Consulta1[[#This Row],[TETO_COMERCIAL]]/100</f>
        <v>2.5000000000000001E-2</v>
      </c>
      <c r="U182" t="b">
        <f>Consulta1[[#This Row],[TETO_COMERCIAL_%]]=Consulta1[[#This Row],[TAXA]]</f>
        <v>0</v>
      </c>
      <c r="V182" t="str">
        <f>CONCATENATE(Consulta1[[#This Row],[MES_ALTERACAO]],Consulta1[[#This Row],[VIRADA]])</f>
        <v>20260531</v>
      </c>
      <c r="W182">
        <f>VLOOKUP(Consulta1[[#This Row],[Coluna2]],CALENDARIO!$J:$K,2,FALSE)</f>
        <v>20</v>
      </c>
    </row>
    <row r="183" spans="1:23" x14ac:dyDescent="0.25">
      <c r="A183" t="s">
        <v>3002</v>
      </c>
      <c r="B183" t="str">
        <f>CONCATENATE(Consulta1[[#This Row],[id]],Consulta1[[#This Row],[EMPREGADOR]])</f>
        <v>9GOV MG BOMBEIRO</v>
      </c>
      <c r="C183" s="6">
        <f>IF(A183=A182,C182+1,1)</f>
        <v>9</v>
      </c>
      <c r="D183" t="s">
        <v>2661</v>
      </c>
      <c r="E183" s="101">
        <v>1.7000000000000001E-2</v>
      </c>
      <c r="F183" s="6">
        <v>120</v>
      </c>
      <c r="G183" t="s">
        <v>1349</v>
      </c>
      <c r="H183" s="82">
        <v>2.5</v>
      </c>
      <c r="I183">
        <v>7</v>
      </c>
      <c r="J183">
        <v>54</v>
      </c>
      <c r="K183" t="s">
        <v>2662</v>
      </c>
      <c r="L183" s="6" t="s">
        <v>1605</v>
      </c>
      <c r="M183" s="6">
        <v>31</v>
      </c>
      <c r="N183" s="6">
        <v>2</v>
      </c>
      <c r="O183">
        <v>500</v>
      </c>
      <c r="P183">
        <v>202605</v>
      </c>
      <c r="Q183" t="s">
        <v>377</v>
      </c>
      <c r="R183" t="s">
        <v>1353</v>
      </c>
      <c r="S183">
        <f>Consulta1[[#This Row],[min_port]]/100</f>
        <v>1.43E-2</v>
      </c>
      <c r="T183" s="252">
        <f>Consulta1[[#This Row],[TETO_COMERCIAL]]/100</f>
        <v>2.5000000000000001E-2</v>
      </c>
      <c r="U183" t="b">
        <f>Consulta1[[#This Row],[TETO_COMERCIAL_%]]=Consulta1[[#This Row],[TAXA]]</f>
        <v>0</v>
      </c>
      <c r="V183" t="str">
        <f>CONCATENATE(Consulta1[[#This Row],[MES_ALTERACAO]],Consulta1[[#This Row],[VIRADA]])</f>
        <v>20260531</v>
      </c>
      <c r="W183">
        <f>VLOOKUP(Consulta1[[#This Row],[Coluna2]],CALENDARIO!$J:$K,2,FALSE)</f>
        <v>20</v>
      </c>
    </row>
    <row r="184" spans="1:23" x14ac:dyDescent="0.25">
      <c r="A184" t="s">
        <v>3002</v>
      </c>
      <c r="B184" t="str">
        <f>CONCATENATE(Consulta1[[#This Row],[id]],Consulta1[[#This Row],[EMPREGADOR]])</f>
        <v>10GOV MG BOMBEIRO</v>
      </c>
      <c r="C184" s="6">
        <f>IF(A184=A183,C183+1,1)</f>
        <v>10</v>
      </c>
      <c r="D184" t="s">
        <v>2663</v>
      </c>
      <c r="E184" s="101">
        <v>1.6500000000000001E-2</v>
      </c>
      <c r="F184" s="6">
        <v>120</v>
      </c>
      <c r="G184" t="s">
        <v>1349</v>
      </c>
      <c r="H184" s="82">
        <v>2.5</v>
      </c>
      <c r="I184">
        <v>7</v>
      </c>
      <c r="J184">
        <v>50</v>
      </c>
      <c r="K184" t="s">
        <v>2664</v>
      </c>
      <c r="L184" s="6" t="s">
        <v>1605</v>
      </c>
      <c r="M184" s="6">
        <v>31</v>
      </c>
      <c r="N184" s="6">
        <v>2</v>
      </c>
      <c r="O184">
        <v>500</v>
      </c>
      <c r="P184">
        <v>202605</v>
      </c>
      <c r="Q184" t="s">
        <v>377</v>
      </c>
      <c r="R184" t="s">
        <v>1353</v>
      </c>
      <c r="S184">
        <f>Consulta1[[#This Row],[min_port]]/100</f>
        <v>1.43E-2</v>
      </c>
      <c r="T184" s="252">
        <f>Consulta1[[#This Row],[TETO_COMERCIAL]]/100</f>
        <v>2.5000000000000001E-2</v>
      </c>
      <c r="U184" t="b">
        <f>Consulta1[[#This Row],[TETO_COMERCIAL_%]]=Consulta1[[#This Row],[TAXA]]</f>
        <v>0</v>
      </c>
      <c r="V184" t="str">
        <f>CONCATENATE(Consulta1[[#This Row],[MES_ALTERACAO]],Consulta1[[#This Row],[VIRADA]])</f>
        <v>20260531</v>
      </c>
      <c r="W184">
        <f>VLOOKUP(Consulta1[[#This Row],[Coluna2]],CALENDARIO!$J:$K,2,FALSE)</f>
        <v>20</v>
      </c>
    </row>
    <row r="185" spans="1:23" x14ac:dyDescent="0.25">
      <c r="A185" t="s">
        <v>3002</v>
      </c>
      <c r="B185" t="str">
        <f>CONCATENATE(Consulta1[[#This Row],[id]],Consulta1[[#This Row],[EMPREGADOR]])</f>
        <v>11GOV MG BOMBEIRO</v>
      </c>
      <c r="C185" s="6">
        <f>IF(A185=A184,C184+1,1)</f>
        <v>11</v>
      </c>
      <c r="D185" t="s">
        <v>2665</v>
      </c>
      <c r="E185" s="101">
        <v>1.6299999999999999E-2</v>
      </c>
      <c r="F185" s="6">
        <v>120</v>
      </c>
      <c r="G185" t="s">
        <v>1349</v>
      </c>
      <c r="H185" s="82">
        <v>2.5</v>
      </c>
      <c r="I185">
        <v>7</v>
      </c>
      <c r="J185">
        <v>49</v>
      </c>
      <c r="K185" t="s">
        <v>2666</v>
      </c>
      <c r="L185" s="6" t="s">
        <v>1605</v>
      </c>
      <c r="M185" s="6">
        <v>31</v>
      </c>
      <c r="N185" s="6">
        <v>2</v>
      </c>
      <c r="O185">
        <v>30000</v>
      </c>
      <c r="P185">
        <v>202605</v>
      </c>
      <c r="Q185" t="s">
        <v>377</v>
      </c>
      <c r="R185" t="s">
        <v>1353</v>
      </c>
      <c r="S185">
        <f>Consulta1[[#This Row],[min_port]]/100</f>
        <v>1.43E-2</v>
      </c>
      <c r="T185" s="252">
        <f>Consulta1[[#This Row],[TETO_COMERCIAL]]/100</f>
        <v>2.5000000000000001E-2</v>
      </c>
      <c r="U185" t="b">
        <f>Consulta1[[#This Row],[TETO_COMERCIAL_%]]=Consulta1[[#This Row],[TAXA]]</f>
        <v>0</v>
      </c>
      <c r="V185" t="str">
        <f>CONCATENATE(Consulta1[[#This Row],[MES_ALTERACAO]],Consulta1[[#This Row],[VIRADA]])</f>
        <v>20260531</v>
      </c>
      <c r="W185">
        <f>VLOOKUP(Consulta1[[#This Row],[Coluna2]],CALENDARIO!$J:$K,2,FALSE)</f>
        <v>20</v>
      </c>
    </row>
    <row r="186" spans="1:23" x14ac:dyDescent="0.25">
      <c r="A186" t="s">
        <v>3002</v>
      </c>
      <c r="B186" t="str">
        <f>CONCATENATE(Consulta1[[#This Row],[id]],Consulta1[[#This Row],[EMPREGADOR]])</f>
        <v>12GOV MG BOMBEIRO</v>
      </c>
      <c r="C186" s="6">
        <f>IF(A186=A185,C185+1,1)</f>
        <v>12</v>
      </c>
      <c r="D186" t="s">
        <v>2667</v>
      </c>
      <c r="E186" s="101">
        <v>1.61E-2</v>
      </c>
      <c r="F186" s="6">
        <v>120</v>
      </c>
      <c r="G186" t="s">
        <v>1349</v>
      </c>
      <c r="H186" s="82">
        <v>2.5</v>
      </c>
      <c r="I186">
        <v>7</v>
      </c>
      <c r="J186">
        <v>53</v>
      </c>
      <c r="K186" t="s">
        <v>2668</v>
      </c>
      <c r="L186" s="6" t="s">
        <v>1605</v>
      </c>
      <c r="M186" s="6">
        <v>31</v>
      </c>
      <c r="N186" s="6">
        <v>2</v>
      </c>
      <c r="O186">
        <v>50000</v>
      </c>
      <c r="P186">
        <v>202605</v>
      </c>
      <c r="Q186" t="s">
        <v>377</v>
      </c>
      <c r="R186" t="s">
        <v>1353</v>
      </c>
      <c r="S186">
        <f>Consulta1[[#This Row],[min_port]]/100</f>
        <v>1.43E-2</v>
      </c>
      <c r="T186" s="252">
        <f>Consulta1[[#This Row],[TETO_COMERCIAL]]/100</f>
        <v>2.5000000000000001E-2</v>
      </c>
      <c r="U186" t="b">
        <f>Consulta1[[#This Row],[TETO_COMERCIAL_%]]=Consulta1[[#This Row],[TAXA]]</f>
        <v>0</v>
      </c>
      <c r="V186" t="str">
        <f>CONCATENATE(Consulta1[[#This Row],[MES_ALTERACAO]],Consulta1[[#This Row],[VIRADA]])</f>
        <v>20260531</v>
      </c>
      <c r="W186">
        <f>VLOOKUP(Consulta1[[#This Row],[Coluna2]],CALENDARIO!$J:$K,2,FALSE)</f>
        <v>20</v>
      </c>
    </row>
    <row r="187" spans="1:23" x14ac:dyDescent="0.25">
      <c r="A187" t="s">
        <v>3003</v>
      </c>
      <c r="B187" t="str">
        <f>CONCATENATE(Consulta1[[#This Row],[id]],Consulta1[[#This Row],[EMPREGADOR]])</f>
        <v>1GOV MG IPSEMG</v>
      </c>
      <c r="C187" s="6">
        <f>IF(A187=A186,C186+1,1)</f>
        <v>1</v>
      </c>
      <c r="D187" t="s">
        <v>859</v>
      </c>
      <c r="E187" s="101">
        <v>2.5000000000000001E-2</v>
      </c>
      <c r="F187" s="6">
        <v>120</v>
      </c>
      <c r="G187" t="s">
        <v>1349</v>
      </c>
      <c r="H187" s="82">
        <v>2.5</v>
      </c>
      <c r="I187">
        <v>12</v>
      </c>
      <c r="J187">
        <v>39</v>
      </c>
      <c r="K187" t="s">
        <v>1528</v>
      </c>
      <c r="L187" s="6" t="s">
        <v>1371</v>
      </c>
      <c r="M187" s="6">
        <v>18</v>
      </c>
      <c r="N187" s="6">
        <v>2</v>
      </c>
      <c r="O187">
        <v>500</v>
      </c>
      <c r="P187">
        <v>202605</v>
      </c>
      <c r="Q187" t="s">
        <v>377</v>
      </c>
      <c r="R187" t="s">
        <v>1350</v>
      </c>
      <c r="S187">
        <f>Consulta1[[#This Row],[min_port]]/100</f>
        <v>1.4499999999999999E-2</v>
      </c>
      <c r="T187" s="252">
        <f>Consulta1[[#This Row],[TETO_COMERCIAL]]/100</f>
        <v>2.5000000000000001E-2</v>
      </c>
      <c r="U187" t="b">
        <f>Consulta1[[#This Row],[TETO_COMERCIAL_%]]=Consulta1[[#This Row],[TAXA]]</f>
        <v>1</v>
      </c>
      <c r="V187" t="str">
        <f>CONCATENATE(Consulta1[[#This Row],[MES_ALTERACAO]],Consulta1[[#This Row],[VIRADA]])</f>
        <v>20260518</v>
      </c>
      <c r="W187">
        <f>VLOOKUP(Consulta1[[#This Row],[Coluna2]],CALENDARIO!$J:$K,2,FALSE)</f>
        <v>11</v>
      </c>
    </row>
    <row r="188" spans="1:23" x14ac:dyDescent="0.25">
      <c r="A188" t="s">
        <v>3003</v>
      </c>
      <c r="B188" t="str">
        <f>CONCATENATE(Consulta1[[#This Row],[id]],Consulta1[[#This Row],[EMPREGADOR]])</f>
        <v>2GOV MG IPSEMG</v>
      </c>
      <c r="C188" s="6">
        <f>IF(A188=A187,C187+1,1)</f>
        <v>2</v>
      </c>
      <c r="D188" t="s">
        <v>860</v>
      </c>
      <c r="E188" s="101">
        <v>2.2499999999999999E-2</v>
      </c>
      <c r="F188" s="6">
        <v>120</v>
      </c>
      <c r="G188" t="s">
        <v>1349</v>
      </c>
      <c r="H188" s="82">
        <v>2.5</v>
      </c>
      <c r="I188">
        <v>12</v>
      </c>
      <c r="J188">
        <v>38</v>
      </c>
      <c r="K188" t="s">
        <v>1529</v>
      </c>
      <c r="L188" s="6" t="s">
        <v>1371</v>
      </c>
      <c r="M188" s="6">
        <v>18</v>
      </c>
      <c r="N188" s="6">
        <v>2</v>
      </c>
      <c r="O188">
        <v>500</v>
      </c>
      <c r="P188">
        <v>202605</v>
      </c>
      <c r="Q188" t="s">
        <v>377</v>
      </c>
      <c r="R188" t="s">
        <v>1350</v>
      </c>
      <c r="S188">
        <f>Consulta1[[#This Row],[min_port]]/100</f>
        <v>1.4499999999999999E-2</v>
      </c>
      <c r="T188" s="252">
        <f>Consulta1[[#This Row],[TETO_COMERCIAL]]/100</f>
        <v>2.5000000000000001E-2</v>
      </c>
      <c r="U188" t="b">
        <f>Consulta1[[#This Row],[TETO_COMERCIAL_%]]=Consulta1[[#This Row],[TAXA]]</f>
        <v>0</v>
      </c>
      <c r="V188" t="str">
        <f>CONCATENATE(Consulta1[[#This Row],[MES_ALTERACAO]],Consulta1[[#This Row],[VIRADA]])</f>
        <v>20260518</v>
      </c>
      <c r="W188">
        <f>VLOOKUP(Consulta1[[#This Row],[Coluna2]],CALENDARIO!$J:$K,2,FALSE)</f>
        <v>11</v>
      </c>
    </row>
    <row r="189" spans="1:23" x14ac:dyDescent="0.25">
      <c r="A189" t="s">
        <v>3003</v>
      </c>
      <c r="B189" t="str">
        <f>CONCATENATE(Consulta1[[#This Row],[id]],Consulta1[[#This Row],[EMPREGADOR]])</f>
        <v>3GOV MG IPSEMG</v>
      </c>
      <c r="C189" s="6">
        <f>IF(A189=A188,C188+1,1)</f>
        <v>3</v>
      </c>
      <c r="D189" t="s">
        <v>861</v>
      </c>
      <c r="E189" s="101">
        <v>0.02</v>
      </c>
      <c r="F189" s="6">
        <v>120</v>
      </c>
      <c r="G189" t="s">
        <v>1349</v>
      </c>
      <c r="H189" s="82">
        <v>2.5</v>
      </c>
      <c r="I189">
        <v>12</v>
      </c>
      <c r="J189">
        <v>39</v>
      </c>
      <c r="K189" t="s">
        <v>1530</v>
      </c>
      <c r="L189" s="6" t="s">
        <v>1371</v>
      </c>
      <c r="M189" s="6">
        <v>18</v>
      </c>
      <c r="N189" s="6">
        <v>2</v>
      </c>
      <c r="O189">
        <v>500</v>
      </c>
      <c r="P189">
        <v>202605</v>
      </c>
      <c r="Q189" t="s">
        <v>377</v>
      </c>
      <c r="R189" t="s">
        <v>1350</v>
      </c>
      <c r="S189">
        <f>Consulta1[[#This Row],[min_port]]/100</f>
        <v>1.4499999999999999E-2</v>
      </c>
      <c r="T189" s="252">
        <f>Consulta1[[#This Row],[TETO_COMERCIAL]]/100</f>
        <v>2.5000000000000001E-2</v>
      </c>
      <c r="U189" t="b">
        <f>Consulta1[[#This Row],[TETO_COMERCIAL_%]]=Consulta1[[#This Row],[TAXA]]</f>
        <v>0</v>
      </c>
      <c r="V189" t="str">
        <f>CONCATENATE(Consulta1[[#This Row],[MES_ALTERACAO]],Consulta1[[#This Row],[VIRADA]])</f>
        <v>20260518</v>
      </c>
      <c r="W189">
        <f>VLOOKUP(Consulta1[[#This Row],[Coluna2]],CALENDARIO!$J:$K,2,FALSE)</f>
        <v>11</v>
      </c>
    </row>
    <row r="190" spans="1:23" x14ac:dyDescent="0.25">
      <c r="A190" t="s">
        <v>3003</v>
      </c>
      <c r="B190" t="str">
        <f>CONCATENATE(Consulta1[[#This Row],[id]],Consulta1[[#This Row],[EMPREGADOR]])</f>
        <v>4GOV MG IPSEMG</v>
      </c>
      <c r="C190" s="6">
        <f>IF(A190=A189,C189+1,1)</f>
        <v>4</v>
      </c>
      <c r="D190" t="s">
        <v>862</v>
      </c>
      <c r="E190" s="101">
        <v>1.9E-2</v>
      </c>
      <c r="F190" s="6">
        <v>120</v>
      </c>
      <c r="G190" t="s">
        <v>1349</v>
      </c>
      <c r="H190" s="82">
        <v>2.5</v>
      </c>
      <c r="I190">
        <v>12</v>
      </c>
      <c r="J190">
        <v>39</v>
      </c>
      <c r="K190" t="s">
        <v>1531</v>
      </c>
      <c r="L190" s="6" t="s">
        <v>1371</v>
      </c>
      <c r="M190" s="6">
        <v>18</v>
      </c>
      <c r="N190" s="6">
        <v>2</v>
      </c>
      <c r="O190">
        <v>500</v>
      </c>
      <c r="P190">
        <v>202605</v>
      </c>
      <c r="Q190" t="s">
        <v>377</v>
      </c>
      <c r="R190" t="s">
        <v>1350</v>
      </c>
      <c r="S190">
        <f>Consulta1[[#This Row],[min_port]]/100</f>
        <v>1.4499999999999999E-2</v>
      </c>
      <c r="T190" s="252">
        <f>Consulta1[[#This Row],[TETO_COMERCIAL]]/100</f>
        <v>2.5000000000000001E-2</v>
      </c>
      <c r="U190" t="b">
        <f>Consulta1[[#This Row],[TETO_COMERCIAL_%]]=Consulta1[[#This Row],[TAXA]]</f>
        <v>0</v>
      </c>
      <c r="V190" t="str">
        <f>CONCATENATE(Consulta1[[#This Row],[MES_ALTERACAO]],Consulta1[[#This Row],[VIRADA]])</f>
        <v>20260518</v>
      </c>
      <c r="W190">
        <f>VLOOKUP(Consulta1[[#This Row],[Coluna2]],CALENDARIO!$J:$K,2,FALSE)</f>
        <v>11</v>
      </c>
    </row>
    <row r="191" spans="1:23" x14ac:dyDescent="0.25">
      <c r="A191" t="s">
        <v>3003</v>
      </c>
      <c r="B191" t="str">
        <f>CONCATENATE(Consulta1[[#This Row],[id]],Consulta1[[#This Row],[EMPREGADOR]])</f>
        <v>5GOV MG IPSEMG</v>
      </c>
      <c r="C191" s="6">
        <f>IF(A191=A190,C190+1,1)</f>
        <v>5</v>
      </c>
      <c r="D191" t="s">
        <v>863</v>
      </c>
      <c r="E191" s="101">
        <v>1.8500000000000003E-2</v>
      </c>
      <c r="F191" s="6">
        <v>120</v>
      </c>
      <c r="G191" t="s">
        <v>1349</v>
      </c>
      <c r="H191" s="82">
        <v>2.5</v>
      </c>
      <c r="I191">
        <v>12</v>
      </c>
      <c r="J191">
        <v>33</v>
      </c>
      <c r="K191" t="s">
        <v>1532</v>
      </c>
      <c r="L191" s="6" t="s">
        <v>1371</v>
      </c>
      <c r="M191" s="6">
        <v>18</v>
      </c>
      <c r="N191" s="6">
        <v>2</v>
      </c>
      <c r="O191">
        <v>500</v>
      </c>
      <c r="P191">
        <v>202605</v>
      </c>
      <c r="Q191" t="s">
        <v>377</v>
      </c>
      <c r="R191" t="s">
        <v>1350</v>
      </c>
      <c r="S191">
        <f>Consulta1[[#This Row],[min_port]]/100</f>
        <v>1.4499999999999999E-2</v>
      </c>
      <c r="T191" s="252">
        <f>Consulta1[[#This Row],[TETO_COMERCIAL]]/100</f>
        <v>2.5000000000000001E-2</v>
      </c>
      <c r="U191" t="b">
        <f>Consulta1[[#This Row],[TETO_COMERCIAL_%]]=Consulta1[[#This Row],[TAXA]]</f>
        <v>0</v>
      </c>
      <c r="V191" t="str">
        <f>CONCATENATE(Consulta1[[#This Row],[MES_ALTERACAO]],Consulta1[[#This Row],[VIRADA]])</f>
        <v>20260518</v>
      </c>
      <c r="W191">
        <f>VLOOKUP(Consulta1[[#This Row],[Coluna2]],CALENDARIO!$J:$K,2,FALSE)</f>
        <v>11</v>
      </c>
    </row>
    <row r="192" spans="1:23" x14ac:dyDescent="0.25">
      <c r="A192" t="s">
        <v>3003</v>
      </c>
      <c r="B192" t="str">
        <f>CONCATENATE(Consulta1[[#This Row],[id]],Consulta1[[#This Row],[EMPREGADOR]])</f>
        <v>6GOV MG IPSEMG</v>
      </c>
      <c r="C192" s="6">
        <f>IF(A192=A191,C191+1,1)</f>
        <v>6</v>
      </c>
      <c r="D192" t="s">
        <v>864</v>
      </c>
      <c r="E192" s="101">
        <v>1.8000000000000002E-2</v>
      </c>
      <c r="F192" s="6">
        <v>120</v>
      </c>
      <c r="G192" t="s">
        <v>1349</v>
      </c>
      <c r="H192" s="82">
        <v>2.5</v>
      </c>
      <c r="I192">
        <v>12</v>
      </c>
      <c r="J192">
        <v>38</v>
      </c>
      <c r="K192" t="s">
        <v>1533</v>
      </c>
      <c r="L192" s="6" t="s">
        <v>1371</v>
      </c>
      <c r="M192" s="6">
        <v>18</v>
      </c>
      <c r="N192" s="6">
        <v>2</v>
      </c>
      <c r="O192">
        <v>500</v>
      </c>
      <c r="P192">
        <v>202605</v>
      </c>
      <c r="Q192" t="s">
        <v>377</v>
      </c>
      <c r="R192" t="s">
        <v>1350</v>
      </c>
      <c r="S192">
        <f>Consulta1[[#This Row],[min_port]]/100</f>
        <v>1.4499999999999999E-2</v>
      </c>
      <c r="T192" s="252">
        <f>Consulta1[[#This Row],[TETO_COMERCIAL]]/100</f>
        <v>2.5000000000000001E-2</v>
      </c>
      <c r="U192" t="b">
        <f>Consulta1[[#This Row],[TETO_COMERCIAL_%]]=Consulta1[[#This Row],[TAXA]]</f>
        <v>0</v>
      </c>
      <c r="V192" t="str">
        <f>CONCATENATE(Consulta1[[#This Row],[MES_ALTERACAO]],Consulta1[[#This Row],[VIRADA]])</f>
        <v>20260518</v>
      </c>
      <c r="W192">
        <f>VLOOKUP(Consulta1[[#This Row],[Coluna2]],CALENDARIO!$J:$K,2,FALSE)</f>
        <v>11</v>
      </c>
    </row>
    <row r="193" spans="1:23" x14ac:dyDescent="0.25">
      <c r="A193" t="s">
        <v>3003</v>
      </c>
      <c r="B193" t="str">
        <f>CONCATENATE(Consulta1[[#This Row],[id]],Consulta1[[#This Row],[EMPREGADOR]])</f>
        <v>7GOV MG IPSEMG</v>
      </c>
      <c r="C193" s="6">
        <f>IF(A193=A192,C192+1,1)</f>
        <v>7</v>
      </c>
      <c r="D193" t="s">
        <v>865</v>
      </c>
      <c r="E193" s="101">
        <v>1.7500000000000002E-2</v>
      </c>
      <c r="F193" s="6">
        <v>120</v>
      </c>
      <c r="G193" t="s">
        <v>1349</v>
      </c>
      <c r="H193" s="82">
        <v>2.5</v>
      </c>
      <c r="I193">
        <v>12</v>
      </c>
      <c r="J193">
        <v>40</v>
      </c>
      <c r="K193" t="s">
        <v>1534</v>
      </c>
      <c r="L193" s="6" t="s">
        <v>1371</v>
      </c>
      <c r="M193" s="6">
        <v>18</v>
      </c>
      <c r="N193" s="6">
        <v>2</v>
      </c>
      <c r="O193">
        <v>500</v>
      </c>
      <c r="P193">
        <v>202605</v>
      </c>
      <c r="Q193" t="s">
        <v>377</v>
      </c>
      <c r="R193" t="s">
        <v>1350</v>
      </c>
      <c r="S193">
        <f>Consulta1[[#This Row],[min_port]]/100</f>
        <v>1.4499999999999999E-2</v>
      </c>
      <c r="T193" s="252">
        <f>Consulta1[[#This Row],[TETO_COMERCIAL]]/100</f>
        <v>2.5000000000000001E-2</v>
      </c>
      <c r="U193" t="b">
        <f>Consulta1[[#This Row],[TETO_COMERCIAL_%]]=Consulta1[[#This Row],[TAXA]]</f>
        <v>0</v>
      </c>
      <c r="V193" t="str">
        <f>CONCATENATE(Consulta1[[#This Row],[MES_ALTERACAO]],Consulta1[[#This Row],[VIRADA]])</f>
        <v>20260518</v>
      </c>
      <c r="W193">
        <f>VLOOKUP(Consulta1[[#This Row],[Coluna2]],CALENDARIO!$J:$K,2,FALSE)</f>
        <v>11</v>
      </c>
    </row>
    <row r="194" spans="1:23" x14ac:dyDescent="0.25">
      <c r="A194" t="s">
        <v>3003</v>
      </c>
      <c r="B194" t="str">
        <f>CONCATENATE(Consulta1[[#This Row],[id]],Consulta1[[#This Row],[EMPREGADOR]])</f>
        <v>8GOV MG IPSEMG</v>
      </c>
      <c r="C194" s="6">
        <f>IF(A194=A193,C193+1,1)</f>
        <v>8</v>
      </c>
      <c r="D194" t="s">
        <v>866</v>
      </c>
      <c r="E194" s="101">
        <v>1.7000000000000001E-2</v>
      </c>
      <c r="F194" s="6">
        <v>120</v>
      </c>
      <c r="G194" t="s">
        <v>1349</v>
      </c>
      <c r="H194" s="82">
        <v>2.5</v>
      </c>
      <c r="I194">
        <v>12</v>
      </c>
      <c r="J194">
        <v>39</v>
      </c>
      <c r="K194" t="s">
        <v>1535</v>
      </c>
      <c r="L194" s="6" t="s">
        <v>1371</v>
      </c>
      <c r="M194" s="6">
        <v>18</v>
      </c>
      <c r="N194" s="6">
        <v>2</v>
      </c>
      <c r="O194">
        <v>500</v>
      </c>
      <c r="P194">
        <v>202605</v>
      </c>
      <c r="Q194" t="s">
        <v>377</v>
      </c>
      <c r="R194" t="s">
        <v>1350</v>
      </c>
      <c r="S194">
        <f>Consulta1[[#This Row],[min_port]]/100</f>
        <v>1.4499999999999999E-2</v>
      </c>
      <c r="T194" s="252">
        <f>Consulta1[[#This Row],[TETO_COMERCIAL]]/100</f>
        <v>2.5000000000000001E-2</v>
      </c>
      <c r="U194" t="b">
        <f>Consulta1[[#This Row],[TETO_COMERCIAL_%]]=Consulta1[[#This Row],[TAXA]]</f>
        <v>0</v>
      </c>
      <c r="V194" t="str">
        <f>CONCATENATE(Consulta1[[#This Row],[MES_ALTERACAO]],Consulta1[[#This Row],[VIRADA]])</f>
        <v>20260518</v>
      </c>
      <c r="W194">
        <f>VLOOKUP(Consulta1[[#This Row],[Coluna2]],CALENDARIO!$J:$K,2,FALSE)</f>
        <v>11</v>
      </c>
    </row>
    <row r="195" spans="1:23" x14ac:dyDescent="0.25">
      <c r="A195" t="s">
        <v>3003</v>
      </c>
      <c r="B195" t="str">
        <f>CONCATENATE(Consulta1[[#This Row],[id]],Consulta1[[#This Row],[EMPREGADOR]])</f>
        <v>9GOV MG IPSEMG</v>
      </c>
      <c r="C195" s="6">
        <f>IF(A195=A194,C194+1,1)</f>
        <v>9</v>
      </c>
      <c r="D195" t="s">
        <v>867</v>
      </c>
      <c r="E195" s="101">
        <v>1.6500000000000001E-2</v>
      </c>
      <c r="F195" s="6">
        <v>120</v>
      </c>
      <c r="G195" t="s">
        <v>1349</v>
      </c>
      <c r="H195" s="82">
        <v>2.5</v>
      </c>
      <c r="I195">
        <v>12</v>
      </c>
      <c r="J195">
        <v>38</v>
      </c>
      <c r="K195" t="s">
        <v>1536</v>
      </c>
      <c r="L195" s="6" t="s">
        <v>1371</v>
      </c>
      <c r="M195" s="6">
        <v>18</v>
      </c>
      <c r="N195" s="6">
        <v>2</v>
      </c>
      <c r="O195">
        <v>500</v>
      </c>
      <c r="P195">
        <v>202605</v>
      </c>
      <c r="Q195" t="s">
        <v>377</v>
      </c>
      <c r="R195" t="s">
        <v>1350</v>
      </c>
      <c r="S195">
        <f>Consulta1[[#This Row],[min_port]]/100</f>
        <v>1.4499999999999999E-2</v>
      </c>
      <c r="T195" s="252">
        <f>Consulta1[[#This Row],[TETO_COMERCIAL]]/100</f>
        <v>2.5000000000000001E-2</v>
      </c>
      <c r="U195" t="b">
        <f>Consulta1[[#This Row],[TETO_COMERCIAL_%]]=Consulta1[[#This Row],[TAXA]]</f>
        <v>0</v>
      </c>
      <c r="V195" t="str">
        <f>CONCATENATE(Consulta1[[#This Row],[MES_ALTERACAO]],Consulta1[[#This Row],[VIRADA]])</f>
        <v>20260518</v>
      </c>
      <c r="W195">
        <f>VLOOKUP(Consulta1[[#This Row],[Coluna2]],CALENDARIO!$J:$K,2,FALSE)</f>
        <v>11</v>
      </c>
    </row>
    <row r="196" spans="1:23" x14ac:dyDescent="0.25">
      <c r="A196" t="s">
        <v>3004</v>
      </c>
      <c r="B196" t="str">
        <f>CONCATENATE(Consulta1[[#This Row],[id]],Consulta1[[#This Row],[EMPREGADOR]])</f>
        <v>1GOV MG IPSM</v>
      </c>
      <c r="C196" s="6">
        <f>IF(A196=A195,C195+1,1)</f>
        <v>1</v>
      </c>
      <c r="D196" t="s">
        <v>868</v>
      </c>
      <c r="E196" s="101">
        <v>2.5000000000000001E-2</v>
      </c>
      <c r="F196" s="6">
        <v>120</v>
      </c>
      <c r="G196" t="s">
        <v>1349</v>
      </c>
      <c r="H196" s="82">
        <v>2.5</v>
      </c>
      <c r="I196">
        <v>10</v>
      </c>
      <c r="J196">
        <v>61</v>
      </c>
      <c r="K196" t="s">
        <v>1537</v>
      </c>
      <c r="L196" s="6" t="s">
        <v>1371</v>
      </c>
      <c r="M196" s="6">
        <v>31</v>
      </c>
      <c r="N196" s="6">
        <v>2</v>
      </c>
      <c r="O196">
        <v>500</v>
      </c>
      <c r="P196">
        <v>202605</v>
      </c>
      <c r="Q196" t="s">
        <v>377</v>
      </c>
      <c r="R196" t="s">
        <v>1353</v>
      </c>
      <c r="S196">
        <f>Consulta1[[#This Row],[min_port]]/100</f>
        <v>1.4499999999999999E-2</v>
      </c>
      <c r="T196" s="252">
        <f>Consulta1[[#This Row],[TETO_COMERCIAL]]/100</f>
        <v>2.5000000000000001E-2</v>
      </c>
      <c r="U196" t="b">
        <f>Consulta1[[#This Row],[TETO_COMERCIAL_%]]=Consulta1[[#This Row],[TAXA]]</f>
        <v>1</v>
      </c>
      <c r="V196" t="str">
        <f>CONCATENATE(Consulta1[[#This Row],[MES_ALTERACAO]],Consulta1[[#This Row],[VIRADA]])</f>
        <v>20260531</v>
      </c>
      <c r="W196">
        <f>VLOOKUP(Consulta1[[#This Row],[Coluna2]],CALENDARIO!$J:$K,2,FALSE)</f>
        <v>20</v>
      </c>
    </row>
    <row r="197" spans="1:23" x14ac:dyDescent="0.25">
      <c r="A197" t="s">
        <v>3004</v>
      </c>
      <c r="B197" t="str">
        <f>CONCATENATE(Consulta1[[#This Row],[id]],Consulta1[[#This Row],[EMPREGADOR]])</f>
        <v>2GOV MG IPSM</v>
      </c>
      <c r="C197" s="6">
        <f>IF(A197=A196,C196+1,1)</f>
        <v>2</v>
      </c>
      <c r="D197" t="s">
        <v>869</v>
      </c>
      <c r="E197" s="101">
        <v>2.2499999999999999E-2</v>
      </c>
      <c r="F197" s="6">
        <v>120</v>
      </c>
      <c r="G197" t="s">
        <v>1349</v>
      </c>
      <c r="H197" s="82">
        <v>2.5</v>
      </c>
      <c r="I197">
        <v>10</v>
      </c>
      <c r="J197">
        <v>55</v>
      </c>
      <c r="K197" t="s">
        <v>1538</v>
      </c>
      <c r="L197" s="6" t="s">
        <v>1371</v>
      </c>
      <c r="M197" s="6">
        <v>31</v>
      </c>
      <c r="N197" s="6">
        <v>2</v>
      </c>
      <c r="O197">
        <v>500</v>
      </c>
      <c r="P197">
        <v>202605</v>
      </c>
      <c r="Q197" t="s">
        <v>377</v>
      </c>
      <c r="R197" t="s">
        <v>1353</v>
      </c>
      <c r="S197">
        <f>Consulta1[[#This Row],[min_port]]/100</f>
        <v>1.4499999999999999E-2</v>
      </c>
      <c r="T197" s="252">
        <f>Consulta1[[#This Row],[TETO_COMERCIAL]]/100</f>
        <v>2.5000000000000001E-2</v>
      </c>
      <c r="U197" t="b">
        <f>Consulta1[[#This Row],[TETO_COMERCIAL_%]]=Consulta1[[#This Row],[TAXA]]</f>
        <v>0</v>
      </c>
      <c r="V197" t="str">
        <f>CONCATENATE(Consulta1[[#This Row],[MES_ALTERACAO]],Consulta1[[#This Row],[VIRADA]])</f>
        <v>20260531</v>
      </c>
      <c r="W197">
        <f>VLOOKUP(Consulta1[[#This Row],[Coluna2]],CALENDARIO!$J:$K,2,FALSE)</f>
        <v>20</v>
      </c>
    </row>
    <row r="198" spans="1:23" x14ac:dyDescent="0.25">
      <c r="A198" t="s">
        <v>3004</v>
      </c>
      <c r="B198" t="str">
        <f>CONCATENATE(Consulta1[[#This Row],[id]],Consulta1[[#This Row],[EMPREGADOR]])</f>
        <v>3GOV MG IPSM</v>
      </c>
      <c r="C198" s="6">
        <f>IF(A198=A197,C197+1,1)</f>
        <v>3</v>
      </c>
      <c r="D198" t="s">
        <v>870</v>
      </c>
      <c r="E198" s="101">
        <v>0.02</v>
      </c>
      <c r="F198" s="6">
        <v>120</v>
      </c>
      <c r="G198" t="s">
        <v>1349</v>
      </c>
      <c r="H198" s="82">
        <v>2.5</v>
      </c>
      <c r="I198">
        <v>10</v>
      </c>
      <c r="J198">
        <v>54</v>
      </c>
      <c r="K198" t="s">
        <v>1539</v>
      </c>
      <c r="L198" s="6" t="s">
        <v>1371</v>
      </c>
      <c r="M198" s="6">
        <v>31</v>
      </c>
      <c r="N198" s="6">
        <v>2</v>
      </c>
      <c r="O198">
        <v>500</v>
      </c>
      <c r="P198">
        <v>202605</v>
      </c>
      <c r="Q198" t="s">
        <v>377</v>
      </c>
      <c r="R198" t="s">
        <v>1353</v>
      </c>
      <c r="S198">
        <f>Consulta1[[#This Row],[min_port]]/100</f>
        <v>1.4499999999999999E-2</v>
      </c>
      <c r="T198" s="252">
        <f>Consulta1[[#This Row],[TETO_COMERCIAL]]/100</f>
        <v>2.5000000000000001E-2</v>
      </c>
      <c r="U198" t="b">
        <f>Consulta1[[#This Row],[TETO_COMERCIAL_%]]=Consulta1[[#This Row],[TAXA]]</f>
        <v>0</v>
      </c>
      <c r="V198" t="str">
        <f>CONCATENATE(Consulta1[[#This Row],[MES_ALTERACAO]],Consulta1[[#This Row],[VIRADA]])</f>
        <v>20260531</v>
      </c>
      <c r="W198">
        <f>VLOOKUP(Consulta1[[#This Row],[Coluna2]],CALENDARIO!$J:$K,2,FALSE)</f>
        <v>20</v>
      </c>
    </row>
    <row r="199" spans="1:23" x14ac:dyDescent="0.25">
      <c r="A199" t="s">
        <v>3004</v>
      </c>
      <c r="B199" t="str">
        <f>CONCATENATE(Consulta1[[#This Row],[id]],Consulta1[[#This Row],[EMPREGADOR]])</f>
        <v>4GOV MG IPSM</v>
      </c>
      <c r="C199" s="6">
        <f>IF(A199=A198,C198+1,1)</f>
        <v>4</v>
      </c>
      <c r="D199" t="s">
        <v>871</v>
      </c>
      <c r="E199" s="101">
        <v>1.9E-2</v>
      </c>
      <c r="F199" s="6">
        <v>120</v>
      </c>
      <c r="G199" t="s">
        <v>1349</v>
      </c>
      <c r="H199" s="82">
        <v>2.5</v>
      </c>
      <c r="I199">
        <v>10</v>
      </c>
      <c r="J199">
        <v>55</v>
      </c>
      <c r="K199" t="s">
        <v>1540</v>
      </c>
      <c r="L199" s="6" t="s">
        <v>1371</v>
      </c>
      <c r="M199" s="6">
        <v>31</v>
      </c>
      <c r="N199" s="6">
        <v>2</v>
      </c>
      <c r="O199">
        <v>500</v>
      </c>
      <c r="P199">
        <v>202605</v>
      </c>
      <c r="Q199" t="s">
        <v>377</v>
      </c>
      <c r="R199" t="s">
        <v>1353</v>
      </c>
      <c r="S199">
        <f>Consulta1[[#This Row],[min_port]]/100</f>
        <v>1.4499999999999999E-2</v>
      </c>
      <c r="T199" s="252">
        <f>Consulta1[[#This Row],[TETO_COMERCIAL]]/100</f>
        <v>2.5000000000000001E-2</v>
      </c>
      <c r="U199" t="b">
        <f>Consulta1[[#This Row],[TETO_COMERCIAL_%]]=Consulta1[[#This Row],[TAXA]]</f>
        <v>0</v>
      </c>
      <c r="V199" t="str">
        <f>CONCATENATE(Consulta1[[#This Row],[MES_ALTERACAO]],Consulta1[[#This Row],[VIRADA]])</f>
        <v>20260531</v>
      </c>
      <c r="W199">
        <f>VLOOKUP(Consulta1[[#This Row],[Coluna2]],CALENDARIO!$J:$K,2,FALSE)</f>
        <v>20</v>
      </c>
    </row>
    <row r="200" spans="1:23" x14ac:dyDescent="0.25">
      <c r="A200" t="s">
        <v>3004</v>
      </c>
      <c r="B200" t="str">
        <f>CONCATENATE(Consulta1[[#This Row],[id]],Consulta1[[#This Row],[EMPREGADOR]])</f>
        <v>5GOV MG IPSM</v>
      </c>
      <c r="C200" s="6">
        <f>IF(A200=A199,C199+1,1)</f>
        <v>5</v>
      </c>
      <c r="D200" t="s">
        <v>872</v>
      </c>
      <c r="E200" s="101">
        <v>1.8500000000000003E-2</v>
      </c>
      <c r="F200" s="6">
        <v>120</v>
      </c>
      <c r="G200" t="s">
        <v>1349</v>
      </c>
      <c r="H200" s="82">
        <v>2.5</v>
      </c>
      <c r="I200">
        <v>10</v>
      </c>
      <c r="J200">
        <v>57</v>
      </c>
      <c r="K200" t="s">
        <v>1541</v>
      </c>
      <c r="L200" s="6" t="s">
        <v>1371</v>
      </c>
      <c r="M200" s="6">
        <v>31</v>
      </c>
      <c r="N200" s="6">
        <v>2</v>
      </c>
      <c r="O200">
        <v>500</v>
      </c>
      <c r="P200">
        <v>202605</v>
      </c>
      <c r="Q200" t="s">
        <v>377</v>
      </c>
      <c r="R200" t="s">
        <v>1353</v>
      </c>
      <c r="S200">
        <f>Consulta1[[#This Row],[min_port]]/100</f>
        <v>1.4499999999999999E-2</v>
      </c>
      <c r="T200" s="252">
        <f>Consulta1[[#This Row],[TETO_COMERCIAL]]/100</f>
        <v>2.5000000000000001E-2</v>
      </c>
      <c r="U200" t="b">
        <f>Consulta1[[#This Row],[TETO_COMERCIAL_%]]=Consulta1[[#This Row],[TAXA]]</f>
        <v>0</v>
      </c>
      <c r="V200" t="str">
        <f>CONCATENATE(Consulta1[[#This Row],[MES_ALTERACAO]],Consulta1[[#This Row],[VIRADA]])</f>
        <v>20260531</v>
      </c>
      <c r="W200">
        <f>VLOOKUP(Consulta1[[#This Row],[Coluna2]],CALENDARIO!$J:$K,2,FALSE)</f>
        <v>20</v>
      </c>
    </row>
    <row r="201" spans="1:23" x14ac:dyDescent="0.25">
      <c r="A201" t="s">
        <v>3004</v>
      </c>
      <c r="B201" t="str">
        <f>CONCATENATE(Consulta1[[#This Row],[id]],Consulta1[[#This Row],[EMPREGADOR]])</f>
        <v>6GOV MG IPSM</v>
      </c>
      <c r="C201" s="6">
        <f>IF(A201=A200,C200+1,1)</f>
        <v>6</v>
      </c>
      <c r="D201" t="s">
        <v>873</v>
      </c>
      <c r="E201" s="101">
        <v>1.8000000000000002E-2</v>
      </c>
      <c r="F201" s="6">
        <v>120</v>
      </c>
      <c r="G201" t="s">
        <v>1349</v>
      </c>
      <c r="H201" s="82">
        <v>2.5</v>
      </c>
      <c r="I201">
        <v>10</v>
      </c>
      <c r="J201">
        <v>59</v>
      </c>
      <c r="K201" t="s">
        <v>1542</v>
      </c>
      <c r="L201" s="6" t="s">
        <v>1371</v>
      </c>
      <c r="M201" s="6">
        <v>31</v>
      </c>
      <c r="N201" s="6">
        <v>2</v>
      </c>
      <c r="O201">
        <v>500</v>
      </c>
      <c r="P201">
        <v>202605</v>
      </c>
      <c r="Q201" t="s">
        <v>377</v>
      </c>
      <c r="R201" t="s">
        <v>1353</v>
      </c>
      <c r="S201">
        <f>Consulta1[[#This Row],[min_port]]/100</f>
        <v>1.4499999999999999E-2</v>
      </c>
      <c r="T201" s="252">
        <f>Consulta1[[#This Row],[TETO_COMERCIAL]]/100</f>
        <v>2.5000000000000001E-2</v>
      </c>
      <c r="U201" t="b">
        <f>Consulta1[[#This Row],[TETO_COMERCIAL_%]]=Consulta1[[#This Row],[TAXA]]</f>
        <v>0</v>
      </c>
      <c r="V201" t="str">
        <f>CONCATENATE(Consulta1[[#This Row],[MES_ALTERACAO]],Consulta1[[#This Row],[VIRADA]])</f>
        <v>20260531</v>
      </c>
      <c r="W201">
        <f>VLOOKUP(Consulta1[[#This Row],[Coluna2]],CALENDARIO!$J:$K,2,FALSE)</f>
        <v>20</v>
      </c>
    </row>
    <row r="202" spans="1:23" x14ac:dyDescent="0.25">
      <c r="A202" t="s">
        <v>3004</v>
      </c>
      <c r="B202" t="str">
        <f>CONCATENATE(Consulta1[[#This Row],[id]],Consulta1[[#This Row],[EMPREGADOR]])</f>
        <v>7GOV MG IPSM</v>
      </c>
      <c r="C202" s="6">
        <f>IF(A202=A201,C201+1,1)</f>
        <v>7</v>
      </c>
      <c r="D202" t="s">
        <v>874</v>
      </c>
      <c r="E202" s="101">
        <v>1.7500000000000002E-2</v>
      </c>
      <c r="F202" s="6">
        <v>120</v>
      </c>
      <c r="G202" t="s">
        <v>1349</v>
      </c>
      <c r="H202" s="82">
        <v>2.5</v>
      </c>
      <c r="I202">
        <v>10</v>
      </c>
      <c r="J202">
        <v>51</v>
      </c>
      <c r="K202" t="s">
        <v>1543</v>
      </c>
      <c r="L202" s="6" t="s">
        <v>1371</v>
      </c>
      <c r="M202" s="6">
        <v>31</v>
      </c>
      <c r="N202" s="6">
        <v>2</v>
      </c>
      <c r="O202">
        <v>500</v>
      </c>
      <c r="P202">
        <v>202605</v>
      </c>
      <c r="Q202" t="s">
        <v>377</v>
      </c>
      <c r="R202" t="s">
        <v>1353</v>
      </c>
      <c r="S202">
        <f>Consulta1[[#This Row],[min_port]]/100</f>
        <v>1.4499999999999999E-2</v>
      </c>
      <c r="T202" s="252">
        <f>Consulta1[[#This Row],[TETO_COMERCIAL]]/100</f>
        <v>2.5000000000000001E-2</v>
      </c>
      <c r="U202" t="b">
        <f>Consulta1[[#This Row],[TETO_COMERCIAL_%]]=Consulta1[[#This Row],[TAXA]]</f>
        <v>0</v>
      </c>
      <c r="V202" t="str">
        <f>CONCATENATE(Consulta1[[#This Row],[MES_ALTERACAO]],Consulta1[[#This Row],[VIRADA]])</f>
        <v>20260531</v>
      </c>
      <c r="W202">
        <f>VLOOKUP(Consulta1[[#This Row],[Coluna2]],CALENDARIO!$J:$K,2,FALSE)</f>
        <v>20</v>
      </c>
    </row>
    <row r="203" spans="1:23" x14ac:dyDescent="0.25">
      <c r="A203" t="s">
        <v>3004</v>
      </c>
      <c r="B203" t="str">
        <f>CONCATENATE(Consulta1[[#This Row],[id]],Consulta1[[#This Row],[EMPREGADOR]])</f>
        <v>8GOV MG IPSM</v>
      </c>
      <c r="C203" s="6">
        <f>IF(A203=A202,C202+1,1)</f>
        <v>8</v>
      </c>
      <c r="D203" t="s">
        <v>875</v>
      </c>
      <c r="E203" s="101">
        <v>1.7000000000000001E-2</v>
      </c>
      <c r="F203" s="6">
        <v>120</v>
      </c>
      <c r="G203" t="s">
        <v>1349</v>
      </c>
      <c r="H203" s="82">
        <v>2.5</v>
      </c>
      <c r="I203">
        <v>10</v>
      </c>
      <c r="J203">
        <v>53</v>
      </c>
      <c r="K203" t="s">
        <v>1544</v>
      </c>
      <c r="L203" s="6" t="s">
        <v>1371</v>
      </c>
      <c r="M203" s="6">
        <v>31</v>
      </c>
      <c r="N203" s="6">
        <v>2</v>
      </c>
      <c r="O203">
        <v>500</v>
      </c>
      <c r="P203">
        <v>202605</v>
      </c>
      <c r="Q203" t="s">
        <v>377</v>
      </c>
      <c r="R203" t="s">
        <v>1353</v>
      </c>
      <c r="S203">
        <f>Consulta1[[#This Row],[min_port]]/100</f>
        <v>1.4499999999999999E-2</v>
      </c>
      <c r="T203" s="252">
        <f>Consulta1[[#This Row],[TETO_COMERCIAL]]/100</f>
        <v>2.5000000000000001E-2</v>
      </c>
      <c r="U203" t="b">
        <f>Consulta1[[#This Row],[TETO_COMERCIAL_%]]=Consulta1[[#This Row],[TAXA]]</f>
        <v>0</v>
      </c>
      <c r="V203" t="str">
        <f>CONCATENATE(Consulta1[[#This Row],[MES_ALTERACAO]],Consulta1[[#This Row],[VIRADA]])</f>
        <v>20260531</v>
      </c>
      <c r="W203">
        <f>VLOOKUP(Consulta1[[#This Row],[Coluna2]],CALENDARIO!$J:$K,2,FALSE)</f>
        <v>20</v>
      </c>
    </row>
    <row r="204" spans="1:23" x14ac:dyDescent="0.25">
      <c r="A204" t="s">
        <v>3004</v>
      </c>
      <c r="B204" t="str">
        <f>CONCATENATE(Consulta1[[#This Row],[id]],Consulta1[[#This Row],[EMPREGADOR]])</f>
        <v>9GOV MG IPSM</v>
      </c>
      <c r="C204" s="6">
        <f>IF(A204=A203,C203+1,1)</f>
        <v>9</v>
      </c>
      <c r="D204" t="s">
        <v>876</v>
      </c>
      <c r="E204" s="101">
        <v>1.6500000000000001E-2</v>
      </c>
      <c r="F204" s="6">
        <v>120</v>
      </c>
      <c r="G204" t="s">
        <v>1349</v>
      </c>
      <c r="H204" s="82">
        <v>2.5</v>
      </c>
      <c r="I204">
        <v>10</v>
      </c>
      <c r="J204">
        <v>53</v>
      </c>
      <c r="K204" t="s">
        <v>1545</v>
      </c>
      <c r="L204" s="6" t="s">
        <v>1371</v>
      </c>
      <c r="M204" s="6">
        <v>31</v>
      </c>
      <c r="N204" s="6">
        <v>2</v>
      </c>
      <c r="O204">
        <v>500</v>
      </c>
      <c r="P204">
        <v>202605</v>
      </c>
      <c r="Q204" t="s">
        <v>377</v>
      </c>
      <c r="R204" t="s">
        <v>1353</v>
      </c>
      <c r="S204">
        <f>Consulta1[[#This Row],[min_port]]/100</f>
        <v>1.4499999999999999E-2</v>
      </c>
      <c r="T204" s="252">
        <f>Consulta1[[#This Row],[TETO_COMERCIAL]]/100</f>
        <v>2.5000000000000001E-2</v>
      </c>
      <c r="U204" t="b">
        <f>Consulta1[[#This Row],[TETO_COMERCIAL_%]]=Consulta1[[#This Row],[TAXA]]</f>
        <v>0</v>
      </c>
      <c r="V204" t="str">
        <f>CONCATENATE(Consulta1[[#This Row],[MES_ALTERACAO]],Consulta1[[#This Row],[VIRADA]])</f>
        <v>20260531</v>
      </c>
      <c r="W204">
        <f>VLOOKUP(Consulta1[[#This Row],[Coluna2]],CALENDARIO!$J:$K,2,FALSE)</f>
        <v>20</v>
      </c>
    </row>
    <row r="205" spans="1:23" x14ac:dyDescent="0.25">
      <c r="A205" t="s">
        <v>3005</v>
      </c>
      <c r="B205" t="str">
        <f>CONCATENATE(Consulta1[[#This Row],[id]],Consulta1[[#This Row],[EMPREGADOR]])</f>
        <v>1GOV MG PM</v>
      </c>
      <c r="C205" s="6">
        <f>IF(A205=A204,C204+1,1)</f>
        <v>1</v>
      </c>
      <c r="D205" t="s">
        <v>2681</v>
      </c>
      <c r="E205" s="101">
        <v>2.5000000000000001E-2</v>
      </c>
      <c r="F205" s="6">
        <v>120</v>
      </c>
      <c r="G205" t="s">
        <v>1349</v>
      </c>
      <c r="H205" s="82">
        <v>2.5</v>
      </c>
      <c r="I205">
        <v>7</v>
      </c>
      <c r="J205">
        <v>53</v>
      </c>
      <c r="K205" t="s">
        <v>2682</v>
      </c>
      <c r="L205" s="6" t="s">
        <v>1605</v>
      </c>
      <c r="M205" s="6">
        <v>29</v>
      </c>
      <c r="N205" s="6">
        <v>2</v>
      </c>
      <c r="O205">
        <v>500</v>
      </c>
      <c r="P205">
        <v>202605</v>
      </c>
      <c r="Q205" t="s">
        <v>377</v>
      </c>
      <c r="R205" t="s">
        <v>1353</v>
      </c>
      <c r="S205">
        <f>Consulta1[[#This Row],[min_port]]/100</f>
        <v>1.43E-2</v>
      </c>
      <c r="T205" s="252">
        <f>Consulta1[[#This Row],[TETO_COMERCIAL]]/100</f>
        <v>2.5000000000000001E-2</v>
      </c>
      <c r="U205" t="b">
        <f>Consulta1[[#This Row],[TETO_COMERCIAL_%]]=Consulta1[[#This Row],[TAXA]]</f>
        <v>1</v>
      </c>
      <c r="V205" t="str">
        <f>CONCATENATE(Consulta1[[#This Row],[MES_ALTERACAO]],Consulta1[[#This Row],[VIRADA]])</f>
        <v>20260529</v>
      </c>
      <c r="W205">
        <f>VLOOKUP(Consulta1[[#This Row],[Coluna2]],CALENDARIO!$J:$K,2,FALSE)</f>
        <v>20</v>
      </c>
    </row>
    <row r="206" spans="1:23" x14ac:dyDescent="0.25">
      <c r="A206" t="s">
        <v>3005</v>
      </c>
      <c r="B206" t="str">
        <f>CONCATENATE(Consulta1[[#This Row],[id]],Consulta1[[#This Row],[EMPREGADOR]])</f>
        <v>2GOV MG PM</v>
      </c>
      <c r="C206" s="6">
        <f>IF(A206=A205,C205+1,1)</f>
        <v>2</v>
      </c>
      <c r="D206" t="s">
        <v>2683</v>
      </c>
      <c r="E206" s="101">
        <v>2.2499999999999999E-2</v>
      </c>
      <c r="F206" s="6">
        <v>120</v>
      </c>
      <c r="G206" t="s">
        <v>1349</v>
      </c>
      <c r="H206" s="82">
        <v>2.5</v>
      </c>
      <c r="I206">
        <v>7</v>
      </c>
      <c r="J206">
        <v>52</v>
      </c>
      <c r="K206" t="s">
        <v>2684</v>
      </c>
      <c r="L206" s="6" t="s">
        <v>1605</v>
      </c>
      <c r="M206" s="6">
        <v>29</v>
      </c>
      <c r="N206" s="6">
        <v>2</v>
      </c>
      <c r="O206">
        <v>500</v>
      </c>
      <c r="P206">
        <v>202605</v>
      </c>
      <c r="Q206" t="s">
        <v>377</v>
      </c>
      <c r="R206" t="s">
        <v>1353</v>
      </c>
      <c r="S206">
        <f>Consulta1[[#This Row],[min_port]]/100</f>
        <v>1.43E-2</v>
      </c>
      <c r="T206" s="252">
        <f>Consulta1[[#This Row],[TETO_COMERCIAL]]/100</f>
        <v>2.5000000000000001E-2</v>
      </c>
      <c r="U206" t="b">
        <f>Consulta1[[#This Row],[TETO_COMERCIAL_%]]=Consulta1[[#This Row],[TAXA]]</f>
        <v>0</v>
      </c>
      <c r="V206" t="str">
        <f>CONCATENATE(Consulta1[[#This Row],[MES_ALTERACAO]],Consulta1[[#This Row],[VIRADA]])</f>
        <v>20260529</v>
      </c>
      <c r="W206">
        <f>VLOOKUP(Consulta1[[#This Row],[Coluna2]],CALENDARIO!$J:$K,2,FALSE)</f>
        <v>20</v>
      </c>
    </row>
    <row r="207" spans="1:23" x14ac:dyDescent="0.25">
      <c r="A207" t="s">
        <v>3005</v>
      </c>
      <c r="B207" t="str">
        <f>CONCATENATE(Consulta1[[#This Row],[id]],Consulta1[[#This Row],[EMPREGADOR]])</f>
        <v>3GOV MG PM</v>
      </c>
      <c r="C207" s="6">
        <f>IF(A207=A206,C206+1,1)</f>
        <v>3</v>
      </c>
      <c r="D207" t="s">
        <v>2685</v>
      </c>
      <c r="E207" s="101">
        <v>0.02</v>
      </c>
      <c r="F207" s="6">
        <v>120</v>
      </c>
      <c r="G207" t="s">
        <v>1349</v>
      </c>
      <c r="H207" s="82">
        <v>2.5</v>
      </c>
      <c r="I207">
        <v>7</v>
      </c>
      <c r="J207">
        <v>53</v>
      </c>
      <c r="K207" t="s">
        <v>2686</v>
      </c>
      <c r="L207" s="6" t="s">
        <v>1605</v>
      </c>
      <c r="M207" s="6">
        <v>29</v>
      </c>
      <c r="N207" s="6">
        <v>2</v>
      </c>
      <c r="O207">
        <v>500</v>
      </c>
      <c r="P207">
        <v>202605</v>
      </c>
      <c r="Q207" t="s">
        <v>377</v>
      </c>
      <c r="R207" t="s">
        <v>1353</v>
      </c>
      <c r="S207">
        <f>Consulta1[[#This Row],[min_port]]/100</f>
        <v>1.43E-2</v>
      </c>
      <c r="T207" s="252">
        <f>Consulta1[[#This Row],[TETO_COMERCIAL]]/100</f>
        <v>2.5000000000000001E-2</v>
      </c>
      <c r="U207" t="b">
        <f>Consulta1[[#This Row],[TETO_COMERCIAL_%]]=Consulta1[[#This Row],[TAXA]]</f>
        <v>0</v>
      </c>
      <c r="V207" t="str">
        <f>CONCATENATE(Consulta1[[#This Row],[MES_ALTERACAO]],Consulta1[[#This Row],[VIRADA]])</f>
        <v>20260529</v>
      </c>
      <c r="W207">
        <f>VLOOKUP(Consulta1[[#This Row],[Coluna2]],CALENDARIO!$J:$K,2,FALSE)</f>
        <v>20</v>
      </c>
    </row>
    <row r="208" spans="1:23" x14ac:dyDescent="0.25">
      <c r="A208" t="s">
        <v>3005</v>
      </c>
      <c r="B208" t="str">
        <f>CONCATENATE(Consulta1[[#This Row],[id]],Consulta1[[#This Row],[EMPREGADOR]])</f>
        <v>4GOV MG PM</v>
      </c>
      <c r="C208" s="6">
        <f>IF(A208=A207,C207+1,1)</f>
        <v>4</v>
      </c>
      <c r="D208" t="s">
        <v>2687</v>
      </c>
      <c r="E208" s="101">
        <v>1.95E-2</v>
      </c>
      <c r="F208" s="6">
        <v>120</v>
      </c>
      <c r="G208" t="s">
        <v>1349</v>
      </c>
      <c r="H208" s="82">
        <v>2.5</v>
      </c>
      <c r="I208">
        <v>7</v>
      </c>
      <c r="J208">
        <v>53</v>
      </c>
      <c r="K208" t="s">
        <v>2688</v>
      </c>
      <c r="L208" s="6" t="s">
        <v>1605</v>
      </c>
      <c r="M208" s="6">
        <v>29</v>
      </c>
      <c r="N208" s="6">
        <v>2</v>
      </c>
      <c r="O208">
        <v>500</v>
      </c>
      <c r="P208">
        <v>202605</v>
      </c>
      <c r="Q208" t="s">
        <v>377</v>
      </c>
      <c r="R208" t="s">
        <v>1353</v>
      </c>
      <c r="S208">
        <f>Consulta1[[#This Row],[min_port]]/100</f>
        <v>1.43E-2</v>
      </c>
      <c r="T208" s="252">
        <f>Consulta1[[#This Row],[TETO_COMERCIAL]]/100</f>
        <v>2.5000000000000001E-2</v>
      </c>
      <c r="U208" t="b">
        <f>Consulta1[[#This Row],[TETO_COMERCIAL_%]]=Consulta1[[#This Row],[TAXA]]</f>
        <v>0</v>
      </c>
      <c r="V208" t="str">
        <f>CONCATENATE(Consulta1[[#This Row],[MES_ALTERACAO]],Consulta1[[#This Row],[VIRADA]])</f>
        <v>20260529</v>
      </c>
      <c r="W208">
        <f>VLOOKUP(Consulta1[[#This Row],[Coluna2]],CALENDARIO!$J:$K,2,FALSE)</f>
        <v>20</v>
      </c>
    </row>
    <row r="209" spans="1:23" x14ac:dyDescent="0.25">
      <c r="A209" t="s">
        <v>3005</v>
      </c>
      <c r="B209" t="str">
        <f>CONCATENATE(Consulta1[[#This Row],[id]],Consulta1[[#This Row],[EMPREGADOR]])</f>
        <v>5GOV MG PM</v>
      </c>
      <c r="C209" s="6">
        <f>IF(A209=A208,C208+1,1)</f>
        <v>5</v>
      </c>
      <c r="D209" t="s">
        <v>2689</v>
      </c>
      <c r="E209" s="101">
        <v>1.9E-2</v>
      </c>
      <c r="F209" s="6">
        <v>120</v>
      </c>
      <c r="G209" t="s">
        <v>1349</v>
      </c>
      <c r="H209" s="82">
        <v>2.5</v>
      </c>
      <c r="I209">
        <v>7</v>
      </c>
      <c r="J209">
        <v>56</v>
      </c>
      <c r="K209" t="s">
        <v>2690</v>
      </c>
      <c r="L209" s="6" t="s">
        <v>1605</v>
      </c>
      <c r="M209" s="6">
        <v>29</v>
      </c>
      <c r="N209" s="6">
        <v>2</v>
      </c>
      <c r="O209">
        <v>500</v>
      </c>
      <c r="P209">
        <v>202605</v>
      </c>
      <c r="Q209" t="s">
        <v>377</v>
      </c>
      <c r="R209" t="s">
        <v>1353</v>
      </c>
      <c r="S209">
        <f>Consulta1[[#This Row],[min_port]]/100</f>
        <v>1.43E-2</v>
      </c>
      <c r="T209" s="252">
        <f>Consulta1[[#This Row],[TETO_COMERCIAL]]/100</f>
        <v>2.5000000000000001E-2</v>
      </c>
      <c r="U209" t="b">
        <f>Consulta1[[#This Row],[TETO_COMERCIAL_%]]=Consulta1[[#This Row],[TAXA]]</f>
        <v>0</v>
      </c>
      <c r="V209" t="str">
        <f>CONCATENATE(Consulta1[[#This Row],[MES_ALTERACAO]],Consulta1[[#This Row],[VIRADA]])</f>
        <v>20260529</v>
      </c>
      <c r="W209">
        <f>VLOOKUP(Consulta1[[#This Row],[Coluna2]],CALENDARIO!$J:$K,2,FALSE)</f>
        <v>20</v>
      </c>
    </row>
    <row r="210" spans="1:23" x14ac:dyDescent="0.25">
      <c r="A210" t="s">
        <v>3005</v>
      </c>
      <c r="B210" t="str">
        <f>CONCATENATE(Consulta1[[#This Row],[id]],Consulta1[[#This Row],[EMPREGADOR]])</f>
        <v>6GOV MG PM</v>
      </c>
      <c r="C210" s="6">
        <f>IF(A210=A209,C209+1,1)</f>
        <v>6</v>
      </c>
      <c r="D210" t="s">
        <v>2691</v>
      </c>
      <c r="E210" s="101">
        <v>1.8500000000000003E-2</v>
      </c>
      <c r="F210" s="6">
        <v>120</v>
      </c>
      <c r="G210" t="s">
        <v>1349</v>
      </c>
      <c r="H210" s="82">
        <v>2.5</v>
      </c>
      <c r="I210">
        <v>7</v>
      </c>
      <c r="J210">
        <v>54</v>
      </c>
      <c r="K210" t="s">
        <v>2692</v>
      </c>
      <c r="L210" s="6" t="s">
        <v>1605</v>
      </c>
      <c r="M210" s="6">
        <v>29</v>
      </c>
      <c r="N210" s="6">
        <v>2</v>
      </c>
      <c r="O210">
        <v>500</v>
      </c>
      <c r="P210">
        <v>202605</v>
      </c>
      <c r="Q210" t="s">
        <v>377</v>
      </c>
      <c r="R210" t="s">
        <v>1353</v>
      </c>
      <c r="S210">
        <f>Consulta1[[#This Row],[min_port]]/100</f>
        <v>1.43E-2</v>
      </c>
      <c r="T210" s="252">
        <f>Consulta1[[#This Row],[TETO_COMERCIAL]]/100</f>
        <v>2.5000000000000001E-2</v>
      </c>
      <c r="U210" t="b">
        <f>Consulta1[[#This Row],[TETO_COMERCIAL_%]]=Consulta1[[#This Row],[TAXA]]</f>
        <v>0</v>
      </c>
      <c r="V210" t="str">
        <f>CONCATENATE(Consulta1[[#This Row],[MES_ALTERACAO]],Consulta1[[#This Row],[VIRADA]])</f>
        <v>20260529</v>
      </c>
      <c r="W210">
        <f>VLOOKUP(Consulta1[[#This Row],[Coluna2]],CALENDARIO!$J:$K,2,FALSE)</f>
        <v>20</v>
      </c>
    </row>
    <row r="211" spans="1:23" x14ac:dyDescent="0.25">
      <c r="A211" t="s">
        <v>3005</v>
      </c>
      <c r="B211" t="str">
        <f>CONCATENATE(Consulta1[[#This Row],[id]],Consulta1[[#This Row],[EMPREGADOR]])</f>
        <v>7GOV MG PM</v>
      </c>
      <c r="C211" s="6">
        <f>IF(A211=A210,C210+1,1)</f>
        <v>7</v>
      </c>
      <c r="D211" t="s">
        <v>2693</v>
      </c>
      <c r="E211" s="101">
        <v>1.8000000000000002E-2</v>
      </c>
      <c r="F211" s="6">
        <v>120</v>
      </c>
      <c r="G211" t="s">
        <v>1349</v>
      </c>
      <c r="H211" s="82">
        <v>2.5</v>
      </c>
      <c r="I211">
        <v>7</v>
      </c>
      <c r="J211">
        <v>53</v>
      </c>
      <c r="K211" t="s">
        <v>2694</v>
      </c>
      <c r="L211" s="6" t="s">
        <v>1605</v>
      </c>
      <c r="M211" s="6">
        <v>29</v>
      </c>
      <c r="N211" s="6">
        <v>2</v>
      </c>
      <c r="O211">
        <v>500</v>
      </c>
      <c r="P211">
        <v>202605</v>
      </c>
      <c r="Q211" t="s">
        <v>377</v>
      </c>
      <c r="R211" t="s">
        <v>1353</v>
      </c>
      <c r="S211">
        <f>Consulta1[[#This Row],[min_port]]/100</f>
        <v>1.43E-2</v>
      </c>
      <c r="T211" s="252">
        <f>Consulta1[[#This Row],[TETO_COMERCIAL]]/100</f>
        <v>2.5000000000000001E-2</v>
      </c>
      <c r="U211" t="b">
        <f>Consulta1[[#This Row],[TETO_COMERCIAL_%]]=Consulta1[[#This Row],[TAXA]]</f>
        <v>0</v>
      </c>
      <c r="V211" t="str">
        <f>CONCATENATE(Consulta1[[#This Row],[MES_ALTERACAO]],Consulta1[[#This Row],[VIRADA]])</f>
        <v>20260529</v>
      </c>
      <c r="W211">
        <f>VLOOKUP(Consulta1[[#This Row],[Coluna2]],CALENDARIO!$J:$K,2,FALSE)</f>
        <v>20</v>
      </c>
    </row>
    <row r="212" spans="1:23" x14ac:dyDescent="0.25">
      <c r="A212" t="s">
        <v>3005</v>
      </c>
      <c r="B212" t="str">
        <f>CONCATENATE(Consulta1[[#This Row],[id]],Consulta1[[#This Row],[EMPREGADOR]])</f>
        <v>8GOV MG PM</v>
      </c>
      <c r="C212" s="6">
        <f>IF(A212=A211,C211+1,1)</f>
        <v>8</v>
      </c>
      <c r="D212" t="s">
        <v>2695</v>
      </c>
      <c r="E212" s="101">
        <v>1.7500000000000002E-2</v>
      </c>
      <c r="F212" s="6">
        <v>120</v>
      </c>
      <c r="G212" t="s">
        <v>1349</v>
      </c>
      <c r="H212" s="82">
        <v>2.5</v>
      </c>
      <c r="I212">
        <v>7</v>
      </c>
      <c r="J212">
        <v>52</v>
      </c>
      <c r="K212" t="s">
        <v>2696</v>
      </c>
      <c r="L212" s="6" t="s">
        <v>1605</v>
      </c>
      <c r="M212" s="6">
        <v>29</v>
      </c>
      <c r="N212" s="6">
        <v>2</v>
      </c>
      <c r="O212">
        <v>500</v>
      </c>
      <c r="P212">
        <v>202605</v>
      </c>
      <c r="Q212" t="s">
        <v>377</v>
      </c>
      <c r="R212" t="s">
        <v>1353</v>
      </c>
      <c r="S212">
        <f>Consulta1[[#This Row],[min_port]]/100</f>
        <v>1.43E-2</v>
      </c>
      <c r="T212" s="252">
        <f>Consulta1[[#This Row],[TETO_COMERCIAL]]/100</f>
        <v>2.5000000000000001E-2</v>
      </c>
      <c r="U212" t="b">
        <f>Consulta1[[#This Row],[TETO_COMERCIAL_%]]=Consulta1[[#This Row],[TAXA]]</f>
        <v>0</v>
      </c>
      <c r="V212" t="str">
        <f>CONCATENATE(Consulta1[[#This Row],[MES_ALTERACAO]],Consulta1[[#This Row],[VIRADA]])</f>
        <v>20260529</v>
      </c>
      <c r="W212">
        <f>VLOOKUP(Consulta1[[#This Row],[Coluna2]],CALENDARIO!$J:$K,2,FALSE)</f>
        <v>20</v>
      </c>
    </row>
    <row r="213" spans="1:23" x14ac:dyDescent="0.25">
      <c r="A213" t="s">
        <v>3005</v>
      </c>
      <c r="B213" t="str">
        <f>CONCATENATE(Consulta1[[#This Row],[id]],Consulta1[[#This Row],[EMPREGADOR]])</f>
        <v>9GOV MG PM</v>
      </c>
      <c r="C213" s="6">
        <f>IF(A213=A212,C212+1,1)</f>
        <v>9</v>
      </c>
      <c r="D213" t="s">
        <v>2697</v>
      </c>
      <c r="E213" s="101">
        <v>1.7000000000000001E-2</v>
      </c>
      <c r="F213" s="6">
        <v>120</v>
      </c>
      <c r="G213" t="s">
        <v>1349</v>
      </c>
      <c r="H213" s="82">
        <v>2.5</v>
      </c>
      <c r="I213">
        <v>7</v>
      </c>
      <c r="J213">
        <v>52</v>
      </c>
      <c r="K213" t="s">
        <v>2698</v>
      </c>
      <c r="L213" s="6" t="s">
        <v>1605</v>
      </c>
      <c r="M213" s="6">
        <v>29</v>
      </c>
      <c r="N213" s="6">
        <v>2</v>
      </c>
      <c r="O213">
        <v>500</v>
      </c>
      <c r="P213">
        <v>202605</v>
      </c>
      <c r="Q213" t="s">
        <v>377</v>
      </c>
      <c r="R213" t="s">
        <v>1353</v>
      </c>
      <c r="S213">
        <f>Consulta1[[#This Row],[min_port]]/100</f>
        <v>1.43E-2</v>
      </c>
      <c r="T213" s="252">
        <f>Consulta1[[#This Row],[TETO_COMERCIAL]]/100</f>
        <v>2.5000000000000001E-2</v>
      </c>
      <c r="U213" t="b">
        <f>Consulta1[[#This Row],[TETO_COMERCIAL_%]]=Consulta1[[#This Row],[TAXA]]</f>
        <v>0</v>
      </c>
      <c r="V213" t="str">
        <f>CONCATENATE(Consulta1[[#This Row],[MES_ALTERACAO]],Consulta1[[#This Row],[VIRADA]])</f>
        <v>20260529</v>
      </c>
      <c r="W213">
        <f>VLOOKUP(Consulta1[[#This Row],[Coluna2]],CALENDARIO!$J:$K,2,FALSE)</f>
        <v>20</v>
      </c>
    </row>
    <row r="214" spans="1:23" x14ac:dyDescent="0.25">
      <c r="A214" t="s">
        <v>3005</v>
      </c>
      <c r="B214" t="str">
        <f>CONCATENATE(Consulta1[[#This Row],[id]],Consulta1[[#This Row],[EMPREGADOR]])</f>
        <v>10GOV MG PM</v>
      </c>
      <c r="C214" s="6">
        <f>IF(A214=A213,C213+1,1)</f>
        <v>10</v>
      </c>
      <c r="D214" t="s">
        <v>2699</v>
      </c>
      <c r="E214" s="101">
        <v>1.6500000000000001E-2</v>
      </c>
      <c r="F214" s="6">
        <v>120</v>
      </c>
      <c r="G214" t="s">
        <v>1349</v>
      </c>
      <c r="H214" s="82">
        <v>2.5</v>
      </c>
      <c r="I214">
        <v>7</v>
      </c>
      <c r="J214">
        <v>53</v>
      </c>
      <c r="K214" t="s">
        <v>2700</v>
      </c>
      <c r="L214" s="6" t="s">
        <v>1605</v>
      </c>
      <c r="M214" s="6">
        <v>29</v>
      </c>
      <c r="N214" s="6">
        <v>2</v>
      </c>
      <c r="O214">
        <v>500</v>
      </c>
      <c r="P214">
        <v>202605</v>
      </c>
      <c r="Q214" t="s">
        <v>377</v>
      </c>
      <c r="R214" t="s">
        <v>1353</v>
      </c>
      <c r="S214">
        <f>Consulta1[[#This Row],[min_port]]/100</f>
        <v>1.43E-2</v>
      </c>
      <c r="T214" s="252">
        <f>Consulta1[[#This Row],[TETO_COMERCIAL]]/100</f>
        <v>2.5000000000000001E-2</v>
      </c>
      <c r="U214" t="b">
        <f>Consulta1[[#This Row],[TETO_COMERCIAL_%]]=Consulta1[[#This Row],[TAXA]]</f>
        <v>0</v>
      </c>
      <c r="V214" t="str">
        <f>CONCATENATE(Consulta1[[#This Row],[MES_ALTERACAO]],Consulta1[[#This Row],[VIRADA]])</f>
        <v>20260529</v>
      </c>
      <c r="W214">
        <f>VLOOKUP(Consulta1[[#This Row],[Coluna2]],CALENDARIO!$J:$K,2,FALSE)</f>
        <v>20</v>
      </c>
    </row>
    <row r="215" spans="1:23" x14ac:dyDescent="0.25">
      <c r="A215" t="s">
        <v>3005</v>
      </c>
      <c r="B215" t="str">
        <f>CONCATENATE(Consulta1[[#This Row],[id]],Consulta1[[#This Row],[EMPREGADOR]])</f>
        <v>11GOV MG PM</v>
      </c>
      <c r="C215" s="6">
        <f>IF(A215=A214,C214+1,1)</f>
        <v>11</v>
      </c>
      <c r="D215" t="s">
        <v>2701</v>
      </c>
      <c r="E215" s="101">
        <v>1.6299999999999999E-2</v>
      </c>
      <c r="F215" s="6">
        <v>120</v>
      </c>
      <c r="G215" t="s">
        <v>1349</v>
      </c>
      <c r="H215" s="82">
        <v>2.5</v>
      </c>
      <c r="I215">
        <v>7</v>
      </c>
      <c r="J215">
        <v>52</v>
      </c>
      <c r="K215" t="s">
        <v>2702</v>
      </c>
      <c r="L215" s="6" t="s">
        <v>1605</v>
      </c>
      <c r="M215" s="6">
        <v>29</v>
      </c>
      <c r="N215" s="6">
        <v>2</v>
      </c>
      <c r="O215">
        <v>30000</v>
      </c>
      <c r="P215">
        <v>202605</v>
      </c>
      <c r="Q215" t="s">
        <v>377</v>
      </c>
      <c r="R215" t="s">
        <v>1353</v>
      </c>
      <c r="S215">
        <f>Consulta1[[#This Row],[min_port]]/100</f>
        <v>1.43E-2</v>
      </c>
      <c r="T215" s="252">
        <f>Consulta1[[#This Row],[TETO_COMERCIAL]]/100</f>
        <v>2.5000000000000001E-2</v>
      </c>
      <c r="U215" t="b">
        <f>Consulta1[[#This Row],[TETO_COMERCIAL_%]]=Consulta1[[#This Row],[TAXA]]</f>
        <v>0</v>
      </c>
      <c r="V215" t="str">
        <f>CONCATENATE(Consulta1[[#This Row],[MES_ALTERACAO]],Consulta1[[#This Row],[VIRADA]])</f>
        <v>20260529</v>
      </c>
      <c r="W215">
        <f>VLOOKUP(Consulta1[[#This Row],[Coluna2]],CALENDARIO!$J:$K,2,FALSE)</f>
        <v>20</v>
      </c>
    </row>
    <row r="216" spans="1:23" x14ac:dyDescent="0.25">
      <c r="A216" t="s">
        <v>3005</v>
      </c>
      <c r="B216" t="str">
        <f>CONCATENATE(Consulta1[[#This Row],[id]],Consulta1[[#This Row],[EMPREGADOR]])</f>
        <v>12GOV MG PM</v>
      </c>
      <c r="C216" s="6">
        <f>IF(A216=A215,C215+1,1)</f>
        <v>12</v>
      </c>
      <c r="D216" t="s">
        <v>2703</v>
      </c>
      <c r="E216" s="101">
        <v>1.61E-2</v>
      </c>
      <c r="F216" s="6">
        <v>120</v>
      </c>
      <c r="G216" t="s">
        <v>1349</v>
      </c>
      <c r="H216" s="82">
        <v>2.5</v>
      </c>
      <c r="I216">
        <v>7</v>
      </c>
      <c r="J216">
        <v>53</v>
      </c>
      <c r="K216" t="s">
        <v>2704</v>
      </c>
      <c r="L216" s="6" t="s">
        <v>1605</v>
      </c>
      <c r="M216" s="6">
        <v>29</v>
      </c>
      <c r="N216" s="6">
        <v>2</v>
      </c>
      <c r="O216">
        <v>50000</v>
      </c>
      <c r="P216">
        <v>202605</v>
      </c>
      <c r="Q216" t="s">
        <v>377</v>
      </c>
      <c r="R216" t="s">
        <v>1353</v>
      </c>
      <c r="S216">
        <f>Consulta1[[#This Row],[min_port]]/100</f>
        <v>1.43E-2</v>
      </c>
      <c r="T216" s="252">
        <f>Consulta1[[#This Row],[TETO_COMERCIAL]]/100</f>
        <v>2.5000000000000001E-2</v>
      </c>
      <c r="U216" t="b">
        <f>Consulta1[[#This Row],[TETO_COMERCIAL_%]]=Consulta1[[#This Row],[TAXA]]</f>
        <v>0</v>
      </c>
      <c r="V216" t="str">
        <f>CONCATENATE(Consulta1[[#This Row],[MES_ALTERACAO]],Consulta1[[#This Row],[VIRADA]])</f>
        <v>20260529</v>
      </c>
      <c r="W216">
        <f>VLOOKUP(Consulta1[[#This Row],[Coluna2]],CALENDARIO!$J:$K,2,FALSE)</f>
        <v>20</v>
      </c>
    </row>
    <row r="217" spans="1:23" x14ac:dyDescent="0.25">
      <c r="A217" t="s">
        <v>3006</v>
      </c>
      <c r="B217" t="str">
        <f>CONCATENATE(Consulta1[[#This Row],[id]],Consulta1[[#This Row],[EMPREGADOR]])</f>
        <v>1GOV MG SEPLAG</v>
      </c>
      <c r="C217" s="6">
        <f>IF(A217=A216,C216+1,1)</f>
        <v>1</v>
      </c>
      <c r="D217" t="s">
        <v>2705</v>
      </c>
      <c r="E217" s="101">
        <v>2.5000000000000001E-2</v>
      </c>
      <c r="F217" s="6">
        <v>120</v>
      </c>
      <c r="G217" t="s">
        <v>1349</v>
      </c>
      <c r="H217" s="82">
        <v>2.5</v>
      </c>
      <c r="I217">
        <v>7</v>
      </c>
      <c r="J217">
        <v>34</v>
      </c>
      <c r="K217" t="s">
        <v>2706</v>
      </c>
      <c r="L217" s="6" t="s">
        <v>1605</v>
      </c>
      <c r="M217" s="6">
        <v>13</v>
      </c>
      <c r="N217" s="6">
        <v>2</v>
      </c>
      <c r="O217">
        <v>500</v>
      </c>
      <c r="P217">
        <v>202605</v>
      </c>
      <c r="Q217" t="s">
        <v>377</v>
      </c>
      <c r="R217" t="s">
        <v>1350</v>
      </c>
      <c r="S217">
        <f>Consulta1[[#This Row],[min_port]]/100</f>
        <v>1.43E-2</v>
      </c>
      <c r="T217" s="252">
        <f>Consulta1[[#This Row],[TETO_COMERCIAL]]/100</f>
        <v>2.5000000000000001E-2</v>
      </c>
      <c r="U217" t="b">
        <f>Consulta1[[#This Row],[TETO_COMERCIAL_%]]=Consulta1[[#This Row],[TAXA]]</f>
        <v>1</v>
      </c>
      <c r="V217" t="str">
        <f>CONCATENATE(Consulta1[[#This Row],[MES_ALTERACAO]],Consulta1[[#This Row],[VIRADA]])</f>
        <v>20260513</v>
      </c>
      <c r="W217">
        <f>VLOOKUP(Consulta1[[#This Row],[Coluna2]],CALENDARIO!$J:$K,2,FALSE)</f>
        <v>8</v>
      </c>
    </row>
    <row r="218" spans="1:23" x14ac:dyDescent="0.25">
      <c r="A218" t="s">
        <v>3006</v>
      </c>
      <c r="B218" t="str">
        <f>CONCATENATE(Consulta1[[#This Row],[id]],Consulta1[[#This Row],[EMPREGADOR]])</f>
        <v>2GOV MG SEPLAG</v>
      </c>
      <c r="C218" s="6">
        <f>IF(A218=A217,C217+1,1)</f>
        <v>2</v>
      </c>
      <c r="D218" t="s">
        <v>2707</v>
      </c>
      <c r="E218" s="101">
        <v>2.2499999999999999E-2</v>
      </c>
      <c r="F218" s="6">
        <v>120</v>
      </c>
      <c r="G218" t="s">
        <v>1349</v>
      </c>
      <c r="H218" s="82">
        <v>2.5</v>
      </c>
      <c r="I218">
        <v>7</v>
      </c>
      <c r="J218">
        <v>37</v>
      </c>
      <c r="K218" t="s">
        <v>2708</v>
      </c>
      <c r="L218" s="6" t="s">
        <v>1605</v>
      </c>
      <c r="M218" s="6">
        <v>13</v>
      </c>
      <c r="N218" s="6">
        <v>2</v>
      </c>
      <c r="O218">
        <v>500</v>
      </c>
      <c r="P218">
        <v>202605</v>
      </c>
      <c r="Q218" t="s">
        <v>377</v>
      </c>
      <c r="R218" t="s">
        <v>1350</v>
      </c>
      <c r="S218">
        <f>Consulta1[[#This Row],[min_port]]/100</f>
        <v>1.43E-2</v>
      </c>
      <c r="T218" s="252">
        <f>Consulta1[[#This Row],[TETO_COMERCIAL]]/100</f>
        <v>2.5000000000000001E-2</v>
      </c>
      <c r="U218" t="b">
        <f>Consulta1[[#This Row],[TETO_COMERCIAL_%]]=Consulta1[[#This Row],[TAXA]]</f>
        <v>0</v>
      </c>
      <c r="V218" t="str">
        <f>CONCATENATE(Consulta1[[#This Row],[MES_ALTERACAO]],Consulta1[[#This Row],[VIRADA]])</f>
        <v>20260513</v>
      </c>
      <c r="W218">
        <f>VLOOKUP(Consulta1[[#This Row],[Coluna2]],CALENDARIO!$J:$K,2,FALSE)</f>
        <v>8</v>
      </c>
    </row>
    <row r="219" spans="1:23" x14ac:dyDescent="0.25">
      <c r="A219" t="s">
        <v>3006</v>
      </c>
      <c r="B219" t="str">
        <f>CONCATENATE(Consulta1[[#This Row],[id]],Consulta1[[#This Row],[EMPREGADOR]])</f>
        <v>3GOV MG SEPLAG</v>
      </c>
      <c r="C219" s="6">
        <f>IF(A219=A218,C218+1,1)</f>
        <v>3</v>
      </c>
      <c r="D219" t="s">
        <v>2709</v>
      </c>
      <c r="E219" s="101">
        <v>0.02</v>
      </c>
      <c r="F219" s="6">
        <v>120</v>
      </c>
      <c r="G219" t="s">
        <v>1349</v>
      </c>
      <c r="H219" s="82">
        <v>2.5</v>
      </c>
      <c r="I219">
        <v>7</v>
      </c>
      <c r="J219">
        <v>37</v>
      </c>
      <c r="K219" t="s">
        <v>2710</v>
      </c>
      <c r="L219" s="6" t="s">
        <v>1605</v>
      </c>
      <c r="M219" s="6">
        <v>13</v>
      </c>
      <c r="N219" s="6">
        <v>2</v>
      </c>
      <c r="O219">
        <v>500</v>
      </c>
      <c r="P219">
        <v>202605</v>
      </c>
      <c r="Q219" t="s">
        <v>377</v>
      </c>
      <c r="R219" t="s">
        <v>1350</v>
      </c>
      <c r="S219">
        <f>Consulta1[[#This Row],[min_port]]/100</f>
        <v>1.43E-2</v>
      </c>
      <c r="T219" s="252">
        <f>Consulta1[[#This Row],[TETO_COMERCIAL]]/100</f>
        <v>2.5000000000000001E-2</v>
      </c>
      <c r="U219" t="b">
        <f>Consulta1[[#This Row],[TETO_COMERCIAL_%]]=Consulta1[[#This Row],[TAXA]]</f>
        <v>0</v>
      </c>
      <c r="V219" t="str">
        <f>CONCATENATE(Consulta1[[#This Row],[MES_ALTERACAO]],Consulta1[[#This Row],[VIRADA]])</f>
        <v>20260513</v>
      </c>
      <c r="W219">
        <f>VLOOKUP(Consulta1[[#This Row],[Coluna2]],CALENDARIO!$J:$K,2,FALSE)</f>
        <v>8</v>
      </c>
    </row>
    <row r="220" spans="1:23" x14ac:dyDescent="0.25">
      <c r="A220" t="s">
        <v>3006</v>
      </c>
      <c r="B220" t="str">
        <f>CONCATENATE(Consulta1[[#This Row],[id]],Consulta1[[#This Row],[EMPREGADOR]])</f>
        <v>4GOV MG SEPLAG</v>
      </c>
      <c r="C220" s="6">
        <f>IF(A220=A219,C219+1,1)</f>
        <v>4</v>
      </c>
      <c r="D220" t="s">
        <v>2711</v>
      </c>
      <c r="E220" s="101">
        <v>1.95E-2</v>
      </c>
      <c r="F220" s="6">
        <v>120</v>
      </c>
      <c r="G220" t="s">
        <v>1349</v>
      </c>
      <c r="H220" s="82">
        <v>2.5</v>
      </c>
      <c r="I220">
        <v>7</v>
      </c>
      <c r="J220">
        <v>37</v>
      </c>
      <c r="K220" t="s">
        <v>2712</v>
      </c>
      <c r="L220" s="6" t="s">
        <v>1605</v>
      </c>
      <c r="M220" s="6">
        <v>13</v>
      </c>
      <c r="N220" s="6">
        <v>2</v>
      </c>
      <c r="O220">
        <v>500</v>
      </c>
      <c r="P220">
        <v>202605</v>
      </c>
      <c r="Q220" t="s">
        <v>377</v>
      </c>
      <c r="R220" t="s">
        <v>1350</v>
      </c>
      <c r="S220">
        <f>Consulta1[[#This Row],[min_port]]/100</f>
        <v>1.43E-2</v>
      </c>
      <c r="T220" s="252">
        <f>Consulta1[[#This Row],[TETO_COMERCIAL]]/100</f>
        <v>2.5000000000000001E-2</v>
      </c>
      <c r="U220" t="b">
        <f>Consulta1[[#This Row],[TETO_COMERCIAL_%]]=Consulta1[[#This Row],[TAXA]]</f>
        <v>0</v>
      </c>
      <c r="V220" t="str">
        <f>CONCATENATE(Consulta1[[#This Row],[MES_ALTERACAO]],Consulta1[[#This Row],[VIRADA]])</f>
        <v>20260513</v>
      </c>
      <c r="W220">
        <f>VLOOKUP(Consulta1[[#This Row],[Coluna2]],CALENDARIO!$J:$K,2,FALSE)</f>
        <v>8</v>
      </c>
    </row>
    <row r="221" spans="1:23" x14ac:dyDescent="0.25">
      <c r="A221" t="s">
        <v>3006</v>
      </c>
      <c r="B221" t="str">
        <f>CONCATENATE(Consulta1[[#This Row],[id]],Consulta1[[#This Row],[EMPREGADOR]])</f>
        <v>5GOV MG SEPLAG</v>
      </c>
      <c r="C221" s="6">
        <f>IF(A221=A220,C220+1,1)</f>
        <v>5</v>
      </c>
      <c r="D221" t="s">
        <v>2713</v>
      </c>
      <c r="E221" s="101">
        <v>1.9E-2</v>
      </c>
      <c r="F221" s="6">
        <v>120</v>
      </c>
      <c r="G221" t="s">
        <v>1349</v>
      </c>
      <c r="H221" s="82">
        <v>2.5</v>
      </c>
      <c r="I221">
        <v>7</v>
      </c>
      <c r="J221">
        <v>36</v>
      </c>
      <c r="K221" t="s">
        <v>2714</v>
      </c>
      <c r="L221" s="6" t="s">
        <v>1605</v>
      </c>
      <c r="M221" s="6">
        <v>13</v>
      </c>
      <c r="N221" s="6">
        <v>2</v>
      </c>
      <c r="O221">
        <v>500</v>
      </c>
      <c r="P221">
        <v>202605</v>
      </c>
      <c r="Q221" t="s">
        <v>377</v>
      </c>
      <c r="R221" t="s">
        <v>1350</v>
      </c>
      <c r="S221">
        <f>Consulta1[[#This Row],[min_port]]/100</f>
        <v>1.43E-2</v>
      </c>
      <c r="T221" s="252">
        <f>Consulta1[[#This Row],[TETO_COMERCIAL]]/100</f>
        <v>2.5000000000000001E-2</v>
      </c>
      <c r="U221" t="b">
        <f>Consulta1[[#This Row],[TETO_COMERCIAL_%]]=Consulta1[[#This Row],[TAXA]]</f>
        <v>0</v>
      </c>
      <c r="V221" t="str">
        <f>CONCATENATE(Consulta1[[#This Row],[MES_ALTERACAO]],Consulta1[[#This Row],[VIRADA]])</f>
        <v>20260513</v>
      </c>
      <c r="W221">
        <f>VLOOKUP(Consulta1[[#This Row],[Coluna2]],CALENDARIO!$J:$K,2,FALSE)</f>
        <v>8</v>
      </c>
    </row>
    <row r="222" spans="1:23" x14ac:dyDescent="0.25">
      <c r="A222" t="s">
        <v>3006</v>
      </c>
      <c r="B222" t="str">
        <f>CONCATENATE(Consulta1[[#This Row],[id]],Consulta1[[#This Row],[EMPREGADOR]])</f>
        <v>6GOV MG SEPLAG</v>
      </c>
      <c r="C222" s="6">
        <f>IF(A222=A221,C221+1,1)</f>
        <v>6</v>
      </c>
      <c r="D222" t="s">
        <v>2715</v>
      </c>
      <c r="E222" s="101">
        <v>1.8500000000000003E-2</v>
      </c>
      <c r="F222" s="6">
        <v>120</v>
      </c>
      <c r="G222" t="s">
        <v>1349</v>
      </c>
      <c r="H222" s="82">
        <v>2.5</v>
      </c>
      <c r="I222">
        <v>7</v>
      </c>
      <c r="J222">
        <v>36</v>
      </c>
      <c r="K222" t="s">
        <v>2716</v>
      </c>
      <c r="L222" s="6" t="s">
        <v>1605</v>
      </c>
      <c r="M222" s="6">
        <v>13</v>
      </c>
      <c r="N222" s="6">
        <v>2</v>
      </c>
      <c r="O222">
        <v>500</v>
      </c>
      <c r="P222">
        <v>202605</v>
      </c>
      <c r="Q222" t="s">
        <v>377</v>
      </c>
      <c r="R222" t="s">
        <v>1350</v>
      </c>
      <c r="S222">
        <f>Consulta1[[#This Row],[min_port]]/100</f>
        <v>1.43E-2</v>
      </c>
      <c r="T222" s="252">
        <f>Consulta1[[#This Row],[TETO_COMERCIAL]]/100</f>
        <v>2.5000000000000001E-2</v>
      </c>
      <c r="U222" t="b">
        <f>Consulta1[[#This Row],[TETO_COMERCIAL_%]]=Consulta1[[#This Row],[TAXA]]</f>
        <v>0</v>
      </c>
      <c r="V222" t="str">
        <f>CONCATENATE(Consulta1[[#This Row],[MES_ALTERACAO]],Consulta1[[#This Row],[VIRADA]])</f>
        <v>20260513</v>
      </c>
      <c r="W222">
        <f>VLOOKUP(Consulta1[[#This Row],[Coluna2]],CALENDARIO!$J:$K,2,FALSE)</f>
        <v>8</v>
      </c>
    </row>
    <row r="223" spans="1:23" x14ac:dyDescent="0.25">
      <c r="A223" t="s">
        <v>3006</v>
      </c>
      <c r="B223" t="str">
        <f>CONCATENATE(Consulta1[[#This Row],[id]],Consulta1[[#This Row],[EMPREGADOR]])</f>
        <v>7GOV MG SEPLAG</v>
      </c>
      <c r="C223" s="6">
        <f>IF(A223=A222,C222+1,1)</f>
        <v>7</v>
      </c>
      <c r="D223" t="s">
        <v>2717</v>
      </c>
      <c r="E223" s="101">
        <v>1.8000000000000002E-2</v>
      </c>
      <c r="F223" s="6">
        <v>120</v>
      </c>
      <c r="G223" t="s">
        <v>1349</v>
      </c>
      <c r="H223" s="82">
        <v>2.5</v>
      </c>
      <c r="I223">
        <v>7</v>
      </c>
      <c r="J223">
        <v>36</v>
      </c>
      <c r="K223" t="s">
        <v>2718</v>
      </c>
      <c r="L223" s="6" t="s">
        <v>1605</v>
      </c>
      <c r="M223" s="6">
        <v>13</v>
      </c>
      <c r="N223" s="6">
        <v>2</v>
      </c>
      <c r="O223">
        <v>500</v>
      </c>
      <c r="P223">
        <v>202605</v>
      </c>
      <c r="Q223" t="s">
        <v>377</v>
      </c>
      <c r="R223" t="s">
        <v>1350</v>
      </c>
      <c r="S223">
        <f>Consulta1[[#This Row],[min_port]]/100</f>
        <v>1.43E-2</v>
      </c>
      <c r="T223" s="252">
        <f>Consulta1[[#This Row],[TETO_COMERCIAL]]/100</f>
        <v>2.5000000000000001E-2</v>
      </c>
      <c r="U223" t="b">
        <f>Consulta1[[#This Row],[TETO_COMERCIAL_%]]=Consulta1[[#This Row],[TAXA]]</f>
        <v>0</v>
      </c>
      <c r="V223" t="str">
        <f>CONCATENATE(Consulta1[[#This Row],[MES_ALTERACAO]],Consulta1[[#This Row],[VIRADA]])</f>
        <v>20260513</v>
      </c>
      <c r="W223">
        <f>VLOOKUP(Consulta1[[#This Row],[Coluna2]],CALENDARIO!$J:$K,2,FALSE)</f>
        <v>8</v>
      </c>
    </row>
    <row r="224" spans="1:23" x14ac:dyDescent="0.25">
      <c r="A224" t="s">
        <v>3006</v>
      </c>
      <c r="B224" t="str">
        <f>CONCATENATE(Consulta1[[#This Row],[id]],Consulta1[[#This Row],[EMPREGADOR]])</f>
        <v>8GOV MG SEPLAG</v>
      </c>
      <c r="C224" s="6">
        <f>IF(A224=A223,C223+1,1)</f>
        <v>8</v>
      </c>
      <c r="D224" t="s">
        <v>2719</v>
      </c>
      <c r="E224" s="101">
        <v>1.7500000000000002E-2</v>
      </c>
      <c r="F224" s="6">
        <v>120</v>
      </c>
      <c r="G224" t="s">
        <v>1349</v>
      </c>
      <c r="H224" s="82">
        <v>2.5</v>
      </c>
      <c r="I224">
        <v>7</v>
      </c>
      <c r="J224">
        <v>37</v>
      </c>
      <c r="K224" t="s">
        <v>2720</v>
      </c>
      <c r="L224" s="6" t="s">
        <v>1605</v>
      </c>
      <c r="M224" s="6">
        <v>13</v>
      </c>
      <c r="N224" s="6">
        <v>2</v>
      </c>
      <c r="O224">
        <v>500</v>
      </c>
      <c r="P224">
        <v>202605</v>
      </c>
      <c r="Q224" t="s">
        <v>377</v>
      </c>
      <c r="R224" t="s">
        <v>1350</v>
      </c>
      <c r="S224">
        <f>Consulta1[[#This Row],[min_port]]/100</f>
        <v>1.43E-2</v>
      </c>
      <c r="T224" s="252">
        <f>Consulta1[[#This Row],[TETO_COMERCIAL]]/100</f>
        <v>2.5000000000000001E-2</v>
      </c>
      <c r="U224" t="b">
        <f>Consulta1[[#This Row],[TETO_COMERCIAL_%]]=Consulta1[[#This Row],[TAXA]]</f>
        <v>0</v>
      </c>
      <c r="V224" t="str">
        <f>CONCATENATE(Consulta1[[#This Row],[MES_ALTERACAO]],Consulta1[[#This Row],[VIRADA]])</f>
        <v>20260513</v>
      </c>
      <c r="W224">
        <f>VLOOKUP(Consulta1[[#This Row],[Coluna2]],CALENDARIO!$J:$K,2,FALSE)</f>
        <v>8</v>
      </c>
    </row>
    <row r="225" spans="1:23" x14ac:dyDescent="0.25">
      <c r="A225" t="s">
        <v>3006</v>
      </c>
      <c r="B225" t="str">
        <f>CONCATENATE(Consulta1[[#This Row],[id]],Consulta1[[#This Row],[EMPREGADOR]])</f>
        <v>9GOV MG SEPLAG</v>
      </c>
      <c r="C225" s="6">
        <f>IF(A225=A224,C224+1,1)</f>
        <v>9</v>
      </c>
      <c r="D225" t="s">
        <v>2721</v>
      </c>
      <c r="E225" s="101">
        <v>1.7000000000000001E-2</v>
      </c>
      <c r="F225" s="6">
        <v>120</v>
      </c>
      <c r="G225" t="s">
        <v>1349</v>
      </c>
      <c r="H225" s="82">
        <v>2.5</v>
      </c>
      <c r="I225">
        <v>7</v>
      </c>
      <c r="J225">
        <v>38</v>
      </c>
      <c r="K225" t="s">
        <v>2722</v>
      </c>
      <c r="L225" s="6" t="s">
        <v>1605</v>
      </c>
      <c r="M225" s="6">
        <v>13</v>
      </c>
      <c r="N225" s="6">
        <v>2</v>
      </c>
      <c r="O225">
        <v>500</v>
      </c>
      <c r="P225">
        <v>202605</v>
      </c>
      <c r="Q225" t="s">
        <v>377</v>
      </c>
      <c r="R225" t="s">
        <v>1350</v>
      </c>
      <c r="S225">
        <f>Consulta1[[#This Row],[min_port]]/100</f>
        <v>1.43E-2</v>
      </c>
      <c r="T225" s="252">
        <f>Consulta1[[#This Row],[TETO_COMERCIAL]]/100</f>
        <v>2.5000000000000001E-2</v>
      </c>
      <c r="U225" t="b">
        <f>Consulta1[[#This Row],[TETO_COMERCIAL_%]]=Consulta1[[#This Row],[TAXA]]</f>
        <v>0</v>
      </c>
      <c r="V225" t="str">
        <f>CONCATENATE(Consulta1[[#This Row],[MES_ALTERACAO]],Consulta1[[#This Row],[VIRADA]])</f>
        <v>20260513</v>
      </c>
      <c r="W225">
        <f>VLOOKUP(Consulta1[[#This Row],[Coluna2]],CALENDARIO!$J:$K,2,FALSE)</f>
        <v>8</v>
      </c>
    </row>
    <row r="226" spans="1:23" x14ac:dyDescent="0.25">
      <c r="A226" t="s">
        <v>3006</v>
      </c>
      <c r="B226" t="str">
        <f>CONCATENATE(Consulta1[[#This Row],[id]],Consulta1[[#This Row],[EMPREGADOR]])</f>
        <v>10GOV MG SEPLAG</v>
      </c>
      <c r="C226" s="6">
        <f>IF(A226=A225,C225+1,1)</f>
        <v>10</v>
      </c>
      <c r="D226" t="s">
        <v>2723</v>
      </c>
      <c r="E226" s="101">
        <v>1.6500000000000001E-2</v>
      </c>
      <c r="F226" s="6">
        <v>120</v>
      </c>
      <c r="G226" t="s">
        <v>1349</v>
      </c>
      <c r="H226" s="82">
        <v>2.5</v>
      </c>
      <c r="I226">
        <v>7</v>
      </c>
      <c r="J226">
        <v>37</v>
      </c>
      <c r="K226" t="s">
        <v>2724</v>
      </c>
      <c r="L226" s="6" t="s">
        <v>1605</v>
      </c>
      <c r="M226" s="6">
        <v>13</v>
      </c>
      <c r="N226" s="6">
        <v>2</v>
      </c>
      <c r="O226">
        <v>500</v>
      </c>
      <c r="P226">
        <v>202605</v>
      </c>
      <c r="Q226" t="s">
        <v>377</v>
      </c>
      <c r="R226" t="s">
        <v>1350</v>
      </c>
      <c r="S226">
        <f>Consulta1[[#This Row],[min_port]]/100</f>
        <v>1.43E-2</v>
      </c>
      <c r="T226" s="252">
        <f>Consulta1[[#This Row],[TETO_COMERCIAL]]/100</f>
        <v>2.5000000000000001E-2</v>
      </c>
      <c r="U226" t="b">
        <f>Consulta1[[#This Row],[TETO_COMERCIAL_%]]=Consulta1[[#This Row],[TAXA]]</f>
        <v>0</v>
      </c>
      <c r="V226" t="str">
        <f>CONCATENATE(Consulta1[[#This Row],[MES_ALTERACAO]],Consulta1[[#This Row],[VIRADA]])</f>
        <v>20260513</v>
      </c>
      <c r="W226">
        <f>VLOOKUP(Consulta1[[#This Row],[Coluna2]],CALENDARIO!$J:$K,2,FALSE)</f>
        <v>8</v>
      </c>
    </row>
    <row r="227" spans="1:23" x14ac:dyDescent="0.25">
      <c r="A227" t="s">
        <v>3006</v>
      </c>
      <c r="B227" t="str">
        <f>CONCATENATE(Consulta1[[#This Row],[id]],Consulta1[[#This Row],[EMPREGADOR]])</f>
        <v>11GOV MG SEPLAG</v>
      </c>
      <c r="C227" s="6">
        <f>IF(A227=A226,C226+1,1)</f>
        <v>11</v>
      </c>
      <c r="D227" t="s">
        <v>2725</v>
      </c>
      <c r="E227" s="101">
        <v>1.6299999999999999E-2</v>
      </c>
      <c r="F227" s="6">
        <v>120</v>
      </c>
      <c r="G227" t="s">
        <v>1349</v>
      </c>
      <c r="H227" s="82">
        <v>2.5</v>
      </c>
      <c r="I227">
        <v>7</v>
      </c>
      <c r="J227">
        <v>37</v>
      </c>
      <c r="K227" t="s">
        <v>2726</v>
      </c>
      <c r="L227" s="6" t="s">
        <v>1605</v>
      </c>
      <c r="M227" s="6">
        <v>13</v>
      </c>
      <c r="N227" s="6">
        <v>2</v>
      </c>
      <c r="O227">
        <v>30000</v>
      </c>
      <c r="P227">
        <v>202605</v>
      </c>
      <c r="Q227" t="s">
        <v>377</v>
      </c>
      <c r="R227" t="s">
        <v>1350</v>
      </c>
      <c r="S227">
        <f>Consulta1[[#This Row],[min_port]]/100</f>
        <v>1.43E-2</v>
      </c>
      <c r="T227" s="252">
        <f>Consulta1[[#This Row],[TETO_COMERCIAL]]/100</f>
        <v>2.5000000000000001E-2</v>
      </c>
      <c r="U227" t="b">
        <f>Consulta1[[#This Row],[TETO_COMERCIAL_%]]=Consulta1[[#This Row],[TAXA]]</f>
        <v>0</v>
      </c>
      <c r="V227" t="str">
        <f>CONCATENATE(Consulta1[[#This Row],[MES_ALTERACAO]],Consulta1[[#This Row],[VIRADA]])</f>
        <v>20260513</v>
      </c>
      <c r="W227">
        <f>VLOOKUP(Consulta1[[#This Row],[Coluna2]],CALENDARIO!$J:$K,2,FALSE)</f>
        <v>8</v>
      </c>
    </row>
    <row r="228" spans="1:23" x14ac:dyDescent="0.25">
      <c r="A228" t="s">
        <v>3006</v>
      </c>
      <c r="B228" t="str">
        <f>CONCATENATE(Consulta1[[#This Row],[id]],Consulta1[[#This Row],[EMPREGADOR]])</f>
        <v>12GOV MG SEPLAG</v>
      </c>
      <c r="C228" s="6">
        <f>IF(A228=A227,C227+1,1)</f>
        <v>12</v>
      </c>
      <c r="D228" t="s">
        <v>2727</v>
      </c>
      <c r="E228" s="101">
        <v>1.61E-2</v>
      </c>
      <c r="F228" s="6">
        <v>120</v>
      </c>
      <c r="G228" t="s">
        <v>1349</v>
      </c>
      <c r="H228" s="82">
        <v>2.5</v>
      </c>
      <c r="I228">
        <v>7</v>
      </c>
      <c r="J228">
        <v>37</v>
      </c>
      <c r="K228" t="s">
        <v>2728</v>
      </c>
      <c r="L228" s="6" t="s">
        <v>1605</v>
      </c>
      <c r="M228" s="6">
        <v>13</v>
      </c>
      <c r="N228" s="6">
        <v>2</v>
      </c>
      <c r="O228">
        <v>50000</v>
      </c>
      <c r="P228">
        <v>202605</v>
      </c>
      <c r="Q228" t="s">
        <v>377</v>
      </c>
      <c r="R228" t="s">
        <v>1350</v>
      </c>
      <c r="S228">
        <f>Consulta1[[#This Row],[min_port]]/100</f>
        <v>1.43E-2</v>
      </c>
      <c r="T228" s="252">
        <f>Consulta1[[#This Row],[TETO_COMERCIAL]]/100</f>
        <v>2.5000000000000001E-2</v>
      </c>
      <c r="U228" t="b">
        <f>Consulta1[[#This Row],[TETO_COMERCIAL_%]]=Consulta1[[#This Row],[TAXA]]</f>
        <v>0</v>
      </c>
      <c r="V228" t="str">
        <f>CONCATENATE(Consulta1[[#This Row],[MES_ALTERACAO]],Consulta1[[#This Row],[VIRADA]])</f>
        <v>20260513</v>
      </c>
      <c r="W228">
        <f>VLOOKUP(Consulta1[[#This Row],[Coluna2]],CALENDARIO!$J:$K,2,FALSE)</f>
        <v>8</v>
      </c>
    </row>
    <row r="229" spans="1:23" x14ac:dyDescent="0.25">
      <c r="A229" t="s">
        <v>366</v>
      </c>
      <c r="B229" t="str">
        <f>CONCATENATE(Consulta1[[#This Row],[id]],Consulta1[[#This Row],[EMPREGADOR]])</f>
        <v>1GOV MS</v>
      </c>
      <c r="C229" s="6">
        <f>IF(A229=A228,C228+1,1)</f>
        <v>1</v>
      </c>
      <c r="D229" t="s">
        <v>3344</v>
      </c>
      <c r="E229" s="101">
        <v>2.5000000000000001E-2</v>
      </c>
      <c r="F229" s="6">
        <v>120</v>
      </c>
      <c r="G229" t="s">
        <v>1349</v>
      </c>
      <c r="H229" s="82">
        <v>2.5</v>
      </c>
      <c r="I229">
        <v>5</v>
      </c>
      <c r="K229" t="s">
        <v>3345</v>
      </c>
      <c r="L229" s="6" t="s">
        <v>1426</v>
      </c>
      <c r="M229" s="6">
        <v>8</v>
      </c>
      <c r="N229" s="6">
        <v>2</v>
      </c>
      <c r="O229">
        <v>500</v>
      </c>
      <c r="P229">
        <v>202605</v>
      </c>
      <c r="Q229" t="s">
        <v>377</v>
      </c>
      <c r="R229" t="s">
        <v>1353</v>
      </c>
      <c r="S229">
        <f>Consulta1[[#This Row],[min_port]]/100</f>
        <v>1.4199999999999999E-2</v>
      </c>
      <c r="T229" s="252">
        <f>Consulta1[[#This Row],[TETO_COMERCIAL]]/100</f>
        <v>2.5000000000000001E-2</v>
      </c>
      <c r="U229" t="b">
        <f>Consulta1[[#This Row],[TETO_COMERCIAL_%]]=Consulta1[[#This Row],[TAXA]]</f>
        <v>1</v>
      </c>
      <c r="V229" t="str">
        <f>CONCATENATE(Consulta1[[#This Row],[MES_ALTERACAO]],Consulta1[[#This Row],[VIRADA]])</f>
        <v>2026058</v>
      </c>
      <c r="W229">
        <f>VLOOKUP(Consulta1[[#This Row],[Coluna2]],CALENDARIO!$J:$K,2,FALSE)</f>
        <v>5</v>
      </c>
    </row>
    <row r="230" spans="1:23" x14ac:dyDescent="0.25">
      <c r="A230" t="s">
        <v>366</v>
      </c>
      <c r="B230" t="str">
        <f>CONCATENATE(Consulta1[[#This Row],[id]],Consulta1[[#This Row],[EMPREGADOR]])</f>
        <v>2GOV MS</v>
      </c>
      <c r="C230" s="6">
        <f>IF(A230=A229,C229+1,1)</f>
        <v>2</v>
      </c>
      <c r="D230" t="s">
        <v>3346</v>
      </c>
      <c r="E230" s="101">
        <v>2.2499999999999999E-2</v>
      </c>
      <c r="F230" s="6">
        <v>120</v>
      </c>
      <c r="G230" t="s">
        <v>1349</v>
      </c>
      <c r="H230" s="82">
        <v>2.5</v>
      </c>
      <c r="I230">
        <v>5</v>
      </c>
      <c r="K230" t="s">
        <v>3347</v>
      </c>
      <c r="L230" s="6" t="s">
        <v>1426</v>
      </c>
      <c r="M230" s="6">
        <v>8</v>
      </c>
      <c r="N230" s="6">
        <v>2</v>
      </c>
      <c r="O230">
        <v>500</v>
      </c>
      <c r="P230">
        <v>202605</v>
      </c>
      <c r="Q230" t="s">
        <v>377</v>
      </c>
      <c r="R230" t="s">
        <v>1353</v>
      </c>
      <c r="S230">
        <f>Consulta1[[#This Row],[min_port]]/100</f>
        <v>1.4199999999999999E-2</v>
      </c>
      <c r="T230" s="252">
        <f>Consulta1[[#This Row],[TETO_COMERCIAL]]/100</f>
        <v>2.5000000000000001E-2</v>
      </c>
      <c r="U230" t="b">
        <f>Consulta1[[#This Row],[TETO_COMERCIAL_%]]=Consulta1[[#This Row],[TAXA]]</f>
        <v>0</v>
      </c>
      <c r="V230" t="str">
        <f>CONCATENATE(Consulta1[[#This Row],[MES_ALTERACAO]],Consulta1[[#This Row],[VIRADA]])</f>
        <v>2026058</v>
      </c>
      <c r="W230">
        <f>VLOOKUP(Consulta1[[#This Row],[Coluna2]],CALENDARIO!$J:$K,2,FALSE)</f>
        <v>5</v>
      </c>
    </row>
    <row r="231" spans="1:23" x14ac:dyDescent="0.25">
      <c r="A231" t="s">
        <v>366</v>
      </c>
      <c r="B231" t="str">
        <f>CONCATENATE(Consulta1[[#This Row],[id]],Consulta1[[#This Row],[EMPREGADOR]])</f>
        <v>3GOV MS</v>
      </c>
      <c r="C231" s="6">
        <f>IF(A231=A230,C230+1,1)</f>
        <v>3</v>
      </c>
      <c r="D231" t="s">
        <v>3348</v>
      </c>
      <c r="E231" s="101">
        <v>0.02</v>
      </c>
      <c r="F231" s="6">
        <v>120</v>
      </c>
      <c r="G231" t="s">
        <v>1349</v>
      </c>
      <c r="H231" s="82">
        <v>2.5</v>
      </c>
      <c r="I231">
        <v>5</v>
      </c>
      <c r="J231">
        <v>78</v>
      </c>
      <c r="K231" t="s">
        <v>3349</v>
      </c>
      <c r="L231" s="6" t="s">
        <v>1426</v>
      </c>
      <c r="M231" s="6">
        <v>8</v>
      </c>
      <c r="N231" s="6">
        <v>2</v>
      </c>
      <c r="O231">
        <v>500</v>
      </c>
      <c r="P231">
        <v>202605</v>
      </c>
      <c r="Q231" t="s">
        <v>377</v>
      </c>
      <c r="R231" t="s">
        <v>1353</v>
      </c>
      <c r="S231">
        <f>Consulta1[[#This Row],[min_port]]/100</f>
        <v>1.4199999999999999E-2</v>
      </c>
      <c r="T231" s="252">
        <f>Consulta1[[#This Row],[TETO_COMERCIAL]]/100</f>
        <v>2.5000000000000001E-2</v>
      </c>
      <c r="U231" t="b">
        <f>Consulta1[[#This Row],[TETO_COMERCIAL_%]]=Consulta1[[#This Row],[TAXA]]</f>
        <v>0</v>
      </c>
      <c r="V231" t="str">
        <f>CONCATENATE(Consulta1[[#This Row],[MES_ALTERACAO]],Consulta1[[#This Row],[VIRADA]])</f>
        <v>2026058</v>
      </c>
      <c r="W231">
        <f>VLOOKUP(Consulta1[[#This Row],[Coluna2]],CALENDARIO!$J:$K,2,FALSE)</f>
        <v>5</v>
      </c>
    </row>
    <row r="232" spans="1:23" x14ac:dyDescent="0.25">
      <c r="A232" t="s">
        <v>366</v>
      </c>
      <c r="B232" t="str">
        <f>CONCATENATE(Consulta1[[#This Row],[id]],Consulta1[[#This Row],[EMPREGADOR]])</f>
        <v>4GOV MS</v>
      </c>
      <c r="C232" s="6">
        <f>IF(A232=A231,C231+1,1)</f>
        <v>4</v>
      </c>
      <c r="D232" t="s">
        <v>3350</v>
      </c>
      <c r="E232" s="101">
        <v>1.8000000000000002E-2</v>
      </c>
      <c r="F232" s="6">
        <v>120</v>
      </c>
      <c r="G232" t="s">
        <v>1349</v>
      </c>
      <c r="H232" s="82">
        <v>2.5</v>
      </c>
      <c r="I232">
        <v>5</v>
      </c>
      <c r="J232">
        <v>77</v>
      </c>
      <c r="K232" t="s">
        <v>3351</v>
      </c>
      <c r="L232" s="6" t="s">
        <v>1426</v>
      </c>
      <c r="M232" s="6">
        <v>8</v>
      </c>
      <c r="N232" s="6">
        <v>2</v>
      </c>
      <c r="O232">
        <v>500</v>
      </c>
      <c r="P232">
        <v>202605</v>
      </c>
      <c r="Q232" t="s">
        <v>377</v>
      </c>
      <c r="R232" t="s">
        <v>1353</v>
      </c>
      <c r="S232">
        <f>Consulta1[[#This Row],[min_port]]/100</f>
        <v>1.4199999999999999E-2</v>
      </c>
      <c r="T232" s="252">
        <f>Consulta1[[#This Row],[TETO_COMERCIAL]]/100</f>
        <v>2.5000000000000001E-2</v>
      </c>
      <c r="U232" t="b">
        <f>Consulta1[[#This Row],[TETO_COMERCIAL_%]]=Consulta1[[#This Row],[TAXA]]</f>
        <v>0</v>
      </c>
      <c r="V232" t="str">
        <f>CONCATENATE(Consulta1[[#This Row],[MES_ALTERACAO]],Consulta1[[#This Row],[VIRADA]])</f>
        <v>2026058</v>
      </c>
      <c r="W232">
        <f>VLOOKUP(Consulta1[[#This Row],[Coluna2]],CALENDARIO!$J:$K,2,FALSE)</f>
        <v>5</v>
      </c>
    </row>
    <row r="233" spans="1:23" x14ac:dyDescent="0.25">
      <c r="A233" t="s">
        <v>366</v>
      </c>
      <c r="B233" t="str">
        <f>CONCATENATE(Consulta1[[#This Row],[id]],Consulta1[[#This Row],[EMPREGADOR]])</f>
        <v>5GOV MS</v>
      </c>
      <c r="C233" s="6">
        <f>IF(A233=A232,C232+1,1)</f>
        <v>5</v>
      </c>
      <c r="D233" t="s">
        <v>3352</v>
      </c>
      <c r="E233" s="101">
        <v>1.7600000000000001E-2</v>
      </c>
      <c r="F233" s="6">
        <v>120</v>
      </c>
      <c r="G233" t="s">
        <v>1349</v>
      </c>
      <c r="H233" s="82">
        <v>2.5</v>
      </c>
      <c r="I233">
        <v>5</v>
      </c>
      <c r="J233">
        <v>71</v>
      </c>
      <c r="K233" t="s">
        <v>3353</v>
      </c>
      <c r="L233" s="6" t="s">
        <v>1426</v>
      </c>
      <c r="M233" s="6">
        <v>8</v>
      </c>
      <c r="N233" s="6">
        <v>2</v>
      </c>
      <c r="O233">
        <v>500</v>
      </c>
      <c r="P233">
        <v>202605</v>
      </c>
      <c r="Q233" t="s">
        <v>377</v>
      </c>
      <c r="R233" t="s">
        <v>1353</v>
      </c>
      <c r="S233">
        <f>Consulta1[[#This Row],[min_port]]/100</f>
        <v>1.4199999999999999E-2</v>
      </c>
      <c r="T233" s="252">
        <f>Consulta1[[#This Row],[TETO_COMERCIAL]]/100</f>
        <v>2.5000000000000001E-2</v>
      </c>
      <c r="U233" t="b">
        <f>Consulta1[[#This Row],[TETO_COMERCIAL_%]]=Consulta1[[#This Row],[TAXA]]</f>
        <v>0</v>
      </c>
      <c r="V233" t="str">
        <f>CONCATENATE(Consulta1[[#This Row],[MES_ALTERACAO]],Consulta1[[#This Row],[VIRADA]])</f>
        <v>2026058</v>
      </c>
      <c r="W233">
        <f>VLOOKUP(Consulta1[[#This Row],[Coluna2]],CALENDARIO!$J:$K,2,FALSE)</f>
        <v>5</v>
      </c>
    </row>
    <row r="234" spans="1:23" x14ac:dyDescent="0.25">
      <c r="A234" t="s">
        <v>366</v>
      </c>
      <c r="B234" t="str">
        <f>CONCATENATE(Consulta1[[#This Row],[id]],Consulta1[[#This Row],[EMPREGADOR]])</f>
        <v>6GOV MS</v>
      </c>
      <c r="C234" s="6">
        <f>IF(A234=A233,C233+1,1)</f>
        <v>6</v>
      </c>
      <c r="D234" t="s">
        <v>3354</v>
      </c>
      <c r="E234" s="101">
        <v>1.7399999999999999E-2</v>
      </c>
      <c r="F234" s="6">
        <v>120</v>
      </c>
      <c r="G234" t="s">
        <v>1349</v>
      </c>
      <c r="H234" s="82">
        <v>2.5</v>
      </c>
      <c r="I234">
        <v>5</v>
      </c>
      <c r="K234" t="s">
        <v>3355</v>
      </c>
      <c r="L234" s="6" t="s">
        <v>1426</v>
      </c>
      <c r="M234" s="6">
        <v>8</v>
      </c>
      <c r="N234" s="6">
        <v>2</v>
      </c>
      <c r="O234">
        <v>500</v>
      </c>
      <c r="P234">
        <v>202605</v>
      </c>
      <c r="Q234" t="s">
        <v>377</v>
      </c>
      <c r="R234" t="s">
        <v>1353</v>
      </c>
      <c r="S234">
        <f>Consulta1[[#This Row],[min_port]]/100</f>
        <v>1.4199999999999999E-2</v>
      </c>
      <c r="T234" s="252">
        <f>Consulta1[[#This Row],[TETO_COMERCIAL]]/100</f>
        <v>2.5000000000000001E-2</v>
      </c>
      <c r="U234" t="b">
        <f>Consulta1[[#This Row],[TETO_COMERCIAL_%]]=Consulta1[[#This Row],[TAXA]]</f>
        <v>0</v>
      </c>
      <c r="V234" t="str">
        <f>CONCATENATE(Consulta1[[#This Row],[MES_ALTERACAO]],Consulta1[[#This Row],[VIRADA]])</f>
        <v>2026058</v>
      </c>
      <c r="W234">
        <f>VLOOKUP(Consulta1[[#This Row],[Coluna2]],CALENDARIO!$J:$K,2,FALSE)</f>
        <v>5</v>
      </c>
    </row>
    <row r="235" spans="1:23" x14ac:dyDescent="0.25">
      <c r="A235" t="s">
        <v>366</v>
      </c>
      <c r="B235" t="str">
        <f>CONCATENATE(Consulta1[[#This Row],[id]],Consulta1[[#This Row],[EMPREGADOR]])</f>
        <v>7GOV MS</v>
      </c>
      <c r="C235" s="6">
        <f>IF(A235=A234,C234+1,1)</f>
        <v>7</v>
      </c>
      <c r="D235" t="s">
        <v>3356</v>
      </c>
      <c r="E235" s="101">
        <v>1.72E-2</v>
      </c>
      <c r="F235" s="6">
        <v>120</v>
      </c>
      <c r="G235" t="s">
        <v>1349</v>
      </c>
      <c r="H235" s="82">
        <v>2.5</v>
      </c>
      <c r="I235">
        <v>5</v>
      </c>
      <c r="J235">
        <v>81</v>
      </c>
      <c r="K235" t="s">
        <v>3357</v>
      </c>
      <c r="L235" s="6" t="s">
        <v>1426</v>
      </c>
      <c r="M235" s="6">
        <v>8</v>
      </c>
      <c r="N235" s="6">
        <v>2</v>
      </c>
      <c r="O235">
        <v>500</v>
      </c>
      <c r="P235">
        <v>202605</v>
      </c>
      <c r="Q235" t="s">
        <v>377</v>
      </c>
      <c r="R235" t="s">
        <v>1353</v>
      </c>
      <c r="S235">
        <f>Consulta1[[#This Row],[min_port]]/100</f>
        <v>1.4199999999999999E-2</v>
      </c>
      <c r="T235" s="252">
        <f>Consulta1[[#This Row],[TETO_COMERCIAL]]/100</f>
        <v>2.5000000000000001E-2</v>
      </c>
      <c r="U235" t="b">
        <f>Consulta1[[#This Row],[TETO_COMERCIAL_%]]=Consulta1[[#This Row],[TAXA]]</f>
        <v>0</v>
      </c>
      <c r="V235" t="str">
        <f>CONCATENATE(Consulta1[[#This Row],[MES_ALTERACAO]],Consulta1[[#This Row],[VIRADA]])</f>
        <v>2026058</v>
      </c>
      <c r="W235">
        <f>VLOOKUP(Consulta1[[#This Row],[Coluna2]],CALENDARIO!$J:$K,2,FALSE)</f>
        <v>5</v>
      </c>
    </row>
    <row r="236" spans="1:23" x14ac:dyDescent="0.25">
      <c r="A236" t="s">
        <v>366</v>
      </c>
      <c r="B236" t="str">
        <f>CONCATENATE(Consulta1[[#This Row],[id]],Consulta1[[#This Row],[EMPREGADOR]])</f>
        <v>8GOV MS</v>
      </c>
      <c r="C236" s="6">
        <f>IF(A236=A235,C235+1,1)</f>
        <v>8</v>
      </c>
      <c r="D236" t="s">
        <v>3358</v>
      </c>
      <c r="E236" s="101">
        <v>1.7000000000000001E-2</v>
      </c>
      <c r="F236" s="6">
        <v>120</v>
      </c>
      <c r="G236" t="s">
        <v>1349</v>
      </c>
      <c r="H236" s="82">
        <v>2.5</v>
      </c>
      <c r="I236">
        <v>5</v>
      </c>
      <c r="K236" t="s">
        <v>3359</v>
      </c>
      <c r="L236" s="6" t="s">
        <v>1426</v>
      </c>
      <c r="M236" s="6">
        <v>8</v>
      </c>
      <c r="N236" s="6">
        <v>2</v>
      </c>
      <c r="O236">
        <v>500</v>
      </c>
      <c r="P236">
        <v>202605</v>
      </c>
      <c r="Q236" t="s">
        <v>377</v>
      </c>
      <c r="R236" t="s">
        <v>1353</v>
      </c>
      <c r="S236">
        <f>Consulta1[[#This Row],[min_port]]/100</f>
        <v>1.4199999999999999E-2</v>
      </c>
      <c r="T236" s="252">
        <f>Consulta1[[#This Row],[TETO_COMERCIAL]]/100</f>
        <v>2.5000000000000001E-2</v>
      </c>
      <c r="U236" t="b">
        <f>Consulta1[[#This Row],[TETO_COMERCIAL_%]]=Consulta1[[#This Row],[TAXA]]</f>
        <v>0</v>
      </c>
      <c r="V236" t="str">
        <f>CONCATENATE(Consulta1[[#This Row],[MES_ALTERACAO]],Consulta1[[#This Row],[VIRADA]])</f>
        <v>2026058</v>
      </c>
      <c r="W236">
        <f>VLOOKUP(Consulta1[[#This Row],[Coluna2]],CALENDARIO!$J:$K,2,FALSE)</f>
        <v>5</v>
      </c>
    </row>
    <row r="237" spans="1:23" x14ac:dyDescent="0.25">
      <c r="A237" t="s">
        <v>366</v>
      </c>
      <c r="B237" t="str">
        <f>CONCATENATE(Consulta1[[#This Row],[id]],Consulta1[[#This Row],[EMPREGADOR]])</f>
        <v>9GOV MS</v>
      </c>
      <c r="C237" s="6">
        <f>IF(A237=A236,C236+1,1)</f>
        <v>9</v>
      </c>
      <c r="D237" t="s">
        <v>3360</v>
      </c>
      <c r="E237" s="101">
        <v>1.6799999999999999E-2</v>
      </c>
      <c r="F237" s="6">
        <v>120</v>
      </c>
      <c r="G237" t="s">
        <v>1349</v>
      </c>
      <c r="H237" s="82">
        <v>2.5</v>
      </c>
      <c r="I237">
        <v>5</v>
      </c>
      <c r="J237">
        <v>74</v>
      </c>
      <c r="K237" t="s">
        <v>3361</v>
      </c>
      <c r="L237" s="6" t="s">
        <v>1426</v>
      </c>
      <c r="M237" s="6">
        <v>8</v>
      </c>
      <c r="N237" s="6">
        <v>2</v>
      </c>
      <c r="O237">
        <v>500</v>
      </c>
      <c r="P237">
        <v>202605</v>
      </c>
      <c r="Q237" t="s">
        <v>377</v>
      </c>
      <c r="R237" t="s">
        <v>1353</v>
      </c>
      <c r="S237">
        <f>Consulta1[[#This Row],[min_port]]/100</f>
        <v>1.4199999999999999E-2</v>
      </c>
      <c r="T237" s="252">
        <f>Consulta1[[#This Row],[TETO_COMERCIAL]]/100</f>
        <v>2.5000000000000001E-2</v>
      </c>
      <c r="U237" t="b">
        <f>Consulta1[[#This Row],[TETO_COMERCIAL_%]]=Consulta1[[#This Row],[TAXA]]</f>
        <v>0</v>
      </c>
      <c r="V237" t="str">
        <f>CONCATENATE(Consulta1[[#This Row],[MES_ALTERACAO]],Consulta1[[#This Row],[VIRADA]])</f>
        <v>2026058</v>
      </c>
      <c r="W237">
        <f>VLOOKUP(Consulta1[[#This Row],[Coluna2]],CALENDARIO!$J:$K,2,FALSE)</f>
        <v>5</v>
      </c>
    </row>
    <row r="238" spans="1:23" x14ac:dyDescent="0.25">
      <c r="A238" t="s">
        <v>366</v>
      </c>
      <c r="B238" t="str">
        <f>CONCATENATE(Consulta1[[#This Row],[id]],Consulta1[[#This Row],[EMPREGADOR]])</f>
        <v>10GOV MS</v>
      </c>
      <c r="C238" s="6">
        <f>IF(A238=A237,C237+1,1)</f>
        <v>10</v>
      </c>
      <c r="D238" t="s">
        <v>3362</v>
      </c>
      <c r="E238" s="101">
        <v>1.66E-2</v>
      </c>
      <c r="F238" s="6">
        <v>120</v>
      </c>
      <c r="G238" t="s">
        <v>1349</v>
      </c>
      <c r="H238" s="82">
        <v>2.5</v>
      </c>
      <c r="I238">
        <v>5</v>
      </c>
      <c r="J238">
        <v>74</v>
      </c>
      <c r="K238" t="s">
        <v>3363</v>
      </c>
      <c r="L238" s="6" t="s">
        <v>1426</v>
      </c>
      <c r="M238" s="6">
        <v>8</v>
      </c>
      <c r="N238" s="6">
        <v>2</v>
      </c>
      <c r="O238">
        <v>20000</v>
      </c>
      <c r="P238">
        <v>202605</v>
      </c>
      <c r="Q238" t="s">
        <v>377</v>
      </c>
      <c r="R238" t="s">
        <v>1353</v>
      </c>
      <c r="S238">
        <f>Consulta1[[#This Row],[min_port]]/100</f>
        <v>1.4199999999999999E-2</v>
      </c>
      <c r="T238" s="252">
        <f>Consulta1[[#This Row],[TETO_COMERCIAL]]/100</f>
        <v>2.5000000000000001E-2</v>
      </c>
      <c r="U238" t="b">
        <f>Consulta1[[#This Row],[TETO_COMERCIAL_%]]=Consulta1[[#This Row],[TAXA]]</f>
        <v>0</v>
      </c>
      <c r="V238" t="str">
        <f>CONCATENATE(Consulta1[[#This Row],[MES_ALTERACAO]],Consulta1[[#This Row],[VIRADA]])</f>
        <v>2026058</v>
      </c>
      <c r="W238">
        <f>VLOOKUP(Consulta1[[#This Row],[Coluna2]],CALENDARIO!$J:$K,2,FALSE)</f>
        <v>5</v>
      </c>
    </row>
    <row r="239" spans="1:23" x14ac:dyDescent="0.25">
      <c r="A239" t="s">
        <v>366</v>
      </c>
      <c r="B239" t="str">
        <f>CONCATENATE(Consulta1[[#This Row],[id]],Consulta1[[#This Row],[EMPREGADOR]])</f>
        <v>11GOV MS</v>
      </c>
      <c r="C239" s="6">
        <f>IF(A239=A238,C238+1,1)</f>
        <v>11</v>
      </c>
      <c r="D239" t="s">
        <v>3364</v>
      </c>
      <c r="E239" s="101">
        <v>1.6399999999999998E-2</v>
      </c>
      <c r="F239" s="6">
        <v>120</v>
      </c>
      <c r="G239" t="s">
        <v>1349</v>
      </c>
      <c r="H239" s="82">
        <v>2.5</v>
      </c>
      <c r="I239">
        <v>5</v>
      </c>
      <c r="J239">
        <v>71</v>
      </c>
      <c r="K239" t="s">
        <v>3365</v>
      </c>
      <c r="L239" s="6" t="s">
        <v>1426</v>
      </c>
      <c r="M239" s="6">
        <v>8</v>
      </c>
      <c r="N239" s="6">
        <v>2</v>
      </c>
      <c r="O239">
        <v>30000</v>
      </c>
      <c r="P239">
        <v>202605</v>
      </c>
      <c r="Q239" t="s">
        <v>377</v>
      </c>
      <c r="R239" t="s">
        <v>1353</v>
      </c>
      <c r="S239">
        <f>Consulta1[[#This Row],[min_port]]/100</f>
        <v>1.4199999999999999E-2</v>
      </c>
      <c r="T239" s="252">
        <f>Consulta1[[#This Row],[TETO_COMERCIAL]]/100</f>
        <v>2.5000000000000001E-2</v>
      </c>
      <c r="U239" t="b">
        <f>Consulta1[[#This Row],[TETO_COMERCIAL_%]]=Consulta1[[#This Row],[TAXA]]</f>
        <v>0</v>
      </c>
      <c r="V239" t="str">
        <f>CONCATENATE(Consulta1[[#This Row],[MES_ALTERACAO]],Consulta1[[#This Row],[VIRADA]])</f>
        <v>2026058</v>
      </c>
      <c r="W239">
        <f>VLOOKUP(Consulta1[[#This Row],[Coluna2]],CALENDARIO!$J:$K,2,FALSE)</f>
        <v>5</v>
      </c>
    </row>
    <row r="240" spans="1:23" x14ac:dyDescent="0.25">
      <c r="A240" t="s">
        <v>366</v>
      </c>
      <c r="B240" t="str">
        <f>CONCATENATE(Consulta1[[#This Row],[id]],Consulta1[[#This Row],[EMPREGADOR]])</f>
        <v>12GOV MS</v>
      </c>
      <c r="C240" s="6">
        <f>IF(A240=A239,C239+1,1)</f>
        <v>12</v>
      </c>
      <c r="D240" t="s">
        <v>3366</v>
      </c>
      <c r="E240" s="101">
        <v>1.6200000000000003E-2</v>
      </c>
      <c r="F240" s="6">
        <v>120</v>
      </c>
      <c r="G240" t="s">
        <v>1349</v>
      </c>
      <c r="H240" s="82">
        <v>2.5</v>
      </c>
      <c r="I240">
        <v>5</v>
      </c>
      <c r="J240">
        <v>72</v>
      </c>
      <c r="K240" t="s">
        <v>3367</v>
      </c>
      <c r="L240" s="6" t="s">
        <v>1426</v>
      </c>
      <c r="M240" s="6">
        <v>8</v>
      </c>
      <c r="N240" s="6">
        <v>2</v>
      </c>
      <c r="O240">
        <v>50000</v>
      </c>
      <c r="P240">
        <v>202605</v>
      </c>
      <c r="Q240" t="s">
        <v>377</v>
      </c>
      <c r="R240" t="s">
        <v>1353</v>
      </c>
      <c r="S240">
        <f>Consulta1[[#This Row],[min_port]]/100</f>
        <v>1.4199999999999999E-2</v>
      </c>
      <c r="T240" s="252">
        <f>Consulta1[[#This Row],[TETO_COMERCIAL]]/100</f>
        <v>2.5000000000000001E-2</v>
      </c>
      <c r="U240" t="b">
        <f>Consulta1[[#This Row],[TETO_COMERCIAL_%]]=Consulta1[[#This Row],[TAXA]]</f>
        <v>0</v>
      </c>
      <c r="V240" t="str">
        <f>CONCATENATE(Consulta1[[#This Row],[MES_ALTERACAO]],Consulta1[[#This Row],[VIRADA]])</f>
        <v>2026058</v>
      </c>
      <c r="W240">
        <f>VLOOKUP(Consulta1[[#This Row],[Coluna2]],CALENDARIO!$J:$K,2,FALSE)</f>
        <v>5</v>
      </c>
    </row>
    <row r="241" spans="1:23" x14ac:dyDescent="0.25">
      <c r="A241" t="s">
        <v>3451</v>
      </c>
      <c r="B241" t="str">
        <f>CONCATENATE(Consulta1[[#This Row],[id]],Consulta1[[#This Row],[EMPREGADOR]])</f>
        <v>1GOV MS CLT</v>
      </c>
      <c r="C241" s="6">
        <f>IF(A241=A240,C240+1,1)</f>
        <v>1</v>
      </c>
      <c r="D241" t="s">
        <v>3452</v>
      </c>
      <c r="E241" s="101">
        <v>2.5000000000000001E-2</v>
      </c>
      <c r="F241" s="6">
        <v>120</v>
      </c>
      <c r="G241" t="s">
        <v>1349</v>
      </c>
      <c r="H241" s="82">
        <v>2.5</v>
      </c>
      <c r="I241">
        <v>5</v>
      </c>
      <c r="K241" t="s">
        <v>3453</v>
      </c>
      <c r="L241" s="6" t="s">
        <v>1426</v>
      </c>
      <c r="M241" s="6">
        <v>8</v>
      </c>
      <c r="N241" s="6">
        <v>2</v>
      </c>
      <c r="O241">
        <v>500</v>
      </c>
      <c r="P241">
        <v>202605</v>
      </c>
      <c r="Q241" t="s">
        <v>377</v>
      </c>
      <c r="R241" t="s">
        <v>1353</v>
      </c>
      <c r="S241">
        <f>Consulta1[[#This Row],[min_port]]/100</f>
        <v>1.4199999999999999E-2</v>
      </c>
      <c r="T241" s="252">
        <f>Consulta1[[#This Row],[TETO_COMERCIAL]]/100</f>
        <v>2.5000000000000001E-2</v>
      </c>
      <c r="U241" t="b">
        <f>Consulta1[[#This Row],[TETO_COMERCIAL_%]]=Consulta1[[#This Row],[TAXA]]</f>
        <v>1</v>
      </c>
      <c r="V241" t="str">
        <f>CONCATENATE(Consulta1[[#This Row],[MES_ALTERACAO]],Consulta1[[#This Row],[VIRADA]])</f>
        <v>2026058</v>
      </c>
      <c r="W241">
        <f>VLOOKUP(Consulta1[[#This Row],[Coluna2]],CALENDARIO!$J:$K,2,FALSE)</f>
        <v>5</v>
      </c>
    </row>
    <row r="242" spans="1:23" x14ac:dyDescent="0.25">
      <c r="A242" t="s">
        <v>3451</v>
      </c>
      <c r="B242" t="str">
        <f>CONCATENATE(Consulta1[[#This Row],[id]],Consulta1[[#This Row],[EMPREGADOR]])</f>
        <v>2GOV MS CLT</v>
      </c>
      <c r="C242" s="6">
        <f>IF(A242=A241,C241+1,1)</f>
        <v>2</v>
      </c>
      <c r="D242" t="s">
        <v>3454</v>
      </c>
      <c r="E242" s="101">
        <v>2.2499999999999999E-2</v>
      </c>
      <c r="F242" s="6">
        <v>120</v>
      </c>
      <c r="G242" t="s">
        <v>1349</v>
      </c>
      <c r="H242" s="82">
        <v>2.5</v>
      </c>
      <c r="I242">
        <v>5</v>
      </c>
      <c r="K242" t="s">
        <v>3455</v>
      </c>
      <c r="L242" s="6" t="s">
        <v>1426</v>
      </c>
      <c r="M242" s="6">
        <v>8</v>
      </c>
      <c r="N242" s="6">
        <v>2</v>
      </c>
      <c r="O242">
        <v>500</v>
      </c>
      <c r="P242">
        <v>202605</v>
      </c>
      <c r="Q242" t="s">
        <v>377</v>
      </c>
      <c r="R242" t="s">
        <v>1353</v>
      </c>
      <c r="S242">
        <f>Consulta1[[#This Row],[min_port]]/100</f>
        <v>1.4199999999999999E-2</v>
      </c>
      <c r="T242" s="252">
        <f>Consulta1[[#This Row],[TETO_COMERCIAL]]/100</f>
        <v>2.5000000000000001E-2</v>
      </c>
      <c r="U242" t="b">
        <f>Consulta1[[#This Row],[TETO_COMERCIAL_%]]=Consulta1[[#This Row],[TAXA]]</f>
        <v>0</v>
      </c>
      <c r="V242" t="str">
        <f>CONCATENATE(Consulta1[[#This Row],[MES_ALTERACAO]],Consulta1[[#This Row],[VIRADA]])</f>
        <v>2026058</v>
      </c>
      <c r="W242">
        <f>VLOOKUP(Consulta1[[#This Row],[Coluna2]],CALENDARIO!$J:$K,2,FALSE)</f>
        <v>5</v>
      </c>
    </row>
    <row r="243" spans="1:23" x14ac:dyDescent="0.25">
      <c r="A243" t="s">
        <v>3451</v>
      </c>
      <c r="B243" t="str">
        <f>CONCATENATE(Consulta1[[#This Row],[id]],Consulta1[[#This Row],[EMPREGADOR]])</f>
        <v>3GOV MS CLT</v>
      </c>
      <c r="C243" s="6">
        <f>IF(A243=A242,C242+1,1)</f>
        <v>3</v>
      </c>
      <c r="D243" t="s">
        <v>3456</v>
      </c>
      <c r="E243" s="101">
        <v>0.02</v>
      </c>
      <c r="F243" s="6">
        <v>120</v>
      </c>
      <c r="G243" t="s">
        <v>1349</v>
      </c>
      <c r="H243" s="82">
        <v>2.5</v>
      </c>
      <c r="I243">
        <v>5</v>
      </c>
      <c r="K243" t="s">
        <v>3457</v>
      </c>
      <c r="L243" s="6" t="s">
        <v>1426</v>
      </c>
      <c r="M243" s="6">
        <v>8</v>
      </c>
      <c r="N243" s="6">
        <v>2</v>
      </c>
      <c r="O243">
        <v>500</v>
      </c>
      <c r="P243">
        <v>202605</v>
      </c>
      <c r="Q243" t="s">
        <v>377</v>
      </c>
      <c r="R243" t="s">
        <v>1353</v>
      </c>
      <c r="S243">
        <f>Consulta1[[#This Row],[min_port]]/100</f>
        <v>1.4199999999999999E-2</v>
      </c>
      <c r="T243" s="252">
        <f>Consulta1[[#This Row],[TETO_COMERCIAL]]/100</f>
        <v>2.5000000000000001E-2</v>
      </c>
      <c r="U243" t="b">
        <f>Consulta1[[#This Row],[TETO_COMERCIAL_%]]=Consulta1[[#This Row],[TAXA]]</f>
        <v>0</v>
      </c>
      <c r="V243" t="str">
        <f>CONCATENATE(Consulta1[[#This Row],[MES_ALTERACAO]],Consulta1[[#This Row],[VIRADA]])</f>
        <v>2026058</v>
      </c>
      <c r="W243">
        <f>VLOOKUP(Consulta1[[#This Row],[Coluna2]],CALENDARIO!$J:$K,2,FALSE)</f>
        <v>5</v>
      </c>
    </row>
    <row r="244" spans="1:23" x14ac:dyDescent="0.25">
      <c r="A244" t="s">
        <v>3451</v>
      </c>
      <c r="B244" t="str">
        <f>CONCATENATE(Consulta1[[#This Row],[id]],Consulta1[[#This Row],[EMPREGADOR]])</f>
        <v>4GOV MS CLT</v>
      </c>
      <c r="C244" s="6">
        <f>IF(A244=A243,C243+1,1)</f>
        <v>4</v>
      </c>
      <c r="D244" t="s">
        <v>3458</v>
      </c>
      <c r="E244" s="101">
        <v>1.8000000000000002E-2</v>
      </c>
      <c r="F244" s="6">
        <v>120</v>
      </c>
      <c r="G244" t="s">
        <v>1349</v>
      </c>
      <c r="H244" s="82">
        <v>2.5</v>
      </c>
      <c r="I244">
        <v>5</v>
      </c>
      <c r="K244" t="s">
        <v>3459</v>
      </c>
      <c r="L244" s="6" t="s">
        <v>1426</v>
      </c>
      <c r="M244" s="6">
        <v>8</v>
      </c>
      <c r="N244" s="6">
        <v>2</v>
      </c>
      <c r="O244">
        <v>500</v>
      </c>
      <c r="P244">
        <v>202605</v>
      </c>
      <c r="Q244" t="s">
        <v>377</v>
      </c>
      <c r="R244" t="s">
        <v>1353</v>
      </c>
      <c r="S244">
        <f>Consulta1[[#This Row],[min_port]]/100</f>
        <v>1.4199999999999999E-2</v>
      </c>
      <c r="T244" s="252">
        <f>Consulta1[[#This Row],[TETO_COMERCIAL]]/100</f>
        <v>2.5000000000000001E-2</v>
      </c>
      <c r="U244" t="b">
        <f>Consulta1[[#This Row],[TETO_COMERCIAL_%]]=Consulta1[[#This Row],[TAXA]]</f>
        <v>0</v>
      </c>
      <c r="V244" t="str">
        <f>CONCATENATE(Consulta1[[#This Row],[MES_ALTERACAO]],Consulta1[[#This Row],[VIRADA]])</f>
        <v>2026058</v>
      </c>
      <c r="W244">
        <f>VLOOKUP(Consulta1[[#This Row],[Coluna2]],CALENDARIO!$J:$K,2,FALSE)</f>
        <v>5</v>
      </c>
    </row>
    <row r="245" spans="1:23" x14ac:dyDescent="0.25">
      <c r="A245" t="s">
        <v>3451</v>
      </c>
      <c r="B245" t="str">
        <f>CONCATENATE(Consulta1[[#This Row],[id]],Consulta1[[#This Row],[EMPREGADOR]])</f>
        <v>5GOV MS CLT</v>
      </c>
      <c r="C245" s="6">
        <f>IF(A245=A244,C244+1,1)</f>
        <v>5</v>
      </c>
      <c r="D245" t="s">
        <v>3460</v>
      </c>
      <c r="E245" s="101">
        <v>1.7600000000000001E-2</v>
      </c>
      <c r="F245" s="6">
        <v>120</v>
      </c>
      <c r="G245" t="s">
        <v>1349</v>
      </c>
      <c r="H245" s="82">
        <v>2.5</v>
      </c>
      <c r="I245">
        <v>5</v>
      </c>
      <c r="K245" t="s">
        <v>3461</v>
      </c>
      <c r="L245" s="6" t="s">
        <v>1426</v>
      </c>
      <c r="M245" s="6">
        <v>8</v>
      </c>
      <c r="N245" s="6">
        <v>2</v>
      </c>
      <c r="O245">
        <v>500</v>
      </c>
      <c r="P245">
        <v>202605</v>
      </c>
      <c r="Q245" t="s">
        <v>377</v>
      </c>
      <c r="R245" t="s">
        <v>1353</v>
      </c>
      <c r="S245">
        <f>Consulta1[[#This Row],[min_port]]/100</f>
        <v>1.4199999999999999E-2</v>
      </c>
      <c r="T245" s="252">
        <f>Consulta1[[#This Row],[TETO_COMERCIAL]]/100</f>
        <v>2.5000000000000001E-2</v>
      </c>
      <c r="U245" t="b">
        <f>Consulta1[[#This Row],[TETO_COMERCIAL_%]]=Consulta1[[#This Row],[TAXA]]</f>
        <v>0</v>
      </c>
      <c r="V245" t="str">
        <f>CONCATENATE(Consulta1[[#This Row],[MES_ALTERACAO]],Consulta1[[#This Row],[VIRADA]])</f>
        <v>2026058</v>
      </c>
      <c r="W245">
        <f>VLOOKUP(Consulta1[[#This Row],[Coluna2]],CALENDARIO!$J:$K,2,FALSE)</f>
        <v>5</v>
      </c>
    </row>
    <row r="246" spans="1:23" x14ac:dyDescent="0.25">
      <c r="A246" t="s">
        <v>3451</v>
      </c>
      <c r="B246" t="str">
        <f>CONCATENATE(Consulta1[[#This Row],[id]],Consulta1[[#This Row],[EMPREGADOR]])</f>
        <v>6GOV MS CLT</v>
      </c>
      <c r="C246" s="6">
        <f>IF(A246=A245,C245+1,1)</f>
        <v>6</v>
      </c>
      <c r="D246" t="s">
        <v>3462</v>
      </c>
      <c r="E246" s="101">
        <v>1.7399999999999999E-2</v>
      </c>
      <c r="F246" s="6">
        <v>120</v>
      </c>
      <c r="G246" t="s">
        <v>1349</v>
      </c>
      <c r="H246" s="82">
        <v>2.5</v>
      </c>
      <c r="I246">
        <v>5</v>
      </c>
      <c r="K246" t="s">
        <v>3463</v>
      </c>
      <c r="L246" s="6" t="s">
        <v>1426</v>
      </c>
      <c r="M246" s="6">
        <v>8</v>
      </c>
      <c r="N246" s="6">
        <v>2</v>
      </c>
      <c r="O246">
        <v>500</v>
      </c>
      <c r="P246">
        <v>202605</v>
      </c>
      <c r="Q246" t="s">
        <v>377</v>
      </c>
      <c r="R246" t="s">
        <v>1353</v>
      </c>
      <c r="S246">
        <f>Consulta1[[#This Row],[min_port]]/100</f>
        <v>1.4199999999999999E-2</v>
      </c>
      <c r="T246" s="252">
        <f>Consulta1[[#This Row],[TETO_COMERCIAL]]/100</f>
        <v>2.5000000000000001E-2</v>
      </c>
      <c r="U246" t="b">
        <f>Consulta1[[#This Row],[TETO_COMERCIAL_%]]=Consulta1[[#This Row],[TAXA]]</f>
        <v>0</v>
      </c>
      <c r="V246" t="str">
        <f>CONCATENATE(Consulta1[[#This Row],[MES_ALTERACAO]],Consulta1[[#This Row],[VIRADA]])</f>
        <v>2026058</v>
      </c>
      <c r="W246">
        <f>VLOOKUP(Consulta1[[#This Row],[Coluna2]],CALENDARIO!$J:$K,2,FALSE)</f>
        <v>5</v>
      </c>
    </row>
    <row r="247" spans="1:23" x14ac:dyDescent="0.25">
      <c r="A247" t="s">
        <v>3451</v>
      </c>
      <c r="B247" t="str">
        <f>CONCATENATE(Consulta1[[#This Row],[id]],Consulta1[[#This Row],[EMPREGADOR]])</f>
        <v>7GOV MS CLT</v>
      </c>
      <c r="C247" s="6">
        <f>IF(A247=A246,C246+1,1)</f>
        <v>7</v>
      </c>
      <c r="D247" t="s">
        <v>3464</v>
      </c>
      <c r="E247" s="101">
        <v>1.72E-2</v>
      </c>
      <c r="F247" s="6">
        <v>120</v>
      </c>
      <c r="G247" t="s">
        <v>1349</v>
      </c>
      <c r="H247" s="82">
        <v>2.5</v>
      </c>
      <c r="I247">
        <v>5</v>
      </c>
      <c r="K247" t="s">
        <v>3465</v>
      </c>
      <c r="L247" s="6" t="s">
        <v>1426</v>
      </c>
      <c r="M247" s="6">
        <v>8</v>
      </c>
      <c r="N247" s="6">
        <v>2</v>
      </c>
      <c r="O247">
        <v>500</v>
      </c>
      <c r="P247">
        <v>202605</v>
      </c>
      <c r="Q247" t="s">
        <v>377</v>
      </c>
      <c r="R247" t="s">
        <v>1353</v>
      </c>
      <c r="S247">
        <f>Consulta1[[#This Row],[min_port]]/100</f>
        <v>1.4199999999999999E-2</v>
      </c>
      <c r="T247" s="252">
        <f>Consulta1[[#This Row],[TETO_COMERCIAL]]/100</f>
        <v>2.5000000000000001E-2</v>
      </c>
      <c r="U247" t="b">
        <f>Consulta1[[#This Row],[TETO_COMERCIAL_%]]=Consulta1[[#This Row],[TAXA]]</f>
        <v>0</v>
      </c>
      <c r="V247" t="str">
        <f>CONCATENATE(Consulta1[[#This Row],[MES_ALTERACAO]],Consulta1[[#This Row],[VIRADA]])</f>
        <v>2026058</v>
      </c>
      <c r="W247">
        <f>VLOOKUP(Consulta1[[#This Row],[Coluna2]],CALENDARIO!$J:$K,2,FALSE)</f>
        <v>5</v>
      </c>
    </row>
    <row r="248" spans="1:23" x14ac:dyDescent="0.25">
      <c r="A248" t="s">
        <v>3451</v>
      </c>
      <c r="B248" t="str">
        <f>CONCATENATE(Consulta1[[#This Row],[id]],Consulta1[[#This Row],[EMPREGADOR]])</f>
        <v>8GOV MS CLT</v>
      </c>
      <c r="C248" s="6">
        <f>IF(A248=A247,C247+1,1)</f>
        <v>8</v>
      </c>
      <c r="D248" t="s">
        <v>3466</v>
      </c>
      <c r="E248" s="101">
        <v>1.7000000000000001E-2</v>
      </c>
      <c r="F248" s="6">
        <v>120</v>
      </c>
      <c r="G248" t="s">
        <v>1349</v>
      </c>
      <c r="H248" s="82">
        <v>2.5</v>
      </c>
      <c r="I248">
        <v>5</v>
      </c>
      <c r="K248" t="s">
        <v>3467</v>
      </c>
      <c r="L248" s="6" t="s">
        <v>1426</v>
      </c>
      <c r="M248" s="6">
        <v>8</v>
      </c>
      <c r="N248" s="6">
        <v>2</v>
      </c>
      <c r="O248">
        <v>500</v>
      </c>
      <c r="P248">
        <v>202605</v>
      </c>
      <c r="Q248" t="s">
        <v>377</v>
      </c>
      <c r="R248" t="s">
        <v>1353</v>
      </c>
      <c r="S248">
        <f>Consulta1[[#This Row],[min_port]]/100</f>
        <v>1.4199999999999999E-2</v>
      </c>
      <c r="T248" s="252">
        <f>Consulta1[[#This Row],[TETO_COMERCIAL]]/100</f>
        <v>2.5000000000000001E-2</v>
      </c>
      <c r="U248" t="b">
        <f>Consulta1[[#This Row],[TETO_COMERCIAL_%]]=Consulta1[[#This Row],[TAXA]]</f>
        <v>0</v>
      </c>
      <c r="V248" t="str">
        <f>CONCATENATE(Consulta1[[#This Row],[MES_ALTERACAO]],Consulta1[[#This Row],[VIRADA]])</f>
        <v>2026058</v>
      </c>
      <c r="W248">
        <f>VLOOKUP(Consulta1[[#This Row],[Coluna2]],CALENDARIO!$J:$K,2,FALSE)</f>
        <v>5</v>
      </c>
    </row>
    <row r="249" spans="1:23" x14ac:dyDescent="0.25">
      <c r="A249" t="s">
        <v>3451</v>
      </c>
      <c r="B249" t="str">
        <f>CONCATENATE(Consulta1[[#This Row],[id]],Consulta1[[#This Row],[EMPREGADOR]])</f>
        <v>9GOV MS CLT</v>
      </c>
      <c r="C249" s="6">
        <f>IF(A249=A248,C248+1,1)</f>
        <v>9</v>
      </c>
      <c r="D249" t="s">
        <v>3468</v>
      </c>
      <c r="E249" s="101">
        <v>1.6799999999999999E-2</v>
      </c>
      <c r="F249" s="6">
        <v>120</v>
      </c>
      <c r="G249" t="s">
        <v>1349</v>
      </c>
      <c r="H249" s="82">
        <v>2.5</v>
      </c>
      <c r="I249">
        <v>5</v>
      </c>
      <c r="J249">
        <v>75</v>
      </c>
      <c r="K249" t="s">
        <v>3469</v>
      </c>
      <c r="L249" s="6" t="s">
        <v>1426</v>
      </c>
      <c r="M249" s="6">
        <v>8</v>
      </c>
      <c r="N249" s="6">
        <v>2</v>
      </c>
      <c r="O249">
        <v>500</v>
      </c>
      <c r="P249">
        <v>202605</v>
      </c>
      <c r="Q249" t="s">
        <v>377</v>
      </c>
      <c r="R249" t="s">
        <v>1353</v>
      </c>
      <c r="S249">
        <f>Consulta1[[#This Row],[min_port]]/100</f>
        <v>1.4199999999999999E-2</v>
      </c>
      <c r="T249" s="252">
        <f>Consulta1[[#This Row],[TETO_COMERCIAL]]/100</f>
        <v>2.5000000000000001E-2</v>
      </c>
      <c r="U249" t="b">
        <f>Consulta1[[#This Row],[TETO_COMERCIAL_%]]=Consulta1[[#This Row],[TAXA]]</f>
        <v>0</v>
      </c>
      <c r="V249" t="str">
        <f>CONCATENATE(Consulta1[[#This Row],[MES_ALTERACAO]],Consulta1[[#This Row],[VIRADA]])</f>
        <v>2026058</v>
      </c>
      <c r="W249">
        <f>VLOOKUP(Consulta1[[#This Row],[Coluna2]],CALENDARIO!$J:$K,2,FALSE)</f>
        <v>5</v>
      </c>
    </row>
    <row r="250" spans="1:23" x14ac:dyDescent="0.25">
      <c r="A250" t="s">
        <v>3451</v>
      </c>
      <c r="B250" t="str">
        <f>CONCATENATE(Consulta1[[#This Row],[id]],Consulta1[[#This Row],[EMPREGADOR]])</f>
        <v>10GOV MS CLT</v>
      </c>
      <c r="C250" s="6">
        <f>IF(A250=A249,C249+1,1)</f>
        <v>10</v>
      </c>
      <c r="D250" t="s">
        <v>3470</v>
      </c>
      <c r="E250" s="101">
        <v>1.66E-2</v>
      </c>
      <c r="F250" s="6">
        <v>120</v>
      </c>
      <c r="G250" t="s">
        <v>1349</v>
      </c>
      <c r="H250" s="82">
        <v>2.5</v>
      </c>
      <c r="I250">
        <v>5</v>
      </c>
      <c r="J250">
        <v>68</v>
      </c>
      <c r="K250" t="s">
        <v>3471</v>
      </c>
      <c r="L250" s="6" t="s">
        <v>1426</v>
      </c>
      <c r="M250" s="6">
        <v>8</v>
      </c>
      <c r="N250" s="6">
        <v>2</v>
      </c>
      <c r="O250">
        <v>20000</v>
      </c>
      <c r="P250">
        <v>202605</v>
      </c>
      <c r="Q250" t="s">
        <v>377</v>
      </c>
      <c r="R250" t="s">
        <v>1353</v>
      </c>
      <c r="S250">
        <f>Consulta1[[#This Row],[min_port]]/100</f>
        <v>1.4199999999999999E-2</v>
      </c>
      <c r="T250" s="252">
        <f>Consulta1[[#This Row],[TETO_COMERCIAL]]/100</f>
        <v>2.5000000000000001E-2</v>
      </c>
      <c r="U250" t="b">
        <f>Consulta1[[#This Row],[TETO_COMERCIAL_%]]=Consulta1[[#This Row],[TAXA]]</f>
        <v>0</v>
      </c>
      <c r="V250" t="str">
        <f>CONCATENATE(Consulta1[[#This Row],[MES_ALTERACAO]],Consulta1[[#This Row],[VIRADA]])</f>
        <v>2026058</v>
      </c>
      <c r="W250">
        <f>VLOOKUP(Consulta1[[#This Row],[Coluna2]],CALENDARIO!$J:$K,2,FALSE)</f>
        <v>5</v>
      </c>
    </row>
    <row r="251" spans="1:23" x14ac:dyDescent="0.25">
      <c r="A251" t="s">
        <v>3451</v>
      </c>
      <c r="B251" t="str">
        <f>CONCATENATE(Consulta1[[#This Row],[id]],Consulta1[[#This Row],[EMPREGADOR]])</f>
        <v>11GOV MS CLT</v>
      </c>
      <c r="C251" s="6">
        <f>IF(A251=A250,C250+1,1)</f>
        <v>11</v>
      </c>
      <c r="D251" t="s">
        <v>3472</v>
      </c>
      <c r="E251" s="101">
        <v>1.6399999999999998E-2</v>
      </c>
      <c r="F251" s="6">
        <v>120</v>
      </c>
      <c r="G251" t="s">
        <v>1349</v>
      </c>
      <c r="H251" s="82">
        <v>2.5</v>
      </c>
      <c r="I251">
        <v>5</v>
      </c>
      <c r="J251">
        <v>77</v>
      </c>
      <c r="K251" t="s">
        <v>3473</v>
      </c>
      <c r="L251" s="6" t="s">
        <v>1426</v>
      </c>
      <c r="M251" s="6">
        <v>8</v>
      </c>
      <c r="N251" s="6">
        <v>2</v>
      </c>
      <c r="O251">
        <v>30000</v>
      </c>
      <c r="P251">
        <v>202605</v>
      </c>
      <c r="Q251" t="s">
        <v>377</v>
      </c>
      <c r="R251" t="s">
        <v>1353</v>
      </c>
      <c r="S251">
        <f>Consulta1[[#This Row],[min_port]]/100</f>
        <v>1.4199999999999999E-2</v>
      </c>
      <c r="T251" s="252">
        <f>Consulta1[[#This Row],[TETO_COMERCIAL]]/100</f>
        <v>2.5000000000000001E-2</v>
      </c>
      <c r="U251" t="b">
        <f>Consulta1[[#This Row],[TETO_COMERCIAL_%]]=Consulta1[[#This Row],[TAXA]]</f>
        <v>0</v>
      </c>
      <c r="V251" t="str">
        <f>CONCATENATE(Consulta1[[#This Row],[MES_ALTERACAO]],Consulta1[[#This Row],[VIRADA]])</f>
        <v>2026058</v>
      </c>
      <c r="W251">
        <f>VLOOKUP(Consulta1[[#This Row],[Coluna2]],CALENDARIO!$J:$K,2,FALSE)</f>
        <v>5</v>
      </c>
    </row>
    <row r="252" spans="1:23" x14ac:dyDescent="0.25">
      <c r="A252" t="s">
        <v>3451</v>
      </c>
      <c r="B252" t="str">
        <f>CONCATENATE(Consulta1[[#This Row],[id]],Consulta1[[#This Row],[EMPREGADOR]])</f>
        <v>12GOV MS CLT</v>
      </c>
      <c r="C252" s="6">
        <f>IF(A252=A251,C251+1,1)</f>
        <v>12</v>
      </c>
      <c r="D252" t="s">
        <v>3474</v>
      </c>
      <c r="E252" s="101">
        <v>1.6200000000000003E-2</v>
      </c>
      <c r="F252" s="6">
        <v>120</v>
      </c>
      <c r="G252" t="s">
        <v>1349</v>
      </c>
      <c r="H252" s="82">
        <v>2.5</v>
      </c>
      <c r="I252">
        <v>5</v>
      </c>
      <c r="J252">
        <v>82</v>
      </c>
      <c r="K252" t="s">
        <v>3475</v>
      </c>
      <c r="L252" s="6" t="s">
        <v>1426</v>
      </c>
      <c r="M252" s="6">
        <v>8</v>
      </c>
      <c r="N252" s="6">
        <v>2</v>
      </c>
      <c r="O252">
        <v>50000</v>
      </c>
      <c r="P252">
        <v>202605</v>
      </c>
      <c r="Q252" t="s">
        <v>377</v>
      </c>
      <c r="R252" t="s">
        <v>1353</v>
      </c>
      <c r="S252">
        <f>Consulta1[[#This Row],[min_port]]/100</f>
        <v>1.4199999999999999E-2</v>
      </c>
      <c r="T252" s="252">
        <f>Consulta1[[#This Row],[TETO_COMERCIAL]]/100</f>
        <v>2.5000000000000001E-2</v>
      </c>
      <c r="U252" t="b">
        <f>Consulta1[[#This Row],[TETO_COMERCIAL_%]]=Consulta1[[#This Row],[TAXA]]</f>
        <v>0</v>
      </c>
      <c r="V252" t="str">
        <f>CONCATENATE(Consulta1[[#This Row],[MES_ALTERACAO]],Consulta1[[#This Row],[VIRADA]])</f>
        <v>2026058</v>
      </c>
      <c r="W252">
        <f>VLOOKUP(Consulta1[[#This Row],[Coluna2]],CALENDARIO!$J:$K,2,FALSE)</f>
        <v>5</v>
      </c>
    </row>
    <row r="253" spans="1:23" x14ac:dyDescent="0.25">
      <c r="A253" t="s">
        <v>1046</v>
      </c>
      <c r="B253" t="str">
        <f>CONCATENATE(Consulta1[[#This Row],[id]],Consulta1[[#This Row],[EMPREGADOR]])</f>
        <v>1GOV PARANA</v>
      </c>
      <c r="C253" s="6">
        <f>IF(A253=A252,C252+1,1)</f>
        <v>1</v>
      </c>
      <c r="D253" t="s">
        <v>3540</v>
      </c>
      <c r="E253" s="101">
        <v>1.9299999999999998E-2</v>
      </c>
      <c r="F253" s="6">
        <v>120</v>
      </c>
      <c r="G253" t="s">
        <v>1349</v>
      </c>
      <c r="H253" s="82">
        <v>1.98</v>
      </c>
      <c r="I253">
        <v>10</v>
      </c>
      <c r="J253">
        <v>55</v>
      </c>
      <c r="K253" t="s">
        <v>3541</v>
      </c>
      <c r="L253" s="6" t="s">
        <v>1494</v>
      </c>
      <c r="M253" s="6">
        <v>5</v>
      </c>
      <c r="N253" s="6">
        <v>2</v>
      </c>
      <c r="O253">
        <v>500</v>
      </c>
      <c r="P253">
        <v>202605</v>
      </c>
      <c r="Q253" t="s">
        <v>377</v>
      </c>
      <c r="R253" t="s">
        <v>1353</v>
      </c>
      <c r="S253">
        <f>Consulta1[[#This Row],[min_port]]/100</f>
        <v>1.37E-2</v>
      </c>
      <c r="T253" s="252">
        <f>Consulta1[[#This Row],[TETO_COMERCIAL]]/100</f>
        <v>1.9799999999999998E-2</v>
      </c>
      <c r="U253" t="b">
        <f>Consulta1[[#This Row],[TETO_COMERCIAL_%]]=Consulta1[[#This Row],[TAXA]]</f>
        <v>0</v>
      </c>
      <c r="V253" t="str">
        <f>CONCATENATE(Consulta1[[#This Row],[MES_ALTERACAO]],Consulta1[[#This Row],[VIRADA]])</f>
        <v>2026055</v>
      </c>
      <c r="W253">
        <f>VLOOKUP(Consulta1[[#This Row],[Coluna2]],CALENDARIO!$J:$K,2,FALSE)</f>
        <v>2</v>
      </c>
    </row>
    <row r="254" spans="1:23" x14ac:dyDescent="0.25">
      <c r="A254" t="s">
        <v>1046</v>
      </c>
      <c r="B254" t="str">
        <f>CONCATENATE(Consulta1[[#This Row],[id]],Consulta1[[#This Row],[EMPREGADOR]])</f>
        <v>2GOV PARANA</v>
      </c>
      <c r="C254" s="6">
        <f>IF(A254=A253,C253+1,1)</f>
        <v>2</v>
      </c>
      <c r="D254" t="s">
        <v>3542</v>
      </c>
      <c r="E254" s="101">
        <v>1.9E-2</v>
      </c>
      <c r="F254" s="6">
        <v>120</v>
      </c>
      <c r="G254" t="s">
        <v>1349</v>
      </c>
      <c r="H254" s="82">
        <v>1.98</v>
      </c>
      <c r="I254">
        <v>10</v>
      </c>
      <c r="K254" t="s">
        <v>3543</v>
      </c>
      <c r="L254" s="6" t="s">
        <v>1494</v>
      </c>
      <c r="M254" s="6">
        <v>5</v>
      </c>
      <c r="N254" s="6">
        <v>2</v>
      </c>
      <c r="O254">
        <v>500</v>
      </c>
      <c r="P254">
        <v>202605</v>
      </c>
      <c r="Q254" t="s">
        <v>377</v>
      </c>
      <c r="R254" t="s">
        <v>1353</v>
      </c>
      <c r="S254">
        <f>Consulta1[[#This Row],[min_port]]/100</f>
        <v>1.37E-2</v>
      </c>
      <c r="T254" s="252">
        <f>Consulta1[[#This Row],[TETO_COMERCIAL]]/100</f>
        <v>1.9799999999999998E-2</v>
      </c>
      <c r="U254" t="b">
        <f>Consulta1[[#This Row],[TETO_COMERCIAL_%]]=Consulta1[[#This Row],[TAXA]]</f>
        <v>0</v>
      </c>
      <c r="V254" t="str">
        <f>CONCATENATE(Consulta1[[#This Row],[MES_ALTERACAO]],Consulta1[[#This Row],[VIRADA]])</f>
        <v>2026055</v>
      </c>
      <c r="W254">
        <f>VLOOKUP(Consulta1[[#This Row],[Coluna2]],CALENDARIO!$J:$K,2,FALSE)</f>
        <v>2</v>
      </c>
    </row>
    <row r="255" spans="1:23" x14ac:dyDescent="0.25">
      <c r="A255" t="s">
        <v>1046</v>
      </c>
      <c r="B255" t="str">
        <f>CONCATENATE(Consulta1[[#This Row],[id]],Consulta1[[#This Row],[EMPREGADOR]])</f>
        <v>3GOV PARANA</v>
      </c>
      <c r="C255" s="6">
        <f>IF(A255=A254,C254+1,1)</f>
        <v>3</v>
      </c>
      <c r="D255" t="s">
        <v>3544</v>
      </c>
      <c r="E255" s="101">
        <v>1.8500000000000003E-2</v>
      </c>
      <c r="F255" s="6">
        <v>120</v>
      </c>
      <c r="G255" t="s">
        <v>1349</v>
      </c>
      <c r="H255" s="82">
        <v>1.98</v>
      </c>
      <c r="I255">
        <v>10</v>
      </c>
      <c r="J255">
        <v>57</v>
      </c>
      <c r="K255" t="s">
        <v>3545</v>
      </c>
      <c r="L255" s="6" t="s">
        <v>1494</v>
      </c>
      <c r="M255" s="6">
        <v>5</v>
      </c>
      <c r="N255" s="6">
        <v>2</v>
      </c>
      <c r="O255">
        <v>500</v>
      </c>
      <c r="P255">
        <v>202605</v>
      </c>
      <c r="Q255" t="s">
        <v>377</v>
      </c>
      <c r="R255" t="s">
        <v>1353</v>
      </c>
      <c r="S255">
        <f>Consulta1[[#This Row],[min_port]]/100</f>
        <v>1.37E-2</v>
      </c>
      <c r="T255" s="252">
        <f>Consulta1[[#This Row],[TETO_COMERCIAL]]/100</f>
        <v>1.9799999999999998E-2</v>
      </c>
      <c r="U255" t="b">
        <f>Consulta1[[#This Row],[TETO_COMERCIAL_%]]=Consulta1[[#This Row],[TAXA]]</f>
        <v>0</v>
      </c>
      <c r="V255" t="str">
        <f>CONCATENATE(Consulta1[[#This Row],[MES_ALTERACAO]],Consulta1[[#This Row],[VIRADA]])</f>
        <v>2026055</v>
      </c>
      <c r="W255">
        <f>VLOOKUP(Consulta1[[#This Row],[Coluna2]],CALENDARIO!$J:$K,2,FALSE)</f>
        <v>2</v>
      </c>
    </row>
    <row r="256" spans="1:23" x14ac:dyDescent="0.25">
      <c r="A256" t="s">
        <v>1046</v>
      </c>
      <c r="B256" t="str">
        <f>CONCATENATE(Consulta1[[#This Row],[id]],Consulta1[[#This Row],[EMPREGADOR]])</f>
        <v>4GOV PARANA</v>
      </c>
      <c r="C256" s="6">
        <f>IF(A256=A255,C255+1,1)</f>
        <v>4</v>
      </c>
      <c r="D256" t="s">
        <v>3546</v>
      </c>
      <c r="E256" s="101">
        <v>1.8000000000000002E-2</v>
      </c>
      <c r="F256" s="6">
        <v>120</v>
      </c>
      <c r="G256" t="s">
        <v>1349</v>
      </c>
      <c r="H256" s="82">
        <v>1.98</v>
      </c>
      <c r="I256">
        <v>10</v>
      </c>
      <c r="J256">
        <v>54</v>
      </c>
      <c r="K256" t="s">
        <v>3547</v>
      </c>
      <c r="L256" s="6" t="s">
        <v>1494</v>
      </c>
      <c r="M256" s="6">
        <v>5</v>
      </c>
      <c r="N256" s="6">
        <v>2</v>
      </c>
      <c r="O256">
        <v>500</v>
      </c>
      <c r="P256">
        <v>202605</v>
      </c>
      <c r="Q256" t="s">
        <v>377</v>
      </c>
      <c r="R256" t="s">
        <v>1353</v>
      </c>
      <c r="S256">
        <f>Consulta1[[#This Row],[min_port]]/100</f>
        <v>1.37E-2</v>
      </c>
      <c r="T256" s="252">
        <f>Consulta1[[#This Row],[TETO_COMERCIAL]]/100</f>
        <v>1.9799999999999998E-2</v>
      </c>
      <c r="U256" t="b">
        <f>Consulta1[[#This Row],[TETO_COMERCIAL_%]]=Consulta1[[#This Row],[TAXA]]</f>
        <v>0</v>
      </c>
      <c r="V256" t="str">
        <f>CONCATENATE(Consulta1[[#This Row],[MES_ALTERACAO]],Consulta1[[#This Row],[VIRADA]])</f>
        <v>2026055</v>
      </c>
      <c r="W256">
        <f>VLOOKUP(Consulta1[[#This Row],[Coluna2]],CALENDARIO!$J:$K,2,FALSE)</f>
        <v>2</v>
      </c>
    </row>
    <row r="257" spans="1:23" x14ac:dyDescent="0.25">
      <c r="A257" t="s">
        <v>1046</v>
      </c>
      <c r="B257" t="str">
        <f>CONCATENATE(Consulta1[[#This Row],[id]],Consulta1[[#This Row],[EMPREGADOR]])</f>
        <v>5GOV PARANA</v>
      </c>
      <c r="C257" s="6">
        <f>IF(A257=A256,C256+1,1)</f>
        <v>5</v>
      </c>
      <c r="D257" t="s">
        <v>3548</v>
      </c>
      <c r="E257" s="101">
        <v>1.7500000000000002E-2</v>
      </c>
      <c r="F257" s="6">
        <v>120</v>
      </c>
      <c r="G257" t="s">
        <v>1349</v>
      </c>
      <c r="H257" s="82">
        <v>1.98</v>
      </c>
      <c r="I257">
        <v>10</v>
      </c>
      <c r="J257">
        <v>56</v>
      </c>
      <c r="K257" t="s">
        <v>3549</v>
      </c>
      <c r="L257" s="6" t="s">
        <v>1494</v>
      </c>
      <c r="M257" s="6">
        <v>5</v>
      </c>
      <c r="N257" s="6">
        <v>2</v>
      </c>
      <c r="O257">
        <v>500</v>
      </c>
      <c r="P257">
        <v>202605</v>
      </c>
      <c r="Q257" t="s">
        <v>377</v>
      </c>
      <c r="R257" t="s">
        <v>1353</v>
      </c>
      <c r="S257">
        <f>Consulta1[[#This Row],[min_port]]/100</f>
        <v>1.37E-2</v>
      </c>
      <c r="T257" s="252">
        <f>Consulta1[[#This Row],[TETO_COMERCIAL]]/100</f>
        <v>1.9799999999999998E-2</v>
      </c>
      <c r="U257" t="b">
        <f>Consulta1[[#This Row],[TETO_COMERCIAL_%]]=Consulta1[[#This Row],[TAXA]]</f>
        <v>0</v>
      </c>
      <c r="V257" t="str">
        <f>CONCATENATE(Consulta1[[#This Row],[MES_ALTERACAO]],Consulta1[[#This Row],[VIRADA]])</f>
        <v>2026055</v>
      </c>
      <c r="W257">
        <f>VLOOKUP(Consulta1[[#This Row],[Coluna2]],CALENDARIO!$J:$K,2,FALSE)</f>
        <v>2</v>
      </c>
    </row>
    <row r="258" spans="1:23" x14ac:dyDescent="0.25">
      <c r="A258" t="s">
        <v>1046</v>
      </c>
      <c r="B258" t="str">
        <f>CONCATENATE(Consulta1[[#This Row],[id]],Consulta1[[#This Row],[EMPREGADOR]])</f>
        <v>6GOV PARANA</v>
      </c>
      <c r="C258" s="6">
        <f>IF(A258=A257,C257+1,1)</f>
        <v>6</v>
      </c>
      <c r="D258" t="s">
        <v>3550</v>
      </c>
      <c r="E258" s="101">
        <v>1.7000000000000001E-2</v>
      </c>
      <c r="F258" s="6">
        <v>120</v>
      </c>
      <c r="G258" t="s">
        <v>1349</v>
      </c>
      <c r="H258" s="82">
        <v>1.98</v>
      </c>
      <c r="I258">
        <v>10</v>
      </c>
      <c r="J258">
        <v>53</v>
      </c>
      <c r="K258" t="s">
        <v>3551</v>
      </c>
      <c r="L258" s="6" t="s">
        <v>1494</v>
      </c>
      <c r="M258" s="6">
        <v>5</v>
      </c>
      <c r="N258" s="6">
        <v>2</v>
      </c>
      <c r="O258">
        <v>500</v>
      </c>
      <c r="P258">
        <v>202605</v>
      </c>
      <c r="Q258" t="s">
        <v>377</v>
      </c>
      <c r="R258" t="s">
        <v>1353</v>
      </c>
      <c r="S258">
        <f>Consulta1[[#This Row],[min_port]]/100</f>
        <v>1.37E-2</v>
      </c>
      <c r="T258" s="252">
        <f>Consulta1[[#This Row],[TETO_COMERCIAL]]/100</f>
        <v>1.9799999999999998E-2</v>
      </c>
      <c r="U258" t="b">
        <f>Consulta1[[#This Row],[TETO_COMERCIAL_%]]=Consulta1[[#This Row],[TAXA]]</f>
        <v>0</v>
      </c>
      <c r="V258" t="str">
        <f>CONCATENATE(Consulta1[[#This Row],[MES_ALTERACAO]],Consulta1[[#This Row],[VIRADA]])</f>
        <v>2026055</v>
      </c>
      <c r="W258">
        <f>VLOOKUP(Consulta1[[#This Row],[Coluna2]],CALENDARIO!$J:$K,2,FALSE)</f>
        <v>2</v>
      </c>
    </row>
    <row r="259" spans="1:23" x14ac:dyDescent="0.25">
      <c r="A259" t="s">
        <v>1046</v>
      </c>
      <c r="B259" t="str">
        <f>CONCATENATE(Consulta1[[#This Row],[id]],Consulta1[[#This Row],[EMPREGADOR]])</f>
        <v>7GOV PARANA</v>
      </c>
      <c r="C259" s="6">
        <f>IF(A259=A258,C258+1,1)</f>
        <v>7</v>
      </c>
      <c r="D259" t="s">
        <v>3552</v>
      </c>
      <c r="E259" s="101">
        <v>1.6500000000000001E-2</v>
      </c>
      <c r="F259" s="6">
        <v>120</v>
      </c>
      <c r="G259" t="s">
        <v>1349</v>
      </c>
      <c r="H259" s="82">
        <v>1.98</v>
      </c>
      <c r="I259">
        <v>10</v>
      </c>
      <c r="J259">
        <v>53</v>
      </c>
      <c r="K259" t="s">
        <v>3553</v>
      </c>
      <c r="L259" s="6" t="s">
        <v>1494</v>
      </c>
      <c r="M259" s="6">
        <v>5</v>
      </c>
      <c r="N259" s="6">
        <v>2</v>
      </c>
      <c r="O259">
        <v>500</v>
      </c>
      <c r="P259">
        <v>202605</v>
      </c>
      <c r="Q259" t="s">
        <v>377</v>
      </c>
      <c r="R259" t="s">
        <v>1353</v>
      </c>
      <c r="S259">
        <f>Consulta1[[#This Row],[min_port]]/100</f>
        <v>1.37E-2</v>
      </c>
      <c r="T259" s="252">
        <f>Consulta1[[#This Row],[TETO_COMERCIAL]]/100</f>
        <v>1.9799999999999998E-2</v>
      </c>
      <c r="U259" t="b">
        <f>Consulta1[[#This Row],[TETO_COMERCIAL_%]]=Consulta1[[#This Row],[TAXA]]</f>
        <v>0</v>
      </c>
      <c r="V259" t="str">
        <f>CONCATENATE(Consulta1[[#This Row],[MES_ALTERACAO]],Consulta1[[#This Row],[VIRADA]])</f>
        <v>2026055</v>
      </c>
      <c r="W259">
        <f>VLOOKUP(Consulta1[[#This Row],[Coluna2]],CALENDARIO!$J:$K,2,FALSE)</f>
        <v>2</v>
      </c>
    </row>
    <row r="260" spans="1:23" x14ac:dyDescent="0.25">
      <c r="A260" t="s">
        <v>74</v>
      </c>
      <c r="B260" t="str">
        <f>CONCATENATE(Consulta1[[#This Row],[id]],Consulta1[[#This Row],[EMPREGADOR]])</f>
        <v>1GOV PB</v>
      </c>
      <c r="C260" s="6">
        <f>IF(A260=A259,C259+1,1)</f>
        <v>1</v>
      </c>
      <c r="D260" t="s">
        <v>3098</v>
      </c>
      <c r="E260" s="101">
        <v>2.5000000000000001E-2</v>
      </c>
      <c r="F260" s="6">
        <v>120</v>
      </c>
      <c r="G260" t="s">
        <v>1349</v>
      </c>
      <c r="H260" s="82">
        <v>2.5</v>
      </c>
      <c r="I260">
        <v>20</v>
      </c>
      <c r="J260">
        <v>53</v>
      </c>
      <c r="K260" t="s">
        <v>3099</v>
      </c>
      <c r="L260" s="6" t="s">
        <v>1366</v>
      </c>
      <c r="M260" s="6">
        <v>10</v>
      </c>
      <c r="N260" s="6">
        <v>2</v>
      </c>
      <c r="O260">
        <v>500</v>
      </c>
      <c r="P260">
        <v>202605</v>
      </c>
      <c r="Q260" t="s">
        <v>377</v>
      </c>
      <c r="R260" t="s">
        <v>1353</v>
      </c>
      <c r="S260">
        <f>Consulta1[[#This Row],[min_port]]/100</f>
        <v>1.8000000000000002E-2</v>
      </c>
      <c r="T260" s="252">
        <f>Consulta1[[#This Row],[TETO_COMERCIAL]]/100</f>
        <v>2.5000000000000001E-2</v>
      </c>
      <c r="U260" t="b">
        <f>Consulta1[[#This Row],[TETO_COMERCIAL_%]]=Consulta1[[#This Row],[TAXA]]</f>
        <v>1</v>
      </c>
      <c r="V260" t="str">
        <f>CONCATENATE(Consulta1[[#This Row],[MES_ALTERACAO]],Consulta1[[#This Row],[VIRADA]])</f>
        <v>20260510</v>
      </c>
      <c r="W260">
        <f>VLOOKUP(Consulta1[[#This Row],[Coluna2]],CALENDARIO!$J:$K,2,FALSE)</f>
        <v>5</v>
      </c>
    </row>
    <row r="261" spans="1:23" x14ac:dyDescent="0.25">
      <c r="A261" t="s">
        <v>74</v>
      </c>
      <c r="B261" t="str">
        <f>CONCATENATE(Consulta1[[#This Row],[id]],Consulta1[[#This Row],[EMPREGADOR]])</f>
        <v>2GOV PB</v>
      </c>
      <c r="C261" s="6">
        <f>IF(A261=A260,C260+1,1)</f>
        <v>2</v>
      </c>
      <c r="D261" t="s">
        <v>3100</v>
      </c>
      <c r="E261" s="101">
        <v>2.4E-2</v>
      </c>
      <c r="F261" s="6">
        <v>120</v>
      </c>
      <c r="G261" t="s">
        <v>1349</v>
      </c>
      <c r="H261" s="82">
        <v>2.5</v>
      </c>
      <c r="I261">
        <v>20</v>
      </c>
      <c r="J261">
        <v>53</v>
      </c>
      <c r="K261" t="s">
        <v>3101</v>
      </c>
      <c r="L261" s="6" t="s">
        <v>1366</v>
      </c>
      <c r="M261" s="6">
        <v>10</v>
      </c>
      <c r="N261" s="6">
        <v>2</v>
      </c>
      <c r="O261">
        <v>500</v>
      </c>
      <c r="P261">
        <v>202605</v>
      </c>
      <c r="Q261" t="s">
        <v>377</v>
      </c>
      <c r="R261" t="s">
        <v>1353</v>
      </c>
      <c r="S261">
        <f>Consulta1[[#This Row],[min_port]]/100</f>
        <v>1.8000000000000002E-2</v>
      </c>
      <c r="T261" s="252">
        <f>Consulta1[[#This Row],[TETO_COMERCIAL]]/100</f>
        <v>2.5000000000000001E-2</v>
      </c>
      <c r="U261" t="b">
        <f>Consulta1[[#This Row],[TETO_COMERCIAL_%]]=Consulta1[[#This Row],[TAXA]]</f>
        <v>0</v>
      </c>
      <c r="V261" t="str">
        <f>CONCATENATE(Consulta1[[#This Row],[MES_ALTERACAO]],Consulta1[[#This Row],[VIRADA]])</f>
        <v>20260510</v>
      </c>
      <c r="W261">
        <f>VLOOKUP(Consulta1[[#This Row],[Coluna2]],CALENDARIO!$J:$K,2,FALSE)</f>
        <v>5</v>
      </c>
    </row>
    <row r="262" spans="1:23" x14ac:dyDescent="0.25">
      <c r="A262" t="s">
        <v>74</v>
      </c>
      <c r="B262" t="str">
        <f>CONCATENATE(Consulta1[[#This Row],[id]],Consulta1[[#This Row],[EMPREGADOR]])</f>
        <v>3GOV PB</v>
      </c>
      <c r="C262" s="6">
        <f>IF(A262=A261,C261+1,1)</f>
        <v>3</v>
      </c>
      <c r="D262" t="s">
        <v>3102</v>
      </c>
      <c r="E262" s="101">
        <v>2.3E-2</v>
      </c>
      <c r="F262" s="6">
        <v>120</v>
      </c>
      <c r="G262" t="s">
        <v>1349</v>
      </c>
      <c r="H262" s="82">
        <v>2.5</v>
      </c>
      <c r="I262">
        <v>20</v>
      </c>
      <c r="J262">
        <v>53</v>
      </c>
      <c r="K262" t="s">
        <v>3103</v>
      </c>
      <c r="L262" s="6" t="s">
        <v>1366</v>
      </c>
      <c r="M262" s="6">
        <v>10</v>
      </c>
      <c r="N262" s="6">
        <v>2</v>
      </c>
      <c r="O262">
        <v>500</v>
      </c>
      <c r="P262">
        <v>202605</v>
      </c>
      <c r="Q262" t="s">
        <v>377</v>
      </c>
      <c r="R262" t="s">
        <v>1353</v>
      </c>
      <c r="S262">
        <f>Consulta1[[#This Row],[min_port]]/100</f>
        <v>1.8000000000000002E-2</v>
      </c>
      <c r="T262" s="252">
        <f>Consulta1[[#This Row],[TETO_COMERCIAL]]/100</f>
        <v>2.5000000000000001E-2</v>
      </c>
      <c r="U262" t="b">
        <f>Consulta1[[#This Row],[TETO_COMERCIAL_%]]=Consulta1[[#This Row],[TAXA]]</f>
        <v>0</v>
      </c>
      <c r="V262" t="str">
        <f>CONCATENATE(Consulta1[[#This Row],[MES_ALTERACAO]],Consulta1[[#This Row],[VIRADA]])</f>
        <v>20260510</v>
      </c>
      <c r="W262">
        <f>VLOOKUP(Consulta1[[#This Row],[Coluna2]],CALENDARIO!$J:$K,2,FALSE)</f>
        <v>5</v>
      </c>
    </row>
    <row r="263" spans="1:23" x14ac:dyDescent="0.25">
      <c r="A263" t="s">
        <v>74</v>
      </c>
      <c r="B263" t="str">
        <f>CONCATENATE(Consulta1[[#This Row],[id]],Consulta1[[#This Row],[EMPREGADOR]])</f>
        <v>4GOV PB</v>
      </c>
      <c r="C263" s="6">
        <f>IF(A263=A262,C262+1,1)</f>
        <v>4</v>
      </c>
      <c r="D263" t="s">
        <v>3104</v>
      </c>
      <c r="E263" s="101">
        <v>2.2000000000000002E-2</v>
      </c>
      <c r="F263" s="6">
        <v>120</v>
      </c>
      <c r="G263" t="s">
        <v>1349</v>
      </c>
      <c r="H263" s="82">
        <v>2.5</v>
      </c>
      <c r="I263">
        <v>20</v>
      </c>
      <c r="J263">
        <v>53</v>
      </c>
      <c r="K263" t="s">
        <v>3105</v>
      </c>
      <c r="L263" s="6" t="s">
        <v>1366</v>
      </c>
      <c r="M263" s="6">
        <v>10</v>
      </c>
      <c r="N263" s="6">
        <v>2</v>
      </c>
      <c r="O263">
        <v>500</v>
      </c>
      <c r="P263">
        <v>202605</v>
      </c>
      <c r="Q263" t="s">
        <v>377</v>
      </c>
      <c r="R263" t="s">
        <v>1353</v>
      </c>
      <c r="S263">
        <f>Consulta1[[#This Row],[min_port]]/100</f>
        <v>1.8000000000000002E-2</v>
      </c>
      <c r="T263" s="252">
        <f>Consulta1[[#This Row],[TETO_COMERCIAL]]/100</f>
        <v>2.5000000000000001E-2</v>
      </c>
      <c r="U263" t="b">
        <f>Consulta1[[#This Row],[TETO_COMERCIAL_%]]=Consulta1[[#This Row],[TAXA]]</f>
        <v>0</v>
      </c>
      <c r="V263" t="str">
        <f>CONCATENATE(Consulta1[[#This Row],[MES_ALTERACAO]],Consulta1[[#This Row],[VIRADA]])</f>
        <v>20260510</v>
      </c>
      <c r="W263">
        <f>VLOOKUP(Consulta1[[#This Row],[Coluna2]],CALENDARIO!$J:$K,2,FALSE)</f>
        <v>5</v>
      </c>
    </row>
    <row r="264" spans="1:23" x14ac:dyDescent="0.25">
      <c r="A264" t="s">
        <v>74</v>
      </c>
      <c r="B264" t="str">
        <f>CONCATENATE(Consulta1[[#This Row],[id]],Consulta1[[#This Row],[EMPREGADOR]])</f>
        <v>5GOV PB</v>
      </c>
      <c r="C264" s="6">
        <f>IF(A264=A263,C263+1,1)</f>
        <v>5</v>
      </c>
      <c r="D264" t="s">
        <v>3106</v>
      </c>
      <c r="E264" s="101">
        <v>2.1000000000000001E-2</v>
      </c>
      <c r="F264" s="6">
        <v>120</v>
      </c>
      <c r="G264" t="s">
        <v>1349</v>
      </c>
      <c r="H264" s="82">
        <v>2.5</v>
      </c>
      <c r="I264">
        <v>20</v>
      </c>
      <c r="J264">
        <v>53</v>
      </c>
      <c r="K264" t="s">
        <v>3107</v>
      </c>
      <c r="L264" s="6" t="s">
        <v>1366</v>
      </c>
      <c r="M264" s="6">
        <v>10</v>
      </c>
      <c r="N264" s="6">
        <v>2</v>
      </c>
      <c r="O264">
        <v>500</v>
      </c>
      <c r="P264">
        <v>202605</v>
      </c>
      <c r="Q264" t="s">
        <v>377</v>
      </c>
      <c r="R264" t="s">
        <v>1353</v>
      </c>
      <c r="S264">
        <f>Consulta1[[#This Row],[min_port]]/100</f>
        <v>1.8000000000000002E-2</v>
      </c>
      <c r="T264" s="252">
        <f>Consulta1[[#This Row],[TETO_COMERCIAL]]/100</f>
        <v>2.5000000000000001E-2</v>
      </c>
      <c r="U264" t="b">
        <f>Consulta1[[#This Row],[TETO_COMERCIAL_%]]=Consulta1[[#This Row],[TAXA]]</f>
        <v>0</v>
      </c>
      <c r="V264" t="str">
        <f>CONCATENATE(Consulta1[[#This Row],[MES_ALTERACAO]],Consulta1[[#This Row],[VIRADA]])</f>
        <v>20260510</v>
      </c>
      <c r="W264">
        <f>VLOOKUP(Consulta1[[#This Row],[Coluna2]],CALENDARIO!$J:$K,2,FALSE)</f>
        <v>5</v>
      </c>
    </row>
    <row r="265" spans="1:23" x14ac:dyDescent="0.25">
      <c r="A265" t="s">
        <v>216</v>
      </c>
      <c r="B265" t="str">
        <f>CONCATENATE(Consulta1[[#This Row],[id]],Consulta1[[#This Row],[EMPREGADOR]])</f>
        <v>1GOV PE-AOL</v>
      </c>
      <c r="C265" s="6">
        <f>IF(A265=A264,C264+1,1)</f>
        <v>1</v>
      </c>
      <c r="D265" t="s">
        <v>2729</v>
      </c>
      <c r="E265" s="101">
        <v>2.5000000000000001E-2</v>
      </c>
      <c r="F265" s="6">
        <v>120</v>
      </c>
      <c r="G265" t="s">
        <v>1349</v>
      </c>
      <c r="H265" s="82">
        <v>2.9</v>
      </c>
      <c r="I265">
        <v>10</v>
      </c>
      <c r="J265">
        <v>50</v>
      </c>
      <c r="K265" t="s">
        <v>2730</v>
      </c>
      <c r="L265" s="6" t="s">
        <v>1381</v>
      </c>
      <c r="M265" s="6">
        <v>4</v>
      </c>
      <c r="N265" s="6">
        <v>2</v>
      </c>
      <c r="O265">
        <v>500</v>
      </c>
      <c r="P265">
        <v>202605</v>
      </c>
      <c r="Q265" t="s">
        <v>377</v>
      </c>
      <c r="R265" t="s">
        <v>1353</v>
      </c>
      <c r="S265">
        <f>Consulta1[[#This Row],[min_port]]/100</f>
        <v>1.3999999999999999E-2</v>
      </c>
      <c r="T265" s="252">
        <f>Consulta1[[#This Row],[TETO_COMERCIAL]]/100</f>
        <v>2.8999999999999998E-2</v>
      </c>
      <c r="U265" t="b">
        <f>Consulta1[[#This Row],[TETO_COMERCIAL_%]]=Consulta1[[#This Row],[TAXA]]</f>
        <v>0</v>
      </c>
      <c r="V265" t="str">
        <f>CONCATENATE(Consulta1[[#This Row],[MES_ALTERACAO]],Consulta1[[#This Row],[VIRADA]])</f>
        <v>2026054</v>
      </c>
      <c r="W265">
        <f>VLOOKUP(Consulta1[[#This Row],[Coluna2]],CALENDARIO!$J:$K,2,FALSE)</f>
        <v>1</v>
      </c>
    </row>
    <row r="266" spans="1:23" x14ac:dyDescent="0.25">
      <c r="A266" t="s">
        <v>216</v>
      </c>
      <c r="B266" t="str">
        <f>CONCATENATE(Consulta1[[#This Row],[id]],Consulta1[[#This Row],[EMPREGADOR]])</f>
        <v>2GOV PE-AOL</v>
      </c>
      <c r="C266" s="6">
        <f>IF(A266=A265,C265+1,1)</f>
        <v>2</v>
      </c>
      <c r="D266" t="s">
        <v>2731</v>
      </c>
      <c r="E266" s="101">
        <v>1.77E-2</v>
      </c>
      <c r="F266" s="6">
        <v>120</v>
      </c>
      <c r="G266" t="s">
        <v>1349</v>
      </c>
      <c r="H266" s="82">
        <v>2.9</v>
      </c>
      <c r="I266">
        <v>10</v>
      </c>
      <c r="J266">
        <v>50</v>
      </c>
      <c r="K266" t="s">
        <v>2732</v>
      </c>
      <c r="L266" s="6" t="s">
        <v>1381</v>
      </c>
      <c r="M266" s="6">
        <v>4</v>
      </c>
      <c r="N266" s="6">
        <v>2</v>
      </c>
      <c r="O266">
        <v>500</v>
      </c>
      <c r="P266">
        <v>202605</v>
      </c>
      <c r="Q266" t="s">
        <v>377</v>
      </c>
      <c r="R266" t="s">
        <v>1353</v>
      </c>
      <c r="S266">
        <f>Consulta1[[#This Row],[min_port]]/100</f>
        <v>1.3999999999999999E-2</v>
      </c>
      <c r="T266" s="252">
        <f>Consulta1[[#This Row],[TETO_COMERCIAL]]/100</f>
        <v>2.8999999999999998E-2</v>
      </c>
      <c r="U266" t="b">
        <f>Consulta1[[#This Row],[TETO_COMERCIAL_%]]=Consulta1[[#This Row],[TAXA]]</f>
        <v>0</v>
      </c>
      <c r="V266" t="str">
        <f>CONCATENATE(Consulta1[[#This Row],[MES_ALTERACAO]],Consulta1[[#This Row],[VIRADA]])</f>
        <v>2026054</v>
      </c>
      <c r="W266">
        <f>VLOOKUP(Consulta1[[#This Row],[Coluna2]],CALENDARIO!$J:$K,2,FALSE)</f>
        <v>1</v>
      </c>
    </row>
    <row r="267" spans="1:23" x14ac:dyDescent="0.25">
      <c r="A267" t="s">
        <v>216</v>
      </c>
      <c r="B267" t="str">
        <f>CONCATENATE(Consulta1[[#This Row],[id]],Consulta1[[#This Row],[EMPREGADOR]])</f>
        <v>3GOV PE-AOL</v>
      </c>
      <c r="C267" s="6">
        <f>IF(A267=A266,C266+1,1)</f>
        <v>3</v>
      </c>
      <c r="D267" t="s">
        <v>2733</v>
      </c>
      <c r="E267" s="101">
        <v>1.7500000000000002E-2</v>
      </c>
      <c r="F267" s="6">
        <v>120</v>
      </c>
      <c r="G267" t="s">
        <v>1349</v>
      </c>
      <c r="H267" s="82">
        <v>2.9</v>
      </c>
      <c r="I267">
        <v>10</v>
      </c>
      <c r="J267">
        <v>50</v>
      </c>
      <c r="K267" t="s">
        <v>2734</v>
      </c>
      <c r="L267" s="6" t="s">
        <v>1381</v>
      </c>
      <c r="M267" s="6">
        <v>4</v>
      </c>
      <c r="N267" s="6">
        <v>2</v>
      </c>
      <c r="O267">
        <v>500</v>
      </c>
      <c r="P267">
        <v>202605</v>
      </c>
      <c r="Q267" t="s">
        <v>377</v>
      </c>
      <c r="R267" t="s">
        <v>1353</v>
      </c>
      <c r="S267">
        <f>Consulta1[[#This Row],[min_port]]/100</f>
        <v>1.3999999999999999E-2</v>
      </c>
      <c r="T267" s="252">
        <f>Consulta1[[#This Row],[TETO_COMERCIAL]]/100</f>
        <v>2.8999999999999998E-2</v>
      </c>
      <c r="U267" t="b">
        <f>Consulta1[[#This Row],[TETO_COMERCIAL_%]]=Consulta1[[#This Row],[TAXA]]</f>
        <v>0</v>
      </c>
      <c r="V267" t="str">
        <f>CONCATENATE(Consulta1[[#This Row],[MES_ALTERACAO]],Consulta1[[#This Row],[VIRADA]])</f>
        <v>2026054</v>
      </c>
      <c r="W267">
        <f>VLOOKUP(Consulta1[[#This Row],[Coluna2]],CALENDARIO!$J:$K,2,FALSE)</f>
        <v>1</v>
      </c>
    </row>
    <row r="268" spans="1:23" x14ac:dyDescent="0.25">
      <c r="A268" t="s">
        <v>216</v>
      </c>
      <c r="B268" t="str">
        <f>CONCATENATE(Consulta1[[#This Row],[id]],Consulta1[[#This Row],[EMPREGADOR]])</f>
        <v>4GOV PE-AOL</v>
      </c>
      <c r="C268" s="6">
        <f>IF(A268=A267,C267+1,1)</f>
        <v>4</v>
      </c>
      <c r="D268" t="s">
        <v>2735</v>
      </c>
      <c r="E268" s="101">
        <v>1.72E-2</v>
      </c>
      <c r="F268" s="6">
        <v>120</v>
      </c>
      <c r="G268" t="s">
        <v>1349</v>
      </c>
      <c r="H268" s="82">
        <v>2.9</v>
      </c>
      <c r="I268">
        <v>10</v>
      </c>
      <c r="J268">
        <v>50</v>
      </c>
      <c r="K268" t="s">
        <v>2736</v>
      </c>
      <c r="L268" s="6" t="s">
        <v>1381</v>
      </c>
      <c r="M268" s="6">
        <v>4</v>
      </c>
      <c r="N268" s="6">
        <v>2</v>
      </c>
      <c r="O268">
        <v>500</v>
      </c>
      <c r="P268">
        <v>202605</v>
      </c>
      <c r="Q268" t="s">
        <v>377</v>
      </c>
      <c r="R268" t="s">
        <v>1353</v>
      </c>
      <c r="S268">
        <f>Consulta1[[#This Row],[min_port]]/100</f>
        <v>1.3999999999999999E-2</v>
      </c>
      <c r="T268" s="252">
        <f>Consulta1[[#This Row],[TETO_COMERCIAL]]/100</f>
        <v>2.8999999999999998E-2</v>
      </c>
      <c r="U268" t="b">
        <f>Consulta1[[#This Row],[TETO_COMERCIAL_%]]=Consulta1[[#This Row],[TAXA]]</f>
        <v>0</v>
      </c>
      <c r="V268" t="str">
        <f>CONCATENATE(Consulta1[[#This Row],[MES_ALTERACAO]],Consulta1[[#This Row],[VIRADA]])</f>
        <v>2026054</v>
      </c>
      <c r="W268">
        <f>VLOOKUP(Consulta1[[#This Row],[Coluna2]],CALENDARIO!$J:$K,2,FALSE)</f>
        <v>1</v>
      </c>
    </row>
    <row r="269" spans="1:23" x14ac:dyDescent="0.25">
      <c r="A269" t="s">
        <v>216</v>
      </c>
      <c r="B269" t="str">
        <f>CONCATENATE(Consulta1[[#This Row],[id]],Consulta1[[#This Row],[EMPREGADOR]])</f>
        <v>5GOV PE-AOL</v>
      </c>
      <c r="C269" s="6">
        <f>IF(A269=A268,C268+1,1)</f>
        <v>5</v>
      </c>
      <c r="D269" t="s">
        <v>2737</v>
      </c>
      <c r="E269" s="101">
        <v>1.7000000000000001E-2</v>
      </c>
      <c r="F269" s="6">
        <v>120</v>
      </c>
      <c r="G269" t="s">
        <v>1349</v>
      </c>
      <c r="H269" s="82">
        <v>2.9</v>
      </c>
      <c r="I269">
        <v>10</v>
      </c>
      <c r="J269">
        <v>50</v>
      </c>
      <c r="K269" t="s">
        <v>2738</v>
      </c>
      <c r="L269" s="6" t="s">
        <v>1381</v>
      </c>
      <c r="M269" s="6">
        <v>4</v>
      </c>
      <c r="N269" s="6">
        <v>2</v>
      </c>
      <c r="O269">
        <v>500</v>
      </c>
      <c r="P269">
        <v>202605</v>
      </c>
      <c r="Q269" t="s">
        <v>377</v>
      </c>
      <c r="R269" t="s">
        <v>1353</v>
      </c>
      <c r="S269">
        <f>Consulta1[[#This Row],[min_port]]/100</f>
        <v>1.3999999999999999E-2</v>
      </c>
      <c r="T269" s="252">
        <f>Consulta1[[#This Row],[TETO_COMERCIAL]]/100</f>
        <v>2.8999999999999998E-2</v>
      </c>
      <c r="U269" t="b">
        <f>Consulta1[[#This Row],[TETO_COMERCIAL_%]]=Consulta1[[#This Row],[TAXA]]</f>
        <v>0</v>
      </c>
      <c r="V269" t="str">
        <f>CONCATENATE(Consulta1[[#This Row],[MES_ALTERACAO]],Consulta1[[#This Row],[VIRADA]])</f>
        <v>2026054</v>
      </c>
      <c r="W269">
        <f>VLOOKUP(Consulta1[[#This Row],[Coluna2]],CALENDARIO!$J:$K,2,FALSE)</f>
        <v>1</v>
      </c>
    </row>
    <row r="270" spans="1:23" x14ac:dyDescent="0.25">
      <c r="A270" t="s">
        <v>216</v>
      </c>
      <c r="B270" t="str">
        <f>CONCATENATE(Consulta1[[#This Row],[id]],Consulta1[[#This Row],[EMPREGADOR]])</f>
        <v>6GOV PE-AOL</v>
      </c>
      <c r="C270" s="6">
        <f>IF(A270=A269,C269+1,1)</f>
        <v>6</v>
      </c>
      <c r="D270" t="s">
        <v>2739</v>
      </c>
      <c r="E270" s="101">
        <v>1.6899999999999998E-2</v>
      </c>
      <c r="F270" s="6">
        <v>120</v>
      </c>
      <c r="G270" t="s">
        <v>1349</v>
      </c>
      <c r="H270" s="82">
        <v>2.9</v>
      </c>
      <c r="I270">
        <v>10</v>
      </c>
      <c r="J270">
        <v>51</v>
      </c>
      <c r="K270" t="s">
        <v>2740</v>
      </c>
      <c r="L270" s="6" t="s">
        <v>1381</v>
      </c>
      <c r="M270" s="6">
        <v>4</v>
      </c>
      <c r="N270" s="6">
        <v>2</v>
      </c>
      <c r="O270">
        <v>500</v>
      </c>
      <c r="P270">
        <v>202605</v>
      </c>
      <c r="Q270" t="s">
        <v>377</v>
      </c>
      <c r="R270" t="s">
        <v>1353</v>
      </c>
      <c r="S270">
        <f>Consulta1[[#This Row],[min_port]]/100</f>
        <v>1.3999999999999999E-2</v>
      </c>
      <c r="T270" s="252">
        <f>Consulta1[[#This Row],[TETO_COMERCIAL]]/100</f>
        <v>2.8999999999999998E-2</v>
      </c>
      <c r="U270" t="b">
        <f>Consulta1[[#This Row],[TETO_COMERCIAL_%]]=Consulta1[[#This Row],[TAXA]]</f>
        <v>0</v>
      </c>
      <c r="V270" t="str">
        <f>CONCATENATE(Consulta1[[#This Row],[MES_ALTERACAO]],Consulta1[[#This Row],[VIRADA]])</f>
        <v>2026054</v>
      </c>
      <c r="W270">
        <f>VLOOKUP(Consulta1[[#This Row],[Coluna2]],CALENDARIO!$J:$K,2,FALSE)</f>
        <v>1</v>
      </c>
    </row>
    <row r="271" spans="1:23" x14ac:dyDescent="0.25">
      <c r="A271" t="s">
        <v>216</v>
      </c>
      <c r="B271" t="str">
        <f>CONCATENATE(Consulta1[[#This Row],[id]],Consulta1[[#This Row],[EMPREGADOR]])</f>
        <v>7GOV PE-AOL</v>
      </c>
      <c r="C271" s="6">
        <f>IF(A271=A270,C270+1,1)</f>
        <v>7</v>
      </c>
      <c r="D271" t="s">
        <v>2741</v>
      </c>
      <c r="E271" s="101">
        <v>1.67E-2</v>
      </c>
      <c r="F271" s="6">
        <v>120</v>
      </c>
      <c r="G271" t="s">
        <v>1349</v>
      </c>
      <c r="H271" s="82">
        <v>2.9</v>
      </c>
      <c r="I271">
        <v>10</v>
      </c>
      <c r="J271">
        <v>50</v>
      </c>
      <c r="K271" t="s">
        <v>2742</v>
      </c>
      <c r="L271" s="6" t="s">
        <v>1381</v>
      </c>
      <c r="M271" s="6">
        <v>4</v>
      </c>
      <c r="N271" s="6">
        <v>2</v>
      </c>
      <c r="O271">
        <v>500</v>
      </c>
      <c r="P271">
        <v>202605</v>
      </c>
      <c r="Q271" t="s">
        <v>377</v>
      </c>
      <c r="R271" t="s">
        <v>1353</v>
      </c>
      <c r="S271">
        <f>Consulta1[[#This Row],[min_port]]/100</f>
        <v>1.3999999999999999E-2</v>
      </c>
      <c r="T271" s="252">
        <f>Consulta1[[#This Row],[TETO_COMERCIAL]]/100</f>
        <v>2.8999999999999998E-2</v>
      </c>
      <c r="U271" t="b">
        <f>Consulta1[[#This Row],[TETO_COMERCIAL_%]]=Consulta1[[#This Row],[TAXA]]</f>
        <v>0</v>
      </c>
      <c r="V271" t="str">
        <f>CONCATENATE(Consulta1[[#This Row],[MES_ALTERACAO]],Consulta1[[#This Row],[VIRADA]])</f>
        <v>2026054</v>
      </c>
      <c r="W271">
        <f>VLOOKUP(Consulta1[[#This Row],[Coluna2]],CALENDARIO!$J:$K,2,FALSE)</f>
        <v>1</v>
      </c>
    </row>
    <row r="272" spans="1:23" x14ac:dyDescent="0.25">
      <c r="A272" t="s">
        <v>216</v>
      </c>
      <c r="B272" t="str">
        <f>CONCATENATE(Consulta1[[#This Row],[id]],Consulta1[[#This Row],[EMPREGADOR]])</f>
        <v>8GOV PE-AOL</v>
      </c>
      <c r="C272" s="6">
        <f>IF(A272=A271,C271+1,1)</f>
        <v>8</v>
      </c>
      <c r="D272" t="s">
        <v>2743</v>
      </c>
      <c r="E272" s="101">
        <v>1.6500000000000001E-2</v>
      </c>
      <c r="F272" s="6">
        <v>120</v>
      </c>
      <c r="G272" t="s">
        <v>1349</v>
      </c>
      <c r="H272" s="82">
        <v>2.9</v>
      </c>
      <c r="I272">
        <v>10</v>
      </c>
      <c r="J272">
        <v>50</v>
      </c>
      <c r="K272" t="s">
        <v>2744</v>
      </c>
      <c r="L272" s="6" t="s">
        <v>1381</v>
      </c>
      <c r="M272" s="6">
        <v>4</v>
      </c>
      <c r="N272" s="6">
        <v>2</v>
      </c>
      <c r="O272">
        <v>500</v>
      </c>
      <c r="P272">
        <v>202605</v>
      </c>
      <c r="Q272" t="s">
        <v>377</v>
      </c>
      <c r="R272" t="s">
        <v>1353</v>
      </c>
      <c r="S272">
        <f>Consulta1[[#This Row],[min_port]]/100</f>
        <v>1.3999999999999999E-2</v>
      </c>
      <c r="T272" s="252">
        <f>Consulta1[[#This Row],[TETO_COMERCIAL]]/100</f>
        <v>2.8999999999999998E-2</v>
      </c>
      <c r="U272" t="b">
        <f>Consulta1[[#This Row],[TETO_COMERCIAL_%]]=Consulta1[[#This Row],[TAXA]]</f>
        <v>0</v>
      </c>
      <c r="V272" t="str">
        <f>CONCATENATE(Consulta1[[#This Row],[MES_ALTERACAO]],Consulta1[[#This Row],[VIRADA]])</f>
        <v>2026054</v>
      </c>
      <c r="W272">
        <f>VLOOKUP(Consulta1[[#This Row],[Coluna2]],CALENDARIO!$J:$K,2,FALSE)</f>
        <v>1</v>
      </c>
    </row>
    <row r="273" spans="1:23" x14ac:dyDescent="0.25">
      <c r="A273" t="s">
        <v>216</v>
      </c>
      <c r="B273" t="str">
        <f>CONCATENATE(Consulta1[[#This Row],[id]],Consulta1[[#This Row],[EMPREGADOR]])</f>
        <v>9GOV PE-AOL</v>
      </c>
      <c r="C273" s="6">
        <f>IF(A273=A272,C272+1,1)</f>
        <v>9</v>
      </c>
      <c r="D273" t="s">
        <v>2745</v>
      </c>
      <c r="E273" s="101">
        <v>1.6299999999999999E-2</v>
      </c>
      <c r="F273" s="6">
        <v>120</v>
      </c>
      <c r="G273" t="s">
        <v>1349</v>
      </c>
      <c r="H273" s="82">
        <v>2.9</v>
      </c>
      <c r="I273">
        <v>10</v>
      </c>
      <c r="J273">
        <v>51</v>
      </c>
      <c r="K273" t="s">
        <v>2746</v>
      </c>
      <c r="L273" s="6" t="s">
        <v>1381</v>
      </c>
      <c r="M273" s="6">
        <v>4</v>
      </c>
      <c r="N273" s="6">
        <v>2</v>
      </c>
      <c r="O273">
        <v>500</v>
      </c>
      <c r="P273">
        <v>202605</v>
      </c>
      <c r="Q273" t="s">
        <v>377</v>
      </c>
      <c r="R273" t="s">
        <v>1353</v>
      </c>
      <c r="S273">
        <f>Consulta1[[#This Row],[min_port]]/100</f>
        <v>1.3999999999999999E-2</v>
      </c>
      <c r="T273" s="252">
        <f>Consulta1[[#This Row],[TETO_COMERCIAL]]/100</f>
        <v>2.8999999999999998E-2</v>
      </c>
      <c r="U273" t="b">
        <f>Consulta1[[#This Row],[TETO_COMERCIAL_%]]=Consulta1[[#This Row],[TAXA]]</f>
        <v>0</v>
      </c>
      <c r="V273" t="str">
        <f>CONCATENATE(Consulta1[[#This Row],[MES_ALTERACAO]],Consulta1[[#This Row],[VIRADA]])</f>
        <v>2026054</v>
      </c>
      <c r="W273">
        <f>VLOOKUP(Consulta1[[#This Row],[Coluna2]],CALENDARIO!$J:$K,2,FALSE)</f>
        <v>1</v>
      </c>
    </row>
    <row r="274" spans="1:23" x14ac:dyDescent="0.25">
      <c r="A274" t="s">
        <v>216</v>
      </c>
      <c r="B274" t="str">
        <f>CONCATENATE(Consulta1[[#This Row],[id]],Consulta1[[#This Row],[EMPREGADOR]])</f>
        <v>10GOV PE-AOL</v>
      </c>
      <c r="C274" s="6">
        <f>IF(A274=A273,C273+1,1)</f>
        <v>10</v>
      </c>
      <c r="D274" t="s">
        <v>2747</v>
      </c>
      <c r="E274" s="101">
        <v>1.61E-2</v>
      </c>
      <c r="F274" s="6">
        <v>120</v>
      </c>
      <c r="G274" t="s">
        <v>1349</v>
      </c>
      <c r="H274" s="82">
        <v>2.9</v>
      </c>
      <c r="I274">
        <v>10</v>
      </c>
      <c r="J274">
        <v>50</v>
      </c>
      <c r="K274" t="s">
        <v>2748</v>
      </c>
      <c r="L274" s="6" t="s">
        <v>1381</v>
      </c>
      <c r="M274" s="6">
        <v>4</v>
      </c>
      <c r="N274" s="6">
        <v>2</v>
      </c>
      <c r="O274">
        <v>500</v>
      </c>
      <c r="P274">
        <v>202605</v>
      </c>
      <c r="Q274" t="s">
        <v>377</v>
      </c>
      <c r="R274" t="s">
        <v>1353</v>
      </c>
      <c r="S274">
        <f>Consulta1[[#This Row],[min_port]]/100</f>
        <v>1.3999999999999999E-2</v>
      </c>
      <c r="T274" s="252">
        <f>Consulta1[[#This Row],[TETO_COMERCIAL]]/100</f>
        <v>2.8999999999999998E-2</v>
      </c>
      <c r="U274" t="b">
        <f>Consulta1[[#This Row],[TETO_COMERCIAL_%]]=Consulta1[[#This Row],[TAXA]]</f>
        <v>0</v>
      </c>
      <c r="V274" t="str">
        <f>CONCATENATE(Consulta1[[#This Row],[MES_ALTERACAO]],Consulta1[[#This Row],[VIRADA]])</f>
        <v>2026054</v>
      </c>
      <c r="W274">
        <f>VLOOKUP(Consulta1[[#This Row],[Coluna2]],CALENDARIO!$J:$K,2,FALSE)</f>
        <v>1</v>
      </c>
    </row>
    <row r="275" spans="1:23" x14ac:dyDescent="0.25">
      <c r="A275" t="s">
        <v>216</v>
      </c>
      <c r="B275" t="str">
        <f>CONCATENATE(Consulta1[[#This Row],[id]],Consulta1[[#This Row],[EMPREGADOR]])</f>
        <v>11GOV PE-AOL</v>
      </c>
      <c r="C275" s="6">
        <f>IF(A275=A274,C274+1,1)</f>
        <v>11</v>
      </c>
      <c r="D275" t="s">
        <v>2749</v>
      </c>
      <c r="E275" s="101">
        <v>1.5900000000000001E-2</v>
      </c>
      <c r="F275" s="6">
        <v>120</v>
      </c>
      <c r="G275" t="s">
        <v>1349</v>
      </c>
      <c r="H275" s="82">
        <v>2.9</v>
      </c>
      <c r="I275">
        <v>10</v>
      </c>
      <c r="J275">
        <v>49</v>
      </c>
      <c r="K275" t="s">
        <v>2750</v>
      </c>
      <c r="L275" s="6" t="s">
        <v>1381</v>
      </c>
      <c r="M275" s="6">
        <v>4</v>
      </c>
      <c r="N275" s="6">
        <v>2</v>
      </c>
      <c r="O275">
        <v>20000</v>
      </c>
      <c r="P275">
        <v>202605</v>
      </c>
      <c r="Q275" t="s">
        <v>377</v>
      </c>
      <c r="R275" t="s">
        <v>1353</v>
      </c>
      <c r="S275">
        <f>Consulta1[[#This Row],[min_port]]/100</f>
        <v>1.3999999999999999E-2</v>
      </c>
      <c r="T275" s="252">
        <f>Consulta1[[#This Row],[TETO_COMERCIAL]]/100</f>
        <v>2.8999999999999998E-2</v>
      </c>
      <c r="U275" t="b">
        <f>Consulta1[[#This Row],[TETO_COMERCIAL_%]]=Consulta1[[#This Row],[TAXA]]</f>
        <v>0</v>
      </c>
      <c r="V275" t="str">
        <f>CONCATENATE(Consulta1[[#This Row],[MES_ALTERACAO]],Consulta1[[#This Row],[VIRADA]])</f>
        <v>2026054</v>
      </c>
      <c r="W275">
        <f>VLOOKUP(Consulta1[[#This Row],[Coluna2]],CALENDARIO!$J:$K,2,FALSE)</f>
        <v>1</v>
      </c>
    </row>
    <row r="276" spans="1:23" x14ac:dyDescent="0.25">
      <c r="A276" t="s">
        <v>216</v>
      </c>
      <c r="B276" t="str">
        <f>CONCATENATE(Consulta1[[#This Row],[id]],Consulta1[[#This Row],[EMPREGADOR]])</f>
        <v>12GOV PE-AOL</v>
      </c>
      <c r="C276" s="6">
        <f>IF(A276=A275,C275+1,1)</f>
        <v>12</v>
      </c>
      <c r="D276" t="s">
        <v>2751</v>
      </c>
      <c r="E276" s="101">
        <v>1.5700000000000002E-2</v>
      </c>
      <c r="F276" s="6">
        <v>120</v>
      </c>
      <c r="G276" t="s">
        <v>1349</v>
      </c>
      <c r="H276" s="82">
        <v>2.9</v>
      </c>
      <c r="I276">
        <v>10</v>
      </c>
      <c r="J276">
        <v>50</v>
      </c>
      <c r="K276" t="s">
        <v>2752</v>
      </c>
      <c r="L276" s="6" t="s">
        <v>1381</v>
      </c>
      <c r="M276" s="6">
        <v>4</v>
      </c>
      <c r="N276" s="6">
        <v>2</v>
      </c>
      <c r="O276">
        <v>30000</v>
      </c>
      <c r="P276">
        <v>202605</v>
      </c>
      <c r="Q276" t="s">
        <v>377</v>
      </c>
      <c r="R276" t="s">
        <v>1353</v>
      </c>
      <c r="S276">
        <f>Consulta1[[#This Row],[min_port]]/100</f>
        <v>1.3999999999999999E-2</v>
      </c>
      <c r="T276" s="252">
        <f>Consulta1[[#This Row],[TETO_COMERCIAL]]/100</f>
        <v>2.8999999999999998E-2</v>
      </c>
      <c r="U276" t="b">
        <f>Consulta1[[#This Row],[TETO_COMERCIAL_%]]=Consulta1[[#This Row],[TAXA]]</f>
        <v>0</v>
      </c>
      <c r="V276" t="str">
        <f>CONCATENATE(Consulta1[[#This Row],[MES_ALTERACAO]],Consulta1[[#This Row],[VIRADA]])</f>
        <v>2026054</v>
      </c>
      <c r="W276">
        <f>VLOOKUP(Consulta1[[#This Row],[Coluna2]],CALENDARIO!$J:$K,2,FALSE)</f>
        <v>1</v>
      </c>
    </row>
    <row r="277" spans="1:23" x14ac:dyDescent="0.25">
      <c r="A277" t="s">
        <v>380</v>
      </c>
      <c r="B277" t="str">
        <f>CONCATENATE(Consulta1[[#This Row],[id]],Consulta1[[#This Row],[EMPREGADOR]])</f>
        <v>1GOV PIAUI</v>
      </c>
      <c r="C277" s="6">
        <f>IF(A277=A276,C276+1,1)</f>
        <v>1</v>
      </c>
      <c r="D277" t="s">
        <v>1240</v>
      </c>
      <c r="E277" s="101">
        <v>2.5000000000000001E-2</v>
      </c>
      <c r="F277" s="6">
        <v>96</v>
      </c>
      <c r="G277" t="s">
        <v>1349</v>
      </c>
      <c r="H277" s="82">
        <v>2.5</v>
      </c>
      <c r="I277">
        <v>10</v>
      </c>
      <c r="J277">
        <v>65</v>
      </c>
      <c r="K277" t="s">
        <v>1428</v>
      </c>
      <c r="L277" s="6" t="s">
        <v>3301</v>
      </c>
      <c r="M277" s="6">
        <v>5</v>
      </c>
      <c r="N277" s="6">
        <v>2</v>
      </c>
      <c r="O277">
        <v>500</v>
      </c>
      <c r="P277">
        <v>202605</v>
      </c>
      <c r="Q277" t="s">
        <v>377</v>
      </c>
      <c r="R277" t="s">
        <v>1429</v>
      </c>
      <c r="S277">
        <f>Consulta1[[#This Row],[min_port]]/100</f>
        <v>1.47E-2</v>
      </c>
      <c r="T277" s="252">
        <f>Consulta1[[#This Row],[TETO_COMERCIAL]]/100</f>
        <v>2.5000000000000001E-2</v>
      </c>
      <c r="U277" t="b">
        <f>Consulta1[[#This Row],[TETO_COMERCIAL_%]]=Consulta1[[#This Row],[TAXA]]</f>
        <v>1</v>
      </c>
      <c r="V277" t="str">
        <f>CONCATENATE(Consulta1[[#This Row],[MES_ALTERACAO]],Consulta1[[#This Row],[VIRADA]])</f>
        <v>2026055</v>
      </c>
      <c r="W277">
        <f>VLOOKUP(Consulta1[[#This Row],[Coluna2]],CALENDARIO!$J:$K,2,FALSE)</f>
        <v>2</v>
      </c>
    </row>
    <row r="278" spans="1:23" x14ac:dyDescent="0.25">
      <c r="A278" t="s">
        <v>380</v>
      </c>
      <c r="B278" t="str">
        <f>CONCATENATE(Consulta1[[#This Row],[id]],Consulta1[[#This Row],[EMPREGADOR]])</f>
        <v>2GOV PIAUI</v>
      </c>
      <c r="C278" s="6">
        <f>IF(A278=A277,C277+1,1)</f>
        <v>2</v>
      </c>
      <c r="D278" t="s">
        <v>1241</v>
      </c>
      <c r="E278" s="101">
        <v>2.4E-2</v>
      </c>
      <c r="F278" s="6">
        <v>96</v>
      </c>
      <c r="G278" t="s">
        <v>1349</v>
      </c>
      <c r="H278" s="82">
        <v>2.5</v>
      </c>
      <c r="I278">
        <v>10</v>
      </c>
      <c r="J278">
        <v>65</v>
      </c>
      <c r="K278" t="s">
        <v>1430</v>
      </c>
      <c r="L278" s="6" t="s">
        <v>3301</v>
      </c>
      <c r="M278" s="6">
        <v>5</v>
      </c>
      <c r="N278" s="6">
        <v>2</v>
      </c>
      <c r="O278">
        <v>500</v>
      </c>
      <c r="P278">
        <v>202605</v>
      </c>
      <c r="Q278" t="s">
        <v>377</v>
      </c>
      <c r="R278" t="s">
        <v>1429</v>
      </c>
      <c r="S278">
        <f>Consulta1[[#This Row],[min_port]]/100</f>
        <v>1.47E-2</v>
      </c>
      <c r="T278" s="252">
        <f>Consulta1[[#This Row],[TETO_COMERCIAL]]/100</f>
        <v>2.5000000000000001E-2</v>
      </c>
      <c r="U278" t="b">
        <f>Consulta1[[#This Row],[TETO_COMERCIAL_%]]=Consulta1[[#This Row],[TAXA]]</f>
        <v>0</v>
      </c>
      <c r="V278" t="str">
        <f>CONCATENATE(Consulta1[[#This Row],[MES_ALTERACAO]],Consulta1[[#This Row],[VIRADA]])</f>
        <v>2026055</v>
      </c>
      <c r="W278">
        <f>VLOOKUP(Consulta1[[#This Row],[Coluna2]],CALENDARIO!$J:$K,2,FALSE)</f>
        <v>2</v>
      </c>
    </row>
    <row r="279" spans="1:23" x14ac:dyDescent="0.25">
      <c r="A279" t="s">
        <v>380</v>
      </c>
      <c r="B279" t="str">
        <f>CONCATENATE(Consulta1[[#This Row],[id]],Consulta1[[#This Row],[EMPREGADOR]])</f>
        <v>3GOV PIAUI</v>
      </c>
      <c r="C279" s="6">
        <f>IF(A279=A278,C278+1,1)</f>
        <v>3</v>
      </c>
      <c r="D279" t="s">
        <v>1242</v>
      </c>
      <c r="E279" s="101">
        <v>2.3E-2</v>
      </c>
      <c r="F279" s="6">
        <v>96</v>
      </c>
      <c r="G279" t="s">
        <v>1349</v>
      </c>
      <c r="H279" s="82">
        <v>2.5</v>
      </c>
      <c r="I279">
        <v>10</v>
      </c>
      <c r="J279">
        <v>65</v>
      </c>
      <c r="K279" t="s">
        <v>1431</v>
      </c>
      <c r="L279" s="6" t="s">
        <v>3301</v>
      </c>
      <c r="M279" s="6">
        <v>5</v>
      </c>
      <c r="N279" s="6">
        <v>2</v>
      </c>
      <c r="O279">
        <v>500</v>
      </c>
      <c r="P279">
        <v>202605</v>
      </c>
      <c r="Q279" t="s">
        <v>377</v>
      </c>
      <c r="R279" t="s">
        <v>1429</v>
      </c>
      <c r="S279">
        <f>Consulta1[[#This Row],[min_port]]/100</f>
        <v>1.47E-2</v>
      </c>
      <c r="T279" s="252">
        <f>Consulta1[[#This Row],[TETO_COMERCIAL]]/100</f>
        <v>2.5000000000000001E-2</v>
      </c>
      <c r="U279" t="b">
        <f>Consulta1[[#This Row],[TETO_COMERCIAL_%]]=Consulta1[[#This Row],[TAXA]]</f>
        <v>0</v>
      </c>
      <c r="V279" t="str">
        <f>CONCATENATE(Consulta1[[#This Row],[MES_ALTERACAO]],Consulta1[[#This Row],[VIRADA]])</f>
        <v>2026055</v>
      </c>
      <c r="W279">
        <f>VLOOKUP(Consulta1[[#This Row],[Coluna2]],CALENDARIO!$J:$K,2,FALSE)</f>
        <v>2</v>
      </c>
    </row>
    <row r="280" spans="1:23" x14ac:dyDescent="0.25">
      <c r="A280" t="s">
        <v>380</v>
      </c>
      <c r="B280" t="str">
        <f>CONCATENATE(Consulta1[[#This Row],[id]],Consulta1[[#This Row],[EMPREGADOR]])</f>
        <v>4GOV PIAUI</v>
      </c>
      <c r="C280" s="6">
        <f>IF(A280=A279,C279+1,1)</f>
        <v>4</v>
      </c>
      <c r="D280" t="s">
        <v>1243</v>
      </c>
      <c r="E280" s="101">
        <v>2.2000000000000002E-2</v>
      </c>
      <c r="F280" s="6">
        <v>96</v>
      </c>
      <c r="G280" t="s">
        <v>1349</v>
      </c>
      <c r="H280" s="82">
        <v>2.5</v>
      </c>
      <c r="I280">
        <v>10</v>
      </c>
      <c r="J280">
        <v>65</v>
      </c>
      <c r="K280" t="s">
        <v>1432</v>
      </c>
      <c r="L280" s="6" t="s">
        <v>3301</v>
      </c>
      <c r="M280" s="6">
        <v>5</v>
      </c>
      <c r="N280" s="6">
        <v>2</v>
      </c>
      <c r="O280">
        <v>500</v>
      </c>
      <c r="P280">
        <v>202605</v>
      </c>
      <c r="Q280" t="s">
        <v>377</v>
      </c>
      <c r="R280" t="s">
        <v>1429</v>
      </c>
      <c r="S280">
        <f>Consulta1[[#This Row],[min_port]]/100</f>
        <v>1.47E-2</v>
      </c>
      <c r="T280" s="252">
        <f>Consulta1[[#This Row],[TETO_COMERCIAL]]/100</f>
        <v>2.5000000000000001E-2</v>
      </c>
      <c r="U280" t="b">
        <f>Consulta1[[#This Row],[TETO_COMERCIAL_%]]=Consulta1[[#This Row],[TAXA]]</f>
        <v>0</v>
      </c>
      <c r="V280" t="str">
        <f>CONCATENATE(Consulta1[[#This Row],[MES_ALTERACAO]],Consulta1[[#This Row],[VIRADA]])</f>
        <v>2026055</v>
      </c>
      <c r="W280">
        <f>VLOOKUP(Consulta1[[#This Row],[Coluna2]],CALENDARIO!$J:$K,2,FALSE)</f>
        <v>2</v>
      </c>
    </row>
    <row r="281" spans="1:23" x14ac:dyDescent="0.25">
      <c r="A281" t="s">
        <v>380</v>
      </c>
      <c r="B281" t="str">
        <f>CONCATENATE(Consulta1[[#This Row],[id]],Consulta1[[#This Row],[EMPREGADOR]])</f>
        <v>5GOV PIAUI</v>
      </c>
      <c r="C281" s="6">
        <f>IF(A281=A280,C280+1,1)</f>
        <v>5</v>
      </c>
      <c r="D281" t="s">
        <v>1244</v>
      </c>
      <c r="E281" s="101">
        <v>2.1000000000000001E-2</v>
      </c>
      <c r="F281" s="6">
        <v>96</v>
      </c>
      <c r="G281" t="s">
        <v>1349</v>
      </c>
      <c r="H281" s="82">
        <v>2.5</v>
      </c>
      <c r="I281">
        <v>10</v>
      </c>
      <c r="J281">
        <v>65</v>
      </c>
      <c r="K281" t="s">
        <v>1433</v>
      </c>
      <c r="L281" s="6" t="s">
        <v>3301</v>
      </c>
      <c r="M281" s="6">
        <v>5</v>
      </c>
      <c r="N281" s="6">
        <v>2</v>
      </c>
      <c r="O281">
        <v>500</v>
      </c>
      <c r="P281">
        <v>202605</v>
      </c>
      <c r="Q281" t="s">
        <v>377</v>
      </c>
      <c r="R281" t="s">
        <v>1429</v>
      </c>
      <c r="S281">
        <f>Consulta1[[#This Row],[min_port]]/100</f>
        <v>1.47E-2</v>
      </c>
      <c r="T281" s="252">
        <f>Consulta1[[#This Row],[TETO_COMERCIAL]]/100</f>
        <v>2.5000000000000001E-2</v>
      </c>
      <c r="U281" t="b">
        <f>Consulta1[[#This Row],[TETO_COMERCIAL_%]]=Consulta1[[#This Row],[TAXA]]</f>
        <v>0</v>
      </c>
      <c r="V281" t="str">
        <f>CONCATENATE(Consulta1[[#This Row],[MES_ALTERACAO]],Consulta1[[#This Row],[VIRADA]])</f>
        <v>2026055</v>
      </c>
      <c r="W281">
        <f>VLOOKUP(Consulta1[[#This Row],[Coluna2]],CALENDARIO!$J:$K,2,FALSE)</f>
        <v>2</v>
      </c>
    </row>
    <row r="282" spans="1:23" x14ac:dyDescent="0.25">
      <c r="A282" t="s">
        <v>380</v>
      </c>
      <c r="B282" t="str">
        <f>CONCATENATE(Consulta1[[#This Row],[id]],Consulta1[[#This Row],[EMPREGADOR]])</f>
        <v>6GOV PIAUI</v>
      </c>
      <c r="C282" s="6">
        <f>IF(A282=A281,C281+1,1)</f>
        <v>6</v>
      </c>
      <c r="D282" t="s">
        <v>1245</v>
      </c>
      <c r="E282" s="101">
        <v>0.02</v>
      </c>
      <c r="F282" s="6">
        <v>96</v>
      </c>
      <c r="G282" t="s">
        <v>1349</v>
      </c>
      <c r="H282" s="82">
        <v>2.5</v>
      </c>
      <c r="I282">
        <v>10</v>
      </c>
      <c r="J282">
        <v>65</v>
      </c>
      <c r="K282" t="s">
        <v>1434</v>
      </c>
      <c r="L282" s="6" t="s">
        <v>3301</v>
      </c>
      <c r="M282" s="6">
        <v>5</v>
      </c>
      <c r="N282" s="6">
        <v>2</v>
      </c>
      <c r="O282">
        <v>500</v>
      </c>
      <c r="P282">
        <v>202605</v>
      </c>
      <c r="Q282" t="s">
        <v>377</v>
      </c>
      <c r="R282" t="s">
        <v>1429</v>
      </c>
      <c r="S282">
        <f>Consulta1[[#This Row],[min_port]]/100</f>
        <v>1.47E-2</v>
      </c>
      <c r="T282" s="252">
        <f>Consulta1[[#This Row],[TETO_COMERCIAL]]/100</f>
        <v>2.5000000000000001E-2</v>
      </c>
      <c r="U282" t="b">
        <f>Consulta1[[#This Row],[TETO_COMERCIAL_%]]=Consulta1[[#This Row],[TAXA]]</f>
        <v>0</v>
      </c>
      <c r="V282" t="str">
        <f>CONCATENATE(Consulta1[[#This Row],[MES_ALTERACAO]],Consulta1[[#This Row],[VIRADA]])</f>
        <v>2026055</v>
      </c>
      <c r="W282">
        <f>VLOOKUP(Consulta1[[#This Row],[Coluna2]],CALENDARIO!$J:$K,2,FALSE)</f>
        <v>2</v>
      </c>
    </row>
    <row r="283" spans="1:23" x14ac:dyDescent="0.25">
      <c r="A283" t="s">
        <v>380</v>
      </c>
      <c r="B283" t="str">
        <f>CONCATENATE(Consulta1[[#This Row],[id]],Consulta1[[#This Row],[EMPREGADOR]])</f>
        <v>7GOV PIAUI</v>
      </c>
      <c r="C283" s="6">
        <f>IF(A283=A282,C282+1,1)</f>
        <v>7</v>
      </c>
      <c r="D283" t="s">
        <v>1246</v>
      </c>
      <c r="E283" s="101">
        <v>1.9E-2</v>
      </c>
      <c r="F283" s="6">
        <v>96</v>
      </c>
      <c r="G283" t="s">
        <v>1349</v>
      </c>
      <c r="H283" s="82">
        <v>2.5</v>
      </c>
      <c r="I283">
        <v>10</v>
      </c>
      <c r="J283">
        <v>65</v>
      </c>
      <c r="K283" t="s">
        <v>1435</v>
      </c>
      <c r="L283" s="6" t="s">
        <v>3301</v>
      </c>
      <c r="M283" s="6">
        <v>5</v>
      </c>
      <c r="N283" s="6">
        <v>2</v>
      </c>
      <c r="O283">
        <v>500</v>
      </c>
      <c r="P283">
        <v>202605</v>
      </c>
      <c r="Q283" t="s">
        <v>377</v>
      </c>
      <c r="R283" t="s">
        <v>1429</v>
      </c>
      <c r="S283">
        <f>Consulta1[[#This Row],[min_port]]/100</f>
        <v>1.47E-2</v>
      </c>
      <c r="T283" s="252">
        <f>Consulta1[[#This Row],[TETO_COMERCIAL]]/100</f>
        <v>2.5000000000000001E-2</v>
      </c>
      <c r="U283" t="b">
        <f>Consulta1[[#This Row],[TETO_COMERCIAL_%]]=Consulta1[[#This Row],[TAXA]]</f>
        <v>0</v>
      </c>
      <c r="V283" t="str">
        <f>CONCATENATE(Consulta1[[#This Row],[MES_ALTERACAO]],Consulta1[[#This Row],[VIRADA]])</f>
        <v>2026055</v>
      </c>
      <c r="W283">
        <f>VLOOKUP(Consulta1[[#This Row],[Coluna2]],CALENDARIO!$J:$K,2,FALSE)</f>
        <v>2</v>
      </c>
    </row>
    <row r="284" spans="1:23" x14ac:dyDescent="0.25">
      <c r="A284" t="s">
        <v>380</v>
      </c>
      <c r="B284" t="str">
        <f>CONCATENATE(Consulta1[[#This Row],[id]],Consulta1[[#This Row],[EMPREGADOR]])</f>
        <v>8GOV PIAUI</v>
      </c>
      <c r="C284" s="6">
        <f>IF(A284=A283,C283+1,1)</f>
        <v>8</v>
      </c>
      <c r="D284" t="s">
        <v>1247</v>
      </c>
      <c r="E284" s="101">
        <v>1.7500000000000002E-2</v>
      </c>
      <c r="F284" s="6">
        <v>96</v>
      </c>
      <c r="G284" t="s">
        <v>1349</v>
      </c>
      <c r="H284" s="82">
        <v>2.5</v>
      </c>
      <c r="I284">
        <v>10</v>
      </c>
      <c r="J284">
        <v>65</v>
      </c>
      <c r="K284" t="s">
        <v>1436</v>
      </c>
      <c r="L284" s="6" t="s">
        <v>3301</v>
      </c>
      <c r="M284" s="6">
        <v>5</v>
      </c>
      <c r="N284" s="6">
        <v>2</v>
      </c>
      <c r="O284">
        <v>500</v>
      </c>
      <c r="P284">
        <v>202605</v>
      </c>
      <c r="Q284" t="s">
        <v>377</v>
      </c>
      <c r="R284" t="s">
        <v>1429</v>
      </c>
      <c r="S284">
        <f>Consulta1[[#This Row],[min_port]]/100</f>
        <v>1.47E-2</v>
      </c>
      <c r="T284" s="252">
        <f>Consulta1[[#This Row],[TETO_COMERCIAL]]/100</f>
        <v>2.5000000000000001E-2</v>
      </c>
      <c r="U284" t="b">
        <f>Consulta1[[#This Row],[TETO_COMERCIAL_%]]=Consulta1[[#This Row],[TAXA]]</f>
        <v>0</v>
      </c>
      <c r="V284" t="str">
        <f>CONCATENATE(Consulta1[[#This Row],[MES_ALTERACAO]],Consulta1[[#This Row],[VIRADA]])</f>
        <v>2026055</v>
      </c>
      <c r="W284">
        <f>VLOOKUP(Consulta1[[#This Row],[Coluna2]],CALENDARIO!$J:$K,2,FALSE)</f>
        <v>2</v>
      </c>
    </row>
    <row r="285" spans="1:23" x14ac:dyDescent="0.25">
      <c r="A285" t="s">
        <v>75</v>
      </c>
      <c r="B285" t="str">
        <f>CONCATENATE(Consulta1[[#This Row],[id]],Consulta1[[#This Row],[EMPREGADOR]])</f>
        <v>1GOV RONDONIA</v>
      </c>
      <c r="C285" s="6">
        <f>IF(A285=A284,C284+1,1)</f>
        <v>1</v>
      </c>
      <c r="D285" t="s">
        <v>3368</v>
      </c>
      <c r="E285" s="101">
        <v>2.5000000000000001E-2</v>
      </c>
      <c r="F285" s="6">
        <v>96</v>
      </c>
      <c r="G285" t="s">
        <v>1349</v>
      </c>
      <c r="H285" s="82">
        <v>2.5</v>
      </c>
      <c r="I285">
        <v>10</v>
      </c>
      <c r="J285">
        <v>55</v>
      </c>
      <c r="K285" t="s">
        <v>3369</v>
      </c>
      <c r="L285" s="6" t="s">
        <v>1519</v>
      </c>
      <c r="M285" s="6">
        <v>31</v>
      </c>
      <c r="N285" s="6">
        <v>2</v>
      </c>
      <c r="O285">
        <v>500</v>
      </c>
      <c r="P285">
        <v>202605</v>
      </c>
      <c r="Q285" t="s">
        <v>378</v>
      </c>
      <c r="R285" t="s">
        <v>1353</v>
      </c>
      <c r="S285">
        <f>Consulta1[[#This Row],[min_port]]/100</f>
        <v>1.3500000000000002E-2</v>
      </c>
      <c r="T285" s="252">
        <f>Consulta1[[#This Row],[TETO_COMERCIAL]]/100</f>
        <v>2.5000000000000001E-2</v>
      </c>
      <c r="U285" t="b">
        <f>Consulta1[[#This Row],[TETO_COMERCIAL_%]]=Consulta1[[#This Row],[TAXA]]</f>
        <v>1</v>
      </c>
      <c r="V285" t="str">
        <f>CONCATENATE(Consulta1[[#This Row],[MES_ALTERACAO]],Consulta1[[#This Row],[VIRADA]])</f>
        <v>20260531</v>
      </c>
      <c r="W285">
        <f>VLOOKUP(Consulta1[[#This Row],[Coluna2]],CALENDARIO!$J:$K,2,FALSE)</f>
        <v>20</v>
      </c>
    </row>
    <row r="286" spans="1:23" x14ac:dyDescent="0.25">
      <c r="A286" t="s">
        <v>75</v>
      </c>
      <c r="B286" t="str">
        <f>CONCATENATE(Consulta1[[#This Row],[id]],Consulta1[[#This Row],[EMPREGADOR]])</f>
        <v>2GOV RONDONIA</v>
      </c>
      <c r="C286" s="6">
        <f>IF(A286=A285,C285+1,1)</f>
        <v>2</v>
      </c>
      <c r="D286" t="s">
        <v>3108</v>
      </c>
      <c r="E286" s="101">
        <v>2.35E-2</v>
      </c>
      <c r="F286" s="6">
        <v>96</v>
      </c>
      <c r="G286" t="s">
        <v>1349</v>
      </c>
      <c r="H286" s="82">
        <v>2.5</v>
      </c>
      <c r="I286">
        <v>10</v>
      </c>
      <c r="K286" t="s">
        <v>3109</v>
      </c>
      <c r="L286" s="6" t="s">
        <v>1519</v>
      </c>
      <c r="M286" s="6">
        <v>30</v>
      </c>
      <c r="N286" s="6">
        <v>2</v>
      </c>
      <c r="O286">
        <v>500</v>
      </c>
      <c r="P286">
        <v>202605</v>
      </c>
      <c r="Q286" t="s">
        <v>378</v>
      </c>
      <c r="R286" t="s">
        <v>1353</v>
      </c>
      <c r="S286">
        <f>Consulta1[[#This Row],[min_port]]/100</f>
        <v>1.3500000000000002E-2</v>
      </c>
      <c r="T286" s="252">
        <f>Consulta1[[#This Row],[TETO_COMERCIAL]]/100</f>
        <v>2.5000000000000001E-2</v>
      </c>
      <c r="U286" t="b">
        <f>Consulta1[[#This Row],[TETO_COMERCIAL_%]]=Consulta1[[#This Row],[TAXA]]</f>
        <v>0</v>
      </c>
      <c r="V286" t="str">
        <f>CONCATENATE(Consulta1[[#This Row],[MES_ALTERACAO]],Consulta1[[#This Row],[VIRADA]])</f>
        <v>20260530</v>
      </c>
      <c r="W286">
        <f>VLOOKUP(Consulta1[[#This Row],[Coluna2]],CALENDARIO!$J:$K,2,FALSE)</f>
        <v>20</v>
      </c>
    </row>
    <row r="287" spans="1:23" x14ac:dyDescent="0.25">
      <c r="A287" t="s">
        <v>75</v>
      </c>
      <c r="B287" t="str">
        <f>CONCATENATE(Consulta1[[#This Row],[id]],Consulta1[[#This Row],[EMPREGADOR]])</f>
        <v>3GOV RONDONIA</v>
      </c>
      <c r="C287" s="6">
        <f>IF(A287=A286,C286+1,1)</f>
        <v>3</v>
      </c>
      <c r="D287" t="s">
        <v>3370</v>
      </c>
      <c r="E287" s="101">
        <v>2.2499999999999999E-2</v>
      </c>
      <c r="F287" s="6">
        <v>96</v>
      </c>
      <c r="G287" t="s">
        <v>1349</v>
      </c>
      <c r="H287" s="82">
        <v>2.5</v>
      </c>
      <c r="I287">
        <v>10</v>
      </c>
      <c r="J287">
        <v>56</v>
      </c>
      <c r="K287" t="s">
        <v>3371</v>
      </c>
      <c r="L287" s="6" t="s">
        <v>1519</v>
      </c>
      <c r="M287" s="6">
        <v>31</v>
      </c>
      <c r="N287" s="6">
        <v>2</v>
      </c>
      <c r="O287">
        <v>500</v>
      </c>
      <c r="P287">
        <v>202605</v>
      </c>
      <c r="Q287" t="s">
        <v>378</v>
      </c>
      <c r="R287" t="s">
        <v>1353</v>
      </c>
      <c r="S287">
        <f>Consulta1[[#This Row],[min_port]]/100</f>
        <v>1.3500000000000002E-2</v>
      </c>
      <c r="T287" s="252">
        <f>Consulta1[[#This Row],[TETO_COMERCIAL]]/100</f>
        <v>2.5000000000000001E-2</v>
      </c>
      <c r="U287" t="b">
        <f>Consulta1[[#This Row],[TETO_COMERCIAL_%]]=Consulta1[[#This Row],[TAXA]]</f>
        <v>0</v>
      </c>
      <c r="V287" t="str">
        <f>CONCATENATE(Consulta1[[#This Row],[MES_ALTERACAO]],Consulta1[[#This Row],[VIRADA]])</f>
        <v>20260531</v>
      </c>
      <c r="W287">
        <f>VLOOKUP(Consulta1[[#This Row],[Coluna2]],CALENDARIO!$J:$K,2,FALSE)</f>
        <v>20</v>
      </c>
    </row>
    <row r="288" spans="1:23" x14ac:dyDescent="0.25">
      <c r="A288" t="s">
        <v>75</v>
      </c>
      <c r="B288" t="str">
        <f>CONCATENATE(Consulta1[[#This Row],[id]],Consulta1[[#This Row],[EMPREGADOR]])</f>
        <v>4GOV RONDONIA</v>
      </c>
      <c r="C288" s="6">
        <f>IF(A288=A287,C287+1,1)</f>
        <v>4</v>
      </c>
      <c r="D288" t="s">
        <v>3110</v>
      </c>
      <c r="E288" s="101">
        <v>2.2499999999999999E-2</v>
      </c>
      <c r="F288" s="6">
        <v>96</v>
      </c>
      <c r="G288" t="s">
        <v>1349</v>
      </c>
      <c r="H288" s="82">
        <v>2.5</v>
      </c>
      <c r="I288">
        <v>10</v>
      </c>
      <c r="K288" t="s">
        <v>3111</v>
      </c>
      <c r="L288" s="6" t="s">
        <v>1519</v>
      </c>
      <c r="M288" s="6">
        <v>30</v>
      </c>
      <c r="N288" s="6">
        <v>2</v>
      </c>
      <c r="O288">
        <v>500</v>
      </c>
      <c r="P288">
        <v>202605</v>
      </c>
      <c r="Q288" t="s">
        <v>378</v>
      </c>
      <c r="R288" t="s">
        <v>1353</v>
      </c>
      <c r="S288">
        <f>Consulta1[[#This Row],[min_port]]/100</f>
        <v>1.3500000000000002E-2</v>
      </c>
      <c r="T288" s="252">
        <f>Consulta1[[#This Row],[TETO_COMERCIAL]]/100</f>
        <v>2.5000000000000001E-2</v>
      </c>
      <c r="U288" t="b">
        <f>Consulta1[[#This Row],[TETO_COMERCIAL_%]]=Consulta1[[#This Row],[TAXA]]</f>
        <v>0</v>
      </c>
      <c r="V288" t="str">
        <f>CONCATENATE(Consulta1[[#This Row],[MES_ALTERACAO]],Consulta1[[#This Row],[VIRADA]])</f>
        <v>20260530</v>
      </c>
      <c r="W288">
        <f>VLOOKUP(Consulta1[[#This Row],[Coluna2]],CALENDARIO!$J:$K,2,FALSE)</f>
        <v>20</v>
      </c>
    </row>
    <row r="289" spans="1:23" x14ac:dyDescent="0.25">
      <c r="A289" t="s">
        <v>75</v>
      </c>
      <c r="B289" t="str">
        <f>CONCATENATE(Consulta1[[#This Row],[id]],Consulta1[[#This Row],[EMPREGADOR]])</f>
        <v>5GOV RONDONIA</v>
      </c>
      <c r="C289" s="6">
        <f>IF(A289=A288,C288+1,1)</f>
        <v>5</v>
      </c>
      <c r="D289" t="s">
        <v>3112</v>
      </c>
      <c r="E289" s="101">
        <v>2.1499999999999998E-2</v>
      </c>
      <c r="F289" s="6">
        <v>96</v>
      </c>
      <c r="G289" t="s">
        <v>1349</v>
      </c>
      <c r="H289" s="82">
        <v>2.5</v>
      </c>
      <c r="I289">
        <v>10</v>
      </c>
      <c r="K289" t="s">
        <v>3113</v>
      </c>
      <c r="L289" s="6" t="s">
        <v>1519</v>
      </c>
      <c r="M289" s="6">
        <v>30</v>
      </c>
      <c r="N289" s="6">
        <v>2</v>
      </c>
      <c r="O289">
        <v>500</v>
      </c>
      <c r="P289">
        <v>202605</v>
      </c>
      <c r="Q289" t="s">
        <v>378</v>
      </c>
      <c r="R289" t="s">
        <v>1353</v>
      </c>
      <c r="S289">
        <f>Consulta1[[#This Row],[min_port]]/100</f>
        <v>1.3500000000000002E-2</v>
      </c>
      <c r="T289" s="252">
        <f>Consulta1[[#This Row],[TETO_COMERCIAL]]/100</f>
        <v>2.5000000000000001E-2</v>
      </c>
      <c r="U289" t="b">
        <f>Consulta1[[#This Row],[TETO_COMERCIAL_%]]=Consulta1[[#This Row],[TAXA]]</f>
        <v>0</v>
      </c>
      <c r="V289" t="str">
        <f>CONCATENATE(Consulta1[[#This Row],[MES_ALTERACAO]],Consulta1[[#This Row],[VIRADA]])</f>
        <v>20260530</v>
      </c>
      <c r="W289">
        <f>VLOOKUP(Consulta1[[#This Row],[Coluna2]],CALENDARIO!$J:$K,2,FALSE)</f>
        <v>20</v>
      </c>
    </row>
    <row r="290" spans="1:23" x14ac:dyDescent="0.25">
      <c r="A290" t="s">
        <v>75</v>
      </c>
      <c r="B290" t="str">
        <f>CONCATENATE(Consulta1[[#This Row],[id]],Consulta1[[#This Row],[EMPREGADOR]])</f>
        <v>6GOV RONDONIA</v>
      </c>
      <c r="C290" s="6">
        <f>IF(A290=A289,C289+1,1)</f>
        <v>6</v>
      </c>
      <c r="D290" t="s">
        <v>3114</v>
      </c>
      <c r="E290" s="101">
        <v>2.0499999999999997E-2</v>
      </c>
      <c r="F290" s="6">
        <v>96</v>
      </c>
      <c r="G290" t="s">
        <v>1349</v>
      </c>
      <c r="H290" s="82">
        <v>2.5</v>
      </c>
      <c r="I290">
        <v>10</v>
      </c>
      <c r="K290" t="s">
        <v>3115</v>
      </c>
      <c r="L290" s="6" t="s">
        <v>1519</v>
      </c>
      <c r="M290" s="6">
        <v>30</v>
      </c>
      <c r="N290" s="6">
        <v>2</v>
      </c>
      <c r="O290">
        <v>500</v>
      </c>
      <c r="P290">
        <v>202605</v>
      </c>
      <c r="Q290" t="s">
        <v>378</v>
      </c>
      <c r="R290" t="s">
        <v>1353</v>
      </c>
      <c r="S290">
        <f>Consulta1[[#This Row],[min_port]]/100</f>
        <v>1.3500000000000002E-2</v>
      </c>
      <c r="T290" s="252">
        <f>Consulta1[[#This Row],[TETO_COMERCIAL]]/100</f>
        <v>2.5000000000000001E-2</v>
      </c>
      <c r="U290" t="b">
        <f>Consulta1[[#This Row],[TETO_COMERCIAL_%]]=Consulta1[[#This Row],[TAXA]]</f>
        <v>0</v>
      </c>
      <c r="V290" t="str">
        <f>CONCATENATE(Consulta1[[#This Row],[MES_ALTERACAO]],Consulta1[[#This Row],[VIRADA]])</f>
        <v>20260530</v>
      </c>
      <c r="W290">
        <f>VLOOKUP(Consulta1[[#This Row],[Coluna2]],CALENDARIO!$J:$K,2,FALSE)</f>
        <v>20</v>
      </c>
    </row>
    <row r="291" spans="1:23" x14ac:dyDescent="0.25">
      <c r="A291" t="s">
        <v>75</v>
      </c>
      <c r="B291" t="str">
        <f>CONCATENATE(Consulta1[[#This Row],[id]],Consulta1[[#This Row],[EMPREGADOR]])</f>
        <v>7GOV RONDONIA</v>
      </c>
      <c r="C291" s="6">
        <f>IF(A291=A290,C290+1,1)</f>
        <v>7</v>
      </c>
      <c r="D291" t="s">
        <v>3372</v>
      </c>
      <c r="E291" s="101">
        <v>0.02</v>
      </c>
      <c r="F291" s="6">
        <v>96</v>
      </c>
      <c r="G291" t="s">
        <v>1349</v>
      </c>
      <c r="H291" s="82">
        <v>2.5</v>
      </c>
      <c r="I291">
        <v>10</v>
      </c>
      <c r="J291">
        <v>55</v>
      </c>
      <c r="K291" t="s">
        <v>3373</v>
      </c>
      <c r="L291" s="6" t="s">
        <v>1519</v>
      </c>
      <c r="M291" s="6">
        <v>31</v>
      </c>
      <c r="N291" s="6">
        <v>2</v>
      </c>
      <c r="O291">
        <v>500</v>
      </c>
      <c r="P291">
        <v>202605</v>
      </c>
      <c r="Q291" t="s">
        <v>378</v>
      </c>
      <c r="R291" t="s">
        <v>1353</v>
      </c>
      <c r="S291">
        <f>Consulta1[[#This Row],[min_port]]/100</f>
        <v>1.3500000000000002E-2</v>
      </c>
      <c r="T291" s="252">
        <f>Consulta1[[#This Row],[TETO_COMERCIAL]]/100</f>
        <v>2.5000000000000001E-2</v>
      </c>
      <c r="U291" t="b">
        <f>Consulta1[[#This Row],[TETO_COMERCIAL_%]]=Consulta1[[#This Row],[TAXA]]</f>
        <v>0</v>
      </c>
      <c r="V291" t="str">
        <f>CONCATENATE(Consulta1[[#This Row],[MES_ALTERACAO]],Consulta1[[#This Row],[VIRADA]])</f>
        <v>20260531</v>
      </c>
      <c r="W291">
        <f>VLOOKUP(Consulta1[[#This Row],[Coluna2]],CALENDARIO!$J:$K,2,FALSE)</f>
        <v>20</v>
      </c>
    </row>
    <row r="292" spans="1:23" x14ac:dyDescent="0.25">
      <c r="A292" t="s">
        <v>75</v>
      </c>
      <c r="B292" t="str">
        <f>CONCATENATE(Consulta1[[#This Row],[id]],Consulta1[[#This Row],[EMPREGADOR]])</f>
        <v>8GOV RONDONIA</v>
      </c>
      <c r="C292" s="6">
        <f>IF(A292=A291,C291+1,1)</f>
        <v>8</v>
      </c>
      <c r="D292" t="s">
        <v>3116</v>
      </c>
      <c r="E292" s="101">
        <v>1.95E-2</v>
      </c>
      <c r="F292" s="6">
        <v>96</v>
      </c>
      <c r="G292" t="s">
        <v>1349</v>
      </c>
      <c r="H292" s="82">
        <v>2.5</v>
      </c>
      <c r="I292">
        <v>10</v>
      </c>
      <c r="K292" t="s">
        <v>3117</v>
      </c>
      <c r="L292" s="6" t="s">
        <v>1519</v>
      </c>
      <c r="M292" s="6">
        <v>30</v>
      </c>
      <c r="N292" s="6">
        <v>2</v>
      </c>
      <c r="O292">
        <v>500</v>
      </c>
      <c r="P292">
        <v>202605</v>
      </c>
      <c r="Q292" t="s">
        <v>378</v>
      </c>
      <c r="R292" t="s">
        <v>1353</v>
      </c>
      <c r="S292">
        <f>Consulta1[[#This Row],[min_port]]/100</f>
        <v>1.3500000000000002E-2</v>
      </c>
      <c r="T292" s="252">
        <f>Consulta1[[#This Row],[TETO_COMERCIAL]]/100</f>
        <v>2.5000000000000001E-2</v>
      </c>
      <c r="U292" t="b">
        <f>Consulta1[[#This Row],[TETO_COMERCIAL_%]]=Consulta1[[#This Row],[TAXA]]</f>
        <v>0</v>
      </c>
      <c r="V292" t="str">
        <f>CONCATENATE(Consulta1[[#This Row],[MES_ALTERACAO]],Consulta1[[#This Row],[VIRADA]])</f>
        <v>20260530</v>
      </c>
      <c r="W292">
        <f>VLOOKUP(Consulta1[[#This Row],[Coluna2]],CALENDARIO!$J:$K,2,FALSE)</f>
        <v>20</v>
      </c>
    </row>
    <row r="293" spans="1:23" x14ac:dyDescent="0.25">
      <c r="A293" t="s">
        <v>75</v>
      </c>
      <c r="B293" t="str">
        <f>CONCATENATE(Consulta1[[#This Row],[id]],Consulta1[[#This Row],[EMPREGADOR]])</f>
        <v>9GOV RONDONIA</v>
      </c>
      <c r="C293" s="6">
        <f>IF(A293=A292,C292+1,1)</f>
        <v>9</v>
      </c>
      <c r="D293" t="s">
        <v>3118</v>
      </c>
      <c r="E293" s="101">
        <v>1.8500000000000003E-2</v>
      </c>
      <c r="F293" s="6">
        <v>96</v>
      </c>
      <c r="G293" t="s">
        <v>1349</v>
      </c>
      <c r="H293" s="82">
        <v>2.5</v>
      </c>
      <c r="I293">
        <v>10</v>
      </c>
      <c r="K293" t="s">
        <v>3119</v>
      </c>
      <c r="L293" s="6" t="s">
        <v>1519</v>
      </c>
      <c r="M293" s="6">
        <v>30</v>
      </c>
      <c r="N293" s="6">
        <v>2</v>
      </c>
      <c r="O293">
        <v>500</v>
      </c>
      <c r="P293">
        <v>202605</v>
      </c>
      <c r="Q293" t="s">
        <v>378</v>
      </c>
      <c r="R293" t="s">
        <v>1353</v>
      </c>
      <c r="S293">
        <f>Consulta1[[#This Row],[min_port]]/100</f>
        <v>1.3500000000000002E-2</v>
      </c>
      <c r="T293" s="252">
        <f>Consulta1[[#This Row],[TETO_COMERCIAL]]/100</f>
        <v>2.5000000000000001E-2</v>
      </c>
      <c r="U293" t="b">
        <f>Consulta1[[#This Row],[TETO_COMERCIAL_%]]=Consulta1[[#This Row],[TAXA]]</f>
        <v>0</v>
      </c>
      <c r="V293" t="str">
        <f>CONCATENATE(Consulta1[[#This Row],[MES_ALTERACAO]],Consulta1[[#This Row],[VIRADA]])</f>
        <v>20260530</v>
      </c>
      <c r="W293">
        <f>VLOOKUP(Consulta1[[#This Row],[Coluna2]],CALENDARIO!$J:$K,2,FALSE)</f>
        <v>20</v>
      </c>
    </row>
    <row r="294" spans="1:23" x14ac:dyDescent="0.25">
      <c r="A294" t="s">
        <v>75</v>
      </c>
      <c r="B294" t="str">
        <f>CONCATENATE(Consulta1[[#This Row],[id]],Consulta1[[#This Row],[EMPREGADOR]])</f>
        <v>10GOV RONDONIA</v>
      </c>
      <c r="C294" s="6">
        <f>IF(A294=A293,C293+1,1)</f>
        <v>10</v>
      </c>
      <c r="D294" t="s">
        <v>3374</v>
      </c>
      <c r="E294" s="101">
        <v>1.8000000000000002E-2</v>
      </c>
      <c r="F294" s="6">
        <v>96</v>
      </c>
      <c r="G294" t="s">
        <v>1349</v>
      </c>
      <c r="H294" s="82">
        <v>2.5</v>
      </c>
      <c r="I294">
        <v>10</v>
      </c>
      <c r="J294">
        <v>56</v>
      </c>
      <c r="K294" t="s">
        <v>3375</v>
      </c>
      <c r="L294" s="6" t="s">
        <v>1519</v>
      </c>
      <c r="M294" s="6">
        <v>31</v>
      </c>
      <c r="N294" s="6">
        <v>2</v>
      </c>
      <c r="O294">
        <v>500</v>
      </c>
      <c r="P294">
        <v>202605</v>
      </c>
      <c r="Q294" t="s">
        <v>378</v>
      </c>
      <c r="R294" t="s">
        <v>1353</v>
      </c>
      <c r="S294">
        <f>Consulta1[[#This Row],[min_port]]/100</f>
        <v>1.3500000000000002E-2</v>
      </c>
      <c r="T294" s="252">
        <f>Consulta1[[#This Row],[TETO_COMERCIAL]]/100</f>
        <v>2.5000000000000001E-2</v>
      </c>
      <c r="U294" t="b">
        <f>Consulta1[[#This Row],[TETO_COMERCIAL_%]]=Consulta1[[#This Row],[TAXA]]</f>
        <v>0</v>
      </c>
      <c r="V294" t="str">
        <f>CONCATENATE(Consulta1[[#This Row],[MES_ALTERACAO]],Consulta1[[#This Row],[VIRADA]])</f>
        <v>20260531</v>
      </c>
      <c r="W294">
        <f>VLOOKUP(Consulta1[[#This Row],[Coluna2]],CALENDARIO!$J:$K,2,FALSE)</f>
        <v>20</v>
      </c>
    </row>
    <row r="295" spans="1:23" x14ac:dyDescent="0.25">
      <c r="A295" t="s">
        <v>75</v>
      </c>
      <c r="B295" t="str">
        <f>CONCATENATE(Consulta1[[#This Row],[id]],Consulta1[[#This Row],[EMPREGADOR]])</f>
        <v>11GOV RONDONIA</v>
      </c>
      <c r="C295" s="6">
        <f>IF(A295=A294,C294+1,1)</f>
        <v>11</v>
      </c>
      <c r="D295" t="s">
        <v>3376</v>
      </c>
      <c r="E295" s="101">
        <v>1.7600000000000001E-2</v>
      </c>
      <c r="F295" s="6">
        <v>96</v>
      </c>
      <c r="G295" t="s">
        <v>1349</v>
      </c>
      <c r="H295" s="82">
        <v>2.5</v>
      </c>
      <c r="I295">
        <v>10</v>
      </c>
      <c r="J295">
        <v>54</v>
      </c>
      <c r="K295" t="s">
        <v>3377</v>
      </c>
      <c r="L295" s="6" t="s">
        <v>1519</v>
      </c>
      <c r="M295" s="6">
        <v>31</v>
      </c>
      <c r="N295" s="6">
        <v>2</v>
      </c>
      <c r="O295">
        <v>500</v>
      </c>
      <c r="P295">
        <v>202605</v>
      </c>
      <c r="Q295" t="s">
        <v>378</v>
      </c>
      <c r="R295" t="s">
        <v>1353</v>
      </c>
      <c r="S295">
        <f>Consulta1[[#This Row],[min_port]]/100</f>
        <v>1.3500000000000002E-2</v>
      </c>
      <c r="T295" s="252">
        <f>Consulta1[[#This Row],[TETO_COMERCIAL]]/100</f>
        <v>2.5000000000000001E-2</v>
      </c>
      <c r="U295" t="b">
        <f>Consulta1[[#This Row],[TETO_COMERCIAL_%]]=Consulta1[[#This Row],[TAXA]]</f>
        <v>0</v>
      </c>
      <c r="V295" t="str">
        <f>CONCATENATE(Consulta1[[#This Row],[MES_ALTERACAO]],Consulta1[[#This Row],[VIRADA]])</f>
        <v>20260531</v>
      </c>
      <c r="W295">
        <f>VLOOKUP(Consulta1[[#This Row],[Coluna2]],CALENDARIO!$J:$K,2,FALSE)</f>
        <v>20</v>
      </c>
    </row>
    <row r="296" spans="1:23" x14ac:dyDescent="0.25">
      <c r="A296" t="s">
        <v>75</v>
      </c>
      <c r="B296" t="str">
        <f>CONCATENATE(Consulta1[[#This Row],[id]],Consulta1[[#This Row],[EMPREGADOR]])</f>
        <v>12GOV RONDONIA</v>
      </c>
      <c r="C296" s="6">
        <f>IF(A296=A295,C295+1,1)</f>
        <v>12</v>
      </c>
      <c r="D296" t="s">
        <v>3120</v>
      </c>
      <c r="E296" s="101">
        <v>1.7500000000000002E-2</v>
      </c>
      <c r="F296" s="6">
        <v>96</v>
      </c>
      <c r="G296" t="s">
        <v>1349</v>
      </c>
      <c r="H296" s="82">
        <v>2.5</v>
      </c>
      <c r="I296">
        <v>10</v>
      </c>
      <c r="K296" t="s">
        <v>3121</v>
      </c>
      <c r="L296" s="6" t="s">
        <v>1519</v>
      </c>
      <c r="M296" s="6">
        <v>30</v>
      </c>
      <c r="N296" s="6">
        <v>2</v>
      </c>
      <c r="O296">
        <v>500</v>
      </c>
      <c r="P296">
        <v>202605</v>
      </c>
      <c r="Q296" t="s">
        <v>378</v>
      </c>
      <c r="R296" t="s">
        <v>1353</v>
      </c>
      <c r="S296">
        <f>Consulta1[[#This Row],[min_port]]/100</f>
        <v>1.3500000000000002E-2</v>
      </c>
      <c r="T296" s="252">
        <f>Consulta1[[#This Row],[TETO_COMERCIAL]]/100</f>
        <v>2.5000000000000001E-2</v>
      </c>
      <c r="U296" t="b">
        <f>Consulta1[[#This Row],[TETO_COMERCIAL_%]]=Consulta1[[#This Row],[TAXA]]</f>
        <v>0</v>
      </c>
      <c r="V296" t="str">
        <f>CONCATENATE(Consulta1[[#This Row],[MES_ALTERACAO]],Consulta1[[#This Row],[VIRADA]])</f>
        <v>20260530</v>
      </c>
      <c r="W296">
        <f>VLOOKUP(Consulta1[[#This Row],[Coluna2]],CALENDARIO!$J:$K,2,FALSE)</f>
        <v>20</v>
      </c>
    </row>
    <row r="297" spans="1:23" x14ac:dyDescent="0.25">
      <c r="A297" t="s">
        <v>75</v>
      </c>
      <c r="B297" t="str">
        <f>CONCATENATE(Consulta1[[#This Row],[id]],Consulta1[[#This Row],[EMPREGADOR]])</f>
        <v>13GOV RONDONIA</v>
      </c>
      <c r="C297" s="6">
        <f>IF(A297=A296,C296+1,1)</f>
        <v>13</v>
      </c>
      <c r="D297" t="s">
        <v>3378</v>
      </c>
      <c r="E297" s="101">
        <v>1.7399999999999999E-2</v>
      </c>
      <c r="F297" s="6">
        <v>96</v>
      </c>
      <c r="G297" t="s">
        <v>1349</v>
      </c>
      <c r="H297" s="82">
        <v>2.5</v>
      </c>
      <c r="I297">
        <v>10</v>
      </c>
      <c r="J297">
        <v>58</v>
      </c>
      <c r="K297" t="s">
        <v>3379</v>
      </c>
      <c r="L297" s="6" t="s">
        <v>1519</v>
      </c>
      <c r="M297" s="6">
        <v>31</v>
      </c>
      <c r="N297" s="6">
        <v>2</v>
      </c>
      <c r="O297">
        <v>500</v>
      </c>
      <c r="P297">
        <v>202605</v>
      </c>
      <c r="Q297" t="s">
        <v>378</v>
      </c>
      <c r="R297" t="s">
        <v>1353</v>
      </c>
      <c r="S297">
        <f>Consulta1[[#This Row],[min_port]]/100</f>
        <v>1.3500000000000002E-2</v>
      </c>
      <c r="T297" s="252">
        <f>Consulta1[[#This Row],[TETO_COMERCIAL]]/100</f>
        <v>2.5000000000000001E-2</v>
      </c>
      <c r="U297" t="b">
        <f>Consulta1[[#This Row],[TETO_COMERCIAL_%]]=Consulta1[[#This Row],[TAXA]]</f>
        <v>0</v>
      </c>
      <c r="V297" t="str">
        <f>CONCATENATE(Consulta1[[#This Row],[MES_ALTERACAO]],Consulta1[[#This Row],[VIRADA]])</f>
        <v>20260531</v>
      </c>
      <c r="W297">
        <f>VLOOKUP(Consulta1[[#This Row],[Coluna2]],CALENDARIO!$J:$K,2,FALSE)</f>
        <v>20</v>
      </c>
    </row>
    <row r="298" spans="1:23" x14ac:dyDescent="0.25">
      <c r="A298" t="s">
        <v>75</v>
      </c>
      <c r="B298" t="str">
        <f>CONCATENATE(Consulta1[[#This Row],[id]],Consulta1[[#This Row],[EMPREGADOR]])</f>
        <v>14GOV RONDONIA</v>
      </c>
      <c r="C298" s="6">
        <f>IF(A298=A297,C297+1,1)</f>
        <v>14</v>
      </c>
      <c r="D298" t="s">
        <v>3380</v>
      </c>
      <c r="E298" s="101">
        <v>1.72E-2</v>
      </c>
      <c r="F298" s="6">
        <v>96</v>
      </c>
      <c r="G298" t="s">
        <v>1349</v>
      </c>
      <c r="H298" s="82">
        <v>2.5</v>
      </c>
      <c r="I298">
        <v>10</v>
      </c>
      <c r="J298">
        <v>55</v>
      </c>
      <c r="K298" t="s">
        <v>3381</v>
      </c>
      <c r="L298" s="6" t="s">
        <v>1519</v>
      </c>
      <c r="M298" s="6">
        <v>31</v>
      </c>
      <c r="N298" s="6">
        <v>2</v>
      </c>
      <c r="O298">
        <v>500</v>
      </c>
      <c r="P298">
        <v>202605</v>
      </c>
      <c r="Q298" t="s">
        <v>378</v>
      </c>
      <c r="R298" t="s">
        <v>1353</v>
      </c>
      <c r="S298">
        <f>Consulta1[[#This Row],[min_port]]/100</f>
        <v>1.3500000000000002E-2</v>
      </c>
      <c r="T298" s="252">
        <f>Consulta1[[#This Row],[TETO_COMERCIAL]]/100</f>
        <v>2.5000000000000001E-2</v>
      </c>
      <c r="U298" t="b">
        <f>Consulta1[[#This Row],[TETO_COMERCIAL_%]]=Consulta1[[#This Row],[TAXA]]</f>
        <v>0</v>
      </c>
      <c r="V298" t="str">
        <f>CONCATENATE(Consulta1[[#This Row],[MES_ALTERACAO]],Consulta1[[#This Row],[VIRADA]])</f>
        <v>20260531</v>
      </c>
      <c r="W298">
        <f>VLOOKUP(Consulta1[[#This Row],[Coluna2]],CALENDARIO!$J:$K,2,FALSE)</f>
        <v>20</v>
      </c>
    </row>
    <row r="299" spans="1:23" x14ac:dyDescent="0.25">
      <c r="A299" t="s">
        <v>75</v>
      </c>
      <c r="B299" t="str">
        <f>CONCATENATE(Consulta1[[#This Row],[id]],Consulta1[[#This Row],[EMPREGADOR]])</f>
        <v>15GOV RONDONIA</v>
      </c>
      <c r="C299" s="6">
        <f>IF(A299=A298,C298+1,1)</f>
        <v>15</v>
      </c>
      <c r="D299" t="s">
        <v>3382</v>
      </c>
      <c r="E299" s="101">
        <v>1.7000000000000001E-2</v>
      </c>
      <c r="F299" s="6">
        <v>96</v>
      </c>
      <c r="G299" t="s">
        <v>1349</v>
      </c>
      <c r="H299" s="82">
        <v>2.5</v>
      </c>
      <c r="I299">
        <v>10</v>
      </c>
      <c r="J299">
        <v>59</v>
      </c>
      <c r="K299" t="s">
        <v>3383</v>
      </c>
      <c r="L299" s="6" t="s">
        <v>1519</v>
      </c>
      <c r="M299" s="6">
        <v>31</v>
      </c>
      <c r="N299" s="6">
        <v>2</v>
      </c>
      <c r="O299">
        <v>500</v>
      </c>
      <c r="P299">
        <v>202605</v>
      </c>
      <c r="Q299" t="s">
        <v>378</v>
      </c>
      <c r="R299" t="s">
        <v>1353</v>
      </c>
      <c r="S299">
        <f>Consulta1[[#This Row],[min_port]]/100</f>
        <v>1.3500000000000002E-2</v>
      </c>
      <c r="T299" s="252">
        <f>Consulta1[[#This Row],[TETO_COMERCIAL]]/100</f>
        <v>2.5000000000000001E-2</v>
      </c>
      <c r="U299" t="b">
        <f>Consulta1[[#This Row],[TETO_COMERCIAL_%]]=Consulta1[[#This Row],[TAXA]]</f>
        <v>0</v>
      </c>
      <c r="V299" t="str">
        <f>CONCATENATE(Consulta1[[#This Row],[MES_ALTERACAO]],Consulta1[[#This Row],[VIRADA]])</f>
        <v>20260531</v>
      </c>
      <c r="W299">
        <f>VLOOKUP(Consulta1[[#This Row],[Coluna2]],CALENDARIO!$J:$K,2,FALSE)</f>
        <v>20</v>
      </c>
    </row>
    <row r="300" spans="1:23" x14ac:dyDescent="0.25">
      <c r="A300" t="s">
        <v>75</v>
      </c>
      <c r="B300" t="str">
        <f>CONCATENATE(Consulta1[[#This Row],[id]],Consulta1[[#This Row],[EMPREGADOR]])</f>
        <v>16GOV RONDONIA</v>
      </c>
      <c r="C300" s="6">
        <f>IF(A300=A299,C299+1,1)</f>
        <v>16</v>
      </c>
      <c r="D300" t="s">
        <v>3384</v>
      </c>
      <c r="E300" s="101">
        <v>1.6799999999999999E-2</v>
      </c>
      <c r="F300" s="6">
        <v>96</v>
      </c>
      <c r="G300" t="s">
        <v>1349</v>
      </c>
      <c r="H300" s="82">
        <v>2.5</v>
      </c>
      <c r="I300">
        <v>10</v>
      </c>
      <c r="J300">
        <v>58</v>
      </c>
      <c r="K300" t="s">
        <v>3385</v>
      </c>
      <c r="L300" s="6" t="s">
        <v>1519</v>
      </c>
      <c r="M300" s="6">
        <v>31</v>
      </c>
      <c r="N300" s="6">
        <v>2</v>
      </c>
      <c r="O300">
        <v>500</v>
      </c>
      <c r="P300">
        <v>202605</v>
      </c>
      <c r="Q300" t="s">
        <v>378</v>
      </c>
      <c r="R300" t="s">
        <v>1353</v>
      </c>
      <c r="S300">
        <f>Consulta1[[#This Row],[min_port]]/100</f>
        <v>1.3500000000000002E-2</v>
      </c>
      <c r="T300" s="252">
        <f>Consulta1[[#This Row],[TETO_COMERCIAL]]/100</f>
        <v>2.5000000000000001E-2</v>
      </c>
      <c r="U300" t="b">
        <f>Consulta1[[#This Row],[TETO_COMERCIAL_%]]=Consulta1[[#This Row],[TAXA]]</f>
        <v>0</v>
      </c>
      <c r="V300" t="str">
        <f>CONCATENATE(Consulta1[[#This Row],[MES_ALTERACAO]],Consulta1[[#This Row],[VIRADA]])</f>
        <v>20260531</v>
      </c>
      <c r="W300">
        <f>VLOOKUP(Consulta1[[#This Row],[Coluna2]],CALENDARIO!$J:$K,2,FALSE)</f>
        <v>20</v>
      </c>
    </row>
    <row r="301" spans="1:23" x14ac:dyDescent="0.25">
      <c r="A301" t="s">
        <v>75</v>
      </c>
      <c r="B301" t="str">
        <f>CONCATENATE(Consulta1[[#This Row],[id]],Consulta1[[#This Row],[EMPREGADOR]])</f>
        <v>17GOV RONDONIA</v>
      </c>
      <c r="C301" s="6">
        <f>IF(A301=A300,C300+1,1)</f>
        <v>17</v>
      </c>
      <c r="D301" t="s">
        <v>3122</v>
      </c>
      <c r="E301" s="101">
        <v>1.6500000000000001E-2</v>
      </c>
      <c r="F301" s="6">
        <v>96</v>
      </c>
      <c r="G301" t="s">
        <v>1349</v>
      </c>
      <c r="H301" s="82">
        <v>2.5</v>
      </c>
      <c r="I301">
        <v>10</v>
      </c>
      <c r="K301" t="s">
        <v>3123</v>
      </c>
      <c r="L301" s="6" t="s">
        <v>1519</v>
      </c>
      <c r="M301" s="6">
        <v>30</v>
      </c>
      <c r="N301" s="6">
        <v>2</v>
      </c>
      <c r="O301">
        <v>500</v>
      </c>
      <c r="P301">
        <v>202605</v>
      </c>
      <c r="Q301" t="s">
        <v>378</v>
      </c>
      <c r="R301" t="s">
        <v>1353</v>
      </c>
      <c r="S301">
        <f>Consulta1[[#This Row],[min_port]]/100</f>
        <v>1.3500000000000002E-2</v>
      </c>
      <c r="T301" s="252">
        <f>Consulta1[[#This Row],[TETO_COMERCIAL]]/100</f>
        <v>2.5000000000000001E-2</v>
      </c>
      <c r="U301" t="b">
        <f>Consulta1[[#This Row],[TETO_COMERCIAL_%]]=Consulta1[[#This Row],[TAXA]]</f>
        <v>0</v>
      </c>
      <c r="V301" t="str">
        <f>CONCATENATE(Consulta1[[#This Row],[MES_ALTERACAO]],Consulta1[[#This Row],[VIRADA]])</f>
        <v>20260530</v>
      </c>
      <c r="W301">
        <f>VLOOKUP(Consulta1[[#This Row],[Coluna2]],CALENDARIO!$J:$K,2,FALSE)</f>
        <v>20</v>
      </c>
    </row>
    <row r="302" spans="1:23" x14ac:dyDescent="0.25">
      <c r="A302" t="s">
        <v>75</v>
      </c>
      <c r="B302" t="str">
        <f>CONCATENATE(Consulta1[[#This Row],[id]],Consulta1[[#This Row],[EMPREGADOR]])</f>
        <v>18GOV RONDONIA</v>
      </c>
      <c r="C302" s="6">
        <f>IF(A302=A301,C301+1,1)</f>
        <v>18</v>
      </c>
      <c r="D302" t="s">
        <v>3386</v>
      </c>
      <c r="E302" s="101">
        <v>1.6399999999999998E-2</v>
      </c>
      <c r="F302" s="6">
        <v>96</v>
      </c>
      <c r="G302" t="s">
        <v>1349</v>
      </c>
      <c r="H302" s="82">
        <v>2.5</v>
      </c>
      <c r="I302">
        <v>10</v>
      </c>
      <c r="J302">
        <v>60</v>
      </c>
      <c r="K302" t="s">
        <v>3387</v>
      </c>
      <c r="L302" s="6" t="s">
        <v>1519</v>
      </c>
      <c r="M302" s="6">
        <v>31</v>
      </c>
      <c r="N302" s="6">
        <v>2</v>
      </c>
      <c r="O302">
        <v>20000</v>
      </c>
      <c r="P302">
        <v>202605</v>
      </c>
      <c r="Q302" t="s">
        <v>378</v>
      </c>
      <c r="R302" t="s">
        <v>1353</v>
      </c>
      <c r="S302">
        <f>Consulta1[[#This Row],[min_port]]/100</f>
        <v>1.3500000000000002E-2</v>
      </c>
      <c r="T302" s="252">
        <f>Consulta1[[#This Row],[TETO_COMERCIAL]]/100</f>
        <v>2.5000000000000001E-2</v>
      </c>
      <c r="U302" t="b">
        <f>Consulta1[[#This Row],[TETO_COMERCIAL_%]]=Consulta1[[#This Row],[TAXA]]</f>
        <v>0</v>
      </c>
      <c r="V302" t="str">
        <f>CONCATENATE(Consulta1[[#This Row],[MES_ALTERACAO]],Consulta1[[#This Row],[VIRADA]])</f>
        <v>20260531</v>
      </c>
      <c r="W302">
        <f>VLOOKUP(Consulta1[[#This Row],[Coluna2]],CALENDARIO!$J:$K,2,FALSE)</f>
        <v>20</v>
      </c>
    </row>
    <row r="303" spans="1:23" x14ac:dyDescent="0.25">
      <c r="A303" t="s">
        <v>75</v>
      </c>
      <c r="B303" t="str">
        <f>CONCATENATE(Consulta1[[#This Row],[id]],Consulta1[[#This Row],[EMPREGADOR]])</f>
        <v>19GOV RONDONIA</v>
      </c>
      <c r="C303" s="6">
        <f>IF(A303=A302,C302+1,1)</f>
        <v>19</v>
      </c>
      <c r="D303" t="s">
        <v>3388</v>
      </c>
      <c r="E303" s="101">
        <v>1.6E-2</v>
      </c>
      <c r="F303" s="6">
        <v>96</v>
      </c>
      <c r="G303" t="s">
        <v>1349</v>
      </c>
      <c r="H303" s="82">
        <v>2.5</v>
      </c>
      <c r="I303">
        <v>10</v>
      </c>
      <c r="J303">
        <v>58</v>
      </c>
      <c r="K303" t="s">
        <v>3389</v>
      </c>
      <c r="L303" s="6" t="s">
        <v>1519</v>
      </c>
      <c r="M303" s="6">
        <v>31</v>
      </c>
      <c r="N303" s="6">
        <v>2</v>
      </c>
      <c r="O303">
        <v>30000</v>
      </c>
      <c r="P303">
        <v>202605</v>
      </c>
      <c r="Q303" t="s">
        <v>378</v>
      </c>
      <c r="R303" t="s">
        <v>1353</v>
      </c>
      <c r="S303">
        <f>Consulta1[[#This Row],[min_port]]/100</f>
        <v>1.3500000000000002E-2</v>
      </c>
      <c r="T303" s="252">
        <f>Consulta1[[#This Row],[TETO_COMERCIAL]]/100</f>
        <v>2.5000000000000001E-2</v>
      </c>
      <c r="U303" t="b">
        <f>Consulta1[[#This Row],[TETO_COMERCIAL_%]]=Consulta1[[#This Row],[TAXA]]</f>
        <v>0</v>
      </c>
      <c r="V303" t="str">
        <f>CONCATENATE(Consulta1[[#This Row],[MES_ALTERACAO]],Consulta1[[#This Row],[VIRADA]])</f>
        <v>20260531</v>
      </c>
      <c r="W303">
        <f>VLOOKUP(Consulta1[[#This Row],[Coluna2]],CALENDARIO!$J:$K,2,FALSE)</f>
        <v>20</v>
      </c>
    </row>
    <row r="304" spans="1:23" x14ac:dyDescent="0.25">
      <c r="A304" t="s">
        <v>75</v>
      </c>
      <c r="B304" t="str">
        <f>CONCATENATE(Consulta1[[#This Row],[id]],Consulta1[[#This Row],[EMPREGADOR]])</f>
        <v>20GOV RONDONIA</v>
      </c>
      <c r="C304" s="6">
        <f>IF(A304=A303,C303+1,1)</f>
        <v>20</v>
      </c>
      <c r="D304" t="s">
        <v>3390</v>
      </c>
      <c r="E304" s="101">
        <v>1.5800000000000002E-2</v>
      </c>
      <c r="F304" s="6">
        <v>96</v>
      </c>
      <c r="G304" t="s">
        <v>1349</v>
      </c>
      <c r="H304" s="82">
        <v>2.5</v>
      </c>
      <c r="I304">
        <v>10</v>
      </c>
      <c r="J304">
        <v>56</v>
      </c>
      <c r="K304" t="s">
        <v>3391</v>
      </c>
      <c r="L304" s="6" t="s">
        <v>1519</v>
      </c>
      <c r="M304" s="6">
        <v>31</v>
      </c>
      <c r="N304" s="6">
        <v>2</v>
      </c>
      <c r="O304">
        <v>50000</v>
      </c>
      <c r="P304">
        <v>202605</v>
      </c>
      <c r="Q304" t="s">
        <v>378</v>
      </c>
      <c r="R304" t="s">
        <v>1353</v>
      </c>
      <c r="S304">
        <f>Consulta1[[#This Row],[min_port]]/100</f>
        <v>1.3500000000000002E-2</v>
      </c>
      <c r="T304" s="252">
        <f>Consulta1[[#This Row],[TETO_COMERCIAL]]/100</f>
        <v>2.5000000000000001E-2</v>
      </c>
      <c r="U304" t="b">
        <f>Consulta1[[#This Row],[TETO_COMERCIAL_%]]=Consulta1[[#This Row],[TAXA]]</f>
        <v>0</v>
      </c>
      <c r="V304" t="str">
        <f>CONCATENATE(Consulta1[[#This Row],[MES_ALTERACAO]],Consulta1[[#This Row],[VIRADA]])</f>
        <v>20260531</v>
      </c>
      <c r="W304">
        <f>VLOOKUP(Consulta1[[#This Row],[Coluna2]],CALENDARIO!$J:$K,2,FALSE)</f>
        <v>20</v>
      </c>
    </row>
    <row r="305" spans="1:23" x14ac:dyDescent="0.25">
      <c r="A305" t="s">
        <v>573</v>
      </c>
      <c r="B305" t="str">
        <f>CONCATENATE(Consulta1[[#This Row],[id]],Consulta1[[#This Row],[EMPREGADOR]])</f>
        <v>1GOV RORAIMA SGG</v>
      </c>
      <c r="C305" s="6">
        <f>IF(A305=A304,C304+1,1)</f>
        <v>1</v>
      </c>
      <c r="D305" t="s">
        <v>574</v>
      </c>
      <c r="E305" s="101">
        <v>2.5000000000000001E-2</v>
      </c>
      <c r="F305" s="6">
        <v>120</v>
      </c>
      <c r="G305" t="s">
        <v>1349</v>
      </c>
      <c r="H305" s="82">
        <v>2.5</v>
      </c>
      <c r="I305">
        <v>10</v>
      </c>
      <c r="J305">
        <v>63</v>
      </c>
      <c r="K305" t="s">
        <v>1437</v>
      </c>
      <c r="L305" s="6" t="s">
        <v>1372</v>
      </c>
      <c r="M305" s="6">
        <v>8</v>
      </c>
      <c r="N305" s="6">
        <v>2</v>
      </c>
      <c r="O305">
        <v>500</v>
      </c>
      <c r="P305">
        <v>202605</v>
      </c>
      <c r="Q305" t="s">
        <v>378</v>
      </c>
      <c r="R305" t="s">
        <v>1353</v>
      </c>
      <c r="S305">
        <f>Consulta1[[#This Row],[min_port]]/100</f>
        <v>1.6E-2</v>
      </c>
      <c r="T305" s="252">
        <f>Consulta1[[#This Row],[TETO_COMERCIAL]]/100</f>
        <v>2.5000000000000001E-2</v>
      </c>
      <c r="U305" t="b">
        <f>Consulta1[[#This Row],[TETO_COMERCIAL_%]]=Consulta1[[#This Row],[TAXA]]</f>
        <v>1</v>
      </c>
      <c r="V305" t="str">
        <f>CONCATENATE(Consulta1[[#This Row],[MES_ALTERACAO]],Consulta1[[#This Row],[VIRADA]])</f>
        <v>2026058</v>
      </c>
      <c r="W305">
        <f>VLOOKUP(Consulta1[[#This Row],[Coluna2]],CALENDARIO!$J:$K,2,FALSE)</f>
        <v>5</v>
      </c>
    </row>
    <row r="306" spans="1:23" x14ac:dyDescent="0.25">
      <c r="A306" t="s">
        <v>573</v>
      </c>
      <c r="B306" t="str">
        <f>CONCATENATE(Consulta1[[#This Row],[id]],Consulta1[[#This Row],[EMPREGADOR]])</f>
        <v>2GOV RORAIMA SGG</v>
      </c>
      <c r="C306" s="6">
        <f>IF(A306=A305,C305+1,1)</f>
        <v>2</v>
      </c>
      <c r="D306" t="s">
        <v>575</v>
      </c>
      <c r="E306" s="101">
        <v>2.4E-2</v>
      </c>
      <c r="F306" s="6">
        <v>120</v>
      </c>
      <c r="G306" t="s">
        <v>1349</v>
      </c>
      <c r="H306" s="82">
        <v>2.5</v>
      </c>
      <c r="I306">
        <v>10</v>
      </c>
      <c r="J306">
        <v>58</v>
      </c>
      <c r="K306" t="s">
        <v>1439</v>
      </c>
      <c r="L306" s="6" t="s">
        <v>1372</v>
      </c>
      <c r="M306" s="6">
        <v>8</v>
      </c>
      <c r="N306" s="6">
        <v>2</v>
      </c>
      <c r="O306">
        <v>500</v>
      </c>
      <c r="P306">
        <v>202605</v>
      </c>
      <c r="Q306" t="s">
        <v>378</v>
      </c>
      <c r="R306" t="s">
        <v>1353</v>
      </c>
      <c r="S306">
        <f>Consulta1[[#This Row],[min_port]]/100</f>
        <v>1.6E-2</v>
      </c>
      <c r="T306" s="252">
        <f>Consulta1[[#This Row],[TETO_COMERCIAL]]/100</f>
        <v>2.5000000000000001E-2</v>
      </c>
      <c r="U306" t="b">
        <f>Consulta1[[#This Row],[TETO_COMERCIAL_%]]=Consulta1[[#This Row],[TAXA]]</f>
        <v>0</v>
      </c>
      <c r="V306" t="str">
        <f>CONCATENATE(Consulta1[[#This Row],[MES_ALTERACAO]],Consulta1[[#This Row],[VIRADA]])</f>
        <v>2026058</v>
      </c>
      <c r="W306">
        <f>VLOOKUP(Consulta1[[#This Row],[Coluna2]],CALENDARIO!$J:$K,2,FALSE)</f>
        <v>5</v>
      </c>
    </row>
    <row r="307" spans="1:23" x14ac:dyDescent="0.25">
      <c r="A307" t="s">
        <v>573</v>
      </c>
      <c r="B307" t="str">
        <f>CONCATENATE(Consulta1[[#This Row],[id]],Consulta1[[#This Row],[EMPREGADOR]])</f>
        <v>3GOV RORAIMA SGG</v>
      </c>
      <c r="C307" s="6">
        <f>IF(A307=A306,C306+1,1)</f>
        <v>3</v>
      </c>
      <c r="D307" t="s">
        <v>576</v>
      </c>
      <c r="E307" s="101">
        <v>2.3E-2</v>
      </c>
      <c r="F307" s="6">
        <v>120</v>
      </c>
      <c r="G307" t="s">
        <v>1349</v>
      </c>
      <c r="H307" s="82">
        <v>2.5</v>
      </c>
      <c r="I307">
        <v>10</v>
      </c>
      <c r="J307">
        <v>39</v>
      </c>
      <c r="K307" t="s">
        <v>1440</v>
      </c>
      <c r="L307" s="6" t="s">
        <v>1372</v>
      </c>
      <c r="M307" s="6">
        <v>8</v>
      </c>
      <c r="N307" s="6">
        <v>2</v>
      </c>
      <c r="O307">
        <v>500</v>
      </c>
      <c r="P307">
        <v>202605</v>
      </c>
      <c r="Q307" t="s">
        <v>378</v>
      </c>
      <c r="R307" t="s">
        <v>1353</v>
      </c>
      <c r="S307">
        <f>Consulta1[[#This Row],[min_port]]/100</f>
        <v>1.6E-2</v>
      </c>
      <c r="T307" s="252">
        <f>Consulta1[[#This Row],[TETO_COMERCIAL]]/100</f>
        <v>2.5000000000000001E-2</v>
      </c>
      <c r="U307" t="b">
        <f>Consulta1[[#This Row],[TETO_COMERCIAL_%]]=Consulta1[[#This Row],[TAXA]]</f>
        <v>0</v>
      </c>
      <c r="V307" t="str">
        <f>CONCATENATE(Consulta1[[#This Row],[MES_ALTERACAO]],Consulta1[[#This Row],[VIRADA]])</f>
        <v>2026058</v>
      </c>
      <c r="W307">
        <f>VLOOKUP(Consulta1[[#This Row],[Coluna2]],CALENDARIO!$J:$K,2,FALSE)</f>
        <v>5</v>
      </c>
    </row>
    <row r="308" spans="1:23" x14ac:dyDescent="0.25">
      <c r="A308" t="s">
        <v>573</v>
      </c>
      <c r="B308" t="str">
        <f>CONCATENATE(Consulta1[[#This Row],[id]],Consulta1[[#This Row],[EMPREGADOR]])</f>
        <v>4GOV RORAIMA SGG</v>
      </c>
      <c r="C308" s="6">
        <f>IF(A308=A307,C307+1,1)</f>
        <v>4</v>
      </c>
      <c r="D308" t="s">
        <v>2955</v>
      </c>
      <c r="E308" s="101">
        <v>2.2000000000000002E-2</v>
      </c>
      <c r="F308" s="6">
        <v>120</v>
      </c>
      <c r="G308" t="s">
        <v>1349</v>
      </c>
      <c r="H308" s="82">
        <v>2.5</v>
      </c>
      <c r="I308">
        <v>10</v>
      </c>
      <c r="J308">
        <v>33</v>
      </c>
      <c r="K308" t="s">
        <v>2956</v>
      </c>
      <c r="L308" s="6" t="s">
        <v>1372</v>
      </c>
      <c r="M308" s="6">
        <v>8</v>
      </c>
      <c r="N308" s="6">
        <v>2</v>
      </c>
      <c r="O308">
        <v>500</v>
      </c>
      <c r="P308">
        <v>202605</v>
      </c>
      <c r="Q308" t="s">
        <v>378</v>
      </c>
      <c r="R308" t="s">
        <v>1353</v>
      </c>
      <c r="S308">
        <f>Consulta1[[#This Row],[min_port]]/100</f>
        <v>1.6E-2</v>
      </c>
      <c r="T308" s="252">
        <f>Consulta1[[#This Row],[TETO_COMERCIAL]]/100</f>
        <v>2.5000000000000001E-2</v>
      </c>
      <c r="U308" t="b">
        <f>Consulta1[[#This Row],[TETO_COMERCIAL_%]]=Consulta1[[#This Row],[TAXA]]</f>
        <v>0</v>
      </c>
      <c r="V308" t="str">
        <f>CONCATENATE(Consulta1[[#This Row],[MES_ALTERACAO]],Consulta1[[#This Row],[VIRADA]])</f>
        <v>2026058</v>
      </c>
      <c r="W308">
        <f>VLOOKUP(Consulta1[[#This Row],[Coluna2]],CALENDARIO!$J:$K,2,FALSE)</f>
        <v>5</v>
      </c>
    </row>
    <row r="309" spans="1:23" x14ac:dyDescent="0.25">
      <c r="A309" t="s">
        <v>573</v>
      </c>
      <c r="B309" t="str">
        <f>CONCATENATE(Consulta1[[#This Row],[id]],Consulta1[[#This Row],[EMPREGADOR]])</f>
        <v>5GOV RORAIMA SGG</v>
      </c>
      <c r="C309" s="6">
        <f>IF(A309=A308,C308+1,1)</f>
        <v>5</v>
      </c>
      <c r="D309" t="s">
        <v>2957</v>
      </c>
      <c r="E309" s="101">
        <v>2.1000000000000001E-2</v>
      </c>
      <c r="F309" s="6">
        <v>120</v>
      </c>
      <c r="G309" t="s">
        <v>1349</v>
      </c>
      <c r="H309" s="82">
        <v>2.5</v>
      </c>
      <c r="I309">
        <v>10</v>
      </c>
      <c r="J309">
        <v>48</v>
      </c>
      <c r="K309" t="s">
        <v>2958</v>
      </c>
      <c r="L309" s="6" t="s">
        <v>1372</v>
      </c>
      <c r="M309" s="6">
        <v>8</v>
      </c>
      <c r="N309" s="6">
        <v>2</v>
      </c>
      <c r="O309">
        <v>500</v>
      </c>
      <c r="P309">
        <v>202605</v>
      </c>
      <c r="Q309" t="s">
        <v>378</v>
      </c>
      <c r="R309" t="s">
        <v>1353</v>
      </c>
      <c r="S309">
        <f>Consulta1[[#This Row],[min_port]]/100</f>
        <v>1.6E-2</v>
      </c>
      <c r="T309" s="252">
        <f>Consulta1[[#This Row],[TETO_COMERCIAL]]/100</f>
        <v>2.5000000000000001E-2</v>
      </c>
      <c r="U309" t="b">
        <f>Consulta1[[#This Row],[TETO_COMERCIAL_%]]=Consulta1[[#This Row],[TAXA]]</f>
        <v>0</v>
      </c>
      <c r="V309" t="str">
        <f>CONCATENATE(Consulta1[[#This Row],[MES_ALTERACAO]],Consulta1[[#This Row],[VIRADA]])</f>
        <v>2026058</v>
      </c>
      <c r="W309">
        <f>VLOOKUP(Consulta1[[#This Row],[Coluna2]],CALENDARIO!$J:$K,2,FALSE)</f>
        <v>5</v>
      </c>
    </row>
    <row r="310" spans="1:23" x14ac:dyDescent="0.25">
      <c r="A310" t="s">
        <v>573</v>
      </c>
      <c r="B310" t="str">
        <f>CONCATENATE(Consulta1[[#This Row],[id]],Consulta1[[#This Row],[EMPREGADOR]])</f>
        <v>6GOV RORAIMA SGG</v>
      </c>
      <c r="C310" s="6">
        <f>IF(A310=A309,C309+1,1)</f>
        <v>6</v>
      </c>
      <c r="D310" t="s">
        <v>2959</v>
      </c>
      <c r="E310" s="101">
        <v>1.9E-2</v>
      </c>
      <c r="F310" s="6">
        <v>120</v>
      </c>
      <c r="G310" t="s">
        <v>1349</v>
      </c>
      <c r="H310" s="82">
        <v>2.5</v>
      </c>
      <c r="I310">
        <v>10</v>
      </c>
      <c r="K310" t="s">
        <v>2960</v>
      </c>
      <c r="L310" s="6" t="s">
        <v>1372</v>
      </c>
      <c r="M310" s="6">
        <v>8</v>
      </c>
      <c r="N310" s="6">
        <v>2</v>
      </c>
      <c r="O310">
        <v>45000</v>
      </c>
      <c r="P310">
        <v>202605</v>
      </c>
      <c r="Q310" t="s">
        <v>378</v>
      </c>
      <c r="R310" t="s">
        <v>1353</v>
      </c>
      <c r="S310">
        <f>Consulta1[[#This Row],[min_port]]/100</f>
        <v>1.6E-2</v>
      </c>
      <c r="T310" s="252">
        <f>Consulta1[[#This Row],[TETO_COMERCIAL]]/100</f>
        <v>2.5000000000000001E-2</v>
      </c>
      <c r="U310" t="b">
        <f>Consulta1[[#This Row],[TETO_COMERCIAL_%]]=Consulta1[[#This Row],[TAXA]]</f>
        <v>0</v>
      </c>
      <c r="V310" t="str">
        <f>CONCATENATE(Consulta1[[#This Row],[MES_ALTERACAO]],Consulta1[[#This Row],[VIRADA]])</f>
        <v>2026058</v>
      </c>
      <c r="W310">
        <f>VLOOKUP(Consulta1[[#This Row],[Coluna2]],CALENDARIO!$J:$K,2,FALSE)</f>
        <v>5</v>
      </c>
    </row>
    <row r="311" spans="1:23" x14ac:dyDescent="0.25">
      <c r="A311" t="s">
        <v>573</v>
      </c>
      <c r="B311" t="str">
        <f>CONCATENATE(Consulta1[[#This Row],[id]],Consulta1[[#This Row],[EMPREGADOR]])</f>
        <v>7GOV RORAIMA SGG</v>
      </c>
      <c r="C311" s="6">
        <f>IF(A311=A310,C310+1,1)</f>
        <v>7</v>
      </c>
      <c r="D311" t="s">
        <v>2961</v>
      </c>
      <c r="E311" s="101">
        <v>1.8000000000000002E-2</v>
      </c>
      <c r="F311" s="6">
        <v>120</v>
      </c>
      <c r="G311" t="s">
        <v>1349</v>
      </c>
      <c r="H311" s="82">
        <v>2.5</v>
      </c>
      <c r="I311">
        <v>10</v>
      </c>
      <c r="K311" t="s">
        <v>2962</v>
      </c>
      <c r="L311" s="6" t="s">
        <v>1372</v>
      </c>
      <c r="M311" s="6">
        <v>8</v>
      </c>
      <c r="N311" s="6">
        <v>2</v>
      </c>
      <c r="O311">
        <v>60000</v>
      </c>
      <c r="P311">
        <v>202605</v>
      </c>
      <c r="Q311" t="s">
        <v>378</v>
      </c>
      <c r="R311" t="s">
        <v>1353</v>
      </c>
      <c r="S311">
        <f>Consulta1[[#This Row],[min_port]]/100</f>
        <v>1.6E-2</v>
      </c>
      <c r="T311" s="252">
        <f>Consulta1[[#This Row],[TETO_COMERCIAL]]/100</f>
        <v>2.5000000000000001E-2</v>
      </c>
      <c r="U311" t="b">
        <f>Consulta1[[#This Row],[TETO_COMERCIAL_%]]=Consulta1[[#This Row],[TAXA]]</f>
        <v>0</v>
      </c>
      <c r="V311" t="str">
        <f>CONCATENATE(Consulta1[[#This Row],[MES_ALTERACAO]],Consulta1[[#This Row],[VIRADA]])</f>
        <v>2026058</v>
      </c>
      <c r="W311">
        <f>VLOOKUP(Consulta1[[#This Row],[Coluna2]],CALENDARIO!$J:$K,2,FALSE)</f>
        <v>5</v>
      </c>
    </row>
    <row r="312" spans="1:23" x14ac:dyDescent="0.25">
      <c r="A312" t="s">
        <v>3007</v>
      </c>
      <c r="B312" t="str">
        <f>CONCATENATE(Consulta1[[#This Row],[id]],Consulta1[[#This Row],[EMPREGADOR]])</f>
        <v>1GOV RORAIMA SIG</v>
      </c>
      <c r="C312" s="6">
        <f>IF(A312=A311,C311+1,1)</f>
        <v>1</v>
      </c>
      <c r="D312" t="s">
        <v>577</v>
      </c>
      <c r="E312" s="101">
        <v>2.5000000000000001E-2</v>
      </c>
      <c r="F312" s="6">
        <v>120</v>
      </c>
      <c r="G312" t="s">
        <v>1349</v>
      </c>
      <c r="H312" s="82">
        <v>2.5</v>
      </c>
      <c r="I312">
        <v>10</v>
      </c>
      <c r="K312" t="s">
        <v>1453</v>
      </c>
      <c r="L312" s="6" t="s">
        <v>1372</v>
      </c>
      <c r="M312" s="6">
        <v>8</v>
      </c>
      <c r="N312" s="6">
        <v>2</v>
      </c>
      <c r="O312">
        <v>500</v>
      </c>
      <c r="P312">
        <v>202605</v>
      </c>
      <c r="Q312" t="s">
        <v>378</v>
      </c>
      <c r="R312" t="s">
        <v>1353</v>
      </c>
      <c r="S312">
        <f>Consulta1[[#This Row],[min_port]]/100</f>
        <v>1.6E-2</v>
      </c>
      <c r="T312" s="252">
        <f>Consulta1[[#This Row],[TETO_COMERCIAL]]/100</f>
        <v>2.5000000000000001E-2</v>
      </c>
      <c r="U312" t="b">
        <f>Consulta1[[#This Row],[TETO_COMERCIAL_%]]=Consulta1[[#This Row],[TAXA]]</f>
        <v>1</v>
      </c>
      <c r="V312" t="str">
        <f>CONCATENATE(Consulta1[[#This Row],[MES_ALTERACAO]],Consulta1[[#This Row],[VIRADA]])</f>
        <v>2026058</v>
      </c>
      <c r="W312">
        <f>VLOOKUP(Consulta1[[#This Row],[Coluna2]],CALENDARIO!$J:$K,2,FALSE)</f>
        <v>5</v>
      </c>
    </row>
    <row r="313" spans="1:23" x14ac:dyDescent="0.25">
      <c r="A313" t="s">
        <v>3007</v>
      </c>
      <c r="B313" t="str">
        <f>CONCATENATE(Consulta1[[#This Row],[id]],Consulta1[[#This Row],[EMPREGADOR]])</f>
        <v>2GOV RORAIMA SIG</v>
      </c>
      <c r="C313" s="6">
        <f>IF(A313=A312,C312+1,1)</f>
        <v>2</v>
      </c>
      <c r="D313" t="s">
        <v>578</v>
      </c>
      <c r="E313" s="101">
        <v>2.4E-2</v>
      </c>
      <c r="F313" s="6">
        <v>120</v>
      </c>
      <c r="G313" t="s">
        <v>1349</v>
      </c>
      <c r="H313" s="82">
        <v>2.5</v>
      </c>
      <c r="I313">
        <v>10</v>
      </c>
      <c r="K313" t="s">
        <v>1454</v>
      </c>
      <c r="L313" s="6" t="s">
        <v>1372</v>
      </c>
      <c r="M313" s="6">
        <v>8</v>
      </c>
      <c r="N313" s="6">
        <v>2</v>
      </c>
      <c r="O313">
        <v>500</v>
      </c>
      <c r="P313">
        <v>202605</v>
      </c>
      <c r="Q313" t="s">
        <v>378</v>
      </c>
      <c r="R313" t="s">
        <v>1353</v>
      </c>
      <c r="S313">
        <f>Consulta1[[#This Row],[min_port]]/100</f>
        <v>1.6E-2</v>
      </c>
      <c r="T313" s="252">
        <f>Consulta1[[#This Row],[TETO_COMERCIAL]]/100</f>
        <v>2.5000000000000001E-2</v>
      </c>
      <c r="U313" t="b">
        <f>Consulta1[[#This Row],[TETO_COMERCIAL_%]]=Consulta1[[#This Row],[TAXA]]</f>
        <v>0</v>
      </c>
      <c r="V313" t="str">
        <f>CONCATENATE(Consulta1[[#This Row],[MES_ALTERACAO]],Consulta1[[#This Row],[VIRADA]])</f>
        <v>2026058</v>
      </c>
      <c r="W313">
        <f>VLOOKUP(Consulta1[[#This Row],[Coluna2]],CALENDARIO!$J:$K,2,FALSE)</f>
        <v>5</v>
      </c>
    </row>
    <row r="314" spans="1:23" x14ac:dyDescent="0.25">
      <c r="A314" t="s">
        <v>3007</v>
      </c>
      <c r="B314" t="str">
        <f>CONCATENATE(Consulta1[[#This Row],[id]],Consulta1[[#This Row],[EMPREGADOR]])</f>
        <v>3GOV RORAIMA SIG</v>
      </c>
      <c r="C314" s="6">
        <f>IF(A314=A313,C313+1,1)</f>
        <v>3</v>
      </c>
      <c r="D314" t="s">
        <v>579</v>
      </c>
      <c r="E314" s="101">
        <v>2.3E-2</v>
      </c>
      <c r="F314" s="6">
        <v>120</v>
      </c>
      <c r="G314" t="s">
        <v>1349</v>
      </c>
      <c r="H314" s="82">
        <v>2.5</v>
      </c>
      <c r="I314">
        <v>10</v>
      </c>
      <c r="J314">
        <v>43</v>
      </c>
      <c r="K314" t="s">
        <v>1455</v>
      </c>
      <c r="L314" s="6" t="s">
        <v>1372</v>
      </c>
      <c r="M314" s="6">
        <v>8</v>
      </c>
      <c r="N314" s="6">
        <v>2</v>
      </c>
      <c r="O314">
        <v>500</v>
      </c>
      <c r="P314">
        <v>202605</v>
      </c>
      <c r="Q314" t="s">
        <v>378</v>
      </c>
      <c r="R314" t="s">
        <v>1353</v>
      </c>
      <c r="S314">
        <f>Consulta1[[#This Row],[min_port]]/100</f>
        <v>1.6E-2</v>
      </c>
      <c r="T314" s="252">
        <f>Consulta1[[#This Row],[TETO_COMERCIAL]]/100</f>
        <v>2.5000000000000001E-2</v>
      </c>
      <c r="U314" t="b">
        <f>Consulta1[[#This Row],[TETO_COMERCIAL_%]]=Consulta1[[#This Row],[TAXA]]</f>
        <v>0</v>
      </c>
      <c r="V314" t="str">
        <f>CONCATENATE(Consulta1[[#This Row],[MES_ALTERACAO]],Consulta1[[#This Row],[VIRADA]])</f>
        <v>2026058</v>
      </c>
      <c r="W314">
        <f>VLOOKUP(Consulta1[[#This Row],[Coluna2]],CALENDARIO!$J:$K,2,FALSE)</f>
        <v>5</v>
      </c>
    </row>
    <row r="315" spans="1:23" x14ac:dyDescent="0.25">
      <c r="A315" t="s">
        <v>3007</v>
      </c>
      <c r="B315" t="str">
        <f>CONCATENATE(Consulta1[[#This Row],[id]],Consulta1[[#This Row],[EMPREGADOR]])</f>
        <v>4GOV RORAIMA SIG</v>
      </c>
      <c r="C315" s="6">
        <f>IF(A315=A314,C314+1,1)</f>
        <v>4</v>
      </c>
      <c r="D315" t="s">
        <v>2963</v>
      </c>
      <c r="E315" s="101">
        <v>2.2000000000000002E-2</v>
      </c>
      <c r="F315" s="6">
        <v>120</v>
      </c>
      <c r="G315" t="s">
        <v>1349</v>
      </c>
      <c r="H315" s="82">
        <v>2.5</v>
      </c>
      <c r="I315">
        <v>10</v>
      </c>
      <c r="J315">
        <v>53</v>
      </c>
      <c r="K315" t="s">
        <v>2964</v>
      </c>
      <c r="L315" s="6" t="s">
        <v>1372</v>
      </c>
      <c r="M315" s="6">
        <v>8</v>
      </c>
      <c r="N315" s="6">
        <v>2</v>
      </c>
      <c r="O315">
        <v>500</v>
      </c>
      <c r="P315">
        <v>202605</v>
      </c>
      <c r="Q315" t="s">
        <v>378</v>
      </c>
      <c r="R315" t="s">
        <v>1353</v>
      </c>
      <c r="S315">
        <f>Consulta1[[#This Row],[min_port]]/100</f>
        <v>1.6E-2</v>
      </c>
      <c r="T315" s="252">
        <f>Consulta1[[#This Row],[TETO_COMERCIAL]]/100</f>
        <v>2.5000000000000001E-2</v>
      </c>
      <c r="U315" t="b">
        <f>Consulta1[[#This Row],[TETO_COMERCIAL_%]]=Consulta1[[#This Row],[TAXA]]</f>
        <v>0</v>
      </c>
      <c r="V315" t="str">
        <f>CONCATENATE(Consulta1[[#This Row],[MES_ALTERACAO]],Consulta1[[#This Row],[VIRADA]])</f>
        <v>2026058</v>
      </c>
      <c r="W315">
        <f>VLOOKUP(Consulta1[[#This Row],[Coluna2]],CALENDARIO!$J:$K,2,FALSE)</f>
        <v>5</v>
      </c>
    </row>
    <row r="316" spans="1:23" x14ac:dyDescent="0.25">
      <c r="A316" t="s">
        <v>3007</v>
      </c>
      <c r="B316" t="str">
        <f>CONCATENATE(Consulta1[[#This Row],[id]],Consulta1[[#This Row],[EMPREGADOR]])</f>
        <v>5GOV RORAIMA SIG</v>
      </c>
      <c r="C316" s="6">
        <f>IF(A316=A315,C315+1,1)</f>
        <v>5</v>
      </c>
      <c r="D316" t="s">
        <v>2965</v>
      </c>
      <c r="E316" s="101">
        <v>2.1000000000000001E-2</v>
      </c>
      <c r="F316" s="6">
        <v>120</v>
      </c>
      <c r="G316" t="s">
        <v>1349</v>
      </c>
      <c r="H316" s="82">
        <v>2.5</v>
      </c>
      <c r="I316">
        <v>10</v>
      </c>
      <c r="J316">
        <v>47</v>
      </c>
      <c r="K316" t="s">
        <v>2966</v>
      </c>
      <c r="L316" s="6" t="s">
        <v>1372</v>
      </c>
      <c r="M316" s="6">
        <v>8</v>
      </c>
      <c r="N316" s="6">
        <v>2</v>
      </c>
      <c r="O316">
        <v>500</v>
      </c>
      <c r="P316">
        <v>202605</v>
      </c>
      <c r="Q316" t="s">
        <v>378</v>
      </c>
      <c r="R316" t="s">
        <v>1353</v>
      </c>
      <c r="S316">
        <f>Consulta1[[#This Row],[min_port]]/100</f>
        <v>1.6E-2</v>
      </c>
      <c r="T316" s="252">
        <f>Consulta1[[#This Row],[TETO_COMERCIAL]]/100</f>
        <v>2.5000000000000001E-2</v>
      </c>
      <c r="U316" t="b">
        <f>Consulta1[[#This Row],[TETO_COMERCIAL_%]]=Consulta1[[#This Row],[TAXA]]</f>
        <v>0</v>
      </c>
      <c r="V316" t="str">
        <f>CONCATENATE(Consulta1[[#This Row],[MES_ALTERACAO]],Consulta1[[#This Row],[VIRADA]])</f>
        <v>2026058</v>
      </c>
      <c r="W316">
        <f>VLOOKUP(Consulta1[[#This Row],[Coluna2]],CALENDARIO!$J:$K,2,FALSE)</f>
        <v>5</v>
      </c>
    </row>
    <row r="317" spans="1:23" x14ac:dyDescent="0.25">
      <c r="A317" t="s">
        <v>3007</v>
      </c>
      <c r="B317" t="str">
        <f>CONCATENATE(Consulta1[[#This Row],[id]],Consulta1[[#This Row],[EMPREGADOR]])</f>
        <v>6GOV RORAIMA SIG</v>
      </c>
      <c r="C317" s="6">
        <f>IF(A317=A316,C316+1,1)</f>
        <v>6</v>
      </c>
      <c r="D317" t="s">
        <v>2967</v>
      </c>
      <c r="E317" s="101">
        <v>1.9E-2</v>
      </c>
      <c r="F317" s="6">
        <v>120</v>
      </c>
      <c r="G317" t="s">
        <v>1349</v>
      </c>
      <c r="H317" s="82">
        <v>2.5</v>
      </c>
      <c r="I317">
        <v>10</v>
      </c>
      <c r="J317">
        <v>34</v>
      </c>
      <c r="K317" t="s">
        <v>2968</v>
      </c>
      <c r="L317" s="6" t="s">
        <v>1372</v>
      </c>
      <c r="M317" s="6">
        <v>8</v>
      </c>
      <c r="N317" s="6">
        <v>2</v>
      </c>
      <c r="O317">
        <v>45000</v>
      </c>
      <c r="P317">
        <v>202605</v>
      </c>
      <c r="Q317" t="s">
        <v>378</v>
      </c>
      <c r="R317" t="s">
        <v>1353</v>
      </c>
      <c r="S317">
        <f>Consulta1[[#This Row],[min_port]]/100</f>
        <v>1.6E-2</v>
      </c>
      <c r="T317" s="252">
        <f>Consulta1[[#This Row],[TETO_COMERCIAL]]/100</f>
        <v>2.5000000000000001E-2</v>
      </c>
      <c r="U317" t="b">
        <f>Consulta1[[#This Row],[TETO_COMERCIAL_%]]=Consulta1[[#This Row],[TAXA]]</f>
        <v>0</v>
      </c>
      <c r="V317" t="str">
        <f>CONCATENATE(Consulta1[[#This Row],[MES_ALTERACAO]],Consulta1[[#This Row],[VIRADA]])</f>
        <v>2026058</v>
      </c>
      <c r="W317">
        <f>VLOOKUP(Consulta1[[#This Row],[Coluna2]],CALENDARIO!$J:$K,2,FALSE)</f>
        <v>5</v>
      </c>
    </row>
    <row r="318" spans="1:23" x14ac:dyDescent="0.25">
      <c r="A318" t="s">
        <v>3007</v>
      </c>
      <c r="B318" t="str">
        <f>CONCATENATE(Consulta1[[#This Row],[id]],Consulta1[[#This Row],[EMPREGADOR]])</f>
        <v>7GOV RORAIMA SIG</v>
      </c>
      <c r="C318" s="6">
        <f>IF(A318=A317,C317+1,1)</f>
        <v>7</v>
      </c>
      <c r="D318" t="s">
        <v>2969</v>
      </c>
      <c r="E318" s="101">
        <v>1.8000000000000002E-2</v>
      </c>
      <c r="F318" s="6">
        <v>120</v>
      </c>
      <c r="G318" t="s">
        <v>1349</v>
      </c>
      <c r="H318" s="82">
        <v>2.5</v>
      </c>
      <c r="I318">
        <v>10</v>
      </c>
      <c r="K318" t="s">
        <v>2970</v>
      </c>
      <c r="L318" s="6" t="s">
        <v>1372</v>
      </c>
      <c r="M318" s="6">
        <v>8</v>
      </c>
      <c r="N318" s="6">
        <v>2</v>
      </c>
      <c r="O318">
        <v>60000</v>
      </c>
      <c r="P318">
        <v>202605</v>
      </c>
      <c r="Q318" t="s">
        <v>378</v>
      </c>
      <c r="R318" t="s">
        <v>1353</v>
      </c>
      <c r="S318">
        <f>Consulta1[[#This Row],[min_port]]/100</f>
        <v>1.6E-2</v>
      </c>
      <c r="T318" s="252">
        <f>Consulta1[[#This Row],[TETO_COMERCIAL]]/100</f>
        <v>2.5000000000000001E-2</v>
      </c>
      <c r="U318" t="b">
        <f>Consulta1[[#This Row],[TETO_COMERCIAL_%]]=Consulta1[[#This Row],[TAXA]]</f>
        <v>0</v>
      </c>
      <c r="V318" t="str">
        <f>CONCATENATE(Consulta1[[#This Row],[MES_ALTERACAO]],Consulta1[[#This Row],[VIRADA]])</f>
        <v>2026058</v>
      </c>
      <c r="W318">
        <f>VLOOKUP(Consulta1[[#This Row],[Coluna2]],CALENDARIO!$J:$K,2,FALSE)</f>
        <v>5</v>
      </c>
    </row>
    <row r="319" spans="1:23" x14ac:dyDescent="0.25">
      <c r="A319" t="s">
        <v>1013</v>
      </c>
      <c r="B319" t="str">
        <f>CONCATENATE(Consulta1[[#This Row],[id]],Consulta1[[#This Row],[EMPREGADOR]])</f>
        <v>1GOV SC</v>
      </c>
      <c r="C319" s="6">
        <f>IF(A319=A318,C318+1,1)</f>
        <v>1</v>
      </c>
      <c r="D319" t="s">
        <v>3302</v>
      </c>
      <c r="E319" s="101">
        <v>2.0499999999999997E-2</v>
      </c>
      <c r="F319" s="6">
        <v>120</v>
      </c>
      <c r="G319" t="s">
        <v>1349</v>
      </c>
      <c r="H319" s="82">
        <v>2.0499999999999998</v>
      </c>
      <c r="I319">
        <v>10</v>
      </c>
      <c r="J319">
        <v>27</v>
      </c>
      <c r="K319" t="s">
        <v>3303</v>
      </c>
      <c r="L319" s="6" t="s">
        <v>1605</v>
      </c>
      <c r="M319" s="6">
        <v>19</v>
      </c>
      <c r="N319" s="6">
        <v>2</v>
      </c>
      <c r="O319">
        <v>500</v>
      </c>
      <c r="P319">
        <v>202605</v>
      </c>
      <c r="Q319" t="s">
        <v>377</v>
      </c>
      <c r="R319" t="s">
        <v>1350</v>
      </c>
      <c r="S319">
        <f>Consulta1[[#This Row],[min_port]]/100</f>
        <v>1.43E-2</v>
      </c>
      <c r="T319" s="252">
        <f>Consulta1[[#This Row],[TETO_COMERCIAL]]/100</f>
        <v>2.0499999999999997E-2</v>
      </c>
      <c r="U319" t="b">
        <f>Consulta1[[#This Row],[TETO_COMERCIAL_%]]=Consulta1[[#This Row],[TAXA]]</f>
        <v>1</v>
      </c>
      <c r="V319" t="str">
        <f>CONCATENATE(Consulta1[[#This Row],[MES_ALTERACAO]],Consulta1[[#This Row],[VIRADA]])</f>
        <v>20260519</v>
      </c>
      <c r="W319">
        <f>VLOOKUP(Consulta1[[#This Row],[Coluna2]],CALENDARIO!$J:$K,2,FALSE)</f>
        <v>12</v>
      </c>
    </row>
    <row r="320" spans="1:23" x14ac:dyDescent="0.25">
      <c r="A320" t="s">
        <v>1013</v>
      </c>
      <c r="B320" t="str">
        <f>CONCATENATE(Consulta1[[#This Row],[id]],Consulta1[[#This Row],[EMPREGADOR]])</f>
        <v>2GOV SC</v>
      </c>
      <c r="C320" s="6">
        <f>IF(A320=A319,C319+1,1)</f>
        <v>2</v>
      </c>
      <c r="D320" t="s">
        <v>3304</v>
      </c>
      <c r="E320" s="101">
        <v>1.95E-2</v>
      </c>
      <c r="F320" s="6">
        <v>120</v>
      </c>
      <c r="G320" t="s">
        <v>1349</v>
      </c>
      <c r="H320" s="82">
        <v>2.0499999999999998</v>
      </c>
      <c r="I320">
        <v>10</v>
      </c>
      <c r="J320">
        <v>34</v>
      </c>
      <c r="K320" t="s">
        <v>3305</v>
      </c>
      <c r="L320" s="6" t="s">
        <v>1605</v>
      </c>
      <c r="M320" s="6">
        <v>19</v>
      </c>
      <c r="N320" s="6">
        <v>2</v>
      </c>
      <c r="O320">
        <v>500</v>
      </c>
      <c r="P320">
        <v>202605</v>
      </c>
      <c r="Q320" t="s">
        <v>377</v>
      </c>
      <c r="R320" t="s">
        <v>1350</v>
      </c>
      <c r="S320">
        <f>Consulta1[[#This Row],[min_port]]/100</f>
        <v>1.43E-2</v>
      </c>
      <c r="T320" s="252">
        <f>Consulta1[[#This Row],[TETO_COMERCIAL]]/100</f>
        <v>2.0499999999999997E-2</v>
      </c>
      <c r="U320" t="b">
        <f>Consulta1[[#This Row],[TETO_COMERCIAL_%]]=Consulta1[[#This Row],[TAXA]]</f>
        <v>0</v>
      </c>
      <c r="V320" t="str">
        <f>CONCATENATE(Consulta1[[#This Row],[MES_ALTERACAO]],Consulta1[[#This Row],[VIRADA]])</f>
        <v>20260519</v>
      </c>
      <c r="W320">
        <f>VLOOKUP(Consulta1[[#This Row],[Coluna2]],CALENDARIO!$J:$K,2,FALSE)</f>
        <v>12</v>
      </c>
    </row>
    <row r="321" spans="1:23" x14ac:dyDescent="0.25">
      <c r="A321" t="s">
        <v>1013</v>
      </c>
      <c r="B321" t="str">
        <f>CONCATENATE(Consulta1[[#This Row],[id]],Consulta1[[#This Row],[EMPREGADOR]])</f>
        <v>3GOV SC</v>
      </c>
      <c r="C321" s="6">
        <f>IF(A321=A320,C320+1,1)</f>
        <v>3</v>
      </c>
      <c r="D321" t="s">
        <v>3306</v>
      </c>
      <c r="E321" s="101">
        <v>1.8000000000000002E-2</v>
      </c>
      <c r="F321" s="6">
        <v>120</v>
      </c>
      <c r="G321" t="s">
        <v>1349</v>
      </c>
      <c r="H321" s="82">
        <v>2.0499999999999998</v>
      </c>
      <c r="I321">
        <v>10</v>
      </c>
      <c r="J321">
        <v>31</v>
      </c>
      <c r="K321" t="s">
        <v>3307</v>
      </c>
      <c r="L321" s="6" t="s">
        <v>1605</v>
      </c>
      <c r="M321" s="6">
        <v>19</v>
      </c>
      <c r="N321" s="6">
        <v>2</v>
      </c>
      <c r="O321">
        <v>500</v>
      </c>
      <c r="P321">
        <v>202605</v>
      </c>
      <c r="Q321" t="s">
        <v>377</v>
      </c>
      <c r="R321" t="s">
        <v>1350</v>
      </c>
      <c r="S321">
        <f>Consulta1[[#This Row],[min_port]]/100</f>
        <v>1.43E-2</v>
      </c>
      <c r="T321" s="252">
        <f>Consulta1[[#This Row],[TETO_COMERCIAL]]/100</f>
        <v>2.0499999999999997E-2</v>
      </c>
      <c r="U321" t="b">
        <f>Consulta1[[#This Row],[TETO_COMERCIAL_%]]=Consulta1[[#This Row],[TAXA]]</f>
        <v>0</v>
      </c>
      <c r="V321" t="str">
        <f>CONCATENATE(Consulta1[[#This Row],[MES_ALTERACAO]],Consulta1[[#This Row],[VIRADA]])</f>
        <v>20260519</v>
      </c>
      <c r="W321">
        <f>VLOOKUP(Consulta1[[#This Row],[Coluna2]],CALENDARIO!$J:$K,2,FALSE)</f>
        <v>12</v>
      </c>
    </row>
    <row r="322" spans="1:23" x14ac:dyDescent="0.25">
      <c r="A322" t="s">
        <v>1013</v>
      </c>
      <c r="B322" t="str">
        <f>CONCATENATE(Consulta1[[#This Row],[id]],Consulta1[[#This Row],[EMPREGADOR]])</f>
        <v>4GOV SC</v>
      </c>
      <c r="C322" s="6">
        <f>IF(A322=A321,C321+1,1)</f>
        <v>4</v>
      </c>
      <c r="D322" t="s">
        <v>3308</v>
      </c>
      <c r="E322" s="101">
        <v>1.7000000000000001E-2</v>
      </c>
      <c r="F322" s="6">
        <v>120</v>
      </c>
      <c r="G322" t="s">
        <v>1349</v>
      </c>
      <c r="H322" s="82">
        <v>2.0499999999999998</v>
      </c>
      <c r="I322">
        <v>10</v>
      </c>
      <c r="J322">
        <v>35</v>
      </c>
      <c r="K322" t="s">
        <v>3309</v>
      </c>
      <c r="L322" s="6" t="s">
        <v>1605</v>
      </c>
      <c r="M322" s="6">
        <v>19</v>
      </c>
      <c r="N322" s="6">
        <v>2</v>
      </c>
      <c r="O322">
        <v>500</v>
      </c>
      <c r="P322">
        <v>202605</v>
      </c>
      <c r="Q322" t="s">
        <v>377</v>
      </c>
      <c r="R322" t="s">
        <v>1350</v>
      </c>
      <c r="S322">
        <f>Consulta1[[#This Row],[min_port]]/100</f>
        <v>1.43E-2</v>
      </c>
      <c r="T322" s="252">
        <f>Consulta1[[#This Row],[TETO_COMERCIAL]]/100</f>
        <v>2.0499999999999997E-2</v>
      </c>
      <c r="U322" t="b">
        <f>Consulta1[[#This Row],[TETO_COMERCIAL_%]]=Consulta1[[#This Row],[TAXA]]</f>
        <v>0</v>
      </c>
      <c r="V322" t="str">
        <f>CONCATENATE(Consulta1[[#This Row],[MES_ALTERACAO]],Consulta1[[#This Row],[VIRADA]])</f>
        <v>20260519</v>
      </c>
      <c r="W322">
        <f>VLOOKUP(Consulta1[[#This Row],[Coluna2]],CALENDARIO!$J:$K,2,FALSE)</f>
        <v>12</v>
      </c>
    </row>
    <row r="323" spans="1:23" x14ac:dyDescent="0.25">
      <c r="A323" t="s">
        <v>1013</v>
      </c>
      <c r="B323" t="str">
        <f>CONCATENATE(Consulta1[[#This Row],[id]],Consulta1[[#This Row],[EMPREGADOR]])</f>
        <v>5GOV SC</v>
      </c>
      <c r="C323" s="6">
        <f>IF(A323=A322,C322+1,1)</f>
        <v>5</v>
      </c>
      <c r="D323" t="s">
        <v>3310</v>
      </c>
      <c r="E323" s="101">
        <v>1.6500000000000001E-2</v>
      </c>
      <c r="F323" s="6">
        <v>120</v>
      </c>
      <c r="G323" t="s">
        <v>1349</v>
      </c>
      <c r="H323" s="82">
        <v>2.0499999999999998</v>
      </c>
      <c r="I323">
        <v>10</v>
      </c>
      <c r="J323">
        <v>34</v>
      </c>
      <c r="K323" t="s">
        <v>3311</v>
      </c>
      <c r="L323" s="6" t="s">
        <v>1605</v>
      </c>
      <c r="M323" s="6">
        <v>19</v>
      </c>
      <c r="N323" s="6">
        <v>2</v>
      </c>
      <c r="O323">
        <v>30000</v>
      </c>
      <c r="P323">
        <v>202605</v>
      </c>
      <c r="Q323" t="s">
        <v>377</v>
      </c>
      <c r="R323" t="s">
        <v>1350</v>
      </c>
      <c r="S323">
        <f>Consulta1[[#This Row],[min_port]]/100</f>
        <v>1.43E-2</v>
      </c>
      <c r="T323" s="252">
        <f>Consulta1[[#This Row],[TETO_COMERCIAL]]/100</f>
        <v>2.0499999999999997E-2</v>
      </c>
      <c r="U323" t="b">
        <f>Consulta1[[#This Row],[TETO_COMERCIAL_%]]=Consulta1[[#This Row],[TAXA]]</f>
        <v>0</v>
      </c>
      <c r="V323" t="str">
        <f>CONCATENATE(Consulta1[[#This Row],[MES_ALTERACAO]],Consulta1[[#This Row],[VIRADA]])</f>
        <v>20260519</v>
      </c>
      <c r="W323">
        <f>VLOOKUP(Consulta1[[#This Row],[Coluna2]],CALENDARIO!$J:$K,2,FALSE)</f>
        <v>12</v>
      </c>
    </row>
    <row r="324" spans="1:23" x14ac:dyDescent="0.25">
      <c r="A324" t="s">
        <v>1013</v>
      </c>
      <c r="B324" t="str">
        <f>CONCATENATE(Consulta1[[#This Row],[id]],Consulta1[[#This Row],[EMPREGADOR]])</f>
        <v>6GOV SC</v>
      </c>
      <c r="C324" s="6">
        <f>IF(A324=A323,C323+1,1)</f>
        <v>6</v>
      </c>
      <c r="D324" t="s">
        <v>3312</v>
      </c>
      <c r="E324" s="101">
        <v>1.6E-2</v>
      </c>
      <c r="F324" s="6">
        <v>120</v>
      </c>
      <c r="G324" t="s">
        <v>1349</v>
      </c>
      <c r="H324" s="82">
        <v>2.0499999999999998</v>
      </c>
      <c r="I324">
        <v>10</v>
      </c>
      <c r="J324">
        <v>38</v>
      </c>
      <c r="K324" t="s">
        <v>3313</v>
      </c>
      <c r="L324" s="6" t="s">
        <v>1605</v>
      </c>
      <c r="M324" s="6">
        <v>19</v>
      </c>
      <c r="N324" s="6">
        <v>2</v>
      </c>
      <c r="O324">
        <v>50000</v>
      </c>
      <c r="P324">
        <v>202605</v>
      </c>
      <c r="Q324" t="s">
        <v>377</v>
      </c>
      <c r="R324" t="s">
        <v>1350</v>
      </c>
      <c r="S324">
        <f>Consulta1[[#This Row],[min_port]]/100</f>
        <v>1.43E-2</v>
      </c>
      <c r="T324" s="252">
        <f>Consulta1[[#This Row],[TETO_COMERCIAL]]/100</f>
        <v>2.0499999999999997E-2</v>
      </c>
      <c r="U324" t="b">
        <f>Consulta1[[#This Row],[TETO_COMERCIAL_%]]=Consulta1[[#This Row],[TAXA]]</f>
        <v>0</v>
      </c>
      <c r="V324" t="str">
        <f>CONCATENATE(Consulta1[[#This Row],[MES_ALTERACAO]],Consulta1[[#This Row],[VIRADA]])</f>
        <v>20260519</v>
      </c>
      <c r="W324">
        <f>VLOOKUP(Consulta1[[#This Row],[Coluna2]],CALENDARIO!$J:$K,2,FALSE)</f>
        <v>12</v>
      </c>
    </row>
    <row r="325" spans="1:23" x14ac:dyDescent="0.25">
      <c r="A325" t="s">
        <v>66</v>
      </c>
      <c r="B325" t="str">
        <f>CONCATENATE(Consulta1[[#This Row],[id]],Consulta1[[#This Row],[EMPREGADOR]])</f>
        <v>1GOV SP PM PORT</v>
      </c>
      <c r="C325" s="6">
        <f>IF(A325=A324,C324+1,1)</f>
        <v>1</v>
      </c>
      <c r="D325" t="s">
        <v>685</v>
      </c>
      <c r="E325" s="101">
        <v>2.5000000000000001E-2</v>
      </c>
      <c r="F325" s="6">
        <v>96</v>
      </c>
      <c r="G325" t="s">
        <v>1349</v>
      </c>
      <c r="H325" s="82">
        <v>2.5</v>
      </c>
      <c r="I325">
        <v>10</v>
      </c>
      <c r="J325">
        <v>51</v>
      </c>
      <c r="K325" t="s">
        <v>1442</v>
      </c>
      <c r="L325" s="6" t="s">
        <v>1371</v>
      </c>
      <c r="M325" s="6">
        <v>7</v>
      </c>
      <c r="N325" s="6">
        <v>2</v>
      </c>
      <c r="O325">
        <v>500</v>
      </c>
      <c r="P325">
        <v>202605</v>
      </c>
      <c r="Q325" t="s">
        <v>377</v>
      </c>
      <c r="R325" t="s">
        <v>1353</v>
      </c>
      <c r="S325">
        <f>Consulta1[[#This Row],[min_port]]/100</f>
        <v>1.4499999999999999E-2</v>
      </c>
      <c r="T325" s="252">
        <f>Consulta1[[#This Row],[TETO_COMERCIAL]]/100</f>
        <v>2.5000000000000001E-2</v>
      </c>
      <c r="U325" t="b">
        <f>Consulta1[[#This Row],[TETO_COMERCIAL_%]]=Consulta1[[#This Row],[TAXA]]</f>
        <v>1</v>
      </c>
      <c r="V325" t="str">
        <f>CONCATENATE(Consulta1[[#This Row],[MES_ALTERACAO]],Consulta1[[#This Row],[VIRADA]])</f>
        <v>2026057</v>
      </c>
      <c r="W325">
        <f>VLOOKUP(Consulta1[[#This Row],[Coluna2]],CALENDARIO!$J:$K,2,FALSE)</f>
        <v>4</v>
      </c>
    </row>
    <row r="326" spans="1:23" x14ac:dyDescent="0.25">
      <c r="A326" t="s">
        <v>66</v>
      </c>
      <c r="B326" t="str">
        <f>CONCATENATE(Consulta1[[#This Row],[id]],Consulta1[[#This Row],[EMPREGADOR]])</f>
        <v>2GOV SP PM PORT</v>
      </c>
      <c r="C326" s="6">
        <f>IF(A326=A325,C325+1,1)</f>
        <v>2</v>
      </c>
      <c r="D326" t="s">
        <v>686</v>
      </c>
      <c r="E326" s="101">
        <v>1.95E-2</v>
      </c>
      <c r="F326" s="6">
        <v>96</v>
      </c>
      <c r="G326" t="s">
        <v>1349</v>
      </c>
      <c r="H326" s="82">
        <v>2.5</v>
      </c>
      <c r="I326">
        <v>10</v>
      </c>
      <c r="J326">
        <v>48</v>
      </c>
      <c r="K326" t="s">
        <v>1443</v>
      </c>
      <c r="L326" s="6" t="s">
        <v>1371</v>
      </c>
      <c r="M326" s="6">
        <v>7</v>
      </c>
      <c r="N326" s="6">
        <v>2</v>
      </c>
      <c r="O326">
        <v>500</v>
      </c>
      <c r="P326">
        <v>202605</v>
      </c>
      <c r="Q326" t="s">
        <v>377</v>
      </c>
      <c r="R326" t="s">
        <v>1353</v>
      </c>
      <c r="S326">
        <f>Consulta1[[#This Row],[min_port]]/100</f>
        <v>1.4499999999999999E-2</v>
      </c>
      <c r="T326" s="252">
        <f>Consulta1[[#This Row],[TETO_COMERCIAL]]/100</f>
        <v>2.5000000000000001E-2</v>
      </c>
      <c r="U326" t="b">
        <f>Consulta1[[#This Row],[TETO_COMERCIAL_%]]=Consulta1[[#This Row],[TAXA]]</f>
        <v>0</v>
      </c>
      <c r="V326" t="str">
        <f>CONCATENATE(Consulta1[[#This Row],[MES_ALTERACAO]],Consulta1[[#This Row],[VIRADA]])</f>
        <v>2026057</v>
      </c>
      <c r="W326">
        <f>VLOOKUP(Consulta1[[#This Row],[Coluna2]],CALENDARIO!$J:$K,2,FALSE)</f>
        <v>4</v>
      </c>
    </row>
    <row r="327" spans="1:23" x14ac:dyDescent="0.25">
      <c r="A327" t="s">
        <v>66</v>
      </c>
      <c r="B327" t="str">
        <f>CONCATENATE(Consulta1[[#This Row],[id]],Consulta1[[#This Row],[EMPREGADOR]])</f>
        <v>3GOV SP PM PORT</v>
      </c>
      <c r="C327" s="6">
        <f>IF(A327=A326,C326+1,1)</f>
        <v>3</v>
      </c>
      <c r="D327" t="s">
        <v>687</v>
      </c>
      <c r="E327" s="101">
        <v>1.89E-2</v>
      </c>
      <c r="F327" s="6">
        <v>96</v>
      </c>
      <c r="G327" t="s">
        <v>1349</v>
      </c>
      <c r="H327" s="82">
        <v>2.5</v>
      </c>
      <c r="I327">
        <v>10</v>
      </c>
      <c r="J327">
        <v>47</v>
      </c>
      <c r="K327" t="s">
        <v>1444</v>
      </c>
      <c r="L327" s="6" t="s">
        <v>1371</v>
      </c>
      <c r="M327" s="6">
        <v>7</v>
      </c>
      <c r="N327" s="6">
        <v>2</v>
      </c>
      <c r="O327">
        <v>500</v>
      </c>
      <c r="P327">
        <v>202605</v>
      </c>
      <c r="Q327" t="s">
        <v>377</v>
      </c>
      <c r="R327" t="s">
        <v>1353</v>
      </c>
      <c r="S327">
        <f>Consulta1[[#This Row],[min_port]]/100</f>
        <v>1.4499999999999999E-2</v>
      </c>
      <c r="T327" s="252">
        <f>Consulta1[[#This Row],[TETO_COMERCIAL]]/100</f>
        <v>2.5000000000000001E-2</v>
      </c>
      <c r="U327" t="b">
        <f>Consulta1[[#This Row],[TETO_COMERCIAL_%]]=Consulta1[[#This Row],[TAXA]]</f>
        <v>0</v>
      </c>
      <c r="V327" t="str">
        <f>CONCATENATE(Consulta1[[#This Row],[MES_ALTERACAO]],Consulta1[[#This Row],[VIRADA]])</f>
        <v>2026057</v>
      </c>
      <c r="W327">
        <f>VLOOKUP(Consulta1[[#This Row],[Coluna2]],CALENDARIO!$J:$K,2,FALSE)</f>
        <v>4</v>
      </c>
    </row>
    <row r="328" spans="1:23" x14ac:dyDescent="0.25">
      <c r="A328" t="s">
        <v>66</v>
      </c>
      <c r="B328" t="str">
        <f>CONCATENATE(Consulta1[[#This Row],[id]],Consulta1[[#This Row],[EMPREGADOR]])</f>
        <v>4GOV SP PM PORT</v>
      </c>
      <c r="C328" s="6">
        <f>IF(A328=A327,C327+1,1)</f>
        <v>4</v>
      </c>
      <c r="D328" t="s">
        <v>688</v>
      </c>
      <c r="E328" s="101">
        <v>1.8500000000000003E-2</v>
      </c>
      <c r="F328" s="6">
        <v>96</v>
      </c>
      <c r="G328" t="s">
        <v>1349</v>
      </c>
      <c r="H328" s="82">
        <v>2.5</v>
      </c>
      <c r="I328">
        <v>10</v>
      </c>
      <c r="J328">
        <v>48</v>
      </c>
      <c r="K328" t="s">
        <v>1445</v>
      </c>
      <c r="L328" s="6" t="s">
        <v>1371</v>
      </c>
      <c r="M328" s="6">
        <v>7</v>
      </c>
      <c r="N328" s="6">
        <v>2</v>
      </c>
      <c r="O328">
        <v>500</v>
      </c>
      <c r="P328">
        <v>202605</v>
      </c>
      <c r="Q328" t="s">
        <v>377</v>
      </c>
      <c r="R328" t="s">
        <v>1353</v>
      </c>
      <c r="S328">
        <f>Consulta1[[#This Row],[min_port]]/100</f>
        <v>1.4499999999999999E-2</v>
      </c>
      <c r="T328" s="252">
        <f>Consulta1[[#This Row],[TETO_COMERCIAL]]/100</f>
        <v>2.5000000000000001E-2</v>
      </c>
      <c r="U328" t="b">
        <f>Consulta1[[#This Row],[TETO_COMERCIAL_%]]=Consulta1[[#This Row],[TAXA]]</f>
        <v>0</v>
      </c>
      <c r="V328" t="str">
        <f>CONCATENATE(Consulta1[[#This Row],[MES_ALTERACAO]],Consulta1[[#This Row],[VIRADA]])</f>
        <v>2026057</v>
      </c>
      <c r="W328">
        <f>VLOOKUP(Consulta1[[#This Row],[Coluna2]],CALENDARIO!$J:$K,2,FALSE)</f>
        <v>4</v>
      </c>
    </row>
    <row r="329" spans="1:23" x14ac:dyDescent="0.25">
      <c r="A329" t="s">
        <v>66</v>
      </c>
      <c r="B329" t="str">
        <f>CONCATENATE(Consulta1[[#This Row],[id]],Consulta1[[#This Row],[EMPREGADOR]])</f>
        <v>5GOV SP PM PORT</v>
      </c>
      <c r="C329" s="6">
        <f>IF(A329=A328,C328+1,1)</f>
        <v>5</v>
      </c>
      <c r="D329" t="s">
        <v>689</v>
      </c>
      <c r="E329" s="101">
        <v>1.7899999999999999E-2</v>
      </c>
      <c r="F329" s="6">
        <v>96</v>
      </c>
      <c r="G329" t="s">
        <v>1349</v>
      </c>
      <c r="H329" s="82">
        <v>2.5</v>
      </c>
      <c r="I329">
        <v>10</v>
      </c>
      <c r="J329">
        <v>47</v>
      </c>
      <c r="K329" t="s">
        <v>1446</v>
      </c>
      <c r="L329" s="6" t="s">
        <v>1371</v>
      </c>
      <c r="M329" s="6">
        <v>7</v>
      </c>
      <c r="N329" s="6">
        <v>2</v>
      </c>
      <c r="O329">
        <v>500</v>
      </c>
      <c r="P329">
        <v>202605</v>
      </c>
      <c r="Q329" t="s">
        <v>377</v>
      </c>
      <c r="R329" t="s">
        <v>1353</v>
      </c>
      <c r="S329">
        <f>Consulta1[[#This Row],[min_port]]/100</f>
        <v>1.4499999999999999E-2</v>
      </c>
      <c r="T329" s="252">
        <f>Consulta1[[#This Row],[TETO_COMERCIAL]]/100</f>
        <v>2.5000000000000001E-2</v>
      </c>
      <c r="U329" t="b">
        <f>Consulta1[[#This Row],[TETO_COMERCIAL_%]]=Consulta1[[#This Row],[TAXA]]</f>
        <v>0</v>
      </c>
      <c r="V329" t="str">
        <f>CONCATENATE(Consulta1[[#This Row],[MES_ALTERACAO]],Consulta1[[#This Row],[VIRADA]])</f>
        <v>2026057</v>
      </c>
      <c r="W329">
        <f>VLOOKUP(Consulta1[[#This Row],[Coluna2]],CALENDARIO!$J:$K,2,FALSE)</f>
        <v>4</v>
      </c>
    </row>
    <row r="330" spans="1:23" x14ac:dyDescent="0.25">
      <c r="A330" t="s">
        <v>66</v>
      </c>
      <c r="B330" t="str">
        <f>CONCATENATE(Consulta1[[#This Row],[id]],Consulta1[[#This Row],[EMPREGADOR]])</f>
        <v>6GOV SP PM PORT</v>
      </c>
      <c r="C330" s="6">
        <f>IF(A330=A329,C329+1,1)</f>
        <v>6</v>
      </c>
      <c r="D330" t="s">
        <v>690</v>
      </c>
      <c r="E330" s="101">
        <v>1.7500000000000002E-2</v>
      </c>
      <c r="F330" s="6">
        <v>96</v>
      </c>
      <c r="G330" t="s">
        <v>1349</v>
      </c>
      <c r="H330" s="82">
        <v>2.5</v>
      </c>
      <c r="I330">
        <v>10</v>
      </c>
      <c r="J330">
        <v>47</v>
      </c>
      <c r="K330" t="s">
        <v>1447</v>
      </c>
      <c r="L330" s="6" t="s">
        <v>1371</v>
      </c>
      <c r="M330" s="6">
        <v>7</v>
      </c>
      <c r="N330" s="6">
        <v>2</v>
      </c>
      <c r="O330">
        <v>500</v>
      </c>
      <c r="P330">
        <v>202605</v>
      </c>
      <c r="Q330" t="s">
        <v>377</v>
      </c>
      <c r="R330" t="s">
        <v>1353</v>
      </c>
      <c r="S330">
        <f>Consulta1[[#This Row],[min_port]]/100</f>
        <v>1.4499999999999999E-2</v>
      </c>
      <c r="T330" s="252">
        <f>Consulta1[[#This Row],[TETO_COMERCIAL]]/100</f>
        <v>2.5000000000000001E-2</v>
      </c>
      <c r="U330" t="b">
        <f>Consulta1[[#This Row],[TETO_COMERCIAL_%]]=Consulta1[[#This Row],[TAXA]]</f>
        <v>0</v>
      </c>
      <c r="V330" t="str">
        <f>CONCATENATE(Consulta1[[#This Row],[MES_ALTERACAO]],Consulta1[[#This Row],[VIRADA]])</f>
        <v>2026057</v>
      </c>
      <c r="W330">
        <f>VLOOKUP(Consulta1[[#This Row],[Coluna2]],CALENDARIO!$J:$K,2,FALSE)</f>
        <v>4</v>
      </c>
    </row>
    <row r="331" spans="1:23" x14ac:dyDescent="0.25">
      <c r="A331" t="s">
        <v>66</v>
      </c>
      <c r="B331" t="str">
        <f>CONCATENATE(Consulta1[[#This Row],[id]],Consulta1[[#This Row],[EMPREGADOR]])</f>
        <v>7GOV SP PM PORT</v>
      </c>
      <c r="C331" s="6">
        <f>IF(A331=A330,C330+1,1)</f>
        <v>7</v>
      </c>
      <c r="D331" t="s">
        <v>691</v>
      </c>
      <c r="E331" s="101">
        <v>1.6899999999999998E-2</v>
      </c>
      <c r="F331" s="6">
        <v>96</v>
      </c>
      <c r="G331" t="s">
        <v>1349</v>
      </c>
      <c r="H331" s="82">
        <v>2.5</v>
      </c>
      <c r="I331">
        <v>10</v>
      </c>
      <c r="J331">
        <v>49</v>
      </c>
      <c r="K331" t="s">
        <v>1448</v>
      </c>
      <c r="L331" s="6" t="s">
        <v>1371</v>
      </c>
      <c r="M331" s="6">
        <v>7</v>
      </c>
      <c r="N331" s="6">
        <v>2</v>
      </c>
      <c r="O331">
        <v>500</v>
      </c>
      <c r="P331">
        <v>202605</v>
      </c>
      <c r="Q331" t="s">
        <v>377</v>
      </c>
      <c r="R331" t="s">
        <v>1353</v>
      </c>
      <c r="S331">
        <f>Consulta1[[#This Row],[min_port]]/100</f>
        <v>1.4499999999999999E-2</v>
      </c>
      <c r="T331" s="252">
        <f>Consulta1[[#This Row],[TETO_COMERCIAL]]/100</f>
        <v>2.5000000000000001E-2</v>
      </c>
      <c r="U331" t="b">
        <f>Consulta1[[#This Row],[TETO_COMERCIAL_%]]=Consulta1[[#This Row],[TAXA]]</f>
        <v>0</v>
      </c>
      <c r="V331" t="str">
        <f>CONCATENATE(Consulta1[[#This Row],[MES_ALTERACAO]],Consulta1[[#This Row],[VIRADA]])</f>
        <v>2026057</v>
      </c>
      <c r="W331">
        <f>VLOOKUP(Consulta1[[#This Row],[Coluna2]],CALENDARIO!$J:$K,2,FALSE)</f>
        <v>4</v>
      </c>
    </row>
    <row r="332" spans="1:23" x14ac:dyDescent="0.25">
      <c r="A332" t="s">
        <v>66</v>
      </c>
      <c r="B332" t="str">
        <f>CONCATENATE(Consulta1[[#This Row],[id]],Consulta1[[#This Row],[EMPREGADOR]])</f>
        <v>8GOV SP PM PORT</v>
      </c>
      <c r="C332" s="6">
        <f>IF(A332=A331,C331+1,1)</f>
        <v>8</v>
      </c>
      <c r="D332" t="s">
        <v>836</v>
      </c>
      <c r="E332" s="101">
        <v>1.6500000000000001E-2</v>
      </c>
      <c r="F332" s="6">
        <v>96</v>
      </c>
      <c r="G332" t="s">
        <v>1349</v>
      </c>
      <c r="H332" s="82">
        <v>2.5</v>
      </c>
      <c r="I332">
        <v>10</v>
      </c>
      <c r="J332">
        <v>48</v>
      </c>
      <c r="K332" t="s">
        <v>1449</v>
      </c>
      <c r="L332" s="6" t="s">
        <v>1371</v>
      </c>
      <c r="M332" s="6">
        <v>7</v>
      </c>
      <c r="N332" s="6">
        <v>2</v>
      </c>
      <c r="O332">
        <v>500</v>
      </c>
      <c r="P332">
        <v>202605</v>
      </c>
      <c r="Q332" t="s">
        <v>377</v>
      </c>
      <c r="R332" t="s">
        <v>1353</v>
      </c>
      <c r="S332">
        <f>Consulta1[[#This Row],[min_port]]/100</f>
        <v>1.4499999999999999E-2</v>
      </c>
      <c r="T332" s="252">
        <f>Consulta1[[#This Row],[TETO_COMERCIAL]]/100</f>
        <v>2.5000000000000001E-2</v>
      </c>
      <c r="U332" t="b">
        <f>Consulta1[[#This Row],[TETO_COMERCIAL_%]]=Consulta1[[#This Row],[TAXA]]</f>
        <v>0</v>
      </c>
      <c r="V332" t="str">
        <f>CONCATENATE(Consulta1[[#This Row],[MES_ALTERACAO]],Consulta1[[#This Row],[VIRADA]])</f>
        <v>2026057</v>
      </c>
      <c r="W332">
        <f>VLOOKUP(Consulta1[[#This Row],[Coluna2]],CALENDARIO!$J:$K,2,FALSE)</f>
        <v>4</v>
      </c>
    </row>
    <row r="333" spans="1:23" x14ac:dyDescent="0.25">
      <c r="A333" t="s">
        <v>66</v>
      </c>
      <c r="B333" t="str">
        <f>CONCATENATE(Consulta1[[#This Row],[id]],Consulta1[[#This Row],[EMPREGADOR]])</f>
        <v>9GOV SP PM PORT</v>
      </c>
      <c r="C333" s="6">
        <f>IF(A333=A332,C332+1,1)</f>
        <v>9</v>
      </c>
      <c r="D333" t="s">
        <v>953</v>
      </c>
      <c r="E333" s="101">
        <v>1.5900000000000001E-2</v>
      </c>
      <c r="F333" s="6">
        <v>96</v>
      </c>
      <c r="G333" t="s">
        <v>1349</v>
      </c>
      <c r="H333" s="82">
        <v>2.5</v>
      </c>
      <c r="I333">
        <v>10</v>
      </c>
      <c r="J333">
        <v>49</v>
      </c>
      <c r="K333" t="s">
        <v>1450</v>
      </c>
      <c r="L333" s="6" t="s">
        <v>1371</v>
      </c>
      <c r="M333" s="6">
        <v>7</v>
      </c>
      <c r="N333" s="6">
        <v>2</v>
      </c>
      <c r="O333">
        <v>500</v>
      </c>
      <c r="P333">
        <v>202605</v>
      </c>
      <c r="Q333" t="s">
        <v>377</v>
      </c>
      <c r="R333" t="s">
        <v>1353</v>
      </c>
      <c r="S333">
        <f>Consulta1[[#This Row],[min_port]]/100</f>
        <v>1.4499999999999999E-2</v>
      </c>
      <c r="T333" s="252">
        <f>Consulta1[[#This Row],[TETO_COMERCIAL]]/100</f>
        <v>2.5000000000000001E-2</v>
      </c>
      <c r="U333" t="b">
        <f>Consulta1[[#This Row],[TETO_COMERCIAL_%]]=Consulta1[[#This Row],[TAXA]]</f>
        <v>0</v>
      </c>
      <c r="V333" t="str">
        <f>CONCATENATE(Consulta1[[#This Row],[MES_ALTERACAO]],Consulta1[[#This Row],[VIRADA]])</f>
        <v>2026057</v>
      </c>
      <c r="W333">
        <f>VLOOKUP(Consulta1[[#This Row],[Coluna2]],CALENDARIO!$J:$K,2,FALSE)</f>
        <v>4</v>
      </c>
    </row>
    <row r="334" spans="1:23" x14ac:dyDescent="0.25">
      <c r="A334" t="s">
        <v>66</v>
      </c>
      <c r="B334" t="str">
        <f>CONCATENATE(Consulta1[[#This Row],[id]],Consulta1[[#This Row],[EMPREGADOR]])</f>
        <v>10GOV SP PM PORT</v>
      </c>
      <c r="C334" s="6">
        <f>IF(A334=A333,C333+1,1)</f>
        <v>10</v>
      </c>
      <c r="D334" t="s">
        <v>3008</v>
      </c>
      <c r="E334" s="101">
        <v>1.5700000000000002E-2</v>
      </c>
      <c r="F334" s="6">
        <v>96</v>
      </c>
      <c r="G334" t="s">
        <v>1349</v>
      </c>
      <c r="H334" s="82">
        <v>2.5</v>
      </c>
      <c r="I334">
        <v>10</v>
      </c>
      <c r="J334">
        <v>48</v>
      </c>
      <c r="K334" t="s">
        <v>3009</v>
      </c>
      <c r="L334" s="6" t="s">
        <v>1371</v>
      </c>
      <c r="M334" s="6">
        <v>7</v>
      </c>
      <c r="N334" s="6">
        <v>2</v>
      </c>
      <c r="O334">
        <v>30000</v>
      </c>
      <c r="P334">
        <v>202605</v>
      </c>
      <c r="Q334" t="s">
        <v>377</v>
      </c>
      <c r="R334" t="s">
        <v>1353</v>
      </c>
      <c r="S334">
        <f>Consulta1[[#This Row],[min_port]]/100</f>
        <v>1.4499999999999999E-2</v>
      </c>
      <c r="T334" s="252">
        <f>Consulta1[[#This Row],[TETO_COMERCIAL]]/100</f>
        <v>2.5000000000000001E-2</v>
      </c>
      <c r="U334" t="b">
        <f>Consulta1[[#This Row],[TETO_COMERCIAL_%]]=Consulta1[[#This Row],[TAXA]]</f>
        <v>0</v>
      </c>
      <c r="V334" t="str">
        <f>CONCATENATE(Consulta1[[#This Row],[MES_ALTERACAO]],Consulta1[[#This Row],[VIRADA]])</f>
        <v>2026057</v>
      </c>
      <c r="W334">
        <f>VLOOKUP(Consulta1[[#This Row],[Coluna2]],CALENDARIO!$J:$K,2,FALSE)</f>
        <v>4</v>
      </c>
    </row>
    <row r="335" spans="1:23" x14ac:dyDescent="0.25">
      <c r="A335" t="s">
        <v>66</v>
      </c>
      <c r="B335" t="str">
        <f>CONCATENATE(Consulta1[[#This Row],[id]],Consulta1[[#This Row],[EMPREGADOR]])</f>
        <v>11GOV SP PM PORT</v>
      </c>
      <c r="C335" s="6">
        <f>IF(A335=A334,C334+1,1)</f>
        <v>11</v>
      </c>
      <c r="D335" t="s">
        <v>1451</v>
      </c>
      <c r="E335" s="101">
        <v>1.55E-2</v>
      </c>
      <c r="F335" s="6">
        <v>96</v>
      </c>
      <c r="G335" t="s">
        <v>1349</v>
      </c>
      <c r="H335" s="82">
        <v>2.5</v>
      </c>
      <c r="I335">
        <v>10</v>
      </c>
      <c r="J335">
        <v>49</v>
      </c>
      <c r="K335" t="s">
        <v>1452</v>
      </c>
      <c r="L335" s="6" t="s">
        <v>1371</v>
      </c>
      <c r="M335" s="6">
        <v>7</v>
      </c>
      <c r="N335" s="6">
        <v>2</v>
      </c>
      <c r="O335">
        <v>50000</v>
      </c>
      <c r="P335">
        <v>202605</v>
      </c>
      <c r="Q335" t="s">
        <v>377</v>
      </c>
      <c r="R335" t="s">
        <v>1353</v>
      </c>
      <c r="S335">
        <f>Consulta1[[#This Row],[min_port]]/100</f>
        <v>1.4499999999999999E-2</v>
      </c>
      <c r="T335" s="252">
        <f>Consulta1[[#This Row],[TETO_COMERCIAL]]/100</f>
        <v>2.5000000000000001E-2</v>
      </c>
      <c r="U335" t="b">
        <f>Consulta1[[#This Row],[TETO_COMERCIAL_%]]=Consulta1[[#This Row],[TAXA]]</f>
        <v>0</v>
      </c>
      <c r="V335" t="str">
        <f>CONCATENATE(Consulta1[[#This Row],[MES_ALTERACAO]],Consulta1[[#This Row],[VIRADA]])</f>
        <v>2026057</v>
      </c>
      <c r="W335">
        <f>VLOOKUP(Consulta1[[#This Row],[Coluna2]],CALENDARIO!$J:$K,2,FALSE)</f>
        <v>4</v>
      </c>
    </row>
    <row r="336" spans="1:23" x14ac:dyDescent="0.25">
      <c r="A336" t="s">
        <v>2775</v>
      </c>
      <c r="B336" t="str">
        <f>CONCATENATE(Consulta1[[#This Row],[id]],Consulta1[[#This Row],[EMPREGADOR]])</f>
        <v>1GOV SP TJMSP</v>
      </c>
      <c r="C336" s="6">
        <f>IF(A336=A335,C335+1,1)</f>
        <v>1</v>
      </c>
      <c r="D336" t="s">
        <v>2753</v>
      </c>
      <c r="E336" s="101">
        <v>2.5000000000000001E-2</v>
      </c>
      <c r="F336" s="6">
        <v>96</v>
      </c>
      <c r="G336" t="s">
        <v>1349</v>
      </c>
      <c r="H336" s="82">
        <v>2.5</v>
      </c>
      <c r="I336">
        <v>10</v>
      </c>
      <c r="K336" t="s">
        <v>2754</v>
      </c>
      <c r="L336" s="6" t="s">
        <v>1371</v>
      </c>
      <c r="M336" s="6">
        <v>11</v>
      </c>
      <c r="N336" s="6">
        <v>2</v>
      </c>
      <c r="O336">
        <v>500</v>
      </c>
      <c r="P336">
        <v>202605</v>
      </c>
      <c r="Q336" t="s">
        <v>377</v>
      </c>
      <c r="R336" t="s">
        <v>1350</v>
      </c>
      <c r="S336">
        <f>Consulta1[[#This Row],[min_port]]/100</f>
        <v>1.4499999999999999E-2</v>
      </c>
      <c r="T336" s="252">
        <f>Consulta1[[#This Row],[TETO_COMERCIAL]]/100</f>
        <v>2.5000000000000001E-2</v>
      </c>
      <c r="U336" t="b">
        <f>Consulta1[[#This Row],[TETO_COMERCIAL_%]]=Consulta1[[#This Row],[TAXA]]</f>
        <v>1</v>
      </c>
      <c r="V336" t="str">
        <f>CONCATENATE(Consulta1[[#This Row],[MES_ALTERACAO]],Consulta1[[#This Row],[VIRADA]])</f>
        <v>20260511</v>
      </c>
      <c r="W336">
        <f>VLOOKUP(Consulta1[[#This Row],[Coluna2]],CALENDARIO!$J:$K,2,FALSE)</f>
        <v>6</v>
      </c>
    </row>
    <row r="337" spans="1:23" x14ac:dyDescent="0.25">
      <c r="A337" t="s">
        <v>2775</v>
      </c>
      <c r="B337" t="str">
        <f>CONCATENATE(Consulta1[[#This Row],[id]],Consulta1[[#This Row],[EMPREGADOR]])</f>
        <v>2GOV SP TJMSP</v>
      </c>
      <c r="C337" s="6">
        <f>IF(A337=A336,C336+1,1)</f>
        <v>2</v>
      </c>
      <c r="D337" t="s">
        <v>2755</v>
      </c>
      <c r="E337" s="101">
        <v>2.3900000000000001E-2</v>
      </c>
      <c r="F337" s="6">
        <v>96</v>
      </c>
      <c r="G337" t="s">
        <v>1349</v>
      </c>
      <c r="H337" s="82">
        <v>2.5</v>
      </c>
      <c r="I337">
        <v>10</v>
      </c>
      <c r="K337" t="s">
        <v>2756</v>
      </c>
      <c r="L337" s="6" t="s">
        <v>1371</v>
      </c>
      <c r="M337" s="6">
        <v>11</v>
      </c>
      <c r="N337" s="6">
        <v>2</v>
      </c>
      <c r="O337">
        <v>500</v>
      </c>
      <c r="P337">
        <v>202605</v>
      </c>
      <c r="Q337" t="s">
        <v>377</v>
      </c>
      <c r="R337" t="s">
        <v>1350</v>
      </c>
      <c r="S337">
        <f>Consulta1[[#This Row],[min_port]]/100</f>
        <v>1.4499999999999999E-2</v>
      </c>
      <c r="T337" s="252">
        <f>Consulta1[[#This Row],[TETO_COMERCIAL]]/100</f>
        <v>2.5000000000000001E-2</v>
      </c>
      <c r="U337" t="b">
        <f>Consulta1[[#This Row],[TETO_COMERCIAL_%]]=Consulta1[[#This Row],[TAXA]]</f>
        <v>0</v>
      </c>
      <c r="V337" t="str">
        <f>CONCATENATE(Consulta1[[#This Row],[MES_ALTERACAO]],Consulta1[[#This Row],[VIRADA]])</f>
        <v>20260511</v>
      </c>
      <c r="W337">
        <f>VLOOKUP(Consulta1[[#This Row],[Coluna2]],CALENDARIO!$J:$K,2,FALSE)</f>
        <v>6</v>
      </c>
    </row>
    <row r="338" spans="1:23" x14ac:dyDescent="0.25">
      <c r="A338" t="s">
        <v>2775</v>
      </c>
      <c r="B338" t="str">
        <f>CONCATENATE(Consulta1[[#This Row],[id]],Consulta1[[#This Row],[EMPREGADOR]])</f>
        <v>3GOV SP TJMSP</v>
      </c>
      <c r="C338" s="6">
        <f>IF(A338=A337,C337+1,1)</f>
        <v>3</v>
      </c>
      <c r="D338" t="s">
        <v>2757</v>
      </c>
      <c r="E338" s="101">
        <v>2.29E-2</v>
      </c>
      <c r="F338" s="6">
        <v>96</v>
      </c>
      <c r="G338" t="s">
        <v>1349</v>
      </c>
      <c r="H338" s="82">
        <v>2.5</v>
      </c>
      <c r="I338">
        <v>10</v>
      </c>
      <c r="K338" t="s">
        <v>2758</v>
      </c>
      <c r="L338" s="6" t="s">
        <v>1371</v>
      </c>
      <c r="M338" s="6">
        <v>11</v>
      </c>
      <c r="N338" s="6">
        <v>2</v>
      </c>
      <c r="O338">
        <v>500</v>
      </c>
      <c r="P338">
        <v>202605</v>
      </c>
      <c r="Q338" t="s">
        <v>377</v>
      </c>
      <c r="R338" t="s">
        <v>1350</v>
      </c>
      <c r="S338">
        <f>Consulta1[[#This Row],[min_port]]/100</f>
        <v>1.4499999999999999E-2</v>
      </c>
      <c r="T338" s="252">
        <f>Consulta1[[#This Row],[TETO_COMERCIAL]]/100</f>
        <v>2.5000000000000001E-2</v>
      </c>
      <c r="U338" t="b">
        <f>Consulta1[[#This Row],[TETO_COMERCIAL_%]]=Consulta1[[#This Row],[TAXA]]</f>
        <v>0</v>
      </c>
      <c r="V338" t="str">
        <f>CONCATENATE(Consulta1[[#This Row],[MES_ALTERACAO]],Consulta1[[#This Row],[VIRADA]])</f>
        <v>20260511</v>
      </c>
      <c r="W338">
        <f>VLOOKUP(Consulta1[[#This Row],[Coluna2]],CALENDARIO!$J:$K,2,FALSE)</f>
        <v>6</v>
      </c>
    </row>
    <row r="339" spans="1:23" x14ac:dyDescent="0.25">
      <c r="A339" t="s">
        <v>2775</v>
      </c>
      <c r="B339" t="str">
        <f>CONCATENATE(Consulta1[[#This Row],[id]],Consulta1[[#This Row],[EMPREGADOR]])</f>
        <v>4GOV SP TJMSP</v>
      </c>
      <c r="C339" s="6">
        <f>IF(A339=A338,C338+1,1)</f>
        <v>4</v>
      </c>
      <c r="D339" t="s">
        <v>2759</v>
      </c>
      <c r="E339" s="101">
        <v>2.1899999999999999E-2</v>
      </c>
      <c r="F339" s="6">
        <v>96</v>
      </c>
      <c r="G339" t="s">
        <v>1349</v>
      </c>
      <c r="H339" s="82">
        <v>2.5</v>
      </c>
      <c r="I339">
        <v>10</v>
      </c>
      <c r="K339" t="s">
        <v>2760</v>
      </c>
      <c r="L339" s="6" t="s">
        <v>1371</v>
      </c>
      <c r="M339" s="6">
        <v>11</v>
      </c>
      <c r="N339" s="6">
        <v>2</v>
      </c>
      <c r="O339">
        <v>500</v>
      </c>
      <c r="P339">
        <v>202605</v>
      </c>
      <c r="Q339" t="s">
        <v>377</v>
      </c>
      <c r="R339" t="s">
        <v>1350</v>
      </c>
      <c r="S339">
        <f>Consulta1[[#This Row],[min_port]]/100</f>
        <v>1.4499999999999999E-2</v>
      </c>
      <c r="T339" s="252">
        <f>Consulta1[[#This Row],[TETO_COMERCIAL]]/100</f>
        <v>2.5000000000000001E-2</v>
      </c>
      <c r="U339" t="b">
        <f>Consulta1[[#This Row],[TETO_COMERCIAL_%]]=Consulta1[[#This Row],[TAXA]]</f>
        <v>0</v>
      </c>
      <c r="V339" t="str">
        <f>CONCATENATE(Consulta1[[#This Row],[MES_ALTERACAO]],Consulta1[[#This Row],[VIRADA]])</f>
        <v>20260511</v>
      </c>
      <c r="W339">
        <f>VLOOKUP(Consulta1[[#This Row],[Coluna2]],CALENDARIO!$J:$K,2,FALSE)</f>
        <v>6</v>
      </c>
    </row>
    <row r="340" spans="1:23" x14ac:dyDescent="0.25">
      <c r="A340" t="s">
        <v>2775</v>
      </c>
      <c r="B340" t="str">
        <f>CONCATENATE(Consulta1[[#This Row],[id]],Consulta1[[#This Row],[EMPREGADOR]])</f>
        <v>5GOV SP TJMSP</v>
      </c>
      <c r="C340" s="6">
        <f>IF(A340=A339,C339+1,1)</f>
        <v>5</v>
      </c>
      <c r="D340" t="s">
        <v>2761</v>
      </c>
      <c r="E340" s="101">
        <v>2.0899999999999998E-2</v>
      </c>
      <c r="F340" s="6">
        <v>96</v>
      </c>
      <c r="G340" t="s">
        <v>1349</v>
      </c>
      <c r="H340" s="82">
        <v>2.5</v>
      </c>
      <c r="I340">
        <v>10</v>
      </c>
      <c r="K340" t="s">
        <v>2762</v>
      </c>
      <c r="L340" s="6" t="s">
        <v>1371</v>
      </c>
      <c r="M340" s="6">
        <v>11</v>
      </c>
      <c r="N340" s="6">
        <v>2</v>
      </c>
      <c r="O340">
        <v>500</v>
      </c>
      <c r="P340">
        <v>202605</v>
      </c>
      <c r="Q340" t="s">
        <v>377</v>
      </c>
      <c r="R340" t="s">
        <v>1350</v>
      </c>
      <c r="S340">
        <f>Consulta1[[#This Row],[min_port]]/100</f>
        <v>1.4499999999999999E-2</v>
      </c>
      <c r="T340" s="252">
        <f>Consulta1[[#This Row],[TETO_COMERCIAL]]/100</f>
        <v>2.5000000000000001E-2</v>
      </c>
      <c r="U340" t="b">
        <f>Consulta1[[#This Row],[TETO_COMERCIAL_%]]=Consulta1[[#This Row],[TAXA]]</f>
        <v>0</v>
      </c>
      <c r="V340" t="str">
        <f>CONCATENATE(Consulta1[[#This Row],[MES_ALTERACAO]],Consulta1[[#This Row],[VIRADA]])</f>
        <v>20260511</v>
      </c>
      <c r="W340">
        <f>VLOOKUP(Consulta1[[#This Row],[Coluna2]],CALENDARIO!$J:$K,2,FALSE)</f>
        <v>6</v>
      </c>
    </row>
    <row r="341" spans="1:23" x14ac:dyDescent="0.25">
      <c r="A341" t="s">
        <v>2775</v>
      </c>
      <c r="B341" t="str">
        <f>CONCATENATE(Consulta1[[#This Row],[id]],Consulta1[[#This Row],[EMPREGADOR]])</f>
        <v>6GOV SP TJMSP</v>
      </c>
      <c r="C341" s="6">
        <f>IF(A341=A340,C340+1,1)</f>
        <v>6</v>
      </c>
      <c r="D341" t="s">
        <v>2763</v>
      </c>
      <c r="E341" s="101">
        <v>1.9900000000000001E-2</v>
      </c>
      <c r="F341" s="6">
        <v>96</v>
      </c>
      <c r="G341" t="s">
        <v>1349</v>
      </c>
      <c r="H341" s="82">
        <v>2.5</v>
      </c>
      <c r="I341">
        <v>10</v>
      </c>
      <c r="K341" t="s">
        <v>2764</v>
      </c>
      <c r="L341" s="6" t="s">
        <v>1371</v>
      </c>
      <c r="M341" s="6">
        <v>11</v>
      </c>
      <c r="N341" s="6">
        <v>2</v>
      </c>
      <c r="O341">
        <v>500</v>
      </c>
      <c r="P341">
        <v>202605</v>
      </c>
      <c r="Q341" t="s">
        <v>377</v>
      </c>
      <c r="R341" t="s">
        <v>1350</v>
      </c>
      <c r="S341">
        <f>Consulta1[[#This Row],[min_port]]/100</f>
        <v>1.4499999999999999E-2</v>
      </c>
      <c r="T341" s="252">
        <f>Consulta1[[#This Row],[TETO_COMERCIAL]]/100</f>
        <v>2.5000000000000001E-2</v>
      </c>
      <c r="U341" t="b">
        <f>Consulta1[[#This Row],[TETO_COMERCIAL_%]]=Consulta1[[#This Row],[TAXA]]</f>
        <v>0</v>
      </c>
      <c r="V341" t="str">
        <f>CONCATENATE(Consulta1[[#This Row],[MES_ALTERACAO]],Consulta1[[#This Row],[VIRADA]])</f>
        <v>20260511</v>
      </c>
      <c r="W341">
        <f>VLOOKUP(Consulta1[[#This Row],[Coluna2]],CALENDARIO!$J:$K,2,FALSE)</f>
        <v>6</v>
      </c>
    </row>
    <row r="342" spans="1:23" x14ac:dyDescent="0.25">
      <c r="A342" t="s">
        <v>2775</v>
      </c>
      <c r="B342" t="str">
        <f>CONCATENATE(Consulta1[[#This Row],[id]],Consulta1[[#This Row],[EMPREGADOR]])</f>
        <v>7GOV SP TJMSP</v>
      </c>
      <c r="C342" s="6">
        <f>IF(A342=A341,C341+1,1)</f>
        <v>7</v>
      </c>
      <c r="D342" t="s">
        <v>2765</v>
      </c>
      <c r="E342" s="101">
        <v>1.9599999999999999E-2</v>
      </c>
      <c r="F342" s="6">
        <v>96</v>
      </c>
      <c r="G342" t="s">
        <v>1349</v>
      </c>
      <c r="H342" s="82">
        <v>2.5</v>
      </c>
      <c r="I342">
        <v>10</v>
      </c>
      <c r="K342" t="s">
        <v>2766</v>
      </c>
      <c r="L342" s="6" t="s">
        <v>1371</v>
      </c>
      <c r="M342" s="6">
        <v>11</v>
      </c>
      <c r="N342" s="6">
        <v>2</v>
      </c>
      <c r="O342">
        <v>500</v>
      </c>
      <c r="P342">
        <v>202605</v>
      </c>
      <c r="Q342" t="s">
        <v>377</v>
      </c>
      <c r="R342" t="s">
        <v>1350</v>
      </c>
      <c r="S342">
        <f>Consulta1[[#This Row],[min_port]]/100</f>
        <v>1.4499999999999999E-2</v>
      </c>
      <c r="T342" s="252">
        <f>Consulta1[[#This Row],[TETO_COMERCIAL]]/100</f>
        <v>2.5000000000000001E-2</v>
      </c>
      <c r="U342" t="b">
        <f>Consulta1[[#This Row],[TETO_COMERCIAL_%]]=Consulta1[[#This Row],[TAXA]]</f>
        <v>0</v>
      </c>
      <c r="V342" t="str">
        <f>CONCATENATE(Consulta1[[#This Row],[MES_ALTERACAO]],Consulta1[[#This Row],[VIRADA]])</f>
        <v>20260511</v>
      </c>
      <c r="W342">
        <f>VLOOKUP(Consulta1[[#This Row],[Coluna2]],CALENDARIO!$J:$K,2,FALSE)</f>
        <v>6</v>
      </c>
    </row>
    <row r="343" spans="1:23" x14ac:dyDescent="0.25">
      <c r="A343" t="s">
        <v>2775</v>
      </c>
      <c r="B343" t="str">
        <f>CONCATENATE(Consulta1[[#This Row],[id]],Consulta1[[#This Row],[EMPREGADOR]])</f>
        <v>8GOV SP TJMSP</v>
      </c>
      <c r="C343" s="6">
        <f>IF(A343=A342,C342+1,1)</f>
        <v>8</v>
      </c>
      <c r="D343" t="s">
        <v>2767</v>
      </c>
      <c r="E343" s="101">
        <v>1.7500000000000002E-2</v>
      </c>
      <c r="F343" s="6">
        <v>96</v>
      </c>
      <c r="G343" t="s">
        <v>1349</v>
      </c>
      <c r="H343" s="82">
        <v>2.5</v>
      </c>
      <c r="I343">
        <v>10</v>
      </c>
      <c r="K343" t="s">
        <v>2768</v>
      </c>
      <c r="L343" s="6" t="s">
        <v>1371</v>
      </c>
      <c r="M343" s="6">
        <v>11</v>
      </c>
      <c r="N343" s="6">
        <v>2</v>
      </c>
      <c r="O343">
        <v>500</v>
      </c>
      <c r="P343">
        <v>202605</v>
      </c>
      <c r="Q343" t="s">
        <v>377</v>
      </c>
      <c r="R343" t="s">
        <v>1350</v>
      </c>
      <c r="S343">
        <f>Consulta1[[#This Row],[min_port]]/100</f>
        <v>1.4499999999999999E-2</v>
      </c>
      <c r="T343" s="252">
        <f>Consulta1[[#This Row],[TETO_COMERCIAL]]/100</f>
        <v>2.5000000000000001E-2</v>
      </c>
      <c r="U343" t="b">
        <f>Consulta1[[#This Row],[TETO_COMERCIAL_%]]=Consulta1[[#This Row],[TAXA]]</f>
        <v>0</v>
      </c>
      <c r="V343" t="str">
        <f>CONCATENATE(Consulta1[[#This Row],[MES_ALTERACAO]],Consulta1[[#This Row],[VIRADA]])</f>
        <v>20260511</v>
      </c>
      <c r="W343">
        <f>VLOOKUP(Consulta1[[#This Row],[Coluna2]],CALENDARIO!$J:$K,2,FALSE)</f>
        <v>6</v>
      </c>
    </row>
    <row r="344" spans="1:23" x14ac:dyDescent="0.25">
      <c r="A344" t="s">
        <v>2775</v>
      </c>
      <c r="B344" t="str">
        <f>CONCATENATE(Consulta1[[#This Row],[id]],Consulta1[[#This Row],[EMPREGADOR]])</f>
        <v>9GOV SP TJMSP</v>
      </c>
      <c r="C344" s="6">
        <f>IF(A344=A343,C343+1,1)</f>
        <v>9</v>
      </c>
      <c r="D344" t="s">
        <v>2769</v>
      </c>
      <c r="E344" s="101">
        <v>1.6799999999999999E-2</v>
      </c>
      <c r="F344" s="6">
        <v>96</v>
      </c>
      <c r="G344" t="s">
        <v>1349</v>
      </c>
      <c r="H344" s="82">
        <v>2.5</v>
      </c>
      <c r="I344">
        <v>10</v>
      </c>
      <c r="K344" t="s">
        <v>2770</v>
      </c>
      <c r="L344" s="6" t="s">
        <v>1371</v>
      </c>
      <c r="M344" s="6">
        <v>11</v>
      </c>
      <c r="N344" s="6">
        <v>2</v>
      </c>
      <c r="O344">
        <v>500</v>
      </c>
      <c r="P344">
        <v>202605</v>
      </c>
      <c r="Q344" t="s">
        <v>377</v>
      </c>
      <c r="R344" t="s">
        <v>1350</v>
      </c>
      <c r="S344">
        <f>Consulta1[[#This Row],[min_port]]/100</f>
        <v>1.4499999999999999E-2</v>
      </c>
      <c r="T344" s="252">
        <f>Consulta1[[#This Row],[TETO_COMERCIAL]]/100</f>
        <v>2.5000000000000001E-2</v>
      </c>
      <c r="U344" t="b">
        <f>Consulta1[[#This Row],[TETO_COMERCIAL_%]]=Consulta1[[#This Row],[TAXA]]</f>
        <v>0</v>
      </c>
      <c r="V344" t="str">
        <f>CONCATENATE(Consulta1[[#This Row],[MES_ALTERACAO]],Consulta1[[#This Row],[VIRADA]])</f>
        <v>20260511</v>
      </c>
      <c r="W344">
        <f>VLOOKUP(Consulta1[[#This Row],[Coluna2]],CALENDARIO!$J:$K,2,FALSE)</f>
        <v>6</v>
      </c>
    </row>
    <row r="345" spans="1:23" x14ac:dyDescent="0.25">
      <c r="A345" t="s">
        <v>2775</v>
      </c>
      <c r="B345" t="str">
        <f>CONCATENATE(Consulta1[[#This Row],[id]],Consulta1[[#This Row],[EMPREGADOR]])</f>
        <v>10GOV SP TJMSP</v>
      </c>
      <c r="C345" s="6">
        <f>IF(A345=A344,C344+1,1)</f>
        <v>10</v>
      </c>
      <c r="D345" t="s">
        <v>2771</v>
      </c>
      <c r="E345" s="101">
        <v>1.6500000000000001E-2</v>
      </c>
      <c r="F345" s="6">
        <v>96</v>
      </c>
      <c r="G345" t="s">
        <v>1349</v>
      </c>
      <c r="H345" s="82">
        <v>2.5</v>
      </c>
      <c r="I345">
        <v>10</v>
      </c>
      <c r="K345" t="s">
        <v>2772</v>
      </c>
      <c r="L345" s="6" t="s">
        <v>1371</v>
      </c>
      <c r="M345" s="6">
        <v>11</v>
      </c>
      <c r="N345" s="6">
        <v>2</v>
      </c>
      <c r="O345">
        <v>40000</v>
      </c>
      <c r="P345">
        <v>202605</v>
      </c>
      <c r="Q345" t="s">
        <v>377</v>
      </c>
      <c r="R345" t="s">
        <v>1350</v>
      </c>
      <c r="S345">
        <f>Consulta1[[#This Row],[min_port]]/100</f>
        <v>1.4499999999999999E-2</v>
      </c>
      <c r="T345" s="252">
        <f>Consulta1[[#This Row],[TETO_COMERCIAL]]/100</f>
        <v>2.5000000000000001E-2</v>
      </c>
      <c r="U345" t="b">
        <f>Consulta1[[#This Row],[TETO_COMERCIAL_%]]=Consulta1[[#This Row],[TAXA]]</f>
        <v>0</v>
      </c>
      <c r="V345" t="str">
        <f>CONCATENATE(Consulta1[[#This Row],[MES_ALTERACAO]],Consulta1[[#This Row],[VIRADA]])</f>
        <v>20260511</v>
      </c>
      <c r="W345">
        <f>VLOOKUP(Consulta1[[#This Row],[Coluna2]],CALENDARIO!$J:$K,2,FALSE)</f>
        <v>6</v>
      </c>
    </row>
    <row r="346" spans="1:23" x14ac:dyDescent="0.25">
      <c r="A346" t="s">
        <v>788</v>
      </c>
      <c r="B346" t="str">
        <f>CONCATENATE(Consulta1[[#This Row],[id]],Consulta1[[#This Row],[EMPREGADOR]])</f>
        <v>1GOV TOCANTINS</v>
      </c>
      <c r="C346" s="6">
        <f>IF(A346=A345,C345+1,1)</f>
        <v>1</v>
      </c>
      <c r="D346" t="s">
        <v>3680</v>
      </c>
      <c r="E346" s="101">
        <v>2.5000000000000001E-2</v>
      </c>
      <c r="F346" s="6">
        <v>96</v>
      </c>
      <c r="G346" t="s">
        <v>1349</v>
      </c>
      <c r="H346" s="82">
        <v>2.5</v>
      </c>
      <c r="I346">
        <v>18</v>
      </c>
      <c r="K346" t="s">
        <v>3681</v>
      </c>
      <c r="L346" s="6" t="s">
        <v>1425</v>
      </c>
      <c r="M346" s="6">
        <v>5</v>
      </c>
      <c r="N346" s="6">
        <v>2</v>
      </c>
      <c r="O346">
        <v>500</v>
      </c>
      <c r="P346">
        <v>202605</v>
      </c>
      <c r="Q346" t="s">
        <v>377</v>
      </c>
      <c r="R346" t="s">
        <v>1353</v>
      </c>
      <c r="S346">
        <f>Consulta1[[#This Row],[min_port]]/100</f>
        <v>1.5600000000000001E-2</v>
      </c>
      <c r="T346" s="252">
        <f>Consulta1[[#This Row],[TETO_COMERCIAL]]/100</f>
        <v>2.5000000000000001E-2</v>
      </c>
      <c r="U346" t="b">
        <f>Consulta1[[#This Row],[TETO_COMERCIAL_%]]=Consulta1[[#This Row],[TAXA]]</f>
        <v>1</v>
      </c>
      <c r="V346" t="str">
        <f>CONCATENATE(Consulta1[[#This Row],[MES_ALTERACAO]],Consulta1[[#This Row],[VIRADA]])</f>
        <v>2026055</v>
      </c>
      <c r="W346">
        <f>VLOOKUP(Consulta1[[#This Row],[Coluna2]],CALENDARIO!$J:$K,2,FALSE)</f>
        <v>2</v>
      </c>
    </row>
    <row r="347" spans="1:23" x14ac:dyDescent="0.25">
      <c r="A347" t="s">
        <v>788</v>
      </c>
      <c r="B347" t="str">
        <f>CONCATENATE(Consulta1[[#This Row],[id]],Consulta1[[#This Row],[EMPREGADOR]])</f>
        <v>2GOV TOCANTINS</v>
      </c>
      <c r="C347" s="6">
        <f>IF(A347=A346,C346+1,1)</f>
        <v>2</v>
      </c>
      <c r="D347" t="s">
        <v>3682</v>
      </c>
      <c r="E347" s="101">
        <v>2.2000000000000002E-2</v>
      </c>
      <c r="F347" s="6">
        <v>96</v>
      </c>
      <c r="G347" t="s">
        <v>1349</v>
      </c>
      <c r="H347" s="82">
        <v>2.5</v>
      </c>
      <c r="I347">
        <v>18</v>
      </c>
      <c r="K347" t="s">
        <v>3683</v>
      </c>
      <c r="L347" s="6" t="s">
        <v>1425</v>
      </c>
      <c r="M347" s="6">
        <v>5</v>
      </c>
      <c r="N347" s="6">
        <v>2</v>
      </c>
      <c r="O347">
        <v>500</v>
      </c>
      <c r="P347">
        <v>202605</v>
      </c>
      <c r="Q347" t="s">
        <v>377</v>
      </c>
      <c r="R347" t="s">
        <v>1353</v>
      </c>
      <c r="S347">
        <f>Consulta1[[#This Row],[min_port]]/100</f>
        <v>1.5600000000000001E-2</v>
      </c>
      <c r="T347" s="252">
        <f>Consulta1[[#This Row],[TETO_COMERCIAL]]/100</f>
        <v>2.5000000000000001E-2</v>
      </c>
      <c r="U347" t="b">
        <f>Consulta1[[#This Row],[TETO_COMERCIAL_%]]=Consulta1[[#This Row],[TAXA]]</f>
        <v>0</v>
      </c>
      <c r="V347" t="str">
        <f>CONCATENATE(Consulta1[[#This Row],[MES_ALTERACAO]],Consulta1[[#This Row],[VIRADA]])</f>
        <v>2026055</v>
      </c>
      <c r="W347">
        <f>VLOOKUP(Consulta1[[#This Row],[Coluna2]],CALENDARIO!$J:$K,2,FALSE)</f>
        <v>2</v>
      </c>
    </row>
    <row r="348" spans="1:23" x14ac:dyDescent="0.25">
      <c r="A348" t="s">
        <v>788</v>
      </c>
      <c r="B348" t="str">
        <f>CONCATENATE(Consulta1[[#This Row],[id]],Consulta1[[#This Row],[EMPREGADOR]])</f>
        <v>3GOV TOCANTINS</v>
      </c>
      <c r="C348" s="6">
        <f>IF(A348=A347,C347+1,1)</f>
        <v>3</v>
      </c>
      <c r="D348" t="s">
        <v>3684</v>
      </c>
      <c r="E348" s="101">
        <v>2.1499999999999998E-2</v>
      </c>
      <c r="F348" s="6">
        <v>96</v>
      </c>
      <c r="G348" t="s">
        <v>1349</v>
      </c>
      <c r="H348" s="82">
        <v>2.5</v>
      </c>
      <c r="I348">
        <v>18</v>
      </c>
      <c r="K348" t="s">
        <v>3685</v>
      </c>
      <c r="L348" s="6" t="s">
        <v>1425</v>
      </c>
      <c r="M348" s="6">
        <v>5</v>
      </c>
      <c r="N348" s="6">
        <v>2</v>
      </c>
      <c r="O348">
        <v>500</v>
      </c>
      <c r="P348">
        <v>202605</v>
      </c>
      <c r="Q348" t="s">
        <v>377</v>
      </c>
      <c r="R348" t="s">
        <v>1353</v>
      </c>
      <c r="S348">
        <f>Consulta1[[#This Row],[min_port]]/100</f>
        <v>1.5600000000000001E-2</v>
      </c>
      <c r="T348" s="252">
        <f>Consulta1[[#This Row],[TETO_COMERCIAL]]/100</f>
        <v>2.5000000000000001E-2</v>
      </c>
      <c r="U348" t="b">
        <f>Consulta1[[#This Row],[TETO_COMERCIAL_%]]=Consulta1[[#This Row],[TAXA]]</f>
        <v>0</v>
      </c>
      <c r="V348" t="str">
        <f>CONCATENATE(Consulta1[[#This Row],[MES_ALTERACAO]],Consulta1[[#This Row],[VIRADA]])</f>
        <v>2026055</v>
      </c>
      <c r="W348">
        <f>VLOOKUP(Consulta1[[#This Row],[Coluna2]],CALENDARIO!$J:$K,2,FALSE)</f>
        <v>2</v>
      </c>
    </row>
    <row r="349" spans="1:23" x14ac:dyDescent="0.25">
      <c r="A349" t="s">
        <v>788</v>
      </c>
      <c r="B349" t="str">
        <f>CONCATENATE(Consulta1[[#This Row],[id]],Consulta1[[#This Row],[EMPREGADOR]])</f>
        <v>4GOV TOCANTINS</v>
      </c>
      <c r="C349" s="6">
        <f>IF(A349=A348,C348+1,1)</f>
        <v>4</v>
      </c>
      <c r="D349" t="s">
        <v>3686</v>
      </c>
      <c r="E349" s="101">
        <v>2.1000000000000001E-2</v>
      </c>
      <c r="F349" s="6">
        <v>96</v>
      </c>
      <c r="G349" t="s">
        <v>1349</v>
      </c>
      <c r="H349" s="82">
        <v>2.5</v>
      </c>
      <c r="I349">
        <v>18</v>
      </c>
      <c r="K349" t="s">
        <v>3687</v>
      </c>
      <c r="L349" s="6" t="s">
        <v>1425</v>
      </c>
      <c r="M349" s="6">
        <v>5</v>
      </c>
      <c r="N349" s="6">
        <v>2</v>
      </c>
      <c r="O349">
        <v>500</v>
      </c>
      <c r="P349">
        <v>202605</v>
      </c>
      <c r="Q349" t="s">
        <v>377</v>
      </c>
      <c r="R349" t="s">
        <v>1353</v>
      </c>
      <c r="S349">
        <f>Consulta1[[#This Row],[min_port]]/100</f>
        <v>1.5600000000000001E-2</v>
      </c>
      <c r="T349" s="252">
        <f>Consulta1[[#This Row],[TETO_COMERCIAL]]/100</f>
        <v>2.5000000000000001E-2</v>
      </c>
      <c r="U349" t="b">
        <f>Consulta1[[#This Row],[TETO_COMERCIAL_%]]=Consulta1[[#This Row],[TAXA]]</f>
        <v>0</v>
      </c>
      <c r="V349" t="str">
        <f>CONCATENATE(Consulta1[[#This Row],[MES_ALTERACAO]],Consulta1[[#This Row],[VIRADA]])</f>
        <v>2026055</v>
      </c>
      <c r="W349">
        <f>VLOOKUP(Consulta1[[#This Row],[Coluna2]],CALENDARIO!$J:$K,2,FALSE)</f>
        <v>2</v>
      </c>
    </row>
    <row r="350" spans="1:23" x14ac:dyDescent="0.25">
      <c r="A350" t="s">
        <v>788</v>
      </c>
      <c r="B350" t="str">
        <f>CONCATENATE(Consulta1[[#This Row],[id]],Consulta1[[#This Row],[EMPREGADOR]])</f>
        <v>5GOV TOCANTINS</v>
      </c>
      <c r="C350" s="6">
        <f>IF(A350=A349,C349+1,1)</f>
        <v>5</v>
      </c>
      <c r="D350" t="s">
        <v>3688</v>
      </c>
      <c r="E350" s="101">
        <v>2.0499999999999997E-2</v>
      </c>
      <c r="F350" s="6">
        <v>96</v>
      </c>
      <c r="G350" t="s">
        <v>1349</v>
      </c>
      <c r="H350" s="82">
        <v>2.5</v>
      </c>
      <c r="I350">
        <v>18</v>
      </c>
      <c r="K350" t="s">
        <v>3689</v>
      </c>
      <c r="L350" s="6" t="s">
        <v>1425</v>
      </c>
      <c r="M350" s="6">
        <v>5</v>
      </c>
      <c r="N350" s="6">
        <v>2</v>
      </c>
      <c r="O350">
        <v>500</v>
      </c>
      <c r="P350">
        <v>202605</v>
      </c>
      <c r="Q350" t="s">
        <v>377</v>
      </c>
      <c r="R350" t="s">
        <v>1353</v>
      </c>
      <c r="S350">
        <f>Consulta1[[#This Row],[min_port]]/100</f>
        <v>1.5600000000000001E-2</v>
      </c>
      <c r="T350" s="252">
        <f>Consulta1[[#This Row],[TETO_COMERCIAL]]/100</f>
        <v>2.5000000000000001E-2</v>
      </c>
      <c r="U350" t="b">
        <f>Consulta1[[#This Row],[TETO_COMERCIAL_%]]=Consulta1[[#This Row],[TAXA]]</f>
        <v>0</v>
      </c>
      <c r="V350" t="str">
        <f>CONCATENATE(Consulta1[[#This Row],[MES_ALTERACAO]],Consulta1[[#This Row],[VIRADA]])</f>
        <v>2026055</v>
      </c>
      <c r="W350">
        <f>VLOOKUP(Consulta1[[#This Row],[Coluna2]],CALENDARIO!$J:$K,2,FALSE)</f>
        <v>2</v>
      </c>
    </row>
    <row r="351" spans="1:23" x14ac:dyDescent="0.25">
      <c r="A351" t="s">
        <v>788</v>
      </c>
      <c r="B351" t="str">
        <f>CONCATENATE(Consulta1[[#This Row],[id]],Consulta1[[#This Row],[EMPREGADOR]])</f>
        <v>6GOV TOCANTINS</v>
      </c>
      <c r="C351" s="6">
        <f>IF(A351=A350,C350+1,1)</f>
        <v>6</v>
      </c>
      <c r="D351" t="s">
        <v>3690</v>
      </c>
      <c r="E351" s="101">
        <v>0.02</v>
      </c>
      <c r="F351" s="6">
        <v>96</v>
      </c>
      <c r="G351" t="s">
        <v>1349</v>
      </c>
      <c r="H351" s="82">
        <v>2.5</v>
      </c>
      <c r="I351">
        <v>18</v>
      </c>
      <c r="K351" t="s">
        <v>3691</v>
      </c>
      <c r="L351" s="6" t="s">
        <v>1425</v>
      </c>
      <c r="M351" s="6">
        <v>5</v>
      </c>
      <c r="N351" s="6">
        <v>2</v>
      </c>
      <c r="O351">
        <v>500</v>
      </c>
      <c r="P351">
        <v>202605</v>
      </c>
      <c r="Q351" t="s">
        <v>377</v>
      </c>
      <c r="R351" t="s">
        <v>1353</v>
      </c>
      <c r="S351">
        <f>Consulta1[[#This Row],[min_port]]/100</f>
        <v>1.5600000000000001E-2</v>
      </c>
      <c r="T351" s="252">
        <f>Consulta1[[#This Row],[TETO_COMERCIAL]]/100</f>
        <v>2.5000000000000001E-2</v>
      </c>
      <c r="U351" t="b">
        <f>Consulta1[[#This Row],[TETO_COMERCIAL_%]]=Consulta1[[#This Row],[TAXA]]</f>
        <v>0</v>
      </c>
      <c r="V351" t="str">
        <f>CONCATENATE(Consulta1[[#This Row],[MES_ALTERACAO]],Consulta1[[#This Row],[VIRADA]])</f>
        <v>2026055</v>
      </c>
      <c r="W351">
        <f>VLOOKUP(Consulta1[[#This Row],[Coluna2]],CALENDARIO!$J:$K,2,FALSE)</f>
        <v>2</v>
      </c>
    </row>
    <row r="352" spans="1:23" x14ac:dyDescent="0.25">
      <c r="A352" t="s">
        <v>788</v>
      </c>
      <c r="B352" t="str">
        <f>CONCATENATE(Consulta1[[#This Row],[id]],Consulta1[[#This Row],[EMPREGADOR]])</f>
        <v>7GOV TOCANTINS</v>
      </c>
      <c r="C352" s="6">
        <f>IF(A352=A351,C351+1,1)</f>
        <v>7</v>
      </c>
      <c r="D352" t="s">
        <v>3692</v>
      </c>
      <c r="E352" s="101">
        <v>1.95E-2</v>
      </c>
      <c r="F352" s="6">
        <v>96</v>
      </c>
      <c r="G352" t="s">
        <v>1349</v>
      </c>
      <c r="H352" s="82">
        <v>2.5</v>
      </c>
      <c r="I352">
        <v>18</v>
      </c>
      <c r="K352" t="s">
        <v>3693</v>
      </c>
      <c r="L352" s="6" t="s">
        <v>1425</v>
      </c>
      <c r="M352" s="6">
        <v>5</v>
      </c>
      <c r="N352" s="6">
        <v>2</v>
      </c>
      <c r="O352">
        <v>500</v>
      </c>
      <c r="P352">
        <v>202605</v>
      </c>
      <c r="Q352" t="s">
        <v>377</v>
      </c>
      <c r="R352" t="s">
        <v>1353</v>
      </c>
      <c r="S352">
        <f>Consulta1[[#This Row],[min_port]]/100</f>
        <v>1.5600000000000001E-2</v>
      </c>
      <c r="T352" s="252">
        <f>Consulta1[[#This Row],[TETO_COMERCIAL]]/100</f>
        <v>2.5000000000000001E-2</v>
      </c>
      <c r="U352" t="b">
        <f>Consulta1[[#This Row],[TETO_COMERCIAL_%]]=Consulta1[[#This Row],[TAXA]]</f>
        <v>0</v>
      </c>
      <c r="V352" t="str">
        <f>CONCATENATE(Consulta1[[#This Row],[MES_ALTERACAO]],Consulta1[[#This Row],[VIRADA]])</f>
        <v>2026055</v>
      </c>
      <c r="W352">
        <f>VLOOKUP(Consulta1[[#This Row],[Coluna2]],CALENDARIO!$J:$K,2,FALSE)</f>
        <v>2</v>
      </c>
    </row>
    <row r="353" spans="1:23" x14ac:dyDescent="0.25">
      <c r="A353" t="s">
        <v>788</v>
      </c>
      <c r="B353" t="str">
        <f>CONCATENATE(Consulta1[[#This Row],[id]],Consulta1[[#This Row],[EMPREGADOR]])</f>
        <v>8GOV TOCANTINS</v>
      </c>
      <c r="C353" s="6">
        <f>IF(A353=A352,C352+1,1)</f>
        <v>8</v>
      </c>
      <c r="D353" t="s">
        <v>3694</v>
      </c>
      <c r="E353" s="101">
        <v>1.9E-2</v>
      </c>
      <c r="F353" s="6">
        <v>96</v>
      </c>
      <c r="G353" t="s">
        <v>1349</v>
      </c>
      <c r="H353" s="82">
        <v>2.5</v>
      </c>
      <c r="I353">
        <v>18</v>
      </c>
      <c r="J353">
        <v>66</v>
      </c>
      <c r="K353" t="s">
        <v>3695</v>
      </c>
      <c r="L353" s="6" t="s">
        <v>1425</v>
      </c>
      <c r="M353" s="6">
        <v>5</v>
      </c>
      <c r="N353" s="6">
        <v>2</v>
      </c>
      <c r="O353">
        <v>500</v>
      </c>
      <c r="P353">
        <v>202605</v>
      </c>
      <c r="Q353" t="s">
        <v>377</v>
      </c>
      <c r="R353" t="s">
        <v>1353</v>
      </c>
      <c r="S353">
        <f>Consulta1[[#This Row],[min_port]]/100</f>
        <v>1.5600000000000001E-2</v>
      </c>
      <c r="T353" s="252">
        <f>Consulta1[[#This Row],[TETO_COMERCIAL]]/100</f>
        <v>2.5000000000000001E-2</v>
      </c>
      <c r="U353" t="b">
        <f>Consulta1[[#This Row],[TETO_COMERCIAL_%]]=Consulta1[[#This Row],[TAXA]]</f>
        <v>0</v>
      </c>
      <c r="V353" t="str">
        <f>CONCATENATE(Consulta1[[#This Row],[MES_ALTERACAO]],Consulta1[[#This Row],[VIRADA]])</f>
        <v>2026055</v>
      </c>
      <c r="W353">
        <f>VLOOKUP(Consulta1[[#This Row],[Coluna2]],CALENDARIO!$J:$K,2,FALSE)</f>
        <v>2</v>
      </c>
    </row>
    <row r="354" spans="1:23" x14ac:dyDescent="0.25">
      <c r="A354" t="s">
        <v>788</v>
      </c>
      <c r="B354" t="str">
        <f>CONCATENATE(Consulta1[[#This Row],[id]],Consulta1[[#This Row],[EMPREGADOR]])</f>
        <v>9GOV TOCANTINS</v>
      </c>
      <c r="C354" s="6">
        <f>IF(A354=A353,C353+1,1)</f>
        <v>9</v>
      </c>
      <c r="D354" t="s">
        <v>3696</v>
      </c>
      <c r="E354" s="101">
        <v>1.8500000000000003E-2</v>
      </c>
      <c r="F354" s="6">
        <v>96</v>
      </c>
      <c r="G354" t="s">
        <v>1349</v>
      </c>
      <c r="H354" s="82">
        <v>2.5</v>
      </c>
      <c r="I354">
        <v>18</v>
      </c>
      <c r="K354" t="s">
        <v>3697</v>
      </c>
      <c r="L354" s="6" t="s">
        <v>1425</v>
      </c>
      <c r="M354" s="6">
        <v>5</v>
      </c>
      <c r="N354" s="6">
        <v>2</v>
      </c>
      <c r="O354">
        <v>500</v>
      </c>
      <c r="P354">
        <v>202605</v>
      </c>
      <c r="Q354" t="s">
        <v>377</v>
      </c>
      <c r="R354" t="s">
        <v>1353</v>
      </c>
      <c r="S354">
        <f>Consulta1[[#This Row],[min_port]]/100</f>
        <v>1.5600000000000001E-2</v>
      </c>
      <c r="T354" s="252">
        <f>Consulta1[[#This Row],[TETO_COMERCIAL]]/100</f>
        <v>2.5000000000000001E-2</v>
      </c>
      <c r="U354" t="b">
        <f>Consulta1[[#This Row],[TETO_COMERCIAL_%]]=Consulta1[[#This Row],[TAXA]]</f>
        <v>0</v>
      </c>
      <c r="V354" t="str">
        <f>CONCATENATE(Consulta1[[#This Row],[MES_ALTERACAO]],Consulta1[[#This Row],[VIRADA]])</f>
        <v>2026055</v>
      </c>
      <c r="W354">
        <f>VLOOKUP(Consulta1[[#This Row],[Coluna2]],CALENDARIO!$J:$K,2,FALSE)</f>
        <v>2</v>
      </c>
    </row>
    <row r="355" spans="1:23" x14ac:dyDescent="0.25">
      <c r="A355" t="s">
        <v>788</v>
      </c>
      <c r="B355" t="str">
        <f>CONCATENATE(Consulta1[[#This Row],[id]],Consulta1[[#This Row],[EMPREGADOR]])</f>
        <v>10GOV TOCANTINS</v>
      </c>
      <c r="C355" s="6">
        <f>IF(A355=A354,C354+1,1)</f>
        <v>10</v>
      </c>
      <c r="D355" t="s">
        <v>3698</v>
      </c>
      <c r="E355" s="101">
        <v>1.7399999999999999E-2</v>
      </c>
      <c r="F355" s="6">
        <v>96</v>
      </c>
      <c r="G355" t="s">
        <v>1349</v>
      </c>
      <c r="H355" s="82">
        <v>2.5</v>
      </c>
      <c r="I355">
        <v>18</v>
      </c>
      <c r="K355" t="s">
        <v>3699</v>
      </c>
      <c r="L355" s="6" t="s">
        <v>1425</v>
      </c>
      <c r="M355" s="6">
        <v>5</v>
      </c>
      <c r="N355" s="6">
        <v>2</v>
      </c>
      <c r="O355">
        <v>50000</v>
      </c>
      <c r="P355">
        <v>202605</v>
      </c>
      <c r="Q355" t="s">
        <v>377</v>
      </c>
      <c r="R355" t="s">
        <v>1353</v>
      </c>
      <c r="S355">
        <f>Consulta1[[#This Row],[min_port]]/100</f>
        <v>1.5600000000000001E-2</v>
      </c>
      <c r="T355" s="252">
        <f>Consulta1[[#This Row],[TETO_COMERCIAL]]/100</f>
        <v>2.5000000000000001E-2</v>
      </c>
      <c r="U355" t="b">
        <f>Consulta1[[#This Row],[TETO_COMERCIAL_%]]=Consulta1[[#This Row],[TAXA]]</f>
        <v>0</v>
      </c>
      <c r="V355" t="str">
        <f>CONCATENATE(Consulta1[[#This Row],[MES_ALTERACAO]],Consulta1[[#This Row],[VIRADA]])</f>
        <v>2026055</v>
      </c>
      <c r="W355">
        <f>VLOOKUP(Consulta1[[#This Row],[Coluna2]],CALENDARIO!$J:$K,2,FALSE)</f>
        <v>2</v>
      </c>
    </row>
    <row r="356" spans="1:23" x14ac:dyDescent="0.25">
      <c r="A356" t="s">
        <v>3010</v>
      </c>
      <c r="B356" t="str">
        <f>CONCATENATE(Consulta1[[#This Row],[id]],Consulta1[[#This Row],[EMPREGADOR]])</f>
        <v>1HSPM SP</v>
      </c>
      <c r="C356" s="6">
        <f>IF(A356=A355,C355+1,1)</f>
        <v>1</v>
      </c>
      <c r="D356" t="s">
        <v>753</v>
      </c>
      <c r="E356" s="101">
        <v>2.4900000000000002E-2</v>
      </c>
      <c r="F356" s="6">
        <v>120</v>
      </c>
      <c r="G356" t="s">
        <v>1349</v>
      </c>
      <c r="H356" s="82">
        <v>2.4900000000000002</v>
      </c>
      <c r="I356">
        <v>7</v>
      </c>
      <c r="K356" t="s">
        <v>1456</v>
      </c>
      <c r="L356" s="6" t="s">
        <v>1371</v>
      </c>
      <c r="M356" s="6">
        <v>31</v>
      </c>
      <c r="N356" s="6">
        <v>2</v>
      </c>
      <c r="O356">
        <v>500</v>
      </c>
      <c r="P356">
        <v>202605</v>
      </c>
      <c r="Q356" t="s">
        <v>377</v>
      </c>
      <c r="R356" t="s">
        <v>1353</v>
      </c>
      <c r="S356">
        <f>Consulta1[[#This Row],[min_port]]/100</f>
        <v>1.4499999999999999E-2</v>
      </c>
      <c r="T356" s="252">
        <f>Consulta1[[#This Row],[TETO_COMERCIAL]]/100</f>
        <v>2.4900000000000002E-2</v>
      </c>
      <c r="U356" t="b">
        <f>Consulta1[[#This Row],[TETO_COMERCIAL_%]]=Consulta1[[#This Row],[TAXA]]</f>
        <v>1</v>
      </c>
      <c r="V356" t="str">
        <f>CONCATENATE(Consulta1[[#This Row],[MES_ALTERACAO]],Consulta1[[#This Row],[VIRADA]])</f>
        <v>20260531</v>
      </c>
      <c r="W356">
        <f>VLOOKUP(Consulta1[[#This Row],[Coluna2]],CALENDARIO!$J:$K,2,FALSE)</f>
        <v>20</v>
      </c>
    </row>
    <row r="357" spans="1:23" x14ac:dyDescent="0.25">
      <c r="A357" t="s">
        <v>3010</v>
      </c>
      <c r="B357" t="str">
        <f>CONCATENATE(Consulta1[[#This Row],[id]],Consulta1[[#This Row],[EMPREGADOR]])</f>
        <v>2HSPM SP</v>
      </c>
      <c r="C357" s="6">
        <f>IF(A357=A356,C356+1,1)</f>
        <v>2</v>
      </c>
      <c r="D357" t="s">
        <v>754</v>
      </c>
      <c r="E357" s="101">
        <v>2.3900000000000001E-2</v>
      </c>
      <c r="F357" s="6">
        <v>120</v>
      </c>
      <c r="G357" t="s">
        <v>1349</v>
      </c>
      <c r="H357" s="82">
        <v>2.4900000000000002</v>
      </c>
      <c r="I357">
        <v>7</v>
      </c>
      <c r="K357" t="s">
        <v>1457</v>
      </c>
      <c r="L357" s="6" t="s">
        <v>1371</v>
      </c>
      <c r="M357" s="6">
        <v>31</v>
      </c>
      <c r="N357" s="6">
        <v>2</v>
      </c>
      <c r="O357">
        <v>500</v>
      </c>
      <c r="P357">
        <v>202605</v>
      </c>
      <c r="Q357" t="s">
        <v>377</v>
      </c>
      <c r="R357" t="s">
        <v>1353</v>
      </c>
      <c r="S357">
        <f>Consulta1[[#This Row],[min_port]]/100</f>
        <v>1.4499999999999999E-2</v>
      </c>
      <c r="T357" s="252">
        <f>Consulta1[[#This Row],[TETO_COMERCIAL]]/100</f>
        <v>2.4900000000000002E-2</v>
      </c>
      <c r="U357" t="b">
        <f>Consulta1[[#This Row],[TETO_COMERCIAL_%]]=Consulta1[[#This Row],[TAXA]]</f>
        <v>0</v>
      </c>
      <c r="V357" t="str">
        <f>CONCATENATE(Consulta1[[#This Row],[MES_ALTERACAO]],Consulta1[[#This Row],[VIRADA]])</f>
        <v>20260531</v>
      </c>
      <c r="W357">
        <f>VLOOKUP(Consulta1[[#This Row],[Coluna2]],CALENDARIO!$J:$K,2,FALSE)</f>
        <v>20</v>
      </c>
    </row>
    <row r="358" spans="1:23" x14ac:dyDescent="0.25">
      <c r="A358" t="s">
        <v>3010</v>
      </c>
      <c r="B358" t="str">
        <f>CONCATENATE(Consulta1[[#This Row],[id]],Consulta1[[#This Row],[EMPREGADOR]])</f>
        <v>3HSPM SP</v>
      </c>
      <c r="C358" s="6">
        <f>IF(A358=A357,C357+1,1)</f>
        <v>3</v>
      </c>
      <c r="D358" t="s">
        <v>755</v>
      </c>
      <c r="E358" s="101">
        <v>2.29E-2</v>
      </c>
      <c r="F358" s="6">
        <v>120</v>
      </c>
      <c r="G358" t="s">
        <v>1349</v>
      </c>
      <c r="H358" s="82">
        <v>2.4900000000000002</v>
      </c>
      <c r="I358">
        <v>7</v>
      </c>
      <c r="K358" t="s">
        <v>1458</v>
      </c>
      <c r="L358" s="6" t="s">
        <v>1371</v>
      </c>
      <c r="M358" s="6">
        <v>31</v>
      </c>
      <c r="N358" s="6">
        <v>2</v>
      </c>
      <c r="O358">
        <v>500</v>
      </c>
      <c r="P358">
        <v>202605</v>
      </c>
      <c r="Q358" t="s">
        <v>377</v>
      </c>
      <c r="R358" t="s">
        <v>1353</v>
      </c>
      <c r="S358">
        <f>Consulta1[[#This Row],[min_port]]/100</f>
        <v>1.4499999999999999E-2</v>
      </c>
      <c r="T358" s="252">
        <f>Consulta1[[#This Row],[TETO_COMERCIAL]]/100</f>
        <v>2.4900000000000002E-2</v>
      </c>
      <c r="U358" t="b">
        <f>Consulta1[[#This Row],[TETO_COMERCIAL_%]]=Consulta1[[#This Row],[TAXA]]</f>
        <v>0</v>
      </c>
      <c r="V358" t="str">
        <f>CONCATENATE(Consulta1[[#This Row],[MES_ALTERACAO]],Consulta1[[#This Row],[VIRADA]])</f>
        <v>20260531</v>
      </c>
      <c r="W358">
        <f>VLOOKUP(Consulta1[[#This Row],[Coluna2]],CALENDARIO!$J:$K,2,FALSE)</f>
        <v>20</v>
      </c>
    </row>
    <row r="359" spans="1:23" x14ac:dyDescent="0.25">
      <c r="A359" t="s">
        <v>3010</v>
      </c>
      <c r="B359" t="str">
        <f>CONCATENATE(Consulta1[[#This Row],[id]],Consulta1[[#This Row],[EMPREGADOR]])</f>
        <v>4HSPM SP</v>
      </c>
      <c r="C359" s="6">
        <f>IF(A359=A358,C358+1,1)</f>
        <v>4</v>
      </c>
      <c r="D359" t="s">
        <v>756</v>
      </c>
      <c r="E359" s="101">
        <v>2.1899999999999999E-2</v>
      </c>
      <c r="F359" s="6">
        <v>120</v>
      </c>
      <c r="G359" t="s">
        <v>1349</v>
      </c>
      <c r="H359" s="82">
        <v>2.4900000000000002</v>
      </c>
      <c r="I359">
        <v>7</v>
      </c>
      <c r="J359">
        <v>40</v>
      </c>
      <c r="K359" t="s">
        <v>1459</v>
      </c>
      <c r="L359" s="6" t="s">
        <v>1371</v>
      </c>
      <c r="M359" s="6">
        <v>31</v>
      </c>
      <c r="N359" s="6">
        <v>2</v>
      </c>
      <c r="O359">
        <v>500</v>
      </c>
      <c r="P359">
        <v>202605</v>
      </c>
      <c r="Q359" t="s">
        <v>377</v>
      </c>
      <c r="R359" t="s">
        <v>1353</v>
      </c>
      <c r="S359">
        <f>Consulta1[[#This Row],[min_port]]/100</f>
        <v>1.4499999999999999E-2</v>
      </c>
      <c r="T359" s="252">
        <f>Consulta1[[#This Row],[TETO_COMERCIAL]]/100</f>
        <v>2.4900000000000002E-2</v>
      </c>
      <c r="U359" t="b">
        <f>Consulta1[[#This Row],[TETO_COMERCIAL_%]]=Consulta1[[#This Row],[TAXA]]</f>
        <v>0</v>
      </c>
      <c r="V359" t="str">
        <f>CONCATENATE(Consulta1[[#This Row],[MES_ALTERACAO]],Consulta1[[#This Row],[VIRADA]])</f>
        <v>20260531</v>
      </c>
      <c r="W359">
        <f>VLOOKUP(Consulta1[[#This Row],[Coluna2]],CALENDARIO!$J:$K,2,FALSE)</f>
        <v>20</v>
      </c>
    </row>
    <row r="360" spans="1:23" x14ac:dyDescent="0.25">
      <c r="A360" t="s">
        <v>3010</v>
      </c>
      <c r="B360" t="str">
        <f>CONCATENATE(Consulta1[[#This Row],[id]],Consulta1[[#This Row],[EMPREGADOR]])</f>
        <v>5HSPM SP</v>
      </c>
      <c r="C360" s="6">
        <f>IF(A360=A359,C359+1,1)</f>
        <v>5</v>
      </c>
      <c r="D360" t="s">
        <v>757</v>
      </c>
      <c r="E360" s="101">
        <v>2.0899999999999998E-2</v>
      </c>
      <c r="F360" s="6">
        <v>120</v>
      </c>
      <c r="G360" t="s">
        <v>1349</v>
      </c>
      <c r="H360" s="82">
        <v>2.4900000000000002</v>
      </c>
      <c r="I360">
        <v>7</v>
      </c>
      <c r="J360">
        <v>51</v>
      </c>
      <c r="K360" t="s">
        <v>1460</v>
      </c>
      <c r="L360" s="6" t="s">
        <v>1371</v>
      </c>
      <c r="M360" s="6">
        <v>31</v>
      </c>
      <c r="N360" s="6">
        <v>2</v>
      </c>
      <c r="O360">
        <v>500</v>
      </c>
      <c r="P360">
        <v>202605</v>
      </c>
      <c r="Q360" t="s">
        <v>377</v>
      </c>
      <c r="R360" t="s">
        <v>1353</v>
      </c>
      <c r="S360">
        <f>Consulta1[[#This Row],[min_port]]/100</f>
        <v>1.4499999999999999E-2</v>
      </c>
      <c r="T360" s="252">
        <f>Consulta1[[#This Row],[TETO_COMERCIAL]]/100</f>
        <v>2.4900000000000002E-2</v>
      </c>
      <c r="U360" t="b">
        <f>Consulta1[[#This Row],[TETO_COMERCIAL_%]]=Consulta1[[#This Row],[TAXA]]</f>
        <v>0</v>
      </c>
      <c r="V360" t="str">
        <f>CONCATENATE(Consulta1[[#This Row],[MES_ALTERACAO]],Consulta1[[#This Row],[VIRADA]])</f>
        <v>20260531</v>
      </c>
      <c r="W360">
        <f>VLOOKUP(Consulta1[[#This Row],[Coluna2]],CALENDARIO!$J:$K,2,FALSE)</f>
        <v>20</v>
      </c>
    </row>
    <row r="361" spans="1:23" x14ac:dyDescent="0.25">
      <c r="A361" t="s">
        <v>3010</v>
      </c>
      <c r="B361" t="str">
        <f>CONCATENATE(Consulta1[[#This Row],[id]],Consulta1[[#This Row],[EMPREGADOR]])</f>
        <v>6HSPM SP</v>
      </c>
      <c r="C361" s="6">
        <f>IF(A361=A360,C360+1,1)</f>
        <v>6</v>
      </c>
      <c r="D361" t="s">
        <v>856</v>
      </c>
      <c r="E361" s="101">
        <v>1.9900000000000001E-2</v>
      </c>
      <c r="F361" s="6">
        <v>120</v>
      </c>
      <c r="G361" t="s">
        <v>1349</v>
      </c>
      <c r="H361" s="82">
        <v>2.4900000000000002</v>
      </c>
      <c r="I361">
        <v>7</v>
      </c>
      <c r="J361">
        <v>44</v>
      </c>
      <c r="K361" t="s">
        <v>1461</v>
      </c>
      <c r="L361" s="6" t="s">
        <v>1371</v>
      </c>
      <c r="M361" s="6">
        <v>31</v>
      </c>
      <c r="N361" s="6">
        <v>2</v>
      </c>
      <c r="O361">
        <v>500</v>
      </c>
      <c r="P361">
        <v>202605</v>
      </c>
      <c r="Q361" t="s">
        <v>377</v>
      </c>
      <c r="R361" t="s">
        <v>1353</v>
      </c>
      <c r="S361">
        <f>Consulta1[[#This Row],[min_port]]/100</f>
        <v>1.4499999999999999E-2</v>
      </c>
      <c r="T361" s="252">
        <f>Consulta1[[#This Row],[TETO_COMERCIAL]]/100</f>
        <v>2.4900000000000002E-2</v>
      </c>
      <c r="U361" t="b">
        <f>Consulta1[[#This Row],[TETO_COMERCIAL_%]]=Consulta1[[#This Row],[TAXA]]</f>
        <v>0</v>
      </c>
      <c r="V361" t="str">
        <f>CONCATENATE(Consulta1[[#This Row],[MES_ALTERACAO]],Consulta1[[#This Row],[VIRADA]])</f>
        <v>20260531</v>
      </c>
      <c r="W361">
        <f>VLOOKUP(Consulta1[[#This Row],[Coluna2]],CALENDARIO!$J:$K,2,FALSE)</f>
        <v>20</v>
      </c>
    </row>
    <row r="362" spans="1:23" x14ac:dyDescent="0.25">
      <c r="A362" t="s">
        <v>3010</v>
      </c>
      <c r="B362" t="str">
        <f>CONCATENATE(Consulta1[[#This Row],[id]],Consulta1[[#This Row],[EMPREGADOR]])</f>
        <v>7HSPM SP</v>
      </c>
      <c r="C362" s="6">
        <f>IF(A362=A361,C361+1,1)</f>
        <v>7</v>
      </c>
      <c r="D362" t="s">
        <v>857</v>
      </c>
      <c r="E362" s="101">
        <v>1.89E-2</v>
      </c>
      <c r="F362" s="6">
        <v>120</v>
      </c>
      <c r="G362" t="s">
        <v>1349</v>
      </c>
      <c r="H362" s="82">
        <v>2.4900000000000002</v>
      </c>
      <c r="I362">
        <v>7</v>
      </c>
      <c r="K362" t="s">
        <v>1462</v>
      </c>
      <c r="L362" s="6" t="s">
        <v>1371</v>
      </c>
      <c r="M362" s="6">
        <v>31</v>
      </c>
      <c r="N362" s="6">
        <v>2</v>
      </c>
      <c r="O362">
        <v>500</v>
      </c>
      <c r="P362">
        <v>202605</v>
      </c>
      <c r="Q362" t="s">
        <v>377</v>
      </c>
      <c r="R362" t="s">
        <v>1353</v>
      </c>
      <c r="S362">
        <f>Consulta1[[#This Row],[min_port]]/100</f>
        <v>1.4499999999999999E-2</v>
      </c>
      <c r="T362" s="252">
        <f>Consulta1[[#This Row],[TETO_COMERCIAL]]/100</f>
        <v>2.4900000000000002E-2</v>
      </c>
      <c r="U362" t="b">
        <f>Consulta1[[#This Row],[TETO_COMERCIAL_%]]=Consulta1[[#This Row],[TAXA]]</f>
        <v>0</v>
      </c>
      <c r="V362" t="str">
        <f>CONCATENATE(Consulta1[[#This Row],[MES_ALTERACAO]],Consulta1[[#This Row],[VIRADA]])</f>
        <v>20260531</v>
      </c>
      <c r="W362">
        <f>VLOOKUP(Consulta1[[#This Row],[Coluna2]],CALENDARIO!$J:$K,2,FALSE)</f>
        <v>20</v>
      </c>
    </row>
    <row r="363" spans="1:23" x14ac:dyDescent="0.25">
      <c r="A363" t="s">
        <v>3010</v>
      </c>
      <c r="B363" t="str">
        <f>CONCATENATE(Consulta1[[#This Row],[id]],Consulta1[[#This Row],[EMPREGADOR]])</f>
        <v>8HSPM SP</v>
      </c>
      <c r="C363" s="6">
        <f>IF(A363=A362,C362+1,1)</f>
        <v>8</v>
      </c>
      <c r="D363" t="s">
        <v>858</v>
      </c>
      <c r="E363" s="101">
        <v>1.7899999999999999E-2</v>
      </c>
      <c r="F363" s="6">
        <v>120</v>
      </c>
      <c r="G363" t="s">
        <v>1349</v>
      </c>
      <c r="H363" s="82">
        <v>2.4900000000000002</v>
      </c>
      <c r="I363">
        <v>7</v>
      </c>
      <c r="J363">
        <v>51</v>
      </c>
      <c r="K363" t="s">
        <v>1463</v>
      </c>
      <c r="L363" s="6" t="s">
        <v>1371</v>
      </c>
      <c r="M363" s="6">
        <v>31</v>
      </c>
      <c r="N363" s="6">
        <v>2</v>
      </c>
      <c r="O363">
        <v>500</v>
      </c>
      <c r="P363">
        <v>202605</v>
      </c>
      <c r="Q363" t="s">
        <v>377</v>
      </c>
      <c r="R363" t="s">
        <v>1353</v>
      </c>
      <c r="S363">
        <f>Consulta1[[#This Row],[min_port]]/100</f>
        <v>1.4499999999999999E-2</v>
      </c>
      <c r="T363" s="252">
        <f>Consulta1[[#This Row],[TETO_COMERCIAL]]/100</f>
        <v>2.4900000000000002E-2</v>
      </c>
      <c r="U363" t="b">
        <f>Consulta1[[#This Row],[TETO_COMERCIAL_%]]=Consulta1[[#This Row],[TAXA]]</f>
        <v>0</v>
      </c>
      <c r="V363" t="str">
        <f>CONCATENATE(Consulta1[[#This Row],[MES_ALTERACAO]],Consulta1[[#This Row],[VIRADA]])</f>
        <v>20260531</v>
      </c>
      <c r="W363">
        <f>VLOOKUP(Consulta1[[#This Row],[Coluna2]],CALENDARIO!$J:$K,2,FALSE)</f>
        <v>20</v>
      </c>
    </row>
    <row r="364" spans="1:23" x14ac:dyDescent="0.25">
      <c r="A364" t="s">
        <v>3010</v>
      </c>
      <c r="B364" t="str">
        <f>CONCATENATE(Consulta1[[#This Row],[id]],Consulta1[[#This Row],[EMPREGADOR]])</f>
        <v>9HSPM SP</v>
      </c>
      <c r="C364" s="6">
        <f>IF(A364=A363,C363+1,1)</f>
        <v>9</v>
      </c>
      <c r="D364" t="s">
        <v>1142</v>
      </c>
      <c r="E364" s="101">
        <v>1.6899999999999998E-2</v>
      </c>
      <c r="F364" s="6">
        <v>120</v>
      </c>
      <c r="G364" t="s">
        <v>1349</v>
      </c>
      <c r="H364" s="82">
        <v>2.4900000000000002</v>
      </c>
      <c r="I364">
        <v>7</v>
      </c>
      <c r="J364">
        <v>52</v>
      </c>
      <c r="K364" t="s">
        <v>1464</v>
      </c>
      <c r="L364" s="6" t="s">
        <v>1371</v>
      </c>
      <c r="M364" s="6">
        <v>31</v>
      </c>
      <c r="N364" s="6">
        <v>2</v>
      </c>
      <c r="O364">
        <v>500</v>
      </c>
      <c r="P364">
        <v>202605</v>
      </c>
      <c r="Q364" t="s">
        <v>377</v>
      </c>
      <c r="R364" t="s">
        <v>1353</v>
      </c>
      <c r="S364">
        <f>Consulta1[[#This Row],[min_port]]/100</f>
        <v>1.4499999999999999E-2</v>
      </c>
      <c r="T364" s="252">
        <f>Consulta1[[#This Row],[TETO_COMERCIAL]]/100</f>
        <v>2.4900000000000002E-2</v>
      </c>
      <c r="U364" t="b">
        <f>Consulta1[[#This Row],[TETO_COMERCIAL_%]]=Consulta1[[#This Row],[TAXA]]</f>
        <v>0</v>
      </c>
      <c r="V364" t="str">
        <f>CONCATENATE(Consulta1[[#This Row],[MES_ALTERACAO]],Consulta1[[#This Row],[VIRADA]])</f>
        <v>20260531</v>
      </c>
      <c r="W364">
        <f>VLOOKUP(Consulta1[[#This Row],[Coluna2]],CALENDARIO!$J:$K,2,FALSE)</f>
        <v>20</v>
      </c>
    </row>
    <row r="365" spans="1:23" x14ac:dyDescent="0.25">
      <c r="A365" t="s">
        <v>512</v>
      </c>
      <c r="B365" t="str">
        <f>CONCATENATE(Consulta1[[#This Row],[id]],Consulta1[[#This Row],[EMPREGADOR]])</f>
        <v>1IMPCG MS</v>
      </c>
      <c r="C365" s="6">
        <f>IF(A365=A364,C364+1,1)</f>
        <v>1</v>
      </c>
      <c r="D365" t="s">
        <v>513</v>
      </c>
      <c r="E365" s="101">
        <v>2.5000000000000001E-2</v>
      </c>
      <c r="F365" s="6">
        <v>120</v>
      </c>
      <c r="G365" t="s">
        <v>1349</v>
      </c>
      <c r="H365" s="82">
        <v>2.5</v>
      </c>
      <c r="I365">
        <v>20</v>
      </c>
      <c r="J365">
        <v>56</v>
      </c>
      <c r="K365" t="s">
        <v>1465</v>
      </c>
      <c r="L365" s="6" t="s">
        <v>1371</v>
      </c>
      <c r="M365" s="6">
        <v>10</v>
      </c>
      <c r="N365" s="6">
        <v>2</v>
      </c>
      <c r="O365">
        <v>500</v>
      </c>
      <c r="P365">
        <v>202605</v>
      </c>
      <c r="Q365" t="s">
        <v>377</v>
      </c>
      <c r="R365" t="s">
        <v>1353</v>
      </c>
      <c r="S365">
        <f>Consulta1[[#This Row],[min_port]]/100</f>
        <v>1.4499999999999999E-2</v>
      </c>
      <c r="T365" s="252">
        <f>Consulta1[[#This Row],[TETO_COMERCIAL]]/100</f>
        <v>2.5000000000000001E-2</v>
      </c>
      <c r="U365" t="b">
        <f>Consulta1[[#This Row],[TETO_COMERCIAL_%]]=Consulta1[[#This Row],[TAXA]]</f>
        <v>1</v>
      </c>
      <c r="V365" t="str">
        <f>CONCATENATE(Consulta1[[#This Row],[MES_ALTERACAO]],Consulta1[[#This Row],[VIRADA]])</f>
        <v>20260510</v>
      </c>
      <c r="W365">
        <f>VLOOKUP(Consulta1[[#This Row],[Coluna2]],CALENDARIO!$J:$K,2,FALSE)</f>
        <v>5</v>
      </c>
    </row>
    <row r="366" spans="1:23" x14ac:dyDescent="0.25">
      <c r="A366" t="s">
        <v>512</v>
      </c>
      <c r="B366" t="str">
        <f>CONCATENATE(Consulta1[[#This Row],[id]],Consulta1[[#This Row],[EMPREGADOR]])</f>
        <v>2IMPCG MS</v>
      </c>
      <c r="C366" s="6">
        <f>IF(A366=A365,C365+1,1)</f>
        <v>2</v>
      </c>
      <c r="D366" t="s">
        <v>514</v>
      </c>
      <c r="E366" s="101">
        <v>2.2499999999999999E-2</v>
      </c>
      <c r="F366" s="6">
        <v>120</v>
      </c>
      <c r="G366" t="s">
        <v>1349</v>
      </c>
      <c r="H366" s="82">
        <v>2.5</v>
      </c>
      <c r="I366">
        <v>20</v>
      </c>
      <c r="J366">
        <v>44</v>
      </c>
      <c r="K366" t="s">
        <v>1466</v>
      </c>
      <c r="L366" s="6" t="s">
        <v>1371</v>
      </c>
      <c r="M366" s="6">
        <v>10</v>
      </c>
      <c r="N366" s="6">
        <v>2</v>
      </c>
      <c r="O366">
        <v>500</v>
      </c>
      <c r="P366">
        <v>202605</v>
      </c>
      <c r="Q366" t="s">
        <v>377</v>
      </c>
      <c r="R366" t="s">
        <v>1353</v>
      </c>
      <c r="S366">
        <f>Consulta1[[#This Row],[min_port]]/100</f>
        <v>1.4499999999999999E-2</v>
      </c>
      <c r="T366" s="252">
        <f>Consulta1[[#This Row],[TETO_COMERCIAL]]/100</f>
        <v>2.5000000000000001E-2</v>
      </c>
      <c r="U366" t="b">
        <f>Consulta1[[#This Row],[TETO_COMERCIAL_%]]=Consulta1[[#This Row],[TAXA]]</f>
        <v>0</v>
      </c>
      <c r="V366" t="str">
        <f>CONCATENATE(Consulta1[[#This Row],[MES_ALTERACAO]],Consulta1[[#This Row],[VIRADA]])</f>
        <v>20260510</v>
      </c>
      <c r="W366">
        <f>VLOOKUP(Consulta1[[#This Row],[Coluna2]],CALENDARIO!$J:$K,2,FALSE)</f>
        <v>5</v>
      </c>
    </row>
    <row r="367" spans="1:23" x14ac:dyDescent="0.25">
      <c r="A367" t="s">
        <v>512</v>
      </c>
      <c r="B367" t="str">
        <f>CONCATENATE(Consulta1[[#This Row],[id]],Consulta1[[#This Row],[EMPREGADOR]])</f>
        <v>3IMPCG MS</v>
      </c>
      <c r="C367" s="6">
        <f>IF(A367=A366,C366+1,1)</f>
        <v>3</v>
      </c>
      <c r="D367" t="s">
        <v>515</v>
      </c>
      <c r="E367" s="101">
        <v>0.02</v>
      </c>
      <c r="F367" s="6">
        <v>120</v>
      </c>
      <c r="G367" t="s">
        <v>1349</v>
      </c>
      <c r="H367" s="82">
        <v>2.5</v>
      </c>
      <c r="I367">
        <v>20</v>
      </c>
      <c r="J367">
        <v>46</v>
      </c>
      <c r="K367" t="s">
        <v>1467</v>
      </c>
      <c r="L367" s="6" t="s">
        <v>1371</v>
      </c>
      <c r="M367" s="6">
        <v>10</v>
      </c>
      <c r="N367" s="6">
        <v>2</v>
      </c>
      <c r="O367">
        <v>500</v>
      </c>
      <c r="P367">
        <v>202605</v>
      </c>
      <c r="Q367" t="s">
        <v>377</v>
      </c>
      <c r="R367" t="s">
        <v>1353</v>
      </c>
      <c r="S367">
        <f>Consulta1[[#This Row],[min_port]]/100</f>
        <v>1.4499999999999999E-2</v>
      </c>
      <c r="T367" s="252">
        <f>Consulta1[[#This Row],[TETO_COMERCIAL]]/100</f>
        <v>2.5000000000000001E-2</v>
      </c>
      <c r="U367" t="b">
        <f>Consulta1[[#This Row],[TETO_COMERCIAL_%]]=Consulta1[[#This Row],[TAXA]]</f>
        <v>0</v>
      </c>
      <c r="V367" t="str">
        <f>CONCATENATE(Consulta1[[#This Row],[MES_ALTERACAO]],Consulta1[[#This Row],[VIRADA]])</f>
        <v>20260510</v>
      </c>
      <c r="W367">
        <f>VLOOKUP(Consulta1[[#This Row],[Coluna2]],CALENDARIO!$J:$K,2,FALSE)</f>
        <v>5</v>
      </c>
    </row>
    <row r="368" spans="1:23" x14ac:dyDescent="0.25">
      <c r="A368" t="s">
        <v>512</v>
      </c>
      <c r="B368" t="str">
        <f>CONCATENATE(Consulta1[[#This Row],[id]],Consulta1[[#This Row],[EMPREGADOR]])</f>
        <v>4IMPCG MS</v>
      </c>
      <c r="C368" s="6">
        <f>IF(A368=A367,C367+1,1)</f>
        <v>4</v>
      </c>
      <c r="D368" t="s">
        <v>958</v>
      </c>
      <c r="E368" s="101">
        <v>1.9E-2</v>
      </c>
      <c r="F368" s="6">
        <v>120</v>
      </c>
      <c r="G368" t="s">
        <v>1349</v>
      </c>
      <c r="H368" s="82">
        <v>2.5</v>
      </c>
      <c r="I368">
        <v>20</v>
      </c>
      <c r="J368">
        <v>50</v>
      </c>
      <c r="K368" t="s">
        <v>1468</v>
      </c>
      <c r="L368" s="6" t="s">
        <v>1371</v>
      </c>
      <c r="M368" s="6">
        <v>10</v>
      </c>
      <c r="N368" s="6">
        <v>2</v>
      </c>
      <c r="O368">
        <v>500</v>
      </c>
      <c r="P368">
        <v>202605</v>
      </c>
      <c r="Q368" t="s">
        <v>377</v>
      </c>
      <c r="R368" t="s">
        <v>1353</v>
      </c>
      <c r="S368">
        <f>Consulta1[[#This Row],[min_port]]/100</f>
        <v>1.4499999999999999E-2</v>
      </c>
      <c r="T368" s="252">
        <f>Consulta1[[#This Row],[TETO_COMERCIAL]]/100</f>
        <v>2.5000000000000001E-2</v>
      </c>
      <c r="U368" t="b">
        <f>Consulta1[[#This Row],[TETO_COMERCIAL_%]]=Consulta1[[#This Row],[TAXA]]</f>
        <v>0</v>
      </c>
      <c r="V368" t="str">
        <f>CONCATENATE(Consulta1[[#This Row],[MES_ALTERACAO]],Consulta1[[#This Row],[VIRADA]])</f>
        <v>20260510</v>
      </c>
      <c r="W368">
        <f>VLOOKUP(Consulta1[[#This Row],[Coluna2]],CALENDARIO!$J:$K,2,FALSE)</f>
        <v>5</v>
      </c>
    </row>
    <row r="369" spans="1:23" x14ac:dyDescent="0.25">
      <c r="A369" t="s">
        <v>512</v>
      </c>
      <c r="B369" t="str">
        <f>CONCATENATE(Consulta1[[#This Row],[id]],Consulta1[[#This Row],[EMPREGADOR]])</f>
        <v>5IMPCG MS</v>
      </c>
      <c r="C369" s="6">
        <f>IF(A369=A368,C368+1,1)</f>
        <v>5</v>
      </c>
      <c r="D369" t="s">
        <v>959</v>
      </c>
      <c r="E369" s="101">
        <v>1.8100000000000002E-2</v>
      </c>
      <c r="F369" s="6">
        <v>120</v>
      </c>
      <c r="G369" t="s">
        <v>1349</v>
      </c>
      <c r="H369" s="82">
        <v>2.5</v>
      </c>
      <c r="I369">
        <v>20</v>
      </c>
      <c r="J369">
        <v>44</v>
      </c>
      <c r="K369" t="s">
        <v>1469</v>
      </c>
      <c r="L369" s="6" t="s">
        <v>1371</v>
      </c>
      <c r="M369" s="6">
        <v>10</v>
      </c>
      <c r="N369" s="6">
        <v>2</v>
      </c>
      <c r="O369">
        <v>500</v>
      </c>
      <c r="P369">
        <v>202605</v>
      </c>
      <c r="Q369" t="s">
        <v>377</v>
      </c>
      <c r="R369" t="s">
        <v>1353</v>
      </c>
      <c r="S369">
        <f>Consulta1[[#This Row],[min_port]]/100</f>
        <v>1.4499999999999999E-2</v>
      </c>
      <c r="T369" s="252">
        <f>Consulta1[[#This Row],[TETO_COMERCIAL]]/100</f>
        <v>2.5000000000000001E-2</v>
      </c>
      <c r="U369" t="b">
        <f>Consulta1[[#This Row],[TETO_COMERCIAL_%]]=Consulta1[[#This Row],[TAXA]]</f>
        <v>0</v>
      </c>
      <c r="V369" t="str">
        <f>CONCATENATE(Consulta1[[#This Row],[MES_ALTERACAO]],Consulta1[[#This Row],[VIRADA]])</f>
        <v>20260510</v>
      </c>
      <c r="W369">
        <f>VLOOKUP(Consulta1[[#This Row],[Coluna2]],CALENDARIO!$J:$K,2,FALSE)</f>
        <v>5</v>
      </c>
    </row>
    <row r="370" spans="1:23" x14ac:dyDescent="0.25">
      <c r="A370" t="s">
        <v>512</v>
      </c>
      <c r="B370" t="str">
        <f>CONCATENATE(Consulta1[[#This Row],[id]],Consulta1[[#This Row],[EMPREGADOR]])</f>
        <v>6IMPCG MS</v>
      </c>
      <c r="C370" s="6">
        <f>IF(A370=A369,C369+1,1)</f>
        <v>6</v>
      </c>
      <c r="D370" t="s">
        <v>960</v>
      </c>
      <c r="E370" s="101">
        <v>1.7500000000000002E-2</v>
      </c>
      <c r="F370" s="6">
        <v>120</v>
      </c>
      <c r="G370" t="s">
        <v>1349</v>
      </c>
      <c r="H370" s="82">
        <v>2.5</v>
      </c>
      <c r="I370">
        <v>20</v>
      </c>
      <c r="J370">
        <v>55</v>
      </c>
      <c r="K370" t="s">
        <v>1470</v>
      </c>
      <c r="L370" s="6" t="s">
        <v>1371</v>
      </c>
      <c r="M370" s="6">
        <v>10</v>
      </c>
      <c r="N370" s="6">
        <v>2</v>
      </c>
      <c r="O370">
        <v>500</v>
      </c>
      <c r="P370">
        <v>202605</v>
      </c>
      <c r="Q370" t="s">
        <v>377</v>
      </c>
      <c r="R370" t="s">
        <v>1353</v>
      </c>
      <c r="S370">
        <f>Consulta1[[#This Row],[min_port]]/100</f>
        <v>1.4499999999999999E-2</v>
      </c>
      <c r="T370" s="252">
        <f>Consulta1[[#This Row],[TETO_COMERCIAL]]/100</f>
        <v>2.5000000000000001E-2</v>
      </c>
      <c r="U370" t="b">
        <f>Consulta1[[#This Row],[TETO_COMERCIAL_%]]=Consulta1[[#This Row],[TAXA]]</f>
        <v>0</v>
      </c>
      <c r="V370" t="str">
        <f>CONCATENATE(Consulta1[[#This Row],[MES_ALTERACAO]],Consulta1[[#This Row],[VIRADA]])</f>
        <v>20260510</v>
      </c>
      <c r="W370">
        <f>VLOOKUP(Consulta1[[#This Row],[Coluna2]],CALENDARIO!$J:$K,2,FALSE)</f>
        <v>5</v>
      </c>
    </row>
    <row r="371" spans="1:23" x14ac:dyDescent="0.25">
      <c r="A371" t="s">
        <v>42</v>
      </c>
      <c r="B371" t="str">
        <f>CONCATENATE(Consulta1[[#This Row],[id]],Consulta1[[#This Row],[EMPREGADOR]])</f>
        <v>1INSS</v>
      </c>
      <c r="C371" s="6">
        <f>IF(A371=A370,C370+1,1)</f>
        <v>1</v>
      </c>
      <c r="D371" t="s">
        <v>3894</v>
      </c>
      <c r="E371" s="101">
        <v>1.8500000000000003E-2</v>
      </c>
      <c r="F371" s="6">
        <v>96</v>
      </c>
      <c r="G371" t="s">
        <v>1349</v>
      </c>
      <c r="H371" s="82">
        <v>1.85</v>
      </c>
      <c r="I371">
        <v>10</v>
      </c>
      <c r="J371">
        <v>53</v>
      </c>
      <c r="K371" t="s">
        <v>3895</v>
      </c>
      <c r="L371" s="6" t="s">
        <v>3896</v>
      </c>
      <c r="M371" s="6">
        <v>3</v>
      </c>
      <c r="N371" s="6">
        <v>3</v>
      </c>
      <c r="O371">
        <v>20</v>
      </c>
      <c r="P371">
        <v>202605</v>
      </c>
      <c r="Q371" t="s">
        <v>378</v>
      </c>
      <c r="R371" t="s">
        <v>1353</v>
      </c>
      <c r="S371">
        <f>Consulta1[[#This Row],[min_port]]/100</f>
        <v>1.44E-2</v>
      </c>
      <c r="T371" s="252">
        <f>Consulta1[[#This Row],[TETO_COMERCIAL]]/100</f>
        <v>1.8500000000000003E-2</v>
      </c>
      <c r="U371" t="b">
        <f>Consulta1[[#This Row],[TETO_COMERCIAL_%]]=Consulta1[[#This Row],[TAXA]]</f>
        <v>1</v>
      </c>
      <c r="V371" t="str">
        <f>CONCATENATE(Consulta1[[#This Row],[MES_ALTERACAO]],Consulta1[[#This Row],[VIRADA]])</f>
        <v>2026053</v>
      </c>
      <c r="W371">
        <f>VLOOKUP(Consulta1[[#This Row],[Coluna2]],CALENDARIO!$J:$K,2,FALSE)</f>
        <v>0</v>
      </c>
    </row>
    <row r="372" spans="1:23" x14ac:dyDescent="0.25">
      <c r="A372" t="s">
        <v>42</v>
      </c>
      <c r="B372" t="str">
        <f>CONCATENATE(Consulta1[[#This Row],[id]],Consulta1[[#This Row],[EMPREGADOR]])</f>
        <v>2INSS</v>
      </c>
      <c r="C372" s="6">
        <f>IF(A372=A371,C371+1,1)</f>
        <v>2</v>
      </c>
      <c r="D372" t="s">
        <v>3897</v>
      </c>
      <c r="E372" s="101">
        <v>1.8000000000000002E-2</v>
      </c>
      <c r="F372" s="6">
        <v>96</v>
      </c>
      <c r="G372" t="s">
        <v>1349</v>
      </c>
      <c r="H372" s="82">
        <v>1.85</v>
      </c>
      <c r="I372">
        <v>10</v>
      </c>
      <c r="J372">
        <v>53</v>
      </c>
      <c r="K372" t="s">
        <v>3898</v>
      </c>
      <c r="L372" s="6" t="s">
        <v>3896</v>
      </c>
      <c r="M372" s="6">
        <v>3</v>
      </c>
      <c r="N372" s="6">
        <v>3</v>
      </c>
      <c r="O372">
        <v>20</v>
      </c>
      <c r="P372">
        <v>202605</v>
      </c>
      <c r="Q372" t="s">
        <v>378</v>
      </c>
      <c r="R372" t="s">
        <v>1353</v>
      </c>
      <c r="S372">
        <f>Consulta1[[#This Row],[min_port]]/100</f>
        <v>1.44E-2</v>
      </c>
      <c r="T372" s="252">
        <f>Consulta1[[#This Row],[TETO_COMERCIAL]]/100</f>
        <v>1.8500000000000003E-2</v>
      </c>
      <c r="U372" t="b">
        <f>Consulta1[[#This Row],[TETO_COMERCIAL_%]]=Consulta1[[#This Row],[TAXA]]</f>
        <v>0</v>
      </c>
      <c r="V372" t="str">
        <f>CONCATENATE(Consulta1[[#This Row],[MES_ALTERACAO]],Consulta1[[#This Row],[VIRADA]])</f>
        <v>2026053</v>
      </c>
      <c r="W372">
        <f>VLOOKUP(Consulta1[[#This Row],[Coluna2]],CALENDARIO!$J:$K,2,FALSE)</f>
        <v>0</v>
      </c>
    </row>
    <row r="373" spans="1:23" x14ac:dyDescent="0.25">
      <c r="A373" t="s">
        <v>42</v>
      </c>
      <c r="B373" t="str">
        <f>CONCATENATE(Consulta1[[#This Row],[id]],Consulta1[[#This Row],[EMPREGADOR]])</f>
        <v>3INSS</v>
      </c>
      <c r="C373" s="6">
        <f>IF(A373=A372,C372+1,1)</f>
        <v>3</v>
      </c>
      <c r="D373" t="s">
        <v>3899</v>
      </c>
      <c r="E373" s="101">
        <v>1.77E-2</v>
      </c>
      <c r="F373" s="6">
        <v>96</v>
      </c>
      <c r="G373" t="s">
        <v>1349</v>
      </c>
      <c r="H373" s="82">
        <v>1.85</v>
      </c>
      <c r="I373">
        <v>10</v>
      </c>
      <c r="J373">
        <v>53</v>
      </c>
      <c r="K373" t="s">
        <v>3900</v>
      </c>
      <c r="L373" s="6" t="s">
        <v>3896</v>
      </c>
      <c r="M373" s="6">
        <v>3</v>
      </c>
      <c r="N373" s="6">
        <v>3</v>
      </c>
      <c r="O373">
        <v>20</v>
      </c>
      <c r="P373">
        <v>202605</v>
      </c>
      <c r="Q373" t="s">
        <v>378</v>
      </c>
      <c r="R373" t="s">
        <v>1353</v>
      </c>
      <c r="S373">
        <f>Consulta1[[#This Row],[min_port]]/100</f>
        <v>1.44E-2</v>
      </c>
      <c r="T373" s="252">
        <f>Consulta1[[#This Row],[TETO_COMERCIAL]]/100</f>
        <v>1.8500000000000003E-2</v>
      </c>
      <c r="U373" t="b">
        <f>Consulta1[[#This Row],[TETO_COMERCIAL_%]]=Consulta1[[#This Row],[TAXA]]</f>
        <v>0</v>
      </c>
      <c r="V373" t="str">
        <f>CONCATENATE(Consulta1[[#This Row],[MES_ALTERACAO]],Consulta1[[#This Row],[VIRADA]])</f>
        <v>2026053</v>
      </c>
      <c r="W373">
        <f>VLOOKUP(Consulta1[[#This Row],[Coluna2]],CALENDARIO!$J:$K,2,FALSE)</f>
        <v>0</v>
      </c>
    </row>
    <row r="374" spans="1:23" x14ac:dyDescent="0.25">
      <c r="A374" t="s">
        <v>42</v>
      </c>
      <c r="B374" t="str">
        <f>CONCATENATE(Consulta1[[#This Row],[id]],Consulta1[[#This Row],[EMPREGADOR]])</f>
        <v>4INSS</v>
      </c>
      <c r="C374" s="6">
        <f>IF(A374=A373,C373+1,1)</f>
        <v>4</v>
      </c>
      <c r="D374" t="s">
        <v>3901</v>
      </c>
      <c r="E374" s="101">
        <v>1.7399999999999999E-2</v>
      </c>
      <c r="F374" s="6">
        <v>96</v>
      </c>
      <c r="G374" t="s">
        <v>1349</v>
      </c>
      <c r="H374" s="82">
        <v>1.85</v>
      </c>
      <c r="I374">
        <v>10</v>
      </c>
      <c r="J374">
        <v>53</v>
      </c>
      <c r="K374" t="s">
        <v>3902</v>
      </c>
      <c r="L374" s="6" t="s">
        <v>3896</v>
      </c>
      <c r="M374" s="6">
        <v>3</v>
      </c>
      <c r="N374" s="6">
        <v>3</v>
      </c>
      <c r="O374">
        <v>20</v>
      </c>
      <c r="P374">
        <v>202605</v>
      </c>
      <c r="Q374" t="s">
        <v>378</v>
      </c>
      <c r="R374" t="s">
        <v>1353</v>
      </c>
      <c r="S374">
        <f>Consulta1[[#This Row],[min_port]]/100</f>
        <v>1.44E-2</v>
      </c>
      <c r="T374" s="252">
        <f>Consulta1[[#This Row],[TETO_COMERCIAL]]/100</f>
        <v>1.8500000000000003E-2</v>
      </c>
      <c r="U374" t="b">
        <f>Consulta1[[#This Row],[TETO_COMERCIAL_%]]=Consulta1[[#This Row],[TAXA]]</f>
        <v>0</v>
      </c>
      <c r="V374" t="str">
        <f>CONCATENATE(Consulta1[[#This Row],[MES_ALTERACAO]],Consulta1[[#This Row],[VIRADA]])</f>
        <v>2026053</v>
      </c>
      <c r="W374">
        <f>VLOOKUP(Consulta1[[#This Row],[Coluna2]],CALENDARIO!$J:$K,2,FALSE)</f>
        <v>0</v>
      </c>
    </row>
    <row r="375" spans="1:23" x14ac:dyDescent="0.25">
      <c r="A375" t="s">
        <v>42</v>
      </c>
      <c r="B375" t="str">
        <f>CONCATENATE(Consulta1[[#This Row],[id]],Consulta1[[#This Row],[EMPREGADOR]])</f>
        <v>5INSS</v>
      </c>
      <c r="C375" s="6">
        <f>IF(A375=A374,C374+1,1)</f>
        <v>5</v>
      </c>
      <c r="D375" t="s">
        <v>3903</v>
      </c>
      <c r="E375" s="101">
        <v>1.7100000000000001E-2</v>
      </c>
      <c r="F375" s="6">
        <v>96</v>
      </c>
      <c r="G375" t="s">
        <v>1349</v>
      </c>
      <c r="H375" s="82">
        <v>1.85</v>
      </c>
      <c r="I375">
        <v>10</v>
      </c>
      <c r="J375">
        <v>53</v>
      </c>
      <c r="K375" t="s">
        <v>3904</v>
      </c>
      <c r="L375" s="6" t="s">
        <v>3896</v>
      </c>
      <c r="M375" s="6">
        <v>3</v>
      </c>
      <c r="N375" s="6">
        <v>3</v>
      </c>
      <c r="O375">
        <v>20</v>
      </c>
      <c r="P375">
        <v>202605</v>
      </c>
      <c r="Q375" t="s">
        <v>378</v>
      </c>
      <c r="R375" t="s">
        <v>1353</v>
      </c>
      <c r="S375">
        <f>Consulta1[[#This Row],[min_port]]/100</f>
        <v>1.44E-2</v>
      </c>
      <c r="T375" s="252">
        <f>Consulta1[[#This Row],[TETO_COMERCIAL]]/100</f>
        <v>1.8500000000000003E-2</v>
      </c>
      <c r="U375" t="b">
        <f>Consulta1[[#This Row],[TETO_COMERCIAL_%]]=Consulta1[[#This Row],[TAXA]]</f>
        <v>0</v>
      </c>
      <c r="V375" t="str">
        <f>CONCATENATE(Consulta1[[#This Row],[MES_ALTERACAO]],Consulta1[[#This Row],[VIRADA]])</f>
        <v>2026053</v>
      </c>
      <c r="W375">
        <f>VLOOKUP(Consulta1[[#This Row],[Coluna2]],CALENDARIO!$J:$K,2,FALSE)</f>
        <v>0</v>
      </c>
    </row>
    <row r="376" spans="1:23" x14ac:dyDescent="0.25">
      <c r="A376" t="s">
        <v>42</v>
      </c>
      <c r="B376" t="str">
        <f>CONCATENATE(Consulta1[[#This Row],[id]],Consulta1[[#This Row],[EMPREGADOR]])</f>
        <v>6INSS</v>
      </c>
      <c r="C376" s="6">
        <f>IF(A376=A375,C375+1,1)</f>
        <v>6</v>
      </c>
      <c r="D376" t="s">
        <v>3905</v>
      </c>
      <c r="E376" s="101">
        <v>1.6799999999999999E-2</v>
      </c>
      <c r="F376" s="6">
        <v>96</v>
      </c>
      <c r="G376" t="s">
        <v>1349</v>
      </c>
      <c r="H376" s="82">
        <v>1.85</v>
      </c>
      <c r="I376">
        <v>10</v>
      </c>
      <c r="J376">
        <v>53</v>
      </c>
      <c r="K376" t="s">
        <v>3906</v>
      </c>
      <c r="L376" s="6" t="s">
        <v>3896</v>
      </c>
      <c r="M376" s="6">
        <v>3</v>
      </c>
      <c r="N376" s="6">
        <v>3</v>
      </c>
      <c r="O376">
        <v>20</v>
      </c>
      <c r="P376">
        <v>202605</v>
      </c>
      <c r="Q376" t="s">
        <v>378</v>
      </c>
      <c r="R376" t="s">
        <v>1353</v>
      </c>
      <c r="S376">
        <f>Consulta1[[#This Row],[min_port]]/100</f>
        <v>1.44E-2</v>
      </c>
      <c r="T376" s="252">
        <f>Consulta1[[#This Row],[TETO_COMERCIAL]]/100</f>
        <v>1.8500000000000003E-2</v>
      </c>
      <c r="U376" t="b">
        <f>Consulta1[[#This Row],[TETO_COMERCIAL_%]]=Consulta1[[#This Row],[TAXA]]</f>
        <v>0</v>
      </c>
      <c r="V376" t="str">
        <f>CONCATENATE(Consulta1[[#This Row],[MES_ALTERACAO]],Consulta1[[#This Row],[VIRADA]])</f>
        <v>2026053</v>
      </c>
      <c r="W376">
        <f>VLOOKUP(Consulta1[[#This Row],[Coluna2]],CALENDARIO!$J:$K,2,FALSE)</f>
        <v>0</v>
      </c>
    </row>
    <row r="377" spans="1:23" x14ac:dyDescent="0.25">
      <c r="A377" t="s">
        <v>42</v>
      </c>
      <c r="B377" t="str">
        <f>CONCATENATE(Consulta1[[#This Row],[id]],Consulta1[[#This Row],[EMPREGADOR]])</f>
        <v>7INSS</v>
      </c>
      <c r="C377" s="6">
        <f>IF(A377=A376,C376+1,1)</f>
        <v>7</v>
      </c>
      <c r="D377" t="s">
        <v>3907</v>
      </c>
      <c r="E377" s="101">
        <v>1.66E-2</v>
      </c>
      <c r="F377" s="6">
        <v>96</v>
      </c>
      <c r="G377" t="s">
        <v>1349</v>
      </c>
      <c r="H377" s="82">
        <v>1.85</v>
      </c>
      <c r="I377">
        <v>10</v>
      </c>
      <c r="J377">
        <v>53</v>
      </c>
      <c r="K377" t="s">
        <v>3908</v>
      </c>
      <c r="L377" s="6" t="s">
        <v>3896</v>
      </c>
      <c r="M377" s="6">
        <v>3</v>
      </c>
      <c r="N377" s="6">
        <v>3</v>
      </c>
      <c r="O377">
        <v>20</v>
      </c>
      <c r="P377">
        <v>202605</v>
      </c>
      <c r="Q377" t="s">
        <v>378</v>
      </c>
      <c r="R377" t="s">
        <v>1353</v>
      </c>
      <c r="S377">
        <f>Consulta1[[#This Row],[min_port]]/100</f>
        <v>1.44E-2</v>
      </c>
      <c r="T377" s="252">
        <f>Consulta1[[#This Row],[TETO_COMERCIAL]]/100</f>
        <v>1.8500000000000003E-2</v>
      </c>
      <c r="U377" t="b">
        <f>Consulta1[[#This Row],[TETO_COMERCIAL_%]]=Consulta1[[#This Row],[TAXA]]</f>
        <v>0</v>
      </c>
      <c r="V377" t="str">
        <f>CONCATENATE(Consulta1[[#This Row],[MES_ALTERACAO]],Consulta1[[#This Row],[VIRADA]])</f>
        <v>2026053</v>
      </c>
      <c r="W377">
        <f>VLOOKUP(Consulta1[[#This Row],[Coluna2]],CALENDARIO!$J:$K,2,FALSE)</f>
        <v>0</v>
      </c>
    </row>
    <row r="378" spans="1:23" x14ac:dyDescent="0.25">
      <c r="A378" t="s">
        <v>42</v>
      </c>
      <c r="B378" t="str">
        <f>CONCATENATE(Consulta1[[#This Row],[id]],Consulta1[[#This Row],[EMPREGADOR]])</f>
        <v>8INSS</v>
      </c>
      <c r="C378" s="6">
        <f>IF(A378=A377,C377+1,1)</f>
        <v>8</v>
      </c>
      <c r="D378" t="s">
        <v>3909</v>
      </c>
      <c r="E378" s="101">
        <v>1.6200000000000003E-2</v>
      </c>
      <c r="F378" s="6">
        <v>96</v>
      </c>
      <c r="G378" t="s">
        <v>1349</v>
      </c>
      <c r="H378" s="82">
        <v>1.85</v>
      </c>
      <c r="I378">
        <v>10</v>
      </c>
      <c r="J378">
        <v>53</v>
      </c>
      <c r="K378" t="s">
        <v>3910</v>
      </c>
      <c r="L378" s="6" t="s">
        <v>3896</v>
      </c>
      <c r="M378" s="6">
        <v>3</v>
      </c>
      <c r="N378" s="6">
        <v>3</v>
      </c>
      <c r="O378">
        <v>10000</v>
      </c>
      <c r="P378">
        <v>202605</v>
      </c>
      <c r="Q378" t="s">
        <v>378</v>
      </c>
      <c r="R378" t="s">
        <v>1353</v>
      </c>
      <c r="S378">
        <f>Consulta1[[#This Row],[min_port]]/100</f>
        <v>1.44E-2</v>
      </c>
      <c r="T378" s="252">
        <f>Consulta1[[#This Row],[TETO_COMERCIAL]]/100</f>
        <v>1.8500000000000003E-2</v>
      </c>
      <c r="U378" t="b">
        <f>Consulta1[[#This Row],[TETO_COMERCIAL_%]]=Consulta1[[#This Row],[TAXA]]</f>
        <v>0</v>
      </c>
      <c r="V378" t="str">
        <f>CONCATENATE(Consulta1[[#This Row],[MES_ALTERACAO]],Consulta1[[#This Row],[VIRADA]])</f>
        <v>2026053</v>
      </c>
      <c r="W378">
        <f>VLOOKUP(Consulta1[[#This Row],[Coluna2]],CALENDARIO!$J:$K,2,FALSE)</f>
        <v>0</v>
      </c>
    </row>
    <row r="379" spans="1:23" x14ac:dyDescent="0.25">
      <c r="A379" t="s">
        <v>42</v>
      </c>
      <c r="B379" t="str">
        <f>CONCATENATE(Consulta1[[#This Row],[id]],Consulta1[[#This Row],[EMPREGADOR]])</f>
        <v>9INSS</v>
      </c>
      <c r="C379" s="6">
        <f>IF(A379=A378,C378+1,1)</f>
        <v>9</v>
      </c>
      <c r="D379" t="s">
        <v>3911</v>
      </c>
      <c r="E379" s="101">
        <v>1.6E-2</v>
      </c>
      <c r="F379" s="6">
        <v>96</v>
      </c>
      <c r="G379" t="s">
        <v>1349</v>
      </c>
      <c r="H379" s="82">
        <v>1.85</v>
      </c>
      <c r="I379">
        <v>10</v>
      </c>
      <c r="J379">
        <v>53</v>
      </c>
      <c r="K379" t="s">
        <v>3912</v>
      </c>
      <c r="L379" s="6" t="s">
        <v>3896</v>
      </c>
      <c r="M379" s="6">
        <v>3</v>
      </c>
      <c r="N379" s="6">
        <v>3</v>
      </c>
      <c r="O379">
        <v>15000</v>
      </c>
      <c r="P379">
        <v>202605</v>
      </c>
      <c r="Q379" t="s">
        <v>378</v>
      </c>
      <c r="R379" t="s">
        <v>1353</v>
      </c>
      <c r="S379">
        <f>Consulta1[[#This Row],[min_port]]/100</f>
        <v>1.44E-2</v>
      </c>
      <c r="T379" s="252">
        <f>Consulta1[[#This Row],[TETO_COMERCIAL]]/100</f>
        <v>1.8500000000000003E-2</v>
      </c>
      <c r="U379" t="b">
        <f>Consulta1[[#This Row],[TETO_COMERCIAL_%]]=Consulta1[[#This Row],[TAXA]]</f>
        <v>0</v>
      </c>
      <c r="V379" t="str">
        <f>CONCATENATE(Consulta1[[#This Row],[MES_ALTERACAO]],Consulta1[[#This Row],[VIRADA]])</f>
        <v>2026053</v>
      </c>
      <c r="W379">
        <f>VLOOKUP(Consulta1[[#This Row],[Coluna2]],CALENDARIO!$J:$K,2,FALSE)</f>
        <v>0</v>
      </c>
    </row>
    <row r="380" spans="1:23" x14ac:dyDescent="0.25">
      <c r="A380" t="s">
        <v>42</v>
      </c>
      <c r="B380" t="str">
        <f>CONCATENATE(Consulta1[[#This Row],[id]],Consulta1[[#This Row],[EMPREGADOR]])</f>
        <v>10INSS</v>
      </c>
      <c r="C380" s="6">
        <f>IF(A380=A379,C379+1,1)</f>
        <v>10</v>
      </c>
      <c r="D380" t="s">
        <v>3913</v>
      </c>
      <c r="E380" s="101">
        <v>1.5800000000000002E-2</v>
      </c>
      <c r="F380" s="6">
        <v>96</v>
      </c>
      <c r="G380" t="s">
        <v>1349</v>
      </c>
      <c r="H380" s="82">
        <v>1.85</v>
      </c>
      <c r="I380">
        <v>10</v>
      </c>
      <c r="J380">
        <v>53</v>
      </c>
      <c r="K380" t="s">
        <v>3914</v>
      </c>
      <c r="L380" s="6" t="s">
        <v>3896</v>
      </c>
      <c r="M380" s="6">
        <v>3</v>
      </c>
      <c r="N380" s="6">
        <v>3</v>
      </c>
      <c r="O380">
        <v>30000</v>
      </c>
      <c r="P380">
        <v>202605</v>
      </c>
      <c r="Q380" t="s">
        <v>378</v>
      </c>
      <c r="R380" t="s">
        <v>1353</v>
      </c>
      <c r="S380">
        <f>Consulta1[[#This Row],[min_port]]/100</f>
        <v>1.44E-2</v>
      </c>
      <c r="T380" s="252">
        <f>Consulta1[[#This Row],[TETO_COMERCIAL]]/100</f>
        <v>1.8500000000000003E-2</v>
      </c>
      <c r="U380" t="b">
        <f>Consulta1[[#This Row],[TETO_COMERCIAL_%]]=Consulta1[[#This Row],[TAXA]]</f>
        <v>0</v>
      </c>
      <c r="V380" t="str">
        <f>CONCATENATE(Consulta1[[#This Row],[MES_ALTERACAO]],Consulta1[[#This Row],[VIRADA]])</f>
        <v>2026053</v>
      </c>
      <c r="W380">
        <f>VLOOKUP(Consulta1[[#This Row],[Coluna2]],CALENDARIO!$J:$K,2,FALSE)</f>
        <v>0</v>
      </c>
    </row>
    <row r="381" spans="1:23" x14ac:dyDescent="0.25">
      <c r="A381" t="s">
        <v>42</v>
      </c>
      <c r="B381" t="str">
        <f>CONCATENATE(Consulta1[[#This Row],[id]],Consulta1[[#This Row],[EMPREGADOR]])</f>
        <v>11INSS</v>
      </c>
      <c r="C381" s="6">
        <f>IF(A381=A380,C380+1,1)</f>
        <v>11</v>
      </c>
      <c r="D381" t="s">
        <v>3915</v>
      </c>
      <c r="E381" s="101">
        <v>1.5600000000000001E-2</v>
      </c>
      <c r="F381" s="6">
        <v>96</v>
      </c>
      <c r="G381" t="s">
        <v>1349</v>
      </c>
      <c r="H381" s="82">
        <v>1.85</v>
      </c>
      <c r="I381">
        <v>10</v>
      </c>
      <c r="J381">
        <v>53</v>
      </c>
      <c r="K381" t="s">
        <v>3916</v>
      </c>
      <c r="L381" s="6" t="s">
        <v>3896</v>
      </c>
      <c r="M381" s="6">
        <v>3</v>
      </c>
      <c r="N381" s="6">
        <v>3</v>
      </c>
      <c r="O381">
        <v>50000</v>
      </c>
      <c r="P381">
        <v>202605</v>
      </c>
      <c r="Q381" t="s">
        <v>378</v>
      </c>
      <c r="R381" t="s">
        <v>1353</v>
      </c>
      <c r="S381">
        <f>Consulta1[[#This Row],[min_port]]/100</f>
        <v>1.44E-2</v>
      </c>
      <c r="T381" s="252">
        <f>Consulta1[[#This Row],[TETO_COMERCIAL]]/100</f>
        <v>1.8500000000000003E-2</v>
      </c>
      <c r="U381" t="b">
        <f>Consulta1[[#This Row],[TETO_COMERCIAL_%]]=Consulta1[[#This Row],[TAXA]]</f>
        <v>0</v>
      </c>
      <c r="V381" t="str">
        <f>CONCATENATE(Consulta1[[#This Row],[MES_ALTERACAO]],Consulta1[[#This Row],[VIRADA]])</f>
        <v>2026053</v>
      </c>
      <c r="W381">
        <f>VLOOKUP(Consulta1[[#This Row],[Coluna2]],CALENDARIO!$J:$K,2,FALSE)</f>
        <v>0</v>
      </c>
    </row>
    <row r="382" spans="1:23" x14ac:dyDescent="0.25">
      <c r="A382" t="s">
        <v>3011</v>
      </c>
      <c r="B382" t="str">
        <f>CONCATENATE(Consulta1[[#This Row],[id]],Consulta1[[#This Row],[EMPREGADOR]])</f>
        <v>1INST CARIACICA</v>
      </c>
      <c r="C382" s="6">
        <f>IF(A382=A381,C381+1,1)</f>
        <v>1</v>
      </c>
      <c r="D382" t="s">
        <v>1026</v>
      </c>
      <c r="E382" s="101">
        <v>2.5000000000000001E-2</v>
      </c>
      <c r="F382" s="6">
        <v>120</v>
      </c>
      <c r="G382" t="s">
        <v>1349</v>
      </c>
      <c r="H382" s="82">
        <v>2.5</v>
      </c>
      <c r="I382">
        <v>10</v>
      </c>
      <c r="K382" t="s">
        <v>1477</v>
      </c>
      <c r="L382" s="6" t="s">
        <v>1426</v>
      </c>
      <c r="M382" s="6">
        <v>5</v>
      </c>
      <c r="N382" s="6">
        <v>2</v>
      </c>
      <c r="O382">
        <v>500</v>
      </c>
      <c r="P382">
        <v>202605</v>
      </c>
      <c r="Q382" t="s">
        <v>378</v>
      </c>
      <c r="R382" t="s">
        <v>1353</v>
      </c>
      <c r="S382">
        <f>Consulta1[[#This Row],[min_port]]/100</f>
        <v>1.4199999999999999E-2</v>
      </c>
      <c r="T382" s="252">
        <f>Consulta1[[#This Row],[TETO_COMERCIAL]]/100</f>
        <v>2.5000000000000001E-2</v>
      </c>
      <c r="U382" t="b">
        <f>Consulta1[[#This Row],[TETO_COMERCIAL_%]]=Consulta1[[#This Row],[TAXA]]</f>
        <v>1</v>
      </c>
      <c r="V382" t="str">
        <f>CONCATENATE(Consulta1[[#This Row],[MES_ALTERACAO]],Consulta1[[#This Row],[VIRADA]])</f>
        <v>2026055</v>
      </c>
      <c r="W382">
        <f>VLOOKUP(Consulta1[[#This Row],[Coluna2]],CALENDARIO!$J:$K,2,FALSE)</f>
        <v>2</v>
      </c>
    </row>
    <row r="383" spans="1:23" x14ac:dyDescent="0.25">
      <c r="A383" t="s">
        <v>3011</v>
      </c>
      <c r="B383" t="str">
        <f>CONCATENATE(Consulta1[[#This Row],[id]],Consulta1[[#This Row],[EMPREGADOR]])</f>
        <v>2INST CARIACICA</v>
      </c>
      <c r="C383" s="6">
        <f>IF(A383=A382,C382+1,1)</f>
        <v>2</v>
      </c>
      <c r="D383" t="s">
        <v>1027</v>
      </c>
      <c r="E383" s="101">
        <v>2.3E-2</v>
      </c>
      <c r="F383" s="6">
        <v>120</v>
      </c>
      <c r="G383" t="s">
        <v>1349</v>
      </c>
      <c r="H383" s="82">
        <v>2.5</v>
      </c>
      <c r="I383">
        <v>10</v>
      </c>
      <c r="K383" t="s">
        <v>1478</v>
      </c>
      <c r="L383" s="6" t="s">
        <v>1426</v>
      </c>
      <c r="M383" s="6">
        <v>5</v>
      </c>
      <c r="N383" s="6">
        <v>2</v>
      </c>
      <c r="O383">
        <v>500</v>
      </c>
      <c r="P383">
        <v>202605</v>
      </c>
      <c r="Q383" t="s">
        <v>378</v>
      </c>
      <c r="R383" t="s">
        <v>1353</v>
      </c>
      <c r="S383">
        <f>Consulta1[[#This Row],[min_port]]/100</f>
        <v>1.4199999999999999E-2</v>
      </c>
      <c r="T383" s="252">
        <f>Consulta1[[#This Row],[TETO_COMERCIAL]]/100</f>
        <v>2.5000000000000001E-2</v>
      </c>
      <c r="U383" t="b">
        <f>Consulta1[[#This Row],[TETO_COMERCIAL_%]]=Consulta1[[#This Row],[TAXA]]</f>
        <v>0</v>
      </c>
      <c r="V383" t="str">
        <f>CONCATENATE(Consulta1[[#This Row],[MES_ALTERACAO]],Consulta1[[#This Row],[VIRADA]])</f>
        <v>2026055</v>
      </c>
      <c r="W383">
        <f>VLOOKUP(Consulta1[[#This Row],[Coluna2]],CALENDARIO!$J:$K,2,FALSE)</f>
        <v>2</v>
      </c>
    </row>
    <row r="384" spans="1:23" x14ac:dyDescent="0.25">
      <c r="A384" t="s">
        <v>3011</v>
      </c>
      <c r="B384" t="str">
        <f>CONCATENATE(Consulta1[[#This Row],[id]],Consulta1[[#This Row],[EMPREGADOR]])</f>
        <v>3INST CARIACICA</v>
      </c>
      <c r="C384" s="6">
        <f>IF(A384=A383,C383+1,1)</f>
        <v>3</v>
      </c>
      <c r="D384" t="s">
        <v>1028</v>
      </c>
      <c r="E384" s="101">
        <v>2.1499999999999998E-2</v>
      </c>
      <c r="F384" s="6">
        <v>120</v>
      </c>
      <c r="G384" t="s">
        <v>1349</v>
      </c>
      <c r="H384" s="82">
        <v>2.5</v>
      </c>
      <c r="I384">
        <v>10</v>
      </c>
      <c r="K384" t="s">
        <v>1479</v>
      </c>
      <c r="L384" s="6" t="s">
        <v>1426</v>
      </c>
      <c r="M384" s="6">
        <v>5</v>
      </c>
      <c r="N384" s="6">
        <v>2</v>
      </c>
      <c r="O384">
        <v>500</v>
      </c>
      <c r="P384">
        <v>202605</v>
      </c>
      <c r="Q384" t="s">
        <v>378</v>
      </c>
      <c r="R384" t="s">
        <v>1353</v>
      </c>
      <c r="S384">
        <f>Consulta1[[#This Row],[min_port]]/100</f>
        <v>1.4199999999999999E-2</v>
      </c>
      <c r="T384" s="252">
        <f>Consulta1[[#This Row],[TETO_COMERCIAL]]/100</f>
        <v>2.5000000000000001E-2</v>
      </c>
      <c r="U384" t="b">
        <f>Consulta1[[#This Row],[TETO_COMERCIAL_%]]=Consulta1[[#This Row],[TAXA]]</f>
        <v>0</v>
      </c>
      <c r="V384" t="str">
        <f>CONCATENATE(Consulta1[[#This Row],[MES_ALTERACAO]],Consulta1[[#This Row],[VIRADA]])</f>
        <v>2026055</v>
      </c>
      <c r="W384">
        <f>VLOOKUP(Consulta1[[#This Row],[Coluna2]],CALENDARIO!$J:$K,2,FALSE)</f>
        <v>2</v>
      </c>
    </row>
    <row r="385" spans="1:23" x14ac:dyDescent="0.25">
      <c r="A385" t="s">
        <v>3011</v>
      </c>
      <c r="B385" t="str">
        <f>CONCATENATE(Consulta1[[#This Row],[id]],Consulta1[[#This Row],[EMPREGADOR]])</f>
        <v>4INST CARIACICA</v>
      </c>
      <c r="C385" s="6">
        <f>IF(A385=A384,C384+1,1)</f>
        <v>4</v>
      </c>
      <c r="D385" t="s">
        <v>1029</v>
      </c>
      <c r="E385" s="101">
        <v>0.02</v>
      </c>
      <c r="F385" s="6">
        <v>120</v>
      </c>
      <c r="G385" t="s">
        <v>1349</v>
      </c>
      <c r="H385" s="82">
        <v>2.5</v>
      </c>
      <c r="I385">
        <v>10</v>
      </c>
      <c r="K385" t="s">
        <v>1480</v>
      </c>
      <c r="L385" s="6" t="s">
        <v>1426</v>
      </c>
      <c r="M385" s="6">
        <v>5</v>
      </c>
      <c r="N385" s="6">
        <v>2</v>
      </c>
      <c r="O385">
        <v>500</v>
      </c>
      <c r="P385">
        <v>202605</v>
      </c>
      <c r="Q385" t="s">
        <v>378</v>
      </c>
      <c r="R385" t="s">
        <v>1353</v>
      </c>
      <c r="S385">
        <f>Consulta1[[#This Row],[min_port]]/100</f>
        <v>1.4199999999999999E-2</v>
      </c>
      <c r="T385" s="252">
        <f>Consulta1[[#This Row],[TETO_COMERCIAL]]/100</f>
        <v>2.5000000000000001E-2</v>
      </c>
      <c r="U385" t="b">
        <f>Consulta1[[#This Row],[TETO_COMERCIAL_%]]=Consulta1[[#This Row],[TAXA]]</f>
        <v>0</v>
      </c>
      <c r="V385" t="str">
        <f>CONCATENATE(Consulta1[[#This Row],[MES_ALTERACAO]],Consulta1[[#This Row],[VIRADA]])</f>
        <v>2026055</v>
      </c>
      <c r="W385">
        <f>VLOOKUP(Consulta1[[#This Row],[Coluna2]],CALENDARIO!$J:$K,2,FALSE)</f>
        <v>2</v>
      </c>
    </row>
    <row r="386" spans="1:23" x14ac:dyDescent="0.25">
      <c r="A386" t="s">
        <v>3011</v>
      </c>
      <c r="B386" t="str">
        <f>CONCATENATE(Consulta1[[#This Row],[id]],Consulta1[[#This Row],[EMPREGADOR]])</f>
        <v>5INST CARIACICA</v>
      </c>
      <c r="C386" s="6">
        <f>IF(A386=A385,C385+1,1)</f>
        <v>5</v>
      </c>
      <c r="D386" t="s">
        <v>1030</v>
      </c>
      <c r="E386" s="101">
        <v>1.95E-2</v>
      </c>
      <c r="F386" s="6">
        <v>120</v>
      </c>
      <c r="G386" t="s">
        <v>1349</v>
      </c>
      <c r="H386" s="82">
        <v>2.5</v>
      </c>
      <c r="I386">
        <v>10</v>
      </c>
      <c r="K386" t="s">
        <v>1481</v>
      </c>
      <c r="L386" s="6" t="s">
        <v>1426</v>
      </c>
      <c r="M386" s="6">
        <v>5</v>
      </c>
      <c r="N386" s="6">
        <v>2</v>
      </c>
      <c r="O386">
        <v>500</v>
      </c>
      <c r="P386">
        <v>202605</v>
      </c>
      <c r="Q386" t="s">
        <v>378</v>
      </c>
      <c r="R386" t="s">
        <v>1353</v>
      </c>
      <c r="S386">
        <f>Consulta1[[#This Row],[min_port]]/100</f>
        <v>1.4199999999999999E-2</v>
      </c>
      <c r="T386" s="252">
        <f>Consulta1[[#This Row],[TETO_COMERCIAL]]/100</f>
        <v>2.5000000000000001E-2</v>
      </c>
      <c r="U386" t="b">
        <f>Consulta1[[#This Row],[TETO_COMERCIAL_%]]=Consulta1[[#This Row],[TAXA]]</f>
        <v>0</v>
      </c>
      <c r="V386" t="str">
        <f>CONCATENATE(Consulta1[[#This Row],[MES_ALTERACAO]],Consulta1[[#This Row],[VIRADA]])</f>
        <v>2026055</v>
      </c>
      <c r="W386">
        <f>VLOOKUP(Consulta1[[#This Row],[Coluna2]],CALENDARIO!$J:$K,2,FALSE)</f>
        <v>2</v>
      </c>
    </row>
    <row r="387" spans="1:23" x14ac:dyDescent="0.25">
      <c r="A387" t="s">
        <v>3011</v>
      </c>
      <c r="B387" t="str">
        <f>CONCATENATE(Consulta1[[#This Row],[id]],Consulta1[[#This Row],[EMPREGADOR]])</f>
        <v>6INST CARIACICA</v>
      </c>
      <c r="C387" s="6">
        <f>IF(A387=A386,C386+1,1)</f>
        <v>6</v>
      </c>
      <c r="D387" t="s">
        <v>1031</v>
      </c>
      <c r="E387" s="101">
        <v>1.8700000000000001E-2</v>
      </c>
      <c r="F387" s="6">
        <v>120</v>
      </c>
      <c r="G387" t="s">
        <v>1349</v>
      </c>
      <c r="H387" s="82">
        <v>2.5</v>
      </c>
      <c r="I387">
        <v>10</v>
      </c>
      <c r="K387" t="s">
        <v>1482</v>
      </c>
      <c r="L387" s="6" t="s">
        <v>1426</v>
      </c>
      <c r="M387" s="6">
        <v>5</v>
      </c>
      <c r="N387" s="6">
        <v>2</v>
      </c>
      <c r="O387">
        <v>500</v>
      </c>
      <c r="P387">
        <v>202605</v>
      </c>
      <c r="Q387" t="s">
        <v>378</v>
      </c>
      <c r="R387" t="s">
        <v>1353</v>
      </c>
      <c r="S387">
        <f>Consulta1[[#This Row],[min_port]]/100</f>
        <v>1.4199999999999999E-2</v>
      </c>
      <c r="T387" s="252">
        <f>Consulta1[[#This Row],[TETO_COMERCIAL]]/100</f>
        <v>2.5000000000000001E-2</v>
      </c>
      <c r="U387" t="b">
        <f>Consulta1[[#This Row],[TETO_COMERCIAL_%]]=Consulta1[[#This Row],[TAXA]]</f>
        <v>0</v>
      </c>
      <c r="V387" t="str">
        <f>CONCATENATE(Consulta1[[#This Row],[MES_ALTERACAO]],Consulta1[[#This Row],[VIRADA]])</f>
        <v>2026055</v>
      </c>
      <c r="W387">
        <f>VLOOKUP(Consulta1[[#This Row],[Coluna2]],CALENDARIO!$J:$K,2,FALSE)</f>
        <v>2</v>
      </c>
    </row>
    <row r="388" spans="1:23" x14ac:dyDescent="0.25">
      <c r="A388" t="s">
        <v>3011</v>
      </c>
      <c r="B388" t="str">
        <f>CONCATENATE(Consulta1[[#This Row],[id]],Consulta1[[#This Row],[EMPREGADOR]])</f>
        <v>7INST CARIACICA</v>
      </c>
      <c r="C388" s="6">
        <f>IF(A388=A387,C387+1,1)</f>
        <v>7</v>
      </c>
      <c r="D388" t="s">
        <v>1032</v>
      </c>
      <c r="E388" s="101">
        <v>1.8200000000000001E-2</v>
      </c>
      <c r="F388" s="6">
        <v>120</v>
      </c>
      <c r="G388" t="s">
        <v>1349</v>
      </c>
      <c r="H388" s="82">
        <v>2.5</v>
      </c>
      <c r="I388">
        <v>10</v>
      </c>
      <c r="K388" t="s">
        <v>1483</v>
      </c>
      <c r="L388" s="6" t="s">
        <v>1426</v>
      </c>
      <c r="M388" s="6">
        <v>5</v>
      </c>
      <c r="N388" s="6">
        <v>2</v>
      </c>
      <c r="O388">
        <v>500</v>
      </c>
      <c r="P388">
        <v>202605</v>
      </c>
      <c r="Q388" t="s">
        <v>378</v>
      </c>
      <c r="R388" t="s">
        <v>1353</v>
      </c>
      <c r="S388">
        <f>Consulta1[[#This Row],[min_port]]/100</f>
        <v>1.4199999999999999E-2</v>
      </c>
      <c r="T388" s="252">
        <f>Consulta1[[#This Row],[TETO_COMERCIAL]]/100</f>
        <v>2.5000000000000001E-2</v>
      </c>
      <c r="U388" t="b">
        <f>Consulta1[[#This Row],[TETO_COMERCIAL_%]]=Consulta1[[#This Row],[TAXA]]</f>
        <v>0</v>
      </c>
      <c r="V388" t="str">
        <f>CONCATENATE(Consulta1[[#This Row],[MES_ALTERACAO]],Consulta1[[#This Row],[VIRADA]])</f>
        <v>2026055</v>
      </c>
      <c r="W388">
        <f>VLOOKUP(Consulta1[[#This Row],[Coluna2]],CALENDARIO!$J:$K,2,FALSE)</f>
        <v>2</v>
      </c>
    </row>
    <row r="389" spans="1:23" x14ac:dyDescent="0.25">
      <c r="A389" t="s">
        <v>3011</v>
      </c>
      <c r="B389" t="str">
        <f>CONCATENATE(Consulta1[[#This Row],[id]],Consulta1[[#This Row],[EMPREGADOR]])</f>
        <v>8INST CARIACICA</v>
      </c>
      <c r="C389" s="6">
        <f>IF(A389=A388,C388+1,1)</f>
        <v>8</v>
      </c>
      <c r="D389" t="s">
        <v>1033</v>
      </c>
      <c r="E389" s="101">
        <v>1.77E-2</v>
      </c>
      <c r="F389" s="6">
        <v>120</v>
      </c>
      <c r="G389" t="s">
        <v>1349</v>
      </c>
      <c r="H389" s="82">
        <v>2.5</v>
      </c>
      <c r="I389">
        <v>10</v>
      </c>
      <c r="K389" t="s">
        <v>1484</v>
      </c>
      <c r="L389" s="6" t="s">
        <v>1426</v>
      </c>
      <c r="M389" s="6">
        <v>5</v>
      </c>
      <c r="N389" s="6">
        <v>2</v>
      </c>
      <c r="O389">
        <v>500</v>
      </c>
      <c r="P389">
        <v>202605</v>
      </c>
      <c r="Q389" t="s">
        <v>378</v>
      </c>
      <c r="R389" t="s">
        <v>1353</v>
      </c>
      <c r="S389">
        <f>Consulta1[[#This Row],[min_port]]/100</f>
        <v>1.4199999999999999E-2</v>
      </c>
      <c r="T389" s="252">
        <f>Consulta1[[#This Row],[TETO_COMERCIAL]]/100</f>
        <v>2.5000000000000001E-2</v>
      </c>
      <c r="U389" t="b">
        <f>Consulta1[[#This Row],[TETO_COMERCIAL_%]]=Consulta1[[#This Row],[TAXA]]</f>
        <v>0</v>
      </c>
      <c r="V389" t="str">
        <f>CONCATENATE(Consulta1[[#This Row],[MES_ALTERACAO]],Consulta1[[#This Row],[VIRADA]])</f>
        <v>2026055</v>
      </c>
      <c r="W389">
        <f>VLOOKUP(Consulta1[[#This Row],[Coluna2]],CALENDARIO!$J:$K,2,FALSE)</f>
        <v>2</v>
      </c>
    </row>
    <row r="390" spans="1:23" x14ac:dyDescent="0.25">
      <c r="A390" t="s">
        <v>3011</v>
      </c>
      <c r="B390" t="str">
        <f>CONCATENATE(Consulta1[[#This Row],[id]],Consulta1[[#This Row],[EMPREGADOR]])</f>
        <v>9INST CARIACICA</v>
      </c>
      <c r="C390" s="6">
        <f>IF(A390=A389,C389+1,1)</f>
        <v>9</v>
      </c>
      <c r="D390" t="s">
        <v>1034</v>
      </c>
      <c r="E390" s="101">
        <v>1.72E-2</v>
      </c>
      <c r="F390" s="6">
        <v>120</v>
      </c>
      <c r="G390" t="s">
        <v>1349</v>
      </c>
      <c r="H390" s="82">
        <v>2.5</v>
      </c>
      <c r="I390">
        <v>10</v>
      </c>
      <c r="K390" t="s">
        <v>1485</v>
      </c>
      <c r="L390" s="6" t="s">
        <v>1426</v>
      </c>
      <c r="M390" s="6">
        <v>5</v>
      </c>
      <c r="N390" s="6">
        <v>2</v>
      </c>
      <c r="O390">
        <v>500</v>
      </c>
      <c r="P390">
        <v>202605</v>
      </c>
      <c r="Q390" t="s">
        <v>378</v>
      </c>
      <c r="R390" t="s">
        <v>1353</v>
      </c>
      <c r="S390">
        <f>Consulta1[[#This Row],[min_port]]/100</f>
        <v>1.4199999999999999E-2</v>
      </c>
      <c r="T390" s="252">
        <f>Consulta1[[#This Row],[TETO_COMERCIAL]]/100</f>
        <v>2.5000000000000001E-2</v>
      </c>
      <c r="U390" t="b">
        <f>Consulta1[[#This Row],[TETO_COMERCIAL_%]]=Consulta1[[#This Row],[TAXA]]</f>
        <v>0</v>
      </c>
      <c r="V390" t="str">
        <f>CONCATENATE(Consulta1[[#This Row],[MES_ALTERACAO]],Consulta1[[#This Row],[VIRADA]])</f>
        <v>2026055</v>
      </c>
      <c r="W390">
        <f>VLOOKUP(Consulta1[[#This Row],[Coluna2]],CALENDARIO!$J:$K,2,FALSE)</f>
        <v>2</v>
      </c>
    </row>
    <row r="391" spans="1:23" x14ac:dyDescent="0.25">
      <c r="A391" t="s">
        <v>3011</v>
      </c>
      <c r="B391" t="str">
        <f>CONCATENATE(Consulta1[[#This Row],[id]],Consulta1[[#This Row],[EMPREGADOR]])</f>
        <v>10INST CARIACICA</v>
      </c>
      <c r="C391" s="6">
        <f>IF(A391=A390,C390+1,1)</f>
        <v>10</v>
      </c>
      <c r="D391" t="s">
        <v>1486</v>
      </c>
      <c r="E391" s="101">
        <v>1.67E-2</v>
      </c>
      <c r="F391" s="6">
        <v>120</v>
      </c>
      <c r="G391" t="s">
        <v>1349</v>
      </c>
      <c r="H391" s="82">
        <v>2.5</v>
      </c>
      <c r="I391">
        <v>10</v>
      </c>
      <c r="K391" t="s">
        <v>1487</v>
      </c>
      <c r="L391" s="6" t="s">
        <v>1426</v>
      </c>
      <c r="M391" s="6">
        <v>5</v>
      </c>
      <c r="N391" s="6">
        <v>2</v>
      </c>
      <c r="O391">
        <v>500</v>
      </c>
      <c r="P391">
        <v>202605</v>
      </c>
      <c r="Q391" t="s">
        <v>378</v>
      </c>
      <c r="R391" t="s">
        <v>1353</v>
      </c>
      <c r="S391">
        <f>Consulta1[[#This Row],[min_port]]/100</f>
        <v>1.4199999999999999E-2</v>
      </c>
      <c r="T391" s="252">
        <f>Consulta1[[#This Row],[TETO_COMERCIAL]]/100</f>
        <v>2.5000000000000001E-2</v>
      </c>
      <c r="U391" t="b">
        <f>Consulta1[[#This Row],[TETO_COMERCIAL_%]]=Consulta1[[#This Row],[TAXA]]</f>
        <v>0</v>
      </c>
      <c r="V391" t="str">
        <f>CONCATENATE(Consulta1[[#This Row],[MES_ALTERACAO]],Consulta1[[#This Row],[VIRADA]])</f>
        <v>2026055</v>
      </c>
      <c r="W391">
        <f>VLOOKUP(Consulta1[[#This Row],[Coluna2]],CALENDARIO!$J:$K,2,FALSE)</f>
        <v>2</v>
      </c>
    </row>
    <row r="392" spans="1:23" x14ac:dyDescent="0.25">
      <c r="A392" t="s">
        <v>2902</v>
      </c>
      <c r="B392" t="str">
        <f>CONCATENATE(Consulta1[[#This Row],[id]],Consulta1[[#This Row],[EMPREGADOR]])</f>
        <v>1INST PREV CAC</v>
      </c>
      <c r="C392" s="6">
        <f>IF(A392=A391,C391+1,1)</f>
        <v>1</v>
      </c>
      <c r="D392" t="s">
        <v>2903</v>
      </c>
      <c r="E392" s="101">
        <v>2.5000000000000001E-2</v>
      </c>
      <c r="F392" s="6">
        <v>120</v>
      </c>
      <c r="G392" t="s">
        <v>1349</v>
      </c>
      <c r="H392" s="82">
        <v>2.5</v>
      </c>
      <c r="I392">
        <v>6</v>
      </c>
      <c r="K392" t="s">
        <v>2904</v>
      </c>
      <c r="L392" s="6" t="s">
        <v>1356</v>
      </c>
      <c r="M392" s="6">
        <v>14</v>
      </c>
      <c r="N392" s="6">
        <v>2</v>
      </c>
      <c r="O392">
        <v>500</v>
      </c>
      <c r="P392">
        <v>202605</v>
      </c>
      <c r="Q392" t="s">
        <v>377</v>
      </c>
      <c r="R392" t="s">
        <v>1350</v>
      </c>
      <c r="S392">
        <f>Consulta1[[#This Row],[min_port]]/100</f>
        <v>1.3000000000000001E-2</v>
      </c>
      <c r="T392" s="252">
        <f>Consulta1[[#This Row],[TETO_COMERCIAL]]/100</f>
        <v>2.5000000000000001E-2</v>
      </c>
      <c r="U392" t="b">
        <f>Consulta1[[#This Row],[TETO_COMERCIAL_%]]=Consulta1[[#This Row],[TAXA]]</f>
        <v>1</v>
      </c>
      <c r="V392" t="str">
        <f>CONCATENATE(Consulta1[[#This Row],[MES_ALTERACAO]],Consulta1[[#This Row],[VIRADA]])</f>
        <v>20260514</v>
      </c>
      <c r="W392">
        <f>VLOOKUP(Consulta1[[#This Row],[Coluna2]],CALENDARIO!$J:$K,2,FALSE)</f>
        <v>9</v>
      </c>
    </row>
    <row r="393" spans="1:23" x14ac:dyDescent="0.25">
      <c r="A393" t="s">
        <v>2902</v>
      </c>
      <c r="B393" t="str">
        <f>CONCATENATE(Consulta1[[#This Row],[id]],Consulta1[[#This Row],[EMPREGADOR]])</f>
        <v>2INST PREV CAC</v>
      </c>
      <c r="C393" s="6">
        <f>IF(A393=A392,C392+1,1)</f>
        <v>2</v>
      </c>
      <c r="D393" t="s">
        <v>2905</v>
      </c>
      <c r="E393" s="101">
        <v>2.2499999999999999E-2</v>
      </c>
      <c r="F393" s="6">
        <v>120</v>
      </c>
      <c r="G393" t="s">
        <v>1349</v>
      </c>
      <c r="H393" s="82">
        <v>2.5</v>
      </c>
      <c r="I393">
        <v>6</v>
      </c>
      <c r="K393" t="s">
        <v>2906</v>
      </c>
      <c r="L393" s="6" t="s">
        <v>1356</v>
      </c>
      <c r="M393" s="6">
        <v>14</v>
      </c>
      <c r="N393" s="6">
        <v>2</v>
      </c>
      <c r="O393">
        <v>500</v>
      </c>
      <c r="P393">
        <v>202605</v>
      </c>
      <c r="Q393" t="s">
        <v>377</v>
      </c>
      <c r="R393" t="s">
        <v>1350</v>
      </c>
      <c r="S393">
        <f>Consulta1[[#This Row],[min_port]]/100</f>
        <v>1.3000000000000001E-2</v>
      </c>
      <c r="T393" s="252">
        <f>Consulta1[[#This Row],[TETO_COMERCIAL]]/100</f>
        <v>2.5000000000000001E-2</v>
      </c>
      <c r="U393" t="b">
        <f>Consulta1[[#This Row],[TETO_COMERCIAL_%]]=Consulta1[[#This Row],[TAXA]]</f>
        <v>0</v>
      </c>
      <c r="V393" t="str">
        <f>CONCATENATE(Consulta1[[#This Row],[MES_ALTERACAO]],Consulta1[[#This Row],[VIRADA]])</f>
        <v>20260514</v>
      </c>
      <c r="W393">
        <f>VLOOKUP(Consulta1[[#This Row],[Coluna2]],CALENDARIO!$J:$K,2,FALSE)</f>
        <v>9</v>
      </c>
    </row>
    <row r="394" spans="1:23" x14ac:dyDescent="0.25">
      <c r="A394" t="s">
        <v>2902</v>
      </c>
      <c r="B394" t="str">
        <f>CONCATENATE(Consulta1[[#This Row],[id]],Consulta1[[#This Row],[EMPREGADOR]])</f>
        <v>3INST PREV CAC</v>
      </c>
      <c r="C394" s="6">
        <f>IF(A394=A393,C393+1,1)</f>
        <v>3</v>
      </c>
      <c r="D394" t="s">
        <v>2907</v>
      </c>
      <c r="E394" s="101">
        <v>0.02</v>
      </c>
      <c r="F394" s="6">
        <v>120</v>
      </c>
      <c r="G394" t="s">
        <v>1349</v>
      </c>
      <c r="H394" s="82">
        <v>2.5</v>
      </c>
      <c r="I394">
        <v>6</v>
      </c>
      <c r="K394" t="s">
        <v>2908</v>
      </c>
      <c r="L394" s="6" t="s">
        <v>1356</v>
      </c>
      <c r="M394" s="6">
        <v>14</v>
      </c>
      <c r="N394" s="6">
        <v>2</v>
      </c>
      <c r="O394">
        <v>500</v>
      </c>
      <c r="P394">
        <v>202605</v>
      </c>
      <c r="Q394" t="s">
        <v>377</v>
      </c>
      <c r="R394" t="s">
        <v>1350</v>
      </c>
      <c r="S394">
        <f>Consulta1[[#This Row],[min_port]]/100</f>
        <v>1.3000000000000001E-2</v>
      </c>
      <c r="T394" s="252">
        <f>Consulta1[[#This Row],[TETO_COMERCIAL]]/100</f>
        <v>2.5000000000000001E-2</v>
      </c>
      <c r="U394" t="b">
        <f>Consulta1[[#This Row],[TETO_COMERCIAL_%]]=Consulta1[[#This Row],[TAXA]]</f>
        <v>0</v>
      </c>
      <c r="V394" t="str">
        <f>CONCATENATE(Consulta1[[#This Row],[MES_ALTERACAO]],Consulta1[[#This Row],[VIRADA]])</f>
        <v>20260514</v>
      </c>
      <c r="W394">
        <f>VLOOKUP(Consulta1[[#This Row],[Coluna2]],CALENDARIO!$J:$K,2,FALSE)</f>
        <v>9</v>
      </c>
    </row>
    <row r="395" spans="1:23" x14ac:dyDescent="0.25">
      <c r="A395" t="s">
        <v>2902</v>
      </c>
      <c r="B395" t="str">
        <f>CONCATENATE(Consulta1[[#This Row],[id]],Consulta1[[#This Row],[EMPREGADOR]])</f>
        <v>4INST PREV CAC</v>
      </c>
      <c r="C395" s="6">
        <f>IF(A395=A394,C394+1,1)</f>
        <v>4</v>
      </c>
      <c r="D395" t="s">
        <v>2909</v>
      </c>
      <c r="E395" s="101">
        <v>1.8000000000000002E-2</v>
      </c>
      <c r="F395" s="6">
        <v>120</v>
      </c>
      <c r="G395" t="s">
        <v>1349</v>
      </c>
      <c r="H395" s="82">
        <v>2.5</v>
      </c>
      <c r="I395">
        <v>6</v>
      </c>
      <c r="K395" t="s">
        <v>2910</v>
      </c>
      <c r="L395" s="6" t="s">
        <v>1356</v>
      </c>
      <c r="M395" s="6">
        <v>14</v>
      </c>
      <c r="N395" s="6">
        <v>2</v>
      </c>
      <c r="O395">
        <v>500</v>
      </c>
      <c r="P395">
        <v>202605</v>
      </c>
      <c r="Q395" t="s">
        <v>377</v>
      </c>
      <c r="R395" t="s">
        <v>1350</v>
      </c>
      <c r="S395">
        <f>Consulta1[[#This Row],[min_port]]/100</f>
        <v>1.3000000000000001E-2</v>
      </c>
      <c r="T395" s="252">
        <f>Consulta1[[#This Row],[TETO_COMERCIAL]]/100</f>
        <v>2.5000000000000001E-2</v>
      </c>
      <c r="U395" t="b">
        <f>Consulta1[[#This Row],[TETO_COMERCIAL_%]]=Consulta1[[#This Row],[TAXA]]</f>
        <v>0</v>
      </c>
      <c r="V395" t="str">
        <f>CONCATENATE(Consulta1[[#This Row],[MES_ALTERACAO]],Consulta1[[#This Row],[VIRADA]])</f>
        <v>20260514</v>
      </c>
      <c r="W395">
        <f>VLOOKUP(Consulta1[[#This Row],[Coluna2]],CALENDARIO!$J:$K,2,FALSE)</f>
        <v>9</v>
      </c>
    </row>
    <row r="396" spans="1:23" x14ac:dyDescent="0.25">
      <c r="A396" t="s">
        <v>2902</v>
      </c>
      <c r="B396" t="str">
        <f>CONCATENATE(Consulta1[[#This Row],[id]],Consulta1[[#This Row],[EMPREGADOR]])</f>
        <v>5INST PREV CAC</v>
      </c>
      <c r="C396" s="6">
        <f>IF(A396=A395,C395+1,1)</f>
        <v>5</v>
      </c>
      <c r="D396" t="s">
        <v>2911</v>
      </c>
      <c r="E396" s="101">
        <v>1.7600000000000001E-2</v>
      </c>
      <c r="F396" s="6">
        <v>120</v>
      </c>
      <c r="G396" t="s">
        <v>1349</v>
      </c>
      <c r="H396" s="82">
        <v>2.5</v>
      </c>
      <c r="I396">
        <v>6</v>
      </c>
      <c r="K396" t="s">
        <v>2912</v>
      </c>
      <c r="L396" s="6" t="s">
        <v>1356</v>
      </c>
      <c r="M396" s="6">
        <v>14</v>
      </c>
      <c r="N396" s="6">
        <v>2</v>
      </c>
      <c r="O396">
        <v>500</v>
      </c>
      <c r="P396">
        <v>202605</v>
      </c>
      <c r="Q396" t="s">
        <v>377</v>
      </c>
      <c r="R396" t="s">
        <v>1350</v>
      </c>
      <c r="S396">
        <f>Consulta1[[#This Row],[min_port]]/100</f>
        <v>1.3000000000000001E-2</v>
      </c>
      <c r="T396" s="252">
        <f>Consulta1[[#This Row],[TETO_COMERCIAL]]/100</f>
        <v>2.5000000000000001E-2</v>
      </c>
      <c r="U396" t="b">
        <f>Consulta1[[#This Row],[TETO_COMERCIAL_%]]=Consulta1[[#This Row],[TAXA]]</f>
        <v>0</v>
      </c>
      <c r="V396" t="str">
        <f>CONCATENATE(Consulta1[[#This Row],[MES_ALTERACAO]],Consulta1[[#This Row],[VIRADA]])</f>
        <v>20260514</v>
      </c>
      <c r="W396">
        <f>VLOOKUP(Consulta1[[#This Row],[Coluna2]],CALENDARIO!$J:$K,2,FALSE)</f>
        <v>9</v>
      </c>
    </row>
    <row r="397" spans="1:23" x14ac:dyDescent="0.25">
      <c r="A397" t="s">
        <v>2902</v>
      </c>
      <c r="B397" t="str">
        <f>CONCATENATE(Consulta1[[#This Row],[id]],Consulta1[[#This Row],[EMPREGADOR]])</f>
        <v>6INST PREV CAC</v>
      </c>
      <c r="C397" s="6">
        <f>IF(A397=A396,C396+1,1)</f>
        <v>6</v>
      </c>
      <c r="D397" t="s">
        <v>2913</v>
      </c>
      <c r="E397" s="101">
        <v>1.7399999999999999E-2</v>
      </c>
      <c r="F397" s="6">
        <v>120</v>
      </c>
      <c r="G397" t="s">
        <v>1349</v>
      </c>
      <c r="H397" s="82">
        <v>2.5</v>
      </c>
      <c r="I397">
        <v>6</v>
      </c>
      <c r="K397" t="s">
        <v>2914</v>
      </c>
      <c r="L397" s="6" t="s">
        <v>1356</v>
      </c>
      <c r="M397" s="6">
        <v>14</v>
      </c>
      <c r="N397" s="6">
        <v>2</v>
      </c>
      <c r="O397">
        <v>500</v>
      </c>
      <c r="P397">
        <v>202605</v>
      </c>
      <c r="Q397" t="s">
        <v>377</v>
      </c>
      <c r="R397" t="s">
        <v>1350</v>
      </c>
      <c r="S397">
        <f>Consulta1[[#This Row],[min_port]]/100</f>
        <v>1.3000000000000001E-2</v>
      </c>
      <c r="T397" s="252">
        <f>Consulta1[[#This Row],[TETO_COMERCIAL]]/100</f>
        <v>2.5000000000000001E-2</v>
      </c>
      <c r="U397" t="b">
        <f>Consulta1[[#This Row],[TETO_COMERCIAL_%]]=Consulta1[[#This Row],[TAXA]]</f>
        <v>0</v>
      </c>
      <c r="V397" t="str">
        <f>CONCATENATE(Consulta1[[#This Row],[MES_ALTERACAO]],Consulta1[[#This Row],[VIRADA]])</f>
        <v>20260514</v>
      </c>
      <c r="W397">
        <f>VLOOKUP(Consulta1[[#This Row],[Coluna2]],CALENDARIO!$J:$K,2,FALSE)</f>
        <v>9</v>
      </c>
    </row>
    <row r="398" spans="1:23" x14ac:dyDescent="0.25">
      <c r="A398" t="s">
        <v>2902</v>
      </c>
      <c r="B398" t="str">
        <f>CONCATENATE(Consulta1[[#This Row],[id]],Consulta1[[#This Row],[EMPREGADOR]])</f>
        <v>7INST PREV CAC</v>
      </c>
      <c r="C398" s="6">
        <f>IF(A398=A397,C397+1,1)</f>
        <v>7</v>
      </c>
      <c r="D398" t="s">
        <v>2915</v>
      </c>
      <c r="E398" s="101">
        <v>1.72E-2</v>
      </c>
      <c r="F398" s="6">
        <v>120</v>
      </c>
      <c r="G398" t="s">
        <v>1349</v>
      </c>
      <c r="H398" s="82">
        <v>2.5</v>
      </c>
      <c r="I398">
        <v>6</v>
      </c>
      <c r="K398" t="s">
        <v>2916</v>
      </c>
      <c r="L398" s="6" t="s">
        <v>1356</v>
      </c>
      <c r="M398" s="6">
        <v>14</v>
      </c>
      <c r="N398" s="6">
        <v>2</v>
      </c>
      <c r="O398">
        <v>500</v>
      </c>
      <c r="P398">
        <v>202605</v>
      </c>
      <c r="Q398" t="s">
        <v>377</v>
      </c>
      <c r="R398" t="s">
        <v>1350</v>
      </c>
      <c r="S398">
        <f>Consulta1[[#This Row],[min_port]]/100</f>
        <v>1.3000000000000001E-2</v>
      </c>
      <c r="T398" s="252">
        <f>Consulta1[[#This Row],[TETO_COMERCIAL]]/100</f>
        <v>2.5000000000000001E-2</v>
      </c>
      <c r="U398" t="b">
        <f>Consulta1[[#This Row],[TETO_COMERCIAL_%]]=Consulta1[[#This Row],[TAXA]]</f>
        <v>0</v>
      </c>
      <c r="V398" t="str">
        <f>CONCATENATE(Consulta1[[#This Row],[MES_ALTERACAO]],Consulta1[[#This Row],[VIRADA]])</f>
        <v>20260514</v>
      </c>
      <c r="W398">
        <f>VLOOKUP(Consulta1[[#This Row],[Coluna2]],CALENDARIO!$J:$K,2,FALSE)</f>
        <v>9</v>
      </c>
    </row>
    <row r="399" spans="1:23" x14ac:dyDescent="0.25">
      <c r="A399" t="s">
        <v>2902</v>
      </c>
      <c r="B399" t="str">
        <f>CONCATENATE(Consulta1[[#This Row],[id]],Consulta1[[#This Row],[EMPREGADOR]])</f>
        <v>8INST PREV CAC</v>
      </c>
      <c r="C399" s="6">
        <f>IF(A399=A398,C398+1,1)</f>
        <v>8</v>
      </c>
      <c r="D399" t="s">
        <v>2917</v>
      </c>
      <c r="E399" s="101">
        <v>1.7000000000000001E-2</v>
      </c>
      <c r="F399" s="6">
        <v>120</v>
      </c>
      <c r="G399" t="s">
        <v>1349</v>
      </c>
      <c r="H399" s="82">
        <v>2.5</v>
      </c>
      <c r="I399">
        <v>6</v>
      </c>
      <c r="K399" t="s">
        <v>2918</v>
      </c>
      <c r="L399" s="6" t="s">
        <v>1356</v>
      </c>
      <c r="M399" s="6">
        <v>14</v>
      </c>
      <c r="N399" s="6">
        <v>2</v>
      </c>
      <c r="O399">
        <v>500</v>
      </c>
      <c r="P399">
        <v>202605</v>
      </c>
      <c r="Q399" t="s">
        <v>377</v>
      </c>
      <c r="R399" t="s">
        <v>1350</v>
      </c>
      <c r="S399">
        <f>Consulta1[[#This Row],[min_port]]/100</f>
        <v>1.3000000000000001E-2</v>
      </c>
      <c r="T399" s="252">
        <f>Consulta1[[#This Row],[TETO_COMERCIAL]]/100</f>
        <v>2.5000000000000001E-2</v>
      </c>
      <c r="U399" t="b">
        <f>Consulta1[[#This Row],[TETO_COMERCIAL_%]]=Consulta1[[#This Row],[TAXA]]</f>
        <v>0</v>
      </c>
      <c r="V399" t="str">
        <f>CONCATENATE(Consulta1[[#This Row],[MES_ALTERACAO]],Consulta1[[#This Row],[VIRADA]])</f>
        <v>20260514</v>
      </c>
      <c r="W399">
        <f>VLOOKUP(Consulta1[[#This Row],[Coluna2]],CALENDARIO!$J:$K,2,FALSE)</f>
        <v>9</v>
      </c>
    </row>
    <row r="400" spans="1:23" x14ac:dyDescent="0.25">
      <c r="A400" t="s">
        <v>2902</v>
      </c>
      <c r="B400" t="str">
        <f>CONCATENATE(Consulta1[[#This Row],[id]],Consulta1[[#This Row],[EMPREGADOR]])</f>
        <v>9INST PREV CAC</v>
      </c>
      <c r="C400" s="6">
        <f>IF(A400=A399,C399+1,1)</f>
        <v>9</v>
      </c>
      <c r="D400" t="s">
        <v>2919</v>
      </c>
      <c r="E400" s="101">
        <v>1.6799999999999999E-2</v>
      </c>
      <c r="F400" s="6">
        <v>120</v>
      </c>
      <c r="G400" t="s">
        <v>1349</v>
      </c>
      <c r="H400" s="82">
        <v>2.5</v>
      </c>
      <c r="I400">
        <v>6</v>
      </c>
      <c r="K400" t="s">
        <v>2920</v>
      </c>
      <c r="L400" s="6" t="s">
        <v>1356</v>
      </c>
      <c r="M400" s="6">
        <v>14</v>
      </c>
      <c r="N400" s="6">
        <v>2</v>
      </c>
      <c r="O400">
        <v>500</v>
      </c>
      <c r="P400">
        <v>202605</v>
      </c>
      <c r="Q400" t="s">
        <v>377</v>
      </c>
      <c r="R400" t="s">
        <v>1350</v>
      </c>
      <c r="S400">
        <f>Consulta1[[#This Row],[min_port]]/100</f>
        <v>1.3000000000000001E-2</v>
      </c>
      <c r="T400" s="252">
        <f>Consulta1[[#This Row],[TETO_COMERCIAL]]/100</f>
        <v>2.5000000000000001E-2</v>
      </c>
      <c r="U400" t="b">
        <f>Consulta1[[#This Row],[TETO_COMERCIAL_%]]=Consulta1[[#This Row],[TAXA]]</f>
        <v>0</v>
      </c>
      <c r="V400" t="str">
        <f>CONCATENATE(Consulta1[[#This Row],[MES_ALTERACAO]],Consulta1[[#This Row],[VIRADA]])</f>
        <v>20260514</v>
      </c>
      <c r="W400">
        <f>VLOOKUP(Consulta1[[#This Row],[Coluna2]],CALENDARIO!$J:$K,2,FALSE)</f>
        <v>9</v>
      </c>
    </row>
    <row r="401" spans="1:23" x14ac:dyDescent="0.25">
      <c r="A401" t="s">
        <v>2514</v>
      </c>
      <c r="B401" t="str">
        <f>CONCATENATE(Consulta1[[#This Row],[id]],Consulta1[[#This Row],[EMPREGADOR]])</f>
        <v>1INST PREV JUNDI</v>
      </c>
      <c r="C401" s="6">
        <f>IF(A401=A400,C400+1,1)</f>
        <v>1</v>
      </c>
      <c r="D401" t="s">
        <v>2515</v>
      </c>
      <c r="E401" s="101">
        <v>2.5000000000000001E-2</v>
      </c>
      <c r="F401" s="6">
        <v>96</v>
      </c>
      <c r="G401" t="s">
        <v>1349</v>
      </c>
      <c r="H401" s="82">
        <v>2.5</v>
      </c>
      <c r="I401">
        <v>9</v>
      </c>
      <c r="K401" t="s">
        <v>2516</v>
      </c>
      <c r="L401" s="6" t="s">
        <v>1438</v>
      </c>
      <c r="M401" s="6">
        <v>8</v>
      </c>
      <c r="N401" s="6">
        <v>2</v>
      </c>
      <c r="O401">
        <v>500</v>
      </c>
      <c r="P401">
        <v>202605</v>
      </c>
      <c r="Q401" t="s">
        <v>377</v>
      </c>
      <c r="R401" t="s">
        <v>1353</v>
      </c>
      <c r="S401">
        <f>Consulta1[[#This Row],[min_port]]/100</f>
        <v>1.6500000000000001E-2</v>
      </c>
      <c r="T401" s="252">
        <f>Consulta1[[#This Row],[TETO_COMERCIAL]]/100</f>
        <v>2.5000000000000001E-2</v>
      </c>
      <c r="U401" t="b">
        <f>Consulta1[[#This Row],[TETO_COMERCIAL_%]]=Consulta1[[#This Row],[TAXA]]</f>
        <v>1</v>
      </c>
      <c r="V401" t="str">
        <f>CONCATENATE(Consulta1[[#This Row],[MES_ALTERACAO]],Consulta1[[#This Row],[VIRADA]])</f>
        <v>2026058</v>
      </c>
      <c r="W401">
        <f>VLOOKUP(Consulta1[[#This Row],[Coluna2]],CALENDARIO!$J:$K,2,FALSE)</f>
        <v>5</v>
      </c>
    </row>
    <row r="402" spans="1:23" x14ac:dyDescent="0.25">
      <c r="A402" t="s">
        <v>2514</v>
      </c>
      <c r="B402" t="str">
        <f>CONCATENATE(Consulta1[[#This Row],[id]],Consulta1[[#This Row],[EMPREGADOR]])</f>
        <v>2INST PREV JUNDI</v>
      </c>
      <c r="C402" s="6">
        <f>IF(A402=A401,C401+1,1)</f>
        <v>2</v>
      </c>
      <c r="D402" t="s">
        <v>2517</v>
      </c>
      <c r="E402" s="101">
        <v>2.1499999999999998E-2</v>
      </c>
      <c r="F402" s="6">
        <v>96</v>
      </c>
      <c r="G402" t="s">
        <v>1349</v>
      </c>
      <c r="H402" s="82">
        <v>2.5</v>
      </c>
      <c r="I402">
        <v>9</v>
      </c>
      <c r="K402" t="s">
        <v>2518</v>
      </c>
      <c r="L402" s="6" t="s">
        <v>1438</v>
      </c>
      <c r="M402" s="6">
        <v>8</v>
      </c>
      <c r="N402" s="6">
        <v>2</v>
      </c>
      <c r="O402">
        <v>500</v>
      </c>
      <c r="P402">
        <v>202605</v>
      </c>
      <c r="Q402" t="s">
        <v>377</v>
      </c>
      <c r="R402" t="s">
        <v>1353</v>
      </c>
      <c r="S402">
        <f>Consulta1[[#This Row],[min_port]]/100</f>
        <v>1.6500000000000001E-2</v>
      </c>
      <c r="T402" s="252">
        <f>Consulta1[[#This Row],[TETO_COMERCIAL]]/100</f>
        <v>2.5000000000000001E-2</v>
      </c>
      <c r="U402" t="b">
        <f>Consulta1[[#This Row],[TETO_COMERCIAL_%]]=Consulta1[[#This Row],[TAXA]]</f>
        <v>0</v>
      </c>
      <c r="V402" t="str">
        <f>CONCATENATE(Consulta1[[#This Row],[MES_ALTERACAO]],Consulta1[[#This Row],[VIRADA]])</f>
        <v>2026058</v>
      </c>
      <c r="W402">
        <f>VLOOKUP(Consulta1[[#This Row],[Coluna2]],CALENDARIO!$J:$K,2,FALSE)</f>
        <v>5</v>
      </c>
    </row>
    <row r="403" spans="1:23" x14ac:dyDescent="0.25">
      <c r="A403" t="s">
        <v>2514</v>
      </c>
      <c r="B403" t="str">
        <f>CONCATENATE(Consulta1[[#This Row],[id]],Consulta1[[#This Row],[EMPREGADOR]])</f>
        <v>3INST PREV JUNDI</v>
      </c>
      <c r="C403" s="6">
        <f>IF(A403=A402,C402+1,1)</f>
        <v>3</v>
      </c>
      <c r="D403" t="s">
        <v>2519</v>
      </c>
      <c r="E403" s="101">
        <v>2.0499999999999997E-2</v>
      </c>
      <c r="F403" s="6">
        <v>96</v>
      </c>
      <c r="G403" t="s">
        <v>1349</v>
      </c>
      <c r="H403" s="82">
        <v>2.5</v>
      </c>
      <c r="I403">
        <v>9</v>
      </c>
      <c r="J403">
        <v>28</v>
      </c>
      <c r="K403" t="s">
        <v>2520</v>
      </c>
      <c r="L403" s="6" t="s">
        <v>1438</v>
      </c>
      <c r="M403" s="6">
        <v>8</v>
      </c>
      <c r="N403" s="6">
        <v>2</v>
      </c>
      <c r="O403">
        <v>500</v>
      </c>
      <c r="P403">
        <v>202605</v>
      </c>
      <c r="Q403" t="s">
        <v>377</v>
      </c>
      <c r="R403" t="s">
        <v>1353</v>
      </c>
      <c r="S403">
        <f>Consulta1[[#This Row],[min_port]]/100</f>
        <v>1.6500000000000001E-2</v>
      </c>
      <c r="T403" s="252">
        <f>Consulta1[[#This Row],[TETO_COMERCIAL]]/100</f>
        <v>2.5000000000000001E-2</v>
      </c>
      <c r="U403" t="b">
        <f>Consulta1[[#This Row],[TETO_COMERCIAL_%]]=Consulta1[[#This Row],[TAXA]]</f>
        <v>0</v>
      </c>
      <c r="V403" t="str">
        <f>CONCATENATE(Consulta1[[#This Row],[MES_ALTERACAO]],Consulta1[[#This Row],[VIRADA]])</f>
        <v>2026058</v>
      </c>
      <c r="W403">
        <f>VLOOKUP(Consulta1[[#This Row],[Coluna2]],CALENDARIO!$J:$K,2,FALSE)</f>
        <v>5</v>
      </c>
    </row>
    <row r="404" spans="1:23" x14ac:dyDescent="0.25">
      <c r="A404" t="s">
        <v>2514</v>
      </c>
      <c r="B404" t="str">
        <f>CONCATENATE(Consulta1[[#This Row],[id]],Consulta1[[#This Row],[EMPREGADOR]])</f>
        <v>4INST PREV JUNDI</v>
      </c>
      <c r="C404" s="6">
        <f>IF(A404=A403,C403+1,1)</f>
        <v>4</v>
      </c>
      <c r="D404" t="s">
        <v>2521</v>
      </c>
      <c r="E404" s="101">
        <v>1.95E-2</v>
      </c>
      <c r="F404" s="6">
        <v>96</v>
      </c>
      <c r="G404" t="s">
        <v>1349</v>
      </c>
      <c r="H404" s="82">
        <v>2.5</v>
      </c>
      <c r="I404">
        <v>9</v>
      </c>
      <c r="K404" t="s">
        <v>2522</v>
      </c>
      <c r="L404" s="6" t="s">
        <v>1438</v>
      </c>
      <c r="M404" s="6">
        <v>8</v>
      </c>
      <c r="N404" s="6">
        <v>2</v>
      </c>
      <c r="O404">
        <v>500</v>
      </c>
      <c r="P404">
        <v>202605</v>
      </c>
      <c r="Q404" t="s">
        <v>377</v>
      </c>
      <c r="R404" t="s">
        <v>1353</v>
      </c>
      <c r="S404">
        <f>Consulta1[[#This Row],[min_port]]/100</f>
        <v>1.6500000000000001E-2</v>
      </c>
      <c r="T404" s="252">
        <f>Consulta1[[#This Row],[TETO_COMERCIAL]]/100</f>
        <v>2.5000000000000001E-2</v>
      </c>
      <c r="U404" t="b">
        <f>Consulta1[[#This Row],[TETO_COMERCIAL_%]]=Consulta1[[#This Row],[TAXA]]</f>
        <v>0</v>
      </c>
      <c r="V404" t="str">
        <f>CONCATENATE(Consulta1[[#This Row],[MES_ALTERACAO]],Consulta1[[#This Row],[VIRADA]])</f>
        <v>2026058</v>
      </c>
      <c r="W404">
        <f>VLOOKUP(Consulta1[[#This Row],[Coluna2]],CALENDARIO!$J:$K,2,FALSE)</f>
        <v>5</v>
      </c>
    </row>
    <row r="405" spans="1:23" x14ac:dyDescent="0.25">
      <c r="A405" t="s">
        <v>2523</v>
      </c>
      <c r="B405" t="str">
        <f>CONCATENATE(Consulta1[[#This Row],[id]],Consulta1[[#This Row],[EMPREGADOR]])</f>
        <v>1INST PREV JUNDI EST</v>
      </c>
      <c r="C405" s="6">
        <f>IF(A405=A404,C404+1,1)</f>
        <v>1</v>
      </c>
      <c r="D405" t="s">
        <v>2524</v>
      </c>
      <c r="E405" s="101">
        <v>2.5000000000000001E-2</v>
      </c>
      <c r="F405" s="6">
        <v>96</v>
      </c>
      <c r="G405" t="s">
        <v>1349</v>
      </c>
      <c r="H405" s="82">
        <v>2.5</v>
      </c>
      <c r="I405">
        <v>9</v>
      </c>
      <c r="K405" t="s">
        <v>2525</v>
      </c>
      <c r="L405" s="6" t="s">
        <v>1438</v>
      </c>
      <c r="M405" s="6">
        <v>8</v>
      </c>
      <c r="N405" s="6">
        <v>2</v>
      </c>
      <c r="O405">
        <v>500</v>
      </c>
      <c r="P405">
        <v>202605</v>
      </c>
      <c r="Q405" t="s">
        <v>377</v>
      </c>
      <c r="R405" t="s">
        <v>1353</v>
      </c>
      <c r="S405">
        <f>Consulta1[[#This Row],[min_port]]/100</f>
        <v>1.6500000000000001E-2</v>
      </c>
      <c r="T405" s="252">
        <f>Consulta1[[#This Row],[TETO_COMERCIAL]]/100</f>
        <v>2.5000000000000001E-2</v>
      </c>
      <c r="U405" t="b">
        <f>Consulta1[[#This Row],[TETO_COMERCIAL_%]]=Consulta1[[#This Row],[TAXA]]</f>
        <v>1</v>
      </c>
      <c r="V405" t="str">
        <f>CONCATENATE(Consulta1[[#This Row],[MES_ALTERACAO]],Consulta1[[#This Row],[VIRADA]])</f>
        <v>2026058</v>
      </c>
      <c r="W405">
        <f>VLOOKUP(Consulta1[[#This Row],[Coluna2]],CALENDARIO!$J:$K,2,FALSE)</f>
        <v>5</v>
      </c>
    </row>
    <row r="406" spans="1:23" x14ac:dyDescent="0.25">
      <c r="A406" t="s">
        <v>2523</v>
      </c>
      <c r="B406" t="str">
        <f>CONCATENATE(Consulta1[[#This Row],[id]],Consulta1[[#This Row],[EMPREGADOR]])</f>
        <v>2INST PREV JUNDI EST</v>
      </c>
      <c r="C406" s="6">
        <f>IF(A406=A405,C405+1,1)</f>
        <v>2</v>
      </c>
      <c r="D406" t="s">
        <v>2526</v>
      </c>
      <c r="E406" s="101">
        <v>2.1499999999999998E-2</v>
      </c>
      <c r="F406" s="6">
        <v>96</v>
      </c>
      <c r="G406" t="s">
        <v>1349</v>
      </c>
      <c r="H406" s="82">
        <v>2.5</v>
      </c>
      <c r="I406">
        <v>9</v>
      </c>
      <c r="K406" t="s">
        <v>2527</v>
      </c>
      <c r="L406" s="6" t="s">
        <v>1438</v>
      </c>
      <c r="M406" s="6">
        <v>8</v>
      </c>
      <c r="N406" s="6">
        <v>2</v>
      </c>
      <c r="O406">
        <v>500</v>
      </c>
      <c r="P406">
        <v>202605</v>
      </c>
      <c r="Q406" t="s">
        <v>377</v>
      </c>
      <c r="R406" t="s">
        <v>1353</v>
      </c>
      <c r="S406">
        <f>Consulta1[[#This Row],[min_port]]/100</f>
        <v>1.6500000000000001E-2</v>
      </c>
      <c r="T406" s="252">
        <f>Consulta1[[#This Row],[TETO_COMERCIAL]]/100</f>
        <v>2.5000000000000001E-2</v>
      </c>
      <c r="U406" t="b">
        <f>Consulta1[[#This Row],[TETO_COMERCIAL_%]]=Consulta1[[#This Row],[TAXA]]</f>
        <v>0</v>
      </c>
      <c r="V406" t="str">
        <f>CONCATENATE(Consulta1[[#This Row],[MES_ALTERACAO]],Consulta1[[#This Row],[VIRADA]])</f>
        <v>2026058</v>
      </c>
      <c r="W406">
        <f>VLOOKUP(Consulta1[[#This Row],[Coluna2]],CALENDARIO!$J:$K,2,FALSE)</f>
        <v>5</v>
      </c>
    </row>
    <row r="407" spans="1:23" x14ac:dyDescent="0.25">
      <c r="A407" t="s">
        <v>2523</v>
      </c>
      <c r="B407" t="str">
        <f>CONCATENATE(Consulta1[[#This Row],[id]],Consulta1[[#This Row],[EMPREGADOR]])</f>
        <v>3INST PREV JUNDI EST</v>
      </c>
      <c r="C407" s="6">
        <f>IF(A407=A406,C406+1,1)</f>
        <v>3</v>
      </c>
      <c r="D407" t="s">
        <v>2528</v>
      </c>
      <c r="E407" s="101">
        <v>2.0499999999999997E-2</v>
      </c>
      <c r="F407" s="6">
        <v>96</v>
      </c>
      <c r="G407" t="s">
        <v>1349</v>
      </c>
      <c r="H407" s="82">
        <v>2.5</v>
      </c>
      <c r="I407">
        <v>9</v>
      </c>
      <c r="K407" t="s">
        <v>2529</v>
      </c>
      <c r="L407" s="6" t="s">
        <v>1438</v>
      </c>
      <c r="M407" s="6">
        <v>8</v>
      </c>
      <c r="N407" s="6">
        <v>2</v>
      </c>
      <c r="O407">
        <v>500</v>
      </c>
      <c r="P407">
        <v>202605</v>
      </c>
      <c r="Q407" t="s">
        <v>377</v>
      </c>
      <c r="R407" t="s">
        <v>1353</v>
      </c>
      <c r="S407">
        <f>Consulta1[[#This Row],[min_port]]/100</f>
        <v>1.6500000000000001E-2</v>
      </c>
      <c r="T407" s="252">
        <f>Consulta1[[#This Row],[TETO_COMERCIAL]]/100</f>
        <v>2.5000000000000001E-2</v>
      </c>
      <c r="U407" t="b">
        <f>Consulta1[[#This Row],[TETO_COMERCIAL_%]]=Consulta1[[#This Row],[TAXA]]</f>
        <v>0</v>
      </c>
      <c r="V407" t="str">
        <f>CONCATENATE(Consulta1[[#This Row],[MES_ALTERACAO]],Consulta1[[#This Row],[VIRADA]])</f>
        <v>2026058</v>
      </c>
      <c r="W407">
        <f>VLOOKUP(Consulta1[[#This Row],[Coluna2]],CALENDARIO!$J:$K,2,FALSE)</f>
        <v>5</v>
      </c>
    </row>
    <row r="408" spans="1:23" x14ac:dyDescent="0.25">
      <c r="A408" t="s">
        <v>2523</v>
      </c>
      <c r="B408" t="str">
        <f>CONCATENATE(Consulta1[[#This Row],[id]],Consulta1[[#This Row],[EMPREGADOR]])</f>
        <v>4INST PREV JUNDI EST</v>
      </c>
      <c r="C408" s="6">
        <f>IF(A408=A407,C407+1,1)</f>
        <v>4</v>
      </c>
      <c r="D408" t="s">
        <v>2530</v>
      </c>
      <c r="E408" s="101">
        <v>1.95E-2</v>
      </c>
      <c r="F408" s="6">
        <v>96</v>
      </c>
      <c r="G408" t="s">
        <v>1349</v>
      </c>
      <c r="H408" s="82">
        <v>2.5</v>
      </c>
      <c r="I408">
        <v>9</v>
      </c>
      <c r="K408" t="s">
        <v>2531</v>
      </c>
      <c r="L408" s="6" t="s">
        <v>1438</v>
      </c>
      <c r="M408" s="6">
        <v>8</v>
      </c>
      <c r="N408" s="6">
        <v>2</v>
      </c>
      <c r="O408">
        <v>500</v>
      </c>
      <c r="P408">
        <v>202605</v>
      </c>
      <c r="Q408" t="s">
        <v>377</v>
      </c>
      <c r="R408" t="s">
        <v>1353</v>
      </c>
      <c r="S408">
        <f>Consulta1[[#This Row],[min_port]]/100</f>
        <v>1.6500000000000001E-2</v>
      </c>
      <c r="T408" s="252">
        <f>Consulta1[[#This Row],[TETO_COMERCIAL]]/100</f>
        <v>2.5000000000000001E-2</v>
      </c>
      <c r="U408" t="b">
        <f>Consulta1[[#This Row],[TETO_COMERCIAL_%]]=Consulta1[[#This Row],[TAXA]]</f>
        <v>0</v>
      </c>
      <c r="V408" t="str">
        <f>CONCATENATE(Consulta1[[#This Row],[MES_ALTERACAO]],Consulta1[[#This Row],[VIRADA]])</f>
        <v>2026058</v>
      </c>
      <c r="W408">
        <f>VLOOKUP(Consulta1[[#This Row],[Coluna2]],CALENDARIO!$J:$K,2,FALSE)</f>
        <v>5</v>
      </c>
    </row>
    <row r="409" spans="1:23" x14ac:dyDescent="0.25">
      <c r="A409" t="s">
        <v>2611</v>
      </c>
      <c r="B409" t="str">
        <f>CONCATENATE(Consulta1[[#This Row],[id]],Consulta1[[#This Row],[EMPREGADOR]])</f>
        <v>1INST PREV SJC</v>
      </c>
      <c r="C409" s="6">
        <f>IF(A409=A408,C408+1,1)</f>
        <v>1</v>
      </c>
      <c r="D409" t="s">
        <v>2612</v>
      </c>
      <c r="E409" s="101">
        <v>2.5000000000000001E-2</v>
      </c>
      <c r="F409" s="6">
        <v>96</v>
      </c>
      <c r="G409" t="s">
        <v>1349</v>
      </c>
      <c r="H409" s="82">
        <v>2.5</v>
      </c>
      <c r="I409">
        <v>7</v>
      </c>
      <c r="K409" t="s">
        <v>2613</v>
      </c>
      <c r="L409" s="6" t="s">
        <v>1519</v>
      </c>
      <c r="M409" s="6">
        <v>13</v>
      </c>
      <c r="N409" s="6">
        <v>2</v>
      </c>
      <c r="O409">
        <v>500</v>
      </c>
      <c r="P409">
        <v>202605</v>
      </c>
      <c r="Q409" t="s">
        <v>378</v>
      </c>
      <c r="R409" t="s">
        <v>1350</v>
      </c>
      <c r="S409">
        <f>Consulta1[[#This Row],[min_port]]/100</f>
        <v>1.3500000000000002E-2</v>
      </c>
      <c r="T409" s="252">
        <f>Consulta1[[#This Row],[TETO_COMERCIAL]]/100</f>
        <v>2.5000000000000001E-2</v>
      </c>
      <c r="U409" t="b">
        <f>Consulta1[[#This Row],[TETO_COMERCIAL_%]]=Consulta1[[#This Row],[TAXA]]</f>
        <v>1</v>
      </c>
      <c r="V409" t="str">
        <f>CONCATENATE(Consulta1[[#This Row],[MES_ALTERACAO]],Consulta1[[#This Row],[VIRADA]])</f>
        <v>20260513</v>
      </c>
      <c r="W409">
        <f>VLOOKUP(Consulta1[[#This Row],[Coluna2]],CALENDARIO!$J:$K,2,FALSE)</f>
        <v>8</v>
      </c>
    </row>
    <row r="410" spans="1:23" x14ac:dyDescent="0.25">
      <c r="A410" t="s">
        <v>2611</v>
      </c>
      <c r="B410" t="str">
        <f>CONCATENATE(Consulta1[[#This Row],[id]],Consulta1[[#This Row],[EMPREGADOR]])</f>
        <v>2INST PREV SJC</v>
      </c>
      <c r="C410" s="6">
        <f>IF(A410=A409,C409+1,1)</f>
        <v>2</v>
      </c>
      <c r="D410" t="s">
        <v>2614</v>
      </c>
      <c r="E410" s="101">
        <v>2.5000000000000001E-2</v>
      </c>
      <c r="F410" s="6">
        <v>96</v>
      </c>
      <c r="G410" t="s">
        <v>1349</v>
      </c>
      <c r="H410" s="82">
        <v>2.5</v>
      </c>
      <c r="I410">
        <v>7</v>
      </c>
      <c r="K410" t="s">
        <v>2615</v>
      </c>
      <c r="L410" s="6" t="s">
        <v>1519</v>
      </c>
      <c r="M410" s="6">
        <v>13</v>
      </c>
      <c r="N410" s="6">
        <v>2</v>
      </c>
      <c r="O410">
        <v>500</v>
      </c>
      <c r="P410">
        <v>202605</v>
      </c>
      <c r="Q410" t="s">
        <v>378</v>
      </c>
      <c r="R410" t="s">
        <v>1350</v>
      </c>
      <c r="S410">
        <f>Consulta1[[#This Row],[min_port]]/100</f>
        <v>1.3500000000000002E-2</v>
      </c>
      <c r="T410" s="252">
        <f>Consulta1[[#This Row],[TETO_COMERCIAL]]/100</f>
        <v>2.5000000000000001E-2</v>
      </c>
      <c r="U410" t="b">
        <f>Consulta1[[#This Row],[TETO_COMERCIAL_%]]=Consulta1[[#This Row],[TAXA]]</f>
        <v>1</v>
      </c>
      <c r="V410" t="str">
        <f>CONCATENATE(Consulta1[[#This Row],[MES_ALTERACAO]],Consulta1[[#This Row],[VIRADA]])</f>
        <v>20260513</v>
      </c>
      <c r="W410">
        <f>VLOOKUP(Consulta1[[#This Row],[Coluna2]],CALENDARIO!$J:$K,2,FALSE)</f>
        <v>8</v>
      </c>
    </row>
    <row r="411" spans="1:23" x14ac:dyDescent="0.25">
      <c r="A411" t="s">
        <v>2611</v>
      </c>
      <c r="B411" t="str">
        <f>CONCATENATE(Consulta1[[#This Row],[id]],Consulta1[[#This Row],[EMPREGADOR]])</f>
        <v>3INST PREV SJC</v>
      </c>
      <c r="C411" s="6">
        <f>IF(A411=A410,C410+1,1)</f>
        <v>3</v>
      </c>
      <c r="D411" t="s">
        <v>2616</v>
      </c>
      <c r="E411" s="101">
        <v>2.3900000000000001E-2</v>
      </c>
      <c r="F411" s="6">
        <v>96</v>
      </c>
      <c r="G411" t="s">
        <v>1349</v>
      </c>
      <c r="H411" s="82">
        <v>2.5</v>
      </c>
      <c r="I411">
        <v>7</v>
      </c>
      <c r="K411" t="s">
        <v>2617</v>
      </c>
      <c r="L411" s="6" t="s">
        <v>1519</v>
      </c>
      <c r="M411" s="6">
        <v>13</v>
      </c>
      <c r="N411" s="6">
        <v>2</v>
      </c>
      <c r="O411">
        <v>500</v>
      </c>
      <c r="P411">
        <v>202605</v>
      </c>
      <c r="Q411" t="s">
        <v>378</v>
      </c>
      <c r="R411" t="s">
        <v>1350</v>
      </c>
      <c r="S411">
        <f>Consulta1[[#This Row],[min_port]]/100</f>
        <v>1.3500000000000002E-2</v>
      </c>
      <c r="T411" s="252">
        <f>Consulta1[[#This Row],[TETO_COMERCIAL]]/100</f>
        <v>2.5000000000000001E-2</v>
      </c>
      <c r="U411" t="b">
        <f>Consulta1[[#This Row],[TETO_COMERCIAL_%]]=Consulta1[[#This Row],[TAXA]]</f>
        <v>0</v>
      </c>
      <c r="V411" t="str">
        <f>CONCATENATE(Consulta1[[#This Row],[MES_ALTERACAO]],Consulta1[[#This Row],[VIRADA]])</f>
        <v>20260513</v>
      </c>
      <c r="W411">
        <f>VLOOKUP(Consulta1[[#This Row],[Coluna2]],CALENDARIO!$J:$K,2,FALSE)</f>
        <v>8</v>
      </c>
    </row>
    <row r="412" spans="1:23" x14ac:dyDescent="0.25">
      <c r="A412" t="s">
        <v>2611</v>
      </c>
      <c r="B412" t="str">
        <f>CONCATENATE(Consulta1[[#This Row],[id]],Consulta1[[#This Row],[EMPREGADOR]])</f>
        <v>4INST PREV SJC</v>
      </c>
      <c r="C412" s="6">
        <f>IF(A412=A411,C411+1,1)</f>
        <v>4</v>
      </c>
      <c r="D412" t="s">
        <v>2618</v>
      </c>
      <c r="E412" s="101">
        <v>2.3900000000000001E-2</v>
      </c>
      <c r="F412" s="6">
        <v>96</v>
      </c>
      <c r="G412" t="s">
        <v>1349</v>
      </c>
      <c r="H412" s="82">
        <v>2.5</v>
      </c>
      <c r="I412">
        <v>7</v>
      </c>
      <c r="K412" t="s">
        <v>2619</v>
      </c>
      <c r="L412" s="6" t="s">
        <v>1519</v>
      </c>
      <c r="M412" s="6">
        <v>13</v>
      </c>
      <c r="N412" s="6">
        <v>2</v>
      </c>
      <c r="O412">
        <v>500</v>
      </c>
      <c r="P412">
        <v>202605</v>
      </c>
      <c r="Q412" t="s">
        <v>378</v>
      </c>
      <c r="R412" t="s">
        <v>1350</v>
      </c>
      <c r="S412">
        <f>Consulta1[[#This Row],[min_port]]/100</f>
        <v>1.3500000000000002E-2</v>
      </c>
      <c r="T412" s="252">
        <f>Consulta1[[#This Row],[TETO_COMERCIAL]]/100</f>
        <v>2.5000000000000001E-2</v>
      </c>
      <c r="U412" t="b">
        <f>Consulta1[[#This Row],[TETO_COMERCIAL_%]]=Consulta1[[#This Row],[TAXA]]</f>
        <v>0</v>
      </c>
      <c r="V412" t="str">
        <f>CONCATENATE(Consulta1[[#This Row],[MES_ALTERACAO]],Consulta1[[#This Row],[VIRADA]])</f>
        <v>20260513</v>
      </c>
      <c r="W412">
        <f>VLOOKUP(Consulta1[[#This Row],[Coluna2]],CALENDARIO!$J:$K,2,FALSE)</f>
        <v>8</v>
      </c>
    </row>
    <row r="413" spans="1:23" x14ac:dyDescent="0.25">
      <c r="A413" t="s">
        <v>2611</v>
      </c>
      <c r="B413" t="str">
        <f>CONCATENATE(Consulta1[[#This Row],[id]],Consulta1[[#This Row],[EMPREGADOR]])</f>
        <v>5INST PREV SJC</v>
      </c>
      <c r="C413" s="6">
        <f>IF(A413=A412,C412+1,1)</f>
        <v>5</v>
      </c>
      <c r="D413" t="s">
        <v>2620</v>
      </c>
      <c r="E413" s="101">
        <v>2.29E-2</v>
      </c>
      <c r="F413" s="6">
        <v>96</v>
      </c>
      <c r="G413" t="s">
        <v>1349</v>
      </c>
      <c r="H413" s="82">
        <v>2.5</v>
      </c>
      <c r="I413">
        <v>7</v>
      </c>
      <c r="K413" t="s">
        <v>2621</v>
      </c>
      <c r="L413" s="6" t="s">
        <v>1519</v>
      </c>
      <c r="M413" s="6">
        <v>13</v>
      </c>
      <c r="N413" s="6">
        <v>2</v>
      </c>
      <c r="O413">
        <v>500</v>
      </c>
      <c r="P413">
        <v>202605</v>
      </c>
      <c r="Q413" t="s">
        <v>378</v>
      </c>
      <c r="R413" t="s">
        <v>1350</v>
      </c>
      <c r="S413">
        <f>Consulta1[[#This Row],[min_port]]/100</f>
        <v>1.3500000000000002E-2</v>
      </c>
      <c r="T413" s="252">
        <f>Consulta1[[#This Row],[TETO_COMERCIAL]]/100</f>
        <v>2.5000000000000001E-2</v>
      </c>
      <c r="U413" t="b">
        <f>Consulta1[[#This Row],[TETO_COMERCIAL_%]]=Consulta1[[#This Row],[TAXA]]</f>
        <v>0</v>
      </c>
      <c r="V413" t="str">
        <f>CONCATENATE(Consulta1[[#This Row],[MES_ALTERACAO]],Consulta1[[#This Row],[VIRADA]])</f>
        <v>20260513</v>
      </c>
      <c r="W413">
        <f>VLOOKUP(Consulta1[[#This Row],[Coluna2]],CALENDARIO!$J:$K,2,FALSE)</f>
        <v>8</v>
      </c>
    </row>
    <row r="414" spans="1:23" x14ac:dyDescent="0.25">
      <c r="A414" t="s">
        <v>2611</v>
      </c>
      <c r="B414" t="str">
        <f>CONCATENATE(Consulta1[[#This Row],[id]],Consulta1[[#This Row],[EMPREGADOR]])</f>
        <v>6INST PREV SJC</v>
      </c>
      <c r="C414" s="6">
        <f>IF(A414=A413,C413+1,1)</f>
        <v>6</v>
      </c>
      <c r="D414" t="s">
        <v>2622</v>
      </c>
      <c r="E414" s="101">
        <v>2.29E-2</v>
      </c>
      <c r="F414" s="6">
        <v>96</v>
      </c>
      <c r="G414" t="s">
        <v>1349</v>
      </c>
      <c r="H414" s="82">
        <v>2.5</v>
      </c>
      <c r="I414">
        <v>7</v>
      </c>
      <c r="K414" t="s">
        <v>2623</v>
      </c>
      <c r="L414" s="6" t="s">
        <v>1519</v>
      </c>
      <c r="M414" s="6">
        <v>13</v>
      </c>
      <c r="N414" s="6">
        <v>2</v>
      </c>
      <c r="O414">
        <v>500</v>
      </c>
      <c r="P414">
        <v>202605</v>
      </c>
      <c r="Q414" t="s">
        <v>378</v>
      </c>
      <c r="R414" t="s">
        <v>1350</v>
      </c>
      <c r="S414">
        <f>Consulta1[[#This Row],[min_port]]/100</f>
        <v>1.3500000000000002E-2</v>
      </c>
      <c r="T414" s="252">
        <f>Consulta1[[#This Row],[TETO_COMERCIAL]]/100</f>
        <v>2.5000000000000001E-2</v>
      </c>
      <c r="U414" t="b">
        <f>Consulta1[[#This Row],[TETO_COMERCIAL_%]]=Consulta1[[#This Row],[TAXA]]</f>
        <v>0</v>
      </c>
      <c r="V414" t="str">
        <f>CONCATENATE(Consulta1[[#This Row],[MES_ALTERACAO]],Consulta1[[#This Row],[VIRADA]])</f>
        <v>20260513</v>
      </c>
      <c r="W414">
        <f>VLOOKUP(Consulta1[[#This Row],[Coluna2]],CALENDARIO!$J:$K,2,FALSE)</f>
        <v>8</v>
      </c>
    </row>
    <row r="415" spans="1:23" x14ac:dyDescent="0.25">
      <c r="A415" t="s">
        <v>2611</v>
      </c>
      <c r="B415" t="str">
        <f>CONCATENATE(Consulta1[[#This Row],[id]],Consulta1[[#This Row],[EMPREGADOR]])</f>
        <v>7INST PREV SJC</v>
      </c>
      <c r="C415" s="6">
        <f>IF(A415=A414,C414+1,1)</f>
        <v>7</v>
      </c>
      <c r="D415" t="s">
        <v>2624</v>
      </c>
      <c r="E415" s="101">
        <v>2.1899999999999999E-2</v>
      </c>
      <c r="F415" s="6">
        <v>96</v>
      </c>
      <c r="G415" t="s">
        <v>1349</v>
      </c>
      <c r="H415" s="82">
        <v>2.5</v>
      </c>
      <c r="I415">
        <v>7</v>
      </c>
      <c r="K415" t="s">
        <v>2625</v>
      </c>
      <c r="L415" s="6" t="s">
        <v>1519</v>
      </c>
      <c r="M415" s="6">
        <v>13</v>
      </c>
      <c r="N415" s="6">
        <v>2</v>
      </c>
      <c r="O415">
        <v>500</v>
      </c>
      <c r="P415">
        <v>202605</v>
      </c>
      <c r="Q415" t="s">
        <v>378</v>
      </c>
      <c r="R415" t="s">
        <v>1350</v>
      </c>
      <c r="S415">
        <f>Consulta1[[#This Row],[min_port]]/100</f>
        <v>1.3500000000000002E-2</v>
      </c>
      <c r="T415" s="252">
        <f>Consulta1[[#This Row],[TETO_COMERCIAL]]/100</f>
        <v>2.5000000000000001E-2</v>
      </c>
      <c r="U415" t="b">
        <f>Consulta1[[#This Row],[TETO_COMERCIAL_%]]=Consulta1[[#This Row],[TAXA]]</f>
        <v>0</v>
      </c>
      <c r="V415" t="str">
        <f>CONCATENATE(Consulta1[[#This Row],[MES_ALTERACAO]],Consulta1[[#This Row],[VIRADA]])</f>
        <v>20260513</v>
      </c>
      <c r="W415">
        <f>VLOOKUP(Consulta1[[#This Row],[Coluna2]],CALENDARIO!$J:$K,2,FALSE)</f>
        <v>8</v>
      </c>
    </row>
    <row r="416" spans="1:23" x14ac:dyDescent="0.25">
      <c r="A416" t="s">
        <v>2611</v>
      </c>
      <c r="B416" t="str">
        <f>CONCATENATE(Consulta1[[#This Row],[id]],Consulta1[[#This Row],[EMPREGADOR]])</f>
        <v>8INST PREV SJC</v>
      </c>
      <c r="C416" s="6">
        <f>IF(A416=A415,C415+1,1)</f>
        <v>8</v>
      </c>
      <c r="D416" t="s">
        <v>2626</v>
      </c>
      <c r="E416" s="101">
        <v>2.1899999999999999E-2</v>
      </c>
      <c r="F416" s="6">
        <v>96</v>
      </c>
      <c r="G416" t="s">
        <v>1349</v>
      </c>
      <c r="H416" s="82">
        <v>2.5</v>
      </c>
      <c r="I416">
        <v>7</v>
      </c>
      <c r="K416" t="s">
        <v>2627</v>
      </c>
      <c r="L416" s="6" t="s">
        <v>1519</v>
      </c>
      <c r="M416" s="6">
        <v>13</v>
      </c>
      <c r="N416" s="6">
        <v>2</v>
      </c>
      <c r="O416">
        <v>500</v>
      </c>
      <c r="P416">
        <v>202605</v>
      </c>
      <c r="Q416" t="s">
        <v>378</v>
      </c>
      <c r="R416" t="s">
        <v>1350</v>
      </c>
      <c r="S416">
        <f>Consulta1[[#This Row],[min_port]]/100</f>
        <v>1.3500000000000002E-2</v>
      </c>
      <c r="T416" s="252">
        <f>Consulta1[[#This Row],[TETO_COMERCIAL]]/100</f>
        <v>2.5000000000000001E-2</v>
      </c>
      <c r="U416" t="b">
        <f>Consulta1[[#This Row],[TETO_COMERCIAL_%]]=Consulta1[[#This Row],[TAXA]]</f>
        <v>0</v>
      </c>
      <c r="V416" t="str">
        <f>CONCATENATE(Consulta1[[#This Row],[MES_ALTERACAO]],Consulta1[[#This Row],[VIRADA]])</f>
        <v>20260513</v>
      </c>
      <c r="W416">
        <f>VLOOKUP(Consulta1[[#This Row],[Coluna2]],CALENDARIO!$J:$K,2,FALSE)</f>
        <v>8</v>
      </c>
    </row>
    <row r="417" spans="1:23" x14ac:dyDescent="0.25">
      <c r="A417" t="s">
        <v>2611</v>
      </c>
      <c r="B417" t="str">
        <f>CONCATENATE(Consulta1[[#This Row],[id]],Consulta1[[#This Row],[EMPREGADOR]])</f>
        <v>9INST PREV SJC</v>
      </c>
      <c r="C417" s="6">
        <f>IF(A417=A416,C416+1,1)</f>
        <v>9</v>
      </c>
      <c r="D417" t="s">
        <v>2628</v>
      </c>
      <c r="E417" s="101">
        <v>2.0899999999999998E-2</v>
      </c>
      <c r="F417" s="6">
        <v>96</v>
      </c>
      <c r="G417" t="s">
        <v>1349</v>
      </c>
      <c r="H417" s="82">
        <v>2.5</v>
      </c>
      <c r="I417">
        <v>7</v>
      </c>
      <c r="K417" t="s">
        <v>2629</v>
      </c>
      <c r="L417" s="6" t="s">
        <v>1519</v>
      </c>
      <c r="M417" s="6">
        <v>13</v>
      </c>
      <c r="N417" s="6">
        <v>2</v>
      </c>
      <c r="O417">
        <v>500</v>
      </c>
      <c r="P417">
        <v>202605</v>
      </c>
      <c r="Q417" t="s">
        <v>378</v>
      </c>
      <c r="R417" t="s">
        <v>1350</v>
      </c>
      <c r="S417">
        <f>Consulta1[[#This Row],[min_port]]/100</f>
        <v>1.3500000000000002E-2</v>
      </c>
      <c r="T417" s="252">
        <f>Consulta1[[#This Row],[TETO_COMERCIAL]]/100</f>
        <v>2.5000000000000001E-2</v>
      </c>
      <c r="U417" t="b">
        <f>Consulta1[[#This Row],[TETO_COMERCIAL_%]]=Consulta1[[#This Row],[TAXA]]</f>
        <v>0</v>
      </c>
      <c r="V417" t="str">
        <f>CONCATENATE(Consulta1[[#This Row],[MES_ALTERACAO]],Consulta1[[#This Row],[VIRADA]])</f>
        <v>20260513</v>
      </c>
      <c r="W417">
        <f>VLOOKUP(Consulta1[[#This Row],[Coluna2]],CALENDARIO!$J:$K,2,FALSE)</f>
        <v>8</v>
      </c>
    </row>
    <row r="418" spans="1:23" x14ac:dyDescent="0.25">
      <c r="A418" t="s">
        <v>2611</v>
      </c>
      <c r="B418" t="str">
        <f>CONCATENATE(Consulta1[[#This Row],[id]],Consulta1[[#This Row],[EMPREGADOR]])</f>
        <v>10INST PREV SJC</v>
      </c>
      <c r="C418" s="6">
        <f>IF(A418=A417,C417+1,1)</f>
        <v>10</v>
      </c>
      <c r="D418" t="s">
        <v>2630</v>
      </c>
      <c r="E418" s="101">
        <v>2.0899999999999998E-2</v>
      </c>
      <c r="F418" s="6">
        <v>96</v>
      </c>
      <c r="G418" t="s">
        <v>1349</v>
      </c>
      <c r="H418" s="82">
        <v>2.5</v>
      </c>
      <c r="I418">
        <v>7</v>
      </c>
      <c r="K418" t="s">
        <v>2631</v>
      </c>
      <c r="L418" s="6" t="s">
        <v>1519</v>
      </c>
      <c r="M418" s="6">
        <v>13</v>
      </c>
      <c r="N418" s="6">
        <v>2</v>
      </c>
      <c r="O418">
        <v>500</v>
      </c>
      <c r="P418">
        <v>202605</v>
      </c>
      <c r="Q418" t="s">
        <v>378</v>
      </c>
      <c r="R418" t="s">
        <v>1350</v>
      </c>
      <c r="S418">
        <f>Consulta1[[#This Row],[min_port]]/100</f>
        <v>1.3500000000000002E-2</v>
      </c>
      <c r="T418" s="252">
        <f>Consulta1[[#This Row],[TETO_COMERCIAL]]/100</f>
        <v>2.5000000000000001E-2</v>
      </c>
      <c r="U418" t="b">
        <f>Consulta1[[#This Row],[TETO_COMERCIAL_%]]=Consulta1[[#This Row],[TAXA]]</f>
        <v>0</v>
      </c>
      <c r="V418" t="str">
        <f>CONCATENATE(Consulta1[[#This Row],[MES_ALTERACAO]],Consulta1[[#This Row],[VIRADA]])</f>
        <v>20260513</v>
      </c>
      <c r="W418">
        <f>VLOOKUP(Consulta1[[#This Row],[Coluna2]],CALENDARIO!$J:$K,2,FALSE)</f>
        <v>8</v>
      </c>
    </row>
    <row r="419" spans="1:23" x14ac:dyDescent="0.25">
      <c r="A419" t="s">
        <v>2611</v>
      </c>
      <c r="B419" t="str">
        <f>CONCATENATE(Consulta1[[#This Row],[id]],Consulta1[[#This Row],[EMPREGADOR]])</f>
        <v>11INST PREV SJC</v>
      </c>
      <c r="C419" s="6">
        <f>IF(A419=A418,C418+1,1)</f>
        <v>11</v>
      </c>
      <c r="D419" t="s">
        <v>2632</v>
      </c>
      <c r="E419" s="101">
        <v>1.9900000000000001E-2</v>
      </c>
      <c r="F419" s="6">
        <v>96</v>
      </c>
      <c r="G419" t="s">
        <v>1349</v>
      </c>
      <c r="H419" s="82">
        <v>2.5</v>
      </c>
      <c r="I419">
        <v>7</v>
      </c>
      <c r="K419" t="s">
        <v>2633</v>
      </c>
      <c r="L419" s="6" t="s">
        <v>1519</v>
      </c>
      <c r="M419" s="6">
        <v>13</v>
      </c>
      <c r="N419" s="6">
        <v>2</v>
      </c>
      <c r="O419">
        <v>500</v>
      </c>
      <c r="P419">
        <v>202605</v>
      </c>
      <c r="Q419" t="s">
        <v>378</v>
      </c>
      <c r="R419" t="s">
        <v>1350</v>
      </c>
      <c r="S419">
        <f>Consulta1[[#This Row],[min_port]]/100</f>
        <v>1.3500000000000002E-2</v>
      </c>
      <c r="T419" s="252">
        <f>Consulta1[[#This Row],[TETO_COMERCIAL]]/100</f>
        <v>2.5000000000000001E-2</v>
      </c>
      <c r="U419" t="b">
        <f>Consulta1[[#This Row],[TETO_COMERCIAL_%]]=Consulta1[[#This Row],[TAXA]]</f>
        <v>0</v>
      </c>
      <c r="V419" t="str">
        <f>CONCATENATE(Consulta1[[#This Row],[MES_ALTERACAO]],Consulta1[[#This Row],[VIRADA]])</f>
        <v>20260513</v>
      </c>
      <c r="W419">
        <f>VLOOKUP(Consulta1[[#This Row],[Coluna2]],CALENDARIO!$J:$K,2,FALSE)</f>
        <v>8</v>
      </c>
    </row>
    <row r="420" spans="1:23" x14ac:dyDescent="0.25">
      <c r="A420" t="s">
        <v>2611</v>
      </c>
      <c r="B420" t="str">
        <f>CONCATENATE(Consulta1[[#This Row],[id]],Consulta1[[#This Row],[EMPREGADOR]])</f>
        <v>12INST PREV SJC</v>
      </c>
      <c r="C420" s="6">
        <f>IF(A420=A419,C419+1,1)</f>
        <v>12</v>
      </c>
      <c r="D420" t="s">
        <v>2634</v>
      </c>
      <c r="E420" s="101">
        <v>1.9900000000000001E-2</v>
      </c>
      <c r="F420" s="6">
        <v>96</v>
      </c>
      <c r="G420" t="s">
        <v>1349</v>
      </c>
      <c r="H420" s="82">
        <v>2.5</v>
      </c>
      <c r="I420">
        <v>7</v>
      </c>
      <c r="K420" t="s">
        <v>2635</v>
      </c>
      <c r="L420" s="6" t="s">
        <v>1519</v>
      </c>
      <c r="M420" s="6">
        <v>13</v>
      </c>
      <c r="N420" s="6">
        <v>2</v>
      </c>
      <c r="O420">
        <v>500</v>
      </c>
      <c r="P420">
        <v>202605</v>
      </c>
      <c r="Q420" t="s">
        <v>378</v>
      </c>
      <c r="R420" t="s">
        <v>1350</v>
      </c>
      <c r="S420">
        <f>Consulta1[[#This Row],[min_port]]/100</f>
        <v>1.3500000000000002E-2</v>
      </c>
      <c r="T420" s="252">
        <f>Consulta1[[#This Row],[TETO_COMERCIAL]]/100</f>
        <v>2.5000000000000001E-2</v>
      </c>
      <c r="U420" t="b">
        <f>Consulta1[[#This Row],[TETO_COMERCIAL_%]]=Consulta1[[#This Row],[TAXA]]</f>
        <v>0</v>
      </c>
      <c r="V420" t="str">
        <f>CONCATENATE(Consulta1[[#This Row],[MES_ALTERACAO]],Consulta1[[#This Row],[VIRADA]])</f>
        <v>20260513</v>
      </c>
      <c r="W420">
        <f>VLOOKUP(Consulta1[[#This Row],[Coluna2]],CALENDARIO!$J:$K,2,FALSE)</f>
        <v>8</v>
      </c>
    </row>
    <row r="421" spans="1:23" x14ac:dyDescent="0.25">
      <c r="A421" t="s">
        <v>2611</v>
      </c>
      <c r="B421" t="str">
        <f>CONCATENATE(Consulta1[[#This Row],[id]],Consulta1[[#This Row],[EMPREGADOR]])</f>
        <v>13INST PREV SJC</v>
      </c>
      <c r="C421" s="6">
        <f>IF(A421=A420,C420+1,1)</f>
        <v>13</v>
      </c>
      <c r="D421" t="s">
        <v>2636</v>
      </c>
      <c r="E421" s="101">
        <v>1.9599999999999999E-2</v>
      </c>
      <c r="F421" s="6">
        <v>96</v>
      </c>
      <c r="G421" t="s">
        <v>1349</v>
      </c>
      <c r="H421" s="82">
        <v>2.5</v>
      </c>
      <c r="I421">
        <v>7</v>
      </c>
      <c r="K421" t="s">
        <v>2637</v>
      </c>
      <c r="L421" s="6" t="s">
        <v>1519</v>
      </c>
      <c r="M421" s="6">
        <v>13</v>
      </c>
      <c r="N421" s="6">
        <v>2</v>
      </c>
      <c r="O421">
        <v>500</v>
      </c>
      <c r="P421">
        <v>202605</v>
      </c>
      <c r="Q421" t="s">
        <v>378</v>
      </c>
      <c r="R421" t="s">
        <v>1350</v>
      </c>
      <c r="S421">
        <f>Consulta1[[#This Row],[min_port]]/100</f>
        <v>1.3500000000000002E-2</v>
      </c>
      <c r="T421" s="252">
        <f>Consulta1[[#This Row],[TETO_COMERCIAL]]/100</f>
        <v>2.5000000000000001E-2</v>
      </c>
      <c r="U421" t="b">
        <f>Consulta1[[#This Row],[TETO_COMERCIAL_%]]=Consulta1[[#This Row],[TAXA]]</f>
        <v>0</v>
      </c>
      <c r="V421" t="str">
        <f>CONCATENATE(Consulta1[[#This Row],[MES_ALTERACAO]],Consulta1[[#This Row],[VIRADA]])</f>
        <v>20260513</v>
      </c>
      <c r="W421">
        <f>VLOOKUP(Consulta1[[#This Row],[Coluna2]],CALENDARIO!$J:$K,2,FALSE)</f>
        <v>8</v>
      </c>
    </row>
    <row r="422" spans="1:23" x14ac:dyDescent="0.25">
      <c r="A422" t="s">
        <v>2611</v>
      </c>
      <c r="B422" t="str">
        <f>CONCATENATE(Consulta1[[#This Row],[id]],Consulta1[[#This Row],[EMPREGADOR]])</f>
        <v>14INST PREV SJC</v>
      </c>
      <c r="C422" s="6">
        <f>IF(A422=A421,C421+1,1)</f>
        <v>14</v>
      </c>
      <c r="D422" t="s">
        <v>2638</v>
      </c>
      <c r="E422" s="101">
        <v>1.9599999999999999E-2</v>
      </c>
      <c r="F422" s="6">
        <v>96</v>
      </c>
      <c r="G422" t="s">
        <v>1349</v>
      </c>
      <c r="H422" s="82">
        <v>2.5</v>
      </c>
      <c r="I422">
        <v>7</v>
      </c>
      <c r="K422" t="s">
        <v>2639</v>
      </c>
      <c r="L422" s="6" t="s">
        <v>1519</v>
      </c>
      <c r="M422" s="6">
        <v>13</v>
      </c>
      <c r="N422" s="6">
        <v>2</v>
      </c>
      <c r="O422">
        <v>500</v>
      </c>
      <c r="P422">
        <v>202605</v>
      </c>
      <c r="Q422" t="s">
        <v>378</v>
      </c>
      <c r="R422" t="s">
        <v>1350</v>
      </c>
      <c r="S422">
        <f>Consulta1[[#This Row],[min_port]]/100</f>
        <v>1.3500000000000002E-2</v>
      </c>
      <c r="T422" s="252">
        <f>Consulta1[[#This Row],[TETO_COMERCIAL]]/100</f>
        <v>2.5000000000000001E-2</v>
      </c>
      <c r="U422" t="b">
        <f>Consulta1[[#This Row],[TETO_COMERCIAL_%]]=Consulta1[[#This Row],[TAXA]]</f>
        <v>0</v>
      </c>
      <c r="V422" t="str">
        <f>CONCATENATE(Consulta1[[#This Row],[MES_ALTERACAO]],Consulta1[[#This Row],[VIRADA]])</f>
        <v>20260513</v>
      </c>
      <c r="W422">
        <f>VLOOKUP(Consulta1[[#This Row],[Coluna2]],CALENDARIO!$J:$K,2,FALSE)</f>
        <v>8</v>
      </c>
    </row>
    <row r="423" spans="1:23" x14ac:dyDescent="0.25">
      <c r="A423" t="s">
        <v>2338</v>
      </c>
      <c r="B423" t="str">
        <f>CONCATENATE(Consulta1[[#This Row],[id]],Consulta1[[#This Row],[EMPREGADOR]])</f>
        <v>1INST PREVMOC</v>
      </c>
      <c r="C423" s="6">
        <f>IF(A423=A422,C422+1,1)</f>
        <v>1</v>
      </c>
      <c r="D423" t="s">
        <v>2339</v>
      </c>
      <c r="E423" s="101">
        <v>1.9900000000000001E-2</v>
      </c>
      <c r="F423" s="6">
        <v>96</v>
      </c>
      <c r="G423" t="s">
        <v>1349</v>
      </c>
      <c r="H423" s="82">
        <v>1.99</v>
      </c>
      <c r="I423">
        <v>17</v>
      </c>
      <c r="K423" t="s">
        <v>2340</v>
      </c>
      <c r="L423" s="6" t="s">
        <v>1372</v>
      </c>
      <c r="M423" s="6">
        <v>10</v>
      </c>
      <c r="N423" s="6">
        <v>2</v>
      </c>
      <c r="O423">
        <v>500</v>
      </c>
      <c r="P423">
        <v>202605</v>
      </c>
      <c r="Q423" t="s">
        <v>377</v>
      </c>
      <c r="R423" t="s">
        <v>1353</v>
      </c>
      <c r="S423">
        <f>Consulta1[[#This Row],[min_port]]/100</f>
        <v>1.6E-2</v>
      </c>
      <c r="T423" s="252">
        <f>Consulta1[[#This Row],[TETO_COMERCIAL]]/100</f>
        <v>1.9900000000000001E-2</v>
      </c>
      <c r="U423" t="b">
        <f>Consulta1[[#This Row],[TETO_COMERCIAL_%]]=Consulta1[[#This Row],[TAXA]]</f>
        <v>1</v>
      </c>
      <c r="V423" t="str">
        <f>CONCATENATE(Consulta1[[#This Row],[MES_ALTERACAO]],Consulta1[[#This Row],[VIRADA]])</f>
        <v>20260510</v>
      </c>
      <c r="W423">
        <f>VLOOKUP(Consulta1[[#This Row],[Coluna2]],CALENDARIO!$J:$K,2,FALSE)</f>
        <v>5</v>
      </c>
    </row>
    <row r="424" spans="1:23" x14ac:dyDescent="0.25">
      <c r="A424" t="s">
        <v>536</v>
      </c>
      <c r="B424" t="str">
        <f>CONCATENATE(Consulta1[[#This Row],[id]],Consulta1[[#This Row],[EMPREGADOR]])</f>
        <v>1INST RIB PRETO</v>
      </c>
      <c r="C424" s="6">
        <f>IF(A424=A423,C423+1,1)</f>
        <v>1</v>
      </c>
      <c r="D424" t="s">
        <v>537</v>
      </c>
      <c r="E424" s="101">
        <v>2.5000000000000001E-2</v>
      </c>
      <c r="F424" s="6">
        <v>120</v>
      </c>
      <c r="G424" t="s">
        <v>1349</v>
      </c>
      <c r="H424" s="82">
        <v>2.5</v>
      </c>
      <c r="I424">
        <v>20</v>
      </c>
      <c r="J424">
        <v>50</v>
      </c>
      <c r="K424" t="s">
        <v>1472</v>
      </c>
      <c r="L424" s="6" t="s">
        <v>1381</v>
      </c>
      <c r="M424" s="6">
        <v>15</v>
      </c>
      <c r="N424" s="6">
        <v>2</v>
      </c>
      <c r="O424">
        <v>500</v>
      </c>
      <c r="P424">
        <v>202605</v>
      </c>
      <c r="Q424" t="s">
        <v>377</v>
      </c>
      <c r="R424" t="s">
        <v>1353</v>
      </c>
      <c r="S424">
        <f>Consulta1[[#This Row],[min_port]]/100</f>
        <v>1.3999999999999999E-2</v>
      </c>
      <c r="T424" s="252">
        <f>Consulta1[[#This Row],[TETO_COMERCIAL]]/100</f>
        <v>2.5000000000000001E-2</v>
      </c>
      <c r="U424" t="b">
        <f>Consulta1[[#This Row],[TETO_COMERCIAL_%]]=Consulta1[[#This Row],[TAXA]]</f>
        <v>1</v>
      </c>
      <c r="V424" t="str">
        <f>CONCATENATE(Consulta1[[#This Row],[MES_ALTERACAO]],Consulta1[[#This Row],[VIRADA]])</f>
        <v>20260515</v>
      </c>
      <c r="W424">
        <f>VLOOKUP(Consulta1[[#This Row],[Coluna2]],CALENDARIO!$J:$K,2,FALSE)</f>
        <v>10</v>
      </c>
    </row>
    <row r="425" spans="1:23" x14ac:dyDescent="0.25">
      <c r="A425" t="s">
        <v>536</v>
      </c>
      <c r="B425" t="str">
        <f>CONCATENATE(Consulta1[[#This Row],[id]],Consulta1[[#This Row],[EMPREGADOR]])</f>
        <v>2INST RIB PRETO</v>
      </c>
      <c r="C425" s="6">
        <f>IF(A425=A424,C424+1,1)</f>
        <v>2</v>
      </c>
      <c r="D425" t="s">
        <v>538</v>
      </c>
      <c r="E425" s="101">
        <v>2.3E-2</v>
      </c>
      <c r="F425" s="6">
        <v>120</v>
      </c>
      <c r="G425" t="s">
        <v>1349</v>
      </c>
      <c r="H425" s="82">
        <v>2.5</v>
      </c>
      <c r="I425">
        <v>20</v>
      </c>
      <c r="J425">
        <v>50</v>
      </c>
      <c r="K425" t="s">
        <v>1473</v>
      </c>
      <c r="L425" s="6" t="s">
        <v>1381</v>
      </c>
      <c r="M425" s="6">
        <v>15</v>
      </c>
      <c r="N425" s="6">
        <v>2</v>
      </c>
      <c r="O425">
        <v>500</v>
      </c>
      <c r="P425">
        <v>202605</v>
      </c>
      <c r="Q425" t="s">
        <v>377</v>
      </c>
      <c r="R425" t="s">
        <v>1353</v>
      </c>
      <c r="S425">
        <f>Consulta1[[#This Row],[min_port]]/100</f>
        <v>1.3999999999999999E-2</v>
      </c>
      <c r="T425" s="252">
        <f>Consulta1[[#This Row],[TETO_COMERCIAL]]/100</f>
        <v>2.5000000000000001E-2</v>
      </c>
      <c r="U425" t="b">
        <f>Consulta1[[#This Row],[TETO_COMERCIAL_%]]=Consulta1[[#This Row],[TAXA]]</f>
        <v>0</v>
      </c>
      <c r="V425" t="str">
        <f>CONCATENATE(Consulta1[[#This Row],[MES_ALTERACAO]],Consulta1[[#This Row],[VIRADA]])</f>
        <v>20260515</v>
      </c>
      <c r="W425">
        <f>VLOOKUP(Consulta1[[#This Row],[Coluna2]],CALENDARIO!$J:$K,2,FALSE)</f>
        <v>10</v>
      </c>
    </row>
    <row r="426" spans="1:23" x14ac:dyDescent="0.25">
      <c r="A426" t="s">
        <v>536</v>
      </c>
      <c r="B426" t="str">
        <f>CONCATENATE(Consulta1[[#This Row],[id]],Consulta1[[#This Row],[EMPREGADOR]])</f>
        <v>3INST RIB PRETO</v>
      </c>
      <c r="C426" s="6">
        <f>IF(A426=A425,C425+1,1)</f>
        <v>3</v>
      </c>
      <c r="D426" t="s">
        <v>539</v>
      </c>
      <c r="E426" s="101">
        <v>2.1499999999999998E-2</v>
      </c>
      <c r="F426" s="6">
        <v>120</v>
      </c>
      <c r="G426" t="s">
        <v>1349</v>
      </c>
      <c r="H426" s="82">
        <v>2.5</v>
      </c>
      <c r="I426">
        <v>20</v>
      </c>
      <c r="J426">
        <v>50</v>
      </c>
      <c r="K426" t="s">
        <v>1474</v>
      </c>
      <c r="L426" s="6" t="s">
        <v>1381</v>
      </c>
      <c r="M426" s="6">
        <v>15</v>
      </c>
      <c r="N426" s="6">
        <v>2</v>
      </c>
      <c r="O426">
        <v>500</v>
      </c>
      <c r="P426">
        <v>202605</v>
      </c>
      <c r="Q426" t="s">
        <v>377</v>
      </c>
      <c r="R426" t="s">
        <v>1353</v>
      </c>
      <c r="S426">
        <f>Consulta1[[#This Row],[min_port]]/100</f>
        <v>1.3999999999999999E-2</v>
      </c>
      <c r="T426" s="252">
        <f>Consulta1[[#This Row],[TETO_COMERCIAL]]/100</f>
        <v>2.5000000000000001E-2</v>
      </c>
      <c r="U426" t="b">
        <f>Consulta1[[#This Row],[TETO_COMERCIAL_%]]=Consulta1[[#This Row],[TAXA]]</f>
        <v>0</v>
      </c>
      <c r="V426" t="str">
        <f>CONCATENATE(Consulta1[[#This Row],[MES_ALTERACAO]],Consulta1[[#This Row],[VIRADA]])</f>
        <v>20260515</v>
      </c>
      <c r="W426">
        <f>VLOOKUP(Consulta1[[#This Row],[Coluna2]],CALENDARIO!$J:$K,2,FALSE)</f>
        <v>10</v>
      </c>
    </row>
    <row r="427" spans="1:23" x14ac:dyDescent="0.25">
      <c r="A427" t="s">
        <v>536</v>
      </c>
      <c r="B427" t="str">
        <f>CONCATENATE(Consulta1[[#This Row],[id]],Consulta1[[#This Row],[EMPREGADOR]])</f>
        <v>4INST RIB PRETO</v>
      </c>
      <c r="C427" s="6">
        <f>IF(A427=A426,C426+1,1)</f>
        <v>4</v>
      </c>
      <c r="D427" t="s">
        <v>540</v>
      </c>
      <c r="E427" s="101">
        <v>1.95E-2</v>
      </c>
      <c r="F427" s="6">
        <v>120</v>
      </c>
      <c r="G427" t="s">
        <v>1349</v>
      </c>
      <c r="H427" s="82">
        <v>2.5</v>
      </c>
      <c r="I427">
        <v>20</v>
      </c>
      <c r="J427">
        <v>50</v>
      </c>
      <c r="K427" t="s">
        <v>1475</v>
      </c>
      <c r="L427" s="6" t="s">
        <v>1381</v>
      </c>
      <c r="M427" s="6">
        <v>15</v>
      </c>
      <c r="N427" s="6">
        <v>2</v>
      </c>
      <c r="O427">
        <v>500</v>
      </c>
      <c r="P427">
        <v>202605</v>
      </c>
      <c r="Q427" t="s">
        <v>377</v>
      </c>
      <c r="R427" t="s">
        <v>1353</v>
      </c>
      <c r="S427">
        <f>Consulta1[[#This Row],[min_port]]/100</f>
        <v>1.3999999999999999E-2</v>
      </c>
      <c r="T427" s="252">
        <f>Consulta1[[#This Row],[TETO_COMERCIAL]]/100</f>
        <v>2.5000000000000001E-2</v>
      </c>
      <c r="U427" t="b">
        <f>Consulta1[[#This Row],[TETO_COMERCIAL_%]]=Consulta1[[#This Row],[TAXA]]</f>
        <v>0</v>
      </c>
      <c r="V427" t="str">
        <f>CONCATENATE(Consulta1[[#This Row],[MES_ALTERACAO]],Consulta1[[#This Row],[VIRADA]])</f>
        <v>20260515</v>
      </c>
      <c r="W427">
        <f>VLOOKUP(Consulta1[[#This Row],[Coluna2]],CALENDARIO!$J:$K,2,FALSE)</f>
        <v>10</v>
      </c>
    </row>
    <row r="428" spans="1:23" x14ac:dyDescent="0.25">
      <c r="A428" t="s">
        <v>536</v>
      </c>
      <c r="B428" t="str">
        <f>CONCATENATE(Consulta1[[#This Row],[id]],Consulta1[[#This Row],[EMPREGADOR]])</f>
        <v>5INST RIB PRETO</v>
      </c>
      <c r="C428" s="6">
        <f>IF(A428=A427,C427+1,1)</f>
        <v>5</v>
      </c>
      <c r="D428" t="s">
        <v>541</v>
      </c>
      <c r="E428" s="101">
        <v>1.7000000000000001E-2</v>
      </c>
      <c r="F428" s="6">
        <v>120</v>
      </c>
      <c r="G428" t="s">
        <v>1349</v>
      </c>
      <c r="H428" s="82">
        <v>2.5</v>
      </c>
      <c r="I428">
        <v>20</v>
      </c>
      <c r="J428">
        <v>50</v>
      </c>
      <c r="K428" t="s">
        <v>1476</v>
      </c>
      <c r="L428" s="6" t="s">
        <v>1381</v>
      </c>
      <c r="M428" s="6">
        <v>15</v>
      </c>
      <c r="N428" s="6">
        <v>2</v>
      </c>
      <c r="O428">
        <v>500</v>
      </c>
      <c r="P428">
        <v>202605</v>
      </c>
      <c r="Q428" t="s">
        <v>377</v>
      </c>
      <c r="R428" t="s">
        <v>1353</v>
      </c>
      <c r="S428">
        <f>Consulta1[[#This Row],[min_port]]/100</f>
        <v>1.3999999999999999E-2</v>
      </c>
      <c r="T428" s="252">
        <f>Consulta1[[#This Row],[TETO_COMERCIAL]]/100</f>
        <v>2.5000000000000001E-2</v>
      </c>
      <c r="U428" t="b">
        <f>Consulta1[[#This Row],[TETO_COMERCIAL_%]]=Consulta1[[#This Row],[TAXA]]</f>
        <v>0</v>
      </c>
      <c r="V428" t="str">
        <f>CONCATENATE(Consulta1[[#This Row],[MES_ALTERACAO]],Consulta1[[#This Row],[VIRADA]])</f>
        <v>20260515</v>
      </c>
      <c r="W428">
        <f>VLOOKUP(Consulta1[[#This Row],[Coluna2]],CALENDARIO!$J:$K,2,FALSE)</f>
        <v>10</v>
      </c>
    </row>
    <row r="429" spans="1:23" x14ac:dyDescent="0.25">
      <c r="A429" t="s">
        <v>209</v>
      </c>
      <c r="B429" t="str">
        <f>CONCATENATE(Consulta1[[#This Row],[id]],Consulta1[[#This Row],[EMPREGADOR]])</f>
        <v>1IPAG GRAVATAI</v>
      </c>
      <c r="C429" s="6">
        <f>IF(A429=A428,C428+1,1)</f>
        <v>1</v>
      </c>
      <c r="D429" t="s">
        <v>210</v>
      </c>
      <c r="E429" s="101">
        <v>2.5000000000000001E-2</v>
      </c>
      <c r="F429" s="6">
        <v>120</v>
      </c>
      <c r="G429" t="s">
        <v>1349</v>
      </c>
      <c r="H429" s="82">
        <v>2.5</v>
      </c>
      <c r="I429">
        <v>20</v>
      </c>
      <c r="J429">
        <v>37</v>
      </c>
      <c r="K429" t="s">
        <v>1488</v>
      </c>
      <c r="L429" s="6" t="s">
        <v>1426</v>
      </c>
      <c r="M429" s="6">
        <v>15</v>
      </c>
      <c r="N429" s="6">
        <v>2</v>
      </c>
      <c r="O429">
        <v>500</v>
      </c>
      <c r="P429">
        <v>202605</v>
      </c>
      <c r="Q429" t="s">
        <v>377</v>
      </c>
      <c r="R429" t="s">
        <v>1353</v>
      </c>
      <c r="S429">
        <f>Consulta1[[#This Row],[min_port]]/100</f>
        <v>1.4199999999999999E-2</v>
      </c>
      <c r="T429" s="252">
        <f>Consulta1[[#This Row],[TETO_COMERCIAL]]/100</f>
        <v>2.5000000000000001E-2</v>
      </c>
      <c r="U429" t="b">
        <f>Consulta1[[#This Row],[TETO_COMERCIAL_%]]=Consulta1[[#This Row],[TAXA]]</f>
        <v>1</v>
      </c>
      <c r="V429" t="str">
        <f>CONCATENATE(Consulta1[[#This Row],[MES_ALTERACAO]],Consulta1[[#This Row],[VIRADA]])</f>
        <v>20260515</v>
      </c>
      <c r="W429">
        <f>VLOOKUP(Consulta1[[#This Row],[Coluna2]],CALENDARIO!$J:$K,2,FALSE)</f>
        <v>10</v>
      </c>
    </row>
    <row r="430" spans="1:23" x14ac:dyDescent="0.25">
      <c r="A430" t="s">
        <v>209</v>
      </c>
      <c r="B430" t="str">
        <f>CONCATENATE(Consulta1[[#This Row],[id]],Consulta1[[#This Row],[EMPREGADOR]])</f>
        <v>2IPAG GRAVATAI</v>
      </c>
      <c r="C430" s="6">
        <f>IF(A430=A429,C429+1,1)</f>
        <v>2</v>
      </c>
      <c r="D430" t="s">
        <v>242</v>
      </c>
      <c r="E430" s="101">
        <v>2.1000000000000001E-2</v>
      </c>
      <c r="F430" s="6">
        <v>120</v>
      </c>
      <c r="G430" t="s">
        <v>1349</v>
      </c>
      <c r="H430" s="82">
        <v>2.5</v>
      </c>
      <c r="I430">
        <v>20</v>
      </c>
      <c r="J430">
        <v>50</v>
      </c>
      <c r="K430" t="s">
        <v>1489</v>
      </c>
      <c r="L430" s="6" t="s">
        <v>1426</v>
      </c>
      <c r="M430" s="6">
        <v>15</v>
      </c>
      <c r="N430" s="6">
        <v>2</v>
      </c>
      <c r="O430">
        <v>500</v>
      </c>
      <c r="P430">
        <v>202605</v>
      </c>
      <c r="Q430" t="s">
        <v>377</v>
      </c>
      <c r="R430" t="s">
        <v>1353</v>
      </c>
      <c r="S430">
        <f>Consulta1[[#This Row],[min_port]]/100</f>
        <v>1.4199999999999999E-2</v>
      </c>
      <c r="T430" s="252">
        <f>Consulta1[[#This Row],[TETO_COMERCIAL]]/100</f>
        <v>2.5000000000000001E-2</v>
      </c>
      <c r="U430" t="b">
        <f>Consulta1[[#This Row],[TETO_COMERCIAL_%]]=Consulta1[[#This Row],[TAXA]]</f>
        <v>0</v>
      </c>
      <c r="V430" t="str">
        <f>CONCATENATE(Consulta1[[#This Row],[MES_ALTERACAO]],Consulta1[[#This Row],[VIRADA]])</f>
        <v>20260515</v>
      </c>
      <c r="W430">
        <f>VLOOKUP(Consulta1[[#This Row],[Coluna2]],CALENDARIO!$J:$K,2,FALSE)</f>
        <v>10</v>
      </c>
    </row>
    <row r="431" spans="1:23" x14ac:dyDescent="0.25">
      <c r="A431" t="s">
        <v>209</v>
      </c>
      <c r="B431" t="str">
        <f>CONCATENATE(Consulta1[[#This Row],[id]],Consulta1[[#This Row],[EMPREGADOR]])</f>
        <v>3IPAG GRAVATAI</v>
      </c>
      <c r="C431" s="6">
        <f>IF(A431=A430,C430+1,1)</f>
        <v>3</v>
      </c>
      <c r="D431" t="s">
        <v>243</v>
      </c>
      <c r="E431" s="101">
        <v>2.0499999999999997E-2</v>
      </c>
      <c r="F431" s="6">
        <v>120</v>
      </c>
      <c r="G431" t="s">
        <v>1349</v>
      </c>
      <c r="H431" s="82">
        <v>2.5</v>
      </c>
      <c r="I431">
        <v>20</v>
      </c>
      <c r="J431">
        <v>53</v>
      </c>
      <c r="K431" t="s">
        <v>1490</v>
      </c>
      <c r="L431" s="6" t="s">
        <v>1426</v>
      </c>
      <c r="M431" s="6">
        <v>15</v>
      </c>
      <c r="N431" s="6">
        <v>2</v>
      </c>
      <c r="O431">
        <v>500</v>
      </c>
      <c r="P431">
        <v>202605</v>
      </c>
      <c r="Q431" t="s">
        <v>377</v>
      </c>
      <c r="R431" t="s">
        <v>1353</v>
      </c>
      <c r="S431">
        <f>Consulta1[[#This Row],[min_port]]/100</f>
        <v>1.4199999999999999E-2</v>
      </c>
      <c r="T431" s="252">
        <f>Consulta1[[#This Row],[TETO_COMERCIAL]]/100</f>
        <v>2.5000000000000001E-2</v>
      </c>
      <c r="U431" t="b">
        <f>Consulta1[[#This Row],[TETO_COMERCIAL_%]]=Consulta1[[#This Row],[TAXA]]</f>
        <v>0</v>
      </c>
      <c r="V431" t="str">
        <f>CONCATENATE(Consulta1[[#This Row],[MES_ALTERACAO]],Consulta1[[#This Row],[VIRADA]])</f>
        <v>20260515</v>
      </c>
      <c r="W431">
        <f>VLOOKUP(Consulta1[[#This Row],[Coluna2]],CALENDARIO!$J:$K,2,FALSE)</f>
        <v>10</v>
      </c>
    </row>
    <row r="432" spans="1:23" x14ac:dyDescent="0.25">
      <c r="A432" t="s">
        <v>209</v>
      </c>
      <c r="B432" t="str">
        <f>CONCATENATE(Consulta1[[#This Row],[id]],Consulta1[[#This Row],[EMPREGADOR]])</f>
        <v>4IPAG GRAVATAI</v>
      </c>
      <c r="C432" s="6">
        <f>IF(A432=A431,C431+1,1)</f>
        <v>4</v>
      </c>
      <c r="D432" t="s">
        <v>244</v>
      </c>
      <c r="E432" s="101">
        <v>1.95E-2</v>
      </c>
      <c r="F432" s="6">
        <v>120</v>
      </c>
      <c r="G432" t="s">
        <v>1349</v>
      </c>
      <c r="H432" s="82">
        <v>2.5</v>
      </c>
      <c r="I432">
        <v>20</v>
      </c>
      <c r="J432">
        <v>57</v>
      </c>
      <c r="K432" t="s">
        <v>1491</v>
      </c>
      <c r="L432" s="6" t="s">
        <v>1426</v>
      </c>
      <c r="M432" s="6">
        <v>15</v>
      </c>
      <c r="N432" s="6">
        <v>2</v>
      </c>
      <c r="O432">
        <v>500</v>
      </c>
      <c r="P432">
        <v>202605</v>
      </c>
      <c r="Q432" t="s">
        <v>377</v>
      </c>
      <c r="R432" t="s">
        <v>1353</v>
      </c>
      <c r="S432">
        <f>Consulta1[[#This Row],[min_port]]/100</f>
        <v>1.4199999999999999E-2</v>
      </c>
      <c r="T432" s="252">
        <f>Consulta1[[#This Row],[TETO_COMERCIAL]]/100</f>
        <v>2.5000000000000001E-2</v>
      </c>
      <c r="U432" t="b">
        <f>Consulta1[[#This Row],[TETO_COMERCIAL_%]]=Consulta1[[#This Row],[TAXA]]</f>
        <v>0</v>
      </c>
      <c r="V432" t="str">
        <f>CONCATENATE(Consulta1[[#This Row],[MES_ALTERACAO]],Consulta1[[#This Row],[VIRADA]])</f>
        <v>20260515</v>
      </c>
      <c r="W432">
        <f>VLOOKUP(Consulta1[[#This Row],[Coluna2]],CALENDARIO!$J:$K,2,FALSE)</f>
        <v>10</v>
      </c>
    </row>
    <row r="433" spans="1:23" x14ac:dyDescent="0.25">
      <c r="A433" t="s">
        <v>209</v>
      </c>
      <c r="B433" t="str">
        <f>CONCATENATE(Consulta1[[#This Row],[id]],Consulta1[[#This Row],[EMPREGADOR]])</f>
        <v>5IPAG GRAVATAI</v>
      </c>
      <c r="C433" s="6">
        <f>IF(A433=A432,C432+1,1)</f>
        <v>5</v>
      </c>
      <c r="D433" t="s">
        <v>710</v>
      </c>
      <c r="E433" s="101">
        <v>1.89E-2</v>
      </c>
      <c r="F433" s="6">
        <v>120</v>
      </c>
      <c r="G433" t="s">
        <v>1349</v>
      </c>
      <c r="H433" s="82">
        <v>2.5</v>
      </c>
      <c r="I433">
        <v>20</v>
      </c>
      <c r="J433">
        <v>58</v>
      </c>
      <c r="K433" t="s">
        <v>1492</v>
      </c>
      <c r="L433" s="6" t="s">
        <v>1426</v>
      </c>
      <c r="M433" s="6">
        <v>15</v>
      </c>
      <c r="N433" s="6">
        <v>2</v>
      </c>
      <c r="O433">
        <v>500</v>
      </c>
      <c r="P433">
        <v>202605</v>
      </c>
      <c r="Q433" t="s">
        <v>377</v>
      </c>
      <c r="R433" t="s">
        <v>1353</v>
      </c>
      <c r="S433">
        <f>Consulta1[[#This Row],[min_port]]/100</f>
        <v>1.4199999999999999E-2</v>
      </c>
      <c r="T433" s="252">
        <f>Consulta1[[#This Row],[TETO_COMERCIAL]]/100</f>
        <v>2.5000000000000001E-2</v>
      </c>
      <c r="U433" t="b">
        <f>Consulta1[[#This Row],[TETO_COMERCIAL_%]]=Consulta1[[#This Row],[TAXA]]</f>
        <v>0</v>
      </c>
      <c r="V433" t="str">
        <f>CONCATENATE(Consulta1[[#This Row],[MES_ALTERACAO]],Consulta1[[#This Row],[VIRADA]])</f>
        <v>20260515</v>
      </c>
      <c r="W433">
        <f>VLOOKUP(Consulta1[[#This Row],[Coluna2]],CALENDARIO!$J:$K,2,FALSE)</f>
        <v>10</v>
      </c>
    </row>
    <row r="434" spans="1:23" x14ac:dyDescent="0.25">
      <c r="A434" t="s">
        <v>3748</v>
      </c>
      <c r="B434" t="str">
        <f>CONCATENATE(Consulta1[[#This Row],[id]],Consulta1[[#This Row],[EMPREGADOR]])</f>
        <v>1IPAM P VELHO RO</v>
      </c>
      <c r="C434" s="6">
        <f>IF(A434=A433,C433+1,1)</f>
        <v>1</v>
      </c>
      <c r="D434" t="s">
        <v>3754</v>
      </c>
      <c r="E434" s="101">
        <v>2.5000000000000001E-2</v>
      </c>
      <c r="F434" s="6">
        <v>96</v>
      </c>
      <c r="G434" t="s">
        <v>1349</v>
      </c>
      <c r="H434" s="82">
        <v>2.5</v>
      </c>
      <c r="I434">
        <v>15</v>
      </c>
      <c r="J434">
        <v>69</v>
      </c>
      <c r="K434" t="s">
        <v>3755</v>
      </c>
      <c r="L434" s="6" t="s">
        <v>1371</v>
      </c>
      <c r="M434" s="6">
        <v>3</v>
      </c>
      <c r="N434" s="6">
        <v>2</v>
      </c>
      <c r="O434">
        <v>500</v>
      </c>
      <c r="P434">
        <v>202605</v>
      </c>
      <c r="Q434" t="s">
        <v>378</v>
      </c>
      <c r="R434" t="s">
        <v>1353</v>
      </c>
      <c r="S434">
        <f>Consulta1[[#This Row],[min_port]]/100</f>
        <v>1.4499999999999999E-2</v>
      </c>
      <c r="T434" s="252">
        <f>Consulta1[[#This Row],[TETO_COMERCIAL]]/100</f>
        <v>2.5000000000000001E-2</v>
      </c>
      <c r="U434" t="b">
        <f>Consulta1[[#This Row],[TETO_COMERCIAL_%]]=Consulta1[[#This Row],[TAXA]]</f>
        <v>1</v>
      </c>
      <c r="V434" t="str">
        <f>CONCATENATE(Consulta1[[#This Row],[MES_ALTERACAO]],Consulta1[[#This Row],[VIRADA]])</f>
        <v>2026053</v>
      </c>
      <c r="W434">
        <f>VLOOKUP(Consulta1[[#This Row],[Coluna2]],CALENDARIO!$J:$K,2,FALSE)</f>
        <v>0</v>
      </c>
    </row>
    <row r="435" spans="1:23" x14ac:dyDescent="0.25">
      <c r="A435" t="s">
        <v>3748</v>
      </c>
      <c r="B435" t="str">
        <f>CONCATENATE(Consulta1[[#This Row],[id]],Consulta1[[#This Row],[EMPREGADOR]])</f>
        <v>2IPAM P VELHO RO</v>
      </c>
      <c r="C435" s="6">
        <f>IF(A435=A434,C434+1,1)</f>
        <v>2</v>
      </c>
      <c r="D435" t="s">
        <v>3756</v>
      </c>
      <c r="E435" s="101">
        <v>2.2499999999999999E-2</v>
      </c>
      <c r="F435" s="6">
        <v>96</v>
      </c>
      <c r="G435" t="s">
        <v>1349</v>
      </c>
      <c r="H435" s="82">
        <v>2.5</v>
      </c>
      <c r="I435">
        <v>15</v>
      </c>
      <c r="K435" t="s">
        <v>3757</v>
      </c>
      <c r="L435" s="6" t="s">
        <v>1371</v>
      </c>
      <c r="M435" s="6">
        <v>3</v>
      </c>
      <c r="N435" s="6">
        <v>2</v>
      </c>
      <c r="O435">
        <v>500</v>
      </c>
      <c r="P435">
        <v>202605</v>
      </c>
      <c r="Q435" t="s">
        <v>378</v>
      </c>
      <c r="R435" t="s">
        <v>1353</v>
      </c>
      <c r="S435">
        <f>Consulta1[[#This Row],[min_port]]/100</f>
        <v>1.4499999999999999E-2</v>
      </c>
      <c r="T435" s="252">
        <f>Consulta1[[#This Row],[TETO_COMERCIAL]]/100</f>
        <v>2.5000000000000001E-2</v>
      </c>
      <c r="U435" t="b">
        <f>Consulta1[[#This Row],[TETO_COMERCIAL_%]]=Consulta1[[#This Row],[TAXA]]</f>
        <v>0</v>
      </c>
      <c r="V435" t="str">
        <f>CONCATENATE(Consulta1[[#This Row],[MES_ALTERACAO]],Consulta1[[#This Row],[VIRADA]])</f>
        <v>2026053</v>
      </c>
      <c r="W435">
        <f>VLOOKUP(Consulta1[[#This Row],[Coluna2]],CALENDARIO!$J:$K,2,FALSE)</f>
        <v>0</v>
      </c>
    </row>
    <row r="436" spans="1:23" x14ac:dyDescent="0.25">
      <c r="A436" t="s">
        <v>3748</v>
      </c>
      <c r="B436" t="str">
        <f>CONCATENATE(Consulta1[[#This Row],[id]],Consulta1[[#This Row],[EMPREGADOR]])</f>
        <v>3IPAM P VELHO RO</v>
      </c>
      <c r="C436" s="6">
        <f>IF(A436=A435,C435+1,1)</f>
        <v>3</v>
      </c>
      <c r="D436" t="s">
        <v>3758</v>
      </c>
      <c r="E436" s="101">
        <v>2.2000000000000002E-2</v>
      </c>
      <c r="F436" s="6">
        <v>96</v>
      </c>
      <c r="G436" t="s">
        <v>1349</v>
      </c>
      <c r="H436" s="82">
        <v>2.5</v>
      </c>
      <c r="I436">
        <v>15</v>
      </c>
      <c r="K436" t="s">
        <v>3759</v>
      </c>
      <c r="L436" s="6" t="s">
        <v>1371</v>
      </c>
      <c r="M436" s="6">
        <v>3</v>
      </c>
      <c r="N436" s="6">
        <v>2</v>
      </c>
      <c r="O436">
        <v>500</v>
      </c>
      <c r="P436">
        <v>202605</v>
      </c>
      <c r="Q436" t="s">
        <v>378</v>
      </c>
      <c r="R436" t="s">
        <v>1353</v>
      </c>
      <c r="S436">
        <f>Consulta1[[#This Row],[min_port]]/100</f>
        <v>1.4499999999999999E-2</v>
      </c>
      <c r="T436" s="252">
        <f>Consulta1[[#This Row],[TETO_COMERCIAL]]/100</f>
        <v>2.5000000000000001E-2</v>
      </c>
      <c r="U436" t="b">
        <f>Consulta1[[#This Row],[TETO_COMERCIAL_%]]=Consulta1[[#This Row],[TAXA]]</f>
        <v>0</v>
      </c>
      <c r="V436" t="str">
        <f>CONCATENATE(Consulta1[[#This Row],[MES_ALTERACAO]],Consulta1[[#This Row],[VIRADA]])</f>
        <v>2026053</v>
      </c>
      <c r="W436">
        <f>VLOOKUP(Consulta1[[#This Row],[Coluna2]],CALENDARIO!$J:$K,2,FALSE)</f>
        <v>0</v>
      </c>
    </row>
    <row r="437" spans="1:23" x14ac:dyDescent="0.25">
      <c r="A437" t="s">
        <v>3748</v>
      </c>
      <c r="B437" t="str">
        <f>CONCATENATE(Consulta1[[#This Row],[id]],Consulta1[[#This Row],[EMPREGADOR]])</f>
        <v>4IPAM P VELHO RO</v>
      </c>
      <c r="C437" s="6">
        <f>IF(A437=A436,C436+1,1)</f>
        <v>4</v>
      </c>
      <c r="D437" t="s">
        <v>3760</v>
      </c>
      <c r="E437" s="101">
        <v>2.1000000000000001E-2</v>
      </c>
      <c r="F437" s="6">
        <v>96</v>
      </c>
      <c r="G437" t="s">
        <v>1349</v>
      </c>
      <c r="H437" s="82">
        <v>2.5</v>
      </c>
      <c r="I437">
        <v>15</v>
      </c>
      <c r="K437" t="s">
        <v>3761</v>
      </c>
      <c r="L437" s="6" t="s">
        <v>1371</v>
      </c>
      <c r="M437" s="6">
        <v>3</v>
      </c>
      <c r="N437" s="6">
        <v>2</v>
      </c>
      <c r="O437">
        <v>500</v>
      </c>
      <c r="P437">
        <v>202605</v>
      </c>
      <c r="Q437" t="s">
        <v>378</v>
      </c>
      <c r="R437" t="s">
        <v>1353</v>
      </c>
      <c r="S437">
        <f>Consulta1[[#This Row],[min_port]]/100</f>
        <v>1.4499999999999999E-2</v>
      </c>
      <c r="T437" s="252">
        <f>Consulta1[[#This Row],[TETO_COMERCIAL]]/100</f>
        <v>2.5000000000000001E-2</v>
      </c>
      <c r="U437" t="b">
        <f>Consulta1[[#This Row],[TETO_COMERCIAL_%]]=Consulta1[[#This Row],[TAXA]]</f>
        <v>0</v>
      </c>
      <c r="V437" t="str">
        <f>CONCATENATE(Consulta1[[#This Row],[MES_ALTERACAO]],Consulta1[[#This Row],[VIRADA]])</f>
        <v>2026053</v>
      </c>
      <c r="W437">
        <f>VLOOKUP(Consulta1[[#This Row],[Coluna2]],CALENDARIO!$J:$K,2,FALSE)</f>
        <v>0</v>
      </c>
    </row>
    <row r="438" spans="1:23" x14ac:dyDescent="0.25">
      <c r="A438" t="s">
        <v>3748</v>
      </c>
      <c r="B438" t="str">
        <f>CONCATENATE(Consulta1[[#This Row],[id]],Consulta1[[#This Row],[EMPREGADOR]])</f>
        <v>5IPAM P VELHO RO</v>
      </c>
      <c r="C438" s="6">
        <f>IF(A438=A437,C437+1,1)</f>
        <v>5</v>
      </c>
      <c r="D438" t="s">
        <v>3762</v>
      </c>
      <c r="E438" s="101">
        <v>2.0499999999999997E-2</v>
      </c>
      <c r="F438" s="6">
        <v>96</v>
      </c>
      <c r="G438" t="s">
        <v>1349</v>
      </c>
      <c r="H438" s="82">
        <v>2.5</v>
      </c>
      <c r="I438">
        <v>15</v>
      </c>
      <c r="K438" t="s">
        <v>3763</v>
      </c>
      <c r="L438" s="6" t="s">
        <v>1371</v>
      </c>
      <c r="M438" s="6">
        <v>3</v>
      </c>
      <c r="N438" s="6">
        <v>2</v>
      </c>
      <c r="O438">
        <v>500</v>
      </c>
      <c r="P438">
        <v>202605</v>
      </c>
      <c r="Q438" t="s">
        <v>378</v>
      </c>
      <c r="R438" t="s">
        <v>1353</v>
      </c>
      <c r="S438">
        <f>Consulta1[[#This Row],[min_port]]/100</f>
        <v>1.4499999999999999E-2</v>
      </c>
      <c r="T438" s="252">
        <f>Consulta1[[#This Row],[TETO_COMERCIAL]]/100</f>
        <v>2.5000000000000001E-2</v>
      </c>
      <c r="U438" t="b">
        <f>Consulta1[[#This Row],[TETO_COMERCIAL_%]]=Consulta1[[#This Row],[TAXA]]</f>
        <v>0</v>
      </c>
      <c r="V438" t="str">
        <f>CONCATENATE(Consulta1[[#This Row],[MES_ALTERACAO]],Consulta1[[#This Row],[VIRADA]])</f>
        <v>2026053</v>
      </c>
      <c r="W438">
        <f>VLOOKUP(Consulta1[[#This Row],[Coluna2]],CALENDARIO!$J:$K,2,FALSE)</f>
        <v>0</v>
      </c>
    </row>
    <row r="439" spans="1:23" x14ac:dyDescent="0.25">
      <c r="A439" t="s">
        <v>3748</v>
      </c>
      <c r="B439" t="str">
        <f>CONCATENATE(Consulta1[[#This Row],[id]],Consulta1[[#This Row],[EMPREGADOR]])</f>
        <v>6IPAM P VELHO RO</v>
      </c>
      <c r="C439" s="6">
        <f>IF(A439=A438,C438+1,1)</f>
        <v>6</v>
      </c>
      <c r="D439" t="s">
        <v>3764</v>
      </c>
      <c r="E439" s="101">
        <v>0.02</v>
      </c>
      <c r="F439" s="6">
        <v>96</v>
      </c>
      <c r="G439" t="s">
        <v>1349</v>
      </c>
      <c r="H439" s="82">
        <v>2.5</v>
      </c>
      <c r="I439">
        <v>15</v>
      </c>
      <c r="K439" t="s">
        <v>3765</v>
      </c>
      <c r="L439" s="6" t="s">
        <v>1371</v>
      </c>
      <c r="M439" s="6">
        <v>3</v>
      </c>
      <c r="N439" s="6">
        <v>2</v>
      </c>
      <c r="O439">
        <v>500</v>
      </c>
      <c r="P439">
        <v>202605</v>
      </c>
      <c r="Q439" t="s">
        <v>378</v>
      </c>
      <c r="R439" t="s">
        <v>1353</v>
      </c>
      <c r="S439">
        <f>Consulta1[[#This Row],[min_port]]/100</f>
        <v>1.4499999999999999E-2</v>
      </c>
      <c r="T439" s="252">
        <f>Consulta1[[#This Row],[TETO_COMERCIAL]]/100</f>
        <v>2.5000000000000001E-2</v>
      </c>
      <c r="U439" t="b">
        <f>Consulta1[[#This Row],[TETO_COMERCIAL_%]]=Consulta1[[#This Row],[TAXA]]</f>
        <v>0</v>
      </c>
      <c r="V439" t="str">
        <f>CONCATENATE(Consulta1[[#This Row],[MES_ALTERACAO]],Consulta1[[#This Row],[VIRADA]])</f>
        <v>2026053</v>
      </c>
      <c r="W439">
        <f>VLOOKUP(Consulta1[[#This Row],[Coluna2]],CALENDARIO!$J:$K,2,FALSE)</f>
        <v>0</v>
      </c>
    </row>
    <row r="440" spans="1:23" x14ac:dyDescent="0.25">
      <c r="A440" t="s">
        <v>3748</v>
      </c>
      <c r="B440" t="str">
        <f>CONCATENATE(Consulta1[[#This Row],[id]],Consulta1[[#This Row],[EMPREGADOR]])</f>
        <v>7IPAM P VELHO RO</v>
      </c>
      <c r="C440" s="6">
        <f>IF(A440=A439,C439+1,1)</f>
        <v>7</v>
      </c>
      <c r="D440" t="s">
        <v>3766</v>
      </c>
      <c r="E440" s="101">
        <v>1.9E-2</v>
      </c>
      <c r="F440" s="6">
        <v>96</v>
      </c>
      <c r="G440" t="s">
        <v>1349</v>
      </c>
      <c r="H440" s="82">
        <v>2.5</v>
      </c>
      <c r="I440">
        <v>15</v>
      </c>
      <c r="K440" t="s">
        <v>3767</v>
      </c>
      <c r="L440" s="6" t="s">
        <v>1371</v>
      </c>
      <c r="M440" s="6">
        <v>3</v>
      </c>
      <c r="N440" s="6">
        <v>2</v>
      </c>
      <c r="O440">
        <v>500</v>
      </c>
      <c r="P440">
        <v>202605</v>
      </c>
      <c r="Q440" t="s">
        <v>378</v>
      </c>
      <c r="R440" t="s">
        <v>1353</v>
      </c>
      <c r="S440">
        <f>Consulta1[[#This Row],[min_port]]/100</f>
        <v>1.4499999999999999E-2</v>
      </c>
      <c r="T440" s="252">
        <f>Consulta1[[#This Row],[TETO_COMERCIAL]]/100</f>
        <v>2.5000000000000001E-2</v>
      </c>
      <c r="U440" t="b">
        <f>Consulta1[[#This Row],[TETO_COMERCIAL_%]]=Consulta1[[#This Row],[TAXA]]</f>
        <v>0</v>
      </c>
      <c r="V440" t="str">
        <f>CONCATENATE(Consulta1[[#This Row],[MES_ALTERACAO]],Consulta1[[#This Row],[VIRADA]])</f>
        <v>2026053</v>
      </c>
      <c r="W440">
        <f>VLOOKUP(Consulta1[[#This Row],[Coluna2]],CALENDARIO!$J:$K,2,FALSE)</f>
        <v>0</v>
      </c>
    </row>
    <row r="441" spans="1:23" x14ac:dyDescent="0.25">
      <c r="A441" t="s">
        <v>3748</v>
      </c>
      <c r="B441" t="str">
        <f>CONCATENATE(Consulta1[[#This Row],[id]],Consulta1[[#This Row],[EMPREGADOR]])</f>
        <v>8IPAM P VELHO RO</v>
      </c>
      <c r="C441" s="6">
        <f>IF(A441=A440,C440+1,1)</f>
        <v>8</v>
      </c>
      <c r="D441" t="s">
        <v>3768</v>
      </c>
      <c r="E441" s="101">
        <v>1.8000000000000002E-2</v>
      </c>
      <c r="F441" s="6">
        <v>96</v>
      </c>
      <c r="G441" t="s">
        <v>1349</v>
      </c>
      <c r="H441" s="82">
        <v>2.5</v>
      </c>
      <c r="I441">
        <v>15</v>
      </c>
      <c r="K441" t="s">
        <v>3769</v>
      </c>
      <c r="L441" s="6" t="s">
        <v>1371</v>
      </c>
      <c r="M441" s="6">
        <v>3</v>
      </c>
      <c r="N441" s="6">
        <v>2</v>
      </c>
      <c r="O441">
        <v>500</v>
      </c>
      <c r="P441">
        <v>202605</v>
      </c>
      <c r="Q441" t="s">
        <v>378</v>
      </c>
      <c r="R441" t="s">
        <v>1353</v>
      </c>
      <c r="S441">
        <f>Consulta1[[#This Row],[min_port]]/100</f>
        <v>1.4499999999999999E-2</v>
      </c>
      <c r="T441" s="252">
        <f>Consulta1[[#This Row],[TETO_COMERCIAL]]/100</f>
        <v>2.5000000000000001E-2</v>
      </c>
      <c r="U441" t="b">
        <f>Consulta1[[#This Row],[TETO_COMERCIAL_%]]=Consulta1[[#This Row],[TAXA]]</f>
        <v>0</v>
      </c>
      <c r="V441" t="str">
        <f>CONCATENATE(Consulta1[[#This Row],[MES_ALTERACAO]],Consulta1[[#This Row],[VIRADA]])</f>
        <v>2026053</v>
      </c>
      <c r="W441">
        <f>VLOOKUP(Consulta1[[#This Row],[Coluna2]],CALENDARIO!$J:$K,2,FALSE)</f>
        <v>0</v>
      </c>
    </row>
    <row r="442" spans="1:23" x14ac:dyDescent="0.25">
      <c r="A442" t="s">
        <v>3748</v>
      </c>
      <c r="B442" t="str">
        <f>CONCATENATE(Consulta1[[#This Row],[id]],Consulta1[[#This Row],[EMPREGADOR]])</f>
        <v>9IPAM P VELHO RO</v>
      </c>
      <c r="C442" s="6">
        <f>IF(A442=A441,C441+1,1)</f>
        <v>9</v>
      </c>
      <c r="D442" t="s">
        <v>3770</v>
      </c>
      <c r="E442" s="101">
        <v>1.7000000000000001E-2</v>
      </c>
      <c r="F442" s="6">
        <v>96</v>
      </c>
      <c r="G442" t="s">
        <v>1349</v>
      </c>
      <c r="H442" s="82">
        <v>2.5</v>
      </c>
      <c r="I442">
        <v>15</v>
      </c>
      <c r="K442" t="s">
        <v>3771</v>
      </c>
      <c r="L442" s="6" t="s">
        <v>1371</v>
      </c>
      <c r="M442" s="6">
        <v>3</v>
      </c>
      <c r="N442" s="6">
        <v>2</v>
      </c>
      <c r="O442">
        <v>500</v>
      </c>
      <c r="P442">
        <v>202605</v>
      </c>
      <c r="Q442" t="s">
        <v>378</v>
      </c>
      <c r="R442" t="s">
        <v>1353</v>
      </c>
      <c r="S442">
        <f>Consulta1[[#This Row],[min_port]]/100</f>
        <v>1.4499999999999999E-2</v>
      </c>
      <c r="T442" s="252">
        <f>Consulta1[[#This Row],[TETO_COMERCIAL]]/100</f>
        <v>2.5000000000000001E-2</v>
      </c>
      <c r="U442" t="b">
        <f>Consulta1[[#This Row],[TETO_COMERCIAL_%]]=Consulta1[[#This Row],[TAXA]]</f>
        <v>0</v>
      </c>
      <c r="V442" t="str">
        <f>CONCATENATE(Consulta1[[#This Row],[MES_ALTERACAO]],Consulta1[[#This Row],[VIRADA]])</f>
        <v>2026053</v>
      </c>
      <c r="W442">
        <f>VLOOKUP(Consulta1[[#This Row],[Coluna2]],CALENDARIO!$J:$K,2,FALSE)</f>
        <v>0</v>
      </c>
    </row>
    <row r="443" spans="1:23" x14ac:dyDescent="0.25">
      <c r="A443" t="s">
        <v>3012</v>
      </c>
      <c r="B443" t="str">
        <f>CONCATENATE(Consulta1[[#This Row],[id]],Consulta1[[#This Row],[EMPREGADOR]])</f>
        <v>1IPAMV ES</v>
      </c>
      <c r="C443" s="6">
        <f>IF(A443=A442,C442+1,1)</f>
        <v>1</v>
      </c>
      <c r="D443" t="s">
        <v>245</v>
      </c>
      <c r="E443" s="101">
        <v>2.1400000000000002E-2</v>
      </c>
      <c r="F443" s="6">
        <v>96</v>
      </c>
      <c r="G443" t="s">
        <v>1349</v>
      </c>
      <c r="H443" s="82">
        <v>2.14</v>
      </c>
      <c r="I443">
        <v>10</v>
      </c>
      <c r="K443" t="s">
        <v>1493</v>
      </c>
      <c r="L443" s="6" t="s">
        <v>1494</v>
      </c>
      <c r="M443" s="6">
        <v>18</v>
      </c>
      <c r="N443" s="6">
        <v>2</v>
      </c>
      <c r="O443">
        <v>500</v>
      </c>
      <c r="P443">
        <v>202605</v>
      </c>
      <c r="Q443" t="s">
        <v>377</v>
      </c>
      <c r="R443" t="s">
        <v>1350</v>
      </c>
      <c r="S443">
        <f>Consulta1[[#This Row],[min_port]]/100</f>
        <v>1.37E-2</v>
      </c>
      <c r="T443" s="252">
        <f>Consulta1[[#This Row],[TETO_COMERCIAL]]/100</f>
        <v>2.1400000000000002E-2</v>
      </c>
      <c r="U443" t="b">
        <f>Consulta1[[#This Row],[TETO_COMERCIAL_%]]=Consulta1[[#This Row],[TAXA]]</f>
        <v>1</v>
      </c>
      <c r="V443" t="str">
        <f>CONCATENATE(Consulta1[[#This Row],[MES_ALTERACAO]],Consulta1[[#This Row],[VIRADA]])</f>
        <v>20260518</v>
      </c>
      <c r="W443">
        <f>VLOOKUP(Consulta1[[#This Row],[Coluna2]],CALENDARIO!$J:$K,2,FALSE)</f>
        <v>11</v>
      </c>
    </row>
    <row r="444" spans="1:23" x14ac:dyDescent="0.25">
      <c r="A444" t="s">
        <v>3012</v>
      </c>
      <c r="B444" t="str">
        <f>CONCATENATE(Consulta1[[#This Row],[id]],Consulta1[[#This Row],[EMPREGADOR]])</f>
        <v>2IPAMV ES</v>
      </c>
      <c r="C444" s="6">
        <f>IF(A444=A443,C443+1,1)</f>
        <v>2</v>
      </c>
      <c r="D444" t="s">
        <v>504</v>
      </c>
      <c r="E444" s="101">
        <v>0.02</v>
      </c>
      <c r="F444" s="6">
        <v>96</v>
      </c>
      <c r="G444" t="s">
        <v>1349</v>
      </c>
      <c r="H444" s="82">
        <v>2.14</v>
      </c>
      <c r="I444">
        <v>10</v>
      </c>
      <c r="K444" t="s">
        <v>1495</v>
      </c>
      <c r="L444" s="6" t="s">
        <v>1494</v>
      </c>
      <c r="M444" s="6">
        <v>18</v>
      </c>
      <c r="N444" s="6">
        <v>2</v>
      </c>
      <c r="O444">
        <v>500</v>
      </c>
      <c r="P444">
        <v>202605</v>
      </c>
      <c r="Q444" t="s">
        <v>377</v>
      </c>
      <c r="R444" t="s">
        <v>1350</v>
      </c>
      <c r="S444">
        <f>Consulta1[[#This Row],[min_port]]/100</f>
        <v>1.37E-2</v>
      </c>
      <c r="T444" s="252">
        <f>Consulta1[[#This Row],[TETO_COMERCIAL]]/100</f>
        <v>2.1400000000000002E-2</v>
      </c>
      <c r="U444" t="b">
        <f>Consulta1[[#This Row],[TETO_COMERCIAL_%]]=Consulta1[[#This Row],[TAXA]]</f>
        <v>0</v>
      </c>
      <c r="V444" t="str">
        <f>CONCATENATE(Consulta1[[#This Row],[MES_ALTERACAO]],Consulta1[[#This Row],[VIRADA]])</f>
        <v>20260518</v>
      </c>
      <c r="W444">
        <f>VLOOKUP(Consulta1[[#This Row],[Coluna2]],CALENDARIO!$J:$K,2,FALSE)</f>
        <v>11</v>
      </c>
    </row>
    <row r="445" spans="1:23" x14ac:dyDescent="0.25">
      <c r="A445" t="s">
        <v>3012</v>
      </c>
      <c r="B445" t="str">
        <f>CONCATENATE(Consulta1[[#This Row],[id]],Consulta1[[#This Row],[EMPREGADOR]])</f>
        <v>3IPAMV ES</v>
      </c>
      <c r="C445" s="6">
        <f>IF(A445=A444,C444+1,1)</f>
        <v>3</v>
      </c>
      <c r="D445" t="s">
        <v>505</v>
      </c>
      <c r="E445" s="101">
        <v>1.9400000000000001E-2</v>
      </c>
      <c r="F445" s="6">
        <v>96</v>
      </c>
      <c r="G445" t="s">
        <v>1349</v>
      </c>
      <c r="H445" s="82">
        <v>2.14</v>
      </c>
      <c r="I445">
        <v>10</v>
      </c>
      <c r="J445">
        <v>34</v>
      </c>
      <c r="K445" t="s">
        <v>1496</v>
      </c>
      <c r="L445" s="6" t="s">
        <v>1494</v>
      </c>
      <c r="M445" s="6">
        <v>18</v>
      </c>
      <c r="N445" s="6">
        <v>2</v>
      </c>
      <c r="O445">
        <v>500</v>
      </c>
      <c r="P445">
        <v>202605</v>
      </c>
      <c r="Q445" t="s">
        <v>377</v>
      </c>
      <c r="R445" t="s">
        <v>1350</v>
      </c>
      <c r="S445">
        <f>Consulta1[[#This Row],[min_port]]/100</f>
        <v>1.37E-2</v>
      </c>
      <c r="T445" s="252">
        <f>Consulta1[[#This Row],[TETO_COMERCIAL]]/100</f>
        <v>2.1400000000000002E-2</v>
      </c>
      <c r="U445" t="b">
        <f>Consulta1[[#This Row],[TETO_COMERCIAL_%]]=Consulta1[[#This Row],[TAXA]]</f>
        <v>0</v>
      </c>
      <c r="V445" t="str">
        <f>CONCATENATE(Consulta1[[#This Row],[MES_ALTERACAO]],Consulta1[[#This Row],[VIRADA]])</f>
        <v>20260518</v>
      </c>
      <c r="W445">
        <f>VLOOKUP(Consulta1[[#This Row],[Coluna2]],CALENDARIO!$J:$K,2,FALSE)</f>
        <v>11</v>
      </c>
    </row>
    <row r="446" spans="1:23" x14ac:dyDescent="0.25">
      <c r="A446" t="s">
        <v>3013</v>
      </c>
      <c r="B446" t="str">
        <f>CONCATENATE(Consulta1[[#This Row],[id]],Consulta1[[#This Row],[EMPREGADOR]])</f>
        <v>1IPAMV ES - ESPECIAL</v>
      </c>
      <c r="C446" s="6">
        <f>IF(A446=A445,C445+1,1)</f>
        <v>1</v>
      </c>
      <c r="D446" t="s">
        <v>506</v>
      </c>
      <c r="E446" s="101">
        <v>1.72E-2</v>
      </c>
      <c r="F446" s="6">
        <v>96</v>
      </c>
      <c r="G446" t="s">
        <v>1349</v>
      </c>
      <c r="H446" s="82">
        <v>2.14</v>
      </c>
      <c r="I446">
        <v>10</v>
      </c>
      <c r="J446">
        <v>32</v>
      </c>
      <c r="K446" t="s">
        <v>1497</v>
      </c>
      <c r="L446" s="6" t="s">
        <v>1494</v>
      </c>
      <c r="M446" s="6">
        <v>18</v>
      </c>
      <c r="N446" s="6">
        <v>2</v>
      </c>
      <c r="O446">
        <v>500</v>
      </c>
      <c r="P446">
        <v>202605</v>
      </c>
      <c r="Q446" t="s">
        <v>377</v>
      </c>
      <c r="R446" t="s">
        <v>1350</v>
      </c>
      <c r="S446">
        <f>Consulta1[[#This Row],[min_port]]/100</f>
        <v>1.37E-2</v>
      </c>
      <c r="T446" s="252">
        <f>Consulta1[[#This Row],[TETO_COMERCIAL]]/100</f>
        <v>2.1400000000000002E-2</v>
      </c>
      <c r="U446" t="b">
        <f>Consulta1[[#This Row],[TETO_COMERCIAL_%]]=Consulta1[[#This Row],[TAXA]]</f>
        <v>0</v>
      </c>
      <c r="V446" t="str">
        <f>CONCATENATE(Consulta1[[#This Row],[MES_ALTERACAO]],Consulta1[[#This Row],[VIRADA]])</f>
        <v>20260518</v>
      </c>
      <c r="W446">
        <f>VLOOKUP(Consulta1[[#This Row],[Coluna2]],CALENDARIO!$J:$K,2,FALSE)</f>
        <v>11</v>
      </c>
    </row>
    <row r="447" spans="1:23" x14ac:dyDescent="0.25">
      <c r="A447" t="s">
        <v>810</v>
      </c>
      <c r="B447" t="str">
        <f>CONCATENATE(Consulta1[[#This Row],[id]],Consulta1[[#This Row],[EMPREGADOR]])</f>
        <v>1IPASP - AOL</v>
      </c>
      <c r="C447" s="6">
        <f>IF(A447=A446,C446+1,1)</f>
        <v>1</v>
      </c>
      <c r="D447" t="s">
        <v>811</v>
      </c>
      <c r="E447" s="101">
        <v>2.4E-2</v>
      </c>
      <c r="F447" s="6">
        <v>96</v>
      </c>
      <c r="G447" t="s">
        <v>1349</v>
      </c>
      <c r="H447" s="82">
        <v>2.4</v>
      </c>
      <c r="I447">
        <v>10</v>
      </c>
      <c r="J447">
        <v>37</v>
      </c>
      <c r="K447" t="s">
        <v>1498</v>
      </c>
      <c r="L447" s="6" t="s">
        <v>1499</v>
      </c>
      <c r="M447" s="6">
        <v>18</v>
      </c>
      <c r="N447" s="6">
        <v>2</v>
      </c>
      <c r="O447">
        <v>500</v>
      </c>
      <c r="P447">
        <v>202605</v>
      </c>
      <c r="Q447" t="s">
        <v>377</v>
      </c>
      <c r="R447" t="s">
        <v>1350</v>
      </c>
      <c r="S447">
        <f>Consulta1[[#This Row],[min_port]]/100</f>
        <v>2.1499999999999998E-2</v>
      </c>
      <c r="T447" s="252">
        <f>Consulta1[[#This Row],[TETO_COMERCIAL]]/100</f>
        <v>2.4E-2</v>
      </c>
      <c r="U447" t="b">
        <f>Consulta1[[#This Row],[TETO_COMERCIAL_%]]=Consulta1[[#This Row],[TAXA]]</f>
        <v>1</v>
      </c>
      <c r="V447" t="str">
        <f>CONCATENATE(Consulta1[[#This Row],[MES_ALTERACAO]],Consulta1[[#This Row],[VIRADA]])</f>
        <v>20260518</v>
      </c>
      <c r="W447">
        <f>VLOOKUP(Consulta1[[#This Row],[Coluna2]],CALENDARIO!$J:$K,2,FALSE)</f>
        <v>11</v>
      </c>
    </row>
    <row r="448" spans="1:23" x14ac:dyDescent="0.25">
      <c r="A448" t="s">
        <v>610</v>
      </c>
      <c r="B448" t="str">
        <f>CONCATENATE(Consulta1[[#This Row],[id]],Consulta1[[#This Row],[EMPREGADOR]])</f>
        <v>1IPM MARACANAÚ</v>
      </c>
      <c r="C448" s="6">
        <f>IF(A448=A447,C447+1,1)</f>
        <v>1</v>
      </c>
      <c r="D448" t="s">
        <v>611</v>
      </c>
      <c r="E448" s="101">
        <v>2.5000000000000001E-2</v>
      </c>
      <c r="F448" s="6">
        <v>96</v>
      </c>
      <c r="G448" t="s">
        <v>1349</v>
      </c>
      <c r="H448" s="82">
        <v>2.5</v>
      </c>
      <c r="I448">
        <v>17</v>
      </c>
      <c r="J448">
        <v>50</v>
      </c>
      <c r="K448" t="s">
        <v>1500</v>
      </c>
      <c r="L448" s="6" t="s">
        <v>1381</v>
      </c>
      <c r="M448" s="6">
        <v>15</v>
      </c>
      <c r="N448" s="6">
        <v>2</v>
      </c>
      <c r="O448">
        <v>500</v>
      </c>
      <c r="P448">
        <v>202605</v>
      </c>
      <c r="Q448" t="s">
        <v>377</v>
      </c>
      <c r="R448" t="s">
        <v>1353</v>
      </c>
      <c r="S448">
        <f>Consulta1[[#This Row],[min_port]]/100</f>
        <v>1.3999999999999999E-2</v>
      </c>
      <c r="T448" s="252">
        <f>Consulta1[[#This Row],[TETO_COMERCIAL]]/100</f>
        <v>2.5000000000000001E-2</v>
      </c>
      <c r="U448" t="b">
        <f>Consulta1[[#This Row],[TETO_COMERCIAL_%]]=Consulta1[[#This Row],[TAXA]]</f>
        <v>1</v>
      </c>
      <c r="V448" t="str">
        <f>CONCATENATE(Consulta1[[#This Row],[MES_ALTERACAO]],Consulta1[[#This Row],[VIRADA]])</f>
        <v>20260515</v>
      </c>
      <c r="W448">
        <f>VLOOKUP(Consulta1[[#This Row],[Coluna2]],CALENDARIO!$J:$K,2,FALSE)</f>
        <v>10</v>
      </c>
    </row>
    <row r="449" spans="1:23" x14ac:dyDescent="0.25">
      <c r="A449" t="s">
        <v>610</v>
      </c>
      <c r="B449" t="str">
        <f>CONCATENATE(Consulta1[[#This Row],[id]],Consulta1[[#This Row],[EMPREGADOR]])</f>
        <v>2IPM MARACANAÚ</v>
      </c>
      <c r="C449" s="6">
        <f>IF(A449=A448,C448+1,1)</f>
        <v>2</v>
      </c>
      <c r="D449" t="s">
        <v>612</v>
      </c>
      <c r="E449" s="101">
        <v>2.4E-2</v>
      </c>
      <c r="F449" s="6">
        <v>96</v>
      </c>
      <c r="G449" t="s">
        <v>1349</v>
      </c>
      <c r="H449" s="82">
        <v>2.5</v>
      </c>
      <c r="I449">
        <v>17</v>
      </c>
      <c r="J449">
        <v>50</v>
      </c>
      <c r="K449" t="s">
        <v>1501</v>
      </c>
      <c r="L449" s="6" t="s">
        <v>1381</v>
      </c>
      <c r="M449" s="6">
        <v>15</v>
      </c>
      <c r="N449" s="6">
        <v>2</v>
      </c>
      <c r="O449">
        <v>500</v>
      </c>
      <c r="P449">
        <v>202605</v>
      </c>
      <c r="Q449" t="s">
        <v>377</v>
      </c>
      <c r="R449" t="s">
        <v>1353</v>
      </c>
      <c r="S449">
        <f>Consulta1[[#This Row],[min_port]]/100</f>
        <v>1.3999999999999999E-2</v>
      </c>
      <c r="T449" s="252">
        <f>Consulta1[[#This Row],[TETO_COMERCIAL]]/100</f>
        <v>2.5000000000000001E-2</v>
      </c>
      <c r="U449" t="b">
        <f>Consulta1[[#This Row],[TETO_COMERCIAL_%]]=Consulta1[[#This Row],[TAXA]]</f>
        <v>0</v>
      </c>
      <c r="V449" t="str">
        <f>CONCATENATE(Consulta1[[#This Row],[MES_ALTERACAO]],Consulta1[[#This Row],[VIRADA]])</f>
        <v>20260515</v>
      </c>
      <c r="W449">
        <f>VLOOKUP(Consulta1[[#This Row],[Coluna2]],CALENDARIO!$J:$K,2,FALSE)</f>
        <v>10</v>
      </c>
    </row>
    <row r="450" spans="1:23" x14ac:dyDescent="0.25">
      <c r="A450" t="s">
        <v>610</v>
      </c>
      <c r="B450" t="str">
        <f>CONCATENATE(Consulta1[[#This Row],[id]],Consulta1[[#This Row],[EMPREGADOR]])</f>
        <v>3IPM MARACANAÚ</v>
      </c>
      <c r="C450" s="6">
        <f>IF(A450=A449,C449+1,1)</f>
        <v>3</v>
      </c>
      <c r="D450" t="s">
        <v>613</v>
      </c>
      <c r="E450" s="101">
        <v>2.3E-2</v>
      </c>
      <c r="F450" s="6">
        <v>96</v>
      </c>
      <c r="G450" t="s">
        <v>1349</v>
      </c>
      <c r="H450" s="82">
        <v>2.5</v>
      </c>
      <c r="I450">
        <v>17</v>
      </c>
      <c r="J450">
        <v>50</v>
      </c>
      <c r="K450" t="s">
        <v>1502</v>
      </c>
      <c r="L450" s="6" t="s">
        <v>1381</v>
      </c>
      <c r="M450" s="6">
        <v>15</v>
      </c>
      <c r="N450" s="6">
        <v>2</v>
      </c>
      <c r="O450">
        <v>500</v>
      </c>
      <c r="P450">
        <v>202605</v>
      </c>
      <c r="Q450" t="s">
        <v>377</v>
      </c>
      <c r="R450" t="s">
        <v>1353</v>
      </c>
      <c r="S450">
        <f>Consulta1[[#This Row],[min_port]]/100</f>
        <v>1.3999999999999999E-2</v>
      </c>
      <c r="T450" s="252">
        <f>Consulta1[[#This Row],[TETO_COMERCIAL]]/100</f>
        <v>2.5000000000000001E-2</v>
      </c>
      <c r="U450" t="b">
        <f>Consulta1[[#This Row],[TETO_COMERCIAL_%]]=Consulta1[[#This Row],[TAXA]]</f>
        <v>0</v>
      </c>
      <c r="V450" t="str">
        <f>CONCATENATE(Consulta1[[#This Row],[MES_ALTERACAO]],Consulta1[[#This Row],[VIRADA]])</f>
        <v>20260515</v>
      </c>
      <c r="W450">
        <f>VLOOKUP(Consulta1[[#This Row],[Coluna2]],CALENDARIO!$J:$K,2,FALSE)</f>
        <v>10</v>
      </c>
    </row>
    <row r="451" spans="1:23" x14ac:dyDescent="0.25">
      <c r="A451" t="s">
        <v>610</v>
      </c>
      <c r="B451" t="str">
        <f>CONCATENATE(Consulta1[[#This Row],[id]],Consulta1[[#This Row],[EMPREGADOR]])</f>
        <v>4IPM MARACANAÚ</v>
      </c>
      <c r="C451" s="6">
        <f>IF(A451=A450,C450+1,1)</f>
        <v>4</v>
      </c>
      <c r="D451" t="s">
        <v>614</v>
      </c>
      <c r="E451" s="101">
        <v>2.2499999999999999E-2</v>
      </c>
      <c r="F451" s="6">
        <v>96</v>
      </c>
      <c r="G451" t="s">
        <v>1349</v>
      </c>
      <c r="H451" s="82">
        <v>2.5</v>
      </c>
      <c r="I451">
        <v>17</v>
      </c>
      <c r="J451">
        <v>50</v>
      </c>
      <c r="K451" t="s">
        <v>1503</v>
      </c>
      <c r="L451" s="6" t="s">
        <v>1381</v>
      </c>
      <c r="M451" s="6">
        <v>15</v>
      </c>
      <c r="N451" s="6">
        <v>2</v>
      </c>
      <c r="O451">
        <v>500</v>
      </c>
      <c r="P451">
        <v>202605</v>
      </c>
      <c r="Q451" t="s">
        <v>377</v>
      </c>
      <c r="R451" t="s">
        <v>1353</v>
      </c>
      <c r="S451">
        <f>Consulta1[[#This Row],[min_port]]/100</f>
        <v>1.3999999999999999E-2</v>
      </c>
      <c r="T451" s="252">
        <f>Consulta1[[#This Row],[TETO_COMERCIAL]]/100</f>
        <v>2.5000000000000001E-2</v>
      </c>
      <c r="U451" t="b">
        <f>Consulta1[[#This Row],[TETO_COMERCIAL_%]]=Consulta1[[#This Row],[TAXA]]</f>
        <v>0</v>
      </c>
      <c r="V451" t="str">
        <f>CONCATENATE(Consulta1[[#This Row],[MES_ALTERACAO]],Consulta1[[#This Row],[VIRADA]])</f>
        <v>20260515</v>
      </c>
      <c r="W451">
        <f>VLOOKUP(Consulta1[[#This Row],[Coluna2]],CALENDARIO!$J:$K,2,FALSE)</f>
        <v>10</v>
      </c>
    </row>
    <row r="452" spans="1:23" x14ac:dyDescent="0.25">
      <c r="A452" t="s">
        <v>1166</v>
      </c>
      <c r="B452" t="str">
        <f>CONCATENATE(Consulta1[[#This Row],[id]],Consulta1[[#This Row],[EMPREGADOR]])</f>
        <v>1IPMO</v>
      </c>
      <c r="C452" s="6">
        <f>IF(A452=A451,C451+1,1)</f>
        <v>1</v>
      </c>
      <c r="D452" t="s">
        <v>1167</v>
      </c>
      <c r="E452" s="101">
        <v>2.5000000000000001E-2</v>
      </c>
      <c r="F452" s="6">
        <v>96</v>
      </c>
      <c r="G452" t="s">
        <v>1349</v>
      </c>
      <c r="H452" s="82">
        <v>2.5</v>
      </c>
      <c r="I452">
        <v>11</v>
      </c>
      <c r="K452" t="s">
        <v>1504</v>
      </c>
      <c r="L452" s="6" t="s">
        <v>1371</v>
      </c>
      <c r="M452" s="6">
        <v>15</v>
      </c>
      <c r="N452" s="6">
        <v>2</v>
      </c>
      <c r="O452">
        <v>500</v>
      </c>
      <c r="P452">
        <v>202605</v>
      </c>
      <c r="Q452" t="s">
        <v>378</v>
      </c>
      <c r="R452" t="s">
        <v>1350</v>
      </c>
      <c r="S452">
        <f>Consulta1[[#This Row],[min_port]]/100</f>
        <v>1.4499999999999999E-2</v>
      </c>
      <c r="T452" s="252">
        <f>Consulta1[[#This Row],[TETO_COMERCIAL]]/100</f>
        <v>2.5000000000000001E-2</v>
      </c>
      <c r="U452" t="b">
        <f>Consulta1[[#This Row],[TETO_COMERCIAL_%]]=Consulta1[[#This Row],[TAXA]]</f>
        <v>1</v>
      </c>
      <c r="V452" t="str">
        <f>CONCATENATE(Consulta1[[#This Row],[MES_ALTERACAO]],Consulta1[[#This Row],[VIRADA]])</f>
        <v>20260515</v>
      </c>
      <c r="W452">
        <f>VLOOKUP(Consulta1[[#This Row],[Coluna2]],CALENDARIO!$J:$K,2,FALSE)</f>
        <v>10</v>
      </c>
    </row>
    <row r="453" spans="1:23" x14ac:dyDescent="0.25">
      <c r="A453" t="s">
        <v>1166</v>
      </c>
      <c r="B453" t="str">
        <f>CONCATENATE(Consulta1[[#This Row],[id]],Consulta1[[#This Row],[EMPREGADOR]])</f>
        <v>2IPMO</v>
      </c>
      <c r="C453" s="6">
        <f>IF(A453=A452,C452+1,1)</f>
        <v>2</v>
      </c>
      <c r="D453" t="s">
        <v>1177</v>
      </c>
      <c r="E453" s="101">
        <v>2.5000000000000001E-2</v>
      </c>
      <c r="F453" s="6">
        <v>96</v>
      </c>
      <c r="G453" t="s">
        <v>1349</v>
      </c>
      <c r="H453" s="82">
        <v>2.5</v>
      </c>
      <c r="I453">
        <v>11</v>
      </c>
      <c r="K453" t="s">
        <v>2595</v>
      </c>
      <c r="L453" s="6" t="s">
        <v>1371</v>
      </c>
      <c r="M453" s="6">
        <v>15</v>
      </c>
      <c r="N453" s="6">
        <v>2</v>
      </c>
      <c r="O453">
        <v>500</v>
      </c>
      <c r="P453">
        <v>202605</v>
      </c>
      <c r="Q453" t="s">
        <v>378</v>
      </c>
      <c r="R453" t="s">
        <v>1350</v>
      </c>
      <c r="S453">
        <f>Consulta1[[#This Row],[min_port]]/100</f>
        <v>1.4499999999999999E-2</v>
      </c>
      <c r="T453" s="252">
        <f>Consulta1[[#This Row],[TETO_COMERCIAL]]/100</f>
        <v>2.5000000000000001E-2</v>
      </c>
      <c r="U453" t="b">
        <f>Consulta1[[#This Row],[TETO_COMERCIAL_%]]=Consulta1[[#This Row],[TAXA]]</f>
        <v>1</v>
      </c>
      <c r="V453" t="str">
        <f>CONCATENATE(Consulta1[[#This Row],[MES_ALTERACAO]],Consulta1[[#This Row],[VIRADA]])</f>
        <v>20260515</v>
      </c>
      <c r="W453">
        <f>VLOOKUP(Consulta1[[#This Row],[Coluna2]],CALENDARIO!$J:$K,2,FALSE)</f>
        <v>10</v>
      </c>
    </row>
    <row r="454" spans="1:23" x14ac:dyDescent="0.25">
      <c r="A454" t="s">
        <v>1166</v>
      </c>
      <c r="B454" t="str">
        <f>CONCATENATE(Consulta1[[#This Row],[id]],Consulta1[[#This Row],[EMPREGADOR]])</f>
        <v>3IPMO</v>
      </c>
      <c r="C454" s="6">
        <f>IF(A454=A453,C453+1,1)</f>
        <v>3</v>
      </c>
      <c r="D454" t="s">
        <v>1168</v>
      </c>
      <c r="E454" s="101">
        <v>2.3900000000000001E-2</v>
      </c>
      <c r="F454" s="6">
        <v>96</v>
      </c>
      <c r="G454" t="s">
        <v>1349</v>
      </c>
      <c r="H454" s="82">
        <v>2.5</v>
      </c>
      <c r="I454">
        <v>11</v>
      </c>
      <c r="K454" t="s">
        <v>1505</v>
      </c>
      <c r="L454" s="6" t="s">
        <v>1371</v>
      </c>
      <c r="M454" s="6">
        <v>15</v>
      </c>
      <c r="N454" s="6">
        <v>2</v>
      </c>
      <c r="O454">
        <v>500</v>
      </c>
      <c r="P454">
        <v>202605</v>
      </c>
      <c r="Q454" t="s">
        <v>378</v>
      </c>
      <c r="R454" t="s">
        <v>1350</v>
      </c>
      <c r="S454">
        <f>Consulta1[[#This Row],[min_port]]/100</f>
        <v>1.4499999999999999E-2</v>
      </c>
      <c r="T454" s="252">
        <f>Consulta1[[#This Row],[TETO_COMERCIAL]]/100</f>
        <v>2.5000000000000001E-2</v>
      </c>
      <c r="U454" t="b">
        <f>Consulta1[[#This Row],[TETO_COMERCIAL_%]]=Consulta1[[#This Row],[TAXA]]</f>
        <v>0</v>
      </c>
      <c r="V454" t="str">
        <f>CONCATENATE(Consulta1[[#This Row],[MES_ALTERACAO]],Consulta1[[#This Row],[VIRADA]])</f>
        <v>20260515</v>
      </c>
      <c r="W454">
        <f>VLOOKUP(Consulta1[[#This Row],[Coluna2]],CALENDARIO!$J:$K,2,FALSE)</f>
        <v>10</v>
      </c>
    </row>
    <row r="455" spans="1:23" x14ac:dyDescent="0.25">
      <c r="A455" t="s">
        <v>1166</v>
      </c>
      <c r="B455" t="str">
        <f>CONCATENATE(Consulta1[[#This Row],[id]],Consulta1[[#This Row],[EMPREGADOR]])</f>
        <v>4IPMO</v>
      </c>
      <c r="C455" s="6">
        <f>IF(A455=A454,C454+1,1)</f>
        <v>4</v>
      </c>
      <c r="D455" t="s">
        <v>1178</v>
      </c>
      <c r="E455" s="101">
        <v>2.3900000000000001E-2</v>
      </c>
      <c r="F455" s="6">
        <v>96</v>
      </c>
      <c r="G455" t="s">
        <v>1349</v>
      </c>
      <c r="H455" s="82">
        <v>2.5</v>
      </c>
      <c r="I455">
        <v>11</v>
      </c>
      <c r="K455" t="s">
        <v>2596</v>
      </c>
      <c r="L455" s="6" t="s">
        <v>1371</v>
      </c>
      <c r="M455" s="6">
        <v>15</v>
      </c>
      <c r="N455" s="6">
        <v>2</v>
      </c>
      <c r="O455">
        <v>500</v>
      </c>
      <c r="P455">
        <v>202605</v>
      </c>
      <c r="Q455" t="s">
        <v>378</v>
      </c>
      <c r="R455" t="s">
        <v>1350</v>
      </c>
      <c r="S455">
        <f>Consulta1[[#This Row],[min_port]]/100</f>
        <v>1.4499999999999999E-2</v>
      </c>
      <c r="T455" s="252">
        <f>Consulta1[[#This Row],[TETO_COMERCIAL]]/100</f>
        <v>2.5000000000000001E-2</v>
      </c>
      <c r="U455" t="b">
        <f>Consulta1[[#This Row],[TETO_COMERCIAL_%]]=Consulta1[[#This Row],[TAXA]]</f>
        <v>0</v>
      </c>
      <c r="V455" t="str">
        <f>CONCATENATE(Consulta1[[#This Row],[MES_ALTERACAO]],Consulta1[[#This Row],[VIRADA]])</f>
        <v>20260515</v>
      </c>
      <c r="W455">
        <f>VLOOKUP(Consulta1[[#This Row],[Coluna2]],CALENDARIO!$J:$K,2,FALSE)</f>
        <v>10</v>
      </c>
    </row>
    <row r="456" spans="1:23" x14ac:dyDescent="0.25">
      <c r="A456" t="s">
        <v>1166</v>
      </c>
      <c r="B456" t="str">
        <f>CONCATENATE(Consulta1[[#This Row],[id]],Consulta1[[#This Row],[EMPREGADOR]])</f>
        <v>5IPMO</v>
      </c>
      <c r="C456" s="6">
        <f>IF(A456=A455,C455+1,1)</f>
        <v>5</v>
      </c>
      <c r="D456" t="s">
        <v>1169</v>
      </c>
      <c r="E456" s="101">
        <v>2.29E-2</v>
      </c>
      <c r="F456" s="6">
        <v>96</v>
      </c>
      <c r="G456" t="s">
        <v>1349</v>
      </c>
      <c r="H456" s="82">
        <v>2.5</v>
      </c>
      <c r="I456">
        <v>11</v>
      </c>
      <c r="K456" t="s">
        <v>1506</v>
      </c>
      <c r="L456" s="6" t="s">
        <v>1371</v>
      </c>
      <c r="M456" s="6">
        <v>15</v>
      </c>
      <c r="N456" s="6">
        <v>2</v>
      </c>
      <c r="O456">
        <v>500</v>
      </c>
      <c r="P456">
        <v>202605</v>
      </c>
      <c r="Q456" t="s">
        <v>378</v>
      </c>
      <c r="R456" t="s">
        <v>1350</v>
      </c>
      <c r="S456">
        <f>Consulta1[[#This Row],[min_port]]/100</f>
        <v>1.4499999999999999E-2</v>
      </c>
      <c r="T456" s="252">
        <f>Consulta1[[#This Row],[TETO_COMERCIAL]]/100</f>
        <v>2.5000000000000001E-2</v>
      </c>
      <c r="U456" t="b">
        <f>Consulta1[[#This Row],[TETO_COMERCIAL_%]]=Consulta1[[#This Row],[TAXA]]</f>
        <v>0</v>
      </c>
      <c r="V456" t="str">
        <f>CONCATENATE(Consulta1[[#This Row],[MES_ALTERACAO]],Consulta1[[#This Row],[VIRADA]])</f>
        <v>20260515</v>
      </c>
      <c r="W456">
        <f>VLOOKUP(Consulta1[[#This Row],[Coluna2]],CALENDARIO!$J:$K,2,FALSE)</f>
        <v>10</v>
      </c>
    </row>
    <row r="457" spans="1:23" x14ac:dyDescent="0.25">
      <c r="A457" t="s">
        <v>1166</v>
      </c>
      <c r="B457" t="str">
        <f>CONCATENATE(Consulta1[[#This Row],[id]],Consulta1[[#This Row],[EMPREGADOR]])</f>
        <v>6IPMO</v>
      </c>
      <c r="C457" s="6">
        <f>IF(A457=A456,C456+1,1)</f>
        <v>6</v>
      </c>
      <c r="D457" t="s">
        <v>1179</v>
      </c>
      <c r="E457" s="101">
        <v>2.29E-2</v>
      </c>
      <c r="F457" s="6">
        <v>96</v>
      </c>
      <c r="G457" t="s">
        <v>1349</v>
      </c>
      <c r="H457" s="82">
        <v>2.5</v>
      </c>
      <c r="I457">
        <v>11</v>
      </c>
      <c r="K457" t="s">
        <v>2597</v>
      </c>
      <c r="L457" s="6" t="s">
        <v>1371</v>
      </c>
      <c r="M457" s="6">
        <v>15</v>
      </c>
      <c r="N457" s="6">
        <v>2</v>
      </c>
      <c r="O457">
        <v>500</v>
      </c>
      <c r="P457">
        <v>202605</v>
      </c>
      <c r="Q457" t="s">
        <v>378</v>
      </c>
      <c r="R457" t="s">
        <v>1350</v>
      </c>
      <c r="S457">
        <f>Consulta1[[#This Row],[min_port]]/100</f>
        <v>1.4499999999999999E-2</v>
      </c>
      <c r="T457" s="252">
        <f>Consulta1[[#This Row],[TETO_COMERCIAL]]/100</f>
        <v>2.5000000000000001E-2</v>
      </c>
      <c r="U457" t="b">
        <f>Consulta1[[#This Row],[TETO_COMERCIAL_%]]=Consulta1[[#This Row],[TAXA]]</f>
        <v>0</v>
      </c>
      <c r="V457" t="str">
        <f>CONCATENATE(Consulta1[[#This Row],[MES_ALTERACAO]],Consulta1[[#This Row],[VIRADA]])</f>
        <v>20260515</v>
      </c>
      <c r="W457">
        <f>VLOOKUP(Consulta1[[#This Row],[Coluna2]],CALENDARIO!$J:$K,2,FALSE)</f>
        <v>10</v>
      </c>
    </row>
    <row r="458" spans="1:23" x14ac:dyDescent="0.25">
      <c r="A458" t="s">
        <v>1166</v>
      </c>
      <c r="B458" t="str">
        <f>CONCATENATE(Consulta1[[#This Row],[id]],Consulta1[[#This Row],[EMPREGADOR]])</f>
        <v>7IPMO</v>
      </c>
      <c r="C458" s="6">
        <f>IF(A458=A457,C457+1,1)</f>
        <v>7</v>
      </c>
      <c r="D458" t="s">
        <v>1170</v>
      </c>
      <c r="E458" s="101">
        <v>2.1899999999999999E-2</v>
      </c>
      <c r="F458" s="6">
        <v>96</v>
      </c>
      <c r="G458" t="s">
        <v>1349</v>
      </c>
      <c r="H458" s="82">
        <v>2.5</v>
      </c>
      <c r="I458">
        <v>11</v>
      </c>
      <c r="K458" t="s">
        <v>1507</v>
      </c>
      <c r="L458" s="6" t="s">
        <v>1371</v>
      </c>
      <c r="M458" s="6">
        <v>15</v>
      </c>
      <c r="N458" s="6">
        <v>2</v>
      </c>
      <c r="O458">
        <v>500</v>
      </c>
      <c r="P458">
        <v>202605</v>
      </c>
      <c r="Q458" t="s">
        <v>378</v>
      </c>
      <c r="R458" t="s">
        <v>1350</v>
      </c>
      <c r="S458">
        <f>Consulta1[[#This Row],[min_port]]/100</f>
        <v>1.4499999999999999E-2</v>
      </c>
      <c r="T458" s="252">
        <f>Consulta1[[#This Row],[TETO_COMERCIAL]]/100</f>
        <v>2.5000000000000001E-2</v>
      </c>
      <c r="U458" t="b">
        <f>Consulta1[[#This Row],[TETO_COMERCIAL_%]]=Consulta1[[#This Row],[TAXA]]</f>
        <v>0</v>
      </c>
      <c r="V458" t="str">
        <f>CONCATENATE(Consulta1[[#This Row],[MES_ALTERACAO]],Consulta1[[#This Row],[VIRADA]])</f>
        <v>20260515</v>
      </c>
      <c r="W458">
        <f>VLOOKUP(Consulta1[[#This Row],[Coluna2]],CALENDARIO!$J:$K,2,FALSE)</f>
        <v>10</v>
      </c>
    </row>
    <row r="459" spans="1:23" x14ac:dyDescent="0.25">
      <c r="A459" t="s">
        <v>1166</v>
      </c>
      <c r="B459" t="str">
        <f>CONCATENATE(Consulta1[[#This Row],[id]],Consulta1[[#This Row],[EMPREGADOR]])</f>
        <v>8IPMO</v>
      </c>
      <c r="C459" s="6">
        <f>IF(A459=A458,C458+1,1)</f>
        <v>8</v>
      </c>
      <c r="D459" t="s">
        <v>1180</v>
      </c>
      <c r="E459" s="101">
        <v>2.1899999999999999E-2</v>
      </c>
      <c r="F459" s="6">
        <v>96</v>
      </c>
      <c r="G459" t="s">
        <v>1349</v>
      </c>
      <c r="H459" s="82">
        <v>2.5</v>
      </c>
      <c r="I459">
        <v>11</v>
      </c>
      <c r="K459" t="s">
        <v>2598</v>
      </c>
      <c r="L459" s="6" t="s">
        <v>1371</v>
      </c>
      <c r="M459" s="6">
        <v>15</v>
      </c>
      <c r="N459" s="6">
        <v>2</v>
      </c>
      <c r="O459">
        <v>500</v>
      </c>
      <c r="P459">
        <v>202605</v>
      </c>
      <c r="Q459" t="s">
        <v>378</v>
      </c>
      <c r="R459" t="s">
        <v>1350</v>
      </c>
      <c r="S459">
        <f>Consulta1[[#This Row],[min_port]]/100</f>
        <v>1.4499999999999999E-2</v>
      </c>
      <c r="T459" s="252">
        <f>Consulta1[[#This Row],[TETO_COMERCIAL]]/100</f>
        <v>2.5000000000000001E-2</v>
      </c>
      <c r="U459" t="b">
        <f>Consulta1[[#This Row],[TETO_COMERCIAL_%]]=Consulta1[[#This Row],[TAXA]]</f>
        <v>0</v>
      </c>
      <c r="V459" t="str">
        <f>CONCATENATE(Consulta1[[#This Row],[MES_ALTERACAO]],Consulta1[[#This Row],[VIRADA]])</f>
        <v>20260515</v>
      </c>
      <c r="W459">
        <f>VLOOKUP(Consulta1[[#This Row],[Coluna2]],CALENDARIO!$J:$K,2,FALSE)</f>
        <v>10</v>
      </c>
    </row>
    <row r="460" spans="1:23" x14ac:dyDescent="0.25">
      <c r="A460" t="s">
        <v>1166</v>
      </c>
      <c r="B460" t="str">
        <f>CONCATENATE(Consulta1[[#This Row],[id]],Consulta1[[#This Row],[EMPREGADOR]])</f>
        <v>9IPMO</v>
      </c>
      <c r="C460" s="6">
        <f>IF(A460=A459,C459+1,1)</f>
        <v>9</v>
      </c>
      <c r="D460" t="s">
        <v>1171</v>
      </c>
      <c r="E460" s="101">
        <v>2.1499999999999998E-2</v>
      </c>
      <c r="F460" s="6">
        <v>96</v>
      </c>
      <c r="G460" t="s">
        <v>1349</v>
      </c>
      <c r="H460" s="82">
        <v>2.5</v>
      </c>
      <c r="I460">
        <v>11</v>
      </c>
      <c r="K460" t="s">
        <v>1508</v>
      </c>
      <c r="L460" s="6" t="s">
        <v>1371</v>
      </c>
      <c r="M460" s="6">
        <v>15</v>
      </c>
      <c r="N460" s="6">
        <v>2</v>
      </c>
      <c r="O460">
        <v>500</v>
      </c>
      <c r="P460">
        <v>202605</v>
      </c>
      <c r="Q460" t="s">
        <v>378</v>
      </c>
      <c r="R460" t="s">
        <v>1350</v>
      </c>
      <c r="S460">
        <f>Consulta1[[#This Row],[min_port]]/100</f>
        <v>1.4499999999999999E-2</v>
      </c>
      <c r="T460" s="252">
        <f>Consulta1[[#This Row],[TETO_COMERCIAL]]/100</f>
        <v>2.5000000000000001E-2</v>
      </c>
      <c r="U460" t="b">
        <f>Consulta1[[#This Row],[TETO_COMERCIAL_%]]=Consulta1[[#This Row],[TAXA]]</f>
        <v>0</v>
      </c>
      <c r="V460" t="str">
        <f>CONCATENATE(Consulta1[[#This Row],[MES_ALTERACAO]],Consulta1[[#This Row],[VIRADA]])</f>
        <v>20260515</v>
      </c>
      <c r="W460">
        <f>VLOOKUP(Consulta1[[#This Row],[Coluna2]],CALENDARIO!$J:$K,2,FALSE)</f>
        <v>10</v>
      </c>
    </row>
    <row r="461" spans="1:23" x14ac:dyDescent="0.25">
      <c r="A461" t="s">
        <v>1166</v>
      </c>
      <c r="B461" t="str">
        <f>CONCATENATE(Consulta1[[#This Row],[id]],Consulta1[[#This Row],[EMPREGADOR]])</f>
        <v>10IPMO</v>
      </c>
      <c r="C461" s="6">
        <f>IF(A461=A460,C460+1,1)</f>
        <v>10</v>
      </c>
      <c r="D461" t="s">
        <v>1181</v>
      </c>
      <c r="E461" s="101">
        <v>2.1499999999999998E-2</v>
      </c>
      <c r="F461" s="6">
        <v>96</v>
      </c>
      <c r="G461" t="s">
        <v>1349</v>
      </c>
      <c r="H461" s="82">
        <v>2.5</v>
      </c>
      <c r="I461">
        <v>11</v>
      </c>
      <c r="K461" t="s">
        <v>2599</v>
      </c>
      <c r="L461" s="6" t="s">
        <v>1371</v>
      </c>
      <c r="M461" s="6">
        <v>15</v>
      </c>
      <c r="N461" s="6">
        <v>2</v>
      </c>
      <c r="O461">
        <v>500</v>
      </c>
      <c r="P461">
        <v>202605</v>
      </c>
      <c r="Q461" t="s">
        <v>378</v>
      </c>
      <c r="R461" t="s">
        <v>1350</v>
      </c>
      <c r="S461">
        <f>Consulta1[[#This Row],[min_port]]/100</f>
        <v>1.4499999999999999E-2</v>
      </c>
      <c r="T461" s="252">
        <f>Consulta1[[#This Row],[TETO_COMERCIAL]]/100</f>
        <v>2.5000000000000001E-2</v>
      </c>
      <c r="U461" t="b">
        <f>Consulta1[[#This Row],[TETO_COMERCIAL_%]]=Consulta1[[#This Row],[TAXA]]</f>
        <v>0</v>
      </c>
      <c r="V461" t="str">
        <f>CONCATENATE(Consulta1[[#This Row],[MES_ALTERACAO]],Consulta1[[#This Row],[VIRADA]])</f>
        <v>20260515</v>
      </c>
      <c r="W461">
        <f>VLOOKUP(Consulta1[[#This Row],[Coluna2]],CALENDARIO!$J:$K,2,FALSE)</f>
        <v>10</v>
      </c>
    </row>
    <row r="462" spans="1:23" x14ac:dyDescent="0.25">
      <c r="A462" t="s">
        <v>1509</v>
      </c>
      <c r="B462" t="str">
        <f>CONCATENATE(Consulta1[[#This Row],[id]],Consulta1[[#This Row],[EMPREGADOR]])</f>
        <v>1IPMO APOSENTADO</v>
      </c>
      <c r="C462" s="6">
        <f>IF(A462=A461,C461+1,1)</f>
        <v>1</v>
      </c>
      <c r="D462" t="s">
        <v>1172</v>
      </c>
      <c r="E462" s="101">
        <v>2.5000000000000001E-2</v>
      </c>
      <c r="F462" s="6">
        <v>96</v>
      </c>
      <c r="G462" t="s">
        <v>1349</v>
      </c>
      <c r="H462" s="82">
        <v>2.5</v>
      </c>
      <c r="I462">
        <v>11</v>
      </c>
      <c r="K462" t="s">
        <v>2600</v>
      </c>
      <c r="L462" s="6" t="s">
        <v>1371</v>
      </c>
      <c r="M462" s="6">
        <v>15</v>
      </c>
      <c r="N462" s="6">
        <v>2</v>
      </c>
      <c r="O462">
        <v>500</v>
      </c>
      <c r="P462">
        <v>202605</v>
      </c>
      <c r="Q462" t="s">
        <v>378</v>
      </c>
      <c r="R462" t="s">
        <v>1350</v>
      </c>
      <c r="S462">
        <f>Consulta1[[#This Row],[min_port]]/100</f>
        <v>1.4499999999999999E-2</v>
      </c>
      <c r="T462" s="252">
        <f>Consulta1[[#This Row],[TETO_COMERCIAL]]/100</f>
        <v>2.5000000000000001E-2</v>
      </c>
      <c r="U462" t="b">
        <f>Consulta1[[#This Row],[TETO_COMERCIAL_%]]=Consulta1[[#This Row],[TAXA]]</f>
        <v>1</v>
      </c>
      <c r="V462" t="str">
        <f>CONCATENATE(Consulta1[[#This Row],[MES_ALTERACAO]],Consulta1[[#This Row],[VIRADA]])</f>
        <v>20260515</v>
      </c>
      <c r="W462">
        <f>VLOOKUP(Consulta1[[#This Row],[Coluna2]],CALENDARIO!$J:$K,2,FALSE)</f>
        <v>10</v>
      </c>
    </row>
    <row r="463" spans="1:23" x14ac:dyDescent="0.25">
      <c r="A463" t="s">
        <v>1509</v>
      </c>
      <c r="B463" t="str">
        <f>CONCATENATE(Consulta1[[#This Row],[id]],Consulta1[[#This Row],[EMPREGADOR]])</f>
        <v>2IPMO APOSENTADO</v>
      </c>
      <c r="C463" s="6">
        <f>IF(A463=A462,C462+1,1)</f>
        <v>2</v>
      </c>
      <c r="D463" t="s">
        <v>1173</v>
      </c>
      <c r="E463" s="101">
        <v>2.3900000000000001E-2</v>
      </c>
      <c r="F463" s="6">
        <v>96</v>
      </c>
      <c r="G463" t="s">
        <v>1349</v>
      </c>
      <c r="H463" s="82">
        <v>2.5</v>
      </c>
      <c r="I463">
        <v>11</v>
      </c>
      <c r="K463" t="s">
        <v>2601</v>
      </c>
      <c r="L463" s="6" t="s">
        <v>1371</v>
      </c>
      <c r="M463" s="6">
        <v>15</v>
      </c>
      <c r="N463" s="6">
        <v>2</v>
      </c>
      <c r="O463">
        <v>500</v>
      </c>
      <c r="P463">
        <v>202605</v>
      </c>
      <c r="Q463" t="s">
        <v>378</v>
      </c>
      <c r="R463" t="s">
        <v>1350</v>
      </c>
      <c r="S463">
        <f>Consulta1[[#This Row],[min_port]]/100</f>
        <v>1.4499999999999999E-2</v>
      </c>
      <c r="T463" s="252">
        <f>Consulta1[[#This Row],[TETO_COMERCIAL]]/100</f>
        <v>2.5000000000000001E-2</v>
      </c>
      <c r="U463" t="b">
        <f>Consulta1[[#This Row],[TETO_COMERCIAL_%]]=Consulta1[[#This Row],[TAXA]]</f>
        <v>0</v>
      </c>
      <c r="V463" t="str">
        <f>CONCATENATE(Consulta1[[#This Row],[MES_ALTERACAO]],Consulta1[[#This Row],[VIRADA]])</f>
        <v>20260515</v>
      </c>
      <c r="W463">
        <f>VLOOKUP(Consulta1[[#This Row],[Coluna2]],CALENDARIO!$J:$K,2,FALSE)</f>
        <v>10</v>
      </c>
    </row>
    <row r="464" spans="1:23" x14ac:dyDescent="0.25">
      <c r="A464" t="s">
        <v>1509</v>
      </c>
      <c r="B464" t="str">
        <f>CONCATENATE(Consulta1[[#This Row],[id]],Consulta1[[#This Row],[EMPREGADOR]])</f>
        <v>3IPMO APOSENTADO</v>
      </c>
      <c r="C464" s="6">
        <f>IF(A464=A463,C463+1,1)</f>
        <v>3</v>
      </c>
      <c r="D464" t="s">
        <v>1174</v>
      </c>
      <c r="E464" s="101">
        <v>2.29E-2</v>
      </c>
      <c r="F464" s="6">
        <v>96</v>
      </c>
      <c r="G464" t="s">
        <v>1349</v>
      </c>
      <c r="H464" s="82">
        <v>2.5</v>
      </c>
      <c r="I464">
        <v>11</v>
      </c>
      <c r="K464" t="s">
        <v>2602</v>
      </c>
      <c r="L464" s="6" t="s">
        <v>1371</v>
      </c>
      <c r="M464" s="6">
        <v>15</v>
      </c>
      <c r="N464" s="6">
        <v>2</v>
      </c>
      <c r="O464">
        <v>500</v>
      </c>
      <c r="P464">
        <v>202605</v>
      </c>
      <c r="Q464" t="s">
        <v>378</v>
      </c>
      <c r="R464" t="s">
        <v>1350</v>
      </c>
      <c r="S464">
        <f>Consulta1[[#This Row],[min_port]]/100</f>
        <v>1.4499999999999999E-2</v>
      </c>
      <c r="T464" s="252">
        <f>Consulta1[[#This Row],[TETO_COMERCIAL]]/100</f>
        <v>2.5000000000000001E-2</v>
      </c>
      <c r="U464" t="b">
        <f>Consulta1[[#This Row],[TETO_COMERCIAL_%]]=Consulta1[[#This Row],[TAXA]]</f>
        <v>0</v>
      </c>
      <c r="V464" t="str">
        <f>CONCATENATE(Consulta1[[#This Row],[MES_ALTERACAO]],Consulta1[[#This Row],[VIRADA]])</f>
        <v>20260515</v>
      </c>
      <c r="W464">
        <f>VLOOKUP(Consulta1[[#This Row],[Coluna2]],CALENDARIO!$J:$K,2,FALSE)</f>
        <v>10</v>
      </c>
    </row>
    <row r="465" spans="1:23" x14ac:dyDescent="0.25">
      <c r="A465" t="s">
        <v>1509</v>
      </c>
      <c r="B465" t="str">
        <f>CONCATENATE(Consulta1[[#This Row],[id]],Consulta1[[#This Row],[EMPREGADOR]])</f>
        <v>4IPMO APOSENTADO</v>
      </c>
      <c r="C465" s="6">
        <f>IF(A465=A464,C464+1,1)</f>
        <v>4</v>
      </c>
      <c r="D465" t="s">
        <v>1175</v>
      </c>
      <c r="E465" s="101">
        <v>2.1899999999999999E-2</v>
      </c>
      <c r="F465" s="6">
        <v>96</v>
      </c>
      <c r="G465" t="s">
        <v>1349</v>
      </c>
      <c r="H465" s="82">
        <v>2.5</v>
      </c>
      <c r="I465">
        <v>11</v>
      </c>
      <c r="K465" t="s">
        <v>2603</v>
      </c>
      <c r="L465" s="6" t="s">
        <v>1371</v>
      </c>
      <c r="M465" s="6">
        <v>15</v>
      </c>
      <c r="N465" s="6">
        <v>2</v>
      </c>
      <c r="O465">
        <v>500</v>
      </c>
      <c r="P465">
        <v>202605</v>
      </c>
      <c r="Q465" t="s">
        <v>378</v>
      </c>
      <c r="R465" t="s">
        <v>1350</v>
      </c>
      <c r="S465">
        <f>Consulta1[[#This Row],[min_port]]/100</f>
        <v>1.4499999999999999E-2</v>
      </c>
      <c r="T465" s="252">
        <f>Consulta1[[#This Row],[TETO_COMERCIAL]]/100</f>
        <v>2.5000000000000001E-2</v>
      </c>
      <c r="U465" t="b">
        <f>Consulta1[[#This Row],[TETO_COMERCIAL_%]]=Consulta1[[#This Row],[TAXA]]</f>
        <v>0</v>
      </c>
      <c r="V465" t="str">
        <f>CONCATENATE(Consulta1[[#This Row],[MES_ALTERACAO]],Consulta1[[#This Row],[VIRADA]])</f>
        <v>20260515</v>
      </c>
      <c r="W465">
        <f>VLOOKUP(Consulta1[[#This Row],[Coluna2]],CALENDARIO!$J:$K,2,FALSE)</f>
        <v>10</v>
      </c>
    </row>
    <row r="466" spans="1:23" x14ac:dyDescent="0.25">
      <c r="A466" t="s">
        <v>1509</v>
      </c>
      <c r="B466" t="str">
        <f>CONCATENATE(Consulta1[[#This Row],[id]],Consulta1[[#This Row],[EMPREGADOR]])</f>
        <v>5IPMO APOSENTADO</v>
      </c>
      <c r="C466" s="6">
        <f>IF(A466=A465,C465+1,1)</f>
        <v>5</v>
      </c>
      <c r="D466" t="s">
        <v>1176</v>
      </c>
      <c r="E466" s="101">
        <v>2.1499999999999998E-2</v>
      </c>
      <c r="F466" s="6">
        <v>96</v>
      </c>
      <c r="G466" t="s">
        <v>1349</v>
      </c>
      <c r="H466" s="82">
        <v>2.5</v>
      </c>
      <c r="I466">
        <v>11</v>
      </c>
      <c r="K466" t="s">
        <v>2604</v>
      </c>
      <c r="L466" s="6" t="s">
        <v>1371</v>
      </c>
      <c r="M466" s="6">
        <v>15</v>
      </c>
      <c r="N466" s="6">
        <v>2</v>
      </c>
      <c r="O466">
        <v>500</v>
      </c>
      <c r="P466">
        <v>202605</v>
      </c>
      <c r="Q466" t="s">
        <v>378</v>
      </c>
      <c r="R466" t="s">
        <v>1350</v>
      </c>
      <c r="S466">
        <f>Consulta1[[#This Row],[min_port]]/100</f>
        <v>1.4499999999999999E-2</v>
      </c>
      <c r="T466" s="252">
        <f>Consulta1[[#This Row],[TETO_COMERCIAL]]/100</f>
        <v>2.5000000000000001E-2</v>
      </c>
      <c r="U466" t="b">
        <f>Consulta1[[#This Row],[TETO_COMERCIAL_%]]=Consulta1[[#This Row],[TAXA]]</f>
        <v>0</v>
      </c>
      <c r="V466" t="str">
        <f>CONCATENATE(Consulta1[[#This Row],[MES_ALTERACAO]],Consulta1[[#This Row],[VIRADA]])</f>
        <v>20260515</v>
      </c>
      <c r="W466">
        <f>VLOOKUP(Consulta1[[#This Row],[Coluna2]],CALENDARIO!$J:$K,2,FALSE)</f>
        <v>10</v>
      </c>
    </row>
    <row r="467" spans="1:23" x14ac:dyDescent="0.25">
      <c r="A467" t="s">
        <v>3014</v>
      </c>
      <c r="B467" t="str">
        <f>CONCATENATE(Consulta1[[#This Row],[id]],Consulta1[[#This Row],[EMPREGADOR]])</f>
        <v>1IPREM MOGI SP</v>
      </c>
      <c r="C467" s="6">
        <f>IF(A467=A466,C466+1,1)</f>
        <v>1</v>
      </c>
      <c r="D467" t="s">
        <v>468</v>
      </c>
      <c r="E467" s="101">
        <v>2.5000000000000001E-2</v>
      </c>
      <c r="F467" s="6">
        <v>120</v>
      </c>
      <c r="G467" t="s">
        <v>1349</v>
      </c>
      <c r="H467" s="82">
        <v>2.5</v>
      </c>
      <c r="I467">
        <v>10</v>
      </c>
      <c r="K467" t="s">
        <v>1510</v>
      </c>
      <c r="L467" s="6" t="s">
        <v>1374</v>
      </c>
      <c r="M467" s="6">
        <v>15</v>
      </c>
      <c r="N467" s="6">
        <v>2</v>
      </c>
      <c r="O467">
        <v>500</v>
      </c>
      <c r="P467">
        <v>202605</v>
      </c>
      <c r="Q467" t="s">
        <v>377</v>
      </c>
      <c r="R467" t="s">
        <v>1350</v>
      </c>
      <c r="S467">
        <f>Consulta1[[#This Row],[min_port]]/100</f>
        <v>1.4999999999999999E-2</v>
      </c>
      <c r="T467" s="252">
        <f>Consulta1[[#This Row],[TETO_COMERCIAL]]/100</f>
        <v>2.5000000000000001E-2</v>
      </c>
      <c r="U467" t="b">
        <f>Consulta1[[#This Row],[TETO_COMERCIAL_%]]=Consulta1[[#This Row],[TAXA]]</f>
        <v>1</v>
      </c>
      <c r="V467" t="str">
        <f>CONCATENATE(Consulta1[[#This Row],[MES_ALTERACAO]],Consulta1[[#This Row],[VIRADA]])</f>
        <v>20260515</v>
      </c>
      <c r="W467">
        <f>VLOOKUP(Consulta1[[#This Row],[Coluna2]],CALENDARIO!$J:$K,2,FALSE)</f>
        <v>10</v>
      </c>
    </row>
    <row r="468" spans="1:23" x14ac:dyDescent="0.25">
      <c r="A468" t="s">
        <v>3014</v>
      </c>
      <c r="B468" t="str">
        <f>CONCATENATE(Consulta1[[#This Row],[id]],Consulta1[[#This Row],[EMPREGADOR]])</f>
        <v>2IPREM MOGI SP</v>
      </c>
      <c r="C468" s="6">
        <f>IF(A468=A467,C467+1,1)</f>
        <v>2</v>
      </c>
      <c r="D468" t="s">
        <v>469</v>
      </c>
      <c r="E468" s="101">
        <v>2.1899999999999999E-2</v>
      </c>
      <c r="F468" s="6">
        <v>120</v>
      </c>
      <c r="G468" t="s">
        <v>1349</v>
      </c>
      <c r="H468" s="82">
        <v>2.5</v>
      </c>
      <c r="I468">
        <v>10</v>
      </c>
      <c r="J468">
        <v>41</v>
      </c>
      <c r="K468" t="s">
        <v>1511</v>
      </c>
      <c r="L468" s="6" t="s">
        <v>1374</v>
      </c>
      <c r="M468" s="6">
        <v>15</v>
      </c>
      <c r="N468" s="6">
        <v>2</v>
      </c>
      <c r="O468">
        <v>500</v>
      </c>
      <c r="P468">
        <v>202605</v>
      </c>
      <c r="Q468" t="s">
        <v>377</v>
      </c>
      <c r="R468" t="s">
        <v>1350</v>
      </c>
      <c r="S468">
        <f>Consulta1[[#This Row],[min_port]]/100</f>
        <v>1.4999999999999999E-2</v>
      </c>
      <c r="T468" s="252">
        <f>Consulta1[[#This Row],[TETO_COMERCIAL]]/100</f>
        <v>2.5000000000000001E-2</v>
      </c>
      <c r="U468" t="b">
        <f>Consulta1[[#This Row],[TETO_COMERCIAL_%]]=Consulta1[[#This Row],[TAXA]]</f>
        <v>0</v>
      </c>
      <c r="V468" t="str">
        <f>CONCATENATE(Consulta1[[#This Row],[MES_ALTERACAO]],Consulta1[[#This Row],[VIRADA]])</f>
        <v>20260515</v>
      </c>
      <c r="W468">
        <f>VLOOKUP(Consulta1[[#This Row],[Coluna2]],CALENDARIO!$J:$K,2,FALSE)</f>
        <v>10</v>
      </c>
    </row>
    <row r="469" spans="1:23" x14ac:dyDescent="0.25">
      <c r="A469" t="s">
        <v>3014</v>
      </c>
      <c r="B469" t="str">
        <f>CONCATENATE(Consulta1[[#This Row],[id]],Consulta1[[#This Row],[EMPREGADOR]])</f>
        <v>3IPREM MOGI SP</v>
      </c>
      <c r="C469" s="6">
        <f>IF(A469=A468,C468+1,1)</f>
        <v>3</v>
      </c>
      <c r="D469" t="s">
        <v>493</v>
      </c>
      <c r="E469" s="101">
        <v>2.0899999999999998E-2</v>
      </c>
      <c r="F469" s="6">
        <v>120</v>
      </c>
      <c r="G469" t="s">
        <v>1349</v>
      </c>
      <c r="H469" s="82">
        <v>2.5</v>
      </c>
      <c r="I469">
        <v>10</v>
      </c>
      <c r="J469">
        <v>39</v>
      </c>
      <c r="K469" t="s">
        <v>1512</v>
      </c>
      <c r="L469" s="6" t="s">
        <v>1374</v>
      </c>
      <c r="M469" s="6">
        <v>15</v>
      </c>
      <c r="N469" s="6">
        <v>2</v>
      </c>
      <c r="O469">
        <v>500</v>
      </c>
      <c r="P469">
        <v>202605</v>
      </c>
      <c r="Q469" t="s">
        <v>377</v>
      </c>
      <c r="R469" t="s">
        <v>1350</v>
      </c>
      <c r="S469">
        <f>Consulta1[[#This Row],[min_port]]/100</f>
        <v>1.4999999999999999E-2</v>
      </c>
      <c r="T469" s="252">
        <f>Consulta1[[#This Row],[TETO_COMERCIAL]]/100</f>
        <v>2.5000000000000001E-2</v>
      </c>
      <c r="U469" t="b">
        <f>Consulta1[[#This Row],[TETO_COMERCIAL_%]]=Consulta1[[#This Row],[TAXA]]</f>
        <v>0</v>
      </c>
      <c r="V469" t="str">
        <f>CONCATENATE(Consulta1[[#This Row],[MES_ALTERACAO]],Consulta1[[#This Row],[VIRADA]])</f>
        <v>20260515</v>
      </c>
      <c r="W469">
        <f>VLOOKUP(Consulta1[[#This Row],[Coluna2]],CALENDARIO!$J:$K,2,FALSE)</f>
        <v>10</v>
      </c>
    </row>
    <row r="470" spans="1:23" x14ac:dyDescent="0.25">
      <c r="A470" t="s">
        <v>3014</v>
      </c>
      <c r="B470" t="str">
        <f>CONCATENATE(Consulta1[[#This Row],[id]],Consulta1[[#This Row],[EMPREGADOR]])</f>
        <v>4IPREM MOGI SP</v>
      </c>
      <c r="C470" s="6">
        <f>IF(A470=A469,C469+1,1)</f>
        <v>4</v>
      </c>
      <c r="D470" t="s">
        <v>494</v>
      </c>
      <c r="E470" s="101">
        <v>1.9900000000000001E-2</v>
      </c>
      <c r="F470" s="6">
        <v>120</v>
      </c>
      <c r="G470" t="s">
        <v>1349</v>
      </c>
      <c r="H470" s="82">
        <v>2.5</v>
      </c>
      <c r="I470">
        <v>10</v>
      </c>
      <c r="K470" t="s">
        <v>1513</v>
      </c>
      <c r="L470" s="6" t="s">
        <v>1374</v>
      </c>
      <c r="M470" s="6">
        <v>15</v>
      </c>
      <c r="N470" s="6">
        <v>2</v>
      </c>
      <c r="O470">
        <v>500</v>
      </c>
      <c r="P470">
        <v>202605</v>
      </c>
      <c r="Q470" t="s">
        <v>377</v>
      </c>
      <c r="R470" t="s">
        <v>1350</v>
      </c>
      <c r="S470">
        <f>Consulta1[[#This Row],[min_port]]/100</f>
        <v>1.4999999999999999E-2</v>
      </c>
      <c r="T470" s="252">
        <f>Consulta1[[#This Row],[TETO_COMERCIAL]]/100</f>
        <v>2.5000000000000001E-2</v>
      </c>
      <c r="U470" t="b">
        <f>Consulta1[[#This Row],[TETO_COMERCIAL_%]]=Consulta1[[#This Row],[TAXA]]</f>
        <v>0</v>
      </c>
      <c r="V470" t="str">
        <f>CONCATENATE(Consulta1[[#This Row],[MES_ALTERACAO]],Consulta1[[#This Row],[VIRADA]])</f>
        <v>20260515</v>
      </c>
      <c r="W470">
        <f>VLOOKUP(Consulta1[[#This Row],[Coluna2]],CALENDARIO!$J:$K,2,FALSE)</f>
        <v>10</v>
      </c>
    </row>
    <row r="471" spans="1:23" x14ac:dyDescent="0.25">
      <c r="A471" t="s">
        <v>3014</v>
      </c>
      <c r="B471" t="str">
        <f>CONCATENATE(Consulta1[[#This Row],[id]],Consulta1[[#This Row],[EMPREGADOR]])</f>
        <v>5IPREM MOGI SP</v>
      </c>
      <c r="C471" s="6">
        <f>IF(A471=A470,C470+1,1)</f>
        <v>5</v>
      </c>
      <c r="D471" t="s">
        <v>495</v>
      </c>
      <c r="E471" s="101">
        <v>1.9400000000000001E-2</v>
      </c>
      <c r="F471" s="6">
        <v>120</v>
      </c>
      <c r="G471" t="s">
        <v>1349</v>
      </c>
      <c r="H471" s="82">
        <v>2.5</v>
      </c>
      <c r="I471">
        <v>10</v>
      </c>
      <c r="J471">
        <v>25</v>
      </c>
      <c r="K471" t="s">
        <v>1514</v>
      </c>
      <c r="L471" s="6" t="s">
        <v>1374</v>
      </c>
      <c r="M471" s="6">
        <v>15</v>
      </c>
      <c r="N471" s="6">
        <v>2</v>
      </c>
      <c r="O471">
        <v>500</v>
      </c>
      <c r="P471">
        <v>202605</v>
      </c>
      <c r="Q471" t="s">
        <v>377</v>
      </c>
      <c r="R471" t="s">
        <v>1350</v>
      </c>
      <c r="S471">
        <f>Consulta1[[#This Row],[min_port]]/100</f>
        <v>1.4999999999999999E-2</v>
      </c>
      <c r="T471" s="252">
        <f>Consulta1[[#This Row],[TETO_COMERCIAL]]/100</f>
        <v>2.5000000000000001E-2</v>
      </c>
      <c r="U471" t="b">
        <f>Consulta1[[#This Row],[TETO_COMERCIAL_%]]=Consulta1[[#This Row],[TAXA]]</f>
        <v>0</v>
      </c>
      <c r="V471" t="str">
        <f>CONCATENATE(Consulta1[[#This Row],[MES_ALTERACAO]],Consulta1[[#This Row],[VIRADA]])</f>
        <v>20260515</v>
      </c>
      <c r="W471">
        <f>VLOOKUP(Consulta1[[#This Row],[Coluna2]],CALENDARIO!$J:$K,2,FALSE)</f>
        <v>10</v>
      </c>
    </row>
    <row r="472" spans="1:23" x14ac:dyDescent="0.25">
      <c r="A472" t="s">
        <v>3015</v>
      </c>
      <c r="B472" t="str">
        <f>CONCATENATE(Consulta1[[#This Row],[id]],Consulta1[[#This Row],[EMPREGADOR]])</f>
        <v>1IPREM P ALEGRE</v>
      </c>
      <c r="C472" s="6">
        <f>IF(A472=A471,C471+1,1)</f>
        <v>1</v>
      </c>
      <c r="D472" t="s">
        <v>599</v>
      </c>
      <c r="E472" s="101">
        <v>2.1700000000000001E-2</v>
      </c>
      <c r="F472" s="6">
        <v>96</v>
      </c>
      <c r="G472" t="s">
        <v>1349</v>
      </c>
      <c r="H472" s="82">
        <v>2.25</v>
      </c>
      <c r="I472">
        <v>13</v>
      </c>
      <c r="K472" t="s">
        <v>1515</v>
      </c>
      <c r="L472" s="6" t="s">
        <v>1374</v>
      </c>
      <c r="M472" s="6">
        <v>15</v>
      </c>
      <c r="N472" s="6">
        <v>2</v>
      </c>
      <c r="O472">
        <v>500</v>
      </c>
      <c r="P472">
        <v>202605</v>
      </c>
      <c r="Q472" t="s">
        <v>377</v>
      </c>
      <c r="R472" t="s">
        <v>1350</v>
      </c>
      <c r="S472">
        <f>Consulta1[[#This Row],[min_port]]/100</f>
        <v>1.4999999999999999E-2</v>
      </c>
      <c r="T472" s="252">
        <f>Consulta1[[#This Row],[TETO_COMERCIAL]]/100</f>
        <v>2.2499999999999999E-2</v>
      </c>
      <c r="U472" t="b">
        <f>Consulta1[[#This Row],[TETO_COMERCIAL_%]]=Consulta1[[#This Row],[TAXA]]</f>
        <v>0</v>
      </c>
      <c r="V472" t="str">
        <f>CONCATENATE(Consulta1[[#This Row],[MES_ALTERACAO]],Consulta1[[#This Row],[VIRADA]])</f>
        <v>20260515</v>
      </c>
      <c r="W472">
        <f>VLOOKUP(Consulta1[[#This Row],[Coluna2]],CALENDARIO!$J:$K,2,FALSE)</f>
        <v>10</v>
      </c>
    </row>
    <row r="473" spans="1:23" x14ac:dyDescent="0.25">
      <c r="A473" t="s">
        <v>3015</v>
      </c>
      <c r="B473" t="str">
        <f>CONCATENATE(Consulta1[[#This Row],[id]],Consulta1[[#This Row],[EMPREGADOR]])</f>
        <v>2IPREM P ALEGRE</v>
      </c>
      <c r="C473" s="6">
        <f>IF(A473=A472,C472+1,1)</f>
        <v>2</v>
      </c>
      <c r="D473" t="s">
        <v>600</v>
      </c>
      <c r="E473" s="101">
        <v>2.07E-2</v>
      </c>
      <c r="F473" s="6">
        <v>96</v>
      </c>
      <c r="G473" t="s">
        <v>1349</v>
      </c>
      <c r="H473" s="82">
        <v>2.25</v>
      </c>
      <c r="I473">
        <v>13</v>
      </c>
      <c r="K473" t="s">
        <v>1516</v>
      </c>
      <c r="L473" s="6" t="s">
        <v>1374</v>
      </c>
      <c r="M473" s="6">
        <v>15</v>
      </c>
      <c r="N473" s="6">
        <v>2</v>
      </c>
      <c r="O473">
        <v>500</v>
      </c>
      <c r="P473">
        <v>202605</v>
      </c>
      <c r="Q473" t="s">
        <v>377</v>
      </c>
      <c r="R473" t="s">
        <v>1350</v>
      </c>
      <c r="S473">
        <f>Consulta1[[#This Row],[min_port]]/100</f>
        <v>1.4999999999999999E-2</v>
      </c>
      <c r="T473" s="252">
        <f>Consulta1[[#This Row],[TETO_COMERCIAL]]/100</f>
        <v>2.2499999999999999E-2</v>
      </c>
      <c r="U473" t="b">
        <f>Consulta1[[#This Row],[TETO_COMERCIAL_%]]=Consulta1[[#This Row],[TAXA]]</f>
        <v>0</v>
      </c>
      <c r="V473" t="str">
        <f>CONCATENATE(Consulta1[[#This Row],[MES_ALTERACAO]],Consulta1[[#This Row],[VIRADA]])</f>
        <v>20260515</v>
      </c>
      <c r="W473">
        <f>VLOOKUP(Consulta1[[#This Row],[Coluna2]],CALENDARIO!$J:$K,2,FALSE)</f>
        <v>10</v>
      </c>
    </row>
    <row r="474" spans="1:23" x14ac:dyDescent="0.25">
      <c r="A474" t="s">
        <v>3016</v>
      </c>
      <c r="B474" t="str">
        <f>CONCATENATE(Consulta1[[#This Row],[id]],Consulta1[[#This Row],[EMPREGADOR]])</f>
        <v>1IPREM SP_</v>
      </c>
      <c r="C474" s="6">
        <f>IF(A474=A473,C473+1,1)</f>
        <v>1</v>
      </c>
      <c r="D474" t="s">
        <v>3576</v>
      </c>
      <c r="E474" s="101">
        <v>1.6399999999999998E-2</v>
      </c>
      <c r="F474" s="6">
        <v>120</v>
      </c>
      <c r="G474" t="s">
        <v>1349</v>
      </c>
      <c r="H474" s="82">
        <v>2.4900000000000002</v>
      </c>
      <c r="I474">
        <v>15</v>
      </c>
      <c r="K474" t="s">
        <v>3577</v>
      </c>
      <c r="L474" s="6" t="s">
        <v>1494</v>
      </c>
      <c r="M474" s="6">
        <v>13</v>
      </c>
      <c r="N474" s="6">
        <v>2</v>
      </c>
      <c r="O474">
        <v>20000</v>
      </c>
      <c r="P474">
        <v>202605</v>
      </c>
      <c r="Q474" t="s">
        <v>377</v>
      </c>
      <c r="R474" t="s">
        <v>1353</v>
      </c>
      <c r="S474">
        <f>Consulta1[[#This Row],[min_port]]/100</f>
        <v>1.37E-2</v>
      </c>
      <c r="T474" s="252">
        <f>Consulta1[[#This Row],[TETO_COMERCIAL]]/100</f>
        <v>2.4900000000000002E-2</v>
      </c>
      <c r="U474" t="b">
        <f>Consulta1[[#This Row],[TETO_COMERCIAL_%]]=Consulta1[[#This Row],[TAXA]]</f>
        <v>0</v>
      </c>
      <c r="V474" t="str">
        <f>CONCATENATE(Consulta1[[#This Row],[MES_ALTERACAO]],Consulta1[[#This Row],[VIRADA]])</f>
        <v>20260513</v>
      </c>
      <c r="W474">
        <f>VLOOKUP(Consulta1[[#This Row],[Coluna2]],CALENDARIO!$J:$K,2,FALSE)</f>
        <v>8</v>
      </c>
    </row>
    <row r="475" spans="1:23" x14ac:dyDescent="0.25">
      <c r="A475" t="s">
        <v>3016</v>
      </c>
      <c r="B475" t="str">
        <f>CONCATENATE(Consulta1[[#This Row],[id]],Consulta1[[#This Row],[EMPREGADOR]])</f>
        <v>2IPREM SP_</v>
      </c>
      <c r="C475" s="6">
        <f>IF(A475=A474,C474+1,1)</f>
        <v>2</v>
      </c>
      <c r="D475" t="s">
        <v>3578</v>
      </c>
      <c r="E475" s="101">
        <v>1.6399999999999998E-2</v>
      </c>
      <c r="F475" s="6">
        <v>120</v>
      </c>
      <c r="G475" t="s">
        <v>1349</v>
      </c>
      <c r="H475" s="82">
        <v>2.4900000000000002</v>
      </c>
      <c r="I475">
        <v>15</v>
      </c>
      <c r="J475">
        <v>39</v>
      </c>
      <c r="K475" t="s">
        <v>3579</v>
      </c>
      <c r="L475" s="6" t="s">
        <v>1494</v>
      </c>
      <c r="M475" s="6">
        <v>14</v>
      </c>
      <c r="N475" s="6">
        <v>2</v>
      </c>
      <c r="O475">
        <v>20000</v>
      </c>
      <c r="P475">
        <v>202605</v>
      </c>
      <c r="Q475" t="s">
        <v>377</v>
      </c>
      <c r="R475" t="s">
        <v>1353</v>
      </c>
      <c r="S475">
        <f>Consulta1[[#This Row],[min_port]]/100</f>
        <v>1.37E-2</v>
      </c>
      <c r="T475" s="252">
        <f>Consulta1[[#This Row],[TETO_COMERCIAL]]/100</f>
        <v>2.4900000000000002E-2</v>
      </c>
      <c r="U475" t="b">
        <f>Consulta1[[#This Row],[TETO_COMERCIAL_%]]=Consulta1[[#This Row],[TAXA]]</f>
        <v>0</v>
      </c>
      <c r="V475" t="str">
        <f>CONCATENATE(Consulta1[[#This Row],[MES_ALTERACAO]],Consulta1[[#This Row],[VIRADA]])</f>
        <v>20260514</v>
      </c>
      <c r="W475">
        <f>VLOOKUP(Consulta1[[#This Row],[Coluna2]],CALENDARIO!$J:$K,2,FALSE)</f>
        <v>9</v>
      </c>
    </row>
    <row r="476" spans="1:23" x14ac:dyDescent="0.25">
      <c r="A476" t="s">
        <v>3016</v>
      </c>
      <c r="B476" t="str">
        <f>CONCATENATE(Consulta1[[#This Row],[id]],Consulta1[[#This Row],[EMPREGADOR]])</f>
        <v>3IPREM SP_</v>
      </c>
      <c r="C476" s="6">
        <f>IF(A476=A475,C475+1,1)</f>
        <v>3</v>
      </c>
      <c r="D476" t="s">
        <v>3580</v>
      </c>
      <c r="E476" s="101">
        <v>1.61E-2</v>
      </c>
      <c r="F476" s="6">
        <v>120</v>
      </c>
      <c r="G476" t="s">
        <v>1349</v>
      </c>
      <c r="H476" s="82">
        <v>2.4900000000000002</v>
      </c>
      <c r="I476">
        <v>15</v>
      </c>
      <c r="K476" t="s">
        <v>3581</v>
      </c>
      <c r="L476" s="6" t="s">
        <v>1494</v>
      </c>
      <c r="M476" s="6">
        <v>13</v>
      </c>
      <c r="N476" s="6">
        <v>2</v>
      </c>
      <c r="O476">
        <v>30000</v>
      </c>
      <c r="P476">
        <v>202605</v>
      </c>
      <c r="Q476" t="s">
        <v>377</v>
      </c>
      <c r="R476" t="s">
        <v>1353</v>
      </c>
      <c r="S476">
        <f>Consulta1[[#This Row],[min_port]]/100</f>
        <v>1.37E-2</v>
      </c>
      <c r="T476" s="252">
        <f>Consulta1[[#This Row],[TETO_COMERCIAL]]/100</f>
        <v>2.4900000000000002E-2</v>
      </c>
      <c r="U476" t="b">
        <f>Consulta1[[#This Row],[TETO_COMERCIAL_%]]=Consulta1[[#This Row],[TAXA]]</f>
        <v>0</v>
      </c>
      <c r="V476" t="str">
        <f>CONCATENATE(Consulta1[[#This Row],[MES_ALTERACAO]],Consulta1[[#This Row],[VIRADA]])</f>
        <v>20260513</v>
      </c>
      <c r="W476">
        <f>VLOOKUP(Consulta1[[#This Row],[Coluna2]],CALENDARIO!$J:$K,2,FALSE)</f>
        <v>8</v>
      </c>
    </row>
    <row r="477" spans="1:23" x14ac:dyDescent="0.25">
      <c r="A477" t="s">
        <v>3016</v>
      </c>
      <c r="B477" t="str">
        <f>CONCATENATE(Consulta1[[#This Row],[id]],Consulta1[[#This Row],[EMPREGADOR]])</f>
        <v>4IPREM SP_</v>
      </c>
      <c r="C477" s="6">
        <f>IF(A477=A476,C476+1,1)</f>
        <v>4</v>
      </c>
      <c r="D477" t="s">
        <v>3582</v>
      </c>
      <c r="E477" s="101">
        <v>1.61E-2</v>
      </c>
      <c r="F477" s="6">
        <v>120</v>
      </c>
      <c r="G477" t="s">
        <v>1349</v>
      </c>
      <c r="H477" s="82">
        <v>2.4900000000000002</v>
      </c>
      <c r="I477">
        <v>15</v>
      </c>
      <c r="J477">
        <v>46</v>
      </c>
      <c r="K477" t="s">
        <v>3583</v>
      </c>
      <c r="L477" s="6" t="s">
        <v>1494</v>
      </c>
      <c r="M477" s="6">
        <v>14</v>
      </c>
      <c r="N477" s="6">
        <v>2</v>
      </c>
      <c r="O477">
        <v>30000</v>
      </c>
      <c r="P477">
        <v>202605</v>
      </c>
      <c r="Q477" t="s">
        <v>377</v>
      </c>
      <c r="R477" t="s">
        <v>1353</v>
      </c>
      <c r="S477">
        <f>Consulta1[[#This Row],[min_port]]/100</f>
        <v>1.37E-2</v>
      </c>
      <c r="T477" s="252">
        <f>Consulta1[[#This Row],[TETO_COMERCIAL]]/100</f>
        <v>2.4900000000000002E-2</v>
      </c>
      <c r="U477" t="b">
        <f>Consulta1[[#This Row],[TETO_COMERCIAL_%]]=Consulta1[[#This Row],[TAXA]]</f>
        <v>0</v>
      </c>
      <c r="V477" t="str">
        <f>CONCATENATE(Consulta1[[#This Row],[MES_ALTERACAO]],Consulta1[[#This Row],[VIRADA]])</f>
        <v>20260514</v>
      </c>
      <c r="W477">
        <f>VLOOKUP(Consulta1[[#This Row],[Coluna2]],CALENDARIO!$J:$K,2,FALSE)</f>
        <v>9</v>
      </c>
    </row>
    <row r="478" spans="1:23" x14ac:dyDescent="0.25">
      <c r="A478" t="s">
        <v>3016</v>
      </c>
      <c r="B478" t="str">
        <f>CONCATENATE(Consulta1[[#This Row],[id]],Consulta1[[#This Row],[EMPREGADOR]])</f>
        <v>5IPREM SP_</v>
      </c>
      <c r="C478" s="6">
        <f>IF(A478=A477,C477+1,1)</f>
        <v>5</v>
      </c>
      <c r="D478" t="s">
        <v>3584</v>
      </c>
      <c r="E478" s="101">
        <v>1.5900000000000001E-2</v>
      </c>
      <c r="F478" s="6">
        <v>120</v>
      </c>
      <c r="G478" t="s">
        <v>1349</v>
      </c>
      <c r="H478" s="82">
        <v>2.4900000000000002</v>
      </c>
      <c r="I478">
        <v>15</v>
      </c>
      <c r="K478" t="s">
        <v>3585</v>
      </c>
      <c r="L478" s="6" t="s">
        <v>1494</v>
      </c>
      <c r="M478" s="6">
        <v>13</v>
      </c>
      <c r="N478" s="6">
        <v>2</v>
      </c>
      <c r="O478">
        <v>50000</v>
      </c>
      <c r="P478">
        <v>202605</v>
      </c>
      <c r="Q478" t="s">
        <v>377</v>
      </c>
      <c r="R478" t="s">
        <v>1353</v>
      </c>
      <c r="S478">
        <f>Consulta1[[#This Row],[min_port]]/100</f>
        <v>1.37E-2</v>
      </c>
      <c r="T478" s="252">
        <f>Consulta1[[#This Row],[TETO_COMERCIAL]]/100</f>
        <v>2.4900000000000002E-2</v>
      </c>
      <c r="U478" t="b">
        <f>Consulta1[[#This Row],[TETO_COMERCIAL_%]]=Consulta1[[#This Row],[TAXA]]</f>
        <v>0</v>
      </c>
      <c r="V478" t="str">
        <f>CONCATENATE(Consulta1[[#This Row],[MES_ALTERACAO]],Consulta1[[#This Row],[VIRADA]])</f>
        <v>20260513</v>
      </c>
      <c r="W478">
        <f>VLOOKUP(Consulta1[[#This Row],[Coluna2]],CALENDARIO!$J:$K,2,FALSE)</f>
        <v>8</v>
      </c>
    </row>
    <row r="479" spans="1:23" x14ac:dyDescent="0.25">
      <c r="A479" t="s">
        <v>3016</v>
      </c>
      <c r="B479" t="str">
        <f>CONCATENATE(Consulta1[[#This Row],[id]],Consulta1[[#This Row],[EMPREGADOR]])</f>
        <v>6IPREM SP_</v>
      </c>
      <c r="C479" s="6">
        <f>IF(A479=A478,C478+1,1)</f>
        <v>6</v>
      </c>
      <c r="D479" t="s">
        <v>3586</v>
      </c>
      <c r="E479" s="101">
        <v>1.5900000000000001E-2</v>
      </c>
      <c r="F479" s="6">
        <v>120</v>
      </c>
      <c r="G479" t="s">
        <v>1349</v>
      </c>
      <c r="H479" s="82">
        <v>2.4900000000000002</v>
      </c>
      <c r="I479">
        <v>15</v>
      </c>
      <c r="K479" t="s">
        <v>3587</v>
      </c>
      <c r="L479" s="6" t="s">
        <v>1494</v>
      </c>
      <c r="M479" s="6">
        <v>14</v>
      </c>
      <c r="N479" s="6">
        <v>2</v>
      </c>
      <c r="O479">
        <v>50000</v>
      </c>
      <c r="P479">
        <v>202605</v>
      </c>
      <c r="Q479" t="s">
        <v>377</v>
      </c>
      <c r="R479" t="s">
        <v>1353</v>
      </c>
      <c r="S479">
        <f>Consulta1[[#This Row],[min_port]]/100</f>
        <v>1.37E-2</v>
      </c>
      <c r="T479" s="252">
        <f>Consulta1[[#This Row],[TETO_COMERCIAL]]/100</f>
        <v>2.4900000000000002E-2</v>
      </c>
      <c r="U479" t="b">
        <f>Consulta1[[#This Row],[TETO_COMERCIAL_%]]=Consulta1[[#This Row],[TAXA]]</f>
        <v>0</v>
      </c>
      <c r="V479" t="str">
        <f>CONCATENATE(Consulta1[[#This Row],[MES_ALTERACAO]],Consulta1[[#This Row],[VIRADA]])</f>
        <v>20260514</v>
      </c>
      <c r="W479">
        <f>VLOOKUP(Consulta1[[#This Row],[Coluna2]],CALENDARIO!$J:$K,2,FALSE)</f>
        <v>9</v>
      </c>
    </row>
    <row r="480" spans="1:23" x14ac:dyDescent="0.25">
      <c r="A480" t="s">
        <v>3016</v>
      </c>
      <c r="B480" t="str">
        <f>CONCATENATE(Consulta1[[#This Row],[id]],Consulta1[[#This Row],[EMPREGADOR]])</f>
        <v>7IPREM SP_</v>
      </c>
      <c r="C480" s="6">
        <f>IF(A480=A479,C479+1,1)</f>
        <v>7</v>
      </c>
      <c r="D480" t="s">
        <v>3588</v>
      </c>
      <c r="E480" s="101">
        <v>1.5700000000000002E-2</v>
      </c>
      <c r="F480" s="6">
        <v>120</v>
      </c>
      <c r="G480" t="s">
        <v>1349</v>
      </c>
      <c r="H480" s="82">
        <v>2.4900000000000002</v>
      </c>
      <c r="I480">
        <v>15</v>
      </c>
      <c r="K480" t="s">
        <v>3589</v>
      </c>
      <c r="L480" s="6" t="s">
        <v>1494</v>
      </c>
      <c r="M480" s="6">
        <v>13</v>
      </c>
      <c r="N480" s="6">
        <v>2</v>
      </c>
      <c r="O480">
        <v>60000</v>
      </c>
      <c r="P480">
        <v>202605</v>
      </c>
      <c r="Q480" t="s">
        <v>377</v>
      </c>
      <c r="R480" t="s">
        <v>1353</v>
      </c>
      <c r="S480">
        <f>Consulta1[[#This Row],[min_port]]/100</f>
        <v>1.37E-2</v>
      </c>
      <c r="T480" s="252">
        <f>Consulta1[[#This Row],[TETO_COMERCIAL]]/100</f>
        <v>2.4900000000000002E-2</v>
      </c>
      <c r="U480" t="b">
        <f>Consulta1[[#This Row],[TETO_COMERCIAL_%]]=Consulta1[[#This Row],[TAXA]]</f>
        <v>0</v>
      </c>
      <c r="V480" t="str">
        <f>CONCATENATE(Consulta1[[#This Row],[MES_ALTERACAO]],Consulta1[[#This Row],[VIRADA]])</f>
        <v>20260513</v>
      </c>
      <c r="W480">
        <f>VLOOKUP(Consulta1[[#This Row],[Coluna2]],CALENDARIO!$J:$K,2,FALSE)</f>
        <v>8</v>
      </c>
    </row>
    <row r="481" spans="1:23" x14ac:dyDescent="0.25">
      <c r="A481" t="s">
        <v>3016</v>
      </c>
      <c r="B481" t="str">
        <f>CONCATENATE(Consulta1[[#This Row],[id]],Consulta1[[#This Row],[EMPREGADOR]])</f>
        <v>8IPREM SP_</v>
      </c>
      <c r="C481" s="6">
        <f>IF(A481=A480,C480+1,1)</f>
        <v>8</v>
      </c>
      <c r="D481" t="s">
        <v>3590</v>
      </c>
      <c r="E481" s="101">
        <v>1.5700000000000002E-2</v>
      </c>
      <c r="F481" s="6">
        <v>120</v>
      </c>
      <c r="G481" t="s">
        <v>1349</v>
      </c>
      <c r="H481" s="82">
        <v>2.4900000000000002</v>
      </c>
      <c r="I481">
        <v>15</v>
      </c>
      <c r="J481">
        <v>47</v>
      </c>
      <c r="K481" t="s">
        <v>3591</v>
      </c>
      <c r="L481" s="6" t="s">
        <v>1494</v>
      </c>
      <c r="M481" s="6">
        <v>14</v>
      </c>
      <c r="N481" s="6">
        <v>2</v>
      </c>
      <c r="O481">
        <v>60000</v>
      </c>
      <c r="P481">
        <v>202605</v>
      </c>
      <c r="Q481" t="s">
        <v>377</v>
      </c>
      <c r="R481" t="s">
        <v>1353</v>
      </c>
      <c r="S481">
        <f>Consulta1[[#This Row],[min_port]]/100</f>
        <v>1.37E-2</v>
      </c>
      <c r="T481" s="252">
        <f>Consulta1[[#This Row],[TETO_COMERCIAL]]/100</f>
        <v>2.4900000000000002E-2</v>
      </c>
      <c r="U481" t="b">
        <f>Consulta1[[#This Row],[TETO_COMERCIAL_%]]=Consulta1[[#This Row],[TAXA]]</f>
        <v>0</v>
      </c>
      <c r="V481" t="str">
        <f>CONCATENATE(Consulta1[[#This Row],[MES_ALTERACAO]],Consulta1[[#This Row],[VIRADA]])</f>
        <v>20260514</v>
      </c>
      <c r="W481">
        <f>VLOOKUP(Consulta1[[#This Row],[Coluna2]],CALENDARIO!$J:$K,2,FALSE)</f>
        <v>9</v>
      </c>
    </row>
    <row r="482" spans="1:23" x14ac:dyDescent="0.25">
      <c r="A482" t="s">
        <v>3017</v>
      </c>
      <c r="B482" t="str">
        <f>CONCATENATE(Consulta1[[#This Row],[id]],Consulta1[[#This Row],[EMPREGADOR]])</f>
        <v>1IPREM SP_ APOSENTADO</v>
      </c>
      <c r="C482" s="6">
        <f>IF(A482=A481,C481+1,1)</f>
        <v>1</v>
      </c>
      <c r="D482" t="s">
        <v>3592</v>
      </c>
      <c r="E482" s="101">
        <v>2.4900000000000002E-2</v>
      </c>
      <c r="F482" s="6">
        <v>120</v>
      </c>
      <c r="G482" t="s">
        <v>1349</v>
      </c>
      <c r="H482" s="82">
        <v>2.4900000000000002</v>
      </c>
      <c r="I482">
        <v>15</v>
      </c>
      <c r="K482" t="s">
        <v>3593</v>
      </c>
      <c r="L482" s="6" t="s">
        <v>1494</v>
      </c>
      <c r="M482" s="6">
        <v>9</v>
      </c>
      <c r="N482" s="6">
        <v>2</v>
      </c>
      <c r="O482">
        <v>500</v>
      </c>
      <c r="P482">
        <v>202605</v>
      </c>
      <c r="Q482" t="s">
        <v>377</v>
      </c>
      <c r="R482" t="s">
        <v>1353</v>
      </c>
      <c r="S482">
        <f>Consulta1[[#This Row],[min_port]]/100</f>
        <v>1.37E-2</v>
      </c>
      <c r="T482" s="252">
        <f>Consulta1[[#This Row],[TETO_COMERCIAL]]/100</f>
        <v>2.4900000000000002E-2</v>
      </c>
      <c r="U482" t="b">
        <f>Consulta1[[#This Row],[TETO_COMERCIAL_%]]=Consulta1[[#This Row],[TAXA]]</f>
        <v>1</v>
      </c>
      <c r="V482" t="str">
        <f>CONCATENATE(Consulta1[[#This Row],[MES_ALTERACAO]],Consulta1[[#This Row],[VIRADA]])</f>
        <v>2026059</v>
      </c>
      <c r="W482">
        <f>VLOOKUP(Consulta1[[#This Row],[Coluna2]],CALENDARIO!$J:$K,2,FALSE)</f>
        <v>5</v>
      </c>
    </row>
    <row r="483" spans="1:23" x14ac:dyDescent="0.25">
      <c r="A483" t="s">
        <v>3017</v>
      </c>
      <c r="B483" t="str">
        <f>CONCATENATE(Consulta1[[#This Row],[id]],Consulta1[[#This Row],[EMPREGADOR]])</f>
        <v>2IPREM SP_ APOSENTADO</v>
      </c>
      <c r="C483" s="6">
        <f>IF(A483=A482,C482+1,1)</f>
        <v>2</v>
      </c>
      <c r="D483" t="s">
        <v>3594</v>
      </c>
      <c r="E483" s="101">
        <v>2.3900000000000001E-2</v>
      </c>
      <c r="F483" s="6">
        <v>120</v>
      </c>
      <c r="G483" t="s">
        <v>1349</v>
      </c>
      <c r="H483" s="82">
        <v>2.4900000000000002</v>
      </c>
      <c r="I483">
        <v>15</v>
      </c>
      <c r="K483" t="s">
        <v>3595</v>
      </c>
      <c r="L483" s="6" t="s">
        <v>1494</v>
      </c>
      <c r="M483" s="6">
        <v>9</v>
      </c>
      <c r="N483" s="6">
        <v>2</v>
      </c>
      <c r="O483">
        <v>500</v>
      </c>
      <c r="P483">
        <v>202605</v>
      </c>
      <c r="Q483" t="s">
        <v>377</v>
      </c>
      <c r="R483" t="s">
        <v>1353</v>
      </c>
      <c r="S483">
        <f>Consulta1[[#This Row],[min_port]]/100</f>
        <v>1.37E-2</v>
      </c>
      <c r="T483" s="252">
        <f>Consulta1[[#This Row],[TETO_COMERCIAL]]/100</f>
        <v>2.4900000000000002E-2</v>
      </c>
      <c r="U483" t="b">
        <f>Consulta1[[#This Row],[TETO_COMERCIAL_%]]=Consulta1[[#This Row],[TAXA]]</f>
        <v>0</v>
      </c>
      <c r="V483" t="str">
        <f>CONCATENATE(Consulta1[[#This Row],[MES_ALTERACAO]],Consulta1[[#This Row],[VIRADA]])</f>
        <v>2026059</v>
      </c>
      <c r="W483">
        <f>VLOOKUP(Consulta1[[#This Row],[Coluna2]],CALENDARIO!$J:$K,2,FALSE)</f>
        <v>5</v>
      </c>
    </row>
    <row r="484" spans="1:23" x14ac:dyDescent="0.25">
      <c r="A484" t="s">
        <v>3017</v>
      </c>
      <c r="B484" t="str">
        <f>CONCATENATE(Consulta1[[#This Row],[id]],Consulta1[[#This Row],[EMPREGADOR]])</f>
        <v>3IPREM SP_ APOSENTADO</v>
      </c>
      <c r="C484" s="6">
        <f>IF(A484=A483,C483+1,1)</f>
        <v>3</v>
      </c>
      <c r="D484" t="s">
        <v>3596</v>
      </c>
      <c r="E484" s="101">
        <v>2.29E-2</v>
      </c>
      <c r="F484" s="6">
        <v>120</v>
      </c>
      <c r="G484" t="s">
        <v>1349</v>
      </c>
      <c r="H484" s="82">
        <v>2.4900000000000002</v>
      </c>
      <c r="I484">
        <v>15</v>
      </c>
      <c r="J484">
        <v>53</v>
      </c>
      <c r="K484" t="s">
        <v>3597</v>
      </c>
      <c r="L484" s="6" t="s">
        <v>1494</v>
      </c>
      <c r="M484" s="6">
        <v>9</v>
      </c>
      <c r="N484" s="6">
        <v>2</v>
      </c>
      <c r="O484">
        <v>500</v>
      </c>
      <c r="P484">
        <v>202605</v>
      </c>
      <c r="Q484" t="s">
        <v>377</v>
      </c>
      <c r="R484" t="s">
        <v>1353</v>
      </c>
      <c r="S484">
        <f>Consulta1[[#This Row],[min_port]]/100</f>
        <v>1.37E-2</v>
      </c>
      <c r="T484" s="252">
        <f>Consulta1[[#This Row],[TETO_COMERCIAL]]/100</f>
        <v>2.4900000000000002E-2</v>
      </c>
      <c r="U484" t="b">
        <f>Consulta1[[#This Row],[TETO_COMERCIAL_%]]=Consulta1[[#This Row],[TAXA]]</f>
        <v>0</v>
      </c>
      <c r="V484" t="str">
        <f>CONCATENATE(Consulta1[[#This Row],[MES_ALTERACAO]],Consulta1[[#This Row],[VIRADA]])</f>
        <v>2026059</v>
      </c>
      <c r="W484">
        <f>VLOOKUP(Consulta1[[#This Row],[Coluna2]],CALENDARIO!$J:$K,2,FALSE)</f>
        <v>5</v>
      </c>
    </row>
    <row r="485" spans="1:23" x14ac:dyDescent="0.25">
      <c r="A485" t="s">
        <v>3017</v>
      </c>
      <c r="B485" t="str">
        <f>CONCATENATE(Consulta1[[#This Row],[id]],Consulta1[[#This Row],[EMPREGADOR]])</f>
        <v>4IPREM SP_ APOSENTADO</v>
      </c>
      <c r="C485" s="6">
        <f>IF(A485=A484,C484+1,1)</f>
        <v>4</v>
      </c>
      <c r="D485" t="s">
        <v>3598</v>
      </c>
      <c r="E485" s="101">
        <v>2.1899999999999999E-2</v>
      </c>
      <c r="F485" s="6">
        <v>120</v>
      </c>
      <c r="G485" t="s">
        <v>1349</v>
      </c>
      <c r="H485" s="82">
        <v>2.4900000000000002</v>
      </c>
      <c r="I485">
        <v>15</v>
      </c>
      <c r="J485">
        <v>55</v>
      </c>
      <c r="K485" t="s">
        <v>3599</v>
      </c>
      <c r="L485" s="6" t="s">
        <v>1494</v>
      </c>
      <c r="M485" s="6">
        <v>9</v>
      </c>
      <c r="N485" s="6">
        <v>2</v>
      </c>
      <c r="O485">
        <v>500</v>
      </c>
      <c r="P485">
        <v>202605</v>
      </c>
      <c r="Q485" t="s">
        <v>377</v>
      </c>
      <c r="R485" t="s">
        <v>1353</v>
      </c>
      <c r="S485">
        <f>Consulta1[[#This Row],[min_port]]/100</f>
        <v>1.37E-2</v>
      </c>
      <c r="T485" s="252">
        <f>Consulta1[[#This Row],[TETO_COMERCIAL]]/100</f>
        <v>2.4900000000000002E-2</v>
      </c>
      <c r="U485" t="b">
        <f>Consulta1[[#This Row],[TETO_COMERCIAL_%]]=Consulta1[[#This Row],[TAXA]]</f>
        <v>0</v>
      </c>
      <c r="V485" t="str">
        <f>CONCATENATE(Consulta1[[#This Row],[MES_ALTERACAO]],Consulta1[[#This Row],[VIRADA]])</f>
        <v>2026059</v>
      </c>
      <c r="W485">
        <f>VLOOKUP(Consulta1[[#This Row],[Coluna2]],CALENDARIO!$J:$K,2,FALSE)</f>
        <v>5</v>
      </c>
    </row>
    <row r="486" spans="1:23" x14ac:dyDescent="0.25">
      <c r="A486" t="s">
        <v>3017</v>
      </c>
      <c r="B486" t="str">
        <f>CONCATENATE(Consulta1[[#This Row],[id]],Consulta1[[#This Row],[EMPREGADOR]])</f>
        <v>5IPREM SP_ APOSENTADO</v>
      </c>
      <c r="C486" s="6">
        <f>IF(A486=A485,C485+1,1)</f>
        <v>5</v>
      </c>
      <c r="D486" t="s">
        <v>3600</v>
      </c>
      <c r="E486" s="101">
        <v>2.0899999999999998E-2</v>
      </c>
      <c r="F486" s="6">
        <v>120</v>
      </c>
      <c r="G486" t="s">
        <v>1349</v>
      </c>
      <c r="H486" s="82">
        <v>2.4900000000000002</v>
      </c>
      <c r="I486">
        <v>15</v>
      </c>
      <c r="J486">
        <v>59</v>
      </c>
      <c r="K486" t="s">
        <v>3601</v>
      </c>
      <c r="L486" s="6" t="s">
        <v>1494</v>
      </c>
      <c r="M486" s="6">
        <v>9</v>
      </c>
      <c r="N486" s="6">
        <v>2</v>
      </c>
      <c r="O486">
        <v>500</v>
      </c>
      <c r="P486">
        <v>202605</v>
      </c>
      <c r="Q486" t="s">
        <v>377</v>
      </c>
      <c r="R486" t="s">
        <v>1353</v>
      </c>
      <c r="S486">
        <f>Consulta1[[#This Row],[min_port]]/100</f>
        <v>1.37E-2</v>
      </c>
      <c r="T486" s="252">
        <f>Consulta1[[#This Row],[TETO_COMERCIAL]]/100</f>
        <v>2.4900000000000002E-2</v>
      </c>
      <c r="U486" t="b">
        <f>Consulta1[[#This Row],[TETO_COMERCIAL_%]]=Consulta1[[#This Row],[TAXA]]</f>
        <v>0</v>
      </c>
      <c r="V486" t="str">
        <f>CONCATENATE(Consulta1[[#This Row],[MES_ALTERACAO]],Consulta1[[#This Row],[VIRADA]])</f>
        <v>2026059</v>
      </c>
      <c r="W486">
        <f>VLOOKUP(Consulta1[[#This Row],[Coluna2]],CALENDARIO!$J:$K,2,FALSE)</f>
        <v>5</v>
      </c>
    </row>
    <row r="487" spans="1:23" x14ac:dyDescent="0.25">
      <c r="A487" t="s">
        <v>3017</v>
      </c>
      <c r="B487" t="str">
        <f>CONCATENATE(Consulta1[[#This Row],[id]],Consulta1[[#This Row],[EMPREGADOR]])</f>
        <v>6IPREM SP_ APOSENTADO</v>
      </c>
      <c r="C487" s="6">
        <f>IF(A487=A486,C486+1,1)</f>
        <v>6</v>
      </c>
      <c r="D487" t="s">
        <v>3602</v>
      </c>
      <c r="E487" s="101">
        <v>1.9900000000000001E-2</v>
      </c>
      <c r="F487" s="6">
        <v>120</v>
      </c>
      <c r="G487" t="s">
        <v>1349</v>
      </c>
      <c r="H487" s="82">
        <v>2.4900000000000002</v>
      </c>
      <c r="I487">
        <v>15</v>
      </c>
      <c r="J487">
        <v>52</v>
      </c>
      <c r="K487" t="s">
        <v>3603</v>
      </c>
      <c r="L487" s="6" t="s">
        <v>1494</v>
      </c>
      <c r="M487" s="6">
        <v>9</v>
      </c>
      <c r="N487" s="6">
        <v>2</v>
      </c>
      <c r="O487">
        <v>500</v>
      </c>
      <c r="P487">
        <v>202605</v>
      </c>
      <c r="Q487" t="s">
        <v>377</v>
      </c>
      <c r="R487" t="s">
        <v>1353</v>
      </c>
      <c r="S487">
        <f>Consulta1[[#This Row],[min_port]]/100</f>
        <v>1.37E-2</v>
      </c>
      <c r="T487" s="252">
        <f>Consulta1[[#This Row],[TETO_COMERCIAL]]/100</f>
        <v>2.4900000000000002E-2</v>
      </c>
      <c r="U487" t="b">
        <f>Consulta1[[#This Row],[TETO_COMERCIAL_%]]=Consulta1[[#This Row],[TAXA]]</f>
        <v>0</v>
      </c>
      <c r="V487" t="str">
        <f>CONCATENATE(Consulta1[[#This Row],[MES_ALTERACAO]],Consulta1[[#This Row],[VIRADA]])</f>
        <v>2026059</v>
      </c>
      <c r="W487">
        <f>VLOOKUP(Consulta1[[#This Row],[Coluna2]],CALENDARIO!$J:$K,2,FALSE)</f>
        <v>5</v>
      </c>
    </row>
    <row r="488" spans="1:23" x14ac:dyDescent="0.25">
      <c r="A488" t="s">
        <v>3017</v>
      </c>
      <c r="B488" t="str">
        <f>CONCATENATE(Consulta1[[#This Row],[id]],Consulta1[[#This Row],[EMPREGADOR]])</f>
        <v>7IPREM SP_ APOSENTADO</v>
      </c>
      <c r="C488" s="6">
        <f>IF(A488=A487,C487+1,1)</f>
        <v>7</v>
      </c>
      <c r="D488" t="s">
        <v>3604</v>
      </c>
      <c r="E488" s="101">
        <v>1.9400000000000001E-2</v>
      </c>
      <c r="F488" s="6">
        <v>120</v>
      </c>
      <c r="G488" t="s">
        <v>1349</v>
      </c>
      <c r="H488" s="82">
        <v>2.4900000000000002</v>
      </c>
      <c r="I488">
        <v>15</v>
      </c>
      <c r="K488" t="s">
        <v>3605</v>
      </c>
      <c r="L488" s="6" t="s">
        <v>1494</v>
      </c>
      <c r="M488" s="6">
        <v>9</v>
      </c>
      <c r="N488" s="6">
        <v>2</v>
      </c>
      <c r="O488">
        <v>500</v>
      </c>
      <c r="P488">
        <v>202605</v>
      </c>
      <c r="Q488" t="s">
        <v>377</v>
      </c>
      <c r="R488" t="s">
        <v>1353</v>
      </c>
      <c r="S488">
        <f>Consulta1[[#This Row],[min_port]]/100</f>
        <v>1.37E-2</v>
      </c>
      <c r="T488" s="252">
        <f>Consulta1[[#This Row],[TETO_COMERCIAL]]/100</f>
        <v>2.4900000000000002E-2</v>
      </c>
      <c r="U488" t="b">
        <f>Consulta1[[#This Row],[TETO_COMERCIAL_%]]=Consulta1[[#This Row],[TAXA]]</f>
        <v>0</v>
      </c>
      <c r="V488" t="str">
        <f>CONCATENATE(Consulta1[[#This Row],[MES_ALTERACAO]],Consulta1[[#This Row],[VIRADA]])</f>
        <v>2026059</v>
      </c>
      <c r="W488">
        <f>VLOOKUP(Consulta1[[#This Row],[Coluna2]],CALENDARIO!$J:$K,2,FALSE)</f>
        <v>5</v>
      </c>
    </row>
    <row r="489" spans="1:23" x14ac:dyDescent="0.25">
      <c r="A489" t="s">
        <v>3017</v>
      </c>
      <c r="B489" t="str">
        <f>CONCATENATE(Consulta1[[#This Row],[id]],Consulta1[[#This Row],[EMPREGADOR]])</f>
        <v>8IPREM SP_ APOSENTADO</v>
      </c>
      <c r="C489" s="6">
        <f>IF(A489=A488,C488+1,1)</f>
        <v>8</v>
      </c>
      <c r="D489" t="s">
        <v>3606</v>
      </c>
      <c r="E489" s="101">
        <v>1.89E-2</v>
      </c>
      <c r="F489" s="6">
        <v>120</v>
      </c>
      <c r="G489" t="s">
        <v>1349</v>
      </c>
      <c r="H489" s="82">
        <v>2.4900000000000002</v>
      </c>
      <c r="I489">
        <v>15</v>
      </c>
      <c r="J489">
        <v>64</v>
      </c>
      <c r="K489" t="s">
        <v>3607</v>
      </c>
      <c r="L489" s="6" t="s">
        <v>1494</v>
      </c>
      <c r="M489" s="6">
        <v>9</v>
      </c>
      <c r="N489" s="6">
        <v>2</v>
      </c>
      <c r="O489">
        <v>500</v>
      </c>
      <c r="P489">
        <v>202605</v>
      </c>
      <c r="Q489" t="s">
        <v>377</v>
      </c>
      <c r="R489" t="s">
        <v>1353</v>
      </c>
      <c r="S489">
        <f>Consulta1[[#This Row],[min_port]]/100</f>
        <v>1.37E-2</v>
      </c>
      <c r="T489" s="252">
        <f>Consulta1[[#This Row],[TETO_COMERCIAL]]/100</f>
        <v>2.4900000000000002E-2</v>
      </c>
      <c r="U489" t="b">
        <f>Consulta1[[#This Row],[TETO_COMERCIAL_%]]=Consulta1[[#This Row],[TAXA]]</f>
        <v>0</v>
      </c>
      <c r="V489" t="str">
        <f>CONCATENATE(Consulta1[[#This Row],[MES_ALTERACAO]],Consulta1[[#This Row],[VIRADA]])</f>
        <v>2026059</v>
      </c>
      <c r="W489">
        <f>VLOOKUP(Consulta1[[#This Row],[Coluna2]],CALENDARIO!$J:$K,2,FALSE)</f>
        <v>5</v>
      </c>
    </row>
    <row r="490" spans="1:23" x14ac:dyDescent="0.25">
      <c r="A490" t="s">
        <v>3017</v>
      </c>
      <c r="B490" t="str">
        <f>CONCATENATE(Consulta1[[#This Row],[id]],Consulta1[[#This Row],[EMPREGADOR]])</f>
        <v>9IPREM SP_ APOSENTADO</v>
      </c>
      <c r="C490" s="6">
        <f>IF(A490=A489,C489+1,1)</f>
        <v>9</v>
      </c>
      <c r="D490" t="s">
        <v>3608</v>
      </c>
      <c r="E490" s="101">
        <v>1.84E-2</v>
      </c>
      <c r="F490" s="6">
        <v>120</v>
      </c>
      <c r="G490" t="s">
        <v>1349</v>
      </c>
      <c r="H490" s="82">
        <v>2.4900000000000002</v>
      </c>
      <c r="I490">
        <v>15</v>
      </c>
      <c r="J490">
        <v>52</v>
      </c>
      <c r="K490" t="s">
        <v>3609</v>
      </c>
      <c r="L490" s="6" t="s">
        <v>1494</v>
      </c>
      <c r="M490" s="6">
        <v>9</v>
      </c>
      <c r="N490" s="6">
        <v>2</v>
      </c>
      <c r="O490">
        <v>500</v>
      </c>
      <c r="P490">
        <v>202605</v>
      </c>
      <c r="Q490" t="s">
        <v>377</v>
      </c>
      <c r="R490" t="s">
        <v>1353</v>
      </c>
      <c r="S490">
        <f>Consulta1[[#This Row],[min_port]]/100</f>
        <v>1.37E-2</v>
      </c>
      <c r="T490" s="252">
        <f>Consulta1[[#This Row],[TETO_COMERCIAL]]/100</f>
        <v>2.4900000000000002E-2</v>
      </c>
      <c r="U490" t="b">
        <f>Consulta1[[#This Row],[TETO_COMERCIAL_%]]=Consulta1[[#This Row],[TAXA]]</f>
        <v>0</v>
      </c>
      <c r="V490" t="str">
        <f>CONCATENATE(Consulta1[[#This Row],[MES_ALTERACAO]],Consulta1[[#This Row],[VIRADA]])</f>
        <v>2026059</v>
      </c>
      <c r="W490">
        <f>VLOOKUP(Consulta1[[#This Row],[Coluna2]],CALENDARIO!$J:$K,2,FALSE)</f>
        <v>5</v>
      </c>
    </row>
    <row r="491" spans="1:23" x14ac:dyDescent="0.25">
      <c r="A491" t="s">
        <v>3017</v>
      </c>
      <c r="B491" t="str">
        <f>CONCATENATE(Consulta1[[#This Row],[id]],Consulta1[[#This Row],[EMPREGADOR]])</f>
        <v>10IPREM SP_ APOSENTADO</v>
      </c>
      <c r="C491" s="6">
        <f>IF(A491=A490,C490+1,1)</f>
        <v>10</v>
      </c>
      <c r="D491" t="s">
        <v>3610</v>
      </c>
      <c r="E491" s="101">
        <v>1.7899999999999999E-2</v>
      </c>
      <c r="F491" s="6">
        <v>120</v>
      </c>
      <c r="G491" t="s">
        <v>1349</v>
      </c>
      <c r="H491" s="82">
        <v>2.4900000000000002</v>
      </c>
      <c r="I491">
        <v>15</v>
      </c>
      <c r="J491">
        <v>57</v>
      </c>
      <c r="K491" t="s">
        <v>3611</v>
      </c>
      <c r="L491" s="6" t="s">
        <v>1494</v>
      </c>
      <c r="M491" s="6">
        <v>9</v>
      </c>
      <c r="N491" s="6">
        <v>2</v>
      </c>
      <c r="O491">
        <v>500</v>
      </c>
      <c r="P491">
        <v>202605</v>
      </c>
      <c r="Q491" t="s">
        <v>377</v>
      </c>
      <c r="R491" t="s">
        <v>1353</v>
      </c>
      <c r="S491">
        <f>Consulta1[[#This Row],[min_port]]/100</f>
        <v>1.37E-2</v>
      </c>
      <c r="T491" s="252">
        <f>Consulta1[[#This Row],[TETO_COMERCIAL]]/100</f>
        <v>2.4900000000000002E-2</v>
      </c>
      <c r="U491" t="b">
        <f>Consulta1[[#This Row],[TETO_COMERCIAL_%]]=Consulta1[[#This Row],[TAXA]]</f>
        <v>0</v>
      </c>
      <c r="V491" t="str">
        <f>CONCATENATE(Consulta1[[#This Row],[MES_ALTERACAO]],Consulta1[[#This Row],[VIRADA]])</f>
        <v>2026059</v>
      </c>
      <c r="W491">
        <f>VLOOKUP(Consulta1[[#This Row],[Coluna2]],CALENDARIO!$J:$K,2,FALSE)</f>
        <v>5</v>
      </c>
    </row>
    <row r="492" spans="1:23" x14ac:dyDescent="0.25">
      <c r="A492" t="s">
        <v>3017</v>
      </c>
      <c r="B492" t="str">
        <f>CONCATENATE(Consulta1[[#This Row],[id]],Consulta1[[#This Row],[EMPREGADOR]])</f>
        <v>11IPREM SP_ APOSENTADO</v>
      </c>
      <c r="C492" s="6">
        <f>IF(A492=A491,C491+1,1)</f>
        <v>11</v>
      </c>
      <c r="D492" t="s">
        <v>3612</v>
      </c>
      <c r="E492" s="101">
        <v>1.7399999999999999E-2</v>
      </c>
      <c r="F492" s="6">
        <v>120</v>
      </c>
      <c r="G492" t="s">
        <v>1349</v>
      </c>
      <c r="H492" s="82">
        <v>2.4900000000000002</v>
      </c>
      <c r="I492">
        <v>15</v>
      </c>
      <c r="K492" t="s">
        <v>3613</v>
      </c>
      <c r="L492" s="6" t="s">
        <v>1494</v>
      </c>
      <c r="M492" s="6">
        <v>9</v>
      </c>
      <c r="N492" s="6">
        <v>2</v>
      </c>
      <c r="O492">
        <v>500</v>
      </c>
      <c r="P492">
        <v>202605</v>
      </c>
      <c r="Q492" t="s">
        <v>377</v>
      </c>
      <c r="R492" t="s">
        <v>1353</v>
      </c>
      <c r="S492">
        <f>Consulta1[[#This Row],[min_port]]/100</f>
        <v>1.37E-2</v>
      </c>
      <c r="T492" s="252">
        <f>Consulta1[[#This Row],[TETO_COMERCIAL]]/100</f>
        <v>2.4900000000000002E-2</v>
      </c>
      <c r="U492" t="b">
        <f>Consulta1[[#This Row],[TETO_COMERCIAL_%]]=Consulta1[[#This Row],[TAXA]]</f>
        <v>0</v>
      </c>
      <c r="V492" t="str">
        <f>CONCATENATE(Consulta1[[#This Row],[MES_ALTERACAO]],Consulta1[[#This Row],[VIRADA]])</f>
        <v>2026059</v>
      </c>
      <c r="W492">
        <f>VLOOKUP(Consulta1[[#This Row],[Coluna2]],CALENDARIO!$J:$K,2,FALSE)</f>
        <v>5</v>
      </c>
    </row>
    <row r="493" spans="1:23" x14ac:dyDescent="0.25">
      <c r="A493" t="s">
        <v>3017</v>
      </c>
      <c r="B493" t="str">
        <f>CONCATENATE(Consulta1[[#This Row],[id]],Consulta1[[#This Row],[EMPREGADOR]])</f>
        <v>12IPREM SP_ APOSENTADO</v>
      </c>
      <c r="C493" s="6">
        <f>IF(A493=A492,C492+1,1)</f>
        <v>12</v>
      </c>
      <c r="D493" t="s">
        <v>3614</v>
      </c>
      <c r="E493" s="101">
        <v>1.6899999999999998E-2</v>
      </c>
      <c r="F493" s="6">
        <v>120</v>
      </c>
      <c r="G493" t="s">
        <v>1349</v>
      </c>
      <c r="H493" s="82">
        <v>2.4900000000000002</v>
      </c>
      <c r="I493">
        <v>15</v>
      </c>
      <c r="J493">
        <v>54</v>
      </c>
      <c r="K493" t="s">
        <v>3615</v>
      </c>
      <c r="L493" s="6" t="s">
        <v>1494</v>
      </c>
      <c r="M493" s="6">
        <v>9</v>
      </c>
      <c r="N493" s="6">
        <v>2</v>
      </c>
      <c r="O493">
        <v>500</v>
      </c>
      <c r="P493">
        <v>202605</v>
      </c>
      <c r="Q493" t="s">
        <v>377</v>
      </c>
      <c r="R493" t="s">
        <v>1353</v>
      </c>
      <c r="S493">
        <f>Consulta1[[#This Row],[min_port]]/100</f>
        <v>1.37E-2</v>
      </c>
      <c r="T493" s="252">
        <f>Consulta1[[#This Row],[TETO_COMERCIAL]]/100</f>
        <v>2.4900000000000002E-2</v>
      </c>
      <c r="U493" t="b">
        <f>Consulta1[[#This Row],[TETO_COMERCIAL_%]]=Consulta1[[#This Row],[TAXA]]</f>
        <v>0</v>
      </c>
      <c r="V493" t="str">
        <f>CONCATENATE(Consulta1[[#This Row],[MES_ALTERACAO]],Consulta1[[#This Row],[VIRADA]])</f>
        <v>2026059</v>
      </c>
      <c r="W493">
        <f>VLOOKUP(Consulta1[[#This Row],[Coluna2]],CALENDARIO!$J:$K,2,FALSE)</f>
        <v>5</v>
      </c>
    </row>
    <row r="494" spans="1:23" x14ac:dyDescent="0.25">
      <c r="A494" t="s">
        <v>3017</v>
      </c>
      <c r="B494" t="str">
        <f>CONCATENATE(Consulta1[[#This Row],[id]],Consulta1[[#This Row],[EMPREGADOR]])</f>
        <v>13IPREM SP_ APOSENTADO</v>
      </c>
      <c r="C494" s="6">
        <f>IF(A494=A493,C493+1,1)</f>
        <v>13</v>
      </c>
      <c r="D494" t="s">
        <v>3616</v>
      </c>
      <c r="E494" s="101">
        <v>1.6399999999999998E-2</v>
      </c>
      <c r="F494" s="6">
        <v>120</v>
      </c>
      <c r="G494" t="s">
        <v>1349</v>
      </c>
      <c r="H494" s="82">
        <v>2.4900000000000002</v>
      </c>
      <c r="I494">
        <v>15</v>
      </c>
      <c r="J494">
        <v>46</v>
      </c>
      <c r="K494" t="s">
        <v>3617</v>
      </c>
      <c r="L494" s="6" t="s">
        <v>1494</v>
      </c>
      <c r="M494" s="6">
        <v>9</v>
      </c>
      <c r="N494" s="6">
        <v>2</v>
      </c>
      <c r="O494">
        <v>20000</v>
      </c>
      <c r="P494">
        <v>202605</v>
      </c>
      <c r="Q494" t="s">
        <v>377</v>
      </c>
      <c r="R494" t="s">
        <v>1353</v>
      </c>
      <c r="S494">
        <f>Consulta1[[#This Row],[min_port]]/100</f>
        <v>1.37E-2</v>
      </c>
      <c r="T494" s="252">
        <f>Consulta1[[#This Row],[TETO_COMERCIAL]]/100</f>
        <v>2.4900000000000002E-2</v>
      </c>
      <c r="U494" t="b">
        <f>Consulta1[[#This Row],[TETO_COMERCIAL_%]]=Consulta1[[#This Row],[TAXA]]</f>
        <v>0</v>
      </c>
      <c r="V494" t="str">
        <f>CONCATENATE(Consulta1[[#This Row],[MES_ALTERACAO]],Consulta1[[#This Row],[VIRADA]])</f>
        <v>2026059</v>
      </c>
      <c r="W494">
        <f>VLOOKUP(Consulta1[[#This Row],[Coluna2]],CALENDARIO!$J:$K,2,FALSE)</f>
        <v>5</v>
      </c>
    </row>
    <row r="495" spans="1:23" x14ac:dyDescent="0.25">
      <c r="A495" t="s">
        <v>3017</v>
      </c>
      <c r="B495" t="str">
        <f>CONCATENATE(Consulta1[[#This Row],[id]],Consulta1[[#This Row],[EMPREGADOR]])</f>
        <v>14IPREM SP_ APOSENTADO</v>
      </c>
      <c r="C495" s="6">
        <f>IF(A495=A494,C494+1,1)</f>
        <v>14</v>
      </c>
      <c r="D495" t="s">
        <v>3618</v>
      </c>
      <c r="E495" s="101">
        <v>1.61E-2</v>
      </c>
      <c r="F495" s="6">
        <v>120</v>
      </c>
      <c r="G495" t="s">
        <v>1349</v>
      </c>
      <c r="H495" s="82">
        <v>2.4900000000000002</v>
      </c>
      <c r="I495">
        <v>15</v>
      </c>
      <c r="J495">
        <v>54</v>
      </c>
      <c r="K495" t="s">
        <v>3619</v>
      </c>
      <c r="L495" s="6" t="s">
        <v>1494</v>
      </c>
      <c r="M495" s="6">
        <v>9</v>
      </c>
      <c r="N495" s="6">
        <v>2</v>
      </c>
      <c r="O495">
        <v>30000</v>
      </c>
      <c r="P495">
        <v>202605</v>
      </c>
      <c r="Q495" t="s">
        <v>377</v>
      </c>
      <c r="R495" t="s">
        <v>1353</v>
      </c>
      <c r="S495">
        <f>Consulta1[[#This Row],[min_port]]/100</f>
        <v>1.37E-2</v>
      </c>
      <c r="T495" s="252">
        <f>Consulta1[[#This Row],[TETO_COMERCIAL]]/100</f>
        <v>2.4900000000000002E-2</v>
      </c>
      <c r="U495" t="b">
        <f>Consulta1[[#This Row],[TETO_COMERCIAL_%]]=Consulta1[[#This Row],[TAXA]]</f>
        <v>0</v>
      </c>
      <c r="V495" t="str">
        <f>CONCATENATE(Consulta1[[#This Row],[MES_ALTERACAO]],Consulta1[[#This Row],[VIRADA]])</f>
        <v>2026059</v>
      </c>
      <c r="W495">
        <f>VLOOKUP(Consulta1[[#This Row],[Coluna2]],CALENDARIO!$J:$K,2,FALSE)</f>
        <v>5</v>
      </c>
    </row>
    <row r="496" spans="1:23" x14ac:dyDescent="0.25">
      <c r="A496" t="s">
        <v>3017</v>
      </c>
      <c r="B496" t="str">
        <f>CONCATENATE(Consulta1[[#This Row],[id]],Consulta1[[#This Row],[EMPREGADOR]])</f>
        <v>15IPREM SP_ APOSENTADO</v>
      </c>
      <c r="C496" s="6">
        <f>IF(A496=A495,C495+1,1)</f>
        <v>15</v>
      </c>
      <c r="D496" t="s">
        <v>3620</v>
      </c>
      <c r="E496" s="101">
        <v>1.5900000000000001E-2</v>
      </c>
      <c r="F496" s="6">
        <v>120</v>
      </c>
      <c r="G496" t="s">
        <v>1349</v>
      </c>
      <c r="H496" s="82">
        <v>2.4900000000000002</v>
      </c>
      <c r="I496">
        <v>15</v>
      </c>
      <c r="J496">
        <v>52</v>
      </c>
      <c r="K496" t="s">
        <v>3621</v>
      </c>
      <c r="L496" s="6" t="s">
        <v>1494</v>
      </c>
      <c r="M496" s="6">
        <v>9</v>
      </c>
      <c r="N496" s="6">
        <v>2</v>
      </c>
      <c r="O496">
        <v>50000</v>
      </c>
      <c r="P496">
        <v>202605</v>
      </c>
      <c r="Q496" t="s">
        <v>377</v>
      </c>
      <c r="R496" t="s">
        <v>1353</v>
      </c>
      <c r="S496">
        <f>Consulta1[[#This Row],[min_port]]/100</f>
        <v>1.37E-2</v>
      </c>
      <c r="T496" s="252">
        <f>Consulta1[[#This Row],[TETO_COMERCIAL]]/100</f>
        <v>2.4900000000000002E-2</v>
      </c>
      <c r="U496" t="b">
        <f>Consulta1[[#This Row],[TETO_COMERCIAL_%]]=Consulta1[[#This Row],[TAXA]]</f>
        <v>0</v>
      </c>
      <c r="V496" t="str">
        <f>CONCATENATE(Consulta1[[#This Row],[MES_ALTERACAO]],Consulta1[[#This Row],[VIRADA]])</f>
        <v>2026059</v>
      </c>
      <c r="W496">
        <f>VLOOKUP(Consulta1[[#This Row],[Coluna2]],CALENDARIO!$J:$K,2,FALSE)</f>
        <v>5</v>
      </c>
    </row>
    <row r="497" spans="1:23" x14ac:dyDescent="0.25">
      <c r="A497" t="s">
        <v>3017</v>
      </c>
      <c r="B497" t="str">
        <f>CONCATENATE(Consulta1[[#This Row],[id]],Consulta1[[#This Row],[EMPREGADOR]])</f>
        <v>16IPREM SP_ APOSENTADO</v>
      </c>
      <c r="C497" s="6">
        <f>IF(A497=A496,C496+1,1)</f>
        <v>16</v>
      </c>
      <c r="D497" t="s">
        <v>3622</v>
      </c>
      <c r="E497" s="101">
        <v>1.5700000000000002E-2</v>
      </c>
      <c r="F497" s="6">
        <v>120</v>
      </c>
      <c r="G497" t="s">
        <v>1349</v>
      </c>
      <c r="H497" s="82">
        <v>2.4900000000000002</v>
      </c>
      <c r="I497">
        <v>15</v>
      </c>
      <c r="J497">
        <v>54</v>
      </c>
      <c r="K497" t="s">
        <v>3623</v>
      </c>
      <c r="L497" s="6" t="s">
        <v>1494</v>
      </c>
      <c r="M497" s="6">
        <v>9</v>
      </c>
      <c r="N497" s="6">
        <v>2</v>
      </c>
      <c r="O497">
        <v>60000</v>
      </c>
      <c r="P497">
        <v>202605</v>
      </c>
      <c r="Q497" t="s">
        <v>377</v>
      </c>
      <c r="R497" t="s">
        <v>1353</v>
      </c>
      <c r="S497">
        <f>Consulta1[[#This Row],[min_port]]/100</f>
        <v>1.37E-2</v>
      </c>
      <c r="T497" s="252">
        <f>Consulta1[[#This Row],[TETO_COMERCIAL]]/100</f>
        <v>2.4900000000000002E-2</v>
      </c>
      <c r="U497" t="b">
        <f>Consulta1[[#This Row],[TETO_COMERCIAL_%]]=Consulta1[[#This Row],[TAXA]]</f>
        <v>0</v>
      </c>
      <c r="V497" t="str">
        <f>CONCATENATE(Consulta1[[#This Row],[MES_ALTERACAO]],Consulta1[[#This Row],[VIRADA]])</f>
        <v>2026059</v>
      </c>
      <c r="W497">
        <f>VLOOKUP(Consulta1[[#This Row],[Coluna2]],CALENDARIO!$J:$K,2,FALSE)</f>
        <v>5</v>
      </c>
    </row>
    <row r="498" spans="1:23" x14ac:dyDescent="0.25">
      <c r="A498" t="s">
        <v>3018</v>
      </c>
      <c r="B498" t="str">
        <f>CONCATENATE(Consulta1[[#This Row],[id]],Consulta1[[#This Row],[EMPREGADOR]])</f>
        <v>1IPREM SP_ FUNCIONARIO</v>
      </c>
      <c r="C498" s="6">
        <f>IF(A498=A497,C497+1,1)</f>
        <v>1</v>
      </c>
      <c r="D498" t="s">
        <v>3624</v>
      </c>
      <c r="E498" s="101">
        <v>2.4900000000000002E-2</v>
      </c>
      <c r="F498" s="6">
        <v>120</v>
      </c>
      <c r="G498" t="s">
        <v>1349</v>
      </c>
      <c r="H498" s="82">
        <v>2.4900000000000002</v>
      </c>
      <c r="I498">
        <v>15</v>
      </c>
      <c r="K498" t="s">
        <v>3625</v>
      </c>
      <c r="L498" s="6" t="s">
        <v>1494</v>
      </c>
      <c r="M498" s="6">
        <v>13</v>
      </c>
      <c r="N498" s="6">
        <v>2</v>
      </c>
      <c r="O498">
        <v>500</v>
      </c>
      <c r="P498">
        <v>202605</v>
      </c>
      <c r="Q498" t="s">
        <v>377</v>
      </c>
      <c r="R498" t="s">
        <v>1353</v>
      </c>
      <c r="S498">
        <f>Consulta1[[#This Row],[min_port]]/100</f>
        <v>1.37E-2</v>
      </c>
      <c r="T498" s="252">
        <f>Consulta1[[#This Row],[TETO_COMERCIAL]]/100</f>
        <v>2.4900000000000002E-2</v>
      </c>
      <c r="U498" t="b">
        <f>Consulta1[[#This Row],[TETO_COMERCIAL_%]]=Consulta1[[#This Row],[TAXA]]</f>
        <v>1</v>
      </c>
      <c r="V498" t="str">
        <f>CONCATENATE(Consulta1[[#This Row],[MES_ALTERACAO]],Consulta1[[#This Row],[VIRADA]])</f>
        <v>20260513</v>
      </c>
      <c r="W498">
        <f>VLOOKUP(Consulta1[[#This Row],[Coluna2]],CALENDARIO!$J:$K,2,FALSE)</f>
        <v>8</v>
      </c>
    </row>
    <row r="499" spans="1:23" x14ac:dyDescent="0.25">
      <c r="A499" t="s">
        <v>3018</v>
      </c>
      <c r="B499" t="str">
        <f>CONCATENATE(Consulta1[[#This Row],[id]],Consulta1[[#This Row],[EMPREGADOR]])</f>
        <v>2IPREM SP_ FUNCIONARIO</v>
      </c>
      <c r="C499" s="6">
        <f>IF(A499=A498,C498+1,1)</f>
        <v>2</v>
      </c>
      <c r="D499" t="s">
        <v>3626</v>
      </c>
      <c r="E499" s="101">
        <v>2.3900000000000001E-2</v>
      </c>
      <c r="F499" s="6">
        <v>120</v>
      </c>
      <c r="G499" t="s">
        <v>1349</v>
      </c>
      <c r="H499" s="82">
        <v>2.4900000000000002</v>
      </c>
      <c r="I499">
        <v>15</v>
      </c>
      <c r="K499" t="s">
        <v>3627</v>
      </c>
      <c r="L499" s="6" t="s">
        <v>1494</v>
      </c>
      <c r="M499" s="6">
        <v>13</v>
      </c>
      <c r="N499" s="6">
        <v>2</v>
      </c>
      <c r="O499">
        <v>500</v>
      </c>
      <c r="P499">
        <v>202605</v>
      </c>
      <c r="Q499" t="s">
        <v>377</v>
      </c>
      <c r="R499" t="s">
        <v>1353</v>
      </c>
      <c r="S499">
        <f>Consulta1[[#This Row],[min_port]]/100</f>
        <v>1.37E-2</v>
      </c>
      <c r="T499" s="252">
        <f>Consulta1[[#This Row],[TETO_COMERCIAL]]/100</f>
        <v>2.4900000000000002E-2</v>
      </c>
      <c r="U499" t="b">
        <f>Consulta1[[#This Row],[TETO_COMERCIAL_%]]=Consulta1[[#This Row],[TAXA]]</f>
        <v>0</v>
      </c>
      <c r="V499" t="str">
        <f>CONCATENATE(Consulta1[[#This Row],[MES_ALTERACAO]],Consulta1[[#This Row],[VIRADA]])</f>
        <v>20260513</v>
      </c>
      <c r="W499">
        <f>VLOOKUP(Consulta1[[#This Row],[Coluna2]],CALENDARIO!$J:$K,2,FALSE)</f>
        <v>8</v>
      </c>
    </row>
    <row r="500" spans="1:23" x14ac:dyDescent="0.25">
      <c r="A500" t="s">
        <v>3018</v>
      </c>
      <c r="B500" t="str">
        <f>CONCATENATE(Consulta1[[#This Row],[id]],Consulta1[[#This Row],[EMPREGADOR]])</f>
        <v>3IPREM SP_ FUNCIONARIO</v>
      </c>
      <c r="C500" s="6">
        <f>IF(A500=A499,C499+1,1)</f>
        <v>3</v>
      </c>
      <c r="D500" t="s">
        <v>3628</v>
      </c>
      <c r="E500" s="101">
        <v>2.29E-2</v>
      </c>
      <c r="F500" s="6">
        <v>120</v>
      </c>
      <c r="G500" t="s">
        <v>1349</v>
      </c>
      <c r="H500" s="82">
        <v>2.4900000000000002</v>
      </c>
      <c r="I500">
        <v>15</v>
      </c>
      <c r="K500" t="s">
        <v>3629</v>
      </c>
      <c r="L500" s="6" t="s">
        <v>1494</v>
      </c>
      <c r="M500" s="6">
        <v>13</v>
      </c>
      <c r="N500" s="6">
        <v>2</v>
      </c>
      <c r="O500">
        <v>500</v>
      </c>
      <c r="P500">
        <v>202605</v>
      </c>
      <c r="Q500" t="s">
        <v>377</v>
      </c>
      <c r="R500" t="s">
        <v>1353</v>
      </c>
      <c r="S500">
        <f>Consulta1[[#This Row],[min_port]]/100</f>
        <v>1.37E-2</v>
      </c>
      <c r="T500" s="252">
        <f>Consulta1[[#This Row],[TETO_COMERCIAL]]/100</f>
        <v>2.4900000000000002E-2</v>
      </c>
      <c r="U500" t="b">
        <f>Consulta1[[#This Row],[TETO_COMERCIAL_%]]=Consulta1[[#This Row],[TAXA]]</f>
        <v>0</v>
      </c>
      <c r="V500" t="str">
        <f>CONCATENATE(Consulta1[[#This Row],[MES_ALTERACAO]],Consulta1[[#This Row],[VIRADA]])</f>
        <v>20260513</v>
      </c>
      <c r="W500">
        <f>VLOOKUP(Consulta1[[#This Row],[Coluna2]],CALENDARIO!$J:$K,2,FALSE)</f>
        <v>8</v>
      </c>
    </row>
    <row r="501" spans="1:23" x14ac:dyDescent="0.25">
      <c r="A501" t="s">
        <v>3018</v>
      </c>
      <c r="B501" t="str">
        <f>CONCATENATE(Consulta1[[#This Row],[id]],Consulta1[[#This Row],[EMPREGADOR]])</f>
        <v>4IPREM SP_ FUNCIONARIO</v>
      </c>
      <c r="C501" s="6">
        <f>IF(A501=A500,C500+1,1)</f>
        <v>4</v>
      </c>
      <c r="D501" t="s">
        <v>3630</v>
      </c>
      <c r="E501" s="101">
        <v>2.1899999999999999E-2</v>
      </c>
      <c r="F501" s="6">
        <v>120</v>
      </c>
      <c r="G501" t="s">
        <v>1349</v>
      </c>
      <c r="H501" s="82">
        <v>2.4900000000000002</v>
      </c>
      <c r="I501">
        <v>15</v>
      </c>
      <c r="K501" t="s">
        <v>3631</v>
      </c>
      <c r="L501" s="6" t="s">
        <v>1494</v>
      </c>
      <c r="M501" s="6">
        <v>13</v>
      </c>
      <c r="N501" s="6">
        <v>2</v>
      </c>
      <c r="O501">
        <v>500</v>
      </c>
      <c r="P501">
        <v>202605</v>
      </c>
      <c r="Q501" t="s">
        <v>377</v>
      </c>
      <c r="R501" t="s">
        <v>1353</v>
      </c>
      <c r="S501">
        <f>Consulta1[[#This Row],[min_port]]/100</f>
        <v>1.37E-2</v>
      </c>
      <c r="T501" s="252">
        <f>Consulta1[[#This Row],[TETO_COMERCIAL]]/100</f>
        <v>2.4900000000000002E-2</v>
      </c>
      <c r="U501" t="b">
        <f>Consulta1[[#This Row],[TETO_COMERCIAL_%]]=Consulta1[[#This Row],[TAXA]]</f>
        <v>0</v>
      </c>
      <c r="V501" t="str">
        <f>CONCATENATE(Consulta1[[#This Row],[MES_ALTERACAO]],Consulta1[[#This Row],[VIRADA]])</f>
        <v>20260513</v>
      </c>
      <c r="W501">
        <f>VLOOKUP(Consulta1[[#This Row],[Coluna2]],CALENDARIO!$J:$K,2,FALSE)</f>
        <v>8</v>
      </c>
    </row>
    <row r="502" spans="1:23" x14ac:dyDescent="0.25">
      <c r="A502" t="s">
        <v>3018</v>
      </c>
      <c r="B502" t="str">
        <f>CONCATENATE(Consulta1[[#This Row],[id]],Consulta1[[#This Row],[EMPREGADOR]])</f>
        <v>5IPREM SP_ FUNCIONARIO</v>
      </c>
      <c r="C502" s="6">
        <f>IF(A502=A501,C501+1,1)</f>
        <v>5</v>
      </c>
      <c r="D502" t="s">
        <v>3632</v>
      </c>
      <c r="E502" s="101">
        <v>2.0899999999999998E-2</v>
      </c>
      <c r="F502" s="6">
        <v>120</v>
      </c>
      <c r="G502" t="s">
        <v>1349</v>
      </c>
      <c r="H502" s="82">
        <v>2.4900000000000002</v>
      </c>
      <c r="I502">
        <v>15</v>
      </c>
      <c r="K502" t="s">
        <v>3633</v>
      </c>
      <c r="L502" s="6" t="s">
        <v>1494</v>
      </c>
      <c r="M502" s="6">
        <v>13</v>
      </c>
      <c r="N502" s="6">
        <v>2</v>
      </c>
      <c r="O502">
        <v>500</v>
      </c>
      <c r="P502">
        <v>202605</v>
      </c>
      <c r="Q502" t="s">
        <v>377</v>
      </c>
      <c r="R502" t="s">
        <v>1353</v>
      </c>
      <c r="S502">
        <f>Consulta1[[#This Row],[min_port]]/100</f>
        <v>1.37E-2</v>
      </c>
      <c r="T502" s="252">
        <f>Consulta1[[#This Row],[TETO_COMERCIAL]]/100</f>
        <v>2.4900000000000002E-2</v>
      </c>
      <c r="U502" t="b">
        <f>Consulta1[[#This Row],[TETO_COMERCIAL_%]]=Consulta1[[#This Row],[TAXA]]</f>
        <v>0</v>
      </c>
      <c r="V502" t="str">
        <f>CONCATENATE(Consulta1[[#This Row],[MES_ALTERACAO]],Consulta1[[#This Row],[VIRADA]])</f>
        <v>20260513</v>
      </c>
      <c r="W502">
        <f>VLOOKUP(Consulta1[[#This Row],[Coluna2]],CALENDARIO!$J:$K,2,FALSE)</f>
        <v>8</v>
      </c>
    </row>
    <row r="503" spans="1:23" x14ac:dyDescent="0.25">
      <c r="A503" t="s">
        <v>3018</v>
      </c>
      <c r="B503" t="str">
        <f>CONCATENATE(Consulta1[[#This Row],[id]],Consulta1[[#This Row],[EMPREGADOR]])</f>
        <v>6IPREM SP_ FUNCIONARIO</v>
      </c>
      <c r="C503" s="6">
        <f>IF(A503=A502,C502+1,1)</f>
        <v>6</v>
      </c>
      <c r="D503" t="s">
        <v>3634</v>
      </c>
      <c r="E503" s="101">
        <v>1.9900000000000001E-2</v>
      </c>
      <c r="F503" s="6">
        <v>120</v>
      </c>
      <c r="G503" t="s">
        <v>1349</v>
      </c>
      <c r="H503" s="82">
        <v>2.4900000000000002</v>
      </c>
      <c r="I503">
        <v>15</v>
      </c>
      <c r="K503" t="s">
        <v>3635</v>
      </c>
      <c r="L503" s="6" t="s">
        <v>1494</v>
      </c>
      <c r="M503" s="6">
        <v>13</v>
      </c>
      <c r="N503" s="6">
        <v>2</v>
      </c>
      <c r="O503">
        <v>500</v>
      </c>
      <c r="P503">
        <v>202605</v>
      </c>
      <c r="Q503" t="s">
        <v>377</v>
      </c>
      <c r="R503" t="s">
        <v>1353</v>
      </c>
      <c r="S503">
        <f>Consulta1[[#This Row],[min_port]]/100</f>
        <v>1.37E-2</v>
      </c>
      <c r="T503" s="252">
        <f>Consulta1[[#This Row],[TETO_COMERCIAL]]/100</f>
        <v>2.4900000000000002E-2</v>
      </c>
      <c r="U503" t="b">
        <f>Consulta1[[#This Row],[TETO_COMERCIAL_%]]=Consulta1[[#This Row],[TAXA]]</f>
        <v>0</v>
      </c>
      <c r="V503" t="str">
        <f>CONCATENATE(Consulta1[[#This Row],[MES_ALTERACAO]],Consulta1[[#This Row],[VIRADA]])</f>
        <v>20260513</v>
      </c>
      <c r="W503">
        <f>VLOOKUP(Consulta1[[#This Row],[Coluna2]],CALENDARIO!$J:$K,2,FALSE)</f>
        <v>8</v>
      </c>
    </row>
    <row r="504" spans="1:23" x14ac:dyDescent="0.25">
      <c r="A504" t="s">
        <v>3018</v>
      </c>
      <c r="B504" t="str">
        <f>CONCATENATE(Consulta1[[#This Row],[id]],Consulta1[[#This Row],[EMPREGADOR]])</f>
        <v>7IPREM SP_ FUNCIONARIO</v>
      </c>
      <c r="C504" s="6">
        <f>IF(A504=A503,C503+1,1)</f>
        <v>7</v>
      </c>
      <c r="D504" t="s">
        <v>3636</v>
      </c>
      <c r="E504" s="101">
        <v>1.9400000000000001E-2</v>
      </c>
      <c r="F504" s="6">
        <v>120</v>
      </c>
      <c r="G504" t="s">
        <v>1349</v>
      </c>
      <c r="H504" s="82">
        <v>2.4900000000000002</v>
      </c>
      <c r="I504">
        <v>15</v>
      </c>
      <c r="K504" t="s">
        <v>3637</v>
      </c>
      <c r="L504" s="6" t="s">
        <v>1494</v>
      </c>
      <c r="M504" s="6">
        <v>13</v>
      </c>
      <c r="N504" s="6">
        <v>2</v>
      </c>
      <c r="O504">
        <v>500</v>
      </c>
      <c r="P504">
        <v>202605</v>
      </c>
      <c r="Q504" t="s">
        <v>377</v>
      </c>
      <c r="R504" t="s">
        <v>1353</v>
      </c>
      <c r="S504">
        <f>Consulta1[[#This Row],[min_port]]/100</f>
        <v>1.37E-2</v>
      </c>
      <c r="T504" s="252">
        <f>Consulta1[[#This Row],[TETO_COMERCIAL]]/100</f>
        <v>2.4900000000000002E-2</v>
      </c>
      <c r="U504" t="b">
        <f>Consulta1[[#This Row],[TETO_COMERCIAL_%]]=Consulta1[[#This Row],[TAXA]]</f>
        <v>0</v>
      </c>
      <c r="V504" t="str">
        <f>CONCATENATE(Consulta1[[#This Row],[MES_ALTERACAO]],Consulta1[[#This Row],[VIRADA]])</f>
        <v>20260513</v>
      </c>
      <c r="W504">
        <f>VLOOKUP(Consulta1[[#This Row],[Coluna2]],CALENDARIO!$J:$K,2,FALSE)</f>
        <v>8</v>
      </c>
    </row>
    <row r="505" spans="1:23" x14ac:dyDescent="0.25">
      <c r="A505" t="s">
        <v>3018</v>
      </c>
      <c r="B505" t="str">
        <f>CONCATENATE(Consulta1[[#This Row],[id]],Consulta1[[#This Row],[EMPREGADOR]])</f>
        <v>8IPREM SP_ FUNCIONARIO</v>
      </c>
      <c r="C505" s="6">
        <f>IF(A505=A504,C504+1,1)</f>
        <v>8</v>
      </c>
      <c r="D505" t="s">
        <v>3638</v>
      </c>
      <c r="E505" s="101">
        <v>1.89E-2</v>
      </c>
      <c r="F505" s="6">
        <v>120</v>
      </c>
      <c r="G505" t="s">
        <v>1349</v>
      </c>
      <c r="H505" s="82">
        <v>2.4900000000000002</v>
      </c>
      <c r="I505">
        <v>15</v>
      </c>
      <c r="K505" t="s">
        <v>3639</v>
      </c>
      <c r="L505" s="6" t="s">
        <v>1494</v>
      </c>
      <c r="M505" s="6">
        <v>13</v>
      </c>
      <c r="N505" s="6">
        <v>2</v>
      </c>
      <c r="O505">
        <v>500</v>
      </c>
      <c r="P505">
        <v>202605</v>
      </c>
      <c r="Q505" t="s">
        <v>377</v>
      </c>
      <c r="R505" t="s">
        <v>1353</v>
      </c>
      <c r="S505">
        <f>Consulta1[[#This Row],[min_port]]/100</f>
        <v>1.37E-2</v>
      </c>
      <c r="T505" s="252">
        <f>Consulta1[[#This Row],[TETO_COMERCIAL]]/100</f>
        <v>2.4900000000000002E-2</v>
      </c>
      <c r="U505" t="b">
        <f>Consulta1[[#This Row],[TETO_COMERCIAL_%]]=Consulta1[[#This Row],[TAXA]]</f>
        <v>0</v>
      </c>
      <c r="V505" t="str">
        <f>CONCATENATE(Consulta1[[#This Row],[MES_ALTERACAO]],Consulta1[[#This Row],[VIRADA]])</f>
        <v>20260513</v>
      </c>
      <c r="W505">
        <f>VLOOKUP(Consulta1[[#This Row],[Coluna2]],CALENDARIO!$J:$K,2,FALSE)</f>
        <v>8</v>
      </c>
    </row>
    <row r="506" spans="1:23" x14ac:dyDescent="0.25">
      <c r="A506" t="s">
        <v>3018</v>
      </c>
      <c r="B506" t="str">
        <f>CONCATENATE(Consulta1[[#This Row],[id]],Consulta1[[#This Row],[EMPREGADOR]])</f>
        <v>9IPREM SP_ FUNCIONARIO</v>
      </c>
      <c r="C506" s="6">
        <f>IF(A506=A505,C505+1,1)</f>
        <v>9</v>
      </c>
      <c r="D506" t="s">
        <v>3640</v>
      </c>
      <c r="E506" s="101">
        <v>1.84E-2</v>
      </c>
      <c r="F506" s="6">
        <v>120</v>
      </c>
      <c r="G506" t="s">
        <v>1349</v>
      </c>
      <c r="H506" s="82">
        <v>2.4900000000000002</v>
      </c>
      <c r="I506">
        <v>15</v>
      </c>
      <c r="K506" t="s">
        <v>3641</v>
      </c>
      <c r="L506" s="6" t="s">
        <v>1494</v>
      </c>
      <c r="M506" s="6">
        <v>13</v>
      </c>
      <c r="N506" s="6">
        <v>2</v>
      </c>
      <c r="O506">
        <v>500</v>
      </c>
      <c r="P506">
        <v>202605</v>
      </c>
      <c r="Q506" t="s">
        <v>377</v>
      </c>
      <c r="R506" t="s">
        <v>1353</v>
      </c>
      <c r="S506">
        <f>Consulta1[[#This Row],[min_port]]/100</f>
        <v>1.37E-2</v>
      </c>
      <c r="T506" s="252">
        <f>Consulta1[[#This Row],[TETO_COMERCIAL]]/100</f>
        <v>2.4900000000000002E-2</v>
      </c>
      <c r="U506" t="b">
        <f>Consulta1[[#This Row],[TETO_COMERCIAL_%]]=Consulta1[[#This Row],[TAXA]]</f>
        <v>0</v>
      </c>
      <c r="V506" t="str">
        <f>CONCATENATE(Consulta1[[#This Row],[MES_ALTERACAO]],Consulta1[[#This Row],[VIRADA]])</f>
        <v>20260513</v>
      </c>
      <c r="W506">
        <f>VLOOKUP(Consulta1[[#This Row],[Coluna2]],CALENDARIO!$J:$K,2,FALSE)</f>
        <v>8</v>
      </c>
    </row>
    <row r="507" spans="1:23" x14ac:dyDescent="0.25">
      <c r="A507" t="s">
        <v>3018</v>
      </c>
      <c r="B507" t="str">
        <f>CONCATENATE(Consulta1[[#This Row],[id]],Consulta1[[#This Row],[EMPREGADOR]])</f>
        <v>10IPREM SP_ FUNCIONARIO</v>
      </c>
      <c r="C507" s="6">
        <f>IF(A507=A506,C506+1,1)</f>
        <v>10</v>
      </c>
      <c r="D507" t="s">
        <v>3642</v>
      </c>
      <c r="E507" s="101">
        <v>1.7899999999999999E-2</v>
      </c>
      <c r="F507" s="6">
        <v>120</v>
      </c>
      <c r="G507" t="s">
        <v>1349</v>
      </c>
      <c r="H507" s="82">
        <v>2.4900000000000002</v>
      </c>
      <c r="I507">
        <v>15</v>
      </c>
      <c r="K507" t="s">
        <v>3643</v>
      </c>
      <c r="L507" s="6" t="s">
        <v>1494</v>
      </c>
      <c r="M507" s="6">
        <v>13</v>
      </c>
      <c r="N507" s="6">
        <v>2</v>
      </c>
      <c r="O507">
        <v>500</v>
      </c>
      <c r="P507">
        <v>202605</v>
      </c>
      <c r="Q507" t="s">
        <v>377</v>
      </c>
      <c r="R507" t="s">
        <v>1353</v>
      </c>
      <c r="S507">
        <f>Consulta1[[#This Row],[min_port]]/100</f>
        <v>1.37E-2</v>
      </c>
      <c r="T507" s="252">
        <f>Consulta1[[#This Row],[TETO_COMERCIAL]]/100</f>
        <v>2.4900000000000002E-2</v>
      </c>
      <c r="U507" t="b">
        <f>Consulta1[[#This Row],[TETO_COMERCIAL_%]]=Consulta1[[#This Row],[TAXA]]</f>
        <v>0</v>
      </c>
      <c r="V507" t="str">
        <f>CONCATENATE(Consulta1[[#This Row],[MES_ALTERACAO]],Consulta1[[#This Row],[VIRADA]])</f>
        <v>20260513</v>
      </c>
      <c r="W507">
        <f>VLOOKUP(Consulta1[[#This Row],[Coluna2]],CALENDARIO!$J:$K,2,FALSE)</f>
        <v>8</v>
      </c>
    </row>
    <row r="508" spans="1:23" x14ac:dyDescent="0.25">
      <c r="A508" t="s">
        <v>3018</v>
      </c>
      <c r="B508" t="str">
        <f>CONCATENATE(Consulta1[[#This Row],[id]],Consulta1[[#This Row],[EMPREGADOR]])</f>
        <v>11IPREM SP_ FUNCIONARIO</v>
      </c>
      <c r="C508" s="6">
        <f>IF(A508=A507,C507+1,1)</f>
        <v>11</v>
      </c>
      <c r="D508" t="s">
        <v>3644</v>
      </c>
      <c r="E508" s="101">
        <v>1.7399999999999999E-2</v>
      </c>
      <c r="F508" s="6">
        <v>120</v>
      </c>
      <c r="G508" t="s">
        <v>1349</v>
      </c>
      <c r="H508" s="82">
        <v>2.4900000000000002</v>
      </c>
      <c r="I508">
        <v>15</v>
      </c>
      <c r="K508" t="s">
        <v>3645</v>
      </c>
      <c r="L508" s="6" t="s">
        <v>1494</v>
      </c>
      <c r="M508" s="6">
        <v>13</v>
      </c>
      <c r="N508" s="6">
        <v>2</v>
      </c>
      <c r="O508">
        <v>500</v>
      </c>
      <c r="P508">
        <v>202605</v>
      </c>
      <c r="Q508" t="s">
        <v>377</v>
      </c>
      <c r="R508" t="s">
        <v>1353</v>
      </c>
      <c r="S508">
        <f>Consulta1[[#This Row],[min_port]]/100</f>
        <v>1.37E-2</v>
      </c>
      <c r="T508" s="252">
        <f>Consulta1[[#This Row],[TETO_COMERCIAL]]/100</f>
        <v>2.4900000000000002E-2</v>
      </c>
      <c r="U508" t="b">
        <f>Consulta1[[#This Row],[TETO_COMERCIAL_%]]=Consulta1[[#This Row],[TAXA]]</f>
        <v>0</v>
      </c>
      <c r="V508" t="str">
        <f>CONCATENATE(Consulta1[[#This Row],[MES_ALTERACAO]],Consulta1[[#This Row],[VIRADA]])</f>
        <v>20260513</v>
      </c>
      <c r="W508">
        <f>VLOOKUP(Consulta1[[#This Row],[Coluna2]],CALENDARIO!$J:$K,2,FALSE)</f>
        <v>8</v>
      </c>
    </row>
    <row r="509" spans="1:23" x14ac:dyDescent="0.25">
      <c r="A509" t="s">
        <v>3018</v>
      </c>
      <c r="B509" t="str">
        <f>CONCATENATE(Consulta1[[#This Row],[id]],Consulta1[[#This Row],[EMPREGADOR]])</f>
        <v>12IPREM SP_ FUNCIONARIO</v>
      </c>
      <c r="C509" s="6">
        <f>IF(A509=A508,C508+1,1)</f>
        <v>12</v>
      </c>
      <c r="D509" t="s">
        <v>3646</v>
      </c>
      <c r="E509" s="101">
        <v>1.6899999999999998E-2</v>
      </c>
      <c r="F509" s="6">
        <v>120</v>
      </c>
      <c r="G509" t="s">
        <v>1349</v>
      </c>
      <c r="H509" s="82">
        <v>2.4900000000000002</v>
      </c>
      <c r="I509">
        <v>15</v>
      </c>
      <c r="K509" t="s">
        <v>3647</v>
      </c>
      <c r="L509" s="6" t="s">
        <v>1494</v>
      </c>
      <c r="M509" s="6">
        <v>13</v>
      </c>
      <c r="N509" s="6">
        <v>2</v>
      </c>
      <c r="O509">
        <v>500</v>
      </c>
      <c r="P509">
        <v>202605</v>
      </c>
      <c r="Q509" t="s">
        <v>377</v>
      </c>
      <c r="R509" t="s">
        <v>1353</v>
      </c>
      <c r="S509">
        <f>Consulta1[[#This Row],[min_port]]/100</f>
        <v>1.37E-2</v>
      </c>
      <c r="T509" s="252">
        <f>Consulta1[[#This Row],[TETO_COMERCIAL]]/100</f>
        <v>2.4900000000000002E-2</v>
      </c>
      <c r="U509" t="b">
        <f>Consulta1[[#This Row],[TETO_COMERCIAL_%]]=Consulta1[[#This Row],[TAXA]]</f>
        <v>0</v>
      </c>
      <c r="V509" t="str">
        <f>CONCATENATE(Consulta1[[#This Row],[MES_ALTERACAO]],Consulta1[[#This Row],[VIRADA]])</f>
        <v>20260513</v>
      </c>
      <c r="W509">
        <f>VLOOKUP(Consulta1[[#This Row],[Coluna2]],CALENDARIO!$J:$K,2,FALSE)</f>
        <v>8</v>
      </c>
    </row>
    <row r="510" spans="1:23" x14ac:dyDescent="0.25">
      <c r="A510" t="s">
        <v>3019</v>
      </c>
      <c r="B510" t="str">
        <f>CONCATENATE(Consulta1[[#This Row],[id]],Consulta1[[#This Row],[EMPREGADOR]])</f>
        <v>1IPREM SP_ PENSIONISTA</v>
      </c>
      <c r="C510" s="6">
        <f>IF(A510=A509,C509+1,1)</f>
        <v>1</v>
      </c>
      <c r="D510" t="s">
        <v>3648</v>
      </c>
      <c r="E510" s="101">
        <v>2.4900000000000002E-2</v>
      </c>
      <c r="F510" s="6">
        <v>120</v>
      </c>
      <c r="G510" t="s">
        <v>1349</v>
      </c>
      <c r="H510" s="82">
        <v>2.4900000000000002</v>
      </c>
      <c r="I510">
        <v>15</v>
      </c>
      <c r="K510" t="s">
        <v>3649</v>
      </c>
      <c r="L510" s="6" t="s">
        <v>1494</v>
      </c>
      <c r="M510" s="6">
        <v>14</v>
      </c>
      <c r="N510" s="6">
        <v>2</v>
      </c>
      <c r="O510">
        <v>500</v>
      </c>
      <c r="P510">
        <v>202605</v>
      </c>
      <c r="Q510" t="s">
        <v>377</v>
      </c>
      <c r="R510" t="s">
        <v>1353</v>
      </c>
      <c r="S510">
        <f>Consulta1[[#This Row],[min_port]]/100</f>
        <v>1.37E-2</v>
      </c>
      <c r="T510" s="252">
        <f>Consulta1[[#This Row],[TETO_COMERCIAL]]/100</f>
        <v>2.4900000000000002E-2</v>
      </c>
      <c r="U510" t="b">
        <f>Consulta1[[#This Row],[TETO_COMERCIAL_%]]=Consulta1[[#This Row],[TAXA]]</f>
        <v>1</v>
      </c>
      <c r="V510" t="str">
        <f>CONCATENATE(Consulta1[[#This Row],[MES_ALTERACAO]],Consulta1[[#This Row],[VIRADA]])</f>
        <v>20260514</v>
      </c>
      <c r="W510">
        <f>VLOOKUP(Consulta1[[#This Row],[Coluna2]],CALENDARIO!$J:$K,2,FALSE)</f>
        <v>9</v>
      </c>
    </row>
    <row r="511" spans="1:23" x14ac:dyDescent="0.25">
      <c r="A511" t="s">
        <v>3019</v>
      </c>
      <c r="B511" t="str">
        <f>CONCATENATE(Consulta1[[#This Row],[id]],Consulta1[[#This Row],[EMPREGADOR]])</f>
        <v>2IPREM SP_ PENSIONISTA</v>
      </c>
      <c r="C511" s="6">
        <f>IF(A511=A510,C510+1,1)</f>
        <v>2</v>
      </c>
      <c r="D511" t="s">
        <v>3650</v>
      </c>
      <c r="E511" s="101">
        <v>2.3900000000000001E-2</v>
      </c>
      <c r="F511" s="6">
        <v>120</v>
      </c>
      <c r="G511" t="s">
        <v>1349</v>
      </c>
      <c r="H511" s="82">
        <v>2.4900000000000002</v>
      </c>
      <c r="I511">
        <v>15</v>
      </c>
      <c r="K511" t="s">
        <v>3651</v>
      </c>
      <c r="L511" s="6" t="s">
        <v>1494</v>
      </c>
      <c r="M511" s="6">
        <v>14</v>
      </c>
      <c r="N511" s="6">
        <v>2</v>
      </c>
      <c r="O511">
        <v>500</v>
      </c>
      <c r="P511">
        <v>202605</v>
      </c>
      <c r="Q511" t="s">
        <v>377</v>
      </c>
      <c r="R511" t="s">
        <v>1353</v>
      </c>
      <c r="S511">
        <f>Consulta1[[#This Row],[min_port]]/100</f>
        <v>1.37E-2</v>
      </c>
      <c r="T511" s="252">
        <f>Consulta1[[#This Row],[TETO_COMERCIAL]]/100</f>
        <v>2.4900000000000002E-2</v>
      </c>
      <c r="U511" t="b">
        <f>Consulta1[[#This Row],[TETO_COMERCIAL_%]]=Consulta1[[#This Row],[TAXA]]</f>
        <v>0</v>
      </c>
      <c r="V511" t="str">
        <f>CONCATENATE(Consulta1[[#This Row],[MES_ALTERACAO]],Consulta1[[#This Row],[VIRADA]])</f>
        <v>20260514</v>
      </c>
      <c r="W511">
        <f>VLOOKUP(Consulta1[[#This Row],[Coluna2]],CALENDARIO!$J:$K,2,FALSE)</f>
        <v>9</v>
      </c>
    </row>
    <row r="512" spans="1:23" x14ac:dyDescent="0.25">
      <c r="A512" t="s">
        <v>3019</v>
      </c>
      <c r="B512" t="str">
        <f>CONCATENATE(Consulta1[[#This Row],[id]],Consulta1[[#This Row],[EMPREGADOR]])</f>
        <v>3IPREM SP_ PENSIONISTA</v>
      </c>
      <c r="C512" s="6">
        <f>IF(A512=A511,C511+1,1)</f>
        <v>3</v>
      </c>
      <c r="D512" t="s">
        <v>3652</v>
      </c>
      <c r="E512" s="101">
        <v>2.29E-2</v>
      </c>
      <c r="F512" s="6">
        <v>120</v>
      </c>
      <c r="G512" t="s">
        <v>1349</v>
      </c>
      <c r="H512" s="82">
        <v>2.4900000000000002</v>
      </c>
      <c r="I512">
        <v>15</v>
      </c>
      <c r="K512" t="s">
        <v>3653</v>
      </c>
      <c r="L512" s="6" t="s">
        <v>1494</v>
      </c>
      <c r="M512" s="6">
        <v>14</v>
      </c>
      <c r="N512" s="6">
        <v>2</v>
      </c>
      <c r="O512">
        <v>500</v>
      </c>
      <c r="P512">
        <v>202605</v>
      </c>
      <c r="Q512" t="s">
        <v>377</v>
      </c>
      <c r="R512" t="s">
        <v>1353</v>
      </c>
      <c r="S512">
        <f>Consulta1[[#This Row],[min_port]]/100</f>
        <v>1.37E-2</v>
      </c>
      <c r="T512" s="252">
        <f>Consulta1[[#This Row],[TETO_COMERCIAL]]/100</f>
        <v>2.4900000000000002E-2</v>
      </c>
      <c r="U512" t="b">
        <f>Consulta1[[#This Row],[TETO_COMERCIAL_%]]=Consulta1[[#This Row],[TAXA]]</f>
        <v>0</v>
      </c>
      <c r="V512" t="str">
        <f>CONCATENATE(Consulta1[[#This Row],[MES_ALTERACAO]],Consulta1[[#This Row],[VIRADA]])</f>
        <v>20260514</v>
      </c>
      <c r="W512">
        <f>VLOOKUP(Consulta1[[#This Row],[Coluna2]],CALENDARIO!$J:$K,2,FALSE)</f>
        <v>9</v>
      </c>
    </row>
    <row r="513" spans="1:23" x14ac:dyDescent="0.25">
      <c r="A513" t="s">
        <v>3019</v>
      </c>
      <c r="B513" t="str">
        <f>CONCATENATE(Consulta1[[#This Row],[id]],Consulta1[[#This Row],[EMPREGADOR]])</f>
        <v>4IPREM SP_ PENSIONISTA</v>
      </c>
      <c r="C513" s="6">
        <f>IF(A513=A512,C512+1,1)</f>
        <v>4</v>
      </c>
      <c r="D513" t="s">
        <v>3654</v>
      </c>
      <c r="E513" s="101">
        <v>2.1899999999999999E-2</v>
      </c>
      <c r="F513" s="6">
        <v>120</v>
      </c>
      <c r="G513" t="s">
        <v>1349</v>
      </c>
      <c r="H513" s="82">
        <v>2.4900000000000002</v>
      </c>
      <c r="I513">
        <v>15</v>
      </c>
      <c r="K513" t="s">
        <v>3655</v>
      </c>
      <c r="L513" s="6" t="s">
        <v>1494</v>
      </c>
      <c r="M513" s="6">
        <v>14</v>
      </c>
      <c r="N513" s="6">
        <v>2</v>
      </c>
      <c r="O513">
        <v>500</v>
      </c>
      <c r="P513">
        <v>202605</v>
      </c>
      <c r="Q513" t="s">
        <v>377</v>
      </c>
      <c r="R513" t="s">
        <v>1353</v>
      </c>
      <c r="S513">
        <f>Consulta1[[#This Row],[min_port]]/100</f>
        <v>1.37E-2</v>
      </c>
      <c r="T513" s="252">
        <f>Consulta1[[#This Row],[TETO_COMERCIAL]]/100</f>
        <v>2.4900000000000002E-2</v>
      </c>
      <c r="U513" t="b">
        <f>Consulta1[[#This Row],[TETO_COMERCIAL_%]]=Consulta1[[#This Row],[TAXA]]</f>
        <v>0</v>
      </c>
      <c r="V513" t="str">
        <f>CONCATENATE(Consulta1[[#This Row],[MES_ALTERACAO]],Consulta1[[#This Row],[VIRADA]])</f>
        <v>20260514</v>
      </c>
      <c r="W513">
        <f>VLOOKUP(Consulta1[[#This Row],[Coluna2]],CALENDARIO!$J:$K,2,FALSE)</f>
        <v>9</v>
      </c>
    </row>
    <row r="514" spans="1:23" x14ac:dyDescent="0.25">
      <c r="A514" t="s">
        <v>3019</v>
      </c>
      <c r="B514" t="str">
        <f>CONCATENATE(Consulta1[[#This Row],[id]],Consulta1[[#This Row],[EMPREGADOR]])</f>
        <v>5IPREM SP_ PENSIONISTA</v>
      </c>
      <c r="C514" s="6">
        <f>IF(A514=A513,C513+1,1)</f>
        <v>5</v>
      </c>
      <c r="D514" t="s">
        <v>3656</v>
      </c>
      <c r="E514" s="101">
        <v>2.0899999999999998E-2</v>
      </c>
      <c r="F514" s="6">
        <v>120</v>
      </c>
      <c r="G514" t="s">
        <v>1349</v>
      </c>
      <c r="H514" s="82">
        <v>2.4900000000000002</v>
      </c>
      <c r="I514">
        <v>15</v>
      </c>
      <c r="K514" t="s">
        <v>3657</v>
      </c>
      <c r="L514" s="6" t="s">
        <v>1494</v>
      </c>
      <c r="M514" s="6">
        <v>14</v>
      </c>
      <c r="N514" s="6">
        <v>2</v>
      </c>
      <c r="O514">
        <v>500</v>
      </c>
      <c r="P514">
        <v>202605</v>
      </c>
      <c r="Q514" t="s">
        <v>377</v>
      </c>
      <c r="R514" t="s">
        <v>1353</v>
      </c>
      <c r="S514">
        <f>Consulta1[[#This Row],[min_port]]/100</f>
        <v>1.37E-2</v>
      </c>
      <c r="T514" s="252">
        <f>Consulta1[[#This Row],[TETO_COMERCIAL]]/100</f>
        <v>2.4900000000000002E-2</v>
      </c>
      <c r="U514" t="b">
        <f>Consulta1[[#This Row],[TETO_COMERCIAL_%]]=Consulta1[[#This Row],[TAXA]]</f>
        <v>0</v>
      </c>
      <c r="V514" t="str">
        <f>CONCATENATE(Consulta1[[#This Row],[MES_ALTERACAO]],Consulta1[[#This Row],[VIRADA]])</f>
        <v>20260514</v>
      </c>
      <c r="W514">
        <f>VLOOKUP(Consulta1[[#This Row],[Coluna2]],CALENDARIO!$J:$K,2,FALSE)</f>
        <v>9</v>
      </c>
    </row>
    <row r="515" spans="1:23" x14ac:dyDescent="0.25">
      <c r="A515" t="s">
        <v>3019</v>
      </c>
      <c r="B515" t="str">
        <f>CONCATENATE(Consulta1[[#This Row],[id]],Consulta1[[#This Row],[EMPREGADOR]])</f>
        <v>6IPREM SP_ PENSIONISTA</v>
      </c>
      <c r="C515" s="6">
        <f>IF(A515=A514,C514+1,1)</f>
        <v>6</v>
      </c>
      <c r="D515" t="s">
        <v>3658</v>
      </c>
      <c r="E515" s="101">
        <v>1.9900000000000001E-2</v>
      </c>
      <c r="F515" s="6">
        <v>120</v>
      </c>
      <c r="G515" t="s">
        <v>1349</v>
      </c>
      <c r="H515" s="82">
        <v>2.4900000000000002</v>
      </c>
      <c r="I515">
        <v>15</v>
      </c>
      <c r="J515">
        <v>39</v>
      </c>
      <c r="K515" t="s">
        <v>3659</v>
      </c>
      <c r="L515" s="6" t="s">
        <v>1494</v>
      </c>
      <c r="M515" s="6">
        <v>14</v>
      </c>
      <c r="N515" s="6">
        <v>2</v>
      </c>
      <c r="O515">
        <v>500</v>
      </c>
      <c r="P515">
        <v>202605</v>
      </c>
      <c r="Q515" t="s">
        <v>377</v>
      </c>
      <c r="R515" t="s">
        <v>1353</v>
      </c>
      <c r="S515">
        <f>Consulta1[[#This Row],[min_port]]/100</f>
        <v>1.37E-2</v>
      </c>
      <c r="T515" s="252">
        <f>Consulta1[[#This Row],[TETO_COMERCIAL]]/100</f>
        <v>2.4900000000000002E-2</v>
      </c>
      <c r="U515" t="b">
        <f>Consulta1[[#This Row],[TETO_COMERCIAL_%]]=Consulta1[[#This Row],[TAXA]]</f>
        <v>0</v>
      </c>
      <c r="V515" t="str">
        <f>CONCATENATE(Consulta1[[#This Row],[MES_ALTERACAO]],Consulta1[[#This Row],[VIRADA]])</f>
        <v>20260514</v>
      </c>
      <c r="W515">
        <f>VLOOKUP(Consulta1[[#This Row],[Coluna2]],CALENDARIO!$J:$K,2,FALSE)</f>
        <v>9</v>
      </c>
    </row>
    <row r="516" spans="1:23" x14ac:dyDescent="0.25">
      <c r="A516" t="s">
        <v>3019</v>
      </c>
      <c r="B516" t="str">
        <f>CONCATENATE(Consulta1[[#This Row],[id]],Consulta1[[#This Row],[EMPREGADOR]])</f>
        <v>7IPREM SP_ PENSIONISTA</v>
      </c>
      <c r="C516" s="6">
        <f>IF(A516=A515,C515+1,1)</f>
        <v>7</v>
      </c>
      <c r="D516" t="s">
        <v>3660</v>
      </c>
      <c r="E516" s="101">
        <v>1.9400000000000001E-2</v>
      </c>
      <c r="F516" s="6">
        <v>120</v>
      </c>
      <c r="G516" t="s">
        <v>1349</v>
      </c>
      <c r="H516" s="82">
        <v>2.4900000000000002</v>
      </c>
      <c r="I516">
        <v>15</v>
      </c>
      <c r="K516" t="s">
        <v>3661</v>
      </c>
      <c r="L516" s="6" t="s">
        <v>1494</v>
      </c>
      <c r="M516" s="6">
        <v>14</v>
      </c>
      <c r="N516" s="6">
        <v>2</v>
      </c>
      <c r="O516">
        <v>500</v>
      </c>
      <c r="P516">
        <v>202605</v>
      </c>
      <c r="Q516" t="s">
        <v>377</v>
      </c>
      <c r="R516" t="s">
        <v>1353</v>
      </c>
      <c r="S516">
        <f>Consulta1[[#This Row],[min_port]]/100</f>
        <v>1.37E-2</v>
      </c>
      <c r="T516" s="252">
        <f>Consulta1[[#This Row],[TETO_COMERCIAL]]/100</f>
        <v>2.4900000000000002E-2</v>
      </c>
      <c r="U516" t="b">
        <f>Consulta1[[#This Row],[TETO_COMERCIAL_%]]=Consulta1[[#This Row],[TAXA]]</f>
        <v>0</v>
      </c>
      <c r="V516" t="str">
        <f>CONCATENATE(Consulta1[[#This Row],[MES_ALTERACAO]],Consulta1[[#This Row],[VIRADA]])</f>
        <v>20260514</v>
      </c>
      <c r="W516">
        <f>VLOOKUP(Consulta1[[#This Row],[Coluna2]],CALENDARIO!$J:$K,2,FALSE)</f>
        <v>9</v>
      </c>
    </row>
    <row r="517" spans="1:23" x14ac:dyDescent="0.25">
      <c r="A517" t="s">
        <v>3019</v>
      </c>
      <c r="B517" t="str">
        <f>CONCATENATE(Consulta1[[#This Row],[id]],Consulta1[[#This Row],[EMPREGADOR]])</f>
        <v>8IPREM SP_ PENSIONISTA</v>
      </c>
      <c r="C517" s="6">
        <f>IF(A517=A516,C516+1,1)</f>
        <v>8</v>
      </c>
      <c r="D517" t="s">
        <v>3662</v>
      </c>
      <c r="E517" s="101">
        <v>1.89E-2</v>
      </c>
      <c r="F517" s="6">
        <v>120</v>
      </c>
      <c r="G517" t="s">
        <v>1349</v>
      </c>
      <c r="H517" s="82">
        <v>2.4900000000000002</v>
      </c>
      <c r="I517">
        <v>15</v>
      </c>
      <c r="K517" t="s">
        <v>3663</v>
      </c>
      <c r="L517" s="6" t="s">
        <v>1494</v>
      </c>
      <c r="M517" s="6">
        <v>14</v>
      </c>
      <c r="N517" s="6">
        <v>2</v>
      </c>
      <c r="O517">
        <v>500</v>
      </c>
      <c r="P517">
        <v>202605</v>
      </c>
      <c r="Q517" t="s">
        <v>377</v>
      </c>
      <c r="R517" t="s">
        <v>1353</v>
      </c>
      <c r="S517">
        <f>Consulta1[[#This Row],[min_port]]/100</f>
        <v>1.37E-2</v>
      </c>
      <c r="T517" s="252">
        <f>Consulta1[[#This Row],[TETO_COMERCIAL]]/100</f>
        <v>2.4900000000000002E-2</v>
      </c>
      <c r="U517" t="b">
        <f>Consulta1[[#This Row],[TETO_COMERCIAL_%]]=Consulta1[[#This Row],[TAXA]]</f>
        <v>0</v>
      </c>
      <c r="V517" t="str">
        <f>CONCATENATE(Consulta1[[#This Row],[MES_ALTERACAO]],Consulta1[[#This Row],[VIRADA]])</f>
        <v>20260514</v>
      </c>
      <c r="W517">
        <f>VLOOKUP(Consulta1[[#This Row],[Coluna2]],CALENDARIO!$J:$K,2,FALSE)</f>
        <v>9</v>
      </c>
    </row>
    <row r="518" spans="1:23" x14ac:dyDescent="0.25">
      <c r="A518" t="s">
        <v>3019</v>
      </c>
      <c r="B518" t="str">
        <f>CONCATENATE(Consulta1[[#This Row],[id]],Consulta1[[#This Row],[EMPREGADOR]])</f>
        <v>9IPREM SP_ PENSIONISTA</v>
      </c>
      <c r="C518" s="6">
        <f>IF(A518=A517,C517+1,1)</f>
        <v>9</v>
      </c>
      <c r="D518" t="s">
        <v>3664</v>
      </c>
      <c r="E518" s="101">
        <v>1.84E-2</v>
      </c>
      <c r="F518" s="6">
        <v>120</v>
      </c>
      <c r="G518" t="s">
        <v>1349</v>
      </c>
      <c r="H518" s="82">
        <v>2.4900000000000002</v>
      </c>
      <c r="I518">
        <v>15</v>
      </c>
      <c r="K518" t="s">
        <v>3665</v>
      </c>
      <c r="L518" s="6" t="s">
        <v>1494</v>
      </c>
      <c r="M518" s="6">
        <v>14</v>
      </c>
      <c r="N518" s="6">
        <v>2</v>
      </c>
      <c r="O518">
        <v>500</v>
      </c>
      <c r="P518">
        <v>202605</v>
      </c>
      <c r="Q518" t="s">
        <v>377</v>
      </c>
      <c r="R518" t="s">
        <v>1353</v>
      </c>
      <c r="S518">
        <f>Consulta1[[#This Row],[min_port]]/100</f>
        <v>1.37E-2</v>
      </c>
      <c r="T518" s="252">
        <f>Consulta1[[#This Row],[TETO_COMERCIAL]]/100</f>
        <v>2.4900000000000002E-2</v>
      </c>
      <c r="U518" t="b">
        <f>Consulta1[[#This Row],[TETO_COMERCIAL_%]]=Consulta1[[#This Row],[TAXA]]</f>
        <v>0</v>
      </c>
      <c r="V518" t="str">
        <f>CONCATENATE(Consulta1[[#This Row],[MES_ALTERACAO]],Consulta1[[#This Row],[VIRADA]])</f>
        <v>20260514</v>
      </c>
      <c r="W518">
        <f>VLOOKUP(Consulta1[[#This Row],[Coluna2]],CALENDARIO!$J:$K,2,FALSE)</f>
        <v>9</v>
      </c>
    </row>
    <row r="519" spans="1:23" x14ac:dyDescent="0.25">
      <c r="A519" t="s">
        <v>3019</v>
      </c>
      <c r="B519" t="str">
        <f>CONCATENATE(Consulta1[[#This Row],[id]],Consulta1[[#This Row],[EMPREGADOR]])</f>
        <v>10IPREM SP_ PENSIONISTA</v>
      </c>
      <c r="C519" s="6">
        <f>IF(A519=A518,C518+1,1)</f>
        <v>10</v>
      </c>
      <c r="D519" t="s">
        <v>3666</v>
      </c>
      <c r="E519" s="101">
        <v>1.7899999999999999E-2</v>
      </c>
      <c r="F519" s="6">
        <v>120</v>
      </c>
      <c r="G519" t="s">
        <v>1349</v>
      </c>
      <c r="H519" s="82">
        <v>2.4900000000000002</v>
      </c>
      <c r="I519">
        <v>15</v>
      </c>
      <c r="J519">
        <v>36</v>
      </c>
      <c r="K519" t="s">
        <v>3667</v>
      </c>
      <c r="L519" s="6" t="s">
        <v>1494</v>
      </c>
      <c r="M519" s="6">
        <v>14</v>
      </c>
      <c r="N519" s="6">
        <v>2</v>
      </c>
      <c r="O519">
        <v>500</v>
      </c>
      <c r="P519">
        <v>202605</v>
      </c>
      <c r="Q519" t="s">
        <v>377</v>
      </c>
      <c r="R519" t="s">
        <v>1353</v>
      </c>
      <c r="S519">
        <f>Consulta1[[#This Row],[min_port]]/100</f>
        <v>1.37E-2</v>
      </c>
      <c r="T519" s="252">
        <f>Consulta1[[#This Row],[TETO_COMERCIAL]]/100</f>
        <v>2.4900000000000002E-2</v>
      </c>
      <c r="U519" t="b">
        <f>Consulta1[[#This Row],[TETO_COMERCIAL_%]]=Consulta1[[#This Row],[TAXA]]</f>
        <v>0</v>
      </c>
      <c r="V519" t="str">
        <f>CONCATENATE(Consulta1[[#This Row],[MES_ALTERACAO]],Consulta1[[#This Row],[VIRADA]])</f>
        <v>20260514</v>
      </c>
      <c r="W519">
        <f>VLOOKUP(Consulta1[[#This Row],[Coluna2]],CALENDARIO!$J:$K,2,FALSE)</f>
        <v>9</v>
      </c>
    </row>
    <row r="520" spans="1:23" x14ac:dyDescent="0.25">
      <c r="A520" t="s">
        <v>3019</v>
      </c>
      <c r="B520" t="str">
        <f>CONCATENATE(Consulta1[[#This Row],[id]],Consulta1[[#This Row],[EMPREGADOR]])</f>
        <v>11IPREM SP_ PENSIONISTA</v>
      </c>
      <c r="C520" s="6">
        <f>IF(A520=A519,C519+1,1)</f>
        <v>11</v>
      </c>
      <c r="D520" t="s">
        <v>3668</v>
      </c>
      <c r="E520" s="101">
        <v>1.7399999999999999E-2</v>
      </c>
      <c r="F520" s="6">
        <v>120</v>
      </c>
      <c r="G520" t="s">
        <v>1349</v>
      </c>
      <c r="H520" s="82">
        <v>2.4900000000000002</v>
      </c>
      <c r="I520">
        <v>15</v>
      </c>
      <c r="K520" t="s">
        <v>3669</v>
      </c>
      <c r="L520" s="6" t="s">
        <v>1494</v>
      </c>
      <c r="M520" s="6">
        <v>14</v>
      </c>
      <c r="N520" s="6">
        <v>2</v>
      </c>
      <c r="O520">
        <v>500</v>
      </c>
      <c r="P520">
        <v>202605</v>
      </c>
      <c r="Q520" t="s">
        <v>377</v>
      </c>
      <c r="R520" t="s">
        <v>1353</v>
      </c>
      <c r="S520">
        <f>Consulta1[[#This Row],[min_port]]/100</f>
        <v>1.37E-2</v>
      </c>
      <c r="T520" s="252">
        <f>Consulta1[[#This Row],[TETO_COMERCIAL]]/100</f>
        <v>2.4900000000000002E-2</v>
      </c>
      <c r="U520" t="b">
        <f>Consulta1[[#This Row],[TETO_COMERCIAL_%]]=Consulta1[[#This Row],[TAXA]]</f>
        <v>0</v>
      </c>
      <c r="V520" t="str">
        <f>CONCATENATE(Consulta1[[#This Row],[MES_ALTERACAO]],Consulta1[[#This Row],[VIRADA]])</f>
        <v>20260514</v>
      </c>
      <c r="W520">
        <f>VLOOKUP(Consulta1[[#This Row],[Coluna2]],CALENDARIO!$J:$K,2,FALSE)</f>
        <v>9</v>
      </c>
    </row>
    <row r="521" spans="1:23" x14ac:dyDescent="0.25">
      <c r="A521" t="s">
        <v>3019</v>
      </c>
      <c r="B521" t="str">
        <f>CONCATENATE(Consulta1[[#This Row],[id]],Consulta1[[#This Row],[EMPREGADOR]])</f>
        <v>12IPREM SP_ PENSIONISTA</v>
      </c>
      <c r="C521" s="6">
        <f>IF(A521=A520,C520+1,1)</f>
        <v>12</v>
      </c>
      <c r="D521" t="s">
        <v>3670</v>
      </c>
      <c r="E521" s="101">
        <v>1.6899999999999998E-2</v>
      </c>
      <c r="F521" s="6">
        <v>120</v>
      </c>
      <c r="G521" t="s">
        <v>1349</v>
      </c>
      <c r="H521" s="82">
        <v>2.4900000000000002</v>
      </c>
      <c r="I521">
        <v>15</v>
      </c>
      <c r="J521">
        <v>46</v>
      </c>
      <c r="K521" t="s">
        <v>3671</v>
      </c>
      <c r="L521" s="6" t="s">
        <v>1494</v>
      </c>
      <c r="M521" s="6">
        <v>14</v>
      </c>
      <c r="N521" s="6">
        <v>2</v>
      </c>
      <c r="O521">
        <v>500</v>
      </c>
      <c r="P521">
        <v>202605</v>
      </c>
      <c r="Q521" t="s">
        <v>377</v>
      </c>
      <c r="R521" t="s">
        <v>1353</v>
      </c>
      <c r="S521">
        <f>Consulta1[[#This Row],[min_port]]/100</f>
        <v>1.37E-2</v>
      </c>
      <c r="T521" s="252">
        <f>Consulta1[[#This Row],[TETO_COMERCIAL]]/100</f>
        <v>2.4900000000000002E-2</v>
      </c>
      <c r="U521" t="b">
        <f>Consulta1[[#This Row],[TETO_COMERCIAL_%]]=Consulta1[[#This Row],[TAXA]]</f>
        <v>0</v>
      </c>
      <c r="V521" t="str">
        <f>CONCATENATE(Consulta1[[#This Row],[MES_ALTERACAO]],Consulta1[[#This Row],[VIRADA]])</f>
        <v>20260514</v>
      </c>
      <c r="W521">
        <f>VLOOKUP(Consulta1[[#This Row],[Coluna2]],CALENDARIO!$J:$K,2,FALSE)</f>
        <v>9</v>
      </c>
    </row>
    <row r="522" spans="1:23" x14ac:dyDescent="0.25">
      <c r="A522" t="s">
        <v>2393</v>
      </c>
      <c r="B522" t="str">
        <f>CONCATENATE(Consulta1[[#This Row],[id]],Consulta1[[#This Row],[EMPREGADOR]])</f>
        <v>1IPRESB BARUERI</v>
      </c>
      <c r="C522" s="6">
        <f>IF(A522=A521,C521+1,1)</f>
        <v>1</v>
      </c>
      <c r="D522" t="s">
        <v>2394</v>
      </c>
      <c r="E522" s="101">
        <v>2.5000000000000001E-2</v>
      </c>
      <c r="F522" s="6">
        <v>120</v>
      </c>
      <c r="G522" t="s">
        <v>1349</v>
      </c>
      <c r="H522" s="82">
        <v>2.5</v>
      </c>
      <c r="I522">
        <v>15</v>
      </c>
      <c r="K522" t="s">
        <v>2395</v>
      </c>
      <c r="L522" s="6" t="s">
        <v>1399</v>
      </c>
      <c r="M522" s="6">
        <v>15</v>
      </c>
      <c r="N522" s="6">
        <v>2</v>
      </c>
      <c r="O522">
        <v>500</v>
      </c>
      <c r="P522">
        <v>202605</v>
      </c>
      <c r="Q522" t="s">
        <v>378</v>
      </c>
      <c r="R522" t="s">
        <v>1350</v>
      </c>
      <c r="S522">
        <f>Consulta1[[#This Row],[min_port]]/100</f>
        <v>1.3899999999999999E-2</v>
      </c>
      <c r="T522" s="252">
        <f>Consulta1[[#This Row],[TETO_COMERCIAL]]/100</f>
        <v>2.5000000000000001E-2</v>
      </c>
      <c r="U522" t="b">
        <f>Consulta1[[#This Row],[TETO_COMERCIAL_%]]=Consulta1[[#This Row],[TAXA]]</f>
        <v>1</v>
      </c>
      <c r="V522" t="str">
        <f>CONCATENATE(Consulta1[[#This Row],[MES_ALTERACAO]],Consulta1[[#This Row],[VIRADA]])</f>
        <v>20260515</v>
      </c>
      <c r="W522">
        <f>VLOOKUP(Consulta1[[#This Row],[Coluna2]],CALENDARIO!$J:$K,2,FALSE)</f>
        <v>10</v>
      </c>
    </row>
    <row r="523" spans="1:23" x14ac:dyDescent="0.25">
      <c r="A523" t="s">
        <v>2393</v>
      </c>
      <c r="B523" t="str">
        <f>CONCATENATE(Consulta1[[#This Row],[id]],Consulta1[[#This Row],[EMPREGADOR]])</f>
        <v>2IPRESB BARUERI</v>
      </c>
      <c r="C523" s="6">
        <f>IF(A523=A522,C522+1,1)</f>
        <v>2</v>
      </c>
      <c r="D523" t="s">
        <v>2396</v>
      </c>
      <c r="E523" s="101">
        <v>2.5000000000000001E-2</v>
      </c>
      <c r="F523" s="6">
        <v>120</v>
      </c>
      <c r="G523" t="s">
        <v>1349</v>
      </c>
      <c r="H523" s="82">
        <v>2.5</v>
      </c>
      <c r="I523">
        <v>15</v>
      </c>
      <c r="K523" t="s">
        <v>2605</v>
      </c>
      <c r="L523" s="6" t="s">
        <v>1399</v>
      </c>
      <c r="M523" s="6">
        <v>15</v>
      </c>
      <c r="N523" s="6">
        <v>2</v>
      </c>
      <c r="O523">
        <v>500</v>
      </c>
      <c r="P523">
        <v>202605</v>
      </c>
      <c r="Q523" t="s">
        <v>378</v>
      </c>
      <c r="R523" t="s">
        <v>1350</v>
      </c>
      <c r="S523">
        <f>Consulta1[[#This Row],[min_port]]/100</f>
        <v>1.3899999999999999E-2</v>
      </c>
      <c r="T523" s="252">
        <f>Consulta1[[#This Row],[TETO_COMERCIAL]]/100</f>
        <v>2.5000000000000001E-2</v>
      </c>
      <c r="U523" t="b">
        <f>Consulta1[[#This Row],[TETO_COMERCIAL_%]]=Consulta1[[#This Row],[TAXA]]</f>
        <v>1</v>
      </c>
      <c r="V523" t="str">
        <f>CONCATENATE(Consulta1[[#This Row],[MES_ALTERACAO]],Consulta1[[#This Row],[VIRADA]])</f>
        <v>20260515</v>
      </c>
      <c r="W523">
        <f>VLOOKUP(Consulta1[[#This Row],[Coluna2]],CALENDARIO!$J:$K,2,FALSE)</f>
        <v>10</v>
      </c>
    </row>
    <row r="524" spans="1:23" x14ac:dyDescent="0.25">
      <c r="A524" t="s">
        <v>2393</v>
      </c>
      <c r="B524" t="str">
        <f>CONCATENATE(Consulta1[[#This Row],[id]],Consulta1[[#This Row],[EMPREGADOR]])</f>
        <v>3IPRESB BARUERI</v>
      </c>
      <c r="C524" s="6">
        <f>IF(A524=A523,C523+1,1)</f>
        <v>3</v>
      </c>
      <c r="D524" t="s">
        <v>2397</v>
      </c>
      <c r="E524" s="101">
        <v>2.3900000000000001E-2</v>
      </c>
      <c r="F524" s="6">
        <v>120</v>
      </c>
      <c r="G524" t="s">
        <v>1349</v>
      </c>
      <c r="H524" s="82">
        <v>2.5</v>
      </c>
      <c r="I524">
        <v>15</v>
      </c>
      <c r="K524" t="s">
        <v>2398</v>
      </c>
      <c r="L524" s="6" t="s">
        <v>1399</v>
      </c>
      <c r="M524" s="6">
        <v>15</v>
      </c>
      <c r="N524" s="6">
        <v>2</v>
      </c>
      <c r="O524">
        <v>500</v>
      </c>
      <c r="P524">
        <v>202605</v>
      </c>
      <c r="Q524" t="s">
        <v>378</v>
      </c>
      <c r="R524" t="s">
        <v>1350</v>
      </c>
      <c r="S524">
        <f>Consulta1[[#This Row],[min_port]]/100</f>
        <v>1.3899999999999999E-2</v>
      </c>
      <c r="T524" s="252">
        <f>Consulta1[[#This Row],[TETO_COMERCIAL]]/100</f>
        <v>2.5000000000000001E-2</v>
      </c>
      <c r="U524" t="b">
        <f>Consulta1[[#This Row],[TETO_COMERCIAL_%]]=Consulta1[[#This Row],[TAXA]]</f>
        <v>0</v>
      </c>
      <c r="V524" t="str">
        <f>CONCATENATE(Consulta1[[#This Row],[MES_ALTERACAO]],Consulta1[[#This Row],[VIRADA]])</f>
        <v>20260515</v>
      </c>
      <c r="W524">
        <f>VLOOKUP(Consulta1[[#This Row],[Coluna2]],CALENDARIO!$J:$K,2,FALSE)</f>
        <v>10</v>
      </c>
    </row>
    <row r="525" spans="1:23" x14ac:dyDescent="0.25">
      <c r="A525" t="s">
        <v>2393</v>
      </c>
      <c r="B525" t="str">
        <f>CONCATENATE(Consulta1[[#This Row],[id]],Consulta1[[#This Row],[EMPREGADOR]])</f>
        <v>4IPRESB BARUERI</v>
      </c>
      <c r="C525" s="6">
        <f>IF(A525=A524,C524+1,1)</f>
        <v>4</v>
      </c>
      <c r="D525" t="s">
        <v>2399</v>
      </c>
      <c r="E525" s="101">
        <v>2.3900000000000001E-2</v>
      </c>
      <c r="F525" s="6">
        <v>120</v>
      </c>
      <c r="G525" t="s">
        <v>1349</v>
      </c>
      <c r="H525" s="82">
        <v>2.5</v>
      </c>
      <c r="I525">
        <v>15</v>
      </c>
      <c r="K525" t="s">
        <v>2606</v>
      </c>
      <c r="L525" s="6" t="s">
        <v>1399</v>
      </c>
      <c r="M525" s="6">
        <v>15</v>
      </c>
      <c r="N525" s="6">
        <v>2</v>
      </c>
      <c r="O525">
        <v>500</v>
      </c>
      <c r="P525">
        <v>202605</v>
      </c>
      <c r="Q525" t="s">
        <v>378</v>
      </c>
      <c r="R525" t="s">
        <v>1350</v>
      </c>
      <c r="S525">
        <f>Consulta1[[#This Row],[min_port]]/100</f>
        <v>1.3899999999999999E-2</v>
      </c>
      <c r="T525" s="252">
        <f>Consulta1[[#This Row],[TETO_COMERCIAL]]/100</f>
        <v>2.5000000000000001E-2</v>
      </c>
      <c r="U525" t="b">
        <f>Consulta1[[#This Row],[TETO_COMERCIAL_%]]=Consulta1[[#This Row],[TAXA]]</f>
        <v>0</v>
      </c>
      <c r="V525" t="str">
        <f>CONCATENATE(Consulta1[[#This Row],[MES_ALTERACAO]],Consulta1[[#This Row],[VIRADA]])</f>
        <v>20260515</v>
      </c>
      <c r="W525">
        <f>VLOOKUP(Consulta1[[#This Row],[Coluna2]],CALENDARIO!$J:$K,2,FALSE)</f>
        <v>10</v>
      </c>
    </row>
    <row r="526" spans="1:23" x14ac:dyDescent="0.25">
      <c r="A526" t="s">
        <v>2393</v>
      </c>
      <c r="B526" t="str">
        <f>CONCATENATE(Consulta1[[#This Row],[id]],Consulta1[[#This Row],[EMPREGADOR]])</f>
        <v>5IPRESB BARUERI</v>
      </c>
      <c r="C526" s="6">
        <f>IF(A526=A525,C525+1,1)</f>
        <v>5</v>
      </c>
      <c r="D526" t="s">
        <v>2400</v>
      </c>
      <c r="E526" s="101">
        <v>2.29E-2</v>
      </c>
      <c r="F526" s="6">
        <v>120</v>
      </c>
      <c r="G526" t="s">
        <v>1349</v>
      </c>
      <c r="H526" s="82">
        <v>2.5</v>
      </c>
      <c r="I526">
        <v>15</v>
      </c>
      <c r="K526" t="s">
        <v>2401</v>
      </c>
      <c r="L526" s="6" t="s">
        <v>1399</v>
      </c>
      <c r="M526" s="6">
        <v>15</v>
      </c>
      <c r="N526" s="6">
        <v>2</v>
      </c>
      <c r="O526">
        <v>500</v>
      </c>
      <c r="P526">
        <v>202605</v>
      </c>
      <c r="Q526" t="s">
        <v>378</v>
      </c>
      <c r="R526" t="s">
        <v>1350</v>
      </c>
      <c r="S526">
        <f>Consulta1[[#This Row],[min_port]]/100</f>
        <v>1.3899999999999999E-2</v>
      </c>
      <c r="T526" s="252">
        <f>Consulta1[[#This Row],[TETO_COMERCIAL]]/100</f>
        <v>2.5000000000000001E-2</v>
      </c>
      <c r="U526" t="b">
        <f>Consulta1[[#This Row],[TETO_COMERCIAL_%]]=Consulta1[[#This Row],[TAXA]]</f>
        <v>0</v>
      </c>
      <c r="V526" t="str">
        <f>CONCATENATE(Consulta1[[#This Row],[MES_ALTERACAO]],Consulta1[[#This Row],[VIRADA]])</f>
        <v>20260515</v>
      </c>
      <c r="W526">
        <f>VLOOKUP(Consulta1[[#This Row],[Coluna2]],CALENDARIO!$J:$K,2,FALSE)</f>
        <v>10</v>
      </c>
    </row>
    <row r="527" spans="1:23" x14ac:dyDescent="0.25">
      <c r="A527" t="s">
        <v>2393</v>
      </c>
      <c r="B527" t="str">
        <f>CONCATENATE(Consulta1[[#This Row],[id]],Consulta1[[#This Row],[EMPREGADOR]])</f>
        <v>6IPRESB BARUERI</v>
      </c>
      <c r="C527" s="6">
        <f>IF(A527=A526,C526+1,1)</f>
        <v>6</v>
      </c>
      <c r="D527" t="s">
        <v>2402</v>
      </c>
      <c r="E527" s="101">
        <v>2.29E-2</v>
      </c>
      <c r="F527" s="6">
        <v>120</v>
      </c>
      <c r="G527" t="s">
        <v>1349</v>
      </c>
      <c r="H527" s="82">
        <v>2.5</v>
      </c>
      <c r="I527">
        <v>15</v>
      </c>
      <c r="K527" t="s">
        <v>2607</v>
      </c>
      <c r="L527" s="6" t="s">
        <v>1399</v>
      </c>
      <c r="M527" s="6">
        <v>15</v>
      </c>
      <c r="N527" s="6">
        <v>2</v>
      </c>
      <c r="O527">
        <v>500</v>
      </c>
      <c r="P527">
        <v>202605</v>
      </c>
      <c r="Q527" t="s">
        <v>378</v>
      </c>
      <c r="R527" t="s">
        <v>1350</v>
      </c>
      <c r="S527">
        <f>Consulta1[[#This Row],[min_port]]/100</f>
        <v>1.3899999999999999E-2</v>
      </c>
      <c r="T527" s="252">
        <f>Consulta1[[#This Row],[TETO_COMERCIAL]]/100</f>
        <v>2.5000000000000001E-2</v>
      </c>
      <c r="U527" t="b">
        <f>Consulta1[[#This Row],[TETO_COMERCIAL_%]]=Consulta1[[#This Row],[TAXA]]</f>
        <v>0</v>
      </c>
      <c r="V527" t="str">
        <f>CONCATENATE(Consulta1[[#This Row],[MES_ALTERACAO]],Consulta1[[#This Row],[VIRADA]])</f>
        <v>20260515</v>
      </c>
      <c r="W527">
        <f>VLOOKUP(Consulta1[[#This Row],[Coluna2]],CALENDARIO!$J:$K,2,FALSE)</f>
        <v>10</v>
      </c>
    </row>
    <row r="528" spans="1:23" x14ac:dyDescent="0.25">
      <c r="A528" t="s">
        <v>2393</v>
      </c>
      <c r="B528" t="str">
        <f>CONCATENATE(Consulta1[[#This Row],[id]],Consulta1[[#This Row],[EMPREGADOR]])</f>
        <v>7IPRESB BARUERI</v>
      </c>
      <c r="C528" s="6">
        <f>IF(A528=A527,C527+1,1)</f>
        <v>7</v>
      </c>
      <c r="D528" t="s">
        <v>2403</v>
      </c>
      <c r="E528" s="101">
        <v>2.1899999999999999E-2</v>
      </c>
      <c r="F528" s="6">
        <v>120</v>
      </c>
      <c r="G528" t="s">
        <v>1349</v>
      </c>
      <c r="H528" s="82">
        <v>2.5</v>
      </c>
      <c r="I528">
        <v>15</v>
      </c>
      <c r="K528" t="s">
        <v>2404</v>
      </c>
      <c r="L528" s="6" t="s">
        <v>1399</v>
      </c>
      <c r="M528" s="6">
        <v>15</v>
      </c>
      <c r="N528" s="6">
        <v>2</v>
      </c>
      <c r="O528">
        <v>500</v>
      </c>
      <c r="P528">
        <v>202605</v>
      </c>
      <c r="Q528" t="s">
        <v>378</v>
      </c>
      <c r="R528" t="s">
        <v>1350</v>
      </c>
      <c r="S528">
        <f>Consulta1[[#This Row],[min_port]]/100</f>
        <v>1.3899999999999999E-2</v>
      </c>
      <c r="T528" s="252">
        <f>Consulta1[[#This Row],[TETO_COMERCIAL]]/100</f>
        <v>2.5000000000000001E-2</v>
      </c>
      <c r="U528" t="b">
        <f>Consulta1[[#This Row],[TETO_COMERCIAL_%]]=Consulta1[[#This Row],[TAXA]]</f>
        <v>0</v>
      </c>
      <c r="V528" t="str">
        <f>CONCATENATE(Consulta1[[#This Row],[MES_ALTERACAO]],Consulta1[[#This Row],[VIRADA]])</f>
        <v>20260515</v>
      </c>
      <c r="W528">
        <f>VLOOKUP(Consulta1[[#This Row],[Coluna2]],CALENDARIO!$J:$K,2,FALSE)</f>
        <v>10</v>
      </c>
    </row>
    <row r="529" spans="1:23" x14ac:dyDescent="0.25">
      <c r="A529" t="s">
        <v>2393</v>
      </c>
      <c r="B529" t="str">
        <f>CONCATENATE(Consulta1[[#This Row],[id]],Consulta1[[#This Row],[EMPREGADOR]])</f>
        <v>8IPRESB BARUERI</v>
      </c>
      <c r="C529" s="6">
        <f>IF(A529=A528,C528+1,1)</f>
        <v>8</v>
      </c>
      <c r="D529" t="s">
        <v>2405</v>
      </c>
      <c r="E529" s="101">
        <v>2.1899999999999999E-2</v>
      </c>
      <c r="F529" s="6">
        <v>120</v>
      </c>
      <c r="G529" t="s">
        <v>1349</v>
      </c>
      <c r="H529" s="82">
        <v>2.5</v>
      </c>
      <c r="I529">
        <v>15</v>
      </c>
      <c r="K529" t="s">
        <v>2608</v>
      </c>
      <c r="L529" s="6" t="s">
        <v>1399</v>
      </c>
      <c r="M529" s="6">
        <v>15</v>
      </c>
      <c r="N529" s="6">
        <v>2</v>
      </c>
      <c r="O529">
        <v>500</v>
      </c>
      <c r="P529">
        <v>202605</v>
      </c>
      <c r="Q529" t="s">
        <v>378</v>
      </c>
      <c r="R529" t="s">
        <v>1350</v>
      </c>
      <c r="S529">
        <f>Consulta1[[#This Row],[min_port]]/100</f>
        <v>1.3899999999999999E-2</v>
      </c>
      <c r="T529" s="252">
        <f>Consulta1[[#This Row],[TETO_COMERCIAL]]/100</f>
        <v>2.5000000000000001E-2</v>
      </c>
      <c r="U529" t="b">
        <f>Consulta1[[#This Row],[TETO_COMERCIAL_%]]=Consulta1[[#This Row],[TAXA]]</f>
        <v>0</v>
      </c>
      <c r="V529" t="str">
        <f>CONCATENATE(Consulta1[[#This Row],[MES_ALTERACAO]],Consulta1[[#This Row],[VIRADA]])</f>
        <v>20260515</v>
      </c>
      <c r="W529">
        <f>VLOOKUP(Consulta1[[#This Row],[Coluna2]],CALENDARIO!$J:$K,2,FALSE)</f>
        <v>10</v>
      </c>
    </row>
    <row r="530" spans="1:23" x14ac:dyDescent="0.25">
      <c r="A530" t="s">
        <v>2393</v>
      </c>
      <c r="B530" t="str">
        <f>CONCATENATE(Consulta1[[#This Row],[id]],Consulta1[[#This Row],[EMPREGADOR]])</f>
        <v>9IPRESB BARUERI</v>
      </c>
      <c r="C530" s="6">
        <f>IF(A530=A529,C529+1,1)</f>
        <v>9</v>
      </c>
      <c r="D530" t="s">
        <v>2669</v>
      </c>
      <c r="E530" s="101">
        <v>2.0899999999999998E-2</v>
      </c>
      <c r="F530" s="6">
        <v>120</v>
      </c>
      <c r="G530" t="s">
        <v>1349</v>
      </c>
      <c r="H530" s="82">
        <v>2.5</v>
      </c>
      <c r="I530">
        <v>15</v>
      </c>
      <c r="K530" t="s">
        <v>2670</v>
      </c>
      <c r="L530" s="6" t="s">
        <v>1399</v>
      </c>
      <c r="M530" s="6">
        <v>15</v>
      </c>
      <c r="N530" s="6">
        <v>2</v>
      </c>
      <c r="O530">
        <v>500</v>
      </c>
      <c r="P530">
        <v>202605</v>
      </c>
      <c r="Q530" t="s">
        <v>378</v>
      </c>
      <c r="R530" t="s">
        <v>1350</v>
      </c>
      <c r="S530">
        <f>Consulta1[[#This Row],[min_port]]/100</f>
        <v>1.3899999999999999E-2</v>
      </c>
      <c r="T530" s="252">
        <f>Consulta1[[#This Row],[TETO_COMERCIAL]]/100</f>
        <v>2.5000000000000001E-2</v>
      </c>
      <c r="U530" t="b">
        <f>Consulta1[[#This Row],[TETO_COMERCIAL_%]]=Consulta1[[#This Row],[TAXA]]</f>
        <v>0</v>
      </c>
      <c r="V530" t="str">
        <f>CONCATENATE(Consulta1[[#This Row],[MES_ALTERACAO]],Consulta1[[#This Row],[VIRADA]])</f>
        <v>20260515</v>
      </c>
      <c r="W530">
        <f>VLOOKUP(Consulta1[[#This Row],[Coluna2]],CALENDARIO!$J:$K,2,FALSE)</f>
        <v>10</v>
      </c>
    </row>
    <row r="531" spans="1:23" x14ac:dyDescent="0.25">
      <c r="A531" t="s">
        <v>2393</v>
      </c>
      <c r="B531" t="str">
        <f>CONCATENATE(Consulta1[[#This Row],[id]],Consulta1[[#This Row],[EMPREGADOR]])</f>
        <v>10IPRESB BARUERI</v>
      </c>
      <c r="C531" s="6">
        <f>IF(A531=A530,C530+1,1)</f>
        <v>10</v>
      </c>
      <c r="D531" t="s">
        <v>2671</v>
      </c>
      <c r="E531" s="101">
        <v>2.0899999999999998E-2</v>
      </c>
      <c r="F531" s="6">
        <v>120</v>
      </c>
      <c r="G531" t="s">
        <v>1349</v>
      </c>
      <c r="H531" s="82">
        <v>2.5</v>
      </c>
      <c r="I531">
        <v>15</v>
      </c>
      <c r="K531" t="s">
        <v>2672</v>
      </c>
      <c r="L531" s="6" t="s">
        <v>1399</v>
      </c>
      <c r="M531" s="6">
        <v>15</v>
      </c>
      <c r="N531" s="6">
        <v>2</v>
      </c>
      <c r="O531">
        <v>500</v>
      </c>
      <c r="P531">
        <v>202605</v>
      </c>
      <c r="Q531" t="s">
        <v>378</v>
      </c>
      <c r="R531" t="s">
        <v>1350</v>
      </c>
      <c r="S531">
        <f>Consulta1[[#This Row],[min_port]]/100</f>
        <v>1.3899999999999999E-2</v>
      </c>
      <c r="T531" s="252">
        <f>Consulta1[[#This Row],[TETO_COMERCIAL]]/100</f>
        <v>2.5000000000000001E-2</v>
      </c>
      <c r="U531" t="b">
        <f>Consulta1[[#This Row],[TETO_COMERCIAL_%]]=Consulta1[[#This Row],[TAXA]]</f>
        <v>0</v>
      </c>
      <c r="V531" t="str">
        <f>CONCATENATE(Consulta1[[#This Row],[MES_ALTERACAO]],Consulta1[[#This Row],[VIRADA]])</f>
        <v>20260515</v>
      </c>
      <c r="W531">
        <f>VLOOKUP(Consulta1[[#This Row],[Coluna2]],CALENDARIO!$J:$K,2,FALSE)</f>
        <v>10</v>
      </c>
    </row>
    <row r="532" spans="1:23" x14ac:dyDescent="0.25">
      <c r="A532" t="s">
        <v>2393</v>
      </c>
      <c r="B532" t="str">
        <f>CONCATENATE(Consulta1[[#This Row],[id]],Consulta1[[#This Row],[EMPREGADOR]])</f>
        <v>11IPRESB BARUERI</v>
      </c>
      <c r="C532" s="6">
        <f>IF(A532=A531,C531+1,1)</f>
        <v>11</v>
      </c>
      <c r="D532" t="s">
        <v>2673</v>
      </c>
      <c r="E532" s="101">
        <v>1.9900000000000001E-2</v>
      </c>
      <c r="F532" s="6">
        <v>120</v>
      </c>
      <c r="G532" t="s">
        <v>1349</v>
      </c>
      <c r="H532" s="82">
        <v>2.5</v>
      </c>
      <c r="I532">
        <v>15</v>
      </c>
      <c r="K532" t="s">
        <v>2674</v>
      </c>
      <c r="L532" s="6" t="s">
        <v>1399</v>
      </c>
      <c r="M532" s="6">
        <v>15</v>
      </c>
      <c r="N532" s="6">
        <v>2</v>
      </c>
      <c r="O532">
        <v>500</v>
      </c>
      <c r="P532">
        <v>202605</v>
      </c>
      <c r="Q532" t="s">
        <v>378</v>
      </c>
      <c r="R532" t="s">
        <v>1350</v>
      </c>
      <c r="S532">
        <f>Consulta1[[#This Row],[min_port]]/100</f>
        <v>1.3899999999999999E-2</v>
      </c>
      <c r="T532" s="252">
        <f>Consulta1[[#This Row],[TETO_COMERCIAL]]/100</f>
        <v>2.5000000000000001E-2</v>
      </c>
      <c r="U532" t="b">
        <f>Consulta1[[#This Row],[TETO_COMERCIAL_%]]=Consulta1[[#This Row],[TAXA]]</f>
        <v>0</v>
      </c>
      <c r="V532" t="str">
        <f>CONCATENATE(Consulta1[[#This Row],[MES_ALTERACAO]],Consulta1[[#This Row],[VIRADA]])</f>
        <v>20260515</v>
      </c>
      <c r="W532">
        <f>VLOOKUP(Consulta1[[#This Row],[Coluna2]],CALENDARIO!$J:$K,2,FALSE)</f>
        <v>10</v>
      </c>
    </row>
    <row r="533" spans="1:23" x14ac:dyDescent="0.25">
      <c r="A533" t="s">
        <v>2393</v>
      </c>
      <c r="B533" t="str">
        <f>CONCATENATE(Consulta1[[#This Row],[id]],Consulta1[[#This Row],[EMPREGADOR]])</f>
        <v>12IPRESB BARUERI</v>
      </c>
      <c r="C533" s="6">
        <f>IF(A533=A532,C532+1,1)</f>
        <v>12</v>
      </c>
      <c r="D533" t="s">
        <v>2675</v>
      </c>
      <c r="E533" s="101">
        <v>1.9900000000000001E-2</v>
      </c>
      <c r="F533" s="6">
        <v>120</v>
      </c>
      <c r="G533" t="s">
        <v>1349</v>
      </c>
      <c r="H533" s="82">
        <v>2.5</v>
      </c>
      <c r="I533">
        <v>15</v>
      </c>
      <c r="K533" t="s">
        <v>2676</v>
      </c>
      <c r="L533" s="6" t="s">
        <v>1399</v>
      </c>
      <c r="M533" s="6">
        <v>15</v>
      </c>
      <c r="N533" s="6">
        <v>2</v>
      </c>
      <c r="O533">
        <v>500</v>
      </c>
      <c r="P533">
        <v>202605</v>
      </c>
      <c r="Q533" t="s">
        <v>378</v>
      </c>
      <c r="R533" t="s">
        <v>1350</v>
      </c>
      <c r="S533">
        <f>Consulta1[[#This Row],[min_port]]/100</f>
        <v>1.3899999999999999E-2</v>
      </c>
      <c r="T533" s="252">
        <f>Consulta1[[#This Row],[TETO_COMERCIAL]]/100</f>
        <v>2.5000000000000001E-2</v>
      </c>
      <c r="U533" t="b">
        <f>Consulta1[[#This Row],[TETO_COMERCIAL_%]]=Consulta1[[#This Row],[TAXA]]</f>
        <v>0</v>
      </c>
      <c r="V533" t="str">
        <f>CONCATENATE(Consulta1[[#This Row],[MES_ALTERACAO]],Consulta1[[#This Row],[VIRADA]])</f>
        <v>20260515</v>
      </c>
      <c r="W533">
        <f>VLOOKUP(Consulta1[[#This Row],[Coluna2]],CALENDARIO!$J:$K,2,FALSE)</f>
        <v>10</v>
      </c>
    </row>
    <row r="534" spans="1:23" x14ac:dyDescent="0.25">
      <c r="A534" t="s">
        <v>2393</v>
      </c>
      <c r="B534" t="str">
        <f>CONCATENATE(Consulta1[[#This Row],[id]],Consulta1[[#This Row],[EMPREGADOR]])</f>
        <v>13IPRESB BARUERI</v>
      </c>
      <c r="C534" s="6">
        <f>IF(A534=A533,C533+1,1)</f>
        <v>13</v>
      </c>
      <c r="D534" t="s">
        <v>2677</v>
      </c>
      <c r="E534" s="101">
        <v>1.9400000000000001E-2</v>
      </c>
      <c r="F534" s="6">
        <v>120</v>
      </c>
      <c r="G534" t="s">
        <v>1349</v>
      </c>
      <c r="H534" s="82">
        <v>2.5</v>
      </c>
      <c r="I534">
        <v>15</v>
      </c>
      <c r="K534" t="s">
        <v>2678</v>
      </c>
      <c r="L534" s="6" t="s">
        <v>1399</v>
      </c>
      <c r="M534" s="6">
        <v>15</v>
      </c>
      <c r="N534" s="6">
        <v>2</v>
      </c>
      <c r="O534">
        <v>500</v>
      </c>
      <c r="P534">
        <v>202605</v>
      </c>
      <c r="Q534" t="s">
        <v>378</v>
      </c>
      <c r="R534" t="s">
        <v>1350</v>
      </c>
      <c r="S534">
        <f>Consulta1[[#This Row],[min_port]]/100</f>
        <v>1.3899999999999999E-2</v>
      </c>
      <c r="T534" s="252">
        <f>Consulta1[[#This Row],[TETO_COMERCIAL]]/100</f>
        <v>2.5000000000000001E-2</v>
      </c>
      <c r="U534" t="b">
        <f>Consulta1[[#This Row],[TETO_COMERCIAL_%]]=Consulta1[[#This Row],[TAXA]]</f>
        <v>0</v>
      </c>
      <c r="V534" t="str">
        <f>CONCATENATE(Consulta1[[#This Row],[MES_ALTERACAO]],Consulta1[[#This Row],[VIRADA]])</f>
        <v>20260515</v>
      </c>
      <c r="W534">
        <f>VLOOKUP(Consulta1[[#This Row],[Coluna2]],CALENDARIO!$J:$K,2,FALSE)</f>
        <v>10</v>
      </c>
    </row>
    <row r="535" spans="1:23" x14ac:dyDescent="0.25">
      <c r="A535" t="s">
        <v>2393</v>
      </c>
      <c r="B535" t="str">
        <f>CONCATENATE(Consulta1[[#This Row],[id]],Consulta1[[#This Row],[EMPREGADOR]])</f>
        <v>14IPRESB BARUERI</v>
      </c>
      <c r="C535" s="6">
        <f>IF(A535=A534,C534+1,1)</f>
        <v>14</v>
      </c>
      <c r="D535" t="s">
        <v>2679</v>
      </c>
      <c r="E535" s="101">
        <v>1.9400000000000001E-2</v>
      </c>
      <c r="F535" s="6">
        <v>120</v>
      </c>
      <c r="G535" t="s">
        <v>1349</v>
      </c>
      <c r="H535" s="82">
        <v>2.5</v>
      </c>
      <c r="I535">
        <v>15</v>
      </c>
      <c r="K535" t="s">
        <v>2680</v>
      </c>
      <c r="L535" s="6" t="s">
        <v>1399</v>
      </c>
      <c r="M535" s="6">
        <v>15</v>
      </c>
      <c r="N535" s="6">
        <v>2</v>
      </c>
      <c r="O535">
        <v>500</v>
      </c>
      <c r="P535">
        <v>202605</v>
      </c>
      <c r="Q535" t="s">
        <v>378</v>
      </c>
      <c r="R535" t="s">
        <v>1350</v>
      </c>
      <c r="S535">
        <f>Consulta1[[#This Row],[min_port]]/100</f>
        <v>1.3899999999999999E-2</v>
      </c>
      <c r="T535" s="252">
        <f>Consulta1[[#This Row],[TETO_COMERCIAL]]/100</f>
        <v>2.5000000000000001E-2</v>
      </c>
      <c r="U535" t="b">
        <f>Consulta1[[#This Row],[TETO_COMERCIAL_%]]=Consulta1[[#This Row],[TAXA]]</f>
        <v>0</v>
      </c>
      <c r="V535" t="str">
        <f>CONCATENATE(Consulta1[[#This Row],[MES_ALTERACAO]],Consulta1[[#This Row],[VIRADA]])</f>
        <v>20260515</v>
      </c>
      <c r="W535">
        <f>VLOOKUP(Consulta1[[#This Row],[Coluna2]],CALENDARIO!$J:$K,2,FALSE)</f>
        <v>10</v>
      </c>
    </row>
    <row r="536" spans="1:23" x14ac:dyDescent="0.25">
      <c r="A536" t="s">
        <v>3772</v>
      </c>
      <c r="B536" t="str">
        <f>CONCATENATE(Consulta1[[#This Row],[id]],Consulta1[[#This Row],[EMPREGADOR]])</f>
        <v>1IPREV - SANTOS</v>
      </c>
      <c r="C536" s="6">
        <f>IF(A536=A535,C535+1,1)</f>
        <v>1</v>
      </c>
      <c r="D536" t="s">
        <v>3773</v>
      </c>
      <c r="E536" s="101">
        <v>2.5000000000000001E-2</v>
      </c>
      <c r="F536" s="6">
        <v>96</v>
      </c>
      <c r="G536" t="s">
        <v>1349</v>
      </c>
      <c r="H536" s="82">
        <v>2.5</v>
      </c>
      <c r="I536">
        <v>13</v>
      </c>
      <c r="K536" t="s">
        <v>3774</v>
      </c>
      <c r="L536" s="6" t="s">
        <v>1407</v>
      </c>
      <c r="M536" s="6">
        <v>5</v>
      </c>
      <c r="N536" s="6">
        <v>2</v>
      </c>
      <c r="O536">
        <v>500</v>
      </c>
      <c r="P536">
        <v>202605</v>
      </c>
      <c r="Q536" t="s">
        <v>377</v>
      </c>
      <c r="R536" t="s">
        <v>1353</v>
      </c>
      <c r="S536">
        <f>Consulta1[[#This Row],[min_port]]/100</f>
        <v>1.49E-2</v>
      </c>
      <c r="T536" s="252">
        <f>Consulta1[[#This Row],[TETO_COMERCIAL]]/100</f>
        <v>2.5000000000000001E-2</v>
      </c>
      <c r="U536" t="b">
        <f>Consulta1[[#This Row],[TETO_COMERCIAL_%]]=Consulta1[[#This Row],[TAXA]]</f>
        <v>1</v>
      </c>
      <c r="V536" t="str">
        <f>CONCATENATE(Consulta1[[#This Row],[MES_ALTERACAO]],Consulta1[[#This Row],[VIRADA]])</f>
        <v>2026055</v>
      </c>
      <c r="W536">
        <f>VLOOKUP(Consulta1[[#This Row],[Coluna2]],CALENDARIO!$J:$K,2,FALSE)</f>
        <v>2</v>
      </c>
    </row>
    <row r="537" spans="1:23" x14ac:dyDescent="0.25">
      <c r="A537" t="s">
        <v>3772</v>
      </c>
      <c r="B537" t="str">
        <f>CONCATENATE(Consulta1[[#This Row],[id]],Consulta1[[#This Row],[EMPREGADOR]])</f>
        <v>2IPREV - SANTOS</v>
      </c>
      <c r="C537" s="6">
        <f>IF(A537=A536,C536+1,1)</f>
        <v>2</v>
      </c>
      <c r="D537" t="s">
        <v>3775</v>
      </c>
      <c r="E537" s="101">
        <v>2.3900000000000001E-2</v>
      </c>
      <c r="F537" s="6">
        <v>96</v>
      </c>
      <c r="G537" t="s">
        <v>1349</v>
      </c>
      <c r="H537" s="82">
        <v>2.5</v>
      </c>
      <c r="I537">
        <v>13</v>
      </c>
      <c r="K537" t="s">
        <v>3776</v>
      </c>
      <c r="L537" s="6" t="s">
        <v>1407</v>
      </c>
      <c r="M537" s="6">
        <v>5</v>
      </c>
      <c r="N537" s="6">
        <v>2</v>
      </c>
      <c r="O537">
        <v>500</v>
      </c>
      <c r="P537">
        <v>202605</v>
      </c>
      <c r="Q537" t="s">
        <v>377</v>
      </c>
      <c r="R537" t="s">
        <v>1353</v>
      </c>
      <c r="S537">
        <f>Consulta1[[#This Row],[min_port]]/100</f>
        <v>1.49E-2</v>
      </c>
      <c r="T537" s="252">
        <f>Consulta1[[#This Row],[TETO_COMERCIAL]]/100</f>
        <v>2.5000000000000001E-2</v>
      </c>
      <c r="U537" t="b">
        <f>Consulta1[[#This Row],[TETO_COMERCIAL_%]]=Consulta1[[#This Row],[TAXA]]</f>
        <v>0</v>
      </c>
      <c r="V537" t="str">
        <f>CONCATENATE(Consulta1[[#This Row],[MES_ALTERACAO]],Consulta1[[#This Row],[VIRADA]])</f>
        <v>2026055</v>
      </c>
      <c r="W537">
        <f>VLOOKUP(Consulta1[[#This Row],[Coluna2]],CALENDARIO!$J:$K,2,FALSE)</f>
        <v>2</v>
      </c>
    </row>
    <row r="538" spans="1:23" x14ac:dyDescent="0.25">
      <c r="A538" t="s">
        <v>3772</v>
      </c>
      <c r="B538" t="str">
        <f>CONCATENATE(Consulta1[[#This Row],[id]],Consulta1[[#This Row],[EMPREGADOR]])</f>
        <v>3IPREV - SANTOS</v>
      </c>
      <c r="C538" s="6">
        <f>IF(A538=A537,C537+1,1)</f>
        <v>3</v>
      </c>
      <c r="D538" t="s">
        <v>3777</v>
      </c>
      <c r="E538" s="101">
        <v>2.29E-2</v>
      </c>
      <c r="F538" s="6">
        <v>96</v>
      </c>
      <c r="G538" t="s">
        <v>1349</v>
      </c>
      <c r="H538" s="82">
        <v>2.5</v>
      </c>
      <c r="I538">
        <v>13</v>
      </c>
      <c r="K538" t="s">
        <v>3778</v>
      </c>
      <c r="L538" s="6" t="s">
        <v>1407</v>
      </c>
      <c r="M538" s="6">
        <v>5</v>
      </c>
      <c r="N538" s="6">
        <v>2</v>
      </c>
      <c r="O538">
        <v>500</v>
      </c>
      <c r="P538">
        <v>202605</v>
      </c>
      <c r="Q538" t="s">
        <v>377</v>
      </c>
      <c r="R538" t="s">
        <v>1353</v>
      </c>
      <c r="S538">
        <f>Consulta1[[#This Row],[min_port]]/100</f>
        <v>1.49E-2</v>
      </c>
      <c r="T538" s="252">
        <f>Consulta1[[#This Row],[TETO_COMERCIAL]]/100</f>
        <v>2.5000000000000001E-2</v>
      </c>
      <c r="U538" t="b">
        <f>Consulta1[[#This Row],[TETO_COMERCIAL_%]]=Consulta1[[#This Row],[TAXA]]</f>
        <v>0</v>
      </c>
      <c r="V538" t="str">
        <f>CONCATENATE(Consulta1[[#This Row],[MES_ALTERACAO]],Consulta1[[#This Row],[VIRADA]])</f>
        <v>2026055</v>
      </c>
      <c r="W538">
        <f>VLOOKUP(Consulta1[[#This Row],[Coluna2]],CALENDARIO!$J:$K,2,FALSE)</f>
        <v>2</v>
      </c>
    </row>
    <row r="539" spans="1:23" x14ac:dyDescent="0.25">
      <c r="A539" t="s">
        <v>3772</v>
      </c>
      <c r="B539" t="str">
        <f>CONCATENATE(Consulta1[[#This Row],[id]],Consulta1[[#This Row],[EMPREGADOR]])</f>
        <v>4IPREV - SANTOS</v>
      </c>
      <c r="C539" s="6">
        <f>IF(A539=A538,C538+1,1)</f>
        <v>4</v>
      </c>
      <c r="D539" t="s">
        <v>3779</v>
      </c>
      <c r="E539" s="101">
        <v>2.1899999999999999E-2</v>
      </c>
      <c r="F539" s="6">
        <v>96</v>
      </c>
      <c r="G539" t="s">
        <v>1349</v>
      </c>
      <c r="H539" s="82">
        <v>2.5</v>
      </c>
      <c r="I539">
        <v>13</v>
      </c>
      <c r="K539" t="s">
        <v>3780</v>
      </c>
      <c r="L539" s="6" t="s">
        <v>1407</v>
      </c>
      <c r="M539" s="6">
        <v>5</v>
      </c>
      <c r="N539" s="6">
        <v>2</v>
      </c>
      <c r="O539">
        <v>500</v>
      </c>
      <c r="P539">
        <v>202605</v>
      </c>
      <c r="Q539" t="s">
        <v>377</v>
      </c>
      <c r="R539" t="s">
        <v>1353</v>
      </c>
      <c r="S539">
        <f>Consulta1[[#This Row],[min_port]]/100</f>
        <v>1.49E-2</v>
      </c>
      <c r="T539" s="252">
        <f>Consulta1[[#This Row],[TETO_COMERCIAL]]/100</f>
        <v>2.5000000000000001E-2</v>
      </c>
      <c r="U539" t="b">
        <f>Consulta1[[#This Row],[TETO_COMERCIAL_%]]=Consulta1[[#This Row],[TAXA]]</f>
        <v>0</v>
      </c>
      <c r="V539" t="str">
        <f>CONCATENATE(Consulta1[[#This Row],[MES_ALTERACAO]],Consulta1[[#This Row],[VIRADA]])</f>
        <v>2026055</v>
      </c>
      <c r="W539">
        <f>VLOOKUP(Consulta1[[#This Row],[Coluna2]],CALENDARIO!$J:$K,2,FALSE)</f>
        <v>2</v>
      </c>
    </row>
    <row r="540" spans="1:23" x14ac:dyDescent="0.25">
      <c r="A540" t="s">
        <v>3772</v>
      </c>
      <c r="B540" t="str">
        <f>CONCATENATE(Consulta1[[#This Row],[id]],Consulta1[[#This Row],[EMPREGADOR]])</f>
        <v>5IPREV - SANTOS</v>
      </c>
      <c r="C540" s="6">
        <f>IF(A540=A539,C539+1,1)</f>
        <v>5</v>
      </c>
      <c r="D540" t="s">
        <v>3781</v>
      </c>
      <c r="E540" s="101">
        <v>2.0899999999999998E-2</v>
      </c>
      <c r="F540" s="6">
        <v>96</v>
      </c>
      <c r="G540" t="s">
        <v>1349</v>
      </c>
      <c r="H540" s="82">
        <v>2.5</v>
      </c>
      <c r="I540">
        <v>13</v>
      </c>
      <c r="K540" t="s">
        <v>3782</v>
      </c>
      <c r="L540" s="6" t="s">
        <v>1407</v>
      </c>
      <c r="M540" s="6">
        <v>5</v>
      </c>
      <c r="N540" s="6">
        <v>2</v>
      </c>
      <c r="O540">
        <v>500</v>
      </c>
      <c r="P540">
        <v>202605</v>
      </c>
      <c r="Q540" t="s">
        <v>377</v>
      </c>
      <c r="R540" t="s">
        <v>1353</v>
      </c>
      <c r="S540">
        <f>Consulta1[[#This Row],[min_port]]/100</f>
        <v>1.49E-2</v>
      </c>
      <c r="T540" s="252">
        <f>Consulta1[[#This Row],[TETO_COMERCIAL]]/100</f>
        <v>2.5000000000000001E-2</v>
      </c>
      <c r="U540" t="b">
        <f>Consulta1[[#This Row],[TETO_COMERCIAL_%]]=Consulta1[[#This Row],[TAXA]]</f>
        <v>0</v>
      </c>
      <c r="V540" t="str">
        <f>CONCATENATE(Consulta1[[#This Row],[MES_ALTERACAO]],Consulta1[[#This Row],[VIRADA]])</f>
        <v>2026055</v>
      </c>
      <c r="W540">
        <f>VLOOKUP(Consulta1[[#This Row],[Coluna2]],CALENDARIO!$J:$K,2,FALSE)</f>
        <v>2</v>
      </c>
    </row>
    <row r="541" spans="1:23" x14ac:dyDescent="0.25">
      <c r="A541" t="s">
        <v>3772</v>
      </c>
      <c r="B541" t="str">
        <f>CONCATENATE(Consulta1[[#This Row],[id]],Consulta1[[#This Row],[EMPREGADOR]])</f>
        <v>6IPREV - SANTOS</v>
      </c>
      <c r="C541" s="6">
        <f>IF(A541=A540,C540+1,1)</f>
        <v>6</v>
      </c>
      <c r="D541" t="s">
        <v>3783</v>
      </c>
      <c r="E541" s="101">
        <v>1.9900000000000001E-2</v>
      </c>
      <c r="F541" s="6">
        <v>96</v>
      </c>
      <c r="G541" t="s">
        <v>1349</v>
      </c>
      <c r="H541" s="82">
        <v>2.5</v>
      </c>
      <c r="I541">
        <v>13</v>
      </c>
      <c r="K541" t="s">
        <v>3784</v>
      </c>
      <c r="L541" s="6" t="s">
        <v>1407</v>
      </c>
      <c r="M541" s="6">
        <v>5</v>
      </c>
      <c r="N541" s="6">
        <v>2</v>
      </c>
      <c r="O541">
        <v>500</v>
      </c>
      <c r="P541">
        <v>202605</v>
      </c>
      <c r="Q541" t="s">
        <v>377</v>
      </c>
      <c r="R541" t="s">
        <v>1353</v>
      </c>
      <c r="S541">
        <f>Consulta1[[#This Row],[min_port]]/100</f>
        <v>1.49E-2</v>
      </c>
      <c r="T541" s="252">
        <f>Consulta1[[#This Row],[TETO_COMERCIAL]]/100</f>
        <v>2.5000000000000001E-2</v>
      </c>
      <c r="U541" t="b">
        <f>Consulta1[[#This Row],[TETO_COMERCIAL_%]]=Consulta1[[#This Row],[TAXA]]</f>
        <v>0</v>
      </c>
      <c r="V541" t="str">
        <f>CONCATENATE(Consulta1[[#This Row],[MES_ALTERACAO]],Consulta1[[#This Row],[VIRADA]])</f>
        <v>2026055</v>
      </c>
      <c r="W541">
        <f>VLOOKUP(Consulta1[[#This Row],[Coluna2]],CALENDARIO!$J:$K,2,FALSE)</f>
        <v>2</v>
      </c>
    </row>
    <row r="542" spans="1:23" x14ac:dyDescent="0.25">
      <c r="A542" t="s">
        <v>3772</v>
      </c>
      <c r="B542" t="str">
        <f>CONCATENATE(Consulta1[[#This Row],[id]],Consulta1[[#This Row],[EMPREGADOR]])</f>
        <v>7IPREV - SANTOS</v>
      </c>
      <c r="C542" s="6">
        <f>IF(A542=A541,C541+1,1)</f>
        <v>7</v>
      </c>
      <c r="D542" t="s">
        <v>3785</v>
      </c>
      <c r="E542" s="101">
        <v>1.89E-2</v>
      </c>
      <c r="F542" s="6">
        <v>96</v>
      </c>
      <c r="G542" t="s">
        <v>1349</v>
      </c>
      <c r="H542" s="82">
        <v>2.5</v>
      </c>
      <c r="I542">
        <v>13</v>
      </c>
      <c r="K542" t="s">
        <v>3786</v>
      </c>
      <c r="L542" s="6" t="s">
        <v>1407</v>
      </c>
      <c r="M542" s="6">
        <v>5</v>
      </c>
      <c r="N542" s="6">
        <v>2</v>
      </c>
      <c r="O542">
        <v>500</v>
      </c>
      <c r="P542">
        <v>202605</v>
      </c>
      <c r="Q542" t="s">
        <v>377</v>
      </c>
      <c r="R542" t="s">
        <v>1353</v>
      </c>
      <c r="S542">
        <f>Consulta1[[#This Row],[min_port]]/100</f>
        <v>1.49E-2</v>
      </c>
      <c r="T542" s="252">
        <f>Consulta1[[#This Row],[TETO_COMERCIAL]]/100</f>
        <v>2.5000000000000001E-2</v>
      </c>
      <c r="U542" t="b">
        <f>Consulta1[[#This Row],[TETO_COMERCIAL_%]]=Consulta1[[#This Row],[TAXA]]</f>
        <v>0</v>
      </c>
      <c r="V542" t="str">
        <f>CONCATENATE(Consulta1[[#This Row],[MES_ALTERACAO]],Consulta1[[#This Row],[VIRADA]])</f>
        <v>2026055</v>
      </c>
      <c r="W542">
        <f>VLOOKUP(Consulta1[[#This Row],[Coluna2]],CALENDARIO!$J:$K,2,FALSE)</f>
        <v>2</v>
      </c>
    </row>
    <row r="543" spans="1:23" x14ac:dyDescent="0.25">
      <c r="A543" t="s">
        <v>3772</v>
      </c>
      <c r="B543" t="str">
        <f>CONCATENATE(Consulta1[[#This Row],[id]],Consulta1[[#This Row],[EMPREGADOR]])</f>
        <v>8IPREV - SANTOS</v>
      </c>
      <c r="C543" s="6">
        <f>IF(A543=A542,C542+1,1)</f>
        <v>8</v>
      </c>
      <c r="D543" t="s">
        <v>3787</v>
      </c>
      <c r="E543" s="101">
        <v>1.7899999999999999E-2</v>
      </c>
      <c r="F543" s="6">
        <v>96</v>
      </c>
      <c r="G543" t="s">
        <v>1349</v>
      </c>
      <c r="H543" s="82">
        <v>2.5</v>
      </c>
      <c r="I543">
        <v>13</v>
      </c>
      <c r="K543" t="s">
        <v>3788</v>
      </c>
      <c r="L543" s="6" t="s">
        <v>1407</v>
      </c>
      <c r="M543" s="6">
        <v>5</v>
      </c>
      <c r="N543" s="6">
        <v>2</v>
      </c>
      <c r="O543">
        <v>500</v>
      </c>
      <c r="P543">
        <v>202605</v>
      </c>
      <c r="Q543" t="s">
        <v>377</v>
      </c>
      <c r="R543" t="s">
        <v>1353</v>
      </c>
      <c r="S543">
        <f>Consulta1[[#This Row],[min_port]]/100</f>
        <v>1.49E-2</v>
      </c>
      <c r="T543" s="252">
        <f>Consulta1[[#This Row],[TETO_COMERCIAL]]/100</f>
        <v>2.5000000000000001E-2</v>
      </c>
      <c r="U543" t="b">
        <f>Consulta1[[#This Row],[TETO_COMERCIAL_%]]=Consulta1[[#This Row],[TAXA]]</f>
        <v>0</v>
      </c>
      <c r="V543" t="str">
        <f>CONCATENATE(Consulta1[[#This Row],[MES_ALTERACAO]],Consulta1[[#This Row],[VIRADA]])</f>
        <v>2026055</v>
      </c>
      <c r="W543">
        <f>VLOOKUP(Consulta1[[#This Row],[Coluna2]],CALENDARIO!$J:$K,2,FALSE)</f>
        <v>2</v>
      </c>
    </row>
    <row r="544" spans="1:23" x14ac:dyDescent="0.25">
      <c r="A544" t="s">
        <v>3772</v>
      </c>
      <c r="B544" t="str">
        <f>CONCATENATE(Consulta1[[#This Row],[id]],Consulta1[[#This Row],[EMPREGADOR]])</f>
        <v>9IPREV - SANTOS</v>
      </c>
      <c r="C544" s="6">
        <f>IF(A544=A543,C543+1,1)</f>
        <v>9</v>
      </c>
      <c r="D544" t="s">
        <v>3789</v>
      </c>
      <c r="E544" s="101">
        <v>1.6899999999999998E-2</v>
      </c>
      <c r="F544" s="6">
        <v>96</v>
      </c>
      <c r="G544" t="s">
        <v>1349</v>
      </c>
      <c r="H544" s="82">
        <v>2.5</v>
      </c>
      <c r="I544">
        <v>13</v>
      </c>
      <c r="K544" t="s">
        <v>3790</v>
      </c>
      <c r="L544" s="6" t="s">
        <v>1407</v>
      </c>
      <c r="M544" s="6">
        <v>5</v>
      </c>
      <c r="N544" s="6">
        <v>2</v>
      </c>
      <c r="O544">
        <v>500</v>
      </c>
      <c r="P544">
        <v>202605</v>
      </c>
      <c r="Q544" t="s">
        <v>377</v>
      </c>
      <c r="R544" t="s">
        <v>1353</v>
      </c>
      <c r="S544">
        <f>Consulta1[[#This Row],[min_port]]/100</f>
        <v>1.49E-2</v>
      </c>
      <c r="T544" s="252">
        <f>Consulta1[[#This Row],[TETO_COMERCIAL]]/100</f>
        <v>2.5000000000000001E-2</v>
      </c>
      <c r="U544" t="b">
        <f>Consulta1[[#This Row],[TETO_COMERCIAL_%]]=Consulta1[[#This Row],[TAXA]]</f>
        <v>0</v>
      </c>
      <c r="V544" t="str">
        <f>CONCATENATE(Consulta1[[#This Row],[MES_ALTERACAO]],Consulta1[[#This Row],[VIRADA]])</f>
        <v>2026055</v>
      </c>
      <c r="W544">
        <f>VLOOKUP(Consulta1[[#This Row],[Coluna2]],CALENDARIO!$J:$K,2,FALSE)</f>
        <v>2</v>
      </c>
    </row>
    <row r="545" spans="1:23" x14ac:dyDescent="0.25">
      <c r="A545" t="s">
        <v>3020</v>
      </c>
      <c r="B545" t="str">
        <f>CONCATENATE(Consulta1[[#This Row],[id]],Consulta1[[#This Row],[EMPREGADOR]])</f>
        <v>1IPREV VIAMÃO RS</v>
      </c>
      <c r="C545" s="6">
        <f>IF(A545=A544,C544+1,1)</f>
        <v>1</v>
      </c>
      <c r="D545" t="s">
        <v>837</v>
      </c>
      <c r="E545" s="101">
        <v>1.8500000000000003E-2</v>
      </c>
      <c r="F545" s="6">
        <v>120</v>
      </c>
      <c r="G545" t="s">
        <v>1349</v>
      </c>
      <c r="H545" s="82">
        <v>1.85</v>
      </c>
      <c r="I545">
        <v>12</v>
      </c>
      <c r="J545">
        <v>59</v>
      </c>
      <c r="K545" t="s">
        <v>1518</v>
      </c>
      <c r="L545" s="6" t="s">
        <v>1519</v>
      </c>
      <c r="M545" s="6">
        <v>20</v>
      </c>
      <c r="N545" s="6">
        <v>2</v>
      </c>
      <c r="O545">
        <v>500</v>
      </c>
      <c r="P545">
        <v>202605</v>
      </c>
      <c r="Q545" t="s">
        <v>377</v>
      </c>
      <c r="R545" t="s">
        <v>1350</v>
      </c>
      <c r="S545">
        <f>Consulta1[[#This Row],[min_port]]/100</f>
        <v>1.3500000000000002E-2</v>
      </c>
      <c r="T545" s="252">
        <f>Consulta1[[#This Row],[TETO_COMERCIAL]]/100</f>
        <v>1.8500000000000003E-2</v>
      </c>
      <c r="U545" t="b">
        <f>Consulta1[[#This Row],[TETO_COMERCIAL_%]]=Consulta1[[#This Row],[TAXA]]</f>
        <v>1</v>
      </c>
      <c r="V545" t="str">
        <f>CONCATENATE(Consulta1[[#This Row],[MES_ALTERACAO]],Consulta1[[#This Row],[VIRADA]])</f>
        <v>20260520</v>
      </c>
      <c r="W545">
        <f>VLOOKUP(Consulta1[[#This Row],[Coluna2]],CALENDARIO!$J:$K,2,FALSE)</f>
        <v>13</v>
      </c>
    </row>
    <row r="546" spans="1:23" x14ac:dyDescent="0.25">
      <c r="A546" t="s">
        <v>3020</v>
      </c>
      <c r="B546" t="str">
        <f>CONCATENATE(Consulta1[[#This Row],[id]],Consulta1[[#This Row],[EMPREGADOR]])</f>
        <v>2IPREV VIAMÃO RS</v>
      </c>
      <c r="C546" s="6">
        <f>IF(A546=A545,C545+1,1)</f>
        <v>2</v>
      </c>
      <c r="D546" t="s">
        <v>838</v>
      </c>
      <c r="E546" s="101">
        <v>1.8000000000000002E-2</v>
      </c>
      <c r="F546" s="6">
        <v>120</v>
      </c>
      <c r="G546" t="s">
        <v>1349</v>
      </c>
      <c r="H546" s="82">
        <v>1.85</v>
      </c>
      <c r="I546">
        <v>12</v>
      </c>
      <c r="J546">
        <v>39</v>
      </c>
      <c r="K546" t="s">
        <v>1520</v>
      </c>
      <c r="L546" s="6" t="s">
        <v>1519</v>
      </c>
      <c r="M546" s="6">
        <v>20</v>
      </c>
      <c r="N546" s="6">
        <v>2</v>
      </c>
      <c r="O546">
        <v>500</v>
      </c>
      <c r="P546">
        <v>202605</v>
      </c>
      <c r="Q546" t="s">
        <v>377</v>
      </c>
      <c r="R546" t="s">
        <v>1350</v>
      </c>
      <c r="S546">
        <f>Consulta1[[#This Row],[min_port]]/100</f>
        <v>1.3500000000000002E-2</v>
      </c>
      <c r="T546" s="252">
        <f>Consulta1[[#This Row],[TETO_COMERCIAL]]/100</f>
        <v>1.8500000000000003E-2</v>
      </c>
      <c r="U546" t="b">
        <f>Consulta1[[#This Row],[TETO_COMERCIAL_%]]=Consulta1[[#This Row],[TAXA]]</f>
        <v>0</v>
      </c>
      <c r="V546" t="str">
        <f>CONCATENATE(Consulta1[[#This Row],[MES_ALTERACAO]],Consulta1[[#This Row],[VIRADA]])</f>
        <v>20260520</v>
      </c>
      <c r="W546">
        <f>VLOOKUP(Consulta1[[#This Row],[Coluna2]],CALENDARIO!$J:$K,2,FALSE)</f>
        <v>13</v>
      </c>
    </row>
    <row r="547" spans="1:23" x14ac:dyDescent="0.25">
      <c r="A547" t="s">
        <v>3020</v>
      </c>
      <c r="B547" t="str">
        <f>CONCATENATE(Consulta1[[#This Row],[id]],Consulta1[[#This Row],[EMPREGADOR]])</f>
        <v>3IPREV VIAMÃO RS</v>
      </c>
      <c r="C547" s="6">
        <f>IF(A547=A546,C546+1,1)</f>
        <v>3</v>
      </c>
      <c r="D547" t="s">
        <v>839</v>
      </c>
      <c r="E547" s="101">
        <v>1.7500000000000002E-2</v>
      </c>
      <c r="F547" s="6">
        <v>120</v>
      </c>
      <c r="G547" t="s">
        <v>1349</v>
      </c>
      <c r="H547" s="82">
        <v>1.85</v>
      </c>
      <c r="I547">
        <v>12</v>
      </c>
      <c r="J547">
        <v>44</v>
      </c>
      <c r="K547" t="s">
        <v>1521</v>
      </c>
      <c r="L547" s="6" t="s">
        <v>1519</v>
      </c>
      <c r="M547" s="6">
        <v>20</v>
      </c>
      <c r="N547" s="6">
        <v>2</v>
      </c>
      <c r="O547">
        <v>500</v>
      </c>
      <c r="P547">
        <v>202605</v>
      </c>
      <c r="Q547" t="s">
        <v>377</v>
      </c>
      <c r="R547" t="s">
        <v>1350</v>
      </c>
      <c r="S547">
        <f>Consulta1[[#This Row],[min_port]]/100</f>
        <v>1.3500000000000002E-2</v>
      </c>
      <c r="T547" s="252">
        <f>Consulta1[[#This Row],[TETO_COMERCIAL]]/100</f>
        <v>1.8500000000000003E-2</v>
      </c>
      <c r="U547" t="b">
        <f>Consulta1[[#This Row],[TETO_COMERCIAL_%]]=Consulta1[[#This Row],[TAXA]]</f>
        <v>0</v>
      </c>
      <c r="V547" t="str">
        <f>CONCATENATE(Consulta1[[#This Row],[MES_ALTERACAO]],Consulta1[[#This Row],[VIRADA]])</f>
        <v>20260520</v>
      </c>
      <c r="W547">
        <f>VLOOKUP(Consulta1[[#This Row],[Coluna2]],CALENDARIO!$J:$K,2,FALSE)</f>
        <v>13</v>
      </c>
    </row>
    <row r="548" spans="1:23" x14ac:dyDescent="0.25">
      <c r="A548" t="s">
        <v>3020</v>
      </c>
      <c r="B548" t="str">
        <f>CONCATENATE(Consulta1[[#This Row],[id]],Consulta1[[#This Row],[EMPREGADOR]])</f>
        <v>4IPREV VIAMÃO RS</v>
      </c>
      <c r="C548" s="6">
        <f>IF(A548=A547,C547+1,1)</f>
        <v>4</v>
      </c>
      <c r="D548" t="s">
        <v>840</v>
      </c>
      <c r="E548" s="101">
        <v>1.7100000000000001E-2</v>
      </c>
      <c r="F548" s="6">
        <v>120</v>
      </c>
      <c r="G548" t="s">
        <v>1349</v>
      </c>
      <c r="H548" s="82">
        <v>1.85</v>
      </c>
      <c r="I548">
        <v>12</v>
      </c>
      <c r="J548">
        <v>38</v>
      </c>
      <c r="K548" t="s">
        <v>1522</v>
      </c>
      <c r="L548" s="6" t="s">
        <v>1519</v>
      </c>
      <c r="M548" s="6">
        <v>20</v>
      </c>
      <c r="N548" s="6">
        <v>2</v>
      </c>
      <c r="O548">
        <v>500</v>
      </c>
      <c r="P548">
        <v>202605</v>
      </c>
      <c r="Q548" t="s">
        <v>377</v>
      </c>
      <c r="R548" t="s">
        <v>1350</v>
      </c>
      <c r="S548">
        <f>Consulta1[[#This Row],[min_port]]/100</f>
        <v>1.3500000000000002E-2</v>
      </c>
      <c r="T548" s="252">
        <f>Consulta1[[#This Row],[TETO_COMERCIAL]]/100</f>
        <v>1.8500000000000003E-2</v>
      </c>
      <c r="U548" t="b">
        <f>Consulta1[[#This Row],[TETO_COMERCIAL_%]]=Consulta1[[#This Row],[TAXA]]</f>
        <v>0</v>
      </c>
      <c r="V548" t="str">
        <f>CONCATENATE(Consulta1[[#This Row],[MES_ALTERACAO]],Consulta1[[#This Row],[VIRADA]])</f>
        <v>20260520</v>
      </c>
      <c r="W548">
        <f>VLOOKUP(Consulta1[[#This Row],[Coluna2]],CALENDARIO!$J:$K,2,FALSE)</f>
        <v>13</v>
      </c>
    </row>
    <row r="549" spans="1:23" x14ac:dyDescent="0.25">
      <c r="A549" t="s">
        <v>542</v>
      </c>
      <c r="B549" t="str">
        <f>CONCATENATE(Consulta1[[#This Row],[id]],Consulta1[[#This Row],[EMPREGADOR]])</f>
        <v>1IPSA STO ANDRE</v>
      </c>
      <c r="C549" s="6">
        <f>IF(A549=A548,C548+1,1)</f>
        <v>1</v>
      </c>
      <c r="D549" t="s">
        <v>543</v>
      </c>
      <c r="E549" s="101">
        <v>2.5000000000000001E-2</v>
      </c>
      <c r="F549" s="6">
        <v>96</v>
      </c>
      <c r="G549" t="s">
        <v>1349</v>
      </c>
      <c r="H549" s="82">
        <v>2.5</v>
      </c>
      <c r="I549">
        <v>22</v>
      </c>
      <c r="J549">
        <v>57</v>
      </c>
      <c r="K549" t="s">
        <v>1523</v>
      </c>
      <c r="L549" s="6" t="s">
        <v>1441</v>
      </c>
      <c r="M549" s="6">
        <v>10</v>
      </c>
      <c r="N549" s="6">
        <v>2</v>
      </c>
      <c r="O549">
        <v>500</v>
      </c>
      <c r="P549">
        <v>202605</v>
      </c>
      <c r="Q549" t="s">
        <v>377</v>
      </c>
      <c r="R549" t="s">
        <v>1353</v>
      </c>
      <c r="S549">
        <f>Consulta1[[#This Row],[min_port]]/100</f>
        <v>1.5300000000000001E-2</v>
      </c>
      <c r="T549" s="252">
        <f>Consulta1[[#This Row],[TETO_COMERCIAL]]/100</f>
        <v>2.5000000000000001E-2</v>
      </c>
      <c r="U549" t="b">
        <f>Consulta1[[#This Row],[TETO_COMERCIAL_%]]=Consulta1[[#This Row],[TAXA]]</f>
        <v>1</v>
      </c>
      <c r="V549" t="str">
        <f>CONCATENATE(Consulta1[[#This Row],[MES_ALTERACAO]],Consulta1[[#This Row],[VIRADA]])</f>
        <v>20260510</v>
      </c>
      <c r="W549">
        <f>VLOOKUP(Consulta1[[#This Row],[Coluna2]],CALENDARIO!$J:$K,2,FALSE)</f>
        <v>5</v>
      </c>
    </row>
    <row r="550" spans="1:23" x14ac:dyDescent="0.25">
      <c r="A550" t="s">
        <v>542</v>
      </c>
      <c r="B550" t="str">
        <f>CONCATENATE(Consulta1[[#This Row],[id]],Consulta1[[#This Row],[EMPREGADOR]])</f>
        <v>2IPSA STO ANDRE</v>
      </c>
      <c r="C550" s="6">
        <f>IF(A550=A549,C549+1,1)</f>
        <v>2</v>
      </c>
      <c r="D550" t="s">
        <v>544</v>
      </c>
      <c r="E550" s="101">
        <v>2.3900000000000001E-2</v>
      </c>
      <c r="F550" s="6">
        <v>96</v>
      </c>
      <c r="G550" t="s">
        <v>1349</v>
      </c>
      <c r="H550" s="82">
        <v>2.5</v>
      </c>
      <c r="I550">
        <v>22</v>
      </c>
      <c r="J550">
        <v>57</v>
      </c>
      <c r="K550" t="s">
        <v>1524</v>
      </c>
      <c r="L550" s="6" t="s">
        <v>1441</v>
      </c>
      <c r="M550" s="6">
        <v>10</v>
      </c>
      <c r="N550" s="6">
        <v>2</v>
      </c>
      <c r="O550">
        <v>500</v>
      </c>
      <c r="P550">
        <v>202605</v>
      </c>
      <c r="Q550" t="s">
        <v>377</v>
      </c>
      <c r="R550" t="s">
        <v>1353</v>
      </c>
      <c r="S550">
        <f>Consulta1[[#This Row],[min_port]]/100</f>
        <v>1.5300000000000001E-2</v>
      </c>
      <c r="T550" s="252">
        <f>Consulta1[[#This Row],[TETO_COMERCIAL]]/100</f>
        <v>2.5000000000000001E-2</v>
      </c>
      <c r="U550" t="b">
        <f>Consulta1[[#This Row],[TETO_COMERCIAL_%]]=Consulta1[[#This Row],[TAXA]]</f>
        <v>0</v>
      </c>
      <c r="V550" t="str">
        <f>CONCATENATE(Consulta1[[#This Row],[MES_ALTERACAO]],Consulta1[[#This Row],[VIRADA]])</f>
        <v>20260510</v>
      </c>
      <c r="W550">
        <f>VLOOKUP(Consulta1[[#This Row],[Coluna2]],CALENDARIO!$J:$K,2,FALSE)</f>
        <v>5</v>
      </c>
    </row>
    <row r="551" spans="1:23" x14ac:dyDescent="0.25">
      <c r="A551" t="s">
        <v>542</v>
      </c>
      <c r="B551" t="str">
        <f>CONCATENATE(Consulta1[[#This Row],[id]],Consulta1[[#This Row],[EMPREGADOR]])</f>
        <v>3IPSA STO ANDRE</v>
      </c>
      <c r="C551" s="6">
        <f>IF(A551=A550,C550+1,1)</f>
        <v>3</v>
      </c>
      <c r="D551" t="s">
        <v>545</v>
      </c>
      <c r="E551" s="101">
        <v>2.29E-2</v>
      </c>
      <c r="F551" s="6">
        <v>96</v>
      </c>
      <c r="G551" t="s">
        <v>1349</v>
      </c>
      <c r="H551" s="82">
        <v>2.5</v>
      </c>
      <c r="I551">
        <v>22</v>
      </c>
      <c r="J551">
        <v>57</v>
      </c>
      <c r="K551" t="s">
        <v>1525</v>
      </c>
      <c r="L551" s="6" t="s">
        <v>1441</v>
      </c>
      <c r="M551" s="6">
        <v>10</v>
      </c>
      <c r="N551" s="6">
        <v>2</v>
      </c>
      <c r="O551">
        <v>500</v>
      </c>
      <c r="P551">
        <v>202605</v>
      </c>
      <c r="Q551" t="s">
        <v>377</v>
      </c>
      <c r="R551" t="s">
        <v>1353</v>
      </c>
      <c r="S551">
        <f>Consulta1[[#This Row],[min_port]]/100</f>
        <v>1.5300000000000001E-2</v>
      </c>
      <c r="T551" s="252">
        <f>Consulta1[[#This Row],[TETO_COMERCIAL]]/100</f>
        <v>2.5000000000000001E-2</v>
      </c>
      <c r="U551" t="b">
        <f>Consulta1[[#This Row],[TETO_COMERCIAL_%]]=Consulta1[[#This Row],[TAXA]]</f>
        <v>0</v>
      </c>
      <c r="V551" t="str">
        <f>CONCATENATE(Consulta1[[#This Row],[MES_ALTERACAO]],Consulta1[[#This Row],[VIRADA]])</f>
        <v>20260510</v>
      </c>
      <c r="W551">
        <f>VLOOKUP(Consulta1[[#This Row],[Coluna2]],CALENDARIO!$J:$K,2,FALSE)</f>
        <v>5</v>
      </c>
    </row>
    <row r="552" spans="1:23" x14ac:dyDescent="0.25">
      <c r="A552" t="s">
        <v>542</v>
      </c>
      <c r="B552" t="str">
        <f>CONCATENATE(Consulta1[[#This Row],[id]],Consulta1[[#This Row],[EMPREGADOR]])</f>
        <v>4IPSA STO ANDRE</v>
      </c>
      <c r="C552" s="6">
        <f>IF(A552=A551,C551+1,1)</f>
        <v>4</v>
      </c>
      <c r="D552" t="s">
        <v>546</v>
      </c>
      <c r="E552" s="101">
        <v>2.1899999999999999E-2</v>
      </c>
      <c r="F552" s="6">
        <v>96</v>
      </c>
      <c r="G552" t="s">
        <v>1349</v>
      </c>
      <c r="H552" s="82">
        <v>2.5</v>
      </c>
      <c r="I552">
        <v>22</v>
      </c>
      <c r="J552">
        <v>57</v>
      </c>
      <c r="K552" t="s">
        <v>1526</v>
      </c>
      <c r="L552" s="6" t="s">
        <v>1441</v>
      </c>
      <c r="M552" s="6">
        <v>10</v>
      </c>
      <c r="N552" s="6">
        <v>2</v>
      </c>
      <c r="O552">
        <v>500</v>
      </c>
      <c r="P552">
        <v>202605</v>
      </c>
      <c r="Q552" t="s">
        <v>377</v>
      </c>
      <c r="R552" t="s">
        <v>1353</v>
      </c>
      <c r="S552">
        <f>Consulta1[[#This Row],[min_port]]/100</f>
        <v>1.5300000000000001E-2</v>
      </c>
      <c r="T552" s="252">
        <f>Consulta1[[#This Row],[TETO_COMERCIAL]]/100</f>
        <v>2.5000000000000001E-2</v>
      </c>
      <c r="U552" t="b">
        <f>Consulta1[[#This Row],[TETO_COMERCIAL_%]]=Consulta1[[#This Row],[TAXA]]</f>
        <v>0</v>
      </c>
      <c r="V552" t="str">
        <f>CONCATENATE(Consulta1[[#This Row],[MES_ALTERACAO]],Consulta1[[#This Row],[VIRADA]])</f>
        <v>20260510</v>
      </c>
      <c r="W552">
        <f>VLOOKUP(Consulta1[[#This Row],[Coluna2]],CALENDARIO!$J:$K,2,FALSE)</f>
        <v>5</v>
      </c>
    </row>
    <row r="553" spans="1:23" x14ac:dyDescent="0.25">
      <c r="A553" t="s">
        <v>542</v>
      </c>
      <c r="B553" t="str">
        <f>CONCATENATE(Consulta1[[#This Row],[id]],Consulta1[[#This Row],[EMPREGADOR]])</f>
        <v>5IPSA STO ANDRE</v>
      </c>
      <c r="C553" s="6">
        <f>IF(A553=A552,C552+1,1)</f>
        <v>5</v>
      </c>
      <c r="D553" t="s">
        <v>547</v>
      </c>
      <c r="E553" s="101">
        <v>2.1000000000000001E-2</v>
      </c>
      <c r="F553" s="6">
        <v>96</v>
      </c>
      <c r="G553" t="s">
        <v>1349</v>
      </c>
      <c r="H553" s="82">
        <v>2.5</v>
      </c>
      <c r="I553">
        <v>22</v>
      </c>
      <c r="J553">
        <v>57</v>
      </c>
      <c r="K553" t="s">
        <v>1527</v>
      </c>
      <c r="L553" s="6" t="s">
        <v>1441</v>
      </c>
      <c r="M553" s="6">
        <v>10</v>
      </c>
      <c r="N553" s="6">
        <v>2</v>
      </c>
      <c r="O553">
        <v>500</v>
      </c>
      <c r="P553">
        <v>202605</v>
      </c>
      <c r="Q553" t="s">
        <v>377</v>
      </c>
      <c r="R553" t="s">
        <v>1353</v>
      </c>
      <c r="S553">
        <f>Consulta1[[#This Row],[min_port]]/100</f>
        <v>1.5300000000000001E-2</v>
      </c>
      <c r="T553" s="252">
        <f>Consulta1[[#This Row],[TETO_COMERCIAL]]/100</f>
        <v>2.5000000000000001E-2</v>
      </c>
      <c r="U553" t="b">
        <f>Consulta1[[#This Row],[TETO_COMERCIAL_%]]=Consulta1[[#This Row],[TAXA]]</f>
        <v>0</v>
      </c>
      <c r="V553" t="str">
        <f>CONCATENATE(Consulta1[[#This Row],[MES_ALTERACAO]],Consulta1[[#This Row],[VIRADA]])</f>
        <v>20260510</v>
      </c>
      <c r="W553">
        <f>VLOOKUP(Consulta1[[#This Row],[Coluna2]],CALENDARIO!$J:$K,2,FALSE)</f>
        <v>5</v>
      </c>
    </row>
    <row r="554" spans="1:23" x14ac:dyDescent="0.25">
      <c r="A554" t="s">
        <v>3124</v>
      </c>
      <c r="B554" t="str">
        <f>CONCATENATE(Consulta1[[#This Row],[id]],Consulta1[[#This Row],[EMPREGADOR]])</f>
        <v>1IPSERV UBERABA</v>
      </c>
      <c r="C554" s="6">
        <f>IF(A554=A553,C553+1,1)</f>
        <v>1</v>
      </c>
      <c r="D554" t="s">
        <v>3125</v>
      </c>
      <c r="E554" s="101">
        <v>2.2000000000000002E-2</v>
      </c>
      <c r="F554" s="6">
        <v>120</v>
      </c>
      <c r="G554" t="s">
        <v>1349</v>
      </c>
      <c r="H554" s="82">
        <v>2.35</v>
      </c>
      <c r="I554">
        <v>28</v>
      </c>
      <c r="J554">
        <v>52</v>
      </c>
      <c r="K554" t="s">
        <v>3126</v>
      </c>
      <c r="L554" s="6" t="s">
        <v>1374</v>
      </c>
      <c r="M554" s="6">
        <v>10</v>
      </c>
      <c r="N554" s="6">
        <v>2</v>
      </c>
      <c r="O554">
        <v>500</v>
      </c>
      <c r="P554">
        <v>202605</v>
      </c>
      <c r="Q554" t="s">
        <v>377</v>
      </c>
      <c r="R554" t="s">
        <v>1353</v>
      </c>
      <c r="S554">
        <f>Consulta1[[#This Row],[min_port]]/100</f>
        <v>1.4999999999999999E-2</v>
      </c>
      <c r="T554" s="252">
        <f>Consulta1[[#This Row],[TETO_COMERCIAL]]/100</f>
        <v>2.35E-2</v>
      </c>
      <c r="U554" t="b">
        <f>Consulta1[[#This Row],[TETO_COMERCIAL_%]]=Consulta1[[#This Row],[TAXA]]</f>
        <v>0</v>
      </c>
      <c r="V554" t="str">
        <f>CONCATENATE(Consulta1[[#This Row],[MES_ALTERACAO]],Consulta1[[#This Row],[VIRADA]])</f>
        <v>20260510</v>
      </c>
      <c r="W554">
        <f>VLOOKUP(Consulta1[[#This Row],[Coluna2]],CALENDARIO!$J:$K,2,FALSE)</f>
        <v>5</v>
      </c>
    </row>
    <row r="555" spans="1:23" x14ac:dyDescent="0.25">
      <c r="A555" t="s">
        <v>3124</v>
      </c>
      <c r="B555" t="str">
        <f>CONCATENATE(Consulta1[[#This Row],[id]],Consulta1[[#This Row],[EMPREGADOR]])</f>
        <v>2IPSERV UBERABA</v>
      </c>
      <c r="C555" s="6">
        <f>IF(A555=A554,C554+1,1)</f>
        <v>2</v>
      </c>
      <c r="D555" t="s">
        <v>3127</v>
      </c>
      <c r="E555" s="101">
        <v>2.1000000000000001E-2</v>
      </c>
      <c r="F555" s="6">
        <v>120</v>
      </c>
      <c r="G555" t="s">
        <v>1349</v>
      </c>
      <c r="H555" s="82">
        <v>2.35</v>
      </c>
      <c r="I555">
        <v>28</v>
      </c>
      <c r="J555">
        <v>52</v>
      </c>
      <c r="K555" t="s">
        <v>3128</v>
      </c>
      <c r="L555" s="6" t="s">
        <v>1374</v>
      </c>
      <c r="M555" s="6">
        <v>10</v>
      </c>
      <c r="N555" s="6">
        <v>2</v>
      </c>
      <c r="O555">
        <v>500</v>
      </c>
      <c r="P555">
        <v>202605</v>
      </c>
      <c r="Q555" t="s">
        <v>377</v>
      </c>
      <c r="R555" t="s">
        <v>1353</v>
      </c>
      <c r="S555">
        <f>Consulta1[[#This Row],[min_port]]/100</f>
        <v>1.4999999999999999E-2</v>
      </c>
      <c r="T555" s="252">
        <f>Consulta1[[#This Row],[TETO_COMERCIAL]]/100</f>
        <v>2.35E-2</v>
      </c>
      <c r="U555" t="b">
        <f>Consulta1[[#This Row],[TETO_COMERCIAL_%]]=Consulta1[[#This Row],[TAXA]]</f>
        <v>0</v>
      </c>
      <c r="V555" t="str">
        <f>CONCATENATE(Consulta1[[#This Row],[MES_ALTERACAO]],Consulta1[[#This Row],[VIRADA]])</f>
        <v>20260510</v>
      </c>
      <c r="W555">
        <f>VLOOKUP(Consulta1[[#This Row],[Coluna2]],CALENDARIO!$J:$K,2,FALSE)</f>
        <v>5</v>
      </c>
    </row>
    <row r="556" spans="1:23" x14ac:dyDescent="0.25">
      <c r="A556" t="s">
        <v>3124</v>
      </c>
      <c r="B556" t="str">
        <f>CONCATENATE(Consulta1[[#This Row],[id]],Consulta1[[#This Row],[EMPREGADOR]])</f>
        <v>3IPSERV UBERABA</v>
      </c>
      <c r="C556" s="6">
        <f>IF(A556=A555,C555+1,1)</f>
        <v>3</v>
      </c>
      <c r="D556" t="s">
        <v>3129</v>
      </c>
      <c r="E556" s="101">
        <v>0.02</v>
      </c>
      <c r="F556" s="6">
        <v>120</v>
      </c>
      <c r="G556" t="s">
        <v>1349</v>
      </c>
      <c r="H556" s="82">
        <v>2.35</v>
      </c>
      <c r="I556">
        <v>28</v>
      </c>
      <c r="J556">
        <v>52</v>
      </c>
      <c r="K556" t="s">
        <v>3130</v>
      </c>
      <c r="L556" s="6" t="s">
        <v>1374</v>
      </c>
      <c r="M556" s="6">
        <v>10</v>
      </c>
      <c r="N556" s="6">
        <v>2</v>
      </c>
      <c r="O556">
        <v>500</v>
      </c>
      <c r="P556">
        <v>202605</v>
      </c>
      <c r="Q556" t="s">
        <v>377</v>
      </c>
      <c r="R556" t="s">
        <v>1353</v>
      </c>
      <c r="S556">
        <f>Consulta1[[#This Row],[min_port]]/100</f>
        <v>1.4999999999999999E-2</v>
      </c>
      <c r="T556" s="252">
        <f>Consulta1[[#This Row],[TETO_COMERCIAL]]/100</f>
        <v>2.35E-2</v>
      </c>
      <c r="U556" t="b">
        <f>Consulta1[[#This Row],[TETO_COMERCIAL_%]]=Consulta1[[#This Row],[TAXA]]</f>
        <v>0</v>
      </c>
      <c r="V556" t="str">
        <f>CONCATENATE(Consulta1[[#This Row],[MES_ALTERACAO]],Consulta1[[#This Row],[VIRADA]])</f>
        <v>20260510</v>
      </c>
      <c r="W556">
        <f>VLOOKUP(Consulta1[[#This Row],[Coluna2]],CALENDARIO!$J:$K,2,FALSE)</f>
        <v>5</v>
      </c>
    </row>
    <row r="557" spans="1:23" x14ac:dyDescent="0.25">
      <c r="A557" t="s">
        <v>3021</v>
      </c>
      <c r="B557" t="str">
        <f>CONCATENATE(Consulta1[[#This Row],[id]],Consulta1[[#This Row],[EMPREGADOR]])</f>
        <v>1ISSA ANAPOLIS</v>
      </c>
      <c r="C557" s="6">
        <f>IF(A557=A556,C556+1,1)</f>
        <v>1</v>
      </c>
      <c r="D557" t="s">
        <v>1546</v>
      </c>
      <c r="E557" s="101">
        <v>0.02</v>
      </c>
      <c r="F557" s="6">
        <v>96</v>
      </c>
      <c r="G557" t="s">
        <v>1349</v>
      </c>
      <c r="H557" s="82">
        <v>2.4</v>
      </c>
      <c r="I557">
        <v>20</v>
      </c>
      <c r="K557" t="s">
        <v>1547</v>
      </c>
      <c r="L557" s="6" t="s">
        <v>1519</v>
      </c>
      <c r="M557" s="6">
        <v>10</v>
      </c>
      <c r="N557" s="6">
        <v>2</v>
      </c>
      <c r="O557">
        <v>500</v>
      </c>
      <c r="P557">
        <v>202605</v>
      </c>
      <c r="Q557" t="s">
        <v>377</v>
      </c>
      <c r="R557" t="s">
        <v>1353</v>
      </c>
      <c r="S557">
        <f>Consulta1[[#This Row],[min_port]]/100</f>
        <v>1.3500000000000002E-2</v>
      </c>
      <c r="T557" s="252">
        <f>Consulta1[[#This Row],[TETO_COMERCIAL]]/100</f>
        <v>2.4E-2</v>
      </c>
      <c r="U557" t="b">
        <f>Consulta1[[#This Row],[TETO_COMERCIAL_%]]=Consulta1[[#This Row],[TAXA]]</f>
        <v>0</v>
      </c>
      <c r="V557" t="str">
        <f>CONCATENATE(Consulta1[[#This Row],[MES_ALTERACAO]],Consulta1[[#This Row],[VIRADA]])</f>
        <v>20260510</v>
      </c>
      <c r="W557">
        <f>VLOOKUP(Consulta1[[#This Row],[Coluna2]],CALENDARIO!$J:$K,2,FALSE)</f>
        <v>5</v>
      </c>
    </row>
    <row r="558" spans="1:23" x14ac:dyDescent="0.25">
      <c r="A558" t="s">
        <v>3021</v>
      </c>
      <c r="B558" t="str">
        <f>CONCATENATE(Consulta1[[#This Row],[id]],Consulta1[[#This Row],[EMPREGADOR]])</f>
        <v>2ISSA ANAPOLIS</v>
      </c>
      <c r="C558" s="6">
        <f>IF(A558=A557,C557+1,1)</f>
        <v>2</v>
      </c>
      <c r="D558" t="s">
        <v>348</v>
      </c>
      <c r="E558" s="101">
        <v>1.9E-2</v>
      </c>
      <c r="F558" s="6">
        <v>96</v>
      </c>
      <c r="G558" t="s">
        <v>1349</v>
      </c>
      <c r="H558" s="82">
        <v>2.4</v>
      </c>
      <c r="I558">
        <v>20</v>
      </c>
      <c r="K558" t="s">
        <v>1548</v>
      </c>
      <c r="L558" s="6" t="s">
        <v>1519</v>
      </c>
      <c r="M558" s="6">
        <v>10</v>
      </c>
      <c r="N558" s="6">
        <v>2</v>
      </c>
      <c r="O558">
        <v>500</v>
      </c>
      <c r="P558">
        <v>202605</v>
      </c>
      <c r="Q558" t="s">
        <v>377</v>
      </c>
      <c r="R558" t="s">
        <v>1353</v>
      </c>
      <c r="S558">
        <f>Consulta1[[#This Row],[min_port]]/100</f>
        <v>1.3500000000000002E-2</v>
      </c>
      <c r="T558" s="252">
        <f>Consulta1[[#This Row],[TETO_COMERCIAL]]/100</f>
        <v>2.4E-2</v>
      </c>
      <c r="U558" t="b">
        <f>Consulta1[[#This Row],[TETO_COMERCIAL_%]]=Consulta1[[#This Row],[TAXA]]</f>
        <v>0</v>
      </c>
      <c r="V558" t="str">
        <f>CONCATENATE(Consulta1[[#This Row],[MES_ALTERACAO]],Consulta1[[#This Row],[VIRADA]])</f>
        <v>20260510</v>
      </c>
      <c r="W558">
        <f>VLOOKUP(Consulta1[[#This Row],[Coluna2]],CALENDARIO!$J:$K,2,FALSE)</f>
        <v>5</v>
      </c>
    </row>
    <row r="559" spans="1:23" x14ac:dyDescent="0.25">
      <c r="A559" t="s">
        <v>3021</v>
      </c>
      <c r="B559" t="str">
        <f>CONCATENATE(Consulta1[[#This Row],[id]],Consulta1[[#This Row],[EMPREGADOR]])</f>
        <v>3ISSA ANAPOLIS</v>
      </c>
      <c r="C559" s="6">
        <f>IF(A559=A558,C558+1,1)</f>
        <v>3</v>
      </c>
      <c r="D559" t="s">
        <v>349</v>
      </c>
      <c r="E559" s="101">
        <v>1.8500000000000003E-2</v>
      </c>
      <c r="F559" s="6">
        <v>96</v>
      </c>
      <c r="G559" t="s">
        <v>1349</v>
      </c>
      <c r="H559" s="82">
        <v>2.4</v>
      </c>
      <c r="I559">
        <v>20</v>
      </c>
      <c r="K559" t="s">
        <v>1549</v>
      </c>
      <c r="L559" s="6" t="s">
        <v>1519</v>
      </c>
      <c r="M559" s="6">
        <v>10</v>
      </c>
      <c r="N559" s="6">
        <v>2</v>
      </c>
      <c r="O559">
        <v>500</v>
      </c>
      <c r="P559">
        <v>202605</v>
      </c>
      <c r="Q559" t="s">
        <v>377</v>
      </c>
      <c r="R559" t="s">
        <v>1353</v>
      </c>
      <c r="S559">
        <f>Consulta1[[#This Row],[min_port]]/100</f>
        <v>1.3500000000000002E-2</v>
      </c>
      <c r="T559" s="252">
        <f>Consulta1[[#This Row],[TETO_COMERCIAL]]/100</f>
        <v>2.4E-2</v>
      </c>
      <c r="U559" t="b">
        <f>Consulta1[[#This Row],[TETO_COMERCIAL_%]]=Consulta1[[#This Row],[TAXA]]</f>
        <v>0</v>
      </c>
      <c r="V559" t="str">
        <f>CONCATENATE(Consulta1[[#This Row],[MES_ALTERACAO]],Consulta1[[#This Row],[VIRADA]])</f>
        <v>20260510</v>
      </c>
      <c r="W559">
        <f>VLOOKUP(Consulta1[[#This Row],[Coluna2]],CALENDARIO!$J:$K,2,FALSE)</f>
        <v>5</v>
      </c>
    </row>
    <row r="560" spans="1:23" x14ac:dyDescent="0.25">
      <c r="A560" t="s">
        <v>236</v>
      </c>
      <c r="B560" t="str">
        <f>CONCATENATE(Consulta1[[#This Row],[id]],Consulta1[[#This Row],[EMPREGADOR]])</f>
        <v>1ISSM CAMAÇARI</v>
      </c>
      <c r="C560" s="6">
        <f>IF(A560=A559,C559+1,1)</f>
        <v>1</v>
      </c>
      <c r="D560" t="s">
        <v>656</v>
      </c>
      <c r="E560" s="101">
        <v>2.5000000000000001E-2</v>
      </c>
      <c r="F560" s="6">
        <v>120</v>
      </c>
      <c r="G560" t="s">
        <v>1349</v>
      </c>
      <c r="H560" s="82">
        <v>2.5</v>
      </c>
      <c r="I560">
        <v>10</v>
      </c>
      <c r="K560" t="s">
        <v>1550</v>
      </c>
      <c r="L560" s="6" t="s">
        <v>1372</v>
      </c>
      <c r="M560" s="6">
        <v>10</v>
      </c>
      <c r="N560" s="6">
        <v>2</v>
      </c>
      <c r="O560">
        <v>500</v>
      </c>
      <c r="P560">
        <v>202605</v>
      </c>
      <c r="Q560" t="s">
        <v>377</v>
      </c>
      <c r="R560" t="s">
        <v>1353</v>
      </c>
      <c r="S560">
        <f>Consulta1[[#This Row],[min_port]]/100</f>
        <v>1.6E-2</v>
      </c>
      <c r="T560" s="252">
        <f>Consulta1[[#This Row],[TETO_COMERCIAL]]/100</f>
        <v>2.5000000000000001E-2</v>
      </c>
      <c r="U560" t="b">
        <f>Consulta1[[#This Row],[TETO_COMERCIAL_%]]=Consulta1[[#This Row],[TAXA]]</f>
        <v>1</v>
      </c>
      <c r="V560" t="str">
        <f>CONCATENATE(Consulta1[[#This Row],[MES_ALTERACAO]],Consulta1[[#This Row],[VIRADA]])</f>
        <v>20260510</v>
      </c>
      <c r="W560">
        <f>VLOOKUP(Consulta1[[#This Row],[Coluna2]],CALENDARIO!$J:$K,2,FALSE)</f>
        <v>5</v>
      </c>
    </row>
    <row r="561" spans="1:23" x14ac:dyDescent="0.25">
      <c r="A561" t="s">
        <v>236</v>
      </c>
      <c r="B561" t="str">
        <f>CONCATENATE(Consulta1[[#This Row],[id]],Consulta1[[#This Row],[EMPREGADOR]])</f>
        <v>2ISSM CAMAÇARI</v>
      </c>
      <c r="C561" s="6">
        <f>IF(A561=A560,C560+1,1)</f>
        <v>2</v>
      </c>
      <c r="D561" t="s">
        <v>657</v>
      </c>
      <c r="E561" s="101">
        <v>2.4E-2</v>
      </c>
      <c r="F561" s="6">
        <v>120</v>
      </c>
      <c r="G561" t="s">
        <v>1349</v>
      </c>
      <c r="H561" s="82">
        <v>2.5</v>
      </c>
      <c r="I561">
        <v>10</v>
      </c>
      <c r="J561">
        <v>41</v>
      </c>
      <c r="K561" t="s">
        <v>1551</v>
      </c>
      <c r="L561" s="6" t="s">
        <v>1372</v>
      </c>
      <c r="M561" s="6">
        <v>10</v>
      </c>
      <c r="N561" s="6">
        <v>2</v>
      </c>
      <c r="O561">
        <v>500</v>
      </c>
      <c r="P561">
        <v>202605</v>
      </c>
      <c r="Q561" t="s">
        <v>377</v>
      </c>
      <c r="R561" t="s">
        <v>1353</v>
      </c>
      <c r="S561">
        <f>Consulta1[[#This Row],[min_port]]/100</f>
        <v>1.6E-2</v>
      </c>
      <c r="T561" s="252">
        <f>Consulta1[[#This Row],[TETO_COMERCIAL]]/100</f>
        <v>2.5000000000000001E-2</v>
      </c>
      <c r="U561" t="b">
        <f>Consulta1[[#This Row],[TETO_COMERCIAL_%]]=Consulta1[[#This Row],[TAXA]]</f>
        <v>0</v>
      </c>
      <c r="V561" t="str">
        <f>CONCATENATE(Consulta1[[#This Row],[MES_ALTERACAO]],Consulta1[[#This Row],[VIRADA]])</f>
        <v>20260510</v>
      </c>
      <c r="W561">
        <f>VLOOKUP(Consulta1[[#This Row],[Coluna2]],CALENDARIO!$J:$K,2,FALSE)</f>
        <v>5</v>
      </c>
    </row>
    <row r="562" spans="1:23" x14ac:dyDescent="0.25">
      <c r="A562" t="s">
        <v>236</v>
      </c>
      <c r="B562" t="str">
        <f>CONCATENATE(Consulta1[[#This Row],[id]],Consulta1[[#This Row],[EMPREGADOR]])</f>
        <v>3ISSM CAMAÇARI</v>
      </c>
      <c r="C562" s="6">
        <f>IF(A562=A561,C561+1,1)</f>
        <v>3</v>
      </c>
      <c r="D562" t="s">
        <v>658</v>
      </c>
      <c r="E562" s="101">
        <v>2.35E-2</v>
      </c>
      <c r="F562" s="6">
        <v>120</v>
      </c>
      <c r="G562" t="s">
        <v>1349</v>
      </c>
      <c r="H562" s="82">
        <v>2.5</v>
      </c>
      <c r="I562">
        <v>10</v>
      </c>
      <c r="K562" t="s">
        <v>1552</v>
      </c>
      <c r="L562" s="6" t="s">
        <v>1372</v>
      </c>
      <c r="M562" s="6">
        <v>10</v>
      </c>
      <c r="N562" s="6">
        <v>2</v>
      </c>
      <c r="O562">
        <v>500</v>
      </c>
      <c r="P562">
        <v>202605</v>
      </c>
      <c r="Q562" t="s">
        <v>377</v>
      </c>
      <c r="R562" t="s">
        <v>1353</v>
      </c>
      <c r="S562">
        <f>Consulta1[[#This Row],[min_port]]/100</f>
        <v>1.6E-2</v>
      </c>
      <c r="T562" s="252">
        <f>Consulta1[[#This Row],[TETO_COMERCIAL]]/100</f>
        <v>2.5000000000000001E-2</v>
      </c>
      <c r="U562" t="b">
        <f>Consulta1[[#This Row],[TETO_COMERCIAL_%]]=Consulta1[[#This Row],[TAXA]]</f>
        <v>0</v>
      </c>
      <c r="V562" t="str">
        <f>CONCATENATE(Consulta1[[#This Row],[MES_ALTERACAO]],Consulta1[[#This Row],[VIRADA]])</f>
        <v>20260510</v>
      </c>
      <c r="W562">
        <f>VLOOKUP(Consulta1[[#This Row],[Coluna2]],CALENDARIO!$J:$K,2,FALSE)</f>
        <v>5</v>
      </c>
    </row>
    <row r="563" spans="1:23" x14ac:dyDescent="0.25">
      <c r="A563" t="s">
        <v>236</v>
      </c>
      <c r="B563" t="str">
        <f>CONCATENATE(Consulta1[[#This Row],[id]],Consulta1[[#This Row],[EMPREGADOR]])</f>
        <v>4ISSM CAMAÇARI</v>
      </c>
      <c r="C563" s="6">
        <f>IF(A563=A562,C562+1,1)</f>
        <v>4</v>
      </c>
      <c r="D563" t="s">
        <v>237</v>
      </c>
      <c r="E563" s="101">
        <v>2.3E-2</v>
      </c>
      <c r="F563" s="6">
        <v>120</v>
      </c>
      <c r="G563" t="s">
        <v>1349</v>
      </c>
      <c r="H563" s="82">
        <v>2.5</v>
      </c>
      <c r="I563">
        <v>10</v>
      </c>
      <c r="J563">
        <v>50</v>
      </c>
      <c r="K563" t="s">
        <v>1553</v>
      </c>
      <c r="L563" s="6" t="s">
        <v>1372</v>
      </c>
      <c r="M563" s="6">
        <v>10</v>
      </c>
      <c r="N563" s="6">
        <v>2</v>
      </c>
      <c r="O563">
        <v>500</v>
      </c>
      <c r="P563">
        <v>202605</v>
      </c>
      <c r="Q563" t="s">
        <v>377</v>
      </c>
      <c r="R563" t="s">
        <v>1353</v>
      </c>
      <c r="S563">
        <f>Consulta1[[#This Row],[min_port]]/100</f>
        <v>1.6E-2</v>
      </c>
      <c r="T563" s="252">
        <f>Consulta1[[#This Row],[TETO_COMERCIAL]]/100</f>
        <v>2.5000000000000001E-2</v>
      </c>
      <c r="U563" t="b">
        <f>Consulta1[[#This Row],[TETO_COMERCIAL_%]]=Consulta1[[#This Row],[TAXA]]</f>
        <v>0</v>
      </c>
      <c r="V563" t="str">
        <f>CONCATENATE(Consulta1[[#This Row],[MES_ALTERACAO]],Consulta1[[#This Row],[VIRADA]])</f>
        <v>20260510</v>
      </c>
      <c r="W563">
        <f>VLOOKUP(Consulta1[[#This Row],[Coluna2]],CALENDARIO!$J:$K,2,FALSE)</f>
        <v>5</v>
      </c>
    </row>
    <row r="564" spans="1:23" x14ac:dyDescent="0.25">
      <c r="A564" t="s">
        <v>236</v>
      </c>
      <c r="B564" t="str">
        <f>CONCATENATE(Consulta1[[#This Row],[id]],Consulta1[[#This Row],[EMPREGADOR]])</f>
        <v>5ISSM CAMAÇARI</v>
      </c>
      <c r="C564" s="6">
        <f>IF(A564=A563,C563+1,1)</f>
        <v>5</v>
      </c>
      <c r="D564" t="s">
        <v>659</v>
      </c>
      <c r="E564" s="101">
        <v>2.23E-2</v>
      </c>
      <c r="F564" s="6">
        <v>120</v>
      </c>
      <c r="G564" t="s">
        <v>1349</v>
      </c>
      <c r="H564" s="82">
        <v>2.5</v>
      </c>
      <c r="I564">
        <v>10</v>
      </c>
      <c r="J564">
        <v>51</v>
      </c>
      <c r="K564" t="s">
        <v>1554</v>
      </c>
      <c r="L564" s="6" t="s">
        <v>1372</v>
      </c>
      <c r="M564" s="6">
        <v>10</v>
      </c>
      <c r="N564" s="6">
        <v>2</v>
      </c>
      <c r="O564">
        <v>500</v>
      </c>
      <c r="P564">
        <v>202605</v>
      </c>
      <c r="Q564" t="s">
        <v>377</v>
      </c>
      <c r="R564" t="s">
        <v>1353</v>
      </c>
      <c r="S564">
        <f>Consulta1[[#This Row],[min_port]]/100</f>
        <v>1.6E-2</v>
      </c>
      <c r="T564" s="252">
        <f>Consulta1[[#This Row],[TETO_COMERCIAL]]/100</f>
        <v>2.5000000000000001E-2</v>
      </c>
      <c r="U564" t="b">
        <f>Consulta1[[#This Row],[TETO_COMERCIAL_%]]=Consulta1[[#This Row],[TAXA]]</f>
        <v>0</v>
      </c>
      <c r="V564" t="str">
        <f>CONCATENATE(Consulta1[[#This Row],[MES_ALTERACAO]],Consulta1[[#This Row],[VIRADA]])</f>
        <v>20260510</v>
      </c>
      <c r="W564">
        <f>VLOOKUP(Consulta1[[#This Row],[Coluna2]],CALENDARIO!$J:$K,2,FALSE)</f>
        <v>5</v>
      </c>
    </row>
    <row r="565" spans="1:23" x14ac:dyDescent="0.25">
      <c r="A565" t="s">
        <v>77</v>
      </c>
      <c r="B565" t="str">
        <f>CONCATENATE(Consulta1[[#This Row],[id]],Consulta1[[#This Row],[EMPREGADOR]])</f>
        <v>1MANAUSPREV</v>
      </c>
      <c r="C565" s="6">
        <f>IF(A565=A564,C564+1,1)</f>
        <v>1</v>
      </c>
      <c r="D565" t="s">
        <v>238</v>
      </c>
      <c r="E565" s="101">
        <v>2.5000000000000001E-2</v>
      </c>
      <c r="F565" s="6">
        <v>120</v>
      </c>
      <c r="G565" t="s">
        <v>1349</v>
      </c>
      <c r="H565" s="82">
        <v>2.5</v>
      </c>
      <c r="I565">
        <v>7</v>
      </c>
      <c r="J565">
        <v>68</v>
      </c>
      <c r="K565" t="s">
        <v>1555</v>
      </c>
      <c r="L565" s="6" t="s">
        <v>1409</v>
      </c>
      <c r="M565" s="6">
        <v>30</v>
      </c>
      <c r="N565" s="6">
        <v>2</v>
      </c>
      <c r="O565">
        <v>500</v>
      </c>
      <c r="P565">
        <v>202605</v>
      </c>
      <c r="Q565" t="s">
        <v>377</v>
      </c>
      <c r="R565" t="s">
        <v>1353</v>
      </c>
      <c r="S565">
        <f>Consulta1[[#This Row],[min_port]]/100</f>
        <v>1.55E-2</v>
      </c>
      <c r="T565" s="252">
        <f>Consulta1[[#This Row],[TETO_COMERCIAL]]/100</f>
        <v>2.5000000000000001E-2</v>
      </c>
      <c r="U565" t="b">
        <f>Consulta1[[#This Row],[TETO_COMERCIAL_%]]=Consulta1[[#This Row],[TAXA]]</f>
        <v>1</v>
      </c>
      <c r="V565" t="str">
        <f>CONCATENATE(Consulta1[[#This Row],[MES_ALTERACAO]],Consulta1[[#This Row],[VIRADA]])</f>
        <v>20260530</v>
      </c>
      <c r="W565">
        <f>VLOOKUP(Consulta1[[#This Row],[Coluna2]],CALENDARIO!$J:$K,2,FALSE)</f>
        <v>20</v>
      </c>
    </row>
    <row r="566" spans="1:23" x14ac:dyDescent="0.25">
      <c r="A566" t="s">
        <v>77</v>
      </c>
      <c r="B566" t="str">
        <f>CONCATENATE(Consulta1[[#This Row],[id]],Consulta1[[#This Row],[EMPREGADOR]])</f>
        <v>2MANAUSPREV</v>
      </c>
      <c r="C566" s="6">
        <f>IF(A566=A565,C565+1,1)</f>
        <v>2</v>
      </c>
      <c r="D566" t="s">
        <v>239</v>
      </c>
      <c r="E566" s="101">
        <v>2.4E-2</v>
      </c>
      <c r="F566" s="6">
        <v>120</v>
      </c>
      <c r="G566" t="s">
        <v>1349</v>
      </c>
      <c r="H566" s="82">
        <v>2.5</v>
      </c>
      <c r="I566">
        <v>7</v>
      </c>
      <c r="J566">
        <v>68</v>
      </c>
      <c r="K566" t="s">
        <v>1556</v>
      </c>
      <c r="L566" s="6" t="s">
        <v>1409</v>
      </c>
      <c r="M566" s="6">
        <v>30</v>
      </c>
      <c r="N566" s="6">
        <v>2</v>
      </c>
      <c r="O566">
        <v>500</v>
      </c>
      <c r="P566">
        <v>202605</v>
      </c>
      <c r="Q566" t="s">
        <v>377</v>
      </c>
      <c r="R566" t="s">
        <v>1353</v>
      </c>
      <c r="S566">
        <f>Consulta1[[#This Row],[min_port]]/100</f>
        <v>1.55E-2</v>
      </c>
      <c r="T566" s="252">
        <f>Consulta1[[#This Row],[TETO_COMERCIAL]]/100</f>
        <v>2.5000000000000001E-2</v>
      </c>
      <c r="U566" t="b">
        <f>Consulta1[[#This Row],[TETO_COMERCIAL_%]]=Consulta1[[#This Row],[TAXA]]</f>
        <v>0</v>
      </c>
      <c r="V566" t="str">
        <f>CONCATENATE(Consulta1[[#This Row],[MES_ALTERACAO]],Consulta1[[#This Row],[VIRADA]])</f>
        <v>20260530</v>
      </c>
      <c r="W566">
        <f>VLOOKUP(Consulta1[[#This Row],[Coluna2]],CALENDARIO!$J:$K,2,FALSE)</f>
        <v>20</v>
      </c>
    </row>
    <row r="567" spans="1:23" x14ac:dyDescent="0.25">
      <c r="A567" t="s">
        <v>77</v>
      </c>
      <c r="B567" t="str">
        <f>CONCATENATE(Consulta1[[#This Row],[id]],Consulta1[[#This Row],[EMPREGADOR]])</f>
        <v>3MANAUSPREV</v>
      </c>
      <c r="C567" s="6">
        <f>IF(A567=A566,C566+1,1)</f>
        <v>3</v>
      </c>
      <c r="D567" t="s">
        <v>711</v>
      </c>
      <c r="E567" s="101">
        <v>2.3E-2</v>
      </c>
      <c r="F567" s="6">
        <v>120</v>
      </c>
      <c r="G567" t="s">
        <v>1349</v>
      </c>
      <c r="H567" s="82">
        <v>2.5</v>
      </c>
      <c r="I567">
        <v>7</v>
      </c>
      <c r="J567">
        <v>69</v>
      </c>
      <c r="K567" t="s">
        <v>1557</v>
      </c>
      <c r="L567" s="6" t="s">
        <v>1409</v>
      </c>
      <c r="M567" s="6">
        <v>30</v>
      </c>
      <c r="N567" s="6">
        <v>2</v>
      </c>
      <c r="O567">
        <v>500</v>
      </c>
      <c r="P567">
        <v>202605</v>
      </c>
      <c r="Q567" t="s">
        <v>377</v>
      </c>
      <c r="R567" t="s">
        <v>1353</v>
      </c>
      <c r="S567">
        <f>Consulta1[[#This Row],[min_port]]/100</f>
        <v>1.55E-2</v>
      </c>
      <c r="T567" s="252">
        <f>Consulta1[[#This Row],[TETO_COMERCIAL]]/100</f>
        <v>2.5000000000000001E-2</v>
      </c>
      <c r="U567" t="b">
        <f>Consulta1[[#This Row],[TETO_COMERCIAL_%]]=Consulta1[[#This Row],[TAXA]]</f>
        <v>0</v>
      </c>
      <c r="V567" t="str">
        <f>CONCATENATE(Consulta1[[#This Row],[MES_ALTERACAO]],Consulta1[[#This Row],[VIRADA]])</f>
        <v>20260530</v>
      </c>
      <c r="W567">
        <f>VLOOKUP(Consulta1[[#This Row],[Coluna2]],CALENDARIO!$J:$K,2,FALSE)</f>
        <v>20</v>
      </c>
    </row>
    <row r="568" spans="1:23" x14ac:dyDescent="0.25">
      <c r="A568" t="s">
        <v>77</v>
      </c>
      <c r="B568" t="str">
        <f>CONCATENATE(Consulta1[[#This Row],[id]],Consulta1[[#This Row],[EMPREGADOR]])</f>
        <v>4MANAUSPREV</v>
      </c>
      <c r="C568" s="6">
        <f>IF(A568=A567,C567+1,1)</f>
        <v>4</v>
      </c>
      <c r="D568" t="s">
        <v>1255</v>
      </c>
      <c r="E568" s="101">
        <v>2.2000000000000002E-2</v>
      </c>
      <c r="F568" s="6">
        <v>120</v>
      </c>
      <c r="G568" t="s">
        <v>1349</v>
      </c>
      <c r="H568" s="82">
        <v>2.5</v>
      </c>
      <c r="I568">
        <v>7</v>
      </c>
      <c r="K568" t="s">
        <v>1558</v>
      </c>
      <c r="L568" s="6" t="s">
        <v>1409</v>
      </c>
      <c r="M568" s="6">
        <v>30</v>
      </c>
      <c r="N568" s="6">
        <v>2</v>
      </c>
      <c r="O568">
        <v>500</v>
      </c>
      <c r="P568">
        <v>202605</v>
      </c>
      <c r="Q568" t="s">
        <v>377</v>
      </c>
      <c r="R568" t="s">
        <v>1353</v>
      </c>
      <c r="S568">
        <f>Consulta1[[#This Row],[min_port]]/100</f>
        <v>1.55E-2</v>
      </c>
      <c r="T568" s="252">
        <f>Consulta1[[#This Row],[TETO_COMERCIAL]]/100</f>
        <v>2.5000000000000001E-2</v>
      </c>
      <c r="U568" t="b">
        <f>Consulta1[[#This Row],[TETO_COMERCIAL_%]]=Consulta1[[#This Row],[TAXA]]</f>
        <v>0</v>
      </c>
      <c r="V568" t="str">
        <f>CONCATENATE(Consulta1[[#This Row],[MES_ALTERACAO]],Consulta1[[#This Row],[VIRADA]])</f>
        <v>20260530</v>
      </c>
      <c r="W568">
        <f>VLOOKUP(Consulta1[[#This Row],[Coluna2]],CALENDARIO!$J:$K,2,FALSE)</f>
        <v>20</v>
      </c>
    </row>
    <row r="569" spans="1:23" x14ac:dyDescent="0.25">
      <c r="A569" t="s">
        <v>77</v>
      </c>
      <c r="B569" t="str">
        <f>CONCATENATE(Consulta1[[#This Row],[id]],Consulta1[[#This Row],[EMPREGADOR]])</f>
        <v>5MANAUSPREV</v>
      </c>
      <c r="C569" s="6">
        <f>IF(A569=A568,C568+1,1)</f>
        <v>5</v>
      </c>
      <c r="D569" t="s">
        <v>1256</v>
      </c>
      <c r="E569" s="101">
        <v>2.1000000000000001E-2</v>
      </c>
      <c r="F569" s="6">
        <v>120</v>
      </c>
      <c r="G569" t="s">
        <v>1349</v>
      </c>
      <c r="H569" s="82">
        <v>2.5</v>
      </c>
      <c r="I569">
        <v>7</v>
      </c>
      <c r="J569">
        <v>57</v>
      </c>
      <c r="K569" t="s">
        <v>1559</v>
      </c>
      <c r="L569" s="6" t="s">
        <v>1409</v>
      </c>
      <c r="M569" s="6">
        <v>30</v>
      </c>
      <c r="N569" s="6">
        <v>2</v>
      </c>
      <c r="O569">
        <v>500</v>
      </c>
      <c r="P569">
        <v>202605</v>
      </c>
      <c r="Q569" t="s">
        <v>377</v>
      </c>
      <c r="R569" t="s">
        <v>1353</v>
      </c>
      <c r="S569">
        <f>Consulta1[[#This Row],[min_port]]/100</f>
        <v>1.55E-2</v>
      </c>
      <c r="T569" s="252">
        <f>Consulta1[[#This Row],[TETO_COMERCIAL]]/100</f>
        <v>2.5000000000000001E-2</v>
      </c>
      <c r="U569" t="b">
        <f>Consulta1[[#This Row],[TETO_COMERCIAL_%]]=Consulta1[[#This Row],[TAXA]]</f>
        <v>0</v>
      </c>
      <c r="V569" t="str">
        <f>CONCATENATE(Consulta1[[#This Row],[MES_ALTERACAO]],Consulta1[[#This Row],[VIRADA]])</f>
        <v>20260530</v>
      </c>
      <c r="W569">
        <f>VLOOKUP(Consulta1[[#This Row],[Coluna2]],CALENDARIO!$J:$K,2,FALSE)</f>
        <v>20</v>
      </c>
    </row>
    <row r="570" spans="1:23" x14ac:dyDescent="0.25">
      <c r="A570" t="s">
        <v>3022</v>
      </c>
      <c r="B570" t="str">
        <f>CONCATENATE(Consulta1[[#This Row],[id]],Consulta1[[#This Row],[EMPREGADOR]])</f>
        <v>1MARINHA_</v>
      </c>
      <c r="C570" s="6">
        <f>IF(A570=A569,C569+1,1)</f>
        <v>1</v>
      </c>
      <c r="D570" t="s">
        <v>3554</v>
      </c>
      <c r="E570" s="101">
        <v>2.0199999999999999E-2</v>
      </c>
      <c r="F570" s="6">
        <v>72</v>
      </c>
      <c r="G570" t="s">
        <v>1349</v>
      </c>
      <c r="H570" s="82">
        <v>2.16</v>
      </c>
      <c r="I570">
        <v>5</v>
      </c>
      <c r="J570">
        <v>54</v>
      </c>
      <c r="K570" t="s">
        <v>3555</v>
      </c>
      <c r="L570" s="6" t="s">
        <v>1731</v>
      </c>
      <c r="M570" s="6">
        <v>1</v>
      </c>
      <c r="N570" s="6">
        <v>2</v>
      </c>
      <c r="O570">
        <v>500</v>
      </c>
      <c r="P570">
        <v>202605</v>
      </c>
      <c r="Q570" t="s">
        <v>377</v>
      </c>
      <c r="R570" t="s">
        <v>1353</v>
      </c>
      <c r="S570">
        <f>Consulta1[[#This Row],[min_port]]/100</f>
        <v>1.3600000000000001E-2</v>
      </c>
      <c r="T570" s="252">
        <f>Consulta1[[#This Row],[TETO_COMERCIAL]]/100</f>
        <v>2.1600000000000001E-2</v>
      </c>
      <c r="U570" t="b">
        <f>Consulta1[[#This Row],[TETO_COMERCIAL_%]]=Consulta1[[#This Row],[TAXA]]</f>
        <v>0</v>
      </c>
      <c r="V570" t="str">
        <f>CONCATENATE(Consulta1[[#This Row],[MES_ALTERACAO]],Consulta1[[#This Row],[VIRADA]])</f>
        <v>2026051</v>
      </c>
      <c r="W570">
        <f>VLOOKUP(Consulta1[[#This Row],[Coluna2]],CALENDARIO!$J:$K,2,FALSE)</f>
        <v>0</v>
      </c>
    </row>
    <row r="571" spans="1:23" x14ac:dyDescent="0.25">
      <c r="A571" t="s">
        <v>3022</v>
      </c>
      <c r="B571" t="str">
        <f>CONCATENATE(Consulta1[[#This Row],[id]],Consulta1[[#This Row],[EMPREGADOR]])</f>
        <v>2MARINHA_</v>
      </c>
      <c r="C571" s="6">
        <f>IF(A571=A570,C570+1,1)</f>
        <v>2</v>
      </c>
      <c r="D571" t="s">
        <v>3556</v>
      </c>
      <c r="E571" s="101">
        <v>1.9799999999999998E-2</v>
      </c>
      <c r="F571" s="6">
        <v>72</v>
      </c>
      <c r="G571" t="s">
        <v>1349</v>
      </c>
      <c r="H571" s="82">
        <v>2.16</v>
      </c>
      <c r="I571">
        <v>5</v>
      </c>
      <c r="J571">
        <v>52</v>
      </c>
      <c r="K571" t="s">
        <v>3557</v>
      </c>
      <c r="L571" s="6" t="s">
        <v>1731</v>
      </c>
      <c r="M571" s="6">
        <v>1</v>
      </c>
      <c r="N571" s="6">
        <v>2</v>
      </c>
      <c r="O571">
        <v>500</v>
      </c>
      <c r="P571">
        <v>202605</v>
      </c>
      <c r="Q571" t="s">
        <v>377</v>
      </c>
      <c r="R571" t="s">
        <v>1353</v>
      </c>
      <c r="S571">
        <f>Consulta1[[#This Row],[min_port]]/100</f>
        <v>1.3600000000000001E-2</v>
      </c>
      <c r="T571" s="252">
        <f>Consulta1[[#This Row],[TETO_COMERCIAL]]/100</f>
        <v>2.1600000000000001E-2</v>
      </c>
      <c r="U571" t="b">
        <f>Consulta1[[#This Row],[TETO_COMERCIAL_%]]=Consulta1[[#This Row],[TAXA]]</f>
        <v>0</v>
      </c>
      <c r="V571" t="str">
        <f>CONCATENATE(Consulta1[[#This Row],[MES_ALTERACAO]],Consulta1[[#This Row],[VIRADA]])</f>
        <v>2026051</v>
      </c>
      <c r="W571">
        <f>VLOOKUP(Consulta1[[#This Row],[Coluna2]],CALENDARIO!$J:$K,2,FALSE)</f>
        <v>0</v>
      </c>
    </row>
    <row r="572" spans="1:23" x14ac:dyDescent="0.25">
      <c r="A572" t="s">
        <v>3022</v>
      </c>
      <c r="B572" t="str">
        <f>CONCATENATE(Consulta1[[#This Row],[id]],Consulta1[[#This Row],[EMPREGADOR]])</f>
        <v>3MARINHA_</v>
      </c>
      <c r="C572" s="6">
        <f>IF(A572=A571,C571+1,1)</f>
        <v>3</v>
      </c>
      <c r="D572" t="s">
        <v>3558</v>
      </c>
      <c r="E572" s="101">
        <v>1.9400000000000001E-2</v>
      </c>
      <c r="F572" s="6">
        <v>72</v>
      </c>
      <c r="G572" t="s">
        <v>1349</v>
      </c>
      <c r="H572" s="82">
        <v>2.16</v>
      </c>
      <c r="I572">
        <v>5</v>
      </c>
      <c r="J572">
        <v>54</v>
      </c>
      <c r="K572" t="s">
        <v>3559</v>
      </c>
      <c r="L572" s="6" t="s">
        <v>1731</v>
      </c>
      <c r="M572" s="6">
        <v>1</v>
      </c>
      <c r="N572" s="6">
        <v>2</v>
      </c>
      <c r="O572">
        <v>500</v>
      </c>
      <c r="P572">
        <v>202605</v>
      </c>
      <c r="Q572" t="s">
        <v>377</v>
      </c>
      <c r="R572" t="s">
        <v>1353</v>
      </c>
      <c r="S572">
        <f>Consulta1[[#This Row],[min_port]]/100</f>
        <v>1.3600000000000001E-2</v>
      </c>
      <c r="T572" s="252">
        <f>Consulta1[[#This Row],[TETO_COMERCIAL]]/100</f>
        <v>2.1600000000000001E-2</v>
      </c>
      <c r="U572" t="b">
        <f>Consulta1[[#This Row],[TETO_COMERCIAL_%]]=Consulta1[[#This Row],[TAXA]]</f>
        <v>0</v>
      </c>
      <c r="V572" t="str">
        <f>CONCATENATE(Consulta1[[#This Row],[MES_ALTERACAO]],Consulta1[[#This Row],[VIRADA]])</f>
        <v>2026051</v>
      </c>
      <c r="W572">
        <f>VLOOKUP(Consulta1[[#This Row],[Coluna2]],CALENDARIO!$J:$K,2,FALSE)</f>
        <v>0</v>
      </c>
    </row>
    <row r="573" spans="1:23" x14ac:dyDescent="0.25">
      <c r="A573" t="s">
        <v>3022</v>
      </c>
      <c r="B573" t="str">
        <f>CONCATENATE(Consulta1[[#This Row],[id]],Consulta1[[#This Row],[EMPREGADOR]])</f>
        <v>4MARINHA_</v>
      </c>
      <c r="C573" s="6">
        <f>IF(A573=A572,C572+1,1)</f>
        <v>4</v>
      </c>
      <c r="D573" t="s">
        <v>3560</v>
      </c>
      <c r="E573" s="101">
        <v>1.9E-2</v>
      </c>
      <c r="F573" s="6">
        <v>72</v>
      </c>
      <c r="G573" t="s">
        <v>1349</v>
      </c>
      <c r="H573" s="82">
        <v>2.16</v>
      </c>
      <c r="I573">
        <v>5</v>
      </c>
      <c r="J573">
        <v>54</v>
      </c>
      <c r="K573" t="s">
        <v>3561</v>
      </c>
      <c r="L573" s="6" t="s">
        <v>1731</v>
      </c>
      <c r="M573" s="6">
        <v>1</v>
      </c>
      <c r="N573" s="6">
        <v>2</v>
      </c>
      <c r="O573">
        <v>500</v>
      </c>
      <c r="P573">
        <v>202605</v>
      </c>
      <c r="Q573" t="s">
        <v>377</v>
      </c>
      <c r="R573" t="s">
        <v>1353</v>
      </c>
      <c r="S573">
        <f>Consulta1[[#This Row],[min_port]]/100</f>
        <v>1.3600000000000001E-2</v>
      </c>
      <c r="T573" s="252">
        <f>Consulta1[[#This Row],[TETO_COMERCIAL]]/100</f>
        <v>2.1600000000000001E-2</v>
      </c>
      <c r="U573" t="b">
        <f>Consulta1[[#This Row],[TETO_COMERCIAL_%]]=Consulta1[[#This Row],[TAXA]]</f>
        <v>0</v>
      </c>
      <c r="V573" t="str">
        <f>CONCATENATE(Consulta1[[#This Row],[MES_ALTERACAO]],Consulta1[[#This Row],[VIRADA]])</f>
        <v>2026051</v>
      </c>
      <c r="W573">
        <f>VLOOKUP(Consulta1[[#This Row],[Coluna2]],CALENDARIO!$J:$K,2,FALSE)</f>
        <v>0</v>
      </c>
    </row>
    <row r="574" spans="1:23" x14ac:dyDescent="0.25">
      <c r="A574" t="s">
        <v>3022</v>
      </c>
      <c r="B574" t="str">
        <f>CONCATENATE(Consulta1[[#This Row],[id]],Consulta1[[#This Row],[EMPREGADOR]])</f>
        <v>5MARINHA_</v>
      </c>
      <c r="C574" s="6">
        <f>IF(A574=A573,C573+1,1)</f>
        <v>5</v>
      </c>
      <c r="D574" t="s">
        <v>3562</v>
      </c>
      <c r="E574" s="101">
        <v>1.8600000000000002E-2</v>
      </c>
      <c r="F574" s="6">
        <v>72</v>
      </c>
      <c r="G574" t="s">
        <v>1349</v>
      </c>
      <c r="H574" s="82">
        <v>2.16</v>
      </c>
      <c r="I574">
        <v>5</v>
      </c>
      <c r="J574">
        <v>54</v>
      </c>
      <c r="K574" t="s">
        <v>3563</v>
      </c>
      <c r="L574" s="6" t="s">
        <v>1731</v>
      </c>
      <c r="M574" s="6">
        <v>1</v>
      </c>
      <c r="N574" s="6">
        <v>2</v>
      </c>
      <c r="O574">
        <v>500</v>
      </c>
      <c r="P574">
        <v>202605</v>
      </c>
      <c r="Q574" t="s">
        <v>377</v>
      </c>
      <c r="R574" t="s">
        <v>1353</v>
      </c>
      <c r="S574">
        <f>Consulta1[[#This Row],[min_port]]/100</f>
        <v>1.3600000000000001E-2</v>
      </c>
      <c r="T574" s="252">
        <f>Consulta1[[#This Row],[TETO_COMERCIAL]]/100</f>
        <v>2.1600000000000001E-2</v>
      </c>
      <c r="U574" t="b">
        <f>Consulta1[[#This Row],[TETO_COMERCIAL_%]]=Consulta1[[#This Row],[TAXA]]</f>
        <v>0</v>
      </c>
      <c r="V574" t="str">
        <f>CONCATENATE(Consulta1[[#This Row],[MES_ALTERACAO]],Consulta1[[#This Row],[VIRADA]])</f>
        <v>2026051</v>
      </c>
      <c r="W574">
        <f>VLOOKUP(Consulta1[[#This Row],[Coluna2]],CALENDARIO!$J:$K,2,FALSE)</f>
        <v>0</v>
      </c>
    </row>
    <row r="575" spans="1:23" x14ac:dyDescent="0.25">
      <c r="A575" t="s">
        <v>3022</v>
      </c>
      <c r="B575" t="str">
        <f>CONCATENATE(Consulta1[[#This Row],[id]],Consulta1[[#This Row],[EMPREGADOR]])</f>
        <v>6MARINHA_</v>
      </c>
      <c r="C575" s="6">
        <f>IF(A575=A574,C574+1,1)</f>
        <v>6</v>
      </c>
      <c r="D575" t="s">
        <v>3564</v>
      </c>
      <c r="E575" s="101">
        <v>1.8200000000000001E-2</v>
      </c>
      <c r="F575" s="6">
        <v>72</v>
      </c>
      <c r="G575" t="s">
        <v>1349</v>
      </c>
      <c r="H575" s="82">
        <v>2.16</v>
      </c>
      <c r="I575">
        <v>5</v>
      </c>
      <c r="J575">
        <v>53</v>
      </c>
      <c r="K575" t="s">
        <v>3565</v>
      </c>
      <c r="L575" s="6" t="s">
        <v>1731</v>
      </c>
      <c r="M575" s="6">
        <v>1</v>
      </c>
      <c r="N575" s="6">
        <v>2</v>
      </c>
      <c r="O575">
        <v>500</v>
      </c>
      <c r="P575">
        <v>202605</v>
      </c>
      <c r="Q575" t="s">
        <v>377</v>
      </c>
      <c r="R575" t="s">
        <v>1353</v>
      </c>
      <c r="S575">
        <f>Consulta1[[#This Row],[min_port]]/100</f>
        <v>1.3600000000000001E-2</v>
      </c>
      <c r="T575" s="252">
        <f>Consulta1[[#This Row],[TETO_COMERCIAL]]/100</f>
        <v>2.1600000000000001E-2</v>
      </c>
      <c r="U575" t="b">
        <f>Consulta1[[#This Row],[TETO_COMERCIAL_%]]=Consulta1[[#This Row],[TAXA]]</f>
        <v>0</v>
      </c>
      <c r="V575" t="str">
        <f>CONCATENATE(Consulta1[[#This Row],[MES_ALTERACAO]],Consulta1[[#This Row],[VIRADA]])</f>
        <v>2026051</v>
      </c>
      <c r="W575">
        <f>VLOOKUP(Consulta1[[#This Row],[Coluna2]],CALENDARIO!$J:$K,2,FALSE)</f>
        <v>0</v>
      </c>
    </row>
    <row r="576" spans="1:23" x14ac:dyDescent="0.25">
      <c r="A576" t="s">
        <v>3022</v>
      </c>
      <c r="B576" t="str">
        <f>CONCATENATE(Consulta1[[#This Row],[id]],Consulta1[[#This Row],[EMPREGADOR]])</f>
        <v>7MARINHA_</v>
      </c>
      <c r="C576" s="6">
        <f>IF(A576=A575,C575+1,1)</f>
        <v>7</v>
      </c>
      <c r="D576" t="s">
        <v>3566</v>
      </c>
      <c r="E576" s="101">
        <v>1.78E-2</v>
      </c>
      <c r="F576" s="6">
        <v>72</v>
      </c>
      <c r="G576" t="s">
        <v>1349</v>
      </c>
      <c r="H576" s="82">
        <v>2.16</v>
      </c>
      <c r="I576">
        <v>5</v>
      </c>
      <c r="J576">
        <v>54</v>
      </c>
      <c r="K576" t="s">
        <v>3567</v>
      </c>
      <c r="L576" s="6" t="s">
        <v>1731</v>
      </c>
      <c r="M576" s="6">
        <v>1</v>
      </c>
      <c r="N576" s="6">
        <v>2</v>
      </c>
      <c r="O576">
        <v>500</v>
      </c>
      <c r="P576">
        <v>202605</v>
      </c>
      <c r="Q576" t="s">
        <v>377</v>
      </c>
      <c r="R576" t="s">
        <v>1353</v>
      </c>
      <c r="S576">
        <f>Consulta1[[#This Row],[min_port]]/100</f>
        <v>1.3600000000000001E-2</v>
      </c>
      <c r="T576" s="252">
        <f>Consulta1[[#This Row],[TETO_COMERCIAL]]/100</f>
        <v>2.1600000000000001E-2</v>
      </c>
      <c r="U576" t="b">
        <f>Consulta1[[#This Row],[TETO_COMERCIAL_%]]=Consulta1[[#This Row],[TAXA]]</f>
        <v>0</v>
      </c>
      <c r="V576" t="str">
        <f>CONCATENATE(Consulta1[[#This Row],[MES_ALTERACAO]],Consulta1[[#This Row],[VIRADA]])</f>
        <v>2026051</v>
      </c>
      <c r="W576">
        <f>VLOOKUP(Consulta1[[#This Row],[Coluna2]],CALENDARIO!$J:$K,2,FALSE)</f>
        <v>0</v>
      </c>
    </row>
    <row r="577" spans="1:23" x14ac:dyDescent="0.25">
      <c r="A577" t="s">
        <v>3022</v>
      </c>
      <c r="B577" t="str">
        <f>CONCATENATE(Consulta1[[#This Row],[id]],Consulta1[[#This Row],[EMPREGADOR]])</f>
        <v>8MARINHA_</v>
      </c>
      <c r="C577" s="6">
        <f>IF(A577=A576,C576+1,1)</f>
        <v>8</v>
      </c>
      <c r="D577" t="s">
        <v>3568</v>
      </c>
      <c r="E577" s="101">
        <v>1.7399999999999999E-2</v>
      </c>
      <c r="F577" s="6">
        <v>72</v>
      </c>
      <c r="G577" t="s">
        <v>1349</v>
      </c>
      <c r="H577" s="82">
        <v>2.16</v>
      </c>
      <c r="I577">
        <v>5</v>
      </c>
      <c r="J577">
        <v>54</v>
      </c>
      <c r="K577" t="s">
        <v>3569</v>
      </c>
      <c r="L577" s="6" t="s">
        <v>1731</v>
      </c>
      <c r="M577" s="6">
        <v>1</v>
      </c>
      <c r="N577" s="6">
        <v>2</v>
      </c>
      <c r="O577">
        <v>500</v>
      </c>
      <c r="P577">
        <v>202605</v>
      </c>
      <c r="Q577" t="s">
        <v>377</v>
      </c>
      <c r="R577" t="s">
        <v>1353</v>
      </c>
      <c r="S577">
        <f>Consulta1[[#This Row],[min_port]]/100</f>
        <v>1.3600000000000001E-2</v>
      </c>
      <c r="T577" s="252">
        <f>Consulta1[[#This Row],[TETO_COMERCIAL]]/100</f>
        <v>2.1600000000000001E-2</v>
      </c>
      <c r="U577" t="b">
        <f>Consulta1[[#This Row],[TETO_COMERCIAL_%]]=Consulta1[[#This Row],[TAXA]]</f>
        <v>0</v>
      </c>
      <c r="V577" t="str">
        <f>CONCATENATE(Consulta1[[#This Row],[MES_ALTERACAO]],Consulta1[[#This Row],[VIRADA]])</f>
        <v>2026051</v>
      </c>
      <c r="W577">
        <f>VLOOKUP(Consulta1[[#This Row],[Coluna2]],CALENDARIO!$J:$K,2,FALSE)</f>
        <v>0</v>
      </c>
    </row>
    <row r="578" spans="1:23" x14ac:dyDescent="0.25">
      <c r="A578" t="s">
        <v>3022</v>
      </c>
      <c r="B578" t="str">
        <f>CONCATENATE(Consulta1[[#This Row],[id]],Consulta1[[#This Row],[EMPREGADOR]])</f>
        <v>9MARINHA_</v>
      </c>
      <c r="C578" s="6">
        <f>IF(A578=A577,C577+1,1)</f>
        <v>9</v>
      </c>
      <c r="D578" t="s">
        <v>3570</v>
      </c>
      <c r="E578" s="101">
        <v>1.7000000000000001E-2</v>
      </c>
      <c r="F578" s="6">
        <v>72</v>
      </c>
      <c r="G578" t="s">
        <v>1349</v>
      </c>
      <c r="H578" s="82">
        <v>2.16</v>
      </c>
      <c r="I578">
        <v>5</v>
      </c>
      <c r="J578">
        <v>55</v>
      </c>
      <c r="K578" t="s">
        <v>3571</v>
      </c>
      <c r="L578" s="6" t="s">
        <v>1731</v>
      </c>
      <c r="M578" s="6">
        <v>1</v>
      </c>
      <c r="N578" s="6">
        <v>2</v>
      </c>
      <c r="O578">
        <v>500</v>
      </c>
      <c r="P578">
        <v>202605</v>
      </c>
      <c r="Q578" t="s">
        <v>377</v>
      </c>
      <c r="R578" t="s">
        <v>1353</v>
      </c>
      <c r="S578">
        <f>Consulta1[[#This Row],[min_port]]/100</f>
        <v>1.3600000000000001E-2</v>
      </c>
      <c r="T578" s="252">
        <f>Consulta1[[#This Row],[TETO_COMERCIAL]]/100</f>
        <v>2.1600000000000001E-2</v>
      </c>
      <c r="U578" t="b">
        <f>Consulta1[[#This Row],[TETO_COMERCIAL_%]]=Consulta1[[#This Row],[TAXA]]</f>
        <v>0</v>
      </c>
      <c r="V578" t="str">
        <f>CONCATENATE(Consulta1[[#This Row],[MES_ALTERACAO]],Consulta1[[#This Row],[VIRADA]])</f>
        <v>2026051</v>
      </c>
      <c r="W578">
        <f>VLOOKUP(Consulta1[[#This Row],[Coluna2]],CALENDARIO!$J:$K,2,FALSE)</f>
        <v>0</v>
      </c>
    </row>
    <row r="579" spans="1:23" x14ac:dyDescent="0.25">
      <c r="A579" t="s">
        <v>3022</v>
      </c>
      <c r="B579" t="str">
        <f>CONCATENATE(Consulta1[[#This Row],[id]],Consulta1[[#This Row],[EMPREGADOR]])</f>
        <v>10MARINHA_</v>
      </c>
      <c r="C579" s="6">
        <f>IF(A579=A578,C578+1,1)</f>
        <v>10</v>
      </c>
      <c r="D579" t="s">
        <v>3572</v>
      </c>
      <c r="E579" s="101">
        <v>1.66E-2</v>
      </c>
      <c r="F579" s="6">
        <v>72</v>
      </c>
      <c r="G579" t="s">
        <v>1349</v>
      </c>
      <c r="H579" s="82">
        <v>2.16</v>
      </c>
      <c r="I579">
        <v>5</v>
      </c>
      <c r="J579">
        <v>55</v>
      </c>
      <c r="K579" t="s">
        <v>3573</v>
      </c>
      <c r="L579" s="6" t="s">
        <v>1731</v>
      </c>
      <c r="M579" s="6">
        <v>1</v>
      </c>
      <c r="N579" s="6">
        <v>2</v>
      </c>
      <c r="O579">
        <v>500</v>
      </c>
      <c r="P579">
        <v>202605</v>
      </c>
      <c r="Q579" t="s">
        <v>377</v>
      </c>
      <c r="R579" t="s">
        <v>1353</v>
      </c>
      <c r="S579">
        <f>Consulta1[[#This Row],[min_port]]/100</f>
        <v>1.3600000000000001E-2</v>
      </c>
      <c r="T579" s="252">
        <f>Consulta1[[#This Row],[TETO_COMERCIAL]]/100</f>
        <v>2.1600000000000001E-2</v>
      </c>
      <c r="U579" t="b">
        <f>Consulta1[[#This Row],[TETO_COMERCIAL_%]]=Consulta1[[#This Row],[TAXA]]</f>
        <v>0</v>
      </c>
      <c r="V579" t="str">
        <f>CONCATENATE(Consulta1[[#This Row],[MES_ALTERACAO]],Consulta1[[#This Row],[VIRADA]])</f>
        <v>2026051</v>
      </c>
      <c r="W579">
        <f>VLOOKUP(Consulta1[[#This Row],[Coluna2]],CALENDARIO!$J:$K,2,FALSE)</f>
        <v>0</v>
      </c>
    </row>
    <row r="580" spans="1:23" x14ac:dyDescent="0.25">
      <c r="A580" t="s">
        <v>3022</v>
      </c>
      <c r="B580" t="str">
        <f>CONCATENATE(Consulta1[[#This Row],[id]],Consulta1[[#This Row],[EMPREGADOR]])</f>
        <v>11MARINHA_</v>
      </c>
      <c r="C580" s="6">
        <f>IF(A580=A579,C579+1,1)</f>
        <v>11</v>
      </c>
      <c r="D580" t="s">
        <v>3700</v>
      </c>
      <c r="E580" s="101">
        <v>1.6200000000000003E-2</v>
      </c>
      <c r="F580" s="6">
        <v>72</v>
      </c>
      <c r="G580" t="s">
        <v>1349</v>
      </c>
      <c r="H580" s="82">
        <v>2.16</v>
      </c>
      <c r="I580">
        <v>5</v>
      </c>
      <c r="J580">
        <v>50</v>
      </c>
      <c r="K580" t="s">
        <v>3791</v>
      </c>
      <c r="L580" s="6" t="s">
        <v>1731</v>
      </c>
      <c r="M580" s="6">
        <v>1</v>
      </c>
      <c r="N580" s="6">
        <v>2</v>
      </c>
      <c r="O580">
        <v>500</v>
      </c>
      <c r="P580">
        <v>202605</v>
      </c>
      <c r="Q580" t="s">
        <v>377</v>
      </c>
      <c r="R580" t="s">
        <v>1353</v>
      </c>
      <c r="S580">
        <f>Consulta1[[#This Row],[min_port]]/100</f>
        <v>1.3600000000000001E-2</v>
      </c>
      <c r="T580" s="252">
        <f>Consulta1[[#This Row],[TETO_COMERCIAL]]/100</f>
        <v>2.1600000000000001E-2</v>
      </c>
      <c r="U580" t="b">
        <f>Consulta1[[#This Row],[TETO_COMERCIAL_%]]=Consulta1[[#This Row],[TAXA]]</f>
        <v>0</v>
      </c>
      <c r="V580" t="str">
        <f>CONCATENATE(Consulta1[[#This Row],[MES_ALTERACAO]],Consulta1[[#This Row],[VIRADA]])</f>
        <v>2026051</v>
      </c>
      <c r="W580">
        <f>VLOOKUP(Consulta1[[#This Row],[Coluna2]],CALENDARIO!$J:$K,2,FALSE)</f>
        <v>0</v>
      </c>
    </row>
    <row r="581" spans="1:23" x14ac:dyDescent="0.25">
      <c r="A581" t="s">
        <v>3022</v>
      </c>
      <c r="B581" t="str">
        <f>CONCATENATE(Consulta1[[#This Row],[id]],Consulta1[[#This Row],[EMPREGADOR]])</f>
        <v>12MARINHA_</v>
      </c>
      <c r="C581" s="6">
        <f>IF(A581=A580,C580+1,1)</f>
        <v>12</v>
      </c>
      <c r="D581" t="s">
        <v>3574</v>
      </c>
      <c r="E581" s="101">
        <v>1.5900000000000001E-2</v>
      </c>
      <c r="F581" s="6">
        <v>72</v>
      </c>
      <c r="G581" t="s">
        <v>1349</v>
      </c>
      <c r="H581" s="82">
        <v>2.16</v>
      </c>
      <c r="I581">
        <v>5</v>
      </c>
      <c r="J581">
        <v>55</v>
      </c>
      <c r="K581" t="s">
        <v>3575</v>
      </c>
      <c r="L581" s="6" t="s">
        <v>1731</v>
      </c>
      <c r="M581" s="6">
        <v>1</v>
      </c>
      <c r="N581" s="6">
        <v>2</v>
      </c>
      <c r="O581">
        <v>50000</v>
      </c>
      <c r="P581">
        <v>202605</v>
      </c>
      <c r="Q581" t="s">
        <v>377</v>
      </c>
      <c r="R581" t="s">
        <v>1353</v>
      </c>
      <c r="S581">
        <f>Consulta1[[#This Row],[min_port]]/100</f>
        <v>1.3600000000000001E-2</v>
      </c>
      <c r="T581" s="252">
        <f>Consulta1[[#This Row],[TETO_COMERCIAL]]/100</f>
        <v>2.1600000000000001E-2</v>
      </c>
      <c r="U581" t="b">
        <f>Consulta1[[#This Row],[TETO_COMERCIAL_%]]=Consulta1[[#This Row],[TAXA]]</f>
        <v>0</v>
      </c>
      <c r="V581" t="str">
        <f>CONCATENATE(Consulta1[[#This Row],[MES_ALTERACAO]],Consulta1[[#This Row],[VIRADA]])</f>
        <v>2026051</v>
      </c>
      <c r="W581">
        <f>VLOOKUP(Consulta1[[#This Row],[Coluna2]],CALENDARIO!$J:$K,2,FALSE)</f>
        <v>0</v>
      </c>
    </row>
    <row r="582" spans="1:23" x14ac:dyDescent="0.25">
      <c r="A582" t="s">
        <v>246</v>
      </c>
      <c r="B582" t="str">
        <f>CONCATENATE(Consulta1[[#This Row],[id]],Consulta1[[#This Row],[EMPREGADOR]])</f>
        <v>1MIN PUB PARA</v>
      </c>
      <c r="C582" s="6">
        <f>IF(A582=A581,C581+1,1)</f>
        <v>1</v>
      </c>
      <c r="D582" t="s">
        <v>247</v>
      </c>
      <c r="E582" s="101">
        <v>2.5000000000000001E-2</v>
      </c>
      <c r="F582" s="6">
        <v>96</v>
      </c>
      <c r="G582" t="s">
        <v>1349</v>
      </c>
      <c r="H582" s="82">
        <v>2.5</v>
      </c>
      <c r="I582">
        <v>15</v>
      </c>
      <c r="K582" t="s">
        <v>1560</v>
      </c>
      <c r="L582" s="6" t="s">
        <v>1372</v>
      </c>
      <c r="M582" s="6">
        <v>4</v>
      </c>
      <c r="N582" s="6">
        <v>2</v>
      </c>
      <c r="O582">
        <v>500</v>
      </c>
      <c r="P582">
        <v>202605</v>
      </c>
      <c r="Q582" t="s">
        <v>377</v>
      </c>
      <c r="R582" t="s">
        <v>1353</v>
      </c>
      <c r="S582">
        <f>Consulta1[[#This Row],[min_port]]/100</f>
        <v>1.6E-2</v>
      </c>
      <c r="T582" s="252">
        <f>Consulta1[[#This Row],[TETO_COMERCIAL]]/100</f>
        <v>2.5000000000000001E-2</v>
      </c>
      <c r="U582" t="b">
        <f>Consulta1[[#This Row],[TETO_COMERCIAL_%]]=Consulta1[[#This Row],[TAXA]]</f>
        <v>1</v>
      </c>
      <c r="V582" t="str">
        <f>CONCATENATE(Consulta1[[#This Row],[MES_ALTERACAO]],Consulta1[[#This Row],[VIRADA]])</f>
        <v>2026054</v>
      </c>
      <c r="W582">
        <f>VLOOKUP(Consulta1[[#This Row],[Coluna2]],CALENDARIO!$J:$K,2,FALSE)</f>
        <v>1</v>
      </c>
    </row>
    <row r="583" spans="1:23" x14ac:dyDescent="0.25">
      <c r="A583" t="s">
        <v>246</v>
      </c>
      <c r="B583" t="str">
        <f>CONCATENATE(Consulta1[[#This Row],[id]],Consulta1[[#This Row],[EMPREGADOR]])</f>
        <v>2MIN PUB PARA</v>
      </c>
      <c r="C583" s="6">
        <f>IF(A583=A582,C582+1,1)</f>
        <v>2</v>
      </c>
      <c r="D583" t="s">
        <v>248</v>
      </c>
      <c r="E583" s="101">
        <v>2.4E-2</v>
      </c>
      <c r="F583" s="6">
        <v>96</v>
      </c>
      <c r="G583" t="s">
        <v>1349</v>
      </c>
      <c r="H583" s="82">
        <v>2.5</v>
      </c>
      <c r="I583">
        <v>15</v>
      </c>
      <c r="K583" t="s">
        <v>1561</v>
      </c>
      <c r="L583" s="6" t="s">
        <v>1372</v>
      </c>
      <c r="M583" s="6">
        <v>4</v>
      </c>
      <c r="N583" s="6">
        <v>2</v>
      </c>
      <c r="O583">
        <v>500</v>
      </c>
      <c r="P583">
        <v>202605</v>
      </c>
      <c r="Q583" t="s">
        <v>377</v>
      </c>
      <c r="R583" t="s">
        <v>1353</v>
      </c>
      <c r="S583">
        <f>Consulta1[[#This Row],[min_port]]/100</f>
        <v>1.6E-2</v>
      </c>
      <c r="T583" s="252">
        <f>Consulta1[[#This Row],[TETO_COMERCIAL]]/100</f>
        <v>2.5000000000000001E-2</v>
      </c>
      <c r="U583" t="b">
        <f>Consulta1[[#This Row],[TETO_COMERCIAL_%]]=Consulta1[[#This Row],[TAXA]]</f>
        <v>0</v>
      </c>
      <c r="V583" t="str">
        <f>CONCATENATE(Consulta1[[#This Row],[MES_ALTERACAO]],Consulta1[[#This Row],[VIRADA]])</f>
        <v>2026054</v>
      </c>
      <c r="W583">
        <f>VLOOKUP(Consulta1[[#This Row],[Coluna2]],CALENDARIO!$J:$K,2,FALSE)</f>
        <v>1</v>
      </c>
    </row>
    <row r="584" spans="1:23" x14ac:dyDescent="0.25">
      <c r="A584" t="s">
        <v>246</v>
      </c>
      <c r="B584" t="str">
        <f>CONCATENATE(Consulta1[[#This Row],[id]],Consulta1[[#This Row],[EMPREGADOR]])</f>
        <v>3MIN PUB PARA</v>
      </c>
      <c r="C584" s="6">
        <f>IF(A584=A583,C583+1,1)</f>
        <v>3</v>
      </c>
      <c r="D584" t="s">
        <v>249</v>
      </c>
      <c r="E584" s="101">
        <v>2.3E-2</v>
      </c>
      <c r="F584" s="6">
        <v>96</v>
      </c>
      <c r="G584" t="s">
        <v>1349</v>
      </c>
      <c r="H584" s="82">
        <v>2.5</v>
      </c>
      <c r="I584">
        <v>15</v>
      </c>
      <c r="J584">
        <v>53</v>
      </c>
      <c r="K584" t="s">
        <v>1562</v>
      </c>
      <c r="L584" s="6" t="s">
        <v>1372</v>
      </c>
      <c r="M584" s="6">
        <v>4</v>
      </c>
      <c r="N584" s="6">
        <v>2</v>
      </c>
      <c r="O584">
        <v>500</v>
      </c>
      <c r="P584">
        <v>202605</v>
      </c>
      <c r="Q584" t="s">
        <v>377</v>
      </c>
      <c r="R584" t="s">
        <v>1353</v>
      </c>
      <c r="S584">
        <f>Consulta1[[#This Row],[min_port]]/100</f>
        <v>1.6E-2</v>
      </c>
      <c r="T584" s="252">
        <f>Consulta1[[#This Row],[TETO_COMERCIAL]]/100</f>
        <v>2.5000000000000001E-2</v>
      </c>
      <c r="U584" t="b">
        <f>Consulta1[[#This Row],[TETO_COMERCIAL_%]]=Consulta1[[#This Row],[TAXA]]</f>
        <v>0</v>
      </c>
      <c r="V584" t="str">
        <f>CONCATENATE(Consulta1[[#This Row],[MES_ALTERACAO]],Consulta1[[#This Row],[VIRADA]])</f>
        <v>2026054</v>
      </c>
      <c r="W584">
        <f>VLOOKUP(Consulta1[[#This Row],[Coluna2]],CALENDARIO!$J:$K,2,FALSE)</f>
        <v>1</v>
      </c>
    </row>
    <row r="585" spans="1:23" x14ac:dyDescent="0.25">
      <c r="A585" t="s">
        <v>246</v>
      </c>
      <c r="B585" t="str">
        <f>CONCATENATE(Consulta1[[#This Row],[id]],Consulta1[[#This Row],[EMPREGADOR]])</f>
        <v>4MIN PUB PARA</v>
      </c>
      <c r="C585" s="6">
        <f>IF(A585=A584,C584+1,1)</f>
        <v>4</v>
      </c>
      <c r="D585" t="s">
        <v>1305</v>
      </c>
      <c r="E585" s="101">
        <v>2.2000000000000002E-2</v>
      </c>
      <c r="F585" s="6">
        <v>96</v>
      </c>
      <c r="G585" t="s">
        <v>1349</v>
      </c>
      <c r="H585" s="82">
        <v>2.5</v>
      </c>
      <c r="I585">
        <v>15</v>
      </c>
      <c r="K585" t="s">
        <v>1563</v>
      </c>
      <c r="L585" s="6" t="s">
        <v>1372</v>
      </c>
      <c r="M585" s="6">
        <v>4</v>
      </c>
      <c r="N585" s="6">
        <v>2</v>
      </c>
      <c r="O585">
        <v>500</v>
      </c>
      <c r="P585">
        <v>202605</v>
      </c>
      <c r="Q585" t="s">
        <v>377</v>
      </c>
      <c r="R585" t="s">
        <v>1353</v>
      </c>
      <c r="S585">
        <f>Consulta1[[#This Row],[min_port]]/100</f>
        <v>1.6E-2</v>
      </c>
      <c r="T585" s="252">
        <f>Consulta1[[#This Row],[TETO_COMERCIAL]]/100</f>
        <v>2.5000000000000001E-2</v>
      </c>
      <c r="U585" t="b">
        <f>Consulta1[[#This Row],[TETO_COMERCIAL_%]]=Consulta1[[#This Row],[TAXA]]</f>
        <v>0</v>
      </c>
      <c r="V585" t="str">
        <f>CONCATENATE(Consulta1[[#This Row],[MES_ALTERACAO]],Consulta1[[#This Row],[VIRADA]])</f>
        <v>2026054</v>
      </c>
      <c r="W585">
        <f>VLOOKUP(Consulta1[[#This Row],[Coluna2]],CALENDARIO!$J:$K,2,FALSE)</f>
        <v>1</v>
      </c>
    </row>
    <row r="586" spans="1:23" x14ac:dyDescent="0.25">
      <c r="A586" t="s">
        <v>246</v>
      </c>
      <c r="B586" t="str">
        <f>CONCATENATE(Consulta1[[#This Row],[id]],Consulta1[[#This Row],[EMPREGADOR]])</f>
        <v>5MIN PUB PARA</v>
      </c>
      <c r="C586" s="6">
        <f>IF(A586=A585,C585+1,1)</f>
        <v>5</v>
      </c>
      <c r="D586" t="s">
        <v>1306</v>
      </c>
      <c r="E586" s="101">
        <v>2.1000000000000001E-2</v>
      </c>
      <c r="F586" s="6">
        <v>96</v>
      </c>
      <c r="G586" t="s">
        <v>1349</v>
      </c>
      <c r="H586" s="82">
        <v>2.5</v>
      </c>
      <c r="I586">
        <v>15</v>
      </c>
      <c r="K586" t="s">
        <v>1564</v>
      </c>
      <c r="L586" s="6" t="s">
        <v>1372</v>
      </c>
      <c r="M586" s="6">
        <v>4</v>
      </c>
      <c r="N586" s="6">
        <v>2</v>
      </c>
      <c r="O586">
        <v>500</v>
      </c>
      <c r="P586">
        <v>202605</v>
      </c>
      <c r="Q586" t="s">
        <v>377</v>
      </c>
      <c r="R586" t="s">
        <v>1353</v>
      </c>
      <c r="S586">
        <f>Consulta1[[#This Row],[min_port]]/100</f>
        <v>1.6E-2</v>
      </c>
      <c r="T586" s="252">
        <f>Consulta1[[#This Row],[TETO_COMERCIAL]]/100</f>
        <v>2.5000000000000001E-2</v>
      </c>
      <c r="U586" t="b">
        <f>Consulta1[[#This Row],[TETO_COMERCIAL_%]]=Consulta1[[#This Row],[TAXA]]</f>
        <v>0</v>
      </c>
      <c r="V586" t="str">
        <f>CONCATENATE(Consulta1[[#This Row],[MES_ALTERACAO]],Consulta1[[#This Row],[VIRADA]])</f>
        <v>2026054</v>
      </c>
      <c r="W586">
        <f>VLOOKUP(Consulta1[[#This Row],[Coluna2]],CALENDARIO!$J:$K,2,FALSE)</f>
        <v>1</v>
      </c>
    </row>
    <row r="587" spans="1:23" x14ac:dyDescent="0.25">
      <c r="A587" t="s">
        <v>246</v>
      </c>
      <c r="B587" t="str">
        <f>CONCATENATE(Consulta1[[#This Row],[id]],Consulta1[[#This Row],[EMPREGADOR]])</f>
        <v>6MIN PUB PARA</v>
      </c>
      <c r="C587" s="6">
        <f>IF(A587=A586,C586+1,1)</f>
        <v>6</v>
      </c>
      <c r="D587" t="s">
        <v>1307</v>
      </c>
      <c r="E587" s="101">
        <v>0.02</v>
      </c>
      <c r="F587" s="6">
        <v>96</v>
      </c>
      <c r="G587" t="s">
        <v>1349</v>
      </c>
      <c r="H587" s="82">
        <v>2.5</v>
      </c>
      <c r="I587">
        <v>15</v>
      </c>
      <c r="J587">
        <v>61</v>
      </c>
      <c r="K587" t="s">
        <v>1565</v>
      </c>
      <c r="L587" s="6" t="s">
        <v>1372</v>
      </c>
      <c r="M587" s="6">
        <v>4</v>
      </c>
      <c r="N587" s="6">
        <v>2</v>
      </c>
      <c r="O587">
        <v>500</v>
      </c>
      <c r="P587">
        <v>202605</v>
      </c>
      <c r="Q587" t="s">
        <v>377</v>
      </c>
      <c r="R587" t="s">
        <v>1353</v>
      </c>
      <c r="S587">
        <f>Consulta1[[#This Row],[min_port]]/100</f>
        <v>1.6E-2</v>
      </c>
      <c r="T587" s="252">
        <f>Consulta1[[#This Row],[TETO_COMERCIAL]]/100</f>
        <v>2.5000000000000001E-2</v>
      </c>
      <c r="U587" t="b">
        <f>Consulta1[[#This Row],[TETO_COMERCIAL_%]]=Consulta1[[#This Row],[TAXA]]</f>
        <v>0</v>
      </c>
      <c r="V587" t="str">
        <f>CONCATENATE(Consulta1[[#This Row],[MES_ALTERACAO]],Consulta1[[#This Row],[VIRADA]])</f>
        <v>2026054</v>
      </c>
      <c r="W587">
        <f>VLOOKUP(Consulta1[[#This Row],[Coluna2]],CALENDARIO!$J:$K,2,FALSE)</f>
        <v>1</v>
      </c>
    </row>
    <row r="588" spans="1:23" x14ac:dyDescent="0.25">
      <c r="A588" t="s">
        <v>246</v>
      </c>
      <c r="B588" t="str">
        <f>CONCATENATE(Consulta1[[#This Row],[id]],Consulta1[[#This Row],[EMPREGADOR]])</f>
        <v>7MIN PUB PARA</v>
      </c>
      <c r="C588" s="6">
        <f>IF(A588=A587,C587+1,1)</f>
        <v>7</v>
      </c>
      <c r="D588" t="s">
        <v>1308</v>
      </c>
      <c r="E588" s="101">
        <v>1.9E-2</v>
      </c>
      <c r="F588" s="6">
        <v>96</v>
      </c>
      <c r="G588" t="s">
        <v>1349</v>
      </c>
      <c r="H588" s="82">
        <v>2.5</v>
      </c>
      <c r="I588">
        <v>15</v>
      </c>
      <c r="K588" t="s">
        <v>1566</v>
      </c>
      <c r="L588" s="6" t="s">
        <v>1372</v>
      </c>
      <c r="M588" s="6">
        <v>4</v>
      </c>
      <c r="N588" s="6">
        <v>2</v>
      </c>
      <c r="O588">
        <v>500</v>
      </c>
      <c r="P588">
        <v>202605</v>
      </c>
      <c r="Q588" t="s">
        <v>377</v>
      </c>
      <c r="R588" t="s">
        <v>1353</v>
      </c>
      <c r="S588">
        <f>Consulta1[[#This Row],[min_port]]/100</f>
        <v>1.6E-2</v>
      </c>
      <c r="T588" s="252">
        <f>Consulta1[[#This Row],[TETO_COMERCIAL]]/100</f>
        <v>2.5000000000000001E-2</v>
      </c>
      <c r="U588" t="b">
        <f>Consulta1[[#This Row],[TETO_COMERCIAL_%]]=Consulta1[[#This Row],[TAXA]]</f>
        <v>0</v>
      </c>
      <c r="V588" t="str">
        <f>CONCATENATE(Consulta1[[#This Row],[MES_ALTERACAO]],Consulta1[[#This Row],[VIRADA]])</f>
        <v>2026054</v>
      </c>
      <c r="W588">
        <f>VLOOKUP(Consulta1[[#This Row],[Coluna2]],CALENDARIO!$J:$K,2,FALSE)</f>
        <v>1</v>
      </c>
    </row>
    <row r="589" spans="1:23" x14ac:dyDescent="0.25">
      <c r="A589" t="s">
        <v>394</v>
      </c>
      <c r="B589" t="str">
        <f>CONCATENATE(Consulta1[[#This Row],[id]],Consulta1[[#This Row],[EMPREGADOR]])</f>
        <v>1MPDFT</v>
      </c>
      <c r="C589" s="6">
        <f>IF(A589=A588,C588+1,1)</f>
        <v>1</v>
      </c>
      <c r="D589" t="s">
        <v>395</v>
      </c>
      <c r="E589" s="101">
        <v>0.02</v>
      </c>
      <c r="F589" s="6">
        <v>120</v>
      </c>
      <c r="G589" t="s">
        <v>1349</v>
      </c>
      <c r="H589" s="82">
        <v>2.1</v>
      </c>
      <c r="I589">
        <v>25</v>
      </c>
      <c r="J589">
        <v>40</v>
      </c>
      <c r="K589" t="s">
        <v>1567</v>
      </c>
      <c r="L589" s="6" t="s">
        <v>1356</v>
      </c>
      <c r="M589" s="6">
        <v>5</v>
      </c>
      <c r="N589" s="6">
        <v>2</v>
      </c>
      <c r="O589">
        <v>500</v>
      </c>
      <c r="P589">
        <v>202605</v>
      </c>
      <c r="Q589" t="s">
        <v>378</v>
      </c>
      <c r="R589" t="s">
        <v>1350</v>
      </c>
      <c r="S589">
        <f>Consulta1[[#This Row],[min_port]]/100</f>
        <v>1.3000000000000001E-2</v>
      </c>
      <c r="T589" s="252">
        <f>Consulta1[[#This Row],[TETO_COMERCIAL]]/100</f>
        <v>2.1000000000000001E-2</v>
      </c>
      <c r="U589" t="b">
        <f>Consulta1[[#This Row],[TETO_COMERCIAL_%]]=Consulta1[[#This Row],[TAXA]]</f>
        <v>0</v>
      </c>
      <c r="V589" t="str">
        <f>CONCATENATE(Consulta1[[#This Row],[MES_ALTERACAO]],Consulta1[[#This Row],[VIRADA]])</f>
        <v>2026055</v>
      </c>
      <c r="W589">
        <f>VLOOKUP(Consulta1[[#This Row],[Coluna2]],CALENDARIO!$J:$K,2,FALSE)</f>
        <v>2</v>
      </c>
    </row>
    <row r="590" spans="1:23" x14ac:dyDescent="0.25">
      <c r="A590" t="s">
        <v>394</v>
      </c>
      <c r="B590" t="str">
        <f>CONCATENATE(Consulta1[[#This Row],[id]],Consulta1[[#This Row],[EMPREGADOR]])</f>
        <v>2MPDFT</v>
      </c>
      <c r="C590" s="6">
        <f>IF(A590=A589,C589+1,1)</f>
        <v>2</v>
      </c>
      <c r="D590" t="s">
        <v>396</v>
      </c>
      <c r="E590" s="101">
        <v>1.8000000000000002E-2</v>
      </c>
      <c r="F590" s="6">
        <v>120</v>
      </c>
      <c r="G590" t="s">
        <v>1349</v>
      </c>
      <c r="H590" s="82">
        <v>2.1</v>
      </c>
      <c r="I590">
        <v>25</v>
      </c>
      <c r="K590" t="s">
        <v>1568</v>
      </c>
      <c r="L590" s="6" t="s">
        <v>1356</v>
      </c>
      <c r="M590" s="6">
        <v>5</v>
      </c>
      <c r="N590" s="6">
        <v>2</v>
      </c>
      <c r="O590">
        <v>500</v>
      </c>
      <c r="P590">
        <v>202605</v>
      </c>
      <c r="Q590" t="s">
        <v>378</v>
      </c>
      <c r="R590" t="s">
        <v>1350</v>
      </c>
      <c r="S590">
        <f>Consulta1[[#This Row],[min_port]]/100</f>
        <v>1.3000000000000001E-2</v>
      </c>
      <c r="T590" s="252">
        <f>Consulta1[[#This Row],[TETO_COMERCIAL]]/100</f>
        <v>2.1000000000000001E-2</v>
      </c>
      <c r="U590" t="b">
        <f>Consulta1[[#This Row],[TETO_COMERCIAL_%]]=Consulta1[[#This Row],[TAXA]]</f>
        <v>0</v>
      </c>
      <c r="V590" t="str">
        <f>CONCATENATE(Consulta1[[#This Row],[MES_ALTERACAO]],Consulta1[[#This Row],[VIRADA]])</f>
        <v>2026055</v>
      </c>
      <c r="W590">
        <f>VLOOKUP(Consulta1[[#This Row],[Coluna2]],CALENDARIO!$J:$K,2,FALSE)</f>
        <v>2</v>
      </c>
    </row>
    <row r="591" spans="1:23" x14ac:dyDescent="0.25">
      <c r="A591" t="s">
        <v>394</v>
      </c>
      <c r="B591" t="str">
        <f>CONCATENATE(Consulta1[[#This Row],[id]],Consulta1[[#This Row],[EMPREGADOR]])</f>
        <v>3MPDFT</v>
      </c>
      <c r="C591" s="6">
        <f>IF(A591=A590,C590+1,1)</f>
        <v>3</v>
      </c>
      <c r="D591" t="s">
        <v>397</v>
      </c>
      <c r="E591" s="101">
        <v>1.7000000000000001E-2</v>
      </c>
      <c r="F591" s="6">
        <v>120</v>
      </c>
      <c r="G591" t="s">
        <v>1349</v>
      </c>
      <c r="H591" s="82">
        <v>2.1</v>
      </c>
      <c r="I591">
        <v>25</v>
      </c>
      <c r="J591">
        <v>31</v>
      </c>
      <c r="K591" t="s">
        <v>1569</v>
      </c>
      <c r="L591" s="6" t="s">
        <v>1356</v>
      </c>
      <c r="M591" s="6">
        <v>5</v>
      </c>
      <c r="N591" s="6">
        <v>2</v>
      </c>
      <c r="O591">
        <v>500</v>
      </c>
      <c r="P591">
        <v>202605</v>
      </c>
      <c r="Q591" t="s">
        <v>378</v>
      </c>
      <c r="R591" t="s">
        <v>1350</v>
      </c>
      <c r="S591">
        <f>Consulta1[[#This Row],[min_port]]/100</f>
        <v>1.3000000000000001E-2</v>
      </c>
      <c r="T591" s="252">
        <f>Consulta1[[#This Row],[TETO_COMERCIAL]]/100</f>
        <v>2.1000000000000001E-2</v>
      </c>
      <c r="U591" t="b">
        <f>Consulta1[[#This Row],[TETO_COMERCIAL_%]]=Consulta1[[#This Row],[TAXA]]</f>
        <v>0</v>
      </c>
      <c r="V591" t="str">
        <f>CONCATENATE(Consulta1[[#This Row],[MES_ALTERACAO]],Consulta1[[#This Row],[VIRADA]])</f>
        <v>2026055</v>
      </c>
      <c r="W591">
        <f>VLOOKUP(Consulta1[[#This Row],[Coluna2]],CALENDARIO!$J:$K,2,FALSE)</f>
        <v>2</v>
      </c>
    </row>
    <row r="592" spans="1:23" x14ac:dyDescent="0.25">
      <c r="A592" t="s">
        <v>1081</v>
      </c>
      <c r="B592" t="str">
        <f>CONCATENATE(Consulta1[[#This Row],[id]],Consulta1[[#This Row],[EMPREGADOR]])</f>
        <v>1MUTUMPREV</v>
      </c>
      <c r="C592" s="6">
        <f>IF(A592=A591,C591+1,1)</f>
        <v>1</v>
      </c>
      <c r="D592" t="s">
        <v>1082</v>
      </c>
      <c r="E592" s="101">
        <v>2.5000000000000001E-2</v>
      </c>
      <c r="F592" s="6">
        <v>120</v>
      </c>
      <c r="G592" t="s">
        <v>1349</v>
      </c>
      <c r="H592" s="82">
        <v>2.5</v>
      </c>
      <c r="I592">
        <v>11</v>
      </c>
      <c r="K592" t="s">
        <v>1570</v>
      </c>
      <c r="L592" s="6" t="s">
        <v>1371</v>
      </c>
      <c r="M592" s="6">
        <v>15</v>
      </c>
      <c r="N592" s="6">
        <v>2</v>
      </c>
      <c r="O592">
        <v>500</v>
      </c>
      <c r="P592">
        <v>202605</v>
      </c>
      <c r="Q592" t="s">
        <v>377</v>
      </c>
      <c r="R592" t="s">
        <v>1350</v>
      </c>
      <c r="S592">
        <f>Consulta1[[#This Row],[min_port]]/100</f>
        <v>1.4499999999999999E-2</v>
      </c>
      <c r="T592" s="252">
        <f>Consulta1[[#This Row],[TETO_COMERCIAL]]/100</f>
        <v>2.5000000000000001E-2</v>
      </c>
      <c r="U592" t="b">
        <f>Consulta1[[#This Row],[TETO_COMERCIAL_%]]=Consulta1[[#This Row],[TAXA]]</f>
        <v>1</v>
      </c>
      <c r="V592" t="str">
        <f>CONCATENATE(Consulta1[[#This Row],[MES_ALTERACAO]],Consulta1[[#This Row],[VIRADA]])</f>
        <v>20260515</v>
      </c>
      <c r="W592">
        <f>VLOOKUP(Consulta1[[#This Row],[Coluna2]],CALENDARIO!$J:$K,2,FALSE)</f>
        <v>10</v>
      </c>
    </row>
    <row r="593" spans="1:23" x14ac:dyDescent="0.25">
      <c r="A593" t="s">
        <v>1081</v>
      </c>
      <c r="B593" t="str">
        <f>CONCATENATE(Consulta1[[#This Row],[id]],Consulta1[[#This Row],[EMPREGADOR]])</f>
        <v>2MUTUMPREV</v>
      </c>
      <c r="C593" s="6">
        <f>IF(A593=A592,C592+1,1)</f>
        <v>2</v>
      </c>
      <c r="D593" t="s">
        <v>1083</v>
      </c>
      <c r="E593" s="101">
        <v>2.2499999999999999E-2</v>
      </c>
      <c r="F593" s="6">
        <v>120</v>
      </c>
      <c r="G593" t="s">
        <v>1349</v>
      </c>
      <c r="H593" s="82">
        <v>2.5</v>
      </c>
      <c r="I593">
        <v>11</v>
      </c>
      <c r="K593" t="s">
        <v>1571</v>
      </c>
      <c r="L593" s="6" t="s">
        <v>1371</v>
      </c>
      <c r="M593" s="6">
        <v>15</v>
      </c>
      <c r="N593" s="6">
        <v>2</v>
      </c>
      <c r="O593">
        <v>500</v>
      </c>
      <c r="P593">
        <v>202605</v>
      </c>
      <c r="Q593" t="s">
        <v>377</v>
      </c>
      <c r="R593" t="s">
        <v>1350</v>
      </c>
      <c r="S593">
        <f>Consulta1[[#This Row],[min_port]]/100</f>
        <v>1.4499999999999999E-2</v>
      </c>
      <c r="T593" s="252">
        <f>Consulta1[[#This Row],[TETO_COMERCIAL]]/100</f>
        <v>2.5000000000000001E-2</v>
      </c>
      <c r="U593" t="b">
        <f>Consulta1[[#This Row],[TETO_COMERCIAL_%]]=Consulta1[[#This Row],[TAXA]]</f>
        <v>0</v>
      </c>
      <c r="V593" t="str">
        <f>CONCATENATE(Consulta1[[#This Row],[MES_ALTERACAO]],Consulta1[[#This Row],[VIRADA]])</f>
        <v>20260515</v>
      </c>
      <c r="W593">
        <f>VLOOKUP(Consulta1[[#This Row],[Coluna2]],CALENDARIO!$J:$K,2,FALSE)</f>
        <v>10</v>
      </c>
    </row>
    <row r="594" spans="1:23" x14ac:dyDescent="0.25">
      <c r="A594" t="s">
        <v>1081</v>
      </c>
      <c r="B594" t="str">
        <f>CONCATENATE(Consulta1[[#This Row],[id]],Consulta1[[#This Row],[EMPREGADOR]])</f>
        <v>3MUTUMPREV</v>
      </c>
      <c r="C594" s="6">
        <f>IF(A594=A593,C593+1,1)</f>
        <v>3</v>
      </c>
      <c r="D594" t="s">
        <v>1084</v>
      </c>
      <c r="E594" s="101">
        <v>0.02</v>
      </c>
      <c r="F594" s="6">
        <v>120</v>
      </c>
      <c r="G594" t="s">
        <v>1349</v>
      </c>
      <c r="H594" s="82">
        <v>2.5</v>
      </c>
      <c r="I594">
        <v>11</v>
      </c>
      <c r="K594" t="s">
        <v>1572</v>
      </c>
      <c r="L594" s="6" t="s">
        <v>1371</v>
      </c>
      <c r="M594" s="6">
        <v>15</v>
      </c>
      <c r="N594" s="6">
        <v>2</v>
      </c>
      <c r="O594">
        <v>500</v>
      </c>
      <c r="P594">
        <v>202605</v>
      </c>
      <c r="Q594" t="s">
        <v>377</v>
      </c>
      <c r="R594" t="s">
        <v>1350</v>
      </c>
      <c r="S594">
        <f>Consulta1[[#This Row],[min_port]]/100</f>
        <v>1.4499999999999999E-2</v>
      </c>
      <c r="T594" s="252">
        <f>Consulta1[[#This Row],[TETO_COMERCIAL]]/100</f>
        <v>2.5000000000000001E-2</v>
      </c>
      <c r="U594" t="b">
        <f>Consulta1[[#This Row],[TETO_COMERCIAL_%]]=Consulta1[[#This Row],[TAXA]]</f>
        <v>0</v>
      </c>
      <c r="V594" t="str">
        <f>CONCATENATE(Consulta1[[#This Row],[MES_ALTERACAO]],Consulta1[[#This Row],[VIRADA]])</f>
        <v>20260515</v>
      </c>
      <c r="W594">
        <f>VLOOKUP(Consulta1[[#This Row],[Coluna2]],CALENDARIO!$J:$K,2,FALSE)</f>
        <v>10</v>
      </c>
    </row>
    <row r="595" spans="1:23" x14ac:dyDescent="0.25">
      <c r="A595" t="s">
        <v>1081</v>
      </c>
      <c r="B595" t="str">
        <f>CONCATENATE(Consulta1[[#This Row],[id]],Consulta1[[#This Row],[EMPREGADOR]])</f>
        <v>4MUTUMPREV</v>
      </c>
      <c r="C595" s="6">
        <f>IF(A595=A594,C594+1,1)</f>
        <v>4</v>
      </c>
      <c r="D595" t="s">
        <v>1085</v>
      </c>
      <c r="E595" s="101">
        <v>1.8000000000000002E-2</v>
      </c>
      <c r="F595" s="6">
        <v>120</v>
      </c>
      <c r="G595" t="s">
        <v>1349</v>
      </c>
      <c r="H595" s="82">
        <v>2.5</v>
      </c>
      <c r="I595">
        <v>11</v>
      </c>
      <c r="K595" t="s">
        <v>1573</v>
      </c>
      <c r="L595" s="6" t="s">
        <v>1371</v>
      </c>
      <c r="M595" s="6">
        <v>15</v>
      </c>
      <c r="N595" s="6">
        <v>2</v>
      </c>
      <c r="O595">
        <v>500</v>
      </c>
      <c r="P595">
        <v>202605</v>
      </c>
      <c r="Q595" t="s">
        <v>377</v>
      </c>
      <c r="R595" t="s">
        <v>1350</v>
      </c>
      <c r="S595">
        <f>Consulta1[[#This Row],[min_port]]/100</f>
        <v>1.4499999999999999E-2</v>
      </c>
      <c r="T595" s="252">
        <f>Consulta1[[#This Row],[TETO_COMERCIAL]]/100</f>
        <v>2.5000000000000001E-2</v>
      </c>
      <c r="U595" t="b">
        <f>Consulta1[[#This Row],[TETO_COMERCIAL_%]]=Consulta1[[#This Row],[TAXA]]</f>
        <v>0</v>
      </c>
      <c r="V595" t="str">
        <f>CONCATENATE(Consulta1[[#This Row],[MES_ALTERACAO]],Consulta1[[#This Row],[VIRADA]])</f>
        <v>20260515</v>
      </c>
      <c r="W595">
        <f>VLOOKUP(Consulta1[[#This Row],[Coluna2]],CALENDARIO!$J:$K,2,FALSE)</f>
        <v>10</v>
      </c>
    </row>
    <row r="596" spans="1:23" x14ac:dyDescent="0.25">
      <c r="A596" t="s">
        <v>1081</v>
      </c>
      <c r="B596" t="str">
        <f>CONCATENATE(Consulta1[[#This Row],[id]],Consulta1[[#This Row],[EMPREGADOR]])</f>
        <v>5MUTUMPREV</v>
      </c>
      <c r="C596" s="6">
        <f>IF(A596=A595,C595+1,1)</f>
        <v>5</v>
      </c>
      <c r="D596" t="s">
        <v>1086</v>
      </c>
      <c r="E596" s="101">
        <v>1.7600000000000001E-2</v>
      </c>
      <c r="F596" s="6">
        <v>120</v>
      </c>
      <c r="G596" t="s">
        <v>1349</v>
      </c>
      <c r="H596" s="82">
        <v>2.5</v>
      </c>
      <c r="I596">
        <v>11</v>
      </c>
      <c r="K596" t="s">
        <v>1574</v>
      </c>
      <c r="L596" s="6" t="s">
        <v>1371</v>
      </c>
      <c r="M596" s="6">
        <v>15</v>
      </c>
      <c r="N596" s="6">
        <v>2</v>
      </c>
      <c r="O596">
        <v>500</v>
      </c>
      <c r="P596">
        <v>202605</v>
      </c>
      <c r="Q596" t="s">
        <v>377</v>
      </c>
      <c r="R596" t="s">
        <v>1350</v>
      </c>
      <c r="S596">
        <f>Consulta1[[#This Row],[min_port]]/100</f>
        <v>1.4499999999999999E-2</v>
      </c>
      <c r="T596" s="252">
        <f>Consulta1[[#This Row],[TETO_COMERCIAL]]/100</f>
        <v>2.5000000000000001E-2</v>
      </c>
      <c r="U596" t="b">
        <f>Consulta1[[#This Row],[TETO_COMERCIAL_%]]=Consulta1[[#This Row],[TAXA]]</f>
        <v>0</v>
      </c>
      <c r="V596" t="str">
        <f>CONCATENATE(Consulta1[[#This Row],[MES_ALTERACAO]],Consulta1[[#This Row],[VIRADA]])</f>
        <v>20260515</v>
      </c>
      <c r="W596">
        <f>VLOOKUP(Consulta1[[#This Row],[Coluna2]],CALENDARIO!$J:$K,2,FALSE)</f>
        <v>10</v>
      </c>
    </row>
    <row r="597" spans="1:23" x14ac:dyDescent="0.25">
      <c r="A597" t="s">
        <v>1081</v>
      </c>
      <c r="B597" t="str">
        <f>CONCATENATE(Consulta1[[#This Row],[id]],Consulta1[[#This Row],[EMPREGADOR]])</f>
        <v>6MUTUMPREV</v>
      </c>
      <c r="C597" s="6">
        <f>IF(A597=A596,C596+1,1)</f>
        <v>6</v>
      </c>
      <c r="D597" t="s">
        <v>1087</v>
      </c>
      <c r="E597" s="101">
        <v>1.7399999999999999E-2</v>
      </c>
      <c r="F597" s="6">
        <v>120</v>
      </c>
      <c r="G597" t="s">
        <v>1349</v>
      </c>
      <c r="H597" s="82">
        <v>2.5</v>
      </c>
      <c r="I597">
        <v>11</v>
      </c>
      <c r="K597" t="s">
        <v>1575</v>
      </c>
      <c r="L597" s="6" t="s">
        <v>1371</v>
      </c>
      <c r="M597" s="6">
        <v>15</v>
      </c>
      <c r="N597" s="6">
        <v>2</v>
      </c>
      <c r="O597">
        <v>500</v>
      </c>
      <c r="P597">
        <v>202605</v>
      </c>
      <c r="Q597" t="s">
        <v>377</v>
      </c>
      <c r="R597" t="s">
        <v>1350</v>
      </c>
      <c r="S597">
        <f>Consulta1[[#This Row],[min_port]]/100</f>
        <v>1.4499999999999999E-2</v>
      </c>
      <c r="T597" s="252">
        <f>Consulta1[[#This Row],[TETO_COMERCIAL]]/100</f>
        <v>2.5000000000000001E-2</v>
      </c>
      <c r="U597" t="b">
        <f>Consulta1[[#This Row],[TETO_COMERCIAL_%]]=Consulta1[[#This Row],[TAXA]]</f>
        <v>0</v>
      </c>
      <c r="V597" t="str">
        <f>CONCATENATE(Consulta1[[#This Row],[MES_ALTERACAO]],Consulta1[[#This Row],[VIRADA]])</f>
        <v>20260515</v>
      </c>
      <c r="W597">
        <f>VLOOKUP(Consulta1[[#This Row],[Coluna2]],CALENDARIO!$J:$K,2,FALSE)</f>
        <v>10</v>
      </c>
    </row>
    <row r="598" spans="1:23" x14ac:dyDescent="0.25">
      <c r="A598" t="s">
        <v>1081</v>
      </c>
      <c r="B598" t="str">
        <f>CONCATENATE(Consulta1[[#This Row],[id]],Consulta1[[#This Row],[EMPREGADOR]])</f>
        <v>7MUTUMPREV</v>
      </c>
      <c r="C598" s="6">
        <f>IF(A598=A597,C597+1,1)</f>
        <v>7</v>
      </c>
      <c r="D598" t="s">
        <v>1088</v>
      </c>
      <c r="E598" s="101">
        <v>1.72E-2</v>
      </c>
      <c r="F598" s="6">
        <v>120</v>
      </c>
      <c r="G598" t="s">
        <v>1349</v>
      </c>
      <c r="H598" s="82">
        <v>2.5</v>
      </c>
      <c r="I598">
        <v>11</v>
      </c>
      <c r="K598" t="s">
        <v>1576</v>
      </c>
      <c r="L598" s="6" t="s">
        <v>1371</v>
      </c>
      <c r="M598" s="6">
        <v>15</v>
      </c>
      <c r="N598" s="6">
        <v>2</v>
      </c>
      <c r="O598">
        <v>500</v>
      </c>
      <c r="P598">
        <v>202605</v>
      </c>
      <c r="Q598" t="s">
        <v>377</v>
      </c>
      <c r="R598" t="s">
        <v>1350</v>
      </c>
      <c r="S598">
        <f>Consulta1[[#This Row],[min_port]]/100</f>
        <v>1.4499999999999999E-2</v>
      </c>
      <c r="T598" s="252">
        <f>Consulta1[[#This Row],[TETO_COMERCIAL]]/100</f>
        <v>2.5000000000000001E-2</v>
      </c>
      <c r="U598" t="b">
        <f>Consulta1[[#This Row],[TETO_COMERCIAL_%]]=Consulta1[[#This Row],[TAXA]]</f>
        <v>0</v>
      </c>
      <c r="V598" t="str">
        <f>CONCATENATE(Consulta1[[#This Row],[MES_ALTERACAO]],Consulta1[[#This Row],[VIRADA]])</f>
        <v>20260515</v>
      </c>
      <c r="W598">
        <f>VLOOKUP(Consulta1[[#This Row],[Coluna2]],CALENDARIO!$J:$K,2,FALSE)</f>
        <v>10</v>
      </c>
    </row>
    <row r="599" spans="1:23" x14ac:dyDescent="0.25">
      <c r="A599" t="s">
        <v>1081</v>
      </c>
      <c r="B599" t="str">
        <f>CONCATENATE(Consulta1[[#This Row],[id]],Consulta1[[#This Row],[EMPREGADOR]])</f>
        <v>8MUTUMPREV</v>
      </c>
      <c r="C599" s="6">
        <f>IF(A599=A598,C598+1,1)</f>
        <v>8</v>
      </c>
      <c r="D599" t="s">
        <v>1089</v>
      </c>
      <c r="E599" s="101">
        <v>1.7000000000000001E-2</v>
      </c>
      <c r="F599" s="6">
        <v>120</v>
      </c>
      <c r="G599" t="s">
        <v>1349</v>
      </c>
      <c r="H599" s="82">
        <v>2.5</v>
      </c>
      <c r="I599">
        <v>11</v>
      </c>
      <c r="K599" t="s">
        <v>1577</v>
      </c>
      <c r="L599" s="6" t="s">
        <v>1371</v>
      </c>
      <c r="M599" s="6">
        <v>15</v>
      </c>
      <c r="N599" s="6">
        <v>2</v>
      </c>
      <c r="O599">
        <v>500</v>
      </c>
      <c r="P599">
        <v>202605</v>
      </c>
      <c r="Q599" t="s">
        <v>377</v>
      </c>
      <c r="R599" t="s">
        <v>1350</v>
      </c>
      <c r="S599">
        <f>Consulta1[[#This Row],[min_port]]/100</f>
        <v>1.4499999999999999E-2</v>
      </c>
      <c r="T599" s="252">
        <f>Consulta1[[#This Row],[TETO_COMERCIAL]]/100</f>
        <v>2.5000000000000001E-2</v>
      </c>
      <c r="U599" t="b">
        <f>Consulta1[[#This Row],[TETO_COMERCIAL_%]]=Consulta1[[#This Row],[TAXA]]</f>
        <v>0</v>
      </c>
      <c r="V599" t="str">
        <f>CONCATENATE(Consulta1[[#This Row],[MES_ALTERACAO]],Consulta1[[#This Row],[VIRADA]])</f>
        <v>20260515</v>
      </c>
      <c r="W599">
        <f>VLOOKUP(Consulta1[[#This Row],[Coluna2]],CALENDARIO!$J:$K,2,FALSE)</f>
        <v>10</v>
      </c>
    </row>
    <row r="600" spans="1:23" x14ac:dyDescent="0.25">
      <c r="A600" t="s">
        <v>1081</v>
      </c>
      <c r="B600" t="str">
        <f>CONCATENATE(Consulta1[[#This Row],[id]],Consulta1[[#This Row],[EMPREGADOR]])</f>
        <v>9MUTUMPREV</v>
      </c>
      <c r="C600" s="6">
        <f>IF(A600=A599,C599+1,1)</f>
        <v>9</v>
      </c>
      <c r="D600" t="s">
        <v>1090</v>
      </c>
      <c r="E600" s="101">
        <v>1.6799999999999999E-2</v>
      </c>
      <c r="F600" s="6">
        <v>120</v>
      </c>
      <c r="G600" t="s">
        <v>1349</v>
      </c>
      <c r="H600" s="82">
        <v>2.5</v>
      </c>
      <c r="I600">
        <v>11</v>
      </c>
      <c r="K600" t="s">
        <v>1578</v>
      </c>
      <c r="L600" s="6" t="s">
        <v>1371</v>
      </c>
      <c r="M600" s="6">
        <v>15</v>
      </c>
      <c r="N600" s="6">
        <v>2</v>
      </c>
      <c r="O600">
        <v>500</v>
      </c>
      <c r="P600">
        <v>202605</v>
      </c>
      <c r="Q600" t="s">
        <v>377</v>
      </c>
      <c r="R600" t="s">
        <v>1350</v>
      </c>
      <c r="S600">
        <f>Consulta1[[#This Row],[min_port]]/100</f>
        <v>1.4499999999999999E-2</v>
      </c>
      <c r="T600" s="252">
        <f>Consulta1[[#This Row],[TETO_COMERCIAL]]/100</f>
        <v>2.5000000000000001E-2</v>
      </c>
      <c r="U600" t="b">
        <f>Consulta1[[#This Row],[TETO_COMERCIAL_%]]=Consulta1[[#This Row],[TAXA]]</f>
        <v>0</v>
      </c>
      <c r="V600" t="str">
        <f>CONCATENATE(Consulta1[[#This Row],[MES_ALTERACAO]],Consulta1[[#This Row],[VIRADA]])</f>
        <v>20260515</v>
      </c>
      <c r="W600">
        <f>VLOOKUP(Consulta1[[#This Row],[Coluna2]],CALENDARIO!$J:$K,2,FALSE)</f>
        <v>10</v>
      </c>
    </row>
    <row r="601" spans="1:23" x14ac:dyDescent="0.25">
      <c r="A601" t="s">
        <v>3023</v>
      </c>
      <c r="B601" t="str">
        <f>CONCATENATE(Consulta1[[#This Row],[id]],Consulta1[[#This Row],[EMPREGADOR]])</f>
        <v>1OMSS REGISTRO</v>
      </c>
      <c r="C601" s="6">
        <f>IF(A601=A600,C600+1,1)</f>
        <v>1</v>
      </c>
      <c r="D601" t="s">
        <v>1155</v>
      </c>
      <c r="E601" s="101">
        <v>2.5000000000000001E-2</v>
      </c>
      <c r="F601" s="6">
        <v>120</v>
      </c>
      <c r="G601" t="s">
        <v>1349</v>
      </c>
      <c r="H601" s="82">
        <v>2.5</v>
      </c>
      <c r="I601">
        <v>15</v>
      </c>
      <c r="K601" t="s">
        <v>1579</v>
      </c>
      <c r="L601" s="6" t="s">
        <v>1399</v>
      </c>
      <c r="M601" s="6">
        <v>15</v>
      </c>
      <c r="N601" s="6">
        <v>2</v>
      </c>
      <c r="O601">
        <v>500</v>
      </c>
      <c r="P601">
        <v>202605</v>
      </c>
      <c r="Q601" t="s">
        <v>377</v>
      </c>
      <c r="R601" t="s">
        <v>1353</v>
      </c>
      <c r="S601">
        <f>Consulta1[[#This Row],[min_port]]/100</f>
        <v>1.3899999999999999E-2</v>
      </c>
      <c r="T601" s="252">
        <f>Consulta1[[#This Row],[TETO_COMERCIAL]]/100</f>
        <v>2.5000000000000001E-2</v>
      </c>
      <c r="U601" t="b">
        <f>Consulta1[[#This Row],[TETO_COMERCIAL_%]]=Consulta1[[#This Row],[TAXA]]</f>
        <v>1</v>
      </c>
      <c r="V601" t="str">
        <f>CONCATENATE(Consulta1[[#This Row],[MES_ALTERACAO]],Consulta1[[#This Row],[VIRADA]])</f>
        <v>20260515</v>
      </c>
      <c r="W601">
        <f>VLOOKUP(Consulta1[[#This Row],[Coluna2]],CALENDARIO!$J:$K,2,FALSE)</f>
        <v>10</v>
      </c>
    </row>
    <row r="602" spans="1:23" x14ac:dyDescent="0.25">
      <c r="A602" t="s">
        <v>3023</v>
      </c>
      <c r="B602" t="str">
        <f>CONCATENATE(Consulta1[[#This Row],[id]],Consulta1[[#This Row],[EMPREGADOR]])</f>
        <v>2OMSS REGISTRO</v>
      </c>
      <c r="C602" s="6">
        <f>IF(A602=A601,C601+1,1)</f>
        <v>2</v>
      </c>
      <c r="D602" t="s">
        <v>1156</v>
      </c>
      <c r="E602" s="101">
        <v>2.3900000000000001E-2</v>
      </c>
      <c r="F602" s="6">
        <v>120</v>
      </c>
      <c r="G602" t="s">
        <v>1349</v>
      </c>
      <c r="H602" s="82">
        <v>2.5</v>
      </c>
      <c r="I602">
        <v>15</v>
      </c>
      <c r="K602" t="s">
        <v>1580</v>
      </c>
      <c r="L602" s="6" t="s">
        <v>1399</v>
      </c>
      <c r="M602" s="6">
        <v>15</v>
      </c>
      <c r="N602" s="6">
        <v>2</v>
      </c>
      <c r="O602">
        <v>500</v>
      </c>
      <c r="P602">
        <v>202605</v>
      </c>
      <c r="Q602" t="s">
        <v>377</v>
      </c>
      <c r="R602" t="s">
        <v>1353</v>
      </c>
      <c r="S602">
        <f>Consulta1[[#This Row],[min_port]]/100</f>
        <v>1.3899999999999999E-2</v>
      </c>
      <c r="T602" s="252">
        <f>Consulta1[[#This Row],[TETO_COMERCIAL]]/100</f>
        <v>2.5000000000000001E-2</v>
      </c>
      <c r="U602" t="b">
        <f>Consulta1[[#This Row],[TETO_COMERCIAL_%]]=Consulta1[[#This Row],[TAXA]]</f>
        <v>0</v>
      </c>
      <c r="V602" t="str">
        <f>CONCATENATE(Consulta1[[#This Row],[MES_ALTERACAO]],Consulta1[[#This Row],[VIRADA]])</f>
        <v>20260515</v>
      </c>
      <c r="W602">
        <f>VLOOKUP(Consulta1[[#This Row],[Coluna2]],CALENDARIO!$J:$K,2,FALSE)</f>
        <v>10</v>
      </c>
    </row>
    <row r="603" spans="1:23" x14ac:dyDescent="0.25">
      <c r="A603" t="s">
        <v>3023</v>
      </c>
      <c r="B603" t="str">
        <f>CONCATENATE(Consulta1[[#This Row],[id]],Consulta1[[#This Row],[EMPREGADOR]])</f>
        <v>3OMSS REGISTRO</v>
      </c>
      <c r="C603" s="6">
        <f>IF(A603=A602,C602+1,1)</f>
        <v>3</v>
      </c>
      <c r="D603" t="s">
        <v>1157</v>
      </c>
      <c r="E603" s="101">
        <v>2.29E-2</v>
      </c>
      <c r="F603" s="6">
        <v>120</v>
      </c>
      <c r="G603" t="s">
        <v>1349</v>
      </c>
      <c r="H603" s="82">
        <v>2.5</v>
      </c>
      <c r="I603">
        <v>15</v>
      </c>
      <c r="J603">
        <v>56</v>
      </c>
      <c r="K603" t="s">
        <v>1581</v>
      </c>
      <c r="L603" s="6" t="s">
        <v>1399</v>
      </c>
      <c r="M603" s="6">
        <v>15</v>
      </c>
      <c r="N603" s="6">
        <v>2</v>
      </c>
      <c r="O603">
        <v>500</v>
      </c>
      <c r="P603">
        <v>202605</v>
      </c>
      <c r="Q603" t="s">
        <v>377</v>
      </c>
      <c r="R603" t="s">
        <v>1353</v>
      </c>
      <c r="S603">
        <f>Consulta1[[#This Row],[min_port]]/100</f>
        <v>1.3899999999999999E-2</v>
      </c>
      <c r="T603" s="252">
        <f>Consulta1[[#This Row],[TETO_COMERCIAL]]/100</f>
        <v>2.5000000000000001E-2</v>
      </c>
      <c r="U603" t="b">
        <f>Consulta1[[#This Row],[TETO_COMERCIAL_%]]=Consulta1[[#This Row],[TAXA]]</f>
        <v>0</v>
      </c>
      <c r="V603" t="str">
        <f>CONCATENATE(Consulta1[[#This Row],[MES_ALTERACAO]],Consulta1[[#This Row],[VIRADA]])</f>
        <v>20260515</v>
      </c>
      <c r="W603">
        <f>VLOOKUP(Consulta1[[#This Row],[Coluna2]],CALENDARIO!$J:$K,2,FALSE)</f>
        <v>10</v>
      </c>
    </row>
    <row r="604" spans="1:23" x14ac:dyDescent="0.25">
      <c r="A604" t="s">
        <v>3023</v>
      </c>
      <c r="B604" t="str">
        <f>CONCATENATE(Consulta1[[#This Row],[id]],Consulta1[[#This Row],[EMPREGADOR]])</f>
        <v>4OMSS REGISTRO</v>
      </c>
      <c r="C604" s="6">
        <f>IF(A604=A603,C603+1,1)</f>
        <v>4</v>
      </c>
      <c r="D604" t="s">
        <v>1158</v>
      </c>
      <c r="E604" s="101">
        <v>2.1899999999999999E-2</v>
      </c>
      <c r="F604" s="6">
        <v>120</v>
      </c>
      <c r="G604" t="s">
        <v>1349</v>
      </c>
      <c r="H604" s="82">
        <v>2.5</v>
      </c>
      <c r="I604">
        <v>15</v>
      </c>
      <c r="K604" t="s">
        <v>1582</v>
      </c>
      <c r="L604" s="6" t="s">
        <v>1399</v>
      </c>
      <c r="M604" s="6">
        <v>15</v>
      </c>
      <c r="N604" s="6">
        <v>2</v>
      </c>
      <c r="O604">
        <v>500</v>
      </c>
      <c r="P604">
        <v>202605</v>
      </c>
      <c r="Q604" t="s">
        <v>377</v>
      </c>
      <c r="R604" t="s">
        <v>1353</v>
      </c>
      <c r="S604">
        <f>Consulta1[[#This Row],[min_port]]/100</f>
        <v>1.3899999999999999E-2</v>
      </c>
      <c r="T604" s="252">
        <f>Consulta1[[#This Row],[TETO_COMERCIAL]]/100</f>
        <v>2.5000000000000001E-2</v>
      </c>
      <c r="U604" t="b">
        <f>Consulta1[[#This Row],[TETO_COMERCIAL_%]]=Consulta1[[#This Row],[TAXA]]</f>
        <v>0</v>
      </c>
      <c r="V604" t="str">
        <f>CONCATENATE(Consulta1[[#This Row],[MES_ALTERACAO]],Consulta1[[#This Row],[VIRADA]])</f>
        <v>20260515</v>
      </c>
      <c r="W604">
        <f>VLOOKUP(Consulta1[[#This Row],[Coluna2]],CALENDARIO!$J:$K,2,FALSE)</f>
        <v>10</v>
      </c>
    </row>
    <row r="605" spans="1:23" x14ac:dyDescent="0.25">
      <c r="A605" t="s">
        <v>3023</v>
      </c>
      <c r="B605" t="str">
        <f>CONCATENATE(Consulta1[[#This Row],[id]],Consulta1[[#This Row],[EMPREGADOR]])</f>
        <v>5OMSS REGISTRO</v>
      </c>
      <c r="C605" s="6">
        <f>IF(A605=A604,C604+1,1)</f>
        <v>5</v>
      </c>
      <c r="D605" t="s">
        <v>1159</v>
      </c>
      <c r="E605" s="101">
        <v>2.0899999999999998E-2</v>
      </c>
      <c r="F605" s="6">
        <v>120</v>
      </c>
      <c r="G605" t="s">
        <v>1349</v>
      </c>
      <c r="H605" s="82">
        <v>2.5</v>
      </c>
      <c r="I605">
        <v>15</v>
      </c>
      <c r="K605" t="s">
        <v>1583</v>
      </c>
      <c r="L605" s="6" t="s">
        <v>1399</v>
      </c>
      <c r="M605" s="6">
        <v>15</v>
      </c>
      <c r="N605" s="6">
        <v>2</v>
      </c>
      <c r="O605">
        <v>500</v>
      </c>
      <c r="P605">
        <v>202605</v>
      </c>
      <c r="Q605" t="s">
        <v>377</v>
      </c>
      <c r="R605" t="s">
        <v>1353</v>
      </c>
      <c r="S605">
        <f>Consulta1[[#This Row],[min_port]]/100</f>
        <v>1.3899999999999999E-2</v>
      </c>
      <c r="T605" s="252">
        <f>Consulta1[[#This Row],[TETO_COMERCIAL]]/100</f>
        <v>2.5000000000000001E-2</v>
      </c>
      <c r="U605" t="b">
        <f>Consulta1[[#This Row],[TETO_COMERCIAL_%]]=Consulta1[[#This Row],[TAXA]]</f>
        <v>0</v>
      </c>
      <c r="V605" t="str">
        <f>CONCATENATE(Consulta1[[#This Row],[MES_ALTERACAO]],Consulta1[[#This Row],[VIRADA]])</f>
        <v>20260515</v>
      </c>
      <c r="W605">
        <f>VLOOKUP(Consulta1[[#This Row],[Coluna2]],CALENDARIO!$J:$K,2,FALSE)</f>
        <v>10</v>
      </c>
    </row>
    <row r="606" spans="1:23" x14ac:dyDescent="0.25">
      <c r="A606" t="s">
        <v>3023</v>
      </c>
      <c r="B606" t="str">
        <f>CONCATENATE(Consulta1[[#This Row],[id]],Consulta1[[#This Row],[EMPREGADOR]])</f>
        <v>6OMSS REGISTRO</v>
      </c>
      <c r="C606" s="6">
        <f>IF(A606=A605,C605+1,1)</f>
        <v>6</v>
      </c>
      <c r="D606" t="s">
        <v>1160</v>
      </c>
      <c r="E606" s="101">
        <v>1.9900000000000001E-2</v>
      </c>
      <c r="F606" s="6">
        <v>120</v>
      </c>
      <c r="G606" t="s">
        <v>1349</v>
      </c>
      <c r="H606" s="82">
        <v>2.5</v>
      </c>
      <c r="I606">
        <v>15</v>
      </c>
      <c r="K606" t="s">
        <v>1584</v>
      </c>
      <c r="L606" s="6" t="s">
        <v>1399</v>
      </c>
      <c r="M606" s="6">
        <v>15</v>
      </c>
      <c r="N606" s="6">
        <v>2</v>
      </c>
      <c r="O606">
        <v>500</v>
      </c>
      <c r="P606">
        <v>202605</v>
      </c>
      <c r="Q606" t="s">
        <v>377</v>
      </c>
      <c r="R606" t="s">
        <v>1353</v>
      </c>
      <c r="S606">
        <f>Consulta1[[#This Row],[min_port]]/100</f>
        <v>1.3899999999999999E-2</v>
      </c>
      <c r="T606" s="252">
        <f>Consulta1[[#This Row],[TETO_COMERCIAL]]/100</f>
        <v>2.5000000000000001E-2</v>
      </c>
      <c r="U606" t="b">
        <f>Consulta1[[#This Row],[TETO_COMERCIAL_%]]=Consulta1[[#This Row],[TAXA]]</f>
        <v>0</v>
      </c>
      <c r="V606" t="str">
        <f>CONCATENATE(Consulta1[[#This Row],[MES_ALTERACAO]],Consulta1[[#This Row],[VIRADA]])</f>
        <v>20260515</v>
      </c>
      <c r="W606">
        <f>VLOOKUP(Consulta1[[#This Row],[Coluna2]],CALENDARIO!$J:$K,2,FALSE)</f>
        <v>10</v>
      </c>
    </row>
    <row r="607" spans="1:23" x14ac:dyDescent="0.25">
      <c r="A607" t="s">
        <v>3023</v>
      </c>
      <c r="B607" t="str">
        <f>CONCATENATE(Consulta1[[#This Row],[id]],Consulta1[[#This Row],[EMPREGADOR]])</f>
        <v>7OMSS REGISTRO</v>
      </c>
      <c r="C607" s="6">
        <f>IF(A607=A606,C606+1,1)</f>
        <v>7</v>
      </c>
      <c r="D607" t="s">
        <v>1161</v>
      </c>
      <c r="E607" s="101">
        <v>1.89E-2</v>
      </c>
      <c r="F607" s="6">
        <v>120</v>
      </c>
      <c r="G607" t="s">
        <v>1349</v>
      </c>
      <c r="H607" s="82">
        <v>2.5</v>
      </c>
      <c r="I607">
        <v>15</v>
      </c>
      <c r="K607" t="s">
        <v>1585</v>
      </c>
      <c r="L607" s="6" t="s">
        <v>1399</v>
      </c>
      <c r="M607" s="6">
        <v>15</v>
      </c>
      <c r="N607" s="6">
        <v>2</v>
      </c>
      <c r="O607">
        <v>500</v>
      </c>
      <c r="P607">
        <v>202605</v>
      </c>
      <c r="Q607" t="s">
        <v>377</v>
      </c>
      <c r="R607" t="s">
        <v>1353</v>
      </c>
      <c r="S607">
        <f>Consulta1[[#This Row],[min_port]]/100</f>
        <v>1.3899999999999999E-2</v>
      </c>
      <c r="T607" s="252">
        <f>Consulta1[[#This Row],[TETO_COMERCIAL]]/100</f>
        <v>2.5000000000000001E-2</v>
      </c>
      <c r="U607" t="b">
        <f>Consulta1[[#This Row],[TETO_COMERCIAL_%]]=Consulta1[[#This Row],[TAXA]]</f>
        <v>0</v>
      </c>
      <c r="V607" t="str">
        <f>CONCATENATE(Consulta1[[#This Row],[MES_ALTERACAO]],Consulta1[[#This Row],[VIRADA]])</f>
        <v>20260515</v>
      </c>
      <c r="W607">
        <f>VLOOKUP(Consulta1[[#This Row],[Coluna2]],CALENDARIO!$J:$K,2,FALSE)</f>
        <v>10</v>
      </c>
    </row>
    <row r="608" spans="1:23" x14ac:dyDescent="0.25">
      <c r="A608" t="s">
        <v>3023</v>
      </c>
      <c r="B608" t="str">
        <f>CONCATENATE(Consulta1[[#This Row],[id]],Consulta1[[#This Row],[EMPREGADOR]])</f>
        <v>8OMSS REGISTRO</v>
      </c>
      <c r="C608" s="6">
        <f>IF(A608=A607,C607+1,1)</f>
        <v>8</v>
      </c>
      <c r="D608" t="s">
        <v>1162</v>
      </c>
      <c r="E608" s="101">
        <v>1.7899999999999999E-2</v>
      </c>
      <c r="F608" s="6">
        <v>120</v>
      </c>
      <c r="G608" t="s">
        <v>1349</v>
      </c>
      <c r="H608" s="82">
        <v>2.5</v>
      </c>
      <c r="I608">
        <v>15</v>
      </c>
      <c r="K608" t="s">
        <v>1586</v>
      </c>
      <c r="L608" s="6" t="s">
        <v>1399</v>
      </c>
      <c r="M608" s="6">
        <v>15</v>
      </c>
      <c r="N608" s="6">
        <v>2</v>
      </c>
      <c r="O608">
        <v>500</v>
      </c>
      <c r="P608">
        <v>202605</v>
      </c>
      <c r="Q608" t="s">
        <v>377</v>
      </c>
      <c r="R608" t="s">
        <v>1353</v>
      </c>
      <c r="S608">
        <f>Consulta1[[#This Row],[min_port]]/100</f>
        <v>1.3899999999999999E-2</v>
      </c>
      <c r="T608" s="252">
        <f>Consulta1[[#This Row],[TETO_COMERCIAL]]/100</f>
        <v>2.5000000000000001E-2</v>
      </c>
      <c r="U608" t="b">
        <f>Consulta1[[#This Row],[TETO_COMERCIAL_%]]=Consulta1[[#This Row],[TAXA]]</f>
        <v>0</v>
      </c>
      <c r="V608" t="str">
        <f>CONCATENATE(Consulta1[[#This Row],[MES_ALTERACAO]],Consulta1[[#This Row],[VIRADA]])</f>
        <v>20260515</v>
      </c>
      <c r="W608">
        <f>VLOOKUP(Consulta1[[#This Row],[Coluna2]],CALENDARIO!$J:$K,2,FALSE)</f>
        <v>10</v>
      </c>
    </row>
    <row r="609" spans="1:23" x14ac:dyDescent="0.25">
      <c r="A609" t="s">
        <v>3024</v>
      </c>
      <c r="B609" t="str">
        <f>CONCATENATE(Consulta1[[#This Row],[id]],Consulta1[[#This Row],[EMPREGADOR]])</f>
        <v>1PICOSPREV PI</v>
      </c>
      <c r="C609" s="6">
        <f>IF(A609=A608,C608+1,1)</f>
        <v>1</v>
      </c>
      <c r="D609" t="s">
        <v>758</v>
      </c>
      <c r="E609" s="101">
        <v>2.5000000000000001E-2</v>
      </c>
      <c r="F609" s="6">
        <v>120</v>
      </c>
      <c r="G609" t="s">
        <v>1349</v>
      </c>
      <c r="H609" s="82">
        <v>2.5</v>
      </c>
      <c r="I609">
        <v>12</v>
      </c>
      <c r="K609" t="s">
        <v>1587</v>
      </c>
      <c r="L609" s="6" t="s">
        <v>1374</v>
      </c>
      <c r="M609" s="6">
        <v>10</v>
      </c>
      <c r="N609" s="6">
        <v>2</v>
      </c>
      <c r="O609">
        <v>500</v>
      </c>
      <c r="P609">
        <v>202605</v>
      </c>
      <c r="Q609" t="s">
        <v>378</v>
      </c>
      <c r="R609" t="s">
        <v>1353</v>
      </c>
      <c r="S609">
        <f>Consulta1[[#This Row],[min_port]]/100</f>
        <v>1.4999999999999999E-2</v>
      </c>
      <c r="T609" s="252">
        <f>Consulta1[[#This Row],[TETO_COMERCIAL]]/100</f>
        <v>2.5000000000000001E-2</v>
      </c>
      <c r="U609" t="b">
        <f>Consulta1[[#This Row],[TETO_COMERCIAL_%]]=Consulta1[[#This Row],[TAXA]]</f>
        <v>1</v>
      </c>
      <c r="V609" t="str">
        <f>CONCATENATE(Consulta1[[#This Row],[MES_ALTERACAO]],Consulta1[[#This Row],[VIRADA]])</f>
        <v>20260510</v>
      </c>
      <c r="W609">
        <f>VLOOKUP(Consulta1[[#This Row],[Coluna2]],CALENDARIO!$J:$K,2,FALSE)</f>
        <v>5</v>
      </c>
    </row>
    <row r="610" spans="1:23" x14ac:dyDescent="0.25">
      <c r="A610" t="s">
        <v>3024</v>
      </c>
      <c r="B610" t="str">
        <f>CONCATENATE(Consulta1[[#This Row],[id]],Consulta1[[#This Row],[EMPREGADOR]])</f>
        <v>2PICOSPREV PI</v>
      </c>
      <c r="C610" s="6">
        <f>IF(A610=A609,C609+1,1)</f>
        <v>2</v>
      </c>
      <c r="D610" t="s">
        <v>759</v>
      </c>
      <c r="E610" s="101">
        <v>2.4E-2</v>
      </c>
      <c r="F610" s="6">
        <v>120</v>
      </c>
      <c r="G610" t="s">
        <v>1349</v>
      </c>
      <c r="H610" s="82">
        <v>2.5</v>
      </c>
      <c r="I610">
        <v>12</v>
      </c>
      <c r="K610" t="s">
        <v>1588</v>
      </c>
      <c r="L610" s="6" t="s">
        <v>1374</v>
      </c>
      <c r="M610" s="6">
        <v>10</v>
      </c>
      <c r="N610" s="6">
        <v>2</v>
      </c>
      <c r="O610">
        <v>500</v>
      </c>
      <c r="P610">
        <v>202605</v>
      </c>
      <c r="Q610" t="s">
        <v>378</v>
      </c>
      <c r="R610" t="s">
        <v>1353</v>
      </c>
      <c r="S610">
        <f>Consulta1[[#This Row],[min_port]]/100</f>
        <v>1.4999999999999999E-2</v>
      </c>
      <c r="T610" s="252">
        <f>Consulta1[[#This Row],[TETO_COMERCIAL]]/100</f>
        <v>2.5000000000000001E-2</v>
      </c>
      <c r="U610" t="b">
        <f>Consulta1[[#This Row],[TETO_COMERCIAL_%]]=Consulta1[[#This Row],[TAXA]]</f>
        <v>0</v>
      </c>
      <c r="V610" t="str">
        <f>CONCATENATE(Consulta1[[#This Row],[MES_ALTERACAO]],Consulta1[[#This Row],[VIRADA]])</f>
        <v>20260510</v>
      </c>
      <c r="W610">
        <f>VLOOKUP(Consulta1[[#This Row],[Coluna2]],CALENDARIO!$J:$K,2,FALSE)</f>
        <v>5</v>
      </c>
    </row>
    <row r="611" spans="1:23" x14ac:dyDescent="0.25">
      <c r="A611" t="s">
        <v>3024</v>
      </c>
      <c r="B611" t="str">
        <f>CONCATENATE(Consulta1[[#This Row],[id]],Consulta1[[#This Row],[EMPREGADOR]])</f>
        <v>3PICOSPREV PI</v>
      </c>
      <c r="C611" s="6">
        <f>IF(A611=A610,C610+1,1)</f>
        <v>3</v>
      </c>
      <c r="D611" t="s">
        <v>760</v>
      </c>
      <c r="E611" s="101">
        <v>2.3E-2</v>
      </c>
      <c r="F611" s="6">
        <v>120</v>
      </c>
      <c r="G611" t="s">
        <v>1349</v>
      </c>
      <c r="H611" s="82">
        <v>2.5</v>
      </c>
      <c r="I611">
        <v>12</v>
      </c>
      <c r="K611" t="s">
        <v>1589</v>
      </c>
      <c r="L611" s="6" t="s">
        <v>1374</v>
      </c>
      <c r="M611" s="6">
        <v>10</v>
      </c>
      <c r="N611" s="6">
        <v>2</v>
      </c>
      <c r="O611">
        <v>500</v>
      </c>
      <c r="P611">
        <v>202605</v>
      </c>
      <c r="Q611" t="s">
        <v>378</v>
      </c>
      <c r="R611" t="s">
        <v>1353</v>
      </c>
      <c r="S611">
        <f>Consulta1[[#This Row],[min_port]]/100</f>
        <v>1.4999999999999999E-2</v>
      </c>
      <c r="T611" s="252">
        <f>Consulta1[[#This Row],[TETO_COMERCIAL]]/100</f>
        <v>2.5000000000000001E-2</v>
      </c>
      <c r="U611" t="b">
        <f>Consulta1[[#This Row],[TETO_COMERCIAL_%]]=Consulta1[[#This Row],[TAXA]]</f>
        <v>0</v>
      </c>
      <c r="V611" t="str">
        <f>CONCATENATE(Consulta1[[#This Row],[MES_ALTERACAO]],Consulta1[[#This Row],[VIRADA]])</f>
        <v>20260510</v>
      </c>
      <c r="W611">
        <f>VLOOKUP(Consulta1[[#This Row],[Coluna2]],CALENDARIO!$J:$K,2,FALSE)</f>
        <v>5</v>
      </c>
    </row>
    <row r="612" spans="1:23" x14ac:dyDescent="0.25">
      <c r="A612" t="s">
        <v>3024</v>
      </c>
      <c r="B612" t="str">
        <f>CONCATENATE(Consulta1[[#This Row],[id]],Consulta1[[#This Row],[EMPREGADOR]])</f>
        <v>4PICOSPREV PI</v>
      </c>
      <c r="C612" s="6">
        <f>IF(A612=A611,C611+1,1)</f>
        <v>4</v>
      </c>
      <c r="D612" t="s">
        <v>761</v>
      </c>
      <c r="E612" s="101">
        <v>2.2000000000000002E-2</v>
      </c>
      <c r="F612" s="6">
        <v>120</v>
      </c>
      <c r="G612" t="s">
        <v>1349</v>
      </c>
      <c r="H612" s="82">
        <v>2.5</v>
      </c>
      <c r="I612">
        <v>12</v>
      </c>
      <c r="K612" t="s">
        <v>1590</v>
      </c>
      <c r="L612" s="6" t="s">
        <v>1374</v>
      </c>
      <c r="M612" s="6">
        <v>10</v>
      </c>
      <c r="N612" s="6">
        <v>2</v>
      </c>
      <c r="O612">
        <v>500</v>
      </c>
      <c r="P612">
        <v>202605</v>
      </c>
      <c r="Q612" t="s">
        <v>378</v>
      </c>
      <c r="R612" t="s">
        <v>1353</v>
      </c>
      <c r="S612">
        <f>Consulta1[[#This Row],[min_port]]/100</f>
        <v>1.4999999999999999E-2</v>
      </c>
      <c r="T612" s="252">
        <f>Consulta1[[#This Row],[TETO_COMERCIAL]]/100</f>
        <v>2.5000000000000001E-2</v>
      </c>
      <c r="U612" t="b">
        <f>Consulta1[[#This Row],[TETO_COMERCIAL_%]]=Consulta1[[#This Row],[TAXA]]</f>
        <v>0</v>
      </c>
      <c r="V612" t="str">
        <f>CONCATENATE(Consulta1[[#This Row],[MES_ALTERACAO]],Consulta1[[#This Row],[VIRADA]])</f>
        <v>20260510</v>
      </c>
      <c r="W612">
        <f>VLOOKUP(Consulta1[[#This Row],[Coluna2]],CALENDARIO!$J:$K,2,FALSE)</f>
        <v>5</v>
      </c>
    </row>
    <row r="613" spans="1:23" x14ac:dyDescent="0.25">
      <c r="A613" t="s">
        <v>3024</v>
      </c>
      <c r="B613" t="str">
        <f>CONCATENATE(Consulta1[[#This Row],[id]],Consulta1[[#This Row],[EMPREGADOR]])</f>
        <v>5PICOSPREV PI</v>
      </c>
      <c r="C613" s="6">
        <f>IF(A613=A612,C612+1,1)</f>
        <v>5</v>
      </c>
      <c r="D613" t="s">
        <v>762</v>
      </c>
      <c r="E613" s="101">
        <v>2.1499999999999998E-2</v>
      </c>
      <c r="F613" s="6">
        <v>120</v>
      </c>
      <c r="G613" t="s">
        <v>1349</v>
      </c>
      <c r="H613" s="82">
        <v>2.5</v>
      </c>
      <c r="I613">
        <v>12</v>
      </c>
      <c r="K613" t="s">
        <v>1591</v>
      </c>
      <c r="L613" s="6" t="s">
        <v>1374</v>
      </c>
      <c r="M613" s="6">
        <v>10</v>
      </c>
      <c r="N613" s="6">
        <v>2</v>
      </c>
      <c r="O613">
        <v>500</v>
      </c>
      <c r="P613">
        <v>202605</v>
      </c>
      <c r="Q613" t="s">
        <v>378</v>
      </c>
      <c r="R613" t="s">
        <v>1353</v>
      </c>
      <c r="S613">
        <f>Consulta1[[#This Row],[min_port]]/100</f>
        <v>1.4999999999999999E-2</v>
      </c>
      <c r="T613" s="252">
        <f>Consulta1[[#This Row],[TETO_COMERCIAL]]/100</f>
        <v>2.5000000000000001E-2</v>
      </c>
      <c r="U613" t="b">
        <f>Consulta1[[#This Row],[TETO_COMERCIAL_%]]=Consulta1[[#This Row],[TAXA]]</f>
        <v>0</v>
      </c>
      <c r="V613" t="str">
        <f>CONCATENATE(Consulta1[[#This Row],[MES_ALTERACAO]],Consulta1[[#This Row],[VIRADA]])</f>
        <v>20260510</v>
      </c>
      <c r="W613">
        <f>VLOOKUP(Consulta1[[#This Row],[Coluna2]],CALENDARIO!$J:$K,2,FALSE)</f>
        <v>5</v>
      </c>
    </row>
    <row r="614" spans="1:23" x14ac:dyDescent="0.25">
      <c r="A614" t="s">
        <v>218</v>
      </c>
      <c r="B614" t="str">
        <f>CONCATENATE(Consulta1[[#This Row],[id]],Consulta1[[#This Row],[EMPREGADOR]])</f>
        <v>1PM FEIRA DE SAN</v>
      </c>
      <c r="C614" s="6">
        <f>IF(A614=A613,C613+1,1)</f>
        <v>1</v>
      </c>
      <c r="D614" t="s">
        <v>629</v>
      </c>
      <c r="E614" s="101">
        <v>2.5000000000000001E-2</v>
      </c>
      <c r="F614" s="6">
        <v>120</v>
      </c>
      <c r="G614" t="s">
        <v>1349</v>
      </c>
      <c r="H614" s="82">
        <v>2.5</v>
      </c>
      <c r="I614">
        <v>10</v>
      </c>
      <c r="J614">
        <v>46</v>
      </c>
      <c r="K614" t="s">
        <v>1592</v>
      </c>
      <c r="L614" s="6" t="s">
        <v>1381</v>
      </c>
      <c r="M614" s="6">
        <v>30</v>
      </c>
      <c r="N614" s="6">
        <v>2</v>
      </c>
      <c r="O614">
        <v>500</v>
      </c>
      <c r="P614">
        <v>202605</v>
      </c>
      <c r="Q614" t="s">
        <v>378</v>
      </c>
      <c r="R614" t="s">
        <v>1353</v>
      </c>
      <c r="S614">
        <f>Consulta1[[#This Row],[min_port]]/100</f>
        <v>1.3999999999999999E-2</v>
      </c>
      <c r="T614" s="252">
        <f>Consulta1[[#This Row],[TETO_COMERCIAL]]/100</f>
        <v>2.5000000000000001E-2</v>
      </c>
      <c r="U614" t="b">
        <f>Consulta1[[#This Row],[TETO_COMERCIAL_%]]=Consulta1[[#This Row],[TAXA]]</f>
        <v>1</v>
      </c>
      <c r="V614" t="str">
        <f>CONCATENATE(Consulta1[[#This Row],[MES_ALTERACAO]],Consulta1[[#This Row],[VIRADA]])</f>
        <v>20260530</v>
      </c>
      <c r="W614">
        <f>VLOOKUP(Consulta1[[#This Row],[Coluna2]],CALENDARIO!$J:$K,2,FALSE)</f>
        <v>20</v>
      </c>
    </row>
    <row r="615" spans="1:23" x14ac:dyDescent="0.25">
      <c r="A615" t="s">
        <v>218</v>
      </c>
      <c r="B615" t="str">
        <f>CONCATENATE(Consulta1[[#This Row],[id]],Consulta1[[#This Row],[EMPREGADOR]])</f>
        <v>2PM FEIRA DE SAN</v>
      </c>
      <c r="C615" s="6">
        <f>IF(A615=A614,C614+1,1)</f>
        <v>2</v>
      </c>
      <c r="D615" t="s">
        <v>3701</v>
      </c>
      <c r="E615" s="101">
        <v>2.4E-2</v>
      </c>
      <c r="F615" s="6">
        <v>120</v>
      </c>
      <c r="G615" t="s">
        <v>1349</v>
      </c>
      <c r="H615" s="82">
        <v>2.5</v>
      </c>
      <c r="I615">
        <v>10</v>
      </c>
      <c r="J615">
        <v>56</v>
      </c>
      <c r="K615" t="s">
        <v>3702</v>
      </c>
      <c r="L615" s="6" t="s">
        <v>1381</v>
      </c>
      <c r="M615" s="6">
        <v>30</v>
      </c>
      <c r="N615" s="6">
        <v>2</v>
      </c>
      <c r="O615">
        <v>500</v>
      </c>
      <c r="P615">
        <v>202605</v>
      </c>
      <c r="Q615" t="s">
        <v>378</v>
      </c>
      <c r="R615" t="s">
        <v>1353</v>
      </c>
      <c r="S615">
        <f>Consulta1[[#This Row],[min_port]]/100</f>
        <v>1.3999999999999999E-2</v>
      </c>
      <c r="T615" s="252">
        <f>Consulta1[[#This Row],[TETO_COMERCIAL]]/100</f>
        <v>2.5000000000000001E-2</v>
      </c>
      <c r="U615" t="b">
        <f>Consulta1[[#This Row],[TETO_COMERCIAL_%]]=Consulta1[[#This Row],[TAXA]]</f>
        <v>0</v>
      </c>
      <c r="V615" t="str">
        <f>CONCATENATE(Consulta1[[#This Row],[MES_ALTERACAO]],Consulta1[[#This Row],[VIRADA]])</f>
        <v>20260530</v>
      </c>
      <c r="W615">
        <f>VLOOKUP(Consulta1[[#This Row],[Coluna2]],CALENDARIO!$J:$K,2,FALSE)</f>
        <v>20</v>
      </c>
    </row>
    <row r="616" spans="1:23" x14ac:dyDescent="0.25">
      <c r="A616" t="s">
        <v>218</v>
      </c>
      <c r="B616" t="str">
        <f>CONCATENATE(Consulta1[[#This Row],[id]],Consulta1[[#This Row],[EMPREGADOR]])</f>
        <v>3PM FEIRA DE SAN</v>
      </c>
      <c r="C616" s="6">
        <f>IF(A616=A615,C615+1,1)</f>
        <v>3</v>
      </c>
      <c r="D616" t="s">
        <v>219</v>
      </c>
      <c r="E616" s="101">
        <v>2.3E-2</v>
      </c>
      <c r="F616" s="6">
        <v>120</v>
      </c>
      <c r="G616" t="s">
        <v>1349</v>
      </c>
      <c r="H616" s="82">
        <v>2.5</v>
      </c>
      <c r="I616">
        <v>10</v>
      </c>
      <c r="J616">
        <v>46</v>
      </c>
      <c r="K616" t="s">
        <v>1593</v>
      </c>
      <c r="L616" s="6" t="s">
        <v>1381</v>
      </c>
      <c r="M616" s="6">
        <v>30</v>
      </c>
      <c r="N616" s="6">
        <v>2</v>
      </c>
      <c r="O616">
        <v>500</v>
      </c>
      <c r="P616">
        <v>202605</v>
      </c>
      <c r="Q616" t="s">
        <v>378</v>
      </c>
      <c r="R616" t="s">
        <v>1353</v>
      </c>
      <c r="S616">
        <f>Consulta1[[#This Row],[min_port]]/100</f>
        <v>1.3999999999999999E-2</v>
      </c>
      <c r="T616" s="252">
        <f>Consulta1[[#This Row],[TETO_COMERCIAL]]/100</f>
        <v>2.5000000000000001E-2</v>
      </c>
      <c r="U616" t="b">
        <f>Consulta1[[#This Row],[TETO_COMERCIAL_%]]=Consulta1[[#This Row],[TAXA]]</f>
        <v>0</v>
      </c>
      <c r="V616" t="str">
        <f>CONCATENATE(Consulta1[[#This Row],[MES_ALTERACAO]],Consulta1[[#This Row],[VIRADA]])</f>
        <v>20260530</v>
      </c>
      <c r="W616">
        <f>VLOOKUP(Consulta1[[#This Row],[Coluna2]],CALENDARIO!$J:$K,2,FALSE)</f>
        <v>20</v>
      </c>
    </row>
    <row r="617" spans="1:23" x14ac:dyDescent="0.25">
      <c r="A617" t="s">
        <v>218</v>
      </c>
      <c r="B617" t="str">
        <f>CONCATENATE(Consulta1[[#This Row],[id]],Consulta1[[#This Row],[EMPREGADOR]])</f>
        <v>4PM FEIRA DE SAN</v>
      </c>
      <c r="C617" s="6">
        <f>IF(A617=A616,C616+1,1)</f>
        <v>4</v>
      </c>
      <c r="D617" t="s">
        <v>3703</v>
      </c>
      <c r="E617" s="101">
        <v>2.2000000000000002E-2</v>
      </c>
      <c r="F617" s="6">
        <v>120</v>
      </c>
      <c r="G617" t="s">
        <v>1349</v>
      </c>
      <c r="H617" s="82">
        <v>2.5</v>
      </c>
      <c r="I617">
        <v>10</v>
      </c>
      <c r="J617">
        <v>46</v>
      </c>
      <c r="K617" t="s">
        <v>3704</v>
      </c>
      <c r="L617" s="6" t="s">
        <v>1381</v>
      </c>
      <c r="M617" s="6">
        <v>30</v>
      </c>
      <c r="N617" s="6">
        <v>2</v>
      </c>
      <c r="O617">
        <v>500</v>
      </c>
      <c r="P617">
        <v>202605</v>
      </c>
      <c r="Q617" t="s">
        <v>378</v>
      </c>
      <c r="R617" t="s">
        <v>1353</v>
      </c>
      <c r="S617">
        <f>Consulta1[[#This Row],[min_port]]/100</f>
        <v>1.3999999999999999E-2</v>
      </c>
      <c r="T617" s="252">
        <f>Consulta1[[#This Row],[TETO_COMERCIAL]]/100</f>
        <v>2.5000000000000001E-2</v>
      </c>
      <c r="U617" t="b">
        <f>Consulta1[[#This Row],[TETO_COMERCIAL_%]]=Consulta1[[#This Row],[TAXA]]</f>
        <v>0</v>
      </c>
      <c r="V617" t="str">
        <f>CONCATENATE(Consulta1[[#This Row],[MES_ALTERACAO]],Consulta1[[#This Row],[VIRADA]])</f>
        <v>20260530</v>
      </c>
      <c r="W617">
        <f>VLOOKUP(Consulta1[[#This Row],[Coluna2]],CALENDARIO!$J:$K,2,FALSE)</f>
        <v>20</v>
      </c>
    </row>
    <row r="618" spans="1:23" x14ac:dyDescent="0.25">
      <c r="A618" t="s">
        <v>218</v>
      </c>
      <c r="B618" t="str">
        <f>CONCATENATE(Consulta1[[#This Row],[id]],Consulta1[[#This Row],[EMPREGADOR]])</f>
        <v>5PM FEIRA DE SAN</v>
      </c>
      <c r="C618" s="6">
        <f>IF(A618=A617,C617+1,1)</f>
        <v>5</v>
      </c>
      <c r="D618" t="s">
        <v>3705</v>
      </c>
      <c r="E618" s="101">
        <v>2.1000000000000001E-2</v>
      </c>
      <c r="F618" s="6">
        <v>120</v>
      </c>
      <c r="G618" t="s">
        <v>1349</v>
      </c>
      <c r="H618" s="82">
        <v>2.5</v>
      </c>
      <c r="I618">
        <v>10</v>
      </c>
      <c r="J618">
        <v>46</v>
      </c>
      <c r="K618" t="s">
        <v>3706</v>
      </c>
      <c r="L618" s="6" t="s">
        <v>1381</v>
      </c>
      <c r="M618" s="6">
        <v>30</v>
      </c>
      <c r="N618" s="6">
        <v>2</v>
      </c>
      <c r="O618">
        <v>500</v>
      </c>
      <c r="P618">
        <v>202605</v>
      </c>
      <c r="Q618" t="s">
        <v>378</v>
      </c>
      <c r="R618" t="s">
        <v>1353</v>
      </c>
      <c r="S618">
        <f>Consulta1[[#This Row],[min_port]]/100</f>
        <v>1.3999999999999999E-2</v>
      </c>
      <c r="T618" s="252">
        <f>Consulta1[[#This Row],[TETO_COMERCIAL]]/100</f>
        <v>2.5000000000000001E-2</v>
      </c>
      <c r="U618" t="b">
        <f>Consulta1[[#This Row],[TETO_COMERCIAL_%]]=Consulta1[[#This Row],[TAXA]]</f>
        <v>0</v>
      </c>
      <c r="V618" t="str">
        <f>CONCATENATE(Consulta1[[#This Row],[MES_ALTERACAO]],Consulta1[[#This Row],[VIRADA]])</f>
        <v>20260530</v>
      </c>
      <c r="W618">
        <f>VLOOKUP(Consulta1[[#This Row],[Coluna2]],CALENDARIO!$J:$K,2,FALSE)</f>
        <v>20</v>
      </c>
    </row>
    <row r="619" spans="1:23" x14ac:dyDescent="0.25">
      <c r="A619" t="s">
        <v>218</v>
      </c>
      <c r="B619" t="str">
        <f>CONCATENATE(Consulta1[[#This Row],[id]],Consulta1[[#This Row],[EMPREGADOR]])</f>
        <v>6PM FEIRA DE SAN</v>
      </c>
      <c r="C619" s="6">
        <f>IF(A619=A618,C618+1,1)</f>
        <v>6</v>
      </c>
      <c r="D619" t="s">
        <v>3707</v>
      </c>
      <c r="E619" s="101">
        <v>2.0499999999999997E-2</v>
      </c>
      <c r="F619" s="6">
        <v>120</v>
      </c>
      <c r="G619" t="s">
        <v>1349</v>
      </c>
      <c r="H619" s="82">
        <v>2.5</v>
      </c>
      <c r="I619">
        <v>10</v>
      </c>
      <c r="J619">
        <v>46</v>
      </c>
      <c r="K619" t="s">
        <v>3708</v>
      </c>
      <c r="L619" s="6" t="s">
        <v>1381</v>
      </c>
      <c r="M619" s="6">
        <v>30</v>
      </c>
      <c r="N619" s="6">
        <v>2</v>
      </c>
      <c r="O619">
        <v>500</v>
      </c>
      <c r="P619">
        <v>202605</v>
      </c>
      <c r="Q619" t="s">
        <v>378</v>
      </c>
      <c r="R619" t="s">
        <v>1353</v>
      </c>
      <c r="S619">
        <f>Consulta1[[#This Row],[min_port]]/100</f>
        <v>1.3999999999999999E-2</v>
      </c>
      <c r="T619" s="252">
        <f>Consulta1[[#This Row],[TETO_COMERCIAL]]/100</f>
        <v>2.5000000000000001E-2</v>
      </c>
      <c r="U619" t="b">
        <f>Consulta1[[#This Row],[TETO_COMERCIAL_%]]=Consulta1[[#This Row],[TAXA]]</f>
        <v>0</v>
      </c>
      <c r="V619" t="str">
        <f>CONCATENATE(Consulta1[[#This Row],[MES_ALTERACAO]],Consulta1[[#This Row],[VIRADA]])</f>
        <v>20260530</v>
      </c>
      <c r="W619">
        <f>VLOOKUP(Consulta1[[#This Row],[Coluna2]],CALENDARIO!$J:$K,2,FALSE)</f>
        <v>20</v>
      </c>
    </row>
    <row r="620" spans="1:23" x14ac:dyDescent="0.25">
      <c r="A620" t="s">
        <v>218</v>
      </c>
      <c r="B620" t="str">
        <f>CONCATENATE(Consulta1[[#This Row],[id]],Consulta1[[#This Row],[EMPREGADOR]])</f>
        <v>7PM FEIRA DE SAN</v>
      </c>
      <c r="C620" s="6">
        <f>IF(A620=A619,C619+1,1)</f>
        <v>7</v>
      </c>
      <c r="D620" t="s">
        <v>3709</v>
      </c>
      <c r="E620" s="101">
        <v>0.02</v>
      </c>
      <c r="F620" s="6">
        <v>120</v>
      </c>
      <c r="G620" t="s">
        <v>1349</v>
      </c>
      <c r="H620" s="82">
        <v>2.5</v>
      </c>
      <c r="I620">
        <v>10</v>
      </c>
      <c r="J620">
        <v>46</v>
      </c>
      <c r="K620" t="s">
        <v>3710</v>
      </c>
      <c r="L620" s="6" t="s">
        <v>1381</v>
      </c>
      <c r="M620" s="6">
        <v>30</v>
      </c>
      <c r="N620" s="6">
        <v>2</v>
      </c>
      <c r="O620">
        <v>500</v>
      </c>
      <c r="P620">
        <v>202605</v>
      </c>
      <c r="Q620" t="s">
        <v>378</v>
      </c>
      <c r="R620" t="s">
        <v>1353</v>
      </c>
      <c r="S620">
        <f>Consulta1[[#This Row],[min_port]]/100</f>
        <v>1.3999999999999999E-2</v>
      </c>
      <c r="T620" s="252">
        <f>Consulta1[[#This Row],[TETO_COMERCIAL]]/100</f>
        <v>2.5000000000000001E-2</v>
      </c>
      <c r="U620" t="b">
        <f>Consulta1[[#This Row],[TETO_COMERCIAL_%]]=Consulta1[[#This Row],[TAXA]]</f>
        <v>0</v>
      </c>
      <c r="V620" t="str">
        <f>CONCATENATE(Consulta1[[#This Row],[MES_ALTERACAO]],Consulta1[[#This Row],[VIRADA]])</f>
        <v>20260530</v>
      </c>
      <c r="W620">
        <f>VLOOKUP(Consulta1[[#This Row],[Coluna2]],CALENDARIO!$J:$K,2,FALSE)</f>
        <v>20</v>
      </c>
    </row>
    <row r="621" spans="1:23" x14ac:dyDescent="0.25">
      <c r="A621" t="s">
        <v>218</v>
      </c>
      <c r="B621" t="str">
        <f>CONCATENATE(Consulta1[[#This Row],[id]],Consulta1[[#This Row],[EMPREGADOR]])</f>
        <v>8PM FEIRA DE SAN</v>
      </c>
      <c r="C621" s="6">
        <f>IF(A621=A620,C620+1,1)</f>
        <v>8</v>
      </c>
      <c r="D621" t="s">
        <v>3711</v>
      </c>
      <c r="E621" s="101">
        <v>1.95E-2</v>
      </c>
      <c r="F621" s="6">
        <v>120</v>
      </c>
      <c r="G621" t="s">
        <v>1349</v>
      </c>
      <c r="H621" s="82">
        <v>2.5</v>
      </c>
      <c r="I621">
        <v>10</v>
      </c>
      <c r="J621">
        <v>46</v>
      </c>
      <c r="K621" t="s">
        <v>3712</v>
      </c>
      <c r="L621" s="6" t="s">
        <v>1381</v>
      </c>
      <c r="M621" s="6">
        <v>30</v>
      </c>
      <c r="N621" s="6">
        <v>2</v>
      </c>
      <c r="O621">
        <v>500</v>
      </c>
      <c r="P621">
        <v>202605</v>
      </c>
      <c r="Q621" t="s">
        <v>378</v>
      </c>
      <c r="R621" t="s">
        <v>1353</v>
      </c>
      <c r="S621">
        <f>Consulta1[[#This Row],[min_port]]/100</f>
        <v>1.3999999999999999E-2</v>
      </c>
      <c r="T621" s="252">
        <f>Consulta1[[#This Row],[TETO_COMERCIAL]]/100</f>
        <v>2.5000000000000001E-2</v>
      </c>
      <c r="U621" t="b">
        <f>Consulta1[[#This Row],[TETO_COMERCIAL_%]]=Consulta1[[#This Row],[TAXA]]</f>
        <v>0</v>
      </c>
      <c r="V621" t="str">
        <f>CONCATENATE(Consulta1[[#This Row],[MES_ALTERACAO]],Consulta1[[#This Row],[VIRADA]])</f>
        <v>20260530</v>
      </c>
      <c r="W621">
        <f>VLOOKUP(Consulta1[[#This Row],[Coluna2]],CALENDARIO!$J:$K,2,FALSE)</f>
        <v>20</v>
      </c>
    </row>
    <row r="622" spans="1:23" x14ac:dyDescent="0.25">
      <c r="A622" t="s">
        <v>218</v>
      </c>
      <c r="B622" t="str">
        <f>CONCATENATE(Consulta1[[#This Row],[id]],Consulta1[[#This Row],[EMPREGADOR]])</f>
        <v>9PM FEIRA DE SAN</v>
      </c>
      <c r="C622" s="6">
        <f>IF(A622=A621,C621+1,1)</f>
        <v>9</v>
      </c>
      <c r="D622" t="s">
        <v>3713</v>
      </c>
      <c r="E622" s="101">
        <v>1.9E-2</v>
      </c>
      <c r="F622" s="6">
        <v>120</v>
      </c>
      <c r="G622" t="s">
        <v>1349</v>
      </c>
      <c r="H622" s="82">
        <v>2.5</v>
      </c>
      <c r="I622">
        <v>10</v>
      </c>
      <c r="J622">
        <v>46</v>
      </c>
      <c r="K622" t="s">
        <v>3714</v>
      </c>
      <c r="L622" s="6" t="s">
        <v>1381</v>
      </c>
      <c r="M622" s="6">
        <v>30</v>
      </c>
      <c r="N622" s="6">
        <v>2</v>
      </c>
      <c r="O622">
        <v>30000</v>
      </c>
      <c r="P622">
        <v>202605</v>
      </c>
      <c r="Q622" t="s">
        <v>378</v>
      </c>
      <c r="R622" t="s">
        <v>1353</v>
      </c>
      <c r="S622">
        <f>Consulta1[[#This Row],[min_port]]/100</f>
        <v>1.3999999999999999E-2</v>
      </c>
      <c r="T622" s="252">
        <f>Consulta1[[#This Row],[TETO_COMERCIAL]]/100</f>
        <v>2.5000000000000001E-2</v>
      </c>
      <c r="U622" t="b">
        <f>Consulta1[[#This Row],[TETO_COMERCIAL_%]]=Consulta1[[#This Row],[TAXA]]</f>
        <v>0</v>
      </c>
      <c r="V622" t="str">
        <f>CONCATENATE(Consulta1[[#This Row],[MES_ALTERACAO]],Consulta1[[#This Row],[VIRADA]])</f>
        <v>20260530</v>
      </c>
      <c r="W622">
        <f>VLOOKUP(Consulta1[[#This Row],[Coluna2]],CALENDARIO!$J:$K,2,FALSE)</f>
        <v>20</v>
      </c>
    </row>
    <row r="623" spans="1:23" x14ac:dyDescent="0.25">
      <c r="A623" t="s">
        <v>3343</v>
      </c>
      <c r="B623" t="str">
        <f>CONCATENATE(Consulta1[[#This Row],[id]],Consulta1[[#This Row],[EMPREGADOR]])</f>
        <v>1PRE NOVA MAMORE</v>
      </c>
      <c r="C623" s="6">
        <f>IF(A623=A622,C622+1,1)</f>
        <v>1</v>
      </c>
      <c r="D623" t="s">
        <v>3392</v>
      </c>
      <c r="E623" s="101">
        <v>2.2499999999999999E-2</v>
      </c>
      <c r="F623" s="6">
        <v>120</v>
      </c>
      <c r="G623" t="s">
        <v>1349</v>
      </c>
      <c r="H623" s="82">
        <v>2.5</v>
      </c>
      <c r="I623">
        <v>7</v>
      </c>
      <c r="K623" t="s">
        <v>3393</v>
      </c>
      <c r="L623" s="6" t="s">
        <v>1426</v>
      </c>
      <c r="M623" s="6">
        <v>10</v>
      </c>
      <c r="N623" s="6">
        <v>2</v>
      </c>
      <c r="O623">
        <v>500</v>
      </c>
      <c r="P623">
        <v>202605</v>
      </c>
      <c r="Q623" t="s">
        <v>377</v>
      </c>
      <c r="R623" t="s">
        <v>1350</v>
      </c>
      <c r="S623">
        <f>Consulta1[[#This Row],[min_port]]/100</f>
        <v>1.4199999999999999E-2</v>
      </c>
      <c r="T623" s="252">
        <f>Consulta1[[#This Row],[TETO_COMERCIAL]]/100</f>
        <v>2.5000000000000001E-2</v>
      </c>
      <c r="U623" t="b">
        <f>Consulta1[[#This Row],[TETO_COMERCIAL_%]]=Consulta1[[#This Row],[TAXA]]</f>
        <v>0</v>
      </c>
      <c r="V623" t="str">
        <f>CONCATENATE(Consulta1[[#This Row],[MES_ALTERACAO]],Consulta1[[#This Row],[VIRADA]])</f>
        <v>20260510</v>
      </c>
      <c r="W623">
        <f>VLOOKUP(Consulta1[[#This Row],[Coluna2]],CALENDARIO!$J:$K,2,FALSE)</f>
        <v>5</v>
      </c>
    </row>
    <row r="624" spans="1:23" x14ac:dyDescent="0.25">
      <c r="A624" t="s">
        <v>3343</v>
      </c>
      <c r="B624" t="str">
        <f>CONCATENATE(Consulta1[[#This Row],[id]],Consulta1[[#This Row],[EMPREGADOR]])</f>
        <v>2PRE NOVA MAMORE</v>
      </c>
      <c r="C624" s="6">
        <f>IF(A624=A623,C623+1,1)</f>
        <v>2</v>
      </c>
      <c r="D624" t="s">
        <v>3394</v>
      </c>
      <c r="E624" s="101">
        <v>0.02</v>
      </c>
      <c r="F624" s="6">
        <v>120</v>
      </c>
      <c r="G624" t="s">
        <v>1349</v>
      </c>
      <c r="H624" s="82">
        <v>2.5</v>
      </c>
      <c r="I624">
        <v>7</v>
      </c>
      <c r="K624" t="s">
        <v>3395</v>
      </c>
      <c r="L624" s="6" t="s">
        <v>1426</v>
      </c>
      <c r="M624" s="6">
        <v>10</v>
      </c>
      <c r="N624" s="6">
        <v>2</v>
      </c>
      <c r="O624">
        <v>500</v>
      </c>
      <c r="P624">
        <v>202605</v>
      </c>
      <c r="Q624" t="s">
        <v>377</v>
      </c>
      <c r="R624" t="s">
        <v>1350</v>
      </c>
      <c r="S624">
        <f>Consulta1[[#This Row],[min_port]]/100</f>
        <v>1.4199999999999999E-2</v>
      </c>
      <c r="T624" s="252">
        <f>Consulta1[[#This Row],[TETO_COMERCIAL]]/100</f>
        <v>2.5000000000000001E-2</v>
      </c>
      <c r="U624" t="b">
        <f>Consulta1[[#This Row],[TETO_COMERCIAL_%]]=Consulta1[[#This Row],[TAXA]]</f>
        <v>0</v>
      </c>
      <c r="V624" t="str">
        <f>CONCATENATE(Consulta1[[#This Row],[MES_ALTERACAO]],Consulta1[[#This Row],[VIRADA]])</f>
        <v>20260510</v>
      </c>
      <c r="W624">
        <f>VLOOKUP(Consulta1[[#This Row],[Coluna2]],CALENDARIO!$J:$K,2,FALSE)</f>
        <v>5</v>
      </c>
    </row>
    <row r="625" spans="1:23" x14ac:dyDescent="0.25">
      <c r="A625" t="s">
        <v>3343</v>
      </c>
      <c r="B625" t="str">
        <f>CONCATENATE(Consulta1[[#This Row],[id]],Consulta1[[#This Row],[EMPREGADOR]])</f>
        <v>3PRE NOVA MAMORE</v>
      </c>
      <c r="C625" s="6">
        <f>IF(A625=A624,C624+1,1)</f>
        <v>3</v>
      </c>
      <c r="D625" t="s">
        <v>3396</v>
      </c>
      <c r="E625" s="101">
        <v>1.8000000000000002E-2</v>
      </c>
      <c r="F625" s="6">
        <v>120</v>
      </c>
      <c r="G625" t="s">
        <v>1349</v>
      </c>
      <c r="H625" s="82">
        <v>2.5</v>
      </c>
      <c r="I625">
        <v>7</v>
      </c>
      <c r="K625" t="s">
        <v>3397</v>
      </c>
      <c r="L625" s="6" t="s">
        <v>1426</v>
      </c>
      <c r="M625" s="6">
        <v>10</v>
      </c>
      <c r="N625" s="6">
        <v>2</v>
      </c>
      <c r="O625">
        <v>500</v>
      </c>
      <c r="P625">
        <v>202605</v>
      </c>
      <c r="Q625" t="s">
        <v>377</v>
      </c>
      <c r="R625" t="s">
        <v>1350</v>
      </c>
      <c r="S625">
        <f>Consulta1[[#This Row],[min_port]]/100</f>
        <v>1.4199999999999999E-2</v>
      </c>
      <c r="T625" s="252">
        <f>Consulta1[[#This Row],[TETO_COMERCIAL]]/100</f>
        <v>2.5000000000000001E-2</v>
      </c>
      <c r="U625" t="b">
        <f>Consulta1[[#This Row],[TETO_COMERCIAL_%]]=Consulta1[[#This Row],[TAXA]]</f>
        <v>0</v>
      </c>
      <c r="V625" t="str">
        <f>CONCATENATE(Consulta1[[#This Row],[MES_ALTERACAO]],Consulta1[[#This Row],[VIRADA]])</f>
        <v>20260510</v>
      </c>
      <c r="W625">
        <f>VLOOKUP(Consulta1[[#This Row],[Coluna2]],CALENDARIO!$J:$K,2,FALSE)</f>
        <v>5</v>
      </c>
    </row>
    <row r="626" spans="1:23" x14ac:dyDescent="0.25">
      <c r="A626" t="s">
        <v>3343</v>
      </c>
      <c r="B626" t="str">
        <f>CONCATENATE(Consulta1[[#This Row],[id]],Consulta1[[#This Row],[EMPREGADOR]])</f>
        <v>4PRE NOVA MAMORE</v>
      </c>
      <c r="C626" s="6">
        <f>IF(A626=A625,C625+1,1)</f>
        <v>4</v>
      </c>
      <c r="D626" t="s">
        <v>3398</v>
      </c>
      <c r="E626" s="101">
        <v>1.7600000000000001E-2</v>
      </c>
      <c r="F626" s="6">
        <v>120</v>
      </c>
      <c r="G626" t="s">
        <v>1349</v>
      </c>
      <c r="H626" s="82">
        <v>2.5</v>
      </c>
      <c r="I626">
        <v>7</v>
      </c>
      <c r="K626" t="s">
        <v>3399</v>
      </c>
      <c r="L626" s="6" t="s">
        <v>1426</v>
      </c>
      <c r="M626" s="6">
        <v>10</v>
      </c>
      <c r="N626" s="6">
        <v>2</v>
      </c>
      <c r="O626">
        <v>500</v>
      </c>
      <c r="P626">
        <v>202605</v>
      </c>
      <c r="Q626" t="s">
        <v>377</v>
      </c>
      <c r="R626" t="s">
        <v>1350</v>
      </c>
      <c r="S626">
        <f>Consulta1[[#This Row],[min_port]]/100</f>
        <v>1.4199999999999999E-2</v>
      </c>
      <c r="T626" s="252">
        <f>Consulta1[[#This Row],[TETO_COMERCIAL]]/100</f>
        <v>2.5000000000000001E-2</v>
      </c>
      <c r="U626" t="b">
        <f>Consulta1[[#This Row],[TETO_COMERCIAL_%]]=Consulta1[[#This Row],[TAXA]]</f>
        <v>0</v>
      </c>
      <c r="V626" t="str">
        <f>CONCATENATE(Consulta1[[#This Row],[MES_ALTERACAO]],Consulta1[[#This Row],[VIRADA]])</f>
        <v>20260510</v>
      </c>
      <c r="W626">
        <f>VLOOKUP(Consulta1[[#This Row],[Coluna2]],CALENDARIO!$J:$K,2,FALSE)</f>
        <v>5</v>
      </c>
    </row>
    <row r="627" spans="1:23" x14ac:dyDescent="0.25">
      <c r="A627" t="s">
        <v>3343</v>
      </c>
      <c r="B627" t="str">
        <f>CONCATENATE(Consulta1[[#This Row],[id]],Consulta1[[#This Row],[EMPREGADOR]])</f>
        <v>5PRE NOVA MAMORE</v>
      </c>
      <c r="C627" s="6">
        <f>IF(A627=A626,C626+1,1)</f>
        <v>5</v>
      </c>
      <c r="D627" t="s">
        <v>3400</v>
      </c>
      <c r="E627" s="101">
        <v>1.7399999999999999E-2</v>
      </c>
      <c r="F627" s="6">
        <v>120</v>
      </c>
      <c r="G627" t="s">
        <v>1349</v>
      </c>
      <c r="H627" s="82">
        <v>2.5</v>
      </c>
      <c r="I627">
        <v>7</v>
      </c>
      <c r="K627" t="s">
        <v>3401</v>
      </c>
      <c r="L627" s="6" t="s">
        <v>1426</v>
      </c>
      <c r="M627" s="6">
        <v>10</v>
      </c>
      <c r="N627" s="6">
        <v>2</v>
      </c>
      <c r="O627">
        <v>500</v>
      </c>
      <c r="P627">
        <v>202605</v>
      </c>
      <c r="Q627" t="s">
        <v>377</v>
      </c>
      <c r="R627" t="s">
        <v>1350</v>
      </c>
      <c r="S627">
        <f>Consulta1[[#This Row],[min_port]]/100</f>
        <v>1.4199999999999999E-2</v>
      </c>
      <c r="T627" s="252">
        <f>Consulta1[[#This Row],[TETO_COMERCIAL]]/100</f>
        <v>2.5000000000000001E-2</v>
      </c>
      <c r="U627" t="b">
        <f>Consulta1[[#This Row],[TETO_COMERCIAL_%]]=Consulta1[[#This Row],[TAXA]]</f>
        <v>0</v>
      </c>
      <c r="V627" t="str">
        <f>CONCATENATE(Consulta1[[#This Row],[MES_ALTERACAO]],Consulta1[[#This Row],[VIRADA]])</f>
        <v>20260510</v>
      </c>
      <c r="W627">
        <f>VLOOKUP(Consulta1[[#This Row],[Coluna2]],CALENDARIO!$J:$K,2,FALSE)</f>
        <v>5</v>
      </c>
    </row>
    <row r="628" spans="1:23" x14ac:dyDescent="0.25">
      <c r="A628" t="s">
        <v>3343</v>
      </c>
      <c r="B628" t="str">
        <f>CONCATENATE(Consulta1[[#This Row],[id]],Consulta1[[#This Row],[EMPREGADOR]])</f>
        <v>6PRE NOVA MAMORE</v>
      </c>
      <c r="C628" s="6">
        <f>IF(A628=A627,C627+1,1)</f>
        <v>6</v>
      </c>
      <c r="D628" t="s">
        <v>3402</v>
      </c>
      <c r="E628" s="101">
        <v>1.72E-2</v>
      </c>
      <c r="F628" s="6">
        <v>120</v>
      </c>
      <c r="G628" t="s">
        <v>1349</v>
      </c>
      <c r="H628" s="82">
        <v>2.5</v>
      </c>
      <c r="I628">
        <v>7</v>
      </c>
      <c r="K628" t="s">
        <v>3403</v>
      </c>
      <c r="L628" s="6" t="s">
        <v>1426</v>
      </c>
      <c r="M628" s="6">
        <v>10</v>
      </c>
      <c r="N628" s="6">
        <v>2</v>
      </c>
      <c r="O628">
        <v>500</v>
      </c>
      <c r="P628">
        <v>202605</v>
      </c>
      <c r="Q628" t="s">
        <v>377</v>
      </c>
      <c r="R628" t="s">
        <v>1350</v>
      </c>
      <c r="S628">
        <f>Consulta1[[#This Row],[min_port]]/100</f>
        <v>1.4199999999999999E-2</v>
      </c>
      <c r="T628" s="252">
        <f>Consulta1[[#This Row],[TETO_COMERCIAL]]/100</f>
        <v>2.5000000000000001E-2</v>
      </c>
      <c r="U628" t="b">
        <f>Consulta1[[#This Row],[TETO_COMERCIAL_%]]=Consulta1[[#This Row],[TAXA]]</f>
        <v>0</v>
      </c>
      <c r="V628" t="str">
        <f>CONCATENATE(Consulta1[[#This Row],[MES_ALTERACAO]],Consulta1[[#This Row],[VIRADA]])</f>
        <v>20260510</v>
      </c>
      <c r="W628">
        <f>VLOOKUP(Consulta1[[#This Row],[Coluna2]],CALENDARIO!$J:$K,2,FALSE)</f>
        <v>5</v>
      </c>
    </row>
    <row r="629" spans="1:23" x14ac:dyDescent="0.25">
      <c r="A629" t="s">
        <v>3343</v>
      </c>
      <c r="B629" t="str">
        <f>CONCATENATE(Consulta1[[#This Row],[id]],Consulta1[[#This Row],[EMPREGADOR]])</f>
        <v>7PRE NOVA MAMORE</v>
      </c>
      <c r="C629" s="6">
        <f>IF(A629=A628,C628+1,1)</f>
        <v>7</v>
      </c>
      <c r="D629" t="s">
        <v>3404</v>
      </c>
      <c r="E629" s="101">
        <v>1.7000000000000001E-2</v>
      </c>
      <c r="F629" s="6">
        <v>120</v>
      </c>
      <c r="G629" t="s">
        <v>1349</v>
      </c>
      <c r="H629" s="82">
        <v>2.5</v>
      </c>
      <c r="I629">
        <v>7</v>
      </c>
      <c r="K629" t="s">
        <v>3405</v>
      </c>
      <c r="L629" s="6" t="s">
        <v>1426</v>
      </c>
      <c r="M629" s="6">
        <v>10</v>
      </c>
      <c r="N629" s="6">
        <v>2</v>
      </c>
      <c r="O629">
        <v>500</v>
      </c>
      <c r="P629">
        <v>202605</v>
      </c>
      <c r="Q629" t="s">
        <v>377</v>
      </c>
      <c r="R629" t="s">
        <v>1350</v>
      </c>
      <c r="S629">
        <f>Consulta1[[#This Row],[min_port]]/100</f>
        <v>1.4199999999999999E-2</v>
      </c>
      <c r="T629" s="252">
        <f>Consulta1[[#This Row],[TETO_COMERCIAL]]/100</f>
        <v>2.5000000000000001E-2</v>
      </c>
      <c r="U629" t="b">
        <f>Consulta1[[#This Row],[TETO_COMERCIAL_%]]=Consulta1[[#This Row],[TAXA]]</f>
        <v>0</v>
      </c>
      <c r="V629" t="str">
        <f>CONCATENATE(Consulta1[[#This Row],[MES_ALTERACAO]],Consulta1[[#This Row],[VIRADA]])</f>
        <v>20260510</v>
      </c>
      <c r="W629">
        <f>VLOOKUP(Consulta1[[#This Row],[Coluna2]],CALENDARIO!$J:$K,2,FALSE)</f>
        <v>5</v>
      </c>
    </row>
    <row r="630" spans="1:23" x14ac:dyDescent="0.25">
      <c r="A630" t="s">
        <v>3343</v>
      </c>
      <c r="B630" t="str">
        <f>CONCATENATE(Consulta1[[#This Row],[id]],Consulta1[[#This Row],[EMPREGADOR]])</f>
        <v>8PRE NOVA MAMORE</v>
      </c>
      <c r="C630" s="6">
        <f>IF(A630=A629,C629+1,1)</f>
        <v>8</v>
      </c>
      <c r="D630" t="s">
        <v>3406</v>
      </c>
      <c r="E630" s="101">
        <v>1.6799999999999999E-2</v>
      </c>
      <c r="F630" s="6">
        <v>120</v>
      </c>
      <c r="G630" t="s">
        <v>1349</v>
      </c>
      <c r="H630" s="82">
        <v>2.5</v>
      </c>
      <c r="I630">
        <v>7</v>
      </c>
      <c r="K630" t="s">
        <v>3407</v>
      </c>
      <c r="L630" s="6" t="s">
        <v>1426</v>
      </c>
      <c r="M630" s="6">
        <v>10</v>
      </c>
      <c r="N630" s="6">
        <v>2</v>
      </c>
      <c r="O630">
        <v>500</v>
      </c>
      <c r="P630">
        <v>202605</v>
      </c>
      <c r="Q630" t="s">
        <v>377</v>
      </c>
      <c r="R630" t="s">
        <v>1350</v>
      </c>
      <c r="S630">
        <f>Consulta1[[#This Row],[min_port]]/100</f>
        <v>1.4199999999999999E-2</v>
      </c>
      <c r="T630" s="252">
        <f>Consulta1[[#This Row],[TETO_COMERCIAL]]/100</f>
        <v>2.5000000000000001E-2</v>
      </c>
      <c r="U630" t="b">
        <f>Consulta1[[#This Row],[TETO_COMERCIAL_%]]=Consulta1[[#This Row],[TAXA]]</f>
        <v>0</v>
      </c>
      <c r="V630" t="str">
        <f>CONCATENATE(Consulta1[[#This Row],[MES_ALTERACAO]],Consulta1[[#This Row],[VIRADA]])</f>
        <v>20260510</v>
      </c>
      <c r="W630">
        <f>VLOOKUP(Consulta1[[#This Row],[Coluna2]],CALENDARIO!$J:$K,2,FALSE)</f>
        <v>5</v>
      </c>
    </row>
    <row r="631" spans="1:23" x14ac:dyDescent="0.25">
      <c r="A631" t="s">
        <v>3025</v>
      </c>
      <c r="B631" t="str">
        <f>CONCATENATE(Consulta1[[#This Row],[id]],Consulta1[[#This Row],[EMPREGADOR]])</f>
        <v>1PREF  BARREIRIN</v>
      </c>
      <c r="C631" s="6">
        <f>IF(A631=A630,C630+1,1)</f>
        <v>1</v>
      </c>
      <c r="D631" t="s">
        <v>2442</v>
      </c>
      <c r="E631" s="101">
        <v>2.5000000000000001E-2</v>
      </c>
      <c r="F631" s="6">
        <v>96</v>
      </c>
      <c r="G631" t="s">
        <v>1349</v>
      </c>
      <c r="H631" s="82">
        <v>2.5</v>
      </c>
      <c r="I631">
        <v>25</v>
      </c>
      <c r="K631" t="s">
        <v>2443</v>
      </c>
      <c r="L631" s="6" t="s">
        <v>1794</v>
      </c>
      <c r="M631" s="6">
        <v>1</v>
      </c>
      <c r="N631" s="6">
        <v>2</v>
      </c>
      <c r="O631">
        <v>500</v>
      </c>
      <c r="P631">
        <v>202605</v>
      </c>
      <c r="Q631" t="s">
        <v>377</v>
      </c>
      <c r="R631" t="s">
        <v>1353</v>
      </c>
      <c r="S631">
        <f>Consulta1[[#This Row],[min_port]]/100</f>
        <v>1.46E-2</v>
      </c>
      <c r="T631" s="252">
        <f>Consulta1[[#This Row],[TETO_COMERCIAL]]/100</f>
        <v>2.5000000000000001E-2</v>
      </c>
      <c r="U631" t="b">
        <f>Consulta1[[#This Row],[TETO_COMERCIAL_%]]=Consulta1[[#This Row],[TAXA]]</f>
        <v>1</v>
      </c>
      <c r="V631" t="str">
        <f>CONCATENATE(Consulta1[[#This Row],[MES_ALTERACAO]],Consulta1[[#This Row],[VIRADA]])</f>
        <v>2026051</v>
      </c>
      <c r="W631">
        <f>VLOOKUP(Consulta1[[#This Row],[Coluna2]],CALENDARIO!$J:$K,2,FALSE)</f>
        <v>0</v>
      </c>
    </row>
    <row r="632" spans="1:23" x14ac:dyDescent="0.25">
      <c r="A632" t="s">
        <v>3025</v>
      </c>
      <c r="B632" t="str">
        <f>CONCATENATE(Consulta1[[#This Row],[id]],Consulta1[[#This Row],[EMPREGADOR]])</f>
        <v>2PREF  BARREIRIN</v>
      </c>
      <c r="C632" s="6">
        <f>IF(A632=A631,C631+1,1)</f>
        <v>2</v>
      </c>
      <c r="D632" t="s">
        <v>2444</v>
      </c>
      <c r="E632" s="101">
        <v>2.4E-2</v>
      </c>
      <c r="F632" s="6">
        <v>96</v>
      </c>
      <c r="G632" t="s">
        <v>1349</v>
      </c>
      <c r="H632" s="82">
        <v>2.5</v>
      </c>
      <c r="I632">
        <v>25</v>
      </c>
      <c r="K632" t="s">
        <v>2445</v>
      </c>
      <c r="L632" s="6" t="s">
        <v>1794</v>
      </c>
      <c r="M632" s="6">
        <v>1</v>
      </c>
      <c r="N632" s="6">
        <v>2</v>
      </c>
      <c r="O632">
        <v>500</v>
      </c>
      <c r="P632">
        <v>202605</v>
      </c>
      <c r="Q632" t="s">
        <v>377</v>
      </c>
      <c r="R632" t="s">
        <v>1353</v>
      </c>
      <c r="S632">
        <f>Consulta1[[#This Row],[min_port]]/100</f>
        <v>1.46E-2</v>
      </c>
      <c r="T632" s="252">
        <f>Consulta1[[#This Row],[TETO_COMERCIAL]]/100</f>
        <v>2.5000000000000001E-2</v>
      </c>
      <c r="U632" t="b">
        <f>Consulta1[[#This Row],[TETO_COMERCIAL_%]]=Consulta1[[#This Row],[TAXA]]</f>
        <v>0</v>
      </c>
      <c r="V632" t="str">
        <f>CONCATENATE(Consulta1[[#This Row],[MES_ALTERACAO]],Consulta1[[#This Row],[VIRADA]])</f>
        <v>2026051</v>
      </c>
      <c r="W632">
        <f>VLOOKUP(Consulta1[[#This Row],[Coluna2]],CALENDARIO!$J:$K,2,FALSE)</f>
        <v>0</v>
      </c>
    </row>
    <row r="633" spans="1:23" x14ac:dyDescent="0.25">
      <c r="A633" t="s">
        <v>3025</v>
      </c>
      <c r="B633" t="str">
        <f>CONCATENATE(Consulta1[[#This Row],[id]],Consulta1[[#This Row],[EMPREGADOR]])</f>
        <v>3PREF  BARREIRIN</v>
      </c>
      <c r="C633" s="6">
        <f>IF(A633=A632,C632+1,1)</f>
        <v>3</v>
      </c>
      <c r="D633" t="s">
        <v>2446</v>
      </c>
      <c r="E633" s="101">
        <v>2.3E-2</v>
      </c>
      <c r="F633" s="6">
        <v>96</v>
      </c>
      <c r="G633" t="s">
        <v>1349</v>
      </c>
      <c r="H633" s="82">
        <v>2.5</v>
      </c>
      <c r="I633">
        <v>25</v>
      </c>
      <c r="K633" t="s">
        <v>2447</v>
      </c>
      <c r="L633" s="6" t="s">
        <v>1794</v>
      </c>
      <c r="M633" s="6">
        <v>1</v>
      </c>
      <c r="N633" s="6">
        <v>2</v>
      </c>
      <c r="O633">
        <v>500</v>
      </c>
      <c r="P633">
        <v>202605</v>
      </c>
      <c r="Q633" t="s">
        <v>377</v>
      </c>
      <c r="R633" t="s">
        <v>1353</v>
      </c>
      <c r="S633">
        <f>Consulta1[[#This Row],[min_port]]/100</f>
        <v>1.46E-2</v>
      </c>
      <c r="T633" s="252">
        <f>Consulta1[[#This Row],[TETO_COMERCIAL]]/100</f>
        <v>2.5000000000000001E-2</v>
      </c>
      <c r="U633" t="b">
        <f>Consulta1[[#This Row],[TETO_COMERCIAL_%]]=Consulta1[[#This Row],[TAXA]]</f>
        <v>0</v>
      </c>
      <c r="V633" t="str">
        <f>CONCATENATE(Consulta1[[#This Row],[MES_ALTERACAO]],Consulta1[[#This Row],[VIRADA]])</f>
        <v>2026051</v>
      </c>
      <c r="W633">
        <f>VLOOKUP(Consulta1[[#This Row],[Coluna2]],CALENDARIO!$J:$K,2,FALSE)</f>
        <v>0</v>
      </c>
    </row>
    <row r="634" spans="1:23" x14ac:dyDescent="0.25">
      <c r="A634" t="s">
        <v>3025</v>
      </c>
      <c r="B634" t="str">
        <f>CONCATENATE(Consulta1[[#This Row],[id]],Consulta1[[#This Row],[EMPREGADOR]])</f>
        <v>4PREF  BARREIRIN</v>
      </c>
      <c r="C634" s="6">
        <f>IF(A634=A633,C633+1,1)</f>
        <v>4</v>
      </c>
      <c r="D634" t="s">
        <v>2448</v>
      </c>
      <c r="E634" s="101">
        <v>0.02</v>
      </c>
      <c r="F634" s="6">
        <v>96</v>
      </c>
      <c r="G634" t="s">
        <v>1349</v>
      </c>
      <c r="H634" s="82">
        <v>2.5</v>
      </c>
      <c r="I634">
        <v>25</v>
      </c>
      <c r="K634" t="s">
        <v>2449</v>
      </c>
      <c r="L634" s="6" t="s">
        <v>1794</v>
      </c>
      <c r="M634" s="6">
        <v>1</v>
      </c>
      <c r="N634" s="6">
        <v>2</v>
      </c>
      <c r="O634">
        <v>500</v>
      </c>
      <c r="P634">
        <v>202605</v>
      </c>
      <c r="Q634" t="s">
        <v>377</v>
      </c>
      <c r="R634" t="s">
        <v>1353</v>
      </c>
      <c r="S634">
        <f>Consulta1[[#This Row],[min_port]]/100</f>
        <v>1.46E-2</v>
      </c>
      <c r="T634" s="252">
        <f>Consulta1[[#This Row],[TETO_COMERCIAL]]/100</f>
        <v>2.5000000000000001E-2</v>
      </c>
      <c r="U634" t="b">
        <f>Consulta1[[#This Row],[TETO_COMERCIAL_%]]=Consulta1[[#This Row],[TAXA]]</f>
        <v>0</v>
      </c>
      <c r="V634" t="str">
        <f>CONCATENATE(Consulta1[[#This Row],[MES_ALTERACAO]],Consulta1[[#This Row],[VIRADA]])</f>
        <v>2026051</v>
      </c>
      <c r="W634">
        <f>VLOOKUP(Consulta1[[#This Row],[Coluna2]],CALENDARIO!$J:$K,2,FALSE)</f>
        <v>0</v>
      </c>
    </row>
    <row r="635" spans="1:23" x14ac:dyDescent="0.25">
      <c r="A635" t="s">
        <v>3026</v>
      </c>
      <c r="B635" t="str">
        <f>CONCATENATE(Consulta1[[#This Row],[id]],Consulta1[[#This Row],[EMPREGADOR]])</f>
        <v>1PREF  ITABERAI</v>
      </c>
      <c r="C635" s="6">
        <f>IF(A635=A634,C634+1,1)</f>
        <v>1</v>
      </c>
      <c r="D635" t="s">
        <v>1014</v>
      </c>
      <c r="E635" s="101">
        <v>2.5000000000000001E-2</v>
      </c>
      <c r="F635" s="6">
        <v>120</v>
      </c>
      <c r="G635" t="s">
        <v>1349</v>
      </c>
      <c r="H635" s="82">
        <v>2.5</v>
      </c>
      <c r="I635">
        <v>11</v>
      </c>
      <c r="K635" t="s">
        <v>1850</v>
      </c>
      <c r="L635" s="6" t="s">
        <v>1371</v>
      </c>
      <c r="M635" s="6">
        <v>15</v>
      </c>
      <c r="N635" s="6">
        <v>2</v>
      </c>
      <c r="O635">
        <v>500</v>
      </c>
      <c r="P635">
        <v>202605</v>
      </c>
      <c r="Q635" t="s">
        <v>377</v>
      </c>
      <c r="R635" t="s">
        <v>1350</v>
      </c>
      <c r="S635">
        <f>Consulta1[[#This Row],[min_port]]/100</f>
        <v>1.4499999999999999E-2</v>
      </c>
      <c r="T635" s="252">
        <f>Consulta1[[#This Row],[TETO_COMERCIAL]]/100</f>
        <v>2.5000000000000001E-2</v>
      </c>
      <c r="U635" t="b">
        <f>Consulta1[[#This Row],[TETO_COMERCIAL_%]]=Consulta1[[#This Row],[TAXA]]</f>
        <v>1</v>
      </c>
      <c r="V635" t="str">
        <f>CONCATENATE(Consulta1[[#This Row],[MES_ALTERACAO]],Consulta1[[#This Row],[VIRADA]])</f>
        <v>20260515</v>
      </c>
      <c r="W635">
        <f>VLOOKUP(Consulta1[[#This Row],[Coluna2]],CALENDARIO!$J:$K,2,FALSE)</f>
        <v>10</v>
      </c>
    </row>
    <row r="636" spans="1:23" x14ac:dyDescent="0.25">
      <c r="A636" t="s">
        <v>3026</v>
      </c>
      <c r="B636" t="str">
        <f>CONCATENATE(Consulta1[[#This Row],[id]],Consulta1[[#This Row],[EMPREGADOR]])</f>
        <v>2PREF  ITABERAI</v>
      </c>
      <c r="C636" s="6">
        <f>IF(A636=A635,C635+1,1)</f>
        <v>2</v>
      </c>
      <c r="D636" t="s">
        <v>1015</v>
      </c>
      <c r="E636" s="101">
        <v>2.2499999999999999E-2</v>
      </c>
      <c r="F636" s="6">
        <v>120</v>
      </c>
      <c r="G636" t="s">
        <v>1349</v>
      </c>
      <c r="H636" s="82">
        <v>2.5</v>
      </c>
      <c r="I636">
        <v>11</v>
      </c>
      <c r="K636" t="s">
        <v>1851</v>
      </c>
      <c r="L636" s="6" t="s">
        <v>1371</v>
      </c>
      <c r="M636" s="6">
        <v>15</v>
      </c>
      <c r="N636" s="6">
        <v>2</v>
      </c>
      <c r="O636">
        <v>500</v>
      </c>
      <c r="P636">
        <v>202605</v>
      </c>
      <c r="Q636" t="s">
        <v>377</v>
      </c>
      <c r="R636" t="s">
        <v>1350</v>
      </c>
      <c r="S636">
        <f>Consulta1[[#This Row],[min_port]]/100</f>
        <v>1.4499999999999999E-2</v>
      </c>
      <c r="T636" s="252">
        <f>Consulta1[[#This Row],[TETO_COMERCIAL]]/100</f>
        <v>2.5000000000000001E-2</v>
      </c>
      <c r="U636" t="b">
        <f>Consulta1[[#This Row],[TETO_COMERCIAL_%]]=Consulta1[[#This Row],[TAXA]]</f>
        <v>0</v>
      </c>
      <c r="V636" t="str">
        <f>CONCATENATE(Consulta1[[#This Row],[MES_ALTERACAO]],Consulta1[[#This Row],[VIRADA]])</f>
        <v>20260515</v>
      </c>
      <c r="W636">
        <f>VLOOKUP(Consulta1[[#This Row],[Coluna2]],CALENDARIO!$J:$K,2,FALSE)</f>
        <v>10</v>
      </c>
    </row>
    <row r="637" spans="1:23" x14ac:dyDescent="0.25">
      <c r="A637" t="s">
        <v>3026</v>
      </c>
      <c r="B637" t="str">
        <f>CONCATENATE(Consulta1[[#This Row],[id]],Consulta1[[#This Row],[EMPREGADOR]])</f>
        <v>3PREF  ITABERAI</v>
      </c>
      <c r="C637" s="6">
        <f>IF(A637=A636,C636+1,1)</f>
        <v>3</v>
      </c>
      <c r="D637" t="s">
        <v>1016</v>
      </c>
      <c r="E637" s="101">
        <v>0.02</v>
      </c>
      <c r="F637" s="6">
        <v>120</v>
      </c>
      <c r="G637" t="s">
        <v>1349</v>
      </c>
      <c r="H637" s="82">
        <v>2.5</v>
      </c>
      <c r="I637">
        <v>11</v>
      </c>
      <c r="K637" t="s">
        <v>1852</v>
      </c>
      <c r="L637" s="6" t="s">
        <v>1371</v>
      </c>
      <c r="M637" s="6">
        <v>15</v>
      </c>
      <c r="N637" s="6">
        <v>2</v>
      </c>
      <c r="O637">
        <v>500</v>
      </c>
      <c r="P637">
        <v>202605</v>
      </c>
      <c r="Q637" t="s">
        <v>377</v>
      </c>
      <c r="R637" t="s">
        <v>1350</v>
      </c>
      <c r="S637">
        <f>Consulta1[[#This Row],[min_port]]/100</f>
        <v>1.4499999999999999E-2</v>
      </c>
      <c r="T637" s="252">
        <f>Consulta1[[#This Row],[TETO_COMERCIAL]]/100</f>
        <v>2.5000000000000001E-2</v>
      </c>
      <c r="U637" t="b">
        <f>Consulta1[[#This Row],[TETO_COMERCIAL_%]]=Consulta1[[#This Row],[TAXA]]</f>
        <v>0</v>
      </c>
      <c r="V637" t="str">
        <f>CONCATENATE(Consulta1[[#This Row],[MES_ALTERACAO]],Consulta1[[#This Row],[VIRADA]])</f>
        <v>20260515</v>
      </c>
      <c r="W637">
        <f>VLOOKUP(Consulta1[[#This Row],[Coluna2]],CALENDARIO!$J:$K,2,FALSE)</f>
        <v>10</v>
      </c>
    </row>
    <row r="638" spans="1:23" x14ac:dyDescent="0.25">
      <c r="A638" t="s">
        <v>3026</v>
      </c>
      <c r="B638" t="str">
        <f>CONCATENATE(Consulta1[[#This Row],[id]],Consulta1[[#This Row],[EMPREGADOR]])</f>
        <v>4PREF  ITABERAI</v>
      </c>
      <c r="C638" s="6">
        <f>IF(A638=A637,C637+1,1)</f>
        <v>4</v>
      </c>
      <c r="D638" t="s">
        <v>1017</v>
      </c>
      <c r="E638" s="101">
        <v>1.8000000000000002E-2</v>
      </c>
      <c r="F638" s="6">
        <v>120</v>
      </c>
      <c r="G638" t="s">
        <v>1349</v>
      </c>
      <c r="H638" s="82">
        <v>2.5</v>
      </c>
      <c r="I638">
        <v>11</v>
      </c>
      <c r="K638" t="s">
        <v>1853</v>
      </c>
      <c r="L638" s="6" t="s">
        <v>1371</v>
      </c>
      <c r="M638" s="6">
        <v>15</v>
      </c>
      <c r="N638" s="6">
        <v>2</v>
      </c>
      <c r="O638">
        <v>500</v>
      </c>
      <c r="P638">
        <v>202605</v>
      </c>
      <c r="Q638" t="s">
        <v>377</v>
      </c>
      <c r="R638" t="s">
        <v>1350</v>
      </c>
      <c r="S638">
        <f>Consulta1[[#This Row],[min_port]]/100</f>
        <v>1.4499999999999999E-2</v>
      </c>
      <c r="T638" s="252">
        <f>Consulta1[[#This Row],[TETO_COMERCIAL]]/100</f>
        <v>2.5000000000000001E-2</v>
      </c>
      <c r="U638" t="b">
        <f>Consulta1[[#This Row],[TETO_COMERCIAL_%]]=Consulta1[[#This Row],[TAXA]]</f>
        <v>0</v>
      </c>
      <c r="V638" t="str">
        <f>CONCATENATE(Consulta1[[#This Row],[MES_ALTERACAO]],Consulta1[[#This Row],[VIRADA]])</f>
        <v>20260515</v>
      </c>
      <c r="W638">
        <f>VLOOKUP(Consulta1[[#This Row],[Coluna2]],CALENDARIO!$J:$K,2,FALSE)</f>
        <v>10</v>
      </c>
    </row>
    <row r="639" spans="1:23" x14ac:dyDescent="0.25">
      <c r="A639" t="s">
        <v>3026</v>
      </c>
      <c r="B639" t="str">
        <f>CONCATENATE(Consulta1[[#This Row],[id]],Consulta1[[#This Row],[EMPREGADOR]])</f>
        <v>5PREF  ITABERAI</v>
      </c>
      <c r="C639" s="6">
        <f>IF(A639=A638,C638+1,1)</f>
        <v>5</v>
      </c>
      <c r="D639" t="s">
        <v>1018</v>
      </c>
      <c r="E639" s="101">
        <v>1.7600000000000001E-2</v>
      </c>
      <c r="F639" s="6">
        <v>120</v>
      </c>
      <c r="G639" t="s">
        <v>1349</v>
      </c>
      <c r="H639" s="82">
        <v>2.5</v>
      </c>
      <c r="I639">
        <v>11</v>
      </c>
      <c r="K639" t="s">
        <v>1854</v>
      </c>
      <c r="L639" s="6" t="s">
        <v>1371</v>
      </c>
      <c r="M639" s="6">
        <v>15</v>
      </c>
      <c r="N639" s="6">
        <v>2</v>
      </c>
      <c r="O639">
        <v>500</v>
      </c>
      <c r="P639">
        <v>202605</v>
      </c>
      <c r="Q639" t="s">
        <v>377</v>
      </c>
      <c r="R639" t="s">
        <v>1350</v>
      </c>
      <c r="S639">
        <f>Consulta1[[#This Row],[min_port]]/100</f>
        <v>1.4499999999999999E-2</v>
      </c>
      <c r="T639" s="252">
        <f>Consulta1[[#This Row],[TETO_COMERCIAL]]/100</f>
        <v>2.5000000000000001E-2</v>
      </c>
      <c r="U639" t="b">
        <f>Consulta1[[#This Row],[TETO_COMERCIAL_%]]=Consulta1[[#This Row],[TAXA]]</f>
        <v>0</v>
      </c>
      <c r="V639" t="str">
        <f>CONCATENATE(Consulta1[[#This Row],[MES_ALTERACAO]],Consulta1[[#This Row],[VIRADA]])</f>
        <v>20260515</v>
      </c>
      <c r="W639">
        <f>VLOOKUP(Consulta1[[#This Row],[Coluna2]],CALENDARIO!$J:$K,2,FALSE)</f>
        <v>10</v>
      </c>
    </row>
    <row r="640" spans="1:23" x14ac:dyDescent="0.25">
      <c r="A640" t="s">
        <v>3026</v>
      </c>
      <c r="B640" t="str">
        <f>CONCATENATE(Consulta1[[#This Row],[id]],Consulta1[[#This Row],[EMPREGADOR]])</f>
        <v>6PREF  ITABERAI</v>
      </c>
      <c r="C640" s="6">
        <f>IF(A640=A639,C639+1,1)</f>
        <v>6</v>
      </c>
      <c r="D640" t="s">
        <v>1019</v>
      </c>
      <c r="E640" s="101">
        <v>1.7399999999999999E-2</v>
      </c>
      <c r="F640" s="6">
        <v>120</v>
      </c>
      <c r="G640" t="s">
        <v>1349</v>
      </c>
      <c r="H640" s="82">
        <v>2.5</v>
      </c>
      <c r="I640">
        <v>11</v>
      </c>
      <c r="K640" t="s">
        <v>1855</v>
      </c>
      <c r="L640" s="6" t="s">
        <v>1371</v>
      </c>
      <c r="M640" s="6">
        <v>15</v>
      </c>
      <c r="N640" s="6">
        <v>2</v>
      </c>
      <c r="O640">
        <v>500</v>
      </c>
      <c r="P640">
        <v>202605</v>
      </c>
      <c r="Q640" t="s">
        <v>377</v>
      </c>
      <c r="R640" t="s">
        <v>1350</v>
      </c>
      <c r="S640">
        <f>Consulta1[[#This Row],[min_port]]/100</f>
        <v>1.4499999999999999E-2</v>
      </c>
      <c r="T640" s="252">
        <f>Consulta1[[#This Row],[TETO_COMERCIAL]]/100</f>
        <v>2.5000000000000001E-2</v>
      </c>
      <c r="U640" t="b">
        <f>Consulta1[[#This Row],[TETO_COMERCIAL_%]]=Consulta1[[#This Row],[TAXA]]</f>
        <v>0</v>
      </c>
      <c r="V640" t="str">
        <f>CONCATENATE(Consulta1[[#This Row],[MES_ALTERACAO]],Consulta1[[#This Row],[VIRADA]])</f>
        <v>20260515</v>
      </c>
      <c r="W640">
        <f>VLOOKUP(Consulta1[[#This Row],[Coluna2]],CALENDARIO!$J:$K,2,FALSE)</f>
        <v>10</v>
      </c>
    </row>
    <row r="641" spans="1:23" x14ac:dyDescent="0.25">
      <c r="A641" t="s">
        <v>3026</v>
      </c>
      <c r="B641" t="str">
        <f>CONCATENATE(Consulta1[[#This Row],[id]],Consulta1[[#This Row],[EMPREGADOR]])</f>
        <v>7PREF  ITABERAI</v>
      </c>
      <c r="C641" s="6">
        <f>IF(A641=A640,C640+1,1)</f>
        <v>7</v>
      </c>
      <c r="D641" t="s">
        <v>1020</v>
      </c>
      <c r="E641" s="101">
        <v>1.72E-2</v>
      </c>
      <c r="F641" s="6">
        <v>120</v>
      </c>
      <c r="G641" t="s">
        <v>1349</v>
      </c>
      <c r="H641" s="82">
        <v>2.5</v>
      </c>
      <c r="I641">
        <v>11</v>
      </c>
      <c r="K641" t="s">
        <v>1856</v>
      </c>
      <c r="L641" s="6" t="s">
        <v>1371</v>
      </c>
      <c r="M641" s="6">
        <v>15</v>
      </c>
      <c r="N641" s="6">
        <v>2</v>
      </c>
      <c r="O641">
        <v>500</v>
      </c>
      <c r="P641">
        <v>202605</v>
      </c>
      <c r="Q641" t="s">
        <v>377</v>
      </c>
      <c r="R641" t="s">
        <v>1350</v>
      </c>
      <c r="S641">
        <f>Consulta1[[#This Row],[min_port]]/100</f>
        <v>1.4499999999999999E-2</v>
      </c>
      <c r="T641" s="252">
        <f>Consulta1[[#This Row],[TETO_COMERCIAL]]/100</f>
        <v>2.5000000000000001E-2</v>
      </c>
      <c r="U641" t="b">
        <f>Consulta1[[#This Row],[TETO_COMERCIAL_%]]=Consulta1[[#This Row],[TAXA]]</f>
        <v>0</v>
      </c>
      <c r="V641" t="str">
        <f>CONCATENATE(Consulta1[[#This Row],[MES_ALTERACAO]],Consulta1[[#This Row],[VIRADA]])</f>
        <v>20260515</v>
      </c>
      <c r="W641">
        <f>VLOOKUP(Consulta1[[#This Row],[Coluna2]],CALENDARIO!$J:$K,2,FALSE)</f>
        <v>10</v>
      </c>
    </row>
    <row r="642" spans="1:23" x14ac:dyDescent="0.25">
      <c r="A642" t="s">
        <v>3026</v>
      </c>
      <c r="B642" t="str">
        <f>CONCATENATE(Consulta1[[#This Row],[id]],Consulta1[[#This Row],[EMPREGADOR]])</f>
        <v>8PREF  ITABERAI</v>
      </c>
      <c r="C642" s="6">
        <f>IF(A642=A641,C641+1,1)</f>
        <v>8</v>
      </c>
      <c r="D642" t="s">
        <v>1021</v>
      </c>
      <c r="E642" s="101">
        <v>1.7000000000000001E-2</v>
      </c>
      <c r="F642" s="6">
        <v>120</v>
      </c>
      <c r="G642" t="s">
        <v>1349</v>
      </c>
      <c r="H642" s="82">
        <v>2.5</v>
      </c>
      <c r="I642">
        <v>11</v>
      </c>
      <c r="K642" t="s">
        <v>1857</v>
      </c>
      <c r="L642" s="6" t="s">
        <v>1371</v>
      </c>
      <c r="M642" s="6">
        <v>15</v>
      </c>
      <c r="N642" s="6">
        <v>2</v>
      </c>
      <c r="O642">
        <v>500</v>
      </c>
      <c r="P642">
        <v>202605</v>
      </c>
      <c r="Q642" t="s">
        <v>377</v>
      </c>
      <c r="R642" t="s">
        <v>1350</v>
      </c>
      <c r="S642">
        <f>Consulta1[[#This Row],[min_port]]/100</f>
        <v>1.4499999999999999E-2</v>
      </c>
      <c r="T642" s="252">
        <f>Consulta1[[#This Row],[TETO_COMERCIAL]]/100</f>
        <v>2.5000000000000001E-2</v>
      </c>
      <c r="U642" t="b">
        <f>Consulta1[[#This Row],[TETO_COMERCIAL_%]]=Consulta1[[#This Row],[TAXA]]</f>
        <v>0</v>
      </c>
      <c r="V642" t="str">
        <f>CONCATENATE(Consulta1[[#This Row],[MES_ALTERACAO]],Consulta1[[#This Row],[VIRADA]])</f>
        <v>20260515</v>
      </c>
      <c r="W642">
        <f>VLOOKUP(Consulta1[[#This Row],[Coluna2]],CALENDARIO!$J:$K,2,FALSE)</f>
        <v>10</v>
      </c>
    </row>
    <row r="643" spans="1:23" x14ac:dyDescent="0.25">
      <c r="A643" t="s">
        <v>3026</v>
      </c>
      <c r="B643" t="str">
        <f>CONCATENATE(Consulta1[[#This Row],[id]],Consulta1[[#This Row],[EMPREGADOR]])</f>
        <v>9PREF  ITABERAI</v>
      </c>
      <c r="C643" s="6">
        <f>IF(A643=A642,C642+1,1)</f>
        <v>9</v>
      </c>
      <c r="D643" t="s">
        <v>1022</v>
      </c>
      <c r="E643" s="101">
        <v>1.6799999999999999E-2</v>
      </c>
      <c r="F643" s="6">
        <v>120</v>
      </c>
      <c r="G643" t="s">
        <v>1349</v>
      </c>
      <c r="H643" s="82">
        <v>2.5</v>
      </c>
      <c r="I643">
        <v>11</v>
      </c>
      <c r="K643" t="s">
        <v>1858</v>
      </c>
      <c r="L643" s="6" t="s">
        <v>1371</v>
      </c>
      <c r="M643" s="6">
        <v>15</v>
      </c>
      <c r="N643" s="6">
        <v>2</v>
      </c>
      <c r="O643">
        <v>500</v>
      </c>
      <c r="P643">
        <v>202605</v>
      </c>
      <c r="Q643" t="s">
        <v>377</v>
      </c>
      <c r="R643" t="s">
        <v>1350</v>
      </c>
      <c r="S643">
        <f>Consulta1[[#This Row],[min_port]]/100</f>
        <v>1.4499999999999999E-2</v>
      </c>
      <c r="T643" s="252">
        <f>Consulta1[[#This Row],[TETO_COMERCIAL]]/100</f>
        <v>2.5000000000000001E-2</v>
      </c>
      <c r="U643" t="b">
        <f>Consulta1[[#This Row],[TETO_COMERCIAL_%]]=Consulta1[[#This Row],[TAXA]]</f>
        <v>0</v>
      </c>
      <c r="V643" t="str">
        <f>CONCATENATE(Consulta1[[#This Row],[MES_ALTERACAO]],Consulta1[[#This Row],[VIRADA]])</f>
        <v>20260515</v>
      </c>
      <c r="W643">
        <f>VLOOKUP(Consulta1[[#This Row],[Coluna2]],CALENDARIO!$J:$K,2,FALSE)</f>
        <v>10</v>
      </c>
    </row>
    <row r="644" spans="1:23" x14ac:dyDescent="0.25">
      <c r="A644" t="s">
        <v>3027</v>
      </c>
      <c r="B644" t="str">
        <f>CONCATENATE(Consulta1[[#This Row],[id]],Consulta1[[#This Row],[EMPREGADOR]])</f>
        <v>1PREF  MARABÁ</v>
      </c>
      <c r="C644" s="6">
        <f>IF(A644=A643,C643+1,1)</f>
        <v>1</v>
      </c>
      <c r="D644" t="s">
        <v>527</v>
      </c>
      <c r="E644" s="101">
        <v>2.5000000000000001E-2</v>
      </c>
      <c r="F644" s="6">
        <v>120</v>
      </c>
      <c r="G644" t="s">
        <v>1349</v>
      </c>
      <c r="H644" s="82">
        <v>2.5</v>
      </c>
      <c r="I644">
        <v>7</v>
      </c>
      <c r="K644" t="s">
        <v>1899</v>
      </c>
      <c r="L644" s="6" t="s">
        <v>1873</v>
      </c>
      <c r="M644" s="6">
        <v>10</v>
      </c>
      <c r="N644" s="6">
        <v>2</v>
      </c>
      <c r="O644">
        <v>500</v>
      </c>
      <c r="P644">
        <v>202605</v>
      </c>
      <c r="Q644" t="s">
        <v>377</v>
      </c>
      <c r="R644" t="s">
        <v>1350</v>
      </c>
      <c r="S644">
        <f>Consulta1[[#This Row],[min_port]]/100</f>
        <v>1.7000000000000001E-2</v>
      </c>
      <c r="T644" s="252">
        <f>Consulta1[[#This Row],[TETO_COMERCIAL]]/100</f>
        <v>2.5000000000000001E-2</v>
      </c>
      <c r="U644" t="b">
        <f>Consulta1[[#This Row],[TETO_COMERCIAL_%]]=Consulta1[[#This Row],[TAXA]]</f>
        <v>1</v>
      </c>
      <c r="V644" t="str">
        <f>CONCATENATE(Consulta1[[#This Row],[MES_ALTERACAO]],Consulta1[[#This Row],[VIRADA]])</f>
        <v>20260510</v>
      </c>
      <c r="W644">
        <f>VLOOKUP(Consulta1[[#This Row],[Coluna2]],CALENDARIO!$J:$K,2,FALSE)</f>
        <v>5</v>
      </c>
    </row>
    <row r="645" spans="1:23" x14ac:dyDescent="0.25">
      <c r="A645" t="s">
        <v>3027</v>
      </c>
      <c r="B645" t="str">
        <f>CONCATENATE(Consulta1[[#This Row],[id]],Consulta1[[#This Row],[EMPREGADOR]])</f>
        <v>2PREF  MARABÁ</v>
      </c>
      <c r="C645" s="6">
        <f>IF(A645=A644,C644+1,1)</f>
        <v>2</v>
      </c>
      <c r="D645" t="s">
        <v>528</v>
      </c>
      <c r="E645" s="101">
        <v>2.4E-2</v>
      </c>
      <c r="F645" s="6">
        <v>120</v>
      </c>
      <c r="G645" t="s">
        <v>1349</v>
      </c>
      <c r="H645" s="82">
        <v>2.5</v>
      </c>
      <c r="I645">
        <v>7</v>
      </c>
      <c r="J645">
        <v>42</v>
      </c>
      <c r="K645" t="s">
        <v>1900</v>
      </c>
      <c r="L645" s="6" t="s">
        <v>1873</v>
      </c>
      <c r="M645" s="6">
        <v>10</v>
      </c>
      <c r="N645" s="6">
        <v>2</v>
      </c>
      <c r="O645">
        <v>500</v>
      </c>
      <c r="P645">
        <v>202605</v>
      </c>
      <c r="Q645" t="s">
        <v>377</v>
      </c>
      <c r="R645" t="s">
        <v>1350</v>
      </c>
      <c r="S645">
        <f>Consulta1[[#This Row],[min_port]]/100</f>
        <v>1.7000000000000001E-2</v>
      </c>
      <c r="T645" s="252">
        <f>Consulta1[[#This Row],[TETO_COMERCIAL]]/100</f>
        <v>2.5000000000000001E-2</v>
      </c>
      <c r="U645" t="b">
        <f>Consulta1[[#This Row],[TETO_COMERCIAL_%]]=Consulta1[[#This Row],[TAXA]]</f>
        <v>0</v>
      </c>
      <c r="V645" t="str">
        <f>CONCATENATE(Consulta1[[#This Row],[MES_ALTERACAO]],Consulta1[[#This Row],[VIRADA]])</f>
        <v>20260510</v>
      </c>
      <c r="W645">
        <f>VLOOKUP(Consulta1[[#This Row],[Coluna2]],CALENDARIO!$J:$K,2,FALSE)</f>
        <v>5</v>
      </c>
    </row>
    <row r="646" spans="1:23" x14ac:dyDescent="0.25">
      <c r="A646" t="s">
        <v>3027</v>
      </c>
      <c r="B646" t="str">
        <f>CONCATENATE(Consulta1[[#This Row],[id]],Consulta1[[#This Row],[EMPREGADOR]])</f>
        <v>3PREF  MARABÁ</v>
      </c>
      <c r="C646" s="6">
        <f>IF(A646=A645,C645+1,1)</f>
        <v>3</v>
      </c>
      <c r="D646" t="s">
        <v>529</v>
      </c>
      <c r="E646" s="101">
        <v>2.3E-2</v>
      </c>
      <c r="F646" s="6">
        <v>120</v>
      </c>
      <c r="G646" t="s">
        <v>1349</v>
      </c>
      <c r="H646" s="82">
        <v>2.5</v>
      </c>
      <c r="I646">
        <v>7</v>
      </c>
      <c r="K646" t="s">
        <v>1901</v>
      </c>
      <c r="L646" s="6" t="s">
        <v>1873</v>
      </c>
      <c r="M646" s="6">
        <v>10</v>
      </c>
      <c r="N646" s="6">
        <v>2</v>
      </c>
      <c r="O646">
        <v>500</v>
      </c>
      <c r="P646">
        <v>202605</v>
      </c>
      <c r="Q646" t="s">
        <v>377</v>
      </c>
      <c r="R646" t="s">
        <v>1350</v>
      </c>
      <c r="S646">
        <f>Consulta1[[#This Row],[min_port]]/100</f>
        <v>1.7000000000000001E-2</v>
      </c>
      <c r="T646" s="252">
        <f>Consulta1[[#This Row],[TETO_COMERCIAL]]/100</f>
        <v>2.5000000000000001E-2</v>
      </c>
      <c r="U646" t="b">
        <f>Consulta1[[#This Row],[TETO_COMERCIAL_%]]=Consulta1[[#This Row],[TAXA]]</f>
        <v>0</v>
      </c>
      <c r="V646" t="str">
        <f>CONCATENATE(Consulta1[[#This Row],[MES_ALTERACAO]],Consulta1[[#This Row],[VIRADA]])</f>
        <v>20260510</v>
      </c>
      <c r="W646">
        <f>VLOOKUP(Consulta1[[#This Row],[Coluna2]],CALENDARIO!$J:$K,2,FALSE)</f>
        <v>5</v>
      </c>
    </row>
    <row r="647" spans="1:23" x14ac:dyDescent="0.25">
      <c r="A647" t="s">
        <v>3027</v>
      </c>
      <c r="B647" t="str">
        <f>CONCATENATE(Consulta1[[#This Row],[id]],Consulta1[[#This Row],[EMPREGADOR]])</f>
        <v>4PREF  MARABÁ</v>
      </c>
      <c r="C647" s="6">
        <f>IF(A647=A646,C646+1,1)</f>
        <v>4</v>
      </c>
      <c r="D647" t="s">
        <v>775</v>
      </c>
      <c r="E647" s="101">
        <v>2.2200000000000001E-2</v>
      </c>
      <c r="F647" s="6">
        <v>120</v>
      </c>
      <c r="G647" t="s">
        <v>1349</v>
      </c>
      <c r="H647" s="82">
        <v>2.5</v>
      </c>
      <c r="I647">
        <v>7</v>
      </c>
      <c r="J647">
        <v>37</v>
      </c>
      <c r="K647" t="s">
        <v>1902</v>
      </c>
      <c r="L647" s="6" t="s">
        <v>1873</v>
      </c>
      <c r="M647" s="6">
        <v>10</v>
      </c>
      <c r="N647" s="6">
        <v>2</v>
      </c>
      <c r="O647">
        <v>500</v>
      </c>
      <c r="P647">
        <v>202605</v>
      </c>
      <c r="Q647" t="s">
        <v>377</v>
      </c>
      <c r="R647" t="s">
        <v>1350</v>
      </c>
      <c r="S647">
        <f>Consulta1[[#This Row],[min_port]]/100</f>
        <v>1.7000000000000001E-2</v>
      </c>
      <c r="T647" s="252">
        <f>Consulta1[[#This Row],[TETO_COMERCIAL]]/100</f>
        <v>2.5000000000000001E-2</v>
      </c>
      <c r="U647" t="b">
        <f>Consulta1[[#This Row],[TETO_COMERCIAL_%]]=Consulta1[[#This Row],[TAXA]]</f>
        <v>0</v>
      </c>
      <c r="V647" t="str">
        <f>CONCATENATE(Consulta1[[#This Row],[MES_ALTERACAO]],Consulta1[[#This Row],[VIRADA]])</f>
        <v>20260510</v>
      </c>
      <c r="W647">
        <f>VLOOKUP(Consulta1[[#This Row],[Coluna2]],CALENDARIO!$J:$K,2,FALSE)</f>
        <v>5</v>
      </c>
    </row>
    <row r="648" spans="1:23" x14ac:dyDescent="0.25">
      <c r="A648" t="s">
        <v>3027</v>
      </c>
      <c r="B648" t="str">
        <f>CONCATENATE(Consulta1[[#This Row],[id]],Consulta1[[#This Row],[EMPREGADOR]])</f>
        <v>5PREF  MARABÁ</v>
      </c>
      <c r="C648" s="6">
        <f>IF(A648=A647,C647+1,1)</f>
        <v>5</v>
      </c>
      <c r="D648" t="s">
        <v>776</v>
      </c>
      <c r="E648" s="101">
        <v>2.1600000000000001E-2</v>
      </c>
      <c r="F648" s="6">
        <v>120</v>
      </c>
      <c r="G648" t="s">
        <v>1349</v>
      </c>
      <c r="H648" s="82">
        <v>2.5</v>
      </c>
      <c r="I648">
        <v>7</v>
      </c>
      <c r="J648">
        <v>37</v>
      </c>
      <c r="K648" t="s">
        <v>1903</v>
      </c>
      <c r="L648" s="6" t="s">
        <v>1873</v>
      </c>
      <c r="M648" s="6">
        <v>10</v>
      </c>
      <c r="N648" s="6">
        <v>2</v>
      </c>
      <c r="O648">
        <v>500</v>
      </c>
      <c r="P648">
        <v>202605</v>
      </c>
      <c r="Q648" t="s">
        <v>377</v>
      </c>
      <c r="R648" t="s">
        <v>1350</v>
      </c>
      <c r="S648">
        <f>Consulta1[[#This Row],[min_port]]/100</f>
        <v>1.7000000000000001E-2</v>
      </c>
      <c r="T648" s="252">
        <f>Consulta1[[#This Row],[TETO_COMERCIAL]]/100</f>
        <v>2.5000000000000001E-2</v>
      </c>
      <c r="U648" t="b">
        <f>Consulta1[[#This Row],[TETO_COMERCIAL_%]]=Consulta1[[#This Row],[TAXA]]</f>
        <v>0</v>
      </c>
      <c r="V648" t="str">
        <f>CONCATENATE(Consulta1[[#This Row],[MES_ALTERACAO]],Consulta1[[#This Row],[VIRADA]])</f>
        <v>20260510</v>
      </c>
      <c r="W648">
        <f>VLOOKUP(Consulta1[[#This Row],[Coluna2]],CALENDARIO!$J:$K,2,FALSE)</f>
        <v>5</v>
      </c>
    </row>
    <row r="649" spans="1:23" x14ac:dyDescent="0.25">
      <c r="A649" t="s">
        <v>3027</v>
      </c>
      <c r="B649" t="str">
        <f>CONCATENATE(Consulta1[[#This Row],[id]],Consulta1[[#This Row],[EMPREGADOR]])</f>
        <v>6PREF  MARABÁ</v>
      </c>
      <c r="C649" s="6">
        <f>IF(A649=A648,C648+1,1)</f>
        <v>6</v>
      </c>
      <c r="D649" t="s">
        <v>1271</v>
      </c>
      <c r="E649" s="101">
        <v>2.1400000000000002E-2</v>
      </c>
      <c r="F649" s="6">
        <v>120</v>
      </c>
      <c r="G649" t="s">
        <v>1349</v>
      </c>
      <c r="H649" s="82">
        <v>2.5</v>
      </c>
      <c r="I649">
        <v>7</v>
      </c>
      <c r="K649" t="s">
        <v>1904</v>
      </c>
      <c r="L649" s="6" t="s">
        <v>1873</v>
      </c>
      <c r="M649" s="6">
        <v>10</v>
      </c>
      <c r="N649" s="6">
        <v>2</v>
      </c>
      <c r="O649">
        <v>500</v>
      </c>
      <c r="P649">
        <v>202605</v>
      </c>
      <c r="Q649" t="s">
        <v>377</v>
      </c>
      <c r="R649" t="s">
        <v>1350</v>
      </c>
      <c r="S649">
        <f>Consulta1[[#This Row],[min_port]]/100</f>
        <v>1.7000000000000001E-2</v>
      </c>
      <c r="T649" s="252">
        <f>Consulta1[[#This Row],[TETO_COMERCIAL]]/100</f>
        <v>2.5000000000000001E-2</v>
      </c>
      <c r="U649" t="b">
        <f>Consulta1[[#This Row],[TETO_COMERCIAL_%]]=Consulta1[[#This Row],[TAXA]]</f>
        <v>0</v>
      </c>
      <c r="V649" t="str">
        <f>CONCATENATE(Consulta1[[#This Row],[MES_ALTERACAO]],Consulta1[[#This Row],[VIRADA]])</f>
        <v>20260510</v>
      </c>
      <c r="W649">
        <f>VLOOKUP(Consulta1[[#This Row],[Coluna2]],CALENDARIO!$J:$K,2,FALSE)</f>
        <v>5</v>
      </c>
    </row>
    <row r="650" spans="1:23" x14ac:dyDescent="0.25">
      <c r="A650" t="s">
        <v>3027</v>
      </c>
      <c r="B650" t="str">
        <f>CONCATENATE(Consulta1[[#This Row],[id]],Consulta1[[#This Row],[EMPREGADOR]])</f>
        <v>7PREF  MARABÁ</v>
      </c>
      <c r="C650" s="6">
        <f>IF(A650=A649,C649+1,1)</f>
        <v>7</v>
      </c>
      <c r="D650" t="s">
        <v>1272</v>
      </c>
      <c r="E650" s="101">
        <v>2.1099999999999997E-2</v>
      </c>
      <c r="F650" s="6">
        <v>120</v>
      </c>
      <c r="G650" t="s">
        <v>1349</v>
      </c>
      <c r="H650" s="82">
        <v>2.5</v>
      </c>
      <c r="I650">
        <v>7</v>
      </c>
      <c r="J650">
        <v>46</v>
      </c>
      <c r="K650" t="s">
        <v>1905</v>
      </c>
      <c r="L650" s="6" t="s">
        <v>1873</v>
      </c>
      <c r="M650" s="6">
        <v>10</v>
      </c>
      <c r="N650" s="6">
        <v>2</v>
      </c>
      <c r="O650">
        <v>500</v>
      </c>
      <c r="P650">
        <v>202605</v>
      </c>
      <c r="Q650" t="s">
        <v>377</v>
      </c>
      <c r="R650" t="s">
        <v>1350</v>
      </c>
      <c r="S650">
        <f>Consulta1[[#This Row],[min_port]]/100</f>
        <v>1.7000000000000001E-2</v>
      </c>
      <c r="T650" s="252">
        <f>Consulta1[[#This Row],[TETO_COMERCIAL]]/100</f>
        <v>2.5000000000000001E-2</v>
      </c>
      <c r="U650" t="b">
        <f>Consulta1[[#This Row],[TETO_COMERCIAL_%]]=Consulta1[[#This Row],[TAXA]]</f>
        <v>0</v>
      </c>
      <c r="V650" t="str">
        <f>CONCATENATE(Consulta1[[#This Row],[MES_ALTERACAO]],Consulta1[[#This Row],[VIRADA]])</f>
        <v>20260510</v>
      </c>
      <c r="W650">
        <f>VLOOKUP(Consulta1[[#This Row],[Coluna2]],CALENDARIO!$J:$K,2,FALSE)</f>
        <v>5</v>
      </c>
    </row>
    <row r="651" spans="1:23" x14ac:dyDescent="0.25">
      <c r="A651" t="s">
        <v>211</v>
      </c>
      <c r="B651" t="str">
        <f>CONCATENATE(Consulta1[[#This Row],[id]],Consulta1[[#This Row],[EMPREGADOR]])</f>
        <v>1PREF ALVORADA</v>
      </c>
      <c r="C651" s="6">
        <f>IF(A651=A650,C650+1,1)</f>
        <v>1</v>
      </c>
      <c r="D651" t="s">
        <v>425</v>
      </c>
      <c r="E651" s="101">
        <v>2.5000000000000001E-2</v>
      </c>
      <c r="F651" s="6">
        <v>120</v>
      </c>
      <c r="G651" t="s">
        <v>1349</v>
      </c>
      <c r="H651" s="82">
        <v>2.5</v>
      </c>
      <c r="I651">
        <v>25</v>
      </c>
      <c r="J651">
        <v>61</v>
      </c>
      <c r="K651" t="s">
        <v>1604</v>
      </c>
      <c r="L651" s="6" t="s">
        <v>1605</v>
      </c>
      <c r="M651" s="6">
        <v>10</v>
      </c>
      <c r="N651" s="6">
        <v>2</v>
      </c>
      <c r="O651">
        <v>500</v>
      </c>
      <c r="P651">
        <v>202605</v>
      </c>
      <c r="Q651" t="s">
        <v>377</v>
      </c>
      <c r="R651" t="s">
        <v>1353</v>
      </c>
      <c r="S651">
        <f>Consulta1[[#This Row],[min_port]]/100</f>
        <v>1.43E-2</v>
      </c>
      <c r="T651" s="252">
        <f>Consulta1[[#This Row],[TETO_COMERCIAL]]/100</f>
        <v>2.5000000000000001E-2</v>
      </c>
      <c r="U651" t="b">
        <f>Consulta1[[#This Row],[TETO_COMERCIAL_%]]=Consulta1[[#This Row],[TAXA]]</f>
        <v>1</v>
      </c>
      <c r="V651" t="str">
        <f>CONCATENATE(Consulta1[[#This Row],[MES_ALTERACAO]],Consulta1[[#This Row],[VIRADA]])</f>
        <v>20260510</v>
      </c>
      <c r="W651">
        <f>VLOOKUP(Consulta1[[#This Row],[Coluna2]],CALENDARIO!$J:$K,2,FALSE)</f>
        <v>5</v>
      </c>
    </row>
    <row r="652" spans="1:23" x14ac:dyDescent="0.25">
      <c r="A652" t="s">
        <v>211</v>
      </c>
      <c r="B652" t="str">
        <f>CONCATENATE(Consulta1[[#This Row],[id]],Consulta1[[#This Row],[EMPREGADOR]])</f>
        <v>2PREF ALVORADA</v>
      </c>
      <c r="C652" s="6">
        <f>IF(A652=A651,C651+1,1)</f>
        <v>2</v>
      </c>
      <c r="D652" t="s">
        <v>426</v>
      </c>
      <c r="E652" s="101">
        <v>2.0499999999999997E-2</v>
      </c>
      <c r="F652" s="6">
        <v>120</v>
      </c>
      <c r="G652" t="s">
        <v>1349</v>
      </c>
      <c r="H652" s="82">
        <v>2.5</v>
      </c>
      <c r="I652">
        <v>25</v>
      </c>
      <c r="J652">
        <v>59</v>
      </c>
      <c r="K652" t="s">
        <v>1606</v>
      </c>
      <c r="L652" s="6" t="s">
        <v>1605</v>
      </c>
      <c r="M652" s="6">
        <v>10</v>
      </c>
      <c r="N652" s="6">
        <v>2</v>
      </c>
      <c r="O652">
        <v>500</v>
      </c>
      <c r="P652">
        <v>202605</v>
      </c>
      <c r="Q652" t="s">
        <v>377</v>
      </c>
      <c r="R652" t="s">
        <v>1353</v>
      </c>
      <c r="S652">
        <f>Consulta1[[#This Row],[min_port]]/100</f>
        <v>1.43E-2</v>
      </c>
      <c r="T652" s="252">
        <f>Consulta1[[#This Row],[TETO_COMERCIAL]]/100</f>
        <v>2.5000000000000001E-2</v>
      </c>
      <c r="U652" t="b">
        <f>Consulta1[[#This Row],[TETO_COMERCIAL_%]]=Consulta1[[#This Row],[TAXA]]</f>
        <v>0</v>
      </c>
      <c r="V652" t="str">
        <f>CONCATENATE(Consulta1[[#This Row],[MES_ALTERACAO]],Consulta1[[#This Row],[VIRADA]])</f>
        <v>20260510</v>
      </c>
      <c r="W652">
        <f>VLOOKUP(Consulta1[[#This Row],[Coluna2]],CALENDARIO!$J:$K,2,FALSE)</f>
        <v>5</v>
      </c>
    </row>
    <row r="653" spans="1:23" x14ac:dyDescent="0.25">
      <c r="A653" t="s">
        <v>211</v>
      </c>
      <c r="B653" t="str">
        <f>CONCATENATE(Consulta1[[#This Row],[id]],Consulta1[[#This Row],[EMPREGADOR]])</f>
        <v>3PREF ALVORADA</v>
      </c>
      <c r="C653" s="6">
        <f>IF(A653=A652,C652+1,1)</f>
        <v>3</v>
      </c>
      <c r="D653" t="s">
        <v>427</v>
      </c>
      <c r="E653" s="101">
        <v>1.95E-2</v>
      </c>
      <c r="F653" s="6">
        <v>120</v>
      </c>
      <c r="G653" t="s">
        <v>1349</v>
      </c>
      <c r="H653" s="82">
        <v>2.5</v>
      </c>
      <c r="I653">
        <v>25</v>
      </c>
      <c r="J653">
        <v>55</v>
      </c>
      <c r="K653" t="s">
        <v>1607</v>
      </c>
      <c r="L653" s="6" t="s">
        <v>1605</v>
      </c>
      <c r="M653" s="6">
        <v>10</v>
      </c>
      <c r="N653" s="6">
        <v>2</v>
      </c>
      <c r="O653">
        <v>500</v>
      </c>
      <c r="P653">
        <v>202605</v>
      </c>
      <c r="Q653" t="s">
        <v>377</v>
      </c>
      <c r="R653" t="s">
        <v>1353</v>
      </c>
      <c r="S653">
        <f>Consulta1[[#This Row],[min_port]]/100</f>
        <v>1.43E-2</v>
      </c>
      <c r="T653" s="252">
        <f>Consulta1[[#This Row],[TETO_COMERCIAL]]/100</f>
        <v>2.5000000000000001E-2</v>
      </c>
      <c r="U653" t="b">
        <f>Consulta1[[#This Row],[TETO_COMERCIAL_%]]=Consulta1[[#This Row],[TAXA]]</f>
        <v>0</v>
      </c>
      <c r="V653" t="str">
        <f>CONCATENATE(Consulta1[[#This Row],[MES_ALTERACAO]],Consulta1[[#This Row],[VIRADA]])</f>
        <v>20260510</v>
      </c>
      <c r="W653">
        <f>VLOOKUP(Consulta1[[#This Row],[Coluna2]],CALENDARIO!$J:$K,2,FALSE)</f>
        <v>5</v>
      </c>
    </row>
    <row r="654" spans="1:23" x14ac:dyDescent="0.25">
      <c r="A654" t="s">
        <v>211</v>
      </c>
      <c r="B654" t="str">
        <f>CONCATENATE(Consulta1[[#This Row],[id]],Consulta1[[#This Row],[EMPREGADOR]])</f>
        <v>4PREF ALVORADA</v>
      </c>
      <c r="C654" s="6">
        <f>IF(A654=A653,C653+1,1)</f>
        <v>4</v>
      </c>
      <c r="D654" t="s">
        <v>325</v>
      </c>
      <c r="E654" s="101">
        <v>1.8799999999999997E-2</v>
      </c>
      <c r="F654" s="6">
        <v>120</v>
      </c>
      <c r="G654" t="s">
        <v>1349</v>
      </c>
      <c r="H654" s="82">
        <v>2.5</v>
      </c>
      <c r="I654">
        <v>25</v>
      </c>
      <c r="J654">
        <v>60</v>
      </c>
      <c r="K654" t="s">
        <v>1608</v>
      </c>
      <c r="L654" s="6" t="s">
        <v>1605</v>
      </c>
      <c r="M654" s="6">
        <v>10</v>
      </c>
      <c r="N654" s="6">
        <v>2</v>
      </c>
      <c r="O654">
        <v>500</v>
      </c>
      <c r="P654">
        <v>202605</v>
      </c>
      <c r="Q654" t="s">
        <v>377</v>
      </c>
      <c r="R654" t="s">
        <v>1353</v>
      </c>
      <c r="S654">
        <f>Consulta1[[#This Row],[min_port]]/100</f>
        <v>1.43E-2</v>
      </c>
      <c r="T654" s="252">
        <f>Consulta1[[#This Row],[TETO_COMERCIAL]]/100</f>
        <v>2.5000000000000001E-2</v>
      </c>
      <c r="U654" t="b">
        <f>Consulta1[[#This Row],[TETO_COMERCIAL_%]]=Consulta1[[#This Row],[TAXA]]</f>
        <v>0</v>
      </c>
      <c r="V654" t="str">
        <f>CONCATENATE(Consulta1[[#This Row],[MES_ALTERACAO]],Consulta1[[#This Row],[VIRADA]])</f>
        <v>20260510</v>
      </c>
      <c r="W654">
        <f>VLOOKUP(Consulta1[[#This Row],[Coluna2]],CALENDARIO!$J:$K,2,FALSE)</f>
        <v>5</v>
      </c>
    </row>
    <row r="655" spans="1:23" x14ac:dyDescent="0.25">
      <c r="A655" t="s">
        <v>211</v>
      </c>
      <c r="B655" t="str">
        <f>CONCATENATE(Consulta1[[#This Row],[id]],Consulta1[[#This Row],[EMPREGADOR]])</f>
        <v>5PREF ALVORADA</v>
      </c>
      <c r="C655" s="6">
        <f>IF(A655=A654,C654+1,1)</f>
        <v>5</v>
      </c>
      <c r="D655" t="s">
        <v>954</v>
      </c>
      <c r="E655" s="101">
        <v>1.7600000000000001E-2</v>
      </c>
      <c r="F655" s="6">
        <v>120</v>
      </c>
      <c r="G655" t="s">
        <v>1349</v>
      </c>
      <c r="H655" s="82">
        <v>2.5</v>
      </c>
      <c r="I655">
        <v>25</v>
      </c>
      <c r="J655">
        <v>60</v>
      </c>
      <c r="K655" t="s">
        <v>1609</v>
      </c>
      <c r="L655" s="6" t="s">
        <v>1605</v>
      </c>
      <c r="M655" s="6">
        <v>10</v>
      </c>
      <c r="N655" s="6">
        <v>2</v>
      </c>
      <c r="O655">
        <v>500</v>
      </c>
      <c r="P655">
        <v>202605</v>
      </c>
      <c r="Q655" t="s">
        <v>377</v>
      </c>
      <c r="R655" t="s">
        <v>1353</v>
      </c>
      <c r="S655">
        <f>Consulta1[[#This Row],[min_port]]/100</f>
        <v>1.43E-2</v>
      </c>
      <c r="T655" s="252">
        <f>Consulta1[[#This Row],[TETO_COMERCIAL]]/100</f>
        <v>2.5000000000000001E-2</v>
      </c>
      <c r="U655" t="b">
        <f>Consulta1[[#This Row],[TETO_COMERCIAL_%]]=Consulta1[[#This Row],[TAXA]]</f>
        <v>0</v>
      </c>
      <c r="V655" t="str">
        <f>CONCATENATE(Consulta1[[#This Row],[MES_ALTERACAO]],Consulta1[[#This Row],[VIRADA]])</f>
        <v>20260510</v>
      </c>
      <c r="W655">
        <f>VLOOKUP(Consulta1[[#This Row],[Coluna2]],CALENDARIO!$J:$K,2,FALSE)</f>
        <v>5</v>
      </c>
    </row>
    <row r="656" spans="1:23" x14ac:dyDescent="0.25">
      <c r="A656" t="s">
        <v>360</v>
      </c>
      <c r="B656" t="str">
        <f>CONCATENATE(Consulta1[[#This Row],[id]],Consulta1[[#This Row],[EMPREGADOR]])</f>
        <v>1PREF ALVORADA CLT</v>
      </c>
      <c r="C656" s="6">
        <f>IF(A656=A655,C655+1,1)</f>
        <v>1</v>
      </c>
      <c r="D656" t="s">
        <v>428</v>
      </c>
      <c r="E656" s="101">
        <v>2.5000000000000001E-2</v>
      </c>
      <c r="F656" s="6">
        <v>120</v>
      </c>
      <c r="G656" t="s">
        <v>1349</v>
      </c>
      <c r="H656" s="82">
        <v>2.5</v>
      </c>
      <c r="I656">
        <v>25</v>
      </c>
      <c r="K656" t="s">
        <v>1610</v>
      </c>
      <c r="L656" s="6" t="s">
        <v>1605</v>
      </c>
      <c r="M656" s="6">
        <v>10</v>
      </c>
      <c r="N656" s="6">
        <v>2</v>
      </c>
      <c r="O656">
        <v>500</v>
      </c>
      <c r="P656">
        <v>202605</v>
      </c>
      <c r="Q656" t="s">
        <v>377</v>
      </c>
      <c r="R656" t="s">
        <v>1353</v>
      </c>
      <c r="S656">
        <f>Consulta1[[#This Row],[min_port]]/100</f>
        <v>1.43E-2</v>
      </c>
      <c r="T656" s="252">
        <f>Consulta1[[#This Row],[TETO_COMERCIAL]]/100</f>
        <v>2.5000000000000001E-2</v>
      </c>
      <c r="U656" t="b">
        <f>Consulta1[[#This Row],[TETO_COMERCIAL_%]]=Consulta1[[#This Row],[TAXA]]</f>
        <v>1</v>
      </c>
      <c r="V656" t="str">
        <f>CONCATENATE(Consulta1[[#This Row],[MES_ALTERACAO]],Consulta1[[#This Row],[VIRADA]])</f>
        <v>20260510</v>
      </c>
      <c r="W656">
        <f>VLOOKUP(Consulta1[[#This Row],[Coluna2]],CALENDARIO!$J:$K,2,FALSE)</f>
        <v>5</v>
      </c>
    </row>
    <row r="657" spans="1:23" x14ac:dyDescent="0.25">
      <c r="A657" t="s">
        <v>360</v>
      </c>
      <c r="B657" t="str">
        <f>CONCATENATE(Consulta1[[#This Row],[id]],Consulta1[[#This Row],[EMPREGADOR]])</f>
        <v>2PREF ALVORADA CLT</v>
      </c>
      <c r="C657" s="6">
        <f>IF(A657=A656,C656+1,1)</f>
        <v>2</v>
      </c>
      <c r="D657" t="s">
        <v>429</v>
      </c>
      <c r="E657" s="101">
        <v>2.0499999999999997E-2</v>
      </c>
      <c r="F657" s="6">
        <v>120</v>
      </c>
      <c r="G657" t="s">
        <v>1349</v>
      </c>
      <c r="H657" s="82">
        <v>2.5</v>
      </c>
      <c r="I657">
        <v>25</v>
      </c>
      <c r="J657">
        <v>51</v>
      </c>
      <c r="K657" t="s">
        <v>1611</v>
      </c>
      <c r="L657" s="6" t="s">
        <v>1605</v>
      </c>
      <c r="M657" s="6">
        <v>10</v>
      </c>
      <c r="N657" s="6">
        <v>2</v>
      </c>
      <c r="O657">
        <v>500</v>
      </c>
      <c r="P657">
        <v>202605</v>
      </c>
      <c r="Q657" t="s">
        <v>377</v>
      </c>
      <c r="R657" t="s">
        <v>1353</v>
      </c>
      <c r="S657">
        <f>Consulta1[[#This Row],[min_port]]/100</f>
        <v>1.43E-2</v>
      </c>
      <c r="T657" s="252">
        <f>Consulta1[[#This Row],[TETO_COMERCIAL]]/100</f>
        <v>2.5000000000000001E-2</v>
      </c>
      <c r="U657" t="b">
        <f>Consulta1[[#This Row],[TETO_COMERCIAL_%]]=Consulta1[[#This Row],[TAXA]]</f>
        <v>0</v>
      </c>
      <c r="V657" t="str">
        <f>CONCATENATE(Consulta1[[#This Row],[MES_ALTERACAO]],Consulta1[[#This Row],[VIRADA]])</f>
        <v>20260510</v>
      </c>
      <c r="W657">
        <f>VLOOKUP(Consulta1[[#This Row],[Coluna2]],CALENDARIO!$J:$K,2,FALSE)</f>
        <v>5</v>
      </c>
    </row>
    <row r="658" spans="1:23" x14ac:dyDescent="0.25">
      <c r="A658" t="s">
        <v>360</v>
      </c>
      <c r="B658" t="str">
        <f>CONCATENATE(Consulta1[[#This Row],[id]],Consulta1[[#This Row],[EMPREGADOR]])</f>
        <v>3PREF ALVORADA CLT</v>
      </c>
      <c r="C658" s="6">
        <f>IF(A658=A657,C657+1,1)</f>
        <v>3</v>
      </c>
      <c r="D658" t="s">
        <v>430</v>
      </c>
      <c r="E658" s="101">
        <v>1.95E-2</v>
      </c>
      <c r="F658" s="6">
        <v>120</v>
      </c>
      <c r="G658" t="s">
        <v>1349</v>
      </c>
      <c r="H658" s="82">
        <v>2.5</v>
      </c>
      <c r="I658">
        <v>25</v>
      </c>
      <c r="K658" t="s">
        <v>1612</v>
      </c>
      <c r="L658" s="6" t="s">
        <v>1605</v>
      </c>
      <c r="M658" s="6">
        <v>10</v>
      </c>
      <c r="N658" s="6">
        <v>2</v>
      </c>
      <c r="O658">
        <v>500</v>
      </c>
      <c r="P658">
        <v>202605</v>
      </c>
      <c r="Q658" t="s">
        <v>377</v>
      </c>
      <c r="R658" t="s">
        <v>1353</v>
      </c>
      <c r="S658">
        <f>Consulta1[[#This Row],[min_port]]/100</f>
        <v>1.43E-2</v>
      </c>
      <c r="T658" s="252">
        <f>Consulta1[[#This Row],[TETO_COMERCIAL]]/100</f>
        <v>2.5000000000000001E-2</v>
      </c>
      <c r="U658" t="b">
        <f>Consulta1[[#This Row],[TETO_COMERCIAL_%]]=Consulta1[[#This Row],[TAXA]]</f>
        <v>0</v>
      </c>
      <c r="V658" t="str">
        <f>CONCATENATE(Consulta1[[#This Row],[MES_ALTERACAO]],Consulta1[[#This Row],[VIRADA]])</f>
        <v>20260510</v>
      </c>
      <c r="W658">
        <f>VLOOKUP(Consulta1[[#This Row],[Coluna2]],CALENDARIO!$J:$K,2,FALSE)</f>
        <v>5</v>
      </c>
    </row>
    <row r="659" spans="1:23" x14ac:dyDescent="0.25">
      <c r="A659" t="s">
        <v>360</v>
      </c>
      <c r="B659" t="str">
        <f>CONCATENATE(Consulta1[[#This Row],[id]],Consulta1[[#This Row],[EMPREGADOR]])</f>
        <v>4PREF ALVORADA CLT</v>
      </c>
      <c r="C659" s="6">
        <f>IF(A659=A658,C658+1,1)</f>
        <v>4</v>
      </c>
      <c r="D659" t="s">
        <v>326</v>
      </c>
      <c r="E659" s="101">
        <v>1.8799999999999997E-2</v>
      </c>
      <c r="F659" s="6">
        <v>120</v>
      </c>
      <c r="G659" t="s">
        <v>1349</v>
      </c>
      <c r="H659" s="82">
        <v>2.5</v>
      </c>
      <c r="I659">
        <v>25</v>
      </c>
      <c r="K659" t="s">
        <v>1613</v>
      </c>
      <c r="L659" s="6" t="s">
        <v>1605</v>
      </c>
      <c r="M659" s="6">
        <v>10</v>
      </c>
      <c r="N659" s="6">
        <v>2</v>
      </c>
      <c r="O659">
        <v>500</v>
      </c>
      <c r="P659">
        <v>202605</v>
      </c>
      <c r="Q659" t="s">
        <v>377</v>
      </c>
      <c r="R659" t="s">
        <v>1353</v>
      </c>
      <c r="S659">
        <f>Consulta1[[#This Row],[min_port]]/100</f>
        <v>1.43E-2</v>
      </c>
      <c r="T659" s="252">
        <f>Consulta1[[#This Row],[TETO_COMERCIAL]]/100</f>
        <v>2.5000000000000001E-2</v>
      </c>
      <c r="U659" t="b">
        <f>Consulta1[[#This Row],[TETO_COMERCIAL_%]]=Consulta1[[#This Row],[TAXA]]</f>
        <v>0</v>
      </c>
      <c r="V659" t="str">
        <f>CONCATENATE(Consulta1[[#This Row],[MES_ALTERACAO]],Consulta1[[#This Row],[VIRADA]])</f>
        <v>20260510</v>
      </c>
      <c r="W659">
        <f>VLOOKUP(Consulta1[[#This Row],[Coluna2]],CALENDARIO!$J:$K,2,FALSE)</f>
        <v>5</v>
      </c>
    </row>
    <row r="660" spans="1:23" x14ac:dyDescent="0.25">
      <c r="A660" t="s">
        <v>360</v>
      </c>
      <c r="B660" t="str">
        <f>CONCATENATE(Consulta1[[#This Row],[id]],Consulta1[[#This Row],[EMPREGADOR]])</f>
        <v>5PREF ALVORADA CLT</v>
      </c>
      <c r="C660" s="6">
        <f>IF(A660=A659,C659+1,1)</f>
        <v>5</v>
      </c>
      <c r="D660" t="s">
        <v>955</v>
      </c>
      <c r="E660" s="101">
        <v>1.7600000000000001E-2</v>
      </c>
      <c r="F660" s="6">
        <v>120</v>
      </c>
      <c r="G660" t="s">
        <v>1349</v>
      </c>
      <c r="H660" s="82">
        <v>2.5</v>
      </c>
      <c r="I660">
        <v>25</v>
      </c>
      <c r="J660">
        <v>62</v>
      </c>
      <c r="K660" t="s">
        <v>1614</v>
      </c>
      <c r="L660" s="6" t="s">
        <v>1605</v>
      </c>
      <c r="M660" s="6">
        <v>10</v>
      </c>
      <c r="N660" s="6">
        <v>2</v>
      </c>
      <c r="O660">
        <v>500</v>
      </c>
      <c r="P660">
        <v>202605</v>
      </c>
      <c r="Q660" t="s">
        <v>377</v>
      </c>
      <c r="R660" t="s">
        <v>1353</v>
      </c>
      <c r="S660">
        <f>Consulta1[[#This Row],[min_port]]/100</f>
        <v>1.43E-2</v>
      </c>
      <c r="T660" s="252">
        <f>Consulta1[[#This Row],[TETO_COMERCIAL]]/100</f>
        <v>2.5000000000000001E-2</v>
      </c>
      <c r="U660" t="b">
        <f>Consulta1[[#This Row],[TETO_COMERCIAL_%]]=Consulta1[[#This Row],[TAXA]]</f>
        <v>0</v>
      </c>
      <c r="V660" t="str">
        <f>CONCATENATE(Consulta1[[#This Row],[MES_ALTERACAO]],Consulta1[[#This Row],[VIRADA]])</f>
        <v>20260510</v>
      </c>
      <c r="W660">
        <f>VLOOKUP(Consulta1[[#This Row],[Coluna2]],CALENDARIO!$J:$K,2,FALSE)</f>
        <v>5</v>
      </c>
    </row>
    <row r="661" spans="1:23" x14ac:dyDescent="0.25">
      <c r="A661" t="s">
        <v>381</v>
      </c>
      <c r="B661" t="str">
        <f>CONCATENATE(Consulta1[[#This Row],[id]],Consulta1[[#This Row],[EMPREGADOR]])</f>
        <v>1PREF AMERICANA</v>
      </c>
      <c r="C661" s="6">
        <f>IF(A661=A660,C660+1,1)</f>
        <v>1</v>
      </c>
      <c r="D661" t="s">
        <v>382</v>
      </c>
      <c r="E661" s="101">
        <v>2.5000000000000001E-2</v>
      </c>
      <c r="F661" s="6">
        <v>120</v>
      </c>
      <c r="G661" t="s">
        <v>1349</v>
      </c>
      <c r="H661" s="82">
        <v>2.5</v>
      </c>
      <c r="I661">
        <v>14</v>
      </c>
      <c r="J661">
        <v>42</v>
      </c>
      <c r="K661" t="s">
        <v>1615</v>
      </c>
      <c r="L661" s="6" t="s">
        <v>1616</v>
      </c>
      <c r="M661" s="6">
        <v>22</v>
      </c>
      <c r="N661" s="6">
        <v>2</v>
      </c>
      <c r="O661">
        <v>500</v>
      </c>
      <c r="P661">
        <v>202605</v>
      </c>
      <c r="Q661" t="s">
        <v>377</v>
      </c>
      <c r="R661" t="s">
        <v>1350</v>
      </c>
      <c r="S661">
        <f>Consulta1[[#This Row],[min_port]]/100</f>
        <v>1.5900000000000001E-2</v>
      </c>
      <c r="T661" s="252">
        <f>Consulta1[[#This Row],[TETO_COMERCIAL]]/100</f>
        <v>2.5000000000000001E-2</v>
      </c>
      <c r="U661" t="b">
        <f>Consulta1[[#This Row],[TETO_COMERCIAL_%]]=Consulta1[[#This Row],[TAXA]]</f>
        <v>1</v>
      </c>
      <c r="V661" t="str">
        <f>CONCATENATE(Consulta1[[#This Row],[MES_ALTERACAO]],Consulta1[[#This Row],[VIRADA]])</f>
        <v>20260522</v>
      </c>
      <c r="W661">
        <f>VLOOKUP(Consulta1[[#This Row],[Coluna2]],CALENDARIO!$J:$K,2,FALSE)</f>
        <v>15</v>
      </c>
    </row>
    <row r="662" spans="1:23" x14ac:dyDescent="0.25">
      <c r="A662" t="s">
        <v>381</v>
      </c>
      <c r="B662" t="str">
        <f>CONCATENATE(Consulta1[[#This Row],[id]],Consulta1[[#This Row],[EMPREGADOR]])</f>
        <v>2PREF AMERICANA</v>
      </c>
      <c r="C662" s="6">
        <f>IF(A662=A661,C661+1,1)</f>
        <v>2</v>
      </c>
      <c r="D662" t="s">
        <v>383</v>
      </c>
      <c r="E662" s="101">
        <v>0.02</v>
      </c>
      <c r="F662" s="6">
        <v>120</v>
      </c>
      <c r="G662" t="s">
        <v>1349</v>
      </c>
      <c r="H662" s="82">
        <v>2.5</v>
      </c>
      <c r="I662">
        <v>14</v>
      </c>
      <c r="J662">
        <v>42</v>
      </c>
      <c r="K662" t="s">
        <v>1617</v>
      </c>
      <c r="L662" s="6" t="s">
        <v>1616</v>
      </c>
      <c r="M662" s="6">
        <v>22</v>
      </c>
      <c r="N662" s="6">
        <v>2</v>
      </c>
      <c r="O662">
        <v>500</v>
      </c>
      <c r="P662">
        <v>202605</v>
      </c>
      <c r="Q662" t="s">
        <v>377</v>
      </c>
      <c r="R662" t="s">
        <v>1350</v>
      </c>
      <c r="S662">
        <f>Consulta1[[#This Row],[min_port]]/100</f>
        <v>1.5900000000000001E-2</v>
      </c>
      <c r="T662" s="252">
        <f>Consulta1[[#This Row],[TETO_COMERCIAL]]/100</f>
        <v>2.5000000000000001E-2</v>
      </c>
      <c r="U662" t="b">
        <f>Consulta1[[#This Row],[TETO_COMERCIAL_%]]=Consulta1[[#This Row],[TAXA]]</f>
        <v>0</v>
      </c>
      <c r="V662" t="str">
        <f>CONCATENATE(Consulta1[[#This Row],[MES_ALTERACAO]],Consulta1[[#This Row],[VIRADA]])</f>
        <v>20260522</v>
      </c>
      <c r="W662">
        <f>VLOOKUP(Consulta1[[#This Row],[Coluna2]],CALENDARIO!$J:$K,2,FALSE)</f>
        <v>15</v>
      </c>
    </row>
    <row r="663" spans="1:23" x14ac:dyDescent="0.25">
      <c r="A663" t="s">
        <v>381</v>
      </c>
      <c r="B663" t="str">
        <f>CONCATENATE(Consulta1[[#This Row],[id]],Consulta1[[#This Row],[EMPREGADOR]])</f>
        <v>3PREF AMERICANA</v>
      </c>
      <c r="C663" s="6">
        <f>IF(A663=A662,C662+1,1)</f>
        <v>3</v>
      </c>
      <c r="D663" t="s">
        <v>384</v>
      </c>
      <c r="E663" s="101">
        <v>1.95E-2</v>
      </c>
      <c r="F663" s="6">
        <v>120</v>
      </c>
      <c r="G663" t="s">
        <v>1349</v>
      </c>
      <c r="H663" s="82">
        <v>2.5</v>
      </c>
      <c r="I663">
        <v>14</v>
      </c>
      <c r="J663">
        <v>42</v>
      </c>
      <c r="K663" t="s">
        <v>1618</v>
      </c>
      <c r="L663" s="6" t="s">
        <v>1616</v>
      </c>
      <c r="M663" s="6">
        <v>22</v>
      </c>
      <c r="N663" s="6">
        <v>2</v>
      </c>
      <c r="O663">
        <v>500</v>
      </c>
      <c r="P663">
        <v>202605</v>
      </c>
      <c r="Q663" t="s">
        <v>377</v>
      </c>
      <c r="R663" t="s">
        <v>1350</v>
      </c>
      <c r="S663">
        <f>Consulta1[[#This Row],[min_port]]/100</f>
        <v>1.5900000000000001E-2</v>
      </c>
      <c r="T663" s="252">
        <f>Consulta1[[#This Row],[TETO_COMERCIAL]]/100</f>
        <v>2.5000000000000001E-2</v>
      </c>
      <c r="U663" t="b">
        <f>Consulta1[[#This Row],[TETO_COMERCIAL_%]]=Consulta1[[#This Row],[TAXA]]</f>
        <v>0</v>
      </c>
      <c r="V663" t="str">
        <f>CONCATENATE(Consulta1[[#This Row],[MES_ALTERACAO]],Consulta1[[#This Row],[VIRADA]])</f>
        <v>20260522</v>
      </c>
      <c r="W663">
        <f>VLOOKUP(Consulta1[[#This Row],[Coluna2]],CALENDARIO!$J:$K,2,FALSE)</f>
        <v>15</v>
      </c>
    </row>
    <row r="664" spans="1:23" x14ac:dyDescent="0.25">
      <c r="A664" t="s">
        <v>381</v>
      </c>
      <c r="B664" t="str">
        <f>CONCATENATE(Consulta1[[#This Row],[id]],Consulta1[[#This Row],[EMPREGADOR]])</f>
        <v>4PREF AMERICANA</v>
      </c>
      <c r="C664" s="6">
        <f>IF(A664=A663,C663+1,1)</f>
        <v>4</v>
      </c>
      <c r="D664" t="s">
        <v>1037</v>
      </c>
      <c r="E664" s="101">
        <v>1.9E-2</v>
      </c>
      <c r="F664" s="6">
        <v>120</v>
      </c>
      <c r="G664" t="s">
        <v>1349</v>
      </c>
      <c r="H664" s="82">
        <v>2.5</v>
      </c>
      <c r="I664">
        <v>14</v>
      </c>
      <c r="J664">
        <v>42</v>
      </c>
      <c r="K664" t="s">
        <v>1619</v>
      </c>
      <c r="L664" s="6" t="s">
        <v>1616</v>
      </c>
      <c r="M664" s="6">
        <v>22</v>
      </c>
      <c r="N664" s="6">
        <v>2</v>
      </c>
      <c r="O664">
        <v>500</v>
      </c>
      <c r="P664">
        <v>202605</v>
      </c>
      <c r="Q664" t="s">
        <v>377</v>
      </c>
      <c r="R664" t="s">
        <v>1350</v>
      </c>
      <c r="S664">
        <f>Consulta1[[#This Row],[min_port]]/100</f>
        <v>1.5900000000000001E-2</v>
      </c>
      <c r="T664" s="252">
        <f>Consulta1[[#This Row],[TETO_COMERCIAL]]/100</f>
        <v>2.5000000000000001E-2</v>
      </c>
      <c r="U664" t="b">
        <f>Consulta1[[#This Row],[TETO_COMERCIAL_%]]=Consulta1[[#This Row],[TAXA]]</f>
        <v>0</v>
      </c>
      <c r="V664" t="str">
        <f>CONCATENATE(Consulta1[[#This Row],[MES_ALTERACAO]],Consulta1[[#This Row],[VIRADA]])</f>
        <v>20260522</v>
      </c>
      <c r="W664">
        <f>VLOOKUP(Consulta1[[#This Row],[Coluna2]],CALENDARIO!$J:$K,2,FALSE)</f>
        <v>15</v>
      </c>
    </row>
    <row r="665" spans="1:23" x14ac:dyDescent="0.25">
      <c r="A665" t="s">
        <v>381</v>
      </c>
      <c r="B665" t="str">
        <f>CONCATENATE(Consulta1[[#This Row],[id]],Consulta1[[#This Row],[EMPREGADOR]])</f>
        <v>5PREF AMERICANA</v>
      </c>
      <c r="C665" s="6">
        <f>IF(A665=A664,C664+1,1)</f>
        <v>5</v>
      </c>
      <c r="D665" t="s">
        <v>1038</v>
      </c>
      <c r="E665" s="101">
        <v>1.8500000000000003E-2</v>
      </c>
      <c r="F665" s="6">
        <v>120</v>
      </c>
      <c r="G665" t="s">
        <v>1349</v>
      </c>
      <c r="H665" s="82">
        <v>2.5</v>
      </c>
      <c r="I665">
        <v>14</v>
      </c>
      <c r="J665">
        <v>42</v>
      </c>
      <c r="K665" t="s">
        <v>1620</v>
      </c>
      <c r="L665" s="6" t="s">
        <v>1616</v>
      </c>
      <c r="M665" s="6">
        <v>22</v>
      </c>
      <c r="N665" s="6">
        <v>2</v>
      </c>
      <c r="O665">
        <v>500</v>
      </c>
      <c r="P665">
        <v>202605</v>
      </c>
      <c r="Q665" t="s">
        <v>377</v>
      </c>
      <c r="R665" t="s">
        <v>1350</v>
      </c>
      <c r="S665">
        <f>Consulta1[[#This Row],[min_port]]/100</f>
        <v>1.5900000000000001E-2</v>
      </c>
      <c r="T665" s="252">
        <f>Consulta1[[#This Row],[TETO_COMERCIAL]]/100</f>
        <v>2.5000000000000001E-2</v>
      </c>
      <c r="U665" t="b">
        <f>Consulta1[[#This Row],[TETO_COMERCIAL_%]]=Consulta1[[#This Row],[TAXA]]</f>
        <v>0</v>
      </c>
      <c r="V665" t="str">
        <f>CONCATENATE(Consulta1[[#This Row],[MES_ALTERACAO]],Consulta1[[#This Row],[VIRADA]])</f>
        <v>20260522</v>
      </c>
      <c r="W665">
        <f>VLOOKUP(Consulta1[[#This Row],[Coluna2]],CALENDARIO!$J:$K,2,FALSE)</f>
        <v>15</v>
      </c>
    </row>
    <row r="666" spans="1:23" x14ac:dyDescent="0.25">
      <c r="A666" t="s">
        <v>381</v>
      </c>
      <c r="B666" t="str">
        <f>CONCATENATE(Consulta1[[#This Row],[id]],Consulta1[[#This Row],[EMPREGADOR]])</f>
        <v>6PREF AMERICANA</v>
      </c>
      <c r="C666" s="6">
        <f>IF(A666=A665,C665+1,1)</f>
        <v>6</v>
      </c>
      <c r="D666" t="s">
        <v>1039</v>
      </c>
      <c r="E666" s="101">
        <v>1.8000000000000002E-2</v>
      </c>
      <c r="F666" s="6">
        <v>120</v>
      </c>
      <c r="G666" t="s">
        <v>1349</v>
      </c>
      <c r="H666" s="82">
        <v>2.5</v>
      </c>
      <c r="I666">
        <v>14</v>
      </c>
      <c r="J666">
        <v>42</v>
      </c>
      <c r="K666" t="s">
        <v>1621</v>
      </c>
      <c r="L666" s="6" t="s">
        <v>1616</v>
      </c>
      <c r="M666" s="6">
        <v>22</v>
      </c>
      <c r="N666" s="6">
        <v>2</v>
      </c>
      <c r="O666">
        <v>500</v>
      </c>
      <c r="P666">
        <v>202605</v>
      </c>
      <c r="Q666" t="s">
        <v>377</v>
      </c>
      <c r="R666" t="s">
        <v>1350</v>
      </c>
      <c r="S666">
        <f>Consulta1[[#This Row],[min_port]]/100</f>
        <v>1.5900000000000001E-2</v>
      </c>
      <c r="T666" s="252">
        <f>Consulta1[[#This Row],[TETO_COMERCIAL]]/100</f>
        <v>2.5000000000000001E-2</v>
      </c>
      <c r="U666" t="b">
        <f>Consulta1[[#This Row],[TETO_COMERCIAL_%]]=Consulta1[[#This Row],[TAXA]]</f>
        <v>0</v>
      </c>
      <c r="V666" t="str">
        <f>CONCATENATE(Consulta1[[#This Row],[MES_ALTERACAO]],Consulta1[[#This Row],[VIRADA]])</f>
        <v>20260522</v>
      </c>
      <c r="W666">
        <f>VLOOKUP(Consulta1[[#This Row],[Coluna2]],CALENDARIO!$J:$K,2,FALSE)</f>
        <v>15</v>
      </c>
    </row>
    <row r="667" spans="1:23" x14ac:dyDescent="0.25">
      <c r="A667" t="s">
        <v>381</v>
      </c>
      <c r="B667" t="str">
        <f>CONCATENATE(Consulta1[[#This Row],[id]],Consulta1[[#This Row],[EMPREGADOR]])</f>
        <v>7PREF AMERICANA</v>
      </c>
      <c r="C667" s="6">
        <f>IF(A667=A666,C666+1,1)</f>
        <v>7</v>
      </c>
      <c r="D667" t="s">
        <v>1040</v>
      </c>
      <c r="E667" s="101">
        <v>1.7500000000000002E-2</v>
      </c>
      <c r="F667" s="6">
        <v>120</v>
      </c>
      <c r="G667" t="s">
        <v>1349</v>
      </c>
      <c r="H667" s="82">
        <v>2.5</v>
      </c>
      <c r="I667">
        <v>14</v>
      </c>
      <c r="J667">
        <v>42</v>
      </c>
      <c r="K667" t="s">
        <v>1622</v>
      </c>
      <c r="L667" s="6" t="s">
        <v>1616</v>
      </c>
      <c r="M667" s="6">
        <v>22</v>
      </c>
      <c r="N667" s="6">
        <v>2</v>
      </c>
      <c r="O667">
        <v>500</v>
      </c>
      <c r="P667">
        <v>202605</v>
      </c>
      <c r="Q667" t="s">
        <v>377</v>
      </c>
      <c r="R667" t="s">
        <v>1350</v>
      </c>
      <c r="S667">
        <f>Consulta1[[#This Row],[min_port]]/100</f>
        <v>1.5900000000000001E-2</v>
      </c>
      <c r="T667" s="252">
        <f>Consulta1[[#This Row],[TETO_COMERCIAL]]/100</f>
        <v>2.5000000000000001E-2</v>
      </c>
      <c r="U667" t="b">
        <f>Consulta1[[#This Row],[TETO_COMERCIAL_%]]=Consulta1[[#This Row],[TAXA]]</f>
        <v>0</v>
      </c>
      <c r="V667" t="str">
        <f>CONCATENATE(Consulta1[[#This Row],[MES_ALTERACAO]],Consulta1[[#This Row],[VIRADA]])</f>
        <v>20260522</v>
      </c>
      <c r="W667">
        <f>VLOOKUP(Consulta1[[#This Row],[Coluna2]],CALENDARIO!$J:$K,2,FALSE)</f>
        <v>15</v>
      </c>
    </row>
    <row r="668" spans="1:23" x14ac:dyDescent="0.25">
      <c r="A668" t="s">
        <v>220</v>
      </c>
      <c r="B668" t="str">
        <f>CONCATENATE(Consulta1[[#This Row],[id]],Consulta1[[#This Row],[EMPREGADOR]])</f>
        <v>1PREF ANANINDEUA</v>
      </c>
      <c r="C668" s="6">
        <f>IF(A668=A667,C667+1,1)</f>
        <v>1</v>
      </c>
      <c r="D668" t="s">
        <v>250</v>
      </c>
      <c r="E668" s="101">
        <v>2.5000000000000001E-2</v>
      </c>
      <c r="F668" s="6">
        <v>120</v>
      </c>
      <c r="G668" t="s">
        <v>1349</v>
      </c>
      <c r="H668" s="82">
        <v>2.5</v>
      </c>
      <c r="I668">
        <v>25</v>
      </c>
      <c r="J668">
        <v>71</v>
      </c>
      <c r="K668" t="s">
        <v>1623</v>
      </c>
      <c r="L668" s="6" t="s">
        <v>1438</v>
      </c>
      <c r="M668" s="6">
        <v>8</v>
      </c>
      <c r="N668" s="6">
        <v>2</v>
      </c>
      <c r="O668">
        <v>500</v>
      </c>
      <c r="P668">
        <v>202605</v>
      </c>
      <c r="Q668" t="s">
        <v>377</v>
      </c>
      <c r="R668" t="s">
        <v>1353</v>
      </c>
      <c r="S668">
        <f>Consulta1[[#This Row],[min_port]]/100</f>
        <v>1.6500000000000001E-2</v>
      </c>
      <c r="T668" s="252">
        <f>Consulta1[[#This Row],[TETO_COMERCIAL]]/100</f>
        <v>2.5000000000000001E-2</v>
      </c>
      <c r="U668" t="b">
        <f>Consulta1[[#This Row],[TETO_COMERCIAL_%]]=Consulta1[[#This Row],[TAXA]]</f>
        <v>1</v>
      </c>
      <c r="V668" t="str">
        <f>CONCATENATE(Consulta1[[#This Row],[MES_ALTERACAO]],Consulta1[[#This Row],[VIRADA]])</f>
        <v>2026058</v>
      </c>
      <c r="W668">
        <f>VLOOKUP(Consulta1[[#This Row],[Coluna2]],CALENDARIO!$J:$K,2,FALSE)</f>
        <v>5</v>
      </c>
    </row>
    <row r="669" spans="1:23" x14ac:dyDescent="0.25">
      <c r="A669" t="s">
        <v>220</v>
      </c>
      <c r="B669" t="str">
        <f>CONCATENATE(Consulta1[[#This Row],[id]],Consulta1[[#This Row],[EMPREGADOR]])</f>
        <v>2PREF ANANINDEUA</v>
      </c>
      <c r="C669" s="6">
        <f>IF(A669=A668,C668+1,1)</f>
        <v>2</v>
      </c>
      <c r="D669" t="s">
        <v>251</v>
      </c>
      <c r="E669" s="101">
        <v>2.4E-2</v>
      </c>
      <c r="F669" s="6">
        <v>120</v>
      </c>
      <c r="G669" t="s">
        <v>1349</v>
      </c>
      <c r="H669" s="82">
        <v>2.5</v>
      </c>
      <c r="I669">
        <v>25</v>
      </c>
      <c r="K669" t="s">
        <v>1624</v>
      </c>
      <c r="L669" s="6" t="s">
        <v>1438</v>
      </c>
      <c r="M669" s="6">
        <v>8</v>
      </c>
      <c r="N669" s="6">
        <v>2</v>
      </c>
      <c r="O669">
        <v>500</v>
      </c>
      <c r="P669">
        <v>202605</v>
      </c>
      <c r="Q669" t="s">
        <v>377</v>
      </c>
      <c r="R669" t="s">
        <v>1353</v>
      </c>
      <c r="S669">
        <f>Consulta1[[#This Row],[min_port]]/100</f>
        <v>1.6500000000000001E-2</v>
      </c>
      <c r="T669" s="252">
        <f>Consulta1[[#This Row],[TETO_COMERCIAL]]/100</f>
        <v>2.5000000000000001E-2</v>
      </c>
      <c r="U669" t="b">
        <f>Consulta1[[#This Row],[TETO_COMERCIAL_%]]=Consulta1[[#This Row],[TAXA]]</f>
        <v>0</v>
      </c>
      <c r="V669" t="str">
        <f>CONCATENATE(Consulta1[[#This Row],[MES_ALTERACAO]],Consulta1[[#This Row],[VIRADA]])</f>
        <v>2026058</v>
      </c>
      <c r="W669">
        <f>VLOOKUP(Consulta1[[#This Row],[Coluna2]],CALENDARIO!$J:$K,2,FALSE)</f>
        <v>5</v>
      </c>
    </row>
    <row r="670" spans="1:23" x14ac:dyDescent="0.25">
      <c r="A670" t="s">
        <v>220</v>
      </c>
      <c r="B670" t="str">
        <f>CONCATENATE(Consulta1[[#This Row],[id]],Consulta1[[#This Row],[EMPREGADOR]])</f>
        <v>3PREF ANANINDEUA</v>
      </c>
      <c r="C670" s="6">
        <f>IF(A670=A669,C669+1,1)</f>
        <v>3</v>
      </c>
      <c r="D670" t="s">
        <v>221</v>
      </c>
      <c r="E670" s="101">
        <v>2.3E-2</v>
      </c>
      <c r="F670" s="6">
        <v>120</v>
      </c>
      <c r="G670" t="s">
        <v>1349</v>
      </c>
      <c r="H670" s="82">
        <v>2.5</v>
      </c>
      <c r="I670">
        <v>25</v>
      </c>
      <c r="J670">
        <v>60</v>
      </c>
      <c r="K670" t="s">
        <v>1625</v>
      </c>
      <c r="L670" s="6" t="s">
        <v>1438</v>
      </c>
      <c r="M670" s="6">
        <v>8</v>
      </c>
      <c r="N670" s="6">
        <v>2</v>
      </c>
      <c r="O670">
        <v>500</v>
      </c>
      <c r="P670">
        <v>202605</v>
      </c>
      <c r="Q670" t="s">
        <v>377</v>
      </c>
      <c r="R670" t="s">
        <v>1353</v>
      </c>
      <c r="S670">
        <f>Consulta1[[#This Row],[min_port]]/100</f>
        <v>1.6500000000000001E-2</v>
      </c>
      <c r="T670" s="252">
        <f>Consulta1[[#This Row],[TETO_COMERCIAL]]/100</f>
        <v>2.5000000000000001E-2</v>
      </c>
      <c r="U670" t="b">
        <f>Consulta1[[#This Row],[TETO_COMERCIAL_%]]=Consulta1[[#This Row],[TAXA]]</f>
        <v>0</v>
      </c>
      <c r="V670" t="str">
        <f>CONCATENATE(Consulta1[[#This Row],[MES_ALTERACAO]],Consulta1[[#This Row],[VIRADA]])</f>
        <v>2026058</v>
      </c>
      <c r="W670">
        <f>VLOOKUP(Consulta1[[#This Row],[Coluna2]],CALENDARIO!$J:$K,2,FALSE)</f>
        <v>5</v>
      </c>
    </row>
    <row r="671" spans="1:23" x14ac:dyDescent="0.25">
      <c r="A671" t="s">
        <v>220</v>
      </c>
      <c r="B671" t="str">
        <f>CONCATENATE(Consulta1[[#This Row],[id]],Consulta1[[#This Row],[EMPREGADOR]])</f>
        <v>4PREF ANANINDEUA</v>
      </c>
      <c r="C671" s="6">
        <f>IF(A671=A670,C670+1,1)</f>
        <v>4</v>
      </c>
      <c r="D671" t="s">
        <v>783</v>
      </c>
      <c r="E671" s="101">
        <v>2.2000000000000002E-2</v>
      </c>
      <c r="F671" s="6">
        <v>120</v>
      </c>
      <c r="G671" t="s">
        <v>1349</v>
      </c>
      <c r="H671" s="82">
        <v>2.5</v>
      </c>
      <c r="I671">
        <v>25</v>
      </c>
      <c r="J671">
        <v>71</v>
      </c>
      <c r="K671" t="s">
        <v>1626</v>
      </c>
      <c r="L671" s="6" t="s">
        <v>1438</v>
      </c>
      <c r="M671" s="6">
        <v>8</v>
      </c>
      <c r="N671" s="6">
        <v>2</v>
      </c>
      <c r="O671">
        <v>500</v>
      </c>
      <c r="P671">
        <v>202605</v>
      </c>
      <c r="Q671" t="s">
        <v>377</v>
      </c>
      <c r="R671" t="s">
        <v>1353</v>
      </c>
      <c r="S671">
        <f>Consulta1[[#This Row],[min_port]]/100</f>
        <v>1.6500000000000001E-2</v>
      </c>
      <c r="T671" s="252">
        <f>Consulta1[[#This Row],[TETO_COMERCIAL]]/100</f>
        <v>2.5000000000000001E-2</v>
      </c>
      <c r="U671" t="b">
        <f>Consulta1[[#This Row],[TETO_COMERCIAL_%]]=Consulta1[[#This Row],[TAXA]]</f>
        <v>0</v>
      </c>
      <c r="V671" t="str">
        <f>CONCATENATE(Consulta1[[#This Row],[MES_ALTERACAO]],Consulta1[[#This Row],[VIRADA]])</f>
        <v>2026058</v>
      </c>
      <c r="W671">
        <f>VLOOKUP(Consulta1[[#This Row],[Coluna2]],CALENDARIO!$J:$K,2,FALSE)</f>
        <v>5</v>
      </c>
    </row>
    <row r="672" spans="1:23" x14ac:dyDescent="0.25">
      <c r="A672" t="s">
        <v>220</v>
      </c>
      <c r="B672" t="str">
        <f>CONCATENATE(Consulta1[[#This Row],[id]],Consulta1[[#This Row],[EMPREGADOR]])</f>
        <v>5PREF ANANINDEUA</v>
      </c>
      <c r="C672" s="6">
        <f>IF(A672=A671,C671+1,1)</f>
        <v>5</v>
      </c>
      <c r="D672" t="s">
        <v>1257</v>
      </c>
      <c r="E672" s="101">
        <v>2.1400000000000002E-2</v>
      </c>
      <c r="F672" s="6">
        <v>120</v>
      </c>
      <c r="G672" t="s">
        <v>1349</v>
      </c>
      <c r="H672" s="82">
        <v>2.5</v>
      </c>
      <c r="I672">
        <v>25</v>
      </c>
      <c r="J672">
        <v>62</v>
      </c>
      <c r="K672" t="s">
        <v>1627</v>
      </c>
      <c r="L672" s="6" t="s">
        <v>1438</v>
      </c>
      <c r="M672" s="6">
        <v>8</v>
      </c>
      <c r="N672" s="6">
        <v>2</v>
      </c>
      <c r="O672">
        <v>500</v>
      </c>
      <c r="P672">
        <v>202605</v>
      </c>
      <c r="Q672" t="s">
        <v>377</v>
      </c>
      <c r="R672" t="s">
        <v>1353</v>
      </c>
      <c r="S672">
        <f>Consulta1[[#This Row],[min_port]]/100</f>
        <v>1.6500000000000001E-2</v>
      </c>
      <c r="T672" s="252">
        <f>Consulta1[[#This Row],[TETO_COMERCIAL]]/100</f>
        <v>2.5000000000000001E-2</v>
      </c>
      <c r="U672" t="b">
        <f>Consulta1[[#This Row],[TETO_COMERCIAL_%]]=Consulta1[[#This Row],[TAXA]]</f>
        <v>0</v>
      </c>
      <c r="V672" t="str">
        <f>CONCATENATE(Consulta1[[#This Row],[MES_ALTERACAO]],Consulta1[[#This Row],[VIRADA]])</f>
        <v>2026058</v>
      </c>
      <c r="W672">
        <f>VLOOKUP(Consulta1[[#This Row],[Coluna2]],CALENDARIO!$J:$K,2,FALSE)</f>
        <v>5</v>
      </c>
    </row>
    <row r="673" spans="1:23" x14ac:dyDescent="0.25">
      <c r="A673" t="s">
        <v>220</v>
      </c>
      <c r="B673" t="str">
        <f>CONCATENATE(Consulta1[[#This Row],[id]],Consulta1[[#This Row],[EMPREGADOR]])</f>
        <v>6PREF ANANINDEUA</v>
      </c>
      <c r="C673" s="6">
        <f>IF(A673=A672,C672+1,1)</f>
        <v>6</v>
      </c>
      <c r="D673" t="s">
        <v>1258</v>
      </c>
      <c r="E673" s="101">
        <v>2.12E-2</v>
      </c>
      <c r="F673" s="6">
        <v>120</v>
      </c>
      <c r="G673" t="s">
        <v>1349</v>
      </c>
      <c r="H673" s="82">
        <v>2.5</v>
      </c>
      <c r="I673">
        <v>25</v>
      </c>
      <c r="K673" t="s">
        <v>1628</v>
      </c>
      <c r="L673" s="6" t="s">
        <v>1438</v>
      </c>
      <c r="M673" s="6">
        <v>8</v>
      </c>
      <c r="N673" s="6">
        <v>2</v>
      </c>
      <c r="O673">
        <v>500</v>
      </c>
      <c r="P673">
        <v>202605</v>
      </c>
      <c r="Q673" t="s">
        <v>377</v>
      </c>
      <c r="R673" t="s">
        <v>1353</v>
      </c>
      <c r="S673">
        <f>Consulta1[[#This Row],[min_port]]/100</f>
        <v>1.6500000000000001E-2</v>
      </c>
      <c r="T673" s="252">
        <f>Consulta1[[#This Row],[TETO_COMERCIAL]]/100</f>
        <v>2.5000000000000001E-2</v>
      </c>
      <c r="U673" t="b">
        <f>Consulta1[[#This Row],[TETO_COMERCIAL_%]]=Consulta1[[#This Row],[TAXA]]</f>
        <v>0</v>
      </c>
      <c r="V673" t="str">
        <f>CONCATENATE(Consulta1[[#This Row],[MES_ALTERACAO]],Consulta1[[#This Row],[VIRADA]])</f>
        <v>2026058</v>
      </c>
      <c r="W673">
        <f>VLOOKUP(Consulta1[[#This Row],[Coluna2]],CALENDARIO!$J:$K,2,FALSE)</f>
        <v>5</v>
      </c>
    </row>
    <row r="674" spans="1:23" x14ac:dyDescent="0.25">
      <c r="A674" t="s">
        <v>220</v>
      </c>
      <c r="B674" t="str">
        <f>CONCATENATE(Consulta1[[#This Row],[id]],Consulta1[[#This Row],[EMPREGADOR]])</f>
        <v>7PREF ANANINDEUA</v>
      </c>
      <c r="C674" s="6">
        <f>IF(A674=A673,C673+1,1)</f>
        <v>7</v>
      </c>
      <c r="D674" t="s">
        <v>1259</v>
      </c>
      <c r="E674" s="101">
        <v>2.1000000000000001E-2</v>
      </c>
      <c r="F674" s="6">
        <v>120</v>
      </c>
      <c r="G674" t="s">
        <v>1349</v>
      </c>
      <c r="H674" s="82">
        <v>2.5</v>
      </c>
      <c r="I674">
        <v>25</v>
      </c>
      <c r="J674">
        <v>60</v>
      </c>
      <c r="K674" t="s">
        <v>1629</v>
      </c>
      <c r="L674" s="6" t="s">
        <v>1438</v>
      </c>
      <c r="M674" s="6">
        <v>8</v>
      </c>
      <c r="N674" s="6">
        <v>2</v>
      </c>
      <c r="O674">
        <v>500</v>
      </c>
      <c r="P674">
        <v>202605</v>
      </c>
      <c r="Q674" t="s">
        <v>377</v>
      </c>
      <c r="R674" t="s">
        <v>1353</v>
      </c>
      <c r="S674">
        <f>Consulta1[[#This Row],[min_port]]/100</f>
        <v>1.6500000000000001E-2</v>
      </c>
      <c r="T674" s="252">
        <f>Consulta1[[#This Row],[TETO_COMERCIAL]]/100</f>
        <v>2.5000000000000001E-2</v>
      </c>
      <c r="U674" t="b">
        <f>Consulta1[[#This Row],[TETO_COMERCIAL_%]]=Consulta1[[#This Row],[TAXA]]</f>
        <v>0</v>
      </c>
      <c r="V674" t="str">
        <f>CONCATENATE(Consulta1[[#This Row],[MES_ALTERACAO]],Consulta1[[#This Row],[VIRADA]])</f>
        <v>2026058</v>
      </c>
      <c r="W674">
        <f>VLOOKUP(Consulta1[[#This Row],[Coluna2]],CALENDARIO!$J:$K,2,FALSE)</f>
        <v>5</v>
      </c>
    </row>
    <row r="675" spans="1:23" x14ac:dyDescent="0.25">
      <c r="A675" t="s">
        <v>390</v>
      </c>
      <c r="B675" t="str">
        <f>CONCATENATE(Consulta1[[#This Row],[id]],Consulta1[[#This Row],[EMPREGADOR]])</f>
        <v>1PREF ANAPOLIS</v>
      </c>
      <c r="C675" s="6">
        <f>IF(A675=A674,C674+1,1)</f>
        <v>1</v>
      </c>
      <c r="D675" t="s">
        <v>391</v>
      </c>
      <c r="E675" s="101">
        <v>2.5000000000000001E-2</v>
      </c>
      <c r="F675" s="6">
        <v>120</v>
      </c>
      <c r="G675" t="s">
        <v>1349</v>
      </c>
      <c r="H675" s="82">
        <v>2.5</v>
      </c>
      <c r="I675">
        <v>11</v>
      </c>
      <c r="J675">
        <v>61</v>
      </c>
      <c r="K675" t="s">
        <v>1630</v>
      </c>
      <c r="L675" s="6" t="s">
        <v>1394</v>
      </c>
      <c r="M675" s="6">
        <v>10</v>
      </c>
      <c r="N675" s="6">
        <v>2</v>
      </c>
      <c r="O675">
        <v>500</v>
      </c>
      <c r="P675">
        <v>202605</v>
      </c>
      <c r="Q675" t="s">
        <v>377</v>
      </c>
      <c r="R675" t="s">
        <v>1353</v>
      </c>
      <c r="S675">
        <f>Consulta1[[#This Row],[min_port]]/100</f>
        <v>1.67E-2</v>
      </c>
      <c r="T675" s="252">
        <f>Consulta1[[#This Row],[TETO_COMERCIAL]]/100</f>
        <v>2.5000000000000001E-2</v>
      </c>
      <c r="U675" t="b">
        <f>Consulta1[[#This Row],[TETO_COMERCIAL_%]]=Consulta1[[#This Row],[TAXA]]</f>
        <v>1</v>
      </c>
      <c r="V675" t="str">
        <f>CONCATENATE(Consulta1[[#This Row],[MES_ALTERACAO]],Consulta1[[#This Row],[VIRADA]])</f>
        <v>20260510</v>
      </c>
      <c r="W675">
        <f>VLOOKUP(Consulta1[[#This Row],[Coluna2]],CALENDARIO!$J:$K,2,FALSE)</f>
        <v>5</v>
      </c>
    </row>
    <row r="676" spans="1:23" x14ac:dyDescent="0.25">
      <c r="A676" t="s">
        <v>390</v>
      </c>
      <c r="B676" t="str">
        <f>CONCATENATE(Consulta1[[#This Row],[id]],Consulta1[[#This Row],[EMPREGADOR]])</f>
        <v>2PREF ANAPOLIS</v>
      </c>
      <c r="C676" s="6">
        <f>IF(A676=A675,C675+1,1)</f>
        <v>2</v>
      </c>
      <c r="D676" t="s">
        <v>392</v>
      </c>
      <c r="E676" s="101">
        <v>2.2499999999999999E-2</v>
      </c>
      <c r="F676" s="6">
        <v>120</v>
      </c>
      <c r="G676" t="s">
        <v>1349</v>
      </c>
      <c r="H676" s="82">
        <v>2.5</v>
      </c>
      <c r="I676">
        <v>11</v>
      </c>
      <c r="K676" t="s">
        <v>1631</v>
      </c>
      <c r="L676" s="6" t="s">
        <v>1394</v>
      </c>
      <c r="M676" s="6">
        <v>10</v>
      </c>
      <c r="N676" s="6">
        <v>2</v>
      </c>
      <c r="O676">
        <v>500</v>
      </c>
      <c r="P676">
        <v>202605</v>
      </c>
      <c r="Q676" t="s">
        <v>377</v>
      </c>
      <c r="R676" t="s">
        <v>1353</v>
      </c>
      <c r="S676">
        <f>Consulta1[[#This Row],[min_port]]/100</f>
        <v>1.67E-2</v>
      </c>
      <c r="T676" s="252">
        <f>Consulta1[[#This Row],[TETO_COMERCIAL]]/100</f>
        <v>2.5000000000000001E-2</v>
      </c>
      <c r="U676" t="b">
        <f>Consulta1[[#This Row],[TETO_COMERCIAL_%]]=Consulta1[[#This Row],[TAXA]]</f>
        <v>0</v>
      </c>
      <c r="V676" t="str">
        <f>CONCATENATE(Consulta1[[#This Row],[MES_ALTERACAO]],Consulta1[[#This Row],[VIRADA]])</f>
        <v>20260510</v>
      </c>
      <c r="W676">
        <f>VLOOKUP(Consulta1[[#This Row],[Coluna2]],CALENDARIO!$J:$K,2,FALSE)</f>
        <v>5</v>
      </c>
    </row>
    <row r="677" spans="1:23" x14ac:dyDescent="0.25">
      <c r="A677" t="s">
        <v>390</v>
      </c>
      <c r="B677" t="str">
        <f>CONCATENATE(Consulta1[[#This Row],[id]],Consulta1[[#This Row],[EMPREGADOR]])</f>
        <v>3PREF ANAPOLIS</v>
      </c>
      <c r="C677" s="6">
        <f>IF(A677=A676,C676+1,1)</f>
        <v>3</v>
      </c>
      <c r="D677" t="s">
        <v>393</v>
      </c>
      <c r="E677" s="101">
        <v>0.02</v>
      </c>
      <c r="F677" s="6">
        <v>120</v>
      </c>
      <c r="G677" t="s">
        <v>1349</v>
      </c>
      <c r="H677" s="82">
        <v>2.5</v>
      </c>
      <c r="I677">
        <v>11</v>
      </c>
      <c r="K677" t="s">
        <v>1632</v>
      </c>
      <c r="L677" s="6" t="s">
        <v>1394</v>
      </c>
      <c r="M677" s="6">
        <v>10</v>
      </c>
      <c r="N677" s="6">
        <v>2</v>
      </c>
      <c r="O677">
        <v>500</v>
      </c>
      <c r="P677">
        <v>202605</v>
      </c>
      <c r="Q677" t="s">
        <v>377</v>
      </c>
      <c r="R677" t="s">
        <v>1353</v>
      </c>
      <c r="S677">
        <f>Consulta1[[#This Row],[min_port]]/100</f>
        <v>1.67E-2</v>
      </c>
      <c r="T677" s="252">
        <f>Consulta1[[#This Row],[TETO_COMERCIAL]]/100</f>
        <v>2.5000000000000001E-2</v>
      </c>
      <c r="U677" t="b">
        <f>Consulta1[[#This Row],[TETO_COMERCIAL_%]]=Consulta1[[#This Row],[TAXA]]</f>
        <v>0</v>
      </c>
      <c r="V677" t="str">
        <f>CONCATENATE(Consulta1[[#This Row],[MES_ALTERACAO]],Consulta1[[#This Row],[VIRADA]])</f>
        <v>20260510</v>
      </c>
      <c r="W677">
        <f>VLOOKUP(Consulta1[[#This Row],[Coluna2]],CALENDARIO!$J:$K,2,FALSE)</f>
        <v>5</v>
      </c>
    </row>
    <row r="678" spans="1:23" x14ac:dyDescent="0.25">
      <c r="A678" t="s">
        <v>390</v>
      </c>
      <c r="B678" t="str">
        <f>CONCATENATE(Consulta1[[#This Row],[id]],Consulta1[[#This Row],[EMPREGADOR]])</f>
        <v>4PREF ANAPOLIS</v>
      </c>
      <c r="C678" s="6">
        <f>IF(A678=A677,C677+1,1)</f>
        <v>4</v>
      </c>
      <c r="D678" t="s">
        <v>1035</v>
      </c>
      <c r="E678" s="101">
        <v>1.95E-2</v>
      </c>
      <c r="F678" s="6">
        <v>120</v>
      </c>
      <c r="G678" t="s">
        <v>1349</v>
      </c>
      <c r="H678" s="82">
        <v>2.5</v>
      </c>
      <c r="I678">
        <v>11</v>
      </c>
      <c r="K678" t="s">
        <v>1633</v>
      </c>
      <c r="L678" s="6" t="s">
        <v>1394</v>
      </c>
      <c r="M678" s="6">
        <v>10</v>
      </c>
      <c r="N678" s="6">
        <v>2</v>
      </c>
      <c r="O678">
        <v>500</v>
      </c>
      <c r="P678">
        <v>202605</v>
      </c>
      <c r="Q678" t="s">
        <v>377</v>
      </c>
      <c r="R678" t="s">
        <v>1353</v>
      </c>
      <c r="S678">
        <f>Consulta1[[#This Row],[min_port]]/100</f>
        <v>1.67E-2</v>
      </c>
      <c r="T678" s="252">
        <f>Consulta1[[#This Row],[TETO_COMERCIAL]]/100</f>
        <v>2.5000000000000001E-2</v>
      </c>
      <c r="U678" t="b">
        <f>Consulta1[[#This Row],[TETO_COMERCIAL_%]]=Consulta1[[#This Row],[TAXA]]</f>
        <v>0</v>
      </c>
      <c r="V678" t="str">
        <f>CONCATENATE(Consulta1[[#This Row],[MES_ALTERACAO]],Consulta1[[#This Row],[VIRADA]])</f>
        <v>20260510</v>
      </c>
      <c r="W678">
        <f>VLOOKUP(Consulta1[[#This Row],[Coluna2]],CALENDARIO!$J:$K,2,FALSE)</f>
        <v>5</v>
      </c>
    </row>
    <row r="679" spans="1:23" x14ac:dyDescent="0.25">
      <c r="A679" t="s">
        <v>390</v>
      </c>
      <c r="B679" t="str">
        <f>CONCATENATE(Consulta1[[#This Row],[id]],Consulta1[[#This Row],[EMPREGADOR]])</f>
        <v>5PREF ANAPOLIS</v>
      </c>
      <c r="C679" s="6">
        <f>IF(A679=A678,C678+1,1)</f>
        <v>5</v>
      </c>
      <c r="D679" t="s">
        <v>1036</v>
      </c>
      <c r="E679" s="101">
        <v>1.9099999999999999E-2</v>
      </c>
      <c r="F679" s="6">
        <v>120</v>
      </c>
      <c r="G679" t="s">
        <v>1349</v>
      </c>
      <c r="H679" s="82">
        <v>2.5</v>
      </c>
      <c r="I679">
        <v>11</v>
      </c>
      <c r="K679" t="s">
        <v>1634</v>
      </c>
      <c r="L679" s="6" t="s">
        <v>1394</v>
      </c>
      <c r="M679" s="6">
        <v>10</v>
      </c>
      <c r="N679" s="6">
        <v>2</v>
      </c>
      <c r="O679">
        <v>500</v>
      </c>
      <c r="P679">
        <v>202605</v>
      </c>
      <c r="Q679" t="s">
        <v>377</v>
      </c>
      <c r="R679" t="s">
        <v>1353</v>
      </c>
      <c r="S679">
        <f>Consulta1[[#This Row],[min_port]]/100</f>
        <v>1.67E-2</v>
      </c>
      <c r="T679" s="252">
        <f>Consulta1[[#This Row],[TETO_COMERCIAL]]/100</f>
        <v>2.5000000000000001E-2</v>
      </c>
      <c r="U679" t="b">
        <f>Consulta1[[#This Row],[TETO_COMERCIAL_%]]=Consulta1[[#This Row],[TAXA]]</f>
        <v>0</v>
      </c>
      <c r="V679" t="str">
        <f>CONCATENATE(Consulta1[[#This Row],[MES_ALTERACAO]],Consulta1[[#This Row],[VIRADA]])</f>
        <v>20260510</v>
      </c>
      <c r="W679">
        <f>VLOOKUP(Consulta1[[#This Row],[Coluna2]],CALENDARIO!$J:$K,2,FALSE)</f>
        <v>5</v>
      </c>
    </row>
    <row r="680" spans="1:23" x14ac:dyDescent="0.25">
      <c r="A680" t="s">
        <v>3028</v>
      </c>
      <c r="B680" t="str">
        <f>CONCATENATE(Consulta1[[#This Row],[id]],Consulta1[[#This Row],[EMPREGADOR]])</f>
        <v>1PREF AQUIRAZ</v>
      </c>
      <c r="C680" s="6">
        <f>IF(A680=A679,C679+1,1)</f>
        <v>1</v>
      </c>
      <c r="D680" t="s">
        <v>270</v>
      </c>
      <c r="E680" s="101">
        <v>2.5000000000000001E-2</v>
      </c>
      <c r="F680" s="6">
        <v>96</v>
      </c>
      <c r="G680" t="s">
        <v>1349</v>
      </c>
      <c r="H680" s="82">
        <v>2.5</v>
      </c>
      <c r="I680">
        <v>10</v>
      </c>
      <c r="K680" t="s">
        <v>1635</v>
      </c>
      <c r="L680" s="6" t="s">
        <v>1374</v>
      </c>
      <c r="M680" s="6">
        <v>10</v>
      </c>
      <c r="N680" s="6">
        <v>2</v>
      </c>
      <c r="O680">
        <v>500</v>
      </c>
      <c r="P680">
        <v>202605</v>
      </c>
      <c r="Q680" t="s">
        <v>377</v>
      </c>
      <c r="R680" t="s">
        <v>1350</v>
      </c>
      <c r="S680">
        <f>Consulta1[[#This Row],[min_port]]/100</f>
        <v>1.4999999999999999E-2</v>
      </c>
      <c r="T680" s="252">
        <f>Consulta1[[#This Row],[TETO_COMERCIAL]]/100</f>
        <v>2.5000000000000001E-2</v>
      </c>
      <c r="U680" t="b">
        <f>Consulta1[[#This Row],[TETO_COMERCIAL_%]]=Consulta1[[#This Row],[TAXA]]</f>
        <v>1</v>
      </c>
      <c r="V680" t="str">
        <f>CONCATENATE(Consulta1[[#This Row],[MES_ALTERACAO]],Consulta1[[#This Row],[VIRADA]])</f>
        <v>20260510</v>
      </c>
      <c r="W680">
        <f>VLOOKUP(Consulta1[[#This Row],[Coluna2]],CALENDARIO!$J:$K,2,FALSE)</f>
        <v>5</v>
      </c>
    </row>
    <row r="681" spans="1:23" x14ac:dyDescent="0.25">
      <c r="A681" t="s">
        <v>3028</v>
      </c>
      <c r="B681" t="str">
        <f>CONCATENATE(Consulta1[[#This Row],[id]],Consulta1[[#This Row],[EMPREGADOR]])</f>
        <v>2PREF AQUIRAZ</v>
      </c>
      <c r="C681" s="6">
        <f>IF(A681=A680,C680+1,1)</f>
        <v>2</v>
      </c>
      <c r="D681" t="s">
        <v>271</v>
      </c>
      <c r="E681" s="101">
        <v>2.4E-2</v>
      </c>
      <c r="F681" s="6">
        <v>96</v>
      </c>
      <c r="G681" t="s">
        <v>1349</v>
      </c>
      <c r="H681" s="82">
        <v>2.5</v>
      </c>
      <c r="I681">
        <v>10</v>
      </c>
      <c r="J681">
        <v>42</v>
      </c>
      <c r="K681" t="s">
        <v>1636</v>
      </c>
      <c r="L681" s="6" t="s">
        <v>1374</v>
      </c>
      <c r="M681" s="6">
        <v>10</v>
      </c>
      <c r="N681" s="6">
        <v>2</v>
      </c>
      <c r="O681">
        <v>500</v>
      </c>
      <c r="P681">
        <v>202605</v>
      </c>
      <c r="Q681" t="s">
        <v>377</v>
      </c>
      <c r="R681" t="s">
        <v>1350</v>
      </c>
      <c r="S681">
        <f>Consulta1[[#This Row],[min_port]]/100</f>
        <v>1.4999999999999999E-2</v>
      </c>
      <c r="T681" s="252">
        <f>Consulta1[[#This Row],[TETO_COMERCIAL]]/100</f>
        <v>2.5000000000000001E-2</v>
      </c>
      <c r="U681" t="b">
        <f>Consulta1[[#This Row],[TETO_COMERCIAL_%]]=Consulta1[[#This Row],[TAXA]]</f>
        <v>0</v>
      </c>
      <c r="V681" t="str">
        <f>CONCATENATE(Consulta1[[#This Row],[MES_ALTERACAO]],Consulta1[[#This Row],[VIRADA]])</f>
        <v>20260510</v>
      </c>
      <c r="W681">
        <f>VLOOKUP(Consulta1[[#This Row],[Coluna2]],CALENDARIO!$J:$K,2,FALSE)</f>
        <v>5</v>
      </c>
    </row>
    <row r="682" spans="1:23" x14ac:dyDescent="0.25">
      <c r="A682" t="s">
        <v>3028</v>
      </c>
      <c r="B682" t="str">
        <f>CONCATENATE(Consulta1[[#This Row],[id]],Consulta1[[#This Row],[EMPREGADOR]])</f>
        <v>3PREF AQUIRAZ</v>
      </c>
      <c r="C682" s="6">
        <f>IF(A682=A681,C681+1,1)</f>
        <v>3</v>
      </c>
      <c r="D682" t="s">
        <v>272</v>
      </c>
      <c r="E682" s="101">
        <v>2.3E-2</v>
      </c>
      <c r="F682" s="6">
        <v>96</v>
      </c>
      <c r="G682" t="s">
        <v>1349</v>
      </c>
      <c r="H682" s="82">
        <v>2.5</v>
      </c>
      <c r="I682">
        <v>10</v>
      </c>
      <c r="J682">
        <v>47</v>
      </c>
      <c r="K682" t="s">
        <v>1637</v>
      </c>
      <c r="L682" s="6" t="s">
        <v>1374</v>
      </c>
      <c r="M682" s="6">
        <v>10</v>
      </c>
      <c r="N682" s="6">
        <v>2</v>
      </c>
      <c r="O682">
        <v>500</v>
      </c>
      <c r="P682">
        <v>202605</v>
      </c>
      <c r="Q682" t="s">
        <v>377</v>
      </c>
      <c r="R682" t="s">
        <v>1350</v>
      </c>
      <c r="S682">
        <f>Consulta1[[#This Row],[min_port]]/100</f>
        <v>1.4999999999999999E-2</v>
      </c>
      <c r="T682" s="252">
        <f>Consulta1[[#This Row],[TETO_COMERCIAL]]/100</f>
        <v>2.5000000000000001E-2</v>
      </c>
      <c r="U682" t="b">
        <f>Consulta1[[#This Row],[TETO_COMERCIAL_%]]=Consulta1[[#This Row],[TAXA]]</f>
        <v>0</v>
      </c>
      <c r="V682" t="str">
        <f>CONCATENATE(Consulta1[[#This Row],[MES_ALTERACAO]],Consulta1[[#This Row],[VIRADA]])</f>
        <v>20260510</v>
      </c>
      <c r="W682">
        <f>VLOOKUP(Consulta1[[#This Row],[Coluna2]],CALENDARIO!$J:$K,2,FALSE)</f>
        <v>5</v>
      </c>
    </row>
    <row r="683" spans="1:23" x14ac:dyDescent="0.25">
      <c r="A683" t="s">
        <v>3028</v>
      </c>
      <c r="B683" t="str">
        <f>CONCATENATE(Consulta1[[#This Row],[id]],Consulta1[[#This Row],[EMPREGADOR]])</f>
        <v>4PREF AQUIRAZ</v>
      </c>
      <c r="C683" s="6">
        <f>IF(A683=A682,C682+1,1)</f>
        <v>4</v>
      </c>
      <c r="D683" t="s">
        <v>273</v>
      </c>
      <c r="E683" s="101">
        <v>2.2000000000000002E-2</v>
      </c>
      <c r="F683" s="6">
        <v>96</v>
      </c>
      <c r="G683" t="s">
        <v>1349</v>
      </c>
      <c r="H683" s="82">
        <v>2.5</v>
      </c>
      <c r="I683">
        <v>10</v>
      </c>
      <c r="J683">
        <v>37</v>
      </c>
      <c r="K683" t="s">
        <v>1638</v>
      </c>
      <c r="L683" s="6" t="s">
        <v>1374</v>
      </c>
      <c r="M683" s="6">
        <v>10</v>
      </c>
      <c r="N683" s="6">
        <v>2</v>
      </c>
      <c r="O683">
        <v>500</v>
      </c>
      <c r="P683">
        <v>202605</v>
      </c>
      <c r="Q683" t="s">
        <v>377</v>
      </c>
      <c r="R683" t="s">
        <v>1350</v>
      </c>
      <c r="S683">
        <f>Consulta1[[#This Row],[min_port]]/100</f>
        <v>1.4999999999999999E-2</v>
      </c>
      <c r="T683" s="252">
        <f>Consulta1[[#This Row],[TETO_COMERCIAL]]/100</f>
        <v>2.5000000000000001E-2</v>
      </c>
      <c r="U683" t="b">
        <f>Consulta1[[#This Row],[TETO_COMERCIAL_%]]=Consulta1[[#This Row],[TAXA]]</f>
        <v>0</v>
      </c>
      <c r="V683" t="str">
        <f>CONCATENATE(Consulta1[[#This Row],[MES_ALTERACAO]],Consulta1[[#This Row],[VIRADA]])</f>
        <v>20260510</v>
      </c>
      <c r="W683">
        <f>VLOOKUP(Consulta1[[#This Row],[Coluna2]],CALENDARIO!$J:$K,2,FALSE)</f>
        <v>5</v>
      </c>
    </row>
    <row r="684" spans="1:23" x14ac:dyDescent="0.25">
      <c r="A684" t="s">
        <v>78</v>
      </c>
      <c r="B684" t="str">
        <f>CONCATENATE(Consulta1[[#This Row],[id]],Consulta1[[#This Row],[EMPREGADOR]])</f>
        <v>1PREF ARACAJU</v>
      </c>
      <c r="C684" s="6">
        <f>IF(A684=A683,C683+1,1)</f>
        <v>1</v>
      </c>
      <c r="D684" t="s">
        <v>660</v>
      </c>
      <c r="E684" s="101">
        <v>2.5000000000000001E-2</v>
      </c>
      <c r="F684" s="6">
        <v>120</v>
      </c>
      <c r="G684" t="s">
        <v>1349</v>
      </c>
      <c r="H684" s="82">
        <v>2.5</v>
      </c>
      <c r="I684">
        <v>25</v>
      </c>
      <c r="J684">
        <v>60</v>
      </c>
      <c r="K684" t="s">
        <v>1639</v>
      </c>
      <c r="L684" s="6" t="s">
        <v>1640</v>
      </c>
      <c r="M684" s="6">
        <v>8</v>
      </c>
      <c r="N684" s="6">
        <v>2</v>
      </c>
      <c r="O684">
        <v>500</v>
      </c>
      <c r="P684">
        <v>202605</v>
      </c>
      <c r="Q684" t="s">
        <v>377</v>
      </c>
      <c r="R684" t="s">
        <v>1353</v>
      </c>
      <c r="S684">
        <f>Consulta1[[#This Row],[min_port]]/100</f>
        <v>1.4800000000000001E-2</v>
      </c>
      <c r="T684" s="252">
        <f>Consulta1[[#This Row],[TETO_COMERCIAL]]/100</f>
        <v>2.5000000000000001E-2</v>
      </c>
      <c r="U684" t="b">
        <f>Consulta1[[#This Row],[TETO_COMERCIAL_%]]=Consulta1[[#This Row],[TAXA]]</f>
        <v>1</v>
      </c>
      <c r="V684" t="str">
        <f>CONCATENATE(Consulta1[[#This Row],[MES_ALTERACAO]],Consulta1[[#This Row],[VIRADA]])</f>
        <v>2026058</v>
      </c>
      <c r="W684">
        <f>VLOOKUP(Consulta1[[#This Row],[Coluna2]],CALENDARIO!$J:$K,2,FALSE)</f>
        <v>5</v>
      </c>
    </row>
    <row r="685" spans="1:23" x14ac:dyDescent="0.25">
      <c r="A685" t="s">
        <v>78</v>
      </c>
      <c r="B685" t="str">
        <f>CONCATENATE(Consulta1[[#This Row],[id]],Consulta1[[#This Row],[EMPREGADOR]])</f>
        <v>2PREF ARACAJU</v>
      </c>
      <c r="C685" s="6">
        <f>IF(A685=A684,C684+1,1)</f>
        <v>2</v>
      </c>
      <c r="D685" t="s">
        <v>252</v>
      </c>
      <c r="E685" s="101">
        <v>2.2499999999999999E-2</v>
      </c>
      <c r="F685" s="6">
        <v>120</v>
      </c>
      <c r="G685" t="s">
        <v>1349</v>
      </c>
      <c r="H685" s="82">
        <v>2.5</v>
      </c>
      <c r="I685">
        <v>25</v>
      </c>
      <c r="J685">
        <v>61</v>
      </c>
      <c r="K685" t="s">
        <v>1641</v>
      </c>
      <c r="L685" s="6" t="s">
        <v>1640</v>
      </c>
      <c r="M685" s="6">
        <v>8</v>
      </c>
      <c r="N685" s="6">
        <v>2</v>
      </c>
      <c r="O685">
        <v>500</v>
      </c>
      <c r="P685">
        <v>202605</v>
      </c>
      <c r="Q685" t="s">
        <v>377</v>
      </c>
      <c r="R685" t="s">
        <v>1353</v>
      </c>
      <c r="S685">
        <f>Consulta1[[#This Row],[min_port]]/100</f>
        <v>1.4800000000000001E-2</v>
      </c>
      <c r="T685" s="252">
        <f>Consulta1[[#This Row],[TETO_COMERCIAL]]/100</f>
        <v>2.5000000000000001E-2</v>
      </c>
      <c r="U685" t="b">
        <f>Consulta1[[#This Row],[TETO_COMERCIAL_%]]=Consulta1[[#This Row],[TAXA]]</f>
        <v>0</v>
      </c>
      <c r="V685" t="str">
        <f>CONCATENATE(Consulta1[[#This Row],[MES_ALTERACAO]],Consulta1[[#This Row],[VIRADA]])</f>
        <v>2026058</v>
      </c>
      <c r="W685">
        <f>VLOOKUP(Consulta1[[#This Row],[Coluna2]],CALENDARIO!$J:$K,2,FALSE)</f>
        <v>5</v>
      </c>
    </row>
    <row r="686" spans="1:23" x14ac:dyDescent="0.25">
      <c r="A686" t="s">
        <v>78</v>
      </c>
      <c r="B686" t="str">
        <f>CONCATENATE(Consulta1[[#This Row],[id]],Consulta1[[#This Row],[EMPREGADOR]])</f>
        <v>3PREF ARACAJU</v>
      </c>
      <c r="C686" s="6">
        <f>IF(A686=A685,C685+1,1)</f>
        <v>3</v>
      </c>
      <c r="D686" t="s">
        <v>661</v>
      </c>
      <c r="E686" s="101">
        <v>0.02</v>
      </c>
      <c r="F686" s="6">
        <v>120</v>
      </c>
      <c r="G686" t="s">
        <v>1349</v>
      </c>
      <c r="H686" s="82">
        <v>2.5</v>
      </c>
      <c r="I686">
        <v>25</v>
      </c>
      <c r="J686">
        <v>60</v>
      </c>
      <c r="K686" t="s">
        <v>1642</v>
      </c>
      <c r="L686" s="6" t="s">
        <v>1640</v>
      </c>
      <c r="M686" s="6">
        <v>8</v>
      </c>
      <c r="N686" s="6">
        <v>2</v>
      </c>
      <c r="O686">
        <v>500</v>
      </c>
      <c r="P686">
        <v>202605</v>
      </c>
      <c r="Q686" t="s">
        <v>377</v>
      </c>
      <c r="R686" t="s">
        <v>1353</v>
      </c>
      <c r="S686">
        <f>Consulta1[[#This Row],[min_port]]/100</f>
        <v>1.4800000000000001E-2</v>
      </c>
      <c r="T686" s="252">
        <f>Consulta1[[#This Row],[TETO_COMERCIAL]]/100</f>
        <v>2.5000000000000001E-2</v>
      </c>
      <c r="U686" t="b">
        <f>Consulta1[[#This Row],[TETO_COMERCIAL_%]]=Consulta1[[#This Row],[TAXA]]</f>
        <v>0</v>
      </c>
      <c r="V686" t="str">
        <f>CONCATENATE(Consulta1[[#This Row],[MES_ALTERACAO]],Consulta1[[#This Row],[VIRADA]])</f>
        <v>2026058</v>
      </c>
      <c r="W686">
        <f>VLOOKUP(Consulta1[[#This Row],[Coluna2]],CALENDARIO!$J:$K,2,FALSE)</f>
        <v>5</v>
      </c>
    </row>
    <row r="687" spans="1:23" x14ac:dyDescent="0.25">
      <c r="A687" t="s">
        <v>78</v>
      </c>
      <c r="B687" t="str">
        <f>CONCATENATE(Consulta1[[#This Row],[id]],Consulta1[[#This Row],[EMPREGADOR]])</f>
        <v>4PREF ARACAJU</v>
      </c>
      <c r="C687" s="6">
        <f>IF(A687=A686,C686+1,1)</f>
        <v>4</v>
      </c>
      <c r="D687" t="s">
        <v>240</v>
      </c>
      <c r="E687" s="101">
        <v>1.95E-2</v>
      </c>
      <c r="F687" s="6">
        <v>120</v>
      </c>
      <c r="G687" t="s">
        <v>1349</v>
      </c>
      <c r="H687" s="82">
        <v>2.5</v>
      </c>
      <c r="I687">
        <v>25</v>
      </c>
      <c r="J687">
        <v>62</v>
      </c>
      <c r="K687" t="s">
        <v>1643</v>
      </c>
      <c r="L687" s="6" t="s">
        <v>1640</v>
      </c>
      <c r="M687" s="6">
        <v>8</v>
      </c>
      <c r="N687" s="6">
        <v>2</v>
      </c>
      <c r="O687">
        <v>500</v>
      </c>
      <c r="P687">
        <v>202605</v>
      </c>
      <c r="Q687" t="s">
        <v>377</v>
      </c>
      <c r="R687" t="s">
        <v>1353</v>
      </c>
      <c r="S687">
        <f>Consulta1[[#This Row],[min_port]]/100</f>
        <v>1.4800000000000001E-2</v>
      </c>
      <c r="T687" s="252">
        <f>Consulta1[[#This Row],[TETO_COMERCIAL]]/100</f>
        <v>2.5000000000000001E-2</v>
      </c>
      <c r="U687" t="b">
        <f>Consulta1[[#This Row],[TETO_COMERCIAL_%]]=Consulta1[[#This Row],[TAXA]]</f>
        <v>0</v>
      </c>
      <c r="V687" t="str">
        <f>CONCATENATE(Consulta1[[#This Row],[MES_ALTERACAO]],Consulta1[[#This Row],[VIRADA]])</f>
        <v>2026058</v>
      </c>
      <c r="W687">
        <f>VLOOKUP(Consulta1[[#This Row],[Coluna2]],CALENDARIO!$J:$K,2,FALSE)</f>
        <v>5</v>
      </c>
    </row>
    <row r="688" spans="1:23" x14ac:dyDescent="0.25">
      <c r="A688" t="s">
        <v>78</v>
      </c>
      <c r="B688" t="str">
        <f>CONCATENATE(Consulta1[[#This Row],[id]],Consulta1[[#This Row],[EMPREGADOR]])</f>
        <v>5PREF ARACAJU</v>
      </c>
      <c r="C688" s="6">
        <f>IF(A688=A687,C687+1,1)</f>
        <v>5</v>
      </c>
      <c r="D688" t="s">
        <v>662</v>
      </c>
      <c r="E688" s="101">
        <v>1.9E-2</v>
      </c>
      <c r="F688" s="6">
        <v>120</v>
      </c>
      <c r="G688" t="s">
        <v>1349</v>
      </c>
      <c r="H688" s="82">
        <v>2.5</v>
      </c>
      <c r="I688">
        <v>25</v>
      </c>
      <c r="J688">
        <v>59</v>
      </c>
      <c r="K688" t="s">
        <v>1644</v>
      </c>
      <c r="L688" s="6" t="s">
        <v>1640</v>
      </c>
      <c r="M688" s="6">
        <v>8</v>
      </c>
      <c r="N688" s="6">
        <v>2</v>
      </c>
      <c r="O688">
        <v>500</v>
      </c>
      <c r="P688">
        <v>202605</v>
      </c>
      <c r="Q688" t="s">
        <v>377</v>
      </c>
      <c r="R688" t="s">
        <v>1353</v>
      </c>
      <c r="S688">
        <f>Consulta1[[#This Row],[min_port]]/100</f>
        <v>1.4800000000000001E-2</v>
      </c>
      <c r="T688" s="252">
        <f>Consulta1[[#This Row],[TETO_COMERCIAL]]/100</f>
        <v>2.5000000000000001E-2</v>
      </c>
      <c r="U688" t="b">
        <f>Consulta1[[#This Row],[TETO_COMERCIAL_%]]=Consulta1[[#This Row],[TAXA]]</f>
        <v>0</v>
      </c>
      <c r="V688" t="str">
        <f>CONCATENATE(Consulta1[[#This Row],[MES_ALTERACAO]],Consulta1[[#This Row],[VIRADA]])</f>
        <v>2026058</v>
      </c>
      <c r="W688">
        <f>VLOOKUP(Consulta1[[#This Row],[Coluna2]],CALENDARIO!$J:$K,2,FALSE)</f>
        <v>5</v>
      </c>
    </row>
    <row r="689" spans="1:23" x14ac:dyDescent="0.25">
      <c r="A689" t="s">
        <v>78</v>
      </c>
      <c r="B689" t="str">
        <f>CONCATENATE(Consulta1[[#This Row],[id]],Consulta1[[#This Row],[EMPREGADOR]])</f>
        <v>6PREF ARACAJU</v>
      </c>
      <c r="C689" s="6">
        <f>IF(A689=A688,C688+1,1)</f>
        <v>6</v>
      </c>
      <c r="D689" t="s">
        <v>663</v>
      </c>
      <c r="E689" s="101">
        <v>1.8500000000000003E-2</v>
      </c>
      <c r="F689" s="6">
        <v>120</v>
      </c>
      <c r="G689" t="s">
        <v>1349</v>
      </c>
      <c r="H689" s="82">
        <v>2.5</v>
      </c>
      <c r="I689">
        <v>25</v>
      </c>
      <c r="J689">
        <v>64</v>
      </c>
      <c r="K689" t="s">
        <v>1645</v>
      </c>
      <c r="L689" s="6" t="s">
        <v>1640</v>
      </c>
      <c r="M689" s="6">
        <v>8</v>
      </c>
      <c r="N689" s="6">
        <v>2</v>
      </c>
      <c r="O689">
        <v>500</v>
      </c>
      <c r="P689">
        <v>202605</v>
      </c>
      <c r="Q689" t="s">
        <v>377</v>
      </c>
      <c r="R689" t="s">
        <v>1353</v>
      </c>
      <c r="S689">
        <f>Consulta1[[#This Row],[min_port]]/100</f>
        <v>1.4800000000000001E-2</v>
      </c>
      <c r="T689" s="252">
        <f>Consulta1[[#This Row],[TETO_COMERCIAL]]/100</f>
        <v>2.5000000000000001E-2</v>
      </c>
      <c r="U689" t="b">
        <f>Consulta1[[#This Row],[TETO_COMERCIAL_%]]=Consulta1[[#This Row],[TAXA]]</f>
        <v>0</v>
      </c>
      <c r="V689" t="str">
        <f>CONCATENATE(Consulta1[[#This Row],[MES_ALTERACAO]],Consulta1[[#This Row],[VIRADA]])</f>
        <v>2026058</v>
      </c>
      <c r="W689">
        <f>VLOOKUP(Consulta1[[#This Row],[Coluna2]],CALENDARIO!$J:$K,2,FALSE)</f>
        <v>5</v>
      </c>
    </row>
    <row r="690" spans="1:23" x14ac:dyDescent="0.25">
      <c r="A690" t="s">
        <v>78</v>
      </c>
      <c r="B690" t="str">
        <f>CONCATENATE(Consulta1[[#This Row],[id]],Consulta1[[#This Row],[EMPREGADOR]])</f>
        <v>7PREF ARACAJU</v>
      </c>
      <c r="C690" s="6">
        <f>IF(A690=A689,C689+1,1)</f>
        <v>7</v>
      </c>
      <c r="D690" t="s">
        <v>961</v>
      </c>
      <c r="E690" s="101">
        <v>1.8000000000000002E-2</v>
      </c>
      <c r="F690" s="6">
        <v>120</v>
      </c>
      <c r="G690" t="s">
        <v>1349</v>
      </c>
      <c r="H690" s="82">
        <v>2.5</v>
      </c>
      <c r="I690">
        <v>25</v>
      </c>
      <c r="J690">
        <v>62</v>
      </c>
      <c r="K690" t="s">
        <v>1646</v>
      </c>
      <c r="L690" s="6" t="s">
        <v>1640</v>
      </c>
      <c r="M690" s="6">
        <v>8</v>
      </c>
      <c r="N690" s="6">
        <v>2</v>
      </c>
      <c r="O690">
        <v>500</v>
      </c>
      <c r="P690">
        <v>202605</v>
      </c>
      <c r="Q690" t="s">
        <v>377</v>
      </c>
      <c r="R690" t="s">
        <v>1353</v>
      </c>
      <c r="S690">
        <f>Consulta1[[#This Row],[min_port]]/100</f>
        <v>1.4800000000000001E-2</v>
      </c>
      <c r="T690" s="252">
        <f>Consulta1[[#This Row],[TETO_COMERCIAL]]/100</f>
        <v>2.5000000000000001E-2</v>
      </c>
      <c r="U690" t="b">
        <f>Consulta1[[#This Row],[TETO_COMERCIAL_%]]=Consulta1[[#This Row],[TAXA]]</f>
        <v>0</v>
      </c>
      <c r="V690" t="str">
        <f>CONCATENATE(Consulta1[[#This Row],[MES_ALTERACAO]],Consulta1[[#This Row],[VIRADA]])</f>
        <v>2026058</v>
      </c>
      <c r="W690">
        <f>VLOOKUP(Consulta1[[#This Row],[Coluna2]],CALENDARIO!$J:$K,2,FALSE)</f>
        <v>5</v>
      </c>
    </row>
    <row r="691" spans="1:23" x14ac:dyDescent="0.25">
      <c r="A691" t="s">
        <v>78</v>
      </c>
      <c r="B691" t="str">
        <f>CONCATENATE(Consulta1[[#This Row],[id]],Consulta1[[#This Row],[EMPREGADOR]])</f>
        <v>8PREF ARACAJU</v>
      </c>
      <c r="C691" s="6">
        <f>IF(A691=A690,C690+1,1)</f>
        <v>8</v>
      </c>
      <c r="D691" t="s">
        <v>962</v>
      </c>
      <c r="E691" s="101">
        <v>1.77E-2</v>
      </c>
      <c r="F691" s="6">
        <v>120</v>
      </c>
      <c r="G691" t="s">
        <v>1349</v>
      </c>
      <c r="H691" s="82">
        <v>2.5</v>
      </c>
      <c r="I691">
        <v>25</v>
      </c>
      <c r="J691">
        <v>60</v>
      </c>
      <c r="K691" t="s">
        <v>1647</v>
      </c>
      <c r="L691" s="6" t="s">
        <v>1640</v>
      </c>
      <c r="M691" s="6">
        <v>8</v>
      </c>
      <c r="N691" s="6">
        <v>2</v>
      </c>
      <c r="O691">
        <v>500</v>
      </c>
      <c r="P691">
        <v>202605</v>
      </c>
      <c r="Q691" t="s">
        <v>377</v>
      </c>
      <c r="R691" t="s">
        <v>1353</v>
      </c>
      <c r="S691">
        <f>Consulta1[[#This Row],[min_port]]/100</f>
        <v>1.4800000000000001E-2</v>
      </c>
      <c r="T691" s="252">
        <f>Consulta1[[#This Row],[TETO_COMERCIAL]]/100</f>
        <v>2.5000000000000001E-2</v>
      </c>
      <c r="U691" t="b">
        <f>Consulta1[[#This Row],[TETO_COMERCIAL_%]]=Consulta1[[#This Row],[TAXA]]</f>
        <v>0</v>
      </c>
      <c r="V691" t="str">
        <f>CONCATENATE(Consulta1[[#This Row],[MES_ALTERACAO]],Consulta1[[#This Row],[VIRADA]])</f>
        <v>2026058</v>
      </c>
      <c r="W691">
        <f>VLOOKUP(Consulta1[[#This Row],[Coluna2]],CALENDARIO!$J:$K,2,FALSE)</f>
        <v>5</v>
      </c>
    </row>
    <row r="692" spans="1:23" x14ac:dyDescent="0.25">
      <c r="A692" t="s">
        <v>367</v>
      </c>
      <c r="B692" t="str">
        <f>CONCATENATE(Consulta1[[#This Row],[id]],Consulta1[[#This Row],[EMPREGADOR]])</f>
        <v>1PREF ARACRUZ</v>
      </c>
      <c r="C692" s="6">
        <f>IF(A692=A691,C691+1,1)</f>
        <v>1</v>
      </c>
      <c r="D692" t="s">
        <v>229</v>
      </c>
      <c r="E692" s="101">
        <v>2.23E-2</v>
      </c>
      <c r="F692" s="6">
        <v>120</v>
      </c>
      <c r="G692" t="s">
        <v>1349</v>
      </c>
      <c r="H692" s="82">
        <v>2.23</v>
      </c>
      <c r="I692">
        <v>25</v>
      </c>
      <c r="J692">
        <v>67</v>
      </c>
      <c r="K692" t="s">
        <v>1648</v>
      </c>
      <c r="L692" s="6" t="s">
        <v>1649</v>
      </c>
      <c r="M692" s="6">
        <v>15</v>
      </c>
      <c r="N692" s="6">
        <v>2</v>
      </c>
      <c r="O692">
        <v>500</v>
      </c>
      <c r="P692">
        <v>202605</v>
      </c>
      <c r="Q692" t="s">
        <v>377</v>
      </c>
      <c r="R692" t="s">
        <v>1353</v>
      </c>
      <c r="S692">
        <f>Consulta1[[#This Row],[min_port]]/100</f>
        <v>1.9799999999999998E-2</v>
      </c>
      <c r="T692" s="252">
        <f>Consulta1[[#This Row],[TETO_COMERCIAL]]/100</f>
        <v>2.23E-2</v>
      </c>
      <c r="U692" t="b">
        <f>Consulta1[[#This Row],[TETO_COMERCIAL_%]]=Consulta1[[#This Row],[TAXA]]</f>
        <v>1</v>
      </c>
      <c r="V692" t="str">
        <f>CONCATENATE(Consulta1[[#This Row],[MES_ALTERACAO]],Consulta1[[#This Row],[VIRADA]])</f>
        <v>20260515</v>
      </c>
      <c r="W692">
        <f>VLOOKUP(Consulta1[[#This Row],[Coluna2]],CALENDARIO!$J:$K,2,FALSE)</f>
        <v>10</v>
      </c>
    </row>
    <row r="693" spans="1:23" x14ac:dyDescent="0.25">
      <c r="A693" t="s">
        <v>3750</v>
      </c>
      <c r="B693" t="str">
        <f>CONCATENATE(Consulta1[[#This Row],[id]],Consulta1[[#This Row],[EMPREGADOR]])</f>
        <v>1PREF ARARAQUAR</v>
      </c>
      <c r="C693" s="6">
        <f>IF(A693=A692,C692+1,1)</f>
        <v>1</v>
      </c>
      <c r="D693" t="s">
        <v>284</v>
      </c>
      <c r="E693" s="101">
        <v>2.5000000000000001E-2</v>
      </c>
      <c r="F693" s="6">
        <v>120</v>
      </c>
      <c r="G693" t="s">
        <v>1349</v>
      </c>
      <c r="H693" s="82">
        <v>2.5</v>
      </c>
      <c r="I693">
        <v>20</v>
      </c>
      <c r="K693" t="s">
        <v>1650</v>
      </c>
      <c r="L693" s="6" t="s">
        <v>1425</v>
      </c>
      <c r="M693" s="6">
        <v>15</v>
      </c>
      <c r="N693" s="6">
        <v>2</v>
      </c>
      <c r="O693">
        <v>500</v>
      </c>
      <c r="P693">
        <v>202605</v>
      </c>
      <c r="Q693" t="s">
        <v>377</v>
      </c>
      <c r="R693" t="s">
        <v>1353</v>
      </c>
      <c r="S693">
        <f>Consulta1[[#This Row],[min_port]]/100</f>
        <v>1.5600000000000001E-2</v>
      </c>
      <c r="T693" s="252">
        <f>Consulta1[[#This Row],[TETO_COMERCIAL]]/100</f>
        <v>2.5000000000000001E-2</v>
      </c>
      <c r="U693" t="b">
        <f>Consulta1[[#This Row],[TETO_COMERCIAL_%]]=Consulta1[[#This Row],[TAXA]]</f>
        <v>1</v>
      </c>
      <c r="V693" t="str">
        <f>CONCATENATE(Consulta1[[#This Row],[MES_ALTERACAO]],Consulta1[[#This Row],[VIRADA]])</f>
        <v>20260515</v>
      </c>
      <c r="W693">
        <f>VLOOKUP(Consulta1[[#This Row],[Coluna2]],CALENDARIO!$J:$K,2,FALSE)</f>
        <v>10</v>
      </c>
    </row>
    <row r="694" spans="1:23" x14ac:dyDescent="0.25">
      <c r="A694" t="s">
        <v>3750</v>
      </c>
      <c r="B694" t="str">
        <f>CONCATENATE(Consulta1[[#This Row],[id]],Consulta1[[#This Row],[EMPREGADOR]])</f>
        <v>2PREF ARARAQUAR</v>
      </c>
      <c r="C694" s="6">
        <f>IF(A694=A693,C693+1,1)</f>
        <v>2</v>
      </c>
      <c r="D694" t="s">
        <v>418</v>
      </c>
      <c r="E694" s="101">
        <v>2.2700000000000001E-2</v>
      </c>
      <c r="F694" s="6">
        <v>120</v>
      </c>
      <c r="G694" t="s">
        <v>1349</v>
      </c>
      <c r="H694" s="82">
        <v>2.5</v>
      </c>
      <c r="I694">
        <v>20</v>
      </c>
      <c r="K694" t="s">
        <v>1651</v>
      </c>
      <c r="L694" s="6" t="s">
        <v>1425</v>
      </c>
      <c r="M694" s="6">
        <v>15</v>
      </c>
      <c r="N694" s="6">
        <v>2</v>
      </c>
      <c r="O694">
        <v>500</v>
      </c>
      <c r="P694">
        <v>202605</v>
      </c>
      <c r="Q694" t="s">
        <v>377</v>
      </c>
      <c r="R694" t="s">
        <v>1353</v>
      </c>
      <c r="S694">
        <f>Consulta1[[#This Row],[min_port]]/100</f>
        <v>1.5600000000000001E-2</v>
      </c>
      <c r="T694" s="252">
        <f>Consulta1[[#This Row],[TETO_COMERCIAL]]/100</f>
        <v>2.5000000000000001E-2</v>
      </c>
      <c r="U694" t="b">
        <f>Consulta1[[#This Row],[TETO_COMERCIAL_%]]=Consulta1[[#This Row],[TAXA]]</f>
        <v>0</v>
      </c>
      <c r="V694" t="str">
        <f>CONCATENATE(Consulta1[[#This Row],[MES_ALTERACAO]],Consulta1[[#This Row],[VIRADA]])</f>
        <v>20260515</v>
      </c>
      <c r="W694">
        <f>VLOOKUP(Consulta1[[#This Row],[Coluna2]],CALENDARIO!$J:$K,2,FALSE)</f>
        <v>10</v>
      </c>
    </row>
    <row r="695" spans="1:23" x14ac:dyDescent="0.25">
      <c r="A695" t="s">
        <v>3750</v>
      </c>
      <c r="B695" t="str">
        <f>CONCATENATE(Consulta1[[#This Row],[id]],Consulta1[[#This Row],[EMPREGADOR]])</f>
        <v>3PREF ARARAQUAR</v>
      </c>
      <c r="C695" s="6">
        <f>IF(A695=A694,C694+1,1)</f>
        <v>3</v>
      </c>
      <c r="D695" t="s">
        <v>419</v>
      </c>
      <c r="E695" s="101">
        <v>2.2200000000000001E-2</v>
      </c>
      <c r="F695" s="6">
        <v>120</v>
      </c>
      <c r="G695" t="s">
        <v>1349</v>
      </c>
      <c r="H695" s="82">
        <v>2.5</v>
      </c>
      <c r="I695">
        <v>20</v>
      </c>
      <c r="K695" t="s">
        <v>1652</v>
      </c>
      <c r="L695" s="6" t="s">
        <v>1425</v>
      </c>
      <c r="M695" s="6">
        <v>15</v>
      </c>
      <c r="N695" s="6">
        <v>2</v>
      </c>
      <c r="O695">
        <v>500</v>
      </c>
      <c r="P695">
        <v>202605</v>
      </c>
      <c r="Q695" t="s">
        <v>377</v>
      </c>
      <c r="R695" t="s">
        <v>1353</v>
      </c>
      <c r="S695">
        <f>Consulta1[[#This Row],[min_port]]/100</f>
        <v>1.5600000000000001E-2</v>
      </c>
      <c r="T695" s="252">
        <f>Consulta1[[#This Row],[TETO_COMERCIAL]]/100</f>
        <v>2.5000000000000001E-2</v>
      </c>
      <c r="U695" t="b">
        <f>Consulta1[[#This Row],[TETO_COMERCIAL_%]]=Consulta1[[#This Row],[TAXA]]</f>
        <v>0</v>
      </c>
      <c r="V695" t="str">
        <f>CONCATENATE(Consulta1[[#This Row],[MES_ALTERACAO]],Consulta1[[#This Row],[VIRADA]])</f>
        <v>20260515</v>
      </c>
      <c r="W695">
        <f>VLOOKUP(Consulta1[[#This Row],[Coluna2]],CALENDARIO!$J:$K,2,FALSE)</f>
        <v>10</v>
      </c>
    </row>
    <row r="696" spans="1:23" x14ac:dyDescent="0.25">
      <c r="A696" t="s">
        <v>3750</v>
      </c>
      <c r="B696" t="str">
        <f>CONCATENATE(Consulta1[[#This Row],[id]],Consulta1[[#This Row],[EMPREGADOR]])</f>
        <v>4PREF ARARAQUAR</v>
      </c>
      <c r="C696" s="6">
        <f>IF(A696=A695,C695+1,1)</f>
        <v>4</v>
      </c>
      <c r="D696" t="s">
        <v>1001</v>
      </c>
      <c r="E696" s="101">
        <v>2.1600000000000001E-2</v>
      </c>
      <c r="F696" s="6">
        <v>120</v>
      </c>
      <c r="G696" t="s">
        <v>1349</v>
      </c>
      <c r="H696" s="82">
        <v>2.5</v>
      </c>
      <c r="I696">
        <v>20</v>
      </c>
      <c r="K696" t="s">
        <v>1653</v>
      </c>
      <c r="L696" s="6" t="s">
        <v>1425</v>
      </c>
      <c r="M696" s="6">
        <v>15</v>
      </c>
      <c r="N696" s="6">
        <v>2</v>
      </c>
      <c r="O696">
        <v>500</v>
      </c>
      <c r="P696">
        <v>202605</v>
      </c>
      <c r="Q696" t="s">
        <v>377</v>
      </c>
      <c r="R696" t="s">
        <v>1353</v>
      </c>
      <c r="S696">
        <f>Consulta1[[#This Row],[min_port]]/100</f>
        <v>1.5600000000000001E-2</v>
      </c>
      <c r="T696" s="252">
        <f>Consulta1[[#This Row],[TETO_COMERCIAL]]/100</f>
        <v>2.5000000000000001E-2</v>
      </c>
      <c r="U696" t="b">
        <f>Consulta1[[#This Row],[TETO_COMERCIAL_%]]=Consulta1[[#This Row],[TAXA]]</f>
        <v>0</v>
      </c>
      <c r="V696" t="str">
        <f>CONCATENATE(Consulta1[[#This Row],[MES_ALTERACAO]],Consulta1[[#This Row],[VIRADA]])</f>
        <v>20260515</v>
      </c>
      <c r="W696">
        <f>VLOOKUP(Consulta1[[#This Row],[Coluna2]],CALENDARIO!$J:$K,2,FALSE)</f>
        <v>10</v>
      </c>
    </row>
    <row r="697" spans="1:23" x14ac:dyDescent="0.25">
      <c r="A697" t="s">
        <v>3750</v>
      </c>
      <c r="B697" t="str">
        <f>CONCATENATE(Consulta1[[#This Row],[id]],Consulta1[[#This Row],[EMPREGADOR]])</f>
        <v>5PREF ARARAQUAR</v>
      </c>
      <c r="C697" s="6">
        <f>IF(A697=A696,C696+1,1)</f>
        <v>5</v>
      </c>
      <c r="D697" t="s">
        <v>1002</v>
      </c>
      <c r="E697" s="101">
        <v>1.8100000000000002E-2</v>
      </c>
      <c r="F697" s="6">
        <v>120</v>
      </c>
      <c r="G697" t="s">
        <v>1349</v>
      </c>
      <c r="H697" s="82">
        <v>2.5</v>
      </c>
      <c r="I697">
        <v>20</v>
      </c>
      <c r="K697" t="s">
        <v>1654</v>
      </c>
      <c r="L697" s="6" t="s">
        <v>1425</v>
      </c>
      <c r="M697" s="6">
        <v>15</v>
      </c>
      <c r="N697" s="6">
        <v>2</v>
      </c>
      <c r="O697">
        <v>500</v>
      </c>
      <c r="P697">
        <v>202605</v>
      </c>
      <c r="Q697" t="s">
        <v>377</v>
      </c>
      <c r="R697" t="s">
        <v>1353</v>
      </c>
      <c r="S697">
        <f>Consulta1[[#This Row],[min_port]]/100</f>
        <v>1.5600000000000001E-2</v>
      </c>
      <c r="T697" s="252">
        <f>Consulta1[[#This Row],[TETO_COMERCIAL]]/100</f>
        <v>2.5000000000000001E-2</v>
      </c>
      <c r="U697" t="b">
        <f>Consulta1[[#This Row],[TETO_COMERCIAL_%]]=Consulta1[[#This Row],[TAXA]]</f>
        <v>0</v>
      </c>
      <c r="V697" t="str">
        <f>CONCATENATE(Consulta1[[#This Row],[MES_ALTERACAO]],Consulta1[[#This Row],[VIRADA]])</f>
        <v>20260515</v>
      </c>
      <c r="W697">
        <f>VLOOKUP(Consulta1[[#This Row],[Coluna2]],CALENDARIO!$J:$K,2,FALSE)</f>
        <v>10</v>
      </c>
    </row>
    <row r="698" spans="1:23" x14ac:dyDescent="0.25">
      <c r="A698" t="s">
        <v>387</v>
      </c>
      <c r="B698" t="str">
        <f>CONCATENATE(Consulta1[[#This Row],[id]],Consulta1[[#This Row],[EMPREGADOR]])</f>
        <v>1PREF ASSIS</v>
      </c>
      <c r="C698" s="6">
        <f>IF(A698=A697,C697+1,1)</f>
        <v>1</v>
      </c>
      <c r="D698" t="s">
        <v>388</v>
      </c>
      <c r="E698" s="101">
        <v>2.1499999999999998E-2</v>
      </c>
      <c r="F698" s="6">
        <v>120</v>
      </c>
      <c r="G698" t="s">
        <v>1349</v>
      </c>
      <c r="H698" s="82">
        <v>2.5</v>
      </c>
      <c r="I698">
        <v>10</v>
      </c>
      <c r="J698">
        <v>26</v>
      </c>
      <c r="K698" t="s">
        <v>1655</v>
      </c>
      <c r="L698" s="6" t="s">
        <v>1409</v>
      </c>
      <c r="M698" s="6">
        <v>18</v>
      </c>
      <c r="N698" s="6">
        <v>2</v>
      </c>
      <c r="O698">
        <v>500</v>
      </c>
      <c r="P698">
        <v>202605</v>
      </c>
      <c r="Q698" t="s">
        <v>377</v>
      </c>
      <c r="R698" t="s">
        <v>1350</v>
      </c>
      <c r="S698">
        <f>Consulta1[[#This Row],[min_port]]/100</f>
        <v>1.55E-2</v>
      </c>
      <c r="T698" s="252">
        <f>Consulta1[[#This Row],[TETO_COMERCIAL]]/100</f>
        <v>2.5000000000000001E-2</v>
      </c>
      <c r="U698" t="b">
        <f>Consulta1[[#This Row],[TETO_COMERCIAL_%]]=Consulta1[[#This Row],[TAXA]]</f>
        <v>0</v>
      </c>
      <c r="V698" t="str">
        <f>CONCATENATE(Consulta1[[#This Row],[MES_ALTERACAO]],Consulta1[[#This Row],[VIRADA]])</f>
        <v>20260518</v>
      </c>
      <c r="W698">
        <f>VLOOKUP(Consulta1[[#This Row],[Coluna2]],CALENDARIO!$J:$K,2,FALSE)</f>
        <v>11</v>
      </c>
    </row>
    <row r="699" spans="1:23" x14ac:dyDescent="0.25">
      <c r="A699" t="s">
        <v>387</v>
      </c>
      <c r="B699" t="str">
        <f>CONCATENATE(Consulta1[[#This Row],[id]],Consulta1[[#This Row],[EMPREGADOR]])</f>
        <v>2PREF ASSIS</v>
      </c>
      <c r="C699" s="6">
        <f>IF(A699=A698,C698+1,1)</f>
        <v>2</v>
      </c>
      <c r="D699" t="s">
        <v>389</v>
      </c>
      <c r="E699" s="101">
        <v>2.0499999999999997E-2</v>
      </c>
      <c r="F699" s="6">
        <v>120</v>
      </c>
      <c r="G699" t="s">
        <v>1349</v>
      </c>
      <c r="H699" s="82">
        <v>2.5</v>
      </c>
      <c r="I699">
        <v>10</v>
      </c>
      <c r="J699">
        <v>42</v>
      </c>
      <c r="K699" t="s">
        <v>1656</v>
      </c>
      <c r="L699" s="6" t="s">
        <v>1409</v>
      </c>
      <c r="M699" s="6">
        <v>18</v>
      </c>
      <c r="N699" s="6">
        <v>2</v>
      </c>
      <c r="O699">
        <v>500</v>
      </c>
      <c r="P699">
        <v>202605</v>
      </c>
      <c r="Q699" t="s">
        <v>377</v>
      </c>
      <c r="R699" t="s">
        <v>1350</v>
      </c>
      <c r="S699">
        <f>Consulta1[[#This Row],[min_port]]/100</f>
        <v>1.55E-2</v>
      </c>
      <c r="T699" s="252">
        <f>Consulta1[[#This Row],[TETO_COMERCIAL]]/100</f>
        <v>2.5000000000000001E-2</v>
      </c>
      <c r="U699" t="b">
        <f>Consulta1[[#This Row],[TETO_COMERCIAL_%]]=Consulta1[[#This Row],[TAXA]]</f>
        <v>0</v>
      </c>
      <c r="V699" t="str">
        <f>CONCATENATE(Consulta1[[#This Row],[MES_ALTERACAO]],Consulta1[[#This Row],[VIRADA]])</f>
        <v>20260518</v>
      </c>
      <c r="W699">
        <f>VLOOKUP(Consulta1[[#This Row],[Coluna2]],CALENDARIO!$J:$K,2,FALSE)</f>
        <v>11</v>
      </c>
    </row>
    <row r="700" spans="1:23" x14ac:dyDescent="0.25">
      <c r="A700" t="s">
        <v>387</v>
      </c>
      <c r="B700" t="str">
        <f>CONCATENATE(Consulta1[[#This Row],[id]],Consulta1[[#This Row],[EMPREGADOR]])</f>
        <v>3PREF ASSIS</v>
      </c>
      <c r="C700" s="6">
        <f>IF(A700=A699,C699+1,1)</f>
        <v>3</v>
      </c>
      <c r="D700" t="s">
        <v>1309</v>
      </c>
      <c r="E700" s="101">
        <v>1.95E-2</v>
      </c>
      <c r="F700" s="6">
        <v>120</v>
      </c>
      <c r="G700" t="s">
        <v>1349</v>
      </c>
      <c r="H700" s="82">
        <v>2.5</v>
      </c>
      <c r="I700">
        <v>10</v>
      </c>
      <c r="K700" t="s">
        <v>1657</v>
      </c>
      <c r="L700" s="6" t="s">
        <v>1409</v>
      </c>
      <c r="M700" s="6">
        <v>18</v>
      </c>
      <c r="N700" s="6">
        <v>2</v>
      </c>
      <c r="O700">
        <v>500</v>
      </c>
      <c r="P700">
        <v>202605</v>
      </c>
      <c r="Q700" t="s">
        <v>377</v>
      </c>
      <c r="R700" t="s">
        <v>1350</v>
      </c>
      <c r="S700">
        <f>Consulta1[[#This Row],[min_port]]/100</f>
        <v>1.55E-2</v>
      </c>
      <c r="T700" s="252">
        <f>Consulta1[[#This Row],[TETO_COMERCIAL]]/100</f>
        <v>2.5000000000000001E-2</v>
      </c>
      <c r="U700" t="b">
        <f>Consulta1[[#This Row],[TETO_COMERCIAL_%]]=Consulta1[[#This Row],[TAXA]]</f>
        <v>0</v>
      </c>
      <c r="V700" t="str">
        <f>CONCATENATE(Consulta1[[#This Row],[MES_ALTERACAO]],Consulta1[[#This Row],[VIRADA]])</f>
        <v>20260518</v>
      </c>
      <c r="W700">
        <f>VLOOKUP(Consulta1[[#This Row],[Coluna2]],CALENDARIO!$J:$K,2,FALSE)</f>
        <v>11</v>
      </c>
    </row>
    <row r="701" spans="1:23" x14ac:dyDescent="0.25">
      <c r="A701" t="s">
        <v>387</v>
      </c>
      <c r="B701" t="str">
        <f>CONCATENATE(Consulta1[[#This Row],[id]],Consulta1[[#This Row],[EMPREGADOR]])</f>
        <v>4PREF ASSIS</v>
      </c>
      <c r="C701" s="6">
        <f>IF(A701=A700,C700+1,1)</f>
        <v>4</v>
      </c>
      <c r="D701" t="s">
        <v>1310</v>
      </c>
      <c r="E701" s="101">
        <v>1.8500000000000003E-2</v>
      </c>
      <c r="F701" s="6">
        <v>120</v>
      </c>
      <c r="G701" t="s">
        <v>1349</v>
      </c>
      <c r="H701" s="82">
        <v>2.5</v>
      </c>
      <c r="I701">
        <v>10</v>
      </c>
      <c r="J701">
        <v>45</v>
      </c>
      <c r="K701" t="s">
        <v>1658</v>
      </c>
      <c r="L701" s="6" t="s">
        <v>1409</v>
      </c>
      <c r="M701" s="6">
        <v>18</v>
      </c>
      <c r="N701" s="6">
        <v>2</v>
      </c>
      <c r="O701">
        <v>500</v>
      </c>
      <c r="P701">
        <v>202605</v>
      </c>
      <c r="Q701" t="s">
        <v>377</v>
      </c>
      <c r="R701" t="s">
        <v>1350</v>
      </c>
      <c r="S701">
        <f>Consulta1[[#This Row],[min_port]]/100</f>
        <v>1.55E-2</v>
      </c>
      <c r="T701" s="252">
        <f>Consulta1[[#This Row],[TETO_COMERCIAL]]/100</f>
        <v>2.5000000000000001E-2</v>
      </c>
      <c r="U701" t="b">
        <f>Consulta1[[#This Row],[TETO_COMERCIAL_%]]=Consulta1[[#This Row],[TAXA]]</f>
        <v>0</v>
      </c>
      <c r="V701" t="str">
        <f>CONCATENATE(Consulta1[[#This Row],[MES_ALTERACAO]],Consulta1[[#This Row],[VIRADA]])</f>
        <v>20260518</v>
      </c>
      <c r="W701">
        <f>VLOOKUP(Consulta1[[#This Row],[Coluna2]],CALENDARIO!$J:$K,2,FALSE)</f>
        <v>11</v>
      </c>
    </row>
    <row r="702" spans="1:23" x14ac:dyDescent="0.25">
      <c r="A702" t="s">
        <v>387</v>
      </c>
      <c r="B702" t="str">
        <f>CONCATENATE(Consulta1[[#This Row],[id]],Consulta1[[#This Row],[EMPREGADOR]])</f>
        <v>5PREF ASSIS</v>
      </c>
      <c r="C702" s="6">
        <f>IF(A702=A701,C701+1,1)</f>
        <v>5</v>
      </c>
      <c r="D702" t="s">
        <v>1311</v>
      </c>
      <c r="E702" s="101">
        <v>1.7500000000000002E-2</v>
      </c>
      <c r="F702" s="6">
        <v>120</v>
      </c>
      <c r="G702" t="s">
        <v>1349</v>
      </c>
      <c r="H702" s="82">
        <v>2.5</v>
      </c>
      <c r="I702">
        <v>10</v>
      </c>
      <c r="J702">
        <v>39</v>
      </c>
      <c r="K702" t="s">
        <v>1659</v>
      </c>
      <c r="L702" s="6" t="s">
        <v>1409</v>
      </c>
      <c r="M702" s="6">
        <v>18</v>
      </c>
      <c r="N702" s="6">
        <v>2</v>
      </c>
      <c r="O702">
        <v>500</v>
      </c>
      <c r="P702">
        <v>202605</v>
      </c>
      <c r="Q702" t="s">
        <v>377</v>
      </c>
      <c r="R702" t="s">
        <v>1350</v>
      </c>
      <c r="S702">
        <f>Consulta1[[#This Row],[min_port]]/100</f>
        <v>1.55E-2</v>
      </c>
      <c r="T702" s="252">
        <f>Consulta1[[#This Row],[TETO_COMERCIAL]]/100</f>
        <v>2.5000000000000001E-2</v>
      </c>
      <c r="U702" t="b">
        <f>Consulta1[[#This Row],[TETO_COMERCIAL_%]]=Consulta1[[#This Row],[TAXA]]</f>
        <v>0</v>
      </c>
      <c r="V702" t="str">
        <f>CONCATENATE(Consulta1[[#This Row],[MES_ALTERACAO]],Consulta1[[#This Row],[VIRADA]])</f>
        <v>20260518</v>
      </c>
      <c r="W702">
        <f>VLOOKUP(Consulta1[[#This Row],[Coluna2]],CALENDARIO!$J:$K,2,FALSE)</f>
        <v>11</v>
      </c>
    </row>
    <row r="703" spans="1:23" x14ac:dyDescent="0.25">
      <c r="A703" t="s">
        <v>253</v>
      </c>
      <c r="B703" t="str">
        <f>CONCATENATE(Consulta1[[#This Row],[id]],Consulta1[[#This Row],[EMPREGADOR]])</f>
        <v>1PREF ATIBAIA</v>
      </c>
      <c r="C703" s="6">
        <f>IF(A703=A702,C702+1,1)</f>
        <v>1</v>
      </c>
      <c r="D703" t="s">
        <v>254</v>
      </c>
      <c r="E703" s="101">
        <v>2.5000000000000001E-2</v>
      </c>
      <c r="F703" s="6">
        <v>120</v>
      </c>
      <c r="G703" t="s">
        <v>1349</v>
      </c>
      <c r="H703" s="82">
        <v>2.5</v>
      </c>
      <c r="I703">
        <v>7</v>
      </c>
      <c r="K703" t="s">
        <v>1660</v>
      </c>
      <c r="L703" s="6" t="s">
        <v>1409</v>
      </c>
      <c r="M703" s="6">
        <v>15</v>
      </c>
      <c r="N703" s="6">
        <v>2</v>
      </c>
      <c r="O703">
        <v>500</v>
      </c>
      <c r="P703">
        <v>202605</v>
      </c>
      <c r="Q703" t="s">
        <v>377</v>
      </c>
      <c r="R703" t="s">
        <v>1350</v>
      </c>
      <c r="S703">
        <f>Consulta1[[#This Row],[min_port]]/100</f>
        <v>1.55E-2</v>
      </c>
      <c r="T703" s="252">
        <f>Consulta1[[#This Row],[TETO_COMERCIAL]]/100</f>
        <v>2.5000000000000001E-2</v>
      </c>
      <c r="U703" t="b">
        <f>Consulta1[[#This Row],[TETO_COMERCIAL_%]]=Consulta1[[#This Row],[TAXA]]</f>
        <v>1</v>
      </c>
      <c r="V703" t="str">
        <f>CONCATENATE(Consulta1[[#This Row],[MES_ALTERACAO]],Consulta1[[#This Row],[VIRADA]])</f>
        <v>20260515</v>
      </c>
      <c r="W703">
        <f>VLOOKUP(Consulta1[[#This Row],[Coluna2]],CALENDARIO!$J:$K,2,FALSE)</f>
        <v>10</v>
      </c>
    </row>
    <row r="704" spans="1:23" x14ac:dyDescent="0.25">
      <c r="A704" t="s">
        <v>253</v>
      </c>
      <c r="B704" t="str">
        <f>CONCATENATE(Consulta1[[#This Row],[id]],Consulta1[[#This Row],[EMPREGADOR]])</f>
        <v>2PREF ATIBAIA</v>
      </c>
      <c r="C704" s="6">
        <f>IF(A704=A703,C703+1,1)</f>
        <v>2</v>
      </c>
      <c r="D704" t="s">
        <v>255</v>
      </c>
      <c r="E704" s="101">
        <v>2.29E-2</v>
      </c>
      <c r="F704" s="6">
        <v>120</v>
      </c>
      <c r="G704" t="s">
        <v>1349</v>
      </c>
      <c r="H704" s="82">
        <v>2.5</v>
      </c>
      <c r="I704">
        <v>7</v>
      </c>
      <c r="J704">
        <v>32</v>
      </c>
      <c r="K704" t="s">
        <v>1661</v>
      </c>
      <c r="L704" s="6" t="s">
        <v>1409</v>
      </c>
      <c r="M704" s="6">
        <v>15</v>
      </c>
      <c r="N704" s="6">
        <v>2</v>
      </c>
      <c r="O704">
        <v>500</v>
      </c>
      <c r="P704">
        <v>202605</v>
      </c>
      <c r="Q704" t="s">
        <v>377</v>
      </c>
      <c r="R704" t="s">
        <v>1350</v>
      </c>
      <c r="S704">
        <f>Consulta1[[#This Row],[min_port]]/100</f>
        <v>1.55E-2</v>
      </c>
      <c r="T704" s="252">
        <f>Consulta1[[#This Row],[TETO_COMERCIAL]]/100</f>
        <v>2.5000000000000001E-2</v>
      </c>
      <c r="U704" t="b">
        <f>Consulta1[[#This Row],[TETO_COMERCIAL_%]]=Consulta1[[#This Row],[TAXA]]</f>
        <v>0</v>
      </c>
      <c r="V704" t="str">
        <f>CONCATENATE(Consulta1[[#This Row],[MES_ALTERACAO]],Consulta1[[#This Row],[VIRADA]])</f>
        <v>20260515</v>
      </c>
      <c r="W704">
        <f>VLOOKUP(Consulta1[[#This Row],[Coluna2]],CALENDARIO!$J:$K,2,FALSE)</f>
        <v>10</v>
      </c>
    </row>
    <row r="705" spans="1:23" x14ac:dyDescent="0.25">
      <c r="A705" t="s">
        <v>253</v>
      </c>
      <c r="B705" t="str">
        <f>CONCATENATE(Consulta1[[#This Row],[id]],Consulta1[[#This Row],[EMPREGADOR]])</f>
        <v>3PREF ATIBAIA</v>
      </c>
      <c r="C705" s="6">
        <f>IF(A705=A704,C704+1,1)</f>
        <v>3</v>
      </c>
      <c r="D705" t="s">
        <v>256</v>
      </c>
      <c r="E705" s="101">
        <v>2.1899999999999999E-2</v>
      </c>
      <c r="F705" s="6">
        <v>120</v>
      </c>
      <c r="G705" t="s">
        <v>1349</v>
      </c>
      <c r="H705" s="82">
        <v>2.5</v>
      </c>
      <c r="I705">
        <v>7</v>
      </c>
      <c r="J705">
        <v>33</v>
      </c>
      <c r="K705" t="s">
        <v>1662</v>
      </c>
      <c r="L705" s="6" t="s">
        <v>1409</v>
      </c>
      <c r="M705" s="6">
        <v>15</v>
      </c>
      <c r="N705" s="6">
        <v>2</v>
      </c>
      <c r="O705">
        <v>500</v>
      </c>
      <c r="P705">
        <v>202605</v>
      </c>
      <c r="Q705" t="s">
        <v>377</v>
      </c>
      <c r="R705" t="s">
        <v>1350</v>
      </c>
      <c r="S705">
        <f>Consulta1[[#This Row],[min_port]]/100</f>
        <v>1.55E-2</v>
      </c>
      <c r="T705" s="252">
        <f>Consulta1[[#This Row],[TETO_COMERCIAL]]/100</f>
        <v>2.5000000000000001E-2</v>
      </c>
      <c r="U705" t="b">
        <f>Consulta1[[#This Row],[TETO_COMERCIAL_%]]=Consulta1[[#This Row],[TAXA]]</f>
        <v>0</v>
      </c>
      <c r="V705" t="str">
        <f>CONCATENATE(Consulta1[[#This Row],[MES_ALTERACAO]],Consulta1[[#This Row],[VIRADA]])</f>
        <v>20260515</v>
      </c>
      <c r="W705">
        <f>VLOOKUP(Consulta1[[#This Row],[Coluna2]],CALENDARIO!$J:$K,2,FALSE)</f>
        <v>10</v>
      </c>
    </row>
    <row r="706" spans="1:23" x14ac:dyDescent="0.25">
      <c r="A706" t="s">
        <v>253</v>
      </c>
      <c r="B706" t="str">
        <f>CONCATENATE(Consulta1[[#This Row],[id]],Consulta1[[#This Row],[EMPREGADOR]])</f>
        <v>4PREF ATIBAIA</v>
      </c>
      <c r="C706" s="6">
        <f>IF(A706=A705,C705+1,1)</f>
        <v>4</v>
      </c>
      <c r="D706" t="s">
        <v>257</v>
      </c>
      <c r="E706" s="101">
        <v>2.0899999999999998E-2</v>
      </c>
      <c r="F706" s="6">
        <v>120</v>
      </c>
      <c r="G706" t="s">
        <v>1349</v>
      </c>
      <c r="H706" s="82">
        <v>2.5</v>
      </c>
      <c r="I706">
        <v>7</v>
      </c>
      <c r="J706">
        <v>42</v>
      </c>
      <c r="K706" t="s">
        <v>1663</v>
      </c>
      <c r="L706" s="6" t="s">
        <v>1409</v>
      </c>
      <c r="M706" s="6">
        <v>15</v>
      </c>
      <c r="N706" s="6">
        <v>2</v>
      </c>
      <c r="O706">
        <v>500</v>
      </c>
      <c r="P706">
        <v>202605</v>
      </c>
      <c r="Q706" t="s">
        <v>377</v>
      </c>
      <c r="R706" t="s">
        <v>1350</v>
      </c>
      <c r="S706">
        <f>Consulta1[[#This Row],[min_port]]/100</f>
        <v>1.55E-2</v>
      </c>
      <c r="T706" s="252">
        <f>Consulta1[[#This Row],[TETO_COMERCIAL]]/100</f>
        <v>2.5000000000000001E-2</v>
      </c>
      <c r="U706" t="b">
        <f>Consulta1[[#This Row],[TETO_COMERCIAL_%]]=Consulta1[[#This Row],[TAXA]]</f>
        <v>0</v>
      </c>
      <c r="V706" t="str">
        <f>CONCATENATE(Consulta1[[#This Row],[MES_ALTERACAO]],Consulta1[[#This Row],[VIRADA]])</f>
        <v>20260515</v>
      </c>
      <c r="W706">
        <f>VLOOKUP(Consulta1[[#This Row],[Coluna2]],CALENDARIO!$J:$K,2,FALSE)</f>
        <v>10</v>
      </c>
    </row>
    <row r="707" spans="1:23" x14ac:dyDescent="0.25">
      <c r="A707" t="s">
        <v>253</v>
      </c>
      <c r="B707" t="str">
        <f>CONCATENATE(Consulta1[[#This Row],[id]],Consulta1[[#This Row],[EMPREGADOR]])</f>
        <v>5PREF ATIBAIA</v>
      </c>
      <c r="C707" s="6">
        <f>IF(A707=A706,C706+1,1)</f>
        <v>5</v>
      </c>
      <c r="D707" t="s">
        <v>460</v>
      </c>
      <c r="E707" s="101">
        <v>1.9900000000000001E-2</v>
      </c>
      <c r="F707" s="6">
        <v>120</v>
      </c>
      <c r="G707" t="s">
        <v>1349</v>
      </c>
      <c r="H707" s="82">
        <v>2.5</v>
      </c>
      <c r="I707">
        <v>7</v>
      </c>
      <c r="J707">
        <v>35</v>
      </c>
      <c r="K707" t="s">
        <v>1664</v>
      </c>
      <c r="L707" s="6" t="s">
        <v>1409</v>
      </c>
      <c r="M707" s="6">
        <v>15</v>
      </c>
      <c r="N707" s="6">
        <v>2</v>
      </c>
      <c r="O707">
        <v>500</v>
      </c>
      <c r="P707">
        <v>202605</v>
      </c>
      <c r="Q707" t="s">
        <v>377</v>
      </c>
      <c r="R707" t="s">
        <v>1350</v>
      </c>
      <c r="S707">
        <f>Consulta1[[#This Row],[min_port]]/100</f>
        <v>1.55E-2</v>
      </c>
      <c r="T707" s="252">
        <f>Consulta1[[#This Row],[TETO_COMERCIAL]]/100</f>
        <v>2.5000000000000001E-2</v>
      </c>
      <c r="U707" t="b">
        <f>Consulta1[[#This Row],[TETO_COMERCIAL_%]]=Consulta1[[#This Row],[TAXA]]</f>
        <v>0</v>
      </c>
      <c r="V707" t="str">
        <f>CONCATENATE(Consulta1[[#This Row],[MES_ALTERACAO]],Consulta1[[#This Row],[VIRADA]])</f>
        <v>20260515</v>
      </c>
      <c r="W707">
        <f>VLOOKUP(Consulta1[[#This Row],[Coluna2]],CALENDARIO!$J:$K,2,FALSE)</f>
        <v>10</v>
      </c>
    </row>
    <row r="708" spans="1:23" x14ac:dyDescent="0.25">
      <c r="A708" t="s">
        <v>400</v>
      </c>
      <c r="B708" t="str">
        <f>CONCATENATE(Consulta1[[#This Row],[id]],Consulta1[[#This Row],[EMPREGADOR]])</f>
        <v>1PREF BARUERI</v>
      </c>
      <c r="C708" s="6">
        <f>IF(A708=A707,C707+1,1)</f>
        <v>1</v>
      </c>
      <c r="D708" t="s">
        <v>401</v>
      </c>
      <c r="E708" s="101">
        <v>2.5000000000000001E-2</v>
      </c>
      <c r="F708" s="6">
        <v>120</v>
      </c>
      <c r="G708" t="s">
        <v>1349</v>
      </c>
      <c r="H708" s="82">
        <v>2.5</v>
      </c>
      <c r="I708">
        <v>20</v>
      </c>
      <c r="J708">
        <v>33</v>
      </c>
      <c r="K708" t="s">
        <v>1665</v>
      </c>
      <c r="L708" s="6" t="s">
        <v>1374</v>
      </c>
      <c r="M708" s="6">
        <v>2</v>
      </c>
      <c r="N708" s="6">
        <v>2</v>
      </c>
      <c r="O708">
        <v>500</v>
      </c>
      <c r="P708">
        <v>202605</v>
      </c>
      <c r="Q708" t="s">
        <v>378</v>
      </c>
      <c r="R708" t="s">
        <v>1350</v>
      </c>
      <c r="S708">
        <f>Consulta1[[#This Row],[min_port]]/100</f>
        <v>1.4999999999999999E-2</v>
      </c>
      <c r="T708" s="252">
        <f>Consulta1[[#This Row],[TETO_COMERCIAL]]/100</f>
        <v>2.5000000000000001E-2</v>
      </c>
      <c r="U708" t="b">
        <f>Consulta1[[#This Row],[TETO_COMERCIAL_%]]=Consulta1[[#This Row],[TAXA]]</f>
        <v>1</v>
      </c>
      <c r="V708" t="str">
        <f>CONCATENATE(Consulta1[[#This Row],[MES_ALTERACAO]],Consulta1[[#This Row],[VIRADA]])</f>
        <v>2026052</v>
      </c>
      <c r="W708">
        <f>VLOOKUP(Consulta1[[#This Row],[Coluna2]],CALENDARIO!$J:$K,2,FALSE)</f>
        <v>0</v>
      </c>
    </row>
    <row r="709" spans="1:23" x14ac:dyDescent="0.25">
      <c r="A709" t="s">
        <v>400</v>
      </c>
      <c r="B709" t="str">
        <f>CONCATENATE(Consulta1[[#This Row],[id]],Consulta1[[#This Row],[EMPREGADOR]])</f>
        <v>2PREF BARUERI</v>
      </c>
      <c r="C709" s="6">
        <f>IF(A709=A708,C708+1,1)</f>
        <v>2</v>
      </c>
      <c r="D709" t="s">
        <v>1116</v>
      </c>
      <c r="E709" s="101">
        <v>2.3900000000000001E-2</v>
      </c>
      <c r="F709" s="6">
        <v>120</v>
      </c>
      <c r="G709" t="s">
        <v>1349</v>
      </c>
      <c r="H709" s="82">
        <v>2.5</v>
      </c>
      <c r="I709">
        <v>20</v>
      </c>
      <c r="J709">
        <v>63</v>
      </c>
      <c r="K709" t="s">
        <v>1666</v>
      </c>
      <c r="L709" s="6" t="s">
        <v>1374</v>
      </c>
      <c r="M709" s="6">
        <v>2</v>
      </c>
      <c r="N709" s="6">
        <v>2</v>
      </c>
      <c r="O709">
        <v>500</v>
      </c>
      <c r="P709">
        <v>202605</v>
      </c>
      <c r="Q709" t="s">
        <v>378</v>
      </c>
      <c r="R709" t="s">
        <v>1350</v>
      </c>
      <c r="S709">
        <f>Consulta1[[#This Row],[min_port]]/100</f>
        <v>1.4999999999999999E-2</v>
      </c>
      <c r="T709" s="252">
        <f>Consulta1[[#This Row],[TETO_COMERCIAL]]/100</f>
        <v>2.5000000000000001E-2</v>
      </c>
      <c r="U709" t="b">
        <f>Consulta1[[#This Row],[TETO_COMERCIAL_%]]=Consulta1[[#This Row],[TAXA]]</f>
        <v>0</v>
      </c>
      <c r="V709" t="str">
        <f>CONCATENATE(Consulta1[[#This Row],[MES_ALTERACAO]],Consulta1[[#This Row],[VIRADA]])</f>
        <v>2026052</v>
      </c>
      <c r="W709">
        <f>VLOOKUP(Consulta1[[#This Row],[Coluna2]],CALENDARIO!$J:$K,2,FALSE)</f>
        <v>0</v>
      </c>
    </row>
    <row r="710" spans="1:23" x14ac:dyDescent="0.25">
      <c r="A710" t="s">
        <v>400</v>
      </c>
      <c r="B710" t="str">
        <f>CONCATENATE(Consulta1[[#This Row],[id]],Consulta1[[#This Row],[EMPREGADOR]])</f>
        <v>3PREF BARUERI</v>
      </c>
      <c r="C710" s="6">
        <f>IF(A710=A709,C709+1,1)</f>
        <v>3</v>
      </c>
      <c r="D710" t="s">
        <v>1117</v>
      </c>
      <c r="E710" s="101">
        <v>2.29E-2</v>
      </c>
      <c r="F710" s="6">
        <v>120</v>
      </c>
      <c r="G710" t="s">
        <v>1349</v>
      </c>
      <c r="H710" s="82">
        <v>2.5</v>
      </c>
      <c r="I710">
        <v>20</v>
      </c>
      <c r="J710">
        <v>63</v>
      </c>
      <c r="K710" t="s">
        <v>1667</v>
      </c>
      <c r="L710" s="6" t="s">
        <v>1374</v>
      </c>
      <c r="M710" s="6">
        <v>2</v>
      </c>
      <c r="N710" s="6">
        <v>2</v>
      </c>
      <c r="O710">
        <v>500</v>
      </c>
      <c r="P710">
        <v>202605</v>
      </c>
      <c r="Q710" t="s">
        <v>378</v>
      </c>
      <c r="R710" t="s">
        <v>1350</v>
      </c>
      <c r="S710">
        <f>Consulta1[[#This Row],[min_port]]/100</f>
        <v>1.4999999999999999E-2</v>
      </c>
      <c r="T710" s="252">
        <f>Consulta1[[#This Row],[TETO_COMERCIAL]]/100</f>
        <v>2.5000000000000001E-2</v>
      </c>
      <c r="U710" t="b">
        <f>Consulta1[[#This Row],[TETO_COMERCIAL_%]]=Consulta1[[#This Row],[TAXA]]</f>
        <v>0</v>
      </c>
      <c r="V710" t="str">
        <f>CONCATENATE(Consulta1[[#This Row],[MES_ALTERACAO]],Consulta1[[#This Row],[VIRADA]])</f>
        <v>2026052</v>
      </c>
      <c r="W710">
        <f>VLOOKUP(Consulta1[[#This Row],[Coluna2]],CALENDARIO!$J:$K,2,FALSE)</f>
        <v>0</v>
      </c>
    </row>
    <row r="711" spans="1:23" x14ac:dyDescent="0.25">
      <c r="A711" t="s">
        <v>400</v>
      </c>
      <c r="B711" t="str">
        <f>CONCATENATE(Consulta1[[#This Row],[id]],Consulta1[[#This Row],[EMPREGADOR]])</f>
        <v>4PREF BARUERI</v>
      </c>
      <c r="C711" s="6">
        <f>IF(A711=A710,C710+1,1)</f>
        <v>4</v>
      </c>
      <c r="D711" t="s">
        <v>1118</v>
      </c>
      <c r="E711" s="101">
        <v>2.1899999999999999E-2</v>
      </c>
      <c r="F711" s="6">
        <v>120</v>
      </c>
      <c r="G711" t="s">
        <v>1349</v>
      </c>
      <c r="H711" s="82">
        <v>2.5</v>
      </c>
      <c r="I711">
        <v>20</v>
      </c>
      <c r="J711">
        <v>63</v>
      </c>
      <c r="K711" t="s">
        <v>1668</v>
      </c>
      <c r="L711" s="6" t="s">
        <v>1374</v>
      </c>
      <c r="M711" s="6">
        <v>2</v>
      </c>
      <c r="N711" s="6">
        <v>2</v>
      </c>
      <c r="O711">
        <v>500</v>
      </c>
      <c r="P711">
        <v>202605</v>
      </c>
      <c r="Q711" t="s">
        <v>378</v>
      </c>
      <c r="R711" t="s">
        <v>1350</v>
      </c>
      <c r="S711">
        <f>Consulta1[[#This Row],[min_port]]/100</f>
        <v>1.4999999999999999E-2</v>
      </c>
      <c r="T711" s="252">
        <f>Consulta1[[#This Row],[TETO_COMERCIAL]]/100</f>
        <v>2.5000000000000001E-2</v>
      </c>
      <c r="U711" t="b">
        <f>Consulta1[[#This Row],[TETO_COMERCIAL_%]]=Consulta1[[#This Row],[TAXA]]</f>
        <v>0</v>
      </c>
      <c r="V711" t="str">
        <f>CONCATENATE(Consulta1[[#This Row],[MES_ALTERACAO]],Consulta1[[#This Row],[VIRADA]])</f>
        <v>2026052</v>
      </c>
      <c r="W711">
        <f>VLOOKUP(Consulta1[[#This Row],[Coluna2]],CALENDARIO!$J:$K,2,FALSE)</f>
        <v>0</v>
      </c>
    </row>
    <row r="712" spans="1:23" x14ac:dyDescent="0.25">
      <c r="A712" t="s">
        <v>400</v>
      </c>
      <c r="B712" t="str">
        <f>CONCATENATE(Consulta1[[#This Row],[id]],Consulta1[[#This Row],[EMPREGADOR]])</f>
        <v>5PREF BARUERI</v>
      </c>
      <c r="C712" s="6">
        <f>IF(A712=A711,C711+1,1)</f>
        <v>5</v>
      </c>
      <c r="D712" t="s">
        <v>1119</v>
      </c>
      <c r="E712" s="101">
        <v>2.1299999999999999E-2</v>
      </c>
      <c r="F712" s="6">
        <v>120</v>
      </c>
      <c r="G712" t="s">
        <v>1349</v>
      </c>
      <c r="H712" s="82">
        <v>2.5</v>
      </c>
      <c r="I712">
        <v>20</v>
      </c>
      <c r="J712">
        <v>63</v>
      </c>
      <c r="K712" t="s">
        <v>1669</v>
      </c>
      <c r="L712" s="6" t="s">
        <v>1374</v>
      </c>
      <c r="M712" s="6">
        <v>2</v>
      </c>
      <c r="N712" s="6">
        <v>2</v>
      </c>
      <c r="O712">
        <v>500</v>
      </c>
      <c r="P712">
        <v>202605</v>
      </c>
      <c r="Q712" t="s">
        <v>378</v>
      </c>
      <c r="R712" t="s">
        <v>1350</v>
      </c>
      <c r="S712">
        <f>Consulta1[[#This Row],[min_port]]/100</f>
        <v>1.4999999999999999E-2</v>
      </c>
      <c r="T712" s="252">
        <f>Consulta1[[#This Row],[TETO_COMERCIAL]]/100</f>
        <v>2.5000000000000001E-2</v>
      </c>
      <c r="U712" t="b">
        <f>Consulta1[[#This Row],[TETO_COMERCIAL_%]]=Consulta1[[#This Row],[TAXA]]</f>
        <v>0</v>
      </c>
      <c r="V712" t="str">
        <f>CONCATENATE(Consulta1[[#This Row],[MES_ALTERACAO]],Consulta1[[#This Row],[VIRADA]])</f>
        <v>2026052</v>
      </c>
      <c r="W712">
        <f>VLOOKUP(Consulta1[[#This Row],[Coluna2]],CALENDARIO!$J:$K,2,FALSE)</f>
        <v>0</v>
      </c>
    </row>
    <row r="713" spans="1:23" x14ac:dyDescent="0.25">
      <c r="A713" t="s">
        <v>803</v>
      </c>
      <c r="B713" t="str">
        <f>CONCATENATE(Consulta1[[#This Row],[id]],Consulta1[[#This Row],[EMPREGADOR]])</f>
        <v>1PREF BAURU</v>
      </c>
      <c r="C713" s="6">
        <f>IF(A713=A712,C712+1,1)</f>
        <v>1</v>
      </c>
      <c r="D713" t="s">
        <v>804</v>
      </c>
      <c r="E713" s="101">
        <v>2.5000000000000001E-2</v>
      </c>
      <c r="F713" s="6">
        <v>120</v>
      </c>
      <c r="G713" t="s">
        <v>1349</v>
      </c>
      <c r="H713" s="82">
        <v>2.5</v>
      </c>
      <c r="I713">
        <v>15</v>
      </c>
      <c r="J713">
        <v>48</v>
      </c>
      <c r="K713" t="s">
        <v>1670</v>
      </c>
      <c r="L713" s="6" t="s">
        <v>1671</v>
      </c>
      <c r="M713" s="6">
        <v>10</v>
      </c>
      <c r="N713" s="6">
        <v>2</v>
      </c>
      <c r="O713">
        <v>500</v>
      </c>
      <c r="P713">
        <v>202605</v>
      </c>
      <c r="Q713" t="s">
        <v>377</v>
      </c>
      <c r="R713" t="s">
        <v>1353</v>
      </c>
      <c r="S713">
        <f>Consulta1[[#This Row],[min_port]]/100</f>
        <v>1.52E-2</v>
      </c>
      <c r="T713" s="252">
        <f>Consulta1[[#This Row],[TETO_COMERCIAL]]/100</f>
        <v>2.5000000000000001E-2</v>
      </c>
      <c r="U713" t="b">
        <f>Consulta1[[#This Row],[TETO_COMERCIAL_%]]=Consulta1[[#This Row],[TAXA]]</f>
        <v>1</v>
      </c>
      <c r="V713" t="str">
        <f>CONCATENATE(Consulta1[[#This Row],[MES_ALTERACAO]],Consulta1[[#This Row],[VIRADA]])</f>
        <v>20260510</v>
      </c>
      <c r="W713">
        <f>VLOOKUP(Consulta1[[#This Row],[Coluna2]],CALENDARIO!$J:$K,2,FALSE)</f>
        <v>5</v>
      </c>
    </row>
    <row r="714" spans="1:23" x14ac:dyDescent="0.25">
      <c r="A714" t="s">
        <v>803</v>
      </c>
      <c r="B714" t="str">
        <f>CONCATENATE(Consulta1[[#This Row],[id]],Consulta1[[#This Row],[EMPREGADOR]])</f>
        <v>2PREF BAURU</v>
      </c>
      <c r="C714" s="6">
        <f>IF(A714=A713,C713+1,1)</f>
        <v>2</v>
      </c>
      <c r="D714" t="s">
        <v>805</v>
      </c>
      <c r="E714" s="101">
        <v>2.29E-2</v>
      </c>
      <c r="F714" s="6">
        <v>120</v>
      </c>
      <c r="G714" t="s">
        <v>1349</v>
      </c>
      <c r="H714" s="82">
        <v>2.5</v>
      </c>
      <c r="I714">
        <v>15</v>
      </c>
      <c r="J714">
        <v>45</v>
      </c>
      <c r="K714" t="s">
        <v>1672</v>
      </c>
      <c r="L714" s="6" t="s">
        <v>1671</v>
      </c>
      <c r="M714" s="6">
        <v>10</v>
      </c>
      <c r="N714" s="6">
        <v>2</v>
      </c>
      <c r="O714">
        <v>500</v>
      </c>
      <c r="P714">
        <v>202605</v>
      </c>
      <c r="Q714" t="s">
        <v>377</v>
      </c>
      <c r="R714" t="s">
        <v>1353</v>
      </c>
      <c r="S714">
        <f>Consulta1[[#This Row],[min_port]]/100</f>
        <v>1.52E-2</v>
      </c>
      <c r="T714" s="252">
        <f>Consulta1[[#This Row],[TETO_COMERCIAL]]/100</f>
        <v>2.5000000000000001E-2</v>
      </c>
      <c r="U714" t="b">
        <f>Consulta1[[#This Row],[TETO_COMERCIAL_%]]=Consulta1[[#This Row],[TAXA]]</f>
        <v>0</v>
      </c>
      <c r="V714" t="str">
        <f>CONCATENATE(Consulta1[[#This Row],[MES_ALTERACAO]],Consulta1[[#This Row],[VIRADA]])</f>
        <v>20260510</v>
      </c>
      <c r="W714">
        <f>VLOOKUP(Consulta1[[#This Row],[Coluna2]],CALENDARIO!$J:$K,2,FALSE)</f>
        <v>5</v>
      </c>
    </row>
    <row r="715" spans="1:23" x14ac:dyDescent="0.25">
      <c r="A715" t="s">
        <v>803</v>
      </c>
      <c r="B715" t="str">
        <f>CONCATENATE(Consulta1[[#This Row],[id]],Consulta1[[#This Row],[EMPREGADOR]])</f>
        <v>3PREF BAURU</v>
      </c>
      <c r="C715" s="6">
        <f>IF(A715=A714,C714+1,1)</f>
        <v>3</v>
      </c>
      <c r="D715" t="s">
        <v>806</v>
      </c>
      <c r="E715" s="101">
        <v>2.1899999999999999E-2</v>
      </c>
      <c r="F715" s="6">
        <v>120</v>
      </c>
      <c r="G715" t="s">
        <v>1349</v>
      </c>
      <c r="H715" s="82">
        <v>2.5</v>
      </c>
      <c r="I715">
        <v>15</v>
      </c>
      <c r="J715">
        <v>59</v>
      </c>
      <c r="K715" t="s">
        <v>1673</v>
      </c>
      <c r="L715" s="6" t="s">
        <v>1671</v>
      </c>
      <c r="M715" s="6">
        <v>10</v>
      </c>
      <c r="N715" s="6">
        <v>2</v>
      </c>
      <c r="O715">
        <v>500</v>
      </c>
      <c r="P715">
        <v>202605</v>
      </c>
      <c r="Q715" t="s">
        <v>377</v>
      </c>
      <c r="R715" t="s">
        <v>1353</v>
      </c>
      <c r="S715">
        <f>Consulta1[[#This Row],[min_port]]/100</f>
        <v>1.52E-2</v>
      </c>
      <c r="T715" s="252">
        <f>Consulta1[[#This Row],[TETO_COMERCIAL]]/100</f>
        <v>2.5000000000000001E-2</v>
      </c>
      <c r="U715" t="b">
        <f>Consulta1[[#This Row],[TETO_COMERCIAL_%]]=Consulta1[[#This Row],[TAXA]]</f>
        <v>0</v>
      </c>
      <c r="V715" t="str">
        <f>CONCATENATE(Consulta1[[#This Row],[MES_ALTERACAO]],Consulta1[[#This Row],[VIRADA]])</f>
        <v>20260510</v>
      </c>
      <c r="W715">
        <f>VLOOKUP(Consulta1[[#This Row],[Coluna2]],CALENDARIO!$J:$K,2,FALSE)</f>
        <v>5</v>
      </c>
    </row>
    <row r="716" spans="1:23" x14ac:dyDescent="0.25">
      <c r="A716" t="s">
        <v>803</v>
      </c>
      <c r="B716" t="str">
        <f>CONCATENATE(Consulta1[[#This Row],[id]],Consulta1[[#This Row],[EMPREGADOR]])</f>
        <v>4PREF BAURU</v>
      </c>
      <c r="C716" s="6">
        <f>IF(A716=A715,C715+1,1)</f>
        <v>4</v>
      </c>
      <c r="D716" t="s">
        <v>807</v>
      </c>
      <c r="E716" s="101">
        <v>2.0899999999999998E-2</v>
      </c>
      <c r="F716" s="6">
        <v>120</v>
      </c>
      <c r="G716" t="s">
        <v>1349</v>
      </c>
      <c r="H716" s="82">
        <v>2.5</v>
      </c>
      <c r="I716">
        <v>15</v>
      </c>
      <c r="K716" t="s">
        <v>1674</v>
      </c>
      <c r="L716" s="6" t="s">
        <v>1671</v>
      </c>
      <c r="M716" s="6">
        <v>10</v>
      </c>
      <c r="N716" s="6">
        <v>2</v>
      </c>
      <c r="O716">
        <v>500</v>
      </c>
      <c r="P716">
        <v>202605</v>
      </c>
      <c r="Q716" t="s">
        <v>377</v>
      </c>
      <c r="R716" t="s">
        <v>1353</v>
      </c>
      <c r="S716">
        <f>Consulta1[[#This Row],[min_port]]/100</f>
        <v>1.52E-2</v>
      </c>
      <c r="T716" s="252">
        <f>Consulta1[[#This Row],[TETO_COMERCIAL]]/100</f>
        <v>2.5000000000000001E-2</v>
      </c>
      <c r="U716" t="b">
        <f>Consulta1[[#This Row],[TETO_COMERCIAL_%]]=Consulta1[[#This Row],[TAXA]]</f>
        <v>0</v>
      </c>
      <c r="V716" t="str">
        <f>CONCATENATE(Consulta1[[#This Row],[MES_ALTERACAO]],Consulta1[[#This Row],[VIRADA]])</f>
        <v>20260510</v>
      </c>
      <c r="W716">
        <f>VLOOKUP(Consulta1[[#This Row],[Coluna2]],CALENDARIO!$J:$K,2,FALSE)</f>
        <v>5</v>
      </c>
    </row>
    <row r="717" spans="1:23" x14ac:dyDescent="0.25">
      <c r="A717" t="s">
        <v>803</v>
      </c>
      <c r="B717" t="str">
        <f>CONCATENATE(Consulta1[[#This Row],[id]],Consulta1[[#This Row],[EMPREGADOR]])</f>
        <v>5PREF BAURU</v>
      </c>
      <c r="C717" s="6">
        <f>IF(A717=A716,C716+1,1)</f>
        <v>5</v>
      </c>
      <c r="D717" t="s">
        <v>808</v>
      </c>
      <c r="E717" s="101">
        <v>1.9699999999999999E-2</v>
      </c>
      <c r="F717" s="6">
        <v>120</v>
      </c>
      <c r="G717" t="s">
        <v>1349</v>
      </c>
      <c r="H717" s="82">
        <v>2.5</v>
      </c>
      <c r="I717">
        <v>15</v>
      </c>
      <c r="J717">
        <v>49</v>
      </c>
      <c r="K717" t="s">
        <v>1675</v>
      </c>
      <c r="L717" s="6" t="s">
        <v>1671</v>
      </c>
      <c r="M717" s="6">
        <v>10</v>
      </c>
      <c r="N717" s="6">
        <v>2</v>
      </c>
      <c r="O717">
        <v>500</v>
      </c>
      <c r="P717">
        <v>202605</v>
      </c>
      <c r="Q717" t="s">
        <v>377</v>
      </c>
      <c r="R717" t="s">
        <v>1353</v>
      </c>
      <c r="S717">
        <f>Consulta1[[#This Row],[min_port]]/100</f>
        <v>1.52E-2</v>
      </c>
      <c r="T717" s="252">
        <f>Consulta1[[#This Row],[TETO_COMERCIAL]]/100</f>
        <v>2.5000000000000001E-2</v>
      </c>
      <c r="U717" t="b">
        <f>Consulta1[[#This Row],[TETO_COMERCIAL_%]]=Consulta1[[#This Row],[TAXA]]</f>
        <v>0</v>
      </c>
      <c r="V717" t="str">
        <f>CONCATENATE(Consulta1[[#This Row],[MES_ALTERACAO]],Consulta1[[#This Row],[VIRADA]])</f>
        <v>20260510</v>
      </c>
      <c r="W717">
        <f>VLOOKUP(Consulta1[[#This Row],[Coluna2]],CALENDARIO!$J:$K,2,FALSE)</f>
        <v>5</v>
      </c>
    </row>
    <row r="718" spans="1:23" x14ac:dyDescent="0.25">
      <c r="A718" t="s">
        <v>3029</v>
      </c>
      <c r="B718" t="str">
        <f>CONCATENATE(Consulta1[[#This Row],[id]],Consulta1[[#This Row],[EMPREGADOR]])</f>
        <v>1PREF BELEM</v>
      </c>
      <c r="C718" s="6">
        <f>IF(A718=A717,C717+1,1)</f>
        <v>1</v>
      </c>
      <c r="D718" t="s">
        <v>461</v>
      </c>
      <c r="E718" s="101">
        <v>2.5000000000000001E-2</v>
      </c>
      <c r="F718" s="6">
        <v>120</v>
      </c>
      <c r="G718" t="s">
        <v>1349</v>
      </c>
      <c r="H718" s="82">
        <v>2.5</v>
      </c>
      <c r="I718">
        <v>12</v>
      </c>
      <c r="J718">
        <v>46</v>
      </c>
      <c r="K718" t="s">
        <v>2797</v>
      </c>
      <c r="L718" s="6" t="s">
        <v>1438</v>
      </c>
      <c r="M718" s="6">
        <v>10</v>
      </c>
      <c r="N718" s="6">
        <v>2</v>
      </c>
      <c r="O718">
        <v>500</v>
      </c>
      <c r="P718">
        <v>202605</v>
      </c>
      <c r="Q718" t="s">
        <v>377</v>
      </c>
      <c r="R718" t="s">
        <v>1353</v>
      </c>
      <c r="S718">
        <f>Consulta1[[#This Row],[min_port]]/100</f>
        <v>1.6500000000000001E-2</v>
      </c>
      <c r="T718" s="252">
        <f>Consulta1[[#This Row],[TETO_COMERCIAL]]/100</f>
        <v>2.5000000000000001E-2</v>
      </c>
      <c r="U718" t="b">
        <f>Consulta1[[#This Row],[TETO_COMERCIAL_%]]=Consulta1[[#This Row],[TAXA]]</f>
        <v>1</v>
      </c>
      <c r="V718" t="str">
        <f>CONCATENATE(Consulta1[[#This Row],[MES_ALTERACAO]],Consulta1[[#This Row],[VIRADA]])</f>
        <v>20260510</v>
      </c>
      <c r="W718">
        <f>VLOOKUP(Consulta1[[#This Row],[Coluna2]],CALENDARIO!$J:$K,2,FALSE)</f>
        <v>5</v>
      </c>
    </row>
    <row r="719" spans="1:23" x14ac:dyDescent="0.25">
      <c r="A719" t="s">
        <v>3029</v>
      </c>
      <c r="B719" t="str">
        <f>CONCATENATE(Consulta1[[#This Row],[id]],Consulta1[[#This Row],[EMPREGADOR]])</f>
        <v>2PREF BELEM</v>
      </c>
      <c r="C719" s="6">
        <f>IF(A719=A718,C718+1,1)</f>
        <v>2</v>
      </c>
      <c r="D719" t="s">
        <v>462</v>
      </c>
      <c r="E719" s="101">
        <v>2.4E-2</v>
      </c>
      <c r="F719" s="6">
        <v>120</v>
      </c>
      <c r="G719" t="s">
        <v>1349</v>
      </c>
      <c r="H719" s="82">
        <v>2.5</v>
      </c>
      <c r="I719">
        <v>12</v>
      </c>
      <c r="J719">
        <v>47</v>
      </c>
      <c r="K719" t="s">
        <v>2798</v>
      </c>
      <c r="L719" s="6" t="s">
        <v>1438</v>
      </c>
      <c r="M719" s="6">
        <v>10</v>
      </c>
      <c r="N719" s="6">
        <v>2</v>
      </c>
      <c r="O719">
        <v>500</v>
      </c>
      <c r="P719">
        <v>202605</v>
      </c>
      <c r="Q719" t="s">
        <v>377</v>
      </c>
      <c r="R719" t="s">
        <v>1353</v>
      </c>
      <c r="S719">
        <f>Consulta1[[#This Row],[min_port]]/100</f>
        <v>1.6500000000000001E-2</v>
      </c>
      <c r="T719" s="252">
        <f>Consulta1[[#This Row],[TETO_COMERCIAL]]/100</f>
        <v>2.5000000000000001E-2</v>
      </c>
      <c r="U719" t="b">
        <f>Consulta1[[#This Row],[TETO_COMERCIAL_%]]=Consulta1[[#This Row],[TAXA]]</f>
        <v>0</v>
      </c>
      <c r="V719" t="str">
        <f>CONCATENATE(Consulta1[[#This Row],[MES_ALTERACAO]],Consulta1[[#This Row],[VIRADA]])</f>
        <v>20260510</v>
      </c>
      <c r="W719">
        <f>VLOOKUP(Consulta1[[#This Row],[Coluna2]],CALENDARIO!$J:$K,2,FALSE)</f>
        <v>5</v>
      </c>
    </row>
    <row r="720" spans="1:23" x14ac:dyDescent="0.25">
      <c r="A720" t="s">
        <v>3029</v>
      </c>
      <c r="B720" t="str">
        <f>CONCATENATE(Consulta1[[#This Row],[id]],Consulta1[[#This Row],[EMPREGADOR]])</f>
        <v>3PREF BELEM</v>
      </c>
      <c r="C720" s="6">
        <f>IF(A720=A719,C719+1,1)</f>
        <v>3</v>
      </c>
      <c r="D720" t="s">
        <v>463</v>
      </c>
      <c r="E720" s="101">
        <v>2.3E-2</v>
      </c>
      <c r="F720" s="6">
        <v>120</v>
      </c>
      <c r="G720" t="s">
        <v>1349</v>
      </c>
      <c r="H720" s="82">
        <v>2.5</v>
      </c>
      <c r="I720">
        <v>12</v>
      </c>
      <c r="J720">
        <v>49</v>
      </c>
      <c r="K720" t="s">
        <v>2799</v>
      </c>
      <c r="L720" s="6" t="s">
        <v>1438</v>
      </c>
      <c r="M720" s="6">
        <v>10</v>
      </c>
      <c r="N720" s="6">
        <v>2</v>
      </c>
      <c r="O720">
        <v>500</v>
      </c>
      <c r="P720">
        <v>202605</v>
      </c>
      <c r="Q720" t="s">
        <v>377</v>
      </c>
      <c r="R720" t="s">
        <v>1353</v>
      </c>
      <c r="S720">
        <f>Consulta1[[#This Row],[min_port]]/100</f>
        <v>1.6500000000000001E-2</v>
      </c>
      <c r="T720" s="252">
        <f>Consulta1[[#This Row],[TETO_COMERCIAL]]/100</f>
        <v>2.5000000000000001E-2</v>
      </c>
      <c r="U720" t="b">
        <f>Consulta1[[#This Row],[TETO_COMERCIAL_%]]=Consulta1[[#This Row],[TAXA]]</f>
        <v>0</v>
      </c>
      <c r="V720" t="str">
        <f>CONCATENATE(Consulta1[[#This Row],[MES_ALTERACAO]],Consulta1[[#This Row],[VIRADA]])</f>
        <v>20260510</v>
      </c>
      <c r="W720">
        <f>VLOOKUP(Consulta1[[#This Row],[Coluna2]],CALENDARIO!$J:$K,2,FALSE)</f>
        <v>5</v>
      </c>
    </row>
    <row r="721" spans="1:23" x14ac:dyDescent="0.25">
      <c r="A721" t="s">
        <v>3029</v>
      </c>
      <c r="B721" t="str">
        <f>CONCATENATE(Consulta1[[#This Row],[id]],Consulta1[[#This Row],[EMPREGADOR]])</f>
        <v>4PREF BELEM</v>
      </c>
      <c r="C721" s="6">
        <f>IF(A721=A720,C720+1,1)</f>
        <v>4</v>
      </c>
      <c r="D721" t="s">
        <v>1120</v>
      </c>
      <c r="E721" s="101">
        <v>2.2000000000000002E-2</v>
      </c>
      <c r="F721" s="6">
        <v>120</v>
      </c>
      <c r="G721" t="s">
        <v>1349</v>
      </c>
      <c r="H721" s="82">
        <v>2.5</v>
      </c>
      <c r="I721">
        <v>12</v>
      </c>
      <c r="J721">
        <v>49</v>
      </c>
      <c r="K721" t="s">
        <v>2800</v>
      </c>
      <c r="L721" s="6" t="s">
        <v>1438</v>
      </c>
      <c r="M721" s="6">
        <v>10</v>
      </c>
      <c r="N721" s="6">
        <v>2</v>
      </c>
      <c r="O721">
        <v>500</v>
      </c>
      <c r="P721">
        <v>202605</v>
      </c>
      <c r="Q721" t="s">
        <v>377</v>
      </c>
      <c r="R721" t="s">
        <v>1353</v>
      </c>
      <c r="S721">
        <f>Consulta1[[#This Row],[min_port]]/100</f>
        <v>1.6500000000000001E-2</v>
      </c>
      <c r="T721" s="252">
        <f>Consulta1[[#This Row],[TETO_COMERCIAL]]/100</f>
        <v>2.5000000000000001E-2</v>
      </c>
      <c r="U721" t="b">
        <f>Consulta1[[#This Row],[TETO_COMERCIAL_%]]=Consulta1[[#This Row],[TAXA]]</f>
        <v>0</v>
      </c>
      <c r="V721" t="str">
        <f>CONCATENATE(Consulta1[[#This Row],[MES_ALTERACAO]],Consulta1[[#This Row],[VIRADA]])</f>
        <v>20260510</v>
      </c>
      <c r="W721">
        <f>VLOOKUP(Consulta1[[#This Row],[Coluna2]],CALENDARIO!$J:$K,2,FALSE)</f>
        <v>5</v>
      </c>
    </row>
    <row r="722" spans="1:23" x14ac:dyDescent="0.25">
      <c r="A722" t="s">
        <v>3029</v>
      </c>
      <c r="B722" t="str">
        <f>CONCATENATE(Consulta1[[#This Row],[id]],Consulta1[[#This Row],[EMPREGADOR]])</f>
        <v>5PREF BELEM</v>
      </c>
      <c r="C722" s="6">
        <f>IF(A722=A721,C721+1,1)</f>
        <v>5</v>
      </c>
      <c r="D722" t="s">
        <v>2801</v>
      </c>
      <c r="E722" s="101">
        <v>0.02</v>
      </c>
      <c r="F722" s="6">
        <v>120</v>
      </c>
      <c r="G722" t="s">
        <v>1349</v>
      </c>
      <c r="H722" s="82">
        <v>2.5</v>
      </c>
      <c r="I722">
        <v>12</v>
      </c>
      <c r="J722">
        <v>47</v>
      </c>
      <c r="K722" t="s">
        <v>2802</v>
      </c>
      <c r="L722" s="6" t="s">
        <v>1438</v>
      </c>
      <c r="M722" s="6">
        <v>10</v>
      </c>
      <c r="N722" s="6">
        <v>2</v>
      </c>
      <c r="O722">
        <v>500</v>
      </c>
      <c r="P722">
        <v>202605</v>
      </c>
      <c r="Q722" t="s">
        <v>377</v>
      </c>
      <c r="R722" t="s">
        <v>1353</v>
      </c>
      <c r="S722">
        <f>Consulta1[[#This Row],[min_port]]/100</f>
        <v>1.6500000000000001E-2</v>
      </c>
      <c r="T722" s="252">
        <f>Consulta1[[#This Row],[TETO_COMERCIAL]]/100</f>
        <v>2.5000000000000001E-2</v>
      </c>
      <c r="U722" t="b">
        <f>Consulta1[[#This Row],[TETO_COMERCIAL_%]]=Consulta1[[#This Row],[TAXA]]</f>
        <v>0</v>
      </c>
      <c r="V722" t="str">
        <f>CONCATENATE(Consulta1[[#This Row],[MES_ALTERACAO]],Consulta1[[#This Row],[VIRADA]])</f>
        <v>20260510</v>
      </c>
      <c r="W722">
        <f>VLOOKUP(Consulta1[[#This Row],[Coluna2]],CALENDARIO!$J:$K,2,FALSE)</f>
        <v>5</v>
      </c>
    </row>
    <row r="723" spans="1:23" x14ac:dyDescent="0.25">
      <c r="A723" t="s">
        <v>3029</v>
      </c>
      <c r="B723" t="str">
        <f>CONCATENATE(Consulta1[[#This Row],[id]],Consulta1[[#This Row],[EMPREGADOR]])</f>
        <v>6PREF BELEM</v>
      </c>
      <c r="C723" s="6">
        <f>IF(A723=A722,C722+1,1)</f>
        <v>6</v>
      </c>
      <c r="D723" t="s">
        <v>2803</v>
      </c>
      <c r="E723" s="101">
        <v>1.95E-2</v>
      </c>
      <c r="F723" s="6">
        <v>120</v>
      </c>
      <c r="G723" t="s">
        <v>1349</v>
      </c>
      <c r="H723" s="82">
        <v>2.5</v>
      </c>
      <c r="I723">
        <v>12</v>
      </c>
      <c r="J723">
        <v>47</v>
      </c>
      <c r="K723" t="s">
        <v>2804</v>
      </c>
      <c r="L723" s="6" t="s">
        <v>1438</v>
      </c>
      <c r="M723" s="6">
        <v>10</v>
      </c>
      <c r="N723" s="6">
        <v>2</v>
      </c>
      <c r="O723">
        <v>500</v>
      </c>
      <c r="P723">
        <v>202605</v>
      </c>
      <c r="Q723" t="s">
        <v>377</v>
      </c>
      <c r="R723" t="s">
        <v>1353</v>
      </c>
      <c r="S723">
        <f>Consulta1[[#This Row],[min_port]]/100</f>
        <v>1.6500000000000001E-2</v>
      </c>
      <c r="T723" s="252">
        <f>Consulta1[[#This Row],[TETO_COMERCIAL]]/100</f>
        <v>2.5000000000000001E-2</v>
      </c>
      <c r="U723" t="b">
        <f>Consulta1[[#This Row],[TETO_COMERCIAL_%]]=Consulta1[[#This Row],[TAXA]]</f>
        <v>0</v>
      </c>
      <c r="V723" t="str">
        <f>CONCATENATE(Consulta1[[#This Row],[MES_ALTERACAO]],Consulta1[[#This Row],[VIRADA]])</f>
        <v>20260510</v>
      </c>
      <c r="W723">
        <f>VLOOKUP(Consulta1[[#This Row],[Coluna2]],CALENDARIO!$J:$K,2,FALSE)</f>
        <v>5</v>
      </c>
    </row>
    <row r="724" spans="1:23" x14ac:dyDescent="0.25">
      <c r="A724" t="s">
        <v>3029</v>
      </c>
      <c r="B724" t="str">
        <f>CONCATENATE(Consulta1[[#This Row],[id]],Consulta1[[#This Row],[EMPREGADOR]])</f>
        <v>7PREF BELEM</v>
      </c>
      <c r="C724" s="6">
        <f>IF(A724=A723,C723+1,1)</f>
        <v>7</v>
      </c>
      <c r="D724" t="s">
        <v>2805</v>
      </c>
      <c r="E724" s="101">
        <v>1.9E-2</v>
      </c>
      <c r="F724" s="6">
        <v>120</v>
      </c>
      <c r="G724" t="s">
        <v>1349</v>
      </c>
      <c r="H724" s="82">
        <v>2.5</v>
      </c>
      <c r="I724">
        <v>12</v>
      </c>
      <c r="J724">
        <v>49</v>
      </c>
      <c r="K724" t="s">
        <v>2806</v>
      </c>
      <c r="L724" s="6" t="s">
        <v>1438</v>
      </c>
      <c r="M724" s="6">
        <v>10</v>
      </c>
      <c r="N724" s="6">
        <v>2</v>
      </c>
      <c r="O724">
        <v>35000</v>
      </c>
      <c r="P724">
        <v>202605</v>
      </c>
      <c r="Q724" t="s">
        <v>377</v>
      </c>
      <c r="R724" t="s">
        <v>1353</v>
      </c>
      <c r="S724">
        <f>Consulta1[[#This Row],[min_port]]/100</f>
        <v>1.6500000000000001E-2</v>
      </c>
      <c r="T724" s="252">
        <f>Consulta1[[#This Row],[TETO_COMERCIAL]]/100</f>
        <v>2.5000000000000001E-2</v>
      </c>
      <c r="U724" t="b">
        <f>Consulta1[[#This Row],[TETO_COMERCIAL_%]]=Consulta1[[#This Row],[TAXA]]</f>
        <v>0</v>
      </c>
      <c r="V724" t="str">
        <f>CONCATENATE(Consulta1[[#This Row],[MES_ALTERACAO]],Consulta1[[#This Row],[VIRADA]])</f>
        <v>20260510</v>
      </c>
      <c r="W724">
        <f>VLOOKUP(Consulta1[[#This Row],[Coluna2]],CALENDARIO!$J:$K,2,FALSE)</f>
        <v>5</v>
      </c>
    </row>
    <row r="725" spans="1:23" x14ac:dyDescent="0.25">
      <c r="A725" t="s">
        <v>3029</v>
      </c>
      <c r="B725" t="str">
        <f>CONCATENATE(Consulta1[[#This Row],[id]],Consulta1[[#This Row],[EMPREGADOR]])</f>
        <v>8PREF BELEM</v>
      </c>
      <c r="C725" s="6">
        <f>IF(A725=A724,C724+1,1)</f>
        <v>8</v>
      </c>
      <c r="D725" t="s">
        <v>2807</v>
      </c>
      <c r="E725" s="101">
        <v>1.8500000000000003E-2</v>
      </c>
      <c r="F725" s="6">
        <v>120</v>
      </c>
      <c r="G725" t="s">
        <v>1349</v>
      </c>
      <c r="H725" s="82">
        <v>2.5</v>
      </c>
      <c r="I725">
        <v>12</v>
      </c>
      <c r="J725">
        <v>45</v>
      </c>
      <c r="K725" t="s">
        <v>2808</v>
      </c>
      <c r="L725" s="6" t="s">
        <v>1438</v>
      </c>
      <c r="M725" s="6">
        <v>10</v>
      </c>
      <c r="N725" s="6">
        <v>2</v>
      </c>
      <c r="O725">
        <v>50000</v>
      </c>
      <c r="P725">
        <v>202605</v>
      </c>
      <c r="Q725" t="s">
        <v>377</v>
      </c>
      <c r="R725" t="s">
        <v>1353</v>
      </c>
      <c r="S725">
        <f>Consulta1[[#This Row],[min_port]]/100</f>
        <v>1.6500000000000001E-2</v>
      </c>
      <c r="T725" s="252">
        <f>Consulta1[[#This Row],[TETO_COMERCIAL]]/100</f>
        <v>2.5000000000000001E-2</v>
      </c>
      <c r="U725" t="b">
        <f>Consulta1[[#This Row],[TETO_COMERCIAL_%]]=Consulta1[[#This Row],[TAXA]]</f>
        <v>0</v>
      </c>
      <c r="V725" t="str">
        <f>CONCATENATE(Consulta1[[#This Row],[MES_ALTERACAO]],Consulta1[[#This Row],[VIRADA]])</f>
        <v>20260510</v>
      </c>
      <c r="W725">
        <f>VLOOKUP(Consulta1[[#This Row],[Coluna2]],CALENDARIO!$J:$K,2,FALSE)</f>
        <v>5</v>
      </c>
    </row>
    <row r="726" spans="1:23" x14ac:dyDescent="0.25">
      <c r="A726" t="s">
        <v>3030</v>
      </c>
      <c r="B726" t="str">
        <f>CONCATENATE(Consulta1[[#This Row],[id]],Consulta1[[#This Row],[EMPREGADOR]])</f>
        <v>1PREF BERTIOGA</v>
      </c>
      <c r="C726" s="6">
        <f>IF(A726=A725,C725+1,1)</f>
        <v>1</v>
      </c>
      <c r="D726" t="s">
        <v>841</v>
      </c>
      <c r="E726" s="101">
        <v>2.5000000000000001E-2</v>
      </c>
      <c r="F726" s="6">
        <v>120</v>
      </c>
      <c r="G726" t="s">
        <v>1349</v>
      </c>
      <c r="H726" s="82">
        <v>2.5</v>
      </c>
      <c r="I726">
        <v>15</v>
      </c>
      <c r="J726">
        <v>48</v>
      </c>
      <c r="K726" t="s">
        <v>1598</v>
      </c>
      <c r="L726" s="6" t="s">
        <v>1399</v>
      </c>
      <c r="M726" s="6">
        <v>10</v>
      </c>
      <c r="N726" s="6">
        <v>2</v>
      </c>
      <c r="O726">
        <v>500</v>
      </c>
      <c r="P726">
        <v>202605</v>
      </c>
      <c r="Q726" t="s">
        <v>377</v>
      </c>
      <c r="R726" t="s">
        <v>1353</v>
      </c>
      <c r="S726">
        <f>Consulta1[[#This Row],[min_port]]/100</f>
        <v>1.3899999999999999E-2</v>
      </c>
      <c r="T726" s="252">
        <f>Consulta1[[#This Row],[TETO_COMERCIAL]]/100</f>
        <v>2.5000000000000001E-2</v>
      </c>
      <c r="U726" t="b">
        <f>Consulta1[[#This Row],[TETO_COMERCIAL_%]]=Consulta1[[#This Row],[TAXA]]</f>
        <v>1</v>
      </c>
      <c r="V726" t="str">
        <f>CONCATENATE(Consulta1[[#This Row],[MES_ALTERACAO]],Consulta1[[#This Row],[VIRADA]])</f>
        <v>20260510</v>
      </c>
      <c r="W726">
        <f>VLOOKUP(Consulta1[[#This Row],[Coluna2]],CALENDARIO!$J:$K,2,FALSE)</f>
        <v>5</v>
      </c>
    </row>
    <row r="727" spans="1:23" x14ac:dyDescent="0.25">
      <c r="A727" t="s">
        <v>3030</v>
      </c>
      <c r="B727" t="str">
        <f>CONCATENATE(Consulta1[[#This Row],[id]],Consulta1[[#This Row],[EMPREGADOR]])</f>
        <v>2PREF BERTIOGA</v>
      </c>
      <c r="C727" s="6">
        <f>IF(A727=A726,C726+1,1)</f>
        <v>2</v>
      </c>
      <c r="D727" t="s">
        <v>842</v>
      </c>
      <c r="E727" s="101">
        <v>2.3900000000000001E-2</v>
      </c>
      <c r="F727" s="6">
        <v>120</v>
      </c>
      <c r="G727" t="s">
        <v>1349</v>
      </c>
      <c r="H727" s="82">
        <v>2.5</v>
      </c>
      <c r="I727">
        <v>15</v>
      </c>
      <c r="K727" t="s">
        <v>1599</v>
      </c>
      <c r="L727" s="6" t="s">
        <v>1399</v>
      </c>
      <c r="M727" s="6">
        <v>10</v>
      </c>
      <c r="N727" s="6">
        <v>2</v>
      </c>
      <c r="O727">
        <v>500</v>
      </c>
      <c r="P727">
        <v>202605</v>
      </c>
      <c r="Q727" t="s">
        <v>377</v>
      </c>
      <c r="R727" t="s">
        <v>1353</v>
      </c>
      <c r="S727">
        <f>Consulta1[[#This Row],[min_port]]/100</f>
        <v>1.3899999999999999E-2</v>
      </c>
      <c r="T727" s="252">
        <f>Consulta1[[#This Row],[TETO_COMERCIAL]]/100</f>
        <v>2.5000000000000001E-2</v>
      </c>
      <c r="U727" t="b">
        <f>Consulta1[[#This Row],[TETO_COMERCIAL_%]]=Consulta1[[#This Row],[TAXA]]</f>
        <v>0</v>
      </c>
      <c r="V727" t="str">
        <f>CONCATENATE(Consulta1[[#This Row],[MES_ALTERACAO]],Consulta1[[#This Row],[VIRADA]])</f>
        <v>20260510</v>
      </c>
      <c r="W727">
        <f>VLOOKUP(Consulta1[[#This Row],[Coluna2]],CALENDARIO!$J:$K,2,FALSE)</f>
        <v>5</v>
      </c>
    </row>
    <row r="728" spans="1:23" x14ac:dyDescent="0.25">
      <c r="A728" t="s">
        <v>3030</v>
      </c>
      <c r="B728" t="str">
        <f>CONCATENATE(Consulta1[[#This Row],[id]],Consulta1[[#This Row],[EMPREGADOR]])</f>
        <v>3PREF BERTIOGA</v>
      </c>
      <c r="C728" s="6">
        <f>IF(A728=A727,C727+1,1)</f>
        <v>3</v>
      </c>
      <c r="D728" t="s">
        <v>843</v>
      </c>
      <c r="E728" s="101">
        <v>2.29E-2</v>
      </c>
      <c r="F728" s="6">
        <v>120</v>
      </c>
      <c r="G728" t="s">
        <v>1349</v>
      </c>
      <c r="H728" s="82">
        <v>2.5</v>
      </c>
      <c r="I728">
        <v>15</v>
      </c>
      <c r="K728" t="s">
        <v>1600</v>
      </c>
      <c r="L728" s="6" t="s">
        <v>1399</v>
      </c>
      <c r="M728" s="6">
        <v>10</v>
      </c>
      <c r="N728" s="6">
        <v>2</v>
      </c>
      <c r="O728">
        <v>500</v>
      </c>
      <c r="P728">
        <v>202605</v>
      </c>
      <c r="Q728" t="s">
        <v>377</v>
      </c>
      <c r="R728" t="s">
        <v>1353</v>
      </c>
      <c r="S728">
        <f>Consulta1[[#This Row],[min_port]]/100</f>
        <v>1.3899999999999999E-2</v>
      </c>
      <c r="T728" s="252">
        <f>Consulta1[[#This Row],[TETO_COMERCIAL]]/100</f>
        <v>2.5000000000000001E-2</v>
      </c>
      <c r="U728" t="b">
        <f>Consulta1[[#This Row],[TETO_COMERCIAL_%]]=Consulta1[[#This Row],[TAXA]]</f>
        <v>0</v>
      </c>
      <c r="V728" t="str">
        <f>CONCATENATE(Consulta1[[#This Row],[MES_ALTERACAO]],Consulta1[[#This Row],[VIRADA]])</f>
        <v>20260510</v>
      </c>
      <c r="W728">
        <f>VLOOKUP(Consulta1[[#This Row],[Coluna2]],CALENDARIO!$J:$K,2,FALSE)</f>
        <v>5</v>
      </c>
    </row>
    <row r="729" spans="1:23" x14ac:dyDescent="0.25">
      <c r="A729" t="s">
        <v>3030</v>
      </c>
      <c r="B729" t="str">
        <f>CONCATENATE(Consulta1[[#This Row],[id]],Consulta1[[#This Row],[EMPREGADOR]])</f>
        <v>4PREF BERTIOGA</v>
      </c>
      <c r="C729" s="6">
        <f>IF(A729=A728,C728+1,1)</f>
        <v>4</v>
      </c>
      <c r="D729" t="s">
        <v>844</v>
      </c>
      <c r="E729" s="101">
        <v>2.1899999999999999E-2</v>
      </c>
      <c r="F729" s="6">
        <v>120</v>
      </c>
      <c r="G729" t="s">
        <v>1349</v>
      </c>
      <c r="H729" s="82">
        <v>2.5</v>
      </c>
      <c r="I729">
        <v>15</v>
      </c>
      <c r="K729" t="s">
        <v>1601</v>
      </c>
      <c r="L729" s="6" t="s">
        <v>1399</v>
      </c>
      <c r="M729" s="6">
        <v>10</v>
      </c>
      <c r="N729" s="6">
        <v>2</v>
      </c>
      <c r="O729">
        <v>500</v>
      </c>
      <c r="P729">
        <v>202605</v>
      </c>
      <c r="Q729" t="s">
        <v>377</v>
      </c>
      <c r="R729" t="s">
        <v>1353</v>
      </c>
      <c r="S729">
        <f>Consulta1[[#This Row],[min_port]]/100</f>
        <v>1.3899999999999999E-2</v>
      </c>
      <c r="T729" s="252">
        <f>Consulta1[[#This Row],[TETO_COMERCIAL]]/100</f>
        <v>2.5000000000000001E-2</v>
      </c>
      <c r="U729" t="b">
        <f>Consulta1[[#This Row],[TETO_COMERCIAL_%]]=Consulta1[[#This Row],[TAXA]]</f>
        <v>0</v>
      </c>
      <c r="V729" t="str">
        <f>CONCATENATE(Consulta1[[#This Row],[MES_ALTERACAO]],Consulta1[[#This Row],[VIRADA]])</f>
        <v>20260510</v>
      </c>
      <c r="W729">
        <f>VLOOKUP(Consulta1[[#This Row],[Coluna2]],CALENDARIO!$J:$K,2,FALSE)</f>
        <v>5</v>
      </c>
    </row>
    <row r="730" spans="1:23" x14ac:dyDescent="0.25">
      <c r="A730" t="s">
        <v>3030</v>
      </c>
      <c r="B730" t="str">
        <f>CONCATENATE(Consulta1[[#This Row],[id]],Consulta1[[#This Row],[EMPREGADOR]])</f>
        <v>5PREF BERTIOGA</v>
      </c>
      <c r="C730" s="6">
        <f>IF(A730=A729,C729+1,1)</f>
        <v>5</v>
      </c>
      <c r="D730" t="s">
        <v>845</v>
      </c>
      <c r="E730" s="101">
        <v>2.0899999999999998E-2</v>
      </c>
      <c r="F730" s="6">
        <v>120</v>
      </c>
      <c r="G730" t="s">
        <v>1349</v>
      </c>
      <c r="H730" s="82">
        <v>2.5</v>
      </c>
      <c r="I730">
        <v>15</v>
      </c>
      <c r="K730" t="s">
        <v>1602</v>
      </c>
      <c r="L730" s="6" t="s">
        <v>1399</v>
      </c>
      <c r="M730" s="6">
        <v>10</v>
      </c>
      <c r="N730" s="6">
        <v>2</v>
      </c>
      <c r="O730">
        <v>500</v>
      </c>
      <c r="P730">
        <v>202605</v>
      </c>
      <c r="Q730" t="s">
        <v>377</v>
      </c>
      <c r="R730" t="s">
        <v>1353</v>
      </c>
      <c r="S730">
        <f>Consulta1[[#This Row],[min_port]]/100</f>
        <v>1.3899999999999999E-2</v>
      </c>
      <c r="T730" s="252">
        <f>Consulta1[[#This Row],[TETO_COMERCIAL]]/100</f>
        <v>2.5000000000000001E-2</v>
      </c>
      <c r="U730" t="b">
        <f>Consulta1[[#This Row],[TETO_COMERCIAL_%]]=Consulta1[[#This Row],[TAXA]]</f>
        <v>0</v>
      </c>
      <c r="V730" t="str">
        <f>CONCATENATE(Consulta1[[#This Row],[MES_ALTERACAO]],Consulta1[[#This Row],[VIRADA]])</f>
        <v>20260510</v>
      </c>
      <c r="W730">
        <f>VLOOKUP(Consulta1[[#This Row],[Coluna2]],CALENDARIO!$J:$K,2,FALSE)</f>
        <v>5</v>
      </c>
    </row>
    <row r="731" spans="1:23" x14ac:dyDescent="0.25">
      <c r="A731" t="s">
        <v>3030</v>
      </c>
      <c r="B731" t="str">
        <f>CONCATENATE(Consulta1[[#This Row],[id]],Consulta1[[#This Row],[EMPREGADOR]])</f>
        <v>6PREF BERTIOGA</v>
      </c>
      <c r="C731" s="6">
        <f>IF(A731=A730,C730+1,1)</f>
        <v>6</v>
      </c>
      <c r="D731" t="s">
        <v>350</v>
      </c>
      <c r="E731" s="101">
        <v>1.9900000000000001E-2</v>
      </c>
      <c r="F731" s="6">
        <v>120</v>
      </c>
      <c r="G731" t="s">
        <v>1349</v>
      </c>
      <c r="H731" s="82">
        <v>2.5</v>
      </c>
      <c r="I731">
        <v>15</v>
      </c>
      <c r="J731">
        <v>39</v>
      </c>
      <c r="K731" t="s">
        <v>1603</v>
      </c>
      <c r="L731" s="6" t="s">
        <v>1399</v>
      </c>
      <c r="M731" s="6">
        <v>10</v>
      </c>
      <c r="N731" s="6">
        <v>2</v>
      </c>
      <c r="O731">
        <v>500</v>
      </c>
      <c r="P731">
        <v>202605</v>
      </c>
      <c r="Q731" t="s">
        <v>377</v>
      </c>
      <c r="R731" t="s">
        <v>1353</v>
      </c>
      <c r="S731">
        <f>Consulta1[[#This Row],[min_port]]/100</f>
        <v>1.3899999999999999E-2</v>
      </c>
      <c r="T731" s="252">
        <f>Consulta1[[#This Row],[TETO_COMERCIAL]]/100</f>
        <v>2.5000000000000001E-2</v>
      </c>
      <c r="U731" t="b">
        <f>Consulta1[[#This Row],[TETO_COMERCIAL_%]]=Consulta1[[#This Row],[TAXA]]</f>
        <v>0</v>
      </c>
      <c r="V731" t="str">
        <f>CONCATENATE(Consulta1[[#This Row],[MES_ALTERACAO]],Consulta1[[#This Row],[VIRADA]])</f>
        <v>20260510</v>
      </c>
      <c r="W731">
        <f>VLOOKUP(Consulta1[[#This Row],[Coluna2]],CALENDARIO!$J:$K,2,FALSE)</f>
        <v>5</v>
      </c>
    </row>
    <row r="732" spans="1:23" x14ac:dyDescent="0.25">
      <c r="A732" t="s">
        <v>368</v>
      </c>
      <c r="B732" t="str">
        <f>CONCATENATE(Consulta1[[#This Row],[id]],Consulta1[[#This Row],[EMPREGADOR]])</f>
        <v>1PREF BETIM</v>
      </c>
      <c r="C732" s="6">
        <f>IF(A732=A731,C731+1,1)</f>
        <v>1</v>
      </c>
      <c r="D732" t="s">
        <v>3031</v>
      </c>
      <c r="E732" s="101">
        <v>2.1000000000000001E-2</v>
      </c>
      <c r="F732" s="6">
        <v>120</v>
      </c>
      <c r="G732" t="s">
        <v>1349</v>
      </c>
      <c r="H732" s="82">
        <v>2.25</v>
      </c>
      <c r="I732">
        <v>25</v>
      </c>
      <c r="J732">
        <v>47</v>
      </c>
      <c r="K732" t="s">
        <v>3032</v>
      </c>
      <c r="L732" s="6" t="s">
        <v>1374</v>
      </c>
      <c r="M732" s="6">
        <v>18</v>
      </c>
      <c r="N732" s="6">
        <v>2</v>
      </c>
      <c r="O732">
        <v>500</v>
      </c>
      <c r="P732">
        <v>202605</v>
      </c>
      <c r="Q732" t="s">
        <v>377</v>
      </c>
      <c r="R732" t="s">
        <v>1353</v>
      </c>
      <c r="S732">
        <f>Consulta1[[#This Row],[min_port]]/100</f>
        <v>1.4999999999999999E-2</v>
      </c>
      <c r="T732" s="252">
        <f>Consulta1[[#This Row],[TETO_COMERCIAL]]/100</f>
        <v>2.2499999999999999E-2</v>
      </c>
      <c r="U732" t="b">
        <f>Consulta1[[#This Row],[TETO_COMERCIAL_%]]=Consulta1[[#This Row],[TAXA]]</f>
        <v>0</v>
      </c>
      <c r="V732" t="str">
        <f>CONCATENATE(Consulta1[[#This Row],[MES_ALTERACAO]],Consulta1[[#This Row],[VIRADA]])</f>
        <v>20260518</v>
      </c>
      <c r="W732">
        <f>VLOOKUP(Consulta1[[#This Row],[Coluna2]],CALENDARIO!$J:$K,2,FALSE)</f>
        <v>11</v>
      </c>
    </row>
    <row r="733" spans="1:23" x14ac:dyDescent="0.25">
      <c r="A733" t="s">
        <v>368</v>
      </c>
      <c r="B733" t="str">
        <f>CONCATENATE(Consulta1[[#This Row],[id]],Consulta1[[#This Row],[EMPREGADOR]])</f>
        <v>2PREF BETIM</v>
      </c>
      <c r="C733" s="6">
        <f>IF(A733=A732,C732+1,1)</f>
        <v>2</v>
      </c>
      <c r="D733" t="s">
        <v>107</v>
      </c>
      <c r="E733" s="101">
        <v>1.9699999999999999E-2</v>
      </c>
      <c r="F733" s="6">
        <v>120</v>
      </c>
      <c r="G733" t="s">
        <v>1349</v>
      </c>
      <c r="H733" s="82">
        <v>2.25</v>
      </c>
      <c r="I733">
        <v>25</v>
      </c>
      <c r="J733">
        <v>51</v>
      </c>
      <c r="K733" t="s">
        <v>1676</v>
      </c>
      <c r="L733" s="6" t="s">
        <v>1374</v>
      </c>
      <c r="M733" s="6">
        <v>18</v>
      </c>
      <c r="N733" s="6">
        <v>2</v>
      </c>
      <c r="O733">
        <v>500</v>
      </c>
      <c r="P733">
        <v>202605</v>
      </c>
      <c r="Q733" t="s">
        <v>377</v>
      </c>
      <c r="R733" t="s">
        <v>1353</v>
      </c>
      <c r="S733">
        <f>Consulta1[[#This Row],[min_port]]/100</f>
        <v>1.4999999999999999E-2</v>
      </c>
      <c r="T733" s="252">
        <f>Consulta1[[#This Row],[TETO_COMERCIAL]]/100</f>
        <v>2.2499999999999999E-2</v>
      </c>
      <c r="U733" t="b">
        <f>Consulta1[[#This Row],[TETO_COMERCIAL_%]]=Consulta1[[#This Row],[TAXA]]</f>
        <v>0</v>
      </c>
      <c r="V733" t="str">
        <f>CONCATENATE(Consulta1[[#This Row],[MES_ALTERACAO]],Consulta1[[#This Row],[VIRADA]])</f>
        <v>20260518</v>
      </c>
      <c r="W733">
        <f>VLOOKUP(Consulta1[[#This Row],[Coluna2]],CALENDARIO!$J:$K,2,FALSE)</f>
        <v>11</v>
      </c>
    </row>
    <row r="734" spans="1:23" x14ac:dyDescent="0.25">
      <c r="A734" t="s">
        <v>3033</v>
      </c>
      <c r="B734" t="str">
        <f>CONCATENATE(Consulta1[[#This Row],[id]],Consulta1[[#This Row],[EMPREGADOR]])</f>
        <v>1PREF BH,</v>
      </c>
      <c r="C734" s="6">
        <f>IF(A734=A733,C733+1,1)</f>
        <v>1</v>
      </c>
      <c r="D734" t="s">
        <v>2835</v>
      </c>
      <c r="E734" s="101">
        <v>2.5000000000000001E-2</v>
      </c>
      <c r="F734" s="6">
        <v>120</v>
      </c>
      <c r="G734" t="s">
        <v>1349</v>
      </c>
      <c r="H734" s="82">
        <v>2.5</v>
      </c>
      <c r="I734">
        <v>25</v>
      </c>
      <c r="K734" t="s">
        <v>2836</v>
      </c>
      <c r="L734" s="6" t="s">
        <v>1605</v>
      </c>
      <c r="M734" s="6">
        <v>9</v>
      </c>
      <c r="N734" s="6">
        <v>2</v>
      </c>
      <c r="O734">
        <v>500</v>
      </c>
      <c r="P734">
        <v>202605</v>
      </c>
      <c r="Q734" t="s">
        <v>378</v>
      </c>
      <c r="R734" t="s">
        <v>1353</v>
      </c>
      <c r="S734">
        <f>Consulta1[[#This Row],[min_port]]/100</f>
        <v>1.43E-2</v>
      </c>
      <c r="T734" s="252">
        <f>Consulta1[[#This Row],[TETO_COMERCIAL]]/100</f>
        <v>2.5000000000000001E-2</v>
      </c>
      <c r="U734" t="b">
        <f>Consulta1[[#This Row],[TETO_COMERCIAL_%]]=Consulta1[[#This Row],[TAXA]]</f>
        <v>1</v>
      </c>
      <c r="V734" t="str">
        <f>CONCATENATE(Consulta1[[#This Row],[MES_ALTERACAO]],Consulta1[[#This Row],[VIRADA]])</f>
        <v>2026059</v>
      </c>
      <c r="W734">
        <f>VLOOKUP(Consulta1[[#This Row],[Coluna2]],CALENDARIO!$J:$K,2,FALSE)</f>
        <v>5</v>
      </c>
    </row>
    <row r="735" spans="1:23" x14ac:dyDescent="0.25">
      <c r="A735" t="s">
        <v>3033</v>
      </c>
      <c r="B735" t="str">
        <f>CONCATENATE(Consulta1[[#This Row],[id]],Consulta1[[#This Row],[EMPREGADOR]])</f>
        <v>2PREF BH,</v>
      </c>
      <c r="C735" s="6">
        <f>IF(A735=A734,C734+1,1)</f>
        <v>2</v>
      </c>
      <c r="D735" t="s">
        <v>2837</v>
      </c>
      <c r="E735" s="101">
        <v>2.2499999999999999E-2</v>
      </c>
      <c r="F735" s="6">
        <v>120</v>
      </c>
      <c r="G735" t="s">
        <v>1349</v>
      </c>
      <c r="H735" s="82">
        <v>2.5</v>
      </c>
      <c r="I735">
        <v>25</v>
      </c>
      <c r="J735">
        <v>72</v>
      </c>
      <c r="K735" t="s">
        <v>2838</v>
      </c>
      <c r="L735" s="6" t="s">
        <v>1605</v>
      </c>
      <c r="M735" s="6">
        <v>9</v>
      </c>
      <c r="N735" s="6">
        <v>2</v>
      </c>
      <c r="O735">
        <v>500</v>
      </c>
      <c r="P735">
        <v>202605</v>
      </c>
      <c r="Q735" t="s">
        <v>378</v>
      </c>
      <c r="R735" t="s">
        <v>1353</v>
      </c>
      <c r="S735">
        <f>Consulta1[[#This Row],[min_port]]/100</f>
        <v>1.43E-2</v>
      </c>
      <c r="T735" s="252">
        <f>Consulta1[[#This Row],[TETO_COMERCIAL]]/100</f>
        <v>2.5000000000000001E-2</v>
      </c>
      <c r="U735" t="b">
        <f>Consulta1[[#This Row],[TETO_COMERCIAL_%]]=Consulta1[[#This Row],[TAXA]]</f>
        <v>0</v>
      </c>
      <c r="V735" t="str">
        <f>CONCATENATE(Consulta1[[#This Row],[MES_ALTERACAO]],Consulta1[[#This Row],[VIRADA]])</f>
        <v>2026059</v>
      </c>
      <c r="W735">
        <f>VLOOKUP(Consulta1[[#This Row],[Coluna2]],CALENDARIO!$J:$K,2,FALSE)</f>
        <v>5</v>
      </c>
    </row>
    <row r="736" spans="1:23" x14ac:dyDescent="0.25">
      <c r="A736" t="s">
        <v>3033</v>
      </c>
      <c r="B736" t="str">
        <f>CONCATENATE(Consulta1[[#This Row],[id]],Consulta1[[#This Row],[EMPREGADOR]])</f>
        <v>3PREF BH,</v>
      </c>
      <c r="C736" s="6">
        <f>IF(A736=A735,C735+1,1)</f>
        <v>3</v>
      </c>
      <c r="D736" t="s">
        <v>2839</v>
      </c>
      <c r="E736" s="101">
        <v>0.02</v>
      </c>
      <c r="F736" s="6">
        <v>120</v>
      </c>
      <c r="G736" t="s">
        <v>1349</v>
      </c>
      <c r="H736" s="82">
        <v>2.5</v>
      </c>
      <c r="I736">
        <v>25</v>
      </c>
      <c r="J736">
        <v>60</v>
      </c>
      <c r="K736" t="s">
        <v>2840</v>
      </c>
      <c r="L736" s="6" t="s">
        <v>1605</v>
      </c>
      <c r="M736" s="6">
        <v>9</v>
      </c>
      <c r="N736" s="6">
        <v>2</v>
      </c>
      <c r="O736">
        <v>500</v>
      </c>
      <c r="P736">
        <v>202605</v>
      </c>
      <c r="Q736" t="s">
        <v>378</v>
      </c>
      <c r="R736" t="s">
        <v>1353</v>
      </c>
      <c r="S736">
        <f>Consulta1[[#This Row],[min_port]]/100</f>
        <v>1.43E-2</v>
      </c>
      <c r="T736" s="252">
        <f>Consulta1[[#This Row],[TETO_COMERCIAL]]/100</f>
        <v>2.5000000000000001E-2</v>
      </c>
      <c r="U736" t="b">
        <f>Consulta1[[#This Row],[TETO_COMERCIAL_%]]=Consulta1[[#This Row],[TAXA]]</f>
        <v>0</v>
      </c>
      <c r="V736" t="str">
        <f>CONCATENATE(Consulta1[[#This Row],[MES_ALTERACAO]],Consulta1[[#This Row],[VIRADA]])</f>
        <v>2026059</v>
      </c>
      <c r="W736">
        <f>VLOOKUP(Consulta1[[#This Row],[Coluna2]],CALENDARIO!$J:$K,2,FALSE)</f>
        <v>5</v>
      </c>
    </row>
    <row r="737" spans="1:23" x14ac:dyDescent="0.25">
      <c r="A737" t="s">
        <v>3033</v>
      </c>
      <c r="B737" t="str">
        <f>CONCATENATE(Consulta1[[#This Row],[id]],Consulta1[[#This Row],[EMPREGADOR]])</f>
        <v>4PREF BH,</v>
      </c>
      <c r="C737" s="6">
        <f>IF(A737=A736,C736+1,1)</f>
        <v>4</v>
      </c>
      <c r="D737" t="s">
        <v>2841</v>
      </c>
      <c r="E737" s="101">
        <v>1.95E-2</v>
      </c>
      <c r="F737" s="6">
        <v>120</v>
      </c>
      <c r="G737" t="s">
        <v>1349</v>
      </c>
      <c r="H737" s="82">
        <v>2.5</v>
      </c>
      <c r="I737">
        <v>25</v>
      </c>
      <c r="J737">
        <v>49</v>
      </c>
      <c r="K737" t="s">
        <v>2842</v>
      </c>
      <c r="L737" s="6" t="s">
        <v>1605</v>
      </c>
      <c r="M737" s="6">
        <v>9</v>
      </c>
      <c r="N737" s="6">
        <v>2</v>
      </c>
      <c r="O737">
        <v>500</v>
      </c>
      <c r="P737">
        <v>202605</v>
      </c>
      <c r="Q737" t="s">
        <v>378</v>
      </c>
      <c r="R737" t="s">
        <v>1353</v>
      </c>
      <c r="S737">
        <f>Consulta1[[#This Row],[min_port]]/100</f>
        <v>1.43E-2</v>
      </c>
      <c r="T737" s="252">
        <f>Consulta1[[#This Row],[TETO_COMERCIAL]]/100</f>
        <v>2.5000000000000001E-2</v>
      </c>
      <c r="U737" t="b">
        <f>Consulta1[[#This Row],[TETO_COMERCIAL_%]]=Consulta1[[#This Row],[TAXA]]</f>
        <v>0</v>
      </c>
      <c r="V737" t="str">
        <f>CONCATENATE(Consulta1[[#This Row],[MES_ALTERACAO]],Consulta1[[#This Row],[VIRADA]])</f>
        <v>2026059</v>
      </c>
      <c r="W737">
        <f>VLOOKUP(Consulta1[[#This Row],[Coluna2]],CALENDARIO!$J:$K,2,FALSE)</f>
        <v>5</v>
      </c>
    </row>
    <row r="738" spans="1:23" x14ac:dyDescent="0.25">
      <c r="A738" t="s">
        <v>3033</v>
      </c>
      <c r="B738" t="str">
        <f>CONCATENATE(Consulta1[[#This Row],[id]],Consulta1[[#This Row],[EMPREGADOR]])</f>
        <v>5PREF BH,</v>
      </c>
      <c r="C738" s="6">
        <f>IF(A738=A737,C737+1,1)</f>
        <v>5</v>
      </c>
      <c r="D738" t="s">
        <v>2843</v>
      </c>
      <c r="E738" s="101">
        <v>1.9E-2</v>
      </c>
      <c r="F738" s="6">
        <v>120</v>
      </c>
      <c r="G738" t="s">
        <v>1349</v>
      </c>
      <c r="H738" s="82">
        <v>2.5</v>
      </c>
      <c r="I738">
        <v>25</v>
      </c>
      <c r="J738">
        <v>60</v>
      </c>
      <c r="K738" t="s">
        <v>2844</v>
      </c>
      <c r="L738" s="6" t="s">
        <v>1605</v>
      </c>
      <c r="M738" s="6">
        <v>9</v>
      </c>
      <c r="N738" s="6">
        <v>2</v>
      </c>
      <c r="O738">
        <v>500</v>
      </c>
      <c r="P738">
        <v>202605</v>
      </c>
      <c r="Q738" t="s">
        <v>378</v>
      </c>
      <c r="R738" t="s">
        <v>1353</v>
      </c>
      <c r="S738">
        <f>Consulta1[[#This Row],[min_port]]/100</f>
        <v>1.43E-2</v>
      </c>
      <c r="T738" s="252">
        <f>Consulta1[[#This Row],[TETO_COMERCIAL]]/100</f>
        <v>2.5000000000000001E-2</v>
      </c>
      <c r="U738" t="b">
        <f>Consulta1[[#This Row],[TETO_COMERCIAL_%]]=Consulta1[[#This Row],[TAXA]]</f>
        <v>0</v>
      </c>
      <c r="V738" t="str">
        <f>CONCATENATE(Consulta1[[#This Row],[MES_ALTERACAO]],Consulta1[[#This Row],[VIRADA]])</f>
        <v>2026059</v>
      </c>
      <c r="W738">
        <f>VLOOKUP(Consulta1[[#This Row],[Coluna2]],CALENDARIO!$J:$K,2,FALSE)</f>
        <v>5</v>
      </c>
    </row>
    <row r="739" spans="1:23" x14ac:dyDescent="0.25">
      <c r="A739" t="s">
        <v>3033</v>
      </c>
      <c r="B739" t="str">
        <f>CONCATENATE(Consulta1[[#This Row],[id]],Consulta1[[#This Row],[EMPREGADOR]])</f>
        <v>6PREF BH,</v>
      </c>
      <c r="C739" s="6">
        <f>IF(A739=A738,C738+1,1)</f>
        <v>6</v>
      </c>
      <c r="D739" t="s">
        <v>2845</v>
      </c>
      <c r="E739" s="101">
        <v>1.8500000000000003E-2</v>
      </c>
      <c r="F739" s="6">
        <v>120</v>
      </c>
      <c r="G739" t="s">
        <v>1349</v>
      </c>
      <c r="H739" s="82">
        <v>2.5</v>
      </c>
      <c r="I739">
        <v>25</v>
      </c>
      <c r="J739">
        <v>68</v>
      </c>
      <c r="K739" t="s">
        <v>2846</v>
      </c>
      <c r="L739" s="6" t="s">
        <v>1605</v>
      </c>
      <c r="M739" s="6">
        <v>9</v>
      </c>
      <c r="N739" s="6">
        <v>2</v>
      </c>
      <c r="O739">
        <v>500</v>
      </c>
      <c r="P739">
        <v>202605</v>
      </c>
      <c r="Q739" t="s">
        <v>378</v>
      </c>
      <c r="R739" t="s">
        <v>1353</v>
      </c>
      <c r="S739">
        <f>Consulta1[[#This Row],[min_port]]/100</f>
        <v>1.43E-2</v>
      </c>
      <c r="T739" s="252">
        <f>Consulta1[[#This Row],[TETO_COMERCIAL]]/100</f>
        <v>2.5000000000000001E-2</v>
      </c>
      <c r="U739" t="b">
        <f>Consulta1[[#This Row],[TETO_COMERCIAL_%]]=Consulta1[[#This Row],[TAXA]]</f>
        <v>0</v>
      </c>
      <c r="V739" t="str">
        <f>CONCATENATE(Consulta1[[#This Row],[MES_ALTERACAO]],Consulta1[[#This Row],[VIRADA]])</f>
        <v>2026059</v>
      </c>
      <c r="W739">
        <f>VLOOKUP(Consulta1[[#This Row],[Coluna2]],CALENDARIO!$J:$K,2,FALSE)</f>
        <v>5</v>
      </c>
    </row>
    <row r="740" spans="1:23" x14ac:dyDescent="0.25">
      <c r="A740" t="s">
        <v>3033</v>
      </c>
      <c r="B740" t="str">
        <f>CONCATENATE(Consulta1[[#This Row],[id]],Consulta1[[#This Row],[EMPREGADOR]])</f>
        <v>7PREF BH,</v>
      </c>
      <c r="C740" s="6">
        <f>IF(A740=A739,C739+1,1)</f>
        <v>7</v>
      </c>
      <c r="D740" t="s">
        <v>2847</v>
      </c>
      <c r="E740" s="101">
        <v>1.8000000000000002E-2</v>
      </c>
      <c r="F740" s="6">
        <v>120</v>
      </c>
      <c r="G740" t="s">
        <v>1349</v>
      </c>
      <c r="H740" s="82">
        <v>2.5</v>
      </c>
      <c r="I740">
        <v>25</v>
      </c>
      <c r="J740">
        <v>69</v>
      </c>
      <c r="K740" t="s">
        <v>2848</v>
      </c>
      <c r="L740" s="6" t="s">
        <v>1605</v>
      </c>
      <c r="M740" s="6">
        <v>9</v>
      </c>
      <c r="N740" s="6">
        <v>2</v>
      </c>
      <c r="O740">
        <v>500</v>
      </c>
      <c r="P740">
        <v>202605</v>
      </c>
      <c r="Q740" t="s">
        <v>378</v>
      </c>
      <c r="R740" t="s">
        <v>1353</v>
      </c>
      <c r="S740">
        <f>Consulta1[[#This Row],[min_port]]/100</f>
        <v>1.43E-2</v>
      </c>
      <c r="T740" s="252">
        <f>Consulta1[[#This Row],[TETO_COMERCIAL]]/100</f>
        <v>2.5000000000000001E-2</v>
      </c>
      <c r="U740" t="b">
        <f>Consulta1[[#This Row],[TETO_COMERCIAL_%]]=Consulta1[[#This Row],[TAXA]]</f>
        <v>0</v>
      </c>
      <c r="V740" t="str">
        <f>CONCATENATE(Consulta1[[#This Row],[MES_ALTERACAO]],Consulta1[[#This Row],[VIRADA]])</f>
        <v>2026059</v>
      </c>
      <c r="W740">
        <f>VLOOKUP(Consulta1[[#This Row],[Coluna2]],CALENDARIO!$J:$K,2,FALSE)</f>
        <v>5</v>
      </c>
    </row>
    <row r="741" spans="1:23" x14ac:dyDescent="0.25">
      <c r="A741" t="s">
        <v>3033</v>
      </c>
      <c r="B741" t="str">
        <f>CONCATENATE(Consulta1[[#This Row],[id]],Consulta1[[#This Row],[EMPREGADOR]])</f>
        <v>8PREF BH,</v>
      </c>
      <c r="C741" s="6">
        <f>IF(A741=A740,C740+1,1)</f>
        <v>8</v>
      </c>
      <c r="D741" t="s">
        <v>2849</v>
      </c>
      <c r="E741" s="101">
        <v>1.7500000000000002E-2</v>
      </c>
      <c r="F741" s="6">
        <v>120</v>
      </c>
      <c r="G741" t="s">
        <v>1349</v>
      </c>
      <c r="H741" s="82">
        <v>2.5</v>
      </c>
      <c r="I741">
        <v>25</v>
      </c>
      <c r="J741">
        <v>74</v>
      </c>
      <c r="K741" t="s">
        <v>2850</v>
      </c>
      <c r="L741" s="6" t="s">
        <v>1605</v>
      </c>
      <c r="M741" s="6">
        <v>9</v>
      </c>
      <c r="N741" s="6">
        <v>2</v>
      </c>
      <c r="O741">
        <v>500</v>
      </c>
      <c r="P741">
        <v>202605</v>
      </c>
      <c r="Q741" t="s">
        <v>378</v>
      </c>
      <c r="R741" t="s">
        <v>1353</v>
      </c>
      <c r="S741">
        <f>Consulta1[[#This Row],[min_port]]/100</f>
        <v>1.43E-2</v>
      </c>
      <c r="T741" s="252">
        <f>Consulta1[[#This Row],[TETO_COMERCIAL]]/100</f>
        <v>2.5000000000000001E-2</v>
      </c>
      <c r="U741" t="b">
        <f>Consulta1[[#This Row],[TETO_COMERCIAL_%]]=Consulta1[[#This Row],[TAXA]]</f>
        <v>0</v>
      </c>
      <c r="V741" t="str">
        <f>CONCATENATE(Consulta1[[#This Row],[MES_ALTERACAO]],Consulta1[[#This Row],[VIRADA]])</f>
        <v>2026059</v>
      </c>
      <c r="W741">
        <f>VLOOKUP(Consulta1[[#This Row],[Coluna2]],CALENDARIO!$J:$K,2,FALSE)</f>
        <v>5</v>
      </c>
    </row>
    <row r="742" spans="1:23" x14ac:dyDescent="0.25">
      <c r="A742" t="s">
        <v>3033</v>
      </c>
      <c r="B742" t="str">
        <f>CONCATENATE(Consulta1[[#This Row],[id]],Consulta1[[#This Row],[EMPREGADOR]])</f>
        <v>9PREF BH,</v>
      </c>
      <c r="C742" s="6">
        <f>IF(A742=A741,C741+1,1)</f>
        <v>9</v>
      </c>
      <c r="D742" t="s">
        <v>2851</v>
      </c>
      <c r="E742" s="101">
        <v>1.7000000000000001E-2</v>
      </c>
      <c r="F742" s="6">
        <v>120</v>
      </c>
      <c r="G742" t="s">
        <v>1349</v>
      </c>
      <c r="H742" s="82">
        <v>2.5</v>
      </c>
      <c r="I742">
        <v>25</v>
      </c>
      <c r="J742">
        <v>58</v>
      </c>
      <c r="K742" t="s">
        <v>2852</v>
      </c>
      <c r="L742" s="6" t="s">
        <v>1605</v>
      </c>
      <c r="M742" s="6">
        <v>9</v>
      </c>
      <c r="N742" s="6">
        <v>2</v>
      </c>
      <c r="O742">
        <v>500</v>
      </c>
      <c r="P742">
        <v>202605</v>
      </c>
      <c r="Q742" t="s">
        <v>378</v>
      </c>
      <c r="R742" t="s">
        <v>1353</v>
      </c>
      <c r="S742">
        <f>Consulta1[[#This Row],[min_port]]/100</f>
        <v>1.43E-2</v>
      </c>
      <c r="T742" s="252">
        <f>Consulta1[[#This Row],[TETO_COMERCIAL]]/100</f>
        <v>2.5000000000000001E-2</v>
      </c>
      <c r="U742" t="b">
        <f>Consulta1[[#This Row],[TETO_COMERCIAL_%]]=Consulta1[[#This Row],[TAXA]]</f>
        <v>0</v>
      </c>
      <c r="V742" t="str">
        <f>CONCATENATE(Consulta1[[#This Row],[MES_ALTERACAO]],Consulta1[[#This Row],[VIRADA]])</f>
        <v>2026059</v>
      </c>
      <c r="W742">
        <f>VLOOKUP(Consulta1[[#This Row],[Coluna2]],CALENDARIO!$J:$K,2,FALSE)</f>
        <v>5</v>
      </c>
    </row>
    <row r="743" spans="1:23" x14ac:dyDescent="0.25">
      <c r="A743" t="s">
        <v>3033</v>
      </c>
      <c r="B743" t="str">
        <f>CONCATENATE(Consulta1[[#This Row],[id]],Consulta1[[#This Row],[EMPREGADOR]])</f>
        <v>10PREF BH,</v>
      </c>
      <c r="C743" s="6">
        <f>IF(A743=A742,C742+1,1)</f>
        <v>10</v>
      </c>
      <c r="D743" t="s">
        <v>2853</v>
      </c>
      <c r="E743" s="101">
        <v>1.6500000000000001E-2</v>
      </c>
      <c r="F743" s="6">
        <v>120</v>
      </c>
      <c r="G743" t="s">
        <v>1349</v>
      </c>
      <c r="H743" s="82">
        <v>2.5</v>
      </c>
      <c r="I743">
        <v>25</v>
      </c>
      <c r="J743">
        <v>65</v>
      </c>
      <c r="K743" t="s">
        <v>2854</v>
      </c>
      <c r="L743" s="6" t="s">
        <v>1605</v>
      </c>
      <c r="M743" s="6">
        <v>9</v>
      </c>
      <c r="N743" s="6">
        <v>2</v>
      </c>
      <c r="O743">
        <v>500</v>
      </c>
      <c r="P743">
        <v>202605</v>
      </c>
      <c r="Q743" t="s">
        <v>378</v>
      </c>
      <c r="R743" t="s">
        <v>1353</v>
      </c>
      <c r="S743">
        <f>Consulta1[[#This Row],[min_port]]/100</f>
        <v>1.43E-2</v>
      </c>
      <c r="T743" s="252">
        <f>Consulta1[[#This Row],[TETO_COMERCIAL]]/100</f>
        <v>2.5000000000000001E-2</v>
      </c>
      <c r="U743" t="b">
        <f>Consulta1[[#This Row],[TETO_COMERCIAL_%]]=Consulta1[[#This Row],[TAXA]]</f>
        <v>0</v>
      </c>
      <c r="V743" t="str">
        <f>CONCATENATE(Consulta1[[#This Row],[MES_ALTERACAO]],Consulta1[[#This Row],[VIRADA]])</f>
        <v>2026059</v>
      </c>
      <c r="W743">
        <f>VLOOKUP(Consulta1[[#This Row],[Coluna2]],CALENDARIO!$J:$K,2,FALSE)</f>
        <v>5</v>
      </c>
    </row>
    <row r="744" spans="1:23" x14ac:dyDescent="0.25">
      <c r="A744" t="s">
        <v>3033</v>
      </c>
      <c r="B744" t="str">
        <f>CONCATENATE(Consulta1[[#This Row],[id]],Consulta1[[#This Row],[EMPREGADOR]])</f>
        <v>11PREF BH,</v>
      </c>
      <c r="C744" s="6">
        <f>IF(A744=A743,C743+1,1)</f>
        <v>11</v>
      </c>
      <c r="D744" t="s">
        <v>2855</v>
      </c>
      <c r="E744" s="101">
        <v>1.6299999999999999E-2</v>
      </c>
      <c r="F744" s="6">
        <v>120</v>
      </c>
      <c r="G744" t="s">
        <v>1349</v>
      </c>
      <c r="H744" s="82">
        <v>2.5</v>
      </c>
      <c r="I744">
        <v>25</v>
      </c>
      <c r="J744">
        <v>63</v>
      </c>
      <c r="K744" t="s">
        <v>2856</v>
      </c>
      <c r="L744" s="6" t="s">
        <v>1605</v>
      </c>
      <c r="M744" s="6">
        <v>9</v>
      </c>
      <c r="N744" s="6">
        <v>2</v>
      </c>
      <c r="O744">
        <v>30000</v>
      </c>
      <c r="P744">
        <v>202605</v>
      </c>
      <c r="Q744" t="s">
        <v>378</v>
      </c>
      <c r="R744" t="s">
        <v>1353</v>
      </c>
      <c r="S744">
        <f>Consulta1[[#This Row],[min_port]]/100</f>
        <v>1.43E-2</v>
      </c>
      <c r="T744" s="252">
        <f>Consulta1[[#This Row],[TETO_COMERCIAL]]/100</f>
        <v>2.5000000000000001E-2</v>
      </c>
      <c r="U744" t="b">
        <f>Consulta1[[#This Row],[TETO_COMERCIAL_%]]=Consulta1[[#This Row],[TAXA]]</f>
        <v>0</v>
      </c>
      <c r="V744" t="str">
        <f>CONCATENATE(Consulta1[[#This Row],[MES_ALTERACAO]],Consulta1[[#This Row],[VIRADA]])</f>
        <v>2026059</v>
      </c>
      <c r="W744">
        <f>VLOOKUP(Consulta1[[#This Row],[Coluna2]],CALENDARIO!$J:$K,2,FALSE)</f>
        <v>5</v>
      </c>
    </row>
    <row r="745" spans="1:23" x14ac:dyDescent="0.25">
      <c r="A745" t="s">
        <v>3033</v>
      </c>
      <c r="B745" t="str">
        <f>CONCATENATE(Consulta1[[#This Row],[id]],Consulta1[[#This Row],[EMPREGADOR]])</f>
        <v>12PREF BH,</v>
      </c>
      <c r="C745" s="6">
        <f>IF(A745=A744,C744+1,1)</f>
        <v>12</v>
      </c>
      <c r="D745" t="s">
        <v>2857</v>
      </c>
      <c r="E745" s="101">
        <v>1.61E-2</v>
      </c>
      <c r="F745" s="6">
        <v>120</v>
      </c>
      <c r="G745" t="s">
        <v>1349</v>
      </c>
      <c r="H745" s="82">
        <v>2.5</v>
      </c>
      <c r="I745">
        <v>25</v>
      </c>
      <c r="J745">
        <v>60</v>
      </c>
      <c r="K745" t="s">
        <v>2858</v>
      </c>
      <c r="L745" s="6" t="s">
        <v>1605</v>
      </c>
      <c r="M745" s="6">
        <v>9</v>
      </c>
      <c r="N745" s="6">
        <v>2</v>
      </c>
      <c r="O745">
        <v>50000</v>
      </c>
      <c r="P745">
        <v>202605</v>
      </c>
      <c r="Q745" t="s">
        <v>378</v>
      </c>
      <c r="R745" t="s">
        <v>1353</v>
      </c>
      <c r="S745">
        <f>Consulta1[[#This Row],[min_port]]/100</f>
        <v>1.43E-2</v>
      </c>
      <c r="T745" s="252">
        <f>Consulta1[[#This Row],[TETO_COMERCIAL]]/100</f>
        <v>2.5000000000000001E-2</v>
      </c>
      <c r="U745" t="b">
        <f>Consulta1[[#This Row],[TETO_COMERCIAL_%]]=Consulta1[[#This Row],[TAXA]]</f>
        <v>0</v>
      </c>
      <c r="V745" t="str">
        <f>CONCATENATE(Consulta1[[#This Row],[MES_ALTERACAO]],Consulta1[[#This Row],[VIRADA]])</f>
        <v>2026059</v>
      </c>
      <c r="W745">
        <f>VLOOKUP(Consulta1[[#This Row],[Coluna2]],CALENDARIO!$J:$K,2,FALSE)</f>
        <v>5</v>
      </c>
    </row>
    <row r="746" spans="1:23" x14ac:dyDescent="0.25">
      <c r="A746" t="s">
        <v>563</v>
      </c>
      <c r="B746" t="str">
        <f>CONCATENATE(Consulta1[[#This Row],[id]],Consulta1[[#This Row],[EMPREGADOR]])</f>
        <v>1PREF BIRITIBA M</v>
      </c>
      <c r="C746" s="6">
        <f>IF(A746=A745,C745+1,1)</f>
        <v>1</v>
      </c>
      <c r="D746" t="s">
        <v>564</v>
      </c>
      <c r="E746" s="101">
        <v>2.5000000000000001E-2</v>
      </c>
      <c r="F746" s="6">
        <v>96</v>
      </c>
      <c r="G746" t="s">
        <v>1349</v>
      </c>
      <c r="H746" s="82">
        <v>2.5</v>
      </c>
      <c r="I746">
        <v>10</v>
      </c>
      <c r="J746">
        <v>92</v>
      </c>
      <c r="K746" t="s">
        <v>2572</v>
      </c>
      <c r="L746" s="6" t="s">
        <v>1616</v>
      </c>
      <c r="M746" s="6">
        <v>10</v>
      </c>
      <c r="N746" s="6">
        <v>2</v>
      </c>
      <c r="O746">
        <v>500</v>
      </c>
      <c r="P746">
        <v>202605</v>
      </c>
      <c r="Q746" t="s">
        <v>377</v>
      </c>
      <c r="R746" t="s">
        <v>1350</v>
      </c>
      <c r="S746">
        <f>Consulta1[[#This Row],[min_port]]/100</f>
        <v>1.5900000000000001E-2</v>
      </c>
      <c r="T746" s="252">
        <f>Consulta1[[#This Row],[TETO_COMERCIAL]]/100</f>
        <v>2.5000000000000001E-2</v>
      </c>
      <c r="U746" t="b">
        <f>Consulta1[[#This Row],[TETO_COMERCIAL_%]]=Consulta1[[#This Row],[TAXA]]</f>
        <v>1</v>
      </c>
      <c r="V746" t="str">
        <f>CONCATENATE(Consulta1[[#This Row],[MES_ALTERACAO]],Consulta1[[#This Row],[VIRADA]])</f>
        <v>20260510</v>
      </c>
      <c r="W746">
        <f>VLOOKUP(Consulta1[[#This Row],[Coluna2]],CALENDARIO!$J:$K,2,FALSE)</f>
        <v>5</v>
      </c>
    </row>
    <row r="747" spans="1:23" x14ac:dyDescent="0.25">
      <c r="A747" t="s">
        <v>563</v>
      </c>
      <c r="B747" t="str">
        <f>CONCATENATE(Consulta1[[#This Row],[id]],Consulta1[[#This Row],[EMPREGADOR]])</f>
        <v>2PREF BIRITIBA M</v>
      </c>
      <c r="C747" s="6">
        <f>IF(A747=A746,C746+1,1)</f>
        <v>2</v>
      </c>
      <c r="D747" t="s">
        <v>565</v>
      </c>
      <c r="E747" s="101">
        <v>2.3900000000000001E-2</v>
      </c>
      <c r="F747" s="6">
        <v>96</v>
      </c>
      <c r="G747" t="s">
        <v>1349</v>
      </c>
      <c r="H747" s="82">
        <v>2.5</v>
      </c>
      <c r="I747">
        <v>10</v>
      </c>
      <c r="J747">
        <v>92</v>
      </c>
      <c r="K747" t="s">
        <v>2573</v>
      </c>
      <c r="L747" s="6" t="s">
        <v>1616</v>
      </c>
      <c r="M747" s="6">
        <v>10</v>
      </c>
      <c r="N747" s="6">
        <v>2</v>
      </c>
      <c r="O747">
        <v>500</v>
      </c>
      <c r="P747">
        <v>202605</v>
      </c>
      <c r="Q747" t="s">
        <v>377</v>
      </c>
      <c r="R747" t="s">
        <v>1350</v>
      </c>
      <c r="S747">
        <f>Consulta1[[#This Row],[min_port]]/100</f>
        <v>1.5900000000000001E-2</v>
      </c>
      <c r="T747" s="252">
        <f>Consulta1[[#This Row],[TETO_COMERCIAL]]/100</f>
        <v>2.5000000000000001E-2</v>
      </c>
      <c r="U747" t="b">
        <f>Consulta1[[#This Row],[TETO_COMERCIAL_%]]=Consulta1[[#This Row],[TAXA]]</f>
        <v>0</v>
      </c>
      <c r="V747" t="str">
        <f>CONCATENATE(Consulta1[[#This Row],[MES_ALTERACAO]],Consulta1[[#This Row],[VIRADA]])</f>
        <v>20260510</v>
      </c>
      <c r="W747">
        <f>VLOOKUP(Consulta1[[#This Row],[Coluna2]],CALENDARIO!$J:$K,2,FALSE)</f>
        <v>5</v>
      </c>
    </row>
    <row r="748" spans="1:23" x14ac:dyDescent="0.25">
      <c r="A748" t="s">
        <v>563</v>
      </c>
      <c r="B748" t="str">
        <f>CONCATENATE(Consulta1[[#This Row],[id]],Consulta1[[#This Row],[EMPREGADOR]])</f>
        <v>3PREF BIRITIBA M</v>
      </c>
      <c r="C748" s="6">
        <f>IF(A748=A747,C747+1,1)</f>
        <v>3</v>
      </c>
      <c r="D748" t="s">
        <v>566</v>
      </c>
      <c r="E748" s="101">
        <v>2.29E-2</v>
      </c>
      <c r="F748" s="6">
        <v>96</v>
      </c>
      <c r="G748" t="s">
        <v>1349</v>
      </c>
      <c r="H748" s="82">
        <v>2.5</v>
      </c>
      <c r="I748">
        <v>10</v>
      </c>
      <c r="J748">
        <v>92</v>
      </c>
      <c r="K748" t="s">
        <v>2574</v>
      </c>
      <c r="L748" s="6" t="s">
        <v>1616</v>
      </c>
      <c r="M748" s="6">
        <v>10</v>
      </c>
      <c r="N748" s="6">
        <v>2</v>
      </c>
      <c r="O748">
        <v>500</v>
      </c>
      <c r="P748">
        <v>202605</v>
      </c>
      <c r="Q748" t="s">
        <v>377</v>
      </c>
      <c r="R748" t="s">
        <v>1350</v>
      </c>
      <c r="S748">
        <f>Consulta1[[#This Row],[min_port]]/100</f>
        <v>1.5900000000000001E-2</v>
      </c>
      <c r="T748" s="252">
        <f>Consulta1[[#This Row],[TETO_COMERCIAL]]/100</f>
        <v>2.5000000000000001E-2</v>
      </c>
      <c r="U748" t="b">
        <f>Consulta1[[#This Row],[TETO_COMERCIAL_%]]=Consulta1[[#This Row],[TAXA]]</f>
        <v>0</v>
      </c>
      <c r="V748" t="str">
        <f>CONCATENATE(Consulta1[[#This Row],[MES_ALTERACAO]],Consulta1[[#This Row],[VIRADA]])</f>
        <v>20260510</v>
      </c>
      <c r="W748">
        <f>VLOOKUP(Consulta1[[#This Row],[Coluna2]],CALENDARIO!$J:$K,2,FALSE)</f>
        <v>5</v>
      </c>
    </row>
    <row r="749" spans="1:23" x14ac:dyDescent="0.25">
      <c r="A749" t="s">
        <v>563</v>
      </c>
      <c r="B749" t="str">
        <f>CONCATENATE(Consulta1[[#This Row],[id]],Consulta1[[#This Row],[EMPREGADOR]])</f>
        <v>4PREF BIRITIBA M</v>
      </c>
      <c r="C749" s="6">
        <f>IF(A749=A748,C748+1,1)</f>
        <v>4</v>
      </c>
      <c r="D749" t="s">
        <v>567</v>
      </c>
      <c r="E749" s="101">
        <v>2.2099999999999998E-2</v>
      </c>
      <c r="F749" s="6">
        <v>96</v>
      </c>
      <c r="G749" t="s">
        <v>1349</v>
      </c>
      <c r="H749" s="82">
        <v>2.5</v>
      </c>
      <c r="I749">
        <v>10</v>
      </c>
      <c r="J749">
        <v>92</v>
      </c>
      <c r="K749" t="s">
        <v>2575</v>
      </c>
      <c r="L749" s="6" t="s">
        <v>1616</v>
      </c>
      <c r="M749" s="6">
        <v>10</v>
      </c>
      <c r="N749" s="6">
        <v>2</v>
      </c>
      <c r="O749">
        <v>500</v>
      </c>
      <c r="P749">
        <v>202605</v>
      </c>
      <c r="Q749" t="s">
        <v>377</v>
      </c>
      <c r="R749" t="s">
        <v>1350</v>
      </c>
      <c r="S749">
        <f>Consulta1[[#This Row],[min_port]]/100</f>
        <v>1.5900000000000001E-2</v>
      </c>
      <c r="T749" s="252">
        <f>Consulta1[[#This Row],[TETO_COMERCIAL]]/100</f>
        <v>2.5000000000000001E-2</v>
      </c>
      <c r="U749" t="b">
        <f>Consulta1[[#This Row],[TETO_COMERCIAL_%]]=Consulta1[[#This Row],[TAXA]]</f>
        <v>0</v>
      </c>
      <c r="V749" t="str">
        <f>CONCATENATE(Consulta1[[#This Row],[MES_ALTERACAO]],Consulta1[[#This Row],[VIRADA]])</f>
        <v>20260510</v>
      </c>
      <c r="W749">
        <f>VLOOKUP(Consulta1[[#This Row],[Coluna2]],CALENDARIO!$J:$K,2,FALSE)</f>
        <v>5</v>
      </c>
    </row>
    <row r="750" spans="1:23" x14ac:dyDescent="0.25">
      <c r="A750" t="s">
        <v>416</v>
      </c>
      <c r="B750" t="str">
        <f>CONCATENATE(Consulta1[[#This Row],[id]],Consulta1[[#This Row],[EMPREGADOR]])</f>
        <v>1PREF BLUMENAU</v>
      </c>
      <c r="C750" s="6">
        <f>IF(A750=A749,C749+1,1)</f>
        <v>1</v>
      </c>
      <c r="D750" t="s">
        <v>417</v>
      </c>
      <c r="E750" s="101">
        <v>2.5000000000000001E-2</v>
      </c>
      <c r="F750" s="6">
        <v>120</v>
      </c>
      <c r="G750" t="s">
        <v>1349</v>
      </c>
      <c r="H750" s="82">
        <v>2.5</v>
      </c>
      <c r="I750">
        <v>15</v>
      </c>
      <c r="J750">
        <v>44</v>
      </c>
      <c r="K750" t="s">
        <v>1677</v>
      </c>
      <c r="L750" s="6" t="s">
        <v>1640</v>
      </c>
      <c r="M750" s="6">
        <v>1</v>
      </c>
      <c r="N750" s="6">
        <v>2</v>
      </c>
      <c r="O750">
        <v>500</v>
      </c>
      <c r="P750">
        <v>202605</v>
      </c>
      <c r="Q750" t="s">
        <v>377</v>
      </c>
      <c r="R750" t="s">
        <v>1353</v>
      </c>
      <c r="S750">
        <f>Consulta1[[#This Row],[min_port]]/100</f>
        <v>1.4800000000000001E-2</v>
      </c>
      <c r="T750" s="252">
        <f>Consulta1[[#This Row],[TETO_COMERCIAL]]/100</f>
        <v>2.5000000000000001E-2</v>
      </c>
      <c r="U750" t="b">
        <f>Consulta1[[#This Row],[TETO_COMERCIAL_%]]=Consulta1[[#This Row],[TAXA]]</f>
        <v>1</v>
      </c>
      <c r="V750" t="str">
        <f>CONCATENATE(Consulta1[[#This Row],[MES_ALTERACAO]],Consulta1[[#This Row],[VIRADA]])</f>
        <v>2026051</v>
      </c>
      <c r="W750">
        <f>VLOOKUP(Consulta1[[#This Row],[Coluna2]],CALENDARIO!$J:$K,2,FALSE)</f>
        <v>0</v>
      </c>
    </row>
    <row r="751" spans="1:23" x14ac:dyDescent="0.25">
      <c r="A751" t="s">
        <v>416</v>
      </c>
      <c r="B751" t="str">
        <f>CONCATENATE(Consulta1[[#This Row],[id]],Consulta1[[#This Row],[EMPREGADOR]])</f>
        <v>2PREF BLUMENAU</v>
      </c>
      <c r="C751" s="6">
        <f>IF(A751=A750,C750+1,1)</f>
        <v>2</v>
      </c>
      <c r="D751" t="s">
        <v>712</v>
      </c>
      <c r="E751" s="101">
        <v>1.95E-2</v>
      </c>
      <c r="F751" s="6">
        <v>120</v>
      </c>
      <c r="G751" t="s">
        <v>1349</v>
      </c>
      <c r="H751" s="82">
        <v>2.5</v>
      </c>
      <c r="I751">
        <v>15</v>
      </c>
      <c r="J751">
        <v>44</v>
      </c>
      <c r="K751" t="s">
        <v>1679</v>
      </c>
      <c r="L751" s="6" t="s">
        <v>1640</v>
      </c>
      <c r="M751" s="6">
        <v>1</v>
      </c>
      <c r="N751" s="6">
        <v>2</v>
      </c>
      <c r="O751">
        <v>500</v>
      </c>
      <c r="P751">
        <v>202605</v>
      </c>
      <c r="Q751" t="s">
        <v>377</v>
      </c>
      <c r="R751" t="s">
        <v>1353</v>
      </c>
      <c r="S751">
        <f>Consulta1[[#This Row],[min_port]]/100</f>
        <v>1.4800000000000001E-2</v>
      </c>
      <c r="T751" s="252">
        <f>Consulta1[[#This Row],[TETO_COMERCIAL]]/100</f>
        <v>2.5000000000000001E-2</v>
      </c>
      <c r="U751" t="b">
        <f>Consulta1[[#This Row],[TETO_COMERCIAL_%]]=Consulta1[[#This Row],[TAXA]]</f>
        <v>0</v>
      </c>
      <c r="V751" t="str">
        <f>CONCATENATE(Consulta1[[#This Row],[MES_ALTERACAO]],Consulta1[[#This Row],[VIRADA]])</f>
        <v>2026051</v>
      </c>
      <c r="W751">
        <f>VLOOKUP(Consulta1[[#This Row],[Coluna2]],CALENDARIO!$J:$K,2,FALSE)</f>
        <v>0</v>
      </c>
    </row>
    <row r="752" spans="1:23" x14ac:dyDescent="0.25">
      <c r="A752" t="s">
        <v>416</v>
      </c>
      <c r="B752" t="str">
        <f>CONCATENATE(Consulta1[[#This Row],[id]],Consulta1[[#This Row],[EMPREGADOR]])</f>
        <v>3PREF BLUMENAU</v>
      </c>
      <c r="C752" s="6">
        <f>IF(A752=A751,C751+1,1)</f>
        <v>3</v>
      </c>
      <c r="D752" t="s">
        <v>1312</v>
      </c>
      <c r="E752" s="101">
        <v>1.8500000000000003E-2</v>
      </c>
      <c r="F752" s="6">
        <v>120</v>
      </c>
      <c r="G752" t="s">
        <v>1349</v>
      </c>
      <c r="H752" s="82">
        <v>2.5</v>
      </c>
      <c r="I752">
        <v>15</v>
      </c>
      <c r="J752">
        <v>44</v>
      </c>
      <c r="K752" t="s">
        <v>1680</v>
      </c>
      <c r="L752" s="6" t="s">
        <v>1640</v>
      </c>
      <c r="M752" s="6">
        <v>1</v>
      </c>
      <c r="N752" s="6">
        <v>2</v>
      </c>
      <c r="O752">
        <v>500</v>
      </c>
      <c r="P752">
        <v>202605</v>
      </c>
      <c r="Q752" t="s">
        <v>377</v>
      </c>
      <c r="R752" t="s">
        <v>1353</v>
      </c>
      <c r="S752">
        <f>Consulta1[[#This Row],[min_port]]/100</f>
        <v>1.4800000000000001E-2</v>
      </c>
      <c r="T752" s="252">
        <f>Consulta1[[#This Row],[TETO_COMERCIAL]]/100</f>
        <v>2.5000000000000001E-2</v>
      </c>
      <c r="U752" t="b">
        <f>Consulta1[[#This Row],[TETO_COMERCIAL_%]]=Consulta1[[#This Row],[TAXA]]</f>
        <v>0</v>
      </c>
      <c r="V752" t="str">
        <f>CONCATENATE(Consulta1[[#This Row],[MES_ALTERACAO]],Consulta1[[#This Row],[VIRADA]])</f>
        <v>2026051</v>
      </c>
      <c r="W752">
        <f>VLOOKUP(Consulta1[[#This Row],[Coluna2]],CALENDARIO!$J:$K,2,FALSE)</f>
        <v>0</v>
      </c>
    </row>
    <row r="753" spans="1:23" x14ac:dyDescent="0.25">
      <c r="A753" t="s">
        <v>416</v>
      </c>
      <c r="B753" t="str">
        <f>CONCATENATE(Consulta1[[#This Row],[id]],Consulta1[[#This Row],[EMPREGADOR]])</f>
        <v>4PREF BLUMENAU</v>
      </c>
      <c r="C753" s="6">
        <f>IF(A753=A752,C752+1,1)</f>
        <v>4</v>
      </c>
      <c r="D753" t="s">
        <v>2971</v>
      </c>
      <c r="E753" s="101">
        <v>1.7500000000000002E-2</v>
      </c>
      <c r="F753" s="6">
        <v>120</v>
      </c>
      <c r="G753" t="s">
        <v>1349</v>
      </c>
      <c r="H753" s="82">
        <v>2.5</v>
      </c>
      <c r="I753">
        <v>15</v>
      </c>
      <c r="J753">
        <v>44</v>
      </c>
      <c r="K753" t="s">
        <v>2972</v>
      </c>
      <c r="L753" s="6" t="s">
        <v>1640</v>
      </c>
      <c r="M753" s="6">
        <v>1</v>
      </c>
      <c r="N753" s="6">
        <v>2</v>
      </c>
      <c r="O753">
        <v>500</v>
      </c>
      <c r="P753">
        <v>202605</v>
      </c>
      <c r="Q753" t="s">
        <v>377</v>
      </c>
      <c r="R753" t="s">
        <v>1353</v>
      </c>
      <c r="S753">
        <f>Consulta1[[#This Row],[min_port]]/100</f>
        <v>1.4800000000000001E-2</v>
      </c>
      <c r="T753" s="252">
        <f>Consulta1[[#This Row],[TETO_COMERCIAL]]/100</f>
        <v>2.5000000000000001E-2</v>
      </c>
      <c r="U753" t="b">
        <f>Consulta1[[#This Row],[TETO_COMERCIAL_%]]=Consulta1[[#This Row],[TAXA]]</f>
        <v>0</v>
      </c>
      <c r="V753" t="str">
        <f>CONCATENATE(Consulta1[[#This Row],[MES_ALTERACAO]],Consulta1[[#This Row],[VIRADA]])</f>
        <v>2026051</v>
      </c>
      <c r="W753">
        <f>VLOOKUP(Consulta1[[#This Row],[Coluna2]],CALENDARIO!$J:$K,2,FALSE)</f>
        <v>0</v>
      </c>
    </row>
    <row r="754" spans="1:23" x14ac:dyDescent="0.25">
      <c r="A754" t="s">
        <v>416</v>
      </c>
      <c r="B754" t="str">
        <f>CONCATENATE(Consulta1[[#This Row],[id]],Consulta1[[#This Row],[EMPREGADOR]])</f>
        <v>5PREF BLUMENAU</v>
      </c>
      <c r="C754" s="6">
        <f>IF(A754=A753,C753+1,1)</f>
        <v>5</v>
      </c>
      <c r="D754" t="s">
        <v>2973</v>
      </c>
      <c r="E754" s="101">
        <v>1.7000000000000001E-2</v>
      </c>
      <c r="F754" s="6">
        <v>120</v>
      </c>
      <c r="G754" t="s">
        <v>1349</v>
      </c>
      <c r="H754" s="82">
        <v>2.5</v>
      </c>
      <c r="I754">
        <v>15</v>
      </c>
      <c r="J754">
        <v>44</v>
      </c>
      <c r="K754" t="s">
        <v>2974</v>
      </c>
      <c r="L754" s="6" t="s">
        <v>1640</v>
      </c>
      <c r="M754" s="6">
        <v>1</v>
      </c>
      <c r="N754" s="6">
        <v>2</v>
      </c>
      <c r="O754">
        <v>500</v>
      </c>
      <c r="P754">
        <v>202605</v>
      </c>
      <c r="Q754" t="s">
        <v>377</v>
      </c>
      <c r="R754" t="s">
        <v>1353</v>
      </c>
      <c r="S754">
        <f>Consulta1[[#This Row],[min_port]]/100</f>
        <v>1.4800000000000001E-2</v>
      </c>
      <c r="T754" s="252">
        <f>Consulta1[[#This Row],[TETO_COMERCIAL]]/100</f>
        <v>2.5000000000000001E-2</v>
      </c>
      <c r="U754" t="b">
        <f>Consulta1[[#This Row],[TETO_COMERCIAL_%]]=Consulta1[[#This Row],[TAXA]]</f>
        <v>0</v>
      </c>
      <c r="V754" t="str">
        <f>CONCATENATE(Consulta1[[#This Row],[MES_ALTERACAO]],Consulta1[[#This Row],[VIRADA]])</f>
        <v>2026051</v>
      </c>
      <c r="W754">
        <f>VLOOKUP(Consulta1[[#This Row],[Coluna2]],CALENDARIO!$J:$K,2,FALSE)</f>
        <v>0</v>
      </c>
    </row>
    <row r="755" spans="1:23" x14ac:dyDescent="0.25">
      <c r="A755" t="s">
        <v>79</v>
      </c>
      <c r="B755" t="str">
        <f>CONCATENATE(Consulta1[[#This Row],[id]],Consulta1[[#This Row],[EMPREGADOR]])</f>
        <v>1PREF BOA VISTA</v>
      </c>
      <c r="C755" s="6">
        <f>IF(A755=A754,C754+1,1)</f>
        <v>1</v>
      </c>
      <c r="D755" t="s">
        <v>516</v>
      </c>
      <c r="E755" s="101">
        <v>2.5000000000000001E-2</v>
      </c>
      <c r="F755" s="6">
        <v>120</v>
      </c>
      <c r="G755" t="s">
        <v>1349</v>
      </c>
      <c r="H755" s="82">
        <v>2.5</v>
      </c>
      <c r="I755">
        <v>15</v>
      </c>
      <c r="J755">
        <v>62</v>
      </c>
      <c r="K755" t="s">
        <v>1681</v>
      </c>
      <c r="L755" s="6" t="s">
        <v>1394</v>
      </c>
      <c r="M755" s="6">
        <v>10</v>
      </c>
      <c r="N755" s="6">
        <v>2</v>
      </c>
      <c r="O755">
        <v>500</v>
      </c>
      <c r="P755">
        <v>202605</v>
      </c>
      <c r="Q755" t="s">
        <v>377</v>
      </c>
      <c r="R755" t="s">
        <v>1353</v>
      </c>
      <c r="S755">
        <f>Consulta1[[#This Row],[min_port]]/100</f>
        <v>1.67E-2</v>
      </c>
      <c r="T755" s="252">
        <f>Consulta1[[#This Row],[TETO_COMERCIAL]]/100</f>
        <v>2.5000000000000001E-2</v>
      </c>
      <c r="U755" t="b">
        <f>Consulta1[[#This Row],[TETO_COMERCIAL_%]]=Consulta1[[#This Row],[TAXA]]</f>
        <v>1</v>
      </c>
      <c r="V755" t="str">
        <f>CONCATENATE(Consulta1[[#This Row],[MES_ALTERACAO]],Consulta1[[#This Row],[VIRADA]])</f>
        <v>20260510</v>
      </c>
      <c r="W755">
        <f>VLOOKUP(Consulta1[[#This Row],[Coluna2]],CALENDARIO!$J:$K,2,FALSE)</f>
        <v>5</v>
      </c>
    </row>
    <row r="756" spans="1:23" x14ac:dyDescent="0.25">
      <c r="A756" t="s">
        <v>79</v>
      </c>
      <c r="B756" t="str">
        <f>CONCATENATE(Consulta1[[#This Row],[id]],Consulta1[[#This Row],[EMPREGADOR]])</f>
        <v>2PREF BOA VISTA</v>
      </c>
      <c r="C756" s="6">
        <f>IF(A756=A755,C755+1,1)</f>
        <v>2</v>
      </c>
      <c r="D756" t="s">
        <v>606</v>
      </c>
      <c r="E756" s="101">
        <v>2.4E-2</v>
      </c>
      <c r="F756" s="6">
        <v>120</v>
      </c>
      <c r="G756" t="s">
        <v>1349</v>
      </c>
      <c r="H756" s="82">
        <v>2.5</v>
      </c>
      <c r="I756">
        <v>15</v>
      </c>
      <c r="J756">
        <v>53</v>
      </c>
      <c r="K756" t="s">
        <v>1682</v>
      </c>
      <c r="L756" s="6" t="s">
        <v>1394</v>
      </c>
      <c r="M756" s="6">
        <v>10</v>
      </c>
      <c r="N756" s="6">
        <v>2</v>
      </c>
      <c r="O756">
        <v>500</v>
      </c>
      <c r="P756">
        <v>202605</v>
      </c>
      <c r="Q756" t="s">
        <v>377</v>
      </c>
      <c r="R756" t="s">
        <v>1353</v>
      </c>
      <c r="S756">
        <f>Consulta1[[#This Row],[min_port]]/100</f>
        <v>1.67E-2</v>
      </c>
      <c r="T756" s="252">
        <f>Consulta1[[#This Row],[TETO_COMERCIAL]]/100</f>
        <v>2.5000000000000001E-2</v>
      </c>
      <c r="U756" t="b">
        <f>Consulta1[[#This Row],[TETO_COMERCIAL_%]]=Consulta1[[#This Row],[TAXA]]</f>
        <v>0</v>
      </c>
      <c r="V756" t="str">
        <f>CONCATENATE(Consulta1[[#This Row],[MES_ALTERACAO]],Consulta1[[#This Row],[VIRADA]])</f>
        <v>20260510</v>
      </c>
      <c r="W756">
        <f>VLOOKUP(Consulta1[[#This Row],[Coluna2]],CALENDARIO!$J:$K,2,FALSE)</f>
        <v>5</v>
      </c>
    </row>
    <row r="757" spans="1:23" x14ac:dyDescent="0.25">
      <c r="A757" t="s">
        <v>79</v>
      </c>
      <c r="B757" t="str">
        <f>CONCATENATE(Consulta1[[#This Row],[id]],Consulta1[[#This Row],[EMPREGADOR]])</f>
        <v>3PREF BOA VISTA</v>
      </c>
      <c r="C757" s="6">
        <f>IF(A757=A756,C756+1,1)</f>
        <v>3</v>
      </c>
      <c r="D757" t="s">
        <v>607</v>
      </c>
      <c r="E757" s="101">
        <v>2.3E-2</v>
      </c>
      <c r="F757" s="6">
        <v>120</v>
      </c>
      <c r="G757" t="s">
        <v>1349</v>
      </c>
      <c r="H757" s="82">
        <v>2.5</v>
      </c>
      <c r="I757">
        <v>15</v>
      </c>
      <c r="J757">
        <v>57</v>
      </c>
      <c r="K757" t="s">
        <v>1683</v>
      </c>
      <c r="L757" s="6" t="s">
        <v>1394</v>
      </c>
      <c r="M757" s="6">
        <v>10</v>
      </c>
      <c r="N757" s="6">
        <v>2</v>
      </c>
      <c r="O757">
        <v>500</v>
      </c>
      <c r="P757">
        <v>202605</v>
      </c>
      <c r="Q757" t="s">
        <v>377</v>
      </c>
      <c r="R757" t="s">
        <v>1353</v>
      </c>
      <c r="S757">
        <f>Consulta1[[#This Row],[min_port]]/100</f>
        <v>1.67E-2</v>
      </c>
      <c r="T757" s="252">
        <f>Consulta1[[#This Row],[TETO_COMERCIAL]]/100</f>
        <v>2.5000000000000001E-2</v>
      </c>
      <c r="U757" t="b">
        <f>Consulta1[[#This Row],[TETO_COMERCIAL_%]]=Consulta1[[#This Row],[TAXA]]</f>
        <v>0</v>
      </c>
      <c r="V757" t="str">
        <f>CONCATENATE(Consulta1[[#This Row],[MES_ALTERACAO]],Consulta1[[#This Row],[VIRADA]])</f>
        <v>20260510</v>
      </c>
      <c r="W757">
        <f>VLOOKUP(Consulta1[[#This Row],[Coluna2]],CALENDARIO!$J:$K,2,FALSE)</f>
        <v>5</v>
      </c>
    </row>
    <row r="758" spans="1:23" x14ac:dyDescent="0.25">
      <c r="A758" t="s">
        <v>79</v>
      </c>
      <c r="B758" t="str">
        <f>CONCATENATE(Consulta1[[#This Row],[id]],Consulta1[[#This Row],[EMPREGADOR]])</f>
        <v>4PREF BOA VISTA</v>
      </c>
      <c r="C758" s="6">
        <f>IF(A758=A757,C757+1,1)</f>
        <v>4</v>
      </c>
      <c r="D758" t="s">
        <v>608</v>
      </c>
      <c r="E758" s="101">
        <v>2.2000000000000002E-2</v>
      </c>
      <c r="F758" s="6">
        <v>120</v>
      </c>
      <c r="G758" t="s">
        <v>1349</v>
      </c>
      <c r="H758" s="82">
        <v>2.5</v>
      </c>
      <c r="I758">
        <v>15</v>
      </c>
      <c r="J758">
        <v>54</v>
      </c>
      <c r="K758" t="s">
        <v>1684</v>
      </c>
      <c r="L758" s="6" t="s">
        <v>1394</v>
      </c>
      <c r="M758" s="6">
        <v>10</v>
      </c>
      <c r="N758" s="6">
        <v>2</v>
      </c>
      <c r="O758">
        <v>500</v>
      </c>
      <c r="P758">
        <v>202605</v>
      </c>
      <c r="Q758" t="s">
        <v>377</v>
      </c>
      <c r="R758" t="s">
        <v>1353</v>
      </c>
      <c r="S758">
        <f>Consulta1[[#This Row],[min_port]]/100</f>
        <v>1.67E-2</v>
      </c>
      <c r="T758" s="252">
        <f>Consulta1[[#This Row],[TETO_COMERCIAL]]/100</f>
        <v>2.5000000000000001E-2</v>
      </c>
      <c r="U758" t="b">
        <f>Consulta1[[#This Row],[TETO_COMERCIAL_%]]=Consulta1[[#This Row],[TAXA]]</f>
        <v>0</v>
      </c>
      <c r="V758" t="str">
        <f>CONCATENATE(Consulta1[[#This Row],[MES_ALTERACAO]],Consulta1[[#This Row],[VIRADA]])</f>
        <v>20260510</v>
      </c>
      <c r="W758">
        <f>VLOOKUP(Consulta1[[#This Row],[Coluna2]],CALENDARIO!$J:$K,2,FALSE)</f>
        <v>5</v>
      </c>
    </row>
    <row r="759" spans="1:23" x14ac:dyDescent="0.25">
      <c r="A759" t="s">
        <v>79</v>
      </c>
      <c r="B759" t="str">
        <f>CONCATENATE(Consulta1[[#This Row],[id]],Consulta1[[#This Row],[EMPREGADOR]])</f>
        <v>5PREF BOA VISTA</v>
      </c>
      <c r="C759" s="6">
        <f>IF(A759=A758,C758+1,1)</f>
        <v>5</v>
      </c>
      <c r="D759" t="s">
        <v>713</v>
      </c>
      <c r="E759" s="101">
        <v>2.1000000000000001E-2</v>
      </c>
      <c r="F759" s="6">
        <v>120</v>
      </c>
      <c r="G759" t="s">
        <v>1349</v>
      </c>
      <c r="H759" s="82">
        <v>2.5</v>
      </c>
      <c r="I759">
        <v>15</v>
      </c>
      <c r="J759">
        <v>47</v>
      </c>
      <c r="K759" t="s">
        <v>1685</v>
      </c>
      <c r="L759" s="6" t="s">
        <v>1394</v>
      </c>
      <c r="M759" s="6">
        <v>10</v>
      </c>
      <c r="N759" s="6">
        <v>2</v>
      </c>
      <c r="O759">
        <v>500</v>
      </c>
      <c r="P759">
        <v>202605</v>
      </c>
      <c r="Q759" t="s">
        <v>377</v>
      </c>
      <c r="R759" t="s">
        <v>1353</v>
      </c>
      <c r="S759">
        <f>Consulta1[[#This Row],[min_port]]/100</f>
        <v>1.67E-2</v>
      </c>
      <c r="T759" s="252">
        <f>Consulta1[[#This Row],[TETO_COMERCIAL]]/100</f>
        <v>2.5000000000000001E-2</v>
      </c>
      <c r="U759" t="b">
        <f>Consulta1[[#This Row],[TETO_COMERCIAL_%]]=Consulta1[[#This Row],[TAXA]]</f>
        <v>0</v>
      </c>
      <c r="V759" t="str">
        <f>CONCATENATE(Consulta1[[#This Row],[MES_ALTERACAO]],Consulta1[[#This Row],[VIRADA]])</f>
        <v>20260510</v>
      </c>
      <c r="W759">
        <f>VLOOKUP(Consulta1[[#This Row],[Coluna2]],CALENDARIO!$J:$K,2,FALSE)</f>
        <v>5</v>
      </c>
    </row>
    <row r="760" spans="1:23" x14ac:dyDescent="0.25">
      <c r="A760" t="s">
        <v>79</v>
      </c>
      <c r="B760" t="str">
        <f>CONCATENATE(Consulta1[[#This Row],[id]],Consulta1[[#This Row],[EMPREGADOR]])</f>
        <v>6PREF BOA VISTA</v>
      </c>
      <c r="C760" s="6">
        <f>IF(A760=A759,C759+1,1)</f>
        <v>6</v>
      </c>
      <c r="D760" t="s">
        <v>714</v>
      </c>
      <c r="E760" s="101">
        <v>2.0499999999999997E-2</v>
      </c>
      <c r="F760" s="6">
        <v>120</v>
      </c>
      <c r="G760" t="s">
        <v>1349</v>
      </c>
      <c r="H760" s="82">
        <v>2.5</v>
      </c>
      <c r="I760">
        <v>15</v>
      </c>
      <c r="J760">
        <v>53</v>
      </c>
      <c r="K760" t="s">
        <v>1686</v>
      </c>
      <c r="L760" s="6" t="s">
        <v>1394</v>
      </c>
      <c r="M760" s="6">
        <v>10</v>
      </c>
      <c r="N760" s="6">
        <v>2</v>
      </c>
      <c r="O760">
        <v>500</v>
      </c>
      <c r="P760">
        <v>202605</v>
      </c>
      <c r="Q760" t="s">
        <v>377</v>
      </c>
      <c r="R760" t="s">
        <v>1353</v>
      </c>
      <c r="S760">
        <f>Consulta1[[#This Row],[min_port]]/100</f>
        <v>1.67E-2</v>
      </c>
      <c r="T760" s="252">
        <f>Consulta1[[#This Row],[TETO_COMERCIAL]]/100</f>
        <v>2.5000000000000001E-2</v>
      </c>
      <c r="U760" t="b">
        <f>Consulta1[[#This Row],[TETO_COMERCIAL_%]]=Consulta1[[#This Row],[TAXA]]</f>
        <v>0</v>
      </c>
      <c r="V760" t="str">
        <f>CONCATENATE(Consulta1[[#This Row],[MES_ALTERACAO]],Consulta1[[#This Row],[VIRADA]])</f>
        <v>20260510</v>
      </c>
      <c r="W760">
        <f>VLOOKUP(Consulta1[[#This Row],[Coluna2]],CALENDARIO!$J:$K,2,FALSE)</f>
        <v>5</v>
      </c>
    </row>
    <row r="761" spans="1:23" x14ac:dyDescent="0.25">
      <c r="A761" t="s">
        <v>812</v>
      </c>
      <c r="B761" t="str">
        <f>CONCATENATE(Consulta1[[#This Row],[id]],Consulta1[[#This Row],[EMPREGADOR]])</f>
        <v>1PREF BOITUVA</v>
      </c>
      <c r="C761" s="6">
        <f>IF(A761=A760,C760+1,1)</f>
        <v>1</v>
      </c>
      <c r="D761" t="s">
        <v>813</v>
      </c>
      <c r="E761" s="101">
        <v>2.5000000000000001E-2</v>
      </c>
      <c r="F761" s="6">
        <v>96</v>
      </c>
      <c r="G761" t="s">
        <v>1349</v>
      </c>
      <c r="H761" s="82">
        <v>2.5</v>
      </c>
      <c r="I761">
        <v>10</v>
      </c>
      <c r="K761" t="s">
        <v>1687</v>
      </c>
      <c r="L761" s="6" t="s">
        <v>1494</v>
      </c>
      <c r="M761" s="6">
        <v>5</v>
      </c>
      <c r="N761" s="6">
        <v>2</v>
      </c>
      <c r="O761">
        <v>500</v>
      </c>
      <c r="P761">
        <v>202605</v>
      </c>
      <c r="Q761" t="s">
        <v>377</v>
      </c>
      <c r="R761" t="s">
        <v>1353</v>
      </c>
      <c r="S761">
        <f>Consulta1[[#This Row],[min_port]]/100</f>
        <v>1.37E-2</v>
      </c>
      <c r="T761" s="252">
        <f>Consulta1[[#This Row],[TETO_COMERCIAL]]/100</f>
        <v>2.5000000000000001E-2</v>
      </c>
      <c r="U761" t="b">
        <f>Consulta1[[#This Row],[TETO_COMERCIAL_%]]=Consulta1[[#This Row],[TAXA]]</f>
        <v>1</v>
      </c>
      <c r="V761" t="str">
        <f>CONCATENATE(Consulta1[[#This Row],[MES_ALTERACAO]],Consulta1[[#This Row],[VIRADA]])</f>
        <v>2026055</v>
      </c>
      <c r="W761">
        <f>VLOOKUP(Consulta1[[#This Row],[Coluna2]],CALENDARIO!$J:$K,2,FALSE)</f>
        <v>2</v>
      </c>
    </row>
    <row r="762" spans="1:23" x14ac:dyDescent="0.25">
      <c r="A762" t="s">
        <v>812</v>
      </c>
      <c r="B762" t="str">
        <f>CONCATENATE(Consulta1[[#This Row],[id]],Consulta1[[#This Row],[EMPREGADOR]])</f>
        <v>2PREF BOITUVA</v>
      </c>
      <c r="C762" s="6">
        <f>IF(A762=A761,C761+1,1)</f>
        <v>2</v>
      </c>
      <c r="D762" t="s">
        <v>814</v>
      </c>
      <c r="E762" s="101">
        <v>2.0899999999999998E-2</v>
      </c>
      <c r="F762" s="6">
        <v>96</v>
      </c>
      <c r="G762" t="s">
        <v>1349</v>
      </c>
      <c r="H762" s="82">
        <v>2.5</v>
      </c>
      <c r="I762">
        <v>10</v>
      </c>
      <c r="J762">
        <v>37</v>
      </c>
      <c r="K762" t="s">
        <v>1688</v>
      </c>
      <c r="L762" s="6" t="s">
        <v>1494</v>
      </c>
      <c r="M762" s="6">
        <v>5</v>
      </c>
      <c r="N762" s="6">
        <v>2</v>
      </c>
      <c r="O762">
        <v>500</v>
      </c>
      <c r="P762">
        <v>202605</v>
      </c>
      <c r="Q762" t="s">
        <v>377</v>
      </c>
      <c r="R762" t="s">
        <v>1353</v>
      </c>
      <c r="S762">
        <f>Consulta1[[#This Row],[min_port]]/100</f>
        <v>1.37E-2</v>
      </c>
      <c r="T762" s="252">
        <f>Consulta1[[#This Row],[TETO_COMERCIAL]]/100</f>
        <v>2.5000000000000001E-2</v>
      </c>
      <c r="U762" t="b">
        <f>Consulta1[[#This Row],[TETO_COMERCIAL_%]]=Consulta1[[#This Row],[TAXA]]</f>
        <v>0</v>
      </c>
      <c r="V762" t="str">
        <f>CONCATENATE(Consulta1[[#This Row],[MES_ALTERACAO]],Consulta1[[#This Row],[VIRADA]])</f>
        <v>2026055</v>
      </c>
      <c r="W762">
        <f>VLOOKUP(Consulta1[[#This Row],[Coluna2]],CALENDARIO!$J:$K,2,FALSE)</f>
        <v>2</v>
      </c>
    </row>
    <row r="763" spans="1:23" x14ac:dyDescent="0.25">
      <c r="A763" t="s">
        <v>812</v>
      </c>
      <c r="B763" t="str">
        <f>CONCATENATE(Consulta1[[#This Row],[id]],Consulta1[[#This Row],[EMPREGADOR]])</f>
        <v>3PREF BOITUVA</v>
      </c>
      <c r="C763" s="6">
        <f>IF(A763=A762,C762+1,1)</f>
        <v>3</v>
      </c>
      <c r="D763" t="s">
        <v>815</v>
      </c>
      <c r="E763" s="101">
        <v>2.06E-2</v>
      </c>
      <c r="F763" s="6">
        <v>96</v>
      </c>
      <c r="G763" t="s">
        <v>1349</v>
      </c>
      <c r="H763" s="82">
        <v>2.5</v>
      </c>
      <c r="I763">
        <v>10</v>
      </c>
      <c r="K763" t="s">
        <v>1689</v>
      </c>
      <c r="L763" s="6" t="s">
        <v>1494</v>
      </c>
      <c r="M763" s="6">
        <v>5</v>
      </c>
      <c r="N763" s="6">
        <v>2</v>
      </c>
      <c r="O763">
        <v>500</v>
      </c>
      <c r="P763">
        <v>202605</v>
      </c>
      <c r="Q763" t="s">
        <v>377</v>
      </c>
      <c r="R763" t="s">
        <v>1353</v>
      </c>
      <c r="S763">
        <f>Consulta1[[#This Row],[min_port]]/100</f>
        <v>1.37E-2</v>
      </c>
      <c r="T763" s="252">
        <f>Consulta1[[#This Row],[TETO_COMERCIAL]]/100</f>
        <v>2.5000000000000001E-2</v>
      </c>
      <c r="U763" t="b">
        <f>Consulta1[[#This Row],[TETO_COMERCIAL_%]]=Consulta1[[#This Row],[TAXA]]</f>
        <v>0</v>
      </c>
      <c r="V763" t="str">
        <f>CONCATENATE(Consulta1[[#This Row],[MES_ALTERACAO]],Consulta1[[#This Row],[VIRADA]])</f>
        <v>2026055</v>
      </c>
      <c r="W763">
        <f>VLOOKUP(Consulta1[[#This Row],[Coluna2]],CALENDARIO!$J:$K,2,FALSE)</f>
        <v>2</v>
      </c>
    </row>
    <row r="764" spans="1:23" x14ac:dyDescent="0.25">
      <c r="A764" t="s">
        <v>3034</v>
      </c>
      <c r="B764" t="str">
        <f>CONCATENATE(Consulta1[[#This Row],[id]],Consulta1[[#This Row],[EMPREGADOR]])</f>
        <v>1PREF BRAGANCA</v>
      </c>
      <c r="C764" s="6">
        <f>IF(A764=A763,C763+1,1)</f>
        <v>1</v>
      </c>
      <c r="D764" t="s">
        <v>2450</v>
      </c>
      <c r="E764" s="101">
        <v>2.5000000000000001E-2</v>
      </c>
      <c r="F764" s="6">
        <v>96</v>
      </c>
      <c r="G764" t="s">
        <v>1349</v>
      </c>
      <c r="H764" s="82">
        <v>2.5</v>
      </c>
      <c r="I764">
        <v>15</v>
      </c>
      <c r="K764" t="s">
        <v>2451</v>
      </c>
      <c r="L764" s="6" t="s">
        <v>1409</v>
      </c>
      <c r="M764" s="6">
        <v>9</v>
      </c>
      <c r="N764" s="6">
        <v>2</v>
      </c>
      <c r="O764">
        <v>500</v>
      </c>
      <c r="P764">
        <v>202605</v>
      </c>
      <c r="Q764" t="s">
        <v>377</v>
      </c>
      <c r="R764" t="s">
        <v>1353</v>
      </c>
      <c r="S764">
        <f>Consulta1[[#This Row],[min_port]]/100</f>
        <v>1.55E-2</v>
      </c>
      <c r="T764" s="252">
        <f>Consulta1[[#This Row],[TETO_COMERCIAL]]/100</f>
        <v>2.5000000000000001E-2</v>
      </c>
      <c r="U764" t="b">
        <f>Consulta1[[#This Row],[TETO_COMERCIAL_%]]=Consulta1[[#This Row],[TAXA]]</f>
        <v>1</v>
      </c>
      <c r="V764" t="str">
        <f>CONCATENATE(Consulta1[[#This Row],[MES_ALTERACAO]],Consulta1[[#This Row],[VIRADA]])</f>
        <v>2026059</v>
      </c>
      <c r="W764">
        <f>VLOOKUP(Consulta1[[#This Row],[Coluna2]],CALENDARIO!$J:$K,2,FALSE)</f>
        <v>5</v>
      </c>
    </row>
    <row r="765" spans="1:23" x14ac:dyDescent="0.25">
      <c r="A765" t="s">
        <v>3034</v>
      </c>
      <c r="B765" t="str">
        <f>CONCATENATE(Consulta1[[#This Row],[id]],Consulta1[[#This Row],[EMPREGADOR]])</f>
        <v>2PREF BRAGANCA</v>
      </c>
      <c r="C765" s="6">
        <f>IF(A765=A764,C764+1,1)</f>
        <v>2</v>
      </c>
      <c r="D765" t="s">
        <v>2452</v>
      </c>
      <c r="E765" s="101">
        <v>2.3900000000000001E-2</v>
      </c>
      <c r="F765" s="6">
        <v>96</v>
      </c>
      <c r="G765" t="s">
        <v>1349</v>
      </c>
      <c r="H765" s="82">
        <v>2.5</v>
      </c>
      <c r="I765">
        <v>15</v>
      </c>
      <c r="K765" t="s">
        <v>2453</v>
      </c>
      <c r="L765" s="6" t="s">
        <v>1409</v>
      </c>
      <c r="M765" s="6">
        <v>9</v>
      </c>
      <c r="N765" s="6">
        <v>2</v>
      </c>
      <c r="O765">
        <v>500</v>
      </c>
      <c r="P765">
        <v>202605</v>
      </c>
      <c r="Q765" t="s">
        <v>377</v>
      </c>
      <c r="R765" t="s">
        <v>1353</v>
      </c>
      <c r="S765">
        <f>Consulta1[[#This Row],[min_port]]/100</f>
        <v>1.55E-2</v>
      </c>
      <c r="T765" s="252">
        <f>Consulta1[[#This Row],[TETO_COMERCIAL]]/100</f>
        <v>2.5000000000000001E-2</v>
      </c>
      <c r="U765" t="b">
        <f>Consulta1[[#This Row],[TETO_COMERCIAL_%]]=Consulta1[[#This Row],[TAXA]]</f>
        <v>0</v>
      </c>
      <c r="V765" t="str">
        <f>CONCATENATE(Consulta1[[#This Row],[MES_ALTERACAO]],Consulta1[[#This Row],[VIRADA]])</f>
        <v>2026059</v>
      </c>
      <c r="W765">
        <f>VLOOKUP(Consulta1[[#This Row],[Coluna2]],CALENDARIO!$J:$K,2,FALSE)</f>
        <v>5</v>
      </c>
    </row>
    <row r="766" spans="1:23" x14ac:dyDescent="0.25">
      <c r="A766" t="s">
        <v>3034</v>
      </c>
      <c r="B766" t="str">
        <f>CONCATENATE(Consulta1[[#This Row],[id]],Consulta1[[#This Row],[EMPREGADOR]])</f>
        <v>3PREF BRAGANCA</v>
      </c>
      <c r="C766" s="6">
        <f>IF(A766=A765,C765+1,1)</f>
        <v>3</v>
      </c>
      <c r="D766" t="s">
        <v>2454</v>
      </c>
      <c r="E766" s="101">
        <v>2.29E-2</v>
      </c>
      <c r="F766" s="6">
        <v>96</v>
      </c>
      <c r="G766" t="s">
        <v>1349</v>
      </c>
      <c r="H766" s="82">
        <v>2.5</v>
      </c>
      <c r="I766">
        <v>15</v>
      </c>
      <c r="K766" t="s">
        <v>2455</v>
      </c>
      <c r="L766" s="6" t="s">
        <v>1409</v>
      </c>
      <c r="M766" s="6">
        <v>9</v>
      </c>
      <c r="N766" s="6">
        <v>2</v>
      </c>
      <c r="O766">
        <v>500</v>
      </c>
      <c r="P766">
        <v>202605</v>
      </c>
      <c r="Q766" t="s">
        <v>377</v>
      </c>
      <c r="R766" t="s">
        <v>1353</v>
      </c>
      <c r="S766">
        <f>Consulta1[[#This Row],[min_port]]/100</f>
        <v>1.55E-2</v>
      </c>
      <c r="T766" s="252">
        <f>Consulta1[[#This Row],[TETO_COMERCIAL]]/100</f>
        <v>2.5000000000000001E-2</v>
      </c>
      <c r="U766" t="b">
        <f>Consulta1[[#This Row],[TETO_COMERCIAL_%]]=Consulta1[[#This Row],[TAXA]]</f>
        <v>0</v>
      </c>
      <c r="V766" t="str">
        <f>CONCATENATE(Consulta1[[#This Row],[MES_ALTERACAO]],Consulta1[[#This Row],[VIRADA]])</f>
        <v>2026059</v>
      </c>
      <c r="W766">
        <f>VLOOKUP(Consulta1[[#This Row],[Coluna2]],CALENDARIO!$J:$K,2,FALSE)</f>
        <v>5</v>
      </c>
    </row>
    <row r="767" spans="1:23" x14ac:dyDescent="0.25">
      <c r="A767" t="s">
        <v>3034</v>
      </c>
      <c r="B767" t="str">
        <f>CONCATENATE(Consulta1[[#This Row],[id]],Consulta1[[#This Row],[EMPREGADOR]])</f>
        <v>4PREF BRAGANCA</v>
      </c>
      <c r="C767" s="6">
        <f>IF(A767=A766,C766+1,1)</f>
        <v>4</v>
      </c>
      <c r="D767" t="s">
        <v>2456</v>
      </c>
      <c r="E767" s="101">
        <v>2.1899999999999999E-2</v>
      </c>
      <c r="F767" s="6">
        <v>96</v>
      </c>
      <c r="G767" t="s">
        <v>1349</v>
      </c>
      <c r="H767" s="82">
        <v>2.5</v>
      </c>
      <c r="I767">
        <v>15</v>
      </c>
      <c r="K767" t="s">
        <v>2457</v>
      </c>
      <c r="L767" s="6" t="s">
        <v>1409</v>
      </c>
      <c r="M767" s="6">
        <v>9</v>
      </c>
      <c r="N767" s="6">
        <v>2</v>
      </c>
      <c r="O767">
        <v>500</v>
      </c>
      <c r="P767">
        <v>202605</v>
      </c>
      <c r="Q767" t="s">
        <v>377</v>
      </c>
      <c r="R767" t="s">
        <v>1353</v>
      </c>
      <c r="S767">
        <f>Consulta1[[#This Row],[min_port]]/100</f>
        <v>1.55E-2</v>
      </c>
      <c r="T767" s="252">
        <f>Consulta1[[#This Row],[TETO_COMERCIAL]]/100</f>
        <v>2.5000000000000001E-2</v>
      </c>
      <c r="U767" t="b">
        <f>Consulta1[[#This Row],[TETO_COMERCIAL_%]]=Consulta1[[#This Row],[TAXA]]</f>
        <v>0</v>
      </c>
      <c r="V767" t="str">
        <f>CONCATENATE(Consulta1[[#This Row],[MES_ALTERACAO]],Consulta1[[#This Row],[VIRADA]])</f>
        <v>2026059</v>
      </c>
      <c r="W767">
        <f>VLOOKUP(Consulta1[[#This Row],[Coluna2]],CALENDARIO!$J:$K,2,FALSE)</f>
        <v>5</v>
      </c>
    </row>
    <row r="768" spans="1:23" x14ac:dyDescent="0.25">
      <c r="A768" t="s">
        <v>3034</v>
      </c>
      <c r="B768" t="str">
        <f>CONCATENATE(Consulta1[[#This Row],[id]],Consulta1[[#This Row],[EMPREGADOR]])</f>
        <v>5PREF BRAGANCA</v>
      </c>
      <c r="C768" s="6">
        <f>IF(A768=A767,C767+1,1)</f>
        <v>5</v>
      </c>
      <c r="D768" t="s">
        <v>2458</v>
      </c>
      <c r="E768" s="101">
        <v>2.1299999999999999E-2</v>
      </c>
      <c r="F768" s="6">
        <v>96</v>
      </c>
      <c r="G768" t="s">
        <v>1349</v>
      </c>
      <c r="H768" s="82">
        <v>2.5</v>
      </c>
      <c r="I768">
        <v>15</v>
      </c>
      <c r="K768" t="s">
        <v>2459</v>
      </c>
      <c r="L768" s="6" t="s">
        <v>1409</v>
      </c>
      <c r="M768" s="6">
        <v>9</v>
      </c>
      <c r="N768" s="6">
        <v>2</v>
      </c>
      <c r="O768">
        <v>500</v>
      </c>
      <c r="P768">
        <v>202605</v>
      </c>
      <c r="Q768" t="s">
        <v>377</v>
      </c>
      <c r="R768" t="s">
        <v>1353</v>
      </c>
      <c r="S768">
        <f>Consulta1[[#This Row],[min_port]]/100</f>
        <v>1.55E-2</v>
      </c>
      <c r="T768" s="252">
        <f>Consulta1[[#This Row],[TETO_COMERCIAL]]/100</f>
        <v>2.5000000000000001E-2</v>
      </c>
      <c r="U768" t="b">
        <f>Consulta1[[#This Row],[TETO_COMERCIAL_%]]=Consulta1[[#This Row],[TAXA]]</f>
        <v>0</v>
      </c>
      <c r="V768" t="str">
        <f>CONCATENATE(Consulta1[[#This Row],[MES_ALTERACAO]],Consulta1[[#This Row],[VIRADA]])</f>
        <v>2026059</v>
      </c>
      <c r="W768">
        <f>VLOOKUP(Consulta1[[#This Row],[Coluna2]],CALENDARIO!$J:$K,2,FALSE)</f>
        <v>5</v>
      </c>
    </row>
    <row r="769" spans="1:23" x14ac:dyDescent="0.25">
      <c r="A769" t="s">
        <v>258</v>
      </c>
      <c r="B769" t="str">
        <f>CONCATENATE(Consulta1[[#This Row],[id]],Consulta1[[#This Row],[EMPREGADOR]])</f>
        <v>1PREF BRUSQUE</v>
      </c>
      <c r="C769" s="6">
        <f>IF(A769=A768,C768+1,1)</f>
        <v>1</v>
      </c>
      <c r="D769" t="s">
        <v>259</v>
      </c>
      <c r="E769" s="101">
        <v>2.5000000000000001E-2</v>
      </c>
      <c r="F769" s="6">
        <v>120</v>
      </c>
      <c r="G769" t="s">
        <v>1349</v>
      </c>
      <c r="H769" s="82">
        <v>2.5</v>
      </c>
      <c r="I769">
        <v>10</v>
      </c>
      <c r="J769">
        <v>48</v>
      </c>
      <c r="K769" t="s">
        <v>1690</v>
      </c>
      <c r="L769" s="6" t="s">
        <v>1416</v>
      </c>
      <c r="M769" s="6">
        <v>15</v>
      </c>
      <c r="N769" s="6">
        <v>2</v>
      </c>
      <c r="O769">
        <v>500</v>
      </c>
      <c r="P769">
        <v>202605</v>
      </c>
      <c r="Q769" t="s">
        <v>377</v>
      </c>
      <c r="R769" t="s">
        <v>1350</v>
      </c>
      <c r="S769">
        <f>Consulta1[[#This Row],[min_port]]/100</f>
        <v>1.38E-2</v>
      </c>
      <c r="T769" s="252">
        <f>Consulta1[[#This Row],[TETO_COMERCIAL]]/100</f>
        <v>2.5000000000000001E-2</v>
      </c>
      <c r="U769" t="b">
        <f>Consulta1[[#This Row],[TETO_COMERCIAL_%]]=Consulta1[[#This Row],[TAXA]]</f>
        <v>1</v>
      </c>
      <c r="V769" t="str">
        <f>CONCATENATE(Consulta1[[#This Row],[MES_ALTERACAO]],Consulta1[[#This Row],[VIRADA]])</f>
        <v>20260515</v>
      </c>
      <c r="W769">
        <f>VLOOKUP(Consulta1[[#This Row],[Coluna2]],CALENDARIO!$J:$K,2,FALSE)</f>
        <v>10</v>
      </c>
    </row>
    <row r="770" spans="1:23" x14ac:dyDescent="0.25">
      <c r="A770" t="s">
        <v>258</v>
      </c>
      <c r="B770" t="str">
        <f>CONCATENATE(Consulta1[[#This Row],[id]],Consulta1[[#This Row],[EMPREGADOR]])</f>
        <v>2PREF BRUSQUE</v>
      </c>
      <c r="C770" s="6">
        <f>IF(A770=A769,C769+1,1)</f>
        <v>2</v>
      </c>
      <c r="D770" t="s">
        <v>715</v>
      </c>
      <c r="E770" s="101">
        <v>0.02</v>
      </c>
      <c r="F770" s="6">
        <v>120</v>
      </c>
      <c r="G770" t="s">
        <v>1349</v>
      </c>
      <c r="H770" s="82">
        <v>2.5</v>
      </c>
      <c r="I770">
        <v>10</v>
      </c>
      <c r="J770">
        <v>42</v>
      </c>
      <c r="K770" t="s">
        <v>1691</v>
      </c>
      <c r="L770" s="6" t="s">
        <v>1416</v>
      </c>
      <c r="M770" s="6">
        <v>15</v>
      </c>
      <c r="N770" s="6">
        <v>2</v>
      </c>
      <c r="O770">
        <v>500</v>
      </c>
      <c r="P770">
        <v>202605</v>
      </c>
      <c r="Q770" t="s">
        <v>377</v>
      </c>
      <c r="R770" t="s">
        <v>1350</v>
      </c>
      <c r="S770">
        <f>Consulta1[[#This Row],[min_port]]/100</f>
        <v>1.38E-2</v>
      </c>
      <c r="T770" s="252">
        <f>Consulta1[[#This Row],[TETO_COMERCIAL]]/100</f>
        <v>2.5000000000000001E-2</v>
      </c>
      <c r="U770" t="b">
        <f>Consulta1[[#This Row],[TETO_COMERCIAL_%]]=Consulta1[[#This Row],[TAXA]]</f>
        <v>0</v>
      </c>
      <c r="V770" t="str">
        <f>CONCATENATE(Consulta1[[#This Row],[MES_ALTERACAO]],Consulta1[[#This Row],[VIRADA]])</f>
        <v>20260515</v>
      </c>
      <c r="W770">
        <f>VLOOKUP(Consulta1[[#This Row],[Coluna2]],CALENDARIO!$J:$K,2,FALSE)</f>
        <v>10</v>
      </c>
    </row>
    <row r="771" spans="1:23" x14ac:dyDescent="0.25">
      <c r="A771" t="s">
        <v>258</v>
      </c>
      <c r="B771" t="str">
        <f>CONCATENATE(Consulta1[[#This Row],[id]],Consulta1[[#This Row],[EMPREGADOR]])</f>
        <v>3PREF BRUSQUE</v>
      </c>
      <c r="C771" s="6">
        <f>IF(A771=A770,C770+1,1)</f>
        <v>3</v>
      </c>
      <c r="D771" t="s">
        <v>2975</v>
      </c>
      <c r="E771" s="101">
        <v>1.9E-2</v>
      </c>
      <c r="F771" s="6">
        <v>120</v>
      </c>
      <c r="G771" t="s">
        <v>1349</v>
      </c>
      <c r="H771" s="82">
        <v>2.5</v>
      </c>
      <c r="I771">
        <v>10</v>
      </c>
      <c r="K771" t="s">
        <v>2976</v>
      </c>
      <c r="L771" s="6" t="s">
        <v>1416</v>
      </c>
      <c r="M771" s="6">
        <v>15</v>
      </c>
      <c r="N771" s="6">
        <v>2</v>
      </c>
      <c r="O771">
        <v>500</v>
      </c>
      <c r="P771">
        <v>202605</v>
      </c>
      <c r="Q771" t="s">
        <v>377</v>
      </c>
      <c r="R771" t="s">
        <v>1350</v>
      </c>
      <c r="S771">
        <f>Consulta1[[#This Row],[min_port]]/100</f>
        <v>1.38E-2</v>
      </c>
      <c r="T771" s="252">
        <f>Consulta1[[#This Row],[TETO_COMERCIAL]]/100</f>
        <v>2.5000000000000001E-2</v>
      </c>
      <c r="U771" t="b">
        <f>Consulta1[[#This Row],[TETO_COMERCIAL_%]]=Consulta1[[#This Row],[TAXA]]</f>
        <v>0</v>
      </c>
      <c r="V771" t="str">
        <f>CONCATENATE(Consulta1[[#This Row],[MES_ALTERACAO]],Consulta1[[#This Row],[VIRADA]])</f>
        <v>20260515</v>
      </c>
      <c r="W771">
        <f>VLOOKUP(Consulta1[[#This Row],[Coluna2]],CALENDARIO!$J:$K,2,FALSE)</f>
        <v>10</v>
      </c>
    </row>
    <row r="772" spans="1:23" x14ac:dyDescent="0.25">
      <c r="A772" t="s">
        <v>258</v>
      </c>
      <c r="B772" t="str">
        <f>CONCATENATE(Consulta1[[#This Row],[id]],Consulta1[[#This Row],[EMPREGADOR]])</f>
        <v>4PREF BRUSQUE</v>
      </c>
      <c r="C772" s="6">
        <f>IF(A772=A771,C771+1,1)</f>
        <v>4</v>
      </c>
      <c r="D772" t="s">
        <v>2977</v>
      </c>
      <c r="E772" s="101">
        <v>1.8000000000000002E-2</v>
      </c>
      <c r="F772" s="6">
        <v>120</v>
      </c>
      <c r="G772" t="s">
        <v>1349</v>
      </c>
      <c r="H772" s="82">
        <v>2.5</v>
      </c>
      <c r="I772">
        <v>10</v>
      </c>
      <c r="K772" t="s">
        <v>2978</v>
      </c>
      <c r="L772" s="6" t="s">
        <v>1416</v>
      </c>
      <c r="M772" s="6">
        <v>15</v>
      </c>
      <c r="N772" s="6">
        <v>2</v>
      </c>
      <c r="O772">
        <v>500</v>
      </c>
      <c r="P772">
        <v>202605</v>
      </c>
      <c r="Q772" t="s">
        <v>377</v>
      </c>
      <c r="R772" t="s">
        <v>1350</v>
      </c>
      <c r="S772">
        <f>Consulta1[[#This Row],[min_port]]/100</f>
        <v>1.38E-2</v>
      </c>
      <c r="T772" s="252">
        <f>Consulta1[[#This Row],[TETO_COMERCIAL]]/100</f>
        <v>2.5000000000000001E-2</v>
      </c>
      <c r="U772" t="b">
        <f>Consulta1[[#This Row],[TETO_COMERCIAL_%]]=Consulta1[[#This Row],[TAXA]]</f>
        <v>0</v>
      </c>
      <c r="V772" t="str">
        <f>CONCATENATE(Consulta1[[#This Row],[MES_ALTERACAO]],Consulta1[[#This Row],[VIRADA]])</f>
        <v>20260515</v>
      </c>
      <c r="W772">
        <f>VLOOKUP(Consulta1[[#This Row],[Coluna2]],CALENDARIO!$J:$K,2,FALSE)</f>
        <v>10</v>
      </c>
    </row>
    <row r="773" spans="1:23" x14ac:dyDescent="0.25">
      <c r="A773" t="s">
        <v>258</v>
      </c>
      <c r="B773" t="str">
        <f>CONCATENATE(Consulta1[[#This Row],[id]],Consulta1[[#This Row],[EMPREGADOR]])</f>
        <v>5PREF BRUSQUE</v>
      </c>
      <c r="C773" s="6">
        <f>IF(A773=A772,C772+1,1)</f>
        <v>5</v>
      </c>
      <c r="D773" t="s">
        <v>2979</v>
      </c>
      <c r="E773" s="101">
        <v>1.7000000000000001E-2</v>
      </c>
      <c r="F773" s="6">
        <v>120</v>
      </c>
      <c r="G773" t="s">
        <v>1349</v>
      </c>
      <c r="H773" s="82">
        <v>2.5</v>
      </c>
      <c r="I773">
        <v>10</v>
      </c>
      <c r="K773" t="s">
        <v>2980</v>
      </c>
      <c r="L773" s="6" t="s">
        <v>1416</v>
      </c>
      <c r="M773" s="6">
        <v>15</v>
      </c>
      <c r="N773" s="6">
        <v>2</v>
      </c>
      <c r="O773">
        <v>500</v>
      </c>
      <c r="P773">
        <v>202605</v>
      </c>
      <c r="Q773" t="s">
        <v>377</v>
      </c>
      <c r="R773" t="s">
        <v>1350</v>
      </c>
      <c r="S773">
        <f>Consulta1[[#This Row],[min_port]]/100</f>
        <v>1.38E-2</v>
      </c>
      <c r="T773" s="252">
        <f>Consulta1[[#This Row],[TETO_COMERCIAL]]/100</f>
        <v>2.5000000000000001E-2</v>
      </c>
      <c r="U773" t="b">
        <f>Consulta1[[#This Row],[TETO_COMERCIAL_%]]=Consulta1[[#This Row],[TAXA]]</f>
        <v>0</v>
      </c>
      <c r="V773" t="str">
        <f>CONCATENATE(Consulta1[[#This Row],[MES_ALTERACAO]],Consulta1[[#This Row],[VIRADA]])</f>
        <v>20260515</v>
      </c>
      <c r="W773">
        <f>VLOOKUP(Consulta1[[#This Row],[Coluna2]],CALENDARIO!$J:$K,2,FALSE)</f>
        <v>10</v>
      </c>
    </row>
    <row r="774" spans="1:23" x14ac:dyDescent="0.25">
      <c r="A774" t="s">
        <v>102</v>
      </c>
      <c r="B774" t="str">
        <f>CONCATENATE(Consulta1[[#This Row],[id]],Consulta1[[#This Row],[EMPREGADOR]])</f>
        <v>1PREF C GRANDE</v>
      </c>
      <c r="C774" s="6">
        <f>IF(A774=A773,C773+1,1)</f>
        <v>1</v>
      </c>
      <c r="D774" t="s">
        <v>525</v>
      </c>
      <c r="E774" s="101">
        <v>2.5000000000000001E-2</v>
      </c>
      <c r="F774" s="6">
        <v>120</v>
      </c>
      <c r="G774" t="s">
        <v>1349</v>
      </c>
      <c r="H774" s="82">
        <v>2.5</v>
      </c>
      <c r="I774">
        <v>22</v>
      </c>
      <c r="J774">
        <v>55</v>
      </c>
      <c r="K774" t="s">
        <v>1692</v>
      </c>
      <c r="L774" s="6" t="s">
        <v>1371</v>
      </c>
      <c r="M774" s="6">
        <v>6</v>
      </c>
      <c r="N774" s="6">
        <v>2</v>
      </c>
      <c r="O774">
        <v>500</v>
      </c>
      <c r="P774">
        <v>202605</v>
      </c>
      <c r="Q774" t="s">
        <v>377</v>
      </c>
      <c r="R774" t="s">
        <v>1353</v>
      </c>
      <c r="S774">
        <f>Consulta1[[#This Row],[min_port]]/100</f>
        <v>1.4499999999999999E-2</v>
      </c>
      <c r="T774" s="252">
        <f>Consulta1[[#This Row],[TETO_COMERCIAL]]/100</f>
        <v>2.5000000000000001E-2</v>
      </c>
      <c r="U774" t="b">
        <f>Consulta1[[#This Row],[TETO_COMERCIAL_%]]=Consulta1[[#This Row],[TAXA]]</f>
        <v>1</v>
      </c>
      <c r="V774" t="str">
        <f>CONCATENATE(Consulta1[[#This Row],[MES_ALTERACAO]],Consulta1[[#This Row],[VIRADA]])</f>
        <v>2026056</v>
      </c>
      <c r="W774">
        <f>VLOOKUP(Consulta1[[#This Row],[Coluna2]],CALENDARIO!$J:$K,2,FALSE)</f>
        <v>3</v>
      </c>
    </row>
    <row r="775" spans="1:23" x14ac:dyDescent="0.25">
      <c r="A775" t="s">
        <v>102</v>
      </c>
      <c r="B775" t="str">
        <f>CONCATENATE(Consulta1[[#This Row],[id]],Consulta1[[#This Row],[EMPREGADOR]])</f>
        <v>2PREF C GRANDE</v>
      </c>
      <c r="C775" s="6">
        <f>IF(A775=A774,C774+1,1)</f>
        <v>2</v>
      </c>
      <c r="D775" t="s">
        <v>526</v>
      </c>
      <c r="E775" s="101">
        <v>2.2499999999999999E-2</v>
      </c>
      <c r="F775" s="6">
        <v>120</v>
      </c>
      <c r="G775" t="s">
        <v>1349</v>
      </c>
      <c r="H775" s="82">
        <v>2.5</v>
      </c>
      <c r="I775">
        <v>22</v>
      </c>
      <c r="J775">
        <v>62</v>
      </c>
      <c r="K775" t="s">
        <v>1693</v>
      </c>
      <c r="L775" s="6" t="s">
        <v>1371</v>
      </c>
      <c r="M775" s="6">
        <v>6</v>
      </c>
      <c r="N775" s="6">
        <v>2</v>
      </c>
      <c r="O775">
        <v>500</v>
      </c>
      <c r="P775">
        <v>202605</v>
      </c>
      <c r="Q775" t="s">
        <v>377</v>
      </c>
      <c r="R775" t="s">
        <v>1353</v>
      </c>
      <c r="S775">
        <f>Consulta1[[#This Row],[min_port]]/100</f>
        <v>1.4499999999999999E-2</v>
      </c>
      <c r="T775" s="252">
        <f>Consulta1[[#This Row],[TETO_COMERCIAL]]/100</f>
        <v>2.5000000000000001E-2</v>
      </c>
      <c r="U775" t="b">
        <f>Consulta1[[#This Row],[TETO_COMERCIAL_%]]=Consulta1[[#This Row],[TAXA]]</f>
        <v>0</v>
      </c>
      <c r="V775" t="str">
        <f>CONCATENATE(Consulta1[[#This Row],[MES_ALTERACAO]],Consulta1[[#This Row],[VIRADA]])</f>
        <v>2026056</v>
      </c>
      <c r="W775">
        <f>VLOOKUP(Consulta1[[#This Row],[Coluna2]],CALENDARIO!$J:$K,2,FALSE)</f>
        <v>3</v>
      </c>
    </row>
    <row r="776" spans="1:23" x14ac:dyDescent="0.25">
      <c r="A776" t="s">
        <v>102</v>
      </c>
      <c r="B776" t="str">
        <f>CONCATENATE(Consulta1[[#This Row],[id]],Consulta1[[#This Row],[EMPREGADOR]])</f>
        <v>3PREF C GRANDE</v>
      </c>
      <c r="C776" s="6">
        <f>IF(A776=A775,C775+1,1)</f>
        <v>3</v>
      </c>
      <c r="D776" t="s">
        <v>327</v>
      </c>
      <c r="E776" s="101">
        <v>0.02</v>
      </c>
      <c r="F776" s="6">
        <v>120</v>
      </c>
      <c r="G776" t="s">
        <v>1349</v>
      </c>
      <c r="H776" s="82">
        <v>2.5</v>
      </c>
      <c r="I776">
        <v>22</v>
      </c>
      <c r="J776">
        <v>62</v>
      </c>
      <c r="K776" t="s">
        <v>1694</v>
      </c>
      <c r="L776" s="6" t="s">
        <v>1371</v>
      </c>
      <c r="M776" s="6">
        <v>6</v>
      </c>
      <c r="N776" s="6">
        <v>2</v>
      </c>
      <c r="O776">
        <v>500</v>
      </c>
      <c r="P776">
        <v>202605</v>
      </c>
      <c r="Q776" t="s">
        <v>377</v>
      </c>
      <c r="R776" t="s">
        <v>1353</v>
      </c>
      <c r="S776">
        <f>Consulta1[[#This Row],[min_port]]/100</f>
        <v>1.4499999999999999E-2</v>
      </c>
      <c r="T776" s="252">
        <f>Consulta1[[#This Row],[TETO_COMERCIAL]]/100</f>
        <v>2.5000000000000001E-2</v>
      </c>
      <c r="U776" t="b">
        <f>Consulta1[[#This Row],[TETO_COMERCIAL_%]]=Consulta1[[#This Row],[TAXA]]</f>
        <v>0</v>
      </c>
      <c r="V776" t="str">
        <f>CONCATENATE(Consulta1[[#This Row],[MES_ALTERACAO]],Consulta1[[#This Row],[VIRADA]])</f>
        <v>2026056</v>
      </c>
      <c r="W776">
        <f>VLOOKUP(Consulta1[[#This Row],[Coluna2]],CALENDARIO!$J:$K,2,FALSE)</f>
        <v>3</v>
      </c>
    </row>
    <row r="777" spans="1:23" x14ac:dyDescent="0.25">
      <c r="A777" t="s">
        <v>102</v>
      </c>
      <c r="B777" t="str">
        <f>CONCATENATE(Consulta1[[#This Row],[id]],Consulta1[[#This Row],[EMPREGADOR]])</f>
        <v>4PREF C GRANDE</v>
      </c>
      <c r="C777" s="6">
        <f>IF(A777=A776,C776+1,1)</f>
        <v>4</v>
      </c>
      <c r="D777" t="s">
        <v>963</v>
      </c>
      <c r="E777" s="101">
        <v>1.9E-2</v>
      </c>
      <c r="F777" s="6">
        <v>120</v>
      </c>
      <c r="G777" t="s">
        <v>1349</v>
      </c>
      <c r="H777" s="82">
        <v>2.5</v>
      </c>
      <c r="I777">
        <v>22</v>
      </c>
      <c r="J777">
        <v>58</v>
      </c>
      <c r="K777" t="s">
        <v>1695</v>
      </c>
      <c r="L777" s="6" t="s">
        <v>1371</v>
      </c>
      <c r="M777" s="6">
        <v>6</v>
      </c>
      <c r="N777" s="6">
        <v>2</v>
      </c>
      <c r="O777">
        <v>500</v>
      </c>
      <c r="P777">
        <v>202605</v>
      </c>
      <c r="Q777" t="s">
        <v>377</v>
      </c>
      <c r="R777" t="s">
        <v>1353</v>
      </c>
      <c r="S777">
        <f>Consulta1[[#This Row],[min_port]]/100</f>
        <v>1.4499999999999999E-2</v>
      </c>
      <c r="T777" s="252">
        <f>Consulta1[[#This Row],[TETO_COMERCIAL]]/100</f>
        <v>2.5000000000000001E-2</v>
      </c>
      <c r="U777" t="b">
        <f>Consulta1[[#This Row],[TETO_COMERCIAL_%]]=Consulta1[[#This Row],[TAXA]]</f>
        <v>0</v>
      </c>
      <c r="V777" t="str">
        <f>CONCATENATE(Consulta1[[#This Row],[MES_ALTERACAO]],Consulta1[[#This Row],[VIRADA]])</f>
        <v>2026056</v>
      </c>
      <c r="W777">
        <f>VLOOKUP(Consulta1[[#This Row],[Coluna2]],CALENDARIO!$J:$K,2,FALSE)</f>
        <v>3</v>
      </c>
    </row>
    <row r="778" spans="1:23" x14ac:dyDescent="0.25">
      <c r="A778" t="s">
        <v>102</v>
      </c>
      <c r="B778" t="str">
        <f>CONCATENATE(Consulta1[[#This Row],[id]],Consulta1[[#This Row],[EMPREGADOR]])</f>
        <v>5PREF C GRANDE</v>
      </c>
      <c r="C778" s="6">
        <f>IF(A778=A777,C777+1,1)</f>
        <v>5</v>
      </c>
      <c r="D778" t="s">
        <v>2491</v>
      </c>
      <c r="E778" s="101">
        <v>1.8700000000000001E-2</v>
      </c>
      <c r="F778" s="6">
        <v>120</v>
      </c>
      <c r="G778" t="s">
        <v>1349</v>
      </c>
      <c r="H778" s="82">
        <v>2.5</v>
      </c>
      <c r="I778">
        <v>22</v>
      </c>
      <c r="J778">
        <v>57</v>
      </c>
      <c r="K778" t="s">
        <v>2492</v>
      </c>
      <c r="L778" s="6" t="s">
        <v>1371</v>
      </c>
      <c r="M778" s="6">
        <v>6</v>
      </c>
      <c r="N778" s="6">
        <v>2</v>
      </c>
      <c r="O778">
        <v>500</v>
      </c>
      <c r="P778">
        <v>202605</v>
      </c>
      <c r="Q778" t="s">
        <v>377</v>
      </c>
      <c r="R778" t="s">
        <v>1353</v>
      </c>
      <c r="S778">
        <f>Consulta1[[#This Row],[min_port]]/100</f>
        <v>1.4499999999999999E-2</v>
      </c>
      <c r="T778" s="252">
        <f>Consulta1[[#This Row],[TETO_COMERCIAL]]/100</f>
        <v>2.5000000000000001E-2</v>
      </c>
      <c r="U778" t="b">
        <f>Consulta1[[#This Row],[TETO_COMERCIAL_%]]=Consulta1[[#This Row],[TAXA]]</f>
        <v>0</v>
      </c>
      <c r="V778" t="str">
        <f>CONCATENATE(Consulta1[[#This Row],[MES_ALTERACAO]],Consulta1[[#This Row],[VIRADA]])</f>
        <v>2026056</v>
      </c>
      <c r="W778">
        <f>VLOOKUP(Consulta1[[#This Row],[Coluna2]],CALENDARIO!$J:$K,2,FALSE)</f>
        <v>3</v>
      </c>
    </row>
    <row r="779" spans="1:23" x14ac:dyDescent="0.25">
      <c r="A779" t="s">
        <v>102</v>
      </c>
      <c r="B779" t="str">
        <f>CONCATENATE(Consulta1[[#This Row],[id]],Consulta1[[#This Row],[EMPREGADOR]])</f>
        <v>6PREF C GRANDE</v>
      </c>
      <c r="C779" s="6">
        <f>IF(A779=A778,C778+1,1)</f>
        <v>6</v>
      </c>
      <c r="D779" t="s">
        <v>2493</v>
      </c>
      <c r="E779" s="101">
        <v>1.8200000000000001E-2</v>
      </c>
      <c r="F779" s="6">
        <v>120</v>
      </c>
      <c r="G779" t="s">
        <v>1349</v>
      </c>
      <c r="H779" s="82">
        <v>2.5</v>
      </c>
      <c r="I779">
        <v>22</v>
      </c>
      <c r="J779">
        <v>56</v>
      </c>
      <c r="K779" t="s">
        <v>2494</v>
      </c>
      <c r="L779" s="6" t="s">
        <v>1371</v>
      </c>
      <c r="M779" s="6">
        <v>6</v>
      </c>
      <c r="N779" s="6">
        <v>2</v>
      </c>
      <c r="O779">
        <v>500</v>
      </c>
      <c r="P779">
        <v>202605</v>
      </c>
      <c r="Q779" t="s">
        <v>377</v>
      </c>
      <c r="R779" t="s">
        <v>1353</v>
      </c>
      <c r="S779">
        <f>Consulta1[[#This Row],[min_port]]/100</f>
        <v>1.4499999999999999E-2</v>
      </c>
      <c r="T779" s="252">
        <f>Consulta1[[#This Row],[TETO_COMERCIAL]]/100</f>
        <v>2.5000000000000001E-2</v>
      </c>
      <c r="U779" t="b">
        <f>Consulta1[[#This Row],[TETO_COMERCIAL_%]]=Consulta1[[#This Row],[TAXA]]</f>
        <v>0</v>
      </c>
      <c r="V779" t="str">
        <f>CONCATENATE(Consulta1[[#This Row],[MES_ALTERACAO]],Consulta1[[#This Row],[VIRADA]])</f>
        <v>2026056</v>
      </c>
      <c r="W779">
        <f>VLOOKUP(Consulta1[[#This Row],[Coluna2]],CALENDARIO!$J:$K,2,FALSE)</f>
        <v>3</v>
      </c>
    </row>
    <row r="780" spans="1:23" x14ac:dyDescent="0.25">
      <c r="A780" t="s">
        <v>328</v>
      </c>
      <c r="B780" t="str">
        <f>CONCATENATE(Consulta1[[#This Row],[id]],Consulta1[[#This Row],[EMPREGADOR]])</f>
        <v>1PREF C JORDAO</v>
      </c>
      <c r="C780" s="6">
        <f>IF(A780=A779,C779+1,1)</f>
        <v>1</v>
      </c>
      <c r="D780" t="s">
        <v>329</v>
      </c>
      <c r="E780" s="101">
        <v>2.5000000000000001E-2</v>
      </c>
      <c r="F780" s="6">
        <v>120</v>
      </c>
      <c r="G780" t="s">
        <v>1349</v>
      </c>
      <c r="H780" s="82">
        <v>2.5</v>
      </c>
      <c r="I780">
        <v>12</v>
      </c>
      <c r="K780" t="s">
        <v>1696</v>
      </c>
      <c r="L780" s="6" t="s">
        <v>1371</v>
      </c>
      <c r="M780" s="6">
        <v>10</v>
      </c>
      <c r="N780" s="6">
        <v>2</v>
      </c>
      <c r="O780">
        <v>500</v>
      </c>
      <c r="P780">
        <v>202605</v>
      </c>
      <c r="Q780" t="s">
        <v>377</v>
      </c>
      <c r="R780" t="s">
        <v>1353</v>
      </c>
      <c r="S780">
        <f>Consulta1[[#This Row],[min_port]]/100</f>
        <v>1.4499999999999999E-2</v>
      </c>
      <c r="T780" s="252">
        <f>Consulta1[[#This Row],[TETO_COMERCIAL]]/100</f>
        <v>2.5000000000000001E-2</v>
      </c>
      <c r="U780" t="b">
        <f>Consulta1[[#This Row],[TETO_COMERCIAL_%]]=Consulta1[[#This Row],[TAXA]]</f>
        <v>1</v>
      </c>
      <c r="V780" t="str">
        <f>CONCATENATE(Consulta1[[#This Row],[MES_ALTERACAO]],Consulta1[[#This Row],[VIRADA]])</f>
        <v>20260510</v>
      </c>
      <c r="W780">
        <f>VLOOKUP(Consulta1[[#This Row],[Coluna2]],CALENDARIO!$J:$K,2,FALSE)</f>
        <v>5</v>
      </c>
    </row>
    <row r="781" spans="1:23" x14ac:dyDescent="0.25">
      <c r="A781" t="s">
        <v>328</v>
      </c>
      <c r="B781" t="str">
        <f>CONCATENATE(Consulta1[[#This Row],[id]],Consulta1[[#This Row],[EMPREGADOR]])</f>
        <v>2PREF C JORDAO</v>
      </c>
      <c r="C781" s="6">
        <f>IF(A781=A780,C780+1,1)</f>
        <v>2</v>
      </c>
      <c r="D781" t="s">
        <v>330</v>
      </c>
      <c r="E781" s="101">
        <v>2.3900000000000001E-2</v>
      </c>
      <c r="F781" s="6">
        <v>120</v>
      </c>
      <c r="G781" t="s">
        <v>1349</v>
      </c>
      <c r="H781" s="82">
        <v>2.5</v>
      </c>
      <c r="I781">
        <v>12</v>
      </c>
      <c r="K781" t="s">
        <v>1698</v>
      </c>
      <c r="L781" s="6" t="s">
        <v>1371</v>
      </c>
      <c r="M781" s="6">
        <v>10</v>
      </c>
      <c r="N781" s="6">
        <v>2</v>
      </c>
      <c r="O781">
        <v>500</v>
      </c>
      <c r="P781">
        <v>202605</v>
      </c>
      <c r="Q781" t="s">
        <v>377</v>
      </c>
      <c r="R781" t="s">
        <v>1353</v>
      </c>
      <c r="S781">
        <f>Consulta1[[#This Row],[min_port]]/100</f>
        <v>1.4499999999999999E-2</v>
      </c>
      <c r="T781" s="252">
        <f>Consulta1[[#This Row],[TETO_COMERCIAL]]/100</f>
        <v>2.5000000000000001E-2</v>
      </c>
      <c r="U781" t="b">
        <f>Consulta1[[#This Row],[TETO_COMERCIAL_%]]=Consulta1[[#This Row],[TAXA]]</f>
        <v>0</v>
      </c>
      <c r="V781" t="str">
        <f>CONCATENATE(Consulta1[[#This Row],[MES_ALTERACAO]],Consulta1[[#This Row],[VIRADA]])</f>
        <v>20260510</v>
      </c>
      <c r="W781">
        <f>VLOOKUP(Consulta1[[#This Row],[Coluna2]],CALENDARIO!$J:$K,2,FALSE)</f>
        <v>5</v>
      </c>
    </row>
    <row r="782" spans="1:23" x14ac:dyDescent="0.25">
      <c r="A782" t="s">
        <v>328</v>
      </c>
      <c r="B782" t="str">
        <f>CONCATENATE(Consulta1[[#This Row],[id]],Consulta1[[#This Row],[EMPREGADOR]])</f>
        <v>3PREF C JORDAO</v>
      </c>
      <c r="C782" s="6">
        <f>IF(A782=A781,C781+1,1)</f>
        <v>3</v>
      </c>
      <c r="D782" t="s">
        <v>331</v>
      </c>
      <c r="E782" s="101">
        <v>2.29E-2</v>
      </c>
      <c r="F782" s="6">
        <v>120</v>
      </c>
      <c r="G782" t="s">
        <v>1349</v>
      </c>
      <c r="H782" s="82">
        <v>2.5</v>
      </c>
      <c r="I782">
        <v>12</v>
      </c>
      <c r="J782">
        <v>45</v>
      </c>
      <c r="K782" t="s">
        <v>1699</v>
      </c>
      <c r="L782" s="6" t="s">
        <v>1371</v>
      </c>
      <c r="M782" s="6">
        <v>10</v>
      </c>
      <c r="N782" s="6">
        <v>2</v>
      </c>
      <c r="O782">
        <v>500</v>
      </c>
      <c r="P782">
        <v>202605</v>
      </c>
      <c r="Q782" t="s">
        <v>377</v>
      </c>
      <c r="R782" t="s">
        <v>1353</v>
      </c>
      <c r="S782">
        <f>Consulta1[[#This Row],[min_port]]/100</f>
        <v>1.4499999999999999E-2</v>
      </c>
      <c r="T782" s="252">
        <f>Consulta1[[#This Row],[TETO_COMERCIAL]]/100</f>
        <v>2.5000000000000001E-2</v>
      </c>
      <c r="U782" t="b">
        <f>Consulta1[[#This Row],[TETO_COMERCIAL_%]]=Consulta1[[#This Row],[TAXA]]</f>
        <v>0</v>
      </c>
      <c r="V782" t="str">
        <f>CONCATENATE(Consulta1[[#This Row],[MES_ALTERACAO]],Consulta1[[#This Row],[VIRADA]])</f>
        <v>20260510</v>
      </c>
      <c r="W782">
        <f>VLOOKUP(Consulta1[[#This Row],[Coluna2]],CALENDARIO!$J:$K,2,FALSE)</f>
        <v>5</v>
      </c>
    </row>
    <row r="783" spans="1:23" x14ac:dyDescent="0.25">
      <c r="A783" t="s">
        <v>328</v>
      </c>
      <c r="B783" t="str">
        <f>CONCATENATE(Consulta1[[#This Row],[id]],Consulta1[[#This Row],[EMPREGADOR]])</f>
        <v>4PREF C JORDAO</v>
      </c>
      <c r="C783" s="6">
        <f>IF(A783=A782,C782+1,1)</f>
        <v>4</v>
      </c>
      <c r="D783" t="s">
        <v>402</v>
      </c>
      <c r="E783" s="101">
        <v>2.1899999999999999E-2</v>
      </c>
      <c r="F783" s="6">
        <v>120</v>
      </c>
      <c r="G783" t="s">
        <v>1349</v>
      </c>
      <c r="H783" s="82">
        <v>2.5</v>
      </c>
      <c r="I783">
        <v>12</v>
      </c>
      <c r="J783">
        <v>38</v>
      </c>
      <c r="K783" t="s">
        <v>1700</v>
      </c>
      <c r="L783" s="6" t="s">
        <v>1371</v>
      </c>
      <c r="M783" s="6">
        <v>10</v>
      </c>
      <c r="N783" s="6">
        <v>2</v>
      </c>
      <c r="O783">
        <v>500</v>
      </c>
      <c r="P783">
        <v>202605</v>
      </c>
      <c r="Q783" t="s">
        <v>377</v>
      </c>
      <c r="R783" t="s">
        <v>1353</v>
      </c>
      <c r="S783">
        <f>Consulta1[[#This Row],[min_port]]/100</f>
        <v>1.4499999999999999E-2</v>
      </c>
      <c r="T783" s="252">
        <f>Consulta1[[#This Row],[TETO_COMERCIAL]]/100</f>
        <v>2.5000000000000001E-2</v>
      </c>
      <c r="U783" t="b">
        <f>Consulta1[[#This Row],[TETO_COMERCIAL_%]]=Consulta1[[#This Row],[TAXA]]</f>
        <v>0</v>
      </c>
      <c r="V783" t="str">
        <f>CONCATENATE(Consulta1[[#This Row],[MES_ALTERACAO]],Consulta1[[#This Row],[VIRADA]])</f>
        <v>20260510</v>
      </c>
      <c r="W783">
        <f>VLOOKUP(Consulta1[[#This Row],[Coluna2]],CALENDARIO!$J:$K,2,FALSE)</f>
        <v>5</v>
      </c>
    </row>
    <row r="784" spans="1:23" x14ac:dyDescent="0.25">
      <c r="A784" t="s">
        <v>328</v>
      </c>
      <c r="B784" t="str">
        <f>CONCATENATE(Consulta1[[#This Row],[id]],Consulta1[[#This Row],[EMPREGADOR]])</f>
        <v>5PREF C JORDAO</v>
      </c>
      <c r="C784" s="6">
        <f>IF(A784=A783,C783+1,1)</f>
        <v>5</v>
      </c>
      <c r="D784" t="s">
        <v>3131</v>
      </c>
      <c r="E784" s="101">
        <v>2.0899999999999998E-2</v>
      </c>
      <c r="F784" s="6">
        <v>120</v>
      </c>
      <c r="G784" t="s">
        <v>1349</v>
      </c>
      <c r="H784" s="82">
        <v>2.5</v>
      </c>
      <c r="I784">
        <v>12</v>
      </c>
      <c r="K784" t="s">
        <v>3132</v>
      </c>
      <c r="L784" s="6" t="s">
        <v>1371</v>
      </c>
      <c r="M784" s="6">
        <v>10</v>
      </c>
      <c r="N784" s="6">
        <v>2</v>
      </c>
      <c r="O784">
        <v>500</v>
      </c>
      <c r="P784">
        <v>202605</v>
      </c>
      <c r="Q784" t="s">
        <v>377</v>
      </c>
      <c r="R784" t="s">
        <v>1353</v>
      </c>
      <c r="S784">
        <f>Consulta1[[#This Row],[min_port]]/100</f>
        <v>1.4499999999999999E-2</v>
      </c>
      <c r="T784" s="252">
        <f>Consulta1[[#This Row],[TETO_COMERCIAL]]/100</f>
        <v>2.5000000000000001E-2</v>
      </c>
      <c r="U784" t="b">
        <f>Consulta1[[#This Row],[TETO_COMERCIAL_%]]=Consulta1[[#This Row],[TAXA]]</f>
        <v>0</v>
      </c>
      <c r="V784" t="str">
        <f>CONCATENATE(Consulta1[[#This Row],[MES_ALTERACAO]],Consulta1[[#This Row],[VIRADA]])</f>
        <v>20260510</v>
      </c>
      <c r="W784">
        <f>VLOOKUP(Consulta1[[#This Row],[Coluna2]],CALENDARIO!$J:$K,2,FALSE)</f>
        <v>5</v>
      </c>
    </row>
    <row r="785" spans="1:23" x14ac:dyDescent="0.25">
      <c r="A785" t="s">
        <v>332</v>
      </c>
      <c r="B785" t="str">
        <f>CONCATENATE(Consulta1[[#This Row],[id]],Consulta1[[#This Row],[EMPREGADOR]])</f>
        <v>1PREF CACAPAVA</v>
      </c>
      <c r="C785" s="6">
        <f>IF(A785=A784,C784+1,1)</f>
        <v>1</v>
      </c>
      <c r="D785" t="s">
        <v>333</v>
      </c>
      <c r="E785" s="101">
        <v>2.0899999999999998E-2</v>
      </c>
      <c r="F785" s="6">
        <v>120</v>
      </c>
      <c r="G785" t="s">
        <v>1349</v>
      </c>
      <c r="H785" s="82">
        <v>2.39</v>
      </c>
      <c r="I785">
        <v>10</v>
      </c>
      <c r="J785">
        <v>45</v>
      </c>
      <c r="K785" t="s">
        <v>1701</v>
      </c>
      <c r="L785" s="6" t="s">
        <v>1372</v>
      </c>
      <c r="M785" s="6">
        <v>10</v>
      </c>
      <c r="N785" s="6">
        <v>2</v>
      </c>
      <c r="O785">
        <v>500</v>
      </c>
      <c r="P785">
        <v>202605</v>
      </c>
      <c r="Q785" t="s">
        <v>377</v>
      </c>
      <c r="R785" t="s">
        <v>1350</v>
      </c>
      <c r="S785">
        <f>Consulta1[[#This Row],[min_port]]/100</f>
        <v>1.6E-2</v>
      </c>
      <c r="T785" s="252">
        <f>Consulta1[[#This Row],[TETO_COMERCIAL]]/100</f>
        <v>2.3900000000000001E-2</v>
      </c>
      <c r="U785" t="b">
        <f>Consulta1[[#This Row],[TETO_COMERCIAL_%]]=Consulta1[[#This Row],[TAXA]]</f>
        <v>0</v>
      </c>
      <c r="V785" t="str">
        <f>CONCATENATE(Consulta1[[#This Row],[MES_ALTERACAO]],Consulta1[[#This Row],[VIRADA]])</f>
        <v>20260510</v>
      </c>
      <c r="W785">
        <f>VLOOKUP(Consulta1[[#This Row],[Coluna2]],CALENDARIO!$J:$K,2,FALSE)</f>
        <v>5</v>
      </c>
    </row>
    <row r="786" spans="1:23" x14ac:dyDescent="0.25">
      <c r="A786" t="s">
        <v>1063</v>
      </c>
      <c r="B786" t="str">
        <f>CONCATENATE(Consulta1[[#This Row],[id]],Consulta1[[#This Row],[EMPREGADOR]])</f>
        <v>1PREF CACERES</v>
      </c>
      <c r="C786" s="6">
        <f>IF(A786=A785,C785+1,1)</f>
        <v>1</v>
      </c>
      <c r="D786" t="s">
        <v>1064</v>
      </c>
      <c r="E786" s="101">
        <v>2.0499999999999997E-2</v>
      </c>
      <c r="F786" s="6">
        <v>120</v>
      </c>
      <c r="G786" t="s">
        <v>1349</v>
      </c>
      <c r="H786" s="82">
        <v>2.0499999999999998</v>
      </c>
      <c r="I786">
        <v>25</v>
      </c>
      <c r="J786">
        <v>53</v>
      </c>
      <c r="K786" t="s">
        <v>1702</v>
      </c>
      <c r="L786" s="6" t="s">
        <v>1519</v>
      </c>
      <c r="M786" s="6">
        <v>15</v>
      </c>
      <c r="N786" s="6">
        <v>2</v>
      </c>
      <c r="O786">
        <v>500</v>
      </c>
      <c r="P786">
        <v>202605</v>
      </c>
      <c r="Q786" t="s">
        <v>377</v>
      </c>
      <c r="R786" t="s">
        <v>1353</v>
      </c>
      <c r="S786">
        <f>Consulta1[[#This Row],[min_port]]/100</f>
        <v>1.3500000000000002E-2</v>
      </c>
      <c r="T786" s="252">
        <f>Consulta1[[#This Row],[TETO_COMERCIAL]]/100</f>
        <v>2.0499999999999997E-2</v>
      </c>
      <c r="U786" t="b">
        <f>Consulta1[[#This Row],[TETO_COMERCIAL_%]]=Consulta1[[#This Row],[TAXA]]</f>
        <v>1</v>
      </c>
      <c r="V786" t="str">
        <f>CONCATENATE(Consulta1[[#This Row],[MES_ALTERACAO]],Consulta1[[#This Row],[VIRADA]])</f>
        <v>20260515</v>
      </c>
      <c r="W786">
        <f>VLOOKUP(Consulta1[[#This Row],[Coluna2]],CALENDARIO!$J:$K,2,FALSE)</f>
        <v>10</v>
      </c>
    </row>
    <row r="787" spans="1:23" x14ac:dyDescent="0.25">
      <c r="A787" t="s">
        <v>1063</v>
      </c>
      <c r="B787" t="str">
        <f>CONCATENATE(Consulta1[[#This Row],[id]],Consulta1[[#This Row],[EMPREGADOR]])</f>
        <v>2PREF CACERES</v>
      </c>
      <c r="C787" s="6">
        <f>IF(A787=A786,C786+1,1)</f>
        <v>2</v>
      </c>
      <c r="D787" t="s">
        <v>1065</v>
      </c>
      <c r="E787" s="101">
        <v>0.02</v>
      </c>
      <c r="F787" s="6">
        <v>120</v>
      </c>
      <c r="G787" t="s">
        <v>1349</v>
      </c>
      <c r="H787" s="82">
        <v>2.0499999999999998</v>
      </c>
      <c r="I787">
        <v>25</v>
      </c>
      <c r="K787" t="s">
        <v>1703</v>
      </c>
      <c r="L787" s="6" t="s">
        <v>1519</v>
      </c>
      <c r="M787" s="6">
        <v>15</v>
      </c>
      <c r="N787" s="6">
        <v>2</v>
      </c>
      <c r="O787">
        <v>500</v>
      </c>
      <c r="P787">
        <v>202605</v>
      </c>
      <c r="Q787" t="s">
        <v>377</v>
      </c>
      <c r="R787" t="s">
        <v>1353</v>
      </c>
      <c r="S787">
        <f>Consulta1[[#This Row],[min_port]]/100</f>
        <v>1.3500000000000002E-2</v>
      </c>
      <c r="T787" s="252">
        <f>Consulta1[[#This Row],[TETO_COMERCIAL]]/100</f>
        <v>2.0499999999999997E-2</v>
      </c>
      <c r="U787" t="b">
        <f>Consulta1[[#This Row],[TETO_COMERCIAL_%]]=Consulta1[[#This Row],[TAXA]]</f>
        <v>0</v>
      </c>
      <c r="V787" t="str">
        <f>CONCATENATE(Consulta1[[#This Row],[MES_ALTERACAO]],Consulta1[[#This Row],[VIRADA]])</f>
        <v>20260515</v>
      </c>
      <c r="W787">
        <f>VLOOKUP(Consulta1[[#This Row],[Coluna2]],CALENDARIO!$J:$K,2,FALSE)</f>
        <v>10</v>
      </c>
    </row>
    <row r="788" spans="1:23" x14ac:dyDescent="0.25">
      <c r="A788" t="s">
        <v>1063</v>
      </c>
      <c r="B788" t="str">
        <f>CONCATENATE(Consulta1[[#This Row],[id]],Consulta1[[#This Row],[EMPREGADOR]])</f>
        <v>3PREF CACERES</v>
      </c>
      <c r="C788" s="6">
        <f>IF(A788=A787,C787+1,1)</f>
        <v>3</v>
      </c>
      <c r="D788" t="s">
        <v>1066</v>
      </c>
      <c r="E788" s="101">
        <v>1.95E-2</v>
      </c>
      <c r="F788" s="6">
        <v>120</v>
      </c>
      <c r="G788" t="s">
        <v>1349</v>
      </c>
      <c r="H788" s="82">
        <v>2.0499999999999998</v>
      </c>
      <c r="I788">
        <v>25</v>
      </c>
      <c r="J788">
        <v>64</v>
      </c>
      <c r="K788" t="s">
        <v>1704</v>
      </c>
      <c r="L788" s="6" t="s">
        <v>1519</v>
      </c>
      <c r="M788" s="6">
        <v>15</v>
      </c>
      <c r="N788" s="6">
        <v>2</v>
      </c>
      <c r="O788">
        <v>500</v>
      </c>
      <c r="P788">
        <v>202605</v>
      </c>
      <c r="Q788" t="s">
        <v>377</v>
      </c>
      <c r="R788" t="s">
        <v>1353</v>
      </c>
      <c r="S788">
        <f>Consulta1[[#This Row],[min_port]]/100</f>
        <v>1.3500000000000002E-2</v>
      </c>
      <c r="T788" s="252">
        <f>Consulta1[[#This Row],[TETO_COMERCIAL]]/100</f>
        <v>2.0499999999999997E-2</v>
      </c>
      <c r="U788" t="b">
        <f>Consulta1[[#This Row],[TETO_COMERCIAL_%]]=Consulta1[[#This Row],[TAXA]]</f>
        <v>0</v>
      </c>
      <c r="V788" t="str">
        <f>CONCATENATE(Consulta1[[#This Row],[MES_ALTERACAO]],Consulta1[[#This Row],[VIRADA]])</f>
        <v>20260515</v>
      </c>
      <c r="W788">
        <f>VLOOKUP(Consulta1[[#This Row],[Coluna2]],CALENDARIO!$J:$K,2,FALSE)</f>
        <v>10</v>
      </c>
    </row>
    <row r="789" spans="1:23" x14ac:dyDescent="0.25">
      <c r="A789" t="s">
        <v>1067</v>
      </c>
      <c r="B789" t="str">
        <f>CONCATENATE(Consulta1[[#This Row],[id]],Consulta1[[#This Row],[EMPREGADOR]])</f>
        <v>1PREF CACERES CLT</v>
      </c>
      <c r="C789" s="6">
        <f>IF(A789=A788,C788+1,1)</f>
        <v>1</v>
      </c>
      <c r="D789" t="s">
        <v>1068</v>
      </c>
      <c r="E789" s="101">
        <v>2.0499999999999997E-2</v>
      </c>
      <c r="F789" s="6">
        <v>120</v>
      </c>
      <c r="G789" t="s">
        <v>1349</v>
      </c>
      <c r="H789" s="82">
        <v>2.0499999999999998</v>
      </c>
      <c r="I789">
        <v>25</v>
      </c>
      <c r="J789">
        <v>49</v>
      </c>
      <c r="K789" t="s">
        <v>1705</v>
      </c>
      <c r="L789" s="6" t="s">
        <v>1519</v>
      </c>
      <c r="M789" s="6">
        <v>15</v>
      </c>
      <c r="N789" s="6">
        <v>2</v>
      </c>
      <c r="O789">
        <v>500</v>
      </c>
      <c r="P789">
        <v>202605</v>
      </c>
      <c r="Q789" t="s">
        <v>377</v>
      </c>
      <c r="R789" t="s">
        <v>1353</v>
      </c>
      <c r="S789">
        <f>Consulta1[[#This Row],[min_port]]/100</f>
        <v>1.3500000000000002E-2</v>
      </c>
      <c r="T789" s="252">
        <f>Consulta1[[#This Row],[TETO_COMERCIAL]]/100</f>
        <v>2.0499999999999997E-2</v>
      </c>
      <c r="U789" t="b">
        <f>Consulta1[[#This Row],[TETO_COMERCIAL_%]]=Consulta1[[#This Row],[TAXA]]</f>
        <v>1</v>
      </c>
      <c r="V789" t="str">
        <f>CONCATENATE(Consulta1[[#This Row],[MES_ALTERACAO]],Consulta1[[#This Row],[VIRADA]])</f>
        <v>20260515</v>
      </c>
      <c r="W789">
        <f>VLOOKUP(Consulta1[[#This Row],[Coluna2]],CALENDARIO!$J:$K,2,FALSE)</f>
        <v>10</v>
      </c>
    </row>
    <row r="790" spans="1:23" x14ac:dyDescent="0.25">
      <c r="A790" t="s">
        <v>1067</v>
      </c>
      <c r="B790" t="str">
        <f>CONCATENATE(Consulta1[[#This Row],[id]],Consulta1[[#This Row],[EMPREGADOR]])</f>
        <v>2PREF CACERES CLT</v>
      </c>
      <c r="C790" s="6">
        <f>IF(A790=A789,C789+1,1)</f>
        <v>2</v>
      </c>
      <c r="D790" t="s">
        <v>1069</v>
      </c>
      <c r="E790" s="101">
        <v>0.02</v>
      </c>
      <c r="F790" s="6">
        <v>120</v>
      </c>
      <c r="G790" t="s">
        <v>1349</v>
      </c>
      <c r="H790" s="82">
        <v>2.0499999999999998</v>
      </c>
      <c r="I790">
        <v>25</v>
      </c>
      <c r="K790" t="s">
        <v>1706</v>
      </c>
      <c r="L790" s="6" t="s">
        <v>1519</v>
      </c>
      <c r="M790" s="6">
        <v>15</v>
      </c>
      <c r="N790" s="6">
        <v>2</v>
      </c>
      <c r="O790">
        <v>500</v>
      </c>
      <c r="P790">
        <v>202605</v>
      </c>
      <c r="Q790" t="s">
        <v>377</v>
      </c>
      <c r="R790" t="s">
        <v>1353</v>
      </c>
      <c r="S790">
        <f>Consulta1[[#This Row],[min_port]]/100</f>
        <v>1.3500000000000002E-2</v>
      </c>
      <c r="T790" s="252">
        <f>Consulta1[[#This Row],[TETO_COMERCIAL]]/100</f>
        <v>2.0499999999999997E-2</v>
      </c>
      <c r="U790" t="b">
        <f>Consulta1[[#This Row],[TETO_COMERCIAL_%]]=Consulta1[[#This Row],[TAXA]]</f>
        <v>0</v>
      </c>
      <c r="V790" t="str">
        <f>CONCATENATE(Consulta1[[#This Row],[MES_ALTERACAO]],Consulta1[[#This Row],[VIRADA]])</f>
        <v>20260515</v>
      </c>
      <c r="W790">
        <f>VLOOKUP(Consulta1[[#This Row],[Coluna2]],CALENDARIO!$J:$K,2,FALSE)</f>
        <v>10</v>
      </c>
    </row>
    <row r="791" spans="1:23" x14ac:dyDescent="0.25">
      <c r="A791" t="s">
        <v>1067</v>
      </c>
      <c r="B791" t="str">
        <f>CONCATENATE(Consulta1[[#This Row],[id]],Consulta1[[#This Row],[EMPREGADOR]])</f>
        <v>3PREF CACERES CLT</v>
      </c>
      <c r="C791" s="6">
        <f>IF(A791=A790,C790+1,1)</f>
        <v>3</v>
      </c>
      <c r="D791" t="s">
        <v>1070</v>
      </c>
      <c r="E791" s="101">
        <v>1.95E-2</v>
      </c>
      <c r="F791" s="6">
        <v>120</v>
      </c>
      <c r="G791" t="s">
        <v>1349</v>
      </c>
      <c r="H791" s="82">
        <v>2.0499999999999998</v>
      </c>
      <c r="I791">
        <v>25</v>
      </c>
      <c r="K791" t="s">
        <v>1707</v>
      </c>
      <c r="L791" s="6" t="s">
        <v>1519</v>
      </c>
      <c r="M791" s="6">
        <v>15</v>
      </c>
      <c r="N791" s="6">
        <v>2</v>
      </c>
      <c r="O791">
        <v>500</v>
      </c>
      <c r="P791">
        <v>202605</v>
      </c>
      <c r="Q791" t="s">
        <v>377</v>
      </c>
      <c r="R791" t="s">
        <v>1353</v>
      </c>
      <c r="S791">
        <f>Consulta1[[#This Row],[min_port]]/100</f>
        <v>1.3500000000000002E-2</v>
      </c>
      <c r="T791" s="252">
        <f>Consulta1[[#This Row],[TETO_COMERCIAL]]/100</f>
        <v>2.0499999999999997E-2</v>
      </c>
      <c r="U791" t="b">
        <f>Consulta1[[#This Row],[TETO_COMERCIAL_%]]=Consulta1[[#This Row],[TAXA]]</f>
        <v>0</v>
      </c>
      <c r="V791" t="str">
        <f>CONCATENATE(Consulta1[[#This Row],[MES_ALTERACAO]],Consulta1[[#This Row],[VIRADA]])</f>
        <v>20260515</v>
      </c>
      <c r="W791">
        <f>VLOOKUP(Consulta1[[#This Row],[Coluna2]],CALENDARIO!$J:$K,2,FALSE)</f>
        <v>10</v>
      </c>
    </row>
    <row r="792" spans="1:23" x14ac:dyDescent="0.25">
      <c r="A792" t="s">
        <v>630</v>
      </c>
      <c r="B792" t="str">
        <f>CONCATENATE(Consulta1[[#This Row],[id]],Consulta1[[#This Row],[EMPREGADOR]])</f>
        <v>1PREF CAIEIRAS</v>
      </c>
      <c r="C792" s="6">
        <f>IF(A792=A791,C791+1,1)</f>
        <v>1</v>
      </c>
      <c r="D792" t="s">
        <v>631</v>
      </c>
      <c r="E792" s="101">
        <v>2.5000000000000001E-2</v>
      </c>
      <c r="F792" s="6">
        <v>96</v>
      </c>
      <c r="G792" t="s">
        <v>1349</v>
      </c>
      <c r="H792" s="82">
        <v>2.5</v>
      </c>
      <c r="I792">
        <v>10</v>
      </c>
      <c r="J792">
        <v>52</v>
      </c>
      <c r="K792" t="s">
        <v>1708</v>
      </c>
      <c r="L792" s="6" t="s">
        <v>1407</v>
      </c>
      <c r="M792" s="6">
        <v>20</v>
      </c>
      <c r="N792" s="6">
        <v>2</v>
      </c>
      <c r="O792">
        <v>500</v>
      </c>
      <c r="P792">
        <v>202605</v>
      </c>
      <c r="Q792" t="s">
        <v>377</v>
      </c>
      <c r="R792" t="s">
        <v>1353</v>
      </c>
      <c r="S792">
        <f>Consulta1[[#This Row],[min_port]]/100</f>
        <v>1.49E-2</v>
      </c>
      <c r="T792" s="252">
        <f>Consulta1[[#This Row],[TETO_COMERCIAL]]/100</f>
        <v>2.5000000000000001E-2</v>
      </c>
      <c r="U792" t="b">
        <f>Consulta1[[#This Row],[TETO_COMERCIAL_%]]=Consulta1[[#This Row],[TAXA]]</f>
        <v>1</v>
      </c>
      <c r="V792" t="str">
        <f>CONCATENATE(Consulta1[[#This Row],[MES_ALTERACAO]],Consulta1[[#This Row],[VIRADA]])</f>
        <v>20260520</v>
      </c>
      <c r="W792">
        <f>VLOOKUP(Consulta1[[#This Row],[Coluna2]],CALENDARIO!$J:$K,2,FALSE)</f>
        <v>13</v>
      </c>
    </row>
    <row r="793" spans="1:23" x14ac:dyDescent="0.25">
      <c r="A793" t="s">
        <v>630</v>
      </c>
      <c r="B793" t="str">
        <f>CONCATENATE(Consulta1[[#This Row],[id]],Consulta1[[#This Row],[EMPREGADOR]])</f>
        <v>2PREF CAIEIRAS</v>
      </c>
      <c r="C793" s="6">
        <f>IF(A793=A792,C792+1,1)</f>
        <v>2</v>
      </c>
      <c r="D793" t="s">
        <v>632</v>
      </c>
      <c r="E793" s="101">
        <v>2.3900000000000001E-2</v>
      </c>
      <c r="F793" s="6">
        <v>96</v>
      </c>
      <c r="G793" t="s">
        <v>1349</v>
      </c>
      <c r="H793" s="82">
        <v>2.5</v>
      </c>
      <c r="I793">
        <v>10</v>
      </c>
      <c r="J793">
        <v>52</v>
      </c>
      <c r="K793" t="s">
        <v>1709</v>
      </c>
      <c r="L793" s="6" t="s">
        <v>1407</v>
      </c>
      <c r="M793" s="6">
        <v>20</v>
      </c>
      <c r="N793" s="6">
        <v>2</v>
      </c>
      <c r="O793">
        <v>500</v>
      </c>
      <c r="P793">
        <v>202605</v>
      </c>
      <c r="Q793" t="s">
        <v>377</v>
      </c>
      <c r="R793" t="s">
        <v>1353</v>
      </c>
      <c r="S793">
        <f>Consulta1[[#This Row],[min_port]]/100</f>
        <v>1.49E-2</v>
      </c>
      <c r="T793" s="252">
        <f>Consulta1[[#This Row],[TETO_COMERCIAL]]/100</f>
        <v>2.5000000000000001E-2</v>
      </c>
      <c r="U793" t="b">
        <f>Consulta1[[#This Row],[TETO_COMERCIAL_%]]=Consulta1[[#This Row],[TAXA]]</f>
        <v>0</v>
      </c>
      <c r="V793" t="str">
        <f>CONCATENATE(Consulta1[[#This Row],[MES_ALTERACAO]],Consulta1[[#This Row],[VIRADA]])</f>
        <v>20260520</v>
      </c>
      <c r="W793">
        <f>VLOOKUP(Consulta1[[#This Row],[Coluna2]],CALENDARIO!$J:$K,2,FALSE)</f>
        <v>13</v>
      </c>
    </row>
    <row r="794" spans="1:23" x14ac:dyDescent="0.25">
      <c r="A794" t="s">
        <v>630</v>
      </c>
      <c r="B794" t="str">
        <f>CONCATENATE(Consulta1[[#This Row],[id]],Consulta1[[#This Row],[EMPREGADOR]])</f>
        <v>3PREF CAIEIRAS</v>
      </c>
      <c r="C794" s="6">
        <f>IF(A794=A793,C793+1,1)</f>
        <v>3</v>
      </c>
      <c r="D794" t="s">
        <v>633</v>
      </c>
      <c r="E794" s="101">
        <v>2.29E-2</v>
      </c>
      <c r="F794" s="6">
        <v>96</v>
      </c>
      <c r="G794" t="s">
        <v>1349</v>
      </c>
      <c r="H794" s="82">
        <v>2.5</v>
      </c>
      <c r="I794">
        <v>10</v>
      </c>
      <c r="J794">
        <v>52</v>
      </c>
      <c r="K794" t="s">
        <v>1710</v>
      </c>
      <c r="L794" s="6" t="s">
        <v>1407</v>
      </c>
      <c r="M794" s="6">
        <v>20</v>
      </c>
      <c r="N794" s="6">
        <v>2</v>
      </c>
      <c r="O794">
        <v>500</v>
      </c>
      <c r="P794">
        <v>202605</v>
      </c>
      <c r="Q794" t="s">
        <v>377</v>
      </c>
      <c r="R794" t="s">
        <v>1353</v>
      </c>
      <c r="S794">
        <f>Consulta1[[#This Row],[min_port]]/100</f>
        <v>1.49E-2</v>
      </c>
      <c r="T794" s="252">
        <f>Consulta1[[#This Row],[TETO_COMERCIAL]]/100</f>
        <v>2.5000000000000001E-2</v>
      </c>
      <c r="U794" t="b">
        <f>Consulta1[[#This Row],[TETO_COMERCIAL_%]]=Consulta1[[#This Row],[TAXA]]</f>
        <v>0</v>
      </c>
      <c r="V794" t="str">
        <f>CONCATENATE(Consulta1[[#This Row],[MES_ALTERACAO]],Consulta1[[#This Row],[VIRADA]])</f>
        <v>20260520</v>
      </c>
      <c r="W794">
        <f>VLOOKUP(Consulta1[[#This Row],[Coluna2]],CALENDARIO!$J:$K,2,FALSE)</f>
        <v>13</v>
      </c>
    </row>
    <row r="795" spans="1:23" x14ac:dyDescent="0.25">
      <c r="A795" t="s">
        <v>630</v>
      </c>
      <c r="B795" t="str">
        <f>CONCATENATE(Consulta1[[#This Row],[id]],Consulta1[[#This Row],[EMPREGADOR]])</f>
        <v>4PREF CAIEIRAS</v>
      </c>
      <c r="C795" s="6">
        <f>IF(A795=A794,C794+1,1)</f>
        <v>4</v>
      </c>
      <c r="D795" t="s">
        <v>1313</v>
      </c>
      <c r="E795" s="101">
        <v>2.1899999999999999E-2</v>
      </c>
      <c r="F795" s="6">
        <v>96</v>
      </c>
      <c r="G795" t="s">
        <v>1349</v>
      </c>
      <c r="H795" s="82">
        <v>2.5</v>
      </c>
      <c r="I795">
        <v>10</v>
      </c>
      <c r="J795">
        <v>52</v>
      </c>
      <c r="K795" t="s">
        <v>1711</v>
      </c>
      <c r="L795" s="6" t="s">
        <v>1407</v>
      </c>
      <c r="M795" s="6">
        <v>20</v>
      </c>
      <c r="N795" s="6">
        <v>2</v>
      </c>
      <c r="O795">
        <v>500</v>
      </c>
      <c r="P795">
        <v>202605</v>
      </c>
      <c r="Q795" t="s">
        <v>377</v>
      </c>
      <c r="R795" t="s">
        <v>1353</v>
      </c>
      <c r="S795">
        <f>Consulta1[[#This Row],[min_port]]/100</f>
        <v>1.49E-2</v>
      </c>
      <c r="T795" s="252">
        <f>Consulta1[[#This Row],[TETO_COMERCIAL]]/100</f>
        <v>2.5000000000000001E-2</v>
      </c>
      <c r="U795" t="b">
        <f>Consulta1[[#This Row],[TETO_COMERCIAL_%]]=Consulta1[[#This Row],[TAXA]]</f>
        <v>0</v>
      </c>
      <c r="V795" t="str">
        <f>CONCATENATE(Consulta1[[#This Row],[MES_ALTERACAO]],Consulta1[[#This Row],[VIRADA]])</f>
        <v>20260520</v>
      </c>
      <c r="W795">
        <f>VLOOKUP(Consulta1[[#This Row],[Coluna2]],CALENDARIO!$J:$K,2,FALSE)</f>
        <v>13</v>
      </c>
    </row>
    <row r="796" spans="1:23" x14ac:dyDescent="0.25">
      <c r="A796" t="s">
        <v>630</v>
      </c>
      <c r="B796" t="str">
        <f>CONCATENATE(Consulta1[[#This Row],[id]],Consulta1[[#This Row],[EMPREGADOR]])</f>
        <v>5PREF CAIEIRAS</v>
      </c>
      <c r="C796" s="6">
        <f>IF(A796=A795,C795+1,1)</f>
        <v>5</v>
      </c>
      <c r="D796" t="s">
        <v>1314</v>
      </c>
      <c r="E796" s="101">
        <v>2.1499999999999998E-2</v>
      </c>
      <c r="F796" s="6">
        <v>96</v>
      </c>
      <c r="G796" t="s">
        <v>1349</v>
      </c>
      <c r="H796" s="82">
        <v>2.5</v>
      </c>
      <c r="I796">
        <v>10</v>
      </c>
      <c r="J796">
        <v>52</v>
      </c>
      <c r="K796" t="s">
        <v>1712</v>
      </c>
      <c r="L796" s="6" t="s">
        <v>1407</v>
      </c>
      <c r="M796" s="6">
        <v>20</v>
      </c>
      <c r="N796" s="6">
        <v>2</v>
      </c>
      <c r="O796">
        <v>500</v>
      </c>
      <c r="P796">
        <v>202605</v>
      </c>
      <c r="Q796" t="s">
        <v>377</v>
      </c>
      <c r="R796" t="s">
        <v>1353</v>
      </c>
      <c r="S796">
        <f>Consulta1[[#This Row],[min_port]]/100</f>
        <v>1.49E-2</v>
      </c>
      <c r="T796" s="252">
        <f>Consulta1[[#This Row],[TETO_COMERCIAL]]/100</f>
        <v>2.5000000000000001E-2</v>
      </c>
      <c r="U796" t="b">
        <f>Consulta1[[#This Row],[TETO_COMERCIAL_%]]=Consulta1[[#This Row],[TAXA]]</f>
        <v>0</v>
      </c>
      <c r="V796" t="str">
        <f>CONCATENATE(Consulta1[[#This Row],[MES_ALTERACAO]],Consulta1[[#This Row],[VIRADA]])</f>
        <v>20260520</v>
      </c>
      <c r="W796">
        <f>VLOOKUP(Consulta1[[#This Row],[Coluna2]],CALENDARIO!$J:$K,2,FALSE)</f>
        <v>13</v>
      </c>
    </row>
    <row r="797" spans="1:23" x14ac:dyDescent="0.25">
      <c r="A797" t="s">
        <v>3035</v>
      </c>
      <c r="B797" t="str">
        <f>CONCATENATE(Consulta1[[#This Row],[id]],Consulta1[[#This Row],[EMPREGADOR]])</f>
        <v>1PREF CAJAMAR</v>
      </c>
      <c r="C797" s="6">
        <f>IF(A797=A796,C796+1,1)</f>
        <v>1</v>
      </c>
      <c r="D797" t="s">
        <v>1260</v>
      </c>
      <c r="E797" s="101">
        <v>2.29E-2</v>
      </c>
      <c r="F797" s="6">
        <v>120</v>
      </c>
      <c r="G797" t="s">
        <v>1349</v>
      </c>
      <c r="H797" s="82">
        <v>2.5</v>
      </c>
      <c r="I797">
        <v>20</v>
      </c>
      <c r="J797">
        <v>62</v>
      </c>
      <c r="K797" t="s">
        <v>1713</v>
      </c>
      <c r="L797" s="6" t="s">
        <v>1409</v>
      </c>
      <c r="M797" s="6">
        <v>10</v>
      </c>
      <c r="N797" s="6">
        <v>2</v>
      </c>
      <c r="O797">
        <v>500</v>
      </c>
      <c r="P797">
        <v>202605</v>
      </c>
      <c r="Q797" t="s">
        <v>377</v>
      </c>
      <c r="R797" t="s">
        <v>1353</v>
      </c>
      <c r="S797">
        <f>Consulta1[[#This Row],[min_port]]/100</f>
        <v>1.55E-2</v>
      </c>
      <c r="T797" s="252">
        <f>Consulta1[[#This Row],[TETO_COMERCIAL]]/100</f>
        <v>2.5000000000000001E-2</v>
      </c>
      <c r="U797" t="b">
        <f>Consulta1[[#This Row],[TETO_COMERCIAL_%]]=Consulta1[[#This Row],[TAXA]]</f>
        <v>0</v>
      </c>
      <c r="V797" t="str">
        <f>CONCATENATE(Consulta1[[#This Row],[MES_ALTERACAO]],Consulta1[[#This Row],[VIRADA]])</f>
        <v>20260510</v>
      </c>
      <c r="W797">
        <f>VLOOKUP(Consulta1[[#This Row],[Coluna2]],CALENDARIO!$J:$K,2,FALSE)</f>
        <v>5</v>
      </c>
    </row>
    <row r="798" spans="1:23" x14ac:dyDescent="0.25">
      <c r="A798" t="s">
        <v>3035</v>
      </c>
      <c r="B798" t="str">
        <f>CONCATENATE(Consulta1[[#This Row],[id]],Consulta1[[#This Row],[EMPREGADOR]])</f>
        <v>2PREF CAJAMAR</v>
      </c>
      <c r="C798" s="6">
        <f>IF(A798=A797,C797+1,1)</f>
        <v>2</v>
      </c>
      <c r="D798" t="s">
        <v>1261</v>
      </c>
      <c r="E798" s="101">
        <v>2.1899999999999999E-2</v>
      </c>
      <c r="F798" s="6">
        <v>120</v>
      </c>
      <c r="G798" t="s">
        <v>1349</v>
      </c>
      <c r="H798" s="82">
        <v>2.5</v>
      </c>
      <c r="I798">
        <v>20</v>
      </c>
      <c r="K798" t="s">
        <v>1714</v>
      </c>
      <c r="L798" s="6" t="s">
        <v>1409</v>
      </c>
      <c r="M798" s="6">
        <v>10</v>
      </c>
      <c r="N798" s="6">
        <v>2</v>
      </c>
      <c r="O798">
        <v>500</v>
      </c>
      <c r="P798">
        <v>202605</v>
      </c>
      <c r="Q798" t="s">
        <v>377</v>
      </c>
      <c r="R798" t="s">
        <v>1353</v>
      </c>
      <c r="S798">
        <f>Consulta1[[#This Row],[min_port]]/100</f>
        <v>1.55E-2</v>
      </c>
      <c r="T798" s="252">
        <f>Consulta1[[#This Row],[TETO_COMERCIAL]]/100</f>
        <v>2.5000000000000001E-2</v>
      </c>
      <c r="U798" t="b">
        <f>Consulta1[[#This Row],[TETO_COMERCIAL_%]]=Consulta1[[#This Row],[TAXA]]</f>
        <v>0</v>
      </c>
      <c r="V798" t="str">
        <f>CONCATENATE(Consulta1[[#This Row],[MES_ALTERACAO]],Consulta1[[#This Row],[VIRADA]])</f>
        <v>20260510</v>
      </c>
      <c r="W798">
        <f>VLOOKUP(Consulta1[[#This Row],[Coluna2]],CALENDARIO!$J:$K,2,FALSE)</f>
        <v>5</v>
      </c>
    </row>
    <row r="799" spans="1:23" x14ac:dyDescent="0.25">
      <c r="A799" t="s">
        <v>3035</v>
      </c>
      <c r="B799" t="str">
        <f>CONCATENATE(Consulta1[[#This Row],[id]],Consulta1[[#This Row],[EMPREGADOR]])</f>
        <v>3PREF CAJAMAR</v>
      </c>
      <c r="C799" s="6">
        <f>IF(A799=A798,C798+1,1)</f>
        <v>3</v>
      </c>
      <c r="D799" t="s">
        <v>1262</v>
      </c>
      <c r="E799" s="101">
        <v>2.0899999999999998E-2</v>
      </c>
      <c r="F799" s="6">
        <v>120</v>
      </c>
      <c r="G799" t="s">
        <v>1349</v>
      </c>
      <c r="H799" s="82">
        <v>2.5</v>
      </c>
      <c r="I799">
        <v>20</v>
      </c>
      <c r="K799" t="s">
        <v>1715</v>
      </c>
      <c r="L799" s="6" t="s">
        <v>1409</v>
      </c>
      <c r="M799" s="6">
        <v>10</v>
      </c>
      <c r="N799" s="6">
        <v>2</v>
      </c>
      <c r="O799">
        <v>500</v>
      </c>
      <c r="P799">
        <v>202605</v>
      </c>
      <c r="Q799" t="s">
        <v>377</v>
      </c>
      <c r="R799" t="s">
        <v>1353</v>
      </c>
      <c r="S799">
        <f>Consulta1[[#This Row],[min_port]]/100</f>
        <v>1.55E-2</v>
      </c>
      <c r="T799" s="252">
        <f>Consulta1[[#This Row],[TETO_COMERCIAL]]/100</f>
        <v>2.5000000000000001E-2</v>
      </c>
      <c r="U799" t="b">
        <f>Consulta1[[#This Row],[TETO_COMERCIAL_%]]=Consulta1[[#This Row],[TAXA]]</f>
        <v>0</v>
      </c>
      <c r="V799" t="str">
        <f>CONCATENATE(Consulta1[[#This Row],[MES_ALTERACAO]],Consulta1[[#This Row],[VIRADA]])</f>
        <v>20260510</v>
      </c>
      <c r="W799">
        <f>VLOOKUP(Consulta1[[#This Row],[Coluna2]],CALENDARIO!$J:$K,2,FALSE)</f>
        <v>5</v>
      </c>
    </row>
    <row r="800" spans="1:23" x14ac:dyDescent="0.25">
      <c r="A800" t="s">
        <v>3035</v>
      </c>
      <c r="B800" t="str">
        <f>CONCATENATE(Consulta1[[#This Row],[id]],Consulta1[[#This Row],[EMPREGADOR]])</f>
        <v>4PREF CAJAMAR</v>
      </c>
      <c r="C800" s="6">
        <f>IF(A800=A799,C799+1,1)</f>
        <v>4</v>
      </c>
      <c r="D800" t="s">
        <v>1263</v>
      </c>
      <c r="E800" s="101">
        <v>2.0299999999999999E-2</v>
      </c>
      <c r="F800" s="6">
        <v>120</v>
      </c>
      <c r="G800" t="s">
        <v>1349</v>
      </c>
      <c r="H800" s="82">
        <v>2.5</v>
      </c>
      <c r="I800">
        <v>20</v>
      </c>
      <c r="K800" t="s">
        <v>1716</v>
      </c>
      <c r="L800" s="6" t="s">
        <v>1409</v>
      </c>
      <c r="M800" s="6">
        <v>10</v>
      </c>
      <c r="N800" s="6">
        <v>2</v>
      </c>
      <c r="O800">
        <v>500</v>
      </c>
      <c r="P800">
        <v>202605</v>
      </c>
      <c r="Q800" t="s">
        <v>377</v>
      </c>
      <c r="R800" t="s">
        <v>1353</v>
      </c>
      <c r="S800">
        <f>Consulta1[[#This Row],[min_port]]/100</f>
        <v>1.55E-2</v>
      </c>
      <c r="T800" s="252">
        <f>Consulta1[[#This Row],[TETO_COMERCIAL]]/100</f>
        <v>2.5000000000000001E-2</v>
      </c>
      <c r="U800" t="b">
        <f>Consulta1[[#This Row],[TETO_COMERCIAL_%]]=Consulta1[[#This Row],[TAXA]]</f>
        <v>0</v>
      </c>
      <c r="V800" t="str">
        <f>CONCATENATE(Consulta1[[#This Row],[MES_ALTERACAO]],Consulta1[[#This Row],[VIRADA]])</f>
        <v>20260510</v>
      </c>
      <c r="W800">
        <f>VLOOKUP(Consulta1[[#This Row],[Coluna2]],CALENDARIO!$J:$K,2,FALSE)</f>
        <v>5</v>
      </c>
    </row>
    <row r="801" spans="1:23" x14ac:dyDescent="0.25">
      <c r="A801" t="s">
        <v>334</v>
      </c>
      <c r="B801" t="str">
        <f>CONCATENATE(Consulta1[[#This Row],[id]],Consulta1[[#This Row],[EMPREGADOR]])</f>
        <v>1PREF CAJATI SP</v>
      </c>
      <c r="C801" s="6">
        <f>IF(A801=A800,C800+1,1)</f>
        <v>1</v>
      </c>
      <c r="D801" t="s">
        <v>1059</v>
      </c>
      <c r="E801" s="101">
        <v>2.5000000000000001E-2</v>
      </c>
      <c r="F801" s="6">
        <v>96</v>
      </c>
      <c r="G801" t="s">
        <v>1349</v>
      </c>
      <c r="H801" s="82">
        <v>2.5</v>
      </c>
      <c r="I801">
        <v>20</v>
      </c>
      <c r="J801">
        <v>57</v>
      </c>
      <c r="K801" t="s">
        <v>1717</v>
      </c>
      <c r="L801" s="6" t="s">
        <v>1616</v>
      </c>
      <c r="M801" s="6">
        <v>15</v>
      </c>
      <c r="N801" s="6">
        <v>2</v>
      </c>
      <c r="O801">
        <v>500</v>
      </c>
      <c r="P801">
        <v>202605</v>
      </c>
      <c r="Q801" t="s">
        <v>377</v>
      </c>
      <c r="R801" t="s">
        <v>1353</v>
      </c>
      <c r="S801">
        <f>Consulta1[[#This Row],[min_port]]/100</f>
        <v>1.5900000000000001E-2</v>
      </c>
      <c r="T801" s="252">
        <f>Consulta1[[#This Row],[TETO_COMERCIAL]]/100</f>
        <v>2.5000000000000001E-2</v>
      </c>
      <c r="U801" t="b">
        <f>Consulta1[[#This Row],[TETO_COMERCIAL_%]]=Consulta1[[#This Row],[TAXA]]</f>
        <v>1</v>
      </c>
      <c r="V801" t="str">
        <f>CONCATENATE(Consulta1[[#This Row],[MES_ALTERACAO]],Consulta1[[#This Row],[VIRADA]])</f>
        <v>20260515</v>
      </c>
      <c r="W801">
        <f>VLOOKUP(Consulta1[[#This Row],[Coluna2]],CALENDARIO!$J:$K,2,FALSE)</f>
        <v>10</v>
      </c>
    </row>
    <row r="802" spans="1:23" x14ac:dyDescent="0.25">
      <c r="A802" t="s">
        <v>334</v>
      </c>
      <c r="B802" t="str">
        <f>CONCATENATE(Consulta1[[#This Row],[id]],Consulta1[[#This Row],[EMPREGADOR]])</f>
        <v>2PREF CAJATI SP</v>
      </c>
      <c r="C802" s="6">
        <f>IF(A802=A801,C801+1,1)</f>
        <v>2</v>
      </c>
      <c r="D802" t="s">
        <v>1060</v>
      </c>
      <c r="E802" s="101">
        <v>2.3900000000000001E-2</v>
      </c>
      <c r="F802" s="6">
        <v>96</v>
      </c>
      <c r="G802" t="s">
        <v>1349</v>
      </c>
      <c r="H802" s="82">
        <v>2.5</v>
      </c>
      <c r="I802">
        <v>20</v>
      </c>
      <c r="J802">
        <v>57</v>
      </c>
      <c r="K802" t="s">
        <v>1718</v>
      </c>
      <c r="L802" s="6" t="s">
        <v>1616</v>
      </c>
      <c r="M802" s="6">
        <v>15</v>
      </c>
      <c r="N802" s="6">
        <v>2</v>
      </c>
      <c r="O802">
        <v>500</v>
      </c>
      <c r="P802">
        <v>202605</v>
      </c>
      <c r="Q802" t="s">
        <v>377</v>
      </c>
      <c r="R802" t="s">
        <v>1353</v>
      </c>
      <c r="S802">
        <f>Consulta1[[#This Row],[min_port]]/100</f>
        <v>1.5900000000000001E-2</v>
      </c>
      <c r="T802" s="252">
        <f>Consulta1[[#This Row],[TETO_COMERCIAL]]/100</f>
        <v>2.5000000000000001E-2</v>
      </c>
      <c r="U802" t="b">
        <f>Consulta1[[#This Row],[TETO_COMERCIAL_%]]=Consulta1[[#This Row],[TAXA]]</f>
        <v>0</v>
      </c>
      <c r="V802" t="str">
        <f>CONCATENATE(Consulta1[[#This Row],[MES_ALTERACAO]],Consulta1[[#This Row],[VIRADA]])</f>
        <v>20260515</v>
      </c>
      <c r="W802">
        <f>VLOOKUP(Consulta1[[#This Row],[Coluna2]],CALENDARIO!$J:$K,2,FALSE)</f>
        <v>10</v>
      </c>
    </row>
    <row r="803" spans="1:23" x14ac:dyDescent="0.25">
      <c r="A803" t="s">
        <v>334</v>
      </c>
      <c r="B803" t="str">
        <f>CONCATENATE(Consulta1[[#This Row],[id]],Consulta1[[#This Row],[EMPREGADOR]])</f>
        <v>3PREF CAJATI SP</v>
      </c>
      <c r="C803" s="6">
        <f>IF(A803=A802,C802+1,1)</f>
        <v>3</v>
      </c>
      <c r="D803" t="s">
        <v>1061</v>
      </c>
      <c r="E803" s="101">
        <v>2.29E-2</v>
      </c>
      <c r="F803" s="6">
        <v>96</v>
      </c>
      <c r="G803" t="s">
        <v>1349</v>
      </c>
      <c r="H803" s="82">
        <v>2.5</v>
      </c>
      <c r="I803">
        <v>20</v>
      </c>
      <c r="J803">
        <v>57</v>
      </c>
      <c r="K803" t="s">
        <v>1719</v>
      </c>
      <c r="L803" s="6" t="s">
        <v>1616</v>
      </c>
      <c r="M803" s="6">
        <v>15</v>
      </c>
      <c r="N803" s="6">
        <v>2</v>
      </c>
      <c r="O803">
        <v>500</v>
      </c>
      <c r="P803">
        <v>202605</v>
      </c>
      <c r="Q803" t="s">
        <v>377</v>
      </c>
      <c r="R803" t="s">
        <v>1353</v>
      </c>
      <c r="S803">
        <f>Consulta1[[#This Row],[min_port]]/100</f>
        <v>1.5900000000000001E-2</v>
      </c>
      <c r="T803" s="252">
        <f>Consulta1[[#This Row],[TETO_COMERCIAL]]/100</f>
        <v>2.5000000000000001E-2</v>
      </c>
      <c r="U803" t="b">
        <f>Consulta1[[#This Row],[TETO_COMERCIAL_%]]=Consulta1[[#This Row],[TAXA]]</f>
        <v>0</v>
      </c>
      <c r="V803" t="str">
        <f>CONCATENATE(Consulta1[[#This Row],[MES_ALTERACAO]],Consulta1[[#This Row],[VIRADA]])</f>
        <v>20260515</v>
      </c>
      <c r="W803">
        <f>VLOOKUP(Consulta1[[#This Row],[Coluna2]],CALENDARIO!$J:$K,2,FALSE)</f>
        <v>10</v>
      </c>
    </row>
    <row r="804" spans="1:23" x14ac:dyDescent="0.25">
      <c r="A804" t="s">
        <v>334</v>
      </c>
      <c r="B804" t="str">
        <f>CONCATENATE(Consulta1[[#This Row],[id]],Consulta1[[#This Row],[EMPREGADOR]])</f>
        <v>4PREF CAJATI SP</v>
      </c>
      <c r="C804" s="6">
        <f>IF(A804=A803,C803+1,1)</f>
        <v>4</v>
      </c>
      <c r="D804" t="s">
        <v>1062</v>
      </c>
      <c r="E804" s="101">
        <v>2.1899999999999999E-2</v>
      </c>
      <c r="F804" s="6">
        <v>96</v>
      </c>
      <c r="G804" t="s">
        <v>1349</v>
      </c>
      <c r="H804" s="82">
        <v>2.5</v>
      </c>
      <c r="I804">
        <v>20</v>
      </c>
      <c r="J804">
        <v>57</v>
      </c>
      <c r="K804" t="s">
        <v>1720</v>
      </c>
      <c r="L804" s="6" t="s">
        <v>1616</v>
      </c>
      <c r="M804" s="6">
        <v>15</v>
      </c>
      <c r="N804" s="6">
        <v>2</v>
      </c>
      <c r="O804">
        <v>500</v>
      </c>
      <c r="P804">
        <v>202605</v>
      </c>
      <c r="Q804" t="s">
        <v>377</v>
      </c>
      <c r="R804" t="s">
        <v>1353</v>
      </c>
      <c r="S804">
        <f>Consulta1[[#This Row],[min_port]]/100</f>
        <v>1.5900000000000001E-2</v>
      </c>
      <c r="T804" s="252">
        <f>Consulta1[[#This Row],[TETO_COMERCIAL]]/100</f>
        <v>2.5000000000000001E-2</v>
      </c>
      <c r="U804" t="b">
        <f>Consulta1[[#This Row],[TETO_COMERCIAL_%]]=Consulta1[[#This Row],[TAXA]]</f>
        <v>0</v>
      </c>
      <c r="V804" t="str">
        <f>CONCATENATE(Consulta1[[#This Row],[MES_ALTERACAO]],Consulta1[[#This Row],[VIRADA]])</f>
        <v>20260515</v>
      </c>
      <c r="W804">
        <f>VLOOKUP(Consulta1[[#This Row],[Coluna2]],CALENDARIO!$J:$K,2,FALSE)</f>
        <v>10</v>
      </c>
    </row>
    <row r="805" spans="1:23" x14ac:dyDescent="0.25">
      <c r="A805" t="s">
        <v>634</v>
      </c>
      <c r="B805" t="str">
        <f>CONCATENATE(Consulta1[[#This Row],[id]],Consulta1[[#This Row],[EMPREGADOR]])</f>
        <v>1PREF CAMAÇARI</v>
      </c>
      <c r="C805" s="6">
        <f>IF(A805=A804,C804+1,1)</f>
        <v>1</v>
      </c>
      <c r="D805" t="s">
        <v>635</v>
      </c>
      <c r="E805" s="101">
        <v>2.5000000000000001E-2</v>
      </c>
      <c r="F805" s="6">
        <v>120</v>
      </c>
      <c r="G805" t="s">
        <v>1349</v>
      </c>
      <c r="H805" s="82">
        <v>2.5</v>
      </c>
      <c r="I805">
        <v>10</v>
      </c>
      <c r="J805">
        <v>31</v>
      </c>
      <c r="K805" t="s">
        <v>1721</v>
      </c>
      <c r="L805" s="6" t="s">
        <v>1372</v>
      </c>
      <c r="M805" s="6">
        <v>10</v>
      </c>
      <c r="N805" s="6">
        <v>2</v>
      </c>
      <c r="O805">
        <v>500</v>
      </c>
      <c r="P805">
        <v>202605</v>
      </c>
      <c r="Q805" t="s">
        <v>377</v>
      </c>
      <c r="R805" t="s">
        <v>1350</v>
      </c>
      <c r="S805">
        <f>Consulta1[[#This Row],[min_port]]/100</f>
        <v>1.6E-2</v>
      </c>
      <c r="T805" s="252">
        <f>Consulta1[[#This Row],[TETO_COMERCIAL]]/100</f>
        <v>2.5000000000000001E-2</v>
      </c>
      <c r="U805" t="b">
        <f>Consulta1[[#This Row],[TETO_COMERCIAL_%]]=Consulta1[[#This Row],[TAXA]]</f>
        <v>1</v>
      </c>
      <c r="V805" t="str">
        <f>CONCATENATE(Consulta1[[#This Row],[MES_ALTERACAO]],Consulta1[[#This Row],[VIRADA]])</f>
        <v>20260510</v>
      </c>
      <c r="W805">
        <f>VLOOKUP(Consulta1[[#This Row],[Coluna2]],CALENDARIO!$J:$K,2,FALSE)</f>
        <v>5</v>
      </c>
    </row>
    <row r="806" spans="1:23" x14ac:dyDescent="0.25">
      <c r="A806" t="s">
        <v>634</v>
      </c>
      <c r="B806" t="str">
        <f>CONCATENATE(Consulta1[[#This Row],[id]],Consulta1[[#This Row],[EMPREGADOR]])</f>
        <v>2PREF CAMAÇARI</v>
      </c>
      <c r="C806" s="6">
        <f>IF(A806=A805,C805+1,1)</f>
        <v>2</v>
      </c>
      <c r="D806" t="s">
        <v>636</v>
      </c>
      <c r="E806" s="101">
        <v>2.4E-2</v>
      </c>
      <c r="F806" s="6">
        <v>120</v>
      </c>
      <c r="G806" t="s">
        <v>1349</v>
      </c>
      <c r="H806" s="82">
        <v>2.5</v>
      </c>
      <c r="I806">
        <v>10</v>
      </c>
      <c r="J806">
        <v>48</v>
      </c>
      <c r="K806" t="s">
        <v>1722</v>
      </c>
      <c r="L806" s="6" t="s">
        <v>1372</v>
      </c>
      <c r="M806" s="6">
        <v>10</v>
      </c>
      <c r="N806" s="6">
        <v>2</v>
      </c>
      <c r="O806">
        <v>500</v>
      </c>
      <c r="P806">
        <v>202605</v>
      </c>
      <c r="Q806" t="s">
        <v>377</v>
      </c>
      <c r="R806" t="s">
        <v>1350</v>
      </c>
      <c r="S806">
        <f>Consulta1[[#This Row],[min_port]]/100</f>
        <v>1.6E-2</v>
      </c>
      <c r="T806" s="252">
        <f>Consulta1[[#This Row],[TETO_COMERCIAL]]/100</f>
        <v>2.5000000000000001E-2</v>
      </c>
      <c r="U806" t="b">
        <f>Consulta1[[#This Row],[TETO_COMERCIAL_%]]=Consulta1[[#This Row],[TAXA]]</f>
        <v>0</v>
      </c>
      <c r="V806" t="str">
        <f>CONCATENATE(Consulta1[[#This Row],[MES_ALTERACAO]],Consulta1[[#This Row],[VIRADA]])</f>
        <v>20260510</v>
      </c>
      <c r="W806">
        <f>VLOOKUP(Consulta1[[#This Row],[Coluna2]],CALENDARIO!$J:$K,2,FALSE)</f>
        <v>5</v>
      </c>
    </row>
    <row r="807" spans="1:23" x14ac:dyDescent="0.25">
      <c r="A807" t="s">
        <v>634</v>
      </c>
      <c r="B807" t="str">
        <f>CONCATENATE(Consulta1[[#This Row],[id]],Consulta1[[#This Row],[EMPREGADOR]])</f>
        <v>3PREF CAMAÇARI</v>
      </c>
      <c r="C807" s="6">
        <f>IF(A807=A806,C806+1,1)</f>
        <v>3</v>
      </c>
      <c r="D807" t="s">
        <v>637</v>
      </c>
      <c r="E807" s="101">
        <v>2.35E-2</v>
      </c>
      <c r="F807" s="6">
        <v>120</v>
      </c>
      <c r="G807" t="s">
        <v>1349</v>
      </c>
      <c r="H807" s="82">
        <v>2.5</v>
      </c>
      <c r="I807">
        <v>10</v>
      </c>
      <c r="J807">
        <v>49</v>
      </c>
      <c r="K807" t="s">
        <v>1723</v>
      </c>
      <c r="L807" s="6" t="s">
        <v>1372</v>
      </c>
      <c r="M807" s="6">
        <v>10</v>
      </c>
      <c r="N807" s="6">
        <v>2</v>
      </c>
      <c r="O807">
        <v>500</v>
      </c>
      <c r="P807">
        <v>202605</v>
      </c>
      <c r="Q807" t="s">
        <v>377</v>
      </c>
      <c r="R807" t="s">
        <v>1350</v>
      </c>
      <c r="S807">
        <f>Consulta1[[#This Row],[min_port]]/100</f>
        <v>1.6E-2</v>
      </c>
      <c r="T807" s="252">
        <f>Consulta1[[#This Row],[TETO_COMERCIAL]]/100</f>
        <v>2.5000000000000001E-2</v>
      </c>
      <c r="U807" t="b">
        <f>Consulta1[[#This Row],[TETO_COMERCIAL_%]]=Consulta1[[#This Row],[TAXA]]</f>
        <v>0</v>
      </c>
      <c r="V807" t="str">
        <f>CONCATENATE(Consulta1[[#This Row],[MES_ALTERACAO]],Consulta1[[#This Row],[VIRADA]])</f>
        <v>20260510</v>
      </c>
      <c r="W807">
        <f>VLOOKUP(Consulta1[[#This Row],[Coluna2]],CALENDARIO!$J:$K,2,FALSE)</f>
        <v>5</v>
      </c>
    </row>
    <row r="808" spans="1:23" x14ac:dyDescent="0.25">
      <c r="A808" t="s">
        <v>634</v>
      </c>
      <c r="B808" t="str">
        <f>CONCATENATE(Consulta1[[#This Row],[id]],Consulta1[[#This Row],[EMPREGADOR]])</f>
        <v>4PREF CAMAÇARI</v>
      </c>
      <c r="C808" s="6">
        <f>IF(A808=A807,C807+1,1)</f>
        <v>4</v>
      </c>
      <c r="D808" t="s">
        <v>638</v>
      </c>
      <c r="E808" s="101">
        <v>2.3099999999999999E-2</v>
      </c>
      <c r="F808" s="6">
        <v>120</v>
      </c>
      <c r="G808" t="s">
        <v>1349</v>
      </c>
      <c r="H808" s="82">
        <v>2.5</v>
      </c>
      <c r="I808">
        <v>10</v>
      </c>
      <c r="K808" t="s">
        <v>1724</v>
      </c>
      <c r="L808" s="6" t="s">
        <v>1372</v>
      </c>
      <c r="M808" s="6">
        <v>10</v>
      </c>
      <c r="N808" s="6">
        <v>2</v>
      </c>
      <c r="O808">
        <v>500</v>
      </c>
      <c r="P808">
        <v>202605</v>
      </c>
      <c r="Q808" t="s">
        <v>377</v>
      </c>
      <c r="R808" t="s">
        <v>1350</v>
      </c>
      <c r="S808">
        <f>Consulta1[[#This Row],[min_port]]/100</f>
        <v>1.6E-2</v>
      </c>
      <c r="T808" s="252">
        <f>Consulta1[[#This Row],[TETO_COMERCIAL]]/100</f>
        <v>2.5000000000000001E-2</v>
      </c>
      <c r="U808" t="b">
        <f>Consulta1[[#This Row],[TETO_COMERCIAL_%]]=Consulta1[[#This Row],[TAXA]]</f>
        <v>0</v>
      </c>
      <c r="V808" t="str">
        <f>CONCATENATE(Consulta1[[#This Row],[MES_ALTERACAO]],Consulta1[[#This Row],[VIRADA]])</f>
        <v>20260510</v>
      </c>
      <c r="W808">
        <f>VLOOKUP(Consulta1[[#This Row],[Coluna2]],CALENDARIO!$J:$K,2,FALSE)</f>
        <v>5</v>
      </c>
    </row>
    <row r="809" spans="1:23" x14ac:dyDescent="0.25">
      <c r="A809" t="s">
        <v>634</v>
      </c>
      <c r="B809" t="str">
        <f>CONCATENATE(Consulta1[[#This Row],[id]],Consulta1[[#This Row],[EMPREGADOR]])</f>
        <v>5PREF CAMAÇARI</v>
      </c>
      <c r="C809" s="6">
        <f>IF(A809=A808,C808+1,1)</f>
        <v>5</v>
      </c>
      <c r="D809" t="s">
        <v>639</v>
      </c>
      <c r="E809" s="101">
        <v>2.2499999999999999E-2</v>
      </c>
      <c r="F809" s="6">
        <v>120</v>
      </c>
      <c r="G809" t="s">
        <v>1349</v>
      </c>
      <c r="H809" s="82">
        <v>2.5</v>
      </c>
      <c r="I809">
        <v>10</v>
      </c>
      <c r="J809">
        <v>39</v>
      </c>
      <c r="K809" t="s">
        <v>1725</v>
      </c>
      <c r="L809" s="6" t="s">
        <v>1372</v>
      </c>
      <c r="M809" s="6">
        <v>10</v>
      </c>
      <c r="N809" s="6">
        <v>2</v>
      </c>
      <c r="O809">
        <v>500</v>
      </c>
      <c r="P809">
        <v>202605</v>
      </c>
      <c r="Q809" t="s">
        <v>377</v>
      </c>
      <c r="R809" t="s">
        <v>1350</v>
      </c>
      <c r="S809">
        <f>Consulta1[[#This Row],[min_port]]/100</f>
        <v>1.6E-2</v>
      </c>
      <c r="T809" s="252">
        <f>Consulta1[[#This Row],[TETO_COMERCIAL]]/100</f>
        <v>2.5000000000000001E-2</v>
      </c>
      <c r="U809" t="b">
        <f>Consulta1[[#This Row],[TETO_COMERCIAL_%]]=Consulta1[[#This Row],[TAXA]]</f>
        <v>0</v>
      </c>
      <c r="V809" t="str">
        <f>CONCATENATE(Consulta1[[#This Row],[MES_ALTERACAO]],Consulta1[[#This Row],[VIRADA]])</f>
        <v>20260510</v>
      </c>
      <c r="W809">
        <f>VLOOKUP(Consulta1[[#This Row],[Coluna2]],CALENDARIO!$J:$K,2,FALSE)</f>
        <v>5</v>
      </c>
    </row>
    <row r="810" spans="1:23" x14ac:dyDescent="0.25">
      <c r="A810" t="s">
        <v>964</v>
      </c>
      <c r="B810" t="str">
        <f>CONCATENATE(Consulta1[[#This Row],[id]],Consulta1[[#This Row],[EMPREGADOR]])</f>
        <v>1PREF CANELA RS</v>
      </c>
      <c r="C810" s="6">
        <f>IF(A810=A809,C809+1,1)</f>
        <v>1</v>
      </c>
      <c r="D810" t="s">
        <v>965</v>
      </c>
      <c r="E810" s="101">
        <v>2.5000000000000001E-2</v>
      </c>
      <c r="F810" s="6">
        <v>120</v>
      </c>
      <c r="G810" t="s">
        <v>1349</v>
      </c>
      <c r="H810" s="82">
        <v>2.5</v>
      </c>
      <c r="I810">
        <v>25</v>
      </c>
      <c r="K810" t="s">
        <v>1726</v>
      </c>
      <c r="L810" s="6" t="s">
        <v>1605</v>
      </c>
      <c r="M810" s="6">
        <v>18</v>
      </c>
      <c r="N810" s="6">
        <v>2</v>
      </c>
      <c r="O810">
        <v>500</v>
      </c>
      <c r="P810">
        <v>202605</v>
      </c>
      <c r="Q810" t="s">
        <v>377</v>
      </c>
      <c r="R810" t="s">
        <v>1353</v>
      </c>
      <c r="S810">
        <f>Consulta1[[#This Row],[min_port]]/100</f>
        <v>1.43E-2</v>
      </c>
      <c r="T810" s="252">
        <f>Consulta1[[#This Row],[TETO_COMERCIAL]]/100</f>
        <v>2.5000000000000001E-2</v>
      </c>
      <c r="U810" t="b">
        <f>Consulta1[[#This Row],[TETO_COMERCIAL_%]]=Consulta1[[#This Row],[TAXA]]</f>
        <v>1</v>
      </c>
      <c r="V810" t="str">
        <f>CONCATENATE(Consulta1[[#This Row],[MES_ALTERACAO]],Consulta1[[#This Row],[VIRADA]])</f>
        <v>20260518</v>
      </c>
      <c r="W810">
        <f>VLOOKUP(Consulta1[[#This Row],[Coluna2]],CALENDARIO!$J:$K,2,FALSE)</f>
        <v>11</v>
      </c>
    </row>
    <row r="811" spans="1:23" x14ac:dyDescent="0.25">
      <c r="A811" t="s">
        <v>964</v>
      </c>
      <c r="B811" t="str">
        <f>CONCATENATE(Consulta1[[#This Row],[id]],Consulta1[[#This Row],[EMPREGADOR]])</f>
        <v>2PREF CANELA RS</v>
      </c>
      <c r="C811" s="6">
        <f>IF(A811=A810,C810+1,1)</f>
        <v>2</v>
      </c>
      <c r="D811" t="s">
        <v>966</v>
      </c>
      <c r="E811" s="101">
        <v>2.0499999999999997E-2</v>
      </c>
      <c r="F811" s="6">
        <v>120</v>
      </c>
      <c r="G811" t="s">
        <v>1349</v>
      </c>
      <c r="H811" s="82">
        <v>2.5</v>
      </c>
      <c r="I811">
        <v>25</v>
      </c>
      <c r="K811" t="s">
        <v>1727</v>
      </c>
      <c r="L811" s="6" t="s">
        <v>1605</v>
      </c>
      <c r="M811" s="6">
        <v>18</v>
      </c>
      <c r="N811" s="6">
        <v>2</v>
      </c>
      <c r="O811">
        <v>500</v>
      </c>
      <c r="P811">
        <v>202605</v>
      </c>
      <c r="Q811" t="s">
        <v>377</v>
      </c>
      <c r="R811" t="s">
        <v>1353</v>
      </c>
      <c r="S811">
        <f>Consulta1[[#This Row],[min_port]]/100</f>
        <v>1.43E-2</v>
      </c>
      <c r="T811" s="252">
        <f>Consulta1[[#This Row],[TETO_COMERCIAL]]/100</f>
        <v>2.5000000000000001E-2</v>
      </c>
      <c r="U811" t="b">
        <f>Consulta1[[#This Row],[TETO_COMERCIAL_%]]=Consulta1[[#This Row],[TAXA]]</f>
        <v>0</v>
      </c>
      <c r="V811" t="str">
        <f>CONCATENATE(Consulta1[[#This Row],[MES_ALTERACAO]],Consulta1[[#This Row],[VIRADA]])</f>
        <v>20260518</v>
      </c>
      <c r="W811">
        <f>VLOOKUP(Consulta1[[#This Row],[Coluna2]],CALENDARIO!$J:$K,2,FALSE)</f>
        <v>11</v>
      </c>
    </row>
    <row r="812" spans="1:23" x14ac:dyDescent="0.25">
      <c r="A812" t="s">
        <v>964</v>
      </c>
      <c r="B812" t="str">
        <f>CONCATENATE(Consulta1[[#This Row],[id]],Consulta1[[#This Row],[EMPREGADOR]])</f>
        <v>3PREF CANELA RS</v>
      </c>
      <c r="C812" s="6">
        <f>IF(A812=A811,C811+1,1)</f>
        <v>3</v>
      </c>
      <c r="D812" t="s">
        <v>967</v>
      </c>
      <c r="E812" s="101">
        <v>1.95E-2</v>
      </c>
      <c r="F812" s="6">
        <v>120</v>
      </c>
      <c r="G812" t="s">
        <v>1349</v>
      </c>
      <c r="H812" s="82">
        <v>2.5</v>
      </c>
      <c r="I812">
        <v>25</v>
      </c>
      <c r="K812" t="s">
        <v>1728</v>
      </c>
      <c r="L812" s="6" t="s">
        <v>1605</v>
      </c>
      <c r="M812" s="6">
        <v>18</v>
      </c>
      <c r="N812" s="6">
        <v>2</v>
      </c>
      <c r="O812">
        <v>500</v>
      </c>
      <c r="P812">
        <v>202605</v>
      </c>
      <c r="Q812" t="s">
        <v>377</v>
      </c>
      <c r="R812" t="s">
        <v>1353</v>
      </c>
      <c r="S812">
        <f>Consulta1[[#This Row],[min_port]]/100</f>
        <v>1.43E-2</v>
      </c>
      <c r="T812" s="252">
        <f>Consulta1[[#This Row],[TETO_COMERCIAL]]/100</f>
        <v>2.5000000000000001E-2</v>
      </c>
      <c r="U812" t="b">
        <f>Consulta1[[#This Row],[TETO_COMERCIAL_%]]=Consulta1[[#This Row],[TAXA]]</f>
        <v>0</v>
      </c>
      <c r="V812" t="str">
        <f>CONCATENATE(Consulta1[[#This Row],[MES_ALTERACAO]],Consulta1[[#This Row],[VIRADA]])</f>
        <v>20260518</v>
      </c>
      <c r="W812">
        <f>VLOOKUP(Consulta1[[#This Row],[Coluna2]],CALENDARIO!$J:$K,2,FALSE)</f>
        <v>11</v>
      </c>
    </row>
    <row r="813" spans="1:23" x14ac:dyDescent="0.25">
      <c r="A813" t="s">
        <v>964</v>
      </c>
      <c r="B813" t="str">
        <f>CONCATENATE(Consulta1[[#This Row],[id]],Consulta1[[#This Row],[EMPREGADOR]])</f>
        <v>4PREF CANELA RS</v>
      </c>
      <c r="C813" s="6">
        <f>IF(A813=A812,C812+1,1)</f>
        <v>4</v>
      </c>
      <c r="D813" t="s">
        <v>968</v>
      </c>
      <c r="E813" s="101">
        <v>1.89E-2</v>
      </c>
      <c r="F813" s="6">
        <v>120</v>
      </c>
      <c r="G813" t="s">
        <v>1349</v>
      </c>
      <c r="H813" s="82">
        <v>2.5</v>
      </c>
      <c r="I813">
        <v>25</v>
      </c>
      <c r="K813" t="s">
        <v>1729</v>
      </c>
      <c r="L813" s="6" t="s">
        <v>1605</v>
      </c>
      <c r="M813" s="6">
        <v>18</v>
      </c>
      <c r="N813" s="6">
        <v>2</v>
      </c>
      <c r="O813">
        <v>500</v>
      </c>
      <c r="P813">
        <v>202605</v>
      </c>
      <c r="Q813" t="s">
        <v>377</v>
      </c>
      <c r="R813" t="s">
        <v>1353</v>
      </c>
      <c r="S813">
        <f>Consulta1[[#This Row],[min_port]]/100</f>
        <v>1.43E-2</v>
      </c>
      <c r="T813" s="252">
        <f>Consulta1[[#This Row],[TETO_COMERCIAL]]/100</f>
        <v>2.5000000000000001E-2</v>
      </c>
      <c r="U813" t="b">
        <f>Consulta1[[#This Row],[TETO_COMERCIAL_%]]=Consulta1[[#This Row],[TAXA]]</f>
        <v>0</v>
      </c>
      <c r="V813" t="str">
        <f>CONCATENATE(Consulta1[[#This Row],[MES_ALTERACAO]],Consulta1[[#This Row],[VIRADA]])</f>
        <v>20260518</v>
      </c>
      <c r="W813">
        <f>VLOOKUP(Consulta1[[#This Row],[Coluna2]],CALENDARIO!$J:$K,2,FALSE)</f>
        <v>11</v>
      </c>
    </row>
    <row r="814" spans="1:23" x14ac:dyDescent="0.25">
      <c r="A814" t="s">
        <v>548</v>
      </c>
      <c r="B814" t="str">
        <f>CONCATENATE(Consulta1[[#This Row],[id]],Consulta1[[#This Row],[EMPREGADOR]])</f>
        <v>1PREF CAPIVARI</v>
      </c>
      <c r="C814" s="6">
        <f>IF(A814=A813,C813+1,1)</f>
        <v>1</v>
      </c>
      <c r="D814" t="s">
        <v>549</v>
      </c>
      <c r="E814" s="101">
        <v>2.5000000000000001E-2</v>
      </c>
      <c r="F814" s="6">
        <v>120</v>
      </c>
      <c r="G814" t="s">
        <v>1349</v>
      </c>
      <c r="H814" s="82">
        <v>2.5</v>
      </c>
      <c r="I814">
        <v>11</v>
      </c>
      <c r="K814" t="s">
        <v>1730</v>
      </c>
      <c r="L814" s="6" t="s">
        <v>1731</v>
      </c>
      <c r="M814" s="6">
        <v>18</v>
      </c>
      <c r="N814" s="6">
        <v>2</v>
      </c>
      <c r="O814">
        <v>500</v>
      </c>
      <c r="P814">
        <v>202605</v>
      </c>
      <c r="Q814" t="s">
        <v>377</v>
      </c>
      <c r="R814" t="s">
        <v>1350</v>
      </c>
      <c r="S814">
        <f>Consulta1[[#This Row],[min_port]]/100</f>
        <v>1.3600000000000001E-2</v>
      </c>
      <c r="T814" s="252">
        <f>Consulta1[[#This Row],[TETO_COMERCIAL]]/100</f>
        <v>2.5000000000000001E-2</v>
      </c>
      <c r="U814" t="b">
        <f>Consulta1[[#This Row],[TETO_COMERCIAL_%]]=Consulta1[[#This Row],[TAXA]]</f>
        <v>1</v>
      </c>
      <c r="V814" t="str">
        <f>CONCATENATE(Consulta1[[#This Row],[MES_ALTERACAO]],Consulta1[[#This Row],[VIRADA]])</f>
        <v>20260518</v>
      </c>
      <c r="W814">
        <f>VLOOKUP(Consulta1[[#This Row],[Coluna2]],CALENDARIO!$J:$K,2,FALSE)</f>
        <v>11</v>
      </c>
    </row>
    <row r="815" spans="1:23" x14ac:dyDescent="0.25">
      <c r="A815" t="s">
        <v>548</v>
      </c>
      <c r="B815" t="str">
        <f>CONCATENATE(Consulta1[[#This Row],[id]],Consulta1[[#This Row],[EMPREGADOR]])</f>
        <v>2PREF CAPIVARI</v>
      </c>
      <c r="C815" s="6">
        <f>IF(A815=A814,C814+1,1)</f>
        <v>2</v>
      </c>
      <c r="D815" t="s">
        <v>550</v>
      </c>
      <c r="E815" s="101">
        <v>1.9599999999999999E-2</v>
      </c>
      <c r="F815" s="6">
        <v>120</v>
      </c>
      <c r="G815" t="s">
        <v>1349</v>
      </c>
      <c r="H815" s="82">
        <v>2.5</v>
      </c>
      <c r="I815">
        <v>11</v>
      </c>
      <c r="J815">
        <v>36</v>
      </c>
      <c r="K815" t="s">
        <v>1732</v>
      </c>
      <c r="L815" s="6" t="s">
        <v>1731</v>
      </c>
      <c r="M815" s="6">
        <v>18</v>
      </c>
      <c r="N815" s="6">
        <v>2</v>
      </c>
      <c r="O815">
        <v>500</v>
      </c>
      <c r="P815">
        <v>202605</v>
      </c>
      <c r="Q815" t="s">
        <v>377</v>
      </c>
      <c r="R815" t="s">
        <v>1350</v>
      </c>
      <c r="S815">
        <f>Consulta1[[#This Row],[min_port]]/100</f>
        <v>1.3600000000000001E-2</v>
      </c>
      <c r="T815" s="252">
        <f>Consulta1[[#This Row],[TETO_COMERCIAL]]/100</f>
        <v>2.5000000000000001E-2</v>
      </c>
      <c r="U815" t="b">
        <f>Consulta1[[#This Row],[TETO_COMERCIAL_%]]=Consulta1[[#This Row],[TAXA]]</f>
        <v>0</v>
      </c>
      <c r="V815" t="str">
        <f>CONCATENATE(Consulta1[[#This Row],[MES_ALTERACAO]],Consulta1[[#This Row],[VIRADA]])</f>
        <v>20260518</v>
      </c>
      <c r="W815">
        <f>VLOOKUP(Consulta1[[#This Row],[Coluna2]],CALENDARIO!$J:$K,2,FALSE)</f>
        <v>11</v>
      </c>
    </row>
    <row r="816" spans="1:23" x14ac:dyDescent="0.25">
      <c r="A816" t="s">
        <v>548</v>
      </c>
      <c r="B816" t="str">
        <f>CONCATENATE(Consulta1[[#This Row],[id]],Consulta1[[#This Row],[EMPREGADOR]])</f>
        <v>3PREF CAPIVARI</v>
      </c>
      <c r="C816" s="6">
        <f>IF(A816=A815,C815+1,1)</f>
        <v>3</v>
      </c>
      <c r="D816" t="s">
        <v>551</v>
      </c>
      <c r="E816" s="101">
        <v>1.9400000000000001E-2</v>
      </c>
      <c r="F816" s="6">
        <v>120</v>
      </c>
      <c r="G816" t="s">
        <v>1349</v>
      </c>
      <c r="H816" s="82">
        <v>2.5</v>
      </c>
      <c r="I816">
        <v>11</v>
      </c>
      <c r="J816">
        <v>50</v>
      </c>
      <c r="K816" t="s">
        <v>1733</v>
      </c>
      <c r="L816" s="6" t="s">
        <v>1731</v>
      </c>
      <c r="M816" s="6">
        <v>18</v>
      </c>
      <c r="N816" s="6">
        <v>2</v>
      </c>
      <c r="O816">
        <v>500</v>
      </c>
      <c r="P816">
        <v>202605</v>
      </c>
      <c r="Q816" t="s">
        <v>377</v>
      </c>
      <c r="R816" t="s">
        <v>1350</v>
      </c>
      <c r="S816">
        <f>Consulta1[[#This Row],[min_port]]/100</f>
        <v>1.3600000000000001E-2</v>
      </c>
      <c r="T816" s="252">
        <f>Consulta1[[#This Row],[TETO_COMERCIAL]]/100</f>
        <v>2.5000000000000001E-2</v>
      </c>
      <c r="U816" t="b">
        <f>Consulta1[[#This Row],[TETO_COMERCIAL_%]]=Consulta1[[#This Row],[TAXA]]</f>
        <v>0</v>
      </c>
      <c r="V816" t="str">
        <f>CONCATENATE(Consulta1[[#This Row],[MES_ALTERACAO]],Consulta1[[#This Row],[VIRADA]])</f>
        <v>20260518</v>
      </c>
      <c r="W816">
        <f>VLOOKUP(Consulta1[[#This Row],[Coluna2]],CALENDARIO!$J:$K,2,FALSE)</f>
        <v>11</v>
      </c>
    </row>
    <row r="817" spans="1:23" x14ac:dyDescent="0.25">
      <c r="A817" t="s">
        <v>3036</v>
      </c>
      <c r="B817" t="str">
        <f>CONCATENATE(Consulta1[[#This Row],[id]],Consulta1[[#This Row],[EMPREGADOR]])</f>
        <v>1PREF CARAGUA 1</v>
      </c>
      <c r="C817" s="6">
        <f>IF(A817=A816,C816+1,1)</f>
        <v>1</v>
      </c>
      <c r="D817" t="s">
        <v>222</v>
      </c>
      <c r="E817" s="101">
        <v>2.5000000000000001E-2</v>
      </c>
      <c r="F817" s="6">
        <v>120</v>
      </c>
      <c r="G817" t="s">
        <v>1349</v>
      </c>
      <c r="H817" s="82">
        <v>2.5</v>
      </c>
      <c r="I817">
        <v>15</v>
      </c>
      <c r="J817">
        <v>46</v>
      </c>
      <c r="K817" t="s">
        <v>1734</v>
      </c>
      <c r="L817" s="6" t="s">
        <v>1371</v>
      </c>
      <c r="M817" s="6">
        <v>15</v>
      </c>
      <c r="N817" s="6">
        <v>2</v>
      </c>
      <c r="O817">
        <v>500</v>
      </c>
      <c r="P817">
        <v>202605</v>
      </c>
      <c r="Q817" t="s">
        <v>377</v>
      </c>
      <c r="R817" t="s">
        <v>1350</v>
      </c>
      <c r="S817">
        <f>Consulta1[[#This Row],[min_port]]/100</f>
        <v>1.4499999999999999E-2</v>
      </c>
      <c r="T817" s="252">
        <f>Consulta1[[#This Row],[TETO_COMERCIAL]]/100</f>
        <v>2.5000000000000001E-2</v>
      </c>
      <c r="U817" t="b">
        <f>Consulta1[[#This Row],[TETO_COMERCIAL_%]]=Consulta1[[#This Row],[TAXA]]</f>
        <v>1</v>
      </c>
      <c r="V817" t="str">
        <f>CONCATENATE(Consulta1[[#This Row],[MES_ALTERACAO]],Consulta1[[#This Row],[VIRADA]])</f>
        <v>20260515</v>
      </c>
      <c r="W817">
        <f>VLOOKUP(Consulta1[[#This Row],[Coluna2]],CALENDARIO!$J:$K,2,FALSE)</f>
        <v>10</v>
      </c>
    </row>
    <row r="818" spans="1:23" x14ac:dyDescent="0.25">
      <c r="A818" t="s">
        <v>3036</v>
      </c>
      <c r="B818" t="str">
        <f>CONCATENATE(Consulta1[[#This Row],[id]],Consulta1[[#This Row],[EMPREGADOR]])</f>
        <v>2PREF CARAGUA 1</v>
      </c>
      <c r="C818" s="6">
        <f>IF(A818=A817,C817+1,1)</f>
        <v>2</v>
      </c>
      <c r="D818" t="s">
        <v>431</v>
      </c>
      <c r="E818" s="101">
        <v>2.3900000000000001E-2</v>
      </c>
      <c r="F818" s="6">
        <v>120</v>
      </c>
      <c r="G818" t="s">
        <v>1349</v>
      </c>
      <c r="H818" s="82">
        <v>2.5</v>
      </c>
      <c r="I818">
        <v>15</v>
      </c>
      <c r="J818">
        <v>43</v>
      </c>
      <c r="K818" t="s">
        <v>1735</v>
      </c>
      <c r="L818" s="6" t="s">
        <v>1371</v>
      </c>
      <c r="M818" s="6">
        <v>15</v>
      </c>
      <c r="N818" s="6">
        <v>2</v>
      </c>
      <c r="O818">
        <v>500</v>
      </c>
      <c r="P818">
        <v>202605</v>
      </c>
      <c r="Q818" t="s">
        <v>377</v>
      </c>
      <c r="R818" t="s">
        <v>1350</v>
      </c>
      <c r="S818">
        <f>Consulta1[[#This Row],[min_port]]/100</f>
        <v>1.4499999999999999E-2</v>
      </c>
      <c r="T818" s="252">
        <f>Consulta1[[#This Row],[TETO_COMERCIAL]]/100</f>
        <v>2.5000000000000001E-2</v>
      </c>
      <c r="U818" t="b">
        <f>Consulta1[[#This Row],[TETO_COMERCIAL_%]]=Consulta1[[#This Row],[TAXA]]</f>
        <v>0</v>
      </c>
      <c r="V818" t="str">
        <f>CONCATENATE(Consulta1[[#This Row],[MES_ALTERACAO]],Consulta1[[#This Row],[VIRADA]])</f>
        <v>20260515</v>
      </c>
      <c r="W818">
        <f>VLOOKUP(Consulta1[[#This Row],[Coluna2]],CALENDARIO!$J:$K,2,FALSE)</f>
        <v>10</v>
      </c>
    </row>
    <row r="819" spans="1:23" x14ac:dyDescent="0.25">
      <c r="A819" t="s">
        <v>3036</v>
      </c>
      <c r="B819" t="str">
        <f>CONCATENATE(Consulta1[[#This Row],[id]],Consulta1[[#This Row],[EMPREGADOR]])</f>
        <v>3PREF CARAGUA 1</v>
      </c>
      <c r="C819" s="6">
        <f>IF(A819=A818,C818+1,1)</f>
        <v>3</v>
      </c>
      <c r="D819" t="s">
        <v>496</v>
      </c>
      <c r="E819" s="101">
        <v>2.29E-2</v>
      </c>
      <c r="F819" s="6">
        <v>120</v>
      </c>
      <c r="G819" t="s">
        <v>1349</v>
      </c>
      <c r="H819" s="82">
        <v>2.5</v>
      </c>
      <c r="I819">
        <v>15</v>
      </c>
      <c r="J819">
        <v>43</v>
      </c>
      <c r="K819" t="s">
        <v>1736</v>
      </c>
      <c r="L819" s="6" t="s">
        <v>1371</v>
      </c>
      <c r="M819" s="6">
        <v>15</v>
      </c>
      <c r="N819" s="6">
        <v>2</v>
      </c>
      <c r="O819">
        <v>500</v>
      </c>
      <c r="P819">
        <v>202605</v>
      </c>
      <c r="Q819" t="s">
        <v>377</v>
      </c>
      <c r="R819" t="s">
        <v>1350</v>
      </c>
      <c r="S819">
        <f>Consulta1[[#This Row],[min_port]]/100</f>
        <v>1.4499999999999999E-2</v>
      </c>
      <c r="T819" s="252">
        <f>Consulta1[[#This Row],[TETO_COMERCIAL]]/100</f>
        <v>2.5000000000000001E-2</v>
      </c>
      <c r="U819" t="b">
        <f>Consulta1[[#This Row],[TETO_COMERCIAL_%]]=Consulta1[[#This Row],[TAXA]]</f>
        <v>0</v>
      </c>
      <c r="V819" t="str">
        <f>CONCATENATE(Consulta1[[#This Row],[MES_ALTERACAO]],Consulta1[[#This Row],[VIRADA]])</f>
        <v>20260515</v>
      </c>
      <c r="W819">
        <f>VLOOKUP(Consulta1[[#This Row],[Coluna2]],CALENDARIO!$J:$K,2,FALSE)</f>
        <v>10</v>
      </c>
    </row>
    <row r="820" spans="1:23" x14ac:dyDescent="0.25">
      <c r="A820" t="s">
        <v>3036</v>
      </c>
      <c r="B820" t="str">
        <f>CONCATENATE(Consulta1[[#This Row],[id]],Consulta1[[#This Row],[EMPREGADOR]])</f>
        <v>4PREF CARAGUA 1</v>
      </c>
      <c r="C820" s="6">
        <f>IF(A820=A819,C819+1,1)</f>
        <v>4</v>
      </c>
      <c r="D820" t="s">
        <v>497</v>
      </c>
      <c r="E820" s="101">
        <v>2.1899999999999999E-2</v>
      </c>
      <c r="F820" s="6">
        <v>120</v>
      </c>
      <c r="G820" t="s">
        <v>1349</v>
      </c>
      <c r="H820" s="82">
        <v>2.5</v>
      </c>
      <c r="I820">
        <v>15</v>
      </c>
      <c r="J820">
        <v>41</v>
      </c>
      <c r="K820" t="s">
        <v>1737</v>
      </c>
      <c r="L820" s="6" t="s">
        <v>1371</v>
      </c>
      <c r="M820" s="6">
        <v>15</v>
      </c>
      <c r="N820" s="6">
        <v>2</v>
      </c>
      <c r="O820">
        <v>500</v>
      </c>
      <c r="P820">
        <v>202605</v>
      </c>
      <c r="Q820" t="s">
        <v>377</v>
      </c>
      <c r="R820" t="s">
        <v>1350</v>
      </c>
      <c r="S820">
        <f>Consulta1[[#This Row],[min_port]]/100</f>
        <v>1.4499999999999999E-2</v>
      </c>
      <c r="T820" s="252">
        <f>Consulta1[[#This Row],[TETO_COMERCIAL]]/100</f>
        <v>2.5000000000000001E-2</v>
      </c>
      <c r="U820" t="b">
        <f>Consulta1[[#This Row],[TETO_COMERCIAL_%]]=Consulta1[[#This Row],[TAXA]]</f>
        <v>0</v>
      </c>
      <c r="V820" t="str">
        <f>CONCATENATE(Consulta1[[#This Row],[MES_ALTERACAO]],Consulta1[[#This Row],[VIRADA]])</f>
        <v>20260515</v>
      </c>
      <c r="W820">
        <f>VLOOKUP(Consulta1[[#This Row],[Coluna2]],CALENDARIO!$J:$K,2,FALSE)</f>
        <v>10</v>
      </c>
    </row>
    <row r="821" spans="1:23" x14ac:dyDescent="0.25">
      <c r="A821" t="s">
        <v>3036</v>
      </c>
      <c r="B821" t="str">
        <f>CONCATENATE(Consulta1[[#This Row],[id]],Consulta1[[#This Row],[EMPREGADOR]])</f>
        <v>5PREF CARAGUA 1</v>
      </c>
      <c r="C821" s="6">
        <f>IF(A821=A820,C820+1,1)</f>
        <v>5</v>
      </c>
      <c r="D821" t="s">
        <v>498</v>
      </c>
      <c r="E821" s="101">
        <v>2.0899999999999998E-2</v>
      </c>
      <c r="F821" s="6">
        <v>120</v>
      </c>
      <c r="G821" t="s">
        <v>1349</v>
      </c>
      <c r="H821" s="82">
        <v>2.5</v>
      </c>
      <c r="I821">
        <v>15</v>
      </c>
      <c r="J821">
        <v>45</v>
      </c>
      <c r="K821" t="s">
        <v>1738</v>
      </c>
      <c r="L821" s="6" t="s">
        <v>1371</v>
      </c>
      <c r="M821" s="6">
        <v>15</v>
      </c>
      <c r="N821" s="6">
        <v>2</v>
      </c>
      <c r="O821">
        <v>500</v>
      </c>
      <c r="P821">
        <v>202605</v>
      </c>
      <c r="Q821" t="s">
        <v>377</v>
      </c>
      <c r="R821" t="s">
        <v>1350</v>
      </c>
      <c r="S821">
        <f>Consulta1[[#This Row],[min_port]]/100</f>
        <v>1.4499999999999999E-2</v>
      </c>
      <c r="T821" s="252">
        <f>Consulta1[[#This Row],[TETO_COMERCIAL]]/100</f>
        <v>2.5000000000000001E-2</v>
      </c>
      <c r="U821" t="b">
        <f>Consulta1[[#This Row],[TETO_COMERCIAL_%]]=Consulta1[[#This Row],[TAXA]]</f>
        <v>0</v>
      </c>
      <c r="V821" t="str">
        <f>CONCATENATE(Consulta1[[#This Row],[MES_ALTERACAO]],Consulta1[[#This Row],[VIRADA]])</f>
        <v>20260515</v>
      </c>
      <c r="W821">
        <f>VLOOKUP(Consulta1[[#This Row],[Coluna2]],CALENDARIO!$J:$K,2,FALSE)</f>
        <v>10</v>
      </c>
    </row>
    <row r="822" spans="1:23" x14ac:dyDescent="0.25">
      <c r="A822" t="s">
        <v>3036</v>
      </c>
      <c r="B822" t="str">
        <f>CONCATENATE(Consulta1[[#This Row],[id]],Consulta1[[#This Row],[EMPREGADOR]])</f>
        <v>6PREF CARAGUA 1</v>
      </c>
      <c r="C822" s="6">
        <f>IF(A822=A821,C821+1,1)</f>
        <v>6</v>
      </c>
      <c r="D822" t="s">
        <v>609</v>
      </c>
      <c r="E822" s="101">
        <v>0.02</v>
      </c>
      <c r="F822" s="6">
        <v>120</v>
      </c>
      <c r="G822" t="s">
        <v>1349</v>
      </c>
      <c r="H822" s="82">
        <v>2.5</v>
      </c>
      <c r="I822">
        <v>15</v>
      </c>
      <c r="J822">
        <v>44</v>
      </c>
      <c r="K822" t="s">
        <v>1739</v>
      </c>
      <c r="L822" s="6" t="s">
        <v>1371</v>
      </c>
      <c r="M822" s="6">
        <v>15</v>
      </c>
      <c r="N822" s="6">
        <v>2</v>
      </c>
      <c r="O822">
        <v>500</v>
      </c>
      <c r="P822">
        <v>202605</v>
      </c>
      <c r="Q822" t="s">
        <v>377</v>
      </c>
      <c r="R822" t="s">
        <v>1350</v>
      </c>
      <c r="S822">
        <f>Consulta1[[#This Row],[min_port]]/100</f>
        <v>1.4499999999999999E-2</v>
      </c>
      <c r="T822" s="252">
        <f>Consulta1[[#This Row],[TETO_COMERCIAL]]/100</f>
        <v>2.5000000000000001E-2</v>
      </c>
      <c r="U822" t="b">
        <f>Consulta1[[#This Row],[TETO_COMERCIAL_%]]=Consulta1[[#This Row],[TAXA]]</f>
        <v>0</v>
      </c>
      <c r="V822" t="str">
        <f>CONCATENATE(Consulta1[[#This Row],[MES_ALTERACAO]],Consulta1[[#This Row],[VIRADA]])</f>
        <v>20260515</v>
      </c>
      <c r="W822">
        <f>VLOOKUP(Consulta1[[#This Row],[Coluna2]],CALENDARIO!$J:$K,2,FALSE)</f>
        <v>10</v>
      </c>
    </row>
    <row r="823" spans="1:23" x14ac:dyDescent="0.25">
      <c r="A823" t="s">
        <v>3037</v>
      </c>
      <c r="B823" t="str">
        <f>CONCATENATE(Consulta1[[#This Row],[id]],Consulta1[[#This Row],[EMPREGADOR]])</f>
        <v>1PREF CARAPICUIB</v>
      </c>
      <c r="C823" s="6">
        <f>IF(A823=A822,C822+1,1)</f>
        <v>1</v>
      </c>
      <c r="D823" t="s">
        <v>464</v>
      </c>
      <c r="E823" s="101">
        <v>2.5000000000000001E-2</v>
      </c>
      <c r="F823" s="6">
        <v>96</v>
      </c>
      <c r="G823" t="s">
        <v>1349</v>
      </c>
      <c r="H823" s="82">
        <v>2.5</v>
      </c>
      <c r="I823">
        <v>20</v>
      </c>
      <c r="K823" t="s">
        <v>1740</v>
      </c>
      <c r="L823" s="6" t="s">
        <v>1407</v>
      </c>
      <c r="M823" s="6">
        <v>16</v>
      </c>
      <c r="N823" s="6">
        <v>2</v>
      </c>
      <c r="O823">
        <v>500</v>
      </c>
      <c r="P823">
        <v>202605</v>
      </c>
      <c r="Q823" t="s">
        <v>377</v>
      </c>
      <c r="R823" t="s">
        <v>1353</v>
      </c>
      <c r="S823">
        <f>Consulta1[[#This Row],[min_port]]/100</f>
        <v>1.49E-2</v>
      </c>
      <c r="T823" s="252">
        <f>Consulta1[[#This Row],[TETO_COMERCIAL]]/100</f>
        <v>2.5000000000000001E-2</v>
      </c>
      <c r="U823" t="b">
        <f>Consulta1[[#This Row],[TETO_COMERCIAL_%]]=Consulta1[[#This Row],[TAXA]]</f>
        <v>1</v>
      </c>
      <c r="V823" t="str">
        <f>CONCATENATE(Consulta1[[#This Row],[MES_ALTERACAO]],Consulta1[[#This Row],[VIRADA]])</f>
        <v>20260516</v>
      </c>
      <c r="W823">
        <f>VLOOKUP(Consulta1[[#This Row],[Coluna2]],CALENDARIO!$J:$K,2,FALSE)</f>
        <v>10</v>
      </c>
    </row>
    <row r="824" spans="1:23" x14ac:dyDescent="0.25">
      <c r="A824" t="s">
        <v>3037</v>
      </c>
      <c r="B824" t="str">
        <f>CONCATENATE(Consulta1[[#This Row],[id]],Consulta1[[#This Row],[EMPREGADOR]])</f>
        <v>2PREF CARAPICUIB</v>
      </c>
      <c r="C824" s="6">
        <f>IF(A824=A823,C823+1,1)</f>
        <v>2</v>
      </c>
      <c r="D824" t="s">
        <v>773</v>
      </c>
      <c r="E824" s="101">
        <v>2.3900000000000001E-2</v>
      </c>
      <c r="F824" s="6">
        <v>96</v>
      </c>
      <c r="G824" t="s">
        <v>1349</v>
      </c>
      <c r="H824" s="82">
        <v>2.5</v>
      </c>
      <c r="I824">
        <v>20</v>
      </c>
      <c r="K824" t="s">
        <v>1741</v>
      </c>
      <c r="L824" s="6" t="s">
        <v>1407</v>
      </c>
      <c r="M824" s="6">
        <v>16</v>
      </c>
      <c r="N824" s="6">
        <v>2</v>
      </c>
      <c r="O824">
        <v>500</v>
      </c>
      <c r="P824">
        <v>202605</v>
      </c>
      <c r="Q824" t="s">
        <v>377</v>
      </c>
      <c r="R824" t="s">
        <v>1353</v>
      </c>
      <c r="S824">
        <f>Consulta1[[#This Row],[min_port]]/100</f>
        <v>1.49E-2</v>
      </c>
      <c r="T824" s="252">
        <f>Consulta1[[#This Row],[TETO_COMERCIAL]]/100</f>
        <v>2.5000000000000001E-2</v>
      </c>
      <c r="U824" t="b">
        <f>Consulta1[[#This Row],[TETO_COMERCIAL_%]]=Consulta1[[#This Row],[TAXA]]</f>
        <v>0</v>
      </c>
      <c r="V824" t="str">
        <f>CONCATENATE(Consulta1[[#This Row],[MES_ALTERACAO]],Consulta1[[#This Row],[VIRADA]])</f>
        <v>20260516</v>
      </c>
      <c r="W824">
        <f>VLOOKUP(Consulta1[[#This Row],[Coluna2]],CALENDARIO!$J:$K,2,FALSE)</f>
        <v>10</v>
      </c>
    </row>
    <row r="825" spans="1:23" x14ac:dyDescent="0.25">
      <c r="A825" t="s">
        <v>3037</v>
      </c>
      <c r="B825" t="str">
        <f>CONCATENATE(Consulta1[[#This Row],[id]],Consulta1[[#This Row],[EMPREGADOR]])</f>
        <v>3PREF CARAPICUIB</v>
      </c>
      <c r="C825" s="6">
        <f>IF(A825=A824,C824+1,1)</f>
        <v>3</v>
      </c>
      <c r="D825" t="s">
        <v>774</v>
      </c>
      <c r="E825" s="101">
        <v>2.29E-2</v>
      </c>
      <c r="F825" s="6">
        <v>96</v>
      </c>
      <c r="G825" t="s">
        <v>1349</v>
      </c>
      <c r="H825" s="82">
        <v>2.5</v>
      </c>
      <c r="I825">
        <v>20</v>
      </c>
      <c r="J825">
        <v>52</v>
      </c>
      <c r="K825" t="s">
        <v>1742</v>
      </c>
      <c r="L825" s="6" t="s">
        <v>1407</v>
      </c>
      <c r="M825" s="6">
        <v>16</v>
      </c>
      <c r="N825" s="6">
        <v>2</v>
      </c>
      <c r="O825">
        <v>500</v>
      </c>
      <c r="P825">
        <v>202605</v>
      </c>
      <c r="Q825" t="s">
        <v>377</v>
      </c>
      <c r="R825" t="s">
        <v>1353</v>
      </c>
      <c r="S825">
        <f>Consulta1[[#This Row],[min_port]]/100</f>
        <v>1.49E-2</v>
      </c>
      <c r="T825" s="252">
        <f>Consulta1[[#This Row],[TETO_COMERCIAL]]/100</f>
        <v>2.5000000000000001E-2</v>
      </c>
      <c r="U825" t="b">
        <f>Consulta1[[#This Row],[TETO_COMERCIAL_%]]=Consulta1[[#This Row],[TAXA]]</f>
        <v>0</v>
      </c>
      <c r="V825" t="str">
        <f>CONCATENATE(Consulta1[[#This Row],[MES_ALTERACAO]],Consulta1[[#This Row],[VIRADA]])</f>
        <v>20260516</v>
      </c>
      <c r="W825">
        <f>VLOOKUP(Consulta1[[#This Row],[Coluna2]],CALENDARIO!$J:$K,2,FALSE)</f>
        <v>10</v>
      </c>
    </row>
    <row r="826" spans="1:23" x14ac:dyDescent="0.25">
      <c r="A826" t="s">
        <v>3037</v>
      </c>
      <c r="B826" t="str">
        <f>CONCATENATE(Consulta1[[#This Row],[id]],Consulta1[[#This Row],[EMPREGADOR]])</f>
        <v>4PREF CARAPICUIB</v>
      </c>
      <c r="C826" s="6">
        <f>IF(A826=A825,C825+1,1)</f>
        <v>4</v>
      </c>
      <c r="D826" t="s">
        <v>1101</v>
      </c>
      <c r="E826" s="101">
        <v>2.1899999999999999E-2</v>
      </c>
      <c r="F826" s="6">
        <v>96</v>
      </c>
      <c r="G826" t="s">
        <v>1349</v>
      </c>
      <c r="H826" s="82">
        <v>2.5</v>
      </c>
      <c r="I826">
        <v>20</v>
      </c>
      <c r="J826">
        <v>39</v>
      </c>
      <c r="K826" t="s">
        <v>1743</v>
      </c>
      <c r="L826" s="6" t="s">
        <v>1407</v>
      </c>
      <c r="M826" s="6">
        <v>16</v>
      </c>
      <c r="N826" s="6">
        <v>2</v>
      </c>
      <c r="O826">
        <v>500</v>
      </c>
      <c r="P826">
        <v>202605</v>
      </c>
      <c r="Q826" t="s">
        <v>377</v>
      </c>
      <c r="R826" t="s">
        <v>1353</v>
      </c>
      <c r="S826">
        <f>Consulta1[[#This Row],[min_port]]/100</f>
        <v>1.49E-2</v>
      </c>
      <c r="T826" s="252">
        <f>Consulta1[[#This Row],[TETO_COMERCIAL]]/100</f>
        <v>2.5000000000000001E-2</v>
      </c>
      <c r="U826" t="b">
        <f>Consulta1[[#This Row],[TETO_COMERCIAL_%]]=Consulta1[[#This Row],[TAXA]]</f>
        <v>0</v>
      </c>
      <c r="V826" t="str">
        <f>CONCATENATE(Consulta1[[#This Row],[MES_ALTERACAO]],Consulta1[[#This Row],[VIRADA]])</f>
        <v>20260516</v>
      </c>
      <c r="W826">
        <f>VLOOKUP(Consulta1[[#This Row],[Coluna2]],CALENDARIO!$J:$K,2,FALSE)</f>
        <v>10</v>
      </c>
    </row>
    <row r="827" spans="1:23" x14ac:dyDescent="0.25">
      <c r="A827" t="s">
        <v>3037</v>
      </c>
      <c r="B827" t="str">
        <f>CONCATENATE(Consulta1[[#This Row],[id]],Consulta1[[#This Row],[EMPREGADOR]])</f>
        <v>5PREF CARAPICUIB</v>
      </c>
      <c r="C827" s="6">
        <f>IF(A827=A826,C826+1,1)</f>
        <v>5</v>
      </c>
      <c r="D827" t="s">
        <v>1102</v>
      </c>
      <c r="E827" s="101">
        <v>2.12E-2</v>
      </c>
      <c r="F827" s="6">
        <v>96</v>
      </c>
      <c r="G827" t="s">
        <v>1349</v>
      </c>
      <c r="H827" s="82">
        <v>2.5</v>
      </c>
      <c r="I827">
        <v>20</v>
      </c>
      <c r="J827">
        <v>46</v>
      </c>
      <c r="K827" t="s">
        <v>1744</v>
      </c>
      <c r="L827" s="6" t="s">
        <v>1407</v>
      </c>
      <c r="M827" s="6">
        <v>16</v>
      </c>
      <c r="N827" s="6">
        <v>2</v>
      </c>
      <c r="O827">
        <v>500</v>
      </c>
      <c r="P827">
        <v>202605</v>
      </c>
      <c r="Q827" t="s">
        <v>377</v>
      </c>
      <c r="R827" t="s">
        <v>1353</v>
      </c>
      <c r="S827">
        <f>Consulta1[[#This Row],[min_port]]/100</f>
        <v>1.49E-2</v>
      </c>
      <c r="T827" s="252">
        <f>Consulta1[[#This Row],[TETO_COMERCIAL]]/100</f>
        <v>2.5000000000000001E-2</v>
      </c>
      <c r="U827" t="b">
        <f>Consulta1[[#This Row],[TETO_COMERCIAL_%]]=Consulta1[[#This Row],[TAXA]]</f>
        <v>0</v>
      </c>
      <c r="V827" t="str">
        <f>CONCATENATE(Consulta1[[#This Row],[MES_ALTERACAO]],Consulta1[[#This Row],[VIRADA]])</f>
        <v>20260516</v>
      </c>
      <c r="W827">
        <f>VLOOKUP(Consulta1[[#This Row],[Coluna2]],CALENDARIO!$J:$K,2,FALSE)</f>
        <v>10</v>
      </c>
    </row>
    <row r="828" spans="1:23" x14ac:dyDescent="0.25">
      <c r="A828" t="s">
        <v>1003</v>
      </c>
      <c r="B828" t="str">
        <f>CONCATENATE(Consulta1[[#This Row],[id]],Consulta1[[#This Row],[EMPREGADOR]])</f>
        <v>1PREF CATANDUVA</v>
      </c>
      <c r="C828" s="6">
        <f>IF(A828=A827,C827+1,1)</f>
        <v>1</v>
      </c>
      <c r="D828" t="s">
        <v>1004</v>
      </c>
      <c r="E828" s="101">
        <v>2.5699999999999997E-2</v>
      </c>
      <c r="F828" s="6">
        <v>120</v>
      </c>
      <c r="G828" t="s">
        <v>1349</v>
      </c>
      <c r="H828" s="82">
        <v>2.57</v>
      </c>
      <c r="I828">
        <v>17</v>
      </c>
      <c r="J828">
        <v>57</v>
      </c>
      <c r="K828" t="s">
        <v>1745</v>
      </c>
      <c r="L828" s="6" t="s">
        <v>1746</v>
      </c>
      <c r="M828" s="6">
        <v>20</v>
      </c>
      <c r="N828" s="6">
        <v>2</v>
      </c>
      <c r="O828">
        <v>500</v>
      </c>
      <c r="P828">
        <v>202605</v>
      </c>
      <c r="Q828" t="s">
        <v>377</v>
      </c>
      <c r="R828" t="s">
        <v>1350</v>
      </c>
      <c r="S828">
        <f>Consulta1[[#This Row],[min_port]]/100</f>
        <v>1.54E-2</v>
      </c>
      <c r="T828" s="252">
        <f>Consulta1[[#This Row],[TETO_COMERCIAL]]/100</f>
        <v>2.5699999999999997E-2</v>
      </c>
      <c r="U828" t="b">
        <f>Consulta1[[#This Row],[TETO_COMERCIAL_%]]=Consulta1[[#This Row],[TAXA]]</f>
        <v>1</v>
      </c>
      <c r="V828" t="str">
        <f>CONCATENATE(Consulta1[[#This Row],[MES_ALTERACAO]],Consulta1[[#This Row],[VIRADA]])</f>
        <v>20260520</v>
      </c>
      <c r="W828">
        <f>VLOOKUP(Consulta1[[#This Row],[Coluna2]],CALENDARIO!$J:$K,2,FALSE)</f>
        <v>13</v>
      </c>
    </row>
    <row r="829" spans="1:23" x14ac:dyDescent="0.25">
      <c r="A829" t="s">
        <v>1003</v>
      </c>
      <c r="B829" t="str">
        <f>CONCATENATE(Consulta1[[#This Row],[id]],Consulta1[[#This Row],[EMPREGADOR]])</f>
        <v>2PREF CATANDUVA</v>
      </c>
      <c r="C829" s="6">
        <f>IF(A829=A828,C828+1,1)</f>
        <v>2</v>
      </c>
      <c r="D829" t="s">
        <v>1005</v>
      </c>
      <c r="E829" s="101">
        <v>2.4700000000000003E-2</v>
      </c>
      <c r="F829" s="6">
        <v>120</v>
      </c>
      <c r="G829" t="s">
        <v>1349</v>
      </c>
      <c r="H829" s="82">
        <v>2.57</v>
      </c>
      <c r="I829">
        <v>17</v>
      </c>
      <c r="J829">
        <v>57</v>
      </c>
      <c r="K829" t="s">
        <v>1747</v>
      </c>
      <c r="L829" s="6" t="s">
        <v>1746</v>
      </c>
      <c r="M829" s="6">
        <v>20</v>
      </c>
      <c r="N829" s="6">
        <v>2</v>
      </c>
      <c r="O829">
        <v>500</v>
      </c>
      <c r="P829">
        <v>202605</v>
      </c>
      <c r="Q829" t="s">
        <v>377</v>
      </c>
      <c r="R829" t="s">
        <v>1350</v>
      </c>
      <c r="S829">
        <f>Consulta1[[#This Row],[min_port]]/100</f>
        <v>1.54E-2</v>
      </c>
      <c r="T829" s="252">
        <f>Consulta1[[#This Row],[TETO_COMERCIAL]]/100</f>
        <v>2.5699999999999997E-2</v>
      </c>
      <c r="U829" t="b">
        <f>Consulta1[[#This Row],[TETO_COMERCIAL_%]]=Consulta1[[#This Row],[TAXA]]</f>
        <v>0</v>
      </c>
      <c r="V829" t="str">
        <f>CONCATENATE(Consulta1[[#This Row],[MES_ALTERACAO]],Consulta1[[#This Row],[VIRADA]])</f>
        <v>20260520</v>
      </c>
      <c r="W829">
        <f>VLOOKUP(Consulta1[[#This Row],[Coluna2]],CALENDARIO!$J:$K,2,FALSE)</f>
        <v>13</v>
      </c>
    </row>
    <row r="830" spans="1:23" x14ac:dyDescent="0.25">
      <c r="A830" t="s">
        <v>1003</v>
      </c>
      <c r="B830" t="str">
        <f>CONCATENATE(Consulta1[[#This Row],[id]],Consulta1[[#This Row],[EMPREGADOR]])</f>
        <v>3PREF CATANDUVA</v>
      </c>
      <c r="C830" s="6">
        <f>IF(A830=A829,C829+1,1)</f>
        <v>3</v>
      </c>
      <c r="D830" t="s">
        <v>1006</v>
      </c>
      <c r="E830" s="101">
        <v>2.3399999999999997E-2</v>
      </c>
      <c r="F830" s="6">
        <v>120</v>
      </c>
      <c r="G830" t="s">
        <v>1349</v>
      </c>
      <c r="H830" s="82">
        <v>2.57</v>
      </c>
      <c r="I830">
        <v>17</v>
      </c>
      <c r="J830">
        <v>57</v>
      </c>
      <c r="K830" t="s">
        <v>1748</v>
      </c>
      <c r="L830" s="6" t="s">
        <v>1746</v>
      </c>
      <c r="M830" s="6">
        <v>20</v>
      </c>
      <c r="N830" s="6">
        <v>2</v>
      </c>
      <c r="O830">
        <v>500</v>
      </c>
      <c r="P830">
        <v>202605</v>
      </c>
      <c r="Q830" t="s">
        <v>377</v>
      </c>
      <c r="R830" t="s">
        <v>1350</v>
      </c>
      <c r="S830">
        <f>Consulta1[[#This Row],[min_port]]/100</f>
        <v>1.54E-2</v>
      </c>
      <c r="T830" s="252">
        <f>Consulta1[[#This Row],[TETO_COMERCIAL]]/100</f>
        <v>2.5699999999999997E-2</v>
      </c>
      <c r="U830" t="b">
        <f>Consulta1[[#This Row],[TETO_COMERCIAL_%]]=Consulta1[[#This Row],[TAXA]]</f>
        <v>0</v>
      </c>
      <c r="V830" t="str">
        <f>CONCATENATE(Consulta1[[#This Row],[MES_ALTERACAO]],Consulta1[[#This Row],[VIRADA]])</f>
        <v>20260520</v>
      </c>
      <c r="W830">
        <f>VLOOKUP(Consulta1[[#This Row],[Coluna2]],CALENDARIO!$J:$K,2,FALSE)</f>
        <v>13</v>
      </c>
    </row>
    <row r="831" spans="1:23" x14ac:dyDescent="0.25">
      <c r="A831" t="s">
        <v>1003</v>
      </c>
      <c r="B831" t="str">
        <f>CONCATENATE(Consulta1[[#This Row],[id]],Consulta1[[#This Row],[EMPREGADOR]])</f>
        <v>4PREF CATANDUVA</v>
      </c>
      <c r="C831" s="6">
        <f>IF(A831=A830,C830+1,1)</f>
        <v>4</v>
      </c>
      <c r="D831" t="s">
        <v>1007</v>
      </c>
      <c r="E831" s="101">
        <v>0.02</v>
      </c>
      <c r="F831" s="6">
        <v>120</v>
      </c>
      <c r="G831" t="s">
        <v>1349</v>
      </c>
      <c r="H831" s="82">
        <v>2.57</v>
      </c>
      <c r="I831">
        <v>17</v>
      </c>
      <c r="J831">
        <v>57</v>
      </c>
      <c r="K831" t="s">
        <v>1749</v>
      </c>
      <c r="L831" s="6" t="s">
        <v>1746</v>
      </c>
      <c r="M831" s="6">
        <v>20</v>
      </c>
      <c r="N831" s="6">
        <v>2</v>
      </c>
      <c r="O831">
        <v>500</v>
      </c>
      <c r="P831">
        <v>202605</v>
      </c>
      <c r="Q831" t="s">
        <v>377</v>
      </c>
      <c r="R831" t="s">
        <v>1350</v>
      </c>
      <c r="S831">
        <f>Consulta1[[#This Row],[min_port]]/100</f>
        <v>1.54E-2</v>
      </c>
      <c r="T831" s="252">
        <f>Consulta1[[#This Row],[TETO_COMERCIAL]]/100</f>
        <v>2.5699999999999997E-2</v>
      </c>
      <c r="U831" t="b">
        <f>Consulta1[[#This Row],[TETO_COMERCIAL_%]]=Consulta1[[#This Row],[TAXA]]</f>
        <v>0</v>
      </c>
      <c r="V831" t="str">
        <f>CONCATENATE(Consulta1[[#This Row],[MES_ALTERACAO]],Consulta1[[#This Row],[VIRADA]])</f>
        <v>20260520</v>
      </c>
      <c r="W831">
        <f>VLOOKUP(Consulta1[[#This Row],[Coluna2]],CALENDARIO!$J:$K,2,FALSE)</f>
        <v>13</v>
      </c>
    </row>
    <row r="832" spans="1:23" x14ac:dyDescent="0.25">
      <c r="A832" t="s">
        <v>369</v>
      </c>
      <c r="B832" t="str">
        <f>CONCATENATE(Consulta1[[#This Row],[id]],Consulta1[[#This Row],[EMPREGADOR]])</f>
        <v>1PREF CAUCAIA</v>
      </c>
      <c r="C832" s="6">
        <f>IF(A832=A831,C831+1,1)</f>
        <v>1</v>
      </c>
      <c r="D832" t="s">
        <v>230</v>
      </c>
      <c r="E832" s="101">
        <v>2.5000000000000001E-2</v>
      </c>
      <c r="F832" s="6">
        <v>96</v>
      </c>
      <c r="G832" t="s">
        <v>1349</v>
      </c>
      <c r="H832" s="82">
        <v>2.5</v>
      </c>
      <c r="I832">
        <v>14</v>
      </c>
      <c r="J832">
        <v>75</v>
      </c>
      <c r="K832" t="s">
        <v>1750</v>
      </c>
      <c r="L832" s="6" t="s">
        <v>1409</v>
      </c>
      <c r="M832" s="6">
        <v>14</v>
      </c>
      <c r="N832" s="6">
        <v>2</v>
      </c>
      <c r="O832">
        <v>500</v>
      </c>
      <c r="P832">
        <v>202605</v>
      </c>
      <c r="Q832" t="s">
        <v>377</v>
      </c>
      <c r="R832" t="s">
        <v>1353</v>
      </c>
      <c r="S832">
        <f>Consulta1[[#This Row],[min_port]]/100</f>
        <v>1.55E-2</v>
      </c>
      <c r="T832" s="252">
        <f>Consulta1[[#This Row],[TETO_COMERCIAL]]/100</f>
        <v>2.5000000000000001E-2</v>
      </c>
      <c r="U832" t="b">
        <f>Consulta1[[#This Row],[TETO_COMERCIAL_%]]=Consulta1[[#This Row],[TAXA]]</f>
        <v>1</v>
      </c>
      <c r="V832" t="str">
        <f>CONCATENATE(Consulta1[[#This Row],[MES_ALTERACAO]],Consulta1[[#This Row],[VIRADA]])</f>
        <v>20260514</v>
      </c>
      <c r="W832">
        <f>VLOOKUP(Consulta1[[#This Row],[Coluna2]],CALENDARIO!$J:$K,2,FALSE)</f>
        <v>9</v>
      </c>
    </row>
    <row r="833" spans="1:23" x14ac:dyDescent="0.25">
      <c r="A833" t="s">
        <v>369</v>
      </c>
      <c r="B833" t="str">
        <f>CONCATENATE(Consulta1[[#This Row],[id]],Consulta1[[#This Row],[EMPREGADOR]])</f>
        <v>2PREF CAUCAIA</v>
      </c>
      <c r="C833" s="6">
        <f>IF(A833=A832,C832+1,1)</f>
        <v>2</v>
      </c>
      <c r="D833" t="s">
        <v>231</v>
      </c>
      <c r="E833" s="101">
        <v>2.4E-2</v>
      </c>
      <c r="F833" s="6">
        <v>96</v>
      </c>
      <c r="G833" t="s">
        <v>1349</v>
      </c>
      <c r="H833" s="82">
        <v>2.5</v>
      </c>
      <c r="I833">
        <v>14</v>
      </c>
      <c r="J833">
        <v>51</v>
      </c>
      <c r="K833" t="s">
        <v>1751</v>
      </c>
      <c r="L833" s="6" t="s">
        <v>1409</v>
      </c>
      <c r="M833" s="6">
        <v>14</v>
      </c>
      <c r="N833" s="6">
        <v>2</v>
      </c>
      <c r="O833">
        <v>500</v>
      </c>
      <c r="P833">
        <v>202605</v>
      </c>
      <c r="Q833" t="s">
        <v>377</v>
      </c>
      <c r="R833" t="s">
        <v>1353</v>
      </c>
      <c r="S833">
        <f>Consulta1[[#This Row],[min_port]]/100</f>
        <v>1.55E-2</v>
      </c>
      <c r="T833" s="252">
        <f>Consulta1[[#This Row],[TETO_COMERCIAL]]/100</f>
        <v>2.5000000000000001E-2</v>
      </c>
      <c r="U833" t="b">
        <f>Consulta1[[#This Row],[TETO_COMERCIAL_%]]=Consulta1[[#This Row],[TAXA]]</f>
        <v>0</v>
      </c>
      <c r="V833" t="str">
        <f>CONCATENATE(Consulta1[[#This Row],[MES_ALTERACAO]],Consulta1[[#This Row],[VIRADA]])</f>
        <v>20260514</v>
      </c>
      <c r="W833">
        <f>VLOOKUP(Consulta1[[#This Row],[Coluna2]],CALENDARIO!$J:$K,2,FALSE)</f>
        <v>9</v>
      </c>
    </row>
    <row r="834" spans="1:23" x14ac:dyDescent="0.25">
      <c r="A834" t="s">
        <v>369</v>
      </c>
      <c r="B834" t="str">
        <f>CONCATENATE(Consulta1[[#This Row],[id]],Consulta1[[#This Row],[EMPREGADOR]])</f>
        <v>3PREF CAUCAIA</v>
      </c>
      <c r="C834" s="6">
        <f>IF(A834=A833,C833+1,1)</f>
        <v>3</v>
      </c>
      <c r="D834" t="s">
        <v>232</v>
      </c>
      <c r="E834" s="101">
        <v>2.3E-2</v>
      </c>
      <c r="F834" s="6">
        <v>96</v>
      </c>
      <c r="G834" t="s">
        <v>1349</v>
      </c>
      <c r="H834" s="82">
        <v>2.5</v>
      </c>
      <c r="I834">
        <v>14</v>
      </c>
      <c r="J834">
        <v>49</v>
      </c>
      <c r="K834" t="s">
        <v>1752</v>
      </c>
      <c r="L834" s="6" t="s">
        <v>1409</v>
      </c>
      <c r="M834" s="6">
        <v>14</v>
      </c>
      <c r="N834" s="6">
        <v>2</v>
      </c>
      <c r="O834">
        <v>500</v>
      </c>
      <c r="P834">
        <v>202605</v>
      </c>
      <c r="Q834" t="s">
        <v>377</v>
      </c>
      <c r="R834" t="s">
        <v>1353</v>
      </c>
      <c r="S834">
        <f>Consulta1[[#This Row],[min_port]]/100</f>
        <v>1.55E-2</v>
      </c>
      <c r="T834" s="252">
        <f>Consulta1[[#This Row],[TETO_COMERCIAL]]/100</f>
        <v>2.5000000000000001E-2</v>
      </c>
      <c r="U834" t="b">
        <f>Consulta1[[#This Row],[TETO_COMERCIAL_%]]=Consulta1[[#This Row],[TAXA]]</f>
        <v>0</v>
      </c>
      <c r="V834" t="str">
        <f>CONCATENATE(Consulta1[[#This Row],[MES_ALTERACAO]],Consulta1[[#This Row],[VIRADA]])</f>
        <v>20260514</v>
      </c>
      <c r="W834">
        <f>VLOOKUP(Consulta1[[#This Row],[Coluna2]],CALENDARIO!$J:$K,2,FALSE)</f>
        <v>9</v>
      </c>
    </row>
    <row r="835" spans="1:23" x14ac:dyDescent="0.25">
      <c r="A835" t="s">
        <v>369</v>
      </c>
      <c r="B835" t="str">
        <f>CONCATENATE(Consulta1[[#This Row],[id]],Consulta1[[#This Row],[EMPREGADOR]])</f>
        <v>4PREF CAUCAIA</v>
      </c>
      <c r="C835" s="6">
        <f>IF(A835=A834,C834+1,1)</f>
        <v>4</v>
      </c>
      <c r="D835" t="s">
        <v>274</v>
      </c>
      <c r="E835" s="101">
        <v>2.2000000000000002E-2</v>
      </c>
      <c r="F835" s="6">
        <v>96</v>
      </c>
      <c r="G835" t="s">
        <v>1349</v>
      </c>
      <c r="H835" s="82">
        <v>2.5</v>
      </c>
      <c r="I835">
        <v>14</v>
      </c>
      <c r="J835">
        <v>42</v>
      </c>
      <c r="K835" t="s">
        <v>1753</v>
      </c>
      <c r="L835" s="6" t="s">
        <v>1409</v>
      </c>
      <c r="M835" s="6">
        <v>14</v>
      </c>
      <c r="N835" s="6">
        <v>2</v>
      </c>
      <c r="O835">
        <v>500</v>
      </c>
      <c r="P835">
        <v>202605</v>
      </c>
      <c r="Q835" t="s">
        <v>377</v>
      </c>
      <c r="R835" t="s">
        <v>1353</v>
      </c>
      <c r="S835">
        <f>Consulta1[[#This Row],[min_port]]/100</f>
        <v>1.55E-2</v>
      </c>
      <c r="T835" s="252">
        <f>Consulta1[[#This Row],[TETO_COMERCIAL]]/100</f>
        <v>2.5000000000000001E-2</v>
      </c>
      <c r="U835" t="b">
        <f>Consulta1[[#This Row],[TETO_COMERCIAL_%]]=Consulta1[[#This Row],[TAXA]]</f>
        <v>0</v>
      </c>
      <c r="V835" t="str">
        <f>CONCATENATE(Consulta1[[#This Row],[MES_ALTERACAO]],Consulta1[[#This Row],[VIRADA]])</f>
        <v>20260514</v>
      </c>
      <c r="W835">
        <f>VLOOKUP(Consulta1[[#This Row],[Coluna2]],CALENDARIO!$J:$K,2,FALSE)</f>
        <v>9</v>
      </c>
    </row>
    <row r="836" spans="1:23" x14ac:dyDescent="0.25">
      <c r="A836" t="s">
        <v>369</v>
      </c>
      <c r="B836" t="str">
        <f>CONCATENATE(Consulta1[[#This Row],[id]],Consulta1[[#This Row],[EMPREGADOR]])</f>
        <v>5PREF CAUCAIA</v>
      </c>
      <c r="C836" s="6">
        <f>IF(A836=A835,C835+1,1)</f>
        <v>5</v>
      </c>
      <c r="D836" t="s">
        <v>1121</v>
      </c>
      <c r="E836" s="101">
        <v>1.8600000000000002E-2</v>
      </c>
      <c r="F836" s="6">
        <v>96</v>
      </c>
      <c r="G836" t="s">
        <v>1349</v>
      </c>
      <c r="H836" s="82">
        <v>2.5</v>
      </c>
      <c r="I836">
        <v>14</v>
      </c>
      <c r="J836">
        <v>44</v>
      </c>
      <c r="K836" t="s">
        <v>1754</v>
      </c>
      <c r="L836" s="6" t="s">
        <v>1409</v>
      </c>
      <c r="M836" s="6">
        <v>14</v>
      </c>
      <c r="N836" s="6">
        <v>2</v>
      </c>
      <c r="O836">
        <v>500</v>
      </c>
      <c r="P836">
        <v>202605</v>
      </c>
      <c r="Q836" t="s">
        <v>377</v>
      </c>
      <c r="R836" t="s">
        <v>1353</v>
      </c>
      <c r="S836">
        <f>Consulta1[[#This Row],[min_port]]/100</f>
        <v>1.55E-2</v>
      </c>
      <c r="T836" s="252">
        <f>Consulta1[[#This Row],[TETO_COMERCIAL]]/100</f>
        <v>2.5000000000000001E-2</v>
      </c>
      <c r="U836" t="b">
        <f>Consulta1[[#This Row],[TETO_COMERCIAL_%]]=Consulta1[[#This Row],[TAXA]]</f>
        <v>0</v>
      </c>
      <c r="V836" t="str">
        <f>CONCATENATE(Consulta1[[#This Row],[MES_ALTERACAO]],Consulta1[[#This Row],[VIRADA]])</f>
        <v>20260514</v>
      </c>
      <c r="W836">
        <f>VLOOKUP(Consulta1[[#This Row],[Coluna2]],CALENDARIO!$J:$K,2,FALSE)</f>
        <v>9</v>
      </c>
    </row>
    <row r="837" spans="1:23" x14ac:dyDescent="0.25">
      <c r="A837" t="s">
        <v>370</v>
      </c>
      <c r="B837" t="str">
        <f>CONCATENATE(Consulta1[[#This Row],[id]],Consulta1[[#This Row],[EMPREGADOR]])</f>
        <v>1PREF CERQUILHO</v>
      </c>
      <c r="C837" s="6">
        <f>IF(A837=A836,C836+1,1)</f>
        <v>1</v>
      </c>
      <c r="D837" t="s">
        <v>275</v>
      </c>
      <c r="E837" s="101">
        <v>1.9199999999999998E-2</v>
      </c>
      <c r="F837" s="6">
        <v>120</v>
      </c>
      <c r="G837" t="s">
        <v>1349</v>
      </c>
      <c r="H837" s="82">
        <v>2.5</v>
      </c>
      <c r="I837">
        <v>12</v>
      </c>
      <c r="K837" t="s">
        <v>1755</v>
      </c>
      <c r="L837" s="6" t="s">
        <v>1356</v>
      </c>
      <c r="M837" s="6">
        <v>15</v>
      </c>
      <c r="N837" s="6">
        <v>2</v>
      </c>
      <c r="O837">
        <v>500</v>
      </c>
      <c r="P837">
        <v>202605</v>
      </c>
      <c r="Q837" t="s">
        <v>377</v>
      </c>
      <c r="R837" t="s">
        <v>1350</v>
      </c>
      <c r="S837">
        <f>Consulta1[[#This Row],[min_port]]/100</f>
        <v>1.3000000000000001E-2</v>
      </c>
      <c r="T837" s="252">
        <f>Consulta1[[#This Row],[TETO_COMERCIAL]]/100</f>
        <v>2.5000000000000001E-2</v>
      </c>
      <c r="U837" t="b">
        <f>Consulta1[[#This Row],[TETO_COMERCIAL_%]]=Consulta1[[#This Row],[TAXA]]</f>
        <v>0</v>
      </c>
      <c r="V837" t="str">
        <f>CONCATENATE(Consulta1[[#This Row],[MES_ALTERACAO]],Consulta1[[#This Row],[VIRADA]])</f>
        <v>20260515</v>
      </c>
      <c r="W837">
        <f>VLOOKUP(Consulta1[[#This Row],[Coluna2]],CALENDARIO!$J:$K,2,FALSE)</f>
        <v>10</v>
      </c>
    </row>
    <row r="838" spans="1:23" x14ac:dyDescent="0.25">
      <c r="A838" t="s">
        <v>370</v>
      </c>
      <c r="B838" t="str">
        <f>CONCATENATE(Consulta1[[#This Row],[id]],Consulta1[[#This Row],[EMPREGADOR]])</f>
        <v>2PREF CERQUILHO</v>
      </c>
      <c r="C838" s="6">
        <f>IF(A838=A837,C837+1,1)</f>
        <v>2</v>
      </c>
      <c r="D838" t="s">
        <v>342</v>
      </c>
      <c r="E838" s="101">
        <v>1.9E-2</v>
      </c>
      <c r="F838" s="6">
        <v>120</v>
      </c>
      <c r="G838" t="s">
        <v>1349</v>
      </c>
      <c r="H838" s="82">
        <v>2.5</v>
      </c>
      <c r="I838">
        <v>12</v>
      </c>
      <c r="K838" t="s">
        <v>1756</v>
      </c>
      <c r="L838" s="6" t="s">
        <v>1356</v>
      </c>
      <c r="M838" s="6">
        <v>15</v>
      </c>
      <c r="N838" s="6">
        <v>2</v>
      </c>
      <c r="O838">
        <v>500</v>
      </c>
      <c r="P838">
        <v>202605</v>
      </c>
      <c r="Q838" t="s">
        <v>377</v>
      </c>
      <c r="R838" t="s">
        <v>1350</v>
      </c>
      <c r="S838">
        <f>Consulta1[[#This Row],[min_port]]/100</f>
        <v>1.3000000000000001E-2</v>
      </c>
      <c r="T838" s="252">
        <f>Consulta1[[#This Row],[TETO_COMERCIAL]]/100</f>
        <v>2.5000000000000001E-2</v>
      </c>
      <c r="U838" t="b">
        <f>Consulta1[[#This Row],[TETO_COMERCIAL_%]]=Consulta1[[#This Row],[TAXA]]</f>
        <v>0</v>
      </c>
      <c r="V838" t="str">
        <f>CONCATENATE(Consulta1[[#This Row],[MES_ALTERACAO]],Consulta1[[#This Row],[VIRADA]])</f>
        <v>20260515</v>
      </c>
      <c r="W838">
        <f>VLOOKUP(Consulta1[[#This Row],[Coluna2]],CALENDARIO!$J:$K,2,FALSE)</f>
        <v>10</v>
      </c>
    </row>
    <row r="839" spans="1:23" x14ac:dyDescent="0.25">
      <c r="A839" t="s">
        <v>370</v>
      </c>
      <c r="B839" t="str">
        <f>CONCATENATE(Consulta1[[#This Row],[id]],Consulta1[[#This Row],[EMPREGADOR]])</f>
        <v>3PREF CERQUILHO</v>
      </c>
      <c r="C839" s="6">
        <f>IF(A839=A838,C838+1,1)</f>
        <v>3</v>
      </c>
      <c r="D839" t="s">
        <v>343</v>
      </c>
      <c r="E839" s="101">
        <v>1.8799999999999997E-2</v>
      </c>
      <c r="F839" s="6">
        <v>120</v>
      </c>
      <c r="G839" t="s">
        <v>1349</v>
      </c>
      <c r="H839" s="82">
        <v>2.5</v>
      </c>
      <c r="I839">
        <v>12</v>
      </c>
      <c r="K839" t="s">
        <v>1757</v>
      </c>
      <c r="L839" s="6" t="s">
        <v>1356</v>
      </c>
      <c r="M839" s="6">
        <v>15</v>
      </c>
      <c r="N839" s="6">
        <v>2</v>
      </c>
      <c r="O839">
        <v>500</v>
      </c>
      <c r="P839">
        <v>202605</v>
      </c>
      <c r="Q839" t="s">
        <v>377</v>
      </c>
      <c r="R839" t="s">
        <v>1350</v>
      </c>
      <c r="S839">
        <f>Consulta1[[#This Row],[min_port]]/100</f>
        <v>1.3000000000000001E-2</v>
      </c>
      <c r="T839" s="252">
        <f>Consulta1[[#This Row],[TETO_COMERCIAL]]/100</f>
        <v>2.5000000000000001E-2</v>
      </c>
      <c r="U839" t="b">
        <f>Consulta1[[#This Row],[TETO_COMERCIAL_%]]=Consulta1[[#This Row],[TAXA]]</f>
        <v>0</v>
      </c>
      <c r="V839" t="str">
        <f>CONCATENATE(Consulta1[[#This Row],[MES_ALTERACAO]],Consulta1[[#This Row],[VIRADA]])</f>
        <v>20260515</v>
      </c>
      <c r="W839">
        <f>VLOOKUP(Consulta1[[#This Row],[Coluna2]],CALENDARIO!$J:$K,2,FALSE)</f>
        <v>10</v>
      </c>
    </row>
    <row r="840" spans="1:23" x14ac:dyDescent="0.25">
      <c r="A840" t="s">
        <v>1041</v>
      </c>
      <c r="B840" t="str">
        <f>CONCATENATE(Consulta1[[#This Row],[id]],Consulta1[[#This Row],[EMPREGADOR]])</f>
        <v>1PREF COLINA SP</v>
      </c>
      <c r="C840" s="6">
        <f>IF(A840=A839,C839+1,1)</f>
        <v>1</v>
      </c>
      <c r="D840" t="s">
        <v>1042</v>
      </c>
      <c r="E840" s="101">
        <v>2.5000000000000001E-2</v>
      </c>
      <c r="F840" s="6">
        <v>96</v>
      </c>
      <c r="G840" t="s">
        <v>1349</v>
      </c>
      <c r="H840" s="82">
        <v>2.5</v>
      </c>
      <c r="I840">
        <v>20</v>
      </c>
      <c r="K840" t="s">
        <v>1758</v>
      </c>
      <c r="L840" s="6" t="s">
        <v>1372</v>
      </c>
      <c r="M840" s="6">
        <v>10</v>
      </c>
      <c r="N840" s="6">
        <v>2</v>
      </c>
      <c r="O840">
        <v>500</v>
      </c>
      <c r="P840">
        <v>202605</v>
      </c>
      <c r="Q840" t="s">
        <v>377</v>
      </c>
      <c r="R840" t="s">
        <v>1353</v>
      </c>
      <c r="S840">
        <f>Consulta1[[#This Row],[min_port]]/100</f>
        <v>1.6E-2</v>
      </c>
      <c r="T840" s="252">
        <f>Consulta1[[#This Row],[TETO_COMERCIAL]]/100</f>
        <v>2.5000000000000001E-2</v>
      </c>
      <c r="U840" t="b">
        <f>Consulta1[[#This Row],[TETO_COMERCIAL_%]]=Consulta1[[#This Row],[TAXA]]</f>
        <v>1</v>
      </c>
      <c r="V840" t="str">
        <f>CONCATENATE(Consulta1[[#This Row],[MES_ALTERACAO]],Consulta1[[#This Row],[VIRADA]])</f>
        <v>20260510</v>
      </c>
      <c r="W840">
        <f>VLOOKUP(Consulta1[[#This Row],[Coluna2]],CALENDARIO!$J:$K,2,FALSE)</f>
        <v>5</v>
      </c>
    </row>
    <row r="841" spans="1:23" x14ac:dyDescent="0.25">
      <c r="A841" t="s">
        <v>1041</v>
      </c>
      <c r="B841" t="str">
        <f>CONCATENATE(Consulta1[[#This Row],[id]],Consulta1[[#This Row],[EMPREGADOR]])</f>
        <v>2PREF COLINA SP</v>
      </c>
      <c r="C841" s="6">
        <f>IF(A841=A840,C840+1,1)</f>
        <v>2</v>
      </c>
      <c r="D841" t="s">
        <v>1043</v>
      </c>
      <c r="E841" s="101">
        <v>2.2000000000000002E-2</v>
      </c>
      <c r="F841" s="6">
        <v>96</v>
      </c>
      <c r="G841" t="s">
        <v>1349</v>
      </c>
      <c r="H841" s="82">
        <v>2.5</v>
      </c>
      <c r="I841">
        <v>20</v>
      </c>
      <c r="K841" t="s">
        <v>1759</v>
      </c>
      <c r="L841" s="6" t="s">
        <v>1372</v>
      </c>
      <c r="M841" s="6">
        <v>10</v>
      </c>
      <c r="N841" s="6">
        <v>2</v>
      </c>
      <c r="O841">
        <v>500</v>
      </c>
      <c r="P841">
        <v>202605</v>
      </c>
      <c r="Q841" t="s">
        <v>377</v>
      </c>
      <c r="R841" t="s">
        <v>1353</v>
      </c>
      <c r="S841">
        <f>Consulta1[[#This Row],[min_port]]/100</f>
        <v>1.6E-2</v>
      </c>
      <c r="T841" s="252">
        <f>Consulta1[[#This Row],[TETO_COMERCIAL]]/100</f>
        <v>2.5000000000000001E-2</v>
      </c>
      <c r="U841" t="b">
        <f>Consulta1[[#This Row],[TETO_COMERCIAL_%]]=Consulta1[[#This Row],[TAXA]]</f>
        <v>0</v>
      </c>
      <c r="V841" t="str">
        <f>CONCATENATE(Consulta1[[#This Row],[MES_ALTERACAO]],Consulta1[[#This Row],[VIRADA]])</f>
        <v>20260510</v>
      </c>
      <c r="W841">
        <f>VLOOKUP(Consulta1[[#This Row],[Coluna2]],CALENDARIO!$J:$K,2,FALSE)</f>
        <v>5</v>
      </c>
    </row>
    <row r="842" spans="1:23" x14ac:dyDescent="0.25">
      <c r="A842" t="s">
        <v>1041</v>
      </c>
      <c r="B842" t="str">
        <f>CONCATENATE(Consulta1[[#This Row],[id]],Consulta1[[#This Row],[EMPREGADOR]])</f>
        <v>3PREF COLINA SP</v>
      </c>
      <c r="C842" s="6">
        <f>IF(A842=A841,C841+1,1)</f>
        <v>3</v>
      </c>
      <c r="D842" t="s">
        <v>1044</v>
      </c>
      <c r="E842" s="101">
        <v>2.0899999999999998E-2</v>
      </c>
      <c r="F842" s="6">
        <v>96</v>
      </c>
      <c r="G842" t="s">
        <v>1349</v>
      </c>
      <c r="H842" s="82">
        <v>2.5</v>
      </c>
      <c r="I842">
        <v>20</v>
      </c>
      <c r="K842" t="s">
        <v>1760</v>
      </c>
      <c r="L842" s="6" t="s">
        <v>1372</v>
      </c>
      <c r="M842" s="6">
        <v>10</v>
      </c>
      <c r="N842" s="6">
        <v>2</v>
      </c>
      <c r="O842">
        <v>500</v>
      </c>
      <c r="P842">
        <v>202605</v>
      </c>
      <c r="Q842" t="s">
        <v>377</v>
      </c>
      <c r="R842" t="s">
        <v>1353</v>
      </c>
      <c r="S842">
        <f>Consulta1[[#This Row],[min_port]]/100</f>
        <v>1.6E-2</v>
      </c>
      <c r="T842" s="252">
        <f>Consulta1[[#This Row],[TETO_COMERCIAL]]/100</f>
        <v>2.5000000000000001E-2</v>
      </c>
      <c r="U842" t="b">
        <f>Consulta1[[#This Row],[TETO_COMERCIAL_%]]=Consulta1[[#This Row],[TAXA]]</f>
        <v>0</v>
      </c>
      <c r="V842" t="str">
        <f>CONCATENATE(Consulta1[[#This Row],[MES_ALTERACAO]],Consulta1[[#This Row],[VIRADA]])</f>
        <v>20260510</v>
      </c>
      <c r="W842">
        <f>VLOOKUP(Consulta1[[#This Row],[Coluna2]],CALENDARIO!$J:$K,2,FALSE)</f>
        <v>5</v>
      </c>
    </row>
    <row r="843" spans="1:23" x14ac:dyDescent="0.25">
      <c r="A843" t="s">
        <v>1041</v>
      </c>
      <c r="B843" t="str">
        <f>CONCATENATE(Consulta1[[#This Row],[id]],Consulta1[[#This Row],[EMPREGADOR]])</f>
        <v>4PREF COLINA SP</v>
      </c>
      <c r="C843" s="6">
        <f>IF(A843=A842,C842+1,1)</f>
        <v>4</v>
      </c>
      <c r="D843" t="s">
        <v>1045</v>
      </c>
      <c r="E843" s="101">
        <v>1.9699999999999999E-2</v>
      </c>
      <c r="F843" s="6">
        <v>96</v>
      </c>
      <c r="G843" t="s">
        <v>1349</v>
      </c>
      <c r="H843" s="82">
        <v>2.5</v>
      </c>
      <c r="I843">
        <v>20</v>
      </c>
      <c r="J843">
        <v>57</v>
      </c>
      <c r="K843" t="s">
        <v>1761</v>
      </c>
      <c r="L843" s="6" t="s">
        <v>1372</v>
      </c>
      <c r="M843" s="6">
        <v>10</v>
      </c>
      <c r="N843" s="6">
        <v>2</v>
      </c>
      <c r="O843">
        <v>500</v>
      </c>
      <c r="P843">
        <v>202605</v>
      </c>
      <c r="Q843" t="s">
        <v>377</v>
      </c>
      <c r="R843" t="s">
        <v>1353</v>
      </c>
      <c r="S843">
        <f>Consulta1[[#This Row],[min_port]]/100</f>
        <v>1.6E-2</v>
      </c>
      <c r="T843" s="252">
        <f>Consulta1[[#This Row],[TETO_COMERCIAL]]/100</f>
        <v>2.5000000000000001E-2</v>
      </c>
      <c r="U843" t="b">
        <f>Consulta1[[#This Row],[TETO_COMERCIAL_%]]=Consulta1[[#This Row],[TAXA]]</f>
        <v>0</v>
      </c>
      <c r="V843" t="str">
        <f>CONCATENATE(Consulta1[[#This Row],[MES_ALTERACAO]],Consulta1[[#This Row],[VIRADA]])</f>
        <v>20260510</v>
      </c>
      <c r="W843">
        <f>VLOOKUP(Consulta1[[#This Row],[Coluna2]],CALENDARIO!$J:$K,2,FALSE)</f>
        <v>5</v>
      </c>
    </row>
    <row r="844" spans="1:23" x14ac:dyDescent="0.25">
      <c r="A844" t="s">
        <v>105</v>
      </c>
      <c r="B844" t="str">
        <f>CONCATENATE(Consulta1[[#This Row],[id]],Consulta1[[#This Row],[EMPREGADOR]])</f>
        <v>1PREF CONTAGEM</v>
      </c>
      <c r="C844" s="6">
        <f>IF(A844=A843,C843+1,1)</f>
        <v>1</v>
      </c>
      <c r="D844" t="s">
        <v>106</v>
      </c>
      <c r="E844" s="101">
        <v>0.02</v>
      </c>
      <c r="F844" s="6">
        <v>120</v>
      </c>
      <c r="G844" t="s">
        <v>1349</v>
      </c>
      <c r="H844" s="82">
        <v>2.25</v>
      </c>
      <c r="I844">
        <v>25</v>
      </c>
      <c r="J844">
        <v>66</v>
      </c>
      <c r="K844" t="s">
        <v>1762</v>
      </c>
      <c r="L844" s="6" t="s">
        <v>1374</v>
      </c>
      <c r="M844" s="6">
        <v>3</v>
      </c>
      <c r="N844" s="6">
        <v>2</v>
      </c>
      <c r="O844">
        <v>500</v>
      </c>
      <c r="P844">
        <v>202605</v>
      </c>
      <c r="Q844" t="s">
        <v>377</v>
      </c>
      <c r="R844" t="s">
        <v>1353</v>
      </c>
      <c r="S844">
        <f>Consulta1[[#This Row],[min_port]]/100</f>
        <v>1.4999999999999999E-2</v>
      </c>
      <c r="T844" s="252">
        <f>Consulta1[[#This Row],[TETO_COMERCIAL]]/100</f>
        <v>2.2499999999999999E-2</v>
      </c>
      <c r="U844" t="b">
        <f>Consulta1[[#This Row],[TETO_COMERCIAL_%]]=Consulta1[[#This Row],[TAXA]]</f>
        <v>0</v>
      </c>
      <c r="V844" t="str">
        <f>CONCATENATE(Consulta1[[#This Row],[MES_ALTERACAO]],Consulta1[[#This Row],[VIRADA]])</f>
        <v>2026053</v>
      </c>
      <c r="W844">
        <f>VLOOKUP(Consulta1[[#This Row],[Coluna2]],CALENDARIO!$J:$K,2,FALSE)</f>
        <v>0</v>
      </c>
    </row>
    <row r="845" spans="1:23" x14ac:dyDescent="0.25">
      <c r="A845" t="s">
        <v>105</v>
      </c>
      <c r="B845" t="str">
        <f>CONCATENATE(Consulta1[[#This Row],[id]],Consulta1[[#This Row],[EMPREGADOR]])</f>
        <v>2PREF CONTAGEM</v>
      </c>
      <c r="C845" s="6">
        <f>IF(A845=A844,C844+1,1)</f>
        <v>2</v>
      </c>
      <c r="D845" t="s">
        <v>223</v>
      </c>
      <c r="E845" s="101">
        <v>1.8500000000000003E-2</v>
      </c>
      <c r="F845" s="6">
        <v>120</v>
      </c>
      <c r="G845" t="s">
        <v>1349</v>
      </c>
      <c r="H845" s="82">
        <v>2.25</v>
      </c>
      <c r="I845">
        <v>25</v>
      </c>
      <c r="J845">
        <v>65</v>
      </c>
      <c r="K845" t="s">
        <v>1763</v>
      </c>
      <c r="L845" s="6" t="s">
        <v>1374</v>
      </c>
      <c r="M845" s="6">
        <v>3</v>
      </c>
      <c r="N845" s="6">
        <v>2</v>
      </c>
      <c r="O845">
        <v>500</v>
      </c>
      <c r="P845">
        <v>202605</v>
      </c>
      <c r="Q845" t="s">
        <v>377</v>
      </c>
      <c r="R845" t="s">
        <v>1353</v>
      </c>
      <c r="S845">
        <f>Consulta1[[#This Row],[min_port]]/100</f>
        <v>1.4999999999999999E-2</v>
      </c>
      <c r="T845" s="252">
        <f>Consulta1[[#This Row],[TETO_COMERCIAL]]/100</f>
        <v>2.2499999999999999E-2</v>
      </c>
      <c r="U845" t="b">
        <f>Consulta1[[#This Row],[TETO_COMERCIAL_%]]=Consulta1[[#This Row],[TAXA]]</f>
        <v>0</v>
      </c>
      <c r="V845" t="str">
        <f>CONCATENATE(Consulta1[[#This Row],[MES_ALTERACAO]],Consulta1[[#This Row],[VIRADA]])</f>
        <v>2026053</v>
      </c>
      <c r="W845">
        <f>VLOOKUP(Consulta1[[#This Row],[Coluna2]],CALENDARIO!$J:$K,2,FALSE)</f>
        <v>0</v>
      </c>
    </row>
    <row r="846" spans="1:23" x14ac:dyDescent="0.25">
      <c r="A846" t="s">
        <v>351</v>
      </c>
      <c r="B846" t="str">
        <f>CONCATENATE(Consulta1[[#This Row],[id]],Consulta1[[#This Row],[EMPREGADOR]])</f>
        <v>1PREF COTIA</v>
      </c>
      <c r="C846" s="6">
        <f>IF(A846=A845,C845+1,1)</f>
        <v>1</v>
      </c>
      <c r="D846" t="s">
        <v>352</v>
      </c>
      <c r="E846" s="101">
        <v>2.5000000000000001E-2</v>
      </c>
      <c r="F846" s="6">
        <v>96</v>
      </c>
      <c r="G846" t="s">
        <v>1349</v>
      </c>
      <c r="H846" s="82">
        <v>2.5</v>
      </c>
      <c r="I846">
        <v>15</v>
      </c>
      <c r="K846" t="s">
        <v>1764</v>
      </c>
      <c r="L846" s="6" t="s">
        <v>1765</v>
      </c>
      <c r="M846" s="6">
        <v>20</v>
      </c>
      <c r="N846" s="6">
        <v>2</v>
      </c>
      <c r="O846">
        <v>500</v>
      </c>
      <c r="P846">
        <v>202605</v>
      </c>
      <c r="Q846" t="s">
        <v>377</v>
      </c>
      <c r="R846" t="s">
        <v>1350</v>
      </c>
      <c r="S846">
        <f>Consulta1[[#This Row],[min_port]]/100</f>
        <v>1.6799999999999999E-2</v>
      </c>
      <c r="T846" s="252">
        <f>Consulta1[[#This Row],[TETO_COMERCIAL]]/100</f>
        <v>2.5000000000000001E-2</v>
      </c>
      <c r="U846" t="b">
        <f>Consulta1[[#This Row],[TETO_COMERCIAL_%]]=Consulta1[[#This Row],[TAXA]]</f>
        <v>1</v>
      </c>
      <c r="V846" t="str">
        <f>CONCATENATE(Consulta1[[#This Row],[MES_ALTERACAO]],Consulta1[[#This Row],[VIRADA]])</f>
        <v>20260520</v>
      </c>
      <c r="W846">
        <f>VLOOKUP(Consulta1[[#This Row],[Coluna2]],CALENDARIO!$J:$K,2,FALSE)</f>
        <v>13</v>
      </c>
    </row>
    <row r="847" spans="1:23" x14ac:dyDescent="0.25">
      <c r="A847" t="s">
        <v>351</v>
      </c>
      <c r="B847" t="str">
        <f>CONCATENATE(Consulta1[[#This Row],[id]],Consulta1[[#This Row],[EMPREGADOR]])</f>
        <v>2PREF COTIA</v>
      </c>
      <c r="C847" s="6">
        <f>IF(A847=A846,C846+1,1)</f>
        <v>2</v>
      </c>
      <c r="D847" t="s">
        <v>353</v>
      </c>
      <c r="E847" s="101">
        <v>2.3900000000000001E-2</v>
      </c>
      <c r="F847" s="6">
        <v>96</v>
      </c>
      <c r="G847" t="s">
        <v>1349</v>
      </c>
      <c r="H847" s="82">
        <v>2.5</v>
      </c>
      <c r="I847">
        <v>15</v>
      </c>
      <c r="K847" t="s">
        <v>1766</v>
      </c>
      <c r="L847" s="6" t="s">
        <v>1765</v>
      </c>
      <c r="M847" s="6">
        <v>20</v>
      </c>
      <c r="N847" s="6">
        <v>2</v>
      </c>
      <c r="O847">
        <v>500</v>
      </c>
      <c r="P847">
        <v>202605</v>
      </c>
      <c r="Q847" t="s">
        <v>377</v>
      </c>
      <c r="R847" t="s">
        <v>1350</v>
      </c>
      <c r="S847">
        <f>Consulta1[[#This Row],[min_port]]/100</f>
        <v>1.6799999999999999E-2</v>
      </c>
      <c r="T847" s="252">
        <f>Consulta1[[#This Row],[TETO_COMERCIAL]]/100</f>
        <v>2.5000000000000001E-2</v>
      </c>
      <c r="U847" t="b">
        <f>Consulta1[[#This Row],[TETO_COMERCIAL_%]]=Consulta1[[#This Row],[TAXA]]</f>
        <v>0</v>
      </c>
      <c r="V847" t="str">
        <f>CONCATENATE(Consulta1[[#This Row],[MES_ALTERACAO]],Consulta1[[#This Row],[VIRADA]])</f>
        <v>20260520</v>
      </c>
      <c r="W847">
        <f>VLOOKUP(Consulta1[[#This Row],[Coluna2]],CALENDARIO!$J:$K,2,FALSE)</f>
        <v>13</v>
      </c>
    </row>
    <row r="848" spans="1:23" x14ac:dyDescent="0.25">
      <c r="A848" t="s">
        <v>351</v>
      </c>
      <c r="B848" t="str">
        <f>CONCATENATE(Consulta1[[#This Row],[id]],Consulta1[[#This Row],[EMPREGADOR]])</f>
        <v>3PREF COTIA</v>
      </c>
      <c r="C848" s="6">
        <f>IF(A848=A847,C847+1,1)</f>
        <v>3</v>
      </c>
      <c r="D848" t="s">
        <v>354</v>
      </c>
      <c r="E848" s="101">
        <v>2.29E-2</v>
      </c>
      <c r="F848" s="6">
        <v>96</v>
      </c>
      <c r="G848" t="s">
        <v>1349</v>
      </c>
      <c r="H848" s="82">
        <v>2.5</v>
      </c>
      <c r="I848">
        <v>15</v>
      </c>
      <c r="K848" t="s">
        <v>1767</v>
      </c>
      <c r="L848" s="6" t="s">
        <v>1765</v>
      </c>
      <c r="M848" s="6">
        <v>20</v>
      </c>
      <c r="N848" s="6">
        <v>2</v>
      </c>
      <c r="O848">
        <v>500</v>
      </c>
      <c r="P848">
        <v>202605</v>
      </c>
      <c r="Q848" t="s">
        <v>377</v>
      </c>
      <c r="R848" t="s">
        <v>1350</v>
      </c>
      <c r="S848">
        <f>Consulta1[[#This Row],[min_port]]/100</f>
        <v>1.6799999999999999E-2</v>
      </c>
      <c r="T848" s="252">
        <f>Consulta1[[#This Row],[TETO_COMERCIAL]]/100</f>
        <v>2.5000000000000001E-2</v>
      </c>
      <c r="U848" t="b">
        <f>Consulta1[[#This Row],[TETO_COMERCIAL_%]]=Consulta1[[#This Row],[TAXA]]</f>
        <v>0</v>
      </c>
      <c r="V848" t="str">
        <f>CONCATENATE(Consulta1[[#This Row],[MES_ALTERACAO]],Consulta1[[#This Row],[VIRADA]])</f>
        <v>20260520</v>
      </c>
      <c r="W848">
        <f>VLOOKUP(Consulta1[[#This Row],[Coluna2]],CALENDARIO!$J:$K,2,FALSE)</f>
        <v>13</v>
      </c>
    </row>
    <row r="849" spans="1:23" x14ac:dyDescent="0.25">
      <c r="A849" t="s">
        <v>3038</v>
      </c>
      <c r="B849" t="str">
        <f>CONCATENATE(Consulta1[[#This Row],[id]],Consulta1[[#This Row],[EMPREGADOR]])</f>
        <v>1PREF CRATO</v>
      </c>
      <c r="C849" s="6">
        <f>IF(A849=A848,C848+1,1)</f>
        <v>1</v>
      </c>
      <c r="D849" t="s">
        <v>716</v>
      </c>
      <c r="E849" s="101">
        <v>2.5000000000000001E-2</v>
      </c>
      <c r="F849" s="6">
        <v>120</v>
      </c>
      <c r="G849" t="s">
        <v>1349</v>
      </c>
      <c r="H849" s="82">
        <v>2.5</v>
      </c>
      <c r="I849">
        <v>20</v>
      </c>
      <c r="J849">
        <v>70</v>
      </c>
      <c r="K849" t="s">
        <v>1768</v>
      </c>
      <c r="L849" s="6" t="s">
        <v>1769</v>
      </c>
      <c r="M849" s="6">
        <v>10</v>
      </c>
      <c r="N849" s="6">
        <v>2</v>
      </c>
      <c r="O849">
        <v>500</v>
      </c>
      <c r="P849">
        <v>202605</v>
      </c>
      <c r="Q849" t="s">
        <v>377</v>
      </c>
      <c r="R849" t="s">
        <v>1353</v>
      </c>
      <c r="S849">
        <f>Consulta1[[#This Row],[min_port]]/100</f>
        <v>1.7299999999999999E-2</v>
      </c>
      <c r="T849" s="252">
        <f>Consulta1[[#This Row],[TETO_COMERCIAL]]/100</f>
        <v>2.5000000000000001E-2</v>
      </c>
      <c r="U849" t="b">
        <f>Consulta1[[#This Row],[TETO_COMERCIAL_%]]=Consulta1[[#This Row],[TAXA]]</f>
        <v>1</v>
      </c>
      <c r="V849" t="str">
        <f>CONCATENATE(Consulta1[[#This Row],[MES_ALTERACAO]],Consulta1[[#This Row],[VIRADA]])</f>
        <v>20260510</v>
      </c>
      <c r="W849">
        <f>VLOOKUP(Consulta1[[#This Row],[Coluna2]],CALENDARIO!$J:$K,2,FALSE)</f>
        <v>5</v>
      </c>
    </row>
    <row r="850" spans="1:23" x14ac:dyDescent="0.25">
      <c r="A850" t="s">
        <v>3038</v>
      </c>
      <c r="B850" t="str">
        <f>CONCATENATE(Consulta1[[#This Row],[id]],Consulta1[[#This Row],[EMPREGADOR]])</f>
        <v>2PREF CRATO</v>
      </c>
      <c r="C850" s="6">
        <f>IF(A850=A849,C849+1,1)</f>
        <v>2</v>
      </c>
      <c r="D850" t="s">
        <v>717</v>
      </c>
      <c r="E850" s="101">
        <v>2.4E-2</v>
      </c>
      <c r="F850" s="6">
        <v>120</v>
      </c>
      <c r="G850" t="s">
        <v>1349</v>
      </c>
      <c r="H850" s="82">
        <v>2.5</v>
      </c>
      <c r="I850">
        <v>20</v>
      </c>
      <c r="K850" t="s">
        <v>1770</v>
      </c>
      <c r="L850" s="6" t="s">
        <v>1769</v>
      </c>
      <c r="M850" s="6">
        <v>10</v>
      </c>
      <c r="N850" s="6">
        <v>2</v>
      </c>
      <c r="O850">
        <v>500</v>
      </c>
      <c r="P850">
        <v>202605</v>
      </c>
      <c r="Q850" t="s">
        <v>377</v>
      </c>
      <c r="R850" t="s">
        <v>1353</v>
      </c>
      <c r="S850">
        <f>Consulta1[[#This Row],[min_port]]/100</f>
        <v>1.7299999999999999E-2</v>
      </c>
      <c r="T850" s="252">
        <f>Consulta1[[#This Row],[TETO_COMERCIAL]]/100</f>
        <v>2.5000000000000001E-2</v>
      </c>
      <c r="U850" t="b">
        <f>Consulta1[[#This Row],[TETO_COMERCIAL_%]]=Consulta1[[#This Row],[TAXA]]</f>
        <v>0</v>
      </c>
      <c r="V850" t="str">
        <f>CONCATENATE(Consulta1[[#This Row],[MES_ALTERACAO]],Consulta1[[#This Row],[VIRADA]])</f>
        <v>20260510</v>
      </c>
      <c r="W850">
        <f>VLOOKUP(Consulta1[[#This Row],[Coluna2]],CALENDARIO!$J:$K,2,FALSE)</f>
        <v>5</v>
      </c>
    </row>
    <row r="851" spans="1:23" x14ac:dyDescent="0.25">
      <c r="A851" t="s">
        <v>3038</v>
      </c>
      <c r="B851" t="str">
        <f>CONCATENATE(Consulta1[[#This Row],[id]],Consulta1[[#This Row],[EMPREGADOR]])</f>
        <v>3PREF CRATO</v>
      </c>
      <c r="C851" s="6">
        <f>IF(A851=A850,C850+1,1)</f>
        <v>3</v>
      </c>
      <c r="D851" t="s">
        <v>718</v>
      </c>
      <c r="E851" s="101">
        <v>2.3E-2</v>
      </c>
      <c r="F851" s="6">
        <v>120</v>
      </c>
      <c r="G851" t="s">
        <v>1349</v>
      </c>
      <c r="H851" s="82">
        <v>2.5</v>
      </c>
      <c r="I851">
        <v>20</v>
      </c>
      <c r="J851">
        <v>53</v>
      </c>
      <c r="K851" t="s">
        <v>1771</v>
      </c>
      <c r="L851" s="6" t="s">
        <v>1769</v>
      </c>
      <c r="M851" s="6">
        <v>10</v>
      </c>
      <c r="N851" s="6">
        <v>2</v>
      </c>
      <c r="O851">
        <v>500</v>
      </c>
      <c r="P851">
        <v>202605</v>
      </c>
      <c r="Q851" t="s">
        <v>377</v>
      </c>
      <c r="R851" t="s">
        <v>1353</v>
      </c>
      <c r="S851">
        <f>Consulta1[[#This Row],[min_port]]/100</f>
        <v>1.7299999999999999E-2</v>
      </c>
      <c r="T851" s="252">
        <f>Consulta1[[#This Row],[TETO_COMERCIAL]]/100</f>
        <v>2.5000000000000001E-2</v>
      </c>
      <c r="U851" t="b">
        <f>Consulta1[[#This Row],[TETO_COMERCIAL_%]]=Consulta1[[#This Row],[TAXA]]</f>
        <v>0</v>
      </c>
      <c r="V851" t="str">
        <f>CONCATENATE(Consulta1[[#This Row],[MES_ALTERACAO]],Consulta1[[#This Row],[VIRADA]])</f>
        <v>20260510</v>
      </c>
      <c r="W851">
        <f>VLOOKUP(Consulta1[[#This Row],[Coluna2]],CALENDARIO!$J:$K,2,FALSE)</f>
        <v>5</v>
      </c>
    </row>
    <row r="852" spans="1:23" x14ac:dyDescent="0.25">
      <c r="A852" t="s">
        <v>3038</v>
      </c>
      <c r="B852" t="str">
        <f>CONCATENATE(Consulta1[[#This Row],[id]],Consulta1[[#This Row],[EMPREGADOR]])</f>
        <v>4PREF CRATO</v>
      </c>
      <c r="C852" s="6">
        <f>IF(A852=A851,C851+1,1)</f>
        <v>4</v>
      </c>
      <c r="D852" t="s">
        <v>719</v>
      </c>
      <c r="E852" s="101">
        <v>2.2000000000000002E-2</v>
      </c>
      <c r="F852" s="6">
        <v>120</v>
      </c>
      <c r="G852" t="s">
        <v>1349</v>
      </c>
      <c r="H852" s="82">
        <v>2.5</v>
      </c>
      <c r="I852">
        <v>20</v>
      </c>
      <c r="J852">
        <v>63</v>
      </c>
      <c r="K852" t="s">
        <v>1772</v>
      </c>
      <c r="L852" s="6" t="s">
        <v>1769</v>
      </c>
      <c r="M852" s="6">
        <v>10</v>
      </c>
      <c r="N852" s="6">
        <v>2</v>
      </c>
      <c r="O852">
        <v>500</v>
      </c>
      <c r="P852">
        <v>202605</v>
      </c>
      <c r="Q852" t="s">
        <v>377</v>
      </c>
      <c r="R852" t="s">
        <v>1353</v>
      </c>
      <c r="S852">
        <f>Consulta1[[#This Row],[min_port]]/100</f>
        <v>1.7299999999999999E-2</v>
      </c>
      <c r="T852" s="252">
        <f>Consulta1[[#This Row],[TETO_COMERCIAL]]/100</f>
        <v>2.5000000000000001E-2</v>
      </c>
      <c r="U852" t="b">
        <f>Consulta1[[#This Row],[TETO_COMERCIAL_%]]=Consulta1[[#This Row],[TAXA]]</f>
        <v>0</v>
      </c>
      <c r="V852" t="str">
        <f>CONCATENATE(Consulta1[[#This Row],[MES_ALTERACAO]],Consulta1[[#This Row],[VIRADA]])</f>
        <v>20260510</v>
      </c>
      <c r="W852">
        <f>VLOOKUP(Consulta1[[#This Row],[Coluna2]],CALENDARIO!$J:$K,2,FALSE)</f>
        <v>5</v>
      </c>
    </row>
    <row r="853" spans="1:23" x14ac:dyDescent="0.25">
      <c r="A853" t="s">
        <v>3039</v>
      </c>
      <c r="B853" t="str">
        <f>CONCATENATE(Consulta1[[#This Row],[id]],Consulta1[[#This Row],[EMPREGADOR]])</f>
        <v>1PREF CUIABA 1</v>
      </c>
      <c r="C853" s="6">
        <f>IF(A853=A852,C852+1,1)</f>
        <v>1</v>
      </c>
      <c r="D853" t="s">
        <v>877</v>
      </c>
      <c r="E853" s="101">
        <v>2.5000000000000001E-2</v>
      </c>
      <c r="F853" s="6">
        <v>96</v>
      </c>
      <c r="G853" t="s">
        <v>1349</v>
      </c>
      <c r="H853" s="82">
        <v>2.5</v>
      </c>
      <c r="I853">
        <v>30</v>
      </c>
      <c r="J853">
        <v>70</v>
      </c>
      <c r="K853" t="s">
        <v>1773</v>
      </c>
      <c r="L853" s="6" t="s">
        <v>1381</v>
      </c>
      <c r="M853" s="6">
        <v>10</v>
      </c>
      <c r="N853" s="6">
        <v>2</v>
      </c>
      <c r="O853">
        <v>500</v>
      </c>
      <c r="P853">
        <v>202605</v>
      </c>
      <c r="Q853" t="s">
        <v>377</v>
      </c>
      <c r="R853" t="s">
        <v>1353</v>
      </c>
      <c r="S853">
        <f>Consulta1[[#This Row],[min_port]]/100</f>
        <v>1.3999999999999999E-2</v>
      </c>
      <c r="T853" s="252">
        <f>Consulta1[[#This Row],[TETO_COMERCIAL]]/100</f>
        <v>2.5000000000000001E-2</v>
      </c>
      <c r="U853" t="b">
        <f>Consulta1[[#This Row],[TETO_COMERCIAL_%]]=Consulta1[[#This Row],[TAXA]]</f>
        <v>1</v>
      </c>
      <c r="V853" t="str">
        <f>CONCATENATE(Consulta1[[#This Row],[MES_ALTERACAO]],Consulta1[[#This Row],[VIRADA]])</f>
        <v>20260510</v>
      </c>
      <c r="W853">
        <f>VLOOKUP(Consulta1[[#This Row],[Coluna2]],CALENDARIO!$J:$K,2,FALSE)</f>
        <v>5</v>
      </c>
    </row>
    <row r="854" spans="1:23" x14ac:dyDescent="0.25">
      <c r="A854" t="s">
        <v>3039</v>
      </c>
      <c r="B854" t="str">
        <f>CONCATENATE(Consulta1[[#This Row],[id]],Consulta1[[#This Row],[EMPREGADOR]])</f>
        <v>2PREF CUIABA 1</v>
      </c>
      <c r="C854" s="6">
        <f>IF(A854=A853,C853+1,1)</f>
        <v>2</v>
      </c>
      <c r="D854" t="s">
        <v>878</v>
      </c>
      <c r="E854" s="101">
        <v>2.2499999999999999E-2</v>
      </c>
      <c r="F854" s="6">
        <v>96</v>
      </c>
      <c r="G854" t="s">
        <v>1349</v>
      </c>
      <c r="H854" s="82">
        <v>2.5</v>
      </c>
      <c r="I854">
        <v>30</v>
      </c>
      <c r="J854">
        <v>48</v>
      </c>
      <c r="K854" t="s">
        <v>1774</v>
      </c>
      <c r="L854" s="6" t="s">
        <v>1381</v>
      </c>
      <c r="M854" s="6">
        <v>10</v>
      </c>
      <c r="N854" s="6">
        <v>2</v>
      </c>
      <c r="O854">
        <v>500</v>
      </c>
      <c r="P854">
        <v>202605</v>
      </c>
      <c r="Q854" t="s">
        <v>377</v>
      </c>
      <c r="R854" t="s">
        <v>1353</v>
      </c>
      <c r="S854">
        <f>Consulta1[[#This Row],[min_port]]/100</f>
        <v>1.3999999999999999E-2</v>
      </c>
      <c r="T854" s="252">
        <f>Consulta1[[#This Row],[TETO_COMERCIAL]]/100</f>
        <v>2.5000000000000001E-2</v>
      </c>
      <c r="U854" t="b">
        <f>Consulta1[[#This Row],[TETO_COMERCIAL_%]]=Consulta1[[#This Row],[TAXA]]</f>
        <v>0</v>
      </c>
      <c r="V854" t="str">
        <f>CONCATENATE(Consulta1[[#This Row],[MES_ALTERACAO]],Consulta1[[#This Row],[VIRADA]])</f>
        <v>20260510</v>
      </c>
      <c r="W854">
        <f>VLOOKUP(Consulta1[[#This Row],[Coluna2]],CALENDARIO!$J:$K,2,FALSE)</f>
        <v>5</v>
      </c>
    </row>
    <row r="855" spans="1:23" x14ac:dyDescent="0.25">
      <c r="A855" t="s">
        <v>3039</v>
      </c>
      <c r="B855" t="str">
        <f>CONCATENATE(Consulta1[[#This Row],[id]],Consulta1[[#This Row],[EMPREGADOR]])</f>
        <v>3PREF CUIABA 1</v>
      </c>
      <c r="C855" s="6">
        <f>IF(A855=A854,C854+1,1)</f>
        <v>3</v>
      </c>
      <c r="D855" t="s">
        <v>879</v>
      </c>
      <c r="E855" s="101">
        <v>2.2000000000000002E-2</v>
      </c>
      <c r="F855" s="6">
        <v>96</v>
      </c>
      <c r="G855" t="s">
        <v>1349</v>
      </c>
      <c r="H855" s="82">
        <v>2.5</v>
      </c>
      <c r="I855">
        <v>30</v>
      </c>
      <c r="J855">
        <v>69</v>
      </c>
      <c r="K855" t="s">
        <v>1775</v>
      </c>
      <c r="L855" s="6" t="s">
        <v>1381</v>
      </c>
      <c r="M855" s="6">
        <v>10</v>
      </c>
      <c r="N855" s="6">
        <v>2</v>
      </c>
      <c r="O855">
        <v>500</v>
      </c>
      <c r="P855">
        <v>202605</v>
      </c>
      <c r="Q855" t="s">
        <v>377</v>
      </c>
      <c r="R855" t="s">
        <v>1353</v>
      </c>
      <c r="S855">
        <f>Consulta1[[#This Row],[min_port]]/100</f>
        <v>1.3999999999999999E-2</v>
      </c>
      <c r="T855" s="252">
        <f>Consulta1[[#This Row],[TETO_COMERCIAL]]/100</f>
        <v>2.5000000000000001E-2</v>
      </c>
      <c r="U855" t="b">
        <f>Consulta1[[#This Row],[TETO_COMERCIAL_%]]=Consulta1[[#This Row],[TAXA]]</f>
        <v>0</v>
      </c>
      <c r="V855" t="str">
        <f>CONCATENATE(Consulta1[[#This Row],[MES_ALTERACAO]],Consulta1[[#This Row],[VIRADA]])</f>
        <v>20260510</v>
      </c>
      <c r="W855">
        <f>VLOOKUP(Consulta1[[#This Row],[Coluna2]],CALENDARIO!$J:$K,2,FALSE)</f>
        <v>5</v>
      </c>
    </row>
    <row r="856" spans="1:23" x14ac:dyDescent="0.25">
      <c r="A856" t="s">
        <v>3039</v>
      </c>
      <c r="B856" t="str">
        <f>CONCATENATE(Consulta1[[#This Row],[id]],Consulta1[[#This Row],[EMPREGADOR]])</f>
        <v>4PREF CUIABA 1</v>
      </c>
      <c r="C856" s="6">
        <f>IF(A856=A855,C855+1,1)</f>
        <v>4</v>
      </c>
      <c r="D856" t="s">
        <v>880</v>
      </c>
      <c r="E856" s="101">
        <v>2.1000000000000001E-2</v>
      </c>
      <c r="F856" s="6">
        <v>96</v>
      </c>
      <c r="G856" t="s">
        <v>1349</v>
      </c>
      <c r="H856" s="82">
        <v>2.5</v>
      </c>
      <c r="I856">
        <v>30</v>
      </c>
      <c r="J856">
        <v>57</v>
      </c>
      <c r="K856" t="s">
        <v>1776</v>
      </c>
      <c r="L856" s="6" t="s">
        <v>1381</v>
      </c>
      <c r="M856" s="6">
        <v>10</v>
      </c>
      <c r="N856" s="6">
        <v>2</v>
      </c>
      <c r="O856">
        <v>500</v>
      </c>
      <c r="P856">
        <v>202605</v>
      </c>
      <c r="Q856" t="s">
        <v>377</v>
      </c>
      <c r="R856" t="s">
        <v>1353</v>
      </c>
      <c r="S856">
        <f>Consulta1[[#This Row],[min_port]]/100</f>
        <v>1.3999999999999999E-2</v>
      </c>
      <c r="T856" s="252">
        <f>Consulta1[[#This Row],[TETO_COMERCIAL]]/100</f>
        <v>2.5000000000000001E-2</v>
      </c>
      <c r="U856" t="b">
        <f>Consulta1[[#This Row],[TETO_COMERCIAL_%]]=Consulta1[[#This Row],[TAXA]]</f>
        <v>0</v>
      </c>
      <c r="V856" t="str">
        <f>CONCATENATE(Consulta1[[#This Row],[MES_ALTERACAO]],Consulta1[[#This Row],[VIRADA]])</f>
        <v>20260510</v>
      </c>
      <c r="W856">
        <f>VLOOKUP(Consulta1[[#This Row],[Coluna2]],CALENDARIO!$J:$K,2,FALSE)</f>
        <v>5</v>
      </c>
    </row>
    <row r="857" spans="1:23" x14ac:dyDescent="0.25">
      <c r="A857" t="s">
        <v>3039</v>
      </c>
      <c r="B857" t="str">
        <f>CONCATENATE(Consulta1[[#This Row],[id]],Consulta1[[#This Row],[EMPREGADOR]])</f>
        <v>5PREF CUIABA 1</v>
      </c>
      <c r="C857" s="6">
        <f>IF(A857=A856,C856+1,1)</f>
        <v>5</v>
      </c>
      <c r="D857" t="s">
        <v>881</v>
      </c>
      <c r="E857" s="101">
        <v>0.02</v>
      </c>
      <c r="F857" s="6">
        <v>96</v>
      </c>
      <c r="G857" t="s">
        <v>1349</v>
      </c>
      <c r="H857" s="82">
        <v>2.5</v>
      </c>
      <c r="I857">
        <v>30</v>
      </c>
      <c r="J857">
        <v>64</v>
      </c>
      <c r="K857" t="s">
        <v>1777</v>
      </c>
      <c r="L857" s="6" t="s">
        <v>1381</v>
      </c>
      <c r="M857" s="6">
        <v>10</v>
      </c>
      <c r="N857" s="6">
        <v>2</v>
      </c>
      <c r="O857">
        <v>500</v>
      </c>
      <c r="P857">
        <v>202605</v>
      </c>
      <c r="Q857" t="s">
        <v>377</v>
      </c>
      <c r="R857" t="s">
        <v>1353</v>
      </c>
      <c r="S857">
        <f>Consulta1[[#This Row],[min_port]]/100</f>
        <v>1.3999999999999999E-2</v>
      </c>
      <c r="T857" s="252">
        <f>Consulta1[[#This Row],[TETO_COMERCIAL]]/100</f>
        <v>2.5000000000000001E-2</v>
      </c>
      <c r="U857" t="b">
        <f>Consulta1[[#This Row],[TETO_COMERCIAL_%]]=Consulta1[[#This Row],[TAXA]]</f>
        <v>0</v>
      </c>
      <c r="V857" t="str">
        <f>CONCATENATE(Consulta1[[#This Row],[MES_ALTERACAO]],Consulta1[[#This Row],[VIRADA]])</f>
        <v>20260510</v>
      </c>
      <c r="W857">
        <f>VLOOKUP(Consulta1[[#This Row],[Coluna2]],CALENDARIO!$J:$K,2,FALSE)</f>
        <v>5</v>
      </c>
    </row>
    <row r="858" spans="1:23" x14ac:dyDescent="0.25">
      <c r="A858" t="s">
        <v>3039</v>
      </c>
      <c r="B858" t="str">
        <f>CONCATENATE(Consulta1[[#This Row],[id]],Consulta1[[#This Row],[EMPREGADOR]])</f>
        <v>6PREF CUIABA 1</v>
      </c>
      <c r="C858" s="6">
        <f>IF(A858=A857,C857+1,1)</f>
        <v>6</v>
      </c>
      <c r="D858" t="s">
        <v>882</v>
      </c>
      <c r="E858" s="101">
        <v>1.9199999999999998E-2</v>
      </c>
      <c r="F858" s="6">
        <v>96</v>
      </c>
      <c r="G858" t="s">
        <v>1349</v>
      </c>
      <c r="H858" s="82">
        <v>2.5</v>
      </c>
      <c r="I858">
        <v>30</v>
      </c>
      <c r="J858">
        <v>70</v>
      </c>
      <c r="K858" t="s">
        <v>1778</v>
      </c>
      <c r="L858" s="6" t="s">
        <v>1381</v>
      </c>
      <c r="M858" s="6">
        <v>10</v>
      </c>
      <c r="N858" s="6">
        <v>2</v>
      </c>
      <c r="O858">
        <v>500</v>
      </c>
      <c r="P858">
        <v>202605</v>
      </c>
      <c r="Q858" t="s">
        <v>377</v>
      </c>
      <c r="R858" t="s">
        <v>1353</v>
      </c>
      <c r="S858">
        <f>Consulta1[[#This Row],[min_port]]/100</f>
        <v>1.3999999999999999E-2</v>
      </c>
      <c r="T858" s="252">
        <f>Consulta1[[#This Row],[TETO_COMERCIAL]]/100</f>
        <v>2.5000000000000001E-2</v>
      </c>
      <c r="U858" t="b">
        <f>Consulta1[[#This Row],[TETO_COMERCIAL_%]]=Consulta1[[#This Row],[TAXA]]</f>
        <v>0</v>
      </c>
      <c r="V858" t="str">
        <f>CONCATENATE(Consulta1[[#This Row],[MES_ALTERACAO]],Consulta1[[#This Row],[VIRADA]])</f>
        <v>20260510</v>
      </c>
      <c r="W858">
        <f>VLOOKUP(Consulta1[[#This Row],[Coluna2]],CALENDARIO!$J:$K,2,FALSE)</f>
        <v>5</v>
      </c>
    </row>
    <row r="859" spans="1:23" x14ac:dyDescent="0.25">
      <c r="A859" t="s">
        <v>3133</v>
      </c>
      <c r="B859" t="str">
        <f>CONCATENATE(Consulta1[[#This Row],[id]],Consulta1[[#This Row],[EMPREGADOR]])</f>
        <v>1PREF CURRAIS RN</v>
      </c>
      <c r="C859" s="6">
        <f>IF(A859=A858,C858+1,1)</f>
        <v>1</v>
      </c>
      <c r="D859" t="s">
        <v>3134</v>
      </c>
      <c r="E859" s="101">
        <v>2.7999999999999997E-2</v>
      </c>
      <c r="F859" s="6">
        <v>120</v>
      </c>
      <c r="G859" t="s">
        <v>1349</v>
      </c>
      <c r="H859" s="82">
        <v>2.8</v>
      </c>
      <c r="I859">
        <v>10</v>
      </c>
      <c r="K859" t="s">
        <v>3135</v>
      </c>
      <c r="L859" s="6" t="s">
        <v>1372</v>
      </c>
      <c r="M859" s="6">
        <v>10</v>
      </c>
      <c r="N859" s="6">
        <v>2</v>
      </c>
      <c r="O859">
        <v>500</v>
      </c>
      <c r="P859">
        <v>202605</v>
      </c>
      <c r="Q859" t="s">
        <v>378</v>
      </c>
      <c r="R859" t="s">
        <v>1353</v>
      </c>
      <c r="S859">
        <f>Consulta1[[#This Row],[min_port]]/100</f>
        <v>1.6E-2</v>
      </c>
      <c r="T859" s="252">
        <f>Consulta1[[#This Row],[TETO_COMERCIAL]]/100</f>
        <v>2.7999999999999997E-2</v>
      </c>
      <c r="U859" t="b">
        <f>Consulta1[[#This Row],[TETO_COMERCIAL_%]]=Consulta1[[#This Row],[TAXA]]</f>
        <v>1</v>
      </c>
      <c r="V859" t="str">
        <f>CONCATENATE(Consulta1[[#This Row],[MES_ALTERACAO]],Consulta1[[#This Row],[VIRADA]])</f>
        <v>20260510</v>
      </c>
      <c r="W859">
        <f>VLOOKUP(Consulta1[[#This Row],[Coluna2]],CALENDARIO!$J:$K,2,FALSE)</f>
        <v>5</v>
      </c>
    </row>
    <row r="860" spans="1:23" x14ac:dyDescent="0.25">
      <c r="A860" t="s">
        <v>3133</v>
      </c>
      <c r="B860" t="str">
        <f>CONCATENATE(Consulta1[[#This Row],[id]],Consulta1[[#This Row],[EMPREGADOR]])</f>
        <v>2PREF CURRAIS RN</v>
      </c>
      <c r="C860" s="6">
        <f>IF(A860=A859,C859+1,1)</f>
        <v>2</v>
      </c>
      <c r="D860" t="s">
        <v>3136</v>
      </c>
      <c r="E860" s="101">
        <v>2.7000000000000003E-2</v>
      </c>
      <c r="F860" s="6">
        <v>120</v>
      </c>
      <c r="G860" t="s">
        <v>1349</v>
      </c>
      <c r="H860" s="82">
        <v>2.8</v>
      </c>
      <c r="I860">
        <v>10</v>
      </c>
      <c r="K860" t="s">
        <v>3137</v>
      </c>
      <c r="L860" s="6" t="s">
        <v>1372</v>
      </c>
      <c r="M860" s="6">
        <v>10</v>
      </c>
      <c r="N860" s="6">
        <v>2</v>
      </c>
      <c r="O860">
        <v>500</v>
      </c>
      <c r="P860">
        <v>202605</v>
      </c>
      <c r="Q860" t="s">
        <v>378</v>
      </c>
      <c r="R860" t="s">
        <v>1353</v>
      </c>
      <c r="S860">
        <f>Consulta1[[#This Row],[min_port]]/100</f>
        <v>1.6E-2</v>
      </c>
      <c r="T860" s="252">
        <f>Consulta1[[#This Row],[TETO_COMERCIAL]]/100</f>
        <v>2.7999999999999997E-2</v>
      </c>
      <c r="U860" t="b">
        <f>Consulta1[[#This Row],[TETO_COMERCIAL_%]]=Consulta1[[#This Row],[TAXA]]</f>
        <v>0</v>
      </c>
      <c r="V860" t="str">
        <f>CONCATENATE(Consulta1[[#This Row],[MES_ALTERACAO]],Consulta1[[#This Row],[VIRADA]])</f>
        <v>20260510</v>
      </c>
      <c r="W860">
        <f>VLOOKUP(Consulta1[[#This Row],[Coluna2]],CALENDARIO!$J:$K,2,FALSE)</f>
        <v>5</v>
      </c>
    </row>
    <row r="861" spans="1:23" x14ac:dyDescent="0.25">
      <c r="A861" t="s">
        <v>3133</v>
      </c>
      <c r="B861" t="str">
        <f>CONCATENATE(Consulta1[[#This Row],[id]],Consulta1[[#This Row],[EMPREGADOR]])</f>
        <v>3PREF CURRAIS RN</v>
      </c>
      <c r="C861" s="6">
        <f>IF(A861=A860,C860+1,1)</f>
        <v>3</v>
      </c>
      <c r="D861" t="s">
        <v>3138</v>
      </c>
      <c r="E861" s="101">
        <v>2.6000000000000002E-2</v>
      </c>
      <c r="F861" s="6">
        <v>120</v>
      </c>
      <c r="G861" t="s">
        <v>1349</v>
      </c>
      <c r="H861" s="82">
        <v>2.8</v>
      </c>
      <c r="I861">
        <v>10</v>
      </c>
      <c r="K861" t="s">
        <v>3139</v>
      </c>
      <c r="L861" s="6" t="s">
        <v>1372</v>
      </c>
      <c r="M861" s="6">
        <v>10</v>
      </c>
      <c r="N861" s="6">
        <v>2</v>
      </c>
      <c r="O861">
        <v>500</v>
      </c>
      <c r="P861">
        <v>202605</v>
      </c>
      <c r="Q861" t="s">
        <v>378</v>
      </c>
      <c r="R861" t="s">
        <v>1353</v>
      </c>
      <c r="S861">
        <f>Consulta1[[#This Row],[min_port]]/100</f>
        <v>1.6E-2</v>
      </c>
      <c r="T861" s="252">
        <f>Consulta1[[#This Row],[TETO_COMERCIAL]]/100</f>
        <v>2.7999999999999997E-2</v>
      </c>
      <c r="U861" t="b">
        <f>Consulta1[[#This Row],[TETO_COMERCIAL_%]]=Consulta1[[#This Row],[TAXA]]</f>
        <v>0</v>
      </c>
      <c r="V861" t="str">
        <f>CONCATENATE(Consulta1[[#This Row],[MES_ALTERACAO]],Consulta1[[#This Row],[VIRADA]])</f>
        <v>20260510</v>
      </c>
      <c r="W861">
        <f>VLOOKUP(Consulta1[[#This Row],[Coluna2]],CALENDARIO!$J:$K,2,FALSE)</f>
        <v>5</v>
      </c>
    </row>
    <row r="862" spans="1:23" x14ac:dyDescent="0.25">
      <c r="A862" t="s">
        <v>3133</v>
      </c>
      <c r="B862" t="str">
        <f>CONCATENATE(Consulta1[[#This Row],[id]],Consulta1[[#This Row],[EMPREGADOR]])</f>
        <v>4PREF CURRAIS RN</v>
      </c>
      <c r="C862" s="6">
        <f>IF(A862=A861,C861+1,1)</f>
        <v>4</v>
      </c>
      <c r="D862" t="s">
        <v>3140</v>
      </c>
      <c r="E862" s="101">
        <v>2.5000000000000001E-2</v>
      </c>
      <c r="F862" s="6">
        <v>120</v>
      </c>
      <c r="G862" t="s">
        <v>1349</v>
      </c>
      <c r="H862" s="82">
        <v>2.8</v>
      </c>
      <c r="I862">
        <v>10</v>
      </c>
      <c r="K862" t="s">
        <v>3141</v>
      </c>
      <c r="L862" s="6" t="s">
        <v>1372</v>
      </c>
      <c r="M862" s="6">
        <v>10</v>
      </c>
      <c r="N862" s="6">
        <v>2</v>
      </c>
      <c r="O862">
        <v>500</v>
      </c>
      <c r="P862">
        <v>202605</v>
      </c>
      <c r="Q862" t="s">
        <v>378</v>
      </c>
      <c r="R862" t="s">
        <v>1353</v>
      </c>
      <c r="S862">
        <f>Consulta1[[#This Row],[min_port]]/100</f>
        <v>1.6E-2</v>
      </c>
      <c r="T862" s="252">
        <f>Consulta1[[#This Row],[TETO_COMERCIAL]]/100</f>
        <v>2.7999999999999997E-2</v>
      </c>
      <c r="U862" t="b">
        <f>Consulta1[[#This Row],[TETO_COMERCIAL_%]]=Consulta1[[#This Row],[TAXA]]</f>
        <v>0</v>
      </c>
      <c r="V862" t="str">
        <f>CONCATENATE(Consulta1[[#This Row],[MES_ALTERACAO]],Consulta1[[#This Row],[VIRADA]])</f>
        <v>20260510</v>
      </c>
      <c r="W862">
        <f>VLOOKUP(Consulta1[[#This Row],[Coluna2]],CALENDARIO!$J:$K,2,FALSE)</f>
        <v>5</v>
      </c>
    </row>
    <row r="863" spans="1:23" x14ac:dyDescent="0.25">
      <c r="A863" t="s">
        <v>587</v>
      </c>
      <c r="B863" t="str">
        <f>CONCATENATE(Consulta1[[#This Row],[id]],Consulta1[[#This Row],[EMPREGADOR]])</f>
        <v>1PREF DIADEMA</v>
      </c>
      <c r="C863" s="6">
        <f>IF(A863=A862,C862+1,1)</f>
        <v>1</v>
      </c>
      <c r="D863" t="s">
        <v>692</v>
      </c>
      <c r="E863" s="101">
        <v>2.5000000000000001E-2</v>
      </c>
      <c r="F863" s="6">
        <v>120</v>
      </c>
      <c r="G863" t="s">
        <v>1349</v>
      </c>
      <c r="H863" s="82">
        <v>2.5</v>
      </c>
      <c r="I863">
        <v>21</v>
      </c>
      <c r="K863" t="s">
        <v>1782</v>
      </c>
      <c r="L863" s="6" t="s">
        <v>1372</v>
      </c>
      <c r="M863" s="6">
        <v>12</v>
      </c>
      <c r="N863" s="6">
        <v>2</v>
      </c>
      <c r="O863">
        <v>500</v>
      </c>
      <c r="P863">
        <v>202605</v>
      </c>
      <c r="Q863" t="s">
        <v>378</v>
      </c>
      <c r="R863" t="s">
        <v>1353</v>
      </c>
      <c r="S863">
        <f>Consulta1[[#This Row],[min_port]]/100</f>
        <v>1.6E-2</v>
      </c>
      <c r="T863" s="252">
        <f>Consulta1[[#This Row],[TETO_COMERCIAL]]/100</f>
        <v>2.5000000000000001E-2</v>
      </c>
      <c r="U863" t="b">
        <f>Consulta1[[#This Row],[TETO_COMERCIAL_%]]=Consulta1[[#This Row],[TAXA]]</f>
        <v>1</v>
      </c>
      <c r="V863" t="str">
        <f>CONCATENATE(Consulta1[[#This Row],[MES_ALTERACAO]],Consulta1[[#This Row],[VIRADA]])</f>
        <v>20260512</v>
      </c>
      <c r="W863">
        <f>VLOOKUP(Consulta1[[#This Row],[Coluna2]],CALENDARIO!$J:$K,2,FALSE)</f>
        <v>7</v>
      </c>
    </row>
    <row r="864" spans="1:23" x14ac:dyDescent="0.25">
      <c r="A864" t="s">
        <v>587</v>
      </c>
      <c r="B864" t="str">
        <f>CONCATENATE(Consulta1[[#This Row],[id]],Consulta1[[#This Row],[EMPREGADOR]])</f>
        <v>2PREF DIADEMA</v>
      </c>
      <c r="C864" s="6">
        <f>IF(A864=A863,C863+1,1)</f>
        <v>2</v>
      </c>
      <c r="D864" t="s">
        <v>693</v>
      </c>
      <c r="E864" s="101">
        <v>2.3E-2</v>
      </c>
      <c r="F864" s="6">
        <v>120</v>
      </c>
      <c r="G864" t="s">
        <v>1349</v>
      </c>
      <c r="H864" s="82">
        <v>2.5</v>
      </c>
      <c r="I864">
        <v>21</v>
      </c>
      <c r="K864" t="s">
        <v>1783</v>
      </c>
      <c r="L864" s="6" t="s">
        <v>1372</v>
      </c>
      <c r="M864" s="6">
        <v>12</v>
      </c>
      <c r="N864" s="6">
        <v>2</v>
      </c>
      <c r="O864">
        <v>500</v>
      </c>
      <c r="P864">
        <v>202605</v>
      </c>
      <c r="Q864" t="s">
        <v>378</v>
      </c>
      <c r="R864" t="s">
        <v>1353</v>
      </c>
      <c r="S864">
        <f>Consulta1[[#This Row],[min_port]]/100</f>
        <v>1.6E-2</v>
      </c>
      <c r="T864" s="252">
        <f>Consulta1[[#This Row],[TETO_COMERCIAL]]/100</f>
        <v>2.5000000000000001E-2</v>
      </c>
      <c r="U864" t="b">
        <f>Consulta1[[#This Row],[TETO_COMERCIAL_%]]=Consulta1[[#This Row],[TAXA]]</f>
        <v>0</v>
      </c>
      <c r="V864" t="str">
        <f>CONCATENATE(Consulta1[[#This Row],[MES_ALTERACAO]],Consulta1[[#This Row],[VIRADA]])</f>
        <v>20260512</v>
      </c>
      <c r="W864">
        <f>VLOOKUP(Consulta1[[#This Row],[Coluna2]],CALENDARIO!$J:$K,2,FALSE)</f>
        <v>7</v>
      </c>
    </row>
    <row r="865" spans="1:23" x14ac:dyDescent="0.25">
      <c r="A865" t="s">
        <v>587</v>
      </c>
      <c r="B865" t="str">
        <f>CONCATENATE(Consulta1[[#This Row],[id]],Consulta1[[#This Row],[EMPREGADOR]])</f>
        <v>3PREF DIADEMA</v>
      </c>
      <c r="C865" s="6">
        <f>IF(A865=A864,C864+1,1)</f>
        <v>3</v>
      </c>
      <c r="D865" t="s">
        <v>588</v>
      </c>
      <c r="E865" s="101">
        <v>2.1600000000000001E-2</v>
      </c>
      <c r="F865" s="6">
        <v>120</v>
      </c>
      <c r="G865" t="s">
        <v>1349</v>
      </c>
      <c r="H865" s="82">
        <v>2.5</v>
      </c>
      <c r="I865">
        <v>21</v>
      </c>
      <c r="J865">
        <v>39</v>
      </c>
      <c r="K865" t="s">
        <v>1784</v>
      </c>
      <c r="L865" s="6" t="s">
        <v>1372</v>
      </c>
      <c r="M865" s="6">
        <v>12</v>
      </c>
      <c r="N865" s="6">
        <v>2</v>
      </c>
      <c r="O865">
        <v>500</v>
      </c>
      <c r="P865">
        <v>202605</v>
      </c>
      <c r="Q865" t="s">
        <v>378</v>
      </c>
      <c r="R865" t="s">
        <v>1353</v>
      </c>
      <c r="S865">
        <f>Consulta1[[#This Row],[min_port]]/100</f>
        <v>1.6E-2</v>
      </c>
      <c r="T865" s="252">
        <f>Consulta1[[#This Row],[TETO_COMERCIAL]]/100</f>
        <v>2.5000000000000001E-2</v>
      </c>
      <c r="U865" t="b">
        <f>Consulta1[[#This Row],[TETO_COMERCIAL_%]]=Consulta1[[#This Row],[TAXA]]</f>
        <v>0</v>
      </c>
      <c r="V865" t="str">
        <f>CONCATENATE(Consulta1[[#This Row],[MES_ALTERACAO]],Consulta1[[#This Row],[VIRADA]])</f>
        <v>20260512</v>
      </c>
      <c r="W865">
        <f>VLOOKUP(Consulta1[[#This Row],[Coluna2]],CALENDARIO!$J:$K,2,FALSE)</f>
        <v>7</v>
      </c>
    </row>
    <row r="866" spans="1:23" x14ac:dyDescent="0.25">
      <c r="A866" t="s">
        <v>589</v>
      </c>
      <c r="B866" t="str">
        <f>CONCATENATE(Consulta1[[#This Row],[id]],Consulta1[[#This Row],[EMPREGADOR]])</f>
        <v>1PREF DIADEMA CLT</v>
      </c>
      <c r="C866" s="6">
        <f>IF(A866=A865,C865+1,1)</f>
        <v>1</v>
      </c>
      <c r="D866" t="s">
        <v>694</v>
      </c>
      <c r="E866" s="101">
        <v>2.5000000000000001E-2</v>
      </c>
      <c r="F866" s="6">
        <v>120</v>
      </c>
      <c r="G866" t="s">
        <v>1349</v>
      </c>
      <c r="H866" s="82">
        <v>2.5</v>
      </c>
      <c r="I866">
        <v>21</v>
      </c>
      <c r="K866" t="s">
        <v>1785</v>
      </c>
      <c r="L866" s="6" t="s">
        <v>1372</v>
      </c>
      <c r="M866" s="6">
        <v>12</v>
      </c>
      <c r="N866" s="6">
        <v>2</v>
      </c>
      <c r="O866">
        <v>500</v>
      </c>
      <c r="P866">
        <v>202605</v>
      </c>
      <c r="Q866" t="s">
        <v>378</v>
      </c>
      <c r="R866" t="s">
        <v>1353</v>
      </c>
      <c r="S866">
        <f>Consulta1[[#This Row],[min_port]]/100</f>
        <v>1.6E-2</v>
      </c>
      <c r="T866" s="252">
        <f>Consulta1[[#This Row],[TETO_COMERCIAL]]/100</f>
        <v>2.5000000000000001E-2</v>
      </c>
      <c r="U866" t="b">
        <f>Consulta1[[#This Row],[TETO_COMERCIAL_%]]=Consulta1[[#This Row],[TAXA]]</f>
        <v>1</v>
      </c>
      <c r="V866" t="str">
        <f>CONCATENATE(Consulta1[[#This Row],[MES_ALTERACAO]],Consulta1[[#This Row],[VIRADA]])</f>
        <v>20260512</v>
      </c>
      <c r="W866">
        <f>VLOOKUP(Consulta1[[#This Row],[Coluna2]],CALENDARIO!$J:$K,2,FALSE)</f>
        <v>7</v>
      </c>
    </row>
    <row r="867" spans="1:23" x14ac:dyDescent="0.25">
      <c r="A867" t="s">
        <v>589</v>
      </c>
      <c r="B867" t="str">
        <f>CONCATENATE(Consulta1[[#This Row],[id]],Consulta1[[#This Row],[EMPREGADOR]])</f>
        <v>2PREF DIADEMA CLT</v>
      </c>
      <c r="C867" s="6">
        <f>IF(A867=A866,C866+1,1)</f>
        <v>2</v>
      </c>
      <c r="D867" t="s">
        <v>695</v>
      </c>
      <c r="E867" s="101">
        <v>2.3E-2</v>
      </c>
      <c r="F867" s="6">
        <v>120</v>
      </c>
      <c r="G867" t="s">
        <v>1349</v>
      </c>
      <c r="H867" s="82">
        <v>2.5</v>
      </c>
      <c r="I867">
        <v>21</v>
      </c>
      <c r="K867" t="s">
        <v>1786</v>
      </c>
      <c r="L867" s="6" t="s">
        <v>1372</v>
      </c>
      <c r="M867" s="6">
        <v>12</v>
      </c>
      <c r="N867" s="6">
        <v>2</v>
      </c>
      <c r="O867">
        <v>500</v>
      </c>
      <c r="P867">
        <v>202605</v>
      </c>
      <c r="Q867" t="s">
        <v>378</v>
      </c>
      <c r="R867" t="s">
        <v>1353</v>
      </c>
      <c r="S867">
        <f>Consulta1[[#This Row],[min_port]]/100</f>
        <v>1.6E-2</v>
      </c>
      <c r="T867" s="252">
        <f>Consulta1[[#This Row],[TETO_COMERCIAL]]/100</f>
        <v>2.5000000000000001E-2</v>
      </c>
      <c r="U867" t="b">
        <f>Consulta1[[#This Row],[TETO_COMERCIAL_%]]=Consulta1[[#This Row],[TAXA]]</f>
        <v>0</v>
      </c>
      <c r="V867" t="str">
        <f>CONCATENATE(Consulta1[[#This Row],[MES_ALTERACAO]],Consulta1[[#This Row],[VIRADA]])</f>
        <v>20260512</v>
      </c>
      <c r="W867">
        <f>VLOOKUP(Consulta1[[#This Row],[Coluna2]],CALENDARIO!$J:$K,2,FALSE)</f>
        <v>7</v>
      </c>
    </row>
    <row r="868" spans="1:23" x14ac:dyDescent="0.25">
      <c r="A868" t="s">
        <v>589</v>
      </c>
      <c r="B868" t="str">
        <f>CONCATENATE(Consulta1[[#This Row],[id]],Consulta1[[#This Row],[EMPREGADOR]])</f>
        <v>3PREF DIADEMA CLT</v>
      </c>
      <c r="C868" s="6">
        <f>IF(A868=A867,C867+1,1)</f>
        <v>3</v>
      </c>
      <c r="D868" t="s">
        <v>590</v>
      </c>
      <c r="E868" s="101">
        <v>2.1600000000000001E-2</v>
      </c>
      <c r="F868" s="6">
        <v>120</v>
      </c>
      <c r="G868" t="s">
        <v>1349</v>
      </c>
      <c r="H868" s="82">
        <v>2.5</v>
      </c>
      <c r="I868">
        <v>21</v>
      </c>
      <c r="J868">
        <v>37</v>
      </c>
      <c r="K868" t="s">
        <v>1787</v>
      </c>
      <c r="L868" s="6" t="s">
        <v>1372</v>
      </c>
      <c r="M868" s="6">
        <v>12</v>
      </c>
      <c r="N868" s="6">
        <v>2</v>
      </c>
      <c r="O868">
        <v>500</v>
      </c>
      <c r="P868">
        <v>202605</v>
      </c>
      <c r="Q868" t="s">
        <v>378</v>
      </c>
      <c r="R868" t="s">
        <v>1353</v>
      </c>
      <c r="S868">
        <f>Consulta1[[#This Row],[min_port]]/100</f>
        <v>1.6E-2</v>
      </c>
      <c r="T868" s="252">
        <f>Consulta1[[#This Row],[TETO_COMERCIAL]]/100</f>
        <v>2.5000000000000001E-2</v>
      </c>
      <c r="U868" t="b">
        <f>Consulta1[[#This Row],[TETO_COMERCIAL_%]]=Consulta1[[#This Row],[TAXA]]</f>
        <v>0</v>
      </c>
      <c r="V868" t="str">
        <f>CONCATENATE(Consulta1[[#This Row],[MES_ALTERACAO]],Consulta1[[#This Row],[VIRADA]])</f>
        <v>20260512</v>
      </c>
      <c r="W868">
        <f>VLOOKUP(Consulta1[[#This Row],[Coluna2]],CALENDARIO!$J:$K,2,FALSE)</f>
        <v>7</v>
      </c>
    </row>
    <row r="869" spans="1:23" x14ac:dyDescent="0.25">
      <c r="A869" t="s">
        <v>3792</v>
      </c>
      <c r="B869" t="str">
        <f>CONCATENATE(Consulta1[[#This Row],[id]],Consulta1[[#This Row],[EMPREGADOR]])</f>
        <v>1PREF EMBU A SP</v>
      </c>
      <c r="C869" s="6">
        <f>IF(A869=A868,C868+1,1)</f>
        <v>1</v>
      </c>
      <c r="D869" t="s">
        <v>604</v>
      </c>
      <c r="E869" s="101">
        <v>2.5000000000000001E-2</v>
      </c>
      <c r="F869" s="6">
        <v>120</v>
      </c>
      <c r="G869" t="s">
        <v>1349</v>
      </c>
      <c r="H869" s="82">
        <v>2.5</v>
      </c>
      <c r="I869">
        <v>20</v>
      </c>
      <c r="K869" t="s">
        <v>2168</v>
      </c>
      <c r="L869" s="6" t="s">
        <v>1409</v>
      </c>
      <c r="M869" s="6">
        <v>15</v>
      </c>
      <c r="N869" s="6">
        <v>2</v>
      </c>
      <c r="O869">
        <v>500</v>
      </c>
      <c r="P869">
        <v>202605</v>
      </c>
      <c r="Q869" t="s">
        <v>377</v>
      </c>
      <c r="R869" t="s">
        <v>1353</v>
      </c>
      <c r="S869">
        <f>Consulta1[[#This Row],[min_port]]/100</f>
        <v>1.55E-2</v>
      </c>
      <c r="T869" s="252">
        <f>Consulta1[[#This Row],[TETO_COMERCIAL]]/100</f>
        <v>2.5000000000000001E-2</v>
      </c>
      <c r="U869" t="b">
        <f>Consulta1[[#This Row],[TETO_COMERCIAL_%]]=Consulta1[[#This Row],[TAXA]]</f>
        <v>1</v>
      </c>
      <c r="V869" t="str">
        <f>CONCATENATE(Consulta1[[#This Row],[MES_ALTERACAO]],Consulta1[[#This Row],[VIRADA]])</f>
        <v>20260515</v>
      </c>
      <c r="W869">
        <f>VLOOKUP(Consulta1[[#This Row],[Coluna2]],CALENDARIO!$J:$K,2,FALSE)</f>
        <v>10</v>
      </c>
    </row>
    <row r="870" spans="1:23" x14ac:dyDescent="0.25">
      <c r="A870" t="s">
        <v>3792</v>
      </c>
      <c r="B870" t="str">
        <f>CONCATENATE(Consulta1[[#This Row],[id]],Consulta1[[#This Row],[EMPREGADOR]])</f>
        <v>2PREF EMBU A SP</v>
      </c>
      <c r="C870" s="6">
        <f>IF(A870=A869,C869+1,1)</f>
        <v>2</v>
      </c>
      <c r="D870" t="s">
        <v>905</v>
      </c>
      <c r="E870" s="101">
        <v>2.2499999999999999E-2</v>
      </c>
      <c r="F870" s="6">
        <v>120</v>
      </c>
      <c r="G870" t="s">
        <v>1349</v>
      </c>
      <c r="H870" s="82">
        <v>2.5</v>
      </c>
      <c r="I870">
        <v>20</v>
      </c>
      <c r="K870" t="s">
        <v>2169</v>
      </c>
      <c r="L870" s="6" t="s">
        <v>1409</v>
      </c>
      <c r="M870" s="6">
        <v>15</v>
      </c>
      <c r="N870" s="6">
        <v>2</v>
      </c>
      <c r="O870">
        <v>500</v>
      </c>
      <c r="P870">
        <v>202605</v>
      </c>
      <c r="Q870" t="s">
        <v>377</v>
      </c>
      <c r="R870" t="s">
        <v>1353</v>
      </c>
      <c r="S870">
        <f>Consulta1[[#This Row],[min_port]]/100</f>
        <v>1.55E-2</v>
      </c>
      <c r="T870" s="252">
        <f>Consulta1[[#This Row],[TETO_COMERCIAL]]/100</f>
        <v>2.5000000000000001E-2</v>
      </c>
      <c r="U870" t="b">
        <f>Consulta1[[#This Row],[TETO_COMERCIAL_%]]=Consulta1[[#This Row],[TAXA]]</f>
        <v>0</v>
      </c>
      <c r="V870" t="str">
        <f>CONCATENATE(Consulta1[[#This Row],[MES_ALTERACAO]],Consulta1[[#This Row],[VIRADA]])</f>
        <v>20260515</v>
      </c>
      <c r="W870">
        <f>VLOOKUP(Consulta1[[#This Row],[Coluna2]],CALENDARIO!$J:$K,2,FALSE)</f>
        <v>10</v>
      </c>
    </row>
    <row r="871" spans="1:23" x14ac:dyDescent="0.25">
      <c r="A871" t="s">
        <v>3792</v>
      </c>
      <c r="B871" t="str">
        <f>CONCATENATE(Consulta1[[#This Row],[id]],Consulta1[[#This Row],[EMPREGADOR]])</f>
        <v>3PREF EMBU A SP</v>
      </c>
      <c r="C871" s="6">
        <f>IF(A871=A870,C870+1,1)</f>
        <v>3</v>
      </c>
      <c r="D871" t="s">
        <v>906</v>
      </c>
      <c r="E871" s="101">
        <v>2.0499999999999997E-2</v>
      </c>
      <c r="F871" s="6">
        <v>120</v>
      </c>
      <c r="G871" t="s">
        <v>1349</v>
      </c>
      <c r="H871" s="82">
        <v>2.5</v>
      </c>
      <c r="I871">
        <v>20</v>
      </c>
      <c r="K871" t="s">
        <v>2170</v>
      </c>
      <c r="L871" s="6" t="s">
        <v>1409</v>
      </c>
      <c r="M871" s="6">
        <v>15</v>
      </c>
      <c r="N871" s="6">
        <v>2</v>
      </c>
      <c r="O871">
        <v>500</v>
      </c>
      <c r="P871">
        <v>202605</v>
      </c>
      <c r="Q871" t="s">
        <v>377</v>
      </c>
      <c r="R871" t="s">
        <v>1353</v>
      </c>
      <c r="S871">
        <f>Consulta1[[#This Row],[min_port]]/100</f>
        <v>1.55E-2</v>
      </c>
      <c r="T871" s="252">
        <f>Consulta1[[#This Row],[TETO_COMERCIAL]]/100</f>
        <v>2.5000000000000001E-2</v>
      </c>
      <c r="U871" t="b">
        <f>Consulta1[[#This Row],[TETO_COMERCIAL_%]]=Consulta1[[#This Row],[TAXA]]</f>
        <v>0</v>
      </c>
      <c r="V871" t="str">
        <f>CONCATENATE(Consulta1[[#This Row],[MES_ALTERACAO]],Consulta1[[#This Row],[VIRADA]])</f>
        <v>20260515</v>
      </c>
      <c r="W871">
        <f>VLOOKUP(Consulta1[[#This Row],[Coluna2]],CALENDARIO!$J:$K,2,FALSE)</f>
        <v>10</v>
      </c>
    </row>
    <row r="872" spans="1:23" x14ac:dyDescent="0.25">
      <c r="A872" t="s">
        <v>3792</v>
      </c>
      <c r="B872" t="str">
        <f>CONCATENATE(Consulta1[[#This Row],[id]],Consulta1[[#This Row],[EMPREGADOR]])</f>
        <v>4PREF EMBU A SP</v>
      </c>
      <c r="C872" s="6">
        <f>IF(A872=A871,C871+1,1)</f>
        <v>4</v>
      </c>
      <c r="D872" t="s">
        <v>907</v>
      </c>
      <c r="E872" s="101">
        <v>1.95E-2</v>
      </c>
      <c r="F872" s="6">
        <v>120</v>
      </c>
      <c r="G872" t="s">
        <v>1349</v>
      </c>
      <c r="H872" s="82">
        <v>2.5</v>
      </c>
      <c r="I872">
        <v>20</v>
      </c>
      <c r="K872" t="s">
        <v>2171</v>
      </c>
      <c r="L872" s="6" t="s">
        <v>1409</v>
      </c>
      <c r="M872" s="6">
        <v>15</v>
      </c>
      <c r="N872" s="6">
        <v>2</v>
      </c>
      <c r="O872">
        <v>500</v>
      </c>
      <c r="P872">
        <v>202605</v>
      </c>
      <c r="Q872" t="s">
        <v>377</v>
      </c>
      <c r="R872" t="s">
        <v>1353</v>
      </c>
      <c r="S872">
        <f>Consulta1[[#This Row],[min_port]]/100</f>
        <v>1.55E-2</v>
      </c>
      <c r="T872" s="252">
        <f>Consulta1[[#This Row],[TETO_COMERCIAL]]/100</f>
        <v>2.5000000000000001E-2</v>
      </c>
      <c r="U872" t="b">
        <f>Consulta1[[#This Row],[TETO_COMERCIAL_%]]=Consulta1[[#This Row],[TAXA]]</f>
        <v>0</v>
      </c>
      <c r="V872" t="str">
        <f>CONCATENATE(Consulta1[[#This Row],[MES_ALTERACAO]],Consulta1[[#This Row],[VIRADA]])</f>
        <v>20260515</v>
      </c>
      <c r="W872">
        <f>VLOOKUP(Consulta1[[#This Row],[Coluna2]],CALENDARIO!$J:$K,2,FALSE)</f>
        <v>10</v>
      </c>
    </row>
    <row r="873" spans="1:23" x14ac:dyDescent="0.25">
      <c r="A873" t="s">
        <v>3792</v>
      </c>
      <c r="B873" t="str">
        <f>CONCATENATE(Consulta1[[#This Row],[id]],Consulta1[[#This Row],[EMPREGADOR]])</f>
        <v>5PREF EMBU A SP</v>
      </c>
      <c r="C873" s="6">
        <f>IF(A873=A872,C872+1,1)</f>
        <v>5</v>
      </c>
      <c r="D873" t="s">
        <v>908</v>
      </c>
      <c r="E873" s="101">
        <v>1.8500000000000003E-2</v>
      </c>
      <c r="F873" s="6">
        <v>120</v>
      </c>
      <c r="G873" t="s">
        <v>1349</v>
      </c>
      <c r="H873" s="82">
        <v>2.5</v>
      </c>
      <c r="I873">
        <v>20</v>
      </c>
      <c r="K873" t="s">
        <v>2172</v>
      </c>
      <c r="L873" s="6" t="s">
        <v>1409</v>
      </c>
      <c r="M873" s="6">
        <v>15</v>
      </c>
      <c r="N873" s="6">
        <v>2</v>
      </c>
      <c r="O873">
        <v>500</v>
      </c>
      <c r="P873">
        <v>202605</v>
      </c>
      <c r="Q873" t="s">
        <v>377</v>
      </c>
      <c r="R873" t="s">
        <v>1353</v>
      </c>
      <c r="S873">
        <f>Consulta1[[#This Row],[min_port]]/100</f>
        <v>1.55E-2</v>
      </c>
      <c r="T873" s="252">
        <f>Consulta1[[#This Row],[TETO_COMERCIAL]]/100</f>
        <v>2.5000000000000001E-2</v>
      </c>
      <c r="U873" t="b">
        <f>Consulta1[[#This Row],[TETO_COMERCIAL_%]]=Consulta1[[#This Row],[TAXA]]</f>
        <v>0</v>
      </c>
      <c r="V873" t="str">
        <f>CONCATENATE(Consulta1[[#This Row],[MES_ALTERACAO]],Consulta1[[#This Row],[VIRADA]])</f>
        <v>20260515</v>
      </c>
      <c r="W873">
        <f>VLOOKUP(Consulta1[[#This Row],[Coluna2]],CALENDARIO!$J:$K,2,FALSE)</f>
        <v>10</v>
      </c>
    </row>
    <row r="874" spans="1:23" x14ac:dyDescent="0.25">
      <c r="A874" t="s">
        <v>1264</v>
      </c>
      <c r="B874" t="str">
        <f>CONCATENATE(Consulta1[[#This Row],[id]],Consulta1[[#This Row],[EMPREGADOR]])</f>
        <v>1PREF FERRAZ-SP</v>
      </c>
      <c r="C874" s="6">
        <f>IF(A874=A873,C873+1,1)</f>
        <v>1</v>
      </c>
      <c r="D874" t="s">
        <v>1265</v>
      </c>
      <c r="E874" s="101">
        <v>2.5000000000000001E-2</v>
      </c>
      <c r="F874" s="6">
        <v>120</v>
      </c>
      <c r="G874" t="s">
        <v>1349</v>
      </c>
      <c r="H874" s="82">
        <v>2.5</v>
      </c>
      <c r="I874">
        <v>16</v>
      </c>
      <c r="K874" t="s">
        <v>1788</v>
      </c>
      <c r="L874" s="6" t="s">
        <v>1399</v>
      </c>
      <c r="M874" s="6">
        <v>15</v>
      </c>
      <c r="N874" s="6">
        <v>2</v>
      </c>
      <c r="O874">
        <v>500</v>
      </c>
      <c r="P874">
        <v>202605</v>
      </c>
      <c r="Q874" t="s">
        <v>377</v>
      </c>
      <c r="R874" t="s">
        <v>1353</v>
      </c>
      <c r="S874">
        <f>Consulta1[[#This Row],[min_port]]/100</f>
        <v>1.3899999999999999E-2</v>
      </c>
      <c r="T874" s="252">
        <f>Consulta1[[#This Row],[TETO_COMERCIAL]]/100</f>
        <v>2.5000000000000001E-2</v>
      </c>
      <c r="U874" t="b">
        <f>Consulta1[[#This Row],[TETO_COMERCIAL_%]]=Consulta1[[#This Row],[TAXA]]</f>
        <v>1</v>
      </c>
      <c r="V874" t="str">
        <f>CONCATENATE(Consulta1[[#This Row],[MES_ALTERACAO]],Consulta1[[#This Row],[VIRADA]])</f>
        <v>20260515</v>
      </c>
      <c r="W874">
        <f>VLOOKUP(Consulta1[[#This Row],[Coluna2]],CALENDARIO!$J:$K,2,FALSE)</f>
        <v>10</v>
      </c>
    </row>
    <row r="875" spans="1:23" x14ac:dyDescent="0.25">
      <c r="A875" t="s">
        <v>1264</v>
      </c>
      <c r="B875" t="str">
        <f>CONCATENATE(Consulta1[[#This Row],[id]],Consulta1[[#This Row],[EMPREGADOR]])</f>
        <v>2PREF FERRAZ-SP</v>
      </c>
      <c r="C875" s="6">
        <f>IF(A875=A874,C874+1,1)</f>
        <v>2</v>
      </c>
      <c r="D875" t="s">
        <v>1266</v>
      </c>
      <c r="E875" s="101">
        <v>2.3900000000000001E-2</v>
      </c>
      <c r="F875" s="6">
        <v>120</v>
      </c>
      <c r="G875" t="s">
        <v>1349</v>
      </c>
      <c r="H875" s="82">
        <v>2.5</v>
      </c>
      <c r="I875">
        <v>16</v>
      </c>
      <c r="K875" t="s">
        <v>1789</v>
      </c>
      <c r="L875" s="6" t="s">
        <v>1399</v>
      </c>
      <c r="M875" s="6">
        <v>15</v>
      </c>
      <c r="N875" s="6">
        <v>2</v>
      </c>
      <c r="O875">
        <v>500</v>
      </c>
      <c r="P875">
        <v>202605</v>
      </c>
      <c r="Q875" t="s">
        <v>377</v>
      </c>
      <c r="R875" t="s">
        <v>1353</v>
      </c>
      <c r="S875">
        <f>Consulta1[[#This Row],[min_port]]/100</f>
        <v>1.3899999999999999E-2</v>
      </c>
      <c r="T875" s="252">
        <f>Consulta1[[#This Row],[TETO_COMERCIAL]]/100</f>
        <v>2.5000000000000001E-2</v>
      </c>
      <c r="U875" t="b">
        <f>Consulta1[[#This Row],[TETO_COMERCIAL_%]]=Consulta1[[#This Row],[TAXA]]</f>
        <v>0</v>
      </c>
      <c r="V875" t="str">
        <f>CONCATENATE(Consulta1[[#This Row],[MES_ALTERACAO]],Consulta1[[#This Row],[VIRADA]])</f>
        <v>20260515</v>
      </c>
      <c r="W875">
        <f>VLOOKUP(Consulta1[[#This Row],[Coluna2]],CALENDARIO!$J:$K,2,FALSE)</f>
        <v>10</v>
      </c>
    </row>
    <row r="876" spans="1:23" x14ac:dyDescent="0.25">
      <c r="A876" t="s">
        <v>1264</v>
      </c>
      <c r="B876" t="str">
        <f>CONCATENATE(Consulta1[[#This Row],[id]],Consulta1[[#This Row],[EMPREGADOR]])</f>
        <v>3PREF FERRAZ-SP</v>
      </c>
      <c r="C876" s="6">
        <f>IF(A876=A875,C875+1,1)</f>
        <v>3</v>
      </c>
      <c r="D876" t="s">
        <v>1267</v>
      </c>
      <c r="E876" s="101">
        <v>2.29E-2</v>
      </c>
      <c r="F876" s="6">
        <v>120</v>
      </c>
      <c r="G876" t="s">
        <v>1349</v>
      </c>
      <c r="H876" s="82">
        <v>2.5</v>
      </c>
      <c r="I876">
        <v>16</v>
      </c>
      <c r="K876" t="s">
        <v>1790</v>
      </c>
      <c r="L876" s="6" t="s">
        <v>1399</v>
      </c>
      <c r="M876" s="6">
        <v>15</v>
      </c>
      <c r="N876" s="6">
        <v>2</v>
      </c>
      <c r="O876">
        <v>500</v>
      </c>
      <c r="P876">
        <v>202605</v>
      </c>
      <c r="Q876" t="s">
        <v>377</v>
      </c>
      <c r="R876" t="s">
        <v>1353</v>
      </c>
      <c r="S876">
        <f>Consulta1[[#This Row],[min_port]]/100</f>
        <v>1.3899999999999999E-2</v>
      </c>
      <c r="T876" s="252">
        <f>Consulta1[[#This Row],[TETO_COMERCIAL]]/100</f>
        <v>2.5000000000000001E-2</v>
      </c>
      <c r="U876" t="b">
        <f>Consulta1[[#This Row],[TETO_COMERCIAL_%]]=Consulta1[[#This Row],[TAXA]]</f>
        <v>0</v>
      </c>
      <c r="V876" t="str">
        <f>CONCATENATE(Consulta1[[#This Row],[MES_ALTERACAO]],Consulta1[[#This Row],[VIRADA]])</f>
        <v>20260515</v>
      </c>
      <c r="W876">
        <f>VLOOKUP(Consulta1[[#This Row],[Coluna2]],CALENDARIO!$J:$K,2,FALSE)</f>
        <v>10</v>
      </c>
    </row>
    <row r="877" spans="1:23" x14ac:dyDescent="0.25">
      <c r="A877" t="s">
        <v>1264</v>
      </c>
      <c r="B877" t="str">
        <f>CONCATENATE(Consulta1[[#This Row],[id]],Consulta1[[#This Row],[EMPREGADOR]])</f>
        <v>4PREF FERRAZ-SP</v>
      </c>
      <c r="C877" s="6">
        <f>IF(A877=A876,C876+1,1)</f>
        <v>4</v>
      </c>
      <c r="D877" t="s">
        <v>1268</v>
      </c>
      <c r="E877" s="101">
        <v>2.1899999999999999E-2</v>
      </c>
      <c r="F877" s="6">
        <v>120</v>
      </c>
      <c r="G877" t="s">
        <v>1349</v>
      </c>
      <c r="H877" s="82">
        <v>2.5</v>
      </c>
      <c r="I877">
        <v>16</v>
      </c>
      <c r="K877" t="s">
        <v>1791</v>
      </c>
      <c r="L877" s="6" t="s">
        <v>1399</v>
      </c>
      <c r="M877" s="6">
        <v>15</v>
      </c>
      <c r="N877" s="6">
        <v>2</v>
      </c>
      <c r="O877">
        <v>500</v>
      </c>
      <c r="P877">
        <v>202605</v>
      </c>
      <c r="Q877" t="s">
        <v>377</v>
      </c>
      <c r="R877" t="s">
        <v>1353</v>
      </c>
      <c r="S877">
        <f>Consulta1[[#This Row],[min_port]]/100</f>
        <v>1.3899999999999999E-2</v>
      </c>
      <c r="T877" s="252">
        <f>Consulta1[[#This Row],[TETO_COMERCIAL]]/100</f>
        <v>2.5000000000000001E-2</v>
      </c>
      <c r="U877" t="b">
        <f>Consulta1[[#This Row],[TETO_COMERCIAL_%]]=Consulta1[[#This Row],[TAXA]]</f>
        <v>0</v>
      </c>
      <c r="V877" t="str">
        <f>CONCATENATE(Consulta1[[#This Row],[MES_ALTERACAO]],Consulta1[[#This Row],[VIRADA]])</f>
        <v>20260515</v>
      </c>
      <c r="W877">
        <f>VLOOKUP(Consulta1[[#This Row],[Coluna2]],CALENDARIO!$J:$K,2,FALSE)</f>
        <v>10</v>
      </c>
    </row>
    <row r="878" spans="1:23" x14ac:dyDescent="0.25">
      <c r="A878" t="s">
        <v>1264</v>
      </c>
      <c r="B878" t="str">
        <f>CONCATENATE(Consulta1[[#This Row],[id]],Consulta1[[#This Row],[EMPREGADOR]])</f>
        <v>5PREF FERRAZ-SP</v>
      </c>
      <c r="C878" s="6">
        <f>IF(A878=A877,C877+1,1)</f>
        <v>5</v>
      </c>
      <c r="D878" t="s">
        <v>1269</v>
      </c>
      <c r="E878" s="101">
        <v>2.0899999999999998E-2</v>
      </c>
      <c r="F878" s="6">
        <v>120</v>
      </c>
      <c r="G878" t="s">
        <v>1349</v>
      </c>
      <c r="H878" s="82">
        <v>2.5</v>
      </c>
      <c r="I878">
        <v>16</v>
      </c>
      <c r="K878" t="s">
        <v>1792</v>
      </c>
      <c r="L878" s="6" t="s">
        <v>1399</v>
      </c>
      <c r="M878" s="6">
        <v>15</v>
      </c>
      <c r="N878" s="6">
        <v>2</v>
      </c>
      <c r="O878">
        <v>500</v>
      </c>
      <c r="P878">
        <v>202605</v>
      </c>
      <c r="Q878" t="s">
        <v>377</v>
      </c>
      <c r="R878" t="s">
        <v>1353</v>
      </c>
      <c r="S878">
        <f>Consulta1[[#This Row],[min_port]]/100</f>
        <v>1.3899999999999999E-2</v>
      </c>
      <c r="T878" s="252">
        <f>Consulta1[[#This Row],[TETO_COMERCIAL]]/100</f>
        <v>2.5000000000000001E-2</v>
      </c>
      <c r="U878" t="b">
        <f>Consulta1[[#This Row],[TETO_COMERCIAL_%]]=Consulta1[[#This Row],[TAXA]]</f>
        <v>0</v>
      </c>
      <c r="V878" t="str">
        <f>CONCATENATE(Consulta1[[#This Row],[MES_ALTERACAO]],Consulta1[[#This Row],[VIRADA]])</f>
        <v>20260515</v>
      </c>
      <c r="W878">
        <f>VLOOKUP(Consulta1[[#This Row],[Coluna2]],CALENDARIO!$J:$K,2,FALSE)</f>
        <v>10</v>
      </c>
    </row>
    <row r="879" spans="1:23" x14ac:dyDescent="0.25">
      <c r="A879" t="s">
        <v>1264</v>
      </c>
      <c r="B879" t="str">
        <f>CONCATENATE(Consulta1[[#This Row],[id]],Consulta1[[#This Row],[EMPREGADOR]])</f>
        <v>6PREF FERRAZ-SP</v>
      </c>
      <c r="C879" s="6">
        <f>IF(A879=A878,C878+1,1)</f>
        <v>6</v>
      </c>
      <c r="D879" t="s">
        <v>1270</v>
      </c>
      <c r="E879" s="101">
        <v>0.02</v>
      </c>
      <c r="F879" s="6">
        <v>120</v>
      </c>
      <c r="G879" t="s">
        <v>1349</v>
      </c>
      <c r="H879" s="82">
        <v>2.5</v>
      </c>
      <c r="I879">
        <v>16</v>
      </c>
      <c r="K879" t="s">
        <v>1793</v>
      </c>
      <c r="L879" s="6" t="s">
        <v>1399</v>
      </c>
      <c r="M879" s="6">
        <v>15</v>
      </c>
      <c r="N879" s="6">
        <v>2</v>
      </c>
      <c r="O879">
        <v>500</v>
      </c>
      <c r="P879">
        <v>202605</v>
      </c>
      <c r="Q879" t="s">
        <v>377</v>
      </c>
      <c r="R879" t="s">
        <v>1353</v>
      </c>
      <c r="S879">
        <f>Consulta1[[#This Row],[min_port]]/100</f>
        <v>1.3899999999999999E-2</v>
      </c>
      <c r="T879" s="252">
        <f>Consulta1[[#This Row],[TETO_COMERCIAL]]/100</f>
        <v>2.5000000000000001E-2</v>
      </c>
      <c r="U879" t="b">
        <f>Consulta1[[#This Row],[TETO_COMERCIAL_%]]=Consulta1[[#This Row],[TAXA]]</f>
        <v>0</v>
      </c>
      <c r="V879" t="str">
        <f>CONCATENATE(Consulta1[[#This Row],[MES_ALTERACAO]],Consulta1[[#This Row],[VIRADA]])</f>
        <v>20260515</v>
      </c>
      <c r="W879">
        <f>VLOOKUP(Consulta1[[#This Row],[Coluna2]],CALENDARIO!$J:$K,2,FALSE)</f>
        <v>10</v>
      </c>
    </row>
    <row r="880" spans="1:23" x14ac:dyDescent="0.25">
      <c r="A880" t="s">
        <v>80</v>
      </c>
      <c r="B880" t="str">
        <f>CONCATENATE(Consulta1[[#This Row],[id]],Consulta1[[#This Row],[EMPREGADOR]])</f>
        <v>1PREF FLORIANOPO</v>
      </c>
      <c r="C880" s="6">
        <f>IF(A880=A879,C879+1,1)</f>
        <v>1</v>
      </c>
      <c r="D880" t="s">
        <v>3408</v>
      </c>
      <c r="E880" s="101">
        <v>2.5000000000000001E-2</v>
      </c>
      <c r="F880" s="6">
        <v>120</v>
      </c>
      <c r="G880" t="s">
        <v>1349</v>
      </c>
      <c r="H880" s="82">
        <v>2.5</v>
      </c>
      <c r="I880">
        <v>10</v>
      </c>
      <c r="J880">
        <v>45</v>
      </c>
      <c r="K880" t="s">
        <v>3409</v>
      </c>
      <c r="L880" s="6" t="s">
        <v>1371</v>
      </c>
      <c r="M880" s="6">
        <v>10</v>
      </c>
      <c r="N880" s="6">
        <v>2</v>
      </c>
      <c r="O880">
        <v>500</v>
      </c>
      <c r="P880">
        <v>202605</v>
      </c>
      <c r="Q880" t="s">
        <v>377</v>
      </c>
      <c r="R880" t="s">
        <v>1353</v>
      </c>
      <c r="S880">
        <f>Consulta1[[#This Row],[min_port]]/100</f>
        <v>1.4499999999999999E-2</v>
      </c>
      <c r="T880" s="252">
        <f>Consulta1[[#This Row],[TETO_COMERCIAL]]/100</f>
        <v>2.5000000000000001E-2</v>
      </c>
      <c r="U880" t="b">
        <f>Consulta1[[#This Row],[TETO_COMERCIAL_%]]=Consulta1[[#This Row],[TAXA]]</f>
        <v>1</v>
      </c>
      <c r="V880" t="str">
        <f>CONCATENATE(Consulta1[[#This Row],[MES_ALTERACAO]],Consulta1[[#This Row],[VIRADA]])</f>
        <v>20260510</v>
      </c>
      <c r="W880">
        <f>VLOOKUP(Consulta1[[#This Row],[Coluna2]],CALENDARIO!$J:$K,2,FALSE)</f>
        <v>5</v>
      </c>
    </row>
    <row r="881" spans="1:23" x14ac:dyDescent="0.25">
      <c r="A881" t="s">
        <v>80</v>
      </c>
      <c r="B881" t="str">
        <f>CONCATENATE(Consulta1[[#This Row],[id]],Consulta1[[#This Row],[EMPREGADOR]])</f>
        <v>2PREF FLORIANOPO</v>
      </c>
      <c r="C881" s="6">
        <f>IF(A881=A880,C880+1,1)</f>
        <v>2</v>
      </c>
      <c r="D881" t="s">
        <v>3410</v>
      </c>
      <c r="E881" s="101">
        <v>1.95E-2</v>
      </c>
      <c r="F881" s="6">
        <v>120</v>
      </c>
      <c r="G881" t="s">
        <v>1349</v>
      </c>
      <c r="H881" s="82">
        <v>2.5</v>
      </c>
      <c r="I881">
        <v>10</v>
      </c>
      <c r="J881">
        <v>49</v>
      </c>
      <c r="K881" t="s">
        <v>3411</v>
      </c>
      <c r="L881" s="6" t="s">
        <v>1371</v>
      </c>
      <c r="M881" s="6">
        <v>10</v>
      </c>
      <c r="N881" s="6">
        <v>2</v>
      </c>
      <c r="O881">
        <v>500</v>
      </c>
      <c r="P881">
        <v>202605</v>
      </c>
      <c r="Q881" t="s">
        <v>377</v>
      </c>
      <c r="R881" t="s">
        <v>1353</v>
      </c>
      <c r="S881">
        <f>Consulta1[[#This Row],[min_port]]/100</f>
        <v>1.4499999999999999E-2</v>
      </c>
      <c r="T881" s="252">
        <f>Consulta1[[#This Row],[TETO_COMERCIAL]]/100</f>
        <v>2.5000000000000001E-2</v>
      </c>
      <c r="U881" t="b">
        <f>Consulta1[[#This Row],[TETO_COMERCIAL_%]]=Consulta1[[#This Row],[TAXA]]</f>
        <v>0</v>
      </c>
      <c r="V881" t="str">
        <f>CONCATENATE(Consulta1[[#This Row],[MES_ALTERACAO]],Consulta1[[#This Row],[VIRADA]])</f>
        <v>20260510</v>
      </c>
      <c r="W881">
        <f>VLOOKUP(Consulta1[[#This Row],[Coluna2]],CALENDARIO!$J:$K,2,FALSE)</f>
        <v>5</v>
      </c>
    </row>
    <row r="882" spans="1:23" x14ac:dyDescent="0.25">
      <c r="A882" t="s">
        <v>80</v>
      </c>
      <c r="B882" t="str">
        <f>CONCATENATE(Consulta1[[#This Row],[id]],Consulta1[[#This Row],[EMPREGADOR]])</f>
        <v>3PREF FLORIANOPO</v>
      </c>
      <c r="C882" s="6">
        <f>IF(A882=A881,C881+1,1)</f>
        <v>3</v>
      </c>
      <c r="D882" t="s">
        <v>3412</v>
      </c>
      <c r="E882" s="101">
        <v>1.8500000000000003E-2</v>
      </c>
      <c r="F882" s="6">
        <v>120</v>
      </c>
      <c r="G882" t="s">
        <v>1349</v>
      </c>
      <c r="H882" s="82">
        <v>2.5</v>
      </c>
      <c r="I882">
        <v>10</v>
      </c>
      <c r="J882">
        <v>41</v>
      </c>
      <c r="K882" t="s">
        <v>3413</v>
      </c>
      <c r="L882" s="6" t="s">
        <v>1371</v>
      </c>
      <c r="M882" s="6">
        <v>10</v>
      </c>
      <c r="N882" s="6">
        <v>2</v>
      </c>
      <c r="O882">
        <v>500</v>
      </c>
      <c r="P882">
        <v>202605</v>
      </c>
      <c r="Q882" t="s">
        <v>377</v>
      </c>
      <c r="R882" t="s">
        <v>1353</v>
      </c>
      <c r="S882">
        <f>Consulta1[[#This Row],[min_port]]/100</f>
        <v>1.4499999999999999E-2</v>
      </c>
      <c r="T882" s="252">
        <f>Consulta1[[#This Row],[TETO_COMERCIAL]]/100</f>
        <v>2.5000000000000001E-2</v>
      </c>
      <c r="U882" t="b">
        <f>Consulta1[[#This Row],[TETO_COMERCIAL_%]]=Consulta1[[#This Row],[TAXA]]</f>
        <v>0</v>
      </c>
      <c r="V882" t="str">
        <f>CONCATENATE(Consulta1[[#This Row],[MES_ALTERACAO]],Consulta1[[#This Row],[VIRADA]])</f>
        <v>20260510</v>
      </c>
      <c r="W882">
        <f>VLOOKUP(Consulta1[[#This Row],[Coluna2]],CALENDARIO!$J:$K,2,FALSE)</f>
        <v>5</v>
      </c>
    </row>
    <row r="883" spans="1:23" x14ac:dyDescent="0.25">
      <c r="A883" t="s">
        <v>80</v>
      </c>
      <c r="B883" t="str">
        <f>CONCATENATE(Consulta1[[#This Row],[id]],Consulta1[[#This Row],[EMPREGADOR]])</f>
        <v>4PREF FLORIANOPO</v>
      </c>
      <c r="C883" s="6">
        <f>IF(A883=A882,C882+1,1)</f>
        <v>4</v>
      </c>
      <c r="D883" t="s">
        <v>3414</v>
      </c>
      <c r="E883" s="101">
        <v>1.7500000000000002E-2</v>
      </c>
      <c r="F883" s="6">
        <v>120</v>
      </c>
      <c r="G883" t="s">
        <v>1349</v>
      </c>
      <c r="H883" s="82">
        <v>2.5</v>
      </c>
      <c r="I883">
        <v>10</v>
      </c>
      <c r="J883">
        <v>45</v>
      </c>
      <c r="K883" t="s">
        <v>3415</v>
      </c>
      <c r="L883" s="6" t="s">
        <v>1371</v>
      </c>
      <c r="M883" s="6">
        <v>10</v>
      </c>
      <c r="N883" s="6">
        <v>2</v>
      </c>
      <c r="O883">
        <v>500</v>
      </c>
      <c r="P883">
        <v>202605</v>
      </c>
      <c r="Q883" t="s">
        <v>377</v>
      </c>
      <c r="R883" t="s">
        <v>1353</v>
      </c>
      <c r="S883">
        <f>Consulta1[[#This Row],[min_port]]/100</f>
        <v>1.4499999999999999E-2</v>
      </c>
      <c r="T883" s="252">
        <f>Consulta1[[#This Row],[TETO_COMERCIAL]]/100</f>
        <v>2.5000000000000001E-2</v>
      </c>
      <c r="U883" t="b">
        <f>Consulta1[[#This Row],[TETO_COMERCIAL_%]]=Consulta1[[#This Row],[TAXA]]</f>
        <v>0</v>
      </c>
      <c r="V883" t="str">
        <f>CONCATENATE(Consulta1[[#This Row],[MES_ALTERACAO]],Consulta1[[#This Row],[VIRADA]])</f>
        <v>20260510</v>
      </c>
      <c r="W883">
        <f>VLOOKUP(Consulta1[[#This Row],[Coluna2]],CALENDARIO!$J:$K,2,FALSE)</f>
        <v>5</v>
      </c>
    </row>
    <row r="884" spans="1:23" x14ac:dyDescent="0.25">
      <c r="A884" t="s">
        <v>80</v>
      </c>
      <c r="B884" t="str">
        <f>CONCATENATE(Consulta1[[#This Row],[id]],Consulta1[[#This Row],[EMPREGADOR]])</f>
        <v>5PREF FLORIANOPO</v>
      </c>
      <c r="C884" s="6">
        <f>IF(A884=A883,C883+1,1)</f>
        <v>5</v>
      </c>
      <c r="D884" t="s">
        <v>3416</v>
      </c>
      <c r="E884" s="101">
        <v>1.7000000000000001E-2</v>
      </c>
      <c r="F884" s="6">
        <v>120</v>
      </c>
      <c r="G884" t="s">
        <v>1349</v>
      </c>
      <c r="H884" s="82">
        <v>2.5</v>
      </c>
      <c r="I884">
        <v>10</v>
      </c>
      <c r="J884">
        <v>45</v>
      </c>
      <c r="K884" t="s">
        <v>3417</v>
      </c>
      <c r="L884" s="6" t="s">
        <v>1371</v>
      </c>
      <c r="M884" s="6">
        <v>10</v>
      </c>
      <c r="N884" s="6">
        <v>2</v>
      </c>
      <c r="O884">
        <v>500</v>
      </c>
      <c r="P884">
        <v>202605</v>
      </c>
      <c r="Q884" t="s">
        <v>377</v>
      </c>
      <c r="R884" t="s">
        <v>1353</v>
      </c>
      <c r="S884">
        <f>Consulta1[[#This Row],[min_port]]/100</f>
        <v>1.4499999999999999E-2</v>
      </c>
      <c r="T884" s="252">
        <f>Consulta1[[#This Row],[TETO_COMERCIAL]]/100</f>
        <v>2.5000000000000001E-2</v>
      </c>
      <c r="U884" t="b">
        <f>Consulta1[[#This Row],[TETO_COMERCIAL_%]]=Consulta1[[#This Row],[TAXA]]</f>
        <v>0</v>
      </c>
      <c r="V884" t="str">
        <f>CONCATENATE(Consulta1[[#This Row],[MES_ALTERACAO]],Consulta1[[#This Row],[VIRADA]])</f>
        <v>20260510</v>
      </c>
      <c r="W884">
        <f>VLOOKUP(Consulta1[[#This Row],[Coluna2]],CALENDARIO!$J:$K,2,FALSE)</f>
        <v>5</v>
      </c>
    </row>
    <row r="885" spans="1:23" x14ac:dyDescent="0.25">
      <c r="A885" t="s">
        <v>80</v>
      </c>
      <c r="B885" t="str">
        <f>CONCATENATE(Consulta1[[#This Row],[id]],Consulta1[[#This Row],[EMPREGADOR]])</f>
        <v>6PREF FLORIANOPO</v>
      </c>
      <c r="C885" s="6">
        <f>IF(A885=A884,C884+1,1)</f>
        <v>6</v>
      </c>
      <c r="D885" t="s">
        <v>3418</v>
      </c>
      <c r="E885" s="101">
        <v>1.6500000000000001E-2</v>
      </c>
      <c r="F885" s="6">
        <v>120</v>
      </c>
      <c r="G885" t="s">
        <v>1349</v>
      </c>
      <c r="H885" s="82">
        <v>2.5</v>
      </c>
      <c r="I885">
        <v>10</v>
      </c>
      <c r="J885">
        <v>47</v>
      </c>
      <c r="K885" t="s">
        <v>3419</v>
      </c>
      <c r="L885" s="6" t="s">
        <v>1371</v>
      </c>
      <c r="M885" s="6">
        <v>10</v>
      </c>
      <c r="N885" s="6">
        <v>2</v>
      </c>
      <c r="O885">
        <v>500</v>
      </c>
      <c r="P885">
        <v>202605</v>
      </c>
      <c r="Q885" t="s">
        <v>377</v>
      </c>
      <c r="R885" t="s">
        <v>1353</v>
      </c>
      <c r="S885">
        <f>Consulta1[[#This Row],[min_port]]/100</f>
        <v>1.4499999999999999E-2</v>
      </c>
      <c r="T885" s="252">
        <f>Consulta1[[#This Row],[TETO_COMERCIAL]]/100</f>
        <v>2.5000000000000001E-2</v>
      </c>
      <c r="U885" t="b">
        <f>Consulta1[[#This Row],[TETO_COMERCIAL_%]]=Consulta1[[#This Row],[TAXA]]</f>
        <v>0</v>
      </c>
      <c r="V885" t="str">
        <f>CONCATENATE(Consulta1[[#This Row],[MES_ALTERACAO]],Consulta1[[#This Row],[VIRADA]])</f>
        <v>20260510</v>
      </c>
      <c r="W885">
        <f>VLOOKUP(Consulta1[[#This Row],[Coluna2]],CALENDARIO!$J:$K,2,FALSE)</f>
        <v>5</v>
      </c>
    </row>
    <row r="886" spans="1:23" x14ac:dyDescent="0.25">
      <c r="A886" t="s">
        <v>80</v>
      </c>
      <c r="B886" t="str">
        <f>CONCATENATE(Consulta1[[#This Row],[id]],Consulta1[[#This Row],[EMPREGADOR]])</f>
        <v>7PREF FLORIANOPO</v>
      </c>
      <c r="C886" s="6">
        <f>IF(A886=A885,C885+1,1)</f>
        <v>7</v>
      </c>
      <c r="D886" t="s">
        <v>3420</v>
      </c>
      <c r="E886" s="101">
        <v>1.6E-2</v>
      </c>
      <c r="F886" s="6">
        <v>120</v>
      </c>
      <c r="G886" t="s">
        <v>1349</v>
      </c>
      <c r="H886" s="82">
        <v>2.5</v>
      </c>
      <c r="I886">
        <v>10</v>
      </c>
      <c r="J886">
        <v>41</v>
      </c>
      <c r="K886" t="s">
        <v>3421</v>
      </c>
      <c r="L886" s="6" t="s">
        <v>1371</v>
      </c>
      <c r="M886" s="6">
        <v>10</v>
      </c>
      <c r="N886" s="6">
        <v>2</v>
      </c>
      <c r="O886">
        <v>30000</v>
      </c>
      <c r="P886">
        <v>202605</v>
      </c>
      <c r="Q886" t="s">
        <v>377</v>
      </c>
      <c r="R886" t="s">
        <v>1353</v>
      </c>
      <c r="S886">
        <f>Consulta1[[#This Row],[min_port]]/100</f>
        <v>1.4499999999999999E-2</v>
      </c>
      <c r="T886" s="252">
        <f>Consulta1[[#This Row],[TETO_COMERCIAL]]/100</f>
        <v>2.5000000000000001E-2</v>
      </c>
      <c r="U886" t="b">
        <f>Consulta1[[#This Row],[TETO_COMERCIAL_%]]=Consulta1[[#This Row],[TAXA]]</f>
        <v>0</v>
      </c>
      <c r="V886" t="str">
        <f>CONCATENATE(Consulta1[[#This Row],[MES_ALTERACAO]],Consulta1[[#This Row],[VIRADA]])</f>
        <v>20260510</v>
      </c>
      <c r="W886">
        <f>VLOOKUP(Consulta1[[#This Row],[Coluna2]],CALENDARIO!$J:$K,2,FALSE)</f>
        <v>5</v>
      </c>
    </row>
    <row r="887" spans="1:23" x14ac:dyDescent="0.25">
      <c r="A887" t="s">
        <v>80</v>
      </c>
      <c r="B887" t="str">
        <f>CONCATENATE(Consulta1[[#This Row],[id]],Consulta1[[#This Row],[EMPREGADOR]])</f>
        <v>8PREF FLORIANOPO</v>
      </c>
      <c r="C887" s="6">
        <f>IF(A887=A886,C886+1,1)</f>
        <v>8</v>
      </c>
      <c r="D887" t="s">
        <v>3422</v>
      </c>
      <c r="E887" s="101">
        <v>1.55E-2</v>
      </c>
      <c r="F887" s="6">
        <v>120</v>
      </c>
      <c r="G887" t="s">
        <v>1349</v>
      </c>
      <c r="H887" s="82">
        <v>2.5</v>
      </c>
      <c r="I887">
        <v>10</v>
      </c>
      <c r="K887" t="s">
        <v>3423</v>
      </c>
      <c r="L887" s="6" t="s">
        <v>1371</v>
      </c>
      <c r="M887" s="6">
        <v>10</v>
      </c>
      <c r="N887" s="6">
        <v>2</v>
      </c>
      <c r="O887">
        <v>50000</v>
      </c>
      <c r="P887">
        <v>202605</v>
      </c>
      <c r="Q887" t="s">
        <v>377</v>
      </c>
      <c r="R887" t="s">
        <v>1353</v>
      </c>
      <c r="S887">
        <f>Consulta1[[#This Row],[min_port]]/100</f>
        <v>1.4499999999999999E-2</v>
      </c>
      <c r="T887" s="252">
        <f>Consulta1[[#This Row],[TETO_COMERCIAL]]/100</f>
        <v>2.5000000000000001E-2</v>
      </c>
      <c r="U887" t="b">
        <f>Consulta1[[#This Row],[TETO_COMERCIAL_%]]=Consulta1[[#This Row],[TAXA]]</f>
        <v>0</v>
      </c>
      <c r="V887" t="str">
        <f>CONCATENATE(Consulta1[[#This Row],[MES_ALTERACAO]],Consulta1[[#This Row],[VIRADA]])</f>
        <v>20260510</v>
      </c>
      <c r="W887">
        <f>VLOOKUP(Consulta1[[#This Row],[Coluna2]],CALENDARIO!$J:$K,2,FALSE)</f>
        <v>5</v>
      </c>
    </row>
    <row r="888" spans="1:23" x14ac:dyDescent="0.25">
      <c r="A888" t="s">
        <v>1071</v>
      </c>
      <c r="B888" t="str">
        <f>CONCATENATE(Consulta1[[#This Row],[id]],Consulta1[[#This Row],[EMPREGADOR]])</f>
        <v>1PREF FORMIGA MG</v>
      </c>
      <c r="C888" s="6">
        <f>IF(A888=A887,C887+1,1)</f>
        <v>1</v>
      </c>
      <c r="D888" t="s">
        <v>1072</v>
      </c>
      <c r="E888" s="101">
        <v>2.1499999999999998E-2</v>
      </c>
      <c r="F888" s="6">
        <v>120</v>
      </c>
      <c r="G888" t="s">
        <v>1349</v>
      </c>
      <c r="H888" s="82">
        <v>2.25</v>
      </c>
      <c r="I888">
        <v>15</v>
      </c>
      <c r="K888" t="s">
        <v>1795</v>
      </c>
      <c r="L888" s="6" t="s">
        <v>1374</v>
      </c>
      <c r="M888" s="6">
        <v>10</v>
      </c>
      <c r="N888" s="6">
        <v>2</v>
      </c>
      <c r="O888">
        <v>500</v>
      </c>
      <c r="P888">
        <v>202605</v>
      </c>
      <c r="Q888" t="s">
        <v>378</v>
      </c>
      <c r="R888" t="s">
        <v>1353</v>
      </c>
      <c r="S888">
        <f>Consulta1[[#This Row],[min_port]]/100</f>
        <v>1.4999999999999999E-2</v>
      </c>
      <c r="T888" s="252">
        <f>Consulta1[[#This Row],[TETO_COMERCIAL]]/100</f>
        <v>2.2499999999999999E-2</v>
      </c>
      <c r="U888" t="b">
        <f>Consulta1[[#This Row],[TETO_COMERCIAL_%]]=Consulta1[[#This Row],[TAXA]]</f>
        <v>0</v>
      </c>
      <c r="V888" t="str">
        <f>CONCATENATE(Consulta1[[#This Row],[MES_ALTERACAO]],Consulta1[[#This Row],[VIRADA]])</f>
        <v>20260510</v>
      </c>
      <c r="W888">
        <f>VLOOKUP(Consulta1[[#This Row],[Coluna2]],CALENDARIO!$J:$K,2,FALSE)</f>
        <v>5</v>
      </c>
    </row>
    <row r="889" spans="1:23" x14ac:dyDescent="0.25">
      <c r="A889" t="s">
        <v>1071</v>
      </c>
      <c r="B889" t="str">
        <f>CONCATENATE(Consulta1[[#This Row],[id]],Consulta1[[#This Row],[EMPREGADOR]])</f>
        <v>2PREF FORMIGA MG</v>
      </c>
      <c r="C889" s="6">
        <f>IF(A889=A888,C888+1,1)</f>
        <v>2</v>
      </c>
      <c r="D889" t="s">
        <v>1073</v>
      </c>
      <c r="E889" s="101">
        <v>2.0199999999999999E-2</v>
      </c>
      <c r="F889" s="6">
        <v>120</v>
      </c>
      <c r="G889" t="s">
        <v>1349</v>
      </c>
      <c r="H889" s="82">
        <v>2.25</v>
      </c>
      <c r="I889">
        <v>15</v>
      </c>
      <c r="J889">
        <v>42</v>
      </c>
      <c r="K889" t="s">
        <v>1796</v>
      </c>
      <c r="L889" s="6" t="s">
        <v>1374</v>
      </c>
      <c r="M889" s="6">
        <v>10</v>
      </c>
      <c r="N889" s="6">
        <v>2</v>
      </c>
      <c r="O889">
        <v>500</v>
      </c>
      <c r="P889">
        <v>202605</v>
      </c>
      <c r="Q889" t="s">
        <v>378</v>
      </c>
      <c r="R889" t="s">
        <v>1353</v>
      </c>
      <c r="S889">
        <f>Consulta1[[#This Row],[min_port]]/100</f>
        <v>1.4999999999999999E-2</v>
      </c>
      <c r="T889" s="252">
        <f>Consulta1[[#This Row],[TETO_COMERCIAL]]/100</f>
        <v>2.2499999999999999E-2</v>
      </c>
      <c r="U889" t="b">
        <f>Consulta1[[#This Row],[TETO_COMERCIAL_%]]=Consulta1[[#This Row],[TAXA]]</f>
        <v>0</v>
      </c>
      <c r="V889" t="str">
        <f>CONCATENATE(Consulta1[[#This Row],[MES_ALTERACAO]],Consulta1[[#This Row],[VIRADA]])</f>
        <v>20260510</v>
      </c>
      <c r="W889">
        <f>VLOOKUP(Consulta1[[#This Row],[Coluna2]],CALENDARIO!$J:$K,2,FALSE)</f>
        <v>5</v>
      </c>
    </row>
    <row r="890" spans="1:23" x14ac:dyDescent="0.25">
      <c r="A890" t="s">
        <v>81</v>
      </c>
      <c r="B890" t="str">
        <f>CONCATENATE(Consulta1[[#This Row],[id]],Consulta1[[#This Row],[EMPREGADOR]])</f>
        <v>1PREF FORTALEZA</v>
      </c>
      <c r="C890" s="6">
        <f>IF(A890=A889,C889+1,1)</f>
        <v>1</v>
      </c>
      <c r="D890" t="s">
        <v>917</v>
      </c>
      <c r="E890" s="101">
        <v>2.5000000000000001E-2</v>
      </c>
      <c r="F890" s="6">
        <v>120</v>
      </c>
      <c r="G890" t="s">
        <v>1349</v>
      </c>
      <c r="H890" s="82">
        <v>2.5</v>
      </c>
      <c r="I890">
        <v>10</v>
      </c>
      <c r="J890">
        <v>47</v>
      </c>
      <c r="K890" t="s">
        <v>1797</v>
      </c>
      <c r="L890" s="6" t="s">
        <v>1372</v>
      </c>
      <c r="M890" s="6">
        <v>10</v>
      </c>
      <c r="N890" s="6">
        <v>2</v>
      </c>
      <c r="O890">
        <v>500</v>
      </c>
      <c r="P890">
        <v>202605</v>
      </c>
      <c r="Q890" t="s">
        <v>377</v>
      </c>
      <c r="R890" t="s">
        <v>1353</v>
      </c>
      <c r="S890">
        <f>Consulta1[[#This Row],[min_port]]/100</f>
        <v>1.6E-2</v>
      </c>
      <c r="T890" s="252">
        <f>Consulta1[[#This Row],[TETO_COMERCIAL]]/100</f>
        <v>2.5000000000000001E-2</v>
      </c>
      <c r="U890" t="b">
        <f>Consulta1[[#This Row],[TETO_COMERCIAL_%]]=Consulta1[[#This Row],[TAXA]]</f>
        <v>1</v>
      </c>
      <c r="V890" t="str">
        <f>CONCATENATE(Consulta1[[#This Row],[MES_ALTERACAO]],Consulta1[[#This Row],[VIRADA]])</f>
        <v>20260510</v>
      </c>
      <c r="W890">
        <f>VLOOKUP(Consulta1[[#This Row],[Coluna2]],CALENDARIO!$J:$K,2,FALSE)</f>
        <v>5</v>
      </c>
    </row>
    <row r="891" spans="1:23" x14ac:dyDescent="0.25">
      <c r="A891" t="s">
        <v>81</v>
      </c>
      <c r="B891" t="str">
        <f>CONCATENATE(Consulta1[[#This Row],[id]],Consulta1[[#This Row],[EMPREGADOR]])</f>
        <v>2PREF FORTALEZA</v>
      </c>
      <c r="C891" s="6">
        <f>IF(A891=A890,C890+1,1)</f>
        <v>2</v>
      </c>
      <c r="D891" t="s">
        <v>918</v>
      </c>
      <c r="E891" s="101">
        <v>2.4E-2</v>
      </c>
      <c r="F891" s="6">
        <v>120</v>
      </c>
      <c r="G891" t="s">
        <v>1349</v>
      </c>
      <c r="H891" s="82">
        <v>2.5</v>
      </c>
      <c r="I891">
        <v>10</v>
      </c>
      <c r="J891">
        <v>43</v>
      </c>
      <c r="K891" t="s">
        <v>1798</v>
      </c>
      <c r="L891" s="6" t="s">
        <v>1372</v>
      </c>
      <c r="M891" s="6">
        <v>10</v>
      </c>
      <c r="N891" s="6">
        <v>2</v>
      </c>
      <c r="O891">
        <v>500</v>
      </c>
      <c r="P891">
        <v>202605</v>
      </c>
      <c r="Q891" t="s">
        <v>377</v>
      </c>
      <c r="R891" t="s">
        <v>1353</v>
      </c>
      <c r="S891">
        <f>Consulta1[[#This Row],[min_port]]/100</f>
        <v>1.6E-2</v>
      </c>
      <c r="T891" s="252">
        <f>Consulta1[[#This Row],[TETO_COMERCIAL]]/100</f>
        <v>2.5000000000000001E-2</v>
      </c>
      <c r="U891" t="b">
        <f>Consulta1[[#This Row],[TETO_COMERCIAL_%]]=Consulta1[[#This Row],[TAXA]]</f>
        <v>0</v>
      </c>
      <c r="V891" t="str">
        <f>CONCATENATE(Consulta1[[#This Row],[MES_ALTERACAO]],Consulta1[[#This Row],[VIRADA]])</f>
        <v>20260510</v>
      </c>
      <c r="W891">
        <f>VLOOKUP(Consulta1[[#This Row],[Coluna2]],CALENDARIO!$J:$K,2,FALSE)</f>
        <v>5</v>
      </c>
    </row>
    <row r="892" spans="1:23" x14ac:dyDescent="0.25">
      <c r="A892" t="s">
        <v>81</v>
      </c>
      <c r="B892" t="str">
        <f>CONCATENATE(Consulta1[[#This Row],[id]],Consulta1[[#This Row],[EMPREGADOR]])</f>
        <v>3PREF FORTALEZA</v>
      </c>
      <c r="C892" s="6">
        <f>IF(A892=A891,C891+1,1)</f>
        <v>3</v>
      </c>
      <c r="D892" t="s">
        <v>919</v>
      </c>
      <c r="E892" s="101">
        <v>2.3E-2</v>
      </c>
      <c r="F892" s="6">
        <v>120</v>
      </c>
      <c r="G892" t="s">
        <v>1349</v>
      </c>
      <c r="H892" s="82">
        <v>2.5</v>
      </c>
      <c r="I892">
        <v>10</v>
      </c>
      <c r="J892">
        <v>44</v>
      </c>
      <c r="K892" t="s">
        <v>1799</v>
      </c>
      <c r="L892" s="6" t="s">
        <v>1372</v>
      </c>
      <c r="M892" s="6">
        <v>10</v>
      </c>
      <c r="N892" s="6">
        <v>2</v>
      </c>
      <c r="O892">
        <v>500</v>
      </c>
      <c r="P892">
        <v>202605</v>
      </c>
      <c r="Q892" t="s">
        <v>377</v>
      </c>
      <c r="R892" t="s">
        <v>1353</v>
      </c>
      <c r="S892">
        <f>Consulta1[[#This Row],[min_port]]/100</f>
        <v>1.6E-2</v>
      </c>
      <c r="T892" s="252">
        <f>Consulta1[[#This Row],[TETO_COMERCIAL]]/100</f>
        <v>2.5000000000000001E-2</v>
      </c>
      <c r="U892" t="b">
        <f>Consulta1[[#This Row],[TETO_COMERCIAL_%]]=Consulta1[[#This Row],[TAXA]]</f>
        <v>0</v>
      </c>
      <c r="V892" t="str">
        <f>CONCATENATE(Consulta1[[#This Row],[MES_ALTERACAO]],Consulta1[[#This Row],[VIRADA]])</f>
        <v>20260510</v>
      </c>
      <c r="W892">
        <f>VLOOKUP(Consulta1[[#This Row],[Coluna2]],CALENDARIO!$J:$K,2,FALSE)</f>
        <v>5</v>
      </c>
    </row>
    <row r="893" spans="1:23" x14ac:dyDescent="0.25">
      <c r="A893" t="s">
        <v>81</v>
      </c>
      <c r="B893" t="str">
        <f>CONCATENATE(Consulta1[[#This Row],[id]],Consulta1[[#This Row],[EMPREGADOR]])</f>
        <v>4PREF FORTALEZA</v>
      </c>
      <c r="C893" s="6">
        <f>IF(A893=A892,C892+1,1)</f>
        <v>4</v>
      </c>
      <c r="D893" t="s">
        <v>920</v>
      </c>
      <c r="E893" s="101">
        <v>2.2000000000000002E-2</v>
      </c>
      <c r="F893" s="6">
        <v>120</v>
      </c>
      <c r="G893" t="s">
        <v>1349</v>
      </c>
      <c r="H893" s="82">
        <v>2.5</v>
      </c>
      <c r="I893">
        <v>10</v>
      </c>
      <c r="J893">
        <v>43</v>
      </c>
      <c r="K893" t="s">
        <v>1800</v>
      </c>
      <c r="L893" s="6" t="s">
        <v>1372</v>
      </c>
      <c r="M893" s="6">
        <v>10</v>
      </c>
      <c r="N893" s="6">
        <v>2</v>
      </c>
      <c r="O893">
        <v>500</v>
      </c>
      <c r="P893">
        <v>202605</v>
      </c>
      <c r="Q893" t="s">
        <v>377</v>
      </c>
      <c r="R893" t="s">
        <v>1353</v>
      </c>
      <c r="S893">
        <f>Consulta1[[#This Row],[min_port]]/100</f>
        <v>1.6E-2</v>
      </c>
      <c r="T893" s="252">
        <f>Consulta1[[#This Row],[TETO_COMERCIAL]]/100</f>
        <v>2.5000000000000001E-2</v>
      </c>
      <c r="U893" t="b">
        <f>Consulta1[[#This Row],[TETO_COMERCIAL_%]]=Consulta1[[#This Row],[TAXA]]</f>
        <v>0</v>
      </c>
      <c r="V893" t="str">
        <f>CONCATENATE(Consulta1[[#This Row],[MES_ALTERACAO]],Consulta1[[#This Row],[VIRADA]])</f>
        <v>20260510</v>
      </c>
      <c r="W893">
        <f>VLOOKUP(Consulta1[[#This Row],[Coluna2]],CALENDARIO!$J:$K,2,FALSE)</f>
        <v>5</v>
      </c>
    </row>
    <row r="894" spans="1:23" x14ac:dyDescent="0.25">
      <c r="A894" t="s">
        <v>81</v>
      </c>
      <c r="B894" t="str">
        <f>CONCATENATE(Consulta1[[#This Row],[id]],Consulta1[[#This Row],[EMPREGADOR]])</f>
        <v>5PREF FORTALEZA</v>
      </c>
      <c r="C894" s="6">
        <f>IF(A894=A893,C893+1,1)</f>
        <v>5</v>
      </c>
      <c r="D894" t="s">
        <v>921</v>
      </c>
      <c r="E894" s="101">
        <v>2.1000000000000001E-2</v>
      </c>
      <c r="F894" s="6">
        <v>120</v>
      </c>
      <c r="G894" t="s">
        <v>1349</v>
      </c>
      <c r="H894" s="82">
        <v>2.5</v>
      </c>
      <c r="I894">
        <v>10</v>
      </c>
      <c r="J894">
        <v>44</v>
      </c>
      <c r="K894" t="s">
        <v>1801</v>
      </c>
      <c r="L894" s="6" t="s">
        <v>1372</v>
      </c>
      <c r="M894" s="6">
        <v>10</v>
      </c>
      <c r="N894" s="6">
        <v>2</v>
      </c>
      <c r="O894">
        <v>500</v>
      </c>
      <c r="P894">
        <v>202605</v>
      </c>
      <c r="Q894" t="s">
        <v>377</v>
      </c>
      <c r="R894" t="s">
        <v>1353</v>
      </c>
      <c r="S894">
        <f>Consulta1[[#This Row],[min_port]]/100</f>
        <v>1.6E-2</v>
      </c>
      <c r="T894" s="252">
        <f>Consulta1[[#This Row],[TETO_COMERCIAL]]/100</f>
        <v>2.5000000000000001E-2</v>
      </c>
      <c r="U894" t="b">
        <f>Consulta1[[#This Row],[TETO_COMERCIAL_%]]=Consulta1[[#This Row],[TAXA]]</f>
        <v>0</v>
      </c>
      <c r="V894" t="str">
        <f>CONCATENATE(Consulta1[[#This Row],[MES_ALTERACAO]],Consulta1[[#This Row],[VIRADA]])</f>
        <v>20260510</v>
      </c>
      <c r="W894">
        <f>VLOOKUP(Consulta1[[#This Row],[Coluna2]],CALENDARIO!$J:$K,2,FALSE)</f>
        <v>5</v>
      </c>
    </row>
    <row r="895" spans="1:23" x14ac:dyDescent="0.25">
      <c r="A895" t="s">
        <v>81</v>
      </c>
      <c r="B895" t="str">
        <f>CONCATENATE(Consulta1[[#This Row],[id]],Consulta1[[#This Row],[EMPREGADOR]])</f>
        <v>6PREF FORTALEZA</v>
      </c>
      <c r="C895" s="6">
        <f>IF(A895=A894,C894+1,1)</f>
        <v>6</v>
      </c>
      <c r="D895" t="s">
        <v>922</v>
      </c>
      <c r="E895" s="101">
        <v>0.02</v>
      </c>
      <c r="F895" s="6">
        <v>120</v>
      </c>
      <c r="G895" t="s">
        <v>1349</v>
      </c>
      <c r="H895" s="82">
        <v>2.5</v>
      </c>
      <c r="I895">
        <v>10</v>
      </c>
      <c r="J895">
        <v>44</v>
      </c>
      <c r="K895" t="s">
        <v>1802</v>
      </c>
      <c r="L895" s="6" t="s">
        <v>1372</v>
      </c>
      <c r="M895" s="6">
        <v>10</v>
      </c>
      <c r="N895" s="6">
        <v>2</v>
      </c>
      <c r="O895">
        <v>500</v>
      </c>
      <c r="P895">
        <v>202605</v>
      </c>
      <c r="Q895" t="s">
        <v>377</v>
      </c>
      <c r="R895" t="s">
        <v>1353</v>
      </c>
      <c r="S895">
        <f>Consulta1[[#This Row],[min_port]]/100</f>
        <v>1.6E-2</v>
      </c>
      <c r="T895" s="252">
        <f>Consulta1[[#This Row],[TETO_COMERCIAL]]/100</f>
        <v>2.5000000000000001E-2</v>
      </c>
      <c r="U895" t="b">
        <f>Consulta1[[#This Row],[TETO_COMERCIAL_%]]=Consulta1[[#This Row],[TAXA]]</f>
        <v>0</v>
      </c>
      <c r="V895" t="str">
        <f>CONCATENATE(Consulta1[[#This Row],[MES_ALTERACAO]],Consulta1[[#This Row],[VIRADA]])</f>
        <v>20260510</v>
      </c>
      <c r="W895">
        <f>VLOOKUP(Consulta1[[#This Row],[Coluna2]],CALENDARIO!$J:$K,2,FALSE)</f>
        <v>5</v>
      </c>
    </row>
    <row r="896" spans="1:23" x14ac:dyDescent="0.25">
      <c r="A896" t="s">
        <v>81</v>
      </c>
      <c r="B896" t="str">
        <f>CONCATENATE(Consulta1[[#This Row],[id]],Consulta1[[#This Row],[EMPREGADOR]])</f>
        <v>7PREF FORTALEZA</v>
      </c>
      <c r="C896" s="6">
        <f>IF(A896=A895,C895+1,1)</f>
        <v>7</v>
      </c>
      <c r="D896" t="s">
        <v>2921</v>
      </c>
      <c r="E896" s="101">
        <v>1.95E-2</v>
      </c>
      <c r="F896" s="6">
        <v>120</v>
      </c>
      <c r="G896" t="s">
        <v>1349</v>
      </c>
      <c r="H896" s="82">
        <v>2.5</v>
      </c>
      <c r="I896">
        <v>10</v>
      </c>
      <c r="J896">
        <v>45</v>
      </c>
      <c r="K896" t="s">
        <v>2922</v>
      </c>
      <c r="L896" s="6" t="s">
        <v>1372</v>
      </c>
      <c r="M896" s="6">
        <v>10</v>
      </c>
      <c r="N896" s="6">
        <v>2</v>
      </c>
      <c r="O896">
        <v>500</v>
      </c>
      <c r="P896">
        <v>202605</v>
      </c>
      <c r="Q896" t="s">
        <v>377</v>
      </c>
      <c r="R896" t="s">
        <v>1353</v>
      </c>
      <c r="S896">
        <f>Consulta1[[#This Row],[min_port]]/100</f>
        <v>1.6E-2</v>
      </c>
      <c r="T896" s="252">
        <f>Consulta1[[#This Row],[TETO_COMERCIAL]]/100</f>
        <v>2.5000000000000001E-2</v>
      </c>
      <c r="U896" t="b">
        <f>Consulta1[[#This Row],[TETO_COMERCIAL_%]]=Consulta1[[#This Row],[TAXA]]</f>
        <v>0</v>
      </c>
      <c r="V896" t="str">
        <f>CONCATENATE(Consulta1[[#This Row],[MES_ALTERACAO]],Consulta1[[#This Row],[VIRADA]])</f>
        <v>20260510</v>
      </c>
      <c r="W896">
        <f>VLOOKUP(Consulta1[[#This Row],[Coluna2]],CALENDARIO!$J:$K,2,FALSE)</f>
        <v>5</v>
      </c>
    </row>
    <row r="897" spans="1:23" x14ac:dyDescent="0.25">
      <c r="A897" t="s">
        <v>81</v>
      </c>
      <c r="B897" t="str">
        <f>CONCATENATE(Consulta1[[#This Row],[id]],Consulta1[[#This Row],[EMPREGADOR]])</f>
        <v>8PREF FORTALEZA</v>
      </c>
      <c r="C897" s="6">
        <f>IF(A897=A896,C896+1,1)</f>
        <v>8</v>
      </c>
      <c r="D897" t="s">
        <v>2923</v>
      </c>
      <c r="E897" s="101">
        <v>1.9E-2</v>
      </c>
      <c r="F897" s="6">
        <v>120</v>
      </c>
      <c r="G897" t="s">
        <v>1349</v>
      </c>
      <c r="H897" s="82">
        <v>2.5</v>
      </c>
      <c r="I897">
        <v>10</v>
      </c>
      <c r="J897">
        <v>44</v>
      </c>
      <c r="K897" t="s">
        <v>2924</v>
      </c>
      <c r="L897" s="6" t="s">
        <v>1372</v>
      </c>
      <c r="M897" s="6">
        <v>10</v>
      </c>
      <c r="N897" s="6">
        <v>2</v>
      </c>
      <c r="O897">
        <v>30000</v>
      </c>
      <c r="P897">
        <v>202605</v>
      </c>
      <c r="Q897" t="s">
        <v>377</v>
      </c>
      <c r="R897" t="s">
        <v>1353</v>
      </c>
      <c r="S897">
        <f>Consulta1[[#This Row],[min_port]]/100</f>
        <v>1.6E-2</v>
      </c>
      <c r="T897" s="252">
        <f>Consulta1[[#This Row],[TETO_COMERCIAL]]/100</f>
        <v>2.5000000000000001E-2</v>
      </c>
      <c r="U897" t="b">
        <f>Consulta1[[#This Row],[TETO_COMERCIAL_%]]=Consulta1[[#This Row],[TAXA]]</f>
        <v>0</v>
      </c>
      <c r="V897" t="str">
        <f>CONCATENATE(Consulta1[[#This Row],[MES_ALTERACAO]],Consulta1[[#This Row],[VIRADA]])</f>
        <v>20260510</v>
      </c>
      <c r="W897">
        <f>VLOOKUP(Consulta1[[#This Row],[Coluna2]],CALENDARIO!$J:$K,2,FALSE)</f>
        <v>5</v>
      </c>
    </row>
    <row r="898" spans="1:23" x14ac:dyDescent="0.25">
      <c r="A898" t="s">
        <v>81</v>
      </c>
      <c r="B898" t="str">
        <f>CONCATENATE(Consulta1[[#This Row],[id]],Consulta1[[#This Row],[EMPREGADOR]])</f>
        <v>9PREF FORTALEZA</v>
      </c>
      <c r="C898" s="6">
        <f>IF(A898=A897,C897+1,1)</f>
        <v>9</v>
      </c>
      <c r="D898" t="s">
        <v>2925</v>
      </c>
      <c r="E898" s="101">
        <v>1.8200000000000001E-2</v>
      </c>
      <c r="F898" s="6">
        <v>120</v>
      </c>
      <c r="G898" t="s">
        <v>1349</v>
      </c>
      <c r="H898" s="82">
        <v>2.5</v>
      </c>
      <c r="I898">
        <v>10</v>
      </c>
      <c r="J898">
        <v>45</v>
      </c>
      <c r="K898" t="s">
        <v>2926</v>
      </c>
      <c r="L898" s="6" t="s">
        <v>1372</v>
      </c>
      <c r="M898" s="6">
        <v>10</v>
      </c>
      <c r="N898" s="6">
        <v>2</v>
      </c>
      <c r="O898">
        <v>40000</v>
      </c>
      <c r="P898">
        <v>202605</v>
      </c>
      <c r="Q898" t="s">
        <v>377</v>
      </c>
      <c r="R898" t="s">
        <v>1353</v>
      </c>
      <c r="S898">
        <f>Consulta1[[#This Row],[min_port]]/100</f>
        <v>1.6E-2</v>
      </c>
      <c r="T898" s="252">
        <f>Consulta1[[#This Row],[TETO_COMERCIAL]]/100</f>
        <v>2.5000000000000001E-2</v>
      </c>
      <c r="U898" t="b">
        <f>Consulta1[[#This Row],[TETO_COMERCIAL_%]]=Consulta1[[#This Row],[TAXA]]</f>
        <v>0</v>
      </c>
      <c r="V898" t="str">
        <f>CONCATENATE(Consulta1[[#This Row],[MES_ALTERACAO]],Consulta1[[#This Row],[VIRADA]])</f>
        <v>20260510</v>
      </c>
      <c r="W898">
        <f>VLOOKUP(Consulta1[[#This Row],[Coluna2]],CALENDARIO!$J:$K,2,FALSE)</f>
        <v>5</v>
      </c>
    </row>
    <row r="899" spans="1:23" x14ac:dyDescent="0.25">
      <c r="A899" t="s">
        <v>81</v>
      </c>
      <c r="B899" t="str">
        <f>CONCATENATE(Consulta1[[#This Row],[id]],Consulta1[[#This Row],[EMPREGADOR]])</f>
        <v>10PREF FORTALEZA</v>
      </c>
      <c r="C899" s="6">
        <f>IF(A899=A898,C898+1,1)</f>
        <v>10</v>
      </c>
      <c r="D899" t="s">
        <v>2927</v>
      </c>
      <c r="E899" s="101">
        <v>1.7600000000000001E-2</v>
      </c>
      <c r="F899" s="6">
        <v>120</v>
      </c>
      <c r="G899" t="s">
        <v>1349</v>
      </c>
      <c r="H899" s="82">
        <v>2.5</v>
      </c>
      <c r="I899">
        <v>10</v>
      </c>
      <c r="K899" t="s">
        <v>2928</v>
      </c>
      <c r="L899" s="6" t="s">
        <v>1372</v>
      </c>
      <c r="M899" s="6">
        <v>10</v>
      </c>
      <c r="N899" s="6">
        <v>2</v>
      </c>
      <c r="O899">
        <v>50000</v>
      </c>
      <c r="P899">
        <v>202605</v>
      </c>
      <c r="Q899" t="s">
        <v>377</v>
      </c>
      <c r="R899" t="s">
        <v>1353</v>
      </c>
      <c r="S899">
        <f>Consulta1[[#This Row],[min_port]]/100</f>
        <v>1.6E-2</v>
      </c>
      <c r="T899" s="252">
        <f>Consulta1[[#This Row],[TETO_COMERCIAL]]/100</f>
        <v>2.5000000000000001E-2</v>
      </c>
      <c r="U899" t="b">
        <f>Consulta1[[#This Row],[TETO_COMERCIAL_%]]=Consulta1[[#This Row],[TAXA]]</f>
        <v>0</v>
      </c>
      <c r="V899" t="str">
        <f>CONCATENATE(Consulta1[[#This Row],[MES_ALTERACAO]],Consulta1[[#This Row],[VIRADA]])</f>
        <v>20260510</v>
      </c>
      <c r="W899">
        <f>VLOOKUP(Consulta1[[#This Row],[Coluna2]],CALENDARIO!$J:$K,2,FALSE)</f>
        <v>5</v>
      </c>
    </row>
    <row r="900" spans="1:23" x14ac:dyDescent="0.25">
      <c r="A900" t="s">
        <v>3040</v>
      </c>
      <c r="B900" t="str">
        <f>CONCATENATE(Consulta1[[#This Row],[id]],Consulta1[[#This Row],[EMPREGADOR]])</f>
        <v>1PREF GOIANIA</v>
      </c>
      <c r="C900" s="6">
        <f>IF(A900=A899,C899+1,1)</f>
        <v>1</v>
      </c>
      <c r="D900" t="s">
        <v>2406</v>
      </c>
      <c r="E900" s="101">
        <v>2.5000000000000001E-2</v>
      </c>
      <c r="F900" s="6">
        <v>96</v>
      </c>
      <c r="G900" t="s">
        <v>1349</v>
      </c>
      <c r="H900" s="82">
        <v>2.5</v>
      </c>
      <c r="I900">
        <v>25</v>
      </c>
      <c r="K900" t="s">
        <v>2407</v>
      </c>
      <c r="L900" s="6" t="s">
        <v>1519</v>
      </c>
      <c r="M900" s="6">
        <v>6</v>
      </c>
      <c r="N900" s="6">
        <v>2</v>
      </c>
      <c r="O900">
        <v>500</v>
      </c>
      <c r="P900">
        <v>202605</v>
      </c>
      <c r="Q900" t="s">
        <v>377</v>
      </c>
      <c r="R900" t="s">
        <v>1353</v>
      </c>
      <c r="S900">
        <f>Consulta1[[#This Row],[min_port]]/100</f>
        <v>1.3500000000000002E-2</v>
      </c>
      <c r="T900" s="252">
        <f>Consulta1[[#This Row],[TETO_COMERCIAL]]/100</f>
        <v>2.5000000000000001E-2</v>
      </c>
      <c r="U900" t="b">
        <f>Consulta1[[#This Row],[TETO_COMERCIAL_%]]=Consulta1[[#This Row],[TAXA]]</f>
        <v>1</v>
      </c>
      <c r="V900" t="str">
        <f>CONCATENATE(Consulta1[[#This Row],[MES_ALTERACAO]],Consulta1[[#This Row],[VIRADA]])</f>
        <v>2026056</v>
      </c>
      <c r="W900">
        <f>VLOOKUP(Consulta1[[#This Row],[Coluna2]],CALENDARIO!$J:$K,2,FALSE)</f>
        <v>3</v>
      </c>
    </row>
    <row r="901" spans="1:23" x14ac:dyDescent="0.25">
      <c r="A901" t="s">
        <v>3040</v>
      </c>
      <c r="B901" t="str">
        <f>CONCATENATE(Consulta1[[#This Row],[id]],Consulta1[[#This Row],[EMPREGADOR]])</f>
        <v>2PREF GOIANIA</v>
      </c>
      <c r="C901" s="6">
        <f>IF(A901=A900,C900+1,1)</f>
        <v>2</v>
      </c>
      <c r="D901" t="s">
        <v>2408</v>
      </c>
      <c r="E901" s="101">
        <v>2.2499999999999999E-2</v>
      </c>
      <c r="F901" s="6">
        <v>96</v>
      </c>
      <c r="G901" t="s">
        <v>1349</v>
      </c>
      <c r="H901" s="82">
        <v>2.5</v>
      </c>
      <c r="I901">
        <v>25</v>
      </c>
      <c r="J901">
        <v>68</v>
      </c>
      <c r="K901" t="s">
        <v>2409</v>
      </c>
      <c r="L901" s="6" t="s">
        <v>1519</v>
      </c>
      <c r="M901" s="6">
        <v>6</v>
      </c>
      <c r="N901" s="6">
        <v>2</v>
      </c>
      <c r="O901">
        <v>500</v>
      </c>
      <c r="P901">
        <v>202605</v>
      </c>
      <c r="Q901" t="s">
        <v>377</v>
      </c>
      <c r="R901" t="s">
        <v>1353</v>
      </c>
      <c r="S901">
        <f>Consulta1[[#This Row],[min_port]]/100</f>
        <v>1.3500000000000002E-2</v>
      </c>
      <c r="T901" s="252">
        <f>Consulta1[[#This Row],[TETO_COMERCIAL]]/100</f>
        <v>2.5000000000000001E-2</v>
      </c>
      <c r="U901" t="b">
        <f>Consulta1[[#This Row],[TETO_COMERCIAL_%]]=Consulta1[[#This Row],[TAXA]]</f>
        <v>0</v>
      </c>
      <c r="V901" t="str">
        <f>CONCATENATE(Consulta1[[#This Row],[MES_ALTERACAO]],Consulta1[[#This Row],[VIRADA]])</f>
        <v>2026056</v>
      </c>
      <c r="W901">
        <f>VLOOKUP(Consulta1[[#This Row],[Coluna2]],CALENDARIO!$J:$K,2,FALSE)</f>
        <v>3</v>
      </c>
    </row>
    <row r="902" spans="1:23" x14ac:dyDescent="0.25">
      <c r="A902" t="s">
        <v>3040</v>
      </c>
      <c r="B902" t="str">
        <f>CONCATENATE(Consulta1[[#This Row],[id]],Consulta1[[#This Row],[EMPREGADOR]])</f>
        <v>3PREF GOIANIA</v>
      </c>
      <c r="C902" s="6">
        <f>IF(A902=A901,C901+1,1)</f>
        <v>3</v>
      </c>
      <c r="D902" t="s">
        <v>2410</v>
      </c>
      <c r="E902" s="101">
        <v>0.02</v>
      </c>
      <c r="F902" s="6">
        <v>96</v>
      </c>
      <c r="G902" t="s">
        <v>1349</v>
      </c>
      <c r="H902" s="82">
        <v>2.5</v>
      </c>
      <c r="I902">
        <v>25</v>
      </c>
      <c r="J902">
        <v>62</v>
      </c>
      <c r="K902" t="s">
        <v>2411</v>
      </c>
      <c r="L902" s="6" t="s">
        <v>1519</v>
      </c>
      <c r="M902" s="6">
        <v>6</v>
      </c>
      <c r="N902" s="6">
        <v>2</v>
      </c>
      <c r="O902">
        <v>500</v>
      </c>
      <c r="P902">
        <v>202605</v>
      </c>
      <c r="Q902" t="s">
        <v>377</v>
      </c>
      <c r="R902" t="s">
        <v>1353</v>
      </c>
      <c r="S902">
        <f>Consulta1[[#This Row],[min_port]]/100</f>
        <v>1.3500000000000002E-2</v>
      </c>
      <c r="T902" s="252">
        <f>Consulta1[[#This Row],[TETO_COMERCIAL]]/100</f>
        <v>2.5000000000000001E-2</v>
      </c>
      <c r="U902" t="b">
        <f>Consulta1[[#This Row],[TETO_COMERCIAL_%]]=Consulta1[[#This Row],[TAXA]]</f>
        <v>0</v>
      </c>
      <c r="V902" t="str">
        <f>CONCATENATE(Consulta1[[#This Row],[MES_ALTERACAO]],Consulta1[[#This Row],[VIRADA]])</f>
        <v>2026056</v>
      </c>
      <c r="W902">
        <f>VLOOKUP(Consulta1[[#This Row],[Coluna2]],CALENDARIO!$J:$K,2,FALSE)</f>
        <v>3</v>
      </c>
    </row>
    <row r="903" spans="1:23" x14ac:dyDescent="0.25">
      <c r="A903" t="s">
        <v>3040</v>
      </c>
      <c r="B903" t="str">
        <f>CONCATENATE(Consulta1[[#This Row],[id]],Consulta1[[#This Row],[EMPREGADOR]])</f>
        <v>4PREF GOIANIA</v>
      </c>
      <c r="C903" s="6">
        <f>IF(A903=A902,C902+1,1)</f>
        <v>4</v>
      </c>
      <c r="D903" t="s">
        <v>2412</v>
      </c>
      <c r="E903" s="101">
        <v>1.95E-2</v>
      </c>
      <c r="F903" s="6">
        <v>96</v>
      </c>
      <c r="G903" t="s">
        <v>1349</v>
      </c>
      <c r="H903" s="82">
        <v>2.5</v>
      </c>
      <c r="I903">
        <v>25</v>
      </c>
      <c r="J903">
        <v>63</v>
      </c>
      <c r="K903" t="s">
        <v>2413</v>
      </c>
      <c r="L903" s="6" t="s">
        <v>1519</v>
      </c>
      <c r="M903" s="6">
        <v>6</v>
      </c>
      <c r="N903" s="6">
        <v>2</v>
      </c>
      <c r="O903">
        <v>500</v>
      </c>
      <c r="P903">
        <v>202605</v>
      </c>
      <c r="Q903" t="s">
        <v>377</v>
      </c>
      <c r="R903" t="s">
        <v>1353</v>
      </c>
      <c r="S903">
        <f>Consulta1[[#This Row],[min_port]]/100</f>
        <v>1.3500000000000002E-2</v>
      </c>
      <c r="T903" s="252">
        <f>Consulta1[[#This Row],[TETO_COMERCIAL]]/100</f>
        <v>2.5000000000000001E-2</v>
      </c>
      <c r="U903" t="b">
        <f>Consulta1[[#This Row],[TETO_COMERCIAL_%]]=Consulta1[[#This Row],[TAXA]]</f>
        <v>0</v>
      </c>
      <c r="V903" t="str">
        <f>CONCATENATE(Consulta1[[#This Row],[MES_ALTERACAO]],Consulta1[[#This Row],[VIRADA]])</f>
        <v>2026056</v>
      </c>
      <c r="W903">
        <f>VLOOKUP(Consulta1[[#This Row],[Coluna2]],CALENDARIO!$J:$K,2,FALSE)</f>
        <v>3</v>
      </c>
    </row>
    <row r="904" spans="1:23" x14ac:dyDescent="0.25">
      <c r="A904" t="s">
        <v>3040</v>
      </c>
      <c r="B904" t="str">
        <f>CONCATENATE(Consulta1[[#This Row],[id]],Consulta1[[#This Row],[EMPREGADOR]])</f>
        <v>5PREF GOIANIA</v>
      </c>
      <c r="C904" s="6">
        <f>IF(A904=A903,C903+1,1)</f>
        <v>5</v>
      </c>
      <c r="D904" t="s">
        <v>2414</v>
      </c>
      <c r="E904" s="101">
        <v>1.9E-2</v>
      </c>
      <c r="F904" s="6">
        <v>96</v>
      </c>
      <c r="G904" t="s">
        <v>1349</v>
      </c>
      <c r="H904" s="82">
        <v>2.5</v>
      </c>
      <c r="I904">
        <v>25</v>
      </c>
      <c r="J904">
        <v>69</v>
      </c>
      <c r="K904" t="s">
        <v>2415</v>
      </c>
      <c r="L904" s="6" t="s">
        <v>1519</v>
      </c>
      <c r="M904" s="6">
        <v>6</v>
      </c>
      <c r="N904" s="6">
        <v>2</v>
      </c>
      <c r="O904">
        <v>500</v>
      </c>
      <c r="P904">
        <v>202605</v>
      </c>
      <c r="Q904" t="s">
        <v>377</v>
      </c>
      <c r="R904" t="s">
        <v>1353</v>
      </c>
      <c r="S904">
        <f>Consulta1[[#This Row],[min_port]]/100</f>
        <v>1.3500000000000002E-2</v>
      </c>
      <c r="T904" s="252">
        <f>Consulta1[[#This Row],[TETO_COMERCIAL]]/100</f>
        <v>2.5000000000000001E-2</v>
      </c>
      <c r="U904" t="b">
        <f>Consulta1[[#This Row],[TETO_COMERCIAL_%]]=Consulta1[[#This Row],[TAXA]]</f>
        <v>0</v>
      </c>
      <c r="V904" t="str">
        <f>CONCATENATE(Consulta1[[#This Row],[MES_ALTERACAO]],Consulta1[[#This Row],[VIRADA]])</f>
        <v>2026056</v>
      </c>
      <c r="W904">
        <f>VLOOKUP(Consulta1[[#This Row],[Coluna2]],CALENDARIO!$J:$K,2,FALSE)</f>
        <v>3</v>
      </c>
    </row>
    <row r="905" spans="1:23" x14ac:dyDescent="0.25">
      <c r="A905" t="s">
        <v>3040</v>
      </c>
      <c r="B905" t="str">
        <f>CONCATENATE(Consulta1[[#This Row],[id]],Consulta1[[#This Row],[EMPREGADOR]])</f>
        <v>6PREF GOIANIA</v>
      </c>
      <c r="C905" s="6">
        <f>IF(A905=A904,C904+1,1)</f>
        <v>6</v>
      </c>
      <c r="D905" t="s">
        <v>2416</v>
      </c>
      <c r="E905" s="101">
        <v>1.8500000000000003E-2</v>
      </c>
      <c r="F905" s="6">
        <v>96</v>
      </c>
      <c r="G905" t="s">
        <v>1349</v>
      </c>
      <c r="H905" s="82">
        <v>2.5</v>
      </c>
      <c r="I905">
        <v>25</v>
      </c>
      <c r="J905">
        <v>60</v>
      </c>
      <c r="K905" t="s">
        <v>2417</v>
      </c>
      <c r="L905" s="6" t="s">
        <v>1519</v>
      </c>
      <c r="M905" s="6">
        <v>6</v>
      </c>
      <c r="N905" s="6">
        <v>2</v>
      </c>
      <c r="O905">
        <v>500</v>
      </c>
      <c r="P905">
        <v>202605</v>
      </c>
      <c r="Q905" t="s">
        <v>377</v>
      </c>
      <c r="R905" t="s">
        <v>1353</v>
      </c>
      <c r="S905">
        <f>Consulta1[[#This Row],[min_port]]/100</f>
        <v>1.3500000000000002E-2</v>
      </c>
      <c r="T905" s="252">
        <f>Consulta1[[#This Row],[TETO_COMERCIAL]]/100</f>
        <v>2.5000000000000001E-2</v>
      </c>
      <c r="U905" t="b">
        <f>Consulta1[[#This Row],[TETO_COMERCIAL_%]]=Consulta1[[#This Row],[TAXA]]</f>
        <v>0</v>
      </c>
      <c r="V905" t="str">
        <f>CONCATENATE(Consulta1[[#This Row],[MES_ALTERACAO]],Consulta1[[#This Row],[VIRADA]])</f>
        <v>2026056</v>
      </c>
      <c r="W905">
        <f>VLOOKUP(Consulta1[[#This Row],[Coluna2]],CALENDARIO!$J:$K,2,FALSE)</f>
        <v>3</v>
      </c>
    </row>
    <row r="906" spans="1:23" x14ac:dyDescent="0.25">
      <c r="A906" t="s">
        <v>3040</v>
      </c>
      <c r="B906" t="str">
        <f>CONCATENATE(Consulta1[[#This Row],[id]],Consulta1[[#This Row],[EMPREGADOR]])</f>
        <v>7PREF GOIANIA</v>
      </c>
      <c r="C906" s="6">
        <f>IF(A906=A905,C905+1,1)</f>
        <v>7</v>
      </c>
      <c r="D906" t="s">
        <v>2418</v>
      </c>
      <c r="E906" s="101">
        <v>1.8000000000000002E-2</v>
      </c>
      <c r="F906" s="6">
        <v>96</v>
      </c>
      <c r="G906" t="s">
        <v>1349</v>
      </c>
      <c r="H906" s="82">
        <v>2.5</v>
      </c>
      <c r="I906">
        <v>25</v>
      </c>
      <c r="J906">
        <v>65</v>
      </c>
      <c r="K906" t="s">
        <v>2419</v>
      </c>
      <c r="L906" s="6" t="s">
        <v>1519</v>
      </c>
      <c r="M906" s="6">
        <v>6</v>
      </c>
      <c r="N906" s="6">
        <v>2</v>
      </c>
      <c r="O906">
        <v>500</v>
      </c>
      <c r="P906">
        <v>202605</v>
      </c>
      <c r="Q906" t="s">
        <v>377</v>
      </c>
      <c r="R906" t="s">
        <v>1353</v>
      </c>
      <c r="S906">
        <f>Consulta1[[#This Row],[min_port]]/100</f>
        <v>1.3500000000000002E-2</v>
      </c>
      <c r="T906" s="252">
        <f>Consulta1[[#This Row],[TETO_COMERCIAL]]/100</f>
        <v>2.5000000000000001E-2</v>
      </c>
      <c r="U906" t="b">
        <f>Consulta1[[#This Row],[TETO_COMERCIAL_%]]=Consulta1[[#This Row],[TAXA]]</f>
        <v>0</v>
      </c>
      <c r="V906" t="str">
        <f>CONCATENATE(Consulta1[[#This Row],[MES_ALTERACAO]],Consulta1[[#This Row],[VIRADA]])</f>
        <v>2026056</v>
      </c>
      <c r="W906">
        <f>VLOOKUP(Consulta1[[#This Row],[Coluna2]],CALENDARIO!$J:$K,2,FALSE)</f>
        <v>3</v>
      </c>
    </row>
    <row r="907" spans="1:23" x14ac:dyDescent="0.25">
      <c r="A907" t="s">
        <v>3040</v>
      </c>
      <c r="B907" t="str">
        <f>CONCATENATE(Consulta1[[#This Row],[id]],Consulta1[[#This Row],[EMPREGADOR]])</f>
        <v>8PREF GOIANIA</v>
      </c>
      <c r="C907" s="6">
        <f>IF(A907=A906,C906+1,1)</f>
        <v>8</v>
      </c>
      <c r="D907" t="s">
        <v>2420</v>
      </c>
      <c r="E907" s="101">
        <v>1.7600000000000001E-2</v>
      </c>
      <c r="F907" s="6">
        <v>96</v>
      </c>
      <c r="G907" t="s">
        <v>1349</v>
      </c>
      <c r="H907" s="82">
        <v>2.5</v>
      </c>
      <c r="I907">
        <v>25</v>
      </c>
      <c r="J907">
        <v>63</v>
      </c>
      <c r="K907" t="s">
        <v>2421</v>
      </c>
      <c r="L907" s="6" t="s">
        <v>1519</v>
      </c>
      <c r="M907" s="6">
        <v>6</v>
      </c>
      <c r="N907" s="6">
        <v>2</v>
      </c>
      <c r="O907">
        <v>500</v>
      </c>
      <c r="P907">
        <v>202605</v>
      </c>
      <c r="Q907" t="s">
        <v>377</v>
      </c>
      <c r="R907" t="s">
        <v>1353</v>
      </c>
      <c r="S907">
        <f>Consulta1[[#This Row],[min_port]]/100</f>
        <v>1.3500000000000002E-2</v>
      </c>
      <c r="T907" s="252">
        <f>Consulta1[[#This Row],[TETO_COMERCIAL]]/100</f>
        <v>2.5000000000000001E-2</v>
      </c>
      <c r="U907" t="b">
        <f>Consulta1[[#This Row],[TETO_COMERCIAL_%]]=Consulta1[[#This Row],[TAXA]]</f>
        <v>0</v>
      </c>
      <c r="V907" t="str">
        <f>CONCATENATE(Consulta1[[#This Row],[MES_ALTERACAO]],Consulta1[[#This Row],[VIRADA]])</f>
        <v>2026056</v>
      </c>
      <c r="W907">
        <f>VLOOKUP(Consulta1[[#This Row],[Coluna2]],CALENDARIO!$J:$K,2,FALSE)</f>
        <v>3</v>
      </c>
    </row>
    <row r="908" spans="1:23" x14ac:dyDescent="0.25">
      <c r="A908" t="s">
        <v>3041</v>
      </c>
      <c r="B908" t="str">
        <f>CONCATENATE(Consulta1[[#This Row],[id]],Consulta1[[#This Row],[EMPREGADOR]])</f>
        <v>1PREF GOIANIRA</v>
      </c>
      <c r="C908" s="6">
        <f>IF(A908=A907,C907+1,1)</f>
        <v>1</v>
      </c>
      <c r="D908" t="s">
        <v>346</v>
      </c>
      <c r="E908" s="101">
        <v>2.1000000000000001E-2</v>
      </c>
      <c r="F908" s="6">
        <v>96</v>
      </c>
      <c r="G908" t="s">
        <v>1349</v>
      </c>
      <c r="H908" s="82">
        <v>2.4</v>
      </c>
      <c r="I908">
        <v>20</v>
      </c>
      <c r="K908" t="s">
        <v>1803</v>
      </c>
      <c r="L908" s="6" t="s">
        <v>1381</v>
      </c>
      <c r="M908" s="6">
        <v>1</v>
      </c>
      <c r="N908" s="6">
        <v>2</v>
      </c>
      <c r="O908">
        <v>500</v>
      </c>
      <c r="P908">
        <v>202605</v>
      </c>
      <c r="Q908" t="s">
        <v>377</v>
      </c>
      <c r="R908" t="s">
        <v>1353</v>
      </c>
      <c r="S908">
        <f>Consulta1[[#This Row],[min_port]]/100</f>
        <v>1.3999999999999999E-2</v>
      </c>
      <c r="T908" s="252">
        <f>Consulta1[[#This Row],[TETO_COMERCIAL]]/100</f>
        <v>2.4E-2</v>
      </c>
      <c r="U908" t="b">
        <f>Consulta1[[#This Row],[TETO_COMERCIAL_%]]=Consulta1[[#This Row],[TAXA]]</f>
        <v>0</v>
      </c>
      <c r="V908" t="str">
        <f>CONCATENATE(Consulta1[[#This Row],[MES_ALTERACAO]],Consulta1[[#This Row],[VIRADA]])</f>
        <v>2026051</v>
      </c>
      <c r="W908">
        <f>VLOOKUP(Consulta1[[#This Row],[Coluna2]],CALENDARIO!$J:$K,2,FALSE)</f>
        <v>0</v>
      </c>
    </row>
    <row r="909" spans="1:23" x14ac:dyDescent="0.25">
      <c r="A909" t="s">
        <v>3041</v>
      </c>
      <c r="B909" t="str">
        <f>CONCATENATE(Consulta1[[#This Row],[id]],Consulta1[[#This Row],[EMPREGADOR]])</f>
        <v>2PREF GOIANIRA</v>
      </c>
      <c r="C909" s="6">
        <f>IF(A909=A908,C908+1,1)</f>
        <v>2</v>
      </c>
      <c r="D909" t="s">
        <v>347</v>
      </c>
      <c r="E909" s="101">
        <v>1.9E-2</v>
      </c>
      <c r="F909" s="6">
        <v>96</v>
      </c>
      <c r="G909" t="s">
        <v>1349</v>
      </c>
      <c r="H909" s="82">
        <v>2.4</v>
      </c>
      <c r="I909">
        <v>20</v>
      </c>
      <c r="J909">
        <v>64</v>
      </c>
      <c r="K909" t="s">
        <v>1804</v>
      </c>
      <c r="L909" s="6" t="s">
        <v>1381</v>
      </c>
      <c r="M909" s="6">
        <v>1</v>
      </c>
      <c r="N909" s="6">
        <v>2</v>
      </c>
      <c r="O909">
        <v>500</v>
      </c>
      <c r="P909">
        <v>202605</v>
      </c>
      <c r="Q909" t="s">
        <v>377</v>
      </c>
      <c r="R909" t="s">
        <v>1353</v>
      </c>
      <c r="S909">
        <f>Consulta1[[#This Row],[min_port]]/100</f>
        <v>1.3999999999999999E-2</v>
      </c>
      <c r="T909" s="252">
        <f>Consulta1[[#This Row],[TETO_COMERCIAL]]/100</f>
        <v>2.4E-2</v>
      </c>
      <c r="U909" t="b">
        <f>Consulta1[[#This Row],[TETO_COMERCIAL_%]]=Consulta1[[#This Row],[TAXA]]</f>
        <v>0</v>
      </c>
      <c r="V909" t="str">
        <f>CONCATENATE(Consulta1[[#This Row],[MES_ALTERACAO]],Consulta1[[#This Row],[VIRADA]])</f>
        <v>2026051</v>
      </c>
      <c r="W909">
        <f>VLOOKUP(Consulta1[[#This Row],[Coluna2]],CALENDARIO!$J:$K,2,FALSE)</f>
        <v>0</v>
      </c>
    </row>
    <row r="910" spans="1:23" x14ac:dyDescent="0.25">
      <c r="A910" t="s">
        <v>82</v>
      </c>
      <c r="B910" t="str">
        <f>CONCATENATE(Consulta1[[#This Row],[id]],Consulta1[[#This Row],[EMPREGADOR]])</f>
        <v>1PREF GRAVATAI</v>
      </c>
      <c r="C910" s="6">
        <f>IF(A910=A909,C909+1,1)</f>
        <v>1</v>
      </c>
      <c r="D910" t="s">
        <v>432</v>
      </c>
      <c r="E910" s="101">
        <v>2.5000000000000001E-2</v>
      </c>
      <c r="F910" s="6">
        <v>120</v>
      </c>
      <c r="G910" t="s">
        <v>1349</v>
      </c>
      <c r="H910" s="82">
        <v>2.5</v>
      </c>
      <c r="I910">
        <v>20</v>
      </c>
      <c r="J910">
        <v>49</v>
      </c>
      <c r="K910" t="s">
        <v>1805</v>
      </c>
      <c r="L910" s="6" t="s">
        <v>1671</v>
      </c>
      <c r="M910" s="6">
        <v>15</v>
      </c>
      <c r="N910" s="6">
        <v>2</v>
      </c>
      <c r="O910">
        <v>500</v>
      </c>
      <c r="P910">
        <v>202605</v>
      </c>
      <c r="Q910" t="s">
        <v>377</v>
      </c>
      <c r="R910" t="s">
        <v>1353</v>
      </c>
      <c r="S910">
        <f>Consulta1[[#This Row],[min_port]]/100</f>
        <v>1.52E-2</v>
      </c>
      <c r="T910" s="252">
        <f>Consulta1[[#This Row],[TETO_COMERCIAL]]/100</f>
        <v>2.5000000000000001E-2</v>
      </c>
      <c r="U910" t="b">
        <f>Consulta1[[#This Row],[TETO_COMERCIAL_%]]=Consulta1[[#This Row],[TAXA]]</f>
        <v>1</v>
      </c>
      <c r="V910" t="str">
        <f>CONCATENATE(Consulta1[[#This Row],[MES_ALTERACAO]],Consulta1[[#This Row],[VIRADA]])</f>
        <v>20260515</v>
      </c>
      <c r="W910">
        <f>VLOOKUP(Consulta1[[#This Row],[Coluna2]],CALENDARIO!$J:$K,2,FALSE)</f>
        <v>10</v>
      </c>
    </row>
    <row r="911" spans="1:23" x14ac:dyDescent="0.25">
      <c r="A911" t="s">
        <v>82</v>
      </c>
      <c r="B911" t="str">
        <f>CONCATENATE(Consulta1[[#This Row],[id]],Consulta1[[#This Row],[EMPREGADOR]])</f>
        <v>2PREF GRAVATAI</v>
      </c>
      <c r="C911" s="6">
        <f>IF(A911=A910,C910+1,1)</f>
        <v>2</v>
      </c>
      <c r="D911" t="s">
        <v>433</v>
      </c>
      <c r="E911" s="101">
        <v>2.1000000000000001E-2</v>
      </c>
      <c r="F911" s="6">
        <v>120</v>
      </c>
      <c r="G911" t="s">
        <v>1349</v>
      </c>
      <c r="H911" s="82">
        <v>2.5</v>
      </c>
      <c r="I911">
        <v>20</v>
      </c>
      <c r="J911">
        <v>50</v>
      </c>
      <c r="K911" t="s">
        <v>1806</v>
      </c>
      <c r="L911" s="6" t="s">
        <v>1671</v>
      </c>
      <c r="M911" s="6">
        <v>15</v>
      </c>
      <c r="N911" s="6">
        <v>2</v>
      </c>
      <c r="O911">
        <v>500</v>
      </c>
      <c r="P911">
        <v>202605</v>
      </c>
      <c r="Q911" t="s">
        <v>377</v>
      </c>
      <c r="R911" t="s">
        <v>1353</v>
      </c>
      <c r="S911">
        <f>Consulta1[[#This Row],[min_port]]/100</f>
        <v>1.52E-2</v>
      </c>
      <c r="T911" s="252">
        <f>Consulta1[[#This Row],[TETO_COMERCIAL]]/100</f>
        <v>2.5000000000000001E-2</v>
      </c>
      <c r="U911" t="b">
        <f>Consulta1[[#This Row],[TETO_COMERCIAL_%]]=Consulta1[[#This Row],[TAXA]]</f>
        <v>0</v>
      </c>
      <c r="V911" t="str">
        <f>CONCATENATE(Consulta1[[#This Row],[MES_ALTERACAO]],Consulta1[[#This Row],[VIRADA]])</f>
        <v>20260515</v>
      </c>
      <c r="W911">
        <f>VLOOKUP(Consulta1[[#This Row],[Coluna2]],CALENDARIO!$J:$K,2,FALSE)</f>
        <v>10</v>
      </c>
    </row>
    <row r="912" spans="1:23" x14ac:dyDescent="0.25">
      <c r="A912" t="s">
        <v>82</v>
      </c>
      <c r="B912" t="str">
        <f>CONCATENATE(Consulta1[[#This Row],[id]],Consulta1[[#This Row],[EMPREGADOR]])</f>
        <v>3PREF GRAVATAI</v>
      </c>
      <c r="C912" s="6">
        <f>IF(A912=A911,C911+1,1)</f>
        <v>3</v>
      </c>
      <c r="D912" t="s">
        <v>434</v>
      </c>
      <c r="E912" s="101">
        <v>0.02</v>
      </c>
      <c r="F912" s="6">
        <v>120</v>
      </c>
      <c r="G912" t="s">
        <v>1349</v>
      </c>
      <c r="H912" s="82">
        <v>2.5</v>
      </c>
      <c r="I912">
        <v>20</v>
      </c>
      <c r="J912">
        <v>48</v>
      </c>
      <c r="K912" t="s">
        <v>1807</v>
      </c>
      <c r="L912" s="6" t="s">
        <v>1671</v>
      </c>
      <c r="M912" s="6">
        <v>15</v>
      </c>
      <c r="N912" s="6">
        <v>2</v>
      </c>
      <c r="O912">
        <v>500</v>
      </c>
      <c r="P912">
        <v>202605</v>
      </c>
      <c r="Q912" t="s">
        <v>377</v>
      </c>
      <c r="R912" t="s">
        <v>1353</v>
      </c>
      <c r="S912">
        <f>Consulta1[[#This Row],[min_port]]/100</f>
        <v>1.52E-2</v>
      </c>
      <c r="T912" s="252">
        <f>Consulta1[[#This Row],[TETO_COMERCIAL]]/100</f>
        <v>2.5000000000000001E-2</v>
      </c>
      <c r="U912" t="b">
        <f>Consulta1[[#This Row],[TETO_COMERCIAL_%]]=Consulta1[[#This Row],[TAXA]]</f>
        <v>0</v>
      </c>
      <c r="V912" t="str">
        <f>CONCATENATE(Consulta1[[#This Row],[MES_ALTERACAO]],Consulta1[[#This Row],[VIRADA]])</f>
        <v>20260515</v>
      </c>
      <c r="W912">
        <f>VLOOKUP(Consulta1[[#This Row],[Coluna2]],CALENDARIO!$J:$K,2,FALSE)</f>
        <v>10</v>
      </c>
    </row>
    <row r="913" spans="1:23" x14ac:dyDescent="0.25">
      <c r="A913" t="s">
        <v>82</v>
      </c>
      <c r="B913" t="str">
        <f>CONCATENATE(Consulta1[[#This Row],[id]],Consulta1[[#This Row],[EMPREGADOR]])</f>
        <v>4PREF GRAVATAI</v>
      </c>
      <c r="C913" s="6">
        <f>IF(A913=A912,C912+1,1)</f>
        <v>4</v>
      </c>
      <c r="D913" t="s">
        <v>435</v>
      </c>
      <c r="E913" s="101">
        <v>1.95E-2</v>
      </c>
      <c r="F913" s="6">
        <v>120</v>
      </c>
      <c r="G913" t="s">
        <v>1349</v>
      </c>
      <c r="H913" s="82">
        <v>2.5</v>
      </c>
      <c r="I913">
        <v>20</v>
      </c>
      <c r="J913">
        <v>47</v>
      </c>
      <c r="K913" t="s">
        <v>1808</v>
      </c>
      <c r="L913" s="6" t="s">
        <v>1671</v>
      </c>
      <c r="M913" s="6">
        <v>15</v>
      </c>
      <c r="N913" s="6">
        <v>2</v>
      </c>
      <c r="O913">
        <v>500</v>
      </c>
      <c r="P913">
        <v>202605</v>
      </c>
      <c r="Q913" t="s">
        <v>377</v>
      </c>
      <c r="R913" t="s">
        <v>1353</v>
      </c>
      <c r="S913">
        <f>Consulta1[[#This Row],[min_port]]/100</f>
        <v>1.52E-2</v>
      </c>
      <c r="T913" s="252">
        <f>Consulta1[[#This Row],[TETO_COMERCIAL]]/100</f>
        <v>2.5000000000000001E-2</v>
      </c>
      <c r="U913" t="b">
        <f>Consulta1[[#This Row],[TETO_COMERCIAL_%]]=Consulta1[[#This Row],[TAXA]]</f>
        <v>0</v>
      </c>
      <c r="V913" t="str">
        <f>CONCATENATE(Consulta1[[#This Row],[MES_ALTERACAO]],Consulta1[[#This Row],[VIRADA]])</f>
        <v>20260515</v>
      </c>
      <c r="W913">
        <f>VLOOKUP(Consulta1[[#This Row],[Coluna2]],CALENDARIO!$J:$K,2,FALSE)</f>
        <v>10</v>
      </c>
    </row>
    <row r="914" spans="1:23" x14ac:dyDescent="0.25">
      <c r="A914" t="s">
        <v>82</v>
      </c>
      <c r="B914" t="str">
        <f>CONCATENATE(Consulta1[[#This Row],[id]],Consulta1[[#This Row],[EMPREGADOR]])</f>
        <v>5PREF GRAVATAI</v>
      </c>
      <c r="C914" s="6">
        <f>IF(A914=A913,C913+1,1)</f>
        <v>5</v>
      </c>
      <c r="D914" t="s">
        <v>956</v>
      </c>
      <c r="E914" s="101">
        <v>1.83E-2</v>
      </c>
      <c r="F914" s="6">
        <v>120</v>
      </c>
      <c r="G914" t="s">
        <v>1349</v>
      </c>
      <c r="H914" s="82">
        <v>2.5</v>
      </c>
      <c r="I914">
        <v>20</v>
      </c>
      <c r="J914">
        <v>51</v>
      </c>
      <c r="K914" t="s">
        <v>1809</v>
      </c>
      <c r="L914" s="6" t="s">
        <v>1671</v>
      </c>
      <c r="M914" s="6">
        <v>15</v>
      </c>
      <c r="N914" s="6">
        <v>2</v>
      </c>
      <c r="O914">
        <v>500</v>
      </c>
      <c r="P914">
        <v>202605</v>
      </c>
      <c r="Q914" t="s">
        <v>377</v>
      </c>
      <c r="R914" t="s">
        <v>1353</v>
      </c>
      <c r="S914">
        <f>Consulta1[[#This Row],[min_port]]/100</f>
        <v>1.52E-2</v>
      </c>
      <c r="T914" s="252">
        <f>Consulta1[[#This Row],[TETO_COMERCIAL]]/100</f>
        <v>2.5000000000000001E-2</v>
      </c>
      <c r="U914" t="b">
        <f>Consulta1[[#This Row],[TETO_COMERCIAL_%]]=Consulta1[[#This Row],[TAXA]]</f>
        <v>0</v>
      </c>
      <c r="V914" t="str">
        <f>CONCATENATE(Consulta1[[#This Row],[MES_ALTERACAO]],Consulta1[[#This Row],[VIRADA]])</f>
        <v>20260515</v>
      </c>
      <c r="W914">
        <f>VLOOKUP(Consulta1[[#This Row],[Coluna2]],CALENDARIO!$J:$K,2,FALSE)</f>
        <v>10</v>
      </c>
    </row>
    <row r="915" spans="1:23" x14ac:dyDescent="0.25">
      <c r="A915" t="s">
        <v>361</v>
      </c>
      <c r="B915" t="str">
        <f>CONCATENATE(Consulta1[[#This Row],[id]],Consulta1[[#This Row],[EMPREGADOR]])</f>
        <v>1PREF GRAVATAI CLT</v>
      </c>
      <c r="C915" s="6">
        <f>IF(A915=A914,C914+1,1)</f>
        <v>1</v>
      </c>
      <c r="D915" t="s">
        <v>436</v>
      </c>
      <c r="E915" s="101">
        <v>2.5000000000000001E-2</v>
      </c>
      <c r="F915" s="6">
        <v>120</v>
      </c>
      <c r="G915" t="s">
        <v>1349</v>
      </c>
      <c r="H915" s="82">
        <v>2.5</v>
      </c>
      <c r="I915">
        <v>20</v>
      </c>
      <c r="K915" t="s">
        <v>1810</v>
      </c>
      <c r="L915" s="6" t="s">
        <v>1671</v>
      </c>
      <c r="M915" s="6">
        <v>15</v>
      </c>
      <c r="N915" s="6">
        <v>2</v>
      </c>
      <c r="O915">
        <v>500</v>
      </c>
      <c r="P915">
        <v>202605</v>
      </c>
      <c r="Q915" t="s">
        <v>377</v>
      </c>
      <c r="R915" t="s">
        <v>1353</v>
      </c>
      <c r="S915">
        <f>Consulta1[[#This Row],[min_port]]/100</f>
        <v>1.52E-2</v>
      </c>
      <c r="T915" s="252">
        <f>Consulta1[[#This Row],[TETO_COMERCIAL]]/100</f>
        <v>2.5000000000000001E-2</v>
      </c>
      <c r="U915" t="b">
        <f>Consulta1[[#This Row],[TETO_COMERCIAL_%]]=Consulta1[[#This Row],[TAXA]]</f>
        <v>1</v>
      </c>
      <c r="V915" t="str">
        <f>CONCATENATE(Consulta1[[#This Row],[MES_ALTERACAO]],Consulta1[[#This Row],[VIRADA]])</f>
        <v>20260515</v>
      </c>
      <c r="W915">
        <f>VLOOKUP(Consulta1[[#This Row],[Coluna2]],CALENDARIO!$J:$K,2,FALSE)</f>
        <v>10</v>
      </c>
    </row>
    <row r="916" spans="1:23" x14ac:dyDescent="0.25">
      <c r="A916" t="s">
        <v>361</v>
      </c>
      <c r="B916" t="str">
        <f>CONCATENATE(Consulta1[[#This Row],[id]],Consulta1[[#This Row],[EMPREGADOR]])</f>
        <v>2PREF GRAVATAI CLT</v>
      </c>
      <c r="C916" s="6">
        <f>IF(A916=A915,C915+1,1)</f>
        <v>2</v>
      </c>
      <c r="D916" t="s">
        <v>437</v>
      </c>
      <c r="E916" s="101">
        <v>2.1000000000000001E-2</v>
      </c>
      <c r="F916" s="6">
        <v>120</v>
      </c>
      <c r="G916" t="s">
        <v>1349</v>
      </c>
      <c r="H916" s="82">
        <v>2.5</v>
      </c>
      <c r="I916">
        <v>20</v>
      </c>
      <c r="J916">
        <v>35</v>
      </c>
      <c r="K916" t="s">
        <v>1811</v>
      </c>
      <c r="L916" s="6" t="s">
        <v>1671</v>
      </c>
      <c r="M916" s="6">
        <v>15</v>
      </c>
      <c r="N916" s="6">
        <v>2</v>
      </c>
      <c r="O916">
        <v>500</v>
      </c>
      <c r="P916">
        <v>202605</v>
      </c>
      <c r="Q916" t="s">
        <v>377</v>
      </c>
      <c r="R916" t="s">
        <v>1353</v>
      </c>
      <c r="S916">
        <f>Consulta1[[#This Row],[min_port]]/100</f>
        <v>1.52E-2</v>
      </c>
      <c r="T916" s="252">
        <f>Consulta1[[#This Row],[TETO_COMERCIAL]]/100</f>
        <v>2.5000000000000001E-2</v>
      </c>
      <c r="U916" t="b">
        <f>Consulta1[[#This Row],[TETO_COMERCIAL_%]]=Consulta1[[#This Row],[TAXA]]</f>
        <v>0</v>
      </c>
      <c r="V916" t="str">
        <f>CONCATENATE(Consulta1[[#This Row],[MES_ALTERACAO]],Consulta1[[#This Row],[VIRADA]])</f>
        <v>20260515</v>
      </c>
      <c r="W916">
        <f>VLOOKUP(Consulta1[[#This Row],[Coluna2]],CALENDARIO!$J:$K,2,FALSE)</f>
        <v>10</v>
      </c>
    </row>
    <row r="917" spans="1:23" x14ac:dyDescent="0.25">
      <c r="A917" t="s">
        <v>361</v>
      </c>
      <c r="B917" t="str">
        <f>CONCATENATE(Consulta1[[#This Row],[id]],Consulta1[[#This Row],[EMPREGADOR]])</f>
        <v>3PREF GRAVATAI CLT</v>
      </c>
      <c r="C917" s="6">
        <f>IF(A917=A916,C916+1,1)</f>
        <v>3</v>
      </c>
      <c r="D917" t="s">
        <v>438</v>
      </c>
      <c r="E917" s="101">
        <v>0.02</v>
      </c>
      <c r="F917" s="6">
        <v>120</v>
      </c>
      <c r="G917" t="s">
        <v>1349</v>
      </c>
      <c r="H917" s="82">
        <v>2.5</v>
      </c>
      <c r="I917">
        <v>20</v>
      </c>
      <c r="J917">
        <v>35</v>
      </c>
      <c r="K917" t="s">
        <v>1812</v>
      </c>
      <c r="L917" s="6" t="s">
        <v>1671</v>
      </c>
      <c r="M917" s="6">
        <v>15</v>
      </c>
      <c r="N917" s="6">
        <v>2</v>
      </c>
      <c r="O917">
        <v>500</v>
      </c>
      <c r="P917">
        <v>202605</v>
      </c>
      <c r="Q917" t="s">
        <v>377</v>
      </c>
      <c r="R917" t="s">
        <v>1353</v>
      </c>
      <c r="S917">
        <f>Consulta1[[#This Row],[min_port]]/100</f>
        <v>1.52E-2</v>
      </c>
      <c r="T917" s="252">
        <f>Consulta1[[#This Row],[TETO_COMERCIAL]]/100</f>
        <v>2.5000000000000001E-2</v>
      </c>
      <c r="U917" t="b">
        <f>Consulta1[[#This Row],[TETO_COMERCIAL_%]]=Consulta1[[#This Row],[TAXA]]</f>
        <v>0</v>
      </c>
      <c r="V917" t="str">
        <f>CONCATENATE(Consulta1[[#This Row],[MES_ALTERACAO]],Consulta1[[#This Row],[VIRADA]])</f>
        <v>20260515</v>
      </c>
      <c r="W917">
        <f>VLOOKUP(Consulta1[[#This Row],[Coluna2]],CALENDARIO!$J:$K,2,FALSE)</f>
        <v>10</v>
      </c>
    </row>
    <row r="918" spans="1:23" x14ac:dyDescent="0.25">
      <c r="A918" t="s">
        <v>361</v>
      </c>
      <c r="B918" t="str">
        <f>CONCATENATE(Consulta1[[#This Row],[id]],Consulta1[[#This Row],[EMPREGADOR]])</f>
        <v>4PREF GRAVATAI CLT</v>
      </c>
      <c r="C918" s="6">
        <f>IF(A918=A917,C917+1,1)</f>
        <v>4</v>
      </c>
      <c r="D918" t="s">
        <v>439</v>
      </c>
      <c r="E918" s="101">
        <v>1.95E-2</v>
      </c>
      <c r="F918" s="6">
        <v>120</v>
      </c>
      <c r="G918" t="s">
        <v>1349</v>
      </c>
      <c r="H918" s="82">
        <v>2.5</v>
      </c>
      <c r="I918">
        <v>20</v>
      </c>
      <c r="J918">
        <v>41</v>
      </c>
      <c r="K918" t="s">
        <v>1813</v>
      </c>
      <c r="L918" s="6" t="s">
        <v>1671</v>
      </c>
      <c r="M918" s="6">
        <v>15</v>
      </c>
      <c r="N918" s="6">
        <v>2</v>
      </c>
      <c r="O918">
        <v>500</v>
      </c>
      <c r="P918">
        <v>202605</v>
      </c>
      <c r="Q918" t="s">
        <v>377</v>
      </c>
      <c r="R918" t="s">
        <v>1353</v>
      </c>
      <c r="S918">
        <f>Consulta1[[#This Row],[min_port]]/100</f>
        <v>1.52E-2</v>
      </c>
      <c r="T918" s="252">
        <f>Consulta1[[#This Row],[TETO_COMERCIAL]]/100</f>
        <v>2.5000000000000001E-2</v>
      </c>
      <c r="U918" t="b">
        <f>Consulta1[[#This Row],[TETO_COMERCIAL_%]]=Consulta1[[#This Row],[TAXA]]</f>
        <v>0</v>
      </c>
      <c r="V918" t="str">
        <f>CONCATENATE(Consulta1[[#This Row],[MES_ALTERACAO]],Consulta1[[#This Row],[VIRADA]])</f>
        <v>20260515</v>
      </c>
      <c r="W918">
        <f>VLOOKUP(Consulta1[[#This Row],[Coluna2]],CALENDARIO!$J:$K,2,FALSE)</f>
        <v>10</v>
      </c>
    </row>
    <row r="919" spans="1:23" x14ac:dyDescent="0.25">
      <c r="A919" t="s">
        <v>361</v>
      </c>
      <c r="B919" t="str">
        <f>CONCATENATE(Consulta1[[#This Row],[id]],Consulta1[[#This Row],[EMPREGADOR]])</f>
        <v>5PREF GRAVATAI CLT</v>
      </c>
      <c r="C919" s="6">
        <f>IF(A919=A918,C918+1,1)</f>
        <v>5</v>
      </c>
      <c r="D919" t="s">
        <v>957</v>
      </c>
      <c r="E919" s="101">
        <v>1.83E-2</v>
      </c>
      <c r="F919" s="6">
        <v>120</v>
      </c>
      <c r="G919" t="s">
        <v>1349</v>
      </c>
      <c r="H919" s="82">
        <v>2.5</v>
      </c>
      <c r="I919">
        <v>20</v>
      </c>
      <c r="J919">
        <v>39</v>
      </c>
      <c r="K919" t="s">
        <v>1814</v>
      </c>
      <c r="L919" s="6" t="s">
        <v>1671</v>
      </c>
      <c r="M919" s="6">
        <v>15</v>
      </c>
      <c r="N919" s="6">
        <v>2</v>
      </c>
      <c r="O919">
        <v>500</v>
      </c>
      <c r="P919">
        <v>202605</v>
      </c>
      <c r="Q919" t="s">
        <v>377</v>
      </c>
      <c r="R919" t="s">
        <v>1353</v>
      </c>
      <c r="S919">
        <f>Consulta1[[#This Row],[min_port]]/100</f>
        <v>1.52E-2</v>
      </c>
      <c r="T919" s="252">
        <f>Consulta1[[#This Row],[TETO_COMERCIAL]]/100</f>
        <v>2.5000000000000001E-2</v>
      </c>
      <c r="U919" t="b">
        <f>Consulta1[[#This Row],[TETO_COMERCIAL_%]]=Consulta1[[#This Row],[TAXA]]</f>
        <v>0</v>
      </c>
      <c r="V919" t="str">
        <f>CONCATENATE(Consulta1[[#This Row],[MES_ALTERACAO]],Consulta1[[#This Row],[VIRADA]])</f>
        <v>20260515</v>
      </c>
      <c r="W919">
        <f>VLOOKUP(Consulta1[[#This Row],[Coluna2]],CALENDARIO!$J:$K,2,FALSE)</f>
        <v>10</v>
      </c>
    </row>
    <row r="920" spans="1:23" x14ac:dyDescent="0.25">
      <c r="A920" t="s">
        <v>1815</v>
      </c>
      <c r="B920" t="str">
        <f>CONCATENATE(Consulta1[[#This Row],[id]],Consulta1[[#This Row],[EMPREGADOR]])</f>
        <v>1PREF GUARUJA SP</v>
      </c>
      <c r="C920" s="6">
        <f>IF(A920=A919,C919+1,1)</f>
        <v>1</v>
      </c>
      <c r="D920" t="s">
        <v>1816</v>
      </c>
      <c r="E920" s="101">
        <v>2.5000000000000001E-2</v>
      </c>
      <c r="F920" s="6">
        <v>120</v>
      </c>
      <c r="G920" t="s">
        <v>1349</v>
      </c>
      <c r="H920" s="82">
        <v>2.5</v>
      </c>
      <c r="I920">
        <v>10</v>
      </c>
      <c r="J920">
        <v>45</v>
      </c>
      <c r="K920" t="s">
        <v>1817</v>
      </c>
      <c r="L920" s="6" t="s">
        <v>1399</v>
      </c>
      <c r="M920" s="6">
        <v>10</v>
      </c>
      <c r="N920" s="6">
        <v>2</v>
      </c>
      <c r="O920">
        <v>500</v>
      </c>
      <c r="P920">
        <v>202605</v>
      </c>
      <c r="Q920" t="s">
        <v>377</v>
      </c>
      <c r="R920" t="s">
        <v>1350</v>
      </c>
      <c r="S920">
        <f>Consulta1[[#This Row],[min_port]]/100</f>
        <v>1.3899999999999999E-2</v>
      </c>
      <c r="T920" s="252">
        <f>Consulta1[[#This Row],[TETO_COMERCIAL]]/100</f>
        <v>2.5000000000000001E-2</v>
      </c>
      <c r="U920" t="b">
        <f>Consulta1[[#This Row],[TETO_COMERCIAL_%]]=Consulta1[[#This Row],[TAXA]]</f>
        <v>1</v>
      </c>
      <c r="V920" t="str">
        <f>CONCATENATE(Consulta1[[#This Row],[MES_ALTERACAO]],Consulta1[[#This Row],[VIRADA]])</f>
        <v>20260510</v>
      </c>
      <c r="W920">
        <f>VLOOKUP(Consulta1[[#This Row],[Coluna2]],CALENDARIO!$J:$K,2,FALSE)</f>
        <v>5</v>
      </c>
    </row>
    <row r="921" spans="1:23" x14ac:dyDescent="0.25">
      <c r="A921" t="s">
        <v>1815</v>
      </c>
      <c r="B921" t="str">
        <f>CONCATENATE(Consulta1[[#This Row],[id]],Consulta1[[#This Row],[EMPREGADOR]])</f>
        <v>2PREF GUARUJA SP</v>
      </c>
      <c r="C921" s="6">
        <f>IF(A921=A920,C920+1,1)</f>
        <v>2</v>
      </c>
      <c r="D921" t="s">
        <v>1818</v>
      </c>
      <c r="E921" s="101">
        <v>2.3900000000000001E-2</v>
      </c>
      <c r="F921" s="6">
        <v>120</v>
      </c>
      <c r="G921" t="s">
        <v>1349</v>
      </c>
      <c r="H921" s="82">
        <v>2.5</v>
      </c>
      <c r="I921">
        <v>10</v>
      </c>
      <c r="J921">
        <v>44</v>
      </c>
      <c r="K921" t="s">
        <v>1819</v>
      </c>
      <c r="L921" s="6" t="s">
        <v>1399</v>
      </c>
      <c r="M921" s="6">
        <v>10</v>
      </c>
      <c r="N921" s="6">
        <v>2</v>
      </c>
      <c r="O921">
        <v>500</v>
      </c>
      <c r="P921">
        <v>202605</v>
      </c>
      <c r="Q921" t="s">
        <v>377</v>
      </c>
      <c r="R921" t="s">
        <v>1350</v>
      </c>
      <c r="S921">
        <f>Consulta1[[#This Row],[min_port]]/100</f>
        <v>1.3899999999999999E-2</v>
      </c>
      <c r="T921" s="252">
        <f>Consulta1[[#This Row],[TETO_COMERCIAL]]/100</f>
        <v>2.5000000000000001E-2</v>
      </c>
      <c r="U921" t="b">
        <f>Consulta1[[#This Row],[TETO_COMERCIAL_%]]=Consulta1[[#This Row],[TAXA]]</f>
        <v>0</v>
      </c>
      <c r="V921" t="str">
        <f>CONCATENATE(Consulta1[[#This Row],[MES_ALTERACAO]],Consulta1[[#This Row],[VIRADA]])</f>
        <v>20260510</v>
      </c>
      <c r="W921">
        <f>VLOOKUP(Consulta1[[#This Row],[Coluna2]],CALENDARIO!$J:$K,2,FALSE)</f>
        <v>5</v>
      </c>
    </row>
    <row r="922" spans="1:23" x14ac:dyDescent="0.25">
      <c r="A922" t="s">
        <v>1815</v>
      </c>
      <c r="B922" t="str">
        <f>CONCATENATE(Consulta1[[#This Row],[id]],Consulta1[[#This Row],[EMPREGADOR]])</f>
        <v>3PREF GUARUJA SP</v>
      </c>
      <c r="C922" s="6">
        <f>IF(A922=A921,C921+1,1)</f>
        <v>3</v>
      </c>
      <c r="D922" t="s">
        <v>1820</v>
      </c>
      <c r="E922" s="101">
        <v>2.29E-2</v>
      </c>
      <c r="F922" s="6">
        <v>120</v>
      </c>
      <c r="G922" t="s">
        <v>1349</v>
      </c>
      <c r="H922" s="82">
        <v>2.5</v>
      </c>
      <c r="I922">
        <v>10</v>
      </c>
      <c r="J922">
        <v>44</v>
      </c>
      <c r="K922" t="s">
        <v>1821</v>
      </c>
      <c r="L922" s="6" t="s">
        <v>1399</v>
      </c>
      <c r="M922" s="6">
        <v>10</v>
      </c>
      <c r="N922" s="6">
        <v>2</v>
      </c>
      <c r="O922">
        <v>500</v>
      </c>
      <c r="P922">
        <v>202605</v>
      </c>
      <c r="Q922" t="s">
        <v>377</v>
      </c>
      <c r="R922" t="s">
        <v>1350</v>
      </c>
      <c r="S922">
        <f>Consulta1[[#This Row],[min_port]]/100</f>
        <v>1.3899999999999999E-2</v>
      </c>
      <c r="T922" s="252">
        <f>Consulta1[[#This Row],[TETO_COMERCIAL]]/100</f>
        <v>2.5000000000000001E-2</v>
      </c>
      <c r="U922" t="b">
        <f>Consulta1[[#This Row],[TETO_COMERCIAL_%]]=Consulta1[[#This Row],[TAXA]]</f>
        <v>0</v>
      </c>
      <c r="V922" t="str">
        <f>CONCATENATE(Consulta1[[#This Row],[MES_ALTERACAO]],Consulta1[[#This Row],[VIRADA]])</f>
        <v>20260510</v>
      </c>
      <c r="W922">
        <f>VLOOKUP(Consulta1[[#This Row],[Coluna2]],CALENDARIO!$J:$K,2,FALSE)</f>
        <v>5</v>
      </c>
    </row>
    <row r="923" spans="1:23" x14ac:dyDescent="0.25">
      <c r="A923" t="s">
        <v>1815</v>
      </c>
      <c r="B923" t="str">
        <f>CONCATENATE(Consulta1[[#This Row],[id]],Consulta1[[#This Row],[EMPREGADOR]])</f>
        <v>4PREF GUARUJA SP</v>
      </c>
      <c r="C923" s="6">
        <f>IF(A923=A922,C922+1,1)</f>
        <v>4</v>
      </c>
      <c r="D923" t="s">
        <v>1822</v>
      </c>
      <c r="E923" s="101">
        <v>2.1899999999999999E-2</v>
      </c>
      <c r="F923" s="6">
        <v>120</v>
      </c>
      <c r="G923" t="s">
        <v>1349</v>
      </c>
      <c r="H923" s="82">
        <v>2.5</v>
      </c>
      <c r="I923">
        <v>10</v>
      </c>
      <c r="J923">
        <v>43</v>
      </c>
      <c r="K923" t="s">
        <v>1823</v>
      </c>
      <c r="L923" s="6" t="s">
        <v>1399</v>
      </c>
      <c r="M923" s="6">
        <v>10</v>
      </c>
      <c r="N923" s="6">
        <v>2</v>
      </c>
      <c r="O923">
        <v>500</v>
      </c>
      <c r="P923">
        <v>202605</v>
      </c>
      <c r="Q923" t="s">
        <v>377</v>
      </c>
      <c r="R923" t="s">
        <v>1350</v>
      </c>
      <c r="S923">
        <f>Consulta1[[#This Row],[min_port]]/100</f>
        <v>1.3899999999999999E-2</v>
      </c>
      <c r="T923" s="252">
        <f>Consulta1[[#This Row],[TETO_COMERCIAL]]/100</f>
        <v>2.5000000000000001E-2</v>
      </c>
      <c r="U923" t="b">
        <f>Consulta1[[#This Row],[TETO_COMERCIAL_%]]=Consulta1[[#This Row],[TAXA]]</f>
        <v>0</v>
      </c>
      <c r="V923" t="str">
        <f>CONCATENATE(Consulta1[[#This Row],[MES_ALTERACAO]],Consulta1[[#This Row],[VIRADA]])</f>
        <v>20260510</v>
      </c>
      <c r="W923">
        <f>VLOOKUP(Consulta1[[#This Row],[Coluna2]],CALENDARIO!$J:$K,2,FALSE)</f>
        <v>5</v>
      </c>
    </row>
    <row r="924" spans="1:23" x14ac:dyDescent="0.25">
      <c r="A924" t="s">
        <v>1815</v>
      </c>
      <c r="B924" t="str">
        <f>CONCATENATE(Consulta1[[#This Row],[id]],Consulta1[[#This Row],[EMPREGADOR]])</f>
        <v>5PREF GUARUJA SP</v>
      </c>
      <c r="C924" s="6">
        <f>IF(A924=A923,C923+1,1)</f>
        <v>5</v>
      </c>
      <c r="D924" t="s">
        <v>1824</v>
      </c>
      <c r="E924" s="101">
        <v>2.0899999999999998E-2</v>
      </c>
      <c r="F924" s="6">
        <v>120</v>
      </c>
      <c r="G924" t="s">
        <v>1349</v>
      </c>
      <c r="H924" s="82">
        <v>2.5</v>
      </c>
      <c r="I924">
        <v>10</v>
      </c>
      <c r="J924">
        <v>43</v>
      </c>
      <c r="K924" t="s">
        <v>1825</v>
      </c>
      <c r="L924" s="6" t="s">
        <v>1399</v>
      </c>
      <c r="M924" s="6">
        <v>10</v>
      </c>
      <c r="N924" s="6">
        <v>2</v>
      </c>
      <c r="O924">
        <v>500</v>
      </c>
      <c r="P924">
        <v>202605</v>
      </c>
      <c r="Q924" t="s">
        <v>377</v>
      </c>
      <c r="R924" t="s">
        <v>1350</v>
      </c>
      <c r="S924">
        <f>Consulta1[[#This Row],[min_port]]/100</f>
        <v>1.3899999999999999E-2</v>
      </c>
      <c r="T924" s="252">
        <f>Consulta1[[#This Row],[TETO_COMERCIAL]]/100</f>
        <v>2.5000000000000001E-2</v>
      </c>
      <c r="U924" t="b">
        <f>Consulta1[[#This Row],[TETO_COMERCIAL_%]]=Consulta1[[#This Row],[TAXA]]</f>
        <v>0</v>
      </c>
      <c r="V924" t="str">
        <f>CONCATENATE(Consulta1[[#This Row],[MES_ALTERACAO]],Consulta1[[#This Row],[VIRADA]])</f>
        <v>20260510</v>
      </c>
      <c r="W924">
        <f>VLOOKUP(Consulta1[[#This Row],[Coluna2]],CALENDARIO!$J:$K,2,FALSE)</f>
        <v>5</v>
      </c>
    </row>
    <row r="925" spans="1:23" x14ac:dyDescent="0.25">
      <c r="A925" t="s">
        <v>1815</v>
      </c>
      <c r="B925" t="str">
        <f>CONCATENATE(Consulta1[[#This Row],[id]],Consulta1[[#This Row],[EMPREGADOR]])</f>
        <v>6PREF GUARUJA SP</v>
      </c>
      <c r="C925" s="6">
        <f>IF(A925=A924,C924+1,1)</f>
        <v>6</v>
      </c>
      <c r="D925" t="s">
        <v>1826</v>
      </c>
      <c r="E925" s="101">
        <v>1.9900000000000001E-2</v>
      </c>
      <c r="F925" s="6">
        <v>120</v>
      </c>
      <c r="G925" t="s">
        <v>1349</v>
      </c>
      <c r="H925" s="82">
        <v>2.5</v>
      </c>
      <c r="I925">
        <v>10</v>
      </c>
      <c r="J925">
        <v>42</v>
      </c>
      <c r="K925" t="s">
        <v>1827</v>
      </c>
      <c r="L925" s="6" t="s">
        <v>1399</v>
      </c>
      <c r="M925" s="6">
        <v>10</v>
      </c>
      <c r="N925" s="6">
        <v>2</v>
      </c>
      <c r="O925">
        <v>500</v>
      </c>
      <c r="P925">
        <v>202605</v>
      </c>
      <c r="Q925" t="s">
        <v>377</v>
      </c>
      <c r="R925" t="s">
        <v>1350</v>
      </c>
      <c r="S925">
        <f>Consulta1[[#This Row],[min_port]]/100</f>
        <v>1.3899999999999999E-2</v>
      </c>
      <c r="T925" s="252">
        <f>Consulta1[[#This Row],[TETO_COMERCIAL]]/100</f>
        <v>2.5000000000000001E-2</v>
      </c>
      <c r="U925" t="b">
        <f>Consulta1[[#This Row],[TETO_COMERCIAL_%]]=Consulta1[[#This Row],[TAXA]]</f>
        <v>0</v>
      </c>
      <c r="V925" t="str">
        <f>CONCATENATE(Consulta1[[#This Row],[MES_ALTERACAO]],Consulta1[[#This Row],[VIRADA]])</f>
        <v>20260510</v>
      </c>
      <c r="W925">
        <f>VLOOKUP(Consulta1[[#This Row],[Coluna2]],CALENDARIO!$J:$K,2,FALSE)</f>
        <v>5</v>
      </c>
    </row>
    <row r="926" spans="1:23" x14ac:dyDescent="0.25">
      <c r="A926" t="s">
        <v>1828</v>
      </c>
      <c r="B926" t="str">
        <f>CONCATENATE(Consulta1[[#This Row],[id]],Consulta1[[#This Row],[EMPREGADOR]])</f>
        <v>1PREF GUARUJA SP CLT</v>
      </c>
      <c r="C926" s="6">
        <f>IF(A926=A925,C925+1,1)</f>
        <v>1</v>
      </c>
      <c r="D926" t="s">
        <v>1829</v>
      </c>
      <c r="E926" s="101">
        <v>2.5000000000000001E-2</v>
      </c>
      <c r="F926" s="6">
        <v>120</v>
      </c>
      <c r="G926" t="s">
        <v>1349</v>
      </c>
      <c r="H926" s="82">
        <v>2.5</v>
      </c>
      <c r="I926">
        <v>10</v>
      </c>
      <c r="K926" t="s">
        <v>1830</v>
      </c>
      <c r="L926" s="6" t="s">
        <v>1399</v>
      </c>
      <c r="M926" s="6">
        <v>10</v>
      </c>
      <c r="N926" s="6">
        <v>2</v>
      </c>
      <c r="O926">
        <v>500</v>
      </c>
      <c r="P926">
        <v>202605</v>
      </c>
      <c r="Q926" t="s">
        <v>377</v>
      </c>
      <c r="R926" t="s">
        <v>1350</v>
      </c>
      <c r="S926">
        <f>Consulta1[[#This Row],[min_port]]/100</f>
        <v>1.3899999999999999E-2</v>
      </c>
      <c r="T926" s="252">
        <f>Consulta1[[#This Row],[TETO_COMERCIAL]]/100</f>
        <v>2.5000000000000001E-2</v>
      </c>
      <c r="U926" t="b">
        <f>Consulta1[[#This Row],[TETO_COMERCIAL_%]]=Consulta1[[#This Row],[TAXA]]</f>
        <v>1</v>
      </c>
      <c r="V926" t="str">
        <f>CONCATENATE(Consulta1[[#This Row],[MES_ALTERACAO]],Consulta1[[#This Row],[VIRADA]])</f>
        <v>20260510</v>
      </c>
      <c r="W926">
        <f>VLOOKUP(Consulta1[[#This Row],[Coluna2]],CALENDARIO!$J:$K,2,FALSE)</f>
        <v>5</v>
      </c>
    </row>
    <row r="927" spans="1:23" x14ac:dyDescent="0.25">
      <c r="A927" t="s">
        <v>1828</v>
      </c>
      <c r="B927" t="str">
        <f>CONCATENATE(Consulta1[[#This Row],[id]],Consulta1[[#This Row],[EMPREGADOR]])</f>
        <v>2PREF GUARUJA SP CLT</v>
      </c>
      <c r="C927" s="6">
        <f>IF(A927=A926,C926+1,1)</f>
        <v>2</v>
      </c>
      <c r="D927" t="s">
        <v>1831</v>
      </c>
      <c r="E927" s="101">
        <v>2.3900000000000001E-2</v>
      </c>
      <c r="F927" s="6">
        <v>120</v>
      </c>
      <c r="G927" t="s">
        <v>1349</v>
      </c>
      <c r="H927" s="82">
        <v>2.5</v>
      </c>
      <c r="I927">
        <v>10</v>
      </c>
      <c r="K927" t="s">
        <v>1832</v>
      </c>
      <c r="L927" s="6" t="s">
        <v>1399</v>
      </c>
      <c r="M927" s="6">
        <v>10</v>
      </c>
      <c r="N927" s="6">
        <v>2</v>
      </c>
      <c r="O927">
        <v>500</v>
      </c>
      <c r="P927">
        <v>202605</v>
      </c>
      <c r="Q927" t="s">
        <v>377</v>
      </c>
      <c r="R927" t="s">
        <v>1350</v>
      </c>
      <c r="S927">
        <f>Consulta1[[#This Row],[min_port]]/100</f>
        <v>1.3899999999999999E-2</v>
      </c>
      <c r="T927" s="252">
        <f>Consulta1[[#This Row],[TETO_COMERCIAL]]/100</f>
        <v>2.5000000000000001E-2</v>
      </c>
      <c r="U927" t="b">
        <f>Consulta1[[#This Row],[TETO_COMERCIAL_%]]=Consulta1[[#This Row],[TAXA]]</f>
        <v>0</v>
      </c>
      <c r="V927" t="str">
        <f>CONCATENATE(Consulta1[[#This Row],[MES_ALTERACAO]],Consulta1[[#This Row],[VIRADA]])</f>
        <v>20260510</v>
      </c>
      <c r="W927">
        <f>VLOOKUP(Consulta1[[#This Row],[Coluna2]],CALENDARIO!$J:$K,2,FALSE)</f>
        <v>5</v>
      </c>
    </row>
    <row r="928" spans="1:23" x14ac:dyDescent="0.25">
      <c r="A928" t="s">
        <v>1828</v>
      </c>
      <c r="B928" t="str">
        <f>CONCATENATE(Consulta1[[#This Row],[id]],Consulta1[[#This Row],[EMPREGADOR]])</f>
        <v>3PREF GUARUJA SP CLT</v>
      </c>
      <c r="C928" s="6">
        <f>IF(A928=A927,C927+1,1)</f>
        <v>3</v>
      </c>
      <c r="D928" t="s">
        <v>1833</v>
      </c>
      <c r="E928" s="101">
        <v>2.29E-2</v>
      </c>
      <c r="F928" s="6">
        <v>120</v>
      </c>
      <c r="G928" t="s">
        <v>1349</v>
      </c>
      <c r="H928" s="82">
        <v>2.5</v>
      </c>
      <c r="I928">
        <v>10</v>
      </c>
      <c r="K928" t="s">
        <v>1834</v>
      </c>
      <c r="L928" s="6" t="s">
        <v>1399</v>
      </c>
      <c r="M928" s="6">
        <v>10</v>
      </c>
      <c r="N928" s="6">
        <v>2</v>
      </c>
      <c r="O928">
        <v>500</v>
      </c>
      <c r="P928">
        <v>202605</v>
      </c>
      <c r="Q928" t="s">
        <v>377</v>
      </c>
      <c r="R928" t="s">
        <v>1350</v>
      </c>
      <c r="S928">
        <f>Consulta1[[#This Row],[min_port]]/100</f>
        <v>1.3899999999999999E-2</v>
      </c>
      <c r="T928" s="252">
        <f>Consulta1[[#This Row],[TETO_COMERCIAL]]/100</f>
        <v>2.5000000000000001E-2</v>
      </c>
      <c r="U928" t="b">
        <f>Consulta1[[#This Row],[TETO_COMERCIAL_%]]=Consulta1[[#This Row],[TAXA]]</f>
        <v>0</v>
      </c>
      <c r="V928" t="str">
        <f>CONCATENATE(Consulta1[[#This Row],[MES_ALTERACAO]],Consulta1[[#This Row],[VIRADA]])</f>
        <v>20260510</v>
      </c>
      <c r="W928">
        <f>VLOOKUP(Consulta1[[#This Row],[Coluna2]],CALENDARIO!$J:$K,2,FALSE)</f>
        <v>5</v>
      </c>
    </row>
    <row r="929" spans="1:23" x14ac:dyDescent="0.25">
      <c r="A929" t="s">
        <v>1828</v>
      </c>
      <c r="B929" t="str">
        <f>CONCATENATE(Consulta1[[#This Row],[id]],Consulta1[[#This Row],[EMPREGADOR]])</f>
        <v>4PREF GUARUJA SP CLT</v>
      </c>
      <c r="C929" s="6">
        <f>IF(A929=A928,C928+1,1)</f>
        <v>4</v>
      </c>
      <c r="D929" t="s">
        <v>1835</v>
      </c>
      <c r="E929" s="101">
        <v>2.1899999999999999E-2</v>
      </c>
      <c r="F929" s="6">
        <v>120</v>
      </c>
      <c r="G929" t="s">
        <v>1349</v>
      </c>
      <c r="H929" s="82">
        <v>2.5</v>
      </c>
      <c r="I929">
        <v>10</v>
      </c>
      <c r="J929">
        <v>49</v>
      </c>
      <c r="K929" t="s">
        <v>1836</v>
      </c>
      <c r="L929" s="6" t="s">
        <v>1399</v>
      </c>
      <c r="M929" s="6">
        <v>10</v>
      </c>
      <c r="N929" s="6">
        <v>2</v>
      </c>
      <c r="O929">
        <v>500</v>
      </c>
      <c r="P929">
        <v>202605</v>
      </c>
      <c r="Q929" t="s">
        <v>377</v>
      </c>
      <c r="R929" t="s">
        <v>1350</v>
      </c>
      <c r="S929">
        <f>Consulta1[[#This Row],[min_port]]/100</f>
        <v>1.3899999999999999E-2</v>
      </c>
      <c r="T929" s="252">
        <f>Consulta1[[#This Row],[TETO_COMERCIAL]]/100</f>
        <v>2.5000000000000001E-2</v>
      </c>
      <c r="U929" t="b">
        <f>Consulta1[[#This Row],[TETO_COMERCIAL_%]]=Consulta1[[#This Row],[TAXA]]</f>
        <v>0</v>
      </c>
      <c r="V929" t="str">
        <f>CONCATENATE(Consulta1[[#This Row],[MES_ALTERACAO]],Consulta1[[#This Row],[VIRADA]])</f>
        <v>20260510</v>
      </c>
      <c r="W929">
        <f>VLOOKUP(Consulta1[[#This Row],[Coluna2]],CALENDARIO!$J:$K,2,FALSE)</f>
        <v>5</v>
      </c>
    </row>
    <row r="930" spans="1:23" x14ac:dyDescent="0.25">
      <c r="A930" t="s">
        <v>1828</v>
      </c>
      <c r="B930" t="str">
        <f>CONCATENATE(Consulta1[[#This Row],[id]],Consulta1[[#This Row],[EMPREGADOR]])</f>
        <v>5PREF GUARUJA SP CLT</v>
      </c>
      <c r="C930" s="6">
        <f>IF(A930=A929,C929+1,1)</f>
        <v>5</v>
      </c>
      <c r="D930" t="s">
        <v>1837</v>
      </c>
      <c r="E930" s="101">
        <v>2.0899999999999998E-2</v>
      </c>
      <c r="F930" s="6">
        <v>120</v>
      </c>
      <c r="G930" t="s">
        <v>1349</v>
      </c>
      <c r="H930" s="82">
        <v>2.5</v>
      </c>
      <c r="I930">
        <v>10</v>
      </c>
      <c r="K930" t="s">
        <v>1838</v>
      </c>
      <c r="L930" s="6" t="s">
        <v>1399</v>
      </c>
      <c r="M930" s="6">
        <v>10</v>
      </c>
      <c r="N930" s="6">
        <v>2</v>
      </c>
      <c r="O930">
        <v>500</v>
      </c>
      <c r="P930">
        <v>202605</v>
      </c>
      <c r="Q930" t="s">
        <v>377</v>
      </c>
      <c r="R930" t="s">
        <v>1350</v>
      </c>
      <c r="S930">
        <f>Consulta1[[#This Row],[min_port]]/100</f>
        <v>1.3899999999999999E-2</v>
      </c>
      <c r="T930" s="252">
        <f>Consulta1[[#This Row],[TETO_COMERCIAL]]/100</f>
        <v>2.5000000000000001E-2</v>
      </c>
      <c r="U930" t="b">
        <f>Consulta1[[#This Row],[TETO_COMERCIAL_%]]=Consulta1[[#This Row],[TAXA]]</f>
        <v>0</v>
      </c>
      <c r="V930" t="str">
        <f>CONCATENATE(Consulta1[[#This Row],[MES_ALTERACAO]],Consulta1[[#This Row],[VIRADA]])</f>
        <v>20260510</v>
      </c>
      <c r="W930">
        <f>VLOOKUP(Consulta1[[#This Row],[Coluna2]],CALENDARIO!$J:$K,2,FALSE)</f>
        <v>5</v>
      </c>
    </row>
    <row r="931" spans="1:23" x14ac:dyDescent="0.25">
      <c r="A931" t="s">
        <v>1828</v>
      </c>
      <c r="B931" t="str">
        <f>CONCATENATE(Consulta1[[#This Row],[id]],Consulta1[[#This Row],[EMPREGADOR]])</f>
        <v>6PREF GUARUJA SP CLT</v>
      </c>
      <c r="C931" s="6">
        <f>IF(A931=A930,C930+1,1)</f>
        <v>6</v>
      </c>
      <c r="D931" t="s">
        <v>1839</v>
      </c>
      <c r="E931" s="101">
        <v>1.9900000000000001E-2</v>
      </c>
      <c r="F931" s="6">
        <v>120</v>
      </c>
      <c r="G931" t="s">
        <v>1349</v>
      </c>
      <c r="H931" s="82">
        <v>2.5</v>
      </c>
      <c r="I931">
        <v>10</v>
      </c>
      <c r="J931">
        <v>56</v>
      </c>
      <c r="K931" t="s">
        <v>1840</v>
      </c>
      <c r="L931" s="6" t="s">
        <v>1399</v>
      </c>
      <c r="M931" s="6">
        <v>10</v>
      </c>
      <c r="N931" s="6">
        <v>2</v>
      </c>
      <c r="O931">
        <v>500</v>
      </c>
      <c r="P931">
        <v>202605</v>
      </c>
      <c r="Q931" t="s">
        <v>377</v>
      </c>
      <c r="R931" t="s">
        <v>1350</v>
      </c>
      <c r="S931">
        <f>Consulta1[[#This Row],[min_port]]/100</f>
        <v>1.3899999999999999E-2</v>
      </c>
      <c r="T931" s="252">
        <f>Consulta1[[#This Row],[TETO_COMERCIAL]]/100</f>
        <v>2.5000000000000001E-2</v>
      </c>
      <c r="U931" t="b">
        <f>Consulta1[[#This Row],[TETO_COMERCIAL_%]]=Consulta1[[#This Row],[TAXA]]</f>
        <v>0</v>
      </c>
      <c r="V931" t="str">
        <f>CONCATENATE(Consulta1[[#This Row],[MES_ALTERACAO]],Consulta1[[#This Row],[VIRADA]])</f>
        <v>20260510</v>
      </c>
      <c r="W931">
        <f>VLOOKUP(Consulta1[[#This Row],[Coluna2]],CALENDARIO!$J:$K,2,FALSE)</f>
        <v>5</v>
      </c>
    </row>
    <row r="932" spans="1:23" x14ac:dyDescent="0.25">
      <c r="A932" t="s">
        <v>1103</v>
      </c>
      <c r="B932" t="str">
        <f>CONCATENATE(Consulta1[[#This Row],[id]],Consulta1[[#This Row],[EMPREGADOR]])</f>
        <v>1PREF GUARULHOS</v>
      </c>
      <c r="C932" s="6">
        <f>IF(A932=A931,C931+1,1)</f>
        <v>1</v>
      </c>
      <c r="D932" t="s">
        <v>1104</v>
      </c>
      <c r="E932" s="101">
        <v>2.5000000000000001E-2</v>
      </c>
      <c r="F932" s="6">
        <v>120</v>
      </c>
      <c r="G932" t="s">
        <v>1349</v>
      </c>
      <c r="H932" s="82">
        <v>2.5</v>
      </c>
      <c r="I932">
        <v>10</v>
      </c>
      <c r="J932">
        <v>51</v>
      </c>
      <c r="K932" t="s">
        <v>1841</v>
      </c>
      <c r="L932" s="6" t="s">
        <v>1399</v>
      </c>
      <c r="M932" s="6">
        <v>9</v>
      </c>
      <c r="N932" s="6">
        <v>2</v>
      </c>
      <c r="O932">
        <v>500</v>
      </c>
      <c r="P932">
        <v>202605</v>
      </c>
      <c r="Q932" t="s">
        <v>377</v>
      </c>
      <c r="R932" t="s">
        <v>1353</v>
      </c>
      <c r="S932">
        <f>Consulta1[[#This Row],[min_port]]/100</f>
        <v>1.3899999999999999E-2</v>
      </c>
      <c r="T932" s="252">
        <f>Consulta1[[#This Row],[TETO_COMERCIAL]]/100</f>
        <v>2.5000000000000001E-2</v>
      </c>
      <c r="U932" t="b">
        <f>Consulta1[[#This Row],[TETO_COMERCIAL_%]]=Consulta1[[#This Row],[TAXA]]</f>
        <v>1</v>
      </c>
      <c r="V932" t="str">
        <f>CONCATENATE(Consulta1[[#This Row],[MES_ALTERACAO]],Consulta1[[#This Row],[VIRADA]])</f>
        <v>2026059</v>
      </c>
      <c r="W932">
        <f>VLOOKUP(Consulta1[[#This Row],[Coluna2]],CALENDARIO!$J:$K,2,FALSE)</f>
        <v>5</v>
      </c>
    </row>
    <row r="933" spans="1:23" x14ac:dyDescent="0.25">
      <c r="A933" t="s">
        <v>1103</v>
      </c>
      <c r="B933" t="str">
        <f>CONCATENATE(Consulta1[[#This Row],[id]],Consulta1[[#This Row],[EMPREGADOR]])</f>
        <v>2PREF GUARULHOS</v>
      </c>
      <c r="C933" s="6">
        <f>IF(A933=A932,C932+1,1)</f>
        <v>2</v>
      </c>
      <c r="D933" t="s">
        <v>1105</v>
      </c>
      <c r="E933" s="101">
        <v>2.3900000000000001E-2</v>
      </c>
      <c r="F933" s="6">
        <v>120</v>
      </c>
      <c r="G933" t="s">
        <v>1349</v>
      </c>
      <c r="H933" s="82">
        <v>2.5</v>
      </c>
      <c r="I933">
        <v>10</v>
      </c>
      <c r="J933">
        <v>47</v>
      </c>
      <c r="K933" t="s">
        <v>1842</v>
      </c>
      <c r="L933" s="6" t="s">
        <v>1399</v>
      </c>
      <c r="M933" s="6">
        <v>9</v>
      </c>
      <c r="N933" s="6">
        <v>2</v>
      </c>
      <c r="O933">
        <v>500</v>
      </c>
      <c r="P933">
        <v>202605</v>
      </c>
      <c r="Q933" t="s">
        <v>377</v>
      </c>
      <c r="R933" t="s">
        <v>1353</v>
      </c>
      <c r="S933">
        <f>Consulta1[[#This Row],[min_port]]/100</f>
        <v>1.3899999999999999E-2</v>
      </c>
      <c r="T933" s="252">
        <f>Consulta1[[#This Row],[TETO_COMERCIAL]]/100</f>
        <v>2.5000000000000001E-2</v>
      </c>
      <c r="U933" t="b">
        <f>Consulta1[[#This Row],[TETO_COMERCIAL_%]]=Consulta1[[#This Row],[TAXA]]</f>
        <v>0</v>
      </c>
      <c r="V933" t="str">
        <f>CONCATENATE(Consulta1[[#This Row],[MES_ALTERACAO]],Consulta1[[#This Row],[VIRADA]])</f>
        <v>2026059</v>
      </c>
      <c r="W933">
        <f>VLOOKUP(Consulta1[[#This Row],[Coluna2]],CALENDARIO!$J:$K,2,FALSE)</f>
        <v>5</v>
      </c>
    </row>
    <row r="934" spans="1:23" x14ac:dyDescent="0.25">
      <c r="A934" t="s">
        <v>1103</v>
      </c>
      <c r="B934" t="str">
        <f>CONCATENATE(Consulta1[[#This Row],[id]],Consulta1[[#This Row],[EMPREGADOR]])</f>
        <v>3PREF GUARULHOS</v>
      </c>
      <c r="C934" s="6">
        <f>IF(A934=A933,C933+1,1)</f>
        <v>3</v>
      </c>
      <c r="D934" t="s">
        <v>1106</v>
      </c>
      <c r="E934" s="101">
        <v>2.29E-2</v>
      </c>
      <c r="F934" s="6">
        <v>120</v>
      </c>
      <c r="G934" t="s">
        <v>1349</v>
      </c>
      <c r="H934" s="82">
        <v>2.5</v>
      </c>
      <c r="I934">
        <v>10</v>
      </c>
      <c r="J934">
        <v>47</v>
      </c>
      <c r="K934" t="s">
        <v>1843</v>
      </c>
      <c r="L934" s="6" t="s">
        <v>1399</v>
      </c>
      <c r="M934" s="6">
        <v>9</v>
      </c>
      <c r="N934" s="6">
        <v>2</v>
      </c>
      <c r="O934">
        <v>500</v>
      </c>
      <c r="P934">
        <v>202605</v>
      </c>
      <c r="Q934" t="s">
        <v>377</v>
      </c>
      <c r="R934" t="s">
        <v>1353</v>
      </c>
      <c r="S934">
        <f>Consulta1[[#This Row],[min_port]]/100</f>
        <v>1.3899999999999999E-2</v>
      </c>
      <c r="T934" s="252">
        <f>Consulta1[[#This Row],[TETO_COMERCIAL]]/100</f>
        <v>2.5000000000000001E-2</v>
      </c>
      <c r="U934" t="b">
        <f>Consulta1[[#This Row],[TETO_COMERCIAL_%]]=Consulta1[[#This Row],[TAXA]]</f>
        <v>0</v>
      </c>
      <c r="V934" t="str">
        <f>CONCATENATE(Consulta1[[#This Row],[MES_ALTERACAO]],Consulta1[[#This Row],[VIRADA]])</f>
        <v>2026059</v>
      </c>
      <c r="W934">
        <f>VLOOKUP(Consulta1[[#This Row],[Coluna2]],CALENDARIO!$J:$K,2,FALSE)</f>
        <v>5</v>
      </c>
    </row>
    <row r="935" spans="1:23" x14ac:dyDescent="0.25">
      <c r="A935" t="s">
        <v>1103</v>
      </c>
      <c r="B935" t="str">
        <f>CONCATENATE(Consulta1[[#This Row],[id]],Consulta1[[#This Row],[EMPREGADOR]])</f>
        <v>4PREF GUARULHOS</v>
      </c>
      <c r="C935" s="6">
        <f>IF(A935=A934,C934+1,1)</f>
        <v>4</v>
      </c>
      <c r="D935" t="s">
        <v>1107</v>
      </c>
      <c r="E935" s="101">
        <v>2.1899999999999999E-2</v>
      </c>
      <c r="F935" s="6">
        <v>120</v>
      </c>
      <c r="G935" t="s">
        <v>1349</v>
      </c>
      <c r="H935" s="82">
        <v>2.5</v>
      </c>
      <c r="I935">
        <v>10</v>
      </c>
      <c r="J935">
        <v>49</v>
      </c>
      <c r="K935" t="s">
        <v>1844</v>
      </c>
      <c r="L935" s="6" t="s">
        <v>1399</v>
      </c>
      <c r="M935" s="6">
        <v>9</v>
      </c>
      <c r="N935" s="6">
        <v>2</v>
      </c>
      <c r="O935">
        <v>500</v>
      </c>
      <c r="P935">
        <v>202605</v>
      </c>
      <c r="Q935" t="s">
        <v>377</v>
      </c>
      <c r="R935" t="s">
        <v>1353</v>
      </c>
      <c r="S935">
        <f>Consulta1[[#This Row],[min_port]]/100</f>
        <v>1.3899999999999999E-2</v>
      </c>
      <c r="T935" s="252">
        <f>Consulta1[[#This Row],[TETO_COMERCIAL]]/100</f>
        <v>2.5000000000000001E-2</v>
      </c>
      <c r="U935" t="b">
        <f>Consulta1[[#This Row],[TETO_COMERCIAL_%]]=Consulta1[[#This Row],[TAXA]]</f>
        <v>0</v>
      </c>
      <c r="V935" t="str">
        <f>CONCATENATE(Consulta1[[#This Row],[MES_ALTERACAO]],Consulta1[[#This Row],[VIRADA]])</f>
        <v>2026059</v>
      </c>
      <c r="W935">
        <f>VLOOKUP(Consulta1[[#This Row],[Coluna2]],CALENDARIO!$J:$K,2,FALSE)</f>
        <v>5</v>
      </c>
    </row>
    <row r="936" spans="1:23" x14ac:dyDescent="0.25">
      <c r="A936" t="s">
        <v>1103</v>
      </c>
      <c r="B936" t="str">
        <f>CONCATENATE(Consulta1[[#This Row],[id]],Consulta1[[#This Row],[EMPREGADOR]])</f>
        <v>5PREF GUARULHOS</v>
      </c>
      <c r="C936" s="6">
        <f>IF(A936=A935,C935+1,1)</f>
        <v>5</v>
      </c>
      <c r="D936" t="s">
        <v>2929</v>
      </c>
      <c r="E936" s="101">
        <v>2.0899999999999998E-2</v>
      </c>
      <c r="F936" s="6">
        <v>120</v>
      </c>
      <c r="G936" t="s">
        <v>1349</v>
      </c>
      <c r="H936" s="82">
        <v>2.5</v>
      </c>
      <c r="I936">
        <v>10</v>
      </c>
      <c r="J936">
        <v>52</v>
      </c>
      <c r="K936" t="s">
        <v>2930</v>
      </c>
      <c r="L936" s="6" t="s">
        <v>1399</v>
      </c>
      <c r="M936" s="6">
        <v>9</v>
      </c>
      <c r="N936" s="6">
        <v>2</v>
      </c>
      <c r="O936">
        <v>500</v>
      </c>
      <c r="P936">
        <v>202605</v>
      </c>
      <c r="Q936" t="s">
        <v>377</v>
      </c>
      <c r="R936" t="s">
        <v>1353</v>
      </c>
      <c r="S936">
        <f>Consulta1[[#This Row],[min_port]]/100</f>
        <v>1.3899999999999999E-2</v>
      </c>
      <c r="T936" s="252">
        <f>Consulta1[[#This Row],[TETO_COMERCIAL]]/100</f>
        <v>2.5000000000000001E-2</v>
      </c>
      <c r="U936" t="b">
        <f>Consulta1[[#This Row],[TETO_COMERCIAL_%]]=Consulta1[[#This Row],[TAXA]]</f>
        <v>0</v>
      </c>
      <c r="V936" t="str">
        <f>CONCATENATE(Consulta1[[#This Row],[MES_ALTERACAO]],Consulta1[[#This Row],[VIRADA]])</f>
        <v>2026059</v>
      </c>
      <c r="W936">
        <f>VLOOKUP(Consulta1[[#This Row],[Coluna2]],CALENDARIO!$J:$K,2,FALSE)</f>
        <v>5</v>
      </c>
    </row>
    <row r="937" spans="1:23" x14ac:dyDescent="0.25">
      <c r="A937" t="s">
        <v>1103</v>
      </c>
      <c r="B937" t="str">
        <f>CONCATENATE(Consulta1[[#This Row],[id]],Consulta1[[#This Row],[EMPREGADOR]])</f>
        <v>6PREF GUARULHOS</v>
      </c>
      <c r="C937" s="6">
        <f>IF(A937=A936,C936+1,1)</f>
        <v>6</v>
      </c>
      <c r="D937" t="s">
        <v>2931</v>
      </c>
      <c r="E937" s="101">
        <v>1.9900000000000001E-2</v>
      </c>
      <c r="F937" s="6">
        <v>120</v>
      </c>
      <c r="G937" t="s">
        <v>1349</v>
      </c>
      <c r="H937" s="82">
        <v>2.5</v>
      </c>
      <c r="I937">
        <v>10</v>
      </c>
      <c r="J937">
        <v>43</v>
      </c>
      <c r="K937" t="s">
        <v>2932</v>
      </c>
      <c r="L937" s="6" t="s">
        <v>1399</v>
      </c>
      <c r="M937" s="6">
        <v>9</v>
      </c>
      <c r="N937" s="6">
        <v>2</v>
      </c>
      <c r="O937">
        <v>500</v>
      </c>
      <c r="P937">
        <v>202605</v>
      </c>
      <c r="Q937" t="s">
        <v>377</v>
      </c>
      <c r="R937" t="s">
        <v>1353</v>
      </c>
      <c r="S937">
        <f>Consulta1[[#This Row],[min_port]]/100</f>
        <v>1.3899999999999999E-2</v>
      </c>
      <c r="T937" s="252">
        <f>Consulta1[[#This Row],[TETO_COMERCIAL]]/100</f>
        <v>2.5000000000000001E-2</v>
      </c>
      <c r="U937" t="b">
        <f>Consulta1[[#This Row],[TETO_COMERCIAL_%]]=Consulta1[[#This Row],[TAXA]]</f>
        <v>0</v>
      </c>
      <c r="V937" t="str">
        <f>CONCATENATE(Consulta1[[#This Row],[MES_ALTERACAO]],Consulta1[[#This Row],[VIRADA]])</f>
        <v>2026059</v>
      </c>
      <c r="W937">
        <f>VLOOKUP(Consulta1[[#This Row],[Coluna2]],CALENDARIO!$J:$K,2,FALSE)</f>
        <v>5</v>
      </c>
    </row>
    <row r="938" spans="1:23" x14ac:dyDescent="0.25">
      <c r="A938" t="s">
        <v>720</v>
      </c>
      <c r="B938" t="str">
        <f>CONCATENATE(Consulta1[[#This Row],[id]],Consulta1[[#This Row],[EMPREGADOR]])</f>
        <v>1PREF IMBITUBA</v>
      </c>
      <c r="C938" s="6">
        <f>IF(A938=A937,C937+1,1)</f>
        <v>1</v>
      </c>
      <c r="D938" t="s">
        <v>721</v>
      </c>
      <c r="E938" s="101">
        <v>2.5000000000000001E-2</v>
      </c>
      <c r="F938" s="6">
        <v>96</v>
      </c>
      <c r="G938" t="s">
        <v>1349</v>
      </c>
      <c r="H938" s="82">
        <v>2.5</v>
      </c>
      <c r="I938">
        <v>15</v>
      </c>
      <c r="K938" t="s">
        <v>1845</v>
      </c>
      <c r="L938" s="6" t="s">
        <v>1371</v>
      </c>
      <c r="M938" s="6">
        <v>15</v>
      </c>
      <c r="N938" s="6">
        <v>2</v>
      </c>
      <c r="O938">
        <v>500</v>
      </c>
      <c r="P938">
        <v>202605</v>
      </c>
      <c r="Q938" t="s">
        <v>378</v>
      </c>
      <c r="R938" t="s">
        <v>1353</v>
      </c>
      <c r="S938">
        <f>Consulta1[[#This Row],[min_port]]/100</f>
        <v>1.4499999999999999E-2</v>
      </c>
      <c r="T938" s="252">
        <f>Consulta1[[#This Row],[TETO_COMERCIAL]]/100</f>
        <v>2.5000000000000001E-2</v>
      </c>
      <c r="U938" t="b">
        <f>Consulta1[[#This Row],[TETO_COMERCIAL_%]]=Consulta1[[#This Row],[TAXA]]</f>
        <v>1</v>
      </c>
      <c r="V938" t="str">
        <f>CONCATENATE(Consulta1[[#This Row],[MES_ALTERACAO]],Consulta1[[#This Row],[VIRADA]])</f>
        <v>20260515</v>
      </c>
      <c r="W938">
        <f>VLOOKUP(Consulta1[[#This Row],[Coluna2]],CALENDARIO!$J:$K,2,FALSE)</f>
        <v>10</v>
      </c>
    </row>
    <row r="939" spans="1:23" x14ac:dyDescent="0.25">
      <c r="A939" t="s">
        <v>720</v>
      </c>
      <c r="B939" t="str">
        <f>CONCATENATE(Consulta1[[#This Row],[id]],Consulta1[[#This Row],[EMPREGADOR]])</f>
        <v>2PREF IMBITUBA</v>
      </c>
      <c r="C939" s="6">
        <f>IF(A939=A938,C938+1,1)</f>
        <v>2</v>
      </c>
      <c r="D939" t="s">
        <v>722</v>
      </c>
      <c r="E939" s="101">
        <v>0.02</v>
      </c>
      <c r="F939" s="6">
        <v>96</v>
      </c>
      <c r="G939" t="s">
        <v>1349</v>
      </c>
      <c r="H939" s="82">
        <v>2.5</v>
      </c>
      <c r="I939">
        <v>15</v>
      </c>
      <c r="K939" t="s">
        <v>1846</v>
      </c>
      <c r="L939" s="6" t="s">
        <v>1371</v>
      </c>
      <c r="M939" s="6">
        <v>15</v>
      </c>
      <c r="N939" s="6">
        <v>2</v>
      </c>
      <c r="O939">
        <v>500</v>
      </c>
      <c r="P939">
        <v>202605</v>
      </c>
      <c r="Q939" t="s">
        <v>378</v>
      </c>
      <c r="R939" t="s">
        <v>1353</v>
      </c>
      <c r="S939">
        <f>Consulta1[[#This Row],[min_port]]/100</f>
        <v>1.4499999999999999E-2</v>
      </c>
      <c r="T939" s="252">
        <f>Consulta1[[#This Row],[TETO_COMERCIAL]]/100</f>
        <v>2.5000000000000001E-2</v>
      </c>
      <c r="U939" t="b">
        <f>Consulta1[[#This Row],[TETO_COMERCIAL_%]]=Consulta1[[#This Row],[TAXA]]</f>
        <v>0</v>
      </c>
      <c r="V939" t="str">
        <f>CONCATENATE(Consulta1[[#This Row],[MES_ALTERACAO]],Consulta1[[#This Row],[VIRADA]])</f>
        <v>20260515</v>
      </c>
      <c r="W939">
        <f>VLOOKUP(Consulta1[[#This Row],[Coluna2]],CALENDARIO!$J:$K,2,FALSE)</f>
        <v>10</v>
      </c>
    </row>
    <row r="940" spans="1:23" x14ac:dyDescent="0.25">
      <c r="A940" t="s">
        <v>720</v>
      </c>
      <c r="B940" t="str">
        <f>CONCATENATE(Consulta1[[#This Row],[id]],Consulta1[[#This Row],[EMPREGADOR]])</f>
        <v>3PREF IMBITUBA</v>
      </c>
      <c r="C940" s="6">
        <f>IF(A940=A939,C939+1,1)</f>
        <v>3</v>
      </c>
      <c r="D940" t="s">
        <v>2981</v>
      </c>
      <c r="E940" s="101">
        <v>1.9E-2</v>
      </c>
      <c r="F940" s="6">
        <v>96</v>
      </c>
      <c r="G940" t="s">
        <v>1349</v>
      </c>
      <c r="H940" s="82">
        <v>2.5</v>
      </c>
      <c r="I940">
        <v>15</v>
      </c>
      <c r="J940">
        <v>58</v>
      </c>
      <c r="K940" t="s">
        <v>2982</v>
      </c>
      <c r="L940" s="6" t="s">
        <v>1371</v>
      </c>
      <c r="M940" s="6">
        <v>15</v>
      </c>
      <c r="N940" s="6">
        <v>2</v>
      </c>
      <c r="O940">
        <v>500</v>
      </c>
      <c r="P940">
        <v>202605</v>
      </c>
      <c r="Q940" t="s">
        <v>378</v>
      </c>
      <c r="R940" t="s">
        <v>1353</v>
      </c>
      <c r="S940">
        <f>Consulta1[[#This Row],[min_port]]/100</f>
        <v>1.4499999999999999E-2</v>
      </c>
      <c r="T940" s="252">
        <f>Consulta1[[#This Row],[TETO_COMERCIAL]]/100</f>
        <v>2.5000000000000001E-2</v>
      </c>
      <c r="U940" t="b">
        <f>Consulta1[[#This Row],[TETO_COMERCIAL_%]]=Consulta1[[#This Row],[TAXA]]</f>
        <v>0</v>
      </c>
      <c r="V940" t="str">
        <f>CONCATENATE(Consulta1[[#This Row],[MES_ALTERACAO]],Consulta1[[#This Row],[VIRADA]])</f>
        <v>20260515</v>
      </c>
      <c r="W940">
        <f>VLOOKUP(Consulta1[[#This Row],[Coluna2]],CALENDARIO!$J:$K,2,FALSE)</f>
        <v>10</v>
      </c>
    </row>
    <row r="941" spans="1:23" x14ac:dyDescent="0.25">
      <c r="A941" t="s">
        <v>720</v>
      </c>
      <c r="B941" t="str">
        <f>CONCATENATE(Consulta1[[#This Row],[id]],Consulta1[[#This Row],[EMPREGADOR]])</f>
        <v>4PREF IMBITUBA</v>
      </c>
      <c r="C941" s="6">
        <f>IF(A941=A940,C940+1,1)</f>
        <v>4</v>
      </c>
      <c r="D941" t="s">
        <v>2983</v>
      </c>
      <c r="E941" s="101">
        <v>1.8000000000000002E-2</v>
      </c>
      <c r="F941" s="6">
        <v>96</v>
      </c>
      <c r="G941" t="s">
        <v>1349</v>
      </c>
      <c r="H941" s="82">
        <v>2.5</v>
      </c>
      <c r="I941">
        <v>15</v>
      </c>
      <c r="K941" t="s">
        <v>2984</v>
      </c>
      <c r="L941" s="6" t="s">
        <v>1371</v>
      </c>
      <c r="M941" s="6">
        <v>15</v>
      </c>
      <c r="N941" s="6">
        <v>2</v>
      </c>
      <c r="O941">
        <v>500</v>
      </c>
      <c r="P941">
        <v>202605</v>
      </c>
      <c r="Q941" t="s">
        <v>378</v>
      </c>
      <c r="R941" t="s">
        <v>1353</v>
      </c>
      <c r="S941">
        <f>Consulta1[[#This Row],[min_port]]/100</f>
        <v>1.4499999999999999E-2</v>
      </c>
      <c r="T941" s="252">
        <f>Consulta1[[#This Row],[TETO_COMERCIAL]]/100</f>
        <v>2.5000000000000001E-2</v>
      </c>
      <c r="U941" t="b">
        <f>Consulta1[[#This Row],[TETO_COMERCIAL_%]]=Consulta1[[#This Row],[TAXA]]</f>
        <v>0</v>
      </c>
      <c r="V941" t="str">
        <f>CONCATENATE(Consulta1[[#This Row],[MES_ALTERACAO]],Consulta1[[#This Row],[VIRADA]])</f>
        <v>20260515</v>
      </c>
      <c r="W941">
        <f>VLOOKUP(Consulta1[[#This Row],[Coluna2]],CALENDARIO!$J:$K,2,FALSE)</f>
        <v>10</v>
      </c>
    </row>
    <row r="942" spans="1:23" x14ac:dyDescent="0.25">
      <c r="A942" t="s">
        <v>1143</v>
      </c>
      <c r="B942" t="str">
        <f>CONCATENATE(Consulta1[[#This Row],[id]],Consulta1[[#This Row],[EMPREGADOR]])</f>
        <v>1PREF IPATINGA</v>
      </c>
      <c r="C942" s="6">
        <f>IF(A942=A941,C941+1,1)</f>
        <v>1</v>
      </c>
      <c r="D942" t="s">
        <v>1144</v>
      </c>
      <c r="E942" s="101">
        <v>2.5000000000000001E-2</v>
      </c>
      <c r="F942" s="6">
        <v>120</v>
      </c>
      <c r="G942" t="s">
        <v>1349</v>
      </c>
      <c r="H942" s="82">
        <v>2.35</v>
      </c>
      <c r="I942">
        <v>14</v>
      </c>
      <c r="J942">
        <v>54</v>
      </c>
      <c r="K942" t="s">
        <v>1847</v>
      </c>
      <c r="L942" s="6" t="s">
        <v>1374</v>
      </c>
      <c r="M942" s="6">
        <v>15</v>
      </c>
      <c r="N942" s="6">
        <v>2</v>
      </c>
      <c r="O942">
        <v>500</v>
      </c>
      <c r="P942">
        <v>202605</v>
      </c>
      <c r="Q942" t="s">
        <v>377</v>
      </c>
      <c r="R942" t="s">
        <v>1350</v>
      </c>
      <c r="S942">
        <f>Consulta1[[#This Row],[min_port]]/100</f>
        <v>1.4999999999999999E-2</v>
      </c>
      <c r="T942" s="252">
        <f>Consulta1[[#This Row],[TETO_COMERCIAL]]/100</f>
        <v>2.35E-2</v>
      </c>
      <c r="U942" t="b">
        <f>Consulta1[[#This Row],[TETO_COMERCIAL_%]]=Consulta1[[#This Row],[TAXA]]</f>
        <v>0</v>
      </c>
      <c r="V942" t="str">
        <f>CONCATENATE(Consulta1[[#This Row],[MES_ALTERACAO]],Consulta1[[#This Row],[VIRADA]])</f>
        <v>20260515</v>
      </c>
      <c r="W942">
        <f>VLOOKUP(Consulta1[[#This Row],[Coluna2]],CALENDARIO!$J:$K,2,FALSE)</f>
        <v>10</v>
      </c>
    </row>
    <row r="943" spans="1:23" x14ac:dyDescent="0.25">
      <c r="A943" t="s">
        <v>1143</v>
      </c>
      <c r="B943" t="str">
        <f>CONCATENATE(Consulta1[[#This Row],[id]],Consulta1[[#This Row],[EMPREGADOR]])</f>
        <v>2PREF IPATINGA</v>
      </c>
      <c r="C943" s="6">
        <f>IF(A943=A942,C942+1,1)</f>
        <v>2</v>
      </c>
      <c r="D943" t="s">
        <v>1145</v>
      </c>
      <c r="E943" s="101">
        <v>2.2499999999999999E-2</v>
      </c>
      <c r="F943" s="6">
        <v>120</v>
      </c>
      <c r="G943" t="s">
        <v>1349</v>
      </c>
      <c r="H943" s="82">
        <v>2.35</v>
      </c>
      <c r="I943">
        <v>14</v>
      </c>
      <c r="K943" t="s">
        <v>1848</v>
      </c>
      <c r="L943" s="6" t="s">
        <v>1374</v>
      </c>
      <c r="M943" s="6">
        <v>15</v>
      </c>
      <c r="N943" s="6">
        <v>2</v>
      </c>
      <c r="O943">
        <v>500</v>
      </c>
      <c r="P943">
        <v>202605</v>
      </c>
      <c r="Q943" t="s">
        <v>377</v>
      </c>
      <c r="R943" t="s">
        <v>1350</v>
      </c>
      <c r="S943">
        <f>Consulta1[[#This Row],[min_port]]/100</f>
        <v>1.4999999999999999E-2</v>
      </c>
      <c r="T943" s="252">
        <f>Consulta1[[#This Row],[TETO_COMERCIAL]]/100</f>
        <v>2.35E-2</v>
      </c>
      <c r="U943" t="b">
        <f>Consulta1[[#This Row],[TETO_COMERCIAL_%]]=Consulta1[[#This Row],[TAXA]]</f>
        <v>0</v>
      </c>
      <c r="V943" t="str">
        <f>CONCATENATE(Consulta1[[#This Row],[MES_ALTERACAO]],Consulta1[[#This Row],[VIRADA]])</f>
        <v>20260515</v>
      </c>
      <c r="W943">
        <f>VLOOKUP(Consulta1[[#This Row],[Coluna2]],CALENDARIO!$J:$K,2,FALSE)</f>
        <v>10</v>
      </c>
    </row>
    <row r="944" spans="1:23" x14ac:dyDescent="0.25">
      <c r="A944" t="s">
        <v>1143</v>
      </c>
      <c r="B944" t="str">
        <f>CONCATENATE(Consulta1[[#This Row],[id]],Consulta1[[#This Row],[EMPREGADOR]])</f>
        <v>3PREF IPATINGA</v>
      </c>
      <c r="C944" s="6">
        <f>IF(A944=A943,C943+1,1)</f>
        <v>3</v>
      </c>
      <c r="D944" t="s">
        <v>1146</v>
      </c>
      <c r="E944" s="101">
        <v>2.1499999999999998E-2</v>
      </c>
      <c r="F944" s="6">
        <v>120</v>
      </c>
      <c r="G944" t="s">
        <v>1349</v>
      </c>
      <c r="H944" s="82">
        <v>2.35</v>
      </c>
      <c r="I944">
        <v>14</v>
      </c>
      <c r="J944">
        <v>45</v>
      </c>
      <c r="K944" t="s">
        <v>1849</v>
      </c>
      <c r="L944" s="6" t="s">
        <v>1374</v>
      </c>
      <c r="M944" s="6">
        <v>15</v>
      </c>
      <c r="N944" s="6">
        <v>2</v>
      </c>
      <c r="O944">
        <v>500</v>
      </c>
      <c r="P944">
        <v>202605</v>
      </c>
      <c r="Q944" t="s">
        <v>377</v>
      </c>
      <c r="R944" t="s">
        <v>1350</v>
      </c>
      <c r="S944">
        <f>Consulta1[[#This Row],[min_port]]/100</f>
        <v>1.4999999999999999E-2</v>
      </c>
      <c r="T944" s="252">
        <f>Consulta1[[#This Row],[TETO_COMERCIAL]]/100</f>
        <v>2.35E-2</v>
      </c>
      <c r="U944" t="b">
        <f>Consulta1[[#This Row],[TETO_COMERCIAL_%]]=Consulta1[[#This Row],[TAXA]]</f>
        <v>0</v>
      </c>
      <c r="V944" t="str">
        <f>CONCATENATE(Consulta1[[#This Row],[MES_ALTERACAO]],Consulta1[[#This Row],[VIRADA]])</f>
        <v>20260515</v>
      </c>
      <c r="W944">
        <f>VLOOKUP(Consulta1[[#This Row],[Coluna2]],CALENDARIO!$J:$K,2,FALSE)</f>
        <v>10</v>
      </c>
    </row>
    <row r="945" spans="1:23" x14ac:dyDescent="0.25">
      <c r="A945" t="s">
        <v>371</v>
      </c>
      <c r="B945" t="str">
        <f>CONCATENATE(Consulta1[[#This Row],[id]],Consulta1[[#This Row],[EMPREGADOR]])</f>
        <v>1PREF ITAJUBA</v>
      </c>
      <c r="C945" s="6">
        <f>IF(A945=A944,C944+1,1)</f>
        <v>1</v>
      </c>
      <c r="D945" t="s">
        <v>344</v>
      </c>
      <c r="E945" s="101">
        <v>2.2499999999999999E-2</v>
      </c>
      <c r="F945" s="6">
        <v>120</v>
      </c>
      <c r="G945" t="s">
        <v>1349</v>
      </c>
      <c r="H945" s="82">
        <v>2.5</v>
      </c>
      <c r="I945">
        <v>6</v>
      </c>
      <c r="K945" t="s">
        <v>1859</v>
      </c>
      <c r="L945" s="6" t="s">
        <v>1374</v>
      </c>
      <c r="M945" s="6">
        <v>1</v>
      </c>
      <c r="N945" s="6">
        <v>2</v>
      </c>
      <c r="O945">
        <v>500</v>
      </c>
      <c r="P945">
        <v>202605</v>
      </c>
      <c r="Q945" t="s">
        <v>377</v>
      </c>
      <c r="R945" t="s">
        <v>1353</v>
      </c>
      <c r="S945">
        <f>Consulta1[[#This Row],[min_port]]/100</f>
        <v>1.4999999999999999E-2</v>
      </c>
      <c r="T945" s="252">
        <f>Consulta1[[#This Row],[TETO_COMERCIAL]]/100</f>
        <v>2.5000000000000001E-2</v>
      </c>
      <c r="U945" t="b">
        <f>Consulta1[[#This Row],[TETO_COMERCIAL_%]]=Consulta1[[#This Row],[TAXA]]</f>
        <v>0</v>
      </c>
      <c r="V945" t="str">
        <f>CONCATENATE(Consulta1[[#This Row],[MES_ALTERACAO]],Consulta1[[#This Row],[VIRADA]])</f>
        <v>2026051</v>
      </c>
      <c r="W945">
        <f>VLOOKUP(Consulta1[[#This Row],[Coluna2]],CALENDARIO!$J:$K,2,FALSE)</f>
        <v>0</v>
      </c>
    </row>
    <row r="946" spans="1:23" x14ac:dyDescent="0.25">
      <c r="A946" t="s">
        <v>371</v>
      </c>
      <c r="B946" t="str">
        <f>CONCATENATE(Consulta1[[#This Row],[id]],Consulta1[[#This Row],[EMPREGADOR]])</f>
        <v>2PREF ITAJUBA</v>
      </c>
      <c r="C946" s="6">
        <f>IF(A946=A945,C945+1,1)</f>
        <v>2</v>
      </c>
      <c r="D946" t="s">
        <v>2609</v>
      </c>
      <c r="E946" s="101">
        <v>2.1499999999999998E-2</v>
      </c>
      <c r="F946" s="6">
        <v>120</v>
      </c>
      <c r="G946" t="s">
        <v>1349</v>
      </c>
      <c r="H946" s="82">
        <v>2.5</v>
      </c>
      <c r="I946">
        <v>6</v>
      </c>
      <c r="J946">
        <v>57</v>
      </c>
      <c r="K946" t="s">
        <v>2610</v>
      </c>
      <c r="L946" s="6" t="s">
        <v>1374</v>
      </c>
      <c r="M946" s="6">
        <v>1</v>
      </c>
      <c r="N946" s="6">
        <v>2</v>
      </c>
      <c r="O946">
        <v>500</v>
      </c>
      <c r="P946">
        <v>202605</v>
      </c>
      <c r="Q946" t="s">
        <v>377</v>
      </c>
      <c r="R946" t="s">
        <v>1353</v>
      </c>
      <c r="S946">
        <f>Consulta1[[#This Row],[min_port]]/100</f>
        <v>1.4999999999999999E-2</v>
      </c>
      <c r="T946" s="252">
        <f>Consulta1[[#This Row],[TETO_COMERCIAL]]/100</f>
        <v>2.5000000000000001E-2</v>
      </c>
      <c r="U946" t="b">
        <f>Consulta1[[#This Row],[TETO_COMERCIAL_%]]=Consulta1[[#This Row],[TAXA]]</f>
        <v>0</v>
      </c>
      <c r="V946" t="str">
        <f>CONCATENATE(Consulta1[[#This Row],[MES_ALTERACAO]],Consulta1[[#This Row],[VIRADA]])</f>
        <v>2026051</v>
      </c>
      <c r="W946">
        <f>VLOOKUP(Consulta1[[#This Row],[Coluna2]],CALENDARIO!$J:$K,2,FALSE)</f>
        <v>0</v>
      </c>
    </row>
    <row r="947" spans="1:23" x14ac:dyDescent="0.25">
      <c r="A947" t="s">
        <v>809</v>
      </c>
      <c r="B947" t="str">
        <f>CONCATENATE(Consulta1[[#This Row],[id]],Consulta1[[#This Row],[EMPREGADOR]])</f>
        <v>1PREF ITANHAEM</v>
      </c>
      <c r="C947" s="6">
        <f>IF(A947=A946,C946+1,1)</f>
        <v>1</v>
      </c>
      <c r="D947" t="s">
        <v>969</v>
      </c>
      <c r="E947" s="101">
        <v>2.5000000000000001E-2</v>
      </c>
      <c r="F947" s="6">
        <v>120</v>
      </c>
      <c r="G947" t="s">
        <v>1349</v>
      </c>
      <c r="H947" s="82">
        <v>2.5</v>
      </c>
      <c r="I947">
        <v>27</v>
      </c>
      <c r="J947">
        <v>45</v>
      </c>
      <c r="K947" t="s">
        <v>1860</v>
      </c>
      <c r="L947" s="6" t="s">
        <v>1697</v>
      </c>
      <c r="M947" s="6">
        <v>17</v>
      </c>
      <c r="N947" s="6">
        <v>2</v>
      </c>
      <c r="O947">
        <v>500</v>
      </c>
      <c r="P947">
        <v>202605</v>
      </c>
      <c r="Q947" t="s">
        <v>378</v>
      </c>
      <c r="R947" t="s">
        <v>1353</v>
      </c>
      <c r="S947">
        <f>Consulta1[[#This Row],[min_port]]/100</f>
        <v>1.7399999999999999E-2</v>
      </c>
      <c r="T947" s="252">
        <f>Consulta1[[#This Row],[TETO_COMERCIAL]]/100</f>
        <v>2.5000000000000001E-2</v>
      </c>
      <c r="U947" t="b">
        <f>Consulta1[[#This Row],[TETO_COMERCIAL_%]]=Consulta1[[#This Row],[TAXA]]</f>
        <v>1</v>
      </c>
      <c r="V947" t="str">
        <f>CONCATENATE(Consulta1[[#This Row],[MES_ALTERACAO]],Consulta1[[#This Row],[VIRADA]])</f>
        <v>20260517</v>
      </c>
      <c r="W947">
        <f>VLOOKUP(Consulta1[[#This Row],[Coluna2]],CALENDARIO!$J:$K,2,FALSE)</f>
        <v>10</v>
      </c>
    </row>
    <row r="948" spans="1:23" x14ac:dyDescent="0.25">
      <c r="A948" t="s">
        <v>809</v>
      </c>
      <c r="B948" t="str">
        <f>CONCATENATE(Consulta1[[#This Row],[id]],Consulta1[[#This Row],[EMPREGADOR]])</f>
        <v>2PREF ITANHAEM</v>
      </c>
      <c r="C948" s="6">
        <f>IF(A948=A947,C947+1,1)</f>
        <v>2</v>
      </c>
      <c r="D948" t="s">
        <v>224</v>
      </c>
      <c r="E948" s="101">
        <v>2.3900000000000001E-2</v>
      </c>
      <c r="F948" s="6">
        <v>120</v>
      </c>
      <c r="G948" t="s">
        <v>1349</v>
      </c>
      <c r="H948" s="82">
        <v>2.5</v>
      </c>
      <c r="I948">
        <v>27</v>
      </c>
      <c r="J948">
        <v>47</v>
      </c>
      <c r="K948" t="s">
        <v>1861</v>
      </c>
      <c r="L948" s="6" t="s">
        <v>1697</v>
      </c>
      <c r="M948" s="6">
        <v>17</v>
      </c>
      <c r="N948" s="6">
        <v>2</v>
      </c>
      <c r="O948">
        <v>500</v>
      </c>
      <c r="P948">
        <v>202605</v>
      </c>
      <c r="Q948" t="s">
        <v>378</v>
      </c>
      <c r="R948" t="s">
        <v>1353</v>
      </c>
      <c r="S948">
        <f>Consulta1[[#This Row],[min_port]]/100</f>
        <v>1.7399999999999999E-2</v>
      </c>
      <c r="T948" s="252">
        <f>Consulta1[[#This Row],[TETO_COMERCIAL]]/100</f>
        <v>2.5000000000000001E-2</v>
      </c>
      <c r="U948" t="b">
        <f>Consulta1[[#This Row],[TETO_COMERCIAL_%]]=Consulta1[[#This Row],[TAXA]]</f>
        <v>0</v>
      </c>
      <c r="V948" t="str">
        <f>CONCATENATE(Consulta1[[#This Row],[MES_ALTERACAO]],Consulta1[[#This Row],[VIRADA]])</f>
        <v>20260517</v>
      </c>
      <c r="W948">
        <f>VLOOKUP(Consulta1[[#This Row],[Coluna2]],CALENDARIO!$J:$K,2,FALSE)</f>
        <v>10</v>
      </c>
    </row>
    <row r="949" spans="1:23" x14ac:dyDescent="0.25">
      <c r="A949" t="s">
        <v>809</v>
      </c>
      <c r="B949" t="str">
        <f>CONCATENATE(Consulta1[[#This Row],[id]],Consulta1[[#This Row],[EMPREGADOR]])</f>
        <v>3PREF ITANHAEM</v>
      </c>
      <c r="C949" s="6">
        <f>IF(A949=A948,C948+1,1)</f>
        <v>3</v>
      </c>
      <c r="D949" t="s">
        <v>207</v>
      </c>
      <c r="E949" s="101">
        <v>2.29E-2</v>
      </c>
      <c r="F949" s="6">
        <v>120</v>
      </c>
      <c r="G949" t="s">
        <v>1349</v>
      </c>
      <c r="H949" s="82">
        <v>2.5</v>
      </c>
      <c r="I949">
        <v>27</v>
      </c>
      <c r="J949">
        <v>46</v>
      </c>
      <c r="K949" t="s">
        <v>1862</v>
      </c>
      <c r="L949" s="6" t="s">
        <v>1697</v>
      </c>
      <c r="M949" s="6">
        <v>17</v>
      </c>
      <c r="N949" s="6">
        <v>2</v>
      </c>
      <c r="O949">
        <v>500</v>
      </c>
      <c r="P949">
        <v>202605</v>
      </c>
      <c r="Q949" t="s">
        <v>378</v>
      </c>
      <c r="R949" t="s">
        <v>1353</v>
      </c>
      <c r="S949">
        <f>Consulta1[[#This Row],[min_port]]/100</f>
        <v>1.7399999999999999E-2</v>
      </c>
      <c r="T949" s="252">
        <f>Consulta1[[#This Row],[TETO_COMERCIAL]]/100</f>
        <v>2.5000000000000001E-2</v>
      </c>
      <c r="U949" t="b">
        <f>Consulta1[[#This Row],[TETO_COMERCIAL_%]]=Consulta1[[#This Row],[TAXA]]</f>
        <v>0</v>
      </c>
      <c r="V949" t="str">
        <f>CONCATENATE(Consulta1[[#This Row],[MES_ALTERACAO]],Consulta1[[#This Row],[VIRADA]])</f>
        <v>20260517</v>
      </c>
      <c r="W949">
        <f>VLOOKUP(Consulta1[[#This Row],[Coluna2]],CALENDARIO!$J:$K,2,FALSE)</f>
        <v>10</v>
      </c>
    </row>
    <row r="950" spans="1:23" x14ac:dyDescent="0.25">
      <c r="A950" t="s">
        <v>809</v>
      </c>
      <c r="B950" t="str">
        <f>CONCATENATE(Consulta1[[#This Row],[id]],Consulta1[[#This Row],[EMPREGADOR]])</f>
        <v>4PREF ITANHAEM</v>
      </c>
      <c r="C950" s="6">
        <f>IF(A950=A949,C949+1,1)</f>
        <v>4</v>
      </c>
      <c r="D950" t="s">
        <v>225</v>
      </c>
      <c r="E950" s="101">
        <v>2.1899999999999999E-2</v>
      </c>
      <c r="F950" s="6">
        <v>120</v>
      </c>
      <c r="G950" t="s">
        <v>1349</v>
      </c>
      <c r="H950" s="82">
        <v>2.5</v>
      </c>
      <c r="I950">
        <v>27</v>
      </c>
      <c r="J950">
        <v>53</v>
      </c>
      <c r="K950" t="s">
        <v>1863</v>
      </c>
      <c r="L950" s="6" t="s">
        <v>1697</v>
      </c>
      <c r="M950" s="6">
        <v>17</v>
      </c>
      <c r="N950" s="6">
        <v>2</v>
      </c>
      <c r="O950">
        <v>500</v>
      </c>
      <c r="P950">
        <v>202605</v>
      </c>
      <c r="Q950" t="s">
        <v>378</v>
      </c>
      <c r="R950" t="s">
        <v>1353</v>
      </c>
      <c r="S950">
        <f>Consulta1[[#This Row],[min_port]]/100</f>
        <v>1.7399999999999999E-2</v>
      </c>
      <c r="T950" s="252">
        <f>Consulta1[[#This Row],[TETO_COMERCIAL]]/100</f>
        <v>2.5000000000000001E-2</v>
      </c>
      <c r="U950" t="b">
        <f>Consulta1[[#This Row],[TETO_COMERCIAL_%]]=Consulta1[[#This Row],[TAXA]]</f>
        <v>0</v>
      </c>
      <c r="V950" t="str">
        <f>CONCATENATE(Consulta1[[#This Row],[MES_ALTERACAO]],Consulta1[[#This Row],[VIRADA]])</f>
        <v>20260517</v>
      </c>
      <c r="W950">
        <f>VLOOKUP(Consulta1[[#This Row],[Coluna2]],CALENDARIO!$J:$K,2,FALSE)</f>
        <v>10</v>
      </c>
    </row>
    <row r="951" spans="1:23" x14ac:dyDescent="0.25">
      <c r="A951" t="s">
        <v>809</v>
      </c>
      <c r="B951" t="str">
        <f>CONCATENATE(Consulta1[[#This Row],[id]],Consulta1[[#This Row],[EMPREGADOR]])</f>
        <v>5PREF ITANHAEM</v>
      </c>
      <c r="C951" s="6">
        <f>IF(A951=A950,C950+1,1)</f>
        <v>5</v>
      </c>
      <c r="D951" t="s">
        <v>970</v>
      </c>
      <c r="E951" s="101">
        <v>2.0899999999999998E-2</v>
      </c>
      <c r="F951" s="6">
        <v>120</v>
      </c>
      <c r="G951" t="s">
        <v>1349</v>
      </c>
      <c r="H951" s="82">
        <v>2.5</v>
      </c>
      <c r="I951">
        <v>27</v>
      </c>
      <c r="J951">
        <v>47</v>
      </c>
      <c r="K951" t="s">
        <v>1864</v>
      </c>
      <c r="L951" s="6" t="s">
        <v>1697</v>
      </c>
      <c r="M951" s="6">
        <v>17</v>
      </c>
      <c r="N951" s="6">
        <v>2</v>
      </c>
      <c r="O951">
        <v>500</v>
      </c>
      <c r="P951">
        <v>202605</v>
      </c>
      <c r="Q951" t="s">
        <v>378</v>
      </c>
      <c r="R951" t="s">
        <v>1353</v>
      </c>
      <c r="S951">
        <f>Consulta1[[#This Row],[min_port]]/100</f>
        <v>1.7399999999999999E-2</v>
      </c>
      <c r="T951" s="252">
        <f>Consulta1[[#This Row],[TETO_COMERCIAL]]/100</f>
        <v>2.5000000000000001E-2</v>
      </c>
      <c r="U951" t="b">
        <f>Consulta1[[#This Row],[TETO_COMERCIAL_%]]=Consulta1[[#This Row],[TAXA]]</f>
        <v>0</v>
      </c>
      <c r="V951" t="str">
        <f>CONCATENATE(Consulta1[[#This Row],[MES_ALTERACAO]],Consulta1[[#This Row],[VIRADA]])</f>
        <v>20260517</v>
      </c>
      <c r="W951">
        <f>VLOOKUP(Consulta1[[#This Row],[Coluna2]],CALENDARIO!$J:$K,2,FALSE)</f>
        <v>10</v>
      </c>
    </row>
    <row r="952" spans="1:23" x14ac:dyDescent="0.25">
      <c r="A952" t="s">
        <v>809</v>
      </c>
      <c r="B952" t="str">
        <f>CONCATENATE(Consulta1[[#This Row],[id]],Consulta1[[#This Row],[EMPREGADOR]])</f>
        <v>6PREF ITANHAEM</v>
      </c>
      <c r="C952" s="6">
        <f>IF(A952=A951,C951+1,1)</f>
        <v>6</v>
      </c>
      <c r="D952" t="s">
        <v>971</v>
      </c>
      <c r="E952" s="101">
        <v>1.9900000000000001E-2</v>
      </c>
      <c r="F952" s="6">
        <v>120</v>
      </c>
      <c r="G952" t="s">
        <v>1349</v>
      </c>
      <c r="H952" s="82">
        <v>2.5</v>
      </c>
      <c r="I952">
        <v>27</v>
      </c>
      <c r="J952">
        <v>61</v>
      </c>
      <c r="K952" t="s">
        <v>1865</v>
      </c>
      <c r="L952" s="6" t="s">
        <v>1697</v>
      </c>
      <c r="M952" s="6">
        <v>17</v>
      </c>
      <c r="N952" s="6">
        <v>2</v>
      </c>
      <c r="O952">
        <v>500</v>
      </c>
      <c r="P952">
        <v>202605</v>
      </c>
      <c r="Q952" t="s">
        <v>378</v>
      </c>
      <c r="R952" t="s">
        <v>1353</v>
      </c>
      <c r="S952">
        <f>Consulta1[[#This Row],[min_port]]/100</f>
        <v>1.7399999999999999E-2</v>
      </c>
      <c r="T952" s="252">
        <f>Consulta1[[#This Row],[TETO_COMERCIAL]]/100</f>
        <v>2.5000000000000001E-2</v>
      </c>
      <c r="U952" t="b">
        <f>Consulta1[[#This Row],[TETO_COMERCIAL_%]]=Consulta1[[#This Row],[TAXA]]</f>
        <v>0</v>
      </c>
      <c r="V952" t="str">
        <f>CONCATENATE(Consulta1[[#This Row],[MES_ALTERACAO]],Consulta1[[#This Row],[VIRADA]])</f>
        <v>20260517</v>
      </c>
      <c r="W952">
        <f>VLOOKUP(Consulta1[[#This Row],[Coluna2]],CALENDARIO!$J:$K,2,FALSE)</f>
        <v>10</v>
      </c>
    </row>
    <row r="953" spans="1:23" x14ac:dyDescent="0.25">
      <c r="A953" t="s">
        <v>809</v>
      </c>
      <c r="B953" t="str">
        <f>CONCATENATE(Consulta1[[#This Row],[id]],Consulta1[[#This Row],[EMPREGADOR]])</f>
        <v>7PREF ITANHAEM</v>
      </c>
      <c r="C953" s="6">
        <f>IF(A953=A952,C952+1,1)</f>
        <v>7</v>
      </c>
      <c r="D953" t="s">
        <v>972</v>
      </c>
      <c r="E953" s="101">
        <v>1.89E-2</v>
      </c>
      <c r="F953" s="6">
        <v>120</v>
      </c>
      <c r="G953" t="s">
        <v>1349</v>
      </c>
      <c r="H953" s="82">
        <v>2.5</v>
      </c>
      <c r="I953">
        <v>27</v>
      </c>
      <c r="J953">
        <v>47</v>
      </c>
      <c r="K953" t="s">
        <v>1866</v>
      </c>
      <c r="L953" s="6" t="s">
        <v>1697</v>
      </c>
      <c r="M953" s="6">
        <v>17</v>
      </c>
      <c r="N953" s="6">
        <v>2</v>
      </c>
      <c r="O953">
        <v>500</v>
      </c>
      <c r="P953">
        <v>202605</v>
      </c>
      <c r="Q953" t="s">
        <v>378</v>
      </c>
      <c r="R953" t="s">
        <v>1353</v>
      </c>
      <c r="S953">
        <f>Consulta1[[#This Row],[min_port]]/100</f>
        <v>1.7399999999999999E-2</v>
      </c>
      <c r="T953" s="252">
        <f>Consulta1[[#This Row],[TETO_COMERCIAL]]/100</f>
        <v>2.5000000000000001E-2</v>
      </c>
      <c r="U953" t="b">
        <f>Consulta1[[#This Row],[TETO_COMERCIAL_%]]=Consulta1[[#This Row],[TAXA]]</f>
        <v>0</v>
      </c>
      <c r="V953" t="str">
        <f>CONCATENATE(Consulta1[[#This Row],[MES_ALTERACAO]],Consulta1[[#This Row],[VIRADA]])</f>
        <v>20260517</v>
      </c>
      <c r="W953">
        <f>VLOOKUP(Consulta1[[#This Row],[Coluna2]],CALENDARIO!$J:$K,2,FALSE)</f>
        <v>10</v>
      </c>
    </row>
    <row r="954" spans="1:23" x14ac:dyDescent="0.25">
      <c r="A954" t="s">
        <v>809</v>
      </c>
      <c r="B954" t="str">
        <f>CONCATENATE(Consulta1[[#This Row],[id]],Consulta1[[#This Row],[EMPREGADOR]])</f>
        <v>8PREF ITANHAEM</v>
      </c>
      <c r="C954" s="6">
        <f>IF(A954=A953,C953+1,1)</f>
        <v>8</v>
      </c>
      <c r="D954" t="s">
        <v>2549</v>
      </c>
      <c r="E954" s="101">
        <v>1.7899999999999999E-2</v>
      </c>
      <c r="F954" s="6">
        <v>120</v>
      </c>
      <c r="G954" t="s">
        <v>1349</v>
      </c>
      <c r="H954" s="82">
        <v>2.5</v>
      </c>
      <c r="I954">
        <v>27</v>
      </c>
      <c r="J954">
        <v>51</v>
      </c>
      <c r="K954" t="s">
        <v>2550</v>
      </c>
      <c r="L954" s="6" t="s">
        <v>1697</v>
      </c>
      <c r="M954" s="6">
        <v>17</v>
      </c>
      <c r="N954" s="6">
        <v>2</v>
      </c>
      <c r="O954">
        <v>500</v>
      </c>
      <c r="P954">
        <v>202605</v>
      </c>
      <c r="Q954" t="s">
        <v>378</v>
      </c>
      <c r="R954" t="s">
        <v>1353</v>
      </c>
      <c r="S954">
        <f>Consulta1[[#This Row],[min_port]]/100</f>
        <v>1.7399999999999999E-2</v>
      </c>
      <c r="T954" s="252">
        <f>Consulta1[[#This Row],[TETO_COMERCIAL]]/100</f>
        <v>2.5000000000000001E-2</v>
      </c>
      <c r="U954" t="b">
        <f>Consulta1[[#This Row],[TETO_COMERCIAL_%]]=Consulta1[[#This Row],[TAXA]]</f>
        <v>0</v>
      </c>
      <c r="V954" t="str">
        <f>CONCATENATE(Consulta1[[#This Row],[MES_ALTERACAO]],Consulta1[[#This Row],[VIRADA]])</f>
        <v>20260517</v>
      </c>
      <c r="W954">
        <f>VLOOKUP(Consulta1[[#This Row],[Coluna2]],CALENDARIO!$J:$K,2,FALSE)</f>
        <v>10</v>
      </c>
    </row>
    <row r="955" spans="1:23" x14ac:dyDescent="0.25">
      <c r="A955" t="s">
        <v>809</v>
      </c>
      <c r="B955" t="str">
        <f>CONCATENATE(Consulta1[[#This Row],[id]],Consulta1[[#This Row],[EMPREGADOR]])</f>
        <v>9PREF ITANHAEM</v>
      </c>
      <c r="C955" s="6">
        <f>IF(A955=A954,C954+1,1)</f>
        <v>9</v>
      </c>
      <c r="D955" t="s">
        <v>2551</v>
      </c>
      <c r="E955" s="101">
        <v>1.6500000000000001E-2</v>
      </c>
      <c r="F955" s="6">
        <v>120</v>
      </c>
      <c r="G955" t="s">
        <v>1349</v>
      </c>
      <c r="H955" s="82">
        <v>2.5</v>
      </c>
      <c r="I955">
        <v>27</v>
      </c>
      <c r="K955" t="s">
        <v>2552</v>
      </c>
      <c r="L955" s="6" t="s">
        <v>1697</v>
      </c>
      <c r="M955" s="6">
        <v>17</v>
      </c>
      <c r="N955" s="6">
        <v>2</v>
      </c>
      <c r="O955">
        <v>500</v>
      </c>
      <c r="P955">
        <v>202605</v>
      </c>
      <c r="Q955" t="s">
        <v>378</v>
      </c>
      <c r="R955" t="s">
        <v>1353</v>
      </c>
      <c r="S955">
        <f>Consulta1[[#This Row],[min_port]]/100</f>
        <v>1.7399999999999999E-2</v>
      </c>
      <c r="T955" s="252">
        <f>Consulta1[[#This Row],[TETO_COMERCIAL]]/100</f>
        <v>2.5000000000000001E-2</v>
      </c>
      <c r="U955" t="b">
        <f>Consulta1[[#This Row],[TETO_COMERCIAL_%]]=Consulta1[[#This Row],[TAXA]]</f>
        <v>0</v>
      </c>
      <c r="V955" t="str">
        <f>CONCATENATE(Consulta1[[#This Row],[MES_ALTERACAO]],Consulta1[[#This Row],[VIRADA]])</f>
        <v>20260517</v>
      </c>
      <c r="W955">
        <f>VLOOKUP(Consulta1[[#This Row],[Coluna2]],CALENDARIO!$J:$K,2,FALSE)</f>
        <v>10</v>
      </c>
    </row>
    <row r="956" spans="1:23" x14ac:dyDescent="0.25">
      <c r="A956" t="s">
        <v>3042</v>
      </c>
      <c r="B956" t="str">
        <f>CONCATENATE(Consulta1[[#This Row],[id]],Consulta1[[#This Row],[EMPREGADOR]])</f>
        <v>1PREF ITAPETININ</v>
      </c>
      <c r="C956" s="6">
        <f>IF(A956=A955,C955+1,1)</f>
        <v>1</v>
      </c>
      <c r="D956" t="s">
        <v>2460</v>
      </c>
      <c r="E956" s="101">
        <v>2.5000000000000001E-2</v>
      </c>
      <c r="F956" s="6">
        <v>120</v>
      </c>
      <c r="G956" t="s">
        <v>1349</v>
      </c>
      <c r="H956" s="82">
        <v>2.5</v>
      </c>
      <c r="I956">
        <v>25</v>
      </c>
      <c r="K956" t="s">
        <v>2461</v>
      </c>
      <c r="L956" s="6" t="s">
        <v>1352</v>
      </c>
      <c r="M956" s="6">
        <v>20</v>
      </c>
      <c r="N956" s="6">
        <v>2</v>
      </c>
      <c r="O956">
        <v>500</v>
      </c>
      <c r="P956">
        <v>202605</v>
      </c>
      <c r="Q956" t="s">
        <v>377</v>
      </c>
      <c r="R956" t="s">
        <v>1353</v>
      </c>
      <c r="S956">
        <f>Consulta1[[#This Row],[min_port]]/100</f>
        <v>1.7500000000000002E-2</v>
      </c>
      <c r="T956" s="252">
        <f>Consulta1[[#This Row],[TETO_COMERCIAL]]/100</f>
        <v>2.5000000000000001E-2</v>
      </c>
      <c r="U956" t="b">
        <f>Consulta1[[#This Row],[TETO_COMERCIAL_%]]=Consulta1[[#This Row],[TAXA]]</f>
        <v>1</v>
      </c>
      <c r="V956" t="str">
        <f>CONCATENATE(Consulta1[[#This Row],[MES_ALTERACAO]],Consulta1[[#This Row],[VIRADA]])</f>
        <v>20260520</v>
      </c>
      <c r="W956">
        <f>VLOOKUP(Consulta1[[#This Row],[Coluna2]],CALENDARIO!$J:$K,2,FALSE)</f>
        <v>13</v>
      </c>
    </row>
    <row r="957" spans="1:23" x14ac:dyDescent="0.25">
      <c r="A957" t="s">
        <v>3042</v>
      </c>
      <c r="B957" t="str">
        <f>CONCATENATE(Consulta1[[#This Row],[id]],Consulta1[[#This Row],[EMPREGADOR]])</f>
        <v>2PREF ITAPETININ</v>
      </c>
      <c r="C957" s="6">
        <f>IF(A957=A956,C956+1,1)</f>
        <v>2</v>
      </c>
      <c r="D957" t="s">
        <v>276</v>
      </c>
      <c r="E957" s="101">
        <v>0.02</v>
      </c>
      <c r="F957" s="6">
        <v>120</v>
      </c>
      <c r="G957" t="s">
        <v>1349</v>
      </c>
      <c r="H957" s="82">
        <v>2.5</v>
      </c>
      <c r="I957">
        <v>25</v>
      </c>
      <c r="J957">
        <v>54</v>
      </c>
      <c r="K957" t="s">
        <v>1867</v>
      </c>
      <c r="L957" s="6" t="s">
        <v>1352</v>
      </c>
      <c r="M957" s="6">
        <v>20</v>
      </c>
      <c r="N957" s="6">
        <v>2</v>
      </c>
      <c r="O957">
        <v>500</v>
      </c>
      <c r="P957">
        <v>202605</v>
      </c>
      <c r="Q957" t="s">
        <v>377</v>
      </c>
      <c r="R957" t="s">
        <v>1353</v>
      </c>
      <c r="S957">
        <f>Consulta1[[#This Row],[min_port]]/100</f>
        <v>1.7500000000000002E-2</v>
      </c>
      <c r="T957" s="252">
        <f>Consulta1[[#This Row],[TETO_COMERCIAL]]/100</f>
        <v>2.5000000000000001E-2</v>
      </c>
      <c r="U957" t="b">
        <f>Consulta1[[#This Row],[TETO_COMERCIAL_%]]=Consulta1[[#This Row],[TAXA]]</f>
        <v>0</v>
      </c>
      <c r="V957" t="str">
        <f>CONCATENATE(Consulta1[[#This Row],[MES_ALTERACAO]],Consulta1[[#This Row],[VIRADA]])</f>
        <v>20260520</v>
      </c>
      <c r="W957">
        <f>VLOOKUP(Consulta1[[#This Row],[Coluna2]],CALENDARIO!$J:$K,2,FALSE)</f>
        <v>13</v>
      </c>
    </row>
    <row r="958" spans="1:23" x14ac:dyDescent="0.25">
      <c r="A958" t="s">
        <v>3042</v>
      </c>
      <c r="B958" t="str">
        <f>CONCATENATE(Consulta1[[#This Row],[id]],Consulta1[[#This Row],[EMPREGADOR]])</f>
        <v>3PREF ITAPETININ</v>
      </c>
      <c r="C958" s="6">
        <f>IF(A958=A957,C957+1,1)</f>
        <v>3</v>
      </c>
      <c r="D958" t="s">
        <v>2462</v>
      </c>
      <c r="E958" s="101">
        <v>1.95E-2</v>
      </c>
      <c r="F958" s="6">
        <v>120</v>
      </c>
      <c r="G958" t="s">
        <v>1349</v>
      </c>
      <c r="H958" s="82">
        <v>2.5</v>
      </c>
      <c r="I958">
        <v>25</v>
      </c>
      <c r="J958">
        <v>55</v>
      </c>
      <c r="K958" t="s">
        <v>2463</v>
      </c>
      <c r="L958" s="6" t="s">
        <v>1352</v>
      </c>
      <c r="M958" s="6">
        <v>20</v>
      </c>
      <c r="N958" s="6">
        <v>2</v>
      </c>
      <c r="O958">
        <v>500</v>
      </c>
      <c r="P958">
        <v>202605</v>
      </c>
      <c r="Q958" t="s">
        <v>377</v>
      </c>
      <c r="R958" t="s">
        <v>1353</v>
      </c>
      <c r="S958">
        <f>Consulta1[[#This Row],[min_port]]/100</f>
        <v>1.7500000000000002E-2</v>
      </c>
      <c r="T958" s="252">
        <f>Consulta1[[#This Row],[TETO_COMERCIAL]]/100</f>
        <v>2.5000000000000001E-2</v>
      </c>
      <c r="U958" t="b">
        <f>Consulta1[[#This Row],[TETO_COMERCIAL_%]]=Consulta1[[#This Row],[TAXA]]</f>
        <v>0</v>
      </c>
      <c r="V958" t="str">
        <f>CONCATENATE(Consulta1[[#This Row],[MES_ALTERACAO]],Consulta1[[#This Row],[VIRADA]])</f>
        <v>20260520</v>
      </c>
      <c r="W958">
        <f>VLOOKUP(Consulta1[[#This Row],[Coluna2]],CALENDARIO!$J:$K,2,FALSE)</f>
        <v>13</v>
      </c>
    </row>
    <row r="959" spans="1:23" x14ac:dyDescent="0.25">
      <c r="A959" t="s">
        <v>3042</v>
      </c>
      <c r="B959" t="str">
        <f>CONCATENATE(Consulta1[[#This Row],[id]],Consulta1[[#This Row],[EMPREGADOR]])</f>
        <v>4PREF ITAPETININ</v>
      </c>
      <c r="C959" s="6">
        <f>IF(A959=A958,C958+1,1)</f>
        <v>4</v>
      </c>
      <c r="D959" t="s">
        <v>2464</v>
      </c>
      <c r="E959" s="101">
        <v>1.9E-2</v>
      </c>
      <c r="F959" s="6">
        <v>120</v>
      </c>
      <c r="G959" t="s">
        <v>1349</v>
      </c>
      <c r="H959" s="82">
        <v>2.5</v>
      </c>
      <c r="I959">
        <v>25</v>
      </c>
      <c r="J959">
        <v>41</v>
      </c>
      <c r="K959" t="s">
        <v>2465</v>
      </c>
      <c r="L959" s="6" t="s">
        <v>1352</v>
      </c>
      <c r="M959" s="6">
        <v>20</v>
      </c>
      <c r="N959" s="6">
        <v>2</v>
      </c>
      <c r="O959">
        <v>500</v>
      </c>
      <c r="P959">
        <v>202605</v>
      </c>
      <c r="Q959" t="s">
        <v>377</v>
      </c>
      <c r="R959" t="s">
        <v>1353</v>
      </c>
      <c r="S959">
        <f>Consulta1[[#This Row],[min_port]]/100</f>
        <v>1.7500000000000002E-2</v>
      </c>
      <c r="T959" s="252">
        <f>Consulta1[[#This Row],[TETO_COMERCIAL]]/100</f>
        <v>2.5000000000000001E-2</v>
      </c>
      <c r="U959" t="b">
        <f>Consulta1[[#This Row],[TETO_COMERCIAL_%]]=Consulta1[[#This Row],[TAXA]]</f>
        <v>0</v>
      </c>
      <c r="V959" t="str">
        <f>CONCATENATE(Consulta1[[#This Row],[MES_ALTERACAO]],Consulta1[[#This Row],[VIRADA]])</f>
        <v>20260520</v>
      </c>
      <c r="W959">
        <f>VLOOKUP(Consulta1[[#This Row],[Coluna2]],CALENDARIO!$J:$K,2,FALSE)</f>
        <v>13</v>
      </c>
    </row>
    <row r="960" spans="1:23" x14ac:dyDescent="0.25">
      <c r="A960" t="s">
        <v>3043</v>
      </c>
      <c r="B960" t="str">
        <f>CONCATENATE(Consulta1[[#This Row],[id]],Consulta1[[#This Row],[EMPREGADOR]])</f>
        <v>1PREF ITAPEVA</v>
      </c>
      <c r="C960" s="6">
        <f>IF(A960=A959,C959+1,1)</f>
        <v>1</v>
      </c>
      <c r="D960" t="s">
        <v>696</v>
      </c>
      <c r="E960" s="101">
        <v>2.5000000000000001E-2</v>
      </c>
      <c r="F960" s="6">
        <v>120</v>
      </c>
      <c r="G960" t="s">
        <v>1349</v>
      </c>
      <c r="H960" s="82">
        <v>2.5</v>
      </c>
      <c r="I960">
        <v>25</v>
      </c>
      <c r="K960" t="s">
        <v>1868</v>
      </c>
      <c r="L960" s="6" t="s">
        <v>1409</v>
      </c>
      <c r="M960" s="6">
        <v>15</v>
      </c>
      <c r="N960" s="6">
        <v>2</v>
      </c>
      <c r="O960">
        <v>500</v>
      </c>
      <c r="P960">
        <v>202605</v>
      </c>
      <c r="Q960" t="s">
        <v>377</v>
      </c>
      <c r="R960" t="s">
        <v>1353</v>
      </c>
      <c r="S960">
        <f>Consulta1[[#This Row],[min_port]]/100</f>
        <v>1.55E-2</v>
      </c>
      <c r="T960" s="252">
        <f>Consulta1[[#This Row],[TETO_COMERCIAL]]/100</f>
        <v>2.5000000000000001E-2</v>
      </c>
      <c r="U960" t="b">
        <f>Consulta1[[#This Row],[TETO_COMERCIAL_%]]=Consulta1[[#This Row],[TAXA]]</f>
        <v>1</v>
      </c>
      <c r="V960" t="str">
        <f>CONCATENATE(Consulta1[[#This Row],[MES_ALTERACAO]],Consulta1[[#This Row],[VIRADA]])</f>
        <v>20260515</v>
      </c>
      <c r="W960">
        <f>VLOOKUP(Consulta1[[#This Row],[Coluna2]],CALENDARIO!$J:$K,2,FALSE)</f>
        <v>10</v>
      </c>
    </row>
    <row r="961" spans="1:23" x14ac:dyDescent="0.25">
      <c r="A961" t="s">
        <v>3043</v>
      </c>
      <c r="B961" t="str">
        <f>CONCATENATE(Consulta1[[#This Row],[id]],Consulta1[[#This Row],[EMPREGADOR]])</f>
        <v>2PREF ITAPEVA</v>
      </c>
      <c r="C961" s="6">
        <f>IF(A961=A960,C960+1,1)</f>
        <v>2</v>
      </c>
      <c r="D961" t="s">
        <v>279</v>
      </c>
      <c r="E961" s="101">
        <v>2.29E-2</v>
      </c>
      <c r="F961" s="6">
        <v>120</v>
      </c>
      <c r="G961" t="s">
        <v>1349</v>
      </c>
      <c r="H961" s="82">
        <v>2.5</v>
      </c>
      <c r="I961">
        <v>25</v>
      </c>
      <c r="J961">
        <v>54</v>
      </c>
      <c r="K961" t="s">
        <v>1869</v>
      </c>
      <c r="L961" s="6" t="s">
        <v>1409</v>
      </c>
      <c r="M961" s="6">
        <v>15</v>
      </c>
      <c r="N961" s="6">
        <v>2</v>
      </c>
      <c r="O961">
        <v>500</v>
      </c>
      <c r="P961">
        <v>202605</v>
      </c>
      <c r="Q961" t="s">
        <v>377</v>
      </c>
      <c r="R961" t="s">
        <v>1353</v>
      </c>
      <c r="S961">
        <f>Consulta1[[#This Row],[min_port]]/100</f>
        <v>1.55E-2</v>
      </c>
      <c r="T961" s="252">
        <f>Consulta1[[#This Row],[TETO_COMERCIAL]]/100</f>
        <v>2.5000000000000001E-2</v>
      </c>
      <c r="U961" t="b">
        <f>Consulta1[[#This Row],[TETO_COMERCIAL_%]]=Consulta1[[#This Row],[TAXA]]</f>
        <v>0</v>
      </c>
      <c r="V961" t="str">
        <f>CONCATENATE(Consulta1[[#This Row],[MES_ALTERACAO]],Consulta1[[#This Row],[VIRADA]])</f>
        <v>20260515</v>
      </c>
      <c r="W961">
        <f>VLOOKUP(Consulta1[[#This Row],[Coluna2]],CALENDARIO!$J:$K,2,FALSE)</f>
        <v>10</v>
      </c>
    </row>
    <row r="962" spans="1:23" x14ac:dyDescent="0.25">
      <c r="A962" t="s">
        <v>3043</v>
      </c>
      <c r="B962" t="str">
        <f>CONCATENATE(Consulta1[[#This Row],[id]],Consulta1[[#This Row],[EMPREGADOR]])</f>
        <v>3PREF ITAPEVA</v>
      </c>
      <c r="C962" s="6">
        <f>IF(A962=A961,C961+1,1)</f>
        <v>3</v>
      </c>
      <c r="D962" t="s">
        <v>697</v>
      </c>
      <c r="E962" s="101">
        <v>2.2599999999999999E-2</v>
      </c>
      <c r="F962" s="6">
        <v>120</v>
      </c>
      <c r="G962" t="s">
        <v>1349</v>
      </c>
      <c r="H962" s="82">
        <v>2.5</v>
      </c>
      <c r="I962">
        <v>25</v>
      </c>
      <c r="J962">
        <v>44</v>
      </c>
      <c r="K962" t="s">
        <v>1870</v>
      </c>
      <c r="L962" s="6" t="s">
        <v>1409</v>
      </c>
      <c r="M962" s="6">
        <v>15</v>
      </c>
      <c r="N962" s="6">
        <v>2</v>
      </c>
      <c r="O962">
        <v>500</v>
      </c>
      <c r="P962">
        <v>202605</v>
      </c>
      <c r="Q962" t="s">
        <v>377</v>
      </c>
      <c r="R962" t="s">
        <v>1353</v>
      </c>
      <c r="S962">
        <f>Consulta1[[#This Row],[min_port]]/100</f>
        <v>1.55E-2</v>
      </c>
      <c r="T962" s="252">
        <f>Consulta1[[#This Row],[TETO_COMERCIAL]]/100</f>
        <v>2.5000000000000001E-2</v>
      </c>
      <c r="U962" t="b">
        <f>Consulta1[[#This Row],[TETO_COMERCIAL_%]]=Consulta1[[#This Row],[TAXA]]</f>
        <v>0</v>
      </c>
      <c r="V962" t="str">
        <f>CONCATENATE(Consulta1[[#This Row],[MES_ALTERACAO]],Consulta1[[#This Row],[VIRADA]])</f>
        <v>20260515</v>
      </c>
      <c r="W962">
        <f>VLOOKUP(Consulta1[[#This Row],[Coluna2]],CALENDARIO!$J:$K,2,FALSE)</f>
        <v>10</v>
      </c>
    </row>
    <row r="963" spans="1:23" x14ac:dyDescent="0.25">
      <c r="A963" t="s">
        <v>3043</v>
      </c>
      <c r="B963" t="str">
        <f>CONCATENATE(Consulta1[[#This Row],[id]],Consulta1[[#This Row],[EMPREGADOR]])</f>
        <v>4PREF ITAPEVA</v>
      </c>
      <c r="C963" s="6">
        <f>IF(A963=A962,C962+1,1)</f>
        <v>4</v>
      </c>
      <c r="D963" t="s">
        <v>698</v>
      </c>
      <c r="E963" s="101">
        <v>2.2400000000000003E-2</v>
      </c>
      <c r="F963" s="6">
        <v>120</v>
      </c>
      <c r="G963" t="s">
        <v>1349</v>
      </c>
      <c r="H963" s="82">
        <v>2.5</v>
      </c>
      <c r="I963">
        <v>25</v>
      </c>
      <c r="J963">
        <v>53</v>
      </c>
      <c r="K963" t="s">
        <v>1871</v>
      </c>
      <c r="L963" s="6" t="s">
        <v>1409</v>
      </c>
      <c r="M963" s="6">
        <v>15</v>
      </c>
      <c r="N963" s="6">
        <v>2</v>
      </c>
      <c r="O963">
        <v>500</v>
      </c>
      <c r="P963">
        <v>202605</v>
      </c>
      <c r="Q963" t="s">
        <v>377</v>
      </c>
      <c r="R963" t="s">
        <v>1353</v>
      </c>
      <c r="S963">
        <f>Consulta1[[#This Row],[min_port]]/100</f>
        <v>1.55E-2</v>
      </c>
      <c r="T963" s="252">
        <f>Consulta1[[#This Row],[TETO_COMERCIAL]]/100</f>
        <v>2.5000000000000001E-2</v>
      </c>
      <c r="U963" t="b">
        <f>Consulta1[[#This Row],[TETO_COMERCIAL_%]]=Consulta1[[#This Row],[TAXA]]</f>
        <v>0</v>
      </c>
      <c r="V963" t="str">
        <f>CONCATENATE(Consulta1[[#This Row],[MES_ALTERACAO]],Consulta1[[#This Row],[VIRADA]])</f>
        <v>20260515</v>
      </c>
      <c r="W963">
        <f>VLOOKUP(Consulta1[[#This Row],[Coluna2]],CALENDARIO!$J:$K,2,FALSE)</f>
        <v>10</v>
      </c>
    </row>
    <row r="964" spans="1:23" x14ac:dyDescent="0.25">
      <c r="A964" t="s">
        <v>723</v>
      </c>
      <c r="B964" t="str">
        <f>CONCATENATE(Consulta1[[#This Row],[id]],Consulta1[[#This Row],[EMPREGADOR]])</f>
        <v>1PREF ITAPIPOCA</v>
      </c>
      <c r="C964" s="6">
        <f>IF(A964=A963,C963+1,1)</f>
        <v>1</v>
      </c>
      <c r="D964" t="s">
        <v>724</v>
      </c>
      <c r="E964" s="101">
        <v>2.5000000000000001E-2</v>
      </c>
      <c r="F964" s="6">
        <v>120</v>
      </c>
      <c r="G964" t="s">
        <v>1349</v>
      </c>
      <c r="H964" s="82">
        <v>2.5</v>
      </c>
      <c r="I964">
        <v>10</v>
      </c>
      <c r="K964" t="s">
        <v>1872</v>
      </c>
      <c r="L964" s="6" t="s">
        <v>1873</v>
      </c>
      <c r="M964" s="6">
        <v>10</v>
      </c>
      <c r="N964" s="6">
        <v>2</v>
      </c>
      <c r="O964">
        <v>500</v>
      </c>
      <c r="P964">
        <v>202605</v>
      </c>
      <c r="Q964" t="s">
        <v>377</v>
      </c>
      <c r="R964" t="s">
        <v>1353</v>
      </c>
      <c r="S964">
        <f>Consulta1[[#This Row],[min_port]]/100</f>
        <v>1.7000000000000001E-2</v>
      </c>
      <c r="T964" s="252">
        <f>Consulta1[[#This Row],[TETO_COMERCIAL]]/100</f>
        <v>2.5000000000000001E-2</v>
      </c>
      <c r="U964" t="b">
        <f>Consulta1[[#This Row],[TETO_COMERCIAL_%]]=Consulta1[[#This Row],[TAXA]]</f>
        <v>1</v>
      </c>
      <c r="V964" t="str">
        <f>CONCATENATE(Consulta1[[#This Row],[MES_ALTERACAO]],Consulta1[[#This Row],[VIRADA]])</f>
        <v>20260510</v>
      </c>
      <c r="W964">
        <f>VLOOKUP(Consulta1[[#This Row],[Coluna2]],CALENDARIO!$J:$K,2,FALSE)</f>
        <v>5</v>
      </c>
    </row>
    <row r="965" spans="1:23" x14ac:dyDescent="0.25">
      <c r="A965" t="s">
        <v>723</v>
      </c>
      <c r="B965" t="str">
        <f>CONCATENATE(Consulta1[[#This Row],[id]],Consulta1[[#This Row],[EMPREGADOR]])</f>
        <v>2PREF ITAPIPOCA</v>
      </c>
      <c r="C965" s="6">
        <f>IF(A965=A964,C964+1,1)</f>
        <v>2</v>
      </c>
      <c r="D965" t="s">
        <v>725</v>
      </c>
      <c r="E965" s="101">
        <v>2.4E-2</v>
      </c>
      <c r="F965" s="6">
        <v>120</v>
      </c>
      <c r="G965" t="s">
        <v>1349</v>
      </c>
      <c r="H965" s="82">
        <v>2.5</v>
      </c>
      <c r="I965">
        <v>10</v>
      </c>
      <c r="K965" t="s">
        <v>1874</v>
      </c>
      <c r="L965" s="6" t="s">
        <v>1873</v>
      </c>
      <c r="M965" s="6">
        <v>10</v>
      </c>
      <c r="N965" s="6">
        <v>2</v>
      </c>
      <c r="O965">
        <v>500</v>
      </c>
      <c r="P965">
        <v>202605</v>
      </c>
      <c r="Q965" t="s">
        <v>377</v>
      </c>
      <c r="R965" t="s">
        <v>1353</v>
      </c>
      <c r="S965">
        <f>Consulta1[[#This Row],[min_port]]/100</f>
        <v>1.7000000000000001E-2</v>
      </c>
      <c r="T965" s="252">
        <f>Consulta1[[#This Row],[TETO_COMERCIAL]]/100</f>
        <v>2.5000000000000001E-2</v>
      </c>
      <c r="U965" t="b">
        <f>Consulta1[[#This Row],[TETO_COMERCIAL_%]]=Consulta1[[#This Row],[TAXA]]</f>
        <v>0</v>
      </c>
      <c r="V965" t="str">
        <f>CONCATENATE(Consulta1[[#This Row],[MES_ALTERACAO]],Consulta1[[#This Row],[VIRADA]])</f>
        <v>20260510</v>
      </c>
      <c r="W965">
        <f>VLOOKUP(Consulta1[[#This Row],[Coluna2]],CALENDARIO!$J:$K,2,FALSE)</f>
        <v>5</v>
      </c>
    </row>
    <row r="966" spans="1:23" x14ac:dyDescent="0.25">
      <c r="A966" t="s">
        <v>723</v>
      </c>
      <c r="B966" t="str">
        <f>CONCATENATE(Consulta1[[#This Row],[id]],Consulta1[[#This Row],[EMPREGADOR]])</f>
        <v>3PREF ITAPIPOCA</v>
      </c>
      <c r="C966" s="6">
        <f>IF(A966=A965,C965+1,1)</f>
        <v>3</v>
      </c>
      <c r="D966" t="s">
        <v>726</v>
      </c>
      <c r="E966" s="101">
        <v>2.3E-2</v>
      </c>
      <c r="F966" s="6">
        <v>120</v>
      </c>
      <c r="G966" t="s">
        <v>1349</v>
      </c>
      <c r="H966" s="82">
        <v>2.5</v>
      </c>
      <c r="I966">
        <v>10</v>
      </c>
      <c r="J966">
        <v>57</v>
      </c>
      <c r="K966" t="s">
        <v>1875</v>
      </c>
      <c r="L966" s="6" t="s">
        <v>1873</v>
      </c>
      <c r="M966" s="6">
        <v>10</v>
      </c>
      <c r="N966" s="6">
        <v>2</v>
      </c>
      <c r="O966">
        <v>500</v>
      </c>
      <c r="P966">
        <v>202605</v>
      </c>
      <c r="Q966" t="s">
        <v>377</v>
      </c>
      <c r="R966" t="s">
        <v>1353</v>
      </c>
      <c r="S966">
        <f>Consulta1[[#This Row],[min_port]]/100</f>
        <v>1.7000000000000001E-2</v>
      </c>
      <c r="T966" s="252">
        <f>Consulta1[[#This Row],[TETO_COMERCIAL]]/100</f>
        <v>2.5000000000000001E-2</v>
      </c>
      <c r="U966" t="b">
        <f>Consulta1[[#This Row],[TETO_COMERCIAL_%]]=Consulta1[[#This Row],[TAXA]]</f>
        <v>0</v>
      </c>
      <c r="V966" t="str">
        <f>CONCATENATE(Consulta1[[#This Row],[MES_ALTERACAO]],Consulta1[[#This Row],[VIRADA]])</f>
        <v>20260510</v>
      </c>
      <c r="W966">
        <f>VLOOKUP(Consulta1[[#This Row],[Coluna2]],CALENDARIO!$J:$K,2,FALSE)</f>
        <v>5</v>
      </c>
    </row>
    <row r="967" spans="1:23" x14ac:dyDescent="0.25">
      <c r="A967" t="s">
        <v>723</v>
      </c>
      <c r="B967" t="str">
        <f>CONCATENATE(Consulta1[[#This Row],[id]],Consulta1[[#This Row],[EMPREGADOR]])</f>
        <v>4PREF ITAPIPOCA</v>
      </c>
      <c r="C967" s="6">
        <f>IF(A967=A966,C966+1,1)</f>
        <v>4</v>
      </c>
      <c r="D967" t="s">
        <v>1099</v>
      </c>
      <c r="E967" s="101">
        <v>2.2000000000000002E-2</v>
      </c>
      <c r="F967" s="6">
        <v>120</v>
      </c>
      <c r="G967" t="s">
        <v>1349</v>
      </c>
      <c r="H967" s="82">
        <v>2.5</v>
      </c>
      <c r="I967">
        <v>10</v>
      </c>
      <c r="J967">
        <v>52</v>
      </c>
      <c r="K967" t="s">
        <v>1876</v>
      </c>
      <c r="L967" s="6" t="s">
        <v>1873</v>
      </c>
      <c r="M967" s="6">
        <v>10</v>
      </c>
      <c r="N967" s="6">
        <v>2</v>
      </c>
      <c r="O967">
        <v>500</v>
      </c>
      <c r="P967">
        <v>202605</v>
      </c>
      <c r="Q967" t="s">
        <v>377</v>
      </c>
      <c r="R967" t="s">
        <v>1353</v>
      </c>
      <c r="S967">
        <f>Consulta1[[#This Row],[min_port]]/100</f>
        <v>1.7000000000000001E-2</v>
      </c>
      <c r="T967" s="252">
        <f>Consulta1[[#This Row],[TETO_COMERCIAL]]/100</f>
        <v>2.5000000000000001E-2</v>
      </c>
      <c r="U967" t="b">
        <f>Consulta1[[#This Row],[TETO_COMERCIAL_%]]=Consulta1[[#This Row],[TAXA]]</f>
        <v>0</v>
      </c>
      <c r="V967" t="str">
        <f>CONCATENATE(Consulta1[[#This Row],[MES_ALTERACAO]],Consulta1[[#This Row],[VIRADA]])</f>
        <v>20260510</v>
      </c>
      <c r="W967">
        <f>VLOOKUP(Consulta1[[#This Row],[Coluna2]],CALENDARIO!$J:$K,2,FALSE)</f>
        <v>5</v>
      </c>
    </row>
    <row r="968" spans="1:23" x14ac:dyDescent="0.25">
      <c r="A968" t="s">
        <v>723</v>
      </c>
      <c r="B968" t="str">
        <f>CONCATENATE(Consulta1[[#This Row],[id]],Consulta1[[#This Row],[EMPREGADOR]])</f>
        <v>5PREF ITAPIPOCA</v>
      </c>
      <c r="C968" s="6">
        <f>IF(A968=A967,C967+1,1)</f>
        <v>5</v>
      </c>
      <c r="D968" t="s">
        <v>1248</v>
      </c>
      <c r="E968" s="101">
        <v>1.83E-2</v>
      </c>
      <c r="F968" s="6">
        <v>120</v>
      </c>
      <c r="G968" t="s">
        <v>1349</v>
      </c>
      <c r="H968" s="82">
        <v>2.5</v>
      </c>
      <c r="I968">
        <v>10</v>
      </c>
      <c r="J968">
        <v>45</v>
      </c>
      <c r="K968" t="s">
        <v>1877</v>
      </c>
      <c r="L968" s="6" t="s">
        <v>1873</v>
      </c>
      <c r="M968" s="6">
        <v>10</v>
      </c>
      <c r="N968" s="6">
        <v>2</v>
      </c>
      <c r="O968">
        <v>500</v>
      </c>
      <c r="P968">
        <v>202605</v>
      </c>
      <c r="Q968" t="s">
        <v>377</v>
      </c>
      <c r="R968" t="s">
        <v>1353</v>
      </c>
      <c r="S968">
        <f>Consulta1[[#This Row],[min_port]]/100</f>
        <v>1.7000000000000001E-2</v>
      </c>
      <c r="T968" s="252">
        <f>Consulta1[[#This Row],[TETO_COMERCIAL]]/100</f>
        <v>2.5000000000000001E-2</v>
      </c>
      <c r="U968" t="b">
        <f>Consulta1[[#This Row],[TETO_COMERCIAL_%]]=Consulta1[[#This Row],[TAXA]]</f>
        <v>0</v>
      </c>
      <c r="V968" t="str">
        <f>CONCATENATE(Consulta1[[#This Row],[MES_ALTERACAO]],Consulta1[[#This Row],[VIRADA]])</f>
        <v>20260510</v>
      </c>
      <c r="W968">
        <f>VLOOKUP(Consulta1[[#This Row],[Coluna2]],CALENDARIO!$J:$K,2,FALSE)</f>
        <v>5</v>
      </c>
    </row>
    <row r="969" spans="1:23" x14ac:dyDescent="0.25">
      <c r="A969" t="s">
        <v>3044</v>
      </c>
      <c r="B969" t="str">
        <f>CONCATENATE(Consulta1[[#This Row],[id]],Consulta1[[#This Row],[EMPREGADOR]])</f>
        <v>1PREF ITAQUAQUA</v>
      </c>
      <c r="C969" s="6">
        <f>IF(A969=A968,C968+1,1)</f>
        <v>1</v>
      </c>
      <c r="D969" t="s">
        <v>598</v>
      </c>
      <c r="E969" s="101">
        <v>2.5000000000000001E-2</v>
      </c>
      <c r="F969" s="6">
        <v>120</v>
      </c>
      <c r="G969" t="s">
        <v>1349</v>
      </c>
      <c r="H969" s="82">
        <v>2.5</v>
      </c>
      <c r="I969">
        <v>11</v>
      </c>
      <c r="K969" t="s">
        <v>1878</v>
      </c>
      <c r="L969" s="6" t="s">
        <v>1407</v>
      </c>
      <c r="M969" s="6">
        <v>20</v>
      </c>
      <c r="N969" s="6">
        <v>2</v>
      </c>
      <c r="O969">
        <v>500</v>
      </c>
      <c r="P969">
        <v>202605</v>
      </c>
      <c r="Q969" t="s">
        <v>377</v>
      </c>
      <c r="R969" t="s">
        <v>1350</v>
      </c>
      <c r="S969">
        <f>Consulta1[[#This Row],[min_port]]/100</f>
        <v>1.49E-2</v>
      </c>
      <c r="T969" s="252">
        <f>Consulta1[[#This Row],[TETO_COMERCIAL]]/100</f>
        <v>2.5000000000000001E-2</v>
      </c>
      <c r="U969" t="b">
        <f>Consulta1[[#This Row],[TETO_COMERCIAL_%]]=Consulta1[[#This Row],[TAXA]]</f>
        <v>1</v>
      </c>
      <c r="V969" t="str">
        <f>CONCATENATE(Consulta1[[#This Row],[MES_ALTERACAO]],Consulta1[[#This Row],[VIRADA]])</f>
        <v>20260520</v>
      </c>
      <c r="W969">
        <f>VLOOKUP(Consulta1[[#This Row],[Coluna2]],CALENDARIO!$J:$K,2,FALSE)</f>
        <v>13</v>
      </c>
    </row>
    <row r="970" spans="1:23" x14ac:dyDescent="0.25">
      <c r="A970" t="s">
        <v>3044</v>
      </c>
      <c r="B970" t="str">
        <f>CONCATENATE(Consulta1[[#This Row],[id]],Consulta1[[#This Row],[EMPREGADOR]])</f>
        <v>2PREF ITAQUAQUA</v>
      </c>
      <c r="C970" s="6">
        <f>IF(A970=A969,C969+1,1)</f>
        <v>2</v>
      </c>
      <c r="D970" t="s">
        <v>260</v>
      </c>
      <c r="E970" s="101">
        <v>2.29E-2</v>
      </c>
      <c r="F970" s="6">
        <v>120</v>
      </c>
      <c r="G970" t="s">
        <v>1349</v>
      </c>
      <c r="H970" s="82">
        <v>2.5</v>
      </c>
      <c r="I970">
        <v>11</v>
      </c>
      <c r="J970">
        <v>25</v>
      </c>
      <c r="K970" t="s">
        <v>1879</v>
      </c>
      <c r="L970" s="6" t="s">
        <v>1407</v>
      </c>
      <c r="M970" s="6">
        <v>20</v>
      </c>
      <c r="N970" s="6">
        <v>2</v>
      </c>
      <c r="O970">
        <v>500</v>
      </c>
      <c r="P970">
        <v>202605</v>
      </c>
      <c r="Q970" t="s">
        <v>377</v>
      </c>
      <c r="R970" t="s">
        <v>1350</v>
      </c>
      <c r="S970">
        <f>Consulta1[[#This Row],[min_port]]/100</f>
        <v>1.49E-2</v>
      </c>
      <c r="T970" s="252">
        <f>Consulta1[[#This Row],[TETO_COMERCIAL]]/100</f>
        <v>2.5000000000000001E-2</v>
      </c>
      <c r="U970" t="b">
        <f>Consulta1[[#This Row],[TETO_COMERCIAL_%]]=Consulta1[[#This Row],[TAXA]]</f>
        <v>0</v>
      </c>
      <c r="V970" t="str">
        <f>CONCATENATE(Consulta1[[#This Row],[MES_ALTERACAO]],Consulta1[[#This Row],[VIRADA]])</f>
        <v>20260520</v>
      </c>
      <c r="W970">
        <f>VLOOKUP(Consulta1[[#This Row],[Coluna2]],CALENDARIO!$J:$K,2,FALSE)</f>
        <v>13</v>
      </c>
    </row>
    <row r="971" spans="1:23" x14ac:dyDescent="0.25">
      <c r="A971" t="s">
        <v>3044</v>
      </c>
      <c r="B971" t="str">
        <f>CONCATENATE(Consulta1[[#This Row],[id]],Consulta1[[#This Row],[EMPREGADOR]])</f>
        <v>3PREF ITAQUAQUA</v>
      </c>
      <c r="C971" s="6">
        <f>IF(A971=A970,C970+1,1)</f>
        <v>3</v>
      </c>
      <c r="D971" t="s">
        <v>261</v>
      </c>
      <c r="E971" s="101">
        <v>2.1899999999999999E-2</v>
      </c>
      <c r="F971" s="6">
        <v>120</v>
      </c>
      <c r="G971" t="s">
        <v>1349</v>
      </c>
      <c r="H971" s="82">
        <v>2.5</v>
      </c>
      <c r="I971">
        <v>11</v>
      </c>
      <c r="J971">
        <v>25</v>
      </c>
      <c r="K971" t="s">
        <v>1880</v>
      </c>
      <c r="L971" s="6" t="s">
        <v>1407</v>
      </c>
      <c r="M971" s="6">
        <v>20</v>
      </c>
      <c r="N971" s="6">
        <v>2</v>
      </c>
      <c r="O971">
        <v>500</v>
      </c>
      <c r="P971">
        <v>202605</v>
      </c>
      <c r="Q971" t="s">
        <v>377</v>
      </c>
      <c r="R971" t="s">
        <v>1350</v>
      </c>
      <c r="S971">
        <f>Consulta1[[#This Row],[min_port]]/100</f>
        <v>1.49E-2</v>
      </c>
      <c r="T971" s="252">
        <f>Consulta1[[#This Row],[TETO_COMERCIAL]]/100</f>
        <v>2.5000000000000001E-2</v>
      </c>
      <c r="U971" t="b">
        <f>Consulta1[[#This Row],[TETO_COMERCIAL_%]]=Consulta1[[#This Row],[TAXA]]</f>
        <v>0</v>
      </c>
      <c r="V971" t="str">
        <f>CONCATENATE(Consulta1[[#This Row],[MES_ALTERACAO]],Consulta1[[#This Row],[VIRADA]])</f>
        <v>20260520</v>
      </c>
      <c r="W971">
        <f>VLOOKUP(Consulta1[[#This Row],[Coluna2]],CALENDARIO!$J:$K,2,FALSE)</f>
        <v>13</v>
      </c>
    </row>
    <row r="972" spans="1:23" x14ac:dyDescent="0.25">
      <c r="A972" t="s">
        <v>3044</v>
      </c>
      <c r="B972" t="str">
        <f>CONCATENATE(Consulta1[[#This Row],[id]],Consulta1[[#This Row],[EMPREGADOR]])</f>
        <v>4PREF ITAQUAQUA</v>
      </c>
      <c r="C972" s="6">
        <f>IF(A972=A971,C971+1,1)</f>
        <v>4</v>
      </c>
      <c r="D972" t="s">
        <v>591</v>
      </c>
      <c r="E972" s="101">
        <v>2.1099999999999997E-2</v>
      </c>
      <c r="F972" s="6">
        <v>120</v>
      </c>
      <c r="G972" t="s">
        <v>1349</v>
      </c>
      <c r="H972" s="82">
        <v>2.5</v>
      </c>
      <c r="I972">
        <v>11</v>
      </c>
      <c r="K972" t="s">
        <v>1881</v>
      </c>
      <c r="L972" s="6" t="s">
        <v>1407</v>
      </c>
      <c r="M972" s="6">
        <v>20</v>
      </c>
      <c r="N972" s="6">
        <v>2</v>
      </c>
      <c r="O972">
        <v>500</v>
      </c>
      <c r="P972">
        <v>202605</v>
      </c>
      <c r="Q972" t="s">
        <v>377</v>
      </c>
      <c r="R972" t="s">
        <v>1350</v>
      </c>
      <c r="S972">
        <f>Consulta1[[#This Row],[min_port]]/100</f>
        <v>1.49E-2</v>
      </c>
      <c r="T972" s="252">
        <f>Consulta1[[#This Row],[TETO_COMERCIAL]]/100</f>
        <v>2.5000000000000001E-2</v>
      </c>
      <c r="U972" t="b">
        <f>Consulta1[[#This Row],[TETO_COMERCIAL_%]]=Consulta1[[#This Row],[TAXA]]</f>
        <v>0</v>
      </c>
      <c r="V972" t="str">
        <f>CONCATENATE(Consulta1[[#This Row],[MES_ALTERACAO]],Consulta1[[#This Row],[VIRADA]])</f>
        <v>20260520</v>
      </c>
      <c r="W972">
        <f>VLOOKUP(Consulta1[[#This Row],[Coluna2]],CALENDARIO!$J:$K,2,FALSE)</f>
        <v>13</v>
      </c>
    </row>
    <row r="973" spans="1:23" x14ac:dyDescent="0.25">
      <c r="A973" t="s">
        <v>2422</v>
      </c>
      <c r="B973" t="str">
        <f>CONCATENATE(Consulta1[[#This Row],[id]],Consulta1[[#This Row],[EMPREGADOR]])</f>
        <v>1PREF JACAREI</v>
      </c>
      <c r="C973" s="6">
        <f>IF(A973=A972,C972+1,1)</f>
        <v>1</v>
      </c>
      <c r="D973" t="s">
        <v>2423</v>
      </c>
      <c r="E973" s="101">
        <v>2.5000000000000001E-2</v>
      </c>
      <c r="F973" s="6">
        <v>120</v>
      </c>
      <c r="G973" t="s">
        <v>1349</v>
      </c>
      <c r="H973" s="82">
        <v>2.5</v>
      </c>
      <c r="I973">
        <v>25</v>
      </c>
      <c r="K973" t="s">
        <v>2424</v>
      </c>
      <c r="L973" s="6" t="s">
        <v>1399</v>
      </c>
      <c r="M973" s="6">
        <v>20</v>
      </c>
      <c r="N973" s="6">
        <v>2</v>
      </c>
      <c r="O973">
        <v>500</v>
      </c>
      <c r="P973">
        <v>202605</v>
      </c>
      <c r="Q973" t="s">
        <v>377</v>
      </c>
      <c r="R973" t="s">
        <v>1353</v>
      </c>
      <c r="S973">
        <f>Consulta1[[#This Row],[min_port]]/100</f>
        <v>1.3899999999999999E-2</v>
      </c>
      <c r="T973" s="252">
        <f>Consulta1[[#This Row],[TETO_COMERCIAL]]/100</f>
        <v>2.5000000000000001E-2</v>
      </c>
      <c r="U973" t="b">
        <f>Consulta1[[#This Row],[TETO_COMERCIAL_%]]=Consulta1[[#This Row],[TAXA]]</f>
        <v>1</v>
      </c>
      <c r="V973" t="str">
        <f>CONCATENATE(Consulta1[[#This Row],[MES_ALTERACAO]],Consulta1[[#This Row],[VIRADA]])</f>
        <v>20260520</v>
      </c>
      <c r="W973">
        <f>VLOOKUP(Consulta1[[#This Row],[Coluna2]],CALENDARIO!$J:$K,2,FALSE)</f>
        <v>13</v>
      </c>
    </row>
    <row r="974" spans="1:23" x14ac:dyDescent="0.25">
      <c r="A974" t="s">
        <v>2422</v>
      </c>
      <c r="B974" t="str">
        <f>CONCATENATE(Consulta1[[#This Row],[id]],Consulta1[[#This Row],[EMPREGADOR]])</f>
        <v>2PREF JACAREI</v>
      </c>
      <c r="C974" s="6">
        <f>IF(A974=A973,C973+1,1)</f>
        <v>2</v>
      </c>
      <c r="D974" t="s">
        <v>2425</v>
      </c>
      <c r="E974" s="101">
        <v>2.3900000000000001E-2</v>
      </c>
      <c r="F974" s="6">
        <v>120</v>
      </c>
      <c r="G974" t="s">
        <v>1349</v>
      </c>
      <c r="H974" s="82">
        <v>2.5</v>
      </c>
      <c r="I974">
        <v>25</v>
      </c>
      <c r="K974" t="s">
        <v>2426</v>
      </c>
      <c r="L974" s="6" t="s">
        <v>1399</v>
      </c>
      <c r="M974" s="6">
        <v>20</v>
      </c>
      <c r="N974" s="6">
        <v>2</v>
      </c>
      <c r="O974">
        <v>500</v>
      </c>
      <c r="P974">
        <v>202605</v>
      </c>
      <c r="Q974" t="s">
        <v>377</v>
      </c>
      <c r="R974" t="s">
        <v>1353</v>
      </c>
      <c r="S974">
        <f>Consulta1[[#This Row],[min_port]]/100</f>
        <v>1.3899999999999999E-2</v>
      </c>
      <c r="T974" s="252">
        <f>Consulta1[[#This Row],[TETO_COMERCIAL]]/100</f>
        <v>2.5000000000000001E-2</v>
      </c>
      <c r="U974" t="b">
        <f>Consulta1[[#This Row],[TETO_COMERCIAL_%]]=Consulta1[[#This Row],[TAXA]]</f>
        <v>0</v>
      </c>
      <c r="V974" t="str">
        <f>CONCATENATE(Consulta1[[#This Row],[MES_ALTERACAO]],Consulta1[[#This Row],[VIRADA]])</f>
        <v>20260520</v>
      </c>
      <c r="W974">
        <f>VLOOKUP(Consulta1[[#This Row],[Coluna2]],CALENDARIO!$J:$K,2,FALSE)</f>
        <v>13</v>
      </c>
    </row>
    <row r="975" spans="1:23" x14ac:dyDescent="0.25">
      <c r="A975" t="s">
        <v>2422</v>
      </c>
      <c r="B975" t="str">
        <f>CONCATENATE(Consulta1[[#This Row],[id]],Consulta1[[#This Row],[EMPREGADOR]])</f>
        <v>3PREF JACAREI</v>
      </c>
      <c r="C975" s="6">
        <f>IF(A975=A974,C974+1,1)</f>
        <v>3</v>
      </c>
      <c r="D975" t="s">
        <v>2427</v>
      </c>
      <c r="E975" s="101">
        <v>2.29E-2</v>
      </c>
      <c r="F975" s="6">
        <v>120</v>
      </c>
      <c r="G975" t="s">
        <v>1349</v>
      </c>
      <c r="H975" s="82">
        <v>2.5</v>
      </c>
      <c r="I975">
        <v>25</v>
      </c>
      <c r="K975" t="s">
        <v>2428</v>
      </c>
      <c r="L975" s="6" t="s">
        <v>1399</v>
      </c>
      <c r="M975" s="6">
        <v>20</v>
      </c>
      <c r="N975" s="6">
        <v>2</v>
      </c>
      <c r="O975">
        <v>500</v>
      </c>
      <c r="P975">
        <v>202605</v>
      </c>
      <c r="Q975" t="s">
        <v>377</v>
      </c>
      <c r="R975" t="s">
        <v>1353</v>
      </c>
      <c r="S975">
        <f>Consulta1[[#This Row],[min_port]]/100</f>
        <v>1.3899999999999999E-2</v>
      </c>
      <c r="T975" s="252">
        <f>Consulta1[[#This Row],[TETO_COMERCIAL]]/100</f>
        <v>2.5000000000000001E-2</v>
      </c>
      <c r="U975" t="b">
        <f>Consulta1[[#This Row],[TETO_COMERCIAL_%]]=Consulta1[[#This Row],[TAXA]]</f>
        <v>0</v>
      </c>
      <c r="V975" t="str">
        <f>CONCATENATE(Consulta1[[#This Row],[MES_ALTERACAO]],Consulta1[[#This Row],[VIRADA]])</f>
        <v>20260520</v>
      </c>
      <c r="W975">
        <f>VLOOKUP(Consulta1[[#This Row],[Coluna2]],CALENDARIO!$J:$K,2,FALSE)</f>
        <v>13</v>
      </c>
    </row>
    <row r="976" spans="1:23" x14ac:dyDescent="0.25">
      <c r="A976" t="s">
        <v>2422</v>
      </c>
      <c r="B976" t="str">
        <f>CONCATENATE(Consulta1[[#This Row],[id]],Consulta1[[#This Row],[EMPREGADOR]])</f>
        <v>4PREF JACAREI</v>
      </c>
      <c r="C976" s="6">
        <f>IF(A976=A975,C975+1,1)</f>
        <v>4</v>
      </c>
      <c r="D976" t="s">
        <v>2429</v>
      </c>
      <c r="E976" s="101">
        <v>2.1899999999999999E-2</v>
      </c>
      <c r="F976" s="6">
        <v>120</v>
      </c>
      <c r="G976" t="s">
        <v>1349</v>
      </c>
      <c r="H976" s="82">
        <v>2.5</v>
      </c>
      <c r="I976">
        <v>25</v>
      </c>
      <c r="K976" t="s">
        <v>2430</v>
      </c>
      <c r="L976" s="6" t="s">
        <v>1399</v>
      </c>
      <c r="M976" s="6">
        <v>20</v>
      </c>
      <c r="N976" s="6">
        <v>2</v>
      </c>
      <c r="O976">
        <v>500</v>
      </c>
      <c r="P976">
        <v>202605</v>
      </c>
      <c r="Q976" t="s">
        <v>377</v>
      </c>
      <c r="R976" t="s">
        <v>1353</v>
      </c>
      <c r="S976">
        <f>Consulta1[[#This Row],[min_port]]/100</f>
        <v>1.3899999999999999E-2</v>
      </c>
      <c r="T976" s="252">
        <f>Consulta1[[#This Row],[TETO_COMERCIAL]]/100</f>
        <v>2.5000000000000001E-2</v>
      </c>
      <c r="U976" t="b">
        <f>Consulta1[[#This Row],[TETO_COMERCIAL_%]]=Consulta1[[#This Row],[TAXA]]</f>
        <v>0</v>
      </c>
      <c r="V976" t="str">
        <f>CONCATENATE(Consulta1[[#This Row],[MES_ALTERACAO]],Consulta1[[#This Row],[VIRADA]])</f>
        <v>20260520</v>
      </c>
      <c r="W976">
        <f>VLOOKUP(Consulta1[[#This Row],[Coluna2]],CALENDARIO!$J:$K,2,FALSE)</f>
        <v>13</v>
      </c>
    </row>
    <row r="977" spans="1:23" x14ac:dyDescent="0.25">
      <c r="A977" t="s">
        <v>2422</v>
      </c>
      <c r="B977" t="str">
        <f>CONCATENATE(Consulta1[[#This Row],[id]],Consulta1[[#This Row],[EMPREGADOR]])</f>
        <v>5PREF JACAREI</v>
      </c>
      <c r="C977" s="6">
        <f>IF(A977=A976,C976+1,1)</f>
        <v>5</v>
      </c>
      <c r="D977" t="s">
        <v>2431</v>
      </c>
      <c r="E977" s="101">
        <v>2.0899999999999998E-2</v>
      </c>
      <c r="F977" s="6">
        <v>120</v>
      </c>
      <c r="G977" t="s">
        <v>1349</v>
      </c>
      <c r="H977" s="82">
        <v>2.5</v>
      </c>
      <c r="I977">
        <v>25</v>
      </c>
      <c r="K977" t="s">
        <v>2432</v>
      </c>
      <c r="L977" s="6" t="s">
        <v>1399</v>
      </c>
      <c r="M977" s="6">
        <v>20</v>
      </c>
      <c r="N977" s="6">
        <v>2</v>
      </c>
      <c r="O977">
        <v>500</v>
      </c>
      <c r="P977">
        <v>202605</v>
      </c>
      <c r="Q977" t="s">
        <v>377</v>
      </c>
      <c r="R977" t="s">
        <v>1353</v>
      </c>
      <c r="S977">
        <f>Consulta1[[#This Row],[min_port]]/100</f>
        <v>1.3899999999999999E-2</v>
      </c>
      <c r="T977" s="252">
        <f>Consulta1[[#This Row],[TETO_COMERCIAL]]/100</f>
        <v>2.5000000000000001E-2</v>
      </c>
      <c r="U977" t="b">
        <f>Consulta1[[#This Row],[TETO_COMERCIAL_%]]=Consulta1[[#This Row],[TAXA]]</f>
        <v>0</v>
      </c>
      <c r="V977" t="str">
        <f>CONCATENATE(Consulta1[[#This Row],[MES_ALTERACAO]],Consulta1[[#This Row],[VIRADA]])</f>
        <v>20260520</v>
      </c>
      <c r="W977">
        <f>VLOOKUP(Consulta1[[#This Row],[Coluna2]],CALENDARIO!$J:$K,2,FALSE)</f>
        <v>13</v>
      </c>
    </row>
    <row r="978" spans="1:23" x14ac:dyDescent="0.25">
      <c r="A978" t="s">
        <v>2422</v>
      </c>
      <c r="B978" t="str">
        <f>CONCATENATE(Consulta1[[#This Row],[id]],Consulta1[[#This Row],[EMPREGADOR]])</f>
        <v>6PREF JACAREI</v>
      </c>
      <c r="C978" s="6">
        <f>IF(A978=A977,C977+1,1)</f>
        <v>6</v>
      </c>
      <c r="D978" t="s">
        <v>2433</v>
      </c>
      <c r="E978" s="101">
        <v>1.9900000000000001E-2</v>
      </c>
      <c r="F978" s="6">
        <v>120</v>
      </c>
      <c r="G978" t="s">
        <v>1349</v>
      </c>
      <c r="H978" s="82">
        <v>2.5</v>
      </c>
      <c r="I978">
        <v>25</v>
      </c>
      <c r="K978" t="s">
        <v>2434</v>
      </c>
      <c r="L978" s="6" t="s">
        <v>1399</v>
      </c>
      <c r="M978" s="6">
        <v>20</v>
      </c>
      <c r="N978" s="6">
        <v>2</v>
      </c>
      <c r="O978">
        <v>500</v>
      </c>
      <c r="P978">
        <v>202605</v>
      </c>
      <c r="Q978" t="s">
        <v>377</v>
      </c>
      <c r="R978" t="s">
        <v>1353</v>
      </c>
      <c r="S978">
        <f>Consulta1[[#This Row],[min_port]]/100</f>
        <v>1.3899999999999999E-2</v>
      </c>
      <c r="T978" s="252">
        <f>Consulta1[[#This Row],[TETO_COMERCIAL]]/100</f>
        <v>2.5000000000000001E-2</v>
      </c>
      <c r="U978" t="b">
        <f>Consulta1[[#This Row],[TETO_COMERCIAL_%]]=Consulta1[[#This Row],[TAXA]]</f>
        <v>0</v>
      </c>
      <c r="V978" t="str">
        <f>CONCATENATE(Consulta1[[#This Row],[MES_ALTERACAO]],Consulta1[[#This Row],[VIRADA]])</f>
        <v>20260520</v>
      </c>
      <c r="W978">
        <f>VLOOKUP(Consulta1[[#This Row],[Coluna2]],CALENDARIO!$J:$K,2,FALSE)</f>
        <v>13</v>
      </c>
    </row>
    <row r="979" spans="1:23" x14ac:dyDescent="0.25">
      <c r="A979" t="s">
        <v>470</v>
      </c>
      <c r="B979" t="str">
        <f>CONCATENATE(Consulta1[[#This Row],[id]],Consulta1[[#This Row],[EMPREGADOR]])</f>
        <v>1PREF JARAGUA SC</v>
      </c>
      <c r="C979" s="6">
        <f>IF(A979=A978,C978+1,1)</f>
        <v>1</v>
      </c>
      <c r="D979" t="s">
        <v>471</v>
      </c>
      <c r="E979" s="101">
        <v>2.5000000000000001E-2</v>
      </c>
      <c r="F979" s="6">
        <v>120</v>
      </c>
      <c r="G979" t="s">
        <v>1349</v>
      </c>
      <c r="H979" s="82">
        <v>2.5</v>
      </c>
      <c r="I979">
        <v>12</v>
      </c>
      <c r="K979" t="s">
        <v>1882</v>
      </c>
      <c r="L979" s="6" t="s">
        <v>1671</v>
      </c>
      <c r="M979" s="6">
        <v>10</v>
      </c>
      <c r="N979" s="6">
        <v>2</v>
      </c>
      <c r="O979">
        <v>500</v>
      </c>
      <c r="P979">
        <v>202605</v>
      </c>
      <c r="Q979" t="s">
        <v>377</v>
      </c>
      <c r="R979" t="s">
        <v>1353</v>
      </c>
      <c r="S979">
        <f>Consulta1[[#This Row],[min_port]]/100</f>
        <v>1.52E-2</v>
      </c>
      <c r="T979" s="252">
        <f>Consulta1[[#This Row],[TETO_COMERCIAL]]/100</f>
        <v>2.5000000000000001E-2</v>
      </c>
      <c r="U979" t="b">
        <f>Consulta1[[#This Row],[TETO_COMERCIAL_%]]=Consulta1[[#This Row],[TAXA]]</f>
        <v>1</v>
      </c>
      <c r="V979" t="str">
        <f>CONCATENATE(Consulta1[[#This Row],[MES_ALTERACAO]],Consulta1[[#This Row],[VIRADA]])</f>
        <v>20260510</v>
      </c>
      <c r="W979">
        <f>VLOOKUP(Consulta1[[#This Row],[Coluna2]],CALENDARIO!$J:$K,2,FALSE)</f>
        <v>5</v>
      </c>
    </row>
    <row r="980" spans="1:23" x14ac:dyDescent="0.25">
      <c r="A980" t="s">
        <v>470</v>
      </c>
      <c r="B980" t="str">
        <f>CONCATENATE(Consulta1[[#This Row],[id]],Consulta1[[#This Row],[EMPREGADOR]])</f>
        <v>2PREF JARAGUA SC</v>
      </c>
      <c r="C980" s="6">
        <f>IF(A980=A979,C979+1,1)</f>
        <v>2</v>
      </c>
      <c r="D980" t="s">
        <v>727</v>
      </c>
      <c r="E980" s="101">
        <v>0.02</v>
      </c>
      <c r="F980" s="6">
        <v>120</v>
      </c>
      <c r="G980" t="s">
        <v>1349</v>
      </c>
      <c r="H980" s="82">
        <v>2.5</v>
      </c>
      <c r="I980">
        <v>12</v>
      </c>
      <c r="J980">
        <v>60</v>
      </c>
      <c r="K980" t="s">
        <v>1883</v>
      </c>
      <c r="L980" s="6" t="s">
        <v>1671</v>
      </c>
      <c r="M980" s="6">
        <v>10</v>
      </c>
      <c r="N980" s="6">
        <v>2</v>
      </c>
      <c r="O980">
        <v>500</v>
      </c>
      <c r="P980">
        <v>202605</v>
      </c>
      <c r="Q980" t="s">
        <v>377</v>
      </c>
      <c r="R980" t="s">
        <v>1353</v>
      </c>
      <c r="S980">
        <f>Consulta1[[#This Row],[min_port]]/100</f>
        <v>1.52E-2</v>
      </c>
      <c r="T980" s="252">
        <f>Consulta1[[#This Row],[TETO_COMERCIAL]]/100</f>
        <v>2.5000000000000001E-2</v>
      </c>
      <c r="U980" t="b">
        <f>Consulta1[[#This Row],[TETO_COMERCIAL_%]]=Consulta1[[#This Row],[TAXA]]</f>
        <v>0</v>
      </c>
      <c r="V980" t="str">
        <f>CONCATENATE(Consulta1[[#This Row],[MES_ALTERACAO]],Consulta1[[#This Row],[VIRADA]])</f>
        <v>20260510</v>
      </c>
      <c r="W980">
        <f>VLOOKUP(Consulta1[[#This Row],[Coluna2]],CALENDARIO!$J:$K,2,FALSE)</f>
        <v>5</v>
      </c>
    </row>
    <row r="981" spans="1:23" x14ac:dyDescent="0.25">
      <c r="A981" t="s">
        <v>470</v>
      </c>
      <c r="B981" t="str">
        <f>CONCATENATE(Consulta1[[#This Row],[id]],Consulta1[[#This Row],[EMPREGADOR]])</f>
        <v>3PREF JARAGUA SC</v>
      </c>
      <c r="C981" s="6">
        <f>IF(A981=A980,C980+1,1)</f>
        <v>3</v>
      </c>
      <c r="D981" t="s">
        <v>1315</v>
      </c>
      <c r="E981" s="101">
        <v>1.9E-2</v>
      </c>
      <c r="F981" s="6">
        <v>120</v>
      </c>
      <c r="G981" t="s">
        <v>1349</v>
      </c>
      <c r="H981" s="82">
        <v>2.5</v>
      </c>
      <c r="I981">
        <v>12</v>
      </c>
      <c r="K981" t="s">
        <v>1884</v>
      </c>
      <c r="L981" s="6" t="s">
        <v>1671</v>
      </c>
      <c r="M981" s="6">
        <v>10</v>
      </c>
      <c r="N981" s="6">
        <v>2</v>
      </c>
      <c r="O981">
        <v>500</v>
      </c>
      <c r="P981">
        <v>202605</v>
      </c>
      <c r="Q981" t="s">
        <v>377</v>
      </c>
      <c r="R981" t="s">
        <v>1353</v>
      </c>
      <c r="S981">
        <f>Consulta1[[#This Row],[min_port]]/100</f>
        <v>1.52E-2</v>
      </c>
      <c r="T981" s="252">
        <f>Consulta1[[#This Row],[TETO_COMERCIAL]]/100</f>
        <v>2.5000000000000001E-2</v>
      </c>
      <c r="U981" t="b">
        <f>Consulta1[[#This Row],[TETO_COMERCIAL_%]]=Consulta1[[#This Row],[TAXA]]</f>
        <v>0</v>
      </c>
      <c r="V981" t="str">
        <f>CONCATENATE(Consulta1[[#This Row],[MES_ALTERACAO]],Consulta1[[#This Row],[VIRADA]])</f>
        <v>20260510</v>
      </c>
      <c r="W981">
        <f>VLOOKUP(Consulta1[[#This Row],[Coluna2]],CALENDARIO!$J:$K,2,FALSE)</f>
        <v>5</v>
      </c>
    </row>
    <row r="982" spans="1:23" x14ac:dyDescent="0.25">
      <c r="A982" t="s">
        <v>470</v>
      </c>
      <c r="B982" t="str">
        <f>CONCATENATE(Consulta1[[#This Row],[id]],Consulta1[[#This Row],[EMPREGADOR]])</f>
        <v>4PREF JARAGUA SC</v>
      </c>
      <c r="C982" s="6">
        <f>IF(A982=A981,C981+1,1)</f>
        <v>4</v>
      </c>
      <c r="D982" t="s">
        <v>2985</v>
      </c>
      <c r="E982" s="101">
        <v>1.8500000000000003E-2</v>
      </c>
      <c r="F982" s="6">
        <v>120</v>
      </c>
      <c r="G982" t="s">
        <v>1349</v>
      </c>
      <c r="H982" s="82">
        <v>2.5</v>
      </c>
      <c r="I982">
        <v>12</v>
      </c>
      <c r="K982" t="s">
        <v>2986</v>
      </c>
      <c r="L982" s="6" t="s">
        <v>1671</v>
      </c>
      <c r="M982" s="6">
        <v>10</v>
      </c>
      <c r="N982" s="6">
        <v>2</v>
      </c>
      <c r="O982">
        <v>500</v>
      </c>
      <c r="P982">
        <v>202605</v>
      </c>
      <c r="Q982" t="s">
        <v>377</v>
      </c>
      <c r="R982" t="s">
        <v>1353</v>
      </c>
      <c r="S982">
        <f>Consulta1[[#This Row],[min_port]]/100</f>
        <v>1.52E-2</v>
      </c>
      <c r="T982" s="252">
        <f>Consulta1[[#This Row],[TETO_COMERCIAL]]/100</f>
        <v>2.5000000000000001E-2</v>
      </c>
      <c r="U982" t="b">
        <f>Consulta1[[#This Row],[TETO_COMERCIAL_%]]=Consulta1[[#This Row],[TAXA]]</f>
        <v>0</v>
      </c>
      <c r="V982" t="str">
        <f>CONCATENATE(Consulta1[[#This Row],[MES_ALTERACAO]],Consulta1[[#This Row],[VIRADA]])</f>
        <v>20260510</v>
      </c>
      <c r="W982">
        <f>VLOOKUP(Consulta1[[#This Row],[Coluna2]],CALENDARIO!$J:$K,2,FALSE)</f>
        <v>5</v>
      </c>
    </row>
    <row r="983" spans="1:23" x14ac:dyDescent="0.25">
      <c r="A983" t="s">
        <v>507</v>
      </c>
      <c r="B983" t="str">
        <f>CONCATENATE(Consulta1[[#This Row],[id]],Consulta1[[#This Row],[EMPREGADOR]])</f>
        <v>1PREF JOAO PESSO</v>
      </c>
      <c r="C983" s="6">
        <f>IF(A983=A982,C982+1,1)</f>
        <v>1</v>
      </c>
      <c r="D983" t="s">
        <v>2987</v>
      </c>
      <c r="E983" s="101">
        <v>2.5000000000000001E-2</v>
      </c>
      <c r="F983" s="6">
        <v>96</v>
      </c>
      <c r="G983" t="s">
        <v>1349</v>
      </c>
      <c r="H983" s="82">
        <v>2.5</v>
      </c>
      <c r="I983">
        <v>22</v>
      </c>
      <c r="J983">
        <v>56</v>
      </c>
      <c r="K983" t="s">
        <v>2988</v>
      </c>
      <c r="L983" s="6" t="s">
        <v>2989</v>
      </c>
      <c r="M983" s="6">
        <v>10</v>
      </c>
      <c r="N983" s="6">
        <v>2</v>
      </c>
      <c r="O983">
        <v>500</v>
      </c>
      <c r="P983">
        <v>202605</v>
      </c>
      <c r="Q983" t="s">
        <v>377</v>
      </c>
      <c r="R983" t="s">
        <v>1353</v>
      </c>
      <c r="S983">
        <f>Consulta1[[#This Row],[min_port]]/100</f>
        <v>2.2000000000000002E-2</v>
      </c>
      <c r="T983" s="252">
        <f>Consulta1[[#This Row],[TETO_COMERCIAL]]/100</f>
        <v>2.5000000000000001E-2</v>
      </c>
      <c r="U983" t="b">
        <f>Consulta1[[#This Row],[TETO_COMERCIAL_%]]=Consulta1[[#This Row],[TAXA]]</f>
        <v>1</v>
      </c>
      <c r="V983" t="str">
        <f>CONCATENATE(Consulta1[[#This Row],[MES_ALTERACAO]],Consulta1[[#This Row],[VIRADA]])</f>
        <v>20260510</v>
      </c>
      <c r="W983">
        <f>VLOOKUP(Consulta1[[#This Row],[Coluna2]],CALENDARIO!$J:$K,2,FALSE)</f>
        <v>5</v>
      </c>
    </row>
    <row r="984" spans="1:23" x14ac:dyDescent="0.25">
      <c r="A984" t="s">
        <v>507</v>
      </c>
      <c r="B984" t="str">
        <f>CONCATENATE(Consulta1[[#This Row],[id]],Consulta1[[#This Row],[EMPREGADOR]])</f>
        <v>2PREF JOAO PESSO</v>
      </c>
      <c r="C984" s="6">
        <f>IF(A984=A983,C983+1,1)</f>
        <v>2</v>
      </c>
      <c r="D984" t="s">
        <v>2990</v>
      </c>
      <c r="E984" s="101">
        <v>2.4E-2</v>
      </c>
      <c r="F984" s="6">
        <v>96</v>
      </c>
      <c r="G984" t="s">
        <v>1349</v>
      </c>
      <c r="H984" s="82">
        <v>2.5</v>
      </c>
      <c r="I984">
        <v>22</v>
      </c>
      <c r="J984">
        <v>56</v>
      </c>
      <c r="K984" t="s">
        <v>2991</v>
      </c>
      <c r="L984" s="6" t="s">
        <v>2989</v>
      </c>
      <c r="M984" s="6">
        <v>10</v>
      </c>
      <c r="N984" s="6">
        <v>2</v>
      </c>
      <c r="O984">
        <v>500</v>
      </c>
      <c r="P984">
        <v>202605</v>
      </c>
      <c r="Q984" t="s">
        <v>377</v>
      </c>
      <c r="R984" t="s">
        <v>1353</v>
      </c>
      <c r="S984">
        <f>Consulta1[[#This Row],[min_port]]/100</f>
        <v>2.2000000000000002E-2</v>
      </c>
      <c r="T984" s="252">
        <f>Consulta1[[#This Row],[TETO_COMERCIAL]]/100</f>
        <v>2.5000000000000001E-2</v>
      </c>
      <c r="U984" t="b">
        <f>Consulta1[[#This Row],[TETO_COMERCIAL_%]]=Consulta1[[#This Row],[TAXA]]</f>
        <v>0</v>
      </c>
      <c r="V984" t="str">
        <f>CONCATENATE(Consulta1[[#This Row],[MES_ALTERACAO]],Consulta1[[#This Row],[VIRADA]])</f>
        <v>20260510</v>
      </c>
      <c r="W984">
        <f>VLOOKUP(Consulta1[[#This Row],[Coluna2]],CALENDARIO!$J:$K,2,FALSE)</f>
        <v>5</v>
      </c>
    </row>
    <row r="985" spans="1:23" x14ac:dyDescent="0.25">
      <c r="A985" t="s">
        <v>507</v>
      </c>
      <c r="B985" t="str">
        <f>CONCATENATE(Consulta1[[#This Row],[id]],Consulta1[[#This Row],[EMPREGADOR]])</f>
        <v>3PREF JOAO PESSO</v>
      </c>
      <c r="C985" s="6">
        <f>IF(A985=A984,C984+1,1)</f>
        <v>3</v>
      </c>
      <c r="D985" t="s">
        <v>2992</v>
      </c>
      <c r="E985" s="101">
        <v>2.3E-2</v>
      </c>
      <c r="F985" s="6">
        <v>96</v>
      </c>
      <c r="G985" t="s">
        <v>1349</v>
      </c>
      <c r="H985" s="82">
        <v>2.5</v>
      </c>
      <c r="I985">
        <v>22</v>
      </c>
      <c r="J985">
        <v>56</v>
      </c>
      <c r="K985" t="s">
        <v>2993</v>
      </c>
      <c r="L985" s="6" t="s">
        <v>2989</v>
      </c>
      <c r="M985" s="6">
        <v>10</v>
      </c>
      <c r="N985" s="6">
        <v>2</v>
      </c>
      <c r="O985">
        <v>500</v>
      </c>
      <c r="P985">
        <v>202605</v>
      </c>
      <c r="Q985" t="s">
        <v>377</v>
      </c>
      <c r="R985" t="s">
        <v>1353</v>
      </c>
      <c r="S985">
        <f>Consulta1[[#This Row],[min_port]]/100</f>
        <v>2.2000000000000002E-2</v>
      </c>
      <c r="T985" s="252">
        <f>Consulta1[[#This Row],[TETO_COMERCIAL]]/100</f>
        <v>2.5000000000000001E-2</v>
      </c>
      <c r="U985" t="b">
        <f>Consulta1[[#This Row],[TETO_COMERCIAL_%]]=Consulta1[[#This Row],[TAXA]]</f>
        <v>0</v>
      </c>
      <c r="V985" t="str">
        <f>CONCATENATE(Consulta1[[#This Row],[MES_ALTERACAO]],Consulta1[[#This Row],[VIRADA]])</f>
        <v>20260510</v>
      </c>
      <c r="W985">
        <f>VLOOKUP(Consulta1[[#This Row],[Coluna2]],CALENDARIO!$J:$K,2,FALSE)</f>
        <v>5</v>
      </c>
    </row>
    <row r="986" spans="1:23" x14ac:dyDescent="0.25">
      <c r="A986" t="s">
        <v>226</v>
      </c>
      <c r="B986" t="str">
        <f>CONCATENATE(Consulta1[[#This Row],[id]],Consulta1[[#This Row],[EMPREGADOR]])</f>
        <v>1PREF JOINVILLE</v>
      </c>
      <c r="C986" s="6">
        <f>IF(A986=A985,C985+1,1)</f>
        <v>1</v>
      </c>
      <c r="D986" t="s">
        <v>3424</v>
      </c>
      <c r="E986" s="101">
        <v>2.5000000000000001E-2</v>
      </c>
      <c r="F986" s="6">
        <v>120</v>
      </c>
      <c r="G986" t="s">
        <v>1349</v>
      </c>
      <c r="H986" s="82">
        <v>2.5</v>
      </c>
      <c r="I986">
        <v>15</v>
      </c>
      <c r="K986" t="s">
        <v>3425</v>
      </c>
      <c r="L986" s="6" t="s">
        <v>1381</v>
      </c>
      <c r="M986" s="6">
        <v>15</v>
      </c>
      <c r="N986" s="6">
        <v>2</v>
      </c>
      <c r="O986">
        <v>500</v>
      </c>
      <c r="P986">
        <v>202605</v>
      </c>
      <c r="Q986" t="s">
        <v>377</v>
      </c>
      <c r="R986" t="s">
        <v>1353</v>
      </c>
      <c r="S986">
        <f>Consulta1[[#This Row],[min_port]]/100</f>
        <v>1.3999999999999999E-2</v>
      </c>
      <c r="T986" s="252">
        <f>Consulta1[[#This Row],[TETO_COMERCIAL]]/100</f>
        <v>2.5000000000000001E-2</v>
      </c>
      <c r="U986" t="b">
        <f>Consulta1[[#This Row],[TETO_COMERCIAL_%]]=Consulta1[[#This Row],[TAXA]]</f>
        <v>1</v>
      </c>
      <c r="V986" t="str">
        <f>CONCATENATE(Consulta1[[#This Row],[MES_ALTERACAO]],Consulta1[[#This Row],[VIRADA]])</f>
        <v>20260515</v>
      </c>
      <c r="W986">
        <f>VLOOKUP(Consulta1[[#This Row],[Coluna2]],CALENDARIO!$J:$K,2,FALSE)</f>
        <v>10</v>
      </c>
    </row>
    <row r="987" spans="1:23" x14ac:dyDescent="0.25">
      <c r="A987" t="s">
        <v>226</v>
      </c>
      <c r="B987" t="str">
        <f>CONCATENATE(Consulta1[[#This Row],[id]],Consulta1[[#This Row],[EMPREGADOR]])</f>
        <v>2PREF JOINVILLE</v>
      </c>
      <c r="C987" s="6">
        <f>IF(A987=A986,C986+1,1)</f>
        <v>2</v>
      </c>
      <c r="D987" t="s">
        <v>3426</v>
      </c>
      <c r="E987" s="101">
        <v>2.3E-2</v>
      </c>
      <c r="F987" s="6">
        <v>120</v>
      </c>
      <c r="G987" t="s">
        <v>1349</v>
      </c>
      <c r="H987" s="82">
        <v>2.5</v>
      </c>
      <c r="I987">
        <v>15</v>
      </c>
      <c r="K987" t="s">
        <v>3427</v>
      </c>
      <c r="L987" s="6" t="s">
        <v>1381</v>
      </c>
      <c r="M987" s="6">
        <v>15</v>
      </c>
      <c r="N987" s="6">
        <v>2</v>
      </c>
      <c r="O987">
        <v>500</v>
      </c>
      <c r="P987">
        <v>202605</v>
      </c>
      <c r="Q987" t="s">
        <v>377</v>
      </c>
      <c r="R987" t="s">
        <v>1353</v>
      </c>
      <c r="S987">
        <f>Consulta1[[#This Row],[min_port]]/100</f>
        <v>1.3999999999999999E-2</v>
      </c>
      <c r="T987" s="252">
        <f>Consulta1[[#This Row],[TETO_COMERCIAL]]/100</f>
        <v>2.5000000000000001E-2</v>
      </c>
      <c r="U987" t="b">
        <f>Consulta1[[#This Row],[TETO_COMERCIAL_%]]=Consulta1[[#This Row],[TAXA]]</f>
        <v>0</v>
      </c>
      <c r="V987" t="str">
        <f>CONCATENATE(Consulta1[[#This Row],[MES_ALTERACAO]],Consulta1[[#This Row],[VIRADA]])</f>
        <v>20260515</v>
      </c>
      <c r="W987">
        <f>VLOOKUP(Consulta1[[#This Row],[Coluna2]],CALENDARIO!$J:$K,2,FALSE)</f>
        <v>10</v>
      </c>
    </row>
    <row r="988" spans="1:23" x14ac:dyDescent="0.25">
      <c r="A988" t="s">
        <v>226</v>
      </c>
      <c r="B988" t="str">
        <f>CONCATENATE(Consulta1[[#This Row],[id]],Consulta1[[#This Row],[EMPREGADOR]])</f>
        <v>3PREF JOINVILLE</v>
      </c>
      <c r="C988" s="6">
        <f>IF(A988=A987,C987+1,1)</f>
        <v>3</v>
      </c>
      <c r="D988" t="s">
        <v>3428</v>
      </c>
      <c r="E988" s="101">
        <v>2.1000000000000001E-2</v>
      </c>
      <c r="F988" s="6">
        <v>120</v>
      </c>
      <c r="G988" t="s">
        <v>1349</v>
      </c>
      <c r="H988" s="82">
        <v>2.5</v>
      </c>
      <c r="I988">
        <v>15</v>
      </c>
      <c r="K988" t="s">
        <v>3429</v>
      </c>
      <c r="L988" s="6" t="s">
        <v>1381</v>
      </c>
      <c r="M988" s="6">
        <v>15</v>
      </c>
      <c r="N988" s="6">
        <v>2</v>
      </c>
      <c r="O988">
        <v>500</v>
      </c>
      <c r="P988">
        <v>202605</v>
      </c>
      <c r="Q988" t="s">
        <v>377</v>
      </c>
      <c r="R988" t="s">
        <v>1353</v>
      </c>
      <c r="S988">
        <f>Consulta1[[#This Row],[min_port]]/100</f>
        <v>1.3999999999999999E-2</v>
      </c>
      <c r="T988" s="252">
        <f>Consulta1[[#This Row],[TETO_COMERCIAL]]/100</f>
        <v>2.5000000000000001E-2</v>
      </c>
      <c r="U988" t="b">
        <f>Consulta1[[#This Row],[TETO_COMERCIAL_%]]=Consulta1[[#This Row],[TAXA]]</f>
        <v>0</v>
      </c>
      <c r="V988" t="str">
        <f>CONCATENATE(Consulta1[[#This Row],[MES_ALTERACAO]],Consulta1[[#This Row],[VIRADA]])</f>
        <v>20260515</v>
      </c>
      <c r="W988">
        <f>VLOOKUP(Consulta1[[#This Row],[Coluna2]],CALENDARIO!$J:$K,2,FALSE)</f>
        <v>10</v>
      </c>
    </row>
    <row r="989" spans="1:23" x14ac:dyDescent="0.25">
      <c r="A989" t="s">
        <v>226</v>
      </c>
      <c r="B989" t="str">
        <f>CONCATENATE(Consulta1[[#This Row],[id]],Consulta1[[#This Row],[EMPREGADOR]])</f>
        <v>4PREF JOINVILLE</v>
      </c>
      <c r="C989" s="6">
        <f>IF(A989=A988,C988+1,1)</f>
        <v>4</v>
      </c>
      <c r="D989" t="s">
        <v>3430</v>
      </c>
      <c r="E989" s="101">
        <v>0.02</v>
      </c>
      <c r="F989" s="6">
        <v>120</v>
      </c>
      <c r="G989" t="s">
        <v>1349</v>
      </c>
      <c r="H989" s="82">
        <v>2.5</v>
      </c>
      <c r="I989">
        <v>15</v>
      </c>
      <c r="J989">
        <v>39</v>
      </c>
      <c r="K989" t="s">
        <v>3431</v>
      </c>
      <c r="L989" s="6" t="s">
        <v>1381</v>
      </c>
      <c r="M989" s="6">
        <v>15</v>
      </c>
      <c r="N989" s="6">
        <v>2</v>
      </c>
      <c r="O989">
        <v>500</v>
      </c>
      <c r="P989">
        <v>202605</v>
      </c>
      <c r="Q989" t="s">
        <v>377</v>
      </c>
      <c r="R989" t="s">
        <v>1353</v>
      </c>
      <c r="S989">
        <f>Consulta1[[#This Row],[min_port]]/100</f>
        <v>1.3999999999999999E-2</v>
      </c>
      <c r="T989" s="252">
        <f>Consulta1[[#This Row],[TETO_COMERCIAL]]/100</f>
        <v>2.5000000000000001E-2</v>
      </c>
      <c r="U989" t="b">
        <f>Consulta1[[#This Row],[TETO_COMERCIAL_%]]=Consulta1[[#This Row],[TAXA]]</f>
        <v>0</v>
      </c>
      <c r="V989" t="str">
        <f>CONCATENATE(Consulta1[[#This Row],[MES_ALTERACAO]],Consulta1[[#This Row],[VIRADA]])</f>
        <v>20260515</v>
      </c>
      <c r="W989">
        <f>VLOOKUP(Consulta1[[#This Row],[Coluna2]],CALENDARIO!$J:$K,2,FALSE)</f>
        <v>10</v>
      </c>
    </row>
    <row r="990" spans="1:23" x14ac:dyDescent="0.25">
      <c r="A990" t="s">
        <v>226</v>
      </c>
      <c r="B990" t="str">
        <f>CONCATENATE(Consulta1[[#This Row],[id]],Consulta1[[#This Row],[EMPREGADOR]])</f>
        <v>5PREF JOINVILLE</v>
      </c>
      <c r="C990" s="6">
        <f>IF(A990=A989,C989+1,1)</f>
        <v>5</v>
      </c>
      <c r="D990" t="s">
        <v>3432</v>
      </c>
      <c r="E990" s="101">
        <v>1.9E-2</v>
      </c>
      <c r="F990" s="6">
        <v>120</v>
      </c>
      <c r="G990" t="s">
        <v>1349</v>
      </c>
      <c r="H990" s="82">
        <v>2.5</v>
      </c>
      <c r="I990">
        <v>15</v>
      </c>
      <c r="J990">
        <v>41</v>
      </c>
      <c r="K990" t="s">
        <v>3433</v>
      </c>
      <c r="L990" s="6" t="s">
        <v>1381</v>
      </c>
      <c r="M990" s="6">
        <v>15</v>
      </c>
      <c r="N990" s="6">
        <v>2</v>
      </c>
      <c r="O990">
        <v>500</v>
      </c>
      <c r="P990">
        <v>202605</v>
      </c>
      <c r="Q990" t="s">
        <v>377</v>
      </c>
      <c r="R990" t="s">
        <v>1353</v>
      </c>
      <c r="S990">
        <f>Consulta1[[#This Row],[min_port]]/100</f>
        <v>1.3999999999999999E-2</v>
      </c>
      <c r="T990" s="252">
        <f>Consulta1[[#This Row],[TETO_COMERCIAL]]/100</f>
        <v>2.5000000000000001E-2</v>
      </c>
      <c r="U990" t="b">
        <f>Consulta1[[#This Row],[TETO_COMERCIAL_%]]=Consulta1[[#This Row],[TAXA]]</f>
        <v>0</v>
      </c>
      <c r="V990" t="str">
        <f>CONCATENATE(Consulta1[[#This Row],[MES_ALTERACAO]],Consulta1[[#This Row],[VIRADA]])</f>
        <v>20260515</v>
      </c>
      <c r="W990">
        <f>VLOOKUP(Consulta1[[#This Row],[Coluna2]],CALENDARIO!$J:$K,2,FALSE)</f>
        <v>10</v>
      </c>
    </row>
    <row r="991" spans="1:23" x14ac:dyDescent="0.25">
      <c r="A991" t="s">
        <v>226</v>
      </c>
      <c r="B991" t="str">
        <f>CONCATENATE(Consulta1[[#This Row],[id]],Consulta1[[#This Row],[EMPREGADOR]])</f>
        <v>6PREF JOINVILLE</v>
      </c>
      <c r="C991" s="6">
        <f>IF(A991=A990,C990+1,1)</f>
        <v>6</v>
      </c>
      <c r="D991" t="s">
        <v>3434</v>
      </c>
      <c r="E991" s="101">
        <v>1.7000000000000001E-2</v>
      </c>
      <c r="F991" s="6">
        <v>120</v>
      </c>
      <c r="G991" t="s">
        <v>1349</v>
      </c>
      <c r="H991" s="82">
        <v>2.5</v>
      </c>
      <c r="I991">
        <v>15</v>
      </c>
      <c r="J991">
        <v>48</v>
      </c>
      <c r="K991" t="s">
        <v>3435</v>
      </c>
      <c r="L991" s="6" t="s">
        <v>1381</v>
      </c>
      <c r="M991" s="6">
        <v>15</v>
      </c>
      <c r="N991" s="6">
        <v>2</v>
      </c>
      <c r="O991">
        <v>500</v>
      </c>
      <c r="P991">
        <v>202605</v>
      </c>
      <c r="Q991" t="s">
        <v>377</v>
      </c>
      <c r="R991" t="s">
        <v>1353</v>
      </c>
      <c r="S991">
        <f>Consulta1[[#This Row],[min_port]]/100</f>
        <v>1.3999999999999999E-2</v>
      </c>
      <c r="T991" s="252">
        <f>Consulta1[[#This Row],[TETO_COMERCIAL]]/100</f>
        <v>2.5000000000000001E-2</v>
      </c>
      <c r="U991" t="b">
        <f>Consulta1[[#This Row],[TETO_COMERCIAL_%]]=Consulta1[[#This Row],[TAXA]]</f>
        <v>0</v>
      </c>
      <c r="V991" t="str">
        <f>CONCATENATE(Consulta1[[#This Row],[MES_ALTERACAO]],Consulta1[[#This Row],[VIRADA]])</f>
        <v>20260515</v>
      </c>
      <c r="W991">
        <f>VLOOKUP(Consulta1[[#This Row],[Coluna2]],CALENDARIO!$J:$K,2,FALSE)</f>
        <v>10</v>
      </c>
    </row>
    <row r="992" spans="1:23" x14ac:dyDescent="0.25">
      <c r="A992" t="s">
        <v>226</v>
      </c>
      <c r="B992" t="str">
        <f>CONCATENATE(Consulta1[[#This Row],[id]],Consulta1[[#This Row],[EMPREGADOR]])</f>
        <v>7PREF JOINVILLE</v>
      </c>
      <c r="C992" s="6">
        <f>IF(A992=A991,C991+1,1)</f>
        <v>7</v>
      </c>
      <c r="D992" t="s">
        <v>3436</v>
      </c>
      <c r="E992" s="101">
        <v>1.6799999999999999E-2</v>
      </c>
      <c r="F992" s="6">
        <v>120</v>
      </c>
      <c r="G992" t="s">
        <v>1349</v>
      </c>
      <c r="H992" s="82">
        <v>2.5</v>
      </c>
      <c r="I992">
        <v>15</v>
      </c>
      <c r="J992">
        <v>43</v>
      </c>
      <c r="K992" t="s">
        <v>3437</v>
      </c>
      <c r="L992" s="6" t="s">
        <v>1381</v>
      </c>
      <c r="M992" s="6">
        <v>15</v>
      </c>
      <c r="N992" s="6">
        <v>2</v>
      </c>
      <c r="O992">
        <v>500</v>
      </c>
      <c r="P992">
        <v>202605</v>
      </c>
      <c r="Q992" t="s">
        <v>377</v>
      </c>
      <c r="R992" t="s">
        <v>1353</v>
      </c>
      <c r="S992">
        <f>Consulta1[[#This Row],[min_port]]/100</f>
        <v>1.3999999999999999E-2</v>
      </c>
      <c r="T992" s="252">
        <f>Consulta1[[#This Row],[TETO_COMERCIAL]]/100</f>
        <v>2.5000000000000001E-2</v>
      </c>
      <c r="U992" t="b">
        <f>Consulta1[[#This Row],[TETO_COMERCIAL_%]]=Consulta1[[#This Row],[TAXA]]</f>
        <v>0</v>
      </c>
      <c r="V992" t="str">
        <f>CONCATENATE(Consulta1[[#This Row],[MES_ALTERACAO]],Consulta1[[#This Row],[VIRADA]])</f>
        <v>20260515</v>
      </c>
      <c r="W992">
        <f>VLOOKUP(Consulta1[[#This Row],[Coluna2]],CALENDARIO!$J:$K,2,FALSE)</f>
        <v>10</v>
      </c>
    </row>
    <row r="993" spans="1:23" x14ac:dyDescent="0.25">
      <c r="A993" t="s">
        <v>217</v>
      </c>
      <c r="B993" t="str">
        <f>CONCATENATE(Consulta1[[#This Row],[id]],Consulta1[[#This Row],[EMPREGADOR]])</f>
        <v>1PREF JUAZEIRO N</v>
      </c>
      <c r="C993" s="6">
        <f>IF(A993=A992,C992+1,1)</f>
        <v>1</v>
      </c>
      <c r="D993" t="s">
        <v>640</v>
      </c>
      <c r="E993" s="101">
        <v>2.5000000000000001E-2</v>
      </c>
      <c r="F993" s="6">
        <v>120</v>
      </c>
      <c r="G993" t="s">
        <v>1349</v>
      </c>
      <c r="H993" s="82">
        <v>2.5</v>
      </c>
      <c r="I993">
        <v>15</v>
      </c>
      <c r="J993">
        <v>55</v>
      </c>
      <c r="K993" t="s">
        <v>1885</v>
      </c>
      <c r="L993" s="6" t="s">
        <v>1372</v>
      </c>
      <c r="M993" s="6">
        <v>10</v>
      </c>
      <c r="N993" s="6">
        <v>2</v>
      </c>
      <c r="O993">
        <v>500</v>
      </c>
      <c r="P993">
        <v>202605</v>
      </c>
      <c r="Q993" t="s">
        <v>377</v>
      </c>
      <c r="R993" t="s">
        <v>1353</v>
      </c>
      <c r="S993">
        <f>Consulta1[[#This Row],[min_port]]/100</f>
        <v>1.6E-2</v>
      </c>
      <c r="T993" s="252">
        <f>Consulta1[[#This Row],[TETO_COMERCIAL]]/100</f>
        <v>2.5000000000000001E-2</v>
      </c>
      <c r="U993" t="b">
        <f>Consulta1[[#This Row],[TETO_COMERCIAL_%]]=Consulta1[[#This Row],[TAXA]]</f>
        <v>1</v>
      </c>
      <c r="V993" t="str">
        <f>CONCATENATE(Consulta1[[#This Row],[MES_ALTERACAO]],Consulta1[[#This Row],[VIRADA]])</f>
        <v>20260510</v>
      </c>
      <c r="W993">
        <f>VLOOKUP(Consulta1[[#This Row],[Coluna2]],CALENDARIO!$J:$K,2,FALSE)</f>
        <v>5</v>
      </c>
    </row>
    <row r="994" spans="1:23" x14ac:dyDescent="0.25">
      <c r="A994" t="s">
        <v>217</v>
      </c>
      <c r="B994" t="str">
        <f>CONCATENATE(Consulta1[[#This Row],[id]],Consulta1[[#This Row],[EMPREGADOR]])</f>
        <v>2PREF JUAZEIRO N</v>
      </c>
      <c r="C994" s="6">
        <f>IF(A994=A993,C993+1,1)</f>
        <v>2</v>
      </c>
      <c r="D994" t="s">
        <v>641</v>
      </c>
      <c r="E994" s="101">
        <v>2.4E-2</v>
      </c>
      <c r="F994" s="6">
        <v>120</v>
      </c>
      <c r="G994" t="s">
        <v>1349</v>
      </c>
      <c r="H994" s="82">
        <v>2.5</v>
      </c>
      <c r="I994">
        <v>15</v>
      </c>
      <c r="J994">
        <v>49</v>
      </c>
      <c r="K994" t="s">
        <v>1886</v>
      </c>
      <c r="L994" s="6" t="s">
        <v>1372</v>
      </c>
      <c r="M994" s="6">
        <v>10</v>
      </c>
      <c r="N994" s="6">
        <v>2</v>
      </c>
      <c r="O994">
        <v>500</v>
      </c>
      <c r="P994">
        <v>202605</v>
      </c>
      <c r="Q994" t="s">
        <v>377</v>
      </c>
      <c r="R994" t="s">
        <v>1353</v>
      </c>
      <c r="S994">
        <f>Consulta1[[#This Row],[min_port]]/100</f>
        <v>1.6E-2</v>
      </c>
      <c r="T994" s="252">
        <f>Consulta1[[#This Row],[TETO_COMERCIAL]]/100</f>
        <v>2.5000000000000001E-2</v>
      </c>
      <c r="U994" t="b">
        <f>Consulta1[[#This Row],[TETO_COMERCIAL_%]]=Consulta1[[#This Row],[TAXA]]</f>
        <v>0</v>
      </c>
      <c r="V994" t="str">
        <f>CONCATENATE(Consulta1[[#This Row],[MES_ALTERACAO]],Consulta1[[#This Row],[VIRADA]])</f>
        <v>20260510</v>
      </c>
      <c r="W994">
        <f>VLOOKUP(Consulta1[[#This Row],[Coluna2]],CALENDARIO!$J:$K,2,FALSE)</f>
        <v>5</v>
      </c>
    </row>
    <row r="995" spans="1:23" x14ac:dyDescent="0.25">
      <c r="A995" t="s">
        <v>217</v>
      </c>
      <c r="B995" t="str">
        <f>CONCATENATE(Consulta1[[#This Row],[id]],Consulta1[[#This Row],[EMPREGADOR]])</f>
        <v>3PREF JUAZEIRO N</v>
      </c>
      <c r="C995" s="6">
        <f>IF(A995=A994,C994+1,1)</f>
        <v>3</v>
      </c>
      <c r="D995" t="s">
        <v>1164</v>
      </c>
      <c r="E995" s="101">
        <v>2.3E-2</v>
      </c>
      <c r="F995" s="6">
        <v>120</v>
      </c>
      <c r="G995" t="s">
        <v>1349</v>
      </c>
      <c r="H995" s="82">
        <v>2.5</v>
      </c>
      <c r="I995">
        <v>15</v>
      </c>
      <c r="J995">
        <v>47</v>
      </c>
      <c r="K995" t="s">
        <v>1887</v>
      </c>
      <c r="L995" s="6" t="s">
        <v>1372</v>
      </c>
      <c r="M995" s="6">
        <v>10</v>
      </c>
      <c r="N995" s="6">
        <v>2</v>
      </c>
      <c r="O995">
        <v>500</v>
      </c>
      <c r="P995">
        <v>202605</v>
      </c>
      <c r="Q995" t="s">
        <v>377</v>
      </c>
      <c r="R995" t="s">
        <v>1353</v>
      </c>
      <c r="S995">
        <f>Consulta1[[#This Row],[min_port]]/100</f>
        <v>1.6E-2</v>
      </c>
      <c r="T995" s="252">
        <f>Consulta1[[#This Row],[TETO_COMERCIAL]]/100</f>
        <v>2.5000000000000001E-2</v>
      </c>
      <c r="U995" t="b">
        <f>Consulta1[[#This Row],[TETO_COMERCIAL_%]]=Consulta1[[#This Row],[TAXA]]</f>
        <v>0</v>
      </c>
      <c r="V995" t="str">
        <f>CONCATENATE(Consulta1[[#This Row],[MES_ALTERACAO]],Consulta1[[#This Row],[VIRADA]])</f>
        <v>20260510</v>
      </c>
      <c r="W995">
        <f>VLOOKUP(Consulta1[[#This Row],[Coluna2]],CALENDARIO!$J:$K,2,FALSE)</f>
        <v>5</v>
      </c>
    </row>
    <row r="996" spans="1:23" x14ac:dyDescent="0.25">
      <c r="A996" t="s">
        <v>217</v>
      </c>
      <c r="B996" t="str">
        <f>CONCATENATE(Consulta1[[#This Row],[id]],Consulta1[[#This Row],[EMPREGADOR]])</f>
        <v>4PREF JUAZEIRO N</v>
      </c>
      <c r="C996" s="6">
        <f>IF(A996=A995,C995+1,1)</f>
        <v>4</v>
      </c>
      <c r="D996" t="s">
        <v>1165</v>
      </c>
      <c r="E996" s="101">
        <v>2.2000000000000002E-2</v>
      </c>
      <c r="F996" s="6">
        <v>120</v>
      </c>
      <c r="G996" t="s">
        <v>1349</v>
      </c>
      <c r="H996" s="82">
        <v>2.5</v>
      </c>
      <c r="I996">
        <v>15</v>
      </c>
      <c r="J996">
        <v>51</v>
      </c>
      <c r="K996" t="s">
        <v>1888</v>
      </c>
      <c r="L996" s="6" t="s">
        <v>1372</v>
      </c>
      <c r="M996" s="6">
        <v>10</v>
      </c>
      <c r="N996" s="6">
        <v>2</v>
      </c>
      <c r="O996">
        <v>500</v>
      </c>
      <c r="P996">
        <v>202605</v>
      </c>
      <c r="Q996" t="s">
        <v>377</v>
      </c>
      <c r="R996" t="s">
        <v>1353</v>
      </c>
      <c r="S996">
        <f>Consulta1[[#This Row],[min_port]]/100</f>
        <v>1.6E-2</v>
      </c>
      <c r="T996" s="252">
        <f>Consulta1[[#This Row],[TETO_COMERCIAL]]/100</f>
        <v>2.5000000000000001E-2</v>
      </c>
      <c r="U996" t="b">
        <f>Consulta1[[#This Row],[TETO_COMERCIAL_%]]=Consulta1[[#This Row],[TAXA]]</f>
        <v>0</v>
      </c>
      <c r="V996" t="str">
        <f>CONCATENATE(Consulta1[[#This Row],[MES_ALTERACAO]],Consulta1[[#This Row],[VIRADA]])</f>
        <v>20260510</v>
      </c>
      <c r="W996">
        <f>VLOOKUP(Consulta1[[#This Row],[Coluna2]],CALENDARIO!$J:$K,2,FALSE)</f>
        <v>5</v>
      </c>
    </row>
    <row r="997" spans="1:23" x14ac:dyDescent="0.25">
      <c r="A997" t="s">
        <v>91</v>
      </c>
      <c r="B997" t="str">
        <f>CONCATENATE(Consulta1[[#This Row],[id]],Consulta1[[#This Row],[EMPREGADOR]])</f>
        <v>1PREF JUIZ FORA</v>
      </c>
      <c r="C997" s="6">
        <f>IF(A997=A996,C996+1,1)</f>
        <v>1</v>
      </c>
      <c r="D997" t="s">
        <v>92</v>
      </c>
      <c r="E997" s="101">
        <v>1.8500000000000003E-2</v>
      </c>
      <c r="F997" s="6">
        <v>120</v>
      </c>
      <c r="G997" t="s">
        <v>1349</v>
      </c>
      <c r="H997" s="82">
        <v>1.85</v>
      </c>
      <c r="I997">
        <v>20</v>
      </c>
      <c r="J997">
        <v>61</v>
      </c>
      <c r="K997" t="s">
        <v>1889</v>
      </c>
      <c r="L997" s="6" t="s">
        <v>1374</v>
      </c>
      <c r="M997" s="6">
        <v>4</v>
      </c>
      <c r="N997" s="6">
        <v>2</v>
      </c>
      <c r="O997">
        <v>500</v>
      </c>
      <c r="P997">
        <v>202605</v>
      </c>
      <c r="Q997" t="s">
        <v>378</v>
      </c>
      <c r="R997" t="s">
        <v>1353</v>
      </c>
      <c r="S997">
        <f>Consulta1[[#This Row],[min_port]]/100</f>
        <v>1.4999999999999999E-2</v>
      </c>
      <c r="T997" s="252">
        <f>Consulta1[[#This Row],[TETO_COMERCIAL]]/100</f>
        <v>1.8500000000000003E-2</v>
      </c>
      <c r="U997" t="b">
        <f>Consulta1[[#This Row],[TETO_COMERCIAL_%]]=Consulta1[[#This Row],[TAXA]]</f>
        <v>1</v>
      </c>
      <c r="V997" t="str">
        <f>CONCATENATE(Consulta1[[#This Row],[MES_ALTERACAO]],Consulta1[[#This Row],[VIRADA]])</f>
        <v>2026054</v>
      </c>
      <c r="W997">
        <f>VLOOKUP(Consulta1[[#This Row],[Coluna2]],CALENDARIO!$J:$K,2,FALSE)</f>
        <v>1</v>
      </c>
    </row>
    <row r="998" spans="1:23" x14ac:dyDescent="0.25">
      <c r="A998" t="s">
        <v>372</v>
      </c>
      <c r="B998" t="str">
        <f>CONCATENATE(Consulta1[[#This Row],[id]],Consulta1[[#This Row],[EMPREGADOR]])</f>
        <v>1PREF JUNDIAI</v>
      </c>
      <c r="C998" s="6">
        <f>IF(A998=A997,C997+1,1)</f>
        <v>1</v>
      </c>
      <c r="D998" t="s">
        <v>2859</v>
      </c>
      <c r="E998" s="101">
        <v>2.29E-2</v>
      </c>
      <c r="F998" s="6">
        <v>120</v>
      </c>
      <c r="G998" t="s">
        <v>1349</v>
      </c>
      <c r="H998" s="82">
        <v>2.29</v>
      </c>
      <c r="I998">
        <v>10</v>
      </c>
      <c r="J998">
        <v>39</v>
      </c>
      <c r="K998" t="s">
        <v>2860</v>
      </c>
      <c r="L998" s="6" t="s">
        <v>1371</v>
      </c>
      <c r="M998" s="6">
        <v>12</v>
      </c>
      <c r="N998" s="6">
        <v>2</v>
      </c>
      <c r="O998">
        <v>500</v>
      </c>
      <c r="P998">
        <v>202605</v>
      </c>
      <c r="Q998" t="s">
        <v>377</v>
      </c>
      <c r="R998" t="s">
        <v>1350</v>
      </c>
      <c r="S998">
        <f>Consulta1[[#This Row],[min_port]]/100</f>
        <v>1.4499999999999999E-2</v>
      </c>
      <c r="T998" s="252">
        <f>Consulta1[[#This Row],[TETO_COMERCIAL]]/100</f>
        <v>2.29E-2</v>
      </c>
      <c r="U998" t="b">
        <f>Consulta1[[#This Row],[TETO_COMERCIAL_%]]=Consulta1[[#This Row],[TAXA]]</f>
        <v>1</v>
      </c>
      <c r="V998" t="str">
        <f>CONCATENATE(Consulta1[[#This Row],[MES_ALTERACAO]],Consulta1[[#This Row],[VIRADA]])</f>
        <v>20260512</v>
      </c>
      <c r="W998">
        <f>VLOOKUP(Consulta1[[#This Row],[Coluna2]],CALENDARIO!$J:$K,2,FALSE)</f>
        <v>7</v>
      </c>
    </row>
    <row r="999" spans="1:23" x14ac:dyDescent="0.25">
      <c r="A999" t="s">
        <v>372</v>
      </c>
      <c r="B999" t="str">
        <f>CONCATENATE(Consulta1[[#This Row],[id]],Consulta1[[#This Row],[EMPREGADOR]])</f>
        <v>2PREF JUNDIAI</v>
      </c>
      <c r="C999" s="6">
        <f>IF(A999=A998,C998+1,1)</f>
        <v>2</v>
      </c>
      <c r="D999" t="s">
        <v>2861</v>
      </c>
      <c r="E999" s="101">
        <v>2.0499999999999997E-2</v>
      </c>
      <c r="F999" s="6">
        <v>120</v>
      </c>
      <c r="G999" t="s">
        <v>1349</v>
      </c>
      <c r="H999" s="82">
        <v>2.29</v>
      </c>
      <c r="I999">
        <v>10</v>
      </c>
      <c r="K999" t="s">
        <v>2862</v>
      </c>
      <c r="L999" s="6" t="s">
        <v>1371</v>
      </c>
      <c r="M999" s="6">
        <v>12</v>
      </c>
      <c r="N999" s="6">
        <v>2</v>
      </c>
      <c r="O999">
        <v>500</v>
      </c>
      <c r="P999">
        <v>202605</v>
      </c>
      <c r="Q999" t="s">
        <v>377</v>
      </c>
      <c r="R999" t="s">
        <v>1350</v>
      </c>
      <c r="S999">
        <f>Consulta1[[#This Row],[min_port]]/100</f>
        <v>1.4499999999999999E-2</v>
      </c>
      <c r="T999" s="252">
        <f>Consulta1[[#This Row],[TETO_COMERCIAL]]/100</f>
        <v>2.29E-2</v>
      </c>
      <c r="U999" t="b">
        <f>Consulta1[[#This Row],[TETO_COMERCIAL_%]]=Consulta1[[#This Row],[TAXA]]</f>
        <v>0</v>
      </c>
      <c r="V999" t="str">
        <f>CONCATENATE(Consulta1[[#This Row],[MES_ALTERACAO]],Consulta1[[#This Row],[VIRADA]])</f>
        <v>20260512</v>
      </c>
      <c r="W999">
        <f>VLOOKUP(Consulta1[[#This Row],[Coluna2]],CALENDARIO!$J:$K,2,FALSE)</f>
        <v>7</v>
      </c>
    </row>
    <row r="1000" spans="1:23" x14ac:dyDescent="0.25">
      <c r="A1000" t="s">
        <v>372</v>
      </c>
      <c r="B1000" t="str">
        <f>CONCATENATE(Consulta1[[#This Row],[id]],Consulta1[[#This Row],[EMPREGADOR]])</f>
        <v>3PREF JUNDIAI</v>
      </c>
      <c r="C1000" s="6">
        <f>IF(A1000=A999,C999+1,1)</f>
        <v>3</v>
      </c>
      <c r="D1000" t="s">
        <v>2863</v>
      </c>
      <c r="E1000" s="101">
        <v>1.95E-2</v>
      </c>
      <c r="F1000" s="6">
        <v>120</v>
      </c>
      <c r="G1000" t="s">
        <v>1349</v>
      </c>
      <c r="H1000" s="82">
        <v>2.29</v>
      </c>
      <c r="I1000">
        <v>10</v>
      </c>
      <c r="J1000">
        <v>54</v>
      </c>
      <c r="K1000" t="s">
        <v>2864</v>
      </c>
      <c r="L1000" s="6" t="s">
        <v>1371</v>
      </c>
      <c r="M1000" s="6">
        <v>12</v>
      </c>
      <c r="N1000" s="6">
        <v>2</v>
      </c>
      <c r="O1000">
        <v>500</v>
      </c>
      <c r="P1000">
        <v>202605</v>
      </c>
      <c r="Q1000" t="s">
        <v>377</v>
      </c>
      <c r="R1000" t="s">
        <v>1350</v>
      </c>
      <c r="S1000">
        <f>Consulta1[[#This Row],[min_port]]/100</f>
        <v>1.4499999999999999E-2</v>
      </c>
      <c r="T1000" s="252">
        <f>Consulta1[[#This Row],[TETO_COMERCIAL]]/100</f>
        <v>2.29E-2</v>
      </c>
      <c r="U1000" t="b">
        <f>Consulta1[[#This Row],[TETO_COMERCIAL_%]]=Consulta1[[#This Row],[TAXA]]</f>
        <v>0</v>
      </c>
      <c r="V1000" t="str">
        <f>CONCATENATE(Consulta1[[#This Row],[MES_ALTERACAO]],Consulta1[[#This Row],[VIRADA]])</f>
        <v>20260512</v>
      </c>
      <c r="W1000">
        <f>VLOOKUP(Consulta1[[#This Row],[Coluna2]],CALENDARIO!$J:$K,2,FALSE)</f>
        <v>7</v>
      </c>
    </row>
    <row r="1001" spans="1:23" x14ac:dyDescent="0.25">
      <c r="A1001" t="s">
        <v>372</v>
      </c>
      <c r="B1001" t="str">
        <f>CONCATENATE(Consulta1[[#This Row],[id]],Consulta1[[#This Row],[EMPREGADOR]])</f>
        <v>4PREF JUNDIAI</v>
      </c>
      <c r="C1001" s="6">
        <f>IF(A1001=A1000,C1000+1,1)</f>
        <v>4</v>
      </c>
      <c r="D1001" t="s">
        <v>2865</v>
      </c>
      <c r="E1001" s="101">
        <v>1.89E-2</v>
      </c>
      <c r="F1001" s="6">
        <v>120</v>
      </c>
      <c r="G1001" t="s">
        <v>1349</v>
      </c>
      <c r="H1001" s="82">
        <v>2.29</v>
      </c>
      <c r="I1001">
        <v>10</v>
      </c>
      <c r="J1001">
        <v>43</v>
      </c>
      <c r="K1001" t="s">
        <v>2866</v>
      </c>
      <c r="L1001" s="6" t="s">
        <v>1371</v>
      </c>
      <c r="M1001" s="6">
        <v>12</v>
      </c>
      <c r="N1001" s="6">
        <v>2</v>
      </c>
      <c r="O1001">
        <v>500</v>
      </c>
      <c r="P1001">
        <v>202605</v>
      </c>
      <c r="Q1001" t="s">
        <v>377</v>
      </c>
      <c r="R1001" t="s">
        <v>1350</v>
      </c>
      <c r="S1001">
        <f>Consulta1[[#This Row],[min_port]]/100</f>
        <v>1.4499999999999999E-2</v>
      </c>
      <c r="T1001" s="252">
        <f>Consulta1[[#This Row],[TETO_COMERCIAL]]/100</f>
        <v>2.29E-2</v>
      </c>
      <c r="U1001" t="b">
        <f>Consulta1[[#This Row],[TETO_COMERCIAL_%]]=Consulta1[[#This Row],[TAXA]]</f>
        <v>0</v>
      </c>
      <c r="V1001" t="str">
        <f>CONCATENATE(Consulta1[[#This Row],[MES_ALTERACAO]],Consulta1[[#This Row],[VIRADA]])</f>
        <v>20260512</v>
      </c>
      <c r="W1001">
        <f>VLOOKUP(Consulta1[[#This Row],[Coluna2]],CALENDARIO!$J:$K,2,FALSE)</f>
        <v>7</v>
      </c>
    </row>
    <row r="1002" spans="1:23" x14ac:dyDescent="0.25">
      <c r="A1002" t="s">
        <v>372</v>
      </c>
      <c r="B1002" t="str">
        <f>CONCATENATE(Consulta1[[#This Row],[id]],Consulta1[[#This Row],[EMPREGADOR]])</f>
        <v>5PREF JUNDIAI</v>
      </c>
      <c r="C1002" s="6">
        <f>IF(A1002=A1001,C1001+1,1)</f>
        <v>5</v>
      </c>
      <c r="D1002" t="s">
        <v>2867</v>
      </c>
      <c r="E1002" s="101">
        <v>1.8500000000000003E-2</v>
      </c>
      <c r="F1002" s="6">
        <v>120</v>
      </c>
      <c r="G1002" t="s">
        <v>1349</v>
      </c>
      <c r="H1002" s="82">
        <v>2.29</v>
      </c>
      <c r="I1002">
        <v>10</v>
      </c>
      <c r="J1002">
        <v>42</v>
      </c>
      <c r="K1002" t="s">
        <v>2868</v>
      </c>
      <c r="L1002" s="6" t="s">
        <v>1371</v>
      </c>
      <c r="M1002" s="6">
        <v>12</v>
      </c>
      <c r="N1002" s="6">
        <v>2</v>
      </c>
      <c r="O1002">
        <v>500</v>
      </c>
      <c r="P1002">
        <v>202605</v>
      </c>
      <c r="Q1002" t="s">
        <v>377</v>
      </c>
      <c r="R1002" t="s">
        <v>1350</v>
      </c>
      <c r="S1002">
        <f>Consulta1[[#This Row],[min_port]]/100</f>
        <v>1.4499999999999999E-2</v>
      </c>
      <c r="T1002" s="252">
        <f>Consulta1[[#This Row],[TETO_COMERCIAL]]/100</f>
        <v>2.29E-2</v>
      </c>
      <c r="U1002" t="b">
        <f>Consulta1[[#This Row],[TETO_COMERCIAL_%]]=Consulta1[[#This Row],[TAXA]]</f>
        <v>0</v>
      </c>
      <c r="V1002" t="str">
        <f>CONCATENATE(Consulta1[[#This Row],[MES_ALTERACAO]],Consulta1[[#This Row],[VIRADA]])</f>
        <v>20260512</v>
      </c>
      <c r="W1002">
        <f>VLOOKUP(Consulta1[[#This Row],[Coluna2]],CALENDARIO!$J:$K,2,FALSE)</f>
        <v>7</v>
      </c>
    </row>
    <row r="1003" spans="1:23" x14ac:dyDescent="0.25">
      <c r="A1003" t="s">
        <v>372</v>
      </c>
      <c r="B1003" t="str">
        <f>CONCATENATE(Consulta1[[#This Row],[id]],Consulta1[[#This Row],[EMPREGADOR]])</f>
        <v>6PREF JUNDIAI</v>
      </c>
      <c r="C1003" s="6">
        <f>IF(A1003=A1002,C1002+1,1)</f>
        <v>6</v>
      </c>
      <c r="D1003" t="s">
        <v>2869</v>
      </c>
      <c r="E1003" s="101">
        <v>1.7899999999999999E-2</v>
      </c>
      <c r="F1003" s="6">
        <v>120</v>
      </c>
      <c r="G1003" t="s">
        <v>1349</v>
      </c>
      <c r="H1003" s="82">
        <v>2.29</v>
      </c>
      <c r="I1003">
        <v>10</v>
      </c>
      <c r="J1003">
        <v>45</v>
      </c>
      <c r="K1003" t="s">
        <v>2870</v>
      </c>
      <c r="L1003" s="6" t="s">
        <v>1371</v>
      </c>
      <c r="M1003" s="6">
        <v>12</v>
      </c>
      <c r="N1003" s="6">
        <v>2</v>
      </c>
      <c r="O1003">
        <v>500</v>
      </c>
      <c r="P1003">
        <v>202605</v>
      </c>
      <c r="Q1003" t="s">
        <v>377</v>
      </c>
      <c r="R1003" t="s">
        <v>1350</v>
      </c>
      <c r="S1003">
        <f>Consulta1[[#This Row],[min_port]]/100</f>
        <v>1.4499999999999999E-2</v>
      </c>
      <c r="T1003" s="252">
        <f>Consulta1[[#This Row],[TETO_COMERCIAL]]/100</f>
        <v>2.29E-2</v>
      </c>
      <c r="U1003" t="b">
        <f>Consulta1[[#This Row],[TETO_COMERCIAL_%]]=Consulta1[[#This Row],[TAXA]]</f>
        <v>0</v>
      </c>
      <c r="V1003" t="str">
        <f>CONCATENATE(Consulta1[[#This Row],[MES_ALTERACAO]],Consulta1[[#This Row],[VIRADA]])</f>
        <v>20260512</v>
      </c>
      <c r="W1003">
        <f>VLOOKUP(Consulta1[[#This Row],[Coluna2]],CALENDARIO!$J:$K,2,FALSE)</f>
        <v>7</v>
      </c>
    </row>
    <row r="1004" spans="1:23" x14ac:dyDescent="0.25">
      <c r="A1004" t="s">
        <v>372</v>
      </c>
      <c r="B1004" t="str">
        <f>CONCATENATE(Consulta1[[#This Row],[id]],Consulta1[[#This Row],[EMPREGADOR]])</f>
        <v>7PREF JUNDIAI</v>
      </c>
      <c r="C1004" s="6">
        <f>IF(A1004=A1003,C1003+1,1)</f>
        <v>7</v>
      </c>
      <c r="D1004" t="s">
        <v>2871</v>
      </c>
      <c r="E1004" s="101">
        <v>1.7500000000000002E-2</v>
      </c>
      <c r="F1004" s="6">
        <v>120</v>
      </c>
      <c r="G1004" t="s">
        <v>1349</v>
      </c>
      <c r="H1004" s="82">
        <v>2.29</v>
      </c>
      <c r="I1004">
        <v>10</v>
      </c>
      <c r="J1004">
        <v>48</v>
      </c>
      <c r="K1004" t="s">
        <v>2872</v>
      </c>
      <c r="L1004" s="6" t="s">
        <v>1371</v>
      </c>
      <c r="M1004" s="6">
        <v>12</v>
      </c>
      <c r="N1004" s="6">
        <v>2</v>
      </c>
      <c r="O1004">
        <v>500</v>
      </c>
      <c r="P1004">
        <v>202605</v>
      </c>
      <c r="Q1004" t="s">
        <v>377</v>
      </c>
      <c r="R1004" t="s">
        <v>1350</v>
      </c>
      <c r="S1004">
        <f>Consulta1[[#This Row],[min_port]]/100</f>
        <v>1.4499999999999999E-2</v>
      </c>
      <c r="T1004" s="252">
        <f>Consulta1[[#This Row],[TETO_COMERCIAL]]/100</f>
        <v>2.29E-2</v>
      </c>
      <c r="U1004" t="b">
        <f>Consulta1[[#This Row],[TETO_COMERCIAL_%]]=Consulta1[[#This Row],[TAXA]]</f>
        <v>0</v>
      </c>
      <c r="V1004" t="str">
        <f>CONCATENATE(Consulta1[[#This Row],[MES_ALTERACAO]],Consulta1[[#This Row],[VIRADA]])</f>
        <v>20260512</v>
      </c>
      <c r="W1004">
        <f>VLOOKUP(Consulta1[[#This Row],[Coluna2]],CALENDARIO!$J:$K,2,FALSE)</f>
        <v>7</v>
      </c>
    </row>
    <row r="1005" spans="1:23" x14ac:dyDescent="0.25">
      <c r="A1005" t="s">
        <v>372</v>
      </c>
      <c r="B1005" t="str">
        <f>CONCATENATE(Consulta1[[#This Row],[id]],Consulta1[[#This Row],[EMPREGADOR]])</f>
        <v>8PREF JUNDIAI</v>
      </c>
      <c r="C1005" s="6">
        <f>IF(A1005=A1004,C1004+1,1)</f>
        <v>8</v>
      </c>
      <c r="D1005" t="s">
        <v>2873</v>
      </c>
      <c r="E1005" s="101">
        <v>1.6899999999999998E-2</v>
      </c>
      <c r="F1005" s="6">
        <v>120</v>
      </c>
      <c r="G1005" t="s">
        <v>1349</v>
      </c>
      <c r="H1005" s="82">
        <v>2.29</v>
      </c>
      <c r="I1005">
        <v>10</v>
      </c>
      <c r="J1005">
        <v>39</v>
      </c>
      <c r="K1005" t="s">
        <v>2874</v>
      </c>
      <c r="L1005" s="6" t="s">
        <v>1371</v>
      </c>
      <c r="M1005" s="6">
        <v>12</v>
      </c>
      <c r="N1005" s="6">
        <v>2</v>
      </c>
      <c r="O1005">
        <v>500</v>
      </c>
      <c r="P1005">
        <v>202605</v>
      </c>
      <c r="Q1005" t="s">
        <v>377</v>
      </c>
      <c r="R1005" t="s">
        <v>1350</v>
      </c>
      <c r="S1005">
        <f>Consulta1[[#This Row],[min_port]]/100</f>
        <v>1.4499999999999999E-2</v>
      </c>
      <c r="T1005" s="252">
        <f>Consulta1[[#This Row],[TETO_COMERCIAL]]/100</f>
        <v>2.29E-2</v>
      </c>
      <c r="U1005" t="b">
        <f>Consulta1[[#This Row],[TETO_COMERCIAL_%]]=Consulta1[[#This Row],[TAXA]]</f>
        <v>0</v>
      </c>
      <c r="V1005" t="str">
        <f>CONCATENATE(Consulta1[[#This Row],[MES_ALTERACAO]],Consulta1[[#This Row],[VIRADA]])</f>
        <v>20260512</v>
      </c>
      <c r="W1005">
        <f>VLOOKUP(Consulta1[[#This Row],[Coluna2]],CALENDARIO!$J:$K,2,FALSE)</f>
        <v>7</v>
      </c>
    </row>
    <row r="1006" spans="1:23" x14ac:dyDescent="0.25">
      <c r="A1006" t="s">
        <v>1091</v>
      </c>
      <c r="B1006" t="str">
        <f>CONCATENATE(Consulta1[[#This Row],[id]],Consulta1[[#This Row],[EMPREGADOR]])</f>
        <v>1PREF LAJEADO</v>
      </c>
      <c r="C1006" s="6">
        <f>IF(A1006=A1005,C1005+1,1)</f>
        <v>1</v>
      </c>
      <c r="D1006" t="s">
        <v>1092</v>
      </c>
      <c r="E1006" s="101">
        <v>2.5000000000000001E-2</v>
      </c>
      <c r="F1006" s="6">
        <v>120</v>
      </c>
      <c r="G1006" t="s">
        <v>1349</v>
      </c>
      <c r="H1006" s="82">
        <v>2.5</v>
      </c>
      <c r="I1006">
        <v>17</v>
      </c>
      <c r="K1006" t="s">
        <v>1890</v>
      </c>
      <c r="L1006" s="6" t="s">
        <v>1471</v>
      </c>
      <c r="M1006" s="6">
        <v>14</v>
      </c>
      <c r="N1006" s="6">
        <v>2</v>
      </c>
      <c r="O1006">
        <v>500</v>
      </c>
      <c r="P1006">
        <v>202605</v>
      </c>
      <c r="Q1006" t="s">
        <v>377</v>
      </c>
      <c r="R1006" t="s">
        <v>1353</v>
      </c>
      <c r="S1006">
        <f>Consulta1[[#This Row],[min_port]]/100</f>
        <v>1.34E-2</v>
      </c>
      <c r="T1006" s="252">
        <f>Consulta1[[#This Row],[TETO_COMERCIAL]]/100</f>
        <v>2.5000000000000001E-2</v>
      </c>
      <c r="U1006" t="b">
        <f>Consulta1[[#This Row],[TETO_COMERCIAL_%]]=Consulta1[[#This Row],[TAXA]]</f>
        <v>1</v>
      </c>
      <c r="V1006" t="str">
        <f>CONCATENATE(Consulta1[[#This Row],[MES_ALTERACAO]],Consulta1[[#This Row],[VIRADA]])</f>
        <v>20260514</v>
      </c>
      <c r="W1006">
        <f>VLOOKUP(Consulta1[[#This Row],[Coluna2]],CALENDARIO!$J:$K,2,FALSE)</f>
        <v>9</v>
      </c>
    </row>
    <row r="1007" spans="1:23" x14ac:dyDescent="0.25">
      <c r="A1007" t="s">
        <v>1091</v>
      </c>
      <c r="B1007" t="str">
        <f>CONCATENATE(Consulta1[[#This Row],[id]],Consulta1[[#This Row],[EMPREGADOR]])</f>
        <v>2PREF LAJEADO</v>
      </c>
      <c r="C1007" s="6">
        <f>IF(A1007=A1006,C1006+1,1)</f>
        <v>2</v>
      </c>
      <c r="D1007" t="s">
        <v>1093</v>
      </c>
      <c r="E1007" s="101">
        <v>2.2499999999999999E-2</v>
      </c>
      <c r="F1007" s="6">
        <v>120</v>
      </c>
      <c r="G1007" t="s">
        <v>1349</v>
      </c>
      <c r="H1007" s="82">
        <v>2.5</v>
      </c>
      <c r="I1007">
        <v>17</v>
      </c>
      <c r="K1007" t="s">
        <v>1891</v>
      </c>
      <c r="L1007" s="6" t="s">
        <v>1471</v>
      </c>
      <c r="M1007" s="6">
        <v>14</v>
      </c>
      <c r="N1007" s="6">
        <v>2</v>
      </c>
      <c r="O1007">
        <v>500</v>
      </c>
      <c r="P1007">
        <v>202605</v>
      </c>
      <c r="Q1007" t="s">
        <v>377</v>
      </c>
      <c r="R1007" t="s">
        <v>1353</v>
      </c>
      <c r="S1007">
        <f>Consulta1[[#This Row],[min_port]]/100</f>
        <v>1.34E-2</v>
      </c>
      <c r="T1007" s="252">
        <f>Consulta1[[#This Row],[TETO_COMERCIAL]]/100</f>
        <v>2.5000000000000001E-2</v>
      </c>
      <c r="U1007" t="b">
        <f>Consulta1[[#This Row],[TETO_COMERCIAL_%]]=Consulta1[[#This Row],[TAXA]]</f>
        <v>0</v>
      </c>
      <c r="V1007" t="str">
        <f>CONCATENATE(Consulta1[[#This Row],[MES_ALTERACAO]],Consulta1[[#This Row],[VIRADA]])</f>
        <v>20260514</v>
      </c>
      <c r="W1007">
        <f>VLOOKUP(Consulta1[[#This Row],[Coluna2]],CALENDARIO!$J:$K,2,FALSE)</f>
        <v>9</v>
      </c>
    </row>
    <row r="1008" spans="1:23" x14ac:dyDescent="0.25">
      <c r="A1008" t="s">
        <v>1091</v>
      </c>
      <c r="B1008" t="str">
        <f>CONCATENATE(Consulta1[[#This Row],[id]],Consulta1[[#This Row],[EMPREGADOR]])</f>
        <v>3PREF LAJEADO</v>
      </c>
      <c r="C1008" s="6">
        <f>IF(A1008=A1007,C1007+1,1)</f>
        <v>3</v>
      </c>
      <c r="D1008" t="s">
        <v>1094</v>
      </c>
      <c r="E1008" s="101">
        <v>2.1499999999999998E-2</v>
      </c>
      <c r="F1008" s="6">
        <v>120</v>
      </c>
      <c r="G1008" t="s">
        <v>1349</v>
      </c>
      <c r="H1008" s="82">
        <v>2.5</v>
      </c>
      <c r="I1008">
        <v>17</v>
      </c>
      <c r="K1008" t="s">
        <v>1892</v>
      </c>
      <c r="L1008" s="6" t="s">
        <v>1471</v>
      </c>
      <c r="M1008" s="6">
        <v>14</v>
      </c>
      <c r="N1008" s="6">
        <v>2</v>
      </c>
      <c r="O1008">
        <v>500</v>
      </c>
      <c r="P1008">
        <v>202605</v>
      </c>
      <c r="Q1008" t="s">
        <v>377</v>
      </c>
      <c r="R1008" t="s">
        <v>1353</v>
      </c>
      <c r="S1008">
        <f>Consulta1[[#This Row],[min_port]]/100</f>
        <v>1.34E-2</v>
      </c>
      <c r="T1008" s="252">
        <f>Consulta1[[#This Row],[TETO_COMERCIAL]]/100</f>
        <v>2.5000000000000001E-2</v>
      </c>
      <c r="U1008" t="b">
        <f>Consulta1[[#This Row],[TETO_COMERCIAL_%]]=Consulta1[[#This Row],[TAXA]]</f>
        <v>0</v>
      </c>
      <c r="V1008" t="str">
        <f>CONCATENATE(Consulta1[[#This Row],[MES_ALTERACAO]],Consulta1[[#This Row],[VIRADA]])</f>
        <v>20260514</v>
      </c>
      <c r="W1008">
        <f>VLOOKUP(Consulta1[[#This Row],[Coluna2]],CALENDARIO!$J:$K,2,FALSE)</f>
        <v>9</v>
      </c>
    </row>
    <row r="1009" spans="1:23" x14ac:dyDescent="0.25">
      <c r="A1009" t="s">
        <v>1091</v>
      </c>
      <c r="B1009" t="str">
        <f>CONCATENATE(Consulta1[[#This Row],[id]],Consulta1[[#This Row],[EMPREGADOR]])</f>
        <v>4PREF LAJEADO</v>
      </c>
      <c r="C1009" s="6">
        <f>IF(A1009=A1008,C1008+1,1)</f>
        <v>4</v>
      </c>
      <c r="D1009" t="s">
        <v>1095</v>
      </c>
      <c r="E1009" s="101">
        <v>2.1000000000000001E-2</v>
      </c>
      <c r="F1009" s="6">
        <v>120</v>
      </c>
      <c r="G1009" t="s">
        <v>1349</v>
      </c>
      <c r="H1009" s="82">
        <v>2.5</v>
      </c>
      <c r="I1009">
        <v>17</v>
      </c>
      <c r="K1009" t="s">
        <v>1893</v>
      </c>
      <c r="L1009" s="6" t="s">
        <v>1471</v>
      </c>
      <c r="M1009" s="6">
        <v>14</v>
      </c>
      <c r="N1009" s="6">
        <v>2</v>
      </c>
      <c r="O1009">
        <v>500</v>
      </c>
      <c r="P1009">
        <v>202605</v>
      </c>
      <c r="Q1009" t="s">
        <v>377</v>
      </c>
      <c r="R1009" t="s">
        <v>1353</v>
      </c>
      <c r="S1009">
        <f>Consulta1[[#This Row],[min_port]]/100</f>
        <v>1.34E-2</v>
      </c>
      <c r="T1009" s="252">
        <f>Consulta1[[#This Row],[TETO_COMERCIAL]]/100</f>
        <v>2.5000000000000001E-2</v>
      </c>
      <c r="U1009" t="b">
        <f>Consulta1[[#This Row],[TETO_COMERCIAL_%]]=Consulta1[[#This Row],[TAXA]]</f>
        <v>0</v>
      </c>
      <c r="V1009" t="str">
        <f>CONCATENATE(Consulta1[[#This Row],[MES_ALTERACAO]],Consulta1[[#This Row],[VIRADA]])</f>
        <v>20260514</v>
      </c>
      <c r="W1009">
        <f>VLOOKUP(Consulta1[[#This Row],[Coluna2]],CALENDARIO!$J:$K,2,FALSE)</f>
        <v>9</v>
      </c>
    </row>
    <row r="1010" spans="1:23" x14ac:dyDescent="0.25">
      <c r="A1010" t="s">
        <v>1091</v>
      </c>
      <c r="B1010" t="str">
        <f>CONCATENATE(Consulta1[[#This Row],[id]],Consulta1[[#This Row],[EMPREGADOR]])</f>
        <v>5PREF LAJEADO</v>
      </c>
      <c r="C1010" s="6">
        <f>IF(A1010=A1009,C1009+1,1)</f>
        <v>5</v>
      </c>
      <c r="D1010" t="s">
        <v>1096</v>
      </c>
      <c r="E1010" s="101">
        <v>2.0299999999999999E-2</v>
      </c>
      <c r="F1010" s="6">
        <v>120</v>
      </c>
      <c r="G1010" t="s">
        <v>1349</v>
      </c>
      <c r="H1010" s="82">
        <v>2.5</v>
      </c>
      <c r="I1010">
        <v>17</v>
      </c>
      <c r="J1010">
        <v>36</v>
      </c>
      <c r="K1010" t="s">
        <v>1894</v>
      </c>
      <c r="L1010" s="6" t="s">
        <v>1471</v>
      </c>
      <c r="M1010" s="6">
        <v>14</v>
      </c>
      <c r="N1010" s="6">
        <v>2</v>
      </c>
      <c r="O1010">
        <v>500</v>
      </c>
      <c r="P1010">
        <v>202605</v>
      </c>
      <c r="Q1010" t="s">
        <v>377</v>
      </c>
      <c r="R1010" t="s">
        <v>1353</v>
      </c>
      <c r="S1010">
        <f>Consulta1[[#This Row],[min_port]]/100</f>
        <v>1.34E-2</v>
      </c>
      <c r="T1010" s="252">
        <f>Consulta1[[#This Row],[TETO_COMERCIAL]]/100</f>
        <v>2.5000000000000001E-2</v>
      </c>
      <c r="U1010" t="b">
        <f>Consulta1[[#This Row],[TETO_COMERCIAL_%]]=Consulta1[[#This Row],[TAXA]]</f>
        <v>0</v>
      </c>
      <c r="V1010" t="str">
        <f>CONCATENATE(Consulta1[[#This Row],[MES_ALTERACAO]],Consulta1[[#This Row],[VIRADA]])</f>
        <v>20260514</v>
      </c>
      <c r="W1010">
        <f>VLOOKUP(Consulta1[[#This Row],[Coluna2]],CALENDARIO!$J:$K,2,FALSE)</f>
        <v>9</v>
      </c>
    </row>
    <row r="1011" spans="1:23" x14ac:dyDescent="0.25">
      <c r="A1011" t="s">
        <v>3842</v>
      </c>
      <c r="B1011" t="str">
        <f>CONCATENATE(Consulta1[[#This Row],[id]],Consulta1[[#This Row],[EMPREGADOR]])</f>
        <v>1PREF LONDR PORT</v>
      </c>
      <c r="C1011" s="6">
        <f>IF(A1011=A1010,C1010+1,1)</f>
        <v>1</v>
      </c>
      <c r="D1011" t="s">
        <v>3917</v>
      </c>
      <c r="E1011" s="101">
        <v>1.9E-2</v>
      </c>
      <c r="F1011" s="6">
        <v>96</v>
      </c>
      <c r="G1011" t="s">
        <v>1349</v>
      </c>
      <c r="H1011" s="82">
        <v>2.5</v>
      </c>
      <c r="I1011">
        <v>13</v>
      </c>
      <c r="K1011" t="s">
        <v>3918</v>
      </c>
      <c r="L1011" s="6" t="s">
        <v>1427</v>
      </c>
      <c r="M1011" s="6">
        <v>16</v>
      </c>
      <c r="N1011" s="6">
        <v>2</v>
      </c>
      <c r="O1011">
        <v>500</v>
      </c>
      <c r="P1011">
        <v>202605</v>
      </c>
      <c r="Q1011" t="s">
        <v>378</v>
      </c>
      <c r="R1011" t="s">
        <v>1353</v>
      </c>
      <c r="S1011">
        <f>Consulta1[[#This Row],[min_port]]/100</f>
        <v>1.41E-2</v>
      </c>
      <c r="T1011" s="252">
        <f>Consulta1[[#This Row],[TETO_COMERCIAL]]/100</f>
        <v>2.5000000000000001E-2</v>
      </c>
      <c r="U1011" t="b">
        <f>Consulta1[[#This Row],[TETO_COMERCIAL_%]]=Consulta1[[#This Row],[TAXA]]</f>
        <v>0</v>
      </c>
      <c r="V1011" t="str">
        <f>CONCATENATE(Consulta1[[#This Row],[MES_ALTERACAO]],Consulta1[[#This Row],[VIRADA]])</f>
        <v>20260516</v>
      </c>
      <c r="W1011">
        <f>VLOOKUP(Consulta1[[#This Row],[Coluna2]],CALENDARIO!$J:$K,2,FALSE)</f>
        <v>10</v>
      </c>
    </row>
    <row r="1012" spans="1:23" x14ac:dyDescent="0.25">
      <c r="A1012" t="s">
        <v>3842</v>
      </c>
      <c r="B1012" t="str">
        <f>CONCATENATE(Consulta1[[#This Row],[id]],Consulta1[[#This Row],[EMPREGADOR]])</f>
        <v>2PREF LONDR PORT</v>
      </c>
      <c r="C1012" s="6">
        <f>IF(A1012=A1011,C1011+1,1)</f>
        <v>2</v>
      </c>
      <c r="D1012" t="s">
        <v>3919</v>
      </c>
      <c r="E1012" s="101">
        <v>1.8500000000000003E-2</v>
      </c>
      <c r="F1012" s="6">
        <v>96</v>
      </c>
      <c r="G1012" t="s">
        <v>1349</v>
      </c>
      <c r="H1012" s="82">
        <v>2.5</v>
      </c>
      <c r="I1012">
        <v>13</v>
      </c>
      <c r="K1012" t="s">
        <v>3920</v>
      </c>
      <c r="L1012" s="6" t="s">
        <v>1427</v>
      </c>
      <c r="M1012" s="6">
        <v>16</v>
      </c>
      <c r="N1012" s="6">
        <v>2</v>
      </c>
      <c r="O1012">
        <v>500</v>
      </c>
      <c r="P1012">
        <v>202605</v>
      </c>
      <c r="Q1012" t="s">
        <v>378</v>
      </c>
      <c r="R1012" t="s">
        <v>1353</v>
      </c>
      <c r="S1012">
        <f>Consulta1[[#This Row],[min_port]]/100</f>
        <v>1.41E-2</v>
      </c>
      <c r="T1012" s="252">
        <f>Consulta1[[#This Row],[TETO_COMERCIAL]]/100</f>
        <v>2.5000000000000001E-2</v>
      </c>
      <c r="U1012" t="b">
        <f>Consulta1[[#This Row],[TETO_COMERCIAL_%]]=Consulta1[[#This Row],[TAXA]]</f>
        <v>0</v>
      </c>
      <c r="V1012" t="str">
        <f>CONCATENATE(Consulta1[[#This Row],[MES_ALTERACAO]],Consulta1[[#This Row],[VIRADA]])</f>
        <v>20260516</v>
      </c>
      <c r="W1012">
        <f>VLOOKUP(Consulta1[[#This Row],[Coluna2]],CALENDARIO!$J:$K,2,FALSE)</f>
        <v>10</v>
      </c>
    </row>
    <row r="1013" spans="1:23" x14ac:dyDescent="0.25">
      <c r="A1013" t="s">
        <v>3842</v>
      </c>
      <c r="B1013" t="str">
        <f>CONCATENATE(Consulta1[[#This Row],[id]],Consulta1[[#This Row],[EMPREGADOR]])</f>
        <v>3PREF LONDR PORT</v>
      </c>
      <c r="C1013" s="6">
        <f>IF(A1013=A1012,C1012+1,1)</f>
        <v>3</v>
      </c>
      <c r="D1013" t="s">
        <v>3921</v>
      </c>
      <c r="E1013" s="101">
        <v>1.8000000000000002E-2</v>
      </c>
      <c r="F1013" s="6">
        <v>96</v>
      </c>
      <c r="G1013" t="s">
        <v>1349</v>
      </c>
      <c r="H1013" s="82">
        <v>2.5</v>
      </c>
      <c r="I1013">
        <v>13</v>
      </c>
      <c r="K1013" t="s">
        <v>3922</v>
      </c>
      <c r="L1013" s="6" t="s">
        <v>1427</v>
      </c>
      <c r="M1013" s="6">
        <v>16</v>
      </c>
      <c r="N1013" s="6">
        <v>2</v>
      </c>
      <c r="O1013">
        <v>500</v>
      </c>
      <c r="P1013">
        <v>202605</v>
      </c>
      <c r="Q1013" t="s">
        <v>378</v>
      </c>
      <c r="R1013" t="s">
        <v>1353</v>
      </c>
      <c r="S1013">
        <f>Consulta1[[#This Row],[min_port]]/100</f>
        <v>1.41E-2</v>
      </c>
      <c r="T1013" s="252">
        <f>Consulta1[[#This Row],[TETO_COMERCIAL]]/100</f>
        <v>2.5000000000000001E-2</v>
      </c>
      <c r="U1013" t="b">
        <f>Consulta1[[#This Row],[TETO_COMERCIAL_%]]=Consulta1[[#This Row],[TAXA]]</f>
        <v>0</v>
      </c>
      <c r="V1013" t="str">
        <f>CONCATENATE(Consulta1[[#This Row],[MES_ALTERACAO]],Consulta1[[#This Row],[VIRADA]])</f>
        <v>20260516</v>
      </c>
      <c r="W1013">
        <f>VLOOKUP(Consulta1[[#This Row],[Coluna2]],CALENDARIO!$J:$K,2,FALSE)</f>
        <v>10</v>
      </c>
    </row>
    <row r="1014" spans="1:23" x14ac:dyDescent="0.25">
      <c r="A1014" t="s">
        <v>3842</v>
      </c>
      <c r="B1014" t="str">
        <f>CONCATENATE(Consulta1[[#This Row],[id]],Consulta1[[#This Row],[EMPREGADOR]])</f>
        <v>4PREF LONDR PORT</v>
      </c>
      <c r="C1014" s="6">
        <f>IF(A1014=A1013,C1013+1,1)</f>
        <v>4</v>
      </c>
      <c r="D1014" t="s">
        <v>3923</v>
      </c>
      <c r="E1014" s="101">
        <v>1.7500000000000002E-2</v>
      </c>
      <c r="F1014" s="6">
        <v>96</v>
      </c>
      <c r="G1014" t="s">
        <v>1349</v>
      </c>
      <c r="H1014" s="82">
        <v>2.5</v>
      </c>
      <c r="I1014">
        <v>13</v>
      </c>
      <c r="K1014" t="s">
        <v>3924</v>
      </c>
      <c r="L1014" s="6" t="s">
        <v>1427</v>
      </c>
      <c r="M1014" s="6">
        <v>16</v>
      </c>
      <c r="N1014" s="6">
        <v>2</v>
      </c>
      <c r="O1014">
        <v>500</v>
      </c>
      <c r="P1014">
        <v>202605</v>
      </c>
      <c r="Q1014" t="s">
        <v>378</v>
      </c>
      <c r="R1014" t="s">
        <v>1353</v>
      </c>
      <c r="S1014">
        <f>Consulta1[[#This Row],[min_port]]/100</f>
        <v>1.41E-2</v>
      </c>
      <c r="T1014" s="252">
        <f>Consulta1[[#This Row],[TETO_COMERCIAL]]/100</f>
        <v>2.5000000000000001E-2</v>
      </c>
      <c r="U1014" t="b">
        <f>Consulta1[[#This Row],[TETO_COMERCIAL_%]]=Consulta1[[#This Row],[TAXA]]</f>
        <v>0</v>
      </c>
      <c r="V1014" t="str">
        <f>CONCATENATE(Consulta1[[#This Row],[MES_ALTERACAO]],Consulta1[[#This Row],[VIRADA]])</f>
        <v>20260516</v>
      </c>
      <c r="W1014">
        <f>VLOOKUP(Consulta1[[#This Row],[Coluna2]],CALENDARIO!$J:$K,2,FALSE)</f>
        <v>10</v>
      </c>
    </row>
    <row r="1015" spans="1:23" x14ac:dyDescent="0.25">
      <c r="A1015" t="s">
        <v>3842</v>
      </c>
      <c r="B1015" t="str">
        <f>CONCATENATE(Consulta1[[#This Row],[id]],Consulta1[[#This Row],[EMPREGADOR]])</f>
        <v>5PREF LONDR PORT</v>
      </c>
      <c r="C1015" s="6">
        <f>IF(A1015=A1014,C1014+1,1)</f>
        <v>5</v>
      </c>
      <c r="D1015" t="s">
        <v>3925</v>
      </c>
      <c r="E1015" s="101">
        <v>1.72E-2</v>
      </c>
      <c r="F1015" s="6">
        <v>96</v>
      </c>
      <c r="G1015" t="s">
        <v>1349</v>
      </c>
      <c r="H1015" s="82">
        <v>2.5</v>
      </c>
      <c r="I1015">
        <v>13</v>
      </c>
      <c r="J1015">
        <v>86</v>
      </c>
      <c r="K1015" t="s">
        <v>3926</v>
      </c>
      <c r="L1015" s="6" t="s">
        <v>1427</v>
      </c>
      <c r="M1015" s="6">
        <v>16</v>
      </c>
      <c r="N1015" s="6">
        <v>2</v>
      </c>
      <c r="O1015">
        <v>500</v>
      </c>
      <c r="P1015">
        <v>202605</v>
      </c>
      <c r="Q1015" t="s">
        <v>378</v>
      </c>
      <c r="R1015" t="s">
        <v>1353</v>
      </c>
      <c r="S1015">
        <f>Consulta1[[#This Row],[min_port]]/100</f>
        <v>1.41E-2</v>
      </c>
      <c r="T1015" s="252">
        <f>Consulta1[[#This Row],[TETO_COMERCIAL]]/100</f>
        <v>2.5000000000000001E-2</v>
      </c>
      <c r="U1015" t="b">
        <f>Consulta1[[#This Row],[TETO_COMERCIAL_%]]=Consulta1[[#This Row],[TAXA]]</f>
        <v>0</v>
      </c>
      <c r="V1015" t="str">
        <f>CONCATENATE(Consulta1[[#This Row],[MES_ALTERACAO]],Consulta1[[#This Row],[VIRADA]])</f>
        <v>20260516</v>
      </c>
      <c r="W1015">
        <f>VLOOKUP(Consulta1[[#This Row],[Coluna2]],CALENDARIO!$J:$K,2,FALSE)</f>
        <v>10</v>
      </c>
    </row>
    <row r="1016" spans="1:23" x14ac:dyDescent="0.25">
      <c r="A1016" t="s">
        <v>3672</v>
      </c>
      <c r="B1016" t="str">
        <f>CONCATENATE(Consulta1[[#This Row],[id]],Consulta1[[#This Row],[EMPREGADOR]])</f>
        <v>1PREF MACAÉ RJ</v>
      </c>
      <c r="C1016" s="6">
        <f>IF(A1016=A1015,C1015+1,1)</f>
        <v>1</v>
      </c>
      <c r="D1016" t="s">
        <v>3314</v>
      </c>
      <c r="E1016" s="101">
        <v>2.5000000000000001E-2</v>
      </c>
      <c r="F1016" s="6">
        <v>120</v>
      </c>
      <c r="G1016" t="s">
        <v>1349</v>
      </c>
      <c r="H1016" s="82">
        <v>2.5</v>
      </c>
      <c r="I1016">
        <v>5</v>
      </c>
      <c r="K1016" t="s">
        <v>3315</v>
      </c>
      <c r="L1016" s="6" t="s">
        <v>1427</v>
      </c>
      <c r="M1016" s="6">
        <v>10</v>
      </c>
      <c r="N1016" s="6">
        <v>2</v>
      </c>
      <c r="O1016">
        <v>500</v>
      </c>
      <c r="P1016">
        <v>202605</v>
      </c>
      <c r="Q1016" t="s">
        <v>377</v>
      </c>
      <c r="R1016" t="s">
        <v>1350</v>
      </c>
      <c r="S1016">
        <f>Consulta1[[#This Row],[min_port]]/100</f>
        <v>1.41E-2</v>
      </c>
      <c r="T1016" s="252">
        <f>Consulta1[[#This Row],[TETO_COMERCIAL]]/100</f>
        <v>2.5000000000000001E-2</v>
      </c>
      <c r="U1016" t="b">
        <f>Consulta1[[#This Row],[TETO_COMERCIAL_%]]=Consulta1[[#This Row],[TAXA]]</f>
        <v>1</v>
      </c>
      <c r="V1016" t="str">
        <f>CONCATENATE(Consulta1[[#This Row],[MES_ALTERACAO]],Consulta1[[#This Row],[VIRADA]])</f>
        <v>20260510</v>
      </c>
      <c r="W1016">
        <f>VLOOKUP(Consulta1[[#This Row],[Coluna2]],CALENDARIO!$J:$K,2,FALSE)</f>
        <v>5</v>
      </c>
    </row>
    <row r="1017" spans="1:23" x14ac:dyDescent="0.25">
      <c r="A1017" t="s">
        <v>3672</v>
      </c>
      <c r="B1017" t="str">
        <f>CONCATENATE(Consulta1[[#This Row],[id]],Consulta1[[#This Row],[EMPREGADOR]])</f>
        <v>2PREF MACAÉ RJ</v>
      </c>
      <c r="C1017" s="6">
        <f>IF(A1017=A1016,C1016+1,1)</f>
        <v>2</v>
      </c>
      <c r="D1017" t="s">
        <v>3316</v>
      </c>
      <c r="E1017" s="101">
        <v>2.3E-2</v>
      </c>
      <c r="F1017" s="6">
        <v>120</v>
      </c>
      <c r="G1017" t="s">
        <v>1349</v>
      </c>
      <c r="H1017" s="82">
        <v>2.5</v>
      </c>
      <c r="I1017">
        <v>5</v>
      </c>
      <c r="K1017" t="s">
        <v>3317</v>
      </c>
      <c r="L1017" s="6" t="s">
        <v>1427</v>
      </c>
      <c r="M1017" s="6">
        <v>10</v>
      </c>
      <c r="N1017" s="6">
        <v>2</v>
      </c>
      <c r="O1017">
        <v>500</v>
      </c>
      <c r="P1017">
        <v>202605</v>
      </c>
      <c r="Q1017" t="s">
        <v>377</v>
      </c>
      <c r="R1017" t="s">
        <v>1350</v>
      </c>
      <c r="S1017">
        <f>Consulta1[[#This Row],[min_port]]/100</f>
        <v>1.41E-2</v>
      </c>
      <c r="T1017" s="252">
        <f>Consulta1[[#This Row],[TETO_COMERCIAL]]/100</f>
        <v>2.5000000000000001E-2</v>
      </c>
      <c r="U1017" t="b">
        <f>Consulta1[[#This Row],[TETO_COMERCIAL_%]]=Consulta1[[#This Row],[TAXA]]</f>
        <v>0</v>
      </c>
      <c r="V1017" t="str">
        <f>CONCATENATE(Consulta1[[#This Row],[MES_ALTERACAO]],Consulta1[[#This Row],[VIRADA]])</f>
        <v>20260510</v>
      </c>
      <c r="W1017">
        <f>VLOOKUP(Consulta1[[#This Row],[Coluna2]],CALENDARIO!$J:$K,2,FALSE)</f>
        <v>5</v>
      </c>
    </row>
    <row r="1018" spans="1:23" x14ac:dyDescent="0.25">
      <c r="A1018" t="s">
        <v>3672</v>
      </c>
      <c r="B1018" t="str">
        <f>CONCATENATE(Consulta1[[#This Row],[id]],Consulta1[[#This Row],[EMPREGADOR]])</f>
        <v>3PREF MACAÉ RJ</v>
      </c>
      <c r="C1018" s="6">
        <f>IF(A1018=A1017,C1017+1,1)</f>
        <v>3</v>
      </c>
      <c r="D1018" t="s">
        <v>3318</v>
      </c>
      <c r="E1018" s="101">
        <v>2.2499999999999999E-2</v>
      </c>
      <c r="F1018" s="6">
        <v>120</v>
      </c>
      <c r="G1018" t="s">
        <v>1349</v>
      </c>
      <c r="H1018" s="82">
        <v>2.5</v>
      </c>
      <c r="I1018">
        <v>5</v>
      </c>
      <c r="K1018" t="s">
        <v>3319</v>
      </c>
      <c r="L1018" s="6" t="s">
        <v>1427</v>
      </c>
      <c r="M1018" s="6">
        <v>10</v>
      </c>
      <c r="N1018" s="6">
        <v>2</v>
      </c>
      <c r="O1018">
        <v>500</v>
      </c>
      <c r="P1018">
        <v>202605</v>
      </c>
      <c r="Q1018" t="s">
        <v>377</v>
      </c>
      <c r="R1018" t="s">
        <v>1350</v>
      </c>
      <c r="S1018">
        <f>Consulta1[[#This Row],[min_port]]/100</f>
        <v>1.41E-2</v>
      </c>
      <c r="T1018" s="252">
        <f>Consulta1[[#This Row],[TETO_COMERCIAL]]/100</f>
        <v>2.5000000000000001E-2</v>
      </c>
      <c r="U1018" t="b">
        <f>Consulta1[[#This Row],[TETO_COMERCIAL_%]]=Consulta1[[#This Row],[TAXA]]</f>
        <v>0</v>
      </c>
      <c r="V1018" t="str">
        <f>CONCATENATE(Consulta1[[#This Row],[MES_ALTERACAO]],Consulta1[[#This Row],[VIRADA]])</f>
        <v>20260510</v>
      </c>
      <c r="W1018">
        <f>VLOOKUP(Consulta1[[#This Row],[Coluna2]],CALENDARIO!$J:$K,2,FALSE)</f>
        <v>5</v>
      </c>
    </row>
    <row r="1019" spans="1:23" x14ac:dyDescent="0.25">
      <c r="A1019" t="s">
        <v>3672</v>
      </c>
      <c r="B1019" t="str">
        <f>CONCATENATE(Consulta1[[#This Row],[id]],Consulta1[[#This Row],[EMPREGADOR]])</f>
        <v>4PREF MACAÉ RJ</v>
      </c>
      <c r="C1019" s="6">
        <f>IF(A1019=A1018,C1018+1,1)</f>
        <v>4</v>
      </c>
      <c r="D1019" t="s">
        <v>3320</v>
      </c>
      <c r="E1019" s="101">
        <v>2.2000000000000002E-2</v>
      </c>
      <c r="F1019" s="6">
        <v>120</v>
      </c>
      <c r="G1019" t="s">
        <v>1349</v>
      </c>
      <c r="H1019" s="82">
        <v>2.5</v>
      </c>
      <c r="I1019">
        <v>5</v>
      </c>
      <c r="K1019" t="s">
        <v>3321</v>
      </c>
      <c r="L1019" s="6" t="s">
        <v>1427</v>
      </c>
      <c r="M1019" s="6">
        <v>10</v>
      </c>
      <c r="N1019" s="6">
        <v>2</v>
      </c>
      <c r="O1019">
        <v>500</v>
      </c>
      <c r="P1019">
        <v>202605</v>
      </c>
      <c r="Q1019" t="s">
        <v>377</v>
      </c>
      <c r="R1019" t="s">
        <v>1350</v>
      </c>
      <c r="S1019">
        <f>Consulta1[[#This Row],[min_port]]/100</f>
        <v>1.41E-2</v>
      </c>
      <c r="T1019" s="252">
        <f>Consulta1[[#This Row],[TETO_COMERCIAL]]/100</f>
        <v>2.5000000000000001E-2</v>
      </c>
      <c r="U1019" t="b">
        <f>Consulta1[[#This Row],[TETO_COMERCIAL_%]]=Consulta1[[#This Row],[TAXA]]</f>
        <v>0</v>
      </c>
      <c r="V1019" t="str">
        <f>CONCATENATE(Consulta1[[#This Row],[MES_ALTERACAO]],Consulta1[[#This Row],[VIRADA]])</f>
        <v>20260510</v>
      </c>
      <c r="W1019">
        <f>VLOOKUP(Consulta1[[#This Row],[Coluna2]],CALENDARIO!$J:$K,2,FALSE)</f>
        <v>5</v>
      </c>
    </row>
    <row r="1020" spans="1:23" x14ac:dyDescent="0.25">
      <c r="A1020" t="s">
        <v>3672</v>
      </c>
      <c r="B1020" t="str">
        <f>CONCATENATE(Consulta1[[#This Row],[id]],Consulta1[[#This Row],[EMPREGADOR]])</f>
        <v>5PREF MACAÉ RJ</v>
      </c>
      <c r="C1020" s="6">
        <f>IF(A1020=A1019,C1019+1,1)</f>
        <v>5</v>
      </c>
      <c r="D1020" t="s">
        <v>3322</v>
      </c>
      <c r="E1020" s="101">
        <v>2.1499999999999998E-2</v>
      </c>
      <c r="F1020" s="6">
        <v>120</v>
      </c>
      <c r="G1020" t="s">
        <v>1349</v>
      </c>
      <c r="H1020" s="82">
        <v>2.5</v>
      </c>
      <c r="I1020">
        <v>5</v>
      </c>
      <c r="K1020" t="s">
        <v>3323</v>
      </c>
      <c r="L1020" s="6" t="s">
        <v>1427</v>
      </c>
      <c r="M1020" s="6">
        <v>10</v>
      </c>
      <c r="N1020" s="6">
        <v>2</v>
      </c>
      <c r="O1020">
        <v>500</v>
      </c>
      <c r="P1020">
        <v>202605</v>
      </c>
      <c r="Q1020" t="s">
        <v>377</v>
      </c>
      <c r="R1020" t="s">
        <v>1350</v>
      </c>
      <c r="S1020">
        <f>Consulta1[[#This Row],[min_port]]/100</f>
        <v>1.41E-2</v>
      </c>
      <c r="T1020" s="252">
        <f>Consulta1[[#This Row],[TETO_COMERCIAL]]/100</f>
        <v>2.5000000000000001E-2</v>
      </c>
      <c r="U1020" t="b">
        <f>Consulta1[[#This Row],[TETO_COMERCIAL_%]]=Consulta1[[#This Row],[TAXA]]</f>
        <v>0</v>
      </c>
      <c r="V1020" t="str">
        <f>CONCATENATE(Consulta1[[#This Row],[MES_ALTERACAO]],Consulta1[[#This Row],[VIRADA]])</f>
        <v>20260510</v>
      </c>
      <c r="W1020">
        <f>VLOOKUP(Consulta1[[#This Row],[Coluna2]],CALENDARIO!$J:$K,2,FALSE)</f>
        <v>5</v>
      </c>
    </row>
    <row r="1021" spans="1:23" x14ac:dyDescent="0.25">
      <c r="A1021" t="s">
        <v>3672</v>
      </c>
      <c r="B1021" t="str">
        <f>CONCATENATE(Consulta1[[#This Row],[id]],Consulta1[[#This Row],[EMPREGADOR]])</f>
        <v>6PREF MACAÉ RJ</v>
      </c>
      <c r="C1021" s="6">
        <f>IF(A1021=A1020,C1020+1,1)</f>
        <v>6</v>
      </c>
      <c r="D1021" t="s">
        <v>3324</v>
      </c>
      <c r="E1021" s="101">
        <v>2.1000000000000001E-2</v>
      </c>
      <c r="F1021" s="6">
        <v>120</v>
      </c>
      <c r="G1021" t="s">
        <v>1349</v>
      </c>
      <c r="H1021" s="82">
        <v>2.5</v>
      </c>
      <c r="I1021">
        <v>5</v>
      </c>
      <c r="K1021" t="s">
        <v>3325</v>
      </c>
      <c r="L1021" s="6" t="s">
        <v>1427</v>
      </c>
      <c r="M1021" s="6">
        <v>10</v>
      </c>
      <c r="N1021" s="6">
        <v>2</v>
      </c>
      <c r="O1021">
        <v>500</v>
      </c>
      <c r="P1021">
        <v>202605</v>
      </c>
      <c r="Q1021" t="s">
        <v>377</v>
      </c>
      <c r="R1021" t="s">
        <v>1350</v>
      </c>
      <c r="S1021">
        <f>Consulta1[[#This Row],[min_port]]/100</f>
        <v>1.41E-2</v>
      </c>
      <c r="T1021" s="252">
        <f>Consulta1[[#This Row],[TETO_COMERCIAL]]/100</f>
        <v>2.5000000000000001E-2</v>
      </c>
      <c r="U1021" t="b">
        <f>Consulta1[[#This Row],[TETO_COMERCIAL_%]]=Consulta1[[#This Row],[TAXA]]</f>
        <v>0</v>
      </c>
      <c r="V1021" t="str">
        <f>CONCATENATE(Consulta1[[#This Row],[MES_ALTERACAO]],Consulta1[[#This Row],[VIRADA]])</f>
        <v>20260510</v>
      </c>
      <c r="W1021">
        <f>VLOOKUP(Consulta1[[#This Row],[Coluna2]],CALENDARIO!$J:$K,2,FALSE)</f>
        <v>5</v>
      </c>
    </row>
    <row r="1022" spans="1:23" x14ac:dyDescent="0.25">
      <c r="A1022" t="s">
        <v>3672</v>
      </c>
      <c r="B1022" t="str">
        <f>CONCATENATE(Consulta1[[#This Row],[id]],Consulta1[[#This Row],[EMPREGADOR]])</f>
        <v>7PREF MACAÉ RJ</v>
      </c>
      <c r="C1022" s="6">
        <f>IF(A1022=A1021,C1021+1,1)</f>
        <v>7</v>
      </c>
      <c r="D1022" t="s">
        <v>3326</v>
      </c>
      <c r="E1022" s="101">
        <v>2.0499999999999997E-2</v>
      </c>
      <c r="F1022" s="6">
        <v>120</v>
      </c>
      <c r="G1022" t="s">
        <v>1349</v>
      </c>
      <c r="H1022" s="82">
        <v>2.5</v>
      </c>
      <c r="I1022">
        <v>5</v>
      </c>
      <c r="K1022" t="s">
        <v>3327</v>
      </c>
      <c r="L1022" s="6" t="s">
        <v>1427</v>
      </c>
      <c r="M1022" s="6">
        <v>10</v>
      </c>
      <c r="N1022" s="6">
        <v>2</v>
      </c>
      <c r="O1022">
        <v>500</v>
      </c>
      <c r="P1022">
        <v>202605</v>
      </c>
      <c r="Q1022" t="s">
        <v>377</v>
      </c>
      <c r="R1022" t="s">
        <v>1350</v>
      </c>
      <c r="S1022">
        <f>Consulta1[[#This Row],[min_port]]/100</f>
        <v>1.41E-2</v>
      </c>
      <c r="T1022" s="252">
        <f>Consulta1[[#This Row],[TETO_COMERCIAL]]/100</f>
        <v>2.5000000000000001E-2</v>
      </c>
      <c r="U1022" t="b">
        <f>Consulta1[[#This Row],[TETO_COMERCIAL_%]]=Consulta1[[#This Row],[TAXA]]</f>
        <v>0</v>
      </c>
      <c r="V1022" t="str">
        <f>CONCATENATE(Consulta1[[#This Row],[MES_ALTERACAO]],Consulta1[[#This Row],[VIRADA]])</f>
        <v>20260510</v>
      </c>
      <c r="W1022">
        <f>VLOOKUP(Consulta1[[#This Row],[Coluna2]],CALENDARIO!$J:$K,2,FALSE)</f>
        <v>5</v>
      </c>
    </row>
    <row r="1023" spans="1:23" x14ac:dyDescent="0.25">
      <c r="A1023" t="s">
        <v>3672</v>
      </c>
      <c r="B1023" t="str">
        <f>CONCATENATE(Consulta1[[#This Row],[id]],Consulta1[[#This Row],[EMPREGADOR]])</f>
        <v>8PREF MACAÉ RJ</v>
      </c>
      <c r="C1023" s="6">
        <f>IF(A1023=A1022,C1022+1,1)</f>
        <v>8</v>
      </c>
      <c r="D1023" t="s">
        <v>3328</v>
      </c>
      <c r="E1023" s="101">
        <v>0.02</v>
      </c>
      <c r="F1023" s="6">
        <v>120</v>
      </c>
      <c r="G1023" t="s">
        <v>1349</v>
      </c>
      <c r="H1023" s="82">
        <v>2.5</v>
      </c>
      <c r="I1023">
        <v>5</v>
      </c>
      <c r="K1023" t="s">
        <v>3329</v>
      </c>
      <c r="L1023" s="6" t="s">
        <v>1427</v>
      </c>
      <c r="M1023" s="6">
        <v>10</v>
      </c>
      <c r="N1023" s="6">
        <v>2</v>
      </c>
      <c r="O1023">
        <v>500</v>
      </c>
      <c r="P1023">
        <v>202605</v>
      </c>
      <c r="Q1023" t="s">
        <v>377</v>
      </c>
      <c r="R1023" t="s">
        <v>1350</v>
      </c>
      <c r="S1023">
        <f>Consulta1[[#This Row],[min_port]]/100</f>
        <v>1.41E-2</v>
      </c>
      <c r="T1023" s="252">
        <f>Consulta1[[#This Row],[TETO_COMERCIAL]]/100</f>
        <v>2.5000000000000001E-2</v>
      </c>
      <c r="U1023" t="b">
        <f>Consulta1[[#This Row],[TETO_COMERCIAL_%]]=Consulta1[[#This Row],[TAXA]]</f>
        <v>0</v>
      </c>
      <c r="V1023" t="str">
        <f>CONCATENATE(Consulta1[[#This Row],[MES_ALTERACAO]],Consulta1[[#This Row],[VIRADA]])</f>
        <v>20260510</v>
      </c>
      <c r="W1023">
        <f>VLOOKUP(Consulta1[[#This Row],[Coluna2]],CALENDARIO!$J:$K,2,FALSE)</f>
        <v>5</v>
      </c>
    </row>
    <row r="1024" spans="1:23" x14ac:dyDescent="0.25">
      <c r="A1024" t="s">
        <v>3672</v>
      </c>
      <c r="B1024" t="str">
        <f>CONCATENATE(Consulta1[[#This Row],[id]],Consulta1[[#This Row],[EMPREGADOR]])</f>
        <v>9PREF MACAÉ RJ</v>
      </c>
      <c r="C1024" s="6">
        <f>IF(A1024=A1023,C1023+1,1)</f>
        <v>9</v>
      </c>
      <c r="D1024" t="s">
        <v>3330</v>
      </c>
      <c r="E1024" s="101">
        <v>1.95E-2</v>
      </c>
      <c r="F1024" s="6">
        <v>120</v>
      </c>
      <c r="G1024" t="s">
        <v>1349</v>
      </c>
      <c r="H1024" s="82">
        <v>2.5</v>
      </c>
      <c r="I1024">
        <v>5</v>
      </c>
      <c r="J1024">
        <v>54</v>
      </c>
      <c r="K1024" t="s">
        <v>3331</v>
      </c>
      <c r="L1024" s="6" t="s">
        <v>1427</v>
      </c>
      <c r="M1024" s="6">
        <v>10</v>
      </c>
      <c r="N1024" s="6">
        <v>2</v>
      </c>
      <c r="O1024">
        <v>500</v>
      </c>
      <c r="P1024">
        <v>202605</v>
      </c>
      <c r="Q1024" t="s">
        <v>377</v>
      </c>
      <c r="R1024" t="s">
        <v>1350</v>
      </c>
      <c r="S1024">
        <f>Consulta1[[#This Row],[min_port]]/100</f>
        <v>1.41E-2</v>
      </c>
      <c r="T1024" s="252">
        <f>Consulta1[[#This Row],[TETO_COMERCIAL]]/100</f>
        <v>2.5000000000000001E-2</v>
      </c>
      <c r="U1024" t="b">
        <f>Consulta1[[#This Row],[TETO_COMERCIAL_%]]=Consulta1[[#This Row],[TAXA]]</f>
        <v>0</v>
      </c>
      <c r="V1024" t="str">
        <f>CONCATENATE(Consulta1[[#This Row],[MES_ALTERACAO]],Consulta1[[#This Row],[VIRADA]])</f>
        <v>20260510</v>
      </c>
      <c r="W1024">
        <f>VLOOKUP(Consulta1[[#This Row],[Coluna2]],CALENDARIO!$J:$K,2,FALSE)</f>
        <v>5</v>
      </c>
    </row>
    <row r="1025" spans="1:23" x14ac:dyDescent="0.25">
      <c r="A1025" t="s">
        <v>3672</v>
      </c>
      <c r="B1025" t="str">
        <f>CONCATENATE(Consulta1[[#This Row],[id]],Consulta1[[#This Row],[EMPREGADOR]])</f>
        <v>10PREF MACAÉ RJ</v>
      </c>
      <c r="C1025" s="6">
        <f>IF(A1025=A1024,C1024+1,1)</f>
        <v>10</v>
      </c>
      <c r="D1025" t="s">
        <v>3332</v>
      </c>
      <c r="E1025" s="101">
        <v>1.9E-2</v>
      </c>
      <c r="F1025" s="6">
        <v>120</v>
      </c>
      <c r="G1025" t="s">
        <v>1349</v>
      </c>
      <c r="H1025" s="82">
        <v>2.5</v>
      </c>
      <c r="I1025">
        <v>5</v>
      </c>
      <c r="K1025" t="s">
        <v>3333</v>
      </c>
      <c r="L1025" s="6" t="s">
        <v>1427</v>
      </c>
      <c r="M1025" s="6">
        <v>10</v>
      </c>
      <c r="N1025" s="6">
        <v>2</v>
      </c>
      <c r="O1025">
        <v>500</v>
      </c>
      <c r="P1025">
        <v>202605</v>
      </c>
      <c r="Q1025" t="s">
        <v>377</v>
      </c>
      <c r="R1025" t="s">
        <v>1350</v>
      </c>
      <c r="S1025">
        <f>Consulta1[[#This Row],[min_port]]/100</f>
        <v>1.41E-2</v>
      </c>
      <c r="T1025" s="252">
        <f>Consulta1[[#This Row],[TETO_COMERCIAL]]/100</f>
        <v>2.5000000000000001E-2</v>
      </c>
      <c r="U1025" t="b">
        <f>Consulta1[[#This Row],[TETO_COMERCIAL_%]]=Consulta1[[#This Row],[TAXA]]</f>
        <v>0</v>
      </c>
      <c r="V1025" t="str">
        <f>CONCATENATE(Consulta1[[#This Row],[MES_ALTERACAO]],Consulta1[[#This Row],[VIRADA]])</f>
        <v>20260510</v>
      </c>
      <c r="W1025">
        <f>VLOOKUP(Consulta1[[#This Row],[Coluna2]],CALENDARIO!$J:$K,2,FALSE)</f>
        <v>5</v>
      </c>
    </row>
    <row r="1026" spans="1:23" x14ac:dyDescent="0.25">
      <c r="A1026" t="s">
        <v>3672</v>
      </c>
      <c r="B1026" t="str">
        <f>CONCATENATE(Consulta1[[#This Row],[id]],Consulta1[[#This Row],[EMPREGADOR]])</f>
        <v>11PREF MACAÉ RJ</v>
      </c>
      <c r="C1026" s="6">
        <f>IF(A1026=A1025,C1025+1,1)</f>
        <v>11</v>
      </c>
      <c r="D1026" t="s">
        <v>3334</v>
      </c>
      <c r="E1026" s="101">
        <v>1.8500000000000003E-2</v>
      </c>
      <c r="F1026" s="6">
        <v>120</v>
      </c>
      <c r="G1026" t="s">
        <v>1349</v>
      </c>
      <c r="H1026" s="82">
        <v>2.5</v>
      </c>
      <c r="I1026">
        <v>5</v>
      </c>
      <c r="K1026" t="s">
        <v>3335</v>
      </c>
      <c r="L1026" s="6" t="s">
        <v>1427</v>
      </c>
      <c r="M1026" s="6">
        <v>10</v>
      </c>
      <c r="N1026" s="6">
        <v>2</v>
      </c>
      <c r="O1026">
        <v>500</v>
      </c>
      <c r="P1026">
        <v>202605</v>
      </c>
      <c r="Q1026" t="s">
        <v>377</v>
      </c>
      <c r="R1026" t="s">
        <v>1350</v>
      </c>
      <c r="S1026">
        <f>Consulta1[[#This Row],[min_port]]/100</f>
        <v>1.41E-2</v>
      </c>
      <c r="T1026" s="252">
        <f>Consulta1[[#This Row],[TETO_COMERCIAL]]/100</f>
        <v>2.5000000000000001E-2</v>
      </c>
      <c r="U1026" t="b">
        <f>Consulta1[[#This Row],[TETO_COMERCIAL_%]]=Consulta1[[#This Row],[TAXA]]</f>
        <v>0</v>
      </c>
      <c r="V1026" t="str">
        <f>CONCATENATE(Consulta1[[#This Row],[MES_ALTERACAO]],Consulta1[[#This Row],[VIRADA]])</f>
        <v>20260510</v>
      </c>
      <c r="W1026">
        <f>VLOOKUP(Consulta1[[#This Row],[Coluna2]],CALENDARIO!$J:$K,2,FALSE)</f>
        <v>5</v>
      </c>
    </row>
    <row r="1027" spans="1:23" x14ac:dyDescent="0.25">
      <c r="A1027" t="s">
        <v>3672</v>
      </c>
      <c r="B1027" t="str">
        <f>CONCATENATE(Consulta1[[#This Row],[id]],Consulta1[[#This Row],[EMPREGADOR]])</f>
        <v>12PREF MACAÉ RJ</v>
      </c>
      <c r="C1027" s="6">
        <f>IF(A1027=A1026,C1026+1,1)</f>
        <v>12</v>
      </c>
      <c r="D1027" t="s">
        <v>3336</v>
      </c>
      <c r="E1027" s="101">
        <v>1.8000000000000002E-2</v>
      </c>
      <c r="F1027" s="6">
        <v>120</v>
      </c>
      <c r="G1027" t="s">
        <v>1349</v>
      </c>
      <c r="H1027" s="82">
        <v>2.5</v>
      </c>
      <c r="I1027">
        <v>5</v>
      </c>
      <c r="K1027" t="s">
        <v>3337</v>
      </c>
      <c r="L1027" s="6" t="s">
        <v>1427</v>
      </c>
      <c r="M1027" s="6">
        <v>10</v>
      </c>
      <c r="N1027" s="6">
        <v>2</v>
      </c>
      <c r="O1027">
        <v>500</v>
      </c>
      <c r="P1027">
        <v>202605</v>
      </c>
      <c r="Q1027" t="s">
        <v>377</v>
      </c>
      <c r="R1027" t="s">
        <v>1350</v>
      </c>
      <c r="S1027">
        <f>Consulta1[[#This Row],[min_port]]/100</f>
        <v>1.41E-2</v>
      </c>
      <c r="T1027" s="252">
        <f>Consulta1[[#This Row],[TETO_COMERCIAL]]/100</f>
        <v>2.5000000000000001E-2</v>
      </c>
      <c r="U1027" t="b">
        <f>Consulta1[[#This Row],[TETO_COMERCIAL_%]]=Consulta1[[#This Row],[TAXA]]</f>
        <v>0</v>
      </c>
      <c r="V1027" t="str">
        <f>CONCATENATE(Consulta1[[#This Row],[MES_ALTERACAO]],Consulta1[[#This Row],[VIRADA]])</f>
        <v>20260510</v>
      </c>
      <c r="W1027">
        <f>VLOOKUP(Consulta1[[#This Row],[Coluna2]],CALENDARIO!$J:$K,2,FALSE)</f>
        <v>5</v>
      </c>
    </row>
    <row r="1028" spans="1:23" x14ac:dyDescent="0.25">
      <c r="A1028" t="s">
        <v>3672</v>
      </c>
      <c r="B1028" t="str">
        <f>CONCATENATE(Consulta1[[#This Row],[id]],Consulta1[[#This Row],[EMPREGADOR]])</f>
        <v>13PREF MACAÉ RJ</v>
      </c>
      <c r="C1028" s="6">
        <f>IF(A1028=A1027,C1027+1,1)</f>
        <v>13</v>
      </c>
      <c r="D1028" t="s">
        <v>3338</v>
      </c>
      <c r="E1028" s="101">
        <v>1.7500000000000002E-2</v>
      </c>
      <c r="F1028" s="6">
        <v>120</v>
      </c>
      <c r="G1028" t="s">
        <v>1349</v>
      </c>
      <c r="H1028" s="82">
        <v>2.5</v>
      </c>
      <c r="I1028">
        <v>5</v>
      </c>
      <c r="K1028" t="s">
        <v>3339</v>
      </c>
      <c r="L1028" s="6" t="s">
        <v>1427</v>
      </c>
      <c r="M1028" s="6">
        <v>10</v>
      </c>
      <c r="N1028" s="6">
        <v>2</v>
      </c>
      <c r="O1028">
        <v>500</v>
      </c>
      <c r="P1028">
        <v>202605</v>
      </c>
      <c r="Q1028" t="s">
        <v>377</v>
      </c>
      <c r="R1028" t="s">
        <v>1350</v>
      </c>
      <c r="S1028">
        <f>Consulta1[[#This Row],[min_port]]/100</f>
        <v>1.41E-2</v>
      </c>
      <c r="T1028" s="252">
        <f>Consulta1[[#This Row],[TETO_COMERCIAL]]/100</f>
        <v>2.5000000000000001E-2</v>
      </c>
      <c r="U1028" t="b">
        <f>Consulta1[[#This Row],[TETO_COMERCIAL_%]]=Consulta1[[#This Row],[TAXA]]</f>
        <v>0</v>
      </c>
      <c r="V1028" t="str">
        <f>CONCATENATE(Consulta1[[#This Row],[MES_ALTERACAO]],Consulta1[[#This Row],[VIRADA]])</f>
        <v>20260510</v>
      </c>
      <c r="W1028">
        <f>VLOOKUP(Consulta1[[#This Row],[Coluna2]],CALENDARIO!$J:$K,2,FALSE)</f>
        <v>5</v>
      </c>
    </row>
    <row r="1029" spans="1:23" x14ac:dyDescent="0.25">
      <c r="A1029" t="s">
        <v>3672</v>
      </c>
      <c r="B1029" t="str">
        <f>CONCATENATE(Consulta1[[#This Row],[id]],Consulta1[[#This Row],[EMPREGADOR]])</f>
        <v>14PREF MACAÉ RJ</v>
      </c>
      <c r="C1029" s="6">
        <f>IF(A1029=A1028,C1028+1,1)</f>
        <v>14</v>
      </c>
      <c r="D1029" t="s">
        <v>3340</v>
      </c>
      <c r="E1029" s="101">
        <v>1.7000000000000001E-2</v>
      </c>
      <c r="F1029" s="6">
        <v>120</v>
      </c>
      <c r="G1029" t="s">
        <v>1349</v>
      </c>
      <c r="H1029" s="82">
        <v>2.5</v>
      </c>
      <c r="I1029">
        <v>5</v>
      </c>
      <c r="K1029" t="s">
        <v>3341</v>
      </c>
      <c r="L1029" s="6" t="s">
        <v>1427</v>
      </c>
      <c r="M1029" s="6">
        <v>10</v>
      </c>
      <c r="N1029" s="6">
        <v>2</v>
      </c>
      <c r="O1029">
        <v>500</v>
      </c>
      <c r="P1029">
        <v>202605</v>
      </c>
      <c r="Q1029" t="s">
        <v>377</v>
      </c>
      <c r="R1029" t="s">
        <v>1350</v>
      </c>
      <c r="S1029">
        <f>Consulta1[[#This Row],[min_port]]/100</f>
        <v>1.41E-2</v>
      </c>
      <c r="T1029" s="252">
        <f>Consulta1[[#This Row],[TETO_COMERCIAL]]/100</f>
        <v>2.5000000000000001E-2</v>
      </c>
      <c r="U1029" t="b">
        <f>Consulta1[[#This Row],[TETO_COMERCIAL_%]]=Consulta1[[#This Row],[TAXA]]</f>
        <v>0</v>
      </c>
      <c r="V1029" t="str">
        <f>CONCATENATE(Consulta1[[#This Row],[MES_ALTERACAO]],Consulta1[[#This Row],[VIRADA]])</f>
        <v>20260510</v>
      </c>
      <c r="W1029">
        <f>VLOOKUP(Consulta1[[#This Row],[Coluna2]],CALENDARIO!$J:$K,2,FALSE)</f>
        <v>5</v>
      </c>
    </row>
    <row r="1030" spans="1:23" x14ac:dyDescent="0.25">
      <c r="A1030" t="s">
        <v>3045</v>
      </c>
      <c r="B1030" t="str">
        <f>CONCATENATE(Consulta1[[#This Row],[id]],Consulta1[[#This Row],[EMPREGADOR]])</f>
        <v>1PREF MANAUS</v>
      </c>
      <c r="C1030" s="6">
        <f>IF(A1030=A1029,C1029+1,1)</f>
        <v>1</v>
      </c>
      <c r="D1030" t="s">
        <v>615</v>
      </c>
      <c r="E1030" s="101">
        <v>2.5000000000000001E-2</v>
      </c>
      <c r="F1030" s="6">
        <v>120</v>
      </c>
      <c r="G1030" t="s">
        <v>1349</v>
      </c>
      <c r="H1030" s="82">
        <v>2.5</v>
      </c>
      <c r="I1030">
        <v>7</v>
      </c>
      <c r="J1030">
        <v>66</v>
      </c>
      <c r="K1030" t="s">
        <v>1895</v>
      </c>
      <c r="L1030" s="6" t="s">
        <v>1896</v>
      </c>
      <c r="M1030" s="6">
        <v>30</v>
      </c>
      <c r="N1030" s="6">
        <v>2</v>
      </c>
      <c r="O1030">
        <v>500</v>
      </c>
      <c r="P1030">
        <v>202605</v>
      </c>
      <c r="Q1030" t="s">
        <v>377</v>
      </c>
      <c r="R1030" t="s">
        <v>1353</v>
      </c>
      <c r="S1030">
        <f>Consulta1[[#This Row],[min_port]]/100</f>
        <v>1.7600000000000001E-2</v>
      </c>
      <c r="T1030" s="252">
        <f>Consulta1[[#This Row],[TETO_COMERCIAL]]/100</f>
        <v>2.5000000000000001E-2</v>
      </c>
      <c r="U1030" t="b">
        <f>Consulta1[[#This Row],[TETO_COMERCIAL_%]]=Consulta1[[#This Row],[TAXA]]</f>
        <v>1</v>
      </c>
      <c r="V1030" t="str">
        <f>CONCATENATE(Consulta1[[#This Row],[MES_ALTERACAO]],Consulta1[[#This Row],[VIRADA]])</f>
        <v>20260530</v>
      </c>
      <c r="W1030">
        <f>VLOOKUP(Consulta1[[#This Row],[Coluna2]],CALENDARIO!$J:$K,2,FALSE)</f>
        <v>20</v>
      </c>
    </row>
    <row r="1031" spans="1:23" x14ac:dyDescent="0.25">
      <c r="A1031" t="s">
        <v>3045</v>
      </c>
      <c r="B1031" t="str">
        <f>CONCATENATE(Consulta1[[#This Row],[id]],Consulta1[[#This Row],[EMPREGADOR]])</f>
        <v>2PREF MANAUS</v>
      </c>
      <c r="C1031" s="6">
        <f>IF(A1031=A1030,C1030+1,1)</f>
        <v>2</v>
      </c>
      <c r="D1031" t="s">
        <v>83</v>
      </c>
      <c r="E1031" s="101">
        <v>2.4E-2</v>
      </c>
      <c r="F1031" s="6">
        <v>120</v>
      </c>
      <c r="G1031" t="s">
        <v>1349</v>
      </c>
      <c r="H1031" s="82">
        <v>2.5</v>
      </c>
      <c r="I1031">
        <v>7</v>
      </c>
      <c r="J1031">
        <v>65</v>
      </c>
      <c r="K1031" t="s">
        <v>1897</v>
      </c>
      <c r="L1031" s="6" t="s">
        <v>1896</v>
      </c>
      <c r="M1031" s="6">
        <v>30</v>
      </c>
      <c r="N1031" s="6">
        <v>2</v>
      </c>
      <c r="O1031">
        <v>500</v>
      </c>
      <c r="P1031">
        <v>202605</v>
      </c>
      <c r="Q1031" t="s">
        <v>377</v>
      </c>
      <c r="R1031" t="s">
        <v>1353</v>
      </c>
      <c r="S1031">
        <f>Consulta1[[#This Row],[min_port]]/100</f>
        <v>1.7600000000000001E-2</v>
      </c>
      <c r="T1031" s="252">
        <f>Consulta1[[#This Row],[TETO_COMERCIAL]]/100</f>
        <v>2.5000000000000001E-2</v>
      </c>
      <c r="U1031" t="b">
        <f>Consulta1[[#This Row],[TETO_COMERCIAL_%]]=Consulta1[[#This Row],[TAXA]]</f>
        <v>0</v>
      </c>
      <c r="V1031" t="str">
        <f>CONCATENATE(Consulta1[[#This Row],[MES_ALTERACAO]],Consulta1[[#This Row],[VIRADA]])</f>
        <v>20260530</v>
      </c>
      <c r="W1031">
        <f>VLOOKUP(Consulta1[[#This Row],[Coluna2]],CALENDARIO!$J:$K,2,FALSE)</f>
        <v>20</v>
      </c>
    </row>
    <row r="1032" spans="1:23" x14ac:dyDescent="0.25">
      <c r="A1032" t="s">
        <v>3045</v>
      </c>
      <c r="B1032" t="str">
        <f>CONCATENATE(Consulta1[[#This Row],[id]],Consulta1[[#This Row],[EMPREGADOR]])</f>
        <v>3PREF MANAUS</v>
      </c>
      <c r="C1032" s="6">
        <f>IF(A1032=A1031,C1031+1,1)</f>
        <v>3</v>
      </c>
      <c r="D1032" t="s">
        <v>728</v>
      </c>
      <c r="E1032" s="101">
        <v>2.3E-2</v>
      </c>
      <c r="F1032" s="6">
        <v>120</v>
      </c>
      <c r="G1032" t="s">
        <v>1349</v>
      </c>
      <c r="H1032" s="82">
        <v>2.5</v>
      </c>
      <c r="I1032">
        <v>7</v>
      </c>
      <c r="J1032">
        <v>62</v>
      </c>
      <c r="K1032" t="s">
        <v>1898</v>
      </c>
      <c r="L1032" s="6" t="s">
        <v>1896</v>
      </c>
      <c r="M1032" s="6">
        <v>30</v>
      </c>
      <c r="N1032" s="6">
        <v>2</v>
      </c>
      <c r="O1032">
        <v>500</v>
      </c>
      <c r="P1032">
        <v>202605</v>
      </c>
      <c r="Q1032" t="s">
        <v>377</v>
      </c>
      <c r="R1032" t="s">
        <v>1353</v>
      </c>
      <c r="S1032">
        <f>Consulta1[[#This Row],[min_port]]/100</f>
        <v>1.7600000000000001E-2</v>
      </c>
      <c r="T1032" s="252">
        <f>Consulta1[[#This Row],[TETO_COMERCIAL]]/100</f>
        <v>2.5000000000000001E-2</v>
      </c>
      <c r="U1032" t="b">
        <f>Consulta1[[#This Row],[TETO_COMERCIAL_%]]=Consulta1[[#This Row],[TAXA]]</f>
        <v>0</v>
      </c>
      <c r="V1032" t="str">
        <f>CONCATENATE(Consulta1[[#This Row],[MES_ALTERACAO]],Consulta1[[#This Row],[VIRADA]])</f>
        <v>20260530</v>
      </c>
      <c r="W1032">
        <f>VLOOKUP(Consulta1[[#This Row],[Coluna2]],CALENDARIO!$J:$K,2,FALSE)</f>
        <v>20</v>
      </c>
    </row>
    <row r="1033" spans="1:23" x14ac:dyDescent="0.25">
      <c r="A1033" t="s">
        <v>670</v>
      </c>
      <c r="B1033" t="str">
        <f>CONCATENATE(Consulta1[[#This Row],[id]],Consulta1[[#This Row],[EMPREGADOR]])</f>
        <v>1PREF MARACANAU</v>
      </c>
      <c r="C1033" s="6">
        <f>IF(A1033=A1032,C1032+1,1)</f>
        <v>1</v>
      </c>
      <c r="D1033" t="s">
        <v>671</v>
      </c>
      <c r="E1033" s="101">
        <v>2.5000000000000001E-2</v>
      </c>
      <c r="F1033" s="6">
        <v>96</v>
      </c>
      <c r="G1033" t="s">
        <v>1349</v>
      </c>
      <c r="H1033" s="82">
        <v>2.5</v>
      </c>
      <c r="I1033">
        <v>17</v>
      </c>
      <c r="J1033">
        <v>50</v>
      </c>
      <c r="K1033" t="s">
        <v>1906</v>
      </c>
      <c r="L1033" s="6" t="s">
        <v>1409</v>
      </c>
      <c r="M1033" s="6">
        <v>15</v>
      </c>
      <c r="N1033" s="6">
        <v>2</v>
      </c>
      <c r="O1033">
        <v>500</v>
      </c>
      <c r="P1033">
        <v>202605</v>
      </c>
      <c r="Q1033" t="s">
        <v>377</v>
      </c>
      <c r="R1033" t="s">
        <v>1353</v>
      </c>
      <c r="S1033">
        <f>Consulta1[[#This Row],[min_port]]/100</f>
        <v>1.55E-2</v>
      </c>
      <c r="T1033" s="252">
        <f>Consulta1[[#This Row],[TETO_COMERCIAL]]/100</f>
        <v>2.5000000000000001E-2</v>
      </c>
      <c r="U1033" t="b">
        <f>Consulta1[[#This Row],[TETO_COMERCIAL_%]]=Consulta1[[#This Row],[TAXA]]</f>
        <v>1</v>
      </c>
      <c r="V1033" t="str">
        <f>CONCATENATE(Consulta1[[#This Row],[MES_ALTERACAO]],Consulta1[[#This Row],[VIRADA]])</f>
        <v>20260515</v>
      </c>
      <c r="W1033">
        <f>VLOOKUP(Consulta1[[#This Row],[Coluna2]],CALENDARIO!$J:$K,2,FALSE)</f>
        <v>10</v>
      </c>
    </row>
    <row r="1034" spans="1:23" x14ac:dyDescent="0.25">
      <c r="A1034" t="s">
        <v>670</v>
      </c>
      <c r="B1034" t="str">
        <f>CONCATENATE(Consulta1[[#This Row],[id]],Consulta1[[#This Row],[EMPREGADOR]])</f>
        <v>2PREF MARACANAU</v>
      </c>
      <c r="C1034" s="6">
        <f>IF(A1034=A1033,C1033+1,1)</f>
        <v>2</v>
      </c>
      <c r="D1034" t="s">
        <v>672</v>
      </c>
      <c r="E1034" s="101">
        <v>2.4E-2</v>
      </c>
      <c r="F1034" s="6">
        <v>96</v>
      </c>
      <c r="G1034" t="s">
        <v>1349</v>
      </c>
      <c r="H1034" s="82">
        <v>2.5</v>
      </c>
      <c r="I1034">
        <v>17</v>
      </c>
      <c r="J1034">
        <v>50</v>
      </c>
      <c r="K1034" t="s">
        <v>1907</v>
      </c>
      <c r="L1034" s="6" t="s">
        <v>1409</v>
      </c>
      <c r="M1034" s="6">
        <v>15</v>
      </c>
      <c r="N1034" s="6">
        <v>2</v>
      </c>
      <c r="O1034">
        <v>500</v>
      </c>
      <c r="P1034">
        <v>202605</v>
      </c>
      <c r="Q1034" t="s">
        <v>377</v>
      </c>
      <c r="R1034" t="s">
        <v>1353</v>
      </c>
      <c r="S1034">
        <f>Consulta1[[#This Row],[min_port]]/100</f>
        <v>1.55E-2</v>
      </c>
      <c r="T1034" s="252">
        <f>Consulta1[[#This Row],[TETO_COMERCIAL]]/100</f>
        <v>2.5000000000000001E-2</v>
      </c>
      <c r="U1034" t="b">
        <f>Consulta1[[#This Row],[TETO_COMERCIAL_%]]=Consulta1[[#This Row],[TAXA]]</f>
        <v>0</v>
      </c>
      <c r="V1034" t="str">
        <f>CONCATENATE(Consulta1[[#This Row],[MES_ALTERACAO]],Consulta1[[#This Row],[VIRADA]])</f>
        <v>20260515</v>
      </c>
      <c r="W1034">
        <f>VLOOKUP(Consulta1[[#This Row],[Coluna2]],CALENDARIO!$J:$K,2,FALSE)</f>
        <v>10</v>
      </c>
    </row>
    <row r="1035" spans="1:23" x14ac:dyDescent="0.25">
      <c r="A1035" t="s">
        <v>670</v>
      </c>
      <c r="B1035" t="str">
        <f>CONCATENATE(Consulta1[[#This Row],[id]],Consulta1[[#This Row],[EMPREGADOR]])</f>
        <v>3PREF MARACANAU</v>
      </c>
      <c r="C1035" s="6">
        <f>IF(A1035=A1034,C1034+1,1)</f>
        <v>3</v>
      </c>
      <c r="D1035" t="s">
        <v>673</v>
      </c>
      <c r="E1035" s="101">
        <v>2.3E-2</v>
      </c>
      <c r="F1035" s="6">
        <v>96</v>
      </c>
      <c r="G1035" t="s">
        <v>1349</v>
      </c>
      <c r="H1035" s="82">
        <v>2.5</v>
      </c>
      <c r="I1035">
        <v>17</v>
      </c>
      <c r="J1035">
        <v>50</v>
      </c>
      <c r="K1035" t="s">
        <v>1908</v>
      </c>
      <c r="L1035" s="6" t="s">
        <v>1409</v>
      </c>
      <c r="M1035" s="6">
        <v>15</v>
      </c>
      <c r="N1035" s="6">
        <v>2</v>
      </c>
      <c r="O1035">
        <v>500</v>
      </c>
      <c r="P1035">
        <v>202605</v>
      </c>
      <c r="Q1035" t="s">
        <v>377</v>
      </c>
      <c r="R1035" t="s">
        <v>1353</v>
      </c>
      <c r="S1035">
        <f>Consulta1[[#This Row],[min_port]]/100</f>
        <v>1.55E-2</v>
      </c>
      <c r="T1035" s="252">
        <f>Consulta1[[#This Row],[TETO_COMERCIAL]]/100</f>
        <v>2.5000000000000001E-2</v>
      </c>
      <c r="U1035" t="b">
        <f>Consulta1[[#This Row],[TETO_COMERCIAL_%]]=Consulta1[[#This Row],[TAXA]]</f>
        <v>0</v>
      </c>
      <c r="V1035" t="str">
        <f>CONCATENATE(Consulta1[[#This Row],[MES_ALTERACAO]],Consulta1[[#This Row],[VIRADA]])</f>
        <v>20260515</v>
      </c>
      <c r="W1035">
        <f>VLOOKUP(Consulta1[[#This Row],[Coluna2]],CALENDARIO!$J:$K,2,FALSE)</f>
        <v>10</v>
      </c>
    </row>
    <row r="1036" spans="1:23" x14ac:dyDescent="0.25">
      <c r="A1036" t="s">
        <v>670</v>
      </c>
      <c r="B1036" t="str">
        <f>CONCATENATE(Consulta1[[#This Row],[id]],Consulta1[[#This Row],[EMPREGADOR]])</f>
        <v>4PREF MARACANAU</v>
      </c>
      <c r="C1036" s="6">
        <f>IF(A1036=A1035,C1035+1,1)</f>
        <v>4</v>
      </c>
      <c r="D1036" t="s">
        <v>674</v>
      </c>
      <c r="E1036" s="101">
        <v>2.2000000000000002E-2</v>
      </c>
      <c r="F1036" s="6">
        <v>96</v>
      </c>
      <c r="G1036" t="s">
        <v>1349</v>
      </c>
      <c r="H1036" s="82">
        <v>2.5</v>
      </c>
      <c r="I1036">
        <v>17</v>
      </c>
      <c r="J1036">
        <v>50</v>
      </c>
      <c r="K1036" t="s">
        <v>1909</v>
      </c>
      <c r="L1036" s="6" t="s">
        <v>1409</v>
      </c>
      <c r="M1036" s="6">
        <v>15</v>
      </c>
      <c r="N1036" s="6">
        <v>2</v>
      </c>
      <c r="O1036">
        <v>500</v>
      </c>
      <c r="P1036">
        <v>202605</v>
      </c>
      <c r="Q1036" t="s">
        <v>377</v>
      </c>
      <c r="R1036" t="s">
        <v>1353</v>
      </c>
      <c r="S1036">
        <f>Consulta1[[#This Row],[min_port]]/100</f>
        <v>1.55E-2</v>
      </c>
      <c r="T1036" s="252">
        <f>Consulta1[[#This Row],[TETO_COMERCIAL]]/100</f>
        <v>2.5000000000000001E-2</v>
      </c>
      <c r="U1036" t="b">
        <f>Consulta1[[#This Row],[TETO_COMERCIAL_%]]=Consulta1[[#This Row],[TAXA]]</f>
        <v>0</v>
      </c>
      <c r="V1036" t="str">
        <f>CONCATENATE(Consulta1[[#This Row],[MES_ALTERACAO]],Consulta1[[#This Row],[VIRADA]])</f>
        <v>20260515</v>
      </c>
      <c r="W1036">
        <f>VLOOKUP(Consulta1[[#This Row],[Coluna2]],CALENDARIO!$J:$K,2,FALSE)</f>
        <v>10</v>
      </c>
    </row>
    <row r="1037" spans="1:23" x14ac:dyDescent="0.25">
      <c r="A1037" t="s">
        <v>670</v>
      </c>
      <c r="B1037" t="str">
        <f>CONCATENATE(Consulta1[[#This Row],[id]],Consulta1[[#This Row],[EMPREGADOR]])</f>
        <v>5PREF MARACANAU</v>
      </c>
      <c r="C1037" s="6">
        <f>IF(A1037=A1036,C1036+1,1)</f>
        <v>5</v>
      </c>
      <c r="D1037" t="s">
        <v>675</v>
      </c>
      <c r="E1037" s="101">
        <v>2.1499999999999998E-2</v>
      </c>
      <c r="F1037" s="6">
        <v>96</v>
      </c>
      <c r="G1037" t="s">
        <v>1349</v>
      </c>
      <c r="H1037" s="82">
        <v>2.5</v>
      </c>
      <c r="I1037">
        <v>17</v>
      </c>
      <c r="J1037">
        <v>50</v>
      </c>
      <c r="K1037" t="s">
        <v>1910</v>
      </c>
      <c r="L1037" s="6" t="s">
        <v>1409</v>
      </c>
      <c r="M1037" s="6">
        <v>15</v>
      </c>
      <c r="N1037" s="6">
        <v>2</v>
      </c>
      <c r="O1037">
        <v>500</v>
      </c>
      <c r="P1037">
        <v>202605</v>
      </c>
      <c r="Q1037" t="s">
        <v>377</v>
      </c>
      <c r="R1037" t="s">
        <v>1353</v>
      </c>
      <c r="S1037">
        <f>Consulta1[[#This Row],[min_port]]/100</f>
        <v>1.55E-2</v>
      </c>
      <c r="T1037" s="252">
        <f>Consulta1[[#This Row],[TETO_COMERCIAL]]/100</f>
        <v>2.5000000000000001E-2</v>
      </c>
      <c r="U1037" t="b">
        <f>Consulta1[[#This Row],[TETO_COMERCIAL_%]]=Consulta1[[#This Row],[TAXA]]</f>
        <v>0</v>
      </c>
      <c r="V1037" t="str">
        <f>CONCATENATE(Consulta1[[#This Row],[MES_ALTERACAO]],Consulta1[[#This Row],[VIRADA]])</f>
        <v>20260515</v>
      </c>
      <c r="W1037">
        <f>VLOOKUP(Consulta1[[#This Row],[Coluna2]],CALENDARIO!$J:$K,2,FALSE)</f>
        <v>10</v>
      </c>
    </row>
    <row r="1038" spans="1:23" x14ac:dyDescent="0.25">
      <c r="A1038" t="s">
        <v>670</v>
      </c>
      <c r="B1038" t="str">
        <f>CONCATENATE(Consulta1[[#This Row],[id]],Consulta1[[#This Row],[EMPREGADOR]])</f>
        <v>6PREF MARACANAU</v>
      </c>
      <c r="C1038" s="6">
        <f>IF(A1038=A1037,C1037+1,1)</f>
        <v>6</v>
      </c>
      <c r="D1038" t="s">
        <v>676</v>
      </c>
      <c r="E1038" s="101">
        <v>1.8500000000000003E-2</v>
      </c>
      <c r="F1038" s="6">
        <v>96</v>
      </c>
      <c r="G1038" t="s">
        <v>1349</v>
      </c>
      <c r="H1038" s="82">
        <v>2.5</v>
      </c>
      <c r="I1038">
        <v>17</v>
      </c>
      <c r="J1038">
        <v>50</v>
      </c>
      <c r="K1038" t="s">
        <v>1911</v>
      </c>
      <c r="L1038" s="6" t="s">
        <v>1409</v>
      </c>
      <c r="M1038" s="6">
        <v>15</v>
      </c>
      <c r="N1038" s="6">
        <v>2</v>
      </c>
      <c r="O1038">
        <v>500</v>
      </c>
      <c r="P1038">
        <v>202605</v>
      </c>
      <c r="Q1038" t="s">
        <v>377</v>
      </c>
      <c r="R1038" t="s">
        <v>1353</v>
      </c>
      <c r="S1038">
        <f>Consulta1[[#This Row],[min_port]]/100</f>
        <v>1.55E-2</v>
      </c>
      <c r="T1038" s="252">
        <f>Consulta1[[#This Row],[TETO_COMERCIAL]]/100</f>
        <v>2.5000000000000001E-2</v>
      </c>
      <c r="U1038" t="b">
        <f>Consulta1[[#This Row],[TETO_COMERCIAL_%]]=Consulta1[[#This Row],[TAXA]]</f>
        <v>0</v>
      </c>
      <c r="V1038" t="str">
        <f>CONCATENATE(Consulta1[[#This Row],[MES_ALTERACAO]],Consulta1[[#This Row],[VIRADA]])</f>
        <v>20260515</v>
      </c>
      <c r="W1038">
        <f>VLOOKUP(Consulta1[[#This Row],[Coluna2]],CALENDARIO!$J:$K,2,FALSE)</f>
        <v>10</v>
      </c>
    </row>
    <row r="1039" spans="1:23" x14ac:dyDescent="0.25">
      <c r="A1039" t="s">
        <v>670</v>
      </c>
      <c r="B1039" t="str">
        <f>CONCATENATE(Consulta1[[#This Row],[id]],Consulta1[[#This Row],[EMPREGADOR]])</f>
        <v>7PREF MARACANAU</v>
      </c>
      <c r="C1039" s="6">
        <f>IF(A1039=A1038,C1038+1,1)</f>
        <v>7</v>
      </c>
      <c r="D1039" t="s">
        <v>1054</v>
      </c>
      <c r="E1039" s="101">
        <v>1.8000000000000002E-2</v>
      </c>
      <c r="F1039" s="6">
        <v>96</v>
      </c>
      <c r="G1039" t="s">
        <v>1349</v>
      </c>
      <c r="H1039" s="82">
        <v>2.5</v>
      </c>
      <c r="I1039">
        <v>17</v>
      </c>
      <c r="J1039">
        <v>50</v>
      </c>
      <c r="K1039" t="s">
        <v>1912</v>
      </c>
      <c r="L1039" s="6" t="s">
        <v>1409</v>
      </c>
      <c r="M1039" s="6">
        <v>15</v>
      </c>
      <c r="N1039" s="6">
        <v>2</v>
      </c>
      <c r="O1039">
        <v>500</v>
      </c>
      <c r="P1039">
        <v>202605</v>
      </c>
      <c r="Q1039" t="s">
        <v>377</v>
      </c>
      <c r="R1039" t="s">
        <v>1353</v>
      </c>
      <c r="S1039">
        <f>Consulta1[[#This Row],[min_port]]/100</f>
        <v>1.55E-2</v>
      </c>
      <c r="T1039" s="252">
        <f>Consulta1[[#This Row],[TETO_COMERCIAL]]/100</f>
        <v>2.5000000000000001E-2</v>
      </c>
      <c r="U1039" t="b">
        <f>Consulta1[[#This Row],[TETO_COMERCIAL_%]]=Consulta1[[#This Row],[TAXA]]</f>
        <v>0</v>
      </c>
      <c r="V1039" t="str">
        <f>CONCATENATE(Consulta1[[#This Row],[MES_ALTERACAO]],Consulta1[[#This Row],[VIRADA]])</f>
        <v>20260515</v>
      </c>
      <c r="W1039">
        <f>VLOOKUP(Consulta1[[#This Row],[Coluna2]],CALENDARIO!$J:$K,2,FALSE)</f>
        <v>10</v>
      </c>
    </row>
    <row r="1040" spans="1:23" x14ac:dyDescent="0.25">
      <c r="A1040" t="s">
        <v>670</v>
      </c>
      <c r="B1040" t="str">
        <f>CONCATENATE(Consulta1[[#This Row],[id]],Consulta1[[#This Row],[EMPREGADOR]])</f>
        <v>8PREF MARACANAU</v>
      </c>
      <c r="C1040" s="6">
        <f>IF(A1040=A1039,C1039+1,1)</f>
        <v>8</v>
      </c>
      <c r="D1040" t="s">
        <v>1055</v>
      </c>
      <c r="E1040" s="101">
        <v>1.7500000000000002E-2</v>
      </c>
      <c r="F1040" s="6">
        <v>96</v>
      </c>
      <c r="G1040" t="s">
        <v>1349</v>
      </c>
      <c r="H1040" s="82">
        <v>2.5</v>
      </c>
      <c r="I1040">
        <v>17</v>
      </c>
      <c r="J1040">
        <v>50</v>
      </c>
      <c r="K1040" t="s">
        <v>1913</v>
      </c>
      <c r="L1040" s="6" t="s">
        <v>1409</v>
      </c>
      <c r="M1040" s="6">
        <v>15</v>
      </c>
      <c r="N1040" s="6">
        <v>2</v>
      </c>
      <c r="O1040">
        <v>500</v>
      </c>
      <c r="P1040">
        <v>202605</v>
      </c>
      <c r="Q1040" t="s">
        <v>377</v>
      </c>
      <c r="R1040" t="s">
        <v>1353</v>
      </c>
      <c r="S1040">
        <f>Consulta1[[#This Row],[min_port]]/100</f>
        <v>1.55E-2</v>
      </c>
      <c r="T1040" s="252">
        <f>Consulta1[[#This Row],[TETO_COMERCIAL]]/100</f>
        <v>2.5000000000000001E-2</v>
      </c>
      <c r="U1040" t="b">
        <f>Consulta1[[#This Row],[TETO_COMERCIAL_%]]=Consulta1[[#This Row],[TAXA]]</f>
        <v>0</v>
      </c>
      <c r="V1040" t="str">
        <f>CONCATENATE(Consulta1[[#This Row],[MES_ALTERACAO]],Consulta1[[#This Row],[VIRADA]])</f>
        <v>20260515</v>
      </c>
      <c r="W1040">
        <f>VLOOKUP(Consulta1[[#This Row],[Coluna2]],CALENDARIO!$J:$K,2,FALSE)</f>
        <v>10</v>
      </c>
    </row>
    <row r="1041" spans="1:23" x14ac:dyDescent="0.25">
      <c r="A1041" t="s">
        <v>789</v>
      </c>
      <c r="B1041" t="str">
        <f>CONCATENATE(Consulta1[[#This Row],[id]],Consulta1[[#This Row],[EMPREGADOR]])</f>
        <v>1PREF MARILIA</v>
      </c>
      <c r="C1041" s="6">
        <f>IF(A1041=A1040,C1040+1,1)</f>
        <v>1</v>
      </c>
      <c r="D1041" t="s">
        <v>793</v>
      </c>
      <c r="E1041" s="101">
        <v>2.5000000000000001E-2</v>
      </c>
      <c r="F1041" s="6">
        <v>120</v>
      </c>
      <c r="G1041" t="s">
        <v>1349</v>
      </c>
      <c r="H1041" s="82">
        <v>2.5</v>
      </c>
      <c r="I1041">
        <v>17</v>
      </c>
      <c r="K1041" t="s">
        <v>1914</v>
      </c>
      <c r="L1041" s="6" t="s">
        <v>1873</v>
      </c>
      <c r="M1041" s="6">
        <v>15</v>
      </c>
      <c r="N1041" s="6">
        <v>2</v>
      </c>
      <c r="O1041">
        <v>500</v>
      </c>
      <c r="P1041">
        <v>202605</v>
      </c>
      <c r="Q1041" t="s">
        <v>377</v>
      </c>
      <c r="R1041" t="s">
        <v>1353</v>
      </c>
      <c r="S1041">
        <f>Consulta1[[#This Row],[min_port]]/100</f>
        <v>1.7000000000000001E-2</v>
      </c>
      <c r="T1041" s="252">
        <f>Consulta1[[#This Row],[TETO_COMERCIAL]]/100</f>
        <v>2.5000000000000001E-2</v>
      </c>
      <c r="U1041" t="b">
        <f>Consulta1[[#This Row],[TETO_COMERCIAL_%]]=Consulta1[[#This Row],[TAXA]]</f>
        <v>1</v>
      </c>
      <c r="V1041" t="str">
        <f>CONCATENATE(Consulta1[[#This Row],[MES_ALTERACAO]],Consulta1[[#This Row],[VIRADA]])</f>
        <v>20260515</v>
      </c>
      <c r="W1041">
        <f>VLOOKUP(Consulta1[[#This Row],[Coluna2]],CALENDARIO!$J:$K,2,FALSE)</f>
        <v>10</v>
      </c>
    </row>
    <row r="1042" spans="1:23" x14ac:dyDescent="0.25">
      <c r="A1042" t="s">
        <v>789</v>
      </c>
      <c r="B1042" t="str">
        <f>CONCATENATE(Consulta1[[#This Row],[id]],Consulta1[[#This Row],[EMPREGADOR]])</f>
        <v>2PREF MARILIA</v>
      </c>
      <c r="C1042" s="6">
        <f>IF(A1042=A1041,C1041+1,1)</f>
        <v>2</v>
      </c>
      <c r="D1042" t="s">
        <v>794</v>
      </c>
      <c r="E1042" s="101">
        <v>2.4399999999999998E-2</v>
      </c>
      <c r="F1042" s="6">
        <v>120</v>
      </c>
      <c r="G1042" t="s">
        <v>1349</v>
      </c>
      <c r="H1042" s="82">
        <v>2.5</v>
      </c>
      <c r="I1042">
        <v>17</v>
      </c>
      <c r="K1042" t="s">
        <v>1915</v>
      </c>
      <c r="L1042" s="6" t="s">
        <v>1873</v>
      </c>
      <c r="M1042" s="6">
        <v>15</v>
      </c>
      <c r="N1042" s="6">
        <v>2</v>
      </c>
      <c r="O1042">
        <v>500</v>
      </c>
      <c r="P1042">
        <v>202605</v>
      </c>
      <c r="Q1042" t="s">
        <v>377</v>
      </c>
      <c r="R1042" t="s">
        <v>1353</v>
      </c>
      <c r="S1042">
        <f>Consulta1[[#This Row],[min_port]]/100</f>
        <v>1.7000000000000001E-2</v>
      </c>
      <c r="T1042" s="252">
        <f>Consulta1[[#This Row],[TETO_COMERCIAL]]/100</f>
        <v>2.5000000000000001E-2</v>
      </c>
      <c r="U1042" t="b">
        <f>Consulta1[[#This Row],[TETO_COMERCIAL_%]]=Consulta1[[#This Row],[TAXA]]</f>
        <v>0</v>
      </c>
      <c r="V1042" t="str">
        <f>CONCATENATE(Consulta1[[#This Row],[MES_ALTERACAO]],Consulta1[[#This Row],[VIRADA]])</f>
        <v>20260515</v>
      </c>
      <c r="W1042">
        <f>VLOOKUP(Consulta1[[#This Row],[Coluna2]],CALENDARIO!$J:$K,2,FALSE)</f>
        <v>10</v>
      </c>
    </row>
    <row r="1043" spans="1:23" x14ac:dyDescent="0.25">
      <c r="A1043" t="s">
        <v>789</v>
      </c>
      <c r="B1043" t="str">
        <f>CONCATENATE(Consulta1[[#This Row],[id]],Consulta1[[#This Row],[EMPREGADOR]])</f>
        <v>3PREF MARILIA</v>
      </c>
      <c r="C1043" s="6">
        <f>IF(A1043=A1042,C1042+1,1)</f>
        <v>3</v>
      </c>
      <c r="D1043" t="s">
        <v>795</v>
      </c>
      <c r="E1043" s="101">
        <v>2.41E-2</v>
      </c>
      <c r="F1043" s="6">
        <v>120</v>
      </c>
      <c r="G1043" t="s">
        <v>1349</v>
      </c>
      <c r="H1043" s="82">
        <v>2.5</v>
      </c>
      <c r="I1043">
        <v>17</v>
      </c>
      <c r="J1043">
        <v>53</v>
      </c>
      <c r="K1043" t="s">
        <v>1916</v>
      </c>
      <c r="L1043" s="6" t="s">
        <v>1873</v>
      </c>
      <c r="M1043" s="6">
        <v>15</v>
      </c>
      <c r="N1043" s="6">
        <v>2</v>
      </c>
      <c r="O1043">
        <v>500</v>
      </c>
      <c r="P1043">
        <v>202605</v>
      </c>
      <c r="Q1043" t="s">
        <v>377</v>
      </c>
      <c r="R1043" t="s">
        <v>1353</v>
      </c>
      <c r="S1043">
        <f>Consulta1[[#This Row],[min_port]]/100</f>
        <v>1.7000000000000001E-2</v>
      </c>
      <c r="T1043" s="252">
        <f>Consulta1[[#This Row],[TETO_COMERCIAL]]/100</f>
        <v>2.5000000000000001E-2</v>
      </c>
      <c r="U1043" t="b">
        <f>Consulta1[[#This Row],[TETO_COMERCIAL_%]]=Consulta1[[#This Row],[TAXA]]</f>
        <v>0</v>
      </c>
      <c r="V1043" t="str">
        <f>CONCATENATE(Consulta1[[#This Row],[MES_ALTERACAO]],Consulta1[[#This Row],[VIRADA]])</f>
        <v>20260515</v>
      </c>
      <c r="W1043">
        <f>VLOOKUP(Consulta1[[#This Row],[Coluna2]],CALENDARIO!$J:$K,2,FALSE)</f>
        <v>10</v>
      </c>
    </row>
    <row r="1044" spans="1:23" x14ac:dyDescent="0.25">
      <c r="A1044" t="s">
        <v>642</v>
      </c>
      <c r="B1044" t="str">
        <f>CONCATENATE(Consulta1[[#This Row],[id]],Consulta1[[#This Row],[EMPREGADOR]])</f>
        <v>1PREF MAUA</v>
      </c>
      <c r="C1044" s="6">
        <f>IF(A1044=A1043,C1043+1,1)</f>
        <v>1</v>
      </c>
      <c r="D1044" t="s">
        <v>643</v>
      </c>
      <c r="E1044" s="101">
        <v>2.5000000000000001E-2</v>
      </c>
      <c r="F1044" s="6">
        <v>120</v>
      </c>
      <c r="G1044" t="s">
        <v>1349</v>
      </c>
      <c r="H1044" s="82">
        <v>2.5</v>
      </c>
      <c r="I1044">
        <v>10</v>
      </c>
      <c r="J1044">
        <v>47</v>
      </c>
      <c r="K1044" t="s">
        <v>1917</v>
      </c>
      <c r="L1044" s="6" t="s">
        <v>1399</v>
      </c>
      <c r="M1044" s="6">
        <v>10</v>
      </c>
      <c r="N1044" s="6">
        <v>2</v>
      </c>
      <c r="O1044">
        <v>500</v>
      </c>
      <c r="P1044">
        <v>202605</v>
      </c>
      <c r="Q1044" t="s">
        <v>377</v>
      </c>
      <c r="R1044" t="s">
        <v>1350</v>
      </c>
      <c r="S1044">
        <f>Consulta1[[#This Row],[min_port]]/100</f>
        <v>1.3899999999999999E-2</v>
      </c>
      <c r="T1044" s="252">
        <f>Consulta1[[#This Row],[TETO_COMERCIAL]]/100</f>
        <v>2.5000000000000001E-2</v>
      </c>
      <c r="U1044" t="b">
        <f>Consulta1[[#This Row],[TETO_COMERCIAL_%]]=Consulta1[[#This Row],[TAXA]]</f>
        <v>1</v>
      </c>
      <c r="V1044" t="str">
        <f>CONCATENATE(Consulta1[[#This Row],[MES_ALTERACAO]],Consulta1[[#This Row],[VIRADA]])</f>
        <v>20260510</v>
      </c>
      <c r="W1044">
        <f>VLOOKUP(Consulta1[[#This Row],[Coluna2]],CALENDARIO!$J:$K,2,FALSE)</f>
        <v>5</v>
      </c>
    </row>
    <row r="1045" spans="1:23" x14ac:dyDescent="0.25">
      <c r="A1045" t="s">
        <v>642</v>
      </c>
      <c r="B1045" t="str">
        <f>CONCATENATE(Consulta1[[#This Row],[id]],Consulta1[[#This Row],[EMPREGADOR]])</f>
        <v>2PREF MAUA</v>
      </c>
      <c r="C1045" s="6">
        <f>IF(A1045=A1044,C1044+1,1)</f>
        <v>2</v>
      </c>
      <c r="D1045" t="s">
        <v>644</v>
      </c>
      <c r="E1045" s="101">
        <v>2.35E-2</v>
      </c>
      <c r="F1045" s="6">
        <v>120</v>
      </c>
      <c r="G1045" t="s">
        <v>1349</v>
      </c>
      <c r="H1045" s="82">
        <v>2.5</v>
      </c>
      <c r="I1045">
        <v>10</v>
      </c>
      <c r="J1045">
        <v>58</v>
      </c>
      <c r="K1045" t="s">
        <v>1918</v>
      </c>
      <c r="L1045" s="6" t="s">
        <v>1399</v>
      </c>
      <c r="M1045" s="6">
        <v>10</v>
      </c>
      <c r="N1045" s="6">
        <v>2</v>
      </c>
      <c r="O1045">
        <v>500</v>
      </c>
      <c r="P1045">
        <v>202605</v>
      </c>
      <c r="Q1045" t="s">
        <v>377</v>
      </c>
      <c r="R1045" t="s">
        <v>1350</v>
      </c>
      <c r="S1045">
        <f>Consulta1[[#This Row],[min_port]]/100</f>
        <v>1.3899999999999999E-2</v>
      </c>
      <c r="T1045" s="252">
        <f>Consulta1[[#This Row],[TETO_COMERCIAL]]/100</f>
        <v>2.5000000000000001E-2</v>
      </c>
      <c r="U1045" t="b">
        <f>Consulta1[[#This Row],[TETO_COMERCIAL_%]]=Consulta1[[#This Row],[TAXA]]</f>
        <v>0</v>
      </c>
      <c r="V1045" t="str">
        <f>CONCATENATE(Consulta1[[#This Row],[MES_ALTERACAO]],Consulta1[[#This Row],[VIRADA]])</f>
        <v>20260510</v>
      </c>
      <c r="W1045">
        <f>VLOOKUP(Consulta1[[#This Row],[Coluna2]],CALENDARIO!$J:$K,2,FALSE)</f>
        <v>5</v>
      </c>
    </row>
    <row r="1046" spans="1:23" x14ac:dyDescent="0.25">
      <c r="A1046" t="s">
        <v>642</v>
      </c>
      <c r="B1046" t="str">
        <f>CONCATENATE(Consulta1[[#This Row],[id]],Consulta1[[#This Row],[EMPREGADOR]])</f>
        <v>3PREF MAUA</v>
      </c>
      <c r="C1046" s="6">
        <f>IF(A1046=A1045,C1045+1,1)</f>
        <v>3</v>
      </c>
      <c r="D1046" t="s">
        <v>645</v>
      </c>
      <c r="E1046" s="101">
        <v>2.2499999999999999E-2</v>
      </c>
      <c r="F1046" s="6">
        <v>120</v>
      </c>
      <c r="G1046" t="s">
        <v>1349</v>
      </c>
      <c r="H1046" s="82">
        <v>2.5</v>
      </c>
      <c r="I1046">
        <v>10</v>
      </c>
      <c r="K1046" t="s">
        <v>1919</v>
      </c>
      <c r="L1046" s="6" t="s">
        <v>1399</v>
      </c>
      <c r="M1046" s="6">
        <v>10</v>
      </c>
      <c r="N1046" s="6">
        <v>2</v>
      </c>
      <c r="O1046">
        <v>500</v>
      </c>
      <c r="P1046">
        <v>202605</v>
      </c>
      <c r="Q1046" t="s">
        <v>377</v>
      </c>
      <c r="R1046" t="s">
        <v>1350</v>
      </c>
      <c r="S1046">
        <f>Consulta1[[#This Row],[min_port]]/100</f>
        <v>1.3899999999999999E-2</v>
      </c>
      <c r="T1046" s="252">
        <f>Consulta1[[#This Row],[TETO_COMERCIAL]]/100</f>
        <v>2.5000000000000001E-2</v>
      </c>
      <c r="U1046" t="b">
        <f>Consulta1[[#This Row],[TETO_COMERCIAL_%]]=Consulta1[[#This Row],[TAXA]]</f>
        <v>0</v>
      </c>
      <c r="V1046" t="str">
        <f>CONCATENATE(Consulta1[[#This Row],[MES_ALTERACAO]],Consulta1[[#This Row],[VIRADA]])</f>
        <v>20260510</v>
      </c>
      <c r="W1046">
        <f>VLOOKUP(Consulta1[[#This Row],[Coluna2]],CALENDARIO!$J:$K,2,FALSE)</f>
        <v>5</v>
      </c>
    </row>
    <row r="1047" spans="1:23" x14ac:dyDescent="0.25">
      <c r="A1047" t="s">
        <v>642</v>
      </c>
      <c r="B1047" t="str">
        <f>CONCATENATE(Consulta1[[#This Row],[id]],Consulta1[[#This Row],[EMPREGADOR]])</f>
        <v>4PREF MAUA</v>
      </c>
      <c r="C1047" s="6">
        <f>IF(A1047=A1046,C1046+1,1)</f>
        <v>4</v>
      </c>
      <c r="D1047" t="s">
        <v>1056</v>
      </c>
      <c r="E1047" s="101">
        <v>2.1499999999999998E-2</v>
      </c>
      <c r="F1047" s="6">
        <v>120</v>
      </c>
      <c r="G1047" t="s">
        <v>1349</v>
      </c>
      <c r="H1047" s="82">
        <v>2.5</v>
      </c>
      <c r="I1047">
        <v>10</v>
      </c>
      <c r="J1047">
        <v>36</v>
      </c>
      <c r="K1047" t="s">
        <v>1920</v>
      </c>
      <c r="L1047" s="6" t="s">
        <v>1399</v>
      </c>
      <c r="M1047" s="6">
        <v>10</v>
      </c>
      <c r="N1047" s="6">
        <v>2</v>
      </c>
      <c r="O1047">
        <v>500</v>
      </c>
      <c r="P1047">
        <v>202605</v>
      </c>
      <c r="Q1047" t="s">
        <v>377</v>
      </c>
      <c r="R1047" t="s">
        <v>1350</v>
      </c>
      <c r="S1047">
        <f>Consulta1[[#This Row],[min_port]]/100</f>
        <v>1.3899999999999999E-2</v>
      </c>
      <c r="T1047" s="252">
        <f>Consulta1[[#This Row],[TETO_COMERCIAL]]/100</f>
        <v>2.5000000000000001E-2</v>
      </c>
      <c r="U1047" t="b">
        <f>Consulta1[[#This Row],[TETO_COMERCIAL_%]]=Consulta1[[#This Row],[TAXA]]</f>
        <v>0</v>
      </c>
      <c r="V1047" t="str">
        <f>CONCATENATE(Consulta1[[#This Row],[MES_ALTERACAO]],Consulta1[[#This Row],[VIRADA]])</f>
        <v>20260510</v>
      </c>
      <c r="W1047">
        <f>VLOOKUP(Consulta1[[#This Row],[Coluna2]],CALENDARIO!$J:$K,2,FALSE)</f>
        <v>5</v>
      </c>
    </row>
    <row r="1048" spans="1:23" x14ac:dyDescent="0.25">
      <c r="A1048" t="s">
        <v>642</v>
      </c>
      <c r="B1048" t="str">
        <f>CONCATENATE(Consulta1[[#This Row],[id]],Consulta1[[#This Row],[EMPREGADOR]])</f>
        <v>5PREF MAUA</v>
      </c>
      <c r="C1048" s="6">
        <f>IF(A1048=A1047,C1047+1,1)</f>
        <v>5</v>
      </c>
      <c r="D1048" t="s">
        <v>1057</v>
      </c>
      <c r="E1048" s="101">
        <v>2.0499999999999997E-2</v>
      </c>
      <c r="F1048" s="6">
        <v>120</v>
      </c>
      <c r="G1048" t="s">
        <v>1349</v>
      </c>
      <c r="H1048" s="82">
        <v>2.5</v>
      </c>
      <c r="I1048">
        <v>10</v>
      </c>
      <c r="K1048" t="s">
        <v>1921</v>
      </c>
      <c r="L1048" s="6" t="s">
        <v>1399</v>
      </c>
      <c r="M1048" s="6">
        <v>10</v>
      </c>
      <c r="N1048" s="6">
        <v>2</v>
      </c>
      <c r="O1048">
        <v>500</v>
      </c>
      <c r="P1048">
        <v>202605</v>
      </c>
      <c r="Q1048" t="s">
        <v>377</v>
      </c>
      <c r="R1048" t="s">
        <v>1350</v>
      </c>
      <c r="S1048">
        <f>Consulta1[[#This Row],[min_port]]/100</f>
        <v>1.3899999999999999E-2</v>
      </c>
      <c r="T1048" s="252">
        <f>Consulta1[[#This Row],[TETO_COMERCIAL]]/100</f>
        <v>2.5000000000000001E-2</v>
      </c>
      <c r="U1048" t="b">
        <f>Consulta1[[#This Row],[TETO_COMERCIAL_%]]=Consulta1[[#This Row],[TAXA]]</f>
        <v>0</v>
      </c>
      <c r="V1048" t="str">
        <f>CONCATENATE(Consulta1[[#This Row],[MES_ALTERACAO]],Consulta1[[#This Row],[VIRADA]])</f>
        <v>20260510</v>
      </c>
      <c r="W1048">
        <f>VLOOKUP(Consulta1[[#This Row],[Coluna2]],CALENDARIO!$J:$K,2,FALSE)</f>
        <v>5</v>
      </c>
    </row>
    <row r="1049" spans="1:23" x14ac:dyDescent="0.25">
      <c r="A1049" t="s">
        <v>642</v>
      </c>
      <c r="B1049" t="str">
        <f>CONCATENATE(Consulta1[[#This Row],[id]],Consulta1[[#This Row],[EMPREGADOR]])</f>
        <v>6PREF MAUA</v>
      </c>
      <c r="C1049" s="6">
        <f>IF(A1049=A1048,C1048+1,1)</f>
        <v>6</v>
      </c>
      <c r="D1049" t="s">
        <v>1058</v>
      </c>
      <c r="E1049" s="101">
        <v>2.0099999999999996E-2</v>
      </c>
      <c r="F1049" s="6">
        <v>120</v>
      </c>
      <c r="G1049" t="s">
        <v>1349</v>
      </c>
      <c r="H1049" s="82">
        <v>2.5</v>
      </c>
      <c r="I1049">
        <v>10</v>
      </c>
      <c r="J1049">
        <v>53</v>
      </c>
      <c r="K1049" t="s">
        <v>1922</v>
      </c>
      <c r="L1049" s="6" t="s">
        <v>1399</v>
      </c>
      <c r="M1049" s="6">
        <v>10</v>
      </c>
      <c r="N1049" s="6">
        <v>2</v>
      </c>
      <c r="O1049">
        <v>500</v>
      </c>
      <c r="P1049">
        <v>202605</v>
      </c>
      <c r="Q1049" t="s">
        <v>377</v>
      </c>
      <c r="R1049" t="s">
        <v>1350</v>
      </c>
      <c r="S1049">
        <f>Consulta1[[#This Row],[min_port]]/100</f>
        <v>1.3899999999999999E-2</v>
      </c>
      <c r="T1049" s="252">
        <f>Consulta1[[#This Row],[TETO_COMERCIAL]]/100</f>
        <v>2.5000000000000001E-2</v>
      </c>
      <c r="U1049" t="b">
        <f>Consulta1[[#This Row],[TETO_COMERCIAL_%]]=Consulta1[[#This Row],[TAXA]]</f>
        <v>0</v>
      </c>
      <c r="V1049" t="str">
        <f>CONCATENATE(Consulta1[[#This Row],[MES_ALTERACAO]],Consulta1[[#This Row],[VIRADA]])</f>
        <v>20260510</v>
      </c>
      <c r="W1049">
        <f>VLOOKUP(Consulta1[[#This Row],[Coluna2]],CALENDARIO!$J:$K,2,FALSE)</f>
        <v>5</v>
      </c>
    </row>
    <row r="1050" spans="1:23" x14ac:dyDescent="0.25">
      <c r="A1050" t="s">
        <v>3715</v>
      </c>
      <c r="B1050" t="str">
        <f>CONCATENATE(Consulta1[[#This Row],[id]],Consulta1[[#This Row],[EMPREGADOR]])</f>
        <v xml:space="preserve">1PREF MESQUITA </v>
      </c>
      <c r="C1050" s="6">
        <f>IF(A1050=A1049,C1049+1,1)</f>
        <v>1</v>
      </c>
      <c r="D1050" t="s">
        <v>3716</v>
      </c>
      <c r="E1050" s="101">
        <v>2.5000000000000001E-2</v>
      </c>
      <c r="F1050" s="6">
        <v>120</v>
      </c>
      <c r="G1050" t="s">
        <v>1349</v>
      </c>
      <c r="H1050" s="82">
        <v>2.5</v>
      </c>
      <c r="I1050">
        <v>23</v>
      </c>
      <c r="K1050" t="s">
        <v>3717</v>
      </c>
      <c r="L1050" s="6" t="s">
        <v>1427</v>
      </c>
      <c r="M1050" s="6">
        <v>5</v>
      </c>
      <c r="N1050" s="6">
        <v>2</v>
      </c>
      <c r="O1050">
        <v>500</v>
      </c>
      <c r="P1050">
        <v>202605</v>
      </c>
      <c r="Q1050" t="s">
        <v>377</v>
      </c>
      <c r="R1050" t="s">
        <v>1353</v>
      </c>
      <c r="S1050">
        <f>Consulta1[[#This Row],[min_port]]/100</f>
        <v>1.41E-2</v>
      </c>
      <c r="T1050" s="252">
        <f>Consulta1[[#This Row],[TETO_COMERCIAL]]/100</f>
        <v>2.5000000000000001E-2</v>
      </c>
      <c r="U1050" t="b">
        <f>Consulta1[[#This Row],[TETO_COMERCIAL_%]]=Consulta1[[#This Row],[TAXA]]</f>
        <v>1</v>
      </c>
      <c r="V1050" t="str">
        <f>CONCATENATE(Consulta1[[#This Row],[MES_ALTERACAO]],Consulta1[[#This Row],[VIRADA]])</f>
        <v>2026055</v>
      </c>
      <c r="W1050">
        <f>VLOOKUP(Consulta1[[#This Row],[Coluna2]],CALENDARIO!$J:$K,2,FALSE)</f>
        <v>2</v>
      </c>
    </row>
    <row r="1051" spans="1:23" x14ac:dyDescent="0.25">
      <c r="A1051" t="s">
        <v>3715</v>
      </c>
      <c r="B1051" t="str">
        <f>CONCATENATE(Consulta1[[#This Row],[id]],Consulta1[[#This Row],[EMPREGADOR]])</f>
        <v xml:space="preserve">2PREF MESQUITA </v>
      </c>
      <c r="C1051" s="6">
        <f>IF(A1051=A1050,C1050+1,1)</f>
        <v>2</v>
      </c>
      <c r="D1051" t="s">
        <v>3718</v>
      </c>
      <c r="E1051" s="101">
        <v>2.3E-2</v>
      </c>
      <c r="F1051" s="6">
        <v>120</v>
      </c>
      <c r="G1051" t="s">
        <v>1349</v>
      </c>
      <c r="H1051" s="82">
        <v>2.5</v>
      </c>
      <c r="I1051">
        <v>23</v>
      </c>
      <c r="K1051" t="s">
        <v>3719</v>
      </c>
      <c r="L1051" s="6" t="s">
        <v>1427</v>
      </c>
      <c r="M1051" s="6">
        <v>5</v>
      </c>
      <c r="N1051" s="6">
        <v>2</v>
      </c>
      <c r="O1051">
        <v>500</v>
      </c>
      <c r="P1051">
        <v>202605</v>
      </c>
      <c r="Q1051" t="s">
        <v>377</v>
      </c>
      <c r="R1051" t="s">
        <v>1353</v>
      </c>
      <c r="S1051">
        <f>Consulta1[[#This Row],[min_port]]/100</f>
        <v>1.41E-2</v>
      </c>
      <c r="T1051" s="252">
        <f>Consulta1[[#This Row],[TETO_COMERCIAL]]/100</f>
        <v>2.5000000000000001E-2</v>
      </c>
      <c r="U1051" t="b">
        <f>Consulta1[[#This Row],[TETO_COMERCIAL_%]]=Consulta1[[#This Row],[TAXA]]</f>
        <v>0</v>
      </c>
      <c r="V1051" t="str">
        <f>CONCATENATE(Consulta1[[#This Row],[MES_ALTERACAO]],Consulta1[[#This Row],[VIRADA]])</f>
        <v>2026055</v>
      </c>
      <c r="W1051">
        <f>VLOOKUP(Consulta1[[#This Row],[Coluna2]],CALENDARIO!$J:$K,2,FALSE)</f>
        <v>2</v>
      </c>
    </row>
    <row r="1052" spans="1:23" x14ac:dyDescent="0.25">
      <c r="A1052" t="s">
        <v>3715</v>
      </c>
      <c r="B1052" t="str">
        <f>CONCATENATE(Consulta1[[#This Row],[id]],Consulta1[[#This Row],[EMPREGADOR]])</f>
        <v xml:space="preserve">3PREF MESQUITA </v>
      </c>
      <c r="C1052" s="6">
        <f>IF(A1052=A1051,C1051+1,1)</f>
        <v>3</v>
      </c>
      <c r="D1052" t="s">
        <v>3720</v>
      </c>
      <c r="E1052" s="101">
        <v>2.2499999999999999E-2</v>
      </c>
      <c r="F1052" s="6">
        <v>120</v>
      </c>
      <c r="G1052" t="s">
        <v>1349</v>
      </c>
      <c r="H1052" s="82">
        <v>2.5</v>
      </c>
      <c r="I1052">
        <v>23</v>
      </c>
      <c r="K1052" t="s">
        <v>3721</v>
      </c>
      <c r="L1052" s="6" t="s">
        <v>1427</v>
      </c>
      <c r="M1052" s="6">
        <v>5</v>
      </c>
      <c r="N1052" s="6">
        <v>2</v>
      </c>
      <c r="O1052">
        <v>500</v>
      </c>
      <c r="P1052">
        <v>202605</v>
      </c>
      <c r="Q1052" t="s">
        <v>377</v>
      </c>
      <c r="R1052" t="s">
        <v>1353</v>
      </c>
      <c r="S1052">
        <f>Consulta1[[#This Row],[min_port]]/100</f>
        <v>1.41E-2</v>
      </c>
      <c r="T1052" s="252">
        <f>Consulta1[[#This Row],[TETO_COMERCIAL]]/100</f>
        <v>2.5000000000000001E-2</v>
      </c>
      <c r="U1052" t="b">
        <f>Consulta1[[#This Row],[TETO_COMERCIAL_%]]=Consulta1[[#This Row],[TAXA]]</f>
        <v>0</v>
      </c>
      <c r="V1052" t="str">
        <f>CONCATENATE(Consulta1[[#This Row],[MES_ALTERACAO]],Consulta1[[#This Row],[VIRADA]])</f>
        <v>2026055</v>
      </c>
      <c r="W1052">
        <f>VLOOKUP(Consulta1[[#This Row],[Coluna2]],CALENDARIO!$J:$K,2,FALSE)</f>
        <v>2</v>
      </c>
    </row>
    <row r="1053" spans="1:23" x14ac:dyDescent="0.25">
      <c r="A1053" t="s">
        <v>3715</v>
      </c>
      <c r="B1053" t="str">
        <f>CONCATENATE(Consulta1[[#This Row],[id]],Consulta1[[#This Row],[EMPREGADOR]])</f>
        <v xml:space="preserve">4PREF MESQUITA </v>
      </c>
      <c r="C1053" s="6">
        <f>IF(A1053=A1052,C1052+1,1)</f>
        <v>4</v>
      </c>
      <c r="D1053" t="s">
        <v>3722</v>
      </c>
      <c r="E1053" s="101">
        <v>2.2000000000000002E-2</v>
      </c>
      <c r="F1053" s="6">
        <v>120</v>
      </c>
      <c r="G1053" t="s">
        <v>1349</v>
      </c>
      <c r="H1053" s="82">
        <v>2.5</v>
      </c>
      <c r="I1053">
        <v>23</v>
      </c>
      <c r="K1053" t="s">
        <v>3723</v>
      </c>
      <c r="L1053" s="6" t="s">
        <v>1427</v>
      </c>
      <c r="M1053" s="6">
        <v>5</v>
      </c>
      <c r="N1053" s="6">
        <v>2</v>
      </c>
      <c r="O1053">
        <v>500</v>
      </c>
      <c r="P1053">
        <v>202605</v>
      </c>
      <c r="Q1053" t="s">
        <v>377</v>
      </c>
      <c r="R1053" t="s">
        <v>1353</v>
      </c>
      <c r="S1053">
        <f>Consulta1[[#This Row],[min_port]]/100</f>
        <v>1.41E-2</v>
      </c>
      <c r="T1053" s="252">
        <f>Consulta1[[#This Row],[TETO_COMERCIAL]]/100</f>
        <v>2.5000000000000001E-2</v>
      </c>
      <c r="U1053" t="b">
        <f>Consulta1[[#This Row],[TETO_COMERCIAL_%]]=Consulta1[[#This Row],[TAXA]]</f>
        <v>0</v>
      </c>
      <c r="V1053" t="str">
        <f>CONCATENATE(Consulta1[[#This Row],[MES_ALTERACAO]],Consulta1[[#This Row],[VIRADA]])</f>
        <v>2026055</v>
      </c>
      <c r="W1053">
        <f>VLOOKUP(Consulta1[[#This Row],[Coluna2]],CALENDARIO!$J:$K,2,FALSE)</f>
        <v>2</v>
      </c>
    </row>
    <row r="1054" spans="1:23" x14ac:dyDescent="0.25">
      <c r="A1054" t="s">
        <v>3715</v>
      </c>
      <c r="B1054" t="str">
        <f>CONCATENATE(Consulta1[[#This Row],[id]],Consulta1[[#This Row],[EMPREGADOR]])</f>
        <v xml:space="preserve">5PREF MESQUITA </v>
      </c>
      <c r="C1054" s="6">
        <f>IF(A1054=A1053,C1053+1,1)</f>
        <v>5</v>
      </c>
      <c r="D1054" t="s">
        <v>3724</v>
      </c>
      <c r="E1054" s="101">
        <v>2.1499999999999998E-2</v>
      </c>
      <c r="F1054" s="6">
        <v>120</v>
      </c>
      <c r="G1054" t="s">
        <v>1349</v>
      </c>
      <c r="H1054" s="82">
        <v>2.5</v>
      </c>
      <c r="I1054">
        <v>23</v>
      </c>
      <c r="K1054" t="s">
        <v>3725</v>
      </c>
      <c r="L1054" s="6" t="s">
        <v>1427</v>
      </c>
      <c r="M1054" s="6">
        <v>5</v>
      </c>
      <c r="N1054" s="6">
        <v>2</v>
      </c>
      <c r="O1054">
        <v>500</v>
      </c>
      <c r="P1054">
        <v>202605</v>
      </c>
      <c r="Q1054" t="s">
        <v>377</v>
      </c>
      <c r="R1054" t="s">
        <v>1353</v>
      </c>
      <c r="S1054">
        <f>Consulta1[[#This Row],[min_port]]/100</f>
        <v>1.41E-2</v>
      </c>
      <c r="T1054" s="252">
        <f>Consulta1[[#This Row],[TETO_COMERCIAL]]/100</f>
        <v>2.5000000000000001E-2</v>
      </c>
      <c r="U1054" t="b">
        <f>Consulta1[[#This Row],[TETO_COMERCIAL_%]]=Consulta1[[#This Row],[TAXA]]</f>
        <v>0</v>
      </c>
      <c r="V1054" t="str">
        <f>CONCATENATE(Consulta1[[#This Row],[MES_ALTERACAO]],Consulta1[[#This Row],[VIRADA]])</f>
        <v>2026055</v>
      </c>
      <c r="W1054">
        <f>VLOOKUP(Consulta1[[#This Row],[Coluna2]],CALENDARIO!$J:$K,2,FALSE)</f>
        <v>2</v>
      </c>
    </row>
    <row r="1055" spans="1:23" x14ac:dyDescent="0.25">
      <c r="A1055" t="s">
        <v>3715</v>
      </c>
      <c r="B1055" t="str">
        <f>CONCATENATE(Consulta1[[#This Row],[id]],Consulta1[[#This Row],[EMPREGADOR]])</f>
        <v xml:space="preserve">6PREF MESQUITA </v>
      </c>
      <c r="C1055" s="6">
        <f>IF(A1055=A1054,C1054+1,1)</f>
        <v>6</v>
      </c>
      <c r="D1055" t="s">
        <v>3726</v>
      </c>
      <c r="E1055" s="101">
        <v>2.1000000000000001E-2</v>
      </c>
      <c r="F1055" s="6">
        <v>120</v>
      </c>
      <c r="G1055" t="s">
        <v>1349</v>
      </c>
      <c r="H1055" s="82">
        <v>2.5</v>
      </c>
      <c r="I1055">
        <v>23</v>
      </c>
      <c r="K1055" t="s">
        <v>3727</v>
      </c>
      <c r="L1055" s="6" t="s">
        <v>1427</v>
      </c>
      <c r="M1055" s="6">
        <v>5</v>
      </c>
      <c r="N1055" s="6">
        <v>2</v>
      </c>
      <c r="O1055">
        <v>500</v>
      </c>
      <c r="P1055">
        <v>202605</v>
      </c>
      <c r="Q1055" t="s">
        <v>377</v>
      </c>
      <c r="R1055" t="s">
        <v>1353</v>
      </c>
      <c r="S1055">
        <f>Consulta1[[#This Row],[min_port]]/100</f>
        <v>1.41E-2</v>
      </c>
      <c r="T1055" s="252">
        <f>Consulta1[[#This Row],[TETO_COMERCIAL]]/100</f>
        <v>2.5000000000000001E-2</v>
      </c>
      <c r="U1055" t="b">
        <f>Consulta1[[#This Row],[TETO_COMERCIAL_%]]=Consulta1[[#This Row],[TAXA]]</f>
        <v>0</v>
      </c>
      <c r="V1055" t="str">
        <f>CONCATENATE(Consulta1[[#This Row],[MES_ALTERACAO]],Consulta1[[#This Row],[VIRADA]])</f>
        <v>2026055</v>
      </c>
      <c r="W1055">
        <f>VLOOKUP(Consulta1[[#This Row],[Coluna2]],CALENDARIO!$J:$K,2,FALSE)</f>
        <v>2</v>
      </c>
    </row>
    <row r="1056" spans="1:23" x14ac:dyDescent="0.25">
      <c r="A1056" t="s">
        <v>3715</v>
      </c>
      <c r="B1056" t="str">
        <f>CONCATENATE(Consulta1[[#This Row],[id]],Consulta1[[#This Row],[EMPREGADOR]])</f>
        <v xml:space="preserve">7PREF MESQUITA </v>
      </c>
      <c r="C1056" s="6">
        <f>IF(A1056=A1055,C1055+1,1)</f>
        <v>7</v>
      </c>
      <c r="D1056" t="s">
        <v>3728</v>
      </c>
      <c r="E1056" s="101">
        <v>2.0499999999999997E-2</v>
      </c>
      <c r="F1056" s="6">
        <v>120</v>
      </c>
      <c r="G1056" t="s">
        <v>1349</v>
      </c>
      <c r="H1056" s="82">
        <v>2.5</v>
      </c>
      <c r="I1056">
        <v>23</v>
      </c>
      <c r="K1056" t="s">
        <v>3729</v>
      </c>
      <c r="L1056" s="6" t="s">
        <v>1427</v>
      </c>
      <c r="M1056" s="6">
        <v>5</v>
      </c>
      <c r="N1056" s="6">
        <v>2</v>
      </c>
      <c r="O1056">
        <v>500</v>
      </c>
      <c r="P1056">
        <v>202605</v>
      </c>
      <c r="Q1056" t="s">
        <v>377</v>
      </c>
      <c r="R1056" t="s">
        <v>1353</v>
      </c>
      <c r="S1056">
        <f>Consulta1[[#This Row],[min_port]]/100</f>
        <v>1.41E-2</v>
      </c>
      <c r="T1056" s="252">
        <f>Consulta1[[#This Row],[TETO_COMERCIAL]]/100</f>
        <v>2.5000000000000001E-2</v>
      </c>
      <c r="U1056" t="b">
        <f>Consulta1[[#This Row],[TETO_COMERCIAL_%]]=Consulta1[[#This Row],[TAXA]]</f>
        <v>0</v>
      </c>
      <c r="V1056" t="str">
        <f>CONCATENATE(Consulta1[[#This Row],[MES_ALTERACAO]],Consulta1[[#This Row],[VIRADA]])</f>
        <v>2026055</v>
      </c>
      <c r="W1056">
        <f>VLOOKUP(Consulta1[[#This Row],[Coluna2]],CALENDARIO!$J:$K,2,FALSE)</f>
        <v>2</v>
      </c>
    </row>
    <row r="1057" spans="1:23" x14ac:dyDescent="0.25">
      <c r="A1057" t="s">
        <v>3715</v>
      </c>
      <c r="B1057" t="str">
        <f>CONCATENATE(Consulta1[[#This Row],[id]],Consulta1[[#This Row],[EMPREGADOR]])</f>
        <v xml:space="preserve">8PREF MESQUITA </v>
      </c>
      <c r="C1057" s="6">
        <f>IF(A1057=A1056,C1056+1,1)</f>
        <v>8</v>
      </c>
      <c r="D1057" t="s">
        <v>3730</v>
      </c>
      <c r="E1057" s="101">
        <v>0.02</v>
      </c>
      <c r="F1057" s="6">
        <v>120</v>
      </c>
      <c r="G1057" t="s">
        <v>1349</v>
      </c>
      <c r="H1057" s="82">
        <v>2.5</v>
      </c>
      <c r="I1057">
        <v>23</v>
      </c>
      <c r="K1057" t="s">
        <v>3731</v>
      </c>
      <c r="L1057" s="6" t="s">
        <v>1427</v>
      </c>
      <c r="M1057" s="6">
        <v>5</v>
      </c>
      <c r="N1057" s="6">
        <v>2</v>
      </c>
      <c r="O1057">
        <v>500</v>
      </c>
      <c r="P1057">
        <v>202605</v>
      </c>
      <c r="Q1057" t="s">
        <v>377</v>
      </c>
      <c r="R1057" t="s">
        <v>1353</v>
      </c>
      <c r="S1057">
        <f>Consulta1[[#This Row],[min_port]]/100</f>
        <v>1.41E-2</v>
      </c>
      <c r="T1057" s="252">
        <f>Consulta1[[#This Row],[TETO_COMERCIAL]]/100</f>
        <v>2.5000000000000001E-2</v>
      </c>
      <c r="U1057" t="b">
        <f>Consulta1[[#This Row],[TETO_COMERCIAL_%]]=Consulta1[[#This Row],[TAXA]]</f>
        <v>0</v>
      </c>
      <c r="V1057" t="str">
        <f>CONCATENATE(Consulta1[[#This Row],[MES_ALTERACAO]],Consulta1[[#This Row],[VIRADA]])</f>
        <v>2026055</v>
      </c>
      <c r="W1057">
        <f>VLOOKUP(Consulta1[[#This Row],[Coluna2]],CALENDARIO!$J:$K,2,FALSE)</f>
        <v>2</v>
      </c>
    </row>
    <row r="1058" spans="1:23" x14ac:dyDescent="0.25">
      <c r="A1058" t="s">
        <v>3715</v>
      </c>
      <c r="B1058" t="str">
        <f>CONCATENATE(Consulta1[[#This Row],[id]],Consulta1[[#This Row],[EMPREGADOR]])</f>
        <v xml:space="preserve">9PREF MESQUITA </v>
      </c>
      <c r="C1058" s="6">
        <f>IF(A1058=A1057,C1057+1,1)</f>
        <v>9</v>
      </c>
      <c r="D1058" t="s">
        <v>3732</v>
      </c>
      <c r="E1058" s="101">
        <v>1.95E-2</v>
      </c>
      <c r="F1058" s="6">
        <v>120</v>
      </c>
      <c r="G1058" t="s">
        <v>1349</v>
      </c>
      <c r="H1058" s="82">
        <v>2.5</v>
      </c>
      <c r="I1058">
        <v>23</v>
      </c>
      <c r="K1058" t="s">
        <v>3733</v>
      </c>
      <c r="L1058" s="6" t="s">
        <v>1427</v>
      </c>
      <c r="M1058" s="6">
        <v>5</v>
      </c>
      <c r="N1058" s="6">
        <v>2</v>
      </c>
      <c r="O1058">
        <v>500</v>
      </c>
      <c r="P1058">
        <v>202605</v>
      </c>
      <c r="Q1058" t="s">
        <v>377</v>
      </c>
      <c r="R1058" t="s">
        <v>1353</v>
      </c>
      <c r="S1058">
        <f>Consulta1[[#This Row],[min_port]]/100</f>
        <v>1.41E-2</v>
      </c>
      <c r="T1058" s="252">
        <f>Consulta1[[#This Row],[TETO_COMERCIAL]]/100</f>
        <v>2.5000000000000001E-2</v>
      </c>
      <c r="U1058" t="b">
        <f>Consulta1[[#This Row],[TETO_COMERCIAL_%]]=Consulta1[[#This Row],[TAXA]]</f>
        <v>0</v>
      </c>
      <c r="V1058" t="str">
        <f>CONCATENATE(Consulta1[[#This Row],[MES_ALTERACAO]],Consulta1[[#This Row],[VIRADA]])</f>
        <v>2026055</v>
      </c>
      <c r="W1058">
        <f>VLOOKUP(Consulta1[[#This Row],[Coluna2]],CALENDARIO!$J:$K,2,FALSE)</f>
        <v>2</v>
      </c>
    </row>
    <row r="1059" spans="1:23" x14ac:dyDescent="0.25">
      <c r="A1059" t="s">
        <v>3715</v>
      </c>
      <c r="B1059" t="str">
        <f>CONCATENATE(Consulta1[[#This Row],[id]],Consulta1[[#This Row],[EMPREGADOR]])</f>
        <v xml:space="preserve">10PREF MESQUITA </v>
      </c>
      <c r="C1059" s="6">
        <f>IF(A1059=A1058,C1058+1,1)</f>
        <v>10</v>
      </c>
      <c r="D1059" t="s">
        <v>3734</v>
      </c>
      <c r="E1059" s="101">
        <v>1.9E-2</v>
      </c>
      <c r="F1059" s="6">
        <v>120</v>
      </c>
      <c r="G1059" t="s">
        <v>1349</v>
      </c>
      <c r="H1059" s="82">
        <v>2.5</v>
      </c>
      <c r="I1059">
        <v>23</v>
      </c>
      <c r="J1059">
        <v>70</v>
      </c>
      <c r="K1059" t="s">
        <v>3735</v>
      </c>
      <c r="L1059" s="6" t="s">
        <v>1427</v>
      </c>
      <c r="M1059" s="6">
        <v>5</v>
      </c>
      <c r="N1059" s="6">
        <v>2</v>
      </c>
      <c r="O1059">
        <v>500</v>
      </c>
      <c r="P1059">
        <v>202605</v>
      </c>
      <c r="Q1059" t="s">
        <v>377</v>
      </c>
      <c r="R1059" t="s">
        <v>1353</v>
      </c>
      <c r="S1059">
        <f>Consulta1[[#This Row],[min_port]]/100</f>
        <v>1.41E-2</v>
      </c>
      <c r="T1059" s="252">
        <f>Consulta1[[#This Row],[TETO_COMERCIAL]]/100</f>
        <v>2.5000000000000001E-2</v>
      </c>
      <c r="U1059" t="b">
        <f>Consulta1[[#This Row],[TETO_COMERCIAL_%]]=Consulta1[[#This Row],[TAXA]]</f>
        <v>0</v>
      </c>
      <c r="V1059" t="str">
        <f>CONCATENATE(Consulta1[[#This Row],[MES_ALTERACAO]],Consulta1[[#This Row],[VIRADA]])</f>
        <v>2026055</v>
      </c>
      <c r="W1059">
        <f>VLOOKUP(Consulta1[[#This Row],[Coluna2]],CALENDARIO!$J:$K,2,FALSE)</f>
        <v>2</v>
      </c>
    </row>
    <row r="1060" spans="1:23" x14ac:dyDescent="0.25">
      <c r="A1060" t="s">
        <v>3715</v>
      </c>
      <c r="B1060" t="str">
        <f>CONCATENATE(Consulta1[[#This Row],[id]],Consulta1[[#This Row],[EMPREGADOR]])</f>
        <v xml:space="preserve">11PREF MESQUITA </v>
      </c>
      <c r="C1060" s="6">
        <f>IF(A1060=A1059,C1059+1,1)</f>
        <v>11</v>
      </c>
      <c r="D1060" t="s">
        <v>3736</v>
      </c>
      <c r="E1060" s="101">
        <v>1.8500000000000003E-2</v>
      </c>
      <c r="F1060" s="6">
        <v>120</v>
      </c>
      <c r="G1060" t="s">
        <v>1349</v>
      </c>
      <c r="H1060" s="82">
        <v>2.5</v>
      </c>
      <c r="I1060">
        <v>23</v>
      </c>
      <c r="K1060" t="s">
        <v>3737</v>
      </c>
      <c r="L1060" s="6" t="s">
        <v>1427</v>
      </c>
      <c r="M1060" s="6">
        <v>5</v>
      </c>
      <c r="N1060" s="6">
        <v>2</v>
      </c>
      <c r="O1060">
        <v>500</v>
      </c>
      <c r="P1060">
        <v>202605</v>
      </c>
      <c r="Q1060" t="s">
        <v>377</v>
      </c>
      <c r="R1060" t="s">
        <v>1353</v>
      </c>
      <c r="S1060">
        <f>Consulta1[[#This Row],[min_port]]/100</f>
        <v>1.41E-2</v>
      </c>
      <c r="T1060" s="252">
        <f>Consulta1[[#This Row],[TETO_COMERCIAL]]/100</f>
        <v>2.5000000000000001E-2</v>
      </c>
      <c r="U1060" t="b">
        <f>Consulta1[[#This Row],[TETO_COMERCIAL_%]]=Consulta1[[#This Row],[TAXA]]</f>
        <v>0</v>
      </c>
      <c r="V1060" t="str">
        <f>CONCATENATE(Consulta1[[#This Row],[MES_ALTERACAO]],Consulta1[[#This Row],[VIRADA]])</f>
        <v>2026055</v>
      </c>
      <c r="W1060">
        <f>VLOOKUP(Consulta1[[#This Row],[Coluna2]],CALENDARIO!$J:$K,2,FALSE)</f>
        <v>2</v>
      </c>
    </row>
    <row r="1061" spans="1:23" x14ac:dyDescent="0.25">
      <c r="A1061" t="s">
        <v>3715</v>
      </c>
      <c r="B1061" t="str">
        <f>CONCATENATE(Consulta1[[#This Row],[id]],Consulta1[[#This Row],[EMPREGADOR]])</f>
        <v xml:space="preserve">12PREF MESQUITA </v>
      </c>
      <c r="C1061" s="6">
        <f>IF(A1061=A1060,C1060+1,1)</f>
        <v>12</v>
      </c>
      <c r="D1061" t="s">
        <v>3738</v>
      </c>
      <c r="E1061" s="101">
        <v>1.8000000000000002E-2</v>
      </c>
      <c r="F1061" s="6">
        <v>120</v>
      </c>
      <c r="G1061" t="s">
        <v>1349</v>
      </c>
      <c r="H1061" s="82">
        <v>2.5</v>
      </c>
      <c r="I1061">
        <v>23</v>
      </c>
      <c r="K1061" t="s">
        <v>3739</v>
      </c>
      <c r="L1061" s="6" t="s">
        <v>1427</v>
      </c>
      <c r="M1061" s="6">
        <v>5</v>
      </c>
      <c r="N1061" s="6">
        <v>2</v>
      </c>
      <c r="O1061">
        <v>500</v>
      </c>
      <c r="P1061">
        <v>202605</v>
      </c>
      <c r="Q1061" t="s">
        <v>377</v>
      </c>
      <c r="R1061" t="s">
        <v>1353</v>
      </c>
      <c r="S1061">
        <f>Consulta1[[#This Row],[min_port]]/100</f>
        <v>1.41E-2</v>
      </c>
      <c r="T1061" s="252">
        <f>Consulta1[[#This Row],[TETO_COMERCIAL]]/100</f>
        <v>2.5000000000000001E-2</v>
      </c>
      <c r="U1061" t="b">
        <f>Consulta1[[#This Row],[TETO_COMERCIAL_%]]=Consulta1[[#This Row],[TAXA]]</f>
        <v>0</v>
      </c>
      <c r="V1061" t="str">
        <f>CONCATENATE(Consulta1[[#This Row],[MES_ALTERACAO]],Consulta1[[#This Row],[VIRADA]])</f>
        <v>2026055</v>
      </c>
      <c r="W1061">
        <f>VLOOKUP(Consulta1[[#This Row],[Coluna2]],CALENDARIO!$J:$K,2,FALSE)</f>
        <v>2</v>
      </c>
    </row>
    <row r="1062" spans="1:23" x14ac:dyDescent="0.25">
      <c r="A1062" t="s">
        <v>3715</v>
      </c>
      <c r="B1062" t="str">
        <f>CONCATENATE(Consulta1[[#This Row],[id]],Consulta1[[#This Row],[EMPREGADOR]])</f>
        <v xml:space="preserve">13PREF MESQUITA </v>
      </c>
      <c r="C1062" s="6">
        <f>IF(A1062=A1061,C1061+1,1)</f>
        <v>13</v>
      </c>
      <c r="D1062" t="s">
        <v>3740</v>
      </c>
      <c r="E1062" s="101">
        <v>1.7500000000000002E-2</v>
      </c>
      <c r="F1062" s="6">
        <v>120</v>
      </c>
      <c r="G1062" t="s">
        <v>1349</v>
      </c>
      <c r="H1062" s="82">
        <v>2.5</v>
      </c>
      <c r="I1062">
        <v>23</v>
      </c>
      <c r="K1062" t="s">
        <v>3741</v>
      </c>
      <c r="L1062" s="6" t="s">
        <v>1427</v>
      </c>
      <c r="M1062" s="6">
        <v>5</v>
      </c>
      <c r="N1062" s="6">
        <v>2</v>
      </c>
      <c r="O1062">
        <v>500</v>
      </c>
      <c r="P1062">
        <v>202605</v>
      </c>
      <c r="Q1062" t="s">
        <v>377</v>
      </c>
      <c r="R1062" t="s">
        <v>1353</v>
      </c>
      <c r="S1062">
        <f>Consulta1[[#This Row],[min_port]]/100</f>
        <v>1.41E-2</v>
      </c>
      <c r="T1062" s="252">
        <f>Consulta1[[#This Row],[TETO_COMERCIAL]]/100</f>
        <v>2.5000000000000001E-2</v>
      </c>
      <c r="U1062" t="b">
        <f>Consulta1[[#This Row],[TETO_COMERCIAL_%]]=Consulta1[[#This Row],[TAXA]]</f>
        <v>0</v>
      </c>
      <c r="V1062" t="str">
        <f>CONCATENATE(Consulta1[[#This Row],[MES_ALTERACAO]],Consulta1[[#This Row],[VIRADA]])</f>
        <v>2026055</v>
      </c>
      <c r="W1062">
        <f>VLOOKUP(Consulta1[[#This Row],[Coluna2]],CALENDARIO!$J:$K,2,FALSE)</f>
        <v>2</v>
      </c>
    </row>
    <row r="1063" spans="1:23" x14ac:dyDescent="0.25">
      <c r="A1063" t="s">
        <v>3715</v>
      </c>
      <c r="B1063" t="str">
        <f>CONCATENATE(Consulta1[[#This Row],[id]],Consulta1[[#This Row],[EMPREGADOR]])</f>
        <v xml:space="preserve">14PREF MESQUITA </v>
      </c>
      <c r="C1063" s="6">
        <f>IF(A1063=A1062,C1062+1,1)</f>
        <v>14</v>
      </c>
      <c r="D1063" t="s">
        <v>3742</v>
      </c>
      <c r="E1063" s="101">
        <v>1.7000000000000001E-2</v>
      </c>
      <c r="F1063" s="6">
        <v>120</v>
      </c>
      <c r="G1063" t="s">
        <v>1349</v>
      </c>
      <c r="H1063" s="82">
        <v>2.5</v>
      </c>
      <c r="I1063">
        <v>23</v>
      </c>
      <c r="J1063">
        <v>67</v>
      </c>
      <c r="K1063" t="s">
        <v>3743</v>
      </c>
      <c r="L1063" s="6" t="s">
        <v>1427</v>
      </c>
      <c r="M1063" s="6">
        <v>5</v>
      </c>
      <c r="N1063" s="6">
        <v>2</v>
      </c>
      <c r="O1063">
        <v>500</v>
      </c>
      <c r="P1063">
        <v>202605</v>
      </c>
      <c r="Q1063" t="s">
        <v>377</v>
      </c>
      <c r="R1063" t="s">
        <v>1353</v>
      </c>
      <c r="S1063">
        <f>Consulta1[[#This Row],[min_port]]/100</f>
        <v>1.41E-2</v>
      </c>
      <c r="T1063" s="252">
        <f>Consulta1[[#This Row],[TETO_COMERCIAL]]/100</f>
        <v>2.5000000000000001E-2</v>
      </c>
      <c r="U1063" t="b">
        <f>Consulta1[[#This Row],[TETO_COMERCIAL_%]]=Consulta1[[#This Row],[TAXA]]</f>
        <v>0</v>
      </c>
      <c r="V1063" t="str">
        <f>CONCATENATE(Consulta1[[#This Row],[MES_ALTERACAO]],Consulta1[[#This Row],[VIRADA]])</f>
        <v>2026055</v>
      </c>
      <c r="W1063">
        <f>VLOOKUP(Consulta1[[#This Row],[Coluna2]],CALENDARIO!$J:$K,2,FALSE)</f>
        <v>2</v>
      </c>
    </row>
    <row r="1064" spans="1:23" x14ac:dyDescent="0.25">
      <c r="A1064" t="s">
        <v>846</v>
      </c>
      <c r="B1064" t="str">
        <f>CONCATENATE(Consulta1[[#This Row],[id]],Consulta1[[#This Row],[EMPREGADOR]])</f>
        <v>1PREF MONTES CLA</v>
      </c>
      <c r="C1064" s="6">
        <f>IF(A1064=A1063,C1063+1,1)</f>
        <v>1</v>
      </c>
      <c r="D1064" t="s">
        <v>847</v>
      </c>
      <c r="E1064" s="101">
        <v>1.9900000000000001E-2</v>
      </c>
      <c r="F1064" s="6">
        <v>96</v>
      </c>
      <c r="G1064" t="s">
        <v>1349</v>
      </c>
      <c r="H1064" s="82">
        <v>1.99</v>
      </c>
      <c r="I1064">
        <v>17</v>
      </c>
      <c r="K1064" t="s">
        <v>1923</v>
      </c>
      <c r="L1064" s="6" t="s">
        <v>1374</v>
      </c>
      <c r="M1064" s="6">
        <v>16</v>
      </c>
      <c r="N1064" s="6">
        <v>2</v>
      </c>
      <c r="O1064">
        <v>500</v>
      </c>
      <c r="P1064">
        <v>202605</v>
      </c>
      <c r="Q1064" t="s">
        <v>377</v>
      </c>
      <c r="R1064" t="s">
        <v>1353</v>
      </c>
      <c r="S1064">
        <f>Consulta1[[#This Row],[min_port]]/100</f>
        <v>1.4999999999999999E-2</v>
      </c>
      <c r="T1064" s="252">
        <f>Consulta1[[#This Row],[TETO_COMERCIAL]]/100</f>
        <v>1.9900000000000001E-2</v>
      </c>
      <c r="U1064" t="b">
        <f>Consulta1[[#This Row],[TETO_COMERCIAL_%]]=Consulta1[[#This Row],[TAXA]]</f>
        <v>1</v>
      </c>
      <c r="V1064" t="str">
        <f>CONCATENATE(Consulta1[[#This Row],[MES_ALTERACAO]],Consulta1[[#This Row],[VIRADA]])</f>
        <v>20260516</v>
      </c>
      <c r="W1064">
        <f>VLOOKUP(Consulta1[[#This Row],[Coluna2]],CALENDARIO!$J:$K,2,FALSE)</f>
        <v>10</v>
      </c>
    </row>
    <row r="1065" spans="1:23" x14ac:dyDescent="0.25">
      <c r="A1065" t="s">
        <v>2640</v>
      </c>
      <c r="B1065" t="str">
        <f>CONCATENATE(Consulta1[[#This Row],[id]],Consulta1[[#This Row],[EMPREGADOR]])</f>
        <v>1PREF NOVA SERR</v>
      </c>
      <c r="C1065" s="6">
        <f>IF(A1065=A1064,C1064+1,1)</f>
        <v>1</v>
      </c>
      <c r="D1065" t="s">
        <v>2641</v>
      </c>
      <c r="E1065" s="101">
        <v>2.1000000000000001E-2</v>
      </c>
      <c r="F1065" s="6">
        <v>96</v>
      </c>
      <c r="G1065" t="s">
        <v>1349</v>
      </c>
      <c r="H1065" s="82">
        <v>2.5</v>
      </c>
      <c r="I1065">
        <v>16</v>
      </c>
      <c r="K1065" t="s">
        <v>2642</v>
      </c>
      <c r="L1065" s="6" t="s">
        <v>1409</v>
      </c>
      <c r="M1065" s="6">
        <v>10</v>
      </c>
      <c r="N1065" s="6">
        <v>2</v>
      </c>
      <c r="O1065">
        <v>500</v>
      </c>
      <c r="P1065">
        <v>202605</v>
      </c>
      <c r="Q1065" t="s">
        <v>377</v>
      </c>
      <c r="R1065" t="s">
        <v>1353</v>
      </c>
      <c r="S1065">
        <f>Consulta1[[#This Row],[min_port]]/100</f>
        <v>1.55E-2</v>
      </c>
      <c r="T1065" s="252">
        <f>Consulta1[[#This Row],[TETO_COMERCIAL]]/100</f>
        <v>2.5000000000000001E-2</v>
      </c>
      <c r="U1065" t="b">
        <f>Consulta1[[#This Row],[TETO_COMERCIAL_%]]=Consulta1[[#This Row],[TAXA]]</f>
        <v>0</v>
      </c>
      <c r="V1065" t="str">
        <f>CONCATENATE(Consulta1[[#This Row],[MES_ALTERACAO]],Consulta1[[#This Row],[VIRADA]])</f>
        <v>20260510</v>
      </c>
      <c r="W1065">
        <f>VLOOKUP(Consulta1[[#This Row],[Coluna2]],CALENDARIO!$J:$K,2,FALSE)</f>
        <v>5</v>
      </c>
    </row>
    <row r="1066" spans="1:23" x14ac:dyDescent="0.25">
      <c r="A1066" t="s">
        <v>2640</v>
      </c>
      <c r="B1066" t="str">
        <f>CONCATENATE(Consulta1[[#This Row],[id]],Consulta1[[#This Row],[EMPREGADOR]])</f>
        <v>2PREF NOVA SERR</v>
      </c>
      <c r="C1066" s="6">
        <f>IF(A1066=A1065,C1065+1,1)</f>
        <v>2</v>
      </c>
      <c r="D1066" t="s">
        <v>2643</v>
      </c>
      <c r="E1066" s="101">
        <v>2.0199999999999999E-2</v>
      </c>
      <c r="F1066" s="6">
        <v>96</v>
      </c>
      <c r="G1066" t="s">
        <v>1349</v>
      </c>
      <c r="H1066" s="82">
        <v>2.5</v>
      </c>
      <c r="I1066">
        <v>16</v>
      </c>
      <c r="K1066" t="s">
        <v>2644</v>
      </c>
      <c r="L1066" s="6" t="s">
        <v>1409</v>
      </c>
      <c r="M1066" s="6">
        <v>10</v>
      </c>
      <c r="N1066" s="6">
        <v>2</v>
      </c>
      <c r="O1066">
        <v>500</v>
      </c>
      <c r="P1066">
        <v>202605</v>
      </c>
      <c r="Q1066" t="s">
        <v>377</v>
      </c>
      <c r="R1066" t="s">
        <v>1353</v>
      </c>
      <c r="S1066">
        <f>Consulta1[[#This Row],[min_port]]/100</f>
        <v>1.55E-2</v>
      </c>
      <c r="T1066" s="252">
        <f>Consulta1[[#This Row],[TETO_COMERCIAL]]/100</f>
        <v>2.5000000000000001E-2</v>
      </c>
      <c r="U1066" t="b">
        <f>Consulta1[[#This Row],[TETO_COMERCIAL_%]]=Consulta1[[#This Row],[TAXA]]</f>
        <v>0</v>
      </c>
      <c r="V1066" t="str">
        <f>CONCATENATE(Consulta1[[#This Row],[MES_ALTERACAO]],Consulta1[[#This Row],[VIRADA]])</f>
        <v>20260510</v>
      </c>
      <c r="W1066">
        <f>VLOOKUP(Consulta1[[#This Row],[Coluna2]],CALENDARIO!$J:$K,2,FALSE)</f>
        <v>5</v>
      </c>
    </row>
    <row r="1067" spans="1:23" x14ac:dyDescent="0.25">
      <c r="A1067" t="s">
        <v>93</v>
      </c>
      <c r="B1067" t="str">
        <f>CONCATENATE(Consulta1[[#This Row],[id]],Consulta1[[#This Row],[EMPREGADOR]])</f>
        <v>1PREF OLINDA</v>
      </c>
      <c r="C1067" s="6">
        <f>IF(A1067=A1066,C1066+1,1)</f>
        <v>1</v>
      </c>
      <c r="D1067" t="s">
        <v>359</v>
      </c>
      <c r="E1067" s="101">
        <v>2.5000000000000001E-2</v>
      </c>
      <c r="F1067" s="6">
        <v>120</v>
      </c>
      <c r="G1067" t="s">
        <v>1349</v>
      </c>
      <c r="H1067" s="82">
        <v>2.5</v>
      </c>
      <c r="I1067">
        <v>20</v>
      </c>
      <c r="J1067">
        <v>51</v>
      </c>
      <c r="K1067" t="s">
        <v>1924</v>
      </c>
      <c r="L1067" s="6" t="s">
        <v>1925</v>
      </c>
      <c r="M1067" s="6">
        <v>10</v>
      </c>
      <c r="N1067" s="6">
        <v>2</v>
      </c>
      <c r="O1067">
        <v>500</v>
      </c>
      <c r="P1067">
        <v>202605</v>
      </c>
      <c r="Q1067" t="s">
        <v>378</v>
      </c>
      <c r="R1067" t="s">
        <v>1353</v>
      </c>
      <c r="S1067">
        <f>Consulta1[[#This Row],[min_port]]/100</f>
        <v>2.06E-2</v>
      </c>
      <c r="T1067" s="252">
        <f>Consulta1[[#This Row],[TETO_COMERCIAL]]/100</f>
        <v>2.5000000000000001E-2</v>
      </c>
      <c r="U1067" t="b">
        <f>Consulta1[[#This Row],[TETO_COMERCIAL_%]]=Consulta1[[#This Row],[TAXA]]</f>
        <v>1</v>
      </c>
      <c r="V1067" t="str">
        <f>CONCATENATE(Consulta1[[#This Row],[MES_ALTERACAO]],Consulta1[[#This Row],[VIRADA]])</f>
        <v>20260510</v>
      </c>
      <c r="W1067">
        <f>VLOOKUP(Consulta1[[#This Row],[Coluna2]],CALENDARIO!$J:$K,2,FALSE)</f>
        <v>5</v>
      </c>
    </row>
    <row r="1068" spans="1:23" x14ac:dyDescent="0.25">
      <c r="A1068" t="s">
        <v>93</v>
      </c>
      <c r="B1068" t="str">
        <f>CONCATENATE(Consulta1[[#This Row],[id]],Consulta1[[#This Row],[EMPREGADOR]])</f>
        <v>2PREF OLINDA</v>
      </c>
      <c r="C1068" s="6">
        <f>IF(A1068=A1067,C1067+1,1)</f>
        <v>2</v>
      </c>
      <c r="D1068" t="s">
        <v>616</v>
      </c>
      <c r="E1068" s="101">
        <v>2.35E-2</v>
      </c>
      <c r="F1068" s="6">
        <v>120</v>
      </c>
      <c r="G1068" t="s">
        <v>1349</v>
      </c>
      <c r="H1068" s="82">
        <v>2.5</v>
      </c>
      <c r="I1068">
        <v>20</v>
      </c>
      <c r="J1068">
        <v>51</v>
      </c>
      <c r="K1068" t="s">
        <v>1926</v>
      </c>
      <c r="L1068" s="6" t="s">
        <v>1925</v>
      </c>
      <c r="M1068" s="6">
        <v>10</v>
      </c>
      <c r="N1068" s="6">
        <v>2</v>
      </c>
      <c r="O1068">
        <v>500</v>
      </c>
      <c r="P1068">
        <v>202605</v>
      </c>
      <c r="Q1068" t="s">
        <v>378</v>
      </c>
      <c r="R1068" t="s">
        <v>1353</v>
      </c>
      <c r="S1068">
        <f>Consulta1[[#This Row],[min_port]]/100</f>
        <v>2.06E-2</v>
      </c>
      <c r="T1068" s="252">
        <f>Consulta1[[#This Row],[TETO_COMERCIAL]]/100</f>
        <v>2.5000000000000001E-2</v>
      </c>
      <c r="U1068" t="b">
        <f>Consulta1[[#This Row],[TETO_COMERCIAL_%]]=Consulta1[[#This Row],[TAXA]]</f>
        <v>0</v>
      </c>
      <c r="V1068" t="str">
        <f>CONCATENATE(Consulta1[[#This Row],[MES_ALTERACAO]],Consulta1[[#This Row],[VIRADA]])</f>
        <v>20260510</v>
      </c>
      <c r="W1068">
        <f>VLOOKUP(Consulta1[[#This Row],[Coluna2]],CALENDARIO!$J:$K,2,FALSE)</f>
        <v>5</v>
      </c>
    </row>
    <row r="1069" spans="1:23" x14ac:dyDescent="0.25">
      <c r="A1069" t="s">
        <v>3046</v>
      </c>
      <c r="B1069" t="str">
        <f>CONCATENATE(Consulta1[[#This Row],[id]],Consulta1[[#This Row],[EMPREGADOR]])</f>
        <v>1PREF OSASCO</v>
      </c>
      <c r="C1069" s="6">
        <f>IF(A1069=A1068,C1068+1,1)</f>
        <v>1</v>
      </c>
      <c r="D1069" t="s">
        <v>530</v>
      </c>
      <c r="E1069" s="101">
        <v>2.5000000000000001E-2</v>
      </c>
      <c r="F1069" s="6">
        <v>96</v>
      </c>
      <c r="G1069" t="s">
        <v>1349</v>
      </c>
      <c r="H1069" s="82">
        <v>2.5</v>
      </c>
      <c r="I1069">
        <v>10</v>
      </c>
      <c r="J1069">
        <v>33</v>
      </c>
      <c r="K1069" t="s">
        <v>1927</v>
      </c>
      <c r="L1069" s="6" t="s">
        <v>1616</v>
      </c>
      <c r="M1069" s="6">
        <v>15</v>
      </c>
      <c r="N1069" s="6">
        <v>2</v>
      </c>
      <c r="O1069">
        <v>500</v>
      </c>
      <c r="P1069">
        <v>202605</v>
      </c>
      <c r="Q1069" t="s">
        <v>378</v>
      </c>
      <c r="R1069" t="s">
        <v>1350</v>
      </c>
      <c r="S1069">
        <f>Consulta1[[#This Row],[min_port]]/100</f>
        <v>1.5900000000000001E-2</v>
      </c>
      <c r="T1069" s="252">
        <f>Consulta1[[#This Row],[TETO_COMERCIAL]]/100</f>
        <v>2.5000000000000001E-2</v>
      </c>
      <c r="U1069" t="b">
        <f>Consulta1[[#This Row],[TETO_COMERCIAL_%]]=Consulta1[[#This Row],[TAXA]]</f>
        <v>1</v>
      </c>
      <c r="V1069" t="str">
        <f>CONCATENATE(Consulta1[[#This Row],[MES_ALTERACAO]],Consulta1[[#This Row],[VIRADA]])</f>
        <v>20260515</v>
      </c>
      <c r="W1069">
        <f>VLOOKUP(Consulta1[[#This Row],[Coluna2]],CALENDARIO!$J:$K,2,FALSE)</f>
        <v>10</v>
      </c>
    </row>
    <row r="1070" spans="1:23" x14ac:dyDescent="0.25">
      <c r="A1070" t="s">
        <v>3046</v>
      </c>
      <c r="B1070" t="str">
        <f>CONCATENATE(Consulta1[[#This Row],[id]],Consulta1[[#This Row],[EMPREGADOR]])</f>
        <v>2PREF OSASCO</v>
      </c>
      <c r="C1070" s="6">
        <f>IF(A1070=A1069,C1069+1,1)</f>
        <v>2</v>
      </c>
      <c r="D1070" t="s">
        <v>531</v>
      </c>
      <c r="E1070" s="101">
        <v>2.3900000000000001E-2</v>
      </c>
      <c r="F1070" s="6">
        <v>96</v>
      </c>
      <c r="G1070" t="s">
        <v>1349</v>
      </c>
      <c r="H1070" s="82">
        <v>2.5</v>
      </c>
      <c r="I1070">
        <v>10</v>
      </c>
      <c r="J1070">
        <v>41</v>
      </c>
      <c r="K1070" t="s">
        <v>1928</v>
      </c>
      <c r="L1070" s="6" t="s">
        <v>1616</v>
      </c>
      <c r="M1070" s="6">
        <v>15</v>
      </c>
      <c r="N1070" s="6">
        <v>2</v>
      </c>
      <c r="O1070">
        <v>500</v>
      </c>
      <c r="P1070">
        <v>202605</v>
      </c>
      <c r="Q1070" t="s">
        <v>378</v>
      </c>
      <c r="R1070" t="s">
        <v>1350</v>
      </c>
      <c r="S1070">
        <f>Consulta1[[#This Row],[min_port]]/100</f>
        <v>1.5900000000000001E-2</v>
      </c>
      <c r="T1070" s="252">
        <f>Consulta1[[#This Row],[TETO_COMERCIAL]]/100</f>
        <v>2.5000000000000001E-2</v>
      </c>
      <c r="U1070" t="b">
        <f>Consulta1[[#This Row],[TETO_COMERCIAL_%]]=Consulta1[[#This Row],[TAXA]]</f>
        <v>0</v>
      </c>
      <c r="V1070" t="str">
        <f>CONCATENATE(Consulta1[[#This Row],[MES_ALTERACAO]],Consulta1[[#This Row],[VIRADA]])</f>
        <v>20260515</v>
      </c>
      <c r="W1070">
        <f>VLOOKUP(Consulta1[[#This Row],[Coluna2]],CALENDARIO!$J:$K,2,FALSE)</f>
        <v>10</v>
      </c>
    </row>
    <row r="1071" spans="1:23" x14ac:dyDescent="0.25">
      <c r="A1071" t="s">
        <v>3046</v>
      </c>
      <c r="B1071" t="str">
        <f>CONCATENATE(Consulta1[[#This Row],[id]],Consulta1[[#This Row],[EMPREGADOR]])</f>
        <v>3PREF OSASCO</v>
      </c>
      <c r="C1071" s="6">
        <f>IF(A1071=A1070,C1070+1,1)</f>
        <v>3</v>
      </c>
      <c r="D1071" t="s">
        <v>532</v>
      </c>
      <c r="E1071" s="101">
        <v>2.29E-2</v>
      </c>
      <c r="F1071" s="6">
        <v>96</v>
      </c>
      <c r="G1071" t="s">
        <v>1349</v>
      </c>
      <c r="H1071" s="82">
        <v>2.5</v>
      </c>
      <c r="I1071">
        <v>10</v>
      </c>
      <c r="J1071">
        <v>40</v>
      </c>
      <c r="K1071" t="s">
        <v>1929</v>
      </c>
      <c r="L1071" s="6" t="s">
        <v>1616</v>
      </c>
      <c r="M1071" s="6">
        <v>15</v>
      </c>
      <c r="N1071" s="6">
        <v>2</v>
      </c>
      <c r="O1071">
        <v>500</v>
      </c>
      <c r="P1071">
        <v>202605</v>
      </c>
      <c r="Q1071" t="s">
        <v>378</v>
      </c>
      <c r="R1071" t="s">
        <v>1350</v>
      </c>
      <c r="S1071">
        <f>Consulta1[[#This Row],[min_port]]/100</f>
        <v>1.5900000000000001E-2</v>
      </c>
      <c r="T1071" s="252">
        <f>Consulta1[[#This Row],[TETO_COMERCIAL]]/100</f>
        <v>2.5000000000000001E-2</v>
      </c>
      <c r="U1071" t="b">
        <f>Consulta1[[#This Row],[TETO_COMERCIAL_%]]=Consulta1[[#This Row],[TAXA]]</f>
        <v>0</v>
      </c>
      <c r="V1071" t="str">
        <f>CONCATENATE(Consulta1[[#This Row],[MES_ALTERACAO]],Consulta1[[#This Row],[VIRADA]])</f>
        <v>20260515</v>
      </c>
      <c r="W1071">
        <f>VLOOKUP(Consulta1[[#This Row],[Coluna2]],CALENDARIO!$J:$K,2,FALSE)</f>
        <v>10</v>
      </c>
    </row>
    <row r="1072" spans="1:23" x14ac:dyDescent="0.25">
      <c r="A1072" t="s">
        <v>3046</v>
      </c>
      <c r="B1072" t="str">
        <f>CONCATENATE(Consulta1[[#This Row],[id]],Consulta1[[#This Row],[EMPREGADOR]])</f>
        <v>4PREF OSASCO</v>
      </c>
      <c r="C1072" s="6">
        <f>IF(A1072=A1071,C1071+1,1)</f>
        <v>4</v>
      </c>
      <c r="D1072" t="s">
        <v>533</v>
      </c>
      <c r="E1072" s="101">
        <v>2.1899999999999999E-2</v>
      </c>
      <c r="F1072" s="6">
        <v>96</v>
      </c>
      <c r="G1072" t="s">
        <v>1349</v>
      </c>
      <c r="H1072" s="82">
        <v>2.5</v>
      </c>
      <c r="I1072">
        <v>10</v>
      </c>
      <c r="J1072">
        <v>52</v>
      </c>
      <c r="K1072" t="s">
        <v>1930</v>
      </c>
      <c r="L1072" s="6" t="s">
        <v>1616</v>
      </c>
      <c r="M1072" s="6">
        <v>15</v>
      </c>
      <c r="N1072" s="6">
        <v>2</v>
      </c>
      <c r="O1072">
        <v>500</v>
      </c>
      <c r="P1072">
        <v>202605</v>
      </c>
      <c r="Q1072" t="s">
        <v>378</v>
      </c>
      <c r="R1072" t="s">
        <v>1350</v>
      </c>
      <c r="S1072">
        <f>Consulta1[[#This Row],[min_port]]/100</f>
        <v>1.5900000000000001E-2</v>
      </c>
      <c r="T1072" s="252">
        <f>Consulta1[[#This Row],[TETO_COMERCIAL]]/100</f>
        <v>2.5000000000000001E-2</v>
      </c>
      <c r="U1072" t="b">
        <f>Consulta1[[#This Row],[TETO_COMERCIAL_%]]=Consulta1[[#This Row],[TAXA]]</f>
        <v>0</v>
      </c>
      <c r="V1072" t="str">
        <f>CONCATENATE(Consulta1[[#This Row],[MES_ALTERACAO]],Consulta1[[#This Row],[VIRADA]])</f>
        <v>20260515</v>
      </c>
      <c r="W1072">
        <f>VLOOKUP(Consulta1[[#This Row],[Coluna2]],CALENDARIO!$J:$K,2,FALSE)</f>
        <v>10</v>
      </c>
    </row>
    <row r="1073" spans="1:23" x14ac:dyDescent="0.25">
      <c r="A1073" t="s">
        <v>3046</v>
      </c>
      <c r="B1073" t="str">
        <f>CONCATENATE(Consulta1[[#This Row],[id]],Consulta1[[#This Row],[EMPREGADOR]])</f>
        <v>5PREF OSASCO</v>
      </c>
      <c r="C1073" s="6">
        <f>IF(A1073=A1072,C1072+1,1)</f>
        <v>5</v>
      </c>
      <c r="D1073" t="s">
        <v>886</v>
      </c>
      <c r="E1073" s="101">
        <v>2.0899999999999998E-2</v>
      </c>
      <c r="F1073" s="6">
        <v>96</v>
      </c>
      <c r="G1073" t="s">
        <v>1349</v>
      </c>
      <c r="H1073" s="82">
        <v>2.5</v>
      </c>
      <c r="I1073">
        <v>10</v>
      </c>
      <c r="J1073">
        <v>42</v>
      </c>
      <c r="K1073" t="s">
        <v>1931</v>
      </c>
      <c r="L1073" s="6" t="s">
        <v>1616</v>
      </c>
      <c r="M1073" s="6">
        <v>15</v>
      </c>
      <c r="N1073" s="6">
        <v>2</v>
      </c>
      <c r="O1073">
        <v>500</v>
      </c>
      <c r="P1073">
        <v>202605</v>
      </c>
      <c r="Q1073" t="s">
        <v>378</v>
      </c>
      <c r="R1073" t="s">
        <v>1350</v>
      </c>
      <c r="S1073">
        <f>Consulta1[[#This Row],[min_port]]/100</f>
        <v>1.5900000000000001E-2</v>
      </c>
      <c r="T1073" s="252">
        <f>Consulta1[[#This Row],[TETO_COMERCIAL]]/100</f>
        <v>2.5000000000000001E-2</v>
      </c>
      <c r="U1073" t="b">
        <f>Consulta1[[#This Row],[TETO_COMERCIAL_%]]=Consulta1[[#This Row],[TAXA]]</f>
        <v>0</v>
      </c>
      <c r="V1073" t="str">
        <f>CONCATENATE(Consulta1[[#This Row],[MES_ALTERACAO]],Consulta1[[#This Row],[VIRADA]])</f>
        <v>20260515</v>
      </c>
      <c r="W1073">
        <f>VLOOKUP(Consulta1[[#This Row],[Coluna2]],CALENDARIO!$J:$K,2,FALSE)</f>
        <v>10</v>
      </c>
    </row>
    <row r="1074" spans="1:23" x14ac:dyDescent="0.25">
      <c r="A1074" t="s">
        <v>3046</v>
      </c>
      <c r="B1074" t="str">
        <f>CONCATENATE(Consulta1[[#This Row],[id]],Consulta1[[#This Row],[EMPREGADOR]])</f>
        <v>6PREF OSASCO</v>
      </c>
      <c r="C1074" s="6">
        <f>IF(A1074=A1073,C1073+1,1)</f>
        <v>6</v>
      </c>
      <c r="D1074" t="s">
        <v>887</v>
      </c>
      <c r="E1074" s="101">
        <v>1.9900000000000001E-2</v>
      </c>
      <c r="F1074" s="6">
        <v>96</v>
      </c>
      <c r="G1074" t="s">
        <v>1349</v>
      </c>
      <c r="H1074" s="82">
        <v>2.5</v>
      </c>
      <c r="I1074">
        <v>10</v>
      </c>
      <c r="J1074">
        <v>40</v>
      </c>
      <c r="K1074" t="s">
        <v>1932</v>
      </c>
      <c r="L1074" s="6" t="s">
        <v>1616</v>
      </c>
      <c r="M1074" s="6">
        <v>15</v>
      </c>
      <c r="N1074" s="6">
        <v>2</v>
      </c>
      <c r="O1074">
        <v>500</v>
      </c>
      <c r="P1074">
        <v>202605</v>
      </c>
      <c r="Q1074" t="s">
        <v>378</v>
      </c>
      <c r="R1074" t="s">
        <v>1350</v>
      </c>
      <c r="S1074">
        <f>Consulta1[[#This Row],[min_port]]/100</f>
        <v>1.5900000000000001E-2</v>
      </c>
      <c r="T1074" s="252">
        <f>Consulta1[[#This Row],[TETO_COMERCIAL]]/100</f>
        <v>2.5000000000000001E-2</v>
      </c>
      <c r="U1074" t="b">
        <f>Consulta1[[#This Row],[TETO_COMERCIAL_%]]=Consulta1[[#This Row],[TAXA]]</f>
        <v>0</v>
      </c>
      <c r="V1074" t="str">
        <f>CONCATENATE(Consulta1[[#This Row],[MES_ALTERACAO]],Consulta1[[#This Row],[VIRADA]])</f>
        <v>20260515</v>
      </c>
      <c r="W1074">
        <f>VLOOKUP(Consulta1[[#This Row],[Coluna2]],CALENDARIO!$J:$K,2,FALSE)</f>
        <v>10</v>
      </c>
    </row>
    <row r="1075" spans="1:23" x14ac:dyDescent="0.25">
      <c r="A1075" t="s">
        <v>508</v>
      </c>
      <c r="B1075" t="str">
        <f>CONCATENATE(Consulta1[[#This Row],[id]],Consulta1[[#This Row],[EMPREGADOR]])</f>
        <v>1PREF P ALEGRE</v>
      </c>
      <c r="C1075" s="6">
        <f>IF(A1075=A1074,C1074+1,1)</f>
        <v>1</v>
      </c>
      <c r="D1075" t="s">
        <v>617</v>
      </c>
      <c r="E1075" s="101">
        <v>2.5000000000000001E-2</v>
      </c>
      <c r="F1075" s="6">
        <v>120</v>
      </c>
      <c r="G1075" t="s">
        <v>1349</v>
      </c>
      <c r="H1075" s="82">
        <v>2.5</v>
      </c>
      <c r="I1075">
        <v>16</v>
      </c>
      <c r="J1075">
        <v>42</v>
      </c>
      <c r="K1075" t="s">
        <v>1933</v>
      </c>
      <c r="L1075" s="6" t="s">
        <v>1416</v>
      </c>
      <c r="M1075" s="6">
        <v>9</v>
      </c>
      <c r="N1075" s="6">
        <v>2</v>
      </c>
      <c r="O1075">
        <v>500</v>
      </c>
      <c r="P1075">
        <v>202605</v>
      </c>
      <c r="Q1075" t="s">
        <v>378</v>
      </c>
      <c r="R1075" t="s">
        <v>1353</v>
      </c>
      <c r="S1075">
        <f>Consulta1[[#This Row],[min_port]]/100</f>
        <v>1.38E-2</v>
      </c>
      <c r="T1075" s="252">
        <f>Consulta1[[#This Row],[TETO_COMERCIAL]]/100</f>
        <v>2.5000000000000001E-2</v>
      </c>
      <c r="U1075" t="b">
        <f>Consulta1[[#This Row],[TETO_COMERCIAL_%]]=Consulta1[[#This Row],[TAXA]]</f>
        <v>1</v>
      </c>
      <c r="V1075" t="str">
        <f>CONCATENATE(Consulta1[[#This Row],[MES_ALTERACAO]],Consulta1[[#This Row],[VIRADA]])</f>
        <v>2026059</v>
      </c>
      <c r="W1075">
        <f>VLOOKUP(Consulta1[[#This Row],[Coluna2]],CALENDARIO!$J:$K,2,FALSE)</f>
        <v>5</v>
      </c>
    </row>
    <row r="1076" spans="1:23" x14ac:dyDescent="0.25">
      <c r="A1076" t="s">
        <v>508</v>
      </c>
      <c r="B1076" t="str">
        <f>CONCATENATE(Consulta1[[#This Row],[id]],Consulta1[[#This Row],[EMPREGADOR]])</f>
        <v>2PREF P ALEGRE</v>
      </c>
      <c r="C1076" s="6">
        <f>IF(A1076=A1075,C1075+1,1)</f>
        <v>2</v>
      </c>
      <c r="D1076" t="s">
        <v>618</v>
      </c>
      <c r="E1076" s="101">
        <v>1.9E-2</v>
      </c>
      <c r="F1076" s="6">
        <v>120</v>
      </c>
      <c r="G1076" t="s">
        <v>1349</v>
      </c>
      <c r="H1076" s="82">
        <v>2.5</v>
      </c>
      <c r="I1076">
        <v>16</v>
      </c>
      <c r="J1076">
        <v>42</v>
      </c>
      <c r="K1076" t="s">
        <v>1934</v>
      </c>
      <c r="L1076" s="6" t="s">
        <v>1416</v>
      </c>
      <c r="M1076" s="6">
        <v>9</v>
      </c>
      <c r="N1076" s="6">
        <v>2</v>
      </c>
      <c r="O1076">
        <v>500</v>
      </c>
      <c r="P1076">
        <v>202605</v>
      </c>
      <c r="Q1076" t="s">
        <v>378</v>
      </c>
      <c r="R1076" t="s">
        <v>1353</v>
      </c>
      <c r="S1076">
        <f>Consulta1[[#This Row],[min_port]]/100</f>
        <v>1.38E-2</v>
      </c>
      <c r="T1076" s="252">
        <f>Consulta1[[#This Row],[TETO_COMERCIAL]]/100</f>
        <v>2.5000000000000001E-2</v>
      </c>
      <c r="U1076" t="b">
        <f>Consulta1[[#This Row],[TETO_COMERCIAL_%]]=Consulta1[[#This Row],[TAXA]]</f>
        <v>0</v>
      </c>
      <c r="V1076" t="str">
        <f>CONCATENATE(Consulta1[[#This Row],[MES_ALTERACAO]],Consulta1[[#This Row],[VIRADA]])</f>
        <v>2026059</v>
      </c>
      <c r="W1076">
        <f>VLOOKUP(Consulta1[[#This Row],[Coluna2]],CALENDARIO!$J:$K,2,FALSE)</f>
        <v>5</v>
      </c>
    </row>
    <row r="1077" spans="1:23" x14ac:dyDescent="0.25">
      <c r="A1077" t="s">
        <v>508</v>
      </c>
      <c r="B1077" t="str">
        <f>CONCATENATE(Consulta1[[#This Row],[id]],Consulta1[[#This Row],[EMPREGADOR]])</f>
        <v>3PREF P ALEGRE</v>
      </c>
      <c r="C1077" s="6">
        <f>IF(A1077=A1076,C1076+1,1)</f>
        <v>3</v>
      </c>
      <c r="D1077" t="s">
        <v>619</v>
      </c>
      <c r="E1077" s="101">
        <v>1.8000000000000002E-2</v>
      </c>
      <c r="F1077" s="6">
        <v>120</v>
      </c>
      <c r="G1077" t="s">
        <v>1349</v>
      </c>
      <c r="H1077" s="82">
        <v>2.5</v>
      </c>
      <c r="I1077">
        <v>16</v>
      </c>
      <c r="J1077">
        <v>42</v>
      </c>
      <c r="K1077" t="s">
        <v>1935</v>
      </c>
      <c r="L1077" s="6" t="s">
        <v>1416</v>
      </c>
      <c r="M1077" s="6">
        <v>9</v>
      </c>
      <c r="N1077" s="6">
        <v>2</v>
      </c>
      <c r="O1077">
        <v>500</v>
      </c>
      <c r="P1077">
        <v>202605</v>
      </c>
      <c r="Q1077" t="s">
        <v>378</v>
      </c>
      <c r="R1077" t="s">
        <v>1353</v>
      </c>
      <c r="S1077">
        <f>Consulta1[[#This Row],[min_port]]/100</f>
        <v>1.38E-2</v>
      </c>
      <c r="T1077" s="252">
        <f>Consulta1[[#This Row],[TETO_COMERCIAL]]/100</f>
        <v>2.5000000000000001E-2</v>
      </c>
      <c r="U1077" t="b">
        <f>Consulta1[[#This Row],[TETO_COMERCIAL_%]]=Consulta1[[#This Row],[TAXA]]</f>
        <v>0</v>
      </c>
      <c r="V1077" t="str">
        <f>CONCATENATE(Consulta1[[#This Row],[MES_ALTERACAO]],Consulta1[[#This Row],[VIRADA]])</f>
        <v>2026059</v>
      </c>
      <c r="W1077">
        <f>VLOOKUP(Consulta1[[#This Row],[Coluna2]],CALENDARIO!$J:$K,2,FALSE)</f>
        <v>5</v>
      </c>
    </row>
    <row r="1078" spans="1:23" x14ac:dyDescent="0.25">
      <c r="A1078" t="s">
        <v>508</v>
      </c>
      <c r="B1078" t="str">
        <f>CONCATENATE(Consulta1[[#This Row],[id]],Consulta1[[#This Row],[EMPREGADOR]])</f>
        <v>4PREF P ALEGRE</v>
      </c>
      <c r="C1078" s="6">
        <f>IF(A1078=A1077,C1077+1,1)</f>
        <v>4</v>
      </c>
      <c r="D1078" t="s">
        <v>620</v>
      </c>
      <c r="E1078" s="101">
        <v>1.66E-2</v>
      </c>
      <c r="F1078" s="6">
        <v>120</v>
      </c>
      <c r="G1078" t="s">
        <v>1349</v>
      </c>
      <c r="H1078" s="82">
        <v>2.5</v>
      </c>
      <c r="I1078">
        <v>16</v>
      </c>
      <c r="J1078">
        <v>42</v>
      </c>
      <c r="K1078" t="s">
        <v>1936</v>
      </c>
      <c r="L1078" s="6" t="s">
        <v>1416</v>
      </c>
      <c r="M1078" s="6">
        <v>9</v>
      </c>
      <c r="N1078" s="6">
        <v>2</v>
      </c>
      <c r="O1078">
        <v>500</v>
      </c>
      <c r="P1078">
        <v>202605</v>
      </c>
      <c r="Q1078" t="s">
        <v>378</v>
      </c>
      <c r="R1078" t="s">
        <v>1353</v>
      </c>
      <c r="S1078">
        <f>Consulta1[[#This Row],[min_port]]/100</f>
        <v>1.38E-2</v>
      </c>
      <c r="T1078" s="252">
        <f>Consulta1[[#This Row],[TETO_COMERCIAL]]/100</f>
        <v>2.5000000000000001E-2</v>
      </c>
      <c r="U1078" t="b">
        <f>Consulta1[[#This Row],[TETO_COMERCIAL_%]]=Consulta1[[#This Row],[TAXA]]</f>
        <v>0</v>
      </c>
      <c r="V1078" t="str">
        <f>CONCATENATE(Consulta1[[#This Row],[MES_ALTERACAO]],Consulta1[[#This Row],[VIRADA]])</f>
        <v>2026059</v>
      </c>
      <c r="W1078">
        <f>VLOOKUP(Consulta1[[#This Row],[Coluna2]],CALENDARIO!$J:$K,2,FALSE)</f>
        <v>5</v>
      </c>
    </row>
    <row r="1079" spans="1:23" x14ac:dyDescent="0.25">
      <c r="A1079" t="s">
        <v>1301</v>
      </c>
      <c r="B1079" t="str">
        <f>CONCATENATE(Consulta1[[#This Row],[id]],Consulta1[[#This Row],[EMPREGADOR]])</f>
        <v>1PREF PALHOÇA</v>
      </c>
      <c r="C1079" s="6">
        <f>IF(A1079=A1078,C1078+1,1)</f>
        <v>1</v>
      </c>
      <c r="D1079" t="s">
        <v>1316</v>
      </c>
      <c r="E1079" s="101">
        <v>2.5000000000000001E-2</v>
      </c>
      <c r="F1079" s="6">
        <v>120</v>
      </c>
      <c r="G1079" t="s">
        <v>1349</v>
      </c>
      <c r="H1079" s="82">
        <v>2.5</v>
      </c>
      <c r="I1079">
        <v>19</v>
      </c>
      <c r="K1079" t="s">
        <v>1937</v>
      </c>
      <c r="L1079" s="6" t="s">
        <v>1381</v>
      </c>
      <c r="M1079" s="6">
        <v>15</v>
      </c>
      <c r="N1079" s="6">
        <v>2</v>
      </c>
      <c r="O1079">
        <v>500</v>
      </c>
      <c r="P1079">
        <v>202605</v>
      </c>
      <c r="Q1079" t="s">
        <v>377</v>
      </c>
      <c r="R1079" t="s">
        <v>1353</v>
      </c>
      <c r="S1079">
        <f>Consulta1[[#This Row],[min_port]]/100</f>
        <v>1.3999999999999999E-2</v>
      </c>
      <c r="T1079" s="252">
        <f>Consulta1[[#This Row],[TETO_COMERCIAL]]/100</f>
        <v>2.5000000000000001E-2</v>
      </c>
      <c r="U1079" t="b">
        <f>Consulta1[[#This Row],[TETO_COMERCIAL_%]]=Consulta1[[#This Row],[TAXA]]</f>
        <v>1</v>
      </c>
      <c r="V1079" t="str">
        <f>CONCATENATE(Consulta1[[#This Row],[MES_ALTERACAO]],Consulta1[[#This Row],[VIRADA]])</f>
        <v>20260515</v>
      </c>
      <c r="W1079">
        <f>VLOOKUP(Consulta1[[#This Row],[Coluna2]],CALENDARIO!$J:$K,2,FALSE)</f>
        <v>10</v>
      </c>
    </row>
    <row r="1080" spans="1:23" x14ac:dyDescent="0.25">
      <c r="A1080" t="s">
        <v>1301</v>
      </c>
      <c r="B1080" t="str">
        <f>CONCATENATE(Consulta1[[#This Row],[id]],Consulta1[[#This Row],[EMPREGADOR]])</f>
        <v>2PREF PALHOÇA</v>
      </c>
      <c r="C1080" s="6">
        <f>IF(A1080=A1079,C1079+1,1)</f>
        <v>2</v>
      </c>
      <c r="D1080" t="s">
        <v>1317</v>
      </c>
      <c r="E1080" s="101">
        <v>2.2000000000000002E-2</v>
      </c>
      <c r="F1080" s="6">
        <v>120</v>
      </c>
      <c r="G1080" t="s">
        <v>1349</v>
      </c>
      <c r="H1080" s="82">
        <v>2.5</v>
      </c>
      <c r="I1080">
        <v>19</v>
      </c>
      <c r="J1080">
        <v>36</v>
      </c>
      <c r="K1080" t="s">
        <v>1938</v>
      </c>
      <c r="L1080" s="6" t="s">
        <v>1381</v>
      </c>
      <c r="M1080" s="6">
        <v>15</v>
      </c>
      <c r="N1080" s="6">
        <v>2</v>
      </c>
      <c r="O1080">
        <v>500</v>
      </c>
      <c r="P1080">
        <v>202605</v>
      </c>
      <c r="Q1080" t="s">
        <v>377</v>
      </c>
      <c r="R1080" t="s">
        <v>1353</v>
      </c>
      <c r="S1080">
        <f>Consulta1[[#This Row],[min_port]]/100</f>
        <v>1.3999999999999999E-2</v>
      </c>
      <c r="T1080" s="252">
        <f>Consulta1[[#This Row],[TETO_COMERCIAL]]/100</f>
        <v>2.5000000000000001E-2</v>
      </c>
      <c r="U1080" t="b">
        <f>Consulta1[[#This Row],[TETO_COMERCIAL_%]]=Consulta1[[#This Row],[TAXA]]</f>
        <v>0</v>
      </c>
      <c r="V1080" t="str">
        <f>CONCATENATE(Consulta1[[#This Row],[MES_ALTERACAO]],Consulta1[[#This Row],[VIRADA]])</f>
        <v>20260515</v>
      </c>
      <c r="W1080">
        <f>VLOOKUP(Consulta1[[#This Row],[Coluna2]],CALENDARIO!$J:$K,2,FALSE)</f>
        <v>10</v>
      </c>
    </row>
    <row r="1081" spans="1:23" x14ac:dyDescent="0.25">
      <c r="A1081" t="s">
        <v>1301</v>
      </c>
      <c r="B1081" t="str">
        <f>CONCATENATE(Consulta1[[#This Row],[id]],Consulta1[[#This Row],[EMPREGADOR]])</f>
        <v>3PREF PALHOÇA</v>
      </c>
      <c r="C1081" s="6">
        <f>IF(A1081=A1080,C1080+1,1)</f>
        <v>3</v>
      </c>
      <c r="D1081" t="s">
        <v>1318</v>
      </c>
      <c r="E1081" s="101">
        <v>2.1000000000000001E-2</v>
      </c>
      <c r="F1081" s="6">
        <v>120</v>
      </c>
      <c r="G1081" t="s">
        <v>1349</v>
      </c>
      <c r="H1081" s="82">
        <v>2.5</v>
      </c>
      <c r="I1081">
        <v>19</v>
      </c>
      <c r="K1081" t="s">
        <v>1939</v>
      </c>
      <c r="L1081" s="6" t="s">
        <v>1381</v>
      </c>
      <c r="M1081" s="6">
        <v>15</v>
      </c>
      <c r="N1081" s="6">
        <v>2</v>
      </c>
      <c r="O1081">
        <v>500</v>
      </c>
      <c r="P1081">
        <v>202605</v>
      </c>
      <c r="Q1081" t="s">
        <v>377</v>
      </c>
      <c r="R1081" t="s">
        <v>1353</v>
      </c>
      <c r="S1081">
        <f>Consulta1[[#This Row],[min_port]]/100</f>
        <v>1.3999999999999999E-2</v>
      </c>
      <c r="T1081" s="252">
        <f>Consulta1[[#This Row],[TETO_COMERCIAL]]/100</f>
        <v>2.5000000000000001E-2</v>
      </c>
      <c r="U1081" t="b">
        <f>Consulta1[[#This Row],[TETO_COMERCIAL_%]]=Consulta1[[#This Row],[TAXA]]</f>
        <v>0</v>
      </c>
      <c r="V1081" t="str">
        <f>CONCATENATE(Consulta1[[#This Row],[MES_ALTERACAO]],Consulta1[[#This Row],[VIRADA]])</f>
        <v>20260515</v>
      </c>
      <c r="W1081">
        <f>VLOOKUP(Consulta1[[#This Row],[Coluna2]],CALENDARIO!$J:$K,2,FALSE)</f>
        <v>10</v>
      </c>
    </row>
    <row r="1082" spans="1:23" x14ac:dyDescent="0.25">
      <c r="A1082" t="s">
        <v>1301</v>
      </c>
      <c r="B1082" t="str">
        <f>CONCATENATE(Consulta1[[#This Row],[id]],Consulta1[[#This Row],[EMPREGADOR]])</f>
        <v>4PREF PALHOÇA</v>
      </c>
      <c r="C1082" s="6">
        <f>IF(A1082=A1081,C1081+1,1)</f>
        <v>4</v>
      </c>
      <c r="D1082" t="s">
        <v>1319</v>
      </c>
      <c r="E1082" s="101">
        <v>0.02</v>
      </c>
      <c r="F1082" s="6">
        <v>120</v>
      </c>
      <c r="G1082" t="s">
        <v>1349</v>
      </c>
      <c r="H1082" s="82">
        <v>2.5</v>
      </c>
      <c r="I1082">
        <v>19</v>
      </c>
      <c r="K1082" t="s">
        <v>1940</v>
      </c>
      <c r="L1082" s="6" t="s">
        <v>1381</v>
      </c>
      <c r="M1082" s="6">
        <v>15</v>
      </c>
      <c r="N1082" s="6">
        <v>2</v>
      </c>
      <c r="O1082">
        <v>500</v>
      </c>
      <c r="P1082">
        <v>202605</v>
      </c>
      <c r="Q1082" t="s">
        <v>377</v>
      </c>
      <c r="R1082" t="s">
        <v>1353</v>
      </c>
      <c r="S1082">
        <f>Consulta1[[#This Row],[min_port]]/100</f>
        <v>1.3999999999999999E-2</v>
      </c>
      <c r="T1082" s="252">
        <f>Consulta1[[#This Row],[TETO_COMERCIAL]]/100</f>
        <v>2.5000000000000001E-2</v>
      </c>
      <c r="U1082" t="b">
        <f>Consulta1[[#This Row],[TETO_COMERCIAL_%]]=Consulta1[[#This Row],[TAXA]]</f>
        <v>0</v>
      </c>
      <c r="V1082" t="str">
        <f>CONCATENATE(Consulta1[[#This Row],[MES_ALTERACAO]],Consulta1[[#This Row],[VIRADA]])</f>
        <v>20260515</v>
      </c>
      <c r="W1082">
        <f>VLOOKUP(Consulta1[[#This Row],[Coluna2]],CALENDARIO!$J:$K,2,FALSE)</f>
        <v>10</v>
      </c>
    </row>
    <row r="1083" spans="1:23" x14ac:dyDescent="0.25">
      <c r="A1083" t="s">
        <v>1301</v>
      </c>
      <c r="B1083" t="str">
        <f>CONCATENATE(Consulta1[[#This Row],[id]],Consulta1[[#This Row],[EMPREGADOR]])</f>
        <v>5PREF PALHOÇA</v>
      </c>
      <c r="C1083" s="6">
        <f>IF(A1083=A1082,C1082+1,1)</f>
        <v>5</v>
      </c>
      <c r="D1083" t="s">
        <v>1320</v>
      </c>
      <c r="E1083" s="101">
        <v>1.9E-2</v>
      </c>
      <c r="F1083" s="6">
        <v>120</v>
      </c>
      <c r="G1083" t="s">
        <v>1349</v>
      </c>
      <c r="H1083" s="82">
        <v>2.5</v>
      </c>
      <c r="I1083">
        <v>19</v>
      </c>
      <c r="K1083" t="s">
        <v>1941</v>
      </c>
      <c r="L1083" s="6" t="s">
        <v>1381</v>
      </c>
      <c r="M1083" s="6">
        <v>15</v>
      </c>
      <c r="N1083" s="6">
        <v>2</v>
      </c>
      <c r="O1083">
        <v>500</v>
      </c>
      <c r="P1083">
        <v>202605</v>
      </c>
      <c r="Q1083" t="s">
        <v>377</v>
      </c>
      <c r="R1083" t="s">
        <v>1353</v>
      </c>
      <c r="S1083">
        <f>Consulta1[[#This Row],[min_port]]/100</f>
        <v>1.3999999999999999E-2</v>
      </c>
      <c r="T1083" s="252">
        <f>Consulta1[[#This Row],[TETO_COMERCIAL]]/100</f>
        <v>2.5000000000000001E-2</v>
      </c>
      <c r="U1083" t="b">
        <f>Consulta1[[#This Row],[TETO_COMERCIAL_%]]=Consulta1[[#This Row],[TAXA]]</f>
        <v>0</v>
      </c>
      <c r="V1083" t="str">
        <f>CONCATENATE(Consulta1[[#This Row],[MES_ALTERACAO]],Consulta1[[#This Row],[VIRADA]])</f>
        <v>20260515</v>
      </c>
      <c r="W1083">
        <f>VLOOKUP(Consulta1[[#This Row],[Coluna2]],CALENDARIO!$J:$K,2,FALSE)</f>
        <v>10</v>
      </c>
    </row>
    <row r="1084" spans="1:23" x14ac:dyDescent="0.25">
      <c r="A1084" t="s">
        <v>1301</v>
      </c>
      <c r="B1084" t="str">
        <f>CONCATENATE(Consulta1[[#This Row],[id]],Consulta1[[#This Row],[EMPREGADOR]])</f>
        <v>6PREF PALHOÇA</v>
      </c>
      <c r="C1084" s="6">
        <f>IF(A1084=A1083,C1083+1,1)</f>
        <v>6</v>
      </c>
      <c r="D1084" t="s">
        <v>1321</v>
      </c>
      <c r="E1084" s="101">
        <v>1.7500000000000002E-2</v>
      </c>
      <c r="F1084" s="6">
        <v>120</v>
      </c>
      <c r="G1084" t="s">
        <v>1349</v>
      </c>
      <c r="H1084" s="82">
        <v>2.5</v>
      </c>
      <c r="I1084">
        <v>19</v>
      </c>
      <c r="K1084" t="s">
        <v>1942</v>
      </c>
      <c r="L1084" s="6" t="s">
        <v>1381</v>
      </c>
      <c r="M1084" s="6">
        <v>15</v>
      </c>
      <c r="N1084" s="6">
        <v>2</v>
      </c>
      <c r="O1084">
        <v>500</v>
      </c>
      <c r="P1084">
        <v>202605</v>
      </c>
      <c r="Q1084" t="s">
        <v>377</v>
      </c>
      <c r="R1084" t="s">
        <v>1353</v>
      </c>
      <c r="S1084">
        <f>Consulta1[[#This Row],[min_port]]/100</f>
        <v>1.3999999999999999E-2</v>
      </c>
      <c r="T1084" s="252">
        <f>Consulta1[[#This Row],[TETO_COMERCIAL]]/100</f>
        <v>2.5000000000000001E-2</v>
      </c>
      <c r="U1084" t="b">
        <f>Consulta1[[#This Row],[TETO_COMERCIAL_%]]=Consulta1[[#This Row],[TAXA]]</f>
        <v>0</v>
      </c>
      <c r="V1084" t="str">
        <f>CONCATENATE(Consulta1[[#This Row],[MES_ALTERACAO]],Consulta1[[#This Row],[VIRADA]])</f>
        <v>20260515</v>
      </c>
      <c r="W1084">
        <f>VLOOKUP(Consulta1[[#This Row],[Coluna2]],CALENDARIO!$J:$K,2,FALSE)</f>
        <v>10</v>
      </c>
    </row>
    <row r="1085" spans="1:23" x14ac:dyDescent="0.25">
      <c r="A1085" t="s">
        <v>580</v>
      </c>
      <c r="B1085" t="str">
        <f>CONCATENATE(Consulta1[[#This Row],[id]],Consulta1[[#This Row],[EMPREGADOR]])</f>
        <v>1PREF PARELHAS</v>
      </c>
      <c r="C1085" s="6">
        <f>IF(A1085=A1084,C1084+1,1)</f>
        <v>1</v>
      </c>
      <c r="D1085" t="s">
        <v>581</v>
      </c>
      <c r="E1085" s="101">
        <v>2.7000000000000003E-2</v>
      </c>
      <c r="F1085" s="6">
        <v>120</v>
      </c>
      <c r="G1085" t="s">
        <v>1349</v>
      </c>
      <c r="H1085" s="82">
        <v>2.7</v>
      </c>
      <c r="I1085">
        <v>12</v>
      </c>
      <c r="J1085">
        <v>50</v>
      </c>
      <c r="K1085" t="s">
        <v>1943</v>
      </c>
      <c r="L1085" s="6" t="s">
        <v>1374</v>
      </c>
      <c r="M1085" s="6">
        <v>10</v>
      </c>
      <c r="N1085" s="6">
        <v>2</v>
      </c>
      <c r="O1085">
        <v>500</v>
      </c>
      <c r="P1085">
        <v>202605</v>
      </c>
      <c r="Q1085" t="s">
        <v>377</v>
      </c>
      <c r="R1085" t="s">
        <v>1353</v>
      </c>
      <c r="S1085">
        <f>Consulta1[[#This Row],[min_port]]/100</f>
        <v>1.4999999999999999E-2</v>
      </c>
      <c r="T1085" s="252">
        <f>Consulta1[[#This Row],[TETO_COMERCIAL]]/100</f>
        <v>2.7000000000000003E-2</v>
      </c>
      <c r="U1085" t="b">
        <f>Consulta1[[#This Row],[TETO_COMERCIAL_%]]=Consulta1[[#This Row],[TAXA]]</f>
        <v>1</v>
      </c>
      <c r="V1085" t="str">
        <f>CONCATENATE(Consulta1[[#This Row],[MES_ALTERACAO]],Consulta1[[#This Row],[VIRADA]])</f>
        <v>20260510</v>
      </c>
      <c r="W1085">
        <f>VLOOKUP(Consulta1[[#This Row],[Coluna2]],CALENDARIO!$J:$K,2,FALSE)</f>
        <v>5</v>
      </c>
    </row>
    <row r="1086" spans="1:23" x14ac:dyDescent="0.25">
      <c r="A1086" t="s">
        <v>580</v>
      </c>
      <c r="B1086" t="str">
        <f>CONCATENATE(Consulta1[[#This Row],[id]],Consulta1[[#This Row],[EMPREGADOR]])</f>
        <v>2PREF PARELHAS</v>
      </c>
      <c r="C1086" s="6">
        <f>IF(A1086=A1085,C1085+1,1)</f>
        <v>2</v>
      </c>
      <c r="D1086" t="s">
        <v>729</v>
      </c>
      <c r="E1086" s="101">
        <v>2.6000000000000002E-2</v>
      </c>
      <c r="F1086" s="6">
        <v>120</v>
      </c>
      <c r="G1086" t="s">
        <v>1349</v>
      </c>
      <c r="H1086" s="82">
        <v>2.7</v>
      </c>
      <c r="I1086">
        <v>12</v>
      </c>
      <c r="K1086" t="s">
        <v>1944</v>
      </c>
      <c r="L1086" s="6" t="s">
        <v>1374</v>
      </c>
      <c r="M1086" s="6">
        <v>10</v>
      </c>
      <c r="N1086" s="6">
        <v>2</v>
      </c>
      <c r="O1086">
        <v>500</v>
      </c>
      <c r="P1086">
        <v>202605</v>
      </c>
      <c r="Q1086" t="s">
        <v>377</v>
      </c>
      <c r="R1086" t="s">
        <v>1353</v>
      </c>
      <c r="S1086">
        <f>Consulta1[[#This Row],[min_port]]/100</f>
        <v>1.4999999999999999E-2</v>
      </c>
      <c r="T1086" s="252">
        <f>Consulta1[[#This Row],[TETO_COMERCIAL]]/100</f>
        <v>2.7000000000000003E-2</v>
      </c>
      <c r="U1086" t="b">
        <f>Consulta1[[#This Row],[TETO_COMERCIAL_%]]=Consulta1[[#This Row],[TAXA]]</f>
        <v>0</v>
      </c>
      <c r="V1086" t="str">
        <f>CONCATENATE(Consulta1[[#This Row],[MES_ALTERACAO]],Consulta1[[#This Row],[VIRADA]])</f>
        <v>20260510</v>
      </c>
      <c r="W1086">
        <f>VLOOKUP(Consulta1[[#This Row],[Coluna2]],CALENDARIO!$J:$K,2,FALSE)</f>
        <v>5</v>
      </c>
    </row>
    <row r="1087" spans="1:23" x14ac:dyDescent="0.25">
      <c r="A1087" t="s">
        <v>580</v>
      </c>
      <c r="B1087" t="str">
        <f>CONCATENATE(Consulta1[[#This Row],[id]],Consulta1[[#This Row],[EMPREGADOR]])</f>
        <v>3PREF PARELHAS</v>
      </c>
      <c r="C1087" s="6">
        <f>IF(A1087=A1086,C1086+1,1)</f>
        <v>3</v>
      </c>
      <c r="D1087" t="s">
        <v>730</v>
      </c>
      <c r="E1087" s="101">
        <v>2.5000000000000001E-2</v>
      </c>
      <c r="F1087" s="6">
        <v>120</v>
      </c>
      <c r="G1087" t="s">
        <v>1349</v>
      </c>
      <c r="H1087" s="82">
        <v>2.7</v>
      </c>
      <c r="I1087">
        <v>12</v>
      </c>
      <c r="K1087" t="s">
        <v>1945</v>
      </c>
      <c r="L1087" s="6" t="s">
        <v>1374</v>
      </c>
      <c r="M1087" s="6">
        <v>10</v>
      </c>
      <c r="N1087" s="6">
        <v>2</v>
      </c>
      <c r="O1087">
        <v>500</v>
      </c>
      <c r="P1087">
        <v>202605</v>
      </c>
      <c r="Q1087" t="s">
        <v>377</v>
      </c>
      <c r="R1087" t="s">
        <v>1353</v>
      </c>
      <c r="S1087">
        <f>Consulta1[[#This Row],[min_port]]/100</f>
        <v>1.4999999999999999E-2</v>
      </c>
      <c r="T1087" s="252">
        <f>Consulta1[[#This Row],[TETO_COMERCIAL]]/100</f>
        <v>2.7000000000000003E-2</v>
      </c>
      <c r="U1087" t="b">
        <f>Consulta1[[#This Row],[TETO_COMERCIAL_%]]=Consulta1[[#This Row],[TAXA]]</f>
        <v>0</v>
      </c>
      <c r="V1087" t="str">
        <f>CONCATENATE(Consulta1[[#This Row],[MES_ALTERACAO]],Consulta1[[#This Row],[VIRADA]])</f>
        <v>20260510</v>
      </c>
      <c r="W1087">
        <f>VLOOKUP(Consulta1[[#This Row],[Coluna2]],CALENDARIO!$J:$K,2,FALSE)</f>
        <v>5</v>
      </c>
    </row>
    <row r="1088" spans="1:23" x14ac:dyDescent="0.25">
      <c r="A1088" t="s">
        <v>580</v>
      </c>
      <c r="B1088" t="str">
        <f>CONCATENATE(Consulta1[[#This Row],[id]],Consulta1[[#This Row],[EMPREGADOR]])</f>
        <v>4PREF PARELHAS</v>
      </c>
      <c r="C1088" s="6">
        <f>IF(A1088=A1087,C1087+1,1)</f>
        <v>4</v>
      </c>
      <c r="D1088" t="s">
        <v>731</v>
      </c>
      <c r="E1088" s="101">
        <v>2.4E-2</v>
      </c>
      <c r="F1088" s="6">
        <v>120</v>
      </c>
      <c r="G1088" t="s">
        <v>1349</v>
      </c>
      <c r="H1088" s="82">
        <v>2.7</v>
      </c>
      <c r="I1088">
        <v>12</v>
      </c>
      <c r="K1088" t="s">
        <v>1946</v>
      </c>
      <c r="L1088" s="6" t="s">
        <v>1374</v>
      </c>
      <c r="M1088" s="6">
        <v>10</v>
      </c>
      <c r="N1088" s="6">
        <v>2</v>
      </c>
      <c r="O1088">
        <v>500</v>
      </c>
      <c r="P1088">
        <v>202605</v>
      </c>
      <c r="Q1088" t="s">
        <v>377</v>
      </c>
      <c r="R1088" t="s">
        <v>1353</v>
      </c>
      <c r="S1088">
        <f>Consulta1[[#This Row],[min_port]]/100</f>
        <v>1.4999999999999999E-2</v>
      </c>
      <c r="T1088" s="252">
        <f>Consulta1[[#This Row],[TETO_COMERCIAL]]/100</f>
        <v>2.7000000000000003E-2</v>
      </c>
      <c r="U1088" t="b">
        <f>Consulta1[[#This Row],[TETO_COMERCIAL_%]]=Consulta1[[#This Row],[TAXA]]</f>
        <v>0</v>
      </c>
      <c r="V1088" t="str">
        <f>CONCATENATE(Consulta1[[#This Row],[MES_ALTERACAO]],Consulta1[[#This Row],[VIRADA]])</f>
        <v>20260510</v>
      </c>
      <c r="W1088">
        <f>VLOOKUP(Consulta1[[#This Row],[Coluna2]],CALENDARIO!$J:$K,2,FALSE)</f>
        <v>5</v>
      </c>
    </row>
    <row r="1089" spans="1:23" x14ac:dyDescent="0.25">
      <c r="A1089" t="s">
        <v>580</v>
      </c>
      <c r="B1089" t="str">
        <f>CONCATENATE(Consulta1[[#This Row],[id]],Consulta1[[#This Row],[EMPREGADOR]])</f>
        <v>5PREF PARELHAS</v>
      </c>
      <c r="C1089" s="6">
        <f>IF(A1089=A1088,C1088+1,1)</f>
        <v>5</v>
      </c>
      <c r="D1089" t="s">
        <v>3149</v>
      </c>
      <c r="E1089" s="101">
        <v>2.3E-2</v>
      </c>
      <c r="F1089" s="6">
        <v>120</v>
      </c>
      <c r="G1089" t="s">
        <v>1349</v>
      </c>
      <c r="H1089" s="82">
        <v>2.7</v>
      </c>
      <c r="I1089">
        <v>12</v>
      </c>
      <c r="K1089" t="s">
        <v>3150</v>
      </c>
      <c r="L1089" s="6" t="s">
        <v>1374</v>
      </c>
      <c r="M1089" s="6">
        <v>10</v>
      </c>
      <c r="N1089" s="6">
        <v>2</v>
      </c>
      <c r="O1089">
        <v>500</v>
      </c>
      <c r="P1089">
        <v>202605</v>
      </c>
      <c r="Q1089" t="s">
        <v>377</v>
      </c>
      <c r="R1089" t="s">
        <v>1353</v>
      </c>
      <c r="S1089">
        <f>Consulta1[[#This Row],[min_port]]/100</f>
        <v>1.4999999999999999E-2</v>
      </c>
      <c r="T1089" s="252">
        <f>Consulta1[[#This Row],[TETO_COMERCIAL]]/100</f>
        <v>2.7000000000000003E-2</v>
      </c>
      <c r="U1089" t="b">
        <f>Consulta1[[#This Row],[TETO_COMERCIAL_%]]=Consulta1[[#This Row],[TAXA]]</f>
        <v>0</v>
      </c>
      <c r="V1089" t="str">
        <f>CONCATENATE(Consulta1[[#This Row],[MES_ALTERACAO]],Consulta1[[#This Row],[VIRADA]])</f>
        <v>20260510</v>
      </c>
      <c r="W1089">
        <f>VLOOKUP(Consulta1[[#This Row],[Coluna2]],CALENDARIO!$J:$K,2,FALSE)</f>
        <v>5</v>
      </c>
    </row>
    <row r="1090" spans="1:23" x14ac:dyDescent="0.25">
      <c r="A1090" t="s">
        <v>580</v>
      </c>
      <c r="B1090" t="str">
        <f>CONCATENATE(Consulta1[[#This Row],[id]],Consulta1[[#This Row],[EMPREGADOR]])</f>
        <v>6PREF PARELHAS</v>
      </c>
      <c r="C1090" s="6">
        <f>IF(A1090=A1089,C1089+1,1)</f>
        <v>6</v>
      </c>
      <c r="D1090" t="s">
        <v>3151</v>
      </c>
      <c r="E1090" s="101">
        <v>2.2000000000000002E-2</v>
      </c>
      <c r="F1090" s="6">
        <v>120</v>
      </c>
      <c r="G1090" t="s">
        <v>1349</v>
      </c>
      <c r="H1090" s="82">
        <v>2.7</v>
      </c>
      <c r="I1090">
        <v>12</v>
      </c>
      <c r="K1090" t="s">
        <v>3152</v>
      </c>
      <c r="L1090" s="6" t="s">
        <v>1374</v>
      </c>
      <c r="M1090" s="6">
        <v>10</v>
      </c>
      <c r="N1090" s="6">
        <v>2</v>
      </c>
      <c r="O1090">
        <v>500</v>
      </c>
      <c r="P1090">
        <v>202605</v>
      </c>
      <c r="Q1090" t="s">
        <v>377</v>
      </c>
      <c r="R1090" t="s">
        <v>1353</v>
      </c>
      <c r="S1090">
        <f>Consulta1[[#This Row],[min_port]]/100</f>
        <v>1.4999999999999999E-2</v>
      </c>
      <c r="T1090" s="252">
        <f>Consulta1[[#This Row],[TETO_COMERCIAL]]/100</f>
        <v>2.7000000000000003E-2</v>
      </c>
      <c r="U1090" t="b">
        <f>Consulta1[[#This Row],[TETO_COMERCIAL_%]]=Consulta1[[#This Row],[TAXA]]</f>
        <v>0</v>
      </c>
      <c r="V1090" t="str">
        <f>CONCATENATE(Consulta1[[#This Row],[MES_ALTERACAO]],Consulta1[[#This Row],[VIRADA]])</f>
        <v>20260510</v>
      </c>
      <c r="W1090">
        <f>VLOOKUP(Consulta1[[#This Row],[Coluna2]],CALENDARIO!$J:$K,2,FALSE)</f>
        <v>5</v>
      </c>
    </row>
    <row r="1091" spans="1:23" x14ac:dyDescent="0.25">
      <c r="A1091" t="s">
        <v>98</v>
      </c>
      <c r="B1091" t="str">
        <f>CONCATENATE(Consulta1[[#This Row],[id]],Consulta1[[#This Row],[EMPREGADOR]])</f>
        <v>1PREF PERUIBE</v>
      </c>
      <c r="C1091" s="6">
        <f>IF(A1091=A1090,C1090+1,1)</f>
        <v>1</v>
      </c>
      <c r="D1091" t="s">
        <v>732</v>
      </c>
      <c r="E1091" s="101">
        <v>2.5000000000000001E-2</v>
      </c>
      <c r="F1091" s="6">
        <v>120</v>
      </c>
      <c r="G1091" t="s">
        <v>1349</v>
      </c>
      <c r="H1091" s="82">
        <v>2.5</v>
      </c>
      <c r="I1091">
        <v>15</v>
      </c>
      <c r="J1091">
        <v>41</v>
      </c>
      <c r="K1091" t="s">
        <v>1947</v>
      </c>
      <c r="L1091" s="6" t="s">
        <v>1407</v>
      </c>
      <c r="M1091" s="6">
        <v>20</v>
      </c>
      <c r="N1091" s="6">
        <v>2</v>
      </c>
      <c r="O1091">
        <v>500</v>
      </c>
      <c r="P1091">
        <v>202605</v>
      </c>
      <c r="Q1091" t="s">
        <v>377</v>
      </c>
      <c r="R1091" t="s">
        <v>1350</v>
      </c>
      <c r="S1091">
        <f>Consulta1[[#This Row],[min_port]]/100</f>
        <v>1.49E-2</v>
      </c>
      <c r="T1091" s="252">
        <f>Consulta1[[#This Row],[TETO_COMERCIAL]]/100</f>
        <v>2.5000000000000001E-2</v>
      </c>
      <c r="U1091" t="b">
        <f>Consulta1[[#This Row],[TETO_COMERCIAL_%]]=Consulta1[[#This Row],[TAXA]]</f>
        <v>1</v>
      </c>
      <c r="V1091" t="str">
        <f>CONCATENATE(Consulta1[[#This Row],[MES_ALTERACAO]],Consulta1[[#This Row],[VIRADA]])</f>
        <v>20260520</v>
      </c>
      <c r="W1091">
        <f>VLOOKUP(Consulta1[[#This Row],[Coluna2]],CALENDARIO!$J:$K,2,FALSE)</f>
        <v>13</v>
      </c>
    </row>
    <row r="1092" spans="1:23" x14ac:dyDescent="0.25">
      <c r="A1092" t="s">
        <v>98</v>
      </c>
      <c r="B1092" t="str">
        <f>CONCATENATE(Consulta1[[#This Row],[id]],Consulta1[[#This Row],[EMPREGADOR]])</f>
        <v>2PREF PERUIBE</v>
      </c>
      <c r="C1092" s="6">
        <f>IF(A1092=A1091,C1091+1,1)</f>
        <v>2</v>
      </c>
      <c r="D1092" t="s">
        <v>733</v>
      </c>
      <c r="E1092" s="101">
        <v>2.3900000000000001E-2</v>
      </c>
      <c r="F1092" s="6">
        <v>120</v>
      </c>
      <c r="G1092" t="s">
        <v>1349</v>
      </c>
      <c r="H1092" s="82">
        <v>2.5</v>
      </c>
      <c r="I1092">
        <v>15</v>
      </c>
      <c r="J1092">
        <v>41</v>
      </c>
      <c r="K1092" t="s">
        <v>1948</v>
      </c>
      <c r="L1092" s="6" t="s">
        <v>1407</v>
      </c>
      <c r="M1092" s="6">
        <v>20</v>
      </c>
      <c r="N1092" s="6">
        <v>2</v>
      </c>
      <c r="O1092">
        <v>500</v>
      </c>
      <c r="P1092">
        <v>202605</v>
      </c>
      <c r="Q1092" t="s">
        <v>377</v>
      </c>
      <c r="R1092" t="s">
        <v>1350</v>
      </c>
      <c r="S1092">
        <f>Consulta1[[#This Row],[min_port]]/100</f>
        <v>1.49E-2</v>
      </c>
      <c r="T1092" s="252">
        <f>Consulta1[[#This Row],[TETO_COMERCIAL]]/100</f>
        <v>2.5000000000000001E-2</v>
      </c>
      <c r="U1092" t="b">
        <f>Consulta1[[#This Row],[TETO_COMERCIAL_%]]=Consulta1[[#This Row],[TAXA]]</f>
        <v>0</v>
      </c>
      <c r="V1092" t="str">
        <f>CONCATENATE(Consulta1[[#This Row],[MES_ALTERACAO]],Consulta1[[#This Row],[VIRADA]])</f>
        <v>20260520</v>
      </c>
      <c r="W1092">
        <f>VLOOKUP(Consulta1[[#This Row],[Coluna2]],CALENDARIO!$J:$K,2,FALSE)</f>
        <v>13</v>
      </c>
    </row>
    <row r="1093" spans="1:23" x14ac:dyDescent="0.25">
      <c r="A1093" t="s">
        <v>98</v>
      </c>
      <c r="B1093" t="str">
        <f>CONCATENATE(Consulta1[[#This Row],[id]],Consulta1[[#This Row],[EMPREGADOR]])</f>
        <v>3PREF PERUIBE</v>
      </c>
      <c r="C1093" s="6">
        <f>IF(A1093=A1092,C1092+1,1)</f>
        <v>3</v>
      </c>
      <c r="D1093" t="s">
        <v>99</v>
      </c>
      <c r="E1093" s="101">
        <v>2.29E-2</v>
      </c>
      <c r="F1093" s="6">
        <v>120</v>
      </c>
      <c r="G1093" t="s">
        <v>1349</v>
      </c>
      <c r="H1093" s="82">
        <v>2.5</v>
      </c>
      <c r="I1093">
        <v>15</v>
      </c>
      <c r="J1093">
        <v>41</v>
      </c>
      <c r="K1093" t="s">
        <v>1949</v>
      </c>
      <c r="L1093" s="6" t="s">
        <v>1407</v>
      </c>
      <c r="M1093" s="6">
        <v>20</v>
      </c>
      <c r="N1093" s="6">
        <v>2</v>
      </c>
      <c r="O1093">
        <v>500</v>
      </c>
      <c r="P1093">
        <v>202605</v>
      </c>
      <c r="Q1093" t="s">
        <v>377</v>
      </c>
      <c r="R1093" t="s">
        <v>1350</v>
      </c>
      <c r="S1093">
        <f>Consulta1[[#This Row],[min_port]]/100</f>
        <v>1.49E-2</v>
      </c>
      <c r="T1093" s="252">
        <f>Consulta1[[#This Row],[TETO_COMERCIAL]]/100</f>
        <v>2.5000000000000001E-2</v>
      </c>
      <c r="U1093" t="b">
        <f>Consulta1[[#This Row],[TETO_COMERCIAL_%]]=Consulta1[[#This Row],[TAXA]]</f>
        <v>0</v>
      </c>
      <c r="V1093" t="str">
        <f>CONCATENATE(Consulta1[[#This Row],[MES_ALTERACAO]],Consulta1[[#This Row],[VIRADA]])</f>
        <v>20260520</v>
      </c>
      <c r="W1093">
        <f>VLOOKUP(Consulta1[[#This Row],[Coluna2]],CALENDARIO!$J:$K,2,FALSE)</f>
        <v>13</v>
      </c>
    </row>
    <row r="1094" spans="1:23" x14ac:dyDescent="0.25">
      <c r="A1094" t="s">
        <v>98</v>
      </c>
      <c r="B1094" t="str">
        <f>CONCATENATE(Consulta1[[#This Row],[id]],Consulta1[[#This Row],[EMPREGADOR]])</f>
        <v>4PREF PERUIBE</v>
      </c>
      <c r="C1094" s="6">
        <f>IF(A1094=A1093,C1093+1,1)</f>
        <v>4</v>
      </c>
      <c r="D1094" t="s">
        <v>345</v>
      </c>
      <c r="E1094" s="101">
        <v>2.1899999999999999E-2</v>
      </c>
      <c r="F1094" s="6">
        <v>120</v>
      </c>
      <c r="G1094" t="s">
        <v>1349</v>
      </c>
      <c r="H1094" s="82">
        <v>2.5</v>
      </c>
      <c r="I1094">
        <v>15</v>
      </c>
      <c r="J1094">
        <v>45</v>
      </c>
      <c r="K1094" t="s">
        <v>1950</v>
      </c>
      <c r="L1094" s="6" t="s">
        <v>1407</v>
      </c>
      <c r="M1094" s="6">
        <v>20</v>
      </c>
      <c r="N1094" s="6">
        <v>2</v>
      </c>
      <c r="O1094">
        <v>500</v>
      </c>
      <c r="P1094">
        <v>202605</v>
      </c>
      <c r="Q1094" t="s">
        <v>377</v>
      </c>
      <c r="R1094" t="s">
        <v>1350</v>
      </c>
      <c r="S1094">
        <f>Consulta1[[#This Row],[min_port]]/100</f>
        <v>1.49E-2</v>
      </c>
      <c r="T1094" s="252">
        <f>Consulta1[[#This Row],[TETO_COMERCIAL]]/100</f>
        <v>2.5000000000000001E-2</v>
      </c>
      <c r="U1094" t="b">
        <f>Consulta1[[#This Row],[TETO_COMERCIAL_%]]=Consulta1[[#This Row],[TAXA]]</f>
        <v>0</v>
      </c>
      <c r="V1094" t="str">
        <f>CONCATENATE(Consulta1[[#This Row],[MES_ALTERACAO]],Consulta1[[#This Row],[VIRADA]])</f>
        <v>20260520</v>
      </c>
      <c r="W1094">
        <f>VLOOKUP(Consulta1[[#This Row],[Coluna2]],CALENDARIO!$J:$K,2,FALSE)</f>
        <v>13</v>
      </c>
    </row>
    <row r="1095" spans="1:23" x14ac:dyDescent="0.25">
      <c r="A1095" t="s">
        <v>98</v>
      </c>
      <c r="B1095" t="str">
        <f>CONCATENATE(Consulta1[[#This Row],[id]],Consulta1[[#This Row],[EMPREGADOR]])</f>
        <v>5PREF PERUIBE</v>
      </c>
      <c r="C1095" s="6">
        <f>IF(A1095=A1094,C1094+1,1)</f>
        <v>5</v>
      </c>
      <c r="D1095" t="s">
        <v>734</v>
      </c>
      <c r="E1095" s="101">
        <v>2.0899999999999998E-2</v>
      </c>
      <c r="F1095" s="6">
        <v>120</v>
      </c>
      <c r="G1095" t="s">
        <v>1349</v>
      </c>
      <c r="H1095" s="82">
        <v>2.5</v>
      </c>
      <c r="I1095">
        <v>15</v>
      </c>
      <c r="J1095">
        <v>45</v>
      </c>
      <c r="K1095" t="s">
        <v>1951</v>
      </c>
      <c r="L1095" s="6" t="s">
        <v>1407</v>
      </c>
      <c r="M1095" s="6">
        <v>20</v>
      </c>
      <c r="N1095" s="6">
        <v>2</v>
      </c>
      <c r="O1095">
        <v>500</v>
      </c>
      <c r="P1095">
        <v>202605</v>
      </c>
      <c r="Q1095" t="s">
        <v>377</v>
      </c>
      <c r="R1095" t="s">
        <v>1350</v>
      </c>
      <c r="S1095">
        <f>Consulta1[[#This Row],[min_port]]/100</f>
        <v>1.49E-2</v>
      </c>
      <c r="T1095" s="252">
        <f>Consulta1[[#This Row],[TETO_COMERCIAL]]/100</f>
        <v>2.5000000000000001E-2</v>
      </c>
      <c r="U1095" t="b">
        <f>Consulta1[[#This Row],[TETO_COMERCIAL_%]]=Consulta1[[#This Row],[TAXA]]</f>
        <v>0</v>
      </c>
      <c r="V1095" t="str">
        <f>CONCATENATE(Consulta1[[#This Row],[MES_ALTERACAO]],Consulta1[[#This Row],[VIRADA]])</f>
        <v>20260520</v>
      </c>
      <c r="W1095">
        <f>VLOOKUP(Consulta1[[#This Row],[Coluna2]],CALENDARIO!$J:$K,2,FALSE)</f>
        <v>13</v>
      </c>
    </row>
    <row r="1096" spans="1:23" x14ac:dyDescent="0.25">
      <c r="A1096" t="s">
        <v>98</v>
      </c>
      <c r="B1096" t="str">
        <f>CONCATENATE(Consulta1[[#This Row],[id]],Consulta1[[#This Row],[EMPREGADOR]])</f>
        <v>6PREF PERUIBE</v>
      </c>
      <c r="C1096" s="6">
        <f>IF(A1096=A1095,C1095+1,1)</f>
        <v>6</v>
      </c>
      <c r="D1096" t="s">
        <v>1182</v>
      </c>
      <c r="E1096" s="101">
        <v>1.9900000000000001E-2</v>
      </c>
      <c r="F1096" s="6">
        <v>120</v>
      </c>
      <c r="G1096" t="s">
        <v>1349</v>
      </c>
      <c r="H1096" s="82">
        <v>2.5</v>
      </c>
      <c r="I1096">
        <v>15</v>
      </c>
      <c r="J1096">
        <v>45</v>
      </c>
      <c r="K1096" t="s">
        <v>1952</v>
      </c>
      <c r="L1096" s="6" t="s">
        <v>1407</v>
      </c>
      <c r="M1096" s="6">
        <v>20</v>
      </c>
      <c r="N1096" s="6">
        <v>2</v>
      </c>
      <c r="O1096">
        <v>500</v>
      </c>
      <c r="P1096">
        <v>202605</v>
      </c>
      <c r="Q1096" t="s">
        <v>377</v>
      </c>
      <c r="R1096" t="s">
        <v>1350</v>
      </c>
      <c r="S1096">
        <f>Consulta1[[#This Row],[min_port]]/100</f>
        <v>1.49E-2</v>
      </c>
      <c r="T1096" s="252">
        <f>Consulta1[[#This Row],[TETO_COMERCIAL]]/100</f>
        <v>2.5000000000000001E-2</v>
      </c>
      <c r="U1096" t="b">
        <f>Consulta1[[#This Row],[TETO_COMERCIAL_%]]=Consulta1[[#This Row],[TAXA]]</f>
        <v>0</v>
      </c>
      <c r="V1096" t="str">
        <f>CONCATENATE(Consulta1[[#This Row],[MES_ALTERACAO]],Consulta1[[#This Row],[VIRADA]])</f>
        <v>20260520</v>
      </c>
      <c r="W1096">
        <f>VLOOKUP(Consulta1[[#This Row],[Coluna2]],CALENDARIO!$J:$K,2,FALSE)</f>
        <v>13</v>
      </c>
    </row>
    <row r="1097" spans="1:23" x14ac:dyDescent="0.25">
      <c r="A1097" t="s">
        <v>3047</v>
      </c>
      <c r="B1097" t="str">
        <f>CONCATENATE(Consulta1[[#This Row],[id]],Consulta1[[#This Row],[EMPREGADOR]])</f>
        <v>1PREF PICOS</v>
      </c>
      <c r="C1097" s="6">
        <f>IF(A1097=A1096,C1096+1,1)</f>
        <v>1</v>
      </c>
      <c r="D1097" t="s">
        <v>453</v>
      </c>
      <c r="E1097" s="101">
        <v>2.5000000000000001E-2</v>
      </c>
      <c r="F1097" s="6">
        <v>120</v>
      </c>
      <c r="G1097" t="s">
        <v>1349</v>
      </c>
      <c r="H1097" s="82">
        <v>2.5</v>
      </c>
      <c r="I1097">
        <v>1</v>
      </c>
      <c r="K1097" t="s">
        <v>1953</v>
      </c>
      <c r="L1097" s="6" t="s">
        <v>1409</v>
      </c>
      <c r="M1097" s="6">
        <v>12</v>
      </c>
      <c r="N1097" s="6">
        <v>2</v>
      </c>
      <c r="O1097">
        <v>500</v>
      </c>
      <c r="P1097">
        <v>202605</v>
      </c>
      <c r="Q1097" t="s">
        <v>378</v>
      </c>
      <c r="R1097" t="s">
        <v>1350</v>
      </c>
      <c r="S1097">
        <f>Consulta1[[#This Row],[min_port]]/100</f>
        <v>1.55E-2</v>
      </c>
      <c r="T1097" s="252">
        <f>Consulta1[[#This Row],[TETO_COMERCIAL]]/100</f>
        <v>2.5000000000000001E-2</v>
      </c>
      <c r="U1097" t="b">
        <f>Consulta1[[#This Row],[TETO_COMERCIAL_%]]=Consulta1[[#This Row],[TAXA]]</f>
        <v>1</v>
      </c>
      <c r="V1097" t="str">
        <f>CONCATENATE(Consulta1[[#This Row],[MES_ALTERACAO]],Consulta1[[#This Row],[VIRADA]])</f>
        <v>20260512</v>
      </c>
      <c r="W1097">
        <f>VLOOKUP(Consulta1[[#This Row],[Coluna2]],CALENDARIO!$J:$K,2,FALSE)</f>
        <v>7</v>
      </c>
    </row>
    <row r="1098" spans="1:23" x14ac:dyDescent="0.25">
      <c r="A1098" t="s">
        <v>3047</v>
      </c>
      <c r="B1098" t="str">
        <f>CONCATENATE(Consulta1[[#This Row],[id]],Consulta1[[#This Row],[EMPREGADOR]])</f>
        <v>2PREF PICOS</v>
      </c>
      <c r="C1098" s="6">
        <f>IF(A1098=A1097,C1097+1,1)</f>
        <v>2</v>
      </c>
      <c r="D1098" t="s">
        <v>448</v>
      </c>
      <c r="E1098" s="101">
        <v>2.5000000000000001E-2</v>
      </c>
      <c r="F1098" s="6">
        <v>120</v>
      </c>
      <c r="G1098" t="s">
        <v>1349</v>
      </c>
      <c r="H1098" s="82">
        <v>2.5</v>
      </c>
      <c r="I1098">
        <v>1</v>
      </c>
      <c r="K1098" t="s">
        <v>1954</v>
      </c>
      <c r="L1098" s="6" t="s">
        <v>1409</v>
      </c>
      <c r="M1098" s="6">
        <v>12</v>
      </c>
      <c r="N1098" s="6">
        <v>2</v>
      </c>
      <c r="O1098">
        <v>500</v>
      </c>
      <c r="P1098">
        <v>202605</v>
      </c>
      <c r="Q1098" t="s">
        <v>378</v>
      </c>
      <c r="R1098" t="s">
        <v>1350</v>
      </c>
      <c r="S1098">
        <f>Consulta1[[#This Row],[min_port]]/100</f>
        <v>1.55E-2</v>
      </c>
      <c r="T1098" s="252">
        <f>Consulta1[[#This Row],[TETO_COMERCIAL]]/100</f>
        <v>2.5000000000000001E-2</v>
      </c>
      <c r="U1098" t="b">
        <f>Consulta1[[#This Row],[TETO_COMERCIAL_%]]=Consulta1[[#This Row],[TAXA]]</f>
        <v>1</v>
      </c>
      <c r="V1098" t="str">
        <f>CONCATENATE(Consulta1[[#This Row],[MES_ALTERACAO]],Consulta1[[#This Row],[VIRADA]])</f>
        <v>20260512</v>
      </c>
      <c r="W1098">
        <f>VLOOKUP(Consulta1[[#This Row],[Coluna2]],CALENDARIO!$J:$K,2,FALSE)</f>
        <v>7</v>
      </c>
    </row>
    <row r="1099" spans="1:23" x14ac:dyDescent="0.25">
      <c r="A1099" t="s">
        <v>3047</v>
      </c>
      <c r="B1099" t="str">
        <f>CONCATENATE(Consulta1[[#This Row],[id]],Consulta1[[#This Row],[EMPREGADOR]])</f>
        <v>3PREF PICOS</v>
      </c>
      <c r="C1099" s="6">
        <f>IF(A1099=A1098,C1098+1,1)</f>
        <v>3</v>
      </c>
      <c r="D1099" t="s">
        <v>443</v>
      </c>
      <c r="E1099" s="101">
        <v>2.5000000000000001E-2</v>
      </c>
      <c r="F1099" s="6">
        <v>120</v>
      </c>
      <c r="G1099" t="s">
        <v>1349</v>
      </c>
      <c r="H1099" s="82">
        <v>2.5</v>
      </c>
      <c r="I1099">
        <v>1</v>
      </c>
      <c r="K1099" t="s">
        <v>1955</v>
      </c>
      <c r="L1099" s="6" t="s">
        <v>1409</v>
      </c>
      <c r="M1099" s="6">
        <v>12</v>
      </c>
      <c r="N1099" s="6">
        <v>2</v>
      </c>
      <c r="O1099">
        <v>500</v>
      </c>
      <c r="P1099">
        <v>202605</v>
      </c>
      <c r="Q1099" t="s">
        <v>378</v>
      </c>
      <c r="R1099" t="s">
        <v>1350</v>
      </c>
      <c r="S1099">
        <f>Consulta1[[#This Row],[min_port]]/100</f>
        <v>1.55E-2</v>
      </c>
      <c r="T1099" s="252">
        <f>Consulta1[[#This Row],[TETO_COMERCIAL]]/100</f>
        <v>2.5000000000000001E-2</v>
      </c>
      <c r="U1099" t="b">
        <f>Consulta1[[#This Row],[TETO_COMERCIAL_%]]=Consulta1[[#This Row],[TAXA]]</f>
        <v>1</v>
      </c>
      <c r="V1099" t="str">
        <f>CONCATENATE(Consulta1[[#This Row],[MES_ALTERACAO]],Consulta1[[#This Row],[VIRADA]])</f>
        <v>20260512</v>
      </c>
      <c r="W1099">
        <f>VLOOKUP(Consulta1[[#This Row],[Coluna2]],CALENDARIO!$J:$K,2,FALSE)</f>
        <v>7</v>
      </c>
    </row>
    <row r="1100" spans="1:23" x14ac:dyDescent="0.25">
      <c r="A1100" t="s">
        <v>3047</v>
      </c>
      <c r="B1100" t="str">
        <f>CONCATENATE(Consulta1[[#This Row],[id]],Consulta1[[#This Row],[EMPREGADOR]])</f>
        <v>4PREF PICOS</v>
      </c>
      <c r="C1100" s="6">
        <f>IF(A1100=A1099,C1099+1,1)</f>
        <v>4</v>
      </c>
      <c r="D1100" t="s">
        <v>454</v>
      </c>
      <c r="E1100" s="101">
        <v>2.4E-2</v>
      </c>
      <c r="F1100" s="6">
        <v>120</v>
      </c>
      <c r="G1100" t="s">
        <v>1349</v>
      </c>
      <c r="H1100" s="82">
        <v>2.5</v>
      </c>
      <c r="I1100">
        <v>1</v>
      </c>
      <c r="J1100">
        <v>36</v>
      </c>
      <c r="K1100" t="s">
        <v>1956</v>
      </c>
      <c r="L1100" s="6" t="s">
        <v>1409</v>
      </c>
      <c r="M1100" s="6">
        <v>12</v>
      </c>
      <c r="N1100" s="6">
        <v>2</v>
      </c>
      <c r="O1100">
        <v>500</v>
      </c>
      <c r="P1100">
        <v>202605</v>
      </c>
      <c r="Q1100" t="s">
        <v>378</v>
      </c>
      <c r="R1100" t="s">
        <v>1350</v>
      </c>
      <c r="S1100">
        <f>Consulta1[[#This Row],[min_port]]/100</f>
        <v>1.55E-2</v>
      </c>
      <c r="T1100" s="252">
        <f>Consulta1[[#This Row],[TETO_COMERCIAL]]/100</f>
        <v>2.5000000000000001E-2</v>
      </c>
      <c r="U1100" t="b">
        <f>Consulta1[[#This Row],[TETO_COMERCIAL_%]]=Consulta1[[#This Row],[TAXA]]</f>
        <v>0</v>
      </c>
      <c r="V1100" t="str">
        <f>CONCATENATE(Consulta1[[#This Row],[MES_ALTERACAO]],Consulta1[[#This Row],[VIRADA]])</f>
        <v>20260512</v>
      </c>
      <c r="W1100">
        <f>VLOOKUP(Consulta1[[#This Row],[Coluna2]],CALENDARIO!$J:$K,2,FALSE)</f>
        <v>7</v>
      </c>
    </row>
    <row r="1101" spans="1:23" x14ac:dyDescent="0.25">
      <c r="A1101" t="s">
        <v>3047</v>
      </c>
      <c r="B1101" t="str">
        <f>CONCATENATE(Consulta1[[#This Row],[id]],Consulta1[[#This Row],[EMPREGADOR]])</f>
        <v>5PREF PICOS</v>
      </c>
      <c r="C1101" s="6">
        <f>IF(A1101=A1100,C1100+1,1)</f>
        <v>5</v>
      </c>
      <c r="D1101" t="s">
        <v>449</v>
      </c>
      <c r="E1101" s="101">
        <v>2.4E-2</v>
      </c>
      <c r="F1101" s="6">
        <v>120</v>
      </c>
      <c r="G1101" t="s">
        <v>1349</v>
      </c>
      <c r="H1101" s="82">
        <v>2.5</v>
      </c>
      <c r="I1101">
        <v>1</v>
      </c>
      <c r="K1101" t="s">
        <v>1957</v>
      </c>
      <c r="L1101" s="6" t="s">
        <v>1409</v>
      </c>
      <c r="M1101" s="6">
        <v>12</v>
      </c>
      <c r="N1101" s="6">
        <v>2</v>
      </c>
      <c r="O1101">
        <v>500</v>
      </c>
      <c r="P1101">
        <v>202605</v>
      </c>
      <c r="Q1101" t="s">
        <v>378</v>
      </c>
      <c r="R1101" t="s">
        <v>1350</v>
      </c>
      <c r="S1101">
        <f>Consulta1[[#This Row],[min_port]]/100</f>
        <v>1.55E-2</v>
      </c>
      <c r="T1101" s="252">
        <f>Consulta1[[#This Row],[TETO_COMERCIAL]]/100</f>
        <v>2.5000000000000001E-2</v>
      </c>
      <c r="U1101" t="b">
        <f>Consulta1[[#This Row],[TETO_COMERCIAL_%]]=Consulta1[[#This Row],[TAXA]]</f>
        <v>0</v>
      </c>
      <c r="V1101" t="str">
        <f>CONCATENATE(Consulta1[[#This Row],[MES_ALTERACAO]],Consulta1[[#This Row],[VIRADA]])</f>
        <v>20260512</v>
      </c>
      <c r="W1101">
        <f>VLOOKUP(Consulta1[[#This Row],[Coluna2]],CALENDARIO!$J:$K,2,FALSE)</f>
        <v>7</v>
      </c>
    </row>
    <row r="1102" spans="1:23" x14ac:dyDescent="0.25">
      <c r="A1102" t="s">
        <v>3047</v>
      </c>
      <c r="B1102" t="str">
        <f>CONCATENATE(Consulta1[[#This Row],[id]],Consulta1[[#This Row],[EMPREGADOR]])</f>
        <v>6PREF PICOS</v>
      </c>
      <c r="C1102" s="6">
        <f>IF(A1102=A1101,C1101+1,1)</f>
        <v>6</v>
      </c>
      <c r="D1102" t="s">
        <v>444</v>
      </c>
      <c r="E1102" s="101">
        <v>2.4E-2</v>
      </c>
      <c r="F1102" s="6">
        <v>120</v>
      </c>
      <c r="G1102" t="s">
        <v>1349</v>
      </c>
      <c r="H1102" s="82">
        <v>2.5</v>
      </c>
      <c r="I1102">
        <v>1</v>
      </c>
      <c r="K1102" t="s">
        <v>1958</v>
      </c>
      <c r="L1102" s="6" t="s">
        <v>1409</v>
      </c>
      <c r="M1102" s="6">
        <v>12</v>
      </c>
      <c r="N1102" s="6">
        <v>2</v>
      </c>
      <c r="O1102">
        <v>500</v>
      </c>
      <c r="P1102">
        <v>202605</v>
      </c>
      <c r="Q1102" t="s">
        <v>378</v>
      </c>
      <c r="R1102" t="s">
        <v>1350</v>
      </c>
      <c r="S1102">
        <f>Consulta1[[#This Row],[min_port]]/100</f>
        <v>1.55E-2</v>
      </c>
      <c r="T1102" s="252">
        <f>Consulta1[[#This Row],[TETO_COMERCIAL]]/100</f>
        <v>2.5000000000000001E-2</v>
      </c>
      <c r="U1102" t="b">
        <f>Consulta1[[#This Row],[TETO_COMERCIAL_%]]=Consulta1[[#This Row],[TAXA]]</f>
        <v>0</v>
      </c>
      <c r="V1102" t="str">
        <f>CONCATENATE(Consulta1[[#This Row],[MES_ALTERACAO]],Consulta1[[#This Row],[VIRADA]])</f>
        <v>20260512</v>
      </c>
      <c r="W1102">
        <f>VLOOKUP(Consulta1[[#This Row],[Coluna2]],CALENDARIO!$J:$K,2,FALSE)</f>
        <v>7</v>
      </c>
    </row>
    <row r="1103" spans="1:23" x14ac:dyDescent="0.25">
      <c r="A1103" t="s">
        <v>3047</v>
      </c>
      <c r="B1103" t="str">
        <f>CONCATENATE(Consulta1[[#This Row],[id]],Consulta1[[#This Row],[EMPREGADOR]])</f>
        <v>7PREF PICOS</v>
      </c>
      <c r="C1103" s="6">
        <f>IF(A1103=A1102,C1102+1,1)</f>
        <v>7</v>
      </c>
      <c r="D1103" t="s">
        <v>455</v>
      </c>
      <c r="E1103" s="101">
        <v>2.3E-2</v>
      </c>
      <c r="F1103" s="6">
        <v>120</v>
      </c>
      <c r="G1103" t="s">
        <v>1349</v>
      </c>
      <c r="H1103" s="82">
        <v>2.5</v>
      </c>
      <c r="I1103">
        <v>1</v>
      </c>
      <c r="J1103">
        <v>38</v>
      </c>
      <c r="K1103" t="s">
        <v>1959</v>
      </c>
      <c r="L1103" s="6" t="s">
        <v>1409</v>
      </c>
      <c r="M1103" s="6">
        <v>12</v>
      </c>
      <c r="N1103" s="6">
        <v>2</v>
      </c>
      <c r="O1103">
        <v>500</v>
      </c>
      <c r="P1103">
        <v>202605</v>
      </c>
      <c r="Q1103" t="s">
        <v>378</v>
      </c>
      <c r="R1103" t="s">
        <v>1350</v>
      </c>
      <c r="S1103">
        <f>Consulta1[[#This Row],[min_port]]/100</f>
        <v>1.55E-2</v>
      </c>
      <c r="T1103" s="252">
        <f>Consulta1[[#This Row],[TETO_COMERCIAL]]/100</f>
        <v>2.5000000000000001E-2</v>
      </c>
      <c r="U1103" t="b">
        <f>Consulta1[[#This Row],[TETO_COMERCIAL_%]]=Consulta1[[#This Row],[TAXA]]</f>
        <v>0</v>
      </c>
      <c r="V1103" t="str">
        <f>CONCATENATE(Consulta1[[#This Row],[MES_ALTERACAO]],Consulta1[[#This Row],[VIRADA]])</f>
        <v>20260512</v>
      </c>
      <c r="W1103">
        <f>VLOOKUP(Consulta1[[#This Row],[Coluna2]],CALENDARIO!$J:$K,2,FALSE)</f>
        <v>7</v>
      </c>
    </row>
    <row r="1104" spans="1:23" x14ac:dyDescent="0.25">
      <c r="A1104" t="s">
        <v>3047</v>
      </c>
      <c r="B1104" t="str">
        <f>CONCATENATE(Consulta1[[#This Row],[id]],Consulta1[[#This Row],[EMPREGADOR]])</f>
        <v>8PREF PICOS</v>
      </c>
      <c r="C1104" s="6">
        <f>IF(A1104=A1103,C1103+1,1)</f>
        <v>8</v>
      </c>
      <c r="D1104" t="s">
        <v>450</v>
      </c>
      <c r="E1104" s="101">
        <v>2.3E-2</v>
      </c>
      <c r="F1104" s="6">
        <v>120</v>
      </c>
      <c r="G1104" t="s">
        <v>1349</v>
      </c>
      <c r="H1104" s="82">
        <v>2.5</v>
      </c>
      <c r="I1104">
        <v>1</v>
      </c>
      <c r="K1104" t="s">
        <v>1960</v>
      </c>
      <c r="L1104" s="6" t="s">
        <v>1409</v>
      </c>
      <c r="M1104" s="6">
        <v>12</v>
      </c>
      <c r="N1104" s="6">
        <v>2</v>
      </c>
      <c r="O1104">
        <v>500</v>
      </c>
      <c r="P1104">
        <v>202605</v>
      </c>
      <c r="Q1104" t="s">
        <v>378</v>
      </c>
      <c r="R1104" t="s">
        <v>1350</v>
      </c>
      <c r="S1104">
        <f>Consulta1[[#This Row],[min_port]]/100</f>
        <v>1.55E-2</v>
      </c>
      <c r="T1104" s="252">
        <f>Consulta1[[#This Row],[TETO_COMERCIAL]]/100</f>
        <v>2.5000000000000001E-2</v>
      </c>
      <c r="U1104" t="b">
        <f>Consulta1[[#This Row],[TETO_COMERCIAL_%]]=Consulta1[[#This Row],[TAXA]]</f>
        <v>0</v>
      </c>
      <c r="V1104" t="str">
        <f>CONCATENATE(Consulta1[[#This Row],[MES_ALTERACAO]],Consulta1[[#This Row],[VIRADA]])</f>
        <v>20260512</v>
      </c>
      <c r="W1104">
        <f>VLOOKUP(Consulta1[[#This Row],[Coluna2]],CALENDARIO!$J:$K,2,FALSE)</f>
        <v>7</v>
      </c>
    </row>
    <row r="1105" spans="1:23" x14ac:dyDescent="0.25">
      <c r="A1105" t="s">
        <v>3047</v>
      </c>
      <c r="B1105" t="str">
        <f>CONCATENATE(Consulta1[[#This Row],[id]],Consulta1[[#This Row],[EMPREGADOR]])</f>
        <v>9PREF PICOS</v>
      </c>
      <c r="C1105" s="6">
        <f>IF(A1105=A1104,C1104+1,1)</f>
        <v>9</v>
      </c>
      <c r="D1105" t="s">
        <v>445</v>
      </c>
      <c r="E1105" s="101">
        <v>2.3E-2</v>
      </c>
      <c r="F1105" s="6">
        <v>120</v>
      </c>
      <c r="G1105" t="s">
        <v>1349</v>
      </c>
      <c r="H1105" s="82">
        <v>2.5</v>
      </c>
      <c r="I1105">
        <v>1</v>
      </c>
      <c r="K1105" t="s">
        <v>1961</v>
      </c>
      <c r="L1105" s="6" t="s">
        <v>1409</v>
      </c>
      <c r="M1105" s="6">
        <v>12</v>
      </c>
      <c r="N1105" s="6">
        <v>2</v>
      </c>
      <c r="O1105">
        <v>500</v>
      </c>
      <c r="P1105">
        <v>202605</v>
      </c>
      <c r="Q1105" t="s">
        <v>378</v>
      </c>
      <c r="R1105" t="s">
        <v>1350</v>
      </c>
      <c r="S1105">
        <f>Consulta1[[#This Row],[min_port]]/100</f>
        <v>1.55E-2</v>
      </c>
      <c r="T1105" s="252">
        <f>Consulta1[[#This Row],[TETO_COMERCIAL]]/100</f>
        <v>2.5000000000000001E-2</v>
      </c>
      <c r="U1105" t="b">
        <f>Consulta1[[#This Row],[TETO_COMERCIAL_%]]=Consulta1[[#This Row],[TAXA]]</f>
        <v>0</v>
      </c>
      <c r="V1105" t="str">
        <f>CONCATENATE(Consulta1[[#This Row],[MES_ALTERACAO]],Consulta1[[#This Row],[VIRADA]])</f>
        <v>20260512</v>
      </c>
      <c r="W1105">
        <f>VLOOKUP(Consulta1[[#This Row],[Coluna2]],CALENDARIO!$J:$K,2,FALSE)</f>
        <v>7</v>
      </c>
    </row>
    <row r="1106" spans="1:23" x14ac:dyDescent="0.25">
      <c r="A1106" t="s">
        <v>3047</v>
      </c>
      <c r="B1106" t="str">
        <f>CONCATENATE(Consulta1[[#This Row],[id]],Consulta1[[#This Row],[EMPREGADOR]])</f>
        <v>10PREF PICOS</v>
      </c>
      <c r="C1106" s="6">
        <f>IF(A1106=A1105,C1105+1,1)</f>
        <v>10</v>
      </c>
      <c r="D1106" t="s">
        <v>456</v>
      </c>
      <c r="E1106" s="101">
        <v>2.2200000000000001E-2</v>
      </c>
      <c r="F1106" s="6">
        <v>120</v>
      </c>
      <c r="G1106" t="s">
        <v>1349</v>
      </c>
      <c r="H1106" s="82">
        <v>2.5</v>
      </c>
      <c r="I1106">
        <v>1</v>
      </c>
      <c r="J1106">
        <v>28</v>
      </c>
      <c r="K1106" t="s">
        <v>1962</v>
      </c>
      <c r="L1106" s="6" t="s">
        <v>1409</v>
      </c>
      <c r="M1106" s="6">
        <v>12</v>
      </c>
      <c r="N1106" s="6">
        <v>2</v>
      </c>
      <c r="O1106">
        <v>500</v>
      </c>
      <c r="P1106">
        <v>202605</v>
      </c>
      <c r="Q1106" t="s">
        <v>378</v>
      </c>
      <c r="R1106" t="s">
        <v>1350</v>
      </c>
      <c r="S1106">
        <f>Consulta1[[#This Row],[min_port]]/100</f>
        <v>1.55E-2</v>
      </c>
      <c r="T1106" s="252">
        <f>Consulta1[[#This Row],[TETO_COMERCIAL]]/100</f>
        <v>2.5000000000000001E-2</v>
      </c>
      <c r="U1106" t="b">
        <f>Consulta1[[#This Row],[TETO_COMERCIAL_%]]=Consulta1[[#This Row],[TAXA]]</f>
        <v>0</v>
      </c>
      <c r="V1106" t="str">
        <f>CONCATENATE(Consulta1[[#This Row],[MES_ALTERACAO]],Consulta1[[#This Row],[VIRADA]])</f>
        <v>20260512</v>
      </c>
      <c r="W1106">
        <f>VLOOKUP(Consulta1[[#This Row],[Coluna2]],CALENDARIO!$J:$K,2,FALSE)</f>
        <v>7</v>
      </c>
    </row>
    <row r="1107" spans="1:23" x14ac:dyDescent="0.25">
      <c r="A1107" t="s">
        <v>3047</v>
      </c>
      <c r="B1107" t="str">
        <f>CONCATENATE(Consulta1[[#This Row],[id]],Consulta1[[#This Row],[EMPREGADOR]])</f>
        <v>11PREF PICOS</v>
      </c>
      <c r="C1107" s="6">
        <f>IF(A1107=A1106,C1106+1,1)</f>
        <v>11</v>
      </c>
      <c r="D1107" t="s">
        <v>451</v>
      </c>
      <c r="E1107" s="101">
        <v>2.2000000000000002E-2</v>
      </c>
      <c r="F1107" s="6">
        <v>120</v>
      </c>
      <c r="G1107" t="s">
        <v>1349</v>
      </c>
      <c r="H1107" s="82">
        <v>2.5</v>
      </c>
      <c r="I1107">
        <v>1</v>
      </c>
      <c r="K1107" t="s">
        <v>1963</v>
      </c>
      <c r="L1107" s="6" t="s">
        <v>1409</v>
      </c>
      <c r="M1107" s="6">
        <v>12</v>
      </c>
      <c r="N1107" s="6">
        <v>2</v>
      </c>
      <c r="O1107">
        <v>500</v>
      </c>
      <c r="P1107">
        <v>202605</v>
      </c>
      <c r="Q1107" t="s">
        <v>378</v>
      </c>
      <c r="R1107" t="s">
        <v>1350</v>
      </c>
      <c r="S1107">
        <f>Consulta1[[#This Row],[min_port]]/100</f>
        <v>1.55E-2</v>
      </c>
      <c r="T1107" s="252">
        <f>Consulta1[[#This Row],[TETO_COMERCIAL]]/100</f>
        <v>2.5000000000000001E-2</v>
      </c>
      <c r="U1107" t="b">
        <f>Consulta1[[#This Row],[TETO_COMERCIAL_%]]=Consulta1[[#This Row],[TAXA]]</f>
        <v>0</v>
      </c>
      <c r="V1107" t="str">
        <f>CONCATENATE(Consulta1[[#This Row],[MES_ALTERACAO]],Consulta1[[#This Row],[VIRADA]])</f>
        <v>20260512</v>
      </c>
      <c r="W1107">
        <f>VLOOKUP(Consulta1[[#This Row],[Coluna2]],CALENDARIO!$J:$K,2,FALSE)</f>
        <v>7</v>
      </c>
    </row>
    <row r="1108" spans="1:23" x14ac:dyDescent="0.25">
      <c r="A1108" t="s">
        <v>3047</v>
      </c>
      <c r="B1108" t="str">
        <f>CONCATENATE(Consulta1[[#This Row],[id]],Consulta1[[#This Row],[EMPREGADOR]])</f>
        <v>12PREF PICOS</v>
      </c>
      <c r="C1108" s="6">
        <f>IF(A1108=A1107,C1107+1,1)</f>
        <v>12</v>
      </c>
      <c r="D1108" t="s">
        <v>446</v>
      </c>
      <c r="E1108" s="101">
        <v>2.2000000000000002E-2</v>
      </c>
      <c r="F1108" s="6">
        <v>120</v>
      </c>
      <c r="G1108" t="s">
        <v>1349</v>
      </c>
      <c r="H1108" s="82">
        <v>2.5</v>
      </c>
      <c r="I1108">
        <v>1</v>
      </c>
      <c r="K1108" t="s">
        <v>1964</v>
      </c>
      <c r="L1108" s="6" t="s">
        <v>1409</v>
      </c>
      <c r="M1108" s="6">
        <v>12</v>
      </c>
      <c r="N1108" s="6">
        <v>2</v>
      </c>
      <c r="O1108">
        <v>500</v>
      </c>
      <c r="P1108">
        <v>202605</v>
      </c>
      <c r="Q1108" t="s">
        <v>378</v>
      </c>
      <c r="R1108" t="s">
        <v>1350</v>
      </c>
      <c r="S1108">
        <f>Consulta1[[#This Row],[min_port]]/100</f>
        <v>1.55E-2</v>
      </c>
      <c r="T1108" s="252">
        <f>Consulta1[[#This Row],[TETO_COMERCIAL]]/100</f>
        <v>2.5000000000000001E-2</v>
      </c>
      <c r="U1108" t="b">
        <f>Consulta1[[#This Row],[TETO_COMERCIAL_%]]=Consulta1[[#This Row],[TAXA]]</f>
        <v>0</v>
      </c>
      <c r="V1108" t="str">
        <f>CONCATENATE(Consulta1[[#This Row],[MES_ALTERACAO]],Consulta1[[#This Row],[VIRADA]])</f>
        <v>20260512</v>
      </c>
      <c r="W1108">
        <f>VLOOKUP(Consulta1[[#This Row],[Coluna2]],CALENDARIO!$J:$K,2,FALSE)</f>
        <v>7</v>
      </c>
    </row>
    <row r="1109" spans="1:23" x14ac:dyDescent="0.25">
      <c r="A1109" t="s">
        <v>3047</v>
      </c>
      <c r="B1109" t="str">
        <f>CONCATENATE(Consulta1[[#This Row],[id]],Consulta1[[#This Row],[EMPREGADOR]])</f>
        <v>13PREF PICOS</v>
      </c>
      <c r="C1109" s="6">
        <f>IF(A1109=A1108,C1108+1,1)</f>
        <v>13</v>
      </c>
      <c r="D1109" t="s">
        <v>452</v>
      </c>
      <c r="E1109" s="101">
        <v>2.1499999999999998E-2</v>
      </c>
      <c r="F1109" s="6">
        <v>120</v>
      </c>
      <c r="G1109" t="s">
        <v>1349</v>
      </c>
      <c r="H1109" s="82">
        <v>2.5</v>
      </c>
      <c r="I1109">
        <v>1</v>
      </c>
      <c r="J1109">
        <v>28</v>
      </c>
      <c r="K1109" t="s">
        <v>1965</v>
      </c>
      <c r="L1109" s="6" t="s">
        <v>1409</v>
      </c>
      <c r="M1109" s="6">
        <v>12</v>
      </c>
      <c r="N1109" s="6">
        <v>2</v>
      </c>
      <c r="O1109">
        <v>500</v>
      </c>
      <c r="P1109">
        <v>202605</v>
      </c>
      <c r="Q1109" t="s">
        <v>378</v>
      </c>
      <c r="R1109" t="s">
        <v>1350</v>
      </c>
      <c r="S1109">
        <f>Consulta1[[#This Row],[min_port]]/100</f>
        <v>1.55E-2</v>
      </c>
      <c r="T1109" s="252">
        <f>Consulta1[[#This Row],[TETO_COMERCIAL]]/100</f>
        <v>2.5000000000000001E-2</v>
      </c>
      <c r="U1109" t="b">
        <f>Consulta1[[#This Row],[TETO_COMERCIAL_%]]=Consulta1[[#This Row],[TAXA]]</f>
        <v>0</v>
      </c>
      <c r="V1109" t="str">
        <f>CONCATENATE(Consulta1[[#This Row],[MES_ALTERACAO]],Consulta1[[#This Row],[VIRADA]])</f>
        <v>20260512</v>
      </c>
      <c r="W1109">
        <f>VLOOKUP(Consulta1[[#This Row],[Coluna2]],CALENDARIO!$J:$K,2,FALSE)</f>
        <v>7</v>
      </c>
    </row>
    <row r="1110" spans="1:23" x14ac:dyDescent="0.25">
      <c r="A1110" t="s">
        <v>3047</v>
      </c>
      <c r="B1110" t="str">
        <f>CONCATENATE(Consulta1[[#This Row],[id]],Consulta1[[#This Row],[EMPREGADOR]])</f>
        <v>14PREF PICOS</v>
      </c>
      <c r="C1110" s="6">
        <f>IF(A1110=A1109,C1109+1,1)</f>
        <v>14</v>
      </c>
      <c r="D1110" t="s">
        <v>447</v>
      </c>
      <c r="E1110" s="101">
        <v>2.1499999999999998E-2</v>
      </c>
      <c r="F1110" s="6">
        <v>120</v>
      </c>
      <c r="G1110" t="s">
        <v>1349</v>
      </c>
      <c r="H1110" s="82">
        <v>2.5</v>
      </c>
      <c r="I1110">
        <v>1</v>
      </c>
      <c r="K1110" t="s">
        <v>1966</v>
      </c>
      <c r="L1110" s="6" t="s">
        <v>1409</v>
      </c>
      <c r="M1110" s="6">
        <v>12</v>
      </c>
      <c r="N1110" s="6">
        <v>2</v>
      </c>
      <c r="O1110">
        <v>500</v>
      </c>
      <c r="P1110">
        <v>202605</v>
      </c>
      <c r="Q1110" t="s">
        <v>378</v>
      </c>
      <c r="R1110" t="s">
        <v>1350</v>
      </c>
      <c r="S1110">
        <f>Consulta1[[#This Row],[min_port]]/100</f>
        <v>1.55E-2</v>
      </c>
      <c r="T1110" s="252">
        <f>Consulta1[[#This Row],[TETO_COMERCIAL]]/100</f>
        <v>2.5000000000000001E-2</v>
      </c>
      <c r="U1110" t="b">
        <f>Consulta1[[#This Row],[TETO_COMERCIAL_%]]=Consulta1[[#This Row],[TAXA]]</f>
        <v>0</v>
      </c>
      <c r="V1110" t="str">
        <f>CONCATENATE(Consulta1[[#This Row],[MES_ALTERACAO]],Consulta1[[#This Row],[VIRADA]])</f>
        <v>20260512</v>
      </c>
      <c r="W1110">
        <f>VLOOKUP(Consulta1[[#This Row],[Coluna2]],CALENDARIO!$J:$K,2,FALSE)</f>
        <v>7</v>
      </c>
    </row>
    <row r="1111" spans="1:23" x14ac:dyDescent="0.25">
      <c r="A1111" t="s">
        <v>3048</v>
      </c>
      <c r="B1111" t="str">
        <f>CONCATENATE(Consulta1[[#This Row],[id]],Consulta1[[#This Row],[EMPREGADOR]])</f>
        <v>1PREF PILAR</v>
      </c>
      <c r="C1111" s="6">
        <f>IF(A1111=A1110,C1110+1,1)</f>
        <v>1</v>
      </c>
      <c r="D1111" t="s">
        <v>1322</v>
      </c>
      <c r="E1111" s="101">
        <v>2.7999999999999997E-2</v>
      </c>
      <c r="F1111" s="6">
        <v>120</v>
      </c>
      <c r="G1111" t="s">
        <v>1349</v>
      </c>
      <c r="H1111" s="82">
        <v>2.8</v>
      </c>
      <c r="I1111">
        <v>18</v>
      </c>
      <c r="K1111" t="s">
        <v>1967</v>
      </c>
      <c r="L1111" s="6" t="s">
        <v>1374</v>
      </c>
      <c r="M1111" s="6">
        <v>15</v>
      </c>
      <c r="N1111" s="6">
        <v>2</v>
      </c>
      <c r="O1111">
        <v>500</v>
      </c>
      <c r="P1111">
        <v>202605</v>
      </c>
      <c r="Q1111" t="s">
        <v>377</v>
      </c>
      <c r="R1111" t="s">
        <v>1353</v>
      </c>
      <c r="S1111">
        <f>Consulta1[[#This Row],[min_port]]/100</f>
        <v>1.4999999999999999E-2</v>
      </c>
      <c r="T1111" s="252">
        <f>Consulta1[[#This Row],[TETO_COMERCIAL]]/100</f>
        <v>2.7999999999999997E-2</v>
      </c>
      <c r="U1111" t="b">
        <f>Consulta1[[#This Row],[TETO_COMERCIAL_%]]=Consulta1[[#This Row],[TAXA]]</f>
        <v>1</v>
      </c>
      <c r="V1111" t="str">
        <f>CONCATENATE(Consulta1[[#This Row],[MES_ALTERACAO]],Consulta1[[#This Row],[VIRADA]])</f>
        <v>20260515</v>
      </c>
      <c r="W1111">
        <f>VLOOKUP(Consulta1[[#This Row],[Coluna2]],CALENDARIO!$J:$K,2,FALSE)</f>
        <v>10</v>
      </c>
    </row>
    <row r="1112" spans="1:23" x14ac:dyDescent="0.25">
      <c r="A1112" t="s">
        <v>3048</v>
      </c>
      <c r="B1112" t="str">
        <f>CONCATENATE(Consulta1[[#This Row],[id]],Consulta1[[#This Row],[EMPREGADOR]])</f>
        <v>2PREF PILAR</v>
      </c>
      <c r="C1112" s="6">
        <f>IF(A1112=A1111,C1111+1,1)</f>
        <v>2</v>
      </c>
      <c r="D1112" t="s">
        <v>1323</v>
      </c>
      <c r="E1112" s="101">
        <v>2.7000000000000003E-2</v>
      </c>
      <c r="F1112" s="6">
        <v>120</v>
      </c>
      <c r="G1112" t="s">
        <v>1349</v>
      </c>
      <c r="H1112" s="82">
        <v>2.8</v>
      </c>
      <c r="I1112">
        <v>18</v>
      </c>
      <c r="K1112" t="s">
        <v>1968</v>
      </c>
      <c r="L1112" s="6" t="s">
        <v>1374</v>
      </c>
      <c r="M1112" s="6">
        <v>15</v>
      </c>
      <c r="N1112" s="6">
        <v>2</v>
      </c>
      <c r="O1112">
        <v>500</v>
      </c>
      <c r="P1112">
        <v>202605</v>
      </c>
      <c r="Q1112" t="s">
        <v>377</v>
      </c>
      <c r="R1112" t="s">
        <v>1353</v>
      </c>
      <c r="S1112">
        <f>Consulta1[[#This Row],[min_port]]/100</f>
        <v>1.4999999999999999E-2</v>
      </c>
      <c r="T1112" s="252">
        <f>Consulta1[[#This Row],[TETO_COMERCIAL]]/100</f>
        <v>2.7999999999999997E-2</v>
      </c>
      <c r="U1112" t="b">
        <f>Consulta1[[#This Row],[TETO_COMERCIAL_%]]=Consulta1[[#This Row],[TAXA]]</f>
        <v>0</v>
      </c>
      <c r="V1112" t="str">
        <f>CONCATENATE(Consulta1[[#This Row],[MES_ALTERACAO]],Consulta1[[#This Row],[VIRADA]])</f>
        <v>20260515</v>
      </c>
      <c r="W1112">
        <f>VLOOKUP(Consulta1[[#This Row],[Coluna2]],CALENDARIO!$J:$K,2,FALSE)</f>
        <v>10</v>
      </c>
    </row>
    <row r="1113" spans="1:23" x14ac:dyDescent="0.25">
      <c r="A1113" t="s">
        <v>3048</v>
      </c>
      <c r="B1113" t="str">
        <f>CONCATENATE(Consulta1[[#This Row],[id]],Consulta1[[#This Row],[EMPREGADOR]])</f>
        <v>3PREF PILAR</v>
      </c>
      <c r="C1113" s="6">
        <f>IF(A1113=A1112,C1112+1,1)</f>
        <v>3</v>
      </c>
      <c r="D1113" t="s">
        <v>1324</v>
      </c>
      <c r="E1113" s="101">
        <v>2.6000000000000002E-2</v>
      </c>
      <c r="F1113" s="6">
        <v>120</v>
      </c>
      <c r="G1113" t="s">
        <v>1349</v>
      </c>
      <c r="H1113" s="82">
        <v>2.8</v>
      </c>
      <c r="I1113">
        <v>18</v>
      </c>
      <c r="J1113">
        <v>39</v>
      </c>
      <c r="K1113" t="s">
        <v>1969</v>
      </c>
      <c r="L1113" s="6" t="s">
        <v>1374</v>
      </c>
      <c r="M1113" s="6">
        <v>15</v>
      </c>
      <c r="N1113" s="6">
        <v>2</v>
      </c>
      <c r="O1113">
        <v>500</v>
      </c>
      <c r="P1113">
        <v>202605</v>
      </c>
      <c r="Q1113" t="s">
        <v>377</v>
      </c>
      <c r="R1113" t="s">
        <v>1353</v>
      </c>
      <c r="S1113">
        <f>Consulta1[[#This Row],[min_port]]/100</f>
        <v>1.4999999999999999E-2</v>
      </c>
      <c r="T1113" s="252">
        <f>Consulta1[[#This Row],[TETO_COMERCIAL]]/100</f>
        <v>2.7999999999999997E-2</v>
      </c>
      <c r="U1113" t="b">
        <f>Consulta1[[#This Row],[TETO_COMERCIAL_%]]=Consulta1[[#This Row],[TAXA]]</f>
        <v>0</v>
      </c>
      <c r="V1113" t="str">
        <f>CONCATENATE(Consulta1[[#This Row],[MES_ALTERACAO]],Consulta1[[#This Row],[VIRADA]])</f>
        <v>20260515</v>
      </c>
      <c r="W1113">
        <f>VLOOKUP(Consulta1[[#This Row],[Coluna2]],CALENDARIO!$J:$K,2,FALSE)</f>
        <v>10</v>
      </c>
    </row>
    <row r="1114" spans="1:23" x14ac:dyDescent="0.25">
      <c r="A1114" t="s">
        <v>3048</v>
      </c>
      <c r="B1114" t="str">
        <f>CONCATENATE(Consulta1[[#This Row],[id]],Consulta1[[#This Row],[EMPREGADOR]])</f>
        <v>4PREF PILAR</v>
      </c>
      <c r="C1114" s="6">
        <f>IF(A1114=A1113,C1113+1,1)</f>
        <v>4</v>
      </c>
      <c r="D1114" t="s">
        <v>1325</v>
      </c>
      <c r="E1114" s="101">
        <v>2.5000000000000001E-2</v>
      </c>
      <c r="F1114" s="6">
        <v>120</v>
      </c>
      <c r="G1114" t="s">
        <v>1349</v>
      </c>
      <c r="H1114" s="82">
        <v>2.8</v>
      </c>
      <c r="I1114">
        <v>18</v>
      </c>
      <c r="J1114">
        <v>38</v>
      </c>
      <c r="K1114" t="s">
        <v>1970</v>
      </c>
      <c r="L1114" s="6" t="s">
        <v>1374</v>
      </c>
      <c r="M1114" s="6">
        <v>15</v>
      </c>
      <c r="N1114" s="6">
        <v>2</v>
      </c>
      <c r="O1114">
        <v>500</v>
      </c>
      <c r="P1114">
        <v>202605</v>
      </c>
      <c r="Q1114" t="s">
        <v>377</v>
      </c>
      <c r="R1114" t="s">
        <v>1353</v>
      </c>
      <c r="S1114">
        <f>Consulta1[[#This Row],[min_port]]/100</f>
        <v>1.4999999999999999E-2</v>
      </c>
      <c r="T1114" s="252">
        <f>Consulta1[[#This Row],[TETO_COMERCIAL]]/100</f>
        <v>2.7999999999999997E-2</v>
      </c>
      <c r="U1114" t="b">
        <f>Consulta1[[#This Row],[TETO_COMERCIAL_%]]=Consulta1[[#This Row],[TAXA]]</f>
        <v>0</v>
      </c>
      <c r="V1114" t="str">
        <f>CONCATENATE(Consulta1[[#This Row],[MES_ALTERACAO]],Consulta1[[#This Row],[VIRADA]])</f>
        <v>20260515</v>
      </c>
      <c r="W1114">
        <f>VLOOKUP(Consulta1[[#This Row],[Coluna2]],CALENDARIO!$J:$K,2,FALSE)</f>
        <v>10</v>
      </c>
    </row>
    <row r="1115" spans="1:23" x14ac:dyDescent="0.25">
      <c r="A1115" t="s">
        <v>3048</v>
      </c>
      <c r="B1115" t="str">
        <f>CONCATENATE(Consulta1[[#This Row],[id]],Consulta1[[#This Row],[EMPREGADOR]])</f>
        <v>5PREF PILAR</v>
      </c>
      <c r="C1115" s="6">
        <f>IF(A1115=A1114,C1114+1,1)</f>
        <v>5</v>
      </c>
      <c r="D1115" t="s">
        <v>1326</v>
      </c>
      <c r="E1115" s="101">
        <v>2.4E-2</v>
      </c>
      <c r="F1115" s="6">
        <v>120</v>
      </c>
      <c r="G1115" t="s">
        <v>1349</v>
      </c>
      <c r="H1115" s="82">
        <v>2.8</v>
      </c>
      <c r="I1115">
        <v>18</v>
      </c>
      <c r="J1115">
        <v>47</v>
      </c>
      <c r="K1115" t="s">
        <v>1971</v>
      </c>
      <c r="L1115" s="6" t="s">
        <v>1374</v>
      </c>
      <c r="M1115" s="6">
        <v>15</v>
      </c>
      <c r="N1115" s="6">
        <v>2</v>
      </c>
      <c r="O1115">
        <v>500</v>
      </c>
      <c r="P1115">
        <v>202605</v>
      </c>
      <c r="Q1115" t="s">
        <v>377</v>
      </c>
      <c r="R1115" t="s">
        <v>1353</v>
      </c>
      <c r="S1115">
        <f>Consulta1[[#This Row],[min_port]]/100</f>
        <v>1.4999999999999999E-2</v>
      </c>
      <c r="T1115" s="252">
        <f>Consulta1[[#This Row],[TETO_COMERCIAL]]/100</f>
        <v>2.7999999999999997E-2</v>
      </c>
      <c r="U1115" t="b">
        <f>Consulta1[[#This Row],[TETO_COMERCIAL_%]]=Consulta1[[#This Row],[TAXA]]</f>
        <v>0</v>
      </c>
      <c r="V1115" t="str">
        <f>CONCATENATE(Consulta1[[#This Row],[MES_ALTERACAO]],Consulta1[[#This Row],[VIRADA]])</f>
        <v>20260515</v>
      </c>
      <c r="W1115">
        <f>VLOOKUP(Consulta1[[#This Row],[Coluna2]],CALENDARIO!$J:$K,2,FALSE)</f>
        <v>10</v>
      </c>
    </row>
    <row r="1116" spans="1:23" x14ac:dyDescent="0.25">
      <c r="A1116" t="s">
        <v>3048</v>
      </c>
      <c r="B1116" t="str">
        <f>CONCATENATE(Consulta1[[#This Row],[id]],Consulta1[[#This Row],[EMPREGADOR]])</f>
        <v>6PREF PILAR</v>
      </c>
      <c r="C1116" s="6">
        <f>IF(A1116=A1115,C1115+1,1)</f>
        <v>6</v>
      </c>
      <c r="D1116" t="s">
        <v>3251</v>
      </c>
      <c r="E1116" s="101">
        <v>2.3E-2</v>
      </c>
      <c r="F1116" s="6">
        <v>120</v>
      </c>
      <c r="G1116" t="s">
        <v>1349</v>
      </c>
      <c r="H1116" s="82">
        <v>2.8</v>
      </c>
      <c r="I1116">
        <v>18</v>
      </c>
      <c r="K1116" t="s">
        <v>3252</v>
      </c>
      <c r="L1116" s="6" t="s">
        <v>1374</v>
      </c>
      <c r="M1116" s="6">
        <v>15</v>
      </c>
      <c r="N1116" s="6">
        <v>2</v>
      </c>
      <c r="O1116">
        <v>500</v>
      </c>
      <c r="P1116">
        <v>202605</v>
      </c>
      <c r="Q1116" t="s">
        <v>377</v>
      </c>
      <c r="R1116" t="s">
        <v>1353</v>
      </c>
      <c r="S1116">
        <f>Consulta1[[#This Row],[min_port]]/100</f>
        <v>1.4999999999999999E-2</v>
      </c>
      <c r="T1116" s="252">
        <f>Consulta1[[#This Row],[TETO_COMERCIAL]]/100</f>
        <v>2.7999999999999997E-2</v>
      </c>
      <c r="U1116" t="b">
        <f>Consulta1[[#This Row],[TETO_COMERCIAL_%]]=Consulta1[[#This Row],[TAXA]]</f>
        <v>0</v>
      </c>
      <c r="V1116" t="str">
        <f>CONCATENATE(Consulta1[[#This Row],[MES_ALTERACAO]],Consulta1[[#This Row],[VIRADA]])</f>
        <v>20260515</v>
      </c>
      <c r="W1116">
        <f>VLOOKUP(Consulta1[[#This Row],[Coluna2]],CALENDARIO!$J:$K,2,FALSE)</f>
        <v>10</v>
      </c>
    </row>
    <row r="1117" spans="1:23" x14ac:dyDescent="0.25">
      <c r="A1117" t="s">
        <v>3048</v>
      </c>
      <c r="B1117" t="str">
        <f>CONCATENATE(Consulta1[[#This Row],[id]],Consulta1[[#This Row],[EMPREGADOR]])</f>
        <v>7PREF PILAR</v>
      </c>
      <c r="C1117" s="6">
        <f>IF(A1117=A1116,C1116+1,1)</f>
        <v>7</v>
      </c>
      <c r="D1117" t="s">
        <v>3253</v>
      </c>
      <c r="E1117" s="101">
        <v>2.2000000000000002E-2</v>
      </c>
      <c r="F1117" s="6">
        <v>120</v>
      </c>
      <c r="G1117" t="s">
        <v>1349</v>
      </c>
      <c r="H1117" s="82">
        <v>2.8</v>
      </c>
      <c r="I1117">
        <v>18</v>
      </c>
      <c r="K1117" t="s">
        <v>3254</v>
      </c>
      <c r="L1117" s="6" t="s">
        <v>1374</v>
      </c>
      <c r="M1117" s="6">
        <v>15</v>
      </c>
      <c r="N1117" s="6">
        <v>2</v>
      </c>
      <c r="O1117">
        <v>500</v>
      </c>
      <c r="P1117">
        <v>202605</v>
      </c>
      <c r="Q1117" t="s">
        <v>377</v>
      </c>
      <c r="R1117" t="s">
        <v>1353</v>
      </c>
      <c r="S1117">
        <f>Consulta1[[#This Row],[min_port]]/100</f>
        <v>1.4999999999999999E-2</v>
      </c>
      <c r="T1117" s="252">
        <f>Consulta1[[#This Row],[TETO_COMERCIAL]]/100</f>
        <v>2.7999999999999997E-2</v>
      </c>
      <c r="U1117" t="b">
        <f>Consulta1[[#This Row],[TETO_COMERCIAL_%]]=Consulta1[[#This Row],[TAXA]]</f>
        <v>0</v>
      </c>
      <c r="V1117" t="str">
        <f>CONCATENATE(Consulta1[[#This Row],[MES_ALTERACAO]],Consulta1[[#This Row],[VIRADA]])</f>
        <v>20260515</v>
      </c>
      <c r="W1117">
        <f>VLOOKUP(Consulta1[[#This Row],[Coluna2]],CALENDARIO!$J:$K,2,FALSE)</f>
        <v>10</v>
      </c>
    </row>
    <row r="1118" spans="1:23" x14ac:dyDescent="0.25">
      <c r="A1118" t="s">
        <v>3751</v>
      </c>
      <c r="B1118" t="str">
        <f>CONCATENATE(Consulta1[[#This Row],[id]],Consulta1[[#This Row],[EMPREGADOR]])</f>
        <v>1PREF PINDAMONH</v>
      </c>
      <c r="C1118" s="6">
        <f>IF(A1118=A1117,C1117+1,1)</f>
        <v>1</v>
      </c>
      <c r="D1118" t="s">
        <v>517</v>
      </c>
      <c r="E1118" s="101">
        <v>2.5000000000000001E-2</v>
      </c>
      <c r="F1118" s="6">
        <v>120</v>
      </c>
      <c r="G1118" t="s">
        <v>1349</v>
      </c>
      <c r="H1118" s="82">
        <v>2.5</v>
      </c>
      <c r="I1118">
        <v>20</v>
      </c>
      <c r="K1118" t="s">
        <v>1972</v>
      </c>
      <c r="L1118" s="6" t="s">
        <v>1517</v>
      </c>
      <c r="M1118" s="6">
        <v>10</v>
      </c>
      <c r="N1118" s="6">
        <v>2</v>
      </c>
      <c r="O1118">
        <v>500</v>
      </c>
      <c r="P1118">
        <v>202605</v>
      </c>
      <c r="Q1118" t="s">
        <v>377</v>
      </c>
      <c r="R1118" t="s">
        <v>1353</v>
      </c>
      <c r="S1118">
        <f>Consulta1[[#This Row],[min_port]]/100</f>
        <v>1.6200000000000003E-2</v>
      </c>
      <c r="T1118" s="252">
        <f>Consulta1[[#This Row],[TETO_COMERCIAL]]/100</f>
        <v>2.5000000000000001E-2</v>
      </c>
      <c r="U1118" t="b">
        <f>Consulta1[[#This Row],[TETO_COMERCIAL_%]]=Consulta1[[#This Row],[TAXA]]</f>
        <v>1</v>
      </c>
      <c r="V1118" t="str">
        <f>CONCATENATE(Consulta1[[#This Row],[MES_ALTERACAO]],Consulta1[[#This Row],[VIRADA]])</f>
        <v>20260510</v>
      </c>
      <c r="W1118">
        <f>VLOOKUP(Consulta1[[#This Row],[Coluna2]],CALENDARIO!$J:$K,2,FALSE)</f>
        <v>5</v>
      </c>
    </row>
    <row r="1119" spans="1:23" x14ac:dyDescent="0.25">
      <c r="A1119" t="s">
        <v>3751</v>
      </c>
      <c r="B1119" t="str">
        <f>CONCATENATE(Consulta1[[#This Row],[id]],Consulta1[[#This Row],[EMPREGADOR]])</f>
        <v>2PREF PINDAMONH</v>
      </c>
      <c r="C1119" s="6">
        <f>IF(A1119=A1118,C1118+1,1)</f>
        <v>2</v>
      </c>
      <c r="D1119" t="s">
        <v>518</v>
      </c>
      <c r="E1119" s="101">
        <v>2.3900000000000001E-2</v>
      </c>
      <c r="F1119" s="6">
        <v>120</v>
      </c>
      <c r="G1119" t="s">
        <v>1349</v>
      </c>
      <c r="H1119" s="82">
        <v>2.5</v>
      </c>
      <c r="I1119">
        <v>20</v>
      </c>
      <c r="K1119" t="s">
        <v>1973</v>
      </c>
      <c r="L1119" s="6" t="s">
        <v>1517</v>
      </c>
      <c r="M1119" s="6">
        <v>10</v>
      </c>
      <c r="N1119" s="6">
        <v>2</v>
      </c>
      <c r="O1119">
        <v>500</v>
      </c>
      <c r="P1119">
        <v>202605</v>
      </c>
      <c r="Q1119" t="s">
        <v>377</v>
      </c>
      <c r="R1119" t="s">
        <v>1353</v>
      </c>
      <c r="S1119">
        <f>Consulta1[[#This Row],[min_port]]/100</f>
        <v>1.6200000000000003E-2</v>
      </c>
      <c r="T1119" s="252">
        <f>Consulta1[[#This Row],[TETO_COMERCIAL]]/100</f>
        <v>2.5000000000000001E-2</v>
      </c>
      <c r="U1119" t="b">
        <f>Consulta1[[#This Row],[TETO_COMERCIAL_%]]=Consulta1[[#This Row],[TAXA]]</f>
        <v>0</v>
      </c>
      <c r="V1119" t="str">
        <f>CONCATENATE(Consulta1[[#This Row],[MES_ALTERACAO]],Consulta1[[#This Row],[VIRADA]])</f>
        <v>20260510</v>
      </c>
      <c r="W1119">
        <f>VLOOKUP(Consulta1[[#This Row],[Coluna2]],CALENDARIO!$J:$K,2,FALSE)</f>
        <v>5</v>
      </c>
    </row>
    <row r="1120" spans="1:23" x14ac:dyDescent="0.25">
      <c r="A1120" t="s">
        <v>3751</v>
      </c>
      <c r="B1120" t="str">
        <f>CONCATENATE(Consulta1[[#This Row],[id]],Consulta1[[#This Row],[EMPREGADOR]])</f>
        <v>3PREF PINDAMONH</v>
      </c>
      <c r="C1120" s="6">
        <f>IF(A1120=A1119,C1119+1,1)</f>
        <v>3</v>
      </c>
      <c r="D1120" t="s">
        <v>519</v>
      </c>
      <c r="E1120" s="101">
        <v>2.29E-2</v>
      </c>
      <c r="F1120" s="6">
        <v>120</v>
      </c>
      <c r="G1120" t="s">
        <v>1349</v>
      </c>
      <c r="H1120" s="82">
        <v>2.5</v>
      </c>
      <c r="I1120">
        <v>20</v>
      </c>
      <c r="K1120" t="s">
        <v>1974</v>
      </c>
      <c r="L1120" s="6" t="s">
        <v>1517</v>
      </c>
      <c r="M1120" s="6">
        <v>10</v>
      </c>
      <c r="N1120" s="6">
        <v>2</v>
      </c>
      <c r="O1120">
        <v>500</v>
      </c>
      <c r="P1120">
        <v>202605</v>
      </c>
      <c r="Q1120" t="s">
        <v>377</v>
      </c>
      <c r="R1120" t="s">
        <v>1353</v>
      </c>
      <c r="S1120">
        <f>Consulta1[[#This Row],[min_port]]/100</f>
        <v>1.6200000000000003E-2</v>
      </c>
      <c r="T1120" s="252">
        <f>Consulta1[[#This Row],[TETO_COMERCIAL]]/100</f>
        <v>2.5000000000000001E-2</v>
      </c>
      <c r="U1120" t="b">
        <f>Consulta1[[#This Row],[TETO_COMERCIAL_%]]=Consulta1[[#This Row],[TAXA]]</f>
        <v>0</v>
      </c>
      <c r="V1120" t="str">
        <f>CONCATENATE(Consulta1[[#This Row],[MES_ALTERACAO]],Consulta1[[#This Row],[VIRADA]])</f>
        <v>20260510</v>
      </c>
      <c r="W1120">
        <f>VLOOKUP(Consulta1[[#This Row],[Coluna2]],CALENDARIO!$J:$K,2,FALSE)</f>
        <v>5</v>
      </c>
    </row>
    <row r="1121" spans="1:23" x14ac:dyDescent="0.25">
      <c r="A1121" t="s">
        <v>3751</v>
      </c>
      <c r="B1121" t="str">
        <f>CONCATENATE(Consulta1[[#This Row],[id]],Consulta1[[#This Row],[EMPREGADOR]])</f>
        <v>4PREF PINDAMONH</v>
      </c>
      <c r="C1121" s="6">
        <f>IF(A1121=A1120,C1120+1,1)</f>
        <v>4</v>
      </c>
      <c r="D1121" t="s">
        <v>520</v>
      </c>
      <c r="E1121" s="101">
        <v>2.1899999999999999E-2</v>
      </c>
      <c r="F1121" s="6">
        <v>120</v>
      </c>
      <c r="G1121" t="s">
        <v>1349</v>
      </c>
      <c r="H1121" s="82">
        <v>2.5</v>
      </c>
      <c r="I1121">
        <v>20</v>
      </c>
      <c r="K1121" t="s">
        <v>1975</v>
      </c>
      <c r="L1121" s="6" t="s">
        <v>1517</v>
      </c>
      <c r="M1121" s="6">
        <v>10</v>
      </c>
      <c r="N1121" s="6">
        <v>2</v>
      </c>
      <c r="O1121">
        <v>500</v>
      </c>
      <c r="P1121">
        <v>202605</v>
      </c>
      <c r="Q1121" t="s">
        <v>377</v>
      </c>
      <c r="R1121" t="s">
        <v>1353</v>
      </c>
      <c r="S1121">
        <f>Consulta1[[#This Row],[min_port]]/100</f>
        <v>1.6200000000000003E-2</v>
      </c>
      <c r="T1121" s="252">
        <f>Consulta1[[#This Row],[TETO_COMERCIAL]]/100</f>
        <v>2.5000000000000001E-2</v>
      </c>
      <c r="U1121" t="b">
        <f>Consulta1[[#This Row],[TETO_COMERCIAL_%]]=Consulta1[[#This Row],[TAXA]]</f>
        <v>0</v>
      </c>
      <c r="V1121" t="str">
        <f>CONCATENATE(Consulta1[[#This Row],[MES_ALTERACAO]],Consulta1[[#This Row],[VIRADA]])</f>
        <v>20260510</v>
      </c>
      <c r="W1121">
        <f>VLOOKUP(Consulta1[[#This Row],[Coluna2]],CALENDARIO!$J:$K,2,FALSE)</f>
        <v>5</v>
      </c>
    </row>
    <row r="1122" spans="1:23" x14ac:dyDescent="0.25">
      <c r="A1122" t="s">
        <v>3751</v>
      </c>
      <c r="B1122" t="str">
        <f>CONCATENATE(Consulta1[[#This Row],[id]],Consulta1[[#This Row],[EMPREGADOR]])</f>
        <v>5PREF PINDAMONH</v>
      </c>
      <c r="C1122" s="6">
        <f>IF(A1122=A1121,C1121+1,1)</f>
        <v>5</v>
      </c>
      <c r="D1122" t="s">
        <v>521</v>
      </c>
      <c r="E1122" s="101">
        <v>2.1499999999999998E-2</v>
      </c>
      <c r="F1122" s="6">
        <v>120</v>
      </c>
      <c r="G1122" t="s">
        <v>1349</v>
      </c>
      <c r="H1122" s="82">
        <v>2.5</v>
      </c>
      <c r="I1122">
        <v>20</v>
      </c>
      <c r="K1122" t="s">
        <v>1976</v>
      </c>
      <c r="L1122" s="6" t="s">
        <v>1517</v>
      </c>
      <c r="M1122" s="6">
        <v>10</v>
      </c>
      <c r="N1122" s="6">
        <v>2</v>
      </c>
      <c r="O1122">
        <v>500</v>
      </c>
      <c r="P1122">
        <v>202605</v>
      </c>
      <c r="Q1122" t="s">
        <v>377</v>
      </c>
      <c r="R1122" t="s">
        <v>1353</v>
      </c>
      <c r="S1122">
        <f>Consulta1[[#This Row],[min_port]]/100</f>
        <v>1.6200000000000003E-2</v>
      </c>
      <c r="T1122" s="252">
        <f>Consulta1[[#This Row],[TETO_COMERCIAL]]/100</f>
        <v>2.5000000000000001E-2</v>
      </c>
      <c r="U1122" t="b">
        <f>Consulta1[[#This Row],[TETO_COMERCIAL_%]]=Consulta1[[#This Row],[TAXA]]</f>
        <v>0</v>
      </c>
      <c r="V1122" t="str">
        <f>CONCATENATE(Consulta1[[#This Row],[MES_ALTERACAO]],Consulta1[[#This Row],[VIRADA]])</f>
        <v>20260510</v>
      </c>
      <c r="W1122">
        <f>VLOOKUP(Consulta1[[#This Row],[Coluna2]],CALENDARIO!$J:$K,2,FALSE)</f>
        <v>5</v>
      </c>
    </row>
    <row r="1123" spans="1:23" x14ac:dyDescent="0.25">
      <c r="A1123" t="s">
        <v>3049</v>
      </c>
      <c r="B1123" t="str">
        <f>CONCATENATE(Consulta1[[#This Row],[id]],Consulta1[[#This Row],[EMPREGADOR]])</f>
        <v>1PREF PIRACICAB CLT</v>
      </c>
      <c r="C1123" s="6">
        <f>IF(A1123=A1122,C1122+1,1)</f>
        <v>1</v>
      </c>
      <c r="D1123" t="s">
        <v>784</v>
      </c>
      <c r="E1123" s="101">
        <v>2.5000000000000001E-2</v>
      </c>
      <c r="F1123" s="6">
        <v>96</v>
      </c>
      <c r="G1123" t="s">
        <v>1349</v>
      </c>
      <c r="H1123" s="82">
        <v>2.5</v>
      </c>
      <c r="I1123">
        <v>7</v>
      </c>
      <c r="J1123">
        <v>52</v>
      </c>
      <c r="K1123" t="s">
        <v>1977</v>
      </c>
      <c r="L1123" s="6" t="s">
        <v>1371</v>
      </c>
      <c r="M1123" s="6">
        <v>1</v>
      </c>
      <c r="N1123" s="6">
        <v>2</v>
      </c>
      <c r="O1123">
        <v>500</v>
      </c>
      <c r="P1123">
        <v>202605</v>
      </c>
      <c r="Q1123" t="s">
        <v>377</v>
      </c>
      <c r="R1123" t="s">
        <v>1353</v>
      </c>
      <c r="S1123">
        <f>Consulta1[[#This Row],[min_port]]/100</f>
        <v>1.4499999999999999E-2</v>
      </c>
      <c r="T1123" s="252">
        <f>Consulta1[[#This Row],[TETO_COMERCIAL]]/100</f>
        <v>2.5000000000000001E-2</v>
      </c>
      <c r="U1123" t="b">
        <f>Consulta1[[#This Row],[TETO_COMERCIAL_%]]=Consulta1[[#This Row],[TAXA]]</f>
        <v>1</v>
      </c>
      <c r="V1123" t="str">
        <f>CONCATENATE(Consulta1[[#This Row],[MES_ALTERACAO]],Consulta1[[#This Row],[VIRADA]])</f>
        <v>2026051</v>
      </c>
      <c r="W1123">
        <f>VLOOKUP(Consulta1[[#This Row],[Coluna2]],CALENDARIO!$J:$K,2,FALSE)</f>
        <v>0</v>
      </c>
    </row>
    <row r="1124" spans="1:23" x14ac:dyDescent="0.25">
      <c r="A1124" t="s">
        <v>3049</v>
      </c>
      <c r="B1124" t="str">
        <f>CONCATENATE(Consulta1[[#This Row],[id]],Consulta1[[#This Row],[EMPREGADOR]])</f>
        <v>2PREF PIRACICAB CLT</v>
      </c>
      <c r="C1124" s="6">
        <f>IF(A1124=A1123,C1123+1,1)</f>
        <v>2</v>
      </c>
      <c r="D1124" t="s">
        <v>888</v>
      </c>
      <c r="E1124" s="101">
        <v>2.0499999999999997E-2</v>
      </c>
      <c r="F1124" s="6">
        <v>96</v>
      </c>
      <c r="G1124" t="s">
        <v>1349</v>
      </c>
      <c r="H1124" s="82">
        <v>2.5</v>
      </c>
      <c r="I1124">
        <v>7</v>
      </c>
      <c r="J1124">
        <v>51</v>
      </c>
      <c r="K1124" t="s">
        <v>1978</v>
      </c>
      <c r="L1124" s="6" t="s">
        <v>1371</v>
      </c>
      <c r="M1124" s="6">
        <v>1</v>
      </c>
      <c r="N1124" s="6">
        <v>2</v>
      </c>
      <c r="O1124">
        <v>500</v>
      </c>
      <c r="P1124">
        <v>202605</v>
      </c>
      <c r="Q1124" t="s">
        <v>377</v>
      </c>
      <c r="R1124" t="s">
        <v>1353</v>
      </c>
      <c r="S1124">
        <f>Consulta1[[#This Row],[min_port]]/100</f>
        <v>1.4499999999999999E-2</v>
      </c>
      <c r="T1124" s="252">
        <f>Consulta1[[#This Row],[TETO_COMERCIAL]]/100</f>
        <v>2.5000000000000001E-2</v>
      </c>
      <c r="U1124" t="b">
        <f>Consulta1[[#This Row],[TETO_COMERCIAL_%]]=Consulta1[[#This Row],[TAXA]]</f>
        <v>0</v>
      </c>
      <c r="V1124" t="str">
        <f>CONCATENATE(Consulta1[[#This Row],[MES_ALTERACAO]],Consulta1[[#This Row],[VIRADA]])</f>
        <v>2026051</v>
      </c>
      <c r="W1124">
        <f>VLOOKUP(Consulta1[[#This Row],[Coluna2]],CALENDARIO!$J:$K,2,FALSE)</f>
        <v>0</v>
      </c>
    </row>
    <row r="1125" spans="1:23" x14ac:dyDescent="0.25">
      <c r="A1125" t="s">
        <v>3049</v>
      </c>
      <c r="B1125" t="str">
        <f>CONCATENATE(Consulta1[[#This Row],[id]],Consulta1[[#This Row],[EMPREGADOR]])</f>
        <v>3PREF PIRACICAB CLT</v>
      </c>
      <c r="C1125" s="6">
        <f>IF(A1125=A1124,C1124+1,1)</f>
        <v>3</v>
      </c>
      <c r="D1125" t="s">
        <v>889</v>
      </c>
      <c r="E1125" s="101">
        <v>1.9900000000000001E-2</v>
      </c>
      <c r="F1125" s="6">
        <v>96</v>
      </c>
      <c r="G1125" t="s">
        <v>1349</v>
      </c>
      <c r="H1125" s="82">
        <v>2.5</v>
      </c>
      <c r="I1125">
        <v>7</v>
      </c>
      <c r="J1125">
        <v>52</v>
      </c>
      <c r="K1125" t="s">
        <v>1979</v>
      </c>
      <c r="L1125" s="6" t="s">
        <v>1371</v>
      </c>
      <c r="M1125" s="6">
        <v>1</v>
      </c>
      <c r="N1125" s="6">
        <v>2</v>
      </c>
      <c r="O1125">
        <v>500</v>
      </c>
      <c r="P1125">
        <v>202605</v>
      </c>
      <c r="Q1125" t="s">
        <v>377</v>
      </c>
      <c r="R1125" t="s">
        <v>1353</v>
      </c>
      <c r="S1125">
        <f>Consulta1[[#This Row],[min_port]]/100</f>
        <v>1.4499999999999999E-2</v>
      </c>
      <c r="T1125" s="252">
        <f>Consulta1[[#This Row],[TETO_COMERCIAL]]/100</f>
        <v>2.5000000000000001E-2</v>
      </c>
      <c r="U1125" t="b">
        <f>Consulta1[[#This Row],[TETO_COMERCIAL_%]]=Consulta1[[#This Row],[TAXA]]</f>
        <v>0</v>
      </c>
      <c r="V1125" t="str">
        <f>CONCATENATE(Consulta1[[#This Row],[MES_ALTERACAO]],Consulta1[[#This Row],[VIRADA]])</f>
        <v>2026051</v>
      </c>
      <c r="W1125">
        <f>VLOOKUP(Consulta1[[#This Row],[Coluna2]],CALENDARIO!$J:$K,2,FALSE)</f>
        <v>0</v>
      </c>
    </row>
    <row r="1126" spans="1:23" x14ac:dyDescent="0.25">
      <c r="A1126" t="s">
        <v>3049</v>
      </c>
      <c r="B1126" t="str">
        <f>CONCATENATE(Consulta1[[#This Row],[id]],Consulta1[[#This Row],[EMPREGADOR]])</f>
        <v>4PREF PIRACICAB CLT</v>
      </c>
      <c r="C1126" s="6">
        <f>IF(A1126=A1125,C1125+1,1)</f>
        <v>4</v>
      </c>
      <c r="D1126" t="s">
        <v>890</v>
      </c>
      <c r="E1126" s="101">
        <v>1.95E-2</v>
      </c>
      <c r="F1126" s="6">
        <v>96</v>
      </c>
      <c r="G1126" t="s">
        <v>1349</v>
      </c>
      <c r="H1126" s="82">
        <v>2.5</v>
      </c>
      <c r="I1126">
        <v>7</v>
      </c>
      <c r="J1126">
        <v>52</v>
      </c>
      <c r="K1126" t="s">
        <v>1980</v>
      </c>
      <c r="L1126" s="6" t="s">
        <v>1371</v>
      </c>
      <c r="M1126" s="6">
        <v>1</v>
      </c>
      <c r="N1126" s="6">
        <v>2</v>
      </c>
      <c r="O1126">
        <v>500</v>
      </c>
      <c r="P1126">
        <v>202605</v>
      </c>
      <c r="Q1126" t="s">
        <v>377</v>
      </c>
      <c r="R1126" t="s">
        <v>1353</v>
      </c>
      <c r="S1126">
        <f>Consulta1[[#This Row],[min_port]]/100</f>
        <v>1.4499999999999999E-2</v>
      </c>
      <c r="T1126" s="252">
        <f>Consulta1[[#This Row],[TETO_COMERCIAL]]/100</f>
        <v>2.5000000000000001E-2</v>
      </c>
      <c r="U1126" t="b">
        <f>Consulta1[[#This Row],[TETO_COMERCIAL_%]]=Consulta1[[#This Row],[TAXA]]</f>
        <v>0</v>
      </c>
      <c r="V1126" t="str">
        <f>CONCATENATE(Consulta1[[#This Row],[MES_ALTERACAO]],Consulta1[[#This Row],[VIRADA]])</f>
        <v>2026051</v>
      </c>
      <c r="W1126">
        <f>VLOOKUP(Consulta1[[#This Row],[Coluna2]],CALENDARIO!$J:$K,2,FALSE)</f>
        <v>0</v>
      </c>
    </row>
    <row r="1127" spans="1:23" x14ac:dyDescent="0.25">
      <c r="A1127" t="s">
        <v>3049</v>
      </c>
      <c r="B1127" t="str">
        <f>CONCATENATE(Consulta1[[#This Row],[id]],Consulta1[[#This Row],[EMPREGADOR]])</f>
        <v>5PREF PIRACICAB CLT</v>
      </c>
      <c r="C1127" s="6">
        <f>IF(A1127=A1126,C1126+1,1)</f>
        <v>5</v>
      </c>
      <c r="D1127" t="s">
        <v>891</v>
      </c>
      <c r="E1127" s="101">
        <v>1.89E-2</v>
      </c>
      <c r="F1127" s="6">
        <v>96</v>
      </c>
      <c r="G1127" t="s">
        <v>1349</v>
      </c>
      <c r="H1127" s="82">
        <v>2.5</v>
      </c>
      <c r="I1127">
        <v>7</v>
      </c>
      <c r="J1127">
        <v>52</v>
      </c>
      <c r="K1127" t="s">
        <v>1981</v>
      </c>
      <c r="L1127" s="6" t="s">
        <v>1371</v>
      </c>
      <c r="M1127" s="6">
        <v>1</v>
      </c>
      <c r="N1127" s="6">
        <v>2</v>
      </c>
      <c r="O1127">
        <v>500</v>
      </c>
      <c r="P1127">
        <v>202605</v>
      </c>
      <c r="Q1127" t="s">
        <v>377</v>
      </c>
      <c r="R1127" t="s">
        <v>1353</v>
      </c>
      <c r="S1127">
        <f>Consulta1[[#This Row],[min_port]]/100</f>
        <v>1.4499999999999999E-2</v>
      </c>
      <c r="T1127" s="252">
        <f>Consulta1[[#This Row],[TETO_COMERCIAL]]/100</f>
        <v>2.5000000000000001E-2</v>
      </c>
      <c r="U1127" t="b">
        <f>Consulta1[[#This Row],[TETO_COMERCIAL_%]]=Consulta1[[#This Row],[TAXA]]</f>
        <v>0</v>
      </c>
      <c r="V1127" t="str">
        <f>CONCATENATE(Consulta1[[#This Row],[MES_ALTERACAO]],Consulta1[[#This Row],[VIRADA]])</f>
        <v>2026051</v>
      </c>
      <c r="W1127">
        <f>VLOOKUP(Consulta1[[#This Row],[Coluna2]],CALENDARIO!$J:$K,2,FALSE)</f>
        <v>0</v>
      </c>
    </row>
    <row r="1128" spans="1:23" x14ac:dyDescent="0.25">
      <c r="A1128" t="s">
        <v>3049</v>
      </c>
      <c r="B1128" t="str">
        <f>CONCATENATE(Consulta1[[#This Row],[id]],Consulta1[[#This Row],[EMPREGADOR]])</f>
        <v>6PREF PIRACICAB CLT</v>
      </c>
      <c r="C1128" s="6">
        <f>IF(A1128=A1127,C1127+1,1)</f>
        <v>6</v>
      </c>
      <c r="D1128" t="s">
        <v>892</v>
      </c>
      <c r="E1128" s="101">
        <v>1.8500000000000003E-2</v>
      </c>
      <c r="F1128" s="6">
        <v>96</v>
      </c>
      <c r="G1128" t="s">
        <v>1349</v>
      </c>
      <c r="H1128" s="82">
        <v>2.5</v>
      </c>
      <c r="I1128">
        <v>7</v>
      </c>
      <c r="J1128">
        <v>52</v>
      </c>
      <c r="K1128" t="s">
        <v>1982</v>
      </c>
      <c r="L1128" s="6" t="s">
        <v>1371</v>
      </c>
      <c r="M1128" s="6">
        <v>1</v>
      </c>
      <c r="N1128" s="6">
        <v>2</v>
      </c>
      <c r="O1128">
        <v>500</v>
      </c>
      <c r="P1128">
        <v>202605</v>
      </c>
      <c r="Q1128" t="s">
        <v>377</v>
      </c>
      <c r="R1128" t="s">
        <v>1353</v>
      </c>
      <c r="S1128">
        <f>Consulta1[[#This Row],[min_port]]/100</f>
        <v>1.4499999999999999E-2</v>
      </c>
      <c r="T1128" s="252">
        <f>Consulta1[[#This Row],[TETO_COMERCIAL]]/100</f>
        <v>2.5000000000000001E-2</v>
      </c>
      <c r="U1128" t="b">
        <f>Consulta1[[#This Row],[TETO_COMERCIAL_%]]=Consulta1[[#This Row],[TAXA]]</f>
        <v>0</v>
      </c>
      <c r="V1128" t="str">
        <f>CONCATENATE(Consulta1[[#This Row],[MES_ALTERACAO]],Consulta1[[#This Row],[VIRADA]])</f>
        <v>2026051</v>
      </c>
      <c r="W1128">
        <f>VLOOKUP(Consulta1[[#This Row],[Coluna2]],CALENDARIO!$J:$K,2,FALSE)</f>
        <v>0</v>
      </c>
    </row>
    <row r="1129" spans="1:23" x14ac:dyDescent="0.25">
      <c r="A1129" t="s">
        <v>3050</v>
      </c>
      <c r="B1129" t="str">
        <f>CONCATENATE(Consulta1[[#This Row],[id]],Consulta1[[#This Row],[EMPREGADOR]])</f>
        <v>1PREF PIRACICAB EST</v>
      </c>
      <c r="C1129" s="6">
        <f>IF(A1129=A1128,C1128+1,1)</f>
        <v>1</v>
      </c>
      <c r="D1129" t="s">
        <v>785</v>
      </c>
      <c r="E1129" s="101">
        <v>2.5000000000000001E-2</v>
      </c>
      <c r="F1129" s="6">
        <v>96</v>
      </c>
      <c r="G1129" t="s">
        <v>1349</v>
      </c>
      <c r="H1129" s="82">
        <v>2.5</v>
      </c>
      <c r="I1129">
        <v>7</v>
      </c>
      <c r="J1129">
        <v>52</v>
      </c>
      <c r="K1129" t="s">
        <v>1983</v>
      </c>
      <c r="L1129" s="6" t="s">
        <v>1371</v>
      </c>
      <c r="M1129" s="6">
        <v>1</v>
      </c>
      <c r="N1129" s="6">
        <v>2</v>
      </c>
      <c r="O1129">
        <v>500</v>
      </c>
      <c r="P1129">
        <v>202605</v>
      </c>
      <c r="Q1129" t="s">
        <v>377</v>
      </c>
      <c r="R1129" t="s">
        <v>1353</v>
      </c>
      <c r="S1129">
        <f>Consulta1[[#This Row],[min_port]]/100</f>
        <v>1.4499999999999999E-2</v>
      </c>
      <c r="T1129" s="252">
        <f>Consulta1[[#This Row],[TETO_COMERCIAL]]/100</f>
        <v>2.5000000000000001E-2</v>
      </c>
      <c r="U1129" t="b">
        <f>Consulta1[[#This Row],[TETO_COMERCIAL_%]]=Consulta1[[#This Row],[TAXA]]</f>
        <v>1</v>
      </c>
      <c r="V1129" t="str">
        <f>CONCATENATE(Consulta1[[#This Row],[MES_ALTERACAO]],Consulta1[[#This Row],[VIRADA]])</f>
        <v>2026051</v>
      </c>
      <c r="W1129">
        <f>VLOOKUP(Consulta1[[#This Row],[Coluna2]],CALENDARIO!$J:$K,2,FALSE)</f>
        <v>0</v>
      </c>
    </row>
    <row r="1130" spans="1:23" x14ac:dyDescent="0.25">
      <c r="A1130" t="s">
        <v>3050</v>
      </c>
      <c r="B1130" t="str">
        <f>CONCATENATE(Consulta1[[#This Row],[id]],Consulta1[[#This Row],[EMPREGADOR]])</f>
        <v>2PREF PIRACICAB EST</v>
      </c>
      <c r="C1130" s="6">
        <f>IF(A1130=A1129,C1129+1,1)</f>
        <v>2</v>
      </c>
      <c r="D1130" t="s">
        <v>893</v>
      </c>
      <c r="E1130" s="101">
        <v>2.0499999999999997E-2</v>
      </c>
      <c r="F1130" s="6">
        <v>96</v>
      </c>
      <c r="G1130" t="s">
        <v>1349</v>
      </c>
      <c r="H1130" s="82">
        <v>2.5</v>
      </c>
      <c r="I1130">
        <v>7</v>
      </c>
      <c r="J1130">
        <v>51</v>
      </c>
      <c r="K1130" t="s">
        <v>1984</v>
      </c>
      <c r="L1130" s="6" t="s">
        <v>1371</v>
      </c>
      <c r="M1130" s="6">
        <v>1</v>
      </c>
      <c r="N1130" s="6">
        <v>2</v>
      </c>
      <c r="O1130">
        <v>500</v>
      </c>
      <c r="P1130">
        <v>202605</v>
      </c>
      <c r="Q1130" t="s">
        <v>377</v>
      </c>
      <c r="R1130" t="s">
        <v>1353</v>
      </c>
      <c r="S1130">
        <f>Consulta1[[#This Row],[min_port]]/100</f>
        <v>1.4499999999999999E-2</v>
      </c>
      <c r="T1130" s="252">
        <f>Consulta1[[#This Row],[TETO_COMERCIAL]]/100</f>
        <v>2.5000000000000001E-2</v>
      </c>
      <c r="U1130" t="b">
        <f>Consulta1[[#This Row],[TETO_COMERCIAL_%]]=Consulta1[[#This Row],[TAXA]]</f>
        <v>0</v>
      </c>
      <c r="V1130" t="str">
        <f>CONCATENATE(Consulta1[[#This Row],[MES_ALTERACAO]],Consulta1[[#This Row],[VIRADA]])</f>
        <v>2026051</v>
      </c>
      <c r="W1130">
        <f>VLOOKUP(Consulta1[[#This Row],[Coluna2]],CALENDARIO!$J:$K,2,FALSE)</f>
        <v>0</v>
      </c>
    </row>
    <row r="1131" spans="1:23" x14ac:dyDescent="0.25">
      <c r="A1131" t="s">
        <v>3050</v>
      </c>
      <c r="B1131" t="str">
        <f>CONCATENATE(Consulta1[[#This Row],[id]],Consulta1[[#This Row],[EMPREGADOR]])</f>
        <v>3PREF PIRACICAB EST</v>
      </c>
      <c r="C1131" s="6">
        <f>IF(A1131=A1130,C1130+1,1)</f>
        <v>3</v>
      </c>
      <c r="D1131" t="s">
        <v>894</v>
      </c>
      <c r="E1131" s="101">
        <v>1.9900000000000001E-2</v>
      </c>
      <c r="F1131" s="6">
        <v>96</v>
      </c>
      <c r="G1131" t="s">
        <v>1349</v>
      </c>
      <c r="H1131" s="82">
        <v>2.5</v>
      </c>
      <c r="I1131">
        <v>7</v>
      </c>
      <c r="J1131">
        <v>52</v>
      </c>
      <c r="K1131" t="s">
        <v>1985</v>
      </c>
      <c r="L1131" s="6" t="s">
        <v>1371</v>
      </c>
      <c r="M1131" s="6">
        <v>1</v>
      </c>
      <c r="N1131" s="6">
        <v>2</v>
      </c>
      <c r="O1131">
        <v>500</v>
      </c>
      <c r="P1131">
        <v>202605</v>
      </c>
      <c r="Q1131" t="s">
        <v>377</v>
      </c>
      <c r="R1131" t="s">
        <v>1353</v>
      </c>
      <c r="S1131">
        <f>Consulta1[[#This Row],[min_port]]/100</f>
        <v>1.4499999999999999E-2</v>
      </c>
      <c r="T1131" s="252">
        <f>Consulta1[[#This Row],[TETO_COMERCIAL]]/100</f>
        <v>2.5000000000000001E-2</v>
      </c>
      <c r="U1131" t="b">
        <f>Consulta1[[#This Row],[TETO_COMERCIAL_%]]=Consulta1[[#This Row],[TAXA]]</f>
        <v>0</v>
      </c>
      <c r="V1131" t="str">
        <f>CONCATENATE(Consulta1[[#This Row],[MES_ALTERACAO]],Consulta1[[#This Row],[VIRADA]])</f>
        <v>2026051</v>
      </c>
      <c r="W1131">
        <f>VLOOKUP(Consulta1[[#This Row],[Coluna2]],CALENDARIO!$J:$K,2,FALSE)</f>
        <v>0</v>
      </c>
    </row>
    <row r="1132" spans="1:23" x14ac:dyDescent="0.25">
      <c r="A1132" t="s">
        <v>3050</v>
      </c>
      <c r="B1132" t="str">
        <f>CONCATENATE(Consulta1[[#This Row],[id]],Consulta1[[#This Row],[EMPREGADOR]])</f>
        <v>4PREF PIRACICAB EST</v>
      </c>
      <c r="C1132" s="6">
        <f>IF(A1132=A1131,C1131+1,1)</f>
        <v>4</v>
      </c>
      <c r="D1132" t="s">
        <v>895</v>
      </c>
      <c r="E1132" s="101">
        <v>1.95E-2</v>
      </c>
      <c r="F1132" s="6">
        <v>96</v>
      </c>
      <c r="G1132" t="s">
        <v>1349</v>
      </c>
      <c r="H1132" s="82">
        <v>2.5</v>
      </c>
      <c r="I1132">
        <v>7</v>
      </c>
      <c r="J1132">
        <v>52</v>
      </c>
      <c r="K1132" t="s">
        <v>1986</v>
      </c>
      <c r="L1132" s="6" t="s">
        <v>1371</v>
      </c>
      <c r="M1132" s="6">
        <v>1</v>
      </c>
      <c r="N1132" s="6">
        <v>2</v>
      </c>
      <c r="O1132">
        <v>500</v>
      </c>
      <c r="P1132">
        <v>202605</v>
      </c>
      <c r="Q1132" t="s">
        <v>377</v>
      </c>
      <c r="R1132" t="s">
        <v>1353</v>
      </c>
      <c r="S1132">
        <f>Consulta1[[#This Row],[min_port]]/100</f>
        <v>1.4499999999999999E-2</v>
      </c>
      <c r="T1132" s="252">
        <f>Consulta1[[#This Row],[TETO_COMERCIAL]]/100</f>
        <v>2.5000000000000001E-2</v>
      </c>
      <c r="U1132" t="b">
        <f>Consulta1[[#This Row],[TETO_COMERCIAL_%]]=Consulta1[[#This Row],[TAXA]]</f>
        <v>0</v>
      </c>
      <c r="V1132" t="str">
        <f>CONCATENATE(Consulta1[[#This Row],[MES_ALTERACAO]],Consulta1[[#This Row],[VIRADA]])</f>
        <v>2026051</v>
      </c>
      <c r="W1132">
        <f>VLOOKUP(Consulta1[[#This Row],[Coluna2]],CALENDARIO!$J:$K,2,FALSE)</f>
        <v>0</v>
      </c>
    </row>
    <row r="1133" spans="1:23" x14ac:dyDescent="0.25">
      <c r="A1133" t="s">
        <v>3050</v>
      </c>
      <c r="B1133" t="str">
        <f>CONCATENATE(Consulta1[[#This Row],[id]],Consulta1[[#This Row],[EMPREGADOR]])</f>
        <v>5PREF PIRACICAB EST</v>
      </c>
      <c r="C1133" s="6">
        <f>IF(A1133=A1132,C1132+1,1)</f>
        <v>5</v>
      </c>
      <c r="D1133" t="s">
        <v>896</v>
      </c>
      <c r="E1133" s="101">
        <v>1.89E-2</v>
      </c>
      <c r="F1133" s="6">
        <v>96</v>
      </c>
      <c r="G1133" t="s">
        <v>1349</v>
      </c>
      <c r="H1133" s="82">
        <v>2.5</v>
      </c>
      <c r="I1133">
        <v>7</v>
      </c>
      <c r="J1133">
        <v>52</v>
      </c>
      <c r="K1133" t="s">
        <v>1987</v>
      </c>
      <c r="L1133" s="6" t="s">
        <v>1371</v>
      </c>
      <c r="M1133" s="6">
        <v>1</v>
      </c>
      <c r="N1133" s="6">
        <v>2</v>
      </c>
      <c r="O1133">
        <v>500</v>
      </c>
      <c r="P1133">
        <v>202605</v>
      </c>
      <c r="Q1133" t="s">
        <v>377</v>
      </c>
      <c r="R1133" t="s">
        <v>1353</v>
      </c>
      <c r="S1133">
        <f>Consulta1[[#This Row],[min_port]]/100</f>
        <v>1.4499999999999999E-2</v>
      </c>
      <c r="T1133" s="252">
        <f>Consulta1[[#This Row],[TETO_COMERCIAL]]/100</f>
        <v>2.5000000000000001E-2</v>
      </c>
      <c r="U1133" t="b">
        <f>Consulta1[[#This Row],[TETO_COMERCIAL_%]]=Consulta1[[#This Row],[TAXA]]</f>
        <v>0</v>
      </c>
      <c r="V1133" t="str">
        <f>CONCATENATE(Consulta1[[#This Row],[MES_ALTERACAO]],Consulta1[[#This Row],[VIRADA]])</f>
        <v>2026051</v>
      </c>
      <c r="W1133">
        <f>VLOOKUP(Consulta1[[#This Row],[Coluna2]],CALENDARIO!$J:$K,2,FALSE)</f>
        <v>0</v>
      </c>
    </row>
    <row r="1134" spans="1:23" x14ac:dyDescent="0.25">
      <c r="A1134" t="s">
        <v>3050</v>
      </c>
      <c r="B1134" t="str">
        <f>CONCATENATE(Consulta1[[#This Row],[id]],Consulta1[[#This Row],[EMPREGADOR]])</f>
        <v>6PREF PIRACICAB EST</v>
      </c>
      <c r="C1134" s="6">
        <f>IF(A1134=A1133,C1133+1,1)</f>
        <v>6</v>
      </c>
      <c r="D1134" t="s">
        <v>897</v>
      </c>
      <c r="E1134" s="101">
        <v>1.8500000000000003E-2</v>
      </c>
      <c r="F1134" s="6">
        <v>96</v>
      </c>
      <c r="G1134" t="s">
        <v>1349</v>
      </c>
      <c r="H1134" s="82">
        <v>2.5</v>
      </c>
      <c r="I1134">
        <v>7</v>
      </c>
      <c r="J1134">
        <v>52</v>
      </c>
      <c r="K1134" t="s">
        <v>1988</v>
      </c>
      <c r="L1134" s="6" t="s">
        <v>1371</v>
      </c>
      <c r="M1134" s="6">
        <v>1</v>
      </c>
      <c r="N1134" s="6">
        <v>2</v>
      </c>
      <c r="O1134">
        <v>500</v>
      </c>
      <c r="P1134">
        <v>202605</v>
      </c>
      <c r="Q1134" t="s">
        <v>377</v>
      </c>
      <c r="R1134" t="s">
        <v>1353</v>
      </c>
      <c r="S1134">
        <f>Consulta1[[#This Row],[min_port]]/100</f>
        <v>1.4499999999999999E-2</v>
      </c>
      <c r="T1134" s="252">
        <f>Consulta1[[#This Row],[TETO_COMERCIAL]]/100</f>
        <v>2.5000000000000001E-2</v>
      </c>
      <c r="U1134" t="b">
        <f>Consulta1[[#This Row],[TETO_COMERCIAL_%]]=Consulta1[[#This Row],[TAXA]]</f>
        <v>0</v>
      </c>
      <c r="V1134" t="str">
        <f>CONCATENATE(Consulta1[[#This Row],[MES_ALTERACAO]],Consulta1[[#This Row],[VIRADA]])</f>
        <v>2026051</v>
      </c>
      <c r="W1134">
        <f>VLOOKUP(Consulta1[[#This Row],[Coluna2]],CALENDARIO!$J:$K,2,FALSE)</f>
        <v>0</v>
      </c>
    </row>
    <row r="1135" spans="1:23" x14ac:dyDescent="0.25">
      <c r="A1135" t="s">
        <v>1050</v>
      </c>
      <c r="B1135" t="str">
        <f>CONCATENATE(Consulta1[[#This Row],[id]],Consulta1[[#This Row],[EMPREGADOR]])</f>
        <v>1PREF PLANALTINA</v>
      </c>
      <c r="C1135" s="6">
        <f>IF(A1135=A1134,C1134+1,1)</f>
        <v>1</v>
      </c>
      <c r="D1135" t="s">
        <v>1051</v>
      </c>
      <c r="E1135" s="101">
        <v>1.9E-2</v>
      </c>
      <c r="F1135" s="6">
        <v>96</v>
      </c>
      <c r="G1135" t="s">
        <v>1349</v>
      </c>
      <c r="H1135" s="82">
        <v>1.9</v>
      </c>
      <c r="I1135">
        <v>17</v>
      </c>
      <c r="K1135" t="s">
        <v>1989</v>
      </c>
      <c r="L1135" s="6" t="s">
        <v>1381</v>
      </c>
      <c r="M1135" s="6">
        <v>10</v>
      </c>
      <c r="N1135" s="6">
        <v>2</v>
      </c>
      <c r="O1135">
        <v>500</v>
      </c>
      <c r="P1135">
        <v>202605</v>
      </c>
      <c r="Q1135" t="s">
        <v>377</v>
      </c>
      <c r="R1135" t="s">
        <v>1353</v>
      </c>
      <c r="S1135">
        <f>Consulta1[[#This Row],[min_port]]/100</f>
        <v>1.3999999999999999E-2</v>
      </c>
      <c r="T1135" s="252">
        <f>Consulta1[[#This Row],[TETO_COMERCIAL]]/100</f>
        <v>1.9E-2</v>
      </c>
      <c r="U1135" t="b">
        <f>Consulta1[[#This Row],[TETO_COMERCIAL_%]]=Consulta1[[#This Row],[TAXA]]</f>
        <v>1</v>
      </c>
      <c r="V1135" t="str">
        <f>CONCATENATE(Consulta1[[#This Row],[MES_ALTERACAO]],Consulta1[[#This Row],[VIRADA]])</f>
        <v>20260510</v>
      </c>
      <c r="W1135">
        <f>VLOOKUP(Consulta1[[#This Row],[Coluna2]],CALENDARIO!$J:$K,2,FALSE)</f>
        <v>5</v>
      </c>
    </row>
    <row r="1136" spans="1:23" x14ac:dyDescent="0.25">
      <c r="A1136" t="s">
        <v>1050</v>
      </c>
      <c r="B1136" t="str">
        <f>CONCATENATE(Consulta1[[#This Row],[id]],Consulta1[[#This Row],[EMPREGADOR]])</f>
        <v>2PREF PLANALTINA</v>
      </c>
      <c r="C1136" s="6">
        <f>IF(A1136=A1135,C1135+1,1)</f>
        <v>2</v>
      </c>
      <c r="D1136" t="s">
        <v>1052</v>
      </c>
      <c r="E1136" s="101">
        <v>1.8000000000000002E-2</v>
      </c>
      <c r="F1136" s="6">
        <v>96</v>
      </c>
      <c r="G1136" t="s">
        <v>1349</v>
      </c>
      <c r="H1136" s="82">
        <v>1.9</v>
      </c>
      <c r="I1136">
        <v>17</v>
      </c>
      <c r="K1136" t="s">
        <v>1990</v>
      </c>
      <c r="L1136" s="6" t="s">
        <v>1381</v>
      </c>
      <c r="M1136" s="6">
        <v>10</v>
      </c>
      <c r="N1136" s="6">
        <v>2</v>
      </c>
      <c r="O1136">
        <v>500</v>
      </c>
      <c r="P1136">
        <v>202605</v>
      </c>
      <c r="Q1136" t="s">
        <v>377</v>
      </c>
      <c r="R1136" t="s">
        <v>1353</v>
      </c>
      <c r="S1136">
        <f>Consulta1[[#This Row],[min_port]]/100</f>
        <v>1.3999999999999999E-2</v>
      </c>
      <c r="T1136" s="252">
        <f>Consulta1[[#This Row],[TETO_COMERCIAL]]/100</f>
        <v>1.9E-2</v>
      </c>
      <c r="U1136" t="b">
        <f>Consulta1[[#This Row],[TETO_COMERCIAL_%]]=Consulta1[[#This Row],[TAXA]]</f>
        <v>0</v>
      </c>
      <c r="V1136" t="str">
        <f>CONCATENATE(Consulta1[[#This Row],[MES_ALTERACAO]],Consulta1[[#This Row],[VIRADA]])</f>
        <v>20260510</v>
      </c>
      <c r="W1136">
        <f>VLOOKUP(Consulta1[[#This Row],[Coluna2]],CALENDARIO!$J:$K,2,FALSE)</f>
        <v>5</v>
      </c>
    </row>
    <row r="1137" spans="1:23" x14ac:dyDescent="0.25">
      <c r="A1137" t="s">
        <v>1050</v>
      </c>
      <c r="B1137" t="str">
        <f>CONCATENATE(Consulta1[[#This Row],[id]],Consulta1[[#This Row],[EMPREGADOR]])</f>
        <v>3PREF PLANALTINA</v>
      </c>
      <c r="C1137" s="6">
        <f>IF(A1137=A1136,C1136+1,1)</f>
        <v>3</v>
      </c>
      <c r="D1137" t="s">
        <v>1053</v>
      </c>
      <c r="E1137" s="101">
        <v>1.7000000000000001E-2</v>
      </c>
      <c r="F1137" s="6">
        <v>96</v>
      </c>
      <c r="G1137" t="s">
        <v>1349</v>
      </c>
      <c r="H1137" s="82">
        <v>1.9</v>
      </c>
      <c r="I1137">
        <v>17</v>
      </c>
      <c r="K1137" t="s">
        <v>1991</v>
      </c>
      <c r="L1137" s="6" t="s">
        <v>1381</v>
      </c>
      <c r="M1137" s="6">
        <v>10</v>
      </c>
      <c r="N1137" s="6">
        <v>2</v>
      </c>
      <c r="O1137">
        <v>500</v>
      </c>
      <c r="P1137">
        <v>202605</v>
      </c>
      <c r="Q1137" t="s">
        <v>377</v>
      </c>
      <c r="R1137" t="s">
        <v>1353</v>
      </c>
      <c r="S1137">
        <f>Consulta1[[#This Row],[min_port]]/100</f>
        <v>1.3999999999999999E-2</v>
      </c>
      <c r="T1137" s="252">
        <f>Consulta1[[#This Row],[TETO_COMERCIAL]]/100</f>
        <v>1.9E-2</v>
      </c>
      <c r="U1137" t="b">
        <f>Consulta1[[#This Row],[TETO_COMERCIAL_%]]=Consulta1[[#This Row],[TAXA]]</f>
        <v>0</v>
      </c>
      <c r="V1137" t="str">
        <f>CONCATENATE(Consulta1[[#This Row],[MES_ALTERACAO]],Consulta1[[#This Row],[VIRADA]])</f>
        <v>20260510</v>
      </c>
      <c r="W1137">
        <f>VLOOKUP(Consulta1[[#This Row],[Coluna2]],CALENDARIO!$J:$K,2,FALSE)</f>
        <v>5</v>
      </c>
    </row>
    <row r="1138" spans="1:23" x14ac:dyDescent="0.25">
      <c r="A1138" t="s">
        <v>3051</v>
      </c>
      <c r="B1138" t="str">
        <f>CONCATENATE(Consulta1[[#This Row],[id]],Consulta1[[#This Row],[EMPREGADOR]])</f>
        <v>1PREF POR VELHO</v>
      </c>
      <c r="C1138" s="6">
        <f>IF(A1138=A1137,C1137+1,1)</f>
        <v>1</v>
      </c>
      <c r="D1138" t="s">
        <v>3476</v>
      </c>
      <c r="E1138" s="101">
        <v>2.5000000000000001E-2</v>
      </c>
      <c r="F1138" s="6">
        <v>96</v>
      </c>
      <c r="G1138" t="s">
        <v>1349</v>
      </c>
      <c r="H1138" s="82">
        <v>2.5</v>
      </c>
      <c r="I1138">
        <v>10</v>
      </c>
      <c r="K1138" t="s">
        <v>3477</v>
      </c>
      <c r="L1138" s="6" t="s">
        <v>1794</v>
      </c>
      <c r="M1138" s="6">
        <v>5</v>
      </c>
      <c r="N1138" s="6">
        <v>2</v>
      </c>
      <c r="O1138">
        <v>500</v>
      </c>
      <c r="P1138">
        <v>202605</v>
      </c>
      <c r="Q1138" t="s">
        <v>377</v>
      </c>
      <c r="R1138" t="s">
        <v>1353</v>
      </c>
      <c r="S1138">
        <f>Consulta1[[#This Row],[min_port]]/100</f>
        <v>1.46E-2</v>
      </c>
      <c r="T1138" s="252">
        <f>Consulta1[[#This Row],[TETO_COMERCIAL]]/100</f>
        <v>2.5000000000000001E-2</v>
      </c>
      <c r="U1138" t="b">
        <f>Consulta1[[#This Row],[TETO_COMERCIAL_%]]=Consulta1[[#This Row],[TAXA]]</f>
        <v>1</v>
      </c>
      <c r="V1138" t="str">
        <f>CONCATENATE(Consulta1[[#This Row],[MES_ALTERACAO]],Consulta1[[#This Row],[VIRADA]])</f>
        <v>2026055</v>
      </c>
      <c r="W1138">
        <f>VLOOKUP(Consulta1[[#This Row],[Coluna2]],CALENDARIO!$J:$K,2,FALSE)</f>
        <v>2</v>
      </c>
    </row>
    <row r="1139" spans="1:23" x14ac:dyDescent="0.25">
      <c r="A1139" t="s">
        <v>3051</v>
      </c>
      <c r="B1139" t="str">
        <f>CONCATENATE(Consulta1[[#This Row],[id]],Consulta1[[#This Row],[EMPREGADOR]])</f>
        <v>2PREF POR VELHO</v>
      </c>
      <c r="C1139" s="6">
        <f>IF(A1139=A1138,C1138+1,1)</f>
        <v>2</v>
      </c>
      <c r="D1139" t="s">
        <v>3478</v>
      </c>
      <c r="E1139" s="101">
        <v>2.2499999999999999E-2</v>
      </c>
      <c r="F1139" s="6">
        <v>96</v>
      </c>
      <c r="G1139" t="s">
        <v>1349</v>
      </c>
      <c r="H1139" s="82">
        <v>2.5</v>
      </c>
      <c r="I1139">
        <v>10</v>
      </c>
      <c r="K1139" t="s">
        <v>3479</v>
      </c>
      <c r="L1139" s="6" t="s">
        <v>1794</v>
      </c>
      <c r="M1139" s="6">
        <v>5</v>
      </c>
      <c r="N1139" s="6">
        <v>2</v>
      </c>
      <c r="O1139">
        <v>500</v>
      </c>
      <c r="P1139">
        <v>202605</v>
      </c>
      <c r="Q1139" t="s">
        <v>377</v>
      </c>
      <c r="R1139" t="s">
        <v>1353</v>
      </c>
      <c r="S1139">
        <f>Consulta1[[#This Row],[min_port]]/100</f>
        <v>1.46E-2</v>
      </c>
      <c r="T1139" s="252">
        <f>Consulta1[[#This Row],[TETO_COMERCIAL]]/100</f>
        <v>2.5000000000000001E-2</v>
      </c>
      <c r="U1139" t="b">
        <f>Consulta1[[#This Row],[TETO_COMERCIAL_%]]=Consulta1[[#This Row],[TAXA]]</f>
        <v>0</v>
      </c>
      <c r="V1139" t="str">
        <f>CONCATENATE(Consulta1[[#This Row],[MES_ALTERACAO]],Consulta1[[#This Row],[VIRADA]])</f>
        <v>2026055</v>
      </c>
      <c r="W1139">
        <f>VLOOKUP(Consulta1[[#This Row],[Coluna2]],CALENDARIO!$J:$K,2,FALSE)</f>
        <v>2</v>
      </c>
    </row>
    <row r="1140" spans="1:23" x14ac:dyDescent="0.25">
      <c r="A1140" t="s">
        <v>3051</v>
      </c>
      <c r="B1140" t="str">
        <f>CONCATENATE(Consulta1[[#This Row],[id]],Consulta1[[#This Row],[EMPREGADOR]])</f>
        <v>3PREF POR VELHO</v>
      </c>
      <c r="C1140" s="6">
        <f>IF(A1140=A1139,C1139+1,1)</f>
        <v>3</v>
      </c>
      <c r="D1140" t="s">
        <v>3480</v>
      </c>
      <c r="E1140" s="101">
        <v>0.02</v>
      </c>
      <c r="F1140" s="6">
        <v>96</v>
      </c>
      <c r="G1140" t="s">
        <v>1349</v>
      </c>
      <c r="H1140" s="82">
        <v>2.5</v>
      </c>
      <c r="I1140">
        <v>10</v>
      </c>
      <c r="J1140">
        <v>60</v>
      </c>
      <c r="K1140" t="s">
        <v>3481</v>
      </c>
      <c r="L1140" s="6" t="s">
        <v>1794</v>
      </c>
      <c r="M1140" s="6">
        <v>5</v>
      </c>
      <c r="N1140" s="6">
        <v>2</v>
      </c>
      <c r="O1140">
        <v>500</v>
      </c>
      <c r="P1140">
        <v>202605</v>
      </c>
      <c r="Q1140" t="s">
        <v>377</v>
      </c>
      <c r="R1140" t="s">
        <v>1353</v>
      </c>
      <c r="S1140">
        <f>Consulta1[[#This Row],[min_port]]/100</f>
        <v>1.46E-2</v>
      </c>
      <c r="T1140" s="252">
        <f>Consulta1[[#This Row],[TETO_COMERCIAL]]/100</f>
        <v>2.5000000000000001E-2</v>
      </c>
      <c r="U1140" t="b">
        <f>Consulta1[[#This Row],[TETO_COMERCIAL_%]]=Consulta1[[#This Row],[TAXA]]</f>
        <v>0</v>
      </c>
      <c r="V1140" t="str">
        <f>CONCATENATE(Consulta1[[#This Row],[MES_ALTERACAO]],Consulta1[[#This Row],[VIRADA]])</f>
        <v>2026055</v>
      </c>
      <c r="W1140">
        <f>VLOOKUP(Consulta1[[#This Row],[Coluna2]],CALENDARIO!$J:$K,2,FALSE)</f>
        <v>2</v>
      </c>
    </row>
    <row r="1141" spans="1:23" x14ac:dyDescent="0.25">
      <c r="A1141" t="s">
        <v>3051</v>
      </c>
      <c r="B1141" t="str">
        <f>CONCATENATE(Consulta1[[#This Row],[id]],Consulta1[[#This Row],[EMPREGADOR]])</f>
        <v>4PREF POR VELHO</v>
      </c>
      <c r="C1141" s="6">
        <f>IF(A1141=A1140,C1140+1,1)</f>
        <v>4</v>
      </c>
      <c r="D1141" t="s">
        <v>3482</v>
      </c>
      <c r="E1141" s="101">
        <v>1.9E-2</v>
      </c>
      <c r="F1141" s="6">
        <v>96</v>
      </c>
      <c r="G1141" t="s">
        <v>1349</v>
      </c>
      <c r="H1141" s="82">
        <v>2.5</v>
      </c>
      <c r="I1141">
        <v>10</v>
      </c>
      <c r="K1141" t="s">
        <v>3483</v>
      </c>
      <c r="L1141" s="6" t="s">
        <v>1794</v>
      </c>
      <c r="M1141" s="6">
        <v>5</v>
      </c>
      <c r="N1141" s="6">
        <v>2</v>
      </c>
      <c r="O1141">
        <v>500</v>
      </c>
      <c r="P1141">
        <v>202605</v>
      </c>
      <c r="Q1141" t="s">
        <v>377</v>
      </c>
      <c r="R1141" t="s">
        <v>1353</v>
      </c>
      <c r="S1141">
        <f>Consulta1[[#This Row],[min_port]]/100</f>
        <v>1.46E-2</v>
      </c>
      <c r="T1141" s="252">
        <f>Consulta1[[#This Row],[TETO_COMERCIAL]]/100</f>
        <v>2.5000000000000001E-2</v>
      </c>
      <c r="U1141" t="b">
        <f>Consulta1[[#This Row],[TETO_COMERCIAL_%]]=Consulta1[[#This Row],[TAXA]]</f>
        <v>0</v>
      </c>
      <c r="V1141" t="str">
        <f>CONCATENATE(Consulta1[[#This Row],[MES_ALTERACAO]],Consulta1[[#This Row],[VIRADA]])</f>
        <v>2026055</v>
      </c>
      <c r="W1141">
        <f>VLOOKUP(Consulta1[[#This Row],[Coluna2]],CALENDARIO!$J:$K,2,FALSE)</f>
        <v>2</v>
      </c>
    </row>
    <row r="1142" spans="1:23" x14ac:dyDescent="0.25">
      <c r="A1142" t="s">
        <v>3051</v>
      </c>
      <c r="B1142" t="str">
        <f>CONCATENATE(Consulta1[[#This Row],[id]],Consulta1[[#This Row],[EMPREGADOR]])</f>
        <v>5PREF POR VELHO</v>
      </c>
      <c r="C1142" s="6">
        <f>IF(A1142=A1141,C1141+1,1)</f>
        <v>5</v>
      </c>
      <c r="D1142" t="s">
        <v>3484</v>
      </c>
      <c r="E1142" s="101">
        <v>1.8000000000000002E-2</v>
      </c>
      <c r="F1142" s="6">
        <v>96</v>
      </c>
      <c r="G1142" t="s">
        <v>1349</v>
      </c>
      <c r="H1142" s="82">
        <v>2.5</v>
      </c>
      <c r="I1142">
        <v>10</v>
      </c>
      <c r="J1142">
        <v>57</v>
      </c>
      <c r="K1142" t="s">
        <v>3485</v>
      </c>
      <c r="L1142" s="6" t="s">
        <v>1794</v>
      </c>
      <c r="M1142" s="6">
        <v>5</v>
      </c>
      <c r="N1142" s="6">
        <v>2</v>
      </c>
      <c r="O1142">
        <v>500</v>
      </c>
      <c r="P1142">
        <v>202605</v>
      </c>
      <c r="Q1142" t="s">
        <v>377</v>
      </c>
      <c r="R1142" t="s">
        <v>1353</v>
      </c>
      <c r="S1142">
        <f>Consulta1[[#This Row],[min_port]]/100</f>
        <v>1.46E-2</v>
      </c>
      <c r="T1142" s="252">
        <f>Consulta1[[#This Row],[TETO_COMERCIAL]]/100</f>
        <v>2.5000000000000001E-2</v>
      </c>
      <c r="U1142" t="b">
        <f>Consulta1[[#This Row],[TETO_COMERCIAL_%]]=Consulta1[[#This Row],[TAXA]]</f>
        <v>0</v>
      </c>
      <c r="V1142" t="str">
        <f>CONCATENATE(Consulta1[[#This Row],[MES_ALTERACAO]],Consulta1[[#This Row],[VIRADA]])</f>
        <v>2026055</v>
      </c>
      <c r="W1142">
        <f>VLOOKUP(Consulta1[[#This Row],[Coluna2]],CALENDARIO!$J:$K,2,FALSE)</f>
        <v>2</v>
      </c>
    </row>
    <row r="1143" spans="1:23" x14ac:dyDescent="0.25">
      <c r="A1143" t="s">
        <v>3051</v>
      </c>
      <c r="B1143" t="str">
        <f>CONCATENATE(Consulta1[[#This Row],[id]],Consulta1[[#This Row],[EMPREGADOR]])</f>
        <v>6PREF POR VELHO</v>
      </c>
      <c r="C1143" s="6">
        <f>IF(A1143=A1142,C1142+1,1)</f>
        <v>6</v>
      </c>
      <c r="D1143" t="s">
        <v>3486</v>
      </c>
      <c r="E1143" s="101">
        <v>1.7500000000000002E-2</v>
      </c>
      <c r="F1143" s="6">
        <v>96</v>
      </c>
      <c r="G1143" t="s">
        <v>1349</v>
      </c>
      <c r="H1143" s="82">
        <v>2.5</v>
      </c>
      <c r="I1143">
        <v>10</v>
      </c>
      <c r="K1143" t="s">
        <v>3487</v>
      </c>
      <c r="L1143" s="6" t="s">
        <v>1794</v>
      </c>
      <c r="M1143" s="6">
        <v>5</v>
      </c>
      <c r="N1143" s="6">
        <v>2</v>
      </c>
      <c r="O1143">
        <v>500</v>
      </c>
      <c r="P1143">
        <v>202605</v>
      </c>
      <c r="Q1143" t="s">
        <v>377</v>
      </c>
      <c r="R1143" t="s">
        <v>1353</v>
      </c>
      <c r="S1143">
        <f>Consulta1[[#This Row],[min_port]]/100</f>
        <v>1.46E-2</v>
      </c>
      <c r="T1143" s="252">
        <f>Consulta1[[#This Row],[TETO_COMERCIAL]]/100</f>
        <v>2.5000000000000001E-2</v>
      </c>
      <c r="U1143" t="b">
        <f>Consulta1[[#This Row],[TETO_COMERCIAL_%]]=Consulta1[[#This Row],[TAXA]]</f>
        <v>0</v>
      </c>
      <c r="V1143" t="str">
        <f>CONCATENATE(Consulta1[[#This Row],[MES_ALTERACAO]],Consulta1[[#This Row],[VIRADA]])</f>
        <v>2026055</v>
      </c>
      <c r="W1143">
        <f>VLOOKUP(Consulta1[[#This Row],[Coluna2]],CALENDARIO!$J:$K,2,FALSE)</f>
        <v>2</v>
      </c>
    </row>
    <row r="1144" spans="1:23" x14ac:dyDescent="0.25">
      <c r="A1144" t="s">
        <v>3051</v>
      </c>
      <c r="B1144" t="str">
        <f>CONCATENATE(Consulta1[[#This Row],[id]],Consulta1[[#This Row],[EMPREGADOR]])</f>
        <v>7PREF POR VELHO</v>
      </c>
      <c r="C1144" s="6">
        <f>IF(A1144=A1143,C1143+1,1)</f>
        <v>7</v>
      </c>
      <c r="D1144" t="s">
        <v>3488</v>
      </c>
      <c r="E1144" s="101">
        <v>1.7000000000000001E-2</v>
      </c>
      <c r="F1144" s="6">
        <v>96</v>
      </c>
      <c r="G1144" t="s">
        <v>1349</v>
      </c>
      <c r="H1144" s="82">
        <v>2.5</v>
      </c>
      <c r="I1144">
        <v>10</v>
      </c>
      <c r="K1144" t="s">
        <v>3489</v>
      </c>
      <c r="L1144" s="6" t="s">
        <v>1794</v>
      </c>
      <c r="M1144" s="6">
        <v>5</v>
      </c>
      <c r="N1144" s="6">
        <v>2</v>
      </c>
      <c r="O1144">
        <v>500</v>
      </c>
      <c r="P1144">
        <v>202605</v>
      </c>
      <c r="Q1144" t="s">
        <v>377</v>
      </c>
      <c r="R1144" t="s">
        <v>1353</v>
      </c>
      <c r="S1144">
        <f>Consulta1[[#This Row],[min_port]]/100</f>
        <v>1.46E-2</v>
      </c>
      <c r="T1144" s="252">
        <f>Consulta1[[#This Row],[TETO_COMERCIAL]]/100</f>
        <v>2.5000000000000001E-2</v>
      </c>
      <c r="U1144" t="b">
        <f>Consulta1[[#This Row],[TETO_COMERCIAL_%]]=Consulta1[[#This Row],[TAXA]]</f>
        <v>0</v>
      </c>
      <c r="V1144" t="str">
        <f>CONCATENATE(Consulta1[[#This Row],[MES_ALTERACAO]],Consulta1[[#This Row],[VIRADA]])</f>
        <v>2026055</v>
      </c>
      <c r="W1144">
        <f>VLOOKUP(Consulta1[[#This Row],[Coluna2]],CALENDARIO!$J:$K,2,FALSE)</f>
        <v>2</v>
      </c>
    </row>
    <row r="1145" spans="1:23" x14ac:dyDescent="0.25">
      <c r="A1145" t="s">
        <v>3052</v>
      </c>
      <c r="B1145" t="str">
        <f>CONCATENATE(Consulta1[[#This Row],[id]],Consulta1[[#This Row],[EMPREGADOR]])</f>
        <v>1PREF PORTO FELI</v>
      </c>
      <c r="C1145" s="6">
        <f>IF(A1145=A1144,C1144+1,1)</f>
        <v>1</v>
      </c>
      <c r="D1145" t="s">
        <v>780</v>
      </c>
      <c r="E1145" s="101">
        <v>2.5000000000000001E-2</v>
      </c>
      <c r="F1145" s="6">
        <v>120</v>
      </c>
      <c r="G1145" t="s">
        <v>1349</v>
      </c>
      <c r="H1145" s="82">
        <v>2.5</v>
      </c>
      <c r="I1145">
        <v>25</v>
      </c>
      <c r="J1145">
        <v>45</v>
      </c>
      <c r="K1145" t="s">
        <v>1594</v>
      </c>
      <c r="L1145" s="6" t="s">
        <v>1372</v>
      </c>
      <c r="M1145" s="6">
        <v>19</v>
      </c>
      <c r="N1145" s="6">
        <v>2</v>
      </c>
      <c r="O1145">
        <v>500</v>
      </c>
      <c r="P1145">
        <v>202605</v>
      </c>
      <c r="Q1145" t="s">
        <v>377</v>
      </c>
      <c r="R1145" t="s">
        <v>1353</v>
      </c>
      <c r="S1145">
        <f>Consulta1[[#This Row],[min_port]]/100</f>
        <v>1.6E-2</v>
      </c>
      <c r="T1145" s="252">
        <f>Consulta1[[#This Row],[TETO_COMERCIAL]]/100</f>
        <v>2.5000000000000001E-2</v>
      </c>
      <c r="U1145" t="b">
        <f>Consulta1[[#This Row],[TETO_COMERCIAL_%]]=Consulta1[[#This Row],[TAXA]]</f>
        <v>1</v>
      </c>
      <c r="V1145" t="str">
        <f>CONCATENATE(Consulta1[[#This Row],[MES_ALTERACAO]],Consulta1[[#This Row],[VIRADA]])</f>
        <v>20260519</v>
      </c>
      <c r="W1145">
        <f>VLOOKUP(Consulta1[[#This Row],[Coluna2]],CALENDARIO!$J:$K,2,FALSE)</f>
        <v>12</v>
      </c>
    </row>
    <row r="1146" spans="1:23" x14ac:dyDescent="0.25">
      <c r="A1146" t="s">
        <v>3052</v>
      </c>
      <c r="B1146" t="str">
        <f>CONCATENATE(Consulta1[[#This Row],[id]],Consulta1[[#This Row],[EMPREGADOR]])</f>
        <v>2PREF PORTO FELI</v>
      </c>
      <c r="C1146" s="6">
        <f>IF(A1146=A1145,C1145+1,1)</f>
        <v>2</v>
      </c>
      <c r="D1146" t="s">
        <v>781</v>
      </c>
      <c r="E1146" s="101">
        <v>2.2000000000000002E-2</v>
      </c>
      <c r="F1146" s="6">
        <v>120</v>
      </c>
      <c r="G1146" t="s">
        <v>1349</v>
      </c>
      <c r="H1146" s="82">
        <v>2.5</v>
      </c>
      <c r="I1146">
        <v>25</v>
      </c>
      <c r="J1146">
        <v>55</v>
      </c>
      <c r="K1146" t="s">
        <v>1595</v>
      </c>
      <c r="L1146" s="6" t="s">
        <v>1372</v>
      </c>
      <c r="M1146" s="6">
        <v>19</v>
      </c>
      <c r="N1146" s="6">
        <v>2</v>
      </c>
      <c r="O1146">
        <v>500</v>
      </c>
      <c r="P1146">
        <v>202605</v>
      </c>
      <c r="Q1146" t="s">
        <v>377</v>
      </c>
      <c r="R1146" t="s">
        <v>1353</v>
      </c>
      <c r="S1146">
        <f>Consulta1[[#This Row],[min_port]]/100</f>
        <v>1.6E-2</v>
      </c>
      <c r="T1146" s="252">
        <f>Consulta1[[#This Row],[TETO_COMERCIAL]]/100</f>
        <v>2.5000000000000001E-2</v>
      </c>
      <c r="U1146" t="b">
        <f>Consulta1[[#This Row],[TETO_COMERCIAL_%]]=Consulta1[[#This Row],[TAXA]]</f>
        <v>0</v>
      </c>
      <c r="V1146" t="str">
        <f>CONCATENATE(Consulta1[[#This Row],[MES_ALTERACAO]],Consulta1[[#This Row],[VIRADA]])</f>
        <v>20260519</v>
      </c>
      <c r="W1146">
        <f>VLOOKUP(Consulta1[[#This Row],[Coluna2]],CALENDARIO!$J:$K,2,FALSE)</f>
        <v>12</v>
      </c>
    </row>
    <row r="1147" spans="1:23" x14ac:dyDescent="0.25">
      <c r="A1147" t="s">
        <v>3052</v>
      </c>
      <c r="B1147" t="str">
        <f>CONCATENATE(Consulta1[[#This Row],[id]],Consulta1[[#This Row],[EMPREGADOR]])</f>
        <v>3PREF PORTO FELI</v>
      </c>
      <c r="C1147" s="6">
        <f>IF(A1147=A1146,C1146+1,1)</f>
        <v>3</v>
      </c>
      <c r="D1147" t="s">
        <v>782</v>
      </c>
      <c r="E1147" s="101">
        <v>2.1499999999999998E-2</v>
      </c>
      <c r="F1147" s="6">
        <v>120</v>
      </c>
      <c r="G1147" t="s">
        <v>1349</v>
      </c>
      <c r="H1147" s="82">
        <v>2.5</v>
      </c>
      <c r="I1147">
        <v>25</v>
      </c>
      <c r="K1147" t="s">
        <v>1596</v>
      </c>
      <c r="L1147" s="6" t="s">
        <v>1372</v>
      </c>
      <c r="M1147" s="6">
        <v>19</v>
      </c>
      <c r="N1147" s="6">
        <v>2</v>
      </c>
      <c r="O1147">
        <v>500</v>
      </c>
      <c r="P1147">
        <v>202605</v>
      </c>
      <c r="Q1147" t="s">
        <v>377</v>
      </c>
      <c r="R1147" t="s">
        <v>1353</v>
      </c>
      <c r="S1147">
        <f>Consulta1[[#This Row],[min_port]]/100</f>
        <v>1.6E-2</v>
      </c>
      <c r="T1147" s="252">
        <f>Consulta1[[#This Row],[TETO_COMERCIAL]]/100</f>
        <v>2.5000000000000001E-2</v>
      </c>
      <c r="U1147" t="b">
        <f>Consulta1[[#This Row],[TETO_COMERCIAL_%]]=Consulta1[[#This Row],[TAXA]]</f>
        <v>0</v>
      </c>
      <c r="V1147" t="str">
        <f>CONCATENATE(Consulta1[[#This Row],[MES_ALTERACAO]],Consulta1[[#This Row],[VIRADA]])</f>
        <v>20260519</v>
      </c>
      <c r="W1147">
        <f>VLOOKUP(Consulta1[[#This Row],[Coluna2]],CALENDARIO!$J:$K,2,FALSE)</f>
        <v>12</v>
      </c>
    </row>
    <row r="1148" spans="1:23" x14ac:dyDescent="0.25">
      <c r="A1148" t="s">
        <v>3052</v>
      </c>
      <c r="B1148" t="str">
        <f>CONCATENATE(Consulta1[[#This Row],[id]],Consulta1[[#This Row],[EMPREGADOR]])</f>
        <v>4PREF PORTO FELI</v>
      </c>
      <c r="C1148" s="6">
        <f>IF(A1148=A1147,C1147+1,1)</f>
        <v>4</v>
      </c>
      <c r="D1148" t="s">
        <v>792</v>
      </c>
      <c r="E1148" s="101">
        <v>2.1000000000000001E-2</v>
      </c>
      <c r="F1148" s="6">
        <v>120</v>
      </c>
      <c r="G1148" t="s">
        <v>1349</v>
      </c>
      <c r="H1148" s="82">
        <v>2.5</v>
      </c>
      <c r="I1148">
        <v>25</v>
      </c>
      <c r="K1148" t="s">
        <v>1597</v>
      </c>
      <c r="L1148" s="6" t="s">
        <v>1372</v>
      </c>
      <c r="M1148" s="6">
        <v>19</v>
      </c>
      <c r="N1148" s="6">
        <v>2</v>
      </c>
      <c r="O1148">
        <v>500</v>
      </c>
      <c r="P1148">
        <v>202605</v>
      </c>
      <c r="Q1148" t="s">
        <v>377</v>
      </c>
      <c r="R1148" t="s">
        <v>1353</v>
      </c>
      <c r="S1148">
        <f>Consulta1[[#This Row],[min_port]]/100</f>
        <v>1.6E-2</v>
      </c>
      <c r="T1148" s="252">
        <f>Consulta1[[#This Row],[TETO_COMERCIAL]]/100</f>
        <v>2.5000000000000001E-2</v>
      </c>
      <c r="U1148" t="b">
        <f>Consulta1[[#This Row],[TETO_COMERCIAL_%]]=Consulta1[[#This Row],[TAXA]]</f>
        <v>0</v>
      </c>
      <c r="V1148" t="str">
        <f>CONCATENATE(Consulta1[[#This Row],[MES_ALTERACAO]],Consulta1[[#This Row],[VIRADA]])</f>
        <v>20260519</v>
      </c>
      <c r="W1148">
        <f>VLOOKUP(Consulta1[[#This Row],[Coluna2]],CALENDARIO!$J:$K,2,FALSE)</f>
        <v>12</v>
      </c>
    </row>
    <row r="1149" spans="1:23" x14ac:dyDescent="0.25">
      <c r="A1149" t="s">
        <v>601</v>
      </c>
      <c r="B1149" t="str">
        <f>CONCATENATE(Consulta1[[#This Row],[id]],Consulta1[[#This Row],[EMPREGADOR]])</f>
        <v>1PREF POUSO ALEG</v>
      </c>
      <c r="C1149" s="6">
        <f>IF(A1149=A1148,C1148+1,1)</f>
        <v>1</v>
      </c>
      <c r="D1149" t="s">
        <v>602</v>
      </c>
      <c r="E1149" s="101">
        <v>2.1700000000000001E-2</v>
      </c>
      <c r="F1149" s="6">
        <v>96</v>
      </c>
      <c r="G1149" t="s">
        <v>1349</v>
      </c>
      <c r="H1149" s="82">
        <v>2.25</v>
      </c>
      <c r="I1149">
        <v>15</v>
      </c>
      <c r="K1149" t="s">
        <v>1992</v>
      </c>
      <c r="L1149" s="6" t="s">
        <v>1374</v>
      </c>
      <c r="M1149" s="6">
        <v>10</v>
      </c>
      <c r="N1149" s="6">
        <v>2</v>
      </c>
      <c r="O1149">
        <v>500</v>
      </c>
      <c r="P1149">
        <v>202605</v>
      </c>
      <c r="Q1149" t="s">
        <v>377</v>
      </c>
      <c r="R1149" t="s">
        <v>1353</v>
      </c>
      <c r="S1149">
        <f>Consulta1[[#This Row],[min_port]]/100</f>
        <v>1.4999999999999999E-2</v>
      </c>
      <c r="T1149" s="252">
        <f>Consulta1[[#This Row],[TETO_COMERCIAL]]/100</f>
        <v>2.2499999999999999E-2</v>
      </c>
      <c r="U1149" t="b">
        <f>Consulta1[[#This Row],[TETO_COMERCIAL_%]]=Consulta1[[#This Row],[TAXA]]</f>
        <v>0</v>
      </c>
      <c r="V1149" t="str">
        <f>CONCATENATE(Consulta1[[#This Row],[MES_ALTERACAO]],Consulta1[[#This Row],[VIRADA]])</f>
        <v>20260510</v>
      </c>
      <c r="W1149">
        <f>VLOOKUP(Consulta1[[#This Row],[Coluna2]],CALENDARIO!$J:$K,2,FALSE)</f>
        <v>5</v>
      </c>
    </row>
    <row r="1150" spans="1:23" x14ac:dyDescent="0.25">
      <c r="A1150" t="s">
        <v>601</v>
      </c>
      <c r="B1150" t="str">
        <f>CONCATENATE(Consulta1[[#This Row],[id]],Consulta1[[#This Row],[EMPREGADOR]])</f>
        <v>2PREF POUSO ALEG</v>
      </c>
      <c r="C1150" s="6">
        <f>IF(A1150=A1149,C1149+1,1)</f>
        <v>2</v>
      </c>
      <c r="D1150" t="s">
        <v>603</v>
      </c>
      <c r="E1150" s="101">
        <v>2.07E-2</v>
      </c>
      <c r="F1150" s="6">
        <v>96</v>
      </c>
      <c r="G1150" t="s">
        <v>1349</v>
      </c>
      <c r="H1150" s="82">
        <v>2.25</v>
      </c>
      <c r="I1150">
        <v>15</v>
      </c>
      <c r="J1150">
        <v>52</v>
      </c>
      <c r="K1150" t="s">
        <v>1993</v>
      </c>
      <c r="L1150" s="6" t="s">
        <v>1374</v>
      </c>
      <c r="M1150" s="6">
        <v>10</v>
      </c>
      <c r="N1150" s="6">
        <v>2</v>
      </c>
      <c r="O1150">
        <v>500</v>
      </c>
      <c r="P1150">
        <v>202605</v>
      </c>
      <c r="Q1150" t="s">
        <v>377</v>
      </c>
      <c r="R1150" t="s">
        <v>1353</v>
      </c>
      <c r="S1150">
        <f>Consulta1[[#This Row],[min_port]]/100</f>
        <v>1.4999999999999999E-2</v>
      </c>
      <c r="T1150" s="252">
        <f>Consulta1[[#This Row],[TETO_COMERCIAL]]/100</f>
        <v>2.2499999999999999E-2</v>
      </c>
      <c r="U1150" t="b">
        <f>Consulta1[[#This Row],[TETO_COMERCIAL_%]]=Consulta1[[#This Row],[TAXA]]</f>
        <v>0</v>
      </c>
      <c r="V1150" t="str">
        <f>CONCATENATE(Consulta1[[#This Row],[MES_ALTERACAO]],Consulta1[[#This Row],[VIRADA]])</f>
        <v>20260510</v>
      </c>
      <c r="W1150">
        <f>VLOOKUP(Consulta1[[#This Row],[Coluna2]],CALENDARIO!$J:$K,2,FALSE)</f>
        <v>5</v>
      </c>
    </row>
    <row r="1151" spans="1:23" x14ac:dyDescent="0.25">
      <c r="A1151" t="s">
        <v>375</v>
      </c>
      <c r="B1151" t="str">
        <f>CONCATENATE(Consulta1[[#This Row],[id]],Consulta1[[#This Row],[EMPREGADOR]])</f>
        <v>1PREF PRAIA GRAN</v>
      </c>
      <c r="C1151" s="6">
        <f>IF(A1151=A1150,C1150+1,1)</f>
        <v>1</v>
      </c>
      <c r="D1151" t="s">
        <v>1249</v>
      </c>
      <c r="E1151" s="101">
        <v>2.5000000000000001E-2</v>
      </c>
      <c r="F1151" s="6">
        <v>96</v>
      </c>
      <c r="G1151" t="s">
        <v>1349</v>
      </c>
      <c r="H1151" s="82">
        <v>2.5</v>
      </c>
      <c r="I1151">
        <v>15</v>
      </c>
      <c r="J1151">
        <v>50</v>
      </c>
      <c r="K1151" t="s">
        <v>1994</v>
      </c>
      <c r="L1151" s="6" t="s">
        <v>1519</v>
      </c>
      <c r="M1151" s="6">
        <v>11</v>
      </c>
      <c r="N1151" s="6">
        <v>2</v>
      </c>
      <c r="O1151">
        <v>500</v>
      </c>
      <c r="P1151">
        <v>202605</v>
      </c>
      <c r="Q1151" t="s">
        <v>377</v>
      </c>
      <c r="R1151" t="s">
        <v>1353</v>
      </c>
      <c r="S1151">
        <f>Consulta1[[#This Row],[min_port]]/100</f>
        <v>1.3500000000000002E-2</v>
      </c>
      <c r="T1151" s="252">
        <f>Consulta1[[#This Row],[TETO_COMERCIAL]]/100</f>
        <v>2.5000000000000001E-2</v>
      </c>
      <c r="U1151" t="b">
        <f>Consulta1[[#This Row],[TETO_COMERCIAL_%]]=Consulta1[[#This Row],[TAXA]]</f>
        <v>1</v>
      </c>
      <c r="V1151" t="str">
        <f>CONCATENATE(Consulta1[[#This Row],[MES_ALTERACAO]],Consulta1[[#This Row],[VIRADA]])</f>
        <v>20260511</v>
      </c>
      <c r="W1151">
        <f>VLOOKUP(Consulta1[[#This Row],[Coluna2]],CALENDARIO!$J:$K,2,FALSE)</f>
        <v>6</v>
      </c>
    </row>
    <row r="1152" spans="1:23" x14ac:dyDescent="0.25">
      <c r="A1152" t="s">
        <v>375</v>
      </c>
      <c r="B1152" t="str">
        <f>CONCATENATE(Consulta1[[#This Row],[id]],Consulta1[[#This Row],[EMPREGADOR]])</f>
        <v>2PREF PRAIA GRAN</v>
      </c>
      <c r="C1152" s="6">
        <f>IF(A1152=A1151,C1151+1,1)</f>
        <v>2</v>
      </c>
      <c r="D1152" t="s">
        <v>1250</v>
      </c>
      <c r="E1152" s="101">
        <v>2.3900000000000001E-2</v>
      </c>
      <c r="F1152" s="6">
        <v>96</v>
      </c>
      <c r="G1152" t="s">
        <v>1349</v>
      </c>
      <c r="H1152" s="82">
        <v>2.5</v>
      </c>
      <c r="I1152">
        <v>15</v>
      </c>
      <c r="J1152">
        <v>48</v>
      </c>
      <c r="K1152" t="s">
        <v>1995</v>
      </c>
      <c r="L1152" s="6" t="s">
        <v>1519</v>
      </c>
      <c r="M1152" s="6">
        <v>11</v>
      </c>
      <c r="N1152" s="6">
        <v>2</v>
      </c>
      <c r="O1152">
        <v>500</v>
      </c>
      <c r="P1152">
        <v>202605</v>
      </c>
      <c r="Q1152" t="s">
        <v>377</v>
      </c>
      <c r="R1152" t="s">
        <v>1353</v>
      </c>
      <c r="S1152">
        <f>Consulta1[[#This Row],[min_port]]/100</f>
        <v>1.3500000000000002E-2</v>
      </c>
      <c r="T1152" s="252">
        <f>Consulta1[[#This Row],[TETO_COMERCIAL]]/100</f>
        <v>2.5000000000000001E-2</v>
      </c>
      <c r="U1152" t="b">
        <f>Consulta1[[#This Row],[TETO_COMERCIAL_%]]=Consulta1[[#This Row],[TAXA]]</f>
        <v>0</v>
      </c>
      <c r="V1152" t="str">
        <f>CONCATENATE(Consulta1[[#This Row],[MES_ALTERACAO]],Consulta1[[#This Row],[VIRADA]])</f>
        <v>20260511</v>
      </c>
      <c r="W1152">
        <f>VLOOKUP(Consulta1[[#This Row],[Coluna2]],CALENDARIO!$J:$K,2,FALSE)</f>
        <v>6</v>
      </c>
    </row>
    <row r="1153" spans="1:23" x14ac:dyDescent="0.25">
      <c r="A1153" t="s">
        <v>375</v>
      </c>
      <c r="B1153" t="str">
        <f>CONCATENATE(Consulta1[[#This Row],[id]],Consulta1[[#This Row],[EMPREGADOR]])</f>
        <v>3PREF PRAIA GRAN</v>
      </c>
      <c r="C1153" s="6">
        <f>IF(A1153=A1152,C1152+1,1)</f>
        <v>3</v>
      </c>
      <c r="D1153" t="s">
        <v>1251</v>
      </c>
      <c r="E1153" s="101">
        <v>2.29E-2</v>
      </c>
      <c r="F1153" s="6">
        <v>96</v>
      </c>
      <c r="G1153" t="s">
        <v>1349</v>
      </c>
      <c r="H1153" s="82">
        <v>2.5</v>
      </c>
      <c r="I1153">
        <v>15</v>
      </c>
      <c r="J1153">
        <v>51</v>
      </c>
      <c r="K1153" t="s">
        <v>1996</v>
      </c>
      <c r="L1153" s="6" t="s">
        <v>1519</v>
      </c>
      <c r="M1153" s="6">
        <v>11</v>
      </c>
      <c r="N1153" s="6">
        <v>2</v>
      </c>
      <c r="O1153">
        <v>500</v>
      </c>
      <c r="P1153">
        <v>202605</v>
      </c>
      <c r="Q1153" t="s">
        <v>377</v>
      </c>
      <c r="R1153" t="s">
        <v>1353</v>
      </c>
      <c r="S1153">
        <f>Consulta1[[#This Row],[min_port]]/100</f>
        <v>1.3500000000000002E-2</v>
      </c>
      <c r="T1153" s="252">
        <f>Consulta1[[#This Row],[TETO_COMERCIAL]]/100</f>
        <v>2.5000000000000001E-2</v>
      </c>
      <c r="U1153" t="b">
        <f>Consulta1[[#This Row],[TETO_COMERCIAL_%]]=Consulta1[[#This Row],[TAXA]]</f>
        <v>0</v>
      </c>
      <c r="V1153" t="str">
        <f>CONCATENATE(Consulta1[[#This Row],[MES_ALTERACAO]],Consulta1[[#This Row],[VIRADA]])</f>
        <v>20260511</v>
      </c>
      <c r="W1153">
        <f>VLOOKUP(Consulta1[[#This Row],[Coluna2]],CALENDARIO!$J:$K,2,FALSE)</f>
        <v>6</v>
      </c>
    </row>
    <row r="1154" spans="1:23" x14ac:dyDescent="0.25">
      <c r="A1154" t="s">
        <v>375</v>
      </c>
      <c r="B1154" t="str">
        <f>CONCATENATE(Consulta1[[#This Row],[id]],Consulta1[[#This Row],[EMPREGADOR]])</f>
        <v>4PREF PRAIA GRAN</v>
      </c>
      <c r="C1154" s="6">
        <f>IF(A1154=A1153,C1153+1,1)</f>
        <v>4</v>
      </c>
      <c r="D1154" t="s">
        <v>227</v>
      </c>
      <c r="E1154" s="101">
        <v>2.1899999999999999E-2</v>
      </c>
      <c r="F1154" s="6">
        <v>96</v>
      </c>
      <c r="G1154" t="s">
        <v>1349</v>
      </c>
      <c r="H1154" s="82">
        <v>2.5</v>
      </c>
      <c r="I1154">
        <v>15</v>
      </c>
      <c r="J1154">
        <v>52</v>
      </c>
      <c r="K1154" t="s">
        <v>1997</v>
      </c>
      <c r="L1154" s="6" t="s">
        <v>1519</v>
      </c>
      <c r="M1154" s="6">
        <v>11</v>
      </c>
      <c r="N1154" s="6">
        <v>2</v>
      </c>
      <c r="O1154">
        <v>500</v>
      </c>
      <c r="P1154">
        <v>202605</v>
      </c>
      <c r="Q1154" t="s">
        <v>377</v>
      </c>
      <c r="R1154" t="s">
        <v>1353</v>
      </c>
      <c r="S1154">
        <f>Consulta1[[#This Row],[min_port]]/100</f>
        <v>1.3500000000000002E-2</v>
      </c>
      <c r="T1154" s="252">
        <f>Consulta1[[#This Row],[TETO_COMERCIAL]]/100</f>
        <v>2.5000000000000001E-2</v>
      </c>
      <c r="U1154" t="b">
        <f>Consulta1[[#This Row],[TETO_COMERCIAL_%]]=Consulta1[[#This Row],[TAXA]]</f>
        <v>0</v>
      </c>
      <c r="V1154" t="str">
        <f>CONCATENATE(Consulta1[[#This Row],[MES_ALTERACAO]],Consulta1[[#This Row],[VIRADA]])</f>
        <v>20260511</v>
      </c>
      <c r="W1154">
        <f>VLOOKUP(Consulta1[[#This Row],[Coluna2]],CALENDARIO!$J:$K,2,FALSE)</f>
        <v>6</v>
      </c>
    </row>
    <row r="1155" spans="1:23" x14ac:dyDescent="0.25">
      <c r="A1155" t="s">
        <v>375</v>
      </c>
      <c r="B1155" t="str">
        <f>CONCATENATE(Consulta1[[#This Row],[id]],Consulta1[[#This Row],[EMPREGADOR]])</f>
        <v>5PREF PRAIA GRAN</v>
      </c>
      <c r="C1155" s="6">
        <f>IF(A1155=A1154,C1154+1,1)</f>
        <v>5</v>
      </c>
      <c r="D1155" t="s">
        <v>1252</v>
      </c>
      <c r="E1155" s="101">
        <v>2.0899999999999998E-2</v>
      </c>
      <c r="F1155" s="6">
        <v>96</v>
      </c>
      <c r="G1155" t="s">
        <v>1349</v>
      </c>
      <c r="H1155" s="82">
        <v>2.5</v>
      </c>
      <c r="I1155">
        <v>15</v>
      </c>
      <c r="J1155">
        <v>57</v>
      </c>
      <c r="K1155" t="s">
        <v>1998</v>
      </c>
      <c r="L1155" s="6" t="s">
        <v>1519</v>
      </c>
      <c r="M1155" s="6">
        <v>11</v>
      </c>
      <c r="N1155" s="6">
        <v>2</v>
      </c>
      <c r="O1155">
        <v>500</v>
      </c>
      <c r="P1155">
        <v>202605</v>
      </c>
      <c r="Q1155" t="s">
        <v>377</v>
      </c>
      <c r="R1155" t="s">
        <v>1353</v>
      </c>
      <c r="S1155">
        <f>Consulta1[[#This Row],[min_port]]/100</f>
        <v>1.3500000000000002E-2</v>
      </c>
      <c r="T1155" s="252">
        <f>Consulta1[[#This Row],[TETO_COMERCIAL]]/100</f>
        <v>2.5000000000000001E-2</v>
      </c>
      <c r="U1155" t="b">
        <f>Consulta1[[#This Row],[TETO_COMERCIAL_%]]=Consulta1[[#This Row],[TAXA]]</f>
        <v>0</v>
      </c>
      <c r="V1155" t="str">
        <f>CONCATENATE(Consulta1[[#This Row],[MES_ALTERACAO]],Consulta1[[#This Row],[VIRADA]])</f>
        <v>20260511</v>
      </c>
      <c r="W1155">
        <f>VLOOKUP(Consulta1[[#This Row],[Coluna2]],CALENDARIO!$J:$K,2,FALSE)</f>
        <v>6</v>
      </c>
    </row>
    <row r="1156" spans="1:23" x14ac:dyDescent="0.25">
      <c r="A1156" t="s">
        <v>375</v>
      </c>
      <c r="B1156" t="str">
        <f>CONCATENATE(Consulta1[[#This Row],[id]],Consulta1[[#This Row],[EMPREGADOR]])</f>
        <v>6PREF PRAIA GRAN</v>
      </c>
      <c r="C1156" s="6">
        <f>IF(A1156=A1155,C1155+1,1)</f>
        <v>6</v>
      </c>
      <c r="D1156" t="s">
        <v>335</v>
      </c>
      <c r="E1156" s="101">
        <v>1.9900000000000001E-2</v>
      </c>
      <c r="F1156" s="6">
        <v>96</v>
      </c>
      <c r="G1156" t="s">
        <v>1349</v>
      </c>
      <c r="H1156" s="82">
        <v>2.5</v>
      </c>
      <c r="I1156">
        <v>15</v>
      </c>
      <c r="J1156">
        <v>57</v>
      </c>
      <c r="K1156" t="s">
        <v>1999</v>
      </c>
      <c r="L1156" s="6" t="s">
        <v>1519</v>
      </c>
      <c r="M1156" s="6">
        <v>11</v>
      </c>
      <c r="N1156" s="6">
        <v>2</v>
      </c>
      <c r="O1156">
        <v>500</v>
      </c>
      <c r="P1156">
        <v>202605</v>
      </c>
      <c r="Q1156" t="s">
        <v>377</v>
      </c>
      <c r="R1156" t="s">
        <v>1353</v>
      </c>
      <c r="S1156">
        <f>Consulta1[[#This Row],[min_port]]/100</f>
        <v>1.3500000000000002E-2</v>
      </c>
      <c r="T1156" s="252">
        <f>Consulta1[[#This Row],[TETO_COMERCIAL]]/100</f>
        <v>2.5000000000000001E-2</v>
      </c>
      <c r="U1156" t="b">
        <f>Consulta1[[#This Row],[TETO_COMERCIAL_%]]=Consulta1[[#This Row],[TAXA]]</f>
        <v>0</v>
      </c>
      <c r="V1156" t="str">
        <f>CONCATENATE(Consulta1[[#This Row],[MES_ALTERACAO]],Consulta1[[#This Row],[VIRADA]])</f>
        <v>20260511</v>
      </c>
      <c r="W1156">
        <f>VLOOKUP(Consulta1[[#This Row],[Coluna2]],CALENDARIO!$J:$K,2,FALSE)</f>
        <v>6</v>
      </c>
    </row>
    <row r="1157" spans="1:23" x14ac:dyDescent="0.25">
      <c r="A1157" t="s">
        <v>375</v>
      </c>
      <c r="B1157" t="str">
        <f>CONCATENATE(Consulta1[[#This Row],[id]],Consulta1[[#This Row],[EMPREGADOR]])</f>
        <v>7PREF PRAIA GRAN</v>
      </c>
      <c r="C1157" s="6">
        <f>IF(A1157=A1156,C1156+1,1)</f>
        <v>7</v>
      </c>
      <c r="D1157" t="s">
        <v>2505</v>
      </c>
      <c r="E1157" s="101">
        <v>1.9900000000000001E-2</v>
      </c>
      <c r="F1157" s="6">
        <v>96</v>
      </c>
      <c r="G1157" t="s">
        <v>1349</v>
      </c>
      <c r="H1157" s="82">
        <v>2.5</v>
      </c>
      <c r="I1157">
        <v>15</v>
      </c>
      <c r="J1157">
        <v>48</v>
      </c>
      <c r="K1157" t="s">
        <v>2506</v>
      </c>
      <c r="L1157" s="6" t="s">
        <v>1519</v>
      </c>
      <c r="M1157" s="6">
        <v>11</v>
      </c>
      <c r="N1157" s="6">
        <v>2</v>
      </c>
      <c r="O1157">
        <v>500</v>
      </c>
      <c r="P1157">
        <v>202605</v>
      </c>
      <c r="Q1157" t="s">
        <v>377</v>
      </c>
      <c r="R1157" t="s">
        <v>1353</v>
      </c>
      <c r="S1157">
        <f>Consulta1[[#This Row],[min_port]]/100</f>
        <v>1.3500000000000002E-2</v>
      </c>
      <c r="T1157" s="252">
        <f>Consulta1[[#This Row],[TETO_COMERCIAL]]/100</f>
        <v>2.5000000000000001E-2</v>
      </c>
      <c r="U1157" t="b">
        <f>Consulta1[[#This Row],[TETO_COMERCIAL_%]]=Consulta1[[#This Row],[TAXA]]</f>
        <v>0</v>
      </c>
      <c r="V1157" t="str">
        <f>CONCATENATE(Consulta1[[#This Row],[MES_ALTERACAO]],Consulta1[[#This Row],[VIRADA]])</f>
        <v>20260511</v>
      </c>
      <c r="W1157">
        <f>VLOOKUP(Consulta1[[#This Row],[Coluna2]],CALENDARIO!$J:$K,2,FALSE)</f>
        <v>6</v>
      </c>
    </row>
    <row r="1158" spans="1:23" x14ac:dyDescent="0.25">
      <c r="A1158" t="s">
        <v>375</v>
      </c>
      <c r="B1158" t="str">
        <f>CONCATENATE(Consulta1[[#This Row],[id]],Consulta1[[#This Row],[EMPREGADOR]])</f>
        <v>8PREF PRAIA GRAN</v>
      </c>
      <c r="C1158" s="6">
        <f>IF(A1158=A1157,C1157+1,1)</f>
        <v>8</v>
      </c>
      <c r="D1158" t="s">
        <v>2507</v>
      </c>
      <c r="E1158" s="101">
        <v>1.7899999999999999E-2</v>
      </c>
      <c r="F1158" s="6">
        <v>96</v>
      </c>
      <c r="G1158" t="s">
        <v>1349</v>
      </c>
      <c r="H1158" s="82">
        <v>2.5</v>
      </c>
      <c r="I1158">
        <v>15</v>
      </c>
      <c r="J1158">
        <v>51</v>
      </c>
      <c r="K1158" t="s">
        <v>2508</v>
      </c>
      <c r="L1158" s="6" t="s">
        <v>1519</v>
      </c>
      <c r="M1158" s="6">
        <v>11</v>
      </c>
      <c r="N1158" s="6">
        <v>2</v>
      </c>
      <c r="O1158">
        <v>500</v>
      </c>
      <c r="P1158">
        <v>202605</v>
      </c>
      <c r="Q1158" t="s">
        <v>377</v>
      </c>
      <c r="R1158" t="s">
        <v>1353</v>
      </c>
      <c r="S1158">
        <f>Consulta1[[#This Row],[min_port]]/100</f>
        <v>1.3500000000000002E-2</v>
      </c>
      <c r="T1158" s="252">
        <f>Consulta1[[#This Row],[TETO_COMERCIAL]]/100</f>
        <v>2.5000000000000001E-2</v>
      </c>
      <c r="U1158" t="b">
        <f>Consulta1[[#This Row],[TETO_COMERCIAL_%]]=Consulta1[[#This Row],[TAXA]]</f>
        <v>0</v>
      </c>
      <c r="V1158" t="str">
        <f>CONCATENATE(Consulta1[[#This Row],[MES_ALTERACAO]],Consulta1[[#This Row],[VIRADA]])</f>
        <v>20260511</v>
      </c>
      <c r="W1158">
        <f>VLOOKUP(Consulta1[[#This Row],[Coluna2]],CALENDARIO!$J:$K,2,FALSE)</f>
        <v>6</v>
      </c>
    </row>
    <row r="1159" spans="1:23" x14ac:dyDescent="0.25">
      <c r="A1159" t="s">
        <v>375</v>
      </c>
      <c r="B1159" t="str">
        <f>CONCATENATE(Consulta1[[#This Row],[id]],Consulta1[[#This Row],[EMPREGADOR]])</f>
        <v>9PREF PRAIA GRAN</v>
      </c>
      <c r="C1159" s="6">
        <f>IF(A1159=A1158,C1158+1,1)</f>
        <v>9</v>
      </c>
      <c r="D1159" t="s">
        <v>2509</v>
      </c>
      <c r="E1159" s="101">
        <v>1.6899999999999998E-2</v>
      </c>
      <c r="F1159" s="6">
        <v>96</v>
      </c>
      <c r="G1159" t="s">
        <v>1349</v>
      </c>
      <c r="H1159" s="82">
        <v>2.5</v>
      </c>
      <c r="I1159">
        <v>15</v>
      </c>
      <c r="J1159">
        <v>54</v>
      </c>
      <c r="K1159" t="s">
        <v>2510</v>
      </c>
      <c r="L1159" s="6" t="s">
        <v>1519</v>
      </c>
      <c r="M1159" s="6">
        <v>11</v>
      </c>
      <c r="N1159" s="6">
        <v>2</v>
      </c>
      <c r="O1159">
        <v>15000</v>
      </c>
      <c r="P1159">
        <v>202605</v>
      </c>
      <c r="Q1159" t="s">
        <v>377</v>
      </c>
      <c r="R1159" t="s">
        <v>1353</v>
      </c>
      <c r="S1159">
        <f>Consulta1[[#This Row],[min_port]]/100</f>
        <v>1.3500000000000002E-2</v>
      </c>
      <c r="T1159" s="252">
        <f>Consulta1[[#This Row],[TETO_COMERCIAL]]/100</f>
        <v>2.5000000000000001E-2</v>
      </c>
      <c r="U1159" t="b">
        <f>Consulta1[[#This Row],[TETO_COMERCIAL_%]]=Consulta1[[#This Row],[TAXA]]</f>
        <v>0</v>
      </c>
      <c r="V1159" t="str">
        <f>CONCATENATE(Consulta1[[#This Row],[MES_ALTERACAO]],Consulta1[[#This Row],[VIRADA]])</f>
        <v>20260511</v>
      </c>
      <c r="W1159">
        <f>VLOOKUP(Consulta1[[#This Row],[Coluna2]],CALENDARIO!$J:$K,2,FALSE)</f>
        <v>6</v>
      </c>
    </row>
    <row r="1160" spans="1:23" x14ac:dyDescent="0.25">
      <c r="A1160" t="s">
        <v>375</v>
      </c>
      <c r="B1160" t="str">
        <f>CONCATENATE(Consulta1[[#This Row],[id]],Consulta1[[#This Row],[EMPREGADOR]])</f>
        <v>10PREF PRAIA GRAN</v>
      </c>
      <c r="C1160" s="6">
        <f>IF(A1160=A1159,C1159+1,1)</f>
        <v>10</v>
      </c>
      <c r="D1160" t="s">
        <v>2511</v>
      </c>
      <c r="E1160" s="101">
        <v>1.6299999999999999E-2</v>
      </c>
      <c r="F1160" s="6">
        <v>96</v>
      </c>
      <c r="G1160" t="s">
        <v>1349</v>
      </c>
      <c r="H1160" s="82">
        <v>2.5</v>
      </c>
      <c r="I1160">
        <v>15</v>
      </c>
      <c r="J1160">
        <v>44</v>
      </c>
      <c r="K1160" t="s">
        <v>2512</v>
      </c>
      <c r="L1160" s="6" t="s">
        <v>1519</v>
      </c>
      <c r="M1160" s="6">
        <v>11</v>
      </c>
      <c r="N1160" s="6">
        <v>2</v>
      </c>
      <c r="O1160">
        <v>20000</v>
      </c>
      <c r="P1160">
        <v>202605</v>
      </c>
      <c r="Q1160" t="s">
        <v>377</v>
      </c>
      <c r="R1160" t="s">
        <v>1353</v>
      </c>
      <c r="S1160">
        <f>Consulta1[[#This Row],[min_port]]/100</f>
        <v>1.3500000000000002E-2</v>
      </c>
      <c r="T1160" s="252">
        <f>Consulta1[[#This Row],[TETO_COMERCIAL]]/100</f>
        <v>2.5000000000000001E-2</v>
      </c>
      <c r="U1160" t="b">
        <f>Consulta1[[#This Row],[TETO_COMERCIAL_%]]=Consulta1[[#This Row],[TAXA]]</f>
        <v>0</v>
      </c>
      <c r="V1160" t="str">
        <f>CONCATENATE(Consulta1[[#This Row],[MES_ALTERACAO]],Consulta1[[#This Row],[VIRADA]])</f>
        <v>20260511</v>
      </c>
      <c r="W1160">
        <f>VLOOKUP(Consulta1[[#This Row],[Coluna2]],CALENDARIO!$J:$K,2,FALSE)</f>
        <v>6</v>
      </c>
    </row>
    <row r="1161" spans="1:23" x14ac:dyDescent="0.25">
      <c r="A1161" t="s">
        <v>1122</v>
      </c>
      <c r="B1161" t="str">
        <f>CONCATENATE(Consulta1[[#This Row],[id]],Consulta1[[#This Row],[EMPREGADOR]])</f>
        <v>1PREF PTA GROSSA</v>
      </c>
      <c r="C1161" s="6">
        <f>IF(A1161=A1160,C1160+1,1)</f>
        <v>1</v>
      </c>
      <c r="D1161" t="s">
        <v>1123</v>
      </c>
      <c r="E1161" s="101">
        <v>2.1000000000000001E-2</v>
      </c>
      <c r="F1161" s="6">
        <v>120</v>
      </c>
      <c r="G1161" t="s">
        <v>1349</v>
      </c>
      <c r="H1161" s="82">
        <v>2.5</v>
      </c>
      <c r="I1161">
        <v>15</v>
      </c>
      <c r="J1161">
        <v>56</v>
      </c>
      <c r="K1161" t="s">
        <v>2000</v>
      </c>
      <c r="L1161" s="6" t="s">
        <v>1407</v>
      </c>
      <c r="M1161" s="6">
        <v>5</v>
      </c>
      <c r="N1161" s="6">
        <v>2</v>
      </c>
      <c r="O1161">
        <v>500</v>
      </c>
      <c r="P1161">
        <v>202605</v>
      </c>
      <c r="Q1161" t="s">
        <v>377</v>
      </c>
      <c r="R1161" t="s">
        <v>1353</v>
      </c>
      <c r="S1161">
        <f>Consulta1[[#This Row],[min_port]]/100</f>
        <v>1.49E-2</v>
      </c>
      <c r="T1161" s="252">
        <f>Consulta1[[#This Row],[TETO_COMERCIAL]]/100</f>
        <v>2.5000000000000001E-2</v>
      </c>
      <c r="U1161" t="b">
        <f>Consulta1[[#This Row],[TETO_COMERCIAL_%]]=Consulta1[[#This Row],[TAXA]]</f>
        <v>0</v>
      </c>
      <c r="V1161" t="str">
        <f>CONCATENATE(Consulta1[[#This Row],[MES_ALTERACAO]],Consulta1[[#This Row],[VIRADA]])</f>
        <v>2026055</v>
      </c>
      <c r="W1161">
        <f>VLOOKUP(Consulta1[[#This Row],[Coluna2]],CALENDARIO!$J:$K,2,FALSE)</f>
        <v>2</v>
      </c>
    </row>
    <row r="1162" spans="1:23" x14ac:dyDescent="0.25">
      <c r="A1162" t="s">
        <v>205</v>
      </c>
      <c r="B1162" t="str">
        <f>CONCATENATE(Consulta1[[#This Row],[id]],Consulta1[[#This Row],[EMPREGADOR]])</f>
        <v>1PREF QUIXADA</v>
      </c>
      <c r="C1162" s="6">
        <f>IF(A1162=A1161,C1161+1,1)</f>
        <v>1</v>
      </c>
      <c r="D1162" t="s">
        <v>699</v>
      </c>
      <c r="E1162" s="101">
        <v>2.5000000000000001E-2</v>
      </c>
      <c r="F1162" s="6">
        <v>120</v>
      </c>
      <c r="G1162" t="s">
        <v>1349</v>
      </c>
      <c r="H1162" s="82">
        <v>2.5</v>
      </c>
      <c r="I1162">
        <v>20</v>
      </c>
      <c r="J1162">
        <v>43</v>
      </c>
      <c r="K1162" t="s">
        <v>2001</v>
      </c>
      <c r="L1162" s="6" t="s">
        <v>1873</v>
      </c>
      <c r="M1162" s="6">
        <v>15</v>
      </c>
      <c r="N1162" s="6">
        <v>2</v>
      </c>
      <c r="O1162">
        <v>500</v>
      </c>
      <c r="P1162">
        <v>202605</v>
      </c>
      <c r="Q1162" t="s">
        <v>377</v>
      </c>
      <c r="R1162" t="s">
        <v>1353</v>
      </c>
      <c r="S1162">
        <f>Consulta1[[#This Row],[min_port]]/100</f>
        <v>1.7000000000000001E-2</v>
      </c>
      <c r="T1162" s="252">
        <f>Consulta1[[#This Row],[TETO_COMERCIAL]]/100</f>
        <v>2.5000000000000001E-2</v>
      </c>
      <c r="U1162" t="b">
        <f>Consulta1[[#This Row],[TETO_COMERCIAL_%]]=Consulta1[[#This Row],[TAXA]]</f>
        <v>1</v>
      </c>
      <c r="V1162" t="str">
        <f>CONCATENATE(Consulta1[[#This Row],[MES_ALTERACAO]],Consulta1[[#This Row],[VIRADA]])</f>
        <v>20260515</v>
      </c>
      <c r="W1162">
        <f>VLOOKUP(Consulta1[[#This Row],[Coluna2]],CALENDARIO!$J:$K,2,FALSE)</f>
        <v>10</v>
      </c>
    </row>
    <row r="1163" spans="1:23" x14ac:dyDescent="0.25">
      <c r="A1163" t="s">
        <v>205</v>
      </c>
      <c r="B1163" t="str">
        <f>CONCATENATE(Consulta1[[#This Row],[id]],Consulta1[[#This Row],[EMPREGADOR]])</f>
        <v>2PREF QUIXADA</v>
      </c>
      <c r="C1163" s="6">
        <f>IF(A1163=A1162,C1162+1,1)</f>
        <v>2</v>
      </c>
      <c r="D1163" t="s">
        <v>700</v>
      </c>
      <c r="E1163" s="101">
        <v>2.4E-2</v>
      </c>
      <c r="F1163" s="6">
        <v>120</v>
      </c>
      <c r="G1163" t="s">
        <v>1349</v>
      </c>
      <c r="H1163" s="82">
        <v>2.5</v>
      </c>
      <c r="I1163">
        <v>20</v>
      </c>
      <c r="J1163">
        <v>47</v>
      </c>
      <c r="K1163" t="s">
        <v>2002</v>
      </c>
      <c r="L1163" s="6" t="s">
        <v>1873</v>
      </c>
      <c r="M1163" s="6">
        <v>15</v>
      </c>
      <c r="N1163" s="6">
        <v>2</v>
      </c>
      <c r="O1163">
        <v>500</v>
      </c>
      <c r="P1163">
        <v>202605</v>
      </c>
      <c r="Q1163" t="s">
        <v>377</v>
      </c>
      <c r="R1163" t="s">
        <v>1353</v>
      </c>
      <c r="S1163">
        <f>Consulta1[[#This Row],[min_port]]/100</f>
        <v>1.7000000000000001E-2</v>
      </c>
      <c r="T1163" s="252">
        <f>Consulta1[[#This Row],[TETO_COMERCIAL]]/100</f>
        <v>2.5000000000000001E-2</v>
      </c>
      <c r="U1163" t="b">
        <f>Consulta1[[#This Row],[TETO_COMERCIAL_%]]=Consulta1[[#This Row],[TAXA]]</f>
        <v>0</v>
      </c>
      <c r="V1163" t="str">
        <f>CONCATENATE(Consulta1[[#This Row],[MES_ALTERACAO]],Consulta1[[#This Row],[VIRADA]])</f>
        <v>20260515</v>
      </c>
      <c r="W1163">
        <f>VLOOKUP(Consulta1[[#This Row],[Coluna2]],CALENDARIO!$J:$K,2,FALSE)</f>
        <v>10</v>
      </c>
    </row>
    <row r="1164" spans="1:23" x14ac:dyDescent="0.25">
      <c r="A1164" t="s">
        <v>205</v>
      </c>
      <c r="B1164" t="str">
        <f>CONCATENATE(Consulta1[[#This Row],[id]],Consulta1[[#This Row],[EMPREGADOR]])</f>
        <v>3PREF QUIXADA</v>
      </c>
      <c r="C1164" s="6">
        <f>IF(A1164=A1163,C1163+1,1)</f>
        <v>3</v>
      </c>
      <c r="D1164" t="s">
        <v>701</v>
      </c>
      <c r="E1164" s="101">
        <v>2.2000000000000002E-2</v>
      </c>
      <c r="F1164" s="6">
        <v>120</v>
      </c>
      <c r="G1164" t="s">
        <v>1349</v>
      </c>
      <c r="H1164" s="82">
        <v>2.5</v>
      </c>
      <c r="I1164">
        <v>20</v>
      </c>
      <c r="J1164">
        <v>45</v>
      </c>
      <c r="K1164" t="s">
        <v>2003</v>
      </c>
      <c r="L1164" s="6" t="s">
        <v>1873</v>
      </c>
      <c r="M1164" s="6">
        <v>15</v>
      </c>
      <c r="N1164" s="6">
        <v>2</v>
      </c>
      <c r="O1164">
        <v>500</v>
      </c>
      <c r="P1164">
        <v>202605</v>
      </c>
      <c r="Q1164" t="s">
        <v>377</v>
      </c>
      <c r="R1164" t="s">
        <v>1353</v>
      </c>
      <c r="S1164">
        <f>Consulta1[[#This Row],[min_port]]/100</f>
        <v>1.7000000000000001E-2</v>
      </c>
      <c r="T1164" s="252">
        <f>Consulta1[[#This Row],[TETO_COMERCIAL]]/100</f>
        <v>2.5000000000000001E-2</v>
      </c>
      <c r="U1164" t="b">
        <f>Consulta1[[#This Row],[TETO_COMERCIAL_%]]=Consulta1[[#This Row],[TAXA]]</f>
        <v>0</v>
      </c>
      <c r="V1164" t="str">
        <f>CONCATENATE(Consulta1[[#This Row],[MES_ALTERACAO]],Consulta1[[#This Row],[VIRADA]])</f>
        <v>20260515</v>
      </c>
      <c r="W1164">
        <f>VLOOKUP(Consulta1[[#This Row],[Coluna2]],CALENDARIO!$J:$K,2,FALSE)</f>
        <v>10</v>
      </c>
    </row>
    <row r="1165" spans="1:23" x14ac:dyDescent="0.25">
      <c r="A1165" t="s">
        <v>3053</v>
      </c>
      <c r="B1165" t="str">
        <f>CONCATENATE(Consulta1[[#This Row],[id]],Consulta1[[#This Row],[EMPREGADOR]])</f>
        <v>1PREF R GRANDE</v>
      </c>
      <c r="C1165" s="6">
        <f>IF(A1165=A1164,C1164+1,1)</f>
        <v>1</v>
      </c>
      <c r="D1165" t="s">
        <v>973</v>
      </c>
      <c r="E1165" s="101">
        <v>2.5000000000000001E-2</v>
      </c>
      <c r="F1165" s="6">
        <v>120</v>
      </c>
      <c r="G1165" t="s">
        <v>1349</v>
      </c>
      <c r="H1165" s="82">
        <v>2.5</v>
      </c>
      <c r="I1165">
        <v>20</v>
      </c>
      <c r="K1165" t="s">
        <v>2034</v>
      </c>
      <c r="L1165" s="6" t="s">
        <v>1640</v>
      </c>
      <c r="M1165" s="6">
        <v>5</v>
      </c>
      <c r="N1165" s="6">
        <v>2</v>
      </c>
      <c r="O1165">
        <v>500</v>
      </c>
      <c r="P1165">
        <v>202605</v>
      </c>
      <c r="Q1165" t="s">
        <v>377</v>
      </c>
      <c r="R1165" t="s">
        <v>1353</v>
      </c>
      <c r="S1165">
        <f>Consulta1[[#This Row],[min_port]]/100</f>
        <v>1.4800000000000001E-2</v>
      </c>
      <c r="T1165" s="252">
        <f>Consulta1[[#This Row],[TETO_COMERCIAL]]/100</f>
        <v>2.5000000000000001E-2</v>
      </c>
      <c r="U1165" t="b">
        <f>Consulta1[[#This Row],[TETO_COMERCIAL_%]]=Consulta1[[#This Row],[TAXA]]</f>
        <v>1</v>
      </c>
      <c r="V1165" t="str">
        <f>CONCATENATE(Consulta1[[#This Row],[MES_ALTERACAO]],Consulta1[[#This Row],[VIRADA]])</f>
        <v>2026055</v>
      </c>
      <c r="W1165">
        <f>VLOOKUP(Consulta1[[#This Row],[Coluna2]],CALENDARIO!$J:$K,2,FALSE)</f>
        <v>2</v>
      </c>
    </row>
    <row r="1166" spans="1:23" x14ac:dyDescent="0.25">
      <c r="A1166" t="s">
        <v>3053</v>
      </c>
      <c r="B1166" t="str">
        <f>CONCATENATE(Consulta1[[#This Row],[id]],Consulta1[[#This Row],[EMPREGADOR]])</f>
        <v>2PREF R GRANDE</v>
      </c>
      <c r="C1166" s="6">
        <f>IF(A1166=A1165,C1165+1,1)</f>
        <v>2</v>
      </c>
      <c r="D1166" t="s">
        <v>974</v>
      </c>
      <c r="E1166" s="101">
        <v>2.1000000000000001E-2</v>
      </c>
      <c r="F1166" s="6">
        <v>120</v>
      </c>
      <c r="G1166" t="s">
        <v>1349</v>
      </c>
      <c r="H1166" s="82">
        <v>2.5</v>
      </c>
      <c r="I1166">
        <v>20</v>
      </c>
      <c r="J1166">
        <v>67</v>
      </c>
      <c r="K1166" t="s">
        <v>2035</v>
      </c>
      <c r="L1166" s="6" t="s">
        <v>1640</v>
      </c>
      <c r="M1166" s="6">
        <v>5</v>
      </c>
      <c r="N1166" s="6">
        <v>2</v>
      </c>
      <c r="O1166">
        <v>500</v>
      </c>
      <c r="P1166">
        <v>202605</v>
      </c>
      <c r="Q1166" t="s">
        <v>377</v>
      </c>
      <c r="R1166" t="s">
        <v>1353</v>
      </c>
      <c r="S1166">
        <f>Consulta1[[#This Row],[min_port]]/100</f>
        <v>1.4800000000000001E-2</v>
      </c>
      <c r="T1166" s="252">
        <f>Consulta1[[#This Row],[TETO_COMERCIAL]]/100</f>
        <v>2.5000000000000001E-2</v>
      </c>
      <c r="U1166" t="b">
        <f>Consulta1[[#This Row],[TETO_COMERCIAL_%]]=Consulta1[[#This Row],[TAXA]]</f>
        <v>0</v>
      </c>
      <c r="V1166" t="str">
        <f>CONCATENATE(Consulta1[[#This Row],[MES_ALTERACAO]],Consulta1[[#This Row],[VIRADA]])</f>
        <v>2026055</v>
      </c>
      <c r="W1166">
        <f>VLOOKUP(Consulta1[[#This Row],[Coluna2]],CALENDARIO!$J:$K,2,FALSE)</f>
        <v>2</v>
      </c>
    </row>
    <row r="1167" spans="1:23" x14ac:dyDescent="0.25">
      <c r="A1167" t="s">
        <v>3053</v>
      </c>
      <c r="B1167" t="str">
        <f>CONCATENATE(Consulta1[[#This Row],[id]],Consulta1[[#This Row],[EMPREGADOR]])</f>
        <v>3PREF R GRANDE</v>
      </c>
      <c r="C1167" s="6">
        <f>IF(A1167=A1166,C1166+1,1)</f>
        <v>3</v>
      </c>
      <c r="D1167" t="s">
        <v>975</v>
      </c>
      <c r="E1167" s="101">
        <v>2.0499999999999997E-2</v>
      </c>
      <c r="F1167" s="6">
        <v>120</v>
      </c>
      <c r="G1167" t="s">
        <v>1349</v>
      </c>
      <c r="H1167" s="82">
        <v>2.5</v>
      </c>
      <c r="I1167">
        <v>20</v>
      </c>
      <c r="K1167" t="s">
        <v>2036</v>
      </c>
      <c r="L1167" s="6" t="s">
        <v>1640</v>
      </c>
      <c r="M1167" s="6">
        <v>5</v>
      </c>
      <c r="N1167" s="6">
        <v>2</v>
      </c>
      <c r="O1167">
        <v>500</v>
      </c>
      <c r="P1167">
        <v>202605</v>
      </c>
      <c r="Q1167" t="s">
        <v>377</v>
      </c>
      <c r="R1167" t="s">
        <v>1353</v>
      </c>
      <c r="S1167">
        <f>Consulta1[[#This Row],[min_port]]/100</f>
        <v>1.4800000000000001E-2</v>
      </c>
      <c r="T1167" s="252">
        <f>Consulta1[[#This Row],[TETO_COMERCIAL]]/100</f>
        <v>2.5000000000000001E-2</v>
      </c>
      <c r="U1167" t="b">
        <f>Consulta1[[#This Row],[TETO_COMERCIAL_%]]=Consulta1[[#This Row],[TAXA]]</f>
        <v>0</v>
      </c>
      <c r="V1167" t="str">
        <f>CONCATENATE(Consulta1[[#This Row],[MES_ALTERACAO]],Consulta1[[#This Row],[VIRADA]])</f>
        <v>2026055</v>
      </c>
      <c r="W1167">
        <f>VLOOKUP(Consulta1[[#This Row],[Coluna2]],CALENDARIO!$J:$K,2,FALSE)</f>
        <v>2</v>
      </c>
    </row>
    <row r="1168" spans="1:23" x14ac:dyDescent="0.25">
      <c r="A1168" t="s">
        <v>3053</v>
      </c>
      <c r="B1168" t="str">
        <f>CONCATENATE(Consulta1[[#This Row],[id]],Consulta1[[#This Row],[EMPREGADOR]])</f>
        <v>4PREF R GRANDE</v>
      </c>
      <c r="C1168" s="6">
        <f>IF(A1168=A1167,C1167+1,1)</f>
        <v>4</v>
      </c>
      <c r="D1168" t="s">
        <v>976</v>
      </c>
      <c r="E1168" s="101">
        <v>1.95E-2</v>
      </c>
      <c r="F1168" s="6">
        <v>120</v>
      </c>
      <c r="G1168" t="s">
        <v>1349</v>
      </c>
      <c r="H1168" s="82">
        <v>2.5</v>
      </c>
      <c r="I1168">
        <v>20</v>
      </c>
      <c r="J1168">
        <v>61</v>
      </c>
      <c r="K1168" t="s">
        <v>2037</v>
      </c>
      <c r="L1168" s="6" t="s">
        <v>1640</v>
      </c>
      <c r="M1168" s="6">
        <v>5</v>
      </c>
      <c r="N1168" s="6">
        <v>2</v>
      </c>
      <c r="O1168">
        <v>500</v>
      </c>
      <c r="P1168">
        <v>202605</v>
      </c>
      <c r="Q1168" t="s">
        <v>377</v>
      </c>
      <c r="R1168" t="s">
        <v>1353</v>
      </c>
      <c r="S1168">
        <f>Consulta1[[#This Row],[min_port]]/100</f>
        <v>1.4800000000000001E-2</v>
      </c>
      <c r="T1168" s="252">
        <f>Consulta1[[#This Row],[TETO_COMERCIAL]]/100</f>
        <v>2.5000000000000001E-2</v>
      </c>
      <c r="U1168" t="b">
        <f>Consulta1[[#This Row],[TETO_COMERCIAL_%]]=Consulta1[[#This Row],[TAXA]]</f>
        <v>0</v>
      </c>
      <c r="V1168" t="str">
        <f>CONCATENATE(Consulta1[[#This Row],[MES_ALTERACAO]],Consulta1[[#This Row],[VIRADA]])</f>
        <v>2026055</v>
      </c>
      <c r="W1168">
        <f>VLOOKUP(Consulta1[[#This Row],[Coluna2]],CALENDARIO!$J:$K,2,FALSE)</f>
        <v>2</v>
      </c>
    </row>
    <row r="1169" spans="1:23" x14ac:dyDescent="0.25">
      <c r="A1169" t="s">
        <v>3054</v>
      </c>
      <c r="B1169" t="str">
        <f>CONCATENATE(Consulta1[[#This Row],[id]],Consulta1[[#This Row],[EMPREGADOR]])</f>
        <v>1PREF R GRANDE CLT</v>
      </c>
      <c r="C1169" s="6">
        <f>IF(A1169=A1168,C1168+1,1)</f>
        <v>1</v>
      </c>
      <c r="D1169" t="s">
        <v>977</v>
      </c>
      <c r="E1169" s="101">
        <v>2.5000000000000001E-2</v>
      </c>
      <c r="F1169" s="6">
        <v>120</v>
      </c>
      <c r="G1169" t="s">
        <v>1349</v>
      </c>
      <c r="H1169" s="82">
        <v>2.5</v>
      </c>
      <c r="I1169">
        <v>20</v>
      </c>
      <c r="K1169" t="s">
        <v>2038</v>
      </c>
      <c r="L1169" s="6" t="s">
        <v>1640</v>
      </c>
      <c r="M1169" s="6">
        <v>5</v>
      </c>
      <c r="N1169" s="6">
        <v>2</v>
      </c>
      <c r="O1169">
        <v>500</v>
      </c>
      <c r="P1169">
        <v>202605</v>
      </c>
      <c r="Q1169" t="s">
        <v>377</v>
      </c>
      <c r="R1169" t="s">
        <v>1353</v>
      </c>
      <c r="S1169">
        <f>Consulta1[[#This Row],[min_port]]/100</f>
        <v>1.4800000000000001E-2</v>
      </c>
      <c r="T1169" s="252">
        <f>Consulta1[[#This Row],[TETO_COMERCIAL]]/100</f>
        <v>2.5000000000000001E-2</v>
      </c>
      <c r="U1169" t="b">
        <f>Consulta1[[#This Row],[TETO_COMERCIAL_%]]=Consulta1[[#This Row],[TAXA]]</f>
        <v>1</v>
      </c>
      <c r="V1169" t="str">
        <f>CONCATENATE(Consulta1[[#This Row],[MES_ALTERACAO]],Consulta1[[#This Row],[VIRADA]])</f>
        <v>2026055</v>
      </c>
      <c r="W1169">
        <f>VLOOKUP(Consulta1[[#This Row],[Coluna2]],CALENDARIO!$J:$K,2,FALSE)</f>
        <v>2</v>
      </c>
    </row>
    <row r="1170" spans="1:23" x14ac:dyDescent="0.25">
      <c r="A1170" t="s">
        <v>3054</v>
      </c>
      <c r="B1170" t="str">
        <f>CONCATENATE(Consulta1[[#This Row],[id]],Consulta1[[#This Row],[EMPREGADOR]])</f>
        <v>2PREF R GRANDE CLT</v>
      </c>
      <c r="C1170" s="6">
        <f>IF(A1170=A1169,C1169+1,1)</f>
        <v>2</v>
      </c>
      <c r="D1170" t="s">
        <v>978</v>
      </c>
      <c r="E1170" s="101">
        <v>2.1000000000000001E-2</v>
      </c>
      <c r="F1170" s="6">
        <v>120</v>
      </c>
      <c r="G1170" t="s">
        <v>1349</v>
      </c>
      <c r="H1170" s="82">
        <v>2.5</v>
      </c>
      <c r="I1170">
        <v>20</v>
      </c>
      <c r="K1170" t="s">
        <v>2039</v>
      </c>
      <c r="L1170" s="6" t="s">
        <v>1640</v>
      </c>
      <c r="M1170" s="6">
        <v>5</v>
      </c>
      <c r="N1170" s="6">
        <v>2</v>
      </c>
      <c r="O1170">
        <v>500</v>
      </c>
      <c r="P1170">
        <v>202605</v>
      </c>
      <c r="Q1170" t="s">
        <v>377</v>
      </c>
      <c r="R1170" t="s">
        <v>1353</v>
      </c>
      <c r="S1170">
        <f>Consulta1[[#This Row],[min_port]]/100</f>
        <v>1.4800000000000001E-2</v>
      </c>
      <c r="T1170" s="252">
        <f>Consulta1[[#This Row],[TETO_COMERCIAL]]/100</f>
        <v>2.5000000000000001E-2</v>
      </c>
      <c r="U1170" t="b">
        <f>Consulta1[[#This Row],[TETO_COMERCIAL_%]]=Consulta1[[#This Row],[TAXA]]</f>
        <v>0</v>
      </c>
      <c r="V1170" t="str">
        <f>CONCATENATE(Consulta1[[#This Row],[MES_ALTERACAO]],Consulta1[[#This Row],[VIRADA]])</f>
        <v>2026055</v>
      </c>
      <c r="W1170">
        <f>VLOOKUP(Consulta1[[#This Row],[Coluna2]],CALENDARIO!$J:$K,2,FALSE)</f>
        <v>2</v>
      </c>
    </row>
    <row r="1171" spans="1:23" x14ac:dyDescent="0.25">
      <c r="A1171" t="s">
        <v>3054</v>
      </c>
      <c r="B1171" t="str">
        <f>CONCATENATE(Consulta1[[#This Row],[id]],Consulta1[[#This Row],[EMPREGADOR]])</f>
        <v>3PREF R GRANDE CLT</v>
      </c>
      <c r="C1171" s="6">
        <f>IF(A1171=A1170,C1170+1,1)</f>
        <v>3</v>
      </c>
      <c r="D1171" t="s">
        <v>979</v>
      </c>
      <c r="E1171" s="101">
        <v>2.0499999999999997E-2</v>
      </c>
      <c r="F1171" s="6">
        <v>120</v>
      </c>
      <c r="G1171" t="s">
        <v>1349</v>
      </c>
      <c r="H1171" s="82">
        <v>2.5</v>
      </c>
      <c r="I1171">
        <v>20</v>
      </c>
      <c r="K1171" t="s">
        <v>2040</v>
      </c>
      <c r="L1171" s="6" t="s">
        <v>1640</v>
      </c>
      <c r="M1171" s="6">
        <v>5</v>
      </c>
      <c r="N1171" s="6">
        <v>2</v>
      </c>
      <c r="O1171">
        <v>500</v>
      </c>
      <c r="P1171">
        <v>202605</v>
      </c>
      <c r="Q1171" t="s">
        <v>377</v>
      </c>
      <c r="R1171" t="s">
        <v>1353</v>
      </c>
      <c r="S1171">
        <f>Consulta1[[#This Row],[min_port]]/100</f>
        <v>1.4800000000000001E-2</v>
      </c>
      <c r="T1171" s="252">
        <f>Consulta1[[#This Row],[TETO_COMERCIAL]]/100</f>
        <v>2.5000000000000001E-2</v>
      </c>
      <c r="U1171" t="b">
        <f>Consulta1[[#This Row],[TETO_COMERCIAL_%]]=Consulta1[[#This Row],[TAXA]]</f>
        <v>0</v>
      </c>
      <c r="V1171" t="str">
        <f>CONCATENATE(Consulta1[[#This Row],[MES_ALTERACAO]],Consulta1[[#This Row],[VIRADA]])</f>
        <v>2026055</v>
      </c>
      <c r="W1171">
        <f>VLOOKUP(Consulta1[[#This Row],[Coluna2]],CALENDARIO!$J:$K,2,FALSE)</f>
        <v>2</v>
      </c>
    </row>
    <row r="1172" spans="1:23" x14ac:dyDescent="0.25">
      <c r="A1172" t="s">
        <v>3054</v>
      </c>
      <c r="B1172" t="str">
        <f>CONCATENATE(Consulta1[[#This Row],[id]],Consulta1[[#This Row],[EMPREGADOR]])</f>
        <v>4PREF R GRANDE CLT</v>
      </c>
      <c r="C1172" s="6">
        <f>IF(A1172=A1171,C1171+1,1)</f>
        <v>4</v>
      </c>
      <c r="D1172" t="s">
        <v>980</v>
      </c>
      <c r="E1172" s="101">
        <v>1.95E-2</v>
      </c>
      <c r="F1172" s="6">
        <v>120</v>
      </c>
      <c r="G1172" t="s">
        <v>1349</v>
      </c>
      <c r="H1172" s="82">
        <v>2.5</v>
      </c>
      <c r="I1172">
        <v>20</v>
      </c>
      <c r="K1172" t="s">
        <v>2041</v>
      </c>
      <c r="L1172" s="6" t="s">
        <v>1640</v>
      </c>
      <c r="M1172" s="6">
        <v>5</v>
      </c>
      <c r="N1172" s="6">
        <v>2</v>
      </c>
      <c r="O1172">
        <v>500</v>
      </c>
      <c r="P1172">
        <v>202605</v>
      </c>
      <c r="Q1172" t="s">
        <v>377</v>
      </c>
      <c r="R1172" t="s">
        <v>1353</v>
      </c>
      <c r="S1172">
        <f>Consulta1[[#This Row],[min_port]]/100</f>
        <v>1.4800000000000001E-2</v>
      </c>
      <c r="T1172" s="252">
        <f>Consulta1[[#This Row],[TETO_COMERCIAL]]/100</f>
        <v>2.5000000000000001E-2</v>
      </c>
      <c r="U1172" t="b">
        <f>Consulta1[[#This Row],[TETO_COMERCIAL_%]]=Consulta1[[#This Row],[TAXA]]</f>
        <v>0</v>
      </c>
      <c r="V1172" t="str">
        <f>CONCATENATE(Consulta1[[#This Row],[MES_ALTERACAO]],Consulta1[[#This Row],[VIRADA]])</f>
        <v>2026055</v>
      </c>
      <c r="W1172">
        <f>VLOOKUP(Consulta1[[#This Row],[Coluna2]],CALENDARIO!$J:$K,2,FALSE)</f>
        <v>2</v>
      </c>
    </row>
    <row r="1173" spans="1:23" x14ac:dyDescent="0.25">
      <c r="A1173" t="s">
        <v>373</v>
      </c>
      <c r="B1173" t="str">
        <f>CONCATENATE(Consulta1[[#This Row],[id]],Consulta1[[#This Row],[EMPREGADOR]])</f>
        <v>1PREF RECIFE</v>
      </c>
      <c r="C1173" s="6">
        <f>IF(A1173=A1172,C1172+1,1)</f>
        <v>1</v>
      </c>
      <c r="D1173" t="s">
        <v>621</v>
      </c>
      <c r="E1173" s="101">
        <v>2.5000000000000001E-2</v>
      </c>
      <c r="F1173" s="6">
        <v>120</v>
      </c>
      <c r="G1173" t="s">
        <v>1349</v>
      </c>
      <c r="H1173" s="82">
        <v>2.5</v>
      </c>
      <c r="I1173">
        <v>10</v>
      </c>
      <c r="J1173">
        <v>42</v>
      </c>
      <c r="K1173" t="s">
        <v>2004</v>
      </c>
      <c r="L1173" s="6" t="s">
        <v>1438</v>
      </c>
      <c r="M1173" s="6">
        <v>10</v>
      </c>
      <c r="N1173" s="6">
        <v>2</v>
      </c>
      <c r="O1173">
        <v>500</v>
      </c>
      <c r="P1173">
        <v>202605</v>
      </c>
      <c r="Q1173" t="s">
        <v>377</v>
      </c>
      <c r="R1173" t="s">
        <v>1353</v>
      </c>
      <c r="S1173">
        <f>Consulta1[[#This Row],[min_port]]/100</f>
        <v>1.6500000000000001E-2</v>
      </c>
      <c r="T1173" s="252">
        <f>Consulta1[[#This Row],[TETO_COMERCIAL]]/100</f>
        <v>2.5000000000000001E-2</v>
      </c>
      <c r="U1173" t="b">
        <f>Consulta1[[#This Row],[TETO_COMERCIAL_%]]=Consulta1[[#This Row],[TAXA]]</f>
        <v>1</v>
      </c>
      <c r="V1173" t="str">
        <f>CONCATENATE(Consulta1[[#This Row],[MES_ALTERACAO]],Consulta1[[#This Row],[VIRADA]])</f>
        <v>20260510</v>
      </c>
      <c r="W1173">
        <f>VLOOKUP(Consulta1[[#This Row],[Coluna2]],CALENDARIO!$J:$K,2,FALSE)</f>
        <v>5</v>
      </c>
    </row>
    <row r="1174" spans="1:23" x14ac:dyDescent="0.25">
      <c r="A1174" t="s">
        <v>373</v>
      </c>
      <c r="B1174" t="str">
        <f>CONCATENATE(Consulta1[[#This Row],[id]],Consulta1[[#This Row],[EMPREGADOR]])</f>
        <v>2PREF RECIFE</v>
      </c>
      <c r="C1174" s="6">
        <f>IF(A1174=A1173,C1173+1,1)</f>
        <v>2</v>
      </c>
      <c r="D1174" t="s">
        <v>622</v>
      </c>
      <c r="E1174" s="101">
        <v>2.3E-2</v>
      </c>
      <c r="F1174" s="6">
        <v>120</v>
      </c>
      <c r="G1174" t="s">
        <v>1349</v>
      </c>
      <c r="H1174" s="82">
        <v>2.5</v>
      </c>
      <c r="I1174">
        <v>10</v>
      </c>
      <c r="J1174">
        <v>42</v>
      </c>
      <c r="K1174" t="s">
        <v>2005</v>
      </c>
      <c r="L1174" s="6" t="s">
        <v>1438</v>
      </c>
      <c r="M1174" s="6">
        <v>10</v>
      </c>
      <c r="N1174" s="6">
        <v>2</v>
      </c>
      <c r="O1174">
        <v>500</v>
      </c>
      <c r="P1174">
        <v>202605</v>
      </c>
      <c r="Q1174" t="s">
        <v>377</v>
      </c>
      <c r="R1174" t="s">
        <v>1353</v>
      </c>
      <c r="S1174">
        <f>Consulta1[[#This Row],[min_port]]/100</f>
        <v>1.6500000000000001E-2</v>
      </c>
      <c r="T1174" s="252">
        <f>Consulta1[[#This Row],[TETO_COMERCIAL]]/100</f>
        <v>2.5000000000000001E-2</v>
      </c>
      <c r="U1174" t="b">
        <f>Consulta1[[#This Row],[TETO_COMERCIAL_%]]=Consulta1[[#This Row],[TAXA]]</f>
        <v>0</v>
      </c>
      <c r="V1174" t="str">
        <f>CONCATENATE(Consulta1[[#This Row],[MES_ALTERACAO]],Consulta1[[#This Row],[VIRADA]])</f>
        <v>20260510</v>
      </c>
      <c r="W1174">
        <f>VLOOKUP(Consulta1[[#This Row],[Coluna2]],CALENDARIO!$J:$K,2,FALSE)</f>
        <v>5</v>
      </c>
    </row>
    <row r="1175" spans="1:23" x14ac:dyDescent="0.25">
      <c r="A1175" t="s">
        <v>373</v>
      </c>
      <c r="B1175" t="str">
        <f>CONCATENATE(Consulta1[[#This Row],[id]],Consulta1[[#This Row],[EMPREGADOR]])</f>
        <v>3PREF RECIFE</v>
      </c>
      <c r="C1175" s="6">
        <f>IF(A1175=A1174,C1174+1,1)</f>
        <v>3</v>
      </c>
      <c r="D1175" t="s">
        <v>786</v>
      </c>
      <c r="E1175" s="101">
        <v>2.1499999999999998E-2</v>
      </c>
      <c r="F1175" s="6">
        <v>120</v>
      </c>
      <c r="G1175" t="s">
        <v>1349</v>
      </c>
      <c r="H1175" s="82">
        <v>2.5</v>
      </c>
      <c r="I1175">
        <v>10</v>
      </c>
      <c r="J1175">
        <v>42</v>
      </c>
      <c r="K1175" t="s">
        <v>2006</v>
      </c>
      <c r="L1175" s="6" t="s">
        <v>1438</v>
      </c>
      <c r="M1175" s="6">
        <v>10</v>
      </c>
      <c r="N1175" s="6">
        <v>2</v>
      </c>
      <c r="O1175">
        <v>500</v>
      </c>
      <c r="P1175">
        <v>202605</v>
      </c>
      <c r="Q1175" t="s">
        <v>377</v>
      </c>
      <c r="R1175" t="s">
        <v>1353</v>
      </c>
      <c r="S1175">
        <f>Consulta1[[#This Row],[min_port]]/100</f>
        <v>1.6500000000000001E-2</v>
      </c>
      <c r="T1175" s="252">
        <f>Consulta1[[#This Row],[TETO_COMERCIAL]]/100</f>
        <v>2.5000000000000001E-2</v>
      </c>
      <c r="U1175" t="b">
        <f>Consulta1[[#This Row],[TETO_COMERCIAL_%]]=Consulta1[[#This Row],[TAXA]]</f>
        <v>0</v>
      </c>
      <c r="V1175" t="str">
        <f>CONCATENATE(Consulta1[[#This Row],[MES_ALTERACAO]],Consulta1[[#This Row],[VIRADA]])</f>
        <v>20260510</v>
      </c>
      <c r="W1175">
        <f>VLOOKUP(Consulta1[[#This Row],[Coluna2]],CALENDARIO!$J:$K,2,FALSE)</f>
        <v>5</v>
      </c>
    </row>
    <row r="1176" spans="1:23" x14ac:dyDescent="0.25">
      <c r="A1176" t="s">
        <v>362</v>
      </c>
      <c r="B1176" t="str">
        <f>CONCATENATE(Consulta1[[#This Row],[id]],Consulta1[[#This Row],[EMPREGADOR]])</f>
        <v>1PREF RECIFE CLT</v>
      </c>
      <c r="C1176" s="6">
        <f>IF(A1176=A1175,C1175+1,1)</f>
        <v>1</v>
      </c>
      <c r="D1176" t="s">
        <v>623</v>
      </c>
      <c r="E1176" s="101">
        <v>2.5000000000000001E-2</v>
      </c>
      <c r="F1176" s="6">
        <v>120</v>
      </c>
      <c r="G1176" t="s">
        <v>1349</v>
      </c>
      <c r="H1176" s="82">
        <v>2.5</v>
      </c>
      <c r="I1176">
        <v>10</v>
      </c>
      <c r="J1176">
        <v>42</v>
      </c>
      <c r="K1176" t="s">
        <v>2007</v>
      </c>
      <c r="L1176" s="6" t="s">
        <v>1438</v>
      </c>
      <c r="M1176" s="6">
        <v>10</v>
      </c>
      <c r="N1176" s="6">
        <v>2</v>
      </c>
      <c r="O1176">
        <v>500</v>
      </c>
      <c r="P1176">
        <v>202605</v>
      </c>
      <c r="Q1176" t="s">
        <v>377</v>
      </c>
      <c r="R1176" t="s">
        <v>1353</v>
      </c>
      <c r="S1176">
        <f>Consulta1[[#This Row],[min_port]]/100</f>
        <v>1.6500000000000001E-2</v>
      </c>
      <c r="T1176" s="252">
        <f>Consulta1[[#This Row],[TETO_COMERCIAL]]/100</f>
        <v>2.5000000000000001E-2</v>
      </c>
      <c r="U1176" t="b">
        <f>Consulta1[[#This Row],[TETO_COMERCIAL_%]]=Consulta1[[#This Row],[TAXA]]</f>
        <v>1</v>
      </c>
      <c r="V1176" t="str">
        <f>CONCATENATE(Consulta1[[#This Row],[MES_ALTERACAO]],Consulta1[[#This Row],[VIRADA]])</f>
        <v>20260510</v>
      </c>
      <c r="W1176">
        <f>VLOOKUP(Consulta1[[#This Row],[Coluna2]],CALENDARIO!$J:$K,2,FALSE)</f>
        <v>5</v>
      </c>
    </row>
    <row r="1177" spans="1:23" x14ac:dyDescent="0.25">
      <c r="A1177" t="s">
        <v>362</v>
      </c>
      <c r="B1177" t="str">
        <f>CONCATENATE(Consulta1[[#This Row],[id]],Consulta1[[#This Row],[EMPREGADOR]])</f>
        <v>2PREF RECIFE CLT</v>
      </c>
      <c r="C1177" s="6">
        <f>IF(A1177=A1176,C1176+1,1)</f>
        <v>2</v>
      </c>
      <c r="D1177" t="s">
        <v>624</v>
      </c>
      <c r="E1177" s="101">
        <v>2.3E-2</v>
      </c>
      <c r="F1177" s="6">
        <v>120</v>
      </c>
      <c r="G1177" t="s">
        <v>1349</v>
      </c>
      <c r="H1177" s="82">
        <v>2.5</v>
      </c>
      <c r="I1177">
        <v>10</v>
      </c>
      <c r="J1177">
        <v>42</v>
      </c>
      <c r="K1177" t="s">
        <v>2008</v>
      </c>
      <c r="L1177" s="6" t="s">
        <v>1438</v>
      </c>
      <c r="M1177" s="6">
        <v>10</v>
      </c>
      <c r="N1177" s="6">
        <v>2</v>
      </c>
      <c r="O1177">
        <v>500</v>
      </c>
      <c r="P1177">
        <v>202605</v>
      </c>
      <c r="Q1177" t="s">
        <v>377</v>
      </c>
      <c r="R1177" t="s">
        <v>1353</v>
      </c>
      <c r="S1177">
        <f>Consulta1[[#This Row],[min_port]]/100</f>
        <v>1.6500000000000001E-2</v>
      </c>
      <c r="T1177" s="252">
        <f>Consulta1[[#This Row],[TETO_COMERCIAL]]/100</f>
        <v>2.5000000000000001E-2</v>
      </c>
      <c r="U1177" t="b">
        <f>Consulta1[[#This Row],[TETO_COMERCIAL_%]]=Consulta1[[#This Row],[TAXA]]</f>
        <v>0</v>
      </c>
      <c r="V1177" t="str">
        <f>CONCATENATE(Consulta1[[#This Row],[MES_ALTERACAO]],Consulta1[[#This Row],[VIRADA]])</f>
        <v>20260510</v>
      </c>
      <c r="W1177">
        <f>VLOOKUP(Consulta1[[#This Row],[Coluna2]],CALENDARIO!$J:$K,2,FALSE)</f>
        <v>5</v>
      </c>
    </row>
    <row r="1178" spans="1:23" x14ac:dyDescent="0.25">
      <c r="A1178" t="s">
        <v>362</v>
      </c>
      <c r="B1178" t="str">
        <f>CONCATENATE(Consulta1[[#This Row],[id]],Consulta1[[#This Row],[EMPREGADOR]])</f>
        <v>3PREF RECIFE CLT</v>
      </c>
      <c r="C1178" s="6">
        <f>IF(A1178=A1177,C1177+1,1)</f>
        <v>3</v>
      </c>
      <c r="D1178" t="s">
        <v>787</v>
      </c>
      <c r="E1178" s="101">
        <v>2.1499999999999998E-2</v>
      </c>
      <c r="F1178" s="6">
        <v>120</v>
      </c>
      <c r="G1178" t="s">
        <v>1349</v>
      </c>
      <c r="H1178" s="82">
        <v>2.5</v>
      </c>
      <c r="I1178">
        <v>10</v>
      </c>
      <c r="J1178">
        <v>42</v>
      </c>
      <c r="K1178" t="s">
        <v>2009</v>
      </c>
      <c r="L1178" s="6" t="s">
        <v>1438</v>
      </c>
      <c r="M1178" s="6">
        <v>10</v>
      </c>
      <c r="N1178" s="6">
        <v>2</v>
      </c>
      <c r="O1178">
        <v>500</v>
      </c>
      <c r="P1178">
        <v>202605</v>
      </c>
      <c r="Q1178" t="s">
        <v>377</v>
      </c>
      <c r="R1178" t="s">
        <v>1353</v>
      </c>
      <c r="S1178">
        <f>Consulta1[[#This Row],[min_port]]/100</f>
        <v>1.6500000000000001E-2</v>
      </c>
      <c r="T1178" s="252">
        <f>Consulta1[[#This Row],[TETO_COMERCIAL]]/100</f>
        <v>2.5000000000000001E-2</v>
      </c>
      <c r="U1178" t="b">
        <f>Consulta1[[#This Row],[TETO_COMERCIAL_%]]=Consulta1[[#This Row],[TAXA]]</f>
        <v>0</v>
      </c>
      <c r="V1178" t="str">
        <f>CONCATENATE(Consulta1[[#This Row],[MES_ALTERACAO]],Consulta1[[#This Row],[VIRADA]])</f>
        <v>20260510</v>
      </c>
      <c r="W1178">
        <f>VLOOKUP(Consulta1[[#This Row],[Coluna2]],CALENDARIO!$J:$K,2,FALSE)</f>
        <v>5</v>
      </c>
    </row>
    <row r="1179" spans="1:23" x14ac:dyDescent="0.25">
      <c r="A1179" t="s">
        <v>228</v>
      </c>
      <c r="B1179" t="str">
        <f>CONCATENATE(Consulta1[[#This Row],[id]],Consulta1[[#This Row],[EMPREGADOR]])</f>
        <v>1PREF REGISTRO</v>
      </c>
      <c r="C1179" s="6">
        <f>IF(A1179=A1178,C1178+1,1)</f>
        <v>1</v>
      </c>
      <c r="D1179" t="s">
        <v>1273</v>
      </c>
      <c r="E1179" s="101">
        <v>2.5000000000000001E-2</v>
      </c>
      <c r="F1179" s="6">
        <v>120</v>
      </c>
      <c r="G1179" t="s">
        <v>1349</v>
      </c>
      <c r="H1179" s="82">
        <v>2.5</v>
      </c>
      <c r="I1179">
        <v>10</v>
      </c>
      <c r="K1179" t="s">
        <v>2010</v>
      </c>
      <c r="L1179" s="6" t="s">
        <v>1372</v>
      </c>
      <c r="M1179" s="6">
        <v>12</v>
      </c>
      <c r="N1179" s="6">
        <v>2</v>
      </c>
      <c r="O1179">
        <v>500</v>
      </c>
      <c r="P1179">
        <v>202605</v>
      </c>
      <c r="Q1179" t="s">
        <v>377</v>
      </c>
      <c r="R1179" t="s">
        <v>1350</v>
      </c>
      <c r="S1179">
        <f>Consulta1[[#This Row],[min_port]]/100</f>
        <v>1.6E-2</v>
      </c>
      <c r="T1179" s="252">
        <f>Consulta1[[#This Row],[TETO_COMERCIAL]]/100</f>
        <v>2.5000000000000001E-2</v>
      </c>
      <c r="U1179" t="b">
        <f>Consulta1[[#This Row],[TETO_COMERCIAL_%]]=Consulta1[[#This Row],[TAXA]]</f>
        <v>1</v>
      </c>
      <c r="V1179" t="str">
        <f>CONCATENATE(Consulta1[[#This Row],[MES_ALTERACAO]],Consulta1[[#This Row],[VIRADA]])</f>
        <v>20260512</v>
      </c>
      <c r="W1179">
        <f>VLOOKUP(Consulta1[[#This Row],[Coluna2]],CALENDARIO!$J:$K,2,FALSE)</f>
        <v>7</v>
      </c>
    </row>
    <row r="1180" spans="1:23" x14ac:dyDescent="0.25">
      <c r="A1180" t="s">
        <v>228</v>
      </c>
      <c r="B1180" t="str">
        <f>CONCATENATE(Consulta1[[#This Row],[id]],Consulta1[[#This Row],[EMPREGADOR]])</f>
        <v>2PREF REGISTRO</v>
      </c>
      <c r="C1180" s="6">
        <f>IF(A1180=A1179,C1179+1,1)</f>
        <v>2</v>
      </c>
      <c r="D1180" t="s">
        <v>1274</v>
      </c>
      <c r="E1180" s="101">
        <v>2.3900000000000001E-2</v>
      </c>
      <c r="F1180" s="6">
        <v>120</v>
      </c>
      <c r="G1180" t="s">
        <v>1349</v>
      </c>
      <c r="H1180" s="82">
        <v>2.5</v>
      </c>
      <c r="I1180">
        <v>10</v>
      </c>
      <c r="K1180" t="s">
        <v>2011</v>
      </c>
      <c r="L1180" s="6" t="s">
        <v>1372</v>
      </c>
      <c r="M1180" s="6">
        <v>12</v>
      </c>
      <c r="N1180" s="6">
        <v>2</v>
      </c>
      <c r="O1180">
        <v>500</v>
      </c>
      <c r="P1180">
        <v>202605</v>
      </c>
      <c r="Q1180" t="s">
        <v>377</v>
      </c>
      <c r="R1180" t="s">
        <v>1350</v>
      </c>
      <c r="S1180">
        <f>Consulta1[[#This Row],[min_port]]/100</f>
        <v>1.6E-2</v>
      </c>
      <c r="T1180" s="252">
        <f>Consulta1[[#This Row],[TETO_COMERCIAL]]/100</f>
        <v>2.5000000000000001E-2</v>
      </c>
      <c r="U1180" t="b">
        <f>Consulta1[[#This Row],[TETO_COMERCIAL_%]]=Consulta1[[#This Row],[TAXA]]</f>
        <v>0</v>
      </c>
      <c r="V1180" t="str">
        <f>CONCATENATE(Consulta1[[#This Row],[MES_ALTERACAO]],Consulta1[[#This Row],[VIRADA]])</f>
        <v>20260512</v>
      </c>
      <c r="W1180">
        <f>VLOOKUP(Consulta1[[#This Row],[Coluna2]],CALENDARIO!$J:$K,2,FALSE)</f>
        <v>7</v>
      </c>
    </row>
    <row r="1181" spans="1:23" x14ac:dyDescent="0.25">
      <c r="A1181" t="s">
        <v>228</v>
      </c>
      <c r="B1181" t="str">
        <f>CONCATENATE(Consulta1[[#This Row],[id]],Consulta1[[#This Row],[EMPREGADOR]])</f>
        <v>3PREF REGISTRO</v>
      </c>
      <c r="C1181" s="6">
        <f>IF(A1181=A1180,C1180+1,1)</f>
        <v>3</v>
      </c>
      <c r="D1181" t="s">
        <v>1275</v>
      </c>
      <c r="E1181" s="101">
        <v>2.29E-2</v>
      </c>
      <c r="F1181" s="6">
        <v>120</v>
      </c>
      <c r="G1181" t="s">
        <v>1349</v>
      </c>
      <c r="H1181" s="82">
        <v>2.5</v>
      </c>
      <c r="I1181">
        <v>10</v>
      </c>
      <c r="J1181">
        <v>50</v>
      </c>
      <c r="K1181" t="s">
        <v>2012</v>
      </c>
      <c r="L1181" s="6" t="s">
        <v>1372</v>
      </c>
      <c r="M1181" s="6">
        <v>12</v>
      </c>
      <c r="N1181" s="6">
        <v>2</v>
      </c>
      <c r="O1181">
        <v>500</v>
      </c>
      <c r="P1181">
        <v>202605</v>
      </c>
      <c r="Q1181" t="s">
        <v>377</v>
      </c>
      <c r="R1181" t="s">
        <v>1350</v>
      </c>
      <c r="S1181">
        <f>Consulta1[[#This Row],[min_port]]/100</f>
        <v>1.6E-2</v>
      </c>
      <c r="T1181" s="252">
        <f>Consulta1[[#This Row],[TETO_COMERCIAL]]/100</f>
        <v>2.5000000000000001E-2</v>
      </c>
      <c r="U1181" t="b">
        <f>Consulta1[[#This Row],[TETO_COMERCIAL_%]]=Consulta1[[#This Row],[TAXA]]</f>
        <v>0</v>
      </c>
      <c r="V1181" t="str">
        <f>CONCATENATE(Consulta1[[#This Row],[MES_ALTERACAO]],Consulta1[[#This Row],[VIRADA]])</f>
        <v>20260512</v>
      </c>
      <c r="W1181">
        <f>VLOOKUP(Consulta1[[#This Row],[Coluna2]],CALENDARIO!$J:$K,2,FALSE)</f>
        <v>7</v>
      </c>
    </row>
    <row r="1182" spans="1:23" x14ac:dyDescent="0.25">
      <c r="A1182" t="s">
        <v>228</v>
      </c>
      <c r="B1182" t="str">
        <f>CONCATENATE(Consulta1[[#This Row],[id]],Consulta1[[#This Row],[EMPREGADOR]])</f>
        <v>4PREF REGISTRO</v>
      </c>
      <c r="C1182" s="6">
        <f>IF(A1182=A1181,C1181+1,1)</f>
        <v>4</v>
      </c>
      <c r="D1182" t="s">
        <v>1276</v>
      </c>
      <c r="E1182" s="101">
        <v>2.0899999999999998E-2</v>
      </c>
      <c r="F1182" s="6">
        <v>120</v>
      </c>
      <c r="G1182" t="s">
        <v>1349</v>
      </c>
      <c r="H1182" s="82">
        <v>2.5</v>
      </c>
      <c r="I1182">
        <v>10</v>
      </c>
      <c r="J1182">
        <v>50</v>
      </c>
      <c r="K1182" t="s">
        <v>2013</v>
      </c>
      <c r="L1182" s="6" t="s">
        <v>1372</v>
      </c>
      <c r="M1182" s="6">
        <v>12</v>
      </c>
      <c r="N1182" s="6">
        <v>2</v>
      </c>
      <c r="O1182">
        <v>500</v>
      </c>
      <c r="P1182">
        <v>202605</v>
      </c>
      <c r="Q1182" t="s">
        <v>377</v>
      </c>
      <c r="R1182" t="s">
        <v>1350</v>
      </c>
      <c r="S1182">
        <f>Consulta1[[#This Row],[min_port]]/100</f>
        <v>1.6E-2</v>
      </c>
      <c r="T1182" s="252">
        <f>Consulta1[[#This Row],[TETO_COMERCIAL]]/100</f>
        <v>2.5000000000000001E-2</v>
      </c>
      <c r="U1182" t="b">
        <f>Consulta1[[#This Row],[TETO_COMERCIAL_%]]=Consulta1[[#This Row],[TAXA]]</f>
        <v>0</v>
      </c>
      <c r="V1182" t="str">
        <f>CONCATENATE(Consulta1[[#This Row],[MES_ALTERACAO]],Consulta1[[#This Row],[VIRADA]])</f>
        <v>20260512</v>
      </c>
      <c r="W1182">
        <f>VLOOKUP(Consulta1[[#This Row],[Coluna2]],CALENDARIO!$J:$K,2,FALSE)</f>
        <v>7</v>
      </c>
    </row>
    <row r="1183" spans="1:23" x14ac:dyDescent="0.25">
      <c r="A1183" t="s">
        <v>228</v>
      </c>
      <c r="B1183" t="str">
        <f>CONCATENATE(Consulta1[[#This Row],[id]],Consulta1[[#This Row],[EMPREGADOR]])</f>
        <v>5PREF REGISTRO</v>
      </c>
      <c r="C1183" s="6">
        <f>IF(A1183=A1182,C1182+1,1)</f>
        <v>5</v>
      </c>
      <c r="D1183" t="s">
        <v>1277</v>
      </c>
      <c r="E1183" s="101">
        <v>1.9900000000000001E-2</v>
      </c>
      <c r="F1183" s="6">
        <v>120</v>
      </c>
      <c r="G1183" t="s">
        <v>1349</v>
      </c>
      <c r="H1183" s="82">
        <v>2.5</v>
      </c>
      <c r="I1183">
        <v>10</v>
      </c>
      <c r="J1183">
        <v>38</v>
      </c>
      <c r="K1183" t="s">
        <v>2014</v>
      </c>
      <c r="L1183" s="6" t="s">
        <v>1372</v>
      </c>
      <c r="M1183" s="6">
        <v>12</v>
      </c>
      <c r="N1183" s="6">
        <v>2</v>
      </c>
      <c r="O1183">
        <v>500</v>
      </c>
      <c r="P1183">
        <v>202605</v>
      </c>
      <c r="Q1183" t="s">
        <v>377</v>
      </c>
      <c r="R1183" t="s">
        <v>1350</v>
      </c>
      <c r="S1183">
        <f>Consulta1[[#This Row],[min_port]]/100</f>
        <v>1.6E-2</v>
      </c>
      <c r="T1183" s="252">
        <f>Consulta1[[#This Row],[TETO_COMERCIAL]]/100</f>
        <v>2.5000000000000001E-2</v>
      </c>
      <c r="U1183" t="b">
        <f>Consulta1[[#This Row],[TETO_COMERCIAL_%]]=Consulta1[[#This Row],[TAXA]]</f>
        <v>0</v>
      </c>
      <c r="V1183" t="str">
        <f>CONCATENATE(Consulta1[[#This Row],[MES_ALTERACAO]],Consulta1[[#This Row],[VIRADA]])</f>
        <v>20260512</v>
      </c>
      <c r="W1183">
        <f>VLOOKUP(Consulta1[[#This Row],[Coluna2]],CALENDARIO!$J:$K,2,FALSE)</f>
        <v>7</v>
      </c>
    </row>
    <row r="1184" spans="1:23" x14ac:dyDescent="0.25">
      <c r="A1184" t="s">
        <v>854</v>
      </c>
      <c r="B1184" t="str">
        <f>CONCATENATE(Consulta1[[#This Row],[id]],Consulta1[[#This Row],[EMPREGADOR]])</f>
        <v>1PREF RIB NEVES</v>
      </c>
      <c r="C1184" s="6">
        <f>IF(A1184=A1183,C1183+1,1)</f>
        <v>1</v>
      </c>
      <c r="D1184" t="s">
        <v>898</v>
      </c>
      <c r="E1184" s="101">
        <v>2.07E-2</v>
      </c>
      <c r="F1184" s="6">
        <v>120</v>
      </c>
      <c r="G1184" t="s">
        <v>1349</v>
      </c>
      <c r="H1184" s="82">
        <v>2.25</v>
      </c>
      <c r="I1184">
        <v>20</v>
      </c>
      <c r="J1184">
        <v>46</v>
      </c>
      <c r="K1184" t="s">
        <v>2015</v>
      </c>
      <c r="L1184" s="6" t="s">
        <v>1374</v>
      </c>
      <c r="M1184" s="6">
        <v>17</v>
      </c>
      <c r="N1184" s="6">
        <v>2</v>
      </c>
      <c r="O1184">
        <v>500</v>
      </c>
      <c r="P1184">
        <v>202605</v>
      </c>
      <c r="Q1184" t="s">
        <v>377</v>
      </c>
      <c r="R1184" t="s">
        <v>1353</v>
      </c>
      <c r="S1184">
        <f>Consulta1[[#This Row],[min_port]]/100</f>
        <v>1.4999999999999999E-2</v>
      </c>
      <c r="T1184" s="252">
        <f>Consulta1[[#This Row],[TETO_COMERCIAL]]/100</f>
        <v>2.2499999999999999E-2</v>
      </c>
      <c r="U1184" t="b">
        <f>Consulta1[[#This Row],[TETO_COMERCIAL_%]]=Consulta1[[#This Row],[TAXA]]</f>
        <v>0</v>
      </c>
      <c r="V1184" t="str">
        <f>CONCATENATE(Consulta1[[#This Row],[MES_ALTERACAO]],Consulta1[[#This Row],[VIRADA]])</f>
        <v>20260517</v>
      </c>
      <c r="W1184">
        <f>VLOOKUP(Consulta1[[#This Row],[Coluna2]],CALENDARIO!$J:$K,2,FALSE)</f>
        <v>10</v>
      </c>
    </row>
    <row r="1185" spans="1:23" x14ac:dyDescent="0.25">
      <c r="A1185" t="s">
        <v>854</v>
      </c>
      <c r="B1185" t="str">
        <f>CONCATENATE(Consulta1[[#This Row],[id]],Consulta1[[#This Row],[EMPREGADOR]])</f>
        <v>2PREF RIB NEVES</v>
      </c>
      <c r="C1185" s="6">
        <f>IF(A1185=A1184,C1184+1,1)</f>
        <v>2</v>
      </c>
      <c r="D1185" t="s">
        <v>899</v>
      </c>
      <c r="E1185" s="101">
        <v>1.9699999999999999E-2</v>
      </c>
      <c r="F1185" s="6">
        <v>120</v>
      </c>
      <c r="G1185" t="s">
        <v>1349</v>
      </c>
      <c r="H1185" s="82">
        <v>2.25</v>
      </c>
      <c r="I1185">
        <v>20</v>
      </c>
      <c r="J1185">
        <v>48</v>
      </c>
      <c r="K1185" t="s">
        <v>2016</v>
      </c>
      <c r="L1185" s="6" t="s">
        <v>1374</v>
      </c>
      <c r="M1185" s="6">
        <v>17</v>
      </c>
      <c r="N1185" s="6">
        <v>2</v>
      </c>
      <c r="O1185">
        <v>500</v>
      </c>
      <c r="P1185">
        <v>202605</v>
      </c>
      <c r="Q1185" t="s">
        <v>377</v>
      </c>
      <c r="R1185" t="s">
        <v>1353</v>
      </c>
      <c r="S1185">
        <f>Consulta1[[#This Row],[min_port]]/100</f>
        <v>1.4999999999999999E-2</v>
      </c>
      <c r="T1185" s="252">
        <f>Consulta1[[#This Row],[TETO_COMERCIAL]]/100</f>
        <v>2.2499999999999999E-2</v>
      </c>
      <c r="U1185" t="b">
        <f>Consulta1[[#This Row],[TETO_COMERCIAL_%]]=Consulta1[[#This Row],[TAXA]]</f>
        <v>0</v>
      </c>
      <c r="V1185" t="str">
        <f>CONCATENATE(Consulta1[[#This Row],[MES_ALTERACAO]],Consulta1[[#This Row],[VIRADA]])</f>
        <v>20260517</v>
      </c>
      <c r="W1185">
        <f>VLOOKUP(Consulta1[[#This Row],[Coluna2]],CALENDARIO!$J:$K,2,FALSE)</f>
        <v>10</v>
      </c>
    </row>
    <row r="1186" spans="1:23" x14ac:dyDescent="0.25">
      <c r="A1186" t="s">
        <v>854</v>
      </c>
      <c r="B1186" t="str">
        <f>CONCATENATE(Consulta1[[#This Row],[id]],Consulta1[[#This Row],[EMPREGADOR]])</f>
        <v>3PREF RIB NEVES</v>
      </c>
      <c r="C1186" s="6">
        <f>IF(A1186=A1185,C1185+1,1)</f>
        <v>3</v>
      </c>
      <c r="D1186" t="s">
        <v>900</v>
      </c>
      <c r="E1186" s="101">
        <v>1.9E-2</v>
      </c>
      <c r="F1186" s="6">
        <v>120</v>
      </c>
      <c r="G1186" t="s">
        <v>1349</v>
      </c>
      <c r="H1186" s="82">
        <v>2.25</v>
      </c>
      <c r="I1186">
        <v>20</v>
      </c>
      <c r="J1186">
        <v>46</v>
      </c>
      <c r="K1186" t="s">
        <v>2017</v>
      </c>
      <c r="L1186" s="6" t="s">
        <v>1374</v>
      </c>
      <c r="M1186" s="6">
        <v>17</v>
      </c>
      <c r="N1186" s="6">
        <v>2</v>
      </c>
      <c r="O1186">
        <v>500</v>
      </c>
      <c r="P1186">
        <v>202605</v>
      </c>
      <c r="Q1186" t="s">
        <v>377</v>
      </c>
      <c r="R1186" t="s">
        <v>1353</v>
      </c>
      <c r="S1186">
        <f>Consulta1[[#This Row],[min_port]]/100</f>
        <v>1.4999999999999999E-2</v>
      </c>
      <c r="T1186" s="252">
        <f>Consulta1[[#This Row],[TETO_COMERCIAL]]/100</f>
        <v>2.2499999999999999E-2</v>
      </c>
      <c r="U1186" t="b">
        <f>Consulta1[[#This Row],[TETO_COMERCIAL_%]]=Consulta1[[#This Row],[TAXA]]</f>
        <v>0</v>
      </c>
      <c r="V1186" t="str">
        <f>CONCATENATE(Consulta1[[#This Row],[MES_ALTERACAO]],Consulta1[[#This Row],[VIRADA]])</f>
        <v>20260517</v>
      </c>
      <c r="W1186">
        <f>VLOOKUP(Consulta1[[#This Row],[Coluna2]],CALENDARIO!$J:$K,2,FALSE)</f>
        <v>10</v>
      </c>
    </row>
    <row r="1187" spans="1:23" x14ac:dyDescent="0.25">
      <c r="A1187" t="s">
        <v>3055</v>
      </c>
      <c r="B1187" t="str">
        <f>CONCATENATE(Consulta1[[#This Row],[id]],Consulta1[[#This Row],[EMPREGADOR]])</f>
        <v>1PREF RIB PIRES</v>
      </c>
      <c r="C1187" s="6">
        <f>IF(A1187=A1186,C1186+1,1)</f>
        <v>1</v>
      </c>
      <c r="D1187" t="s">
        <v>702</v>
      </c>
      <c r="E1187" s="101">
        <v>2.5000000000000001E-2</v>
      </c>
      <c r="F1187" s="6">
        <v>120</v>
      </c>
      <c r="G1187" t="s">
        <v>1349</v>
      </c>
      <c r="H1187" s="82">
        <v>2.5</v>
      </c>
      <c r="I1187">
        <v>10</v>
      </c>
      <c r="J1187">
        <v>57</v>
      </c>
      <c r="K1187" t="s">
        <v>2024</v>
      </c>
      <c r="L1187" s="6" t="s">
        <v>1374</v>
      </c>
      <c r="M1187" s="6">
        <v>15</v>
      </c>
      <c r="N1187" s="6">
        <v>2</v>
      </c>
      <c r="O1187">
        <v>500</v>
      </c>
      <c r="P1187">
        <v>202605</v>
      </c>
      <c r="Q1187" t="s">
        <v>377</v>
      </c>
      <c r="R1187" t="s">
        <v>1350</v>
      </c>
      <c r="S1187">
        <f>Consulta1[[#This Row],[min_port]]/100</f>
        <v>1.4999999999999999E-2</v>
      </c>
      <c r="T1187" s="252">
        <f>Consulta1[[#This Row],[TETO_COMERCIAL]]/100</f>
        <v>2.5000000000000001E-2</v>
      </c>
      <c r="U1187" t="b">
        <f>Consulta1[[#This Row],[TETO_COMERCIAL_%]]=Consulta1[[#This Row],[TAXA]]</f>
        <v>1</v>
      </c>
      <c r="V1187" t="str">
        <f>CONCATENATE(Consulta1[[#This Row],[MES_ALTERACAO]],Consulta1[[#This Row],[VIRADA]])</f>
        <v>20260515</v>
      </c>
      <c r="W1187">
        <f>VLOOKUP(Consulta1[[#This Row],[Coluna2]],CALENDARIO!$J:$K,2,FALSE)</f>
        <v>10</v>
      </c>
    </row>
    <row r="1188" spans="1:23" x14ac:dyDescent="0.25">
      <c r="A1188" t="s">
        <v>3055</v>
      </c>
      <c r="B1188" t="str">
        <f>CONCATENATE(Consulta1[[#This Row],[id]],Consulta1[[#This Row],[EMPREGADOR]])</f>
        <v>2PREF RIB PIRES</v>
      </c>
      <c r="C1188" s="6">
        <f>IF(A1188=A1187,C1187+1,1)</f>
        <v>2</v>
      </c>
      <c r="D1188" t="s">
        <v>703</v>
      </c>
      <c r="E1188" s="101">
        <v>2.3900000000000001E-2</v>
      </c>
      <c r="F1188" s="6">
        <v>120</v>
      </c>
      <c r="G1188" t="s">
        <v>1349</v>
      </c>
      <c r="H1188" s="82">
        <v>2.5</v>
      </c>
      <c r="I1188">
        <v>10</v>
      </c>
      <c r="J1188">
        <v>57</v>
      </c>
      <c r="K1188" t="s">
        <v>2025</v>
      </c>
      <c r="L1188" s="6" t="s">
        <v>1374</v>
      </c>
      <c r="M1188" s="6">
        <v>15</v>
      </c>
      <c r="N1188" s="6">
        <v>2</v>
      </c>
      <c r="O1188">
        <v>500</v>
      </c>
      <c r="P1188">
        <v>202605</v>
      </c>
      <c r="Q1188" t="s">
        <v>377</v>
      </c>
      <c r="R1188" t="s">
        <v>1350</v>
      </c>
      <c r="S1188">
        <f>Consulta1[[#This Row],[min_port]]/100</f>
        <v>1.4999999999999999E-2</v>
      </c>
      <c r="T1188" s="252">
        <f>Consulta1[[#This Row],[TETO_COMERCIAL]]/100</f>
        <v>2.5000000000000001E-2</v>
      </c>
      <c r="U1188" t="b">
        <f>Consulta1[[#This Row],[TETO_COMERCIAL_%]]=Consulta1[[#This Row],[TAXA]]</f>
        <v>0</v>
      </c>
      <c r="V1188" t="str">
        <f>CONCATENATE(Consulta1[[#This Row],[MES_ALTERACAO]],Consulta1[[#This Row],[VIRADA]])</f>
        <v>20260515</v>
      </c>
      <c r="W1188">
        <f>VLOOKUP(Consulta1[[#This Row],[Coluna2]],CALENDARIO!$J:$K,2,FALSE)</f>
        <v>10</v>
      </c>
    </row>
    <row r="1189" spans="1:23" x14ac:dyDescent="0.25">
      <c r="A1189" t="s">
        <v>3055</v>
      </c>
      <c r="B1189" t="str">
        <f>CONCATENATE(Consulta1[[#This Row],[id]],Consulta1[[#This Row],[EMPREGADOR]])</f>
        <v>3PREF RIB PIRES</v>
      </c>
      <c r="C1189" s="6">
        <f>IF(A1189=A1188,C1188+1,1)</f>
        <v>3</v>
      </c>
      <c r="D1189" t="s">
        <v>735</v>
      </c>
      <c r="E1189" s="101">
        <v>2.29E-2</v>
      </c>
      <c r="F1189" s="6">
        <v>120</v>
      </c>
      <c r="G1189" t="s">
        <v>1349</v>
      </c>
      <c r="H1189" s="82">
        <v>2.5</v>
      </c>
      <c r="I1189">
        <v>10</v>
      </c>
      <c r="J1189">
        <v>57</v>
      </c>
      <c r="K1189" t="s">
        <v>2026</v>
      </c>
      <c r="L1189" s="6" t="s">
        <v>1374</v>
      </c>
      <c r="M1189" s="6">
        <v>15</v>
      </c>
      <c r="N1189" s="6">
        <v>2</v>
      </c>
      <c r="O1189">
        <v>500</v>
      </c>
      <c r="P1189">
        <v>202605</v>
      </c>
      <c r="Q1189" t="s">
        <v>377</v>
      </c>
      <c r="R1189" t="s">
        <v>1350</v>
      </c>
      <c r="S1189">
        <f>Consulta1[[#This Row],[min_port]]/100</f>
        <v>1.4999999999999999E-2</v>
      </c>
      <c r="T1189" s="252">
        <f>Consulta1[[#This Row],[TETO_COMERCIAL]]/100</f>
        <v>2.5000000000000001E-2</v>
      </c>
      <c r="U1189" t="b">
        <f>Consulta1[[#This Row],[TETO_COMERCIAL_%]]=Consulta1[[#This Row],[TAXA]]</f>
        <v>0</v>
      </c>
      <c r="V1189" t="str">
        <f>CONCATENATE(Consulta1[[#This Row],[MES_ALTERACAO]],Consulta1[[#This Row],[VIRADA]])</f>
        <v>20260515</v>
      </c>
      <c r="W1189">
        <f>VLOOKUP(Consulta1[[#This Row],[Coluna2]],CALENDARIO!$J:$K,2,FALSE)</f>
        <v>10</v>
      </c>
    </row>
    <row r="1190" spans="1:23" x14ac:dyDescent="0.25">
      <c r="A1190" t="s">
        <v>3055</v>
      </c>
      <c r="B1190" t="str">
        <f>CONCATENATE(Consulta1[[#This Row],[id]],Consulta1[[#This Row],[EMPREGADOR]])</f>
        <v>4PREF RIB PIRES</v>
      </c>
      <c r="C1190" s="6">
        <f>IF(A1190=A1189,C1189+1,1)</f>
        <v>4</v>
      </c>
      <c r="D1190" t="s">
        <v>704</v>
      </c>
      <c r="E1190" s="101">
        <v>2.1899999999999999E-2</v>
      </c>
      <c r="F1190" s="6">
        <v>120</v>
      </c>
      <c r="G1190" t="s">
        <v>1349</v>
      </c>
      <c r="H1190" s="82">
        <v>2.5</v>
      </c>
      <c r="I1190">
        <v>10</v>
      </c>
      <c r="J1190">
        <v>57</v>
      </c>
      <c r="K1190" t="s">
        <v>2027</v>
      </c>
      <c r="L1190" s="6" t="s">
        <v>1374</v>
      </c>
      <c r="M1190" s="6">
        <v>15</v>
      </c>
      <c r="N1190" s="6">
        <v>2</v>
      </c>
      <c r="O1190">
        <v>500</v>
      </c>
      <c r="P1190">
        <v>202605</v>
      </c>
      <c r="Q1190" t="s">
        <v>377</v>
      </c>
      <c r="R1190" t="s">
        <v>1350</v>
      </c>
      <c r="S1190">
        <f>Consulta1[[#This Row],[min_port]]/100</f>
        <v>1.4999999999999999E-2</v>
      </c>
      <c r="T1190" s="252">
        <f>Consulta1[[#This Row],[TETO_COMERCIAL]]/100</f>
        <v>2.5000000000000001E-2</v>
      </c>
      <c r="U1190" t="b">
        <f>Consulta1[[#This Row],[TETO_COMERCIAL_%]]=Consulta1[[#This Row],[TAXA]]</f>
        <v>0</v>
      </c>
      <c r="V1190" t="str">
        <f>CONCATENATE(Consulta1[[#This Row],[MES_ALTERACAO]],Consulta1[[#This Row],[VIRADA]])</f>
        <v>20260515</v>
      </c>
      <c r="W1190">
        <f>VLOOKUP(Consulta1[[#This Row],[Coluna2]],CALENDARIO!$J:$K,2,FALSE)</f>
        <v>10</v>
      </c>
    </row>
    <row r="1191" spans="1:23" x14ac:dyDescent="0.25">
      <c r="A1191" t="s">
        <v>3055</v>
      </c>
      <c r="B1191" t="str">
        <f>CONCATENATE(Consulta1[[#This Row],[id]],Consulta1[[#This Row],[EMPREGADOR]])</f>
        <v>5PREF RIB PIRES</v>
      </c>
      <c r="C1191" s="6">
        <f>IF(A1191=A1190,C1190+1,1)</f>
        <v>5</v>
      </c>
      <c r="D1191" t="s">
        <v>705</v>
      </c>
      <c r="E1191" s="101">
        <v>2.0899999999999998E-2</v>
      </c>
      <c r="F1191" s="6">
        <v>120</v>
      </c>
      <c r="G1191" t="s">
        <v>1349</v>
      </c>
      <c r="H1191" s="82">
        <v>2.5</v>
      </c>
      <c r="I1191">
        <v>10</v>
      </c>
      <c r="J1191">
        <v>57</v>
      </c>
      <c r="K1191" t="s">
        <v>2028</v>
      </c>
      <c r="L1191" s="6" t="s">
        <v>1374</v>
      </c>
      <c r="M1191" s="6">
        <v>15</v>
      </c>
      <c r="N1191" s="6">
        <v>2</v>
      </c>
      <c r="O1191">
        <v>500</v>
      </c>
      <c r="P1191">
        <v>202605</v>
      </c>
      <c r="Q1191" t="s">
        <v>377</v>
      </c>
      <c r="R1191" t="s">
        <v>1350</v>
      </c>
      <c r="S1191">
        <f>Consulta1[[#This Row],[min_port]]/100</f>
        <v>1.4999999999999999E-2</v>
      </c>
      <c r="T1191" s="252">
        <f>Consulta1[[#This Row],[TETO_COMERCIAL]]/100</f>
        <v>2.5000000000000001E-2</v>
      </c>
      <c r="U1191" t="b">
        <f>Consulta1[[#This Row],[TETO_COMERCIAL_%]]=Consulta1[[#This Row],[TAXA]]</f>
        <v>0</v>
      </c>
      <c r="V1191" t="str">
        <f>CONCATENATE(Consulta1[[#This Row],[MES_ALTERACAO]],Consulta1[[#This Row],[VIRADA]])</f>
        <v>20260515</v>
      </c>
      <c r="W1191">
        <f>VLOOKUP(Consulta1[[#This Row],[Coluna2]],CALENDARIO!$J:$K,2,FALSE)</f>
        <v>10</v>
      </c>
    </row>
    <row r="1192" spans="1:23" x14ac:dyDescent="0.25">
      <c r="A1192" t="s">
        <v>3055</v>
      </c>
      <c r="B1192" t="str">
        <f>CONCATENATE(Consulta1[[#This Row],[id]],Consulta1[[#This Row],[EMPREGADOR]])</f>
        <v>6PREF RIB PIRES</v>
      </c>
      <c r="C1192" s="6">
        <f>IF(A1192=A1191,C1191+1,1)</f>
        <v>6</v>
      </c>
      <c r="D1192" t="s">
        <v>2773</v>
      </c>
      <c r="E1192" s="101">
        <v>2.0400000000000001E-2</v>
      </c>
      <c r="F1192" s="6">
        <v>120</v>
      </c>
      <c r="G1192" t="s">
        <v>1349</v>
      </c>
      <c r="H1192" s="82">
        <v>2.5</v>
      </c>
      <c r="I1192">
        <v>10</v>
      </c>
      <c r="J1192">
        <v>57</v>
      </c>
      <c r="K1192" t="s">
        <v>2774</v>
      </c>
      <c r="L1192" s="6" t="s">
        <v>1374</v>
      </c>
      <c r="M1192" s="6">
        <v>15</v>
      </c>
      <c r="N1192" s="6">
        <v>2</v>
      </c>
      <c r="O1192">
        <v>500</v>
      </c>
      <c r="P1192">
        <v>202605</v>
      </c>
      <c r="Q1192" t="s">
        <v>377</v>
      </c>
      <c r="R1192" t="s">
        <v>1350</v>
      </c>
      <c r="S1192">
        <f>Consulta1[[#This Row],[min_port]]/100</f>
        <v>1.4999999999999999E-2</v>
      </c>
      <c r="T1192" s="252">
        <f>Consulta1[[#This Row],[TETO_COMERCIAL]]/100</f>
        <v>2.5000000000000001E-2</v>
      </c>
      <c r="U1192" t="b">
        <f>Consulta1[[#This Row],[TETO_COMERCIAL_%]]=Consulta1[[#This Row],[TAXA]]</f>
        <v>0</v>
      </c>
      <c r="V1192" t="str">
        <f>CONCATENATE(Consulta1[[#This Row],[MES_ALTERACAO]],Consulta1[[#This Row],[VIRADA]])</f>
        <v>20260515</v>
      </c>
      <c r="W1192">
        <f>VLOOKUP(Consulta1[[#This Row],[Coluna2]],CALENDARIO!$J:$K,2,FALSE)</f>
        <v>10</v>
      </c>
    </row>
    <row r="1193" spans="1:23" x14ac:dyDescent="0.25">
      <c r="A1193" t="s">
        <v>552</v>
      </c>
      <c r="B1193" t="str">
        <f>CONCATENATE(Consulta1[[#This Row],[id]],Consulta1[[#This Row],[EMPREGADOR]])</f>
        <v>1PREF RIB PRETO</v>
      </c>
      <c r="C1193" s="6">
        <f>IF(A1193=A1192,C1192+1,1)</f>
        <v>1</v>
      </c>
      <c r="D1193" t="s">
        <v>553</v>
      </c>
      <c r="E1193" s="101">
        <v>2.6000000000000002E-2</v>
      </c>
      <c r="F1193" s="6">
        <v>120</v>
      </c>
      <c r="G1193" t="s">
        <v>1349</v>
      </c>
      <c r="H1193" s="82">
        <v>2.6</v>
      </c>
      <c r="I1193">
        <v>25</v>
      </c>
      <c r="J1193">
        <v>46</v>
      </c>
      <c r="K1193" t="s">
        <v>2018</v>
      </c>
      <c r="L1193" s="6" t="s">
        <v>1366</v>
      </c>
      <c r="M1193" s="6">
        <v>14</v>
      </c>
      <c r="N1193" s="6">
        <v>2</v>
      </c>
      <c r="O1193">
        <v>500</v>
      </c>
      <c r="P1193">
        <v>202605</v>
      </c>
      <c r="Q1193" t="s">
        <v>377</v>
      </c>
      <c r="R1193" t="s">
        <v>1353</v>
      </c>
      <c r="S1193">
        <f>Consulta1[[#This Row],[min_port]]/100</f>
        <v>1.8000000000000002E-2</v>
      </c>
      <c r="T1193" s="252">
        <f>Consulta1[[#This Row],[TETO_COMERCIAL]]/100</f>
        <v>2.6000000000000002E-2</v>
      </c>
      <c r="U1193" t="b">
        <f>Consulta1[[#This Row],[TETO_COMERCIAL_%]]=Consulta1[[#This Row],[TAXA]]</f>
        <v>1</v>
      </c>
      <c r="V1193" t="str">
        <f>CONCATENATE(Consulta1[[#This Row],[MES_ALTERACAO]],Consulta1[[#This Row],[VIRADA]])</f>
        <v>20260514</v>
      </c>
      <c r="W1193">
        <f>VLOOKUP(Consulta1[[#This Row],[Coluna2]],CALENDARIO!$J:$K,2,FALSE)</f>
        <v>9</v>
      </c>
    </row>
    <row r="1194" spans="1:23" x14ac:dyDescent="0.25">
      <c r="A1194" t="s">
        <v>552</v>
      </c>
      <c r="B1194" t="str">
        <f>CONCATENATE(Consulta1[[#This Row],[id]],Consulta1[[#This Row],[EMPREGADOR]])</f>
        <v>2PREF RIB PRETO</v>
      </c>
      <c r="C1194" s="6">
        <f>IF(A1194=A1193,C1193+1,1)</f>
        <v>2</v>
      </c>
      <c r="D1194" t="s">
        <v>554</v>
      </c>
      <c r="E1194" s="101">
        <v>2.53E-2</v>
      </c>
      <c r="F1194" s="6">
        <v>120</v>
      </c>
      <c r="G1194" t="s">
        <v>1349</v>
      </c>
      <c r="H1194" s="82">
        <v>2.6</v>
      </c>
      <c r="I1194">
        <v>25</v>
      </c>
      <c r="J1194">
        <v>46</v>
      </c>
      <c r="K1194" t="s">
        <v>2019</v>
      </c>
      <c r="L1194" s="6" t="s">
        <v>1366</v>
      </c>
      <c r="M1194" s="6">
        <v>14</v>
      </c>
      <c r="N1194" s="6">
        <v>2</v>
      </c>
      <c r="O1194">
        <v>500</v>
      </c>
      <c r="P1194">
        <v>202605</v>
      </c>
      <c r="Q1194" t="s">
        <v>377</v>
      </c>
      <c r="R1194" t="s">
        <v>1353</v>
      </c>
      <c r="S1194">
        <f>Consulta1[[#This Row],[min_port]]/100</f>
        <v>1.8000000000000002E-2</v>
      </c>
      <c r="T1194" s="252">
        <f>Consulta1[[#This Row],[TETO_COMERCIAL]]/100</f>
        <v>2.6000000000000002E-2</v>
      </c>
      <c r="U1194" t="b">
        <f>Consulta1[[#This Row],[TETO_COMERCIAL_%]]=Consulta1[[#This Row],[TAXA]]</f>
        <v>0</v>
      </c>
      <c r="V1194" t="str">
        <f>CONCATENATE(Consulta1[[#This Row],[MES_ALTERACAO]],Consulta1[[#This Row],[VIRADA]])</f>
        <v>20260514</v>
      </c>
      <c r="W1194">
        <f>VLOOKUP(Consulta1[[#This Row],[Coluna2]],CALENDARIO!$J:$K,2,FALSE)</f>
        <v>9</v>
      </c>
    </row>
    <row r="1195" spans="1:23" x14ac:dyDescent="0.25">
      <c r="A1195" t="s">
        <v>552</v>
      </c>
      <c r="B1195" t="str">
        <f>CONCATENATE(Consulta1[[#This Row],[id]],Consulta1[[#This Row],[EMPREGADOR]])</f>
        <v>3PREF RIB PRETO</v>
      </c>
      <c r="C1195" s="6">
        <f>IF(A1195=A1194,C1194+1,1)</f>
        <v>3</v>
      </c>
      <c r="D1195" t="s">
        <v>555</v>
      </c>
      <c r="E1195" s="101">
        <v>2.4799999999999999E-2</v>
      </c>
      <c r="F1195" s="6">
        <v>120</v>
      </c>
      <c r="G1195" t="s">
        <v>1349</v>
      </c>
      <c r="H1195" s="82">
        <v>2.6</v>
      </c>
      <c r="I1195">
        <v>25</v>
      </c>
      <c r="J1195">
        <v>46</v>
      </c>
      <c r="K1195" t="s">
        <v>2020</v>
      </c>
      <c r="L1195" s="6" t="s">
        <v>1366</v>
      </c>
      <c r="M1195" s="6">
        <v>14</v>
      </c>
      <c r="N1195" s="6">
        <v>2</v>
      </c>
      <c r="O1195">
        <v>500</v>
      </c>
      <c r="P1195">
        <v>202605</v>
      </c>
      <c r="Q1195" t="s">
        <v>377</v>
      </c>
      <c r="R1195" t="s">
        <v>1353</v>
      </c>
      <c r="S1195">
        <f>Consulta1[[#This Row],[min_port]]/100</f>
        <v>1.8000000000000002E-2</v>
      </c>
      <c r="T1195" s="252">
        <f>Consulta1[[#This Row],[TETO_COMERCIAL]]/100</f>
        <v>2.6000000000000002E-2</v>
      </c>
      <c r="U1195" t="b">
        <f>Consulta1[[#This Row],[TETO_COMERCIAL_%]]=Consulta1[[#This Row],[TAXA]]</f>
        <v>0</v>
      </c>
      <c r="V1195" t="str">
        <f>CONCATENATE(Consulta1[[#This Row],[MES_ALTERACAO]],Consulta1[[#This Row],[VIRADA]])</f>
        <v>20260514</v>
      </c>
      <c r="W1195">
        <f>VLOOKUP(Consulta1[[#This Row],[Coluna2]],CALENDARIO!$J:$K,2,FALSE)</f>
        <v>9</v>
      </c>
    </row>
    <row r="1196" spans="1:23" x14ac:dyDescent="0.25">
      <c r="A1196" t="s">
        <v>552</v>
      </c>
      <c r="B1196" t="str">
        <f>CONCATENATE(Consulta1[[#This Row],[id]],Consulta1[[#This Row],[EMPREGADOR]])</f>
        <v>4PREF RIB PRETO</v>
      </c>
      <c r="C1196" s="6">
        <f>IF(A1196=A1195,C1195+1,1)</f>
        <v>4</v>
      </c>
      <c r="D1196" t="s">
        <v>556</v>
      </c>
      <c r="E1196" s="101">
        <v>2.4300000000000002E-2</v>
      </c>
      <c r="F1196" s="6">
        <v>120</v>
      </c>
      <c r="G1196" t="s">
        <v>1349</v>
      </c>
      <c r="H1196" s="82">
        <v>2.6</v>
      </c>
      <c r="I1196">
        <v>25</v>
      </c>
      <c r="J1196">
        <v>46</v>
      </c>
      <c r="K1196" t="s">
        <v>2021</v>
      </c>
      <c r="L1196" s="6" t="s">
        <v>1366</v>
      </c>
      <c r="M1196" s="6">
        <v>14</v>
      </c>
      <c r="N1196" s="6">
        <v>2</v>
      </c>
      <c r="O1196">
        <v>500</v>
      </c>
      <c r="P1196">
        <v>202605</v>
      </c>
      <c r="Q1196" t="s">
        <v>377</v>
      </c>
      <c r="R1196" t="s">
        <v>1353</v>
      </c>
      <c r="S1196">
        <f>Consulta1[[#This Row],[min_port]]/100</f>
        <v>1.8000000000000002E-2</v>
      </c>
      <c r="T1196" s="252">
        <f>Consulta1[[#This Row],[TETO_COMERCIAL]]/100</f>
        <v>2.6000000000000002E-2</v>
      </c>
      <c r="U1196" t="b">
        <f>Consulta1[[#This Row],[TETO_COMERCIAL_%]]=Consulta1[[#This Row],[TAXA]]</f>
        <v>0</v>
      </c>
      <c r="V1196" t="str">
        <f>CONCATENATE(Consulta1[[#This Row],[MES_ALTERACAO]],Consulta1[[#This Row],[VIRADA]])</f>
        <v>20260514</v>
      </c>
      <c r="W1196">
        <f>VLOOKUP(Consulta1[[#This Row],[Coluna2]],CALENDARIO!$J:$K,2,FALSE)</f>
        <v>9</v>
      </c>
    </row>
    <row r="1197" spans="1:23" x14ac:dyDescent="0.25">
      <c r="A1197" t="s">
        <v>552</v>
      </c>
      <c r="B1197" t="str">
        <f>CONCATENATE(Consulta1[[#This Row],[id]],Consulta1[[#This Row],[EMPREGADOR]])</f>
        <v>5PREF RIB PRETO</v>
      </c>
      <c r="C1197" s="6">
        <f>IF(A1197=A1196,C1196+1,1)</f>
        <v>5</v>
      </c>
      <c r="D1197" t="s">
        <v>816</v>
      </c>
      <c r="E1197" s="101">
        <v>2.29E-2</v>
      </c>
      <c r="F1197" s="6">
        <v>120</v>
      </c>
      <c r="G1197" t="s">
        <v>1349</v>
      </c>
      <c r="H1197" s="82">
        <v>2.6</v>
      </c>
      <c r="I1197">
        <v>25</v>
      </c>
      <c r="J1197">
        <v>57</v>
      </c>
      <c r="K1197" t="s">
        <v>2022</v>
      </c>
      <c r="L1197" s="6" t="s">
        <v>1366</v>
      </c>
      <c r="M1197" s="6">
        <v>14</v>
      </c>
      <c r="N1197" s="6">
        <v>2</v>
      </c>
      <c r="O1197">
        <v>500</v>
      </c>
      <c r="P1197">
        <v>202605</v>
      </c>
      <c r="Q1197" t="s">
        <v>377</v>
      </c>
      <c r="R1197" t="s">
        <v>1353</v>
      </c>
      <c r="S1197">
        <f>Consulta1[[#This Row],[min_port]]/100</f>
        <v>1.8000000000000002E-2</v>
      </c>
      <c r="T1197" s="252">
        <f>Consulta1[[#This Row],[TETO_COMERCIAL]]/100</f>
        <v>2.6000000000000002E-2</v>
      </c>
      <c r="U1197" t="b">
        <f>Consulta1[[#This Row],[TETO_COMERCIAL_%]]=Consulta1[[#This Row],[TAXA]]</f>
        <v>0</v>
      </c>
      <c r="V1197" t="str">
        <f>CONCATENATE(Consulta1[[#This Row],[MES_ALTERACAO]],Consulta1[[#This Row],[VIRADA]])</f>
        <v>20260514</v>
      </c>
      <c r="W1197">
        <f>VLOOKUP(Consulta1[[#This Row],[Coluna2]],CALENDARIO!$J:$K,2,FALSE)</f>
        <v>9</v>
      </c>
    </row>
    <row r="1198" spans="1:23" x14ac:dyDescent="0.25">
      <c r="A1198" t="s">
        <v>552</v>
      </c>
      <c r="B1198" t="str">
        <f>CONCATENATE(Consulta1[[#This Row],[id]],Consulta1[[#This Row],[EMPREGADOR]])</f>
        <v>6PREF RIB PRETO</v>
      </c>
      <c r="C1198" s="6">
        <f>IF(A1198=A1197,C1197+1,1)</f>
        <v>6</v>
      </c>
      <c r="D1198" t="s">
        <v>848</v>
      </c>
      <c r="E1198" s="101">
        <v>2.0299999999999999E-2</v>
      </c>
      <c r="F1198" s="6">
        <v>120</v>
      </c>
      <c r="G1198" t="s">
        <v>1349</v>
      </c>
      <c r="H1198" s="82">
        <v>2.6</v>
      </c>
      <c r="I1198">
        <v>25</v>
      </c>
      <c r="J1198">
        <v>57</v>
      </c>
      <c r="K1198" t="s">
        <v>2023</v>
      </c>
      <c r="L1198" s="6" t="s">
        <v>1366</v>
      </c>
      <c r="M1198" s="6">
        <v>14</v>
      </c>
      <c r="N1198" s="6">
        <v>2</v>
      </c>
      <c r="O1198">
        <v>500</v>
      </c>
      <c r="P1198">
        <v>202605</v>
      </c>
      <c r="Q1198" t="s">
        <v>377</v>
      </c>
      <c r="R1198" t="s">
        <v>1353</v>
      </c>
      <c r="S1198">
        <f>Consulta1[[#This Row],[min_port]]/100</f>
        <v>1.8000000000000002E-2</v>
      </c>
      <c r="T1198" s="252">
        <f>Consulta1[[#This Row],[TETO_COMERCIAL]]/100</f>
        <v>2.6000000000000002E-2</v>
      </c>
      <c r="U1198" t="b">
        <f>Consulta1[[#This Row],[TETO_COMERCIAL_%]]=Consulta1[[#This Row],[TAXA]]</f>
        <v>0</v>
      </c>
      <c r="V1198" t="str">
        <f>CONCATENATE(Consulta1[[#This Row],[MES_ALTERACAO]],Consulta1[[#This Row],[VIRADA]])</f>
        <v>20260514</v>
      </c>
      <c r="W1198">
        <f>VLOOKUP(Consulta1[[#This Row],[Coluna2]],CALENDARIO!$J:$K,2,FALSE)</f>
        <v>9</v>
      </c>
    </row>
    <row r="1199" spans="1:23" x14ac:dyDescent="0.25">
      <c r="A1199" t="s">
        <v>355</v>
      </c>
      <c r="B1199" t="str">
        <f>CONCATENATE(Consulta1[[#This Row],[id]],Consulta1[[#This Row],[EMPREGADOR]])</f>
        <v>1PREF RIO BRANCO</v>
      </c>
      <c r="C1199" s="6">
        <f>IF(A1199=A1198,C1198+1,1)</f>
        <v>1</v>
      </c>
      <c r="D1199" t="s">
        <v>592</v>
      </c>
      <c r="E1199" s="101">
        <v>2.5000000000000001E-2</v>
      </c>
      <c r="F1199" s="6">
        <v>120</v>
      </c>
      <c r="G1199" t="s">
        <v>1349</v>
      </c>
      <c r="H1199" s="82">
        <v>2.5</v>
      </c>
      <c r="I1199">
        <v>6</v>
      </c>
      <c r="K1199" t="s">
        <v>2029</v>
      </c>
      <c r="L1199" s="6" t="s">
        <v>1352</v>
      </c>
      <c r="M1199" s="6">
        <v>9</v>
      </c>
      <c r="N1199" s="6">
        <v>2</v>
      </c>
      <c r="O1199">
        <v>500</v>
      </c>
      <c r="P1199">
        <v>202605</v>
      </c>
      <c r="Q1199" t="s">
        <v>377</v>
      </c>
      <c r="R1199" t="s">
        <v>1350</v>
      </c>
      <c r="S1199">
        <f>Consulta1[[#This Row],[min_port]]/100</f>
        <v>1.7500000000000002E-2</v>
      </c>
      <c r="T1199" s="252">
        <f>Consulta1[[#This Row],[TETO_COMERCIAL]]/100</f>
        <v>2.5000000000000001E-2</v>
      </c>
      <c r="U1199" t="b">
        <f>Consulta1[[#This Row],[TETO_COMERCIAL_%]]=Consulta1[[#This Row],[TAXA]]</f>
        <v>1</v>
      </c>
      <c r="V1199" t="str">
        <f>CONCATENATE(Consulta1[[#This Row],[MES_ALTERACAO]],Consulta1[[#This Row],[VIRADA]])</f>
        <v>2026059</v>
      </c>
      <c r="W1199">
        <f>VLOOKUP(Consulta1[[#This Row],[Coluna2]],CALENDARIO!$J:$K,2,FALSE)</f>
        <v>5</v>
      </c>
    </row>
    <row r="1200" spans="1:23" x14ac:dyDescent="0.25">
      <c r="A1200" t="s">
        <v>355</v>
      </c>
      <c r="B1200" t="str">
        <f>CONCATENATE(Consulta1[[#This Row],[id]],Consulta1[[#This Row],[EMPREGADOR]])</f>
        <v>2PREF RIO BRANCO</v>
      </c>
      <c r="C1200" s="6">
        <f>IF(A1200=A1199,C1199+1,1)</f>
        <v>2</v>
      </c>
      <c r="D1200" t="s">
        <v>593</v>
      </c>
      <c r="E1200" s="101">
        <v>2.4E-2</v>
      </c>
      <c r="F1200" s="6">
        <v>120</v>
      </c>
      <c r="G1200" t="s">
        <v>1349</v>
      </c>
      <c r="H1200" s="82">
        <v>2.5</v>
      </c>
      <c r="I1200">
        <v>6</v>
      </c>
      <c r="J1200">
        <v>37</v>
      </c>
      <c r="K1200" t="s">
        <v>2030</v>
      </c>
      <c r="L1200" s="6" t="s">
        <v>1352</v>
      </c>
      <c r="M1200" s="6">
        <v>9</v>
      </c>
      <c r="N1200" s="6">
        <v>2</v>
      </c>
      <c r="O1200">
        <v>500</v>
      </c>
      <c r="P1200">
        <v>202605</v>
      </c>
      <c r="Q1200" t="s">
        <v>377</v>
      </c>
      <c r="R1200" t="s">
        <v>1350</v>
      </c>
      <c r="S1200">
        <f>Consulta1[[#This Row],[min_port]]/100</f>
        <v>1.7500000000000002E-2</v>
      </c>
      <c r="T1200" s="252">
        <f>Consulta1[[#This Row],[TETO_COMERCIAL]]/100</f>
        <v>2.5000000000000001E-2</v>
      </c>
      <c r="U1200" t="b">
        <f>Consulta1[[#This Row],[TETO_COMERCIAL_%]]=Consulta1[[#This Row],[TAXA]]</f>
        <v>0</v>
      </c>
      <c r="V1200" t="str">
        <f>CONCATENATE(Consulta1[[#This Row],[MES_ALTERACAO]],Consulta1[[#This Row],[VIRADA]])</f>
        <v>2026059</v>
      </c>
      <c r="W1200">
        <f>VLOOKUP(Consulta1[[#This Row],[Coluna2]],CALENDARIO!$J:$K,2,FALSE)</f>
        <v>5</v>
      </c>
    </row>
    <row r="1201" spans="1:23" x14ac:dyDescent="0.25">
      <c r="A1201" t="s">
        <v>355</v>
      </c>
      <c r="B1201" t="str">
        <f>CONCATENATE(Consulta1[[#This Row],[id]],Consulta1[[#This Row],[EMPREGADOR]])</f>
        <v>3PREF RIO BRANCO</v>
      </c>
      <c r="C1201" s="6">
        <f>IF(A1201=A1200,C1200+1,1)</f>
        <v>3</v>
      </c>
      <c r="D1201" t="s">
        <v>356</v>
      </c>
      <c r="E1201" s="101">
        <v>2.3E-2</v>
      </c>
      <c r="F1201" s="6">
        <v>120</v>
      </c>
      <c r="G1201" t="s">
        <v>1349</v>
      </c>
      <c r="H1201" s="82">
        <v>2.5</v>
      </c>
      <c r="I1201">
        <v>6</v>
      </c>
      <c r="J1201">
        <v>48</v>
      </c>
      <c r="K1201" t="s">
        <v>2031</v>
      </c>
      <c r="L1201" s="6" t="s">
        <v>1352</v>
      </c>
      <c r="M1201" s="6">
        <v>9</v>
      </c>
      <c r="N1201" s="6">
        <v>2</v>
      </c>
      <c r="O1201">
        <v>500</v>
      </c>
      <c r="P1201">
        <v>202605</v>
      </c>
      <c r="Q1201" t="s">
        <v>377</v>
      </c>
      <c r="R1201" t="s">
        <v>1350</v>
      </c>
      <c r="S1201">
        <f>Consulta1[[#This Row],[min_port]]/100</f>
        <v>1.7500000000000002E-2</v>
      </c>
      <c r="T1201" s="252">
        <f>Consulta1[[#This Row],[TETO_COMERCIAL]]/100</f>
        <v>2.5000000000000001E-2</v>
      </c>
      <c r="U1201" t="b">
        <f>Consulta1[[#This Row],[TETO_COMERCIAL_%]]=Consulta1[[#This Row],[TAXA]]</f>
        <v>0</v>
      </c>
      <c r="V1201" t="str">
        <f>CONCATENATE(Consulta1[[#This Row],[MES_ALTERACAO]],Consulta1[[#This Row],[VIRADA]])</f>
        <v>2026059</v>
      </c>
      <c r="W1201">
        <f>VLOOKUP(Consulta1[[#This Row],[Coluna2]],CALENDARIO!$J:$K,2,FALSE)</f>
        <v>5</v>
      </c>
    </row>
    <row r="1202" spans="1:23" x14ac:dyDescent="0.25">
      <c r="A1202" t="s">
        <v>355</v>
      </c>
      <c r="B1202" t="str">
        <f>CONCATENATE(Consulta1[[#This Row],[id]],Consulta1[[#This Row],[EMPREGADOR]])</f>
        <v>4PREF RIO BRANCO</v>
      </c>
      <c r="C1202" s="6">
        <f>IF(A1202=A1201,C1201+1,1)</f>
        <v>4</v>
      </c>
      <c r="D1202" t="s">
        <v>736</v>
      </c>
      <c r="E1202" s="101">
        <v>2.2000000000000002E-2</v>
      </c>
      <c r="F1202" s="6">
        <v>120</v>
      </c>
      <c r="G1202" t="s">
        <v>1349</v>
      </c>
      <c r="H1202" s="82">
        <v>2.5</v>
      </c>
      <c r="I1202">
        <v>6</v>
      </c>
      <c r="J1202">
        <v>35</v>
      </c>
      <c r="K1202" t="s">
        <v>2032</v>
      </c>
      <c r="L1202" s="6" t="s">
        <v>1352</v>
      </c>
      <c r="M1202" s="6">
        <v>9</v>
      </c>
      <c r="N1202" s="6">
        <v>2</v>
      </c>
      <c r="O1202">
        <v>500</v>
      </c>
      <c r="P1202">
        <v>202605</v>
      </c>
      <c r="Q1202" t="s">
        <v>377</v>
      </c>
      <c r="R1202" t="s">
        <v>1350</v>
      </c>
      <c r="S1202">
        <f>Consulta1[[#This Row],[min_port]]/100</f>
        <v>1.7500000000000002E-2</v>
      </c>
      <c r="T1202" s="252">
        <f>Consulta1[[#This Row],[TETO_COMERCIAL]]/100</f>
        <v>2.5000000000000001E-2</v>
      </c>
      <c r="U1202" t="b">
        <f>Consulta1[[#This Row],[TETO_COMERCIAL_%]]=Consulta1[[#This Row],[TAXA]]</f>
        <v>0</v>
      </c>
      <c r="V1202" t="str">
        <f>CONCATENATE(Consulta1[[#This Row],[MES_ALTERACAO]],Consulta1[[#This Row],[VIRADA]])</f>
        <v>2026059</v>
      </c>
      <c r="W1202">
        <f>VLOOKUP(Consulta1[[#This Row],[Coluna2]],CALENDARIO!$J:$K,2,FALSE)</f>
        <v>5</v>
      </c>
    </row>
    <row r="1203" spans="1:23" x14ac:dyDescent="0.25">
      <c r="A1203" t="s">
        <v>355</v>
      </c>
      <c r="B1203" t="str">
        <f>CONCATENATE(Consulta1[[#This Row],[id]],Consulta1[[#This Row],[EMPREGADOR]])</f>
        <v>5PREF RIO BRANCO</v>
      </c>
      <c r="C1203" s="6">
        <f>IF(A1203=A1202,C1202+1,1)</f>
        <v>5</v>
      </c>
      <c r="D1203" t="s">
        <v>737</v>
      </c>
      <c r="E1203" s="101">
        <v>2.1000000000000001E-2</v>
      </c>
      <c r="F1203" s="6">
        <v>120</v>
      </c>
      <c r="G1203" t="s">
        <v>1349</v>
      </c>
      <c r="H1203" s="82">
        <v>2.5</v>
      </c>
      <c r="I1203">
        <v>6</v>
      </c>
      <c r="J1203">
        <v>52</v>
      </c>
      <c r="K1203" t="s">
        <v>2033</v>
      </c>
      <c r="L1203" s="6" t="s">
        <v>1352</v>
      </c>
      <c r="M1203" s="6">
        <v>9</v>
      </c>
      <c r="N1203" s="6">
        <v>2</v>
      </c>
      <c r="O1203">
        <v>500</v>
      </c>
      <c r="P1203">
        <v>202605</v>
      </c>
      <c r="Q1203" t="s">
        <v>377</v>
      </c>
      <c r="R1203" t="s">
        <v>1350</v>
      </c>
      <c r="S1203">
        <f>Consulta1[[#This Row],[min_port]]/100</f>
        <v>1.7500000000000002E-2</v>
      </c>
      <c r="T1203" s="252">
        <f>Consulta1[[#This Row],[TETO_COMERCIAL]]/100</f>
        <v>2.5000000000000001E-2</v>
      </c>
      <c r="U1203" t="b">
        <f>Consulta1[[#This Row],[TETO_COMERCIAL_%]]=Consulta1[[#This Row],[TAXA]]</f>
        <v>0</v>
      </c>
      <c r="V1203" t="str">
        <f>CONCATENATE(Consulta1[[#This Row],[MES_ALTERACAO]],Consulta1[[#This Row],[VIRADA]])</f>
        <v>2026059</v>
      </c>
      <c r="W1203">
        <f>VLOOKUP(Consulta1[[#This Row],[Coluna2]],CALENDARIO!$J:$K,2,FALSE)</f>
        <v>5</v>
      </c>
    </row>
    <row r="1204" spans="1:23" x14ac:dyDescent="0.25">
      <c r="A1204" t="s">
        <v>3056</v>
      </c>
      <c r="B1204" t="str">
        <f>CONCATENATE(Consulta1[[#This Row],[id]],Consulta1[[#This Row],[EMPREGADOR]])</f>
        <v>1PREF S A PATRU</v>
      </c>
      <c r="C1204" s="6">
        <f>IF(A1204=A1203,C1203+1,1)</f>
        <v>1</v>
      </c>
      <c r="D1204" t="s">
        <v>817</v>
      </c>
      <c r="E1204" s="101">
        <v>2.5000000000000001E-2</v>
      </c>
      <c r="F1204" s="6">
        <v>120</v>
      </c>
      <c r="G1204" t="s">
        <v>1349</v>
      </c>
      <c r="H1204" s="82">
        <v>2.5</v>
      </c>
      <c r="I1204">
        <v>25</v>
      </c>
      <c r="K1204" t="s">
        <v>2042</v>
      </c>
      <c r="L1204" s="6" t="s">
        <v>1371</v>
      </c>
      <c r="M1204" s="6">
        <v>15</v>
      </c>
      <c r="N1204" s="6">
        <v>2</v>
      </c>
      <c r="O1204">
        <v>500</v>
      </c>
      <c r="P1204">
        <v>202605</v>
      </c>
      <c r="Q1204" t="s">
        <v>377</v>
      </c>
      <c r="R1204" t="s">
        <v>1353</v>
      </c>
      <c r="S1204">
        <f>Consulta1[[#This Row],[min_port]]/100</f>
        <v>1.4499999999999999E-2</v>
      </c>
      <c r="T1204" s="252">
        <f>Consulta1[[#This Row],[TETO_COMERCIAL]]/100</f>
        <v>2.5000000000000001E-2</v>
      </c>
      <c r="U1204" t="b">
        <f>Consulta1[[#This Row],[TETO_COMERCIAL_%]]=Consulta1[[#This Row],[TAXA]]</f>
        <v>1</v>
      </c>
      <c r="V1204" t="str">
        <f>CONCATENATE(Consulta1[[#This Row],[MES_ALTERACAO]],Consulta1[[#This Row],[VIRADA]])</f>
        <v>20260515</v>
      </c>
      <c r="W1204">
        <f>VLOOKUP(Consulta1[[#This Row],[Coluna2]],CALENDARIO!$J:$K,2,FALSE)</f>
        <v>10</v>
      </c>
    </row>
    <row r="1205" spans="1:23" x14ac:dyDescent="0.25">
      <c r="A1205" t="s">
        <v>3056</v>
      </c>
      <c r="B1205" t="str">
        <f>CONCATENATE(Consulta1[[#This Row],[id]],Consulta1[[#This Row],[EMPREGADOR]])</f>
        <v>2PREF S A PATRU</v>
      </c>
      <c r="C1205" s="6">
        <f>IF(A1205=A1204,C1204+1,1)</f>
        <v>2</v>
      </c>
      <c r="D1205" t="s">
        <v>818</v>
      </c>
      <c r="E1205" s="101">
        <v>2.1000000000000001E-2</v>
      </c>
      <c r="F1205" s="6">
        <v>120</v>
      </c>
      <c r="G1205" t="s">
        <v>1349</v>
      </c>
      <c r="H1205" s="82">
        <v>2.5</v>
      </c>
      <c r="I1205">
        <v>25</v>
      </c>
      <c r="K1205" t="s">
        <v>2043</v>
      </c>
      <c r="L1205" s="6" t="s">
        <v>1371</v>
      </c>
      <c r="M1205" s="6">
        <v>15</v>
      </c>
      <c r="N1205" s="6">
        <v>2</v>
      </c>
      <c r="O1205">
        <v>500</v>
      </c>
      <c r="P1205">
        <v>202605</v>
      </c>
      <c r="Q1205" t="s">
        <v>377</v>
      </c>
      <c r="R1205" t="s">
        <v>1353</v>
      </c>
      <c r="S1205">
        <f>Consulta1[[#This Row],[min_port]]/100</f>
        <v>1.4499999999999999E-2</v>
      </c>
      <c r="T1205" s="252">
        <f>Consulta1[[#This Row],[TETO_COMERCIAL]]/100</f>
        <v>2.5000000000000001E-2</v>
      </c>
      <c r="U1205" t="b">
        <f>Consulta1[[#This Row],[TETO_COMERCIAL_%]]=Consulta1[[#This Row],[TAXA]]</f>
        <v>0</v>
      </c>
      <c r="V1205" t="str">
        <f>CONCATENATE(Consulta1[[#This Row],[MES_ALTERACAO]],Consulta1[[#This Row],[VIRADA]])</f>
        <v>20260515</v>
      </c>
      <c r="W1205">
        <f>VLOOKUP(Consulta1[[#This Row],[Coluna2]],CALENDARIO!$J:$K,2,FALSE)</f>
        <v>10</v>
      </c>
    </row>
    <row r="1206" spans="1:23" x14ac:dyDescent="0.25">
      <c r="A1206" t="s">
        <v>3056</v>
      </c>
      <c r="B1206" t="str">
        <f>CONCATENATE(Consulta1[[#This Row],[id]],Consulta1[[#This Row],[EMPREGADOR]])</f>
        <v>3PREF S A PATRU</v>
      </c>
      <c r="C1206" s="6">
        <f>IF(A1206=A1205,C1205+1,1)</f>
        <v>3</v>
      </c>
      <c r="D1206" t="s">
        <v>819</v>
      </c>
      <c r="E1206" s="101">
        <v>0.02</v>
      </c>
      <c r="F1206" s="6">
        <v>120</v>
      </c>
      <c r="G1206" t="s">
        <v>1349</v>
      </c>
      <c r="H1206" s="82">
        <v>2.5</v>
      </c>
      <c r="I1206">
        <v>25</v>
      </c>
      <c r="K1206" t="s">
        <v>2044</v>
      </c>
      <c r="L1206" s="6" t="s">
        <v>1371</v>
      </c>
      <c r="M1206" s="6">
        <v>15</v>
      </c>
      <c r="N1206" s="6">
        <v>2</v>
      </c>
      <c r="O1206">
        <v>500</v>
      </c>
      <c r="P1206">
        <v>202605</v>
      </c>
      <c r="Q1206" t="s">
        <v>377</v>
      </c>
      <c r="R1206" t="s">
        <v>1353</v>
      </c>
      <c r="S1206">
        <f>Consulta1[[#This Row],[min_port]]/100</f>
        <v>1.4499999999999999E-2</v>
      </c>
      <c r="T1206" s="252">
        <f>Consulta1[[#This Row],[TETO_COMERCIAL]]/100</f>
        <v>2.5000000000000001E-2</v>
      </c>
      <c r="U1206" t="b">
        <f>Consulta1[[#This Row],[TETO_COMERCIAL_%]]=Consulta1[[#This Row],[TAXA]]</f>
        <v>0</v>
      </c>
      <c r="V1206" t="str">
        <f>CONCATENATE(Consulta1[[#This Row],[MES_ALTERACAO]],Consulta1[[#This Row],[VIRADA]])</f>
        <v>20260515</v>
      </c>
      <c r="W1206">
        <f>VLOOKUP(Consulta1[[#This Row],[Coluna2]],CALENDARIO!$J:$K,2,FALSE)</f>
        <v>10</v>
      </c>
    </row>
    <row r="1207" spans="1:23" x14ac:dyDescent="0.25">
      <c r="A1207" t="s">
        <v>3056</v>
      </c>
      <c r="B1207" t="str">
        <f>CONCATENATE(Consulta1[[#This Row],[id]],Consulta1[[#This Row],[EMPREGADOR]])</f>
        <v>4PREF S A PATRU</v>
      </c>
      <c r="C1207" s="6">
        <f>IF(A1207=A1206,C1206+1,1)</f>
        <v>4</v>
      </c>
      <c r="D1207" t="s">
        <v>820</v>
      </c>
      <c r="E1207" s="101">
        <v>1.9099999999999999E-2</v>
      </c>
      <c r="F1207" s="6">
        <v>120</v>
      </c>
      <c r="G1207" t="s">
        <v>1349</v>
      </c>
      <c r="H1207" s="82">
        <v>2.5</v>
      </c>
      <c r="I1207">
        <v>25</v>
      </c>
      <c r="J1207">
        <v>67</v>
      </c>
      <c r="K1207" t="s">
        <v>2045</v>
      </c>
      <c r="L1207" s="6" t="s">
        <v>1371</v>
      </c>
      <c r="M1207" s="6">
        <v>15</v>
      </c>
      <c r="N1207" s="6">
        <v>2</v>
      </c>
      <c r="O1207">
        <v>500</v>
      </c>
      <c r="P1207">
        <v>202605</v>
      </c>
      <c r="Q1207" t="s">
        <v>377</v>
      </c>
      <c r="R1207" t="s">
        <v>1353</v>
      </c>
      <c r="S1207">
        <f>Consulta1[[#This Row],[min_port]]/100</f>
        <v>1.4499999999999999E-2</v>
      </c>
      <c r="T1207" s="252">
        <f>Consulta1[[#This Row],[TETO_COMERCIAL]]/100</f>
        <v>2.5000000000000001E-2</v>
      </c>
      <c r="U1207" t="b">
        <f>Consulta1[[#This Row],[TETO_COMERCIAL_%]]=Consulta1[[#This Row],[TAXA]]</f>
        <v>0</v>
      </c>
      <c r="V1207" t="str">
        <f>CONCATENATE(Consulta1[[#This Row],[MES_ALTERACAO]],Consulta1[[#This Row],[VIRADA]])</f>
        <v>20260515</v>
      </c>
      <c r="W1207">
        <f>VLOOKUP(Consulta1[[#This Row],[Coluna2]],CALENDARIO!$J:$K,2,FALSE)</f>
        <v>10</v>
      </c>
    </row>
    <row r="1208" spans="1:23" x14ac:dyDescent="0.25">
      <c r="A1208" t="s">
        <v>3056</v>
      </c>
      <c r="B1208" t="str">
        <f>CONCATENATE(Consulta1[[#This Row],[id]],Consulta1[[#This Row],[EMPREGADOR]])</f>
        <v>5PREF S A PATRU</v>
      </c>
      <c r="C1208" s="6">
        <f>IF(A1208=A1207,C1207+1,1)</f>
        <v>5</v>
      </c>
      <c r="D1208" t="s">
        <v>987</v>
      </c>
      <c r="E1208" s="101">
        <v>1.8600000000000002E-2</v>
      </c>
      <c r="F1208" s="6">
        <v>120</v>
      </c>
      <c r="G1208" t="s">
        <v>1349</v>
      </c>
      <c r="H1208" s="82">
        <v>2.5</v>
      </c>
      <c r="I1208">
        <v>25</v>
      </c>
      <c r="J1208">
        <v>50</v>
      </c>
      <c r="K1208" t="s">
        <v>2046</v>
      </c>
      <c r="L1208" s="6" t="s">
        <v>1371</v>
      </c>
      <c r="M1208" s="6">
        <v>15</v>
      </c>
      <c r="N1208" s="6">
        <v>2</v>
      </c>
      <c r="O1208">
        <v>500</v>
      </c>
      <c r="P1208">
        <v>202605</v>
      </c>
      <c r="Q1208" t="s">
        <v>377</v>
      </c>
      <c r="R1208" t="s">
        <v>1353</v>
      </c>
      <c r="S1208">
        <f>Consulta1[[#This Row],[min_port]]/100</f>
        <v>1.4499999999999999E-2</v>
      </c>
      <c r="T1208" s="252">
        <f>Consulta1[[#This Row],[TETO_COMERCIAL]]/100</f>
        <v>2.5000000000000001E-2</v>
      </c>
      <c r="U1208" t="b">
        <f>Consulta1[[#This Row],[TETO_COMERCIAL_%]]=Consulta1[[#This Row],[TAXA]]</f>
        <v>0</v>
      </c>
      <c r="V1208" t="str">
        <f>CONCATENATE(Consulta1[[#This Row],[MES_ALTERACAO]],Consulta1[[#This Row],[VIRADA]])</f>
        <v>20260515</v>
      </c>
      <c r="W1208">
        <f>VLOOKUP(Consulta1[[#This Row],[Coluna2]],CALENDARIO!$J:$K,2,FALSE)</f>
        <v>10</v>
      </c>
    </row>
    <row r="1209" spans="1:23" x14ac:dyDescent="0.25">
      <c r="A1209" t="s">
        <v>3057</v>
      </c>
      <c r="B1209" t="str">
        <f>CONCATENATE(Consulta1[[#This Row],[id]],Consulta1[[#This Row],[EMPREGADOR]])</f>
        <v>1PREF S A PATRU CLT</v>
      </c>
      <c r="C1209" s="6">
        <f>IF(A1209=A1208,C1208+1,1)</f>
        <v>1</v>
      </c>
      <c r="D1209" t="s">
        <v>821</v>
      </c>
      <c r="E1209" s="101">
        <v>2.5000000000000001E-2</v>
      </c>
      <c r="F1209" s="6">
        <v>120</v>
      </c>
      <c r="G1209" t="s">
        <v>1349</v>
      </c>
      <c r="H1209" s="82">
        <v>2.5</v>
      </c>
      <c r="I1209">
        <v>25</v>
      </c>
      <c r="K1209" t="s">
        <v>2047</v>
      </c>
      <c r="L1209" s="6" t="s">
        <v>1371</v>
      </c>
      <c r="M1209" s="6">
        <v>15</v>
      </c>
      <c r="N1209" s="6">
        <v>2</v>
      </c>
      <c r="O1209">
        <v>500</v>
      </c>
      <c r="P1209">
        <v>202605</v>
      </c>
      <c r="Q1209" t="s">
        <v>377</v>
      </c>
      <c r="R1209" t="s">
        <v>1353</v>
      </c>
      <c r="S1209">
        <f>Consulta1[[#This Row],[min_port]]/100</f>
        <v>1.4499999999999999E-2</v>
      </c>
      <c r="T1209" s="252">
        <f>Consulta1[[#This Row],[TETO_COMERCIAL]]/100</f>
        <v>2.5000000000000001E-2</v>
      </c>
      <c r="U1209" t="b">
        <f>Consulta1[[#This Row],[TETO_COMERCIAL_%]]=Consulta1[[#This Row],[TAXA]]</f>
        <v>1</v>
      </c>
      <c r="V1209" t="str">
        <f>CONCATENATE(Consulta1[[#This Row],[MES_ALTERACAO]],Consulta1[[#This Row],[VIRADA]])</f>
        <v>20260515</v>
      </c>
      <c r="W1209">
        <f>VLOOKUP(Consulta1[[#This Row],[Coluna2]],CALENDARIO!$J:$K,2,FALSE)</f>
        <v>10</v>
      </c>
    </row>
    <row r="1210" spans="1:23" x14ac:dyDescent="0.25">
      <c r="A1210" t="s">
        <v>3057</v>
      </c>
      <c r="B1210" t="str">
        <f>CONCATENATE(Consulta1[[#This Row],[id]],Consulta1[[#This Row],[EMPREGADOR]])</f>
        <v>2PREF S A PATRU CLT</v>
      </c>
      <c r="C1210" s="6">
        <f>IF(A1210=A1209,C1209+1,1)</f>
        <v>2</v>
      </c>
      <c r="D1210" t="s">
        <v>822</v>
      </c>
      <c r="E1210" s="101">
        <v>2.1000000000000001E-2</v>
      </c>
      <c r="F1210" s="6">
        <v>120</v>
      </c>
      <c r="G1210" t="s">
        <v>1349</v>
      </c>
      <c r="H1210" s="82">
        <v>2.5</v>
      </c>
      <c r="I1210">
        <v>25</v>
      </c>
      <c r="K1210" t="s">
        <v>2048</v>
      </c>
      <c r="L1210" s="6" t="s">
        <v>1371</v>
      </c>
      <c r="M1210" s="6">
        <v>15</v>
      </c>
      <c r="N1210" s="6">
        <v>2</v>
      </c>
      <c r="O1210">
        <v>500</v>
      </c>
      <c r="P1210">
        <v>202605</v>
      </c>
      <c r="Q1210" t="s">
        <v>377</v>
      </c>
      <c r="R1210" t="s">
        <v>1353</v>
      </c>
      <c r="S1210">
        <f>Consulta1[[#This Row],[min_port]]/100</f>
        <v>1.4499999999999999E-2</v>
      </c>
      <c r="T1210" s="252">
        <f>Consulta1[[#This Row],[TETO_COMERCIAL]]/100</f>
        <v>2.5000000000000001E-2</v>
      </c>
      <c r="U1210" t="b">
        <f>Consulta1[[#This Row],[TETO_COMERCIAL_%]]=Consulta1[[#This Row],[TAXA]]</f>
        <v>0</v>
      </c>
      <c r="V1210" t="str">
        <f>CONCATENATE(Consulta1[[#This Row],[MES_ALTERACAO]],Consulta1[[#This Row],[VIRADA]])</f>
        <v>20260515</v>
      </c>
      <c r="W1210">
        <f>VLOOKUP(Consulta1[[#This Row],[Coluna2]],CALENDARIO!$J:$K,2,FALSE)</f>
        <v>10</v>
      </c>
    </row>
    <row r="1211" spans="1:23" x14ac:dyDescent="0.25">
      <c r="A1211" t="s">
        <v>3057</v>
      </c>
      <c r="B1211" t="str">
        <f>CONCATENATE(Consulta1[[#This Row],[id]],Consulta1[[#This Row],[EMPREGADOR]])</f>
        <v>3PREF S A PATRU CLT</v>
      </c>
      <c r="C1211" s="6">
        <f>IF(A1211=A1210,C1210+1,1)</f>
        <v>3</v>
      </c>
      <c r="D1211" t="s">
        <v>823</v>
      </c>
      <c r="E1211" s="101">
        <v>0.02</v>
      </c>
      <c r="F1211" s="6">
        <v>120</v>
      </c>
      <c r="G1211" t="s">
        <v>1349</v>
      </c>
      <c r="H1211" s="82">
        <v>2.5</v>
      </c>
      <c r="I1211">
        <v>25</v>
      </c>
      <c r="J1211">
        <v>50</v>
      </c>
      <c r="K1211" t="s">
        <v>2049</v>
      </c>
      <c r="L1211" s="6" t="s">
        <v>1371</v>
      </c>
      <c r="M1211" s="6">
        <v>15</v>
      </c>
      <c r="N1211" s="6">
        <v>2</v>
      </c>
      <c r="O1211">
        <v>500</v>
      </c>
      <c r="P1211">
        <v>202605</v>
      </c>
      <c r="Q1211" t="s">
        <v>377</v>
      </c>
      <c r="R1211" t="s">
        <v>1353</v>
      </c>
      <c r="S1211">
        <f>Consulta1[[#This Row],[min_port]]/100</f>
        <v>1.4499999999999999E-2</v>
      </c>
      <c r="T1211" s="252">
        <f>Consulta1[[#This Row],[TETO_COMERCIAL]]/100</f>
        <v>2.5000000000000001E-2</v>
      </c>
      <c r="U1211" t="b">
        <f>Consulta1[[#This Row],[TETO_COMERCIAL_%]]=Consulta1[[#This Row],[TAXA]]</f>
        <v>0</v>
      </c>
      <c r="V1211" t="str">
        <f>CONCATENATE(Consulta1[[#This Row],[MES_ALTERACAO]],Consulta1[[#This Row],[VIRADA]])</f>
        <v>20260515</v>
      </c>
      <c r="W1211">
        <f>VLOOKUP(Consulta1[[#This Row],[Coluna2]],CALENDARIO!$J:$K,2,FALSE)</f>
        <v>10</v>
      </c>
    </row>
    <row r="1212" spans="1:23" x14ac:dyDescent="0.25">
      <c r="A1212" t="s">
        <v>3057</v>
      </c>
      <c r="B1212" t="str">
        <f>CONCATENATE(Consulta1[[#This Row],[id]],Consulta1[[#This Row],[EMPREGADOR]])</f>
        <v>4PREF S A PATRU CLT</v>
      </c>
      <c r="C1212" s="6">
        <f>IF(A1212=A1211,C1211+1,1)</f>
        <v>4</v>
      </c>
      <c r="D1212" t="s">
        <v>988</v>
      </c>
      <c r="E1212" s="101">
        <v>1.8600000000000002E-2</v>
      </c>
      <c r="F1212" s="6">
        <v>120</v>
      </c>
      <c r="G1212" t="s">
        <v>1349</v>
      </c>
      <c r="H1212" s="82">
        <v>2.5</v>
      </c>
      <c r="I1212">
        <v>25</v>
      </c>
      <c r="J1212">
        <v>48</v>
      </c>
      <c r="K1212" t="s">
        <v>2050</v>
      </c>
      <c r="L1212" s="6" t="s">
        <v>1371</v>
      </c>
      <c r="M1212" s="6">
        <v>15</v>
      </c>
      <c r="N1212" s="6">
        <v>2</v>
      </c>
      <c r="O1212">
        <v>500</v>
      </c>
      <c r="P1212">
        <v>202605</v>
      </c>
      <c r="Q1212" t="s">
        <v>377</v>
      </c>
      <c r="R1212" t="s">
        <v>1353</v>
      </c>
      <c r="S1212">
        <f>Consulta1[[#This Row],[min_port]]/100</f>
        <v>1.4499999999999999E-2</v>
      </c>
      <c r="T1212" s="252">
        <f>Consulta1[[#This Row],[TETO_COMERCIAL]]/100</f>
        <v>2.5000000000000001E-2</v>
      </c>
      <c r="U1212" t="b">
        <f>Consulta1[[#This Row],[TETO_COMERCIAL_%]]=Consulta1[[#This Row],[TAXA]]</f>
        <v>0</v>
      </c>
      <c r="V1212" t="str">
        <f>CONCATENATE(Consulta1[[#This Row],[MES_ALTERACAO]],Consulta1[[#This Row],[VIRADA]])</f>
        <v>20260515</v>
      </c>
      <c r="W1212">
        <f>VLOOKUP(Consulta1[[#This Row],[Coluna2]],CALENDARIO!$J:$K,2,FALSE)</f>
        <v>10</v>
      </c>
    </row>
    <row r="1213" spans="1:23" x14ac:dyDescent="0.25">
      <c r="A1213" t="s">
        <v>385</v>
      </c>
      <c r="B1213" t="str">
        <f>CONCATENATE(Consulta1[[#This Row],[id]],Consulta1[[#This Row],[EMPREGADOR]])</f>
        <v>1PREF S SEBASTIA</v>
      </c>
      <c r="C1213" s="6">
        <f>IF(A1213=A1212,C1212+1,1)</f>
        <v>1</v>
      </c>
      <c r="D1213" t="s">
        <v>625</v>
      </c>
      <c r="E1213" s="101">
        <v>2.5000000000000001E-2</v>
      </c>
      <c r="F1213" s="6">
        <v>120</v>
      </c>
      <c r="G1213" t="s">
        <v>1349</v>
      </c>
      <c r="H1213" s="82">
        <v>2.5</v>
      </c>
      <c r="I1213">
        <v>10</v>
      </c>
      <c r="K1213" t="s">
        <v>2053</v>
      </c>
      <c r="L1213" s="6" t="s">
        <v>1616</v>
      </c>
      <c r="M1213" s="6">
        <v>10</v>
      </c>
      <c r="N1213" s="6">
        <v>2</v>
      </c>
      <c r="O1213">
        <v>500</v>
      </c>
      <c r="P1213">
        <v>202605</v>
      </c>
      <c r="Q1213" t="s">
        <v>377</v>
      </c>
      <c r="R1213" t="s">
        <v>1353</v>
      </c>
      <c r="S1213">
        <f>Consulta1[[#This Row],[min_port]]/100</f>
        <v>1.5900000000000001E-2</v>
      </c>
      <c r="T1213" s="252">
        <f>Consulta1[[#This Row],[TETO_COMERCIAL]]/100</f>
        <v>2.5000000000000001E-2</v>
      </c>
      <c r="U1213" t="b">
        <f>Consulta1[[#This Row],[TETO_COMERCIAL_%]]=Consulta1[[#This Row],[TAXA]]</f>
        <v>1</v>
      </c>
      <c r="V1213" t="str">
        <f>CONCATENATE(Consulta1[[#This Row],[MES_ALTERACAO]],Consulta1[[#This Row],[VIRADA]])</f>
        <v>20260510</v>
      </c>
      <c r="W1213">
        <f>VLOOKUP(Consulta1[[#This Row],[Coluna2]],CALENDARIO!$J:$K,2,FALSE)</f>
        <v>5</v>
      </c>
    </row>
    <row r="1214" spans="1:23" x14ac:dyDescent="0.25">
      <c r="A1214" t="s">
        <v>385</v>
      </c>
      <c r="B1214" t="str">
        <f>CONCATENATE(Consulta1[[#This Row],[id]],Consulta1[[#This Row],[EMPREGADOR]])</f>
        <v>2PREF S SEBASTIA</v>
      </c>
      <c r="C1214" s="6">
        <f>IF(A1214=A1213,C1213+1,1)</f>
        <v>2</v>
      </c>
      <c r="D1214" t="s">
        <v>626</v>
      </c>
      <c r="E1214" s="101">
        <v>2.3900000000000001E-2</v>
      </c>
      <c r="F1214" s="6">
        <v>120</v>
      </c>
      <c r="G1214" t="s">
        <v>1349</v>
      </c>
      <c r="H1214" s="82">
        <v>2.5</v>
      </c>
      <c r="I1214">
        <v>10</v>
      </c>
      <c r="K1214" t="s">
        <v>2054</v>
      </c>
      <c r="L1214" s="6" t="s">
        <v>1616</v>
      </c>
      <c r="M1214" s="6">
        <v>10</v>
      </c>
      <c r="N1214" s="6">
        <v>2</v>
      </c>
      <c r="O1214">
        <v>500</v>
      </c>
      <c r="P1214">
        <v>202605</v>
      </c>
      <c r="Q1214" t="s">
        <v>377</v>
      </c>
      <c r="R1214" t="s">
        <v>1353</v>
      </c>
      <c r="S1214">
        <f>Consulta1[[#This Row],[min_port]]/100</f>
        <v>1.5900000000000001E-2</v>
      </c>
      <c r="T1214" s="252">
        <f>Consulta1[[#This Row],[TETO_COMERCIAL]]/100</f>
        <v>2.5000000000000001E-2</v>
      </c>
      <c r="U1214" t="b">
        <f>Consulta1[[#This Row],[TETO_COMERCIAL_%]]=Consulta1[[#This Row],[TAXA]]</f>
        <v>0</v>
      </c>
      <c r="V1214" t="str">
        <f>CONCATENATE(Consulta1[[#This Row],[MES_ALTERACAO]],Consulta1[[#This Row],[VIRADA]])</f>
        <v>20260510</v>
      </c>
      <c r="W1214">
        <f>VLOOKUP(Consulta1[[#This Row],[Coluna2]],CALENDARIO!$J:$K,2,FALSE)</f>
        <v>5</v>
      </c>
    </row>
    <row r="1215" spans="1:23" x14ac:dyDescent="0.25">
      <c r="A1215" t="s">
        <v>385</v>
      </c>
      <c r="B1215" t="str">
        <f>CONCATENATE(Consulta1[[#This Row],[id]],Consulta1[[#This Row],[EMPREGADOR]])</f>
        <v>3PREF S SEBASTIA</v>
      </c>
      <c r="C1215" s="6">
        <f>IF(A1215=A1214,C1214+1,1)</f>
        <v>3</v>
      </c>
      <c r="D1215" t="s">
        <v>627</v>
      </c>
      <c r="E1215" s="101">
        <v>2.29E-2</v>
      </c>
      <c r="F1215" s="6">
        <v>120</v>
      </c>
      <c r="G1215" t="s">
        <v>1349</v>
      </c>
      <c r="H1215" s="82">
        <v>2.5</v>
      </c>
      <c r="I1215">
        <v>10</v>
      </c>
      <c r="K1215" t="s">
        <v>2055</v>
      </c>
      <c r="L1215" s="6" t="s">
        <v>1616</v>
      </c>
      <c r="M1215" s="6">
        <v>10</v>
      </c>
      <c r="N1215" s="6">
        <v>2</v>
      </c>
      <c r="O1215">
        <v>500</v>
      </c>
      <c r="P1215">
        <v>202605</v>
      </c>
      <c r="Q1215" t="s">
        <v>377</v>
      </c>
      <c r="R1215" t="s">
        <v>1353</v>
      </c>
      <c r="S1215">
        <f>Consulta1[[#This Row],[min_port]]/100</f>
        <v>1.5900000000000001E-2</v>
      </c>
      <c r="T1215" s="252">
        <f>Consulta1[[#This Row],[TETO_COMERCIAL]]/100</f>
        <v>2.5000000000000001E-2</v>
      </c>
      <c r="U1215" t="b">
        <f>Consulta1[[#This Row],[TETO_COMERCIAL_%]]=Consulta1[[#This Row],[TAXA]]</f>
        <v>0</v>
      </c>
      <c r="V1215" t="str">
        <f>CONCATENATE(Consulta1[[#This Row],[MES_ALTERACAO]],Consulta1[[#This Row],[VIRADA]])</f>
        <v>20260510</v>
      </c>
      <c r="W1215">
        <f>VLOOKUP(Consulta1[[#This Row],[Coluna2]],CALENDARIO!$J:$K,2,FALSE)</f>
        <v>5</v>
      </c>
    </row>
    <row r="1216" spans="1:23" x14ac:dyDescent="0.25">
      <c r="A1216" t="s">
        <v>385</v>
      </c>
      <c r="B1216" t="str">
        <f>CONCATENATE(Consulta1[[#This Row],[id]],Consulta1[[#This Row],[EMPREGADOR]])</f>
        <v>4PREF S SEBASTIA</v>
      </c>
      <c r="C1216" s="6">
        <f>IF(A1216=A1215,C1215+1,1)</f>
        <v>4</v>
      </c>
      <c r="D1216" t="s">
        <v>386</v>
      </c>
      <c r="E1216" s="101">
        <v>2.1899999999999999E-2</v>
      </c>
      <c r="F1216" s="6">
        <v>120</v>
      </c>
      <c r="G1216" t="s">
        <v>1349</v>
      </c>
      <c r="H1216" s="82">
        <v>2.5</v>
      </c>
      <c r="I1216">
        <v>10</v>
      </c>
      <c r="J1216">
        <v>43</v>
      </c>
      <c r="K1216" t="s">
        <v>2056</v>
      </c>
      <c r="L1216" s="6" t="s">
        <v>1616</v>
      </c>
      <c r="M1216" s="6">
        <v>10</v>
      </c>
      <c r="N1216" s="6">
        <v>2</v>
      </c>
      <c r="O1216">
        <v>500</v>
      </c>
      <c r="P1216">
        <v>202605</v>
      </c>
      <c r="Q1216" t="s">
        <v>377</v>
      </c>
      <c r="R1216" t="s">
        <v>1353</v>
      </c>
      <c r="S1216">
        <f>Consulta1[[#This Row],[min_port]]/100</f>
        <v>1.5900000000000001E-2</v>
      </c>
      <c r="T1216" s="252">
        <f>Consulta1[[#This Row],[TETO_COMERCIAL]]/100</f>
        <v>2.5000000000000001E-2</v>
      </c>
      <c r="U1216" t="b">
        <f>Consulta1[[#This Row],[TETO_COMERCIAL_%]]=Consulta1[[#This Row],[TAXA]]</f>
        <v>0</v>
      </c>
      <c r="V1216" t="str">
        <f>CONCATENATE(Consulta1[[#This Row],[MES_ALTERACAO]],Consulta1[[#This Row],[VIRADA]])</f>
        <v>20260510</v>
      </c>
      <c r="W1216">
        <f>VLOOKUP(Consulta1[[#This Row],[Coluna2]],CALENDARIO!$J:$K,2,FALSE)</f>
        <v>5</v>
      </c>
    </row>
    <row r="1217" spans="1:23" x14ac:dyDescent="0.25">
      <c r="A1217" t="s">
        <v>385</v>
      </c>
      <c r="B1217" t="str">
        <f>CONCATENATE(Consulta1[[#This Row],[id]],Consulta1[[#This Row],[EMPREGADOR]])</f>
        <v>5PREF S SEBASTIA</v>
      </c>
      <c r="C1217" s="6">
        <f>IF(A1217=A1216,C1216+1,1)</f>
        <v>5</v>
      </c>
      <c r="D1217" t="s">
        <v>849</v>
      </c>
      <c r="E1217" s="101">
        <v>2.12E-2</v>
      </c>
      <c r="F1217" s="6">
        <v>120</v>
      </c>
      <c r="G1217" t="s">
        <v>1349</v>
      </c>
      <c r="H1217" s="82">
        <v>2.5</v>
      </c>
      <c r="I1217">
        <v>10</v>
      </c>
      <c r="J1217">
        <v>40</v>
      </c>
      <c r="K1217" t="s">
        <v>2057</v>
      </c>
      <c r="L1217" s="6" t="s">
        <v>1616</v>
      </c>
      <c r="M1217" s="6">
        <v>10</v>
      </c>
      <c r="N1217" s="6">
        <v>2</v>
      </c>
      <c r="O1217">
        <v>500</v>
      </c>
      <c r="P1217">
        <v>202605</v>
      </c>
      <c r="Q1217" t="s">
        <v>377</v>
      </c>
      <c r="R1217" t="s">
        <v>1353</v>
      </c>
      <c r="S1217">
        <f>Consulta1[[#This Row],[min_port]]/100</f>
        <v>1.5900000000000001E-2</v>
      </c>
      <c r="T1217" s="252">
        <f>Consulta1[[#This Row],[TETO_COMERCIAL]]/100</f>
        <v>2.5000000000000001E-2</v>
      </c>
      <c r="U1217" t="b">
        <f>Consulta1[[#This Row],[TETO_COMERCIAL_%]]=Consulta1[[#This Row],[TAXA]]</f>
        <v>0</v>
      </c>
      <c r="V1217" t="str">
        <f>CONCATENATE(Consulta1[[#This Row],[MES_ALTERACAO]],Consulta1[[#This Row],[VIRADA]])</f>
        <v>20260510</v>
      </c>
      <c r="W1217">
        <f>VLOOKUP(Consulta1[[#This Row],[Coluna2]],CALENDARIO!$J:$K,2,FALSE)</f>
        <v>5</v>
      </c>
    </row>
    <row r="1218" spans="1:23" x14ac:dyDescent="0.25">
      <c r="A1218" t="s">
        <v>751</v>
      </c>
      <c r="B1218" t="str">
        <f>CONCATENATE(Consulta1[[#This Row],[id]],Consulta1[[#This Row],[EMPREGADOR]])</f>
        <v>1PREF SALTO</v>
      </c>
      <c r="C1218" s="6">
        <f>IF(A1218=A1217,C1217+1,1)</f>
        <v>1</v>
      </c>
      <c r="D1218" t="s">
        <v>763</v>
      </c>
      <c r="E1218" s="101">
        <v>2.5000000000000001E-2</v>
      </c>
      <c r="F1218" s="6">
        <v>120</v>
      </c>
      <c r="G1218" t="s">
        <v>1349</v>
      </c>
      <c r="H1218" s="82">
        <v>2.5</v>
      </c>
      <c r="I1218">
        <v>8</v>
      </c>
      <c r="J1218">
        <v>33</v>
      </c>
      <c r="K1218" t="s">
        <v>2058</v>
      </c>
      <c r="L1218" s="6" t="s">
        <v>1371</v>
      </c>
      <c r="M1218" s="6">
        <v>15</v>
      </c>
      <c r="N1218" s="6">
        <v>2</v>
      </c>
      <c r="O1218">
        <v>500</v>
      </c>
      <c r="P1218">
        <v>202605</v>
      </c>
      <c r="Q1218" t="s">
        <v>377</v>
      </c>
      <c r="R1218" t="s">
        <v>1350</v>
      </c>
      <c r="S1218">
        <f>Consulta1[[#This Row],[min_port]]/100</f>
        <v>1.4499999999999999E-2</v>
      </c>
      <c r="T1218" s="252">
        <f>Consulta1[[#This Row],[TETO_COMERCIAL]]/100</f>
        <v>2.5000000000000001E-2</v>
      </c>
      <c r="U1218" t="b">
        <f>Consulta1[[#This Row],[TETO_COMERCIAL_%]]=Consulta1[[#This Row],[TAXA]]</f>
        <v>1</v>
      </c>
      <c r="V1218" t="str">
        <f>CONCATENATE(Consulta1[[#This Row],[MES_ALTERACAO]],Consulta1[[#This Row],[VIRADA]])</f>
        <v>20260515</v>
      </c>
      <c r="W1218">
        <f>VLOOKUP(Consulta1[[#This Row],[Coluna2]],CALENDARIO!$J:$K,2,FALSE)</f>
        <v>10</v>
      </c>
    </row>
    <row r="1219" spans="1:23" x14ac:dyDescent="0.25">
      <c r="A1219" t="s">
        <v>751</v>
      </c>
      <c r="B1219" t="str">
        <f>CONCATENATE(Consulta1[[#This Row],[id]],Consulta1[[#This Row],[EMPREGADOR]])</f>
        <v>2PREF SALTO</v>
      </c>
      <c r="C1219" s="6">
        <f>IF(A1219=A1218,C1218+1,1)</f>
        <v>2</v>
      </c>
      <c r="D1219" t="s">
        <v>764</v>
      </c>
      <c r="E1219" s="101">
        <v>1.9900000000000001E-2</v>
      </c>
      <c r="F1219" s="6">
        <v>120</v>
      </c>
      <c r="G1219" t="s">
        <v>1349</v>
      </c>
      <c r="H1219" s="82">
        <v>2.5</v>
      </c>
      <c r="I1219">
        <v>8</v>
      </c>
      <c r="J1219">
        <v>39</v>
      </c>
      <c r="K1219" t="s">
        <v>2059</v>
      </c>
      <c r="L1219" s="6" t="s">
        <v>1371</v>
      </c>
      <c r="M1219" s="6">
        <v>15</v>
      </c>
      <c r="N1219" s="6">
        <v>2</v>
      </c>
      <c r="O1219">
        <v>500</v>
      </c>
      <c r="P1219">
        <v>202605</v>
      </c>
      <c r="Q1219" t="s">
        <v>377</v>
      </c>
      <c r="R1219" t="s">
        <v>1350</v>
      </c>
      <c r="S1219">
        <f>Consulta1[[#This Row],[min_port]]/100</f>
        <v>1.4499999999999999E-2</v>
      </c>
      <c r="T1219" s="252">
        <f>Consulta1[[#This Row],[TETO_COMERCIAL]]/100</f>
        <v>2.5000000000000001E-2</v>
      </c>
      <c r="U1219" t="b">
        <f>Consulta1[[#This Row],[TETO_COMERCIAL_%]]=Consulta1[[#This Row],[TAXA]]</f>
        <v>0</v>
      </c>
      <c r="V1219" t="str">
        <f>CONCATENATE(Consulta1[[#This Row],[MES_ALTERACAO]],Consulta1[[#This Row],[VIRADA]])</f>
        <v>20260515</v>
      </c>
      <c r="W1219">
        <f>VLOOKUP(Consulta1[[#This Row],[Coluna2]],CALENDARIO!$J:$K,2,FALSE)</f>
        <v>10</v>
      </c>
    </row>
    <row r="1220" spans="1:23" x14ac:dyDescent="0.25">
      <c r="A1220" t="s">
        <v>751</v>
      </c>
      <c r="B1220" t="str">
        <f>CONCATENATE(Consulta1[[#This Row],[id]],Consulta1[[#This Row],[EMPREGADOR]])</f>
        <v>3PREF SALTO</v>
      </c>
      <c r="C1220" s="6">
        <f>IF(A1220=A1219,C1219+1,1)</f>
        <v>3</v>
      </c>
      <c r="D1220" t="s">
        <v>765</v>
      </c>
      <c r="E1220" s="101">
        <v>1.95E-2</v>
      </c>
      <c r="F1220" s="6">
        <v>120</v>
      </c>
      <c r="G1220" t="s">
        <v>1349</v>
      </c>
      <c r="H1220" s="82">
        <v>2.5</v>
      </c>
      <c r="I1220">
        <v>8</v>
      </c>
      <c r="J1220">
        <v>40</v>
      </c>
      <c r="K1220" t="s">
        <v>2060</v>
      </c>
      <c r="L1220" s="6" t="s">
        <v>1371</v>
      </c>
      <c r="M1220" s="6">
        <v>15</v>
      </c>
      <c r="N1220" s="6">
        <v>2</v>
      </c>
      <c r="O1220">
        <v>500</v>
      </c>
      <c r="P1220">
        <v>202605</v>
      </c>
      <c r="Q1220" t="s">
        <v>377</v>
      </c>
      <c r="R1220" t="s">
        <v>1350</v>
      </c>
      <c r="S1220">
        <f>Consulta1[[#This Row],[min_port]]/100</f>
        <v>1.4499999999999999E-2</v>
      </c>
      <c r="T1220" s="252">
        <f>Consulta1[[#This Row],[TETO_COMERCIAL]]/100</f>
        <v>2.5000000000000001E-2</v>
      </c>
      <c r="U1220" t="b">
        <f>Consulta1[[#This Row],[TETO_COMERCIAL_%]]=Consulta1[[#This Row],[TAXA]]</f>
        <v>0</v>
      </c>
      <c r="V1220" t="str">
        <f>CONCATENATE(Consulta1[[#This Row],[MES_ALTERACAO]],Consulta1[[#This Row],[VIRADA]])</f>
        <v>20260515</v>
      </c>
      <c r="W1220">
        <f>VLOOKUP(Consulta1[[#This Row],[Coluna2]],CALENDARIO!$J:$K,2,FALSE)</f>
        <v>10</v>
      </c>
    </row>
    <row r="1221" spans="1:23" x14ac:dyDescent="0.25">
      <c r="A1221" t="s">
        <v>751</v>
      </c>
      <c r="B1221" t="str">
        <f>CONCATENATE(Consulta1[[#This Row],[id]],Consulta1[[#This Row],[EMPREGADOR]])</f>
        <v>4PREF SALTO</v>
      </c>
      <c r="C1221" s="6">
        <f>IF(A1221=A1220,C1220+1,1)</f>
        <v>4</v>
      </c>
      <c r="D1221" t="s">
        <v>766</v>
      </c>
      <c r="E1221" s="101">
        <v>1.89E-2</v>
      </c>
      <c r="F1221" s="6">
        <v>120</v>
      </c>
      <c r="G1221" t="s">
        <v>1349</v>
      </c>
      <c r="H1221" s="82">
        <v>2.5</v>
      </c>
      <c r="I1221">
        <v>8</v>
      </c>
      <c r="J1221">
        <v>39</v>
      </c>
      <c r="K1221" t="s">
        <v>2061</v>
      </c>
      <c r="L1221" s="6" t="s">
        <v>1371</v>
      </c>
      <c r="M1221" s="6">
        <v>15</v>
      </c>
      <c r="N1221" s="6">
        <v>2</v>
      </c>
      <c r="O1221">
        <v>500</v>
      </c>
      <c r="P1221">
        <v>202605</v>
      </c>
      <c r="Q1221" t="s">
        <v>377</v>
      </c>
      <c r="R1221" t="s">
        <v>1350</v>
      </c>
      <c r="S1221">
        <f>Consulta1[[#This Row],[min_port]]/100</f>
        <v>1.4499999999999999E-2</v>
      </c>
      <c r="T1221" s="252">
        <f>Consulta1[[#This Row],[TETO_COMERCIAL]]/100</f>
        <v>2.5000000000000001E-2</v>
      </c>
      <c r="U1221" t="b">
        <f>Consulta1[[#This Row],[TETO_COMERCIAL_%]]=Consulta1[[#This Row],[TAXA]]</f>
        <v>0</v>
      </c>
      <c r="V1221" t="str">
        <f>CONCATENATE(Consulta1[[#This Row],[MES_ALTERACAO]],Consulta1[[#This Row],[VIRADA]])</f>
        <v>20260515</v>
      </c>
      <c r="W1221">
        <f>VLOOKUP(Consulta1[[#This Row],[Coluna2]],CALENDARIO!$J:$K,2,FALSE)</f>
        <v>10</v>
      </c>
    </row>
    <row r="1222" spans="1:23" x14ac:dyDescent="0.25">
      <c r="A1222" t="s">
        <v>751</v>
      </c>
      <c r="B1222" t="str">
        <f>CONCATENATE(Consulta1[[#This Row],[id]],Consulta1[[#This Row],[EMPREGADOR]])</f>
        <v>5PREF SALTO</v>
      </c>
      <c r="C1222" s="6">
        <f>IF(A1222=A1221,C1221+1,1)</f>
        <v>5</v>
      </c>
      <c r="D1222" t="s">
        <v>1253</v>
      </c>
      <c r="E1222" s="101">
        <v>1.8500000000000003E-2</v>
      </c>
      <c r="F1222" s="6">
        <v>120</v>
      </c>
      <c r="G1222" t="s">
        <v>1349</v>
      </c>
      <c r="H1222" s="82">
        <v>2.5</v>
      </c>
      <c r="I1222">
        <v>8</v>
      </c>
      <c r="J1222">
        <v>40</v>
      </c>
      <c r="K1222" t="s">
        <v>2062</v>
      </c>
      <c r="L1222" s="6" t="s">
        <v>1371</v>
      </c>
      <c r="M1222" s="6">
        <v>15</v>
      </c>
      <c r="N1222" s="6">
        <v>2</v>
      </c>
      <c r="O1222">
        <v>500</v>
      </c>
      <c r="P1222">
        <v>202605</v>
      </c>
      <c r="Q1222" t="s">
        <v>377</v>
      </c>
      <c r="R1222" t="s">
        <v>1350</v>
      </c>
      <c r="S1222">
        <f>Consulta1[[#This Row],[min_port]]/100</f>
        <v>1.4499999999999999E-2</v>
      </c>
      <c r="T1222" s="252">
        <f>Consulta1[[#This Row],[TETO_COMERCIAL]]/100</f>
        <v>2.5000000000000001E-2</v>
      </c>
      <c r="U1222" t="b">
        <f>Consulta1[[#This Row],[TETO_COMERCIAL_%]]=Consulta1[[#This Row],[TAXA]]</f>
        <v>0</v>
      </c>
      <c r="V1222" t="str">
        <f>CONCATENATE(Consulta1[[#This Row],[MES_ALTERACAO]],Consulta1[[#This Row],[VIRADA]])</f>
        <v>20260515</v>
      </c>
      <c r="W1222">
        <f>VLOOKUP(Consulta1[[#This Row],[Coluna2]],CALENDARIO!$J:$K,2,FALSE)</f>
        <v>10</v>
      </c>
    </row>
    <row r="1223" spans="1:23" x14ac:dyDescent="0.25">
      <c r="A1223" t="s">
        <v>751</v>
      </c>
      <c r="B1223" t="str">
        <f>CONCATENATE(Consulta1[[#This Row],[id]],Consulta1[[#This Row],[EMPREGADOR]])</f>
        <v>6PREF SALTO</v>
      </c>
      <c r="C1223" s="6">
        <f>IF(A1223=A1222,C1222+1,1)</f>
        <v>6</v>
      </c>
      <c r="D1223" t="s">
        <v>1254</v>
      </c>
      <c r="E1223" s="101">
        <v>1.7899999999999999E-2</v>
      </c>
      <c r="F1223" s="6">
        <v>120</v>
      </c>
      <c r="G1223" t="s">
        <v>1349</v>
      </c>
      <c r="H1223" s="82">
        <v>2.5</v>
      </c>
      <c r="I1223">
        <v>8</v>
      </c>
      <c r="J1223">
        <v>38</v>
      </c>
      <c r="K1223" t="s">
        <v>2063</v>
      </c>
      <c r="L1223" s="6" t="s">
        <v>1371</v>
      </c>
      <c r="M1223" s="6">
        <v>15</v>
      </c>
      <c r="N1223" s="6">
        <v>2</v>
      </c>
      <c r="O1223">
        <v>500</v>
      </c>
      <c r="P1223">
        <v>202605</v>
      </c>
      <c r="Q1223" t="s">
        <v>377</v>
      </c>
      <c r="R1223" t="s">
        <v>1350</v>
      </c>
      <c r="S1223">
        <f>Consulta1[[#This Row],[min_port]]/100</f>
        <v>1.4499999999999999E-2</v>
      </c>
      <c r="T1223" s="252">
        <f>Consulta1[[#This Row],[TETO_COMERCIAL]]/100</f>
        <v>2.5000000000000001E-2</v>
      </c>
      <c r="U1223" t="b">
        <f>Consulta1[[#This Row],[TETO_COMERCIAL_%]]=Consulta1[[#This Row],[TAXA]]</f>
        <v>0</v>
      </c>
      <c r="V1223" t="str">
        <f>CONCATENATE(Consulta1[[#This Row],[MES_ALTERACAO]],Consulta1[[#This Row],[VIRADA]])</f>
        <v>20260515</v>
      </c>
      <c r="W1223">
        <f>VLOOKUP(Consulta1[[#This Row],[Coluna2]],CALENDARIO!$J:$K,2,FALSE)</f>
        <v>10</v>
      </c>
    </row>
    <row r="1224" spans="1:23" x14ac:dyDescent="0.25">
      <c r="A1224" t="s">
        <v>363</v>
      </c>
      <c r="B1224" t="str">
        <f>CONCATENATE(Consulta1[[#This Row],[id]],Consulta1[[#This Row],[EMPREGADOR]])</f>
        <v>1PREF SALVADOR CLT</v>
      </c>
      <c r="C1224" s="6">
        <f>IF(A1224=A1223,C1223+1,1)</f>
        <v>1</v>
      </c>
      <c r="D1224" t="s">
        <v>3157</v>
      </c>
      <c r="E1224" s="101">
        <v>2.5000000000000001E-2</v>
      </c>
      <c r="F1224" s="6">
        <v>120</v>
      </c>
      <c r="G1224" t="s">
        <v>1349</v>
      </c>
      <c r="H1224" s="82">
        <v>2.5</v>
      </c>
      <c r="I1224">
        <v>10</v>
      </c>
      <c r="J1224">
        <v>50</v>
      </c>
      <c r="K1224" t="s">
        <v>3158</v>
      </c>
      <c r="L1224" s="6" t="s">
        <v>1356</v>
      </c>
      <c r="M1224" s="6">
        <v>5</v>
      </c>
      <c r="N1224" s="6">
        <v>2</v>
      </c>
      <c r="O1224">
        <v>500</v>
      </c>
      <c r="P1224">
        <v>202605</v>
      </c>
      <c r="Q1224" t="s">
        <v>378</v>
      </c>
      <c r="R1224" t="s">
        <v>1353</v>
      </c>
      <c r="S1224">
        <f>Consulta1[[#This Row],[min_port]]/100</f>
        <v>1.3000000000000001E-2</v>
      </c>
      <c r="T1224" s="252">
        <f>Consulta1[[#This Row],[TETO_COMERCIAL]]/100</f>
        <v>2.5000000000000001E-2</v>
      </c>
      <c r="U1224" t="b">
        <f>Consulta1[[#This Row],[TETO_COMERCIAL_%]]=Consulta1[[#This Row],[TAXA]]</f>
        <v>1</v>
      </c>
      <c r="V1224" t="str">
        <f>CONCATENATE(Consulta1[[#This Row],[MES_ALTERACAO]],Consulta1[[#This Row],[VIRADA]])</f>
        <v>2026055</v>
      </c>
      <c r="W1224">
        <f>VLOOKUP(Consulta1[[#This Row],[Coluna2]],CALENDARIO!$J:$K,2,FALSE)</f>
        <v>2</v>
      </c>
    </row>
    <row r="1225" spans="1:23" x14ac:dyDescent="0.25">
      <c r="A1225" t="s">
        <v>363</v>
      </c>
      <c r="B1225" t="str">
        <f>CONCATENATE(Consulta1[[#This Row],[id]],Consulta1[[#This Row],[EMPREGADOR]])</f>
        <v>2PREF SALVADOR CLT</v>
      </c>
      <c r="C1225" s="6">
        <f>IF(A1225=A1224,C1224+1,1)</f>
        <v>2</v>
      </c>
      <c r="D1225" t="s">
        <v>3159</v>
      </c>
      <c r="E1225" s="101">
        <v>2.4E-2</v>
      </c>
      <c r="F1225" s="6">
        <v>120</v>
      </c>
      <c r="G1225" t="s">
        <v>1349</v>
      </c>
      <c r="H1225" s="82">
        <v>2.5</v>
      </c>
      <c r="I1225">
        <v>10</v>
      </c>
      <c r="J1225">
        <v>50</v>
      </c>
      <c r="K1225" t="s">
        <v>3160</v>
      </c>
      <c r="L1225" s="6" t="s">
        <v>1356</v>
      </c>
      <c r="M1225" s="6">
        <v>5</v>
      </c>
      <c r="N1225" s="6">
        <v>2</v>
      </c>
      <c r="O1225">
        <v>500</v>
      </c>
      <c r="P1225">
        <v>202605</v>
      </c>
      <c r="Q1225" t="s">
        <v>378</v>
      </c>
      <c r="R1225" t="s">
        <v>1353</v>
      </c>
      <c r="S1225">
        <f>Consulta1[[#This Row],[min_port]]/100</f>
        <v>1.3000000000000001E-2</v>
      </c>
      <c r="T1225" s="252">
        <f>Consulta1[[#This Row],[TETO_COMERCIAL]]/100</f>
        <v>2.5000000000000001E-2</v>
      </c>
      <c r="U1225" t="b">
        <f>Consulta1[[#This Row],[TETO_COMERCIAL_%]]=Consulta1[[#This Row],[TAXA]]</f>
        <v>0</v>
      </c>
      <c r="V1225" t="str">
        <f>CONCATENATE(Consulta1[[#This Row],[MES_ALTERACAO]],Consulta1[[#This Row],[VIRADA]])</f>
        <v>2026055</v>
      </c>
      <c r="W1225">
        <f>VLOOKUP(Consulta1[[#This Row],[Coluna2]],CALENDARIO!$J:$K,2,FALSE)</f>
        <v>2</v>
      </c>
    </row>
    <row r="1226" spans="1:23" x14ac:dyDescent="0.25">
      <c r="A1226" t="s">
        <v>363</v>
      </c>
      <c r="B1226" t="str">
        <f>CONCATENATE(Consulta1[[#This Row],[id]],Consulta1[[#This Row],[EMPREGADOR]])</f>
        <v>3PREF SALVADOR CLT</v>
      </c>
      <c r="C1226" s="6">
        <f>IF(A1226=A1225,C1225+1,1)</f>
        <v>3</v>
      </c>
      <c r="D1226" t="s">
        <v>3161</v>
      </c>
      <c r="E1226" s="101">
        <v>2.3E-2</v>
      </c>
      <c r="F1226" s="6">
        <v>120</v>
      </c>
      <c r="G1226" t="s">
        <v>1349</v>
      </c>
      <c r="H1226" s="82">
        <v>2.5</v>
      </c>
      <c r="I1226">
        <v>10</v>
      </c>
      <c r="J1226">
        <v>50</v>
      </c>
      <c r="K1226" t="s">
        <v>3162</v>
      </c>
      <c r="L1226" s="6" t="s">
        <v>1356</v>
      </c>
      <c r="M1226" s="6">
        <v>5</v>
      </c>
      <c r="N1226" s="6">
        <v>2</v>
      </c>
      <c r="O1226">
        <v>500</v>
      </c>
      <c r="P1226">
        <v>202605</v>
      </c>
      <c r="Q1226" t="s">
        <v>378</v>
      </c>
      <c r="R1226" t="s">
        <v>1353</v>
      </c>
      <c r="S1226">
        <f>Consulta1[[#This Row],[min_port]]/100</f>
        <v>1.3000000000000001E-2</v>
      </c>
      <c r="T1226" s="252">
        <f>Consulta1[[#This Row],[TETO_COMERCIAL]]/100</f>
        <v>2.5000000000000001E-2</v>
      </c>
      <c r="U1226" t="b">
        <f>Consulta1[[#This Row],[TETO_COMERCIAL_%]]=Consulta1[[#This Row],[TAXA]]</f>
        <v>0</v>
      </c>
      <c r="V1226" t="str">
        <f>CONCATENATE(Consulta1[[#This Row],[MES_ALTERACAO]],Consulta1[[#This Row],[VIRADA]])</f>
        <v>2026055</v>
      </c>
      <c r="W1226">
        <f>VLOOKUP(Consulta1[[#This Row],[Coluna2]],CALENDARIO!$J:$K,2,FALSE)</f>
        <v>2</v>
      </c>
    </row>
    <row r="1227" spans="1:23" x14ac:dyDescent="0.25">
      <c r="A1227" t="s">
        <v>363</v>
      </c>
      <c r="B1227" t="str">
        <f>CONCATENATE(Consulta1[[#This Row],[id]],Consulta1[[#This Row],[EMPREGADOR]])</f>
        <v>4PREF SALVADOR CLT</v>
      </c>
      <c r="C1227" s="6">
        <f>IF(A1227=A1226,C1226+1,1)</f>
        <v>4</v>
      </c>
      <c r="D1227" t="s">
        <v>3163</v>
      </c>
      <c r="E1227" s="101">
        <v>2.2000000000000002E-2</v>
      </c>
      <c r="F1227" s="6">
        <v>120</v>
      </c>
      <c r="G1227" t="s">
        <v>1349</v>
      </c>
      <c r="H1227" s="82">
        <v>2.5</v>
      </c>
      <c r="I1227">
        <v>10</v>
      </c>
      <c r="J1227">
        <v>50</v>
      </c>
      <c r="K1227" t="s">
        <v>3164</v>
      </c>
      <c r="L1227" s="6" t="s">
        <v>1356</v>
      </c>
      <c r="M1227" s="6">
        <v>5</v>
      </c>
      <c r="N1227" s="6">
        <v>2</v>
      </c>
      <c r="O1227">
        <v>500</v>
      </c>
      <c r="P1227">
        <v>202605</v>
      </c>
      <c r="Q1227" t="s">
        <v>378</v>
      </c>
      <c r="R1227" t="s">
        <v>1353</v>
      </c>
      <c r="S1227">
        <f>Consulta1[[#This Row],[min_port]]/100</f>
        <v>1.3000000000000001E-2</v>
      </c>
      <c r="T1227" s="252">
        <f>Consulta1[[#This Row],[TETO_COMERCIAL]]/100</f>
        <v>2.5000000000000001E-2</v>
      </c>
      <c r="U1227" t="b">
        <f>Consulta1[[#This Row],[TETO_COMERCIAL_%]]=Consulta1[[#This Row],[TAXA]]</f>
        <v>0</v>
      </c>
      <c r="V1227" t="str">
        <f>CONCATENATE(Consulta1[[#This Row],[MES_ALTERACAO]],Consulta1[[#This Row],[VIRADA]])</f>
        <v>2026055</v>
      </c>
      <c r="W1227">
        <f>VLOOKUP(Consulta1[[#This Row],[Coluna2]],CALENDARIO!$J:$K,2,FALSE)</f>
        <v>2</v>
      </c>
    </row>
    <row r="1228" spans="1:23" x14ac:dyDescent="0.25">
      <c r="A1228" t="s">
        <v>363</v>
      </c>
      <c r="B1228" t="str">
        <f>CONCATENATE(Consulta1[[#This Row],[id]],Consulta1[[#This Row],[EMPREGADOR]])</f>
        <v>5PREF SALVADOR CLT</v>
      </c>
      <c r="C1228" s="6">
        <f>IF(A1228=A1227,C1227+1,1)</f>
        <v>5</v>
      </c>
      <c r="D1228" t="s">
        <v>3165</v>
      </c>
      <c r="E1228" s="101">
        <v>2.1000000000000001E-2</v>
      </c>
      <c r="F1228" s="6">
        <v>120</v>
      </c>
      <c r="G1228" t="s">
        <v>1349</v>
      </c>
      <c r="H1228" s="82">
        <v>2.5</v>
      </c>
      <c r="I1228">
        <v>10</v>
      </c>
      <c r="J1228">
        <v>50</v>
      </c>
      <c r="K1228" t="s">
        <v>3166</v>
      </c>
      <c r="L1228" s="6" t="s">
        <v>1356</v>
      </c>
      <c r="M1228" s="6">
        <v>5</v>
      </c>
      <c r="N1228" s="6">
        <v>2</v>
      </c>
      <c r="O1228">
        <v>500</v>
      </c>
      <c r="P1228">
        <v>202605</v>
      </c>
      <c r="Q1228" t="s">
        <v>378</v>
      </c>
      <c r="R1228" t="s">
        <v>1353</v>
      </c>
      <c r="S1228">
        <f>Consulta1[[#This Row],[min_port]]/100</f>
        <v>1.3000000000000001E-2</v>
      </c>
      <c r="T1228" s="252">
        <f>Consulta1[[#This Row],[TETO_COMERCIAL]]/100</f>
        <v>2.5000000000000001E-2</v>
      </c>
      <c r="U1228" t="b">
        <f>Consulta1[[#This Row],[TETO_COMERCIAL_%]]=Consulta1[[#This Row],[TAXA]]</f>
        <v>0</v>
      </c>
      <c r="V1228" t="str">
        <f>CONCATENATE(Consulta1[[#This Row],[MES_ALTERACAO]],Consulta1[[#This Row],[VIRADA]])</f>
        <v>2026055</v>
      </c>
      <c r="W1228">
        <f>VLOOKUP(Consulta1[[#This Row],[Coluna2]],CALENDARIO!$J:$K,2,FALSE)</f>
        <v>2</v>
      </c>
    </row>
    <row r="1229" spans="1:23" x14ac:dyDescent="0.25">
      <c r="A1229" t="s">
        <v>363</v>
      </c>
      <c r="B1229" t="str">
        <f>CONCATENATE(Consulta1[[#This Row],[id]],Consulta1[[#This Row],[EMPREGADOR]])</f>
        <v>6PREF SALVADOR CLT</v>
      </c>
      <c r="C1229" s="6">
        <f>IF(A1229=A1228,C1228+1,1)</f>
        <v>6</v>
      </c>
      <c r="D1229" t="s">
        <v>3167</v>
      </c>
      <c r="E1229" s="101">
        <v>0.02</v>
      </c>
      <c r="F1229" s="6">
        <v>120</v>
      </c>
      <c r="G1229" t="s">
        <v>1349</v>
      </c>
      <c r="H1229" s="82">
        <v>2.5</v>
      </c>
      <c r="I1229">
        <v>10</v>
      </c>
      <c r="J1229">
        <v>50</v>
      </c>
      <c r="K1229" t="s">
        <v>3168</v>
      </c>
      <c r="L1229" s="6" t="s">
        <v>1356</v>
      </c>
      <c r="M1229" s="6">
        <v>5</v>
      </c>
      <c r="N1229" s="6">
        <v>2</v>
      </c>
      <c r="O1229">
        <v>500</v>
      </c>
      <c r="P1229">
        <v>202605</v>
      </c>
      <c r="Q1229" t="s">
        <v>378</v>
      </c>
      <c r="R1229" t="s">
        <v>1353</v>
      </c>
      <c r="S1229">
        <f>Consulta1[[#This Row],[min_port]]/100</f>
        <v>1.3000000000000001E-2</v>
      </c>
      <c r="T1229" s="252">
        <f>Consulta1[[#This Row],[TETO_COMERCIAL]]/100</f>
        <v>2.5000000000000001E-2</v>
      </c>
      <c r="U1229" t="b">
        <f>Consulta1[[#This Row],[TETO_COMERCIAL_%]]=Consulta1[[#This Row],[TAXA]]</f>
        <v>0</v>
      </c>
      <c r="V1229" t="str">
        <f>CONCATENATE(Consulta1[[#This Row],[MES_ALTERACAO]],Consulta1[[#This Row],[VIRADA]])</f>
        <v>2026055</v>
      </c>
      <c r="W1229">
        <f>VLOOKUP(Consulta1[[#This Row],[Coluna2]],CALENDARIO!$J:$K,2,FALSE)</f>
        <v>2</v>
      </c>
    </row>
    <row r="1230" spans="1:23" x14ac:dyDescent="0.25">
      <c r="A1230" t="s">
        <v>363</v>
      </c>
      <c r="B1230" t="str">
        <f>CONCATENATE(Consulta1[[#This Row],[id]],Consulta1[[#This Row],[EMPREGADOR]])</f>
        <v>7PREF SALVADOR CLT</v>
      </c>
      <c r="C1230" s="6">
        <f>IF(A1230=A1229,C1229+1,1)</f>
        <v>7</v>
      </c>
      <c r="D1230" t="s">
        <v>3169</v>
      </c>
      <c r="E1230" s="101">
        <v>1.9E-2</v>
      </c>
      <c r="F1230" s="6">
        <v>120</v>
      </c>
      <c r="G1230" t="s">
        <v>1349</v>
      </c>
      <c r="H1230" s="82">
        <v>2.5</v>
      </c>
      <c r="I1230">
        <v>10</v>
      </c>
      <c r="J1230">
        <v>50</v>
      </c>
      <c r="K1230" t="s">
        <v>3170</v>
      </c>
      <c r="L1230" s="6" t="s">
        <v>1356</v>
      </c>
      <c r="M1230" s="6">
        <v>5</v>
      </c>
      <c r="N1230" s="6">
        <v>2</v>
      </c>
      <c r="O1230">
        <v>500</v>
      </c>
      <c r="P1230">
        <v>202605</v>
      </c>
      <c r="Q1230" t="s">
        <v>378</v>
      </c>
      <c r="R1230" t="s">
        <v>1353</v>
      </c>
      <c r="S1230">
        <f>Consulta1[[#This Row],[min_port]]/100</f>
        <v>1.3000000000000001E-2</v>
      </c>
      <c r="T1230" s="252">
        <f>Consulta1[[#This Row],[TETO_COMERCIAL]]/100</f>
        <v>2.5000000000000001E-2</v>
      </c>
      <c r="U1230" t="b">
        <f>Consulta1[[#This Row],[TETO_COMERCIAL_%]]=Consulta1[[#This Row],[TAXA]]</f>
        <v>0</v>
      </c>
      <c r="V1230" t="str">
        <f>CONCATENATE(Consulta1[[#This Row],[MES_ALTERACAO]],Consulta1[[#This Row],[VIRADA]])</f>
        <v>2026055</v>
      </c>
      <c r="W1230">
        <f>VLOOKUP(Consulta1[[#This Row],[Coluna2]],CALENDARIO!$J:$K,2,FALSE)</f>
        <v>2</v>
      </c>
    </row>
    <row r="1231" spans="1:23" x14ac:dyDescent="0.25">
      <c r="A1231" t="s">
        <v>363</v>
      </c>
      <c r="B1231" t="str">
        <f>CONCATENATE(Consulta1[[#This Row],[id]],Consulta1[[#This Row],[EMPREGADOR]])</f>
        <v>8PREF SALVADOR CLT</v>
      </c>
      <c r="C1231" s="6">
        <f>IF(A1231=A1230,C1230+1,1)</f>
        <v>8</v>
      </c>
      <c r="D1231" t="s">
        <v>3171</v>
      </c>
      <c r="E1231" s="101">
        <v>1.8500000000000003E-2</v>
      </c>
      <c r="F1231" s="6">
        <v>120</v>
      </c>
      <c r="G1231" t="s">
        <v>1349</v>
      </c>
      <c r="H1231" s="82">
        <v>2.5</v>
      </c>
      <c r="I1231">
        <v>10</v>
      </c>
      <c r="J1231">
        <v>50</v>
      </c>
      <c r="K1231" t="s">
        <v>3172</v>
      </c>
      <c r="L1231" s="6" t="s">
        <v>1356</v>
      </c>
      <c r="M1231" s="6">
        <v>5</v>
      </c>
      <c r="N1231" s="6">
        <v>2</v>
      </c>
      <c r="O1231">
        <v>500</v>
      </c>
      <c r="P1231">
        <v>202605</v>
      </c>
      <c r="Q1231" t="s">
        <v>378</v>
      </c>
      <c r="R1231" t="s">
        <v>1353</v>
      </c>
      <c r="S1231">
        <f>Consulta1[[#This Row],[min_port]]/100</f>
        <v>1.3000000000000001E-2</v>
      </c>
      <c r="T1231" s="252">
        <f>Consulta1[[#This Row],[TETO_COMERCIAL]]/100</f>
        <v>2.5000000000000001E-2</v>
      </c>
      <c r="U1231" t="b">
        <f>Consulta1[[#This Row],[TETO_COMERCIAL_%]]=Consulta1[[#This Row],[TAXA]]</f>
        <v>0</v>
      </c>
      <c r="V1231" t="str">
        <f>CONCATENATE(Consulta1[[#This Row],[MES_ALTERACAO]],Consulta1[[#This Row],[VIRADA]])</f>
        <v>2026055</v>
      </c>
      <c r="W1231">
        <f>VLOOKUP(Consulta1[[#This Row],[Coluna2]],CALENDARIO!$J:$K,2,FALSE)</f>
        <v>2</v>
      </c>
    </row>
    <row r="1232" spans="1:23" x14ac:dyDescent="0.25">
      <c r="A1232" t="s">
        <v>363</v>
      </c>
      <c r="B1232" t="str">
        <f>CONCATENATE(Consulta1[[#This Row],[id]],Consulta1[[#This Row],[EMPREGADOR]])</f>
        <v>9PREF SALVADOR CLT</v>
      </c>
      <c r="C1232" s="6">
        <f>IF(A1232=A1231,C1231+1,1)</f>
        <v>9</v>
      </c>
      <c r="D1232" t="s">
        <v>3173</v>
      </c>
      <c r="E1232" s="101">
        <v>1.8000000000000002E-2</v>
      </c>
      <c r="F1232" s="6">
        <v>120</v>
      </c>
      <c r="G1232" t="s">
        <v>1349</v>
      </c>
      <c r="H1232" s="82">
        <v>2.5</v>
      </c>
      <c r="I1232">
        <v>10</v>
      </c>
      <c r="J1232">
        <v>50</v>
      </c>
      <c r="K1232" t="s">
        <v>3174</v>
      </c>
      <c r="L1232" s="6" t="s">
        <v>1356</v>
      </c>
      <c r="M1232" s="6">
        <v>5</v>
      </c>
      <c r="N1232" s="6">
        <v>2</v>
      </c>
      <c r="O1232">
        <v>500</v>
      </c>
      <c r="P1232">
        <v>202605</v>
      </c>
      <c r="Q1232" t="s">
        <v>378</v>
      </c>
      <c r="R1232" t="s">
        <v>1353</v>
      </c>
      <c r="S1232">
        <f>Consulta1[[#This Row],[min_port]]/100</f>
        <v>1.3000000000000001E-2</v>
      </c>
      <c r="T1232" s="252">
        <f>Consulta1[[#This Row],[TETO_COMERCIAL]]/100</f>
        <v>2.5000000000000001E-2</v>
      </c>
      <c r="U1232" t="b">
        <f>Consulta1[[#This Row],[TETO_COMERCIAL_%]]=Consulta1[[#This Row],[TAXA]]</f>
        <v>0</v>
      </c>
      <c r="V1232" t="str">
        <f>CONCATENATE(Consulta1[[#This Row],[MES_ALTERACAO]],Consulta1[[#This Row],[VIRADA]])</f>
        <v>2026055</v>
      </c>
      <c r="W1232">
        <f>VLOOKUP(Consulta1[[#This Row],[Coluna2]],CALENDARIO!$J:$K,2,FALSE)</f>
        <v>2</v>
      </c>
    </row>
    <row r="1233" spans="1:23" x14ac:dyDescent="0.25">
      <c r="A1233" t="s">
        <v>363</v>
      </c>
      <c r="B1233" t="str">
        <f>CONCATENATE(Consulta1[[#This Row],[id]],Consulta1[[#This Row],[EMPREGADOR]])</f>
        <v>10PREF SALVADOR CLT</v>
      </c>
      <c r="C1233" s="6">
        <f>IF(A1233=A1232,C1232+1,1)</f>
        <v>10</v>
      </c>
      <c r="D1233" t="s">
        <v>3175</v>
      </c>
      <c r="E1233" s="101">
        <v>1.7600000000000001E-2</v>
      </c>
      <c r="F1233" s="6">
        <v>120</v>
      </c>
      <c r="G1233" t="s">
        <v>1349</v>
      </c>
      <c r="H1233" s="82">
        <v>2.5</v>
      </c>
      <c r="I1233">
        <v>10</v>
      </c>
      <c r="J1233">
        <v>50</v>
      </c>
      <c r="K1233" t="s">
        <v>3176</v>
      </c>
      <c r="L1233" s="6" t="s">
        <v>1356</v>
      </c>
      <c r="M1233" s="6">
        <v>5</v>
      </c>
      <c r="N1233" s="6">
        <v>2</v>
      </c>
      <c r="O1233">
        <v>500</v>
      </c>
      <c r="P1233">
        <v>202605</v>
      </c>
      <c r="Q1233" t="s">
        <v>378</v>
      </c>
      <c r="R1233" t="s">
        <v>1353</v>
      </c>
      <c r="S1233">
        <f>Consulta1[[#This Row],[min_port]]/100</f>
        <v>1.3000000000000001E-2</v>
      </c>
      <c r="T1233" s="252">
        <f>Consulta1[[#This Row],[TETO_COMERCIAL]]/100</f>
        <v>2.5000000000000001E-2</v>
      </c>
      <c r="U1233" t="b">
        <f>Consulta1[[#This Row],[TETO_COMERCIAL_%]]=Consulta1[[#This Row],[TAXA]]</f>
        <v>0</v>
      </c>
      <c r="V1233" t="str">
        <f>CONCATENATE(Consulta1[[#This Row],[MES_ALTERACAO]],Consulta1[[#This Row],[VIRADA]])</f>
        <v>2026055</v>
      </c>
      <c r="W1233">
        <f>VLOOKUP(Consulta1[[#This Row],[Coluna2]],CALENDARIO!$J:$K,2,FALSE)</f>
        <v>2</v>
      </c>
    </row>
    <row r="1234" spans="1:23" x14ac:dyDescent="0.25">
      <c r="A1234" t="s">
        <v>363</v>
      </c>
      <c r="B1234" t="str">
        <f>CONCATENATE(Consulta1[[#This Row],[id]],Consulta1[[#This Row],[EMPREGADOR]])</f>
        <v>11PREF SALVADOR CLT</v>
      </c>
      <c r="C1234" s="6">
        <f>IF(A1234=A1233,C1233+1,1)</f>
        <v>11</v>
      </c>
      <c r="D1234" t="s">
        <v>3177</v>
      </c>
      <c r="E1234" s="101">
        <v>1.7100000000000001E-2</v>
      </c>
      <c r="F1234" s="6">
        <v>120</v>
      </c>
      <c r="G1234" t="s">
        <v>1349</v>
      </c>
      <c r="H1234" s="82">
        <v>2.5</v>
      </c>
      <c r="I1234">
        <v>10</v>
      </c>
      <c r="J1234">
        <v>50</v>
      </c>
      <c r="K1234" t="s">
        <v>3178</v>
      </c>
      <c r="L1234" s="6" t="s">
        <v>1356</v>
      </c>
      <c r="M1234" s="6">
        <v>5</v>
      </c>
      <c r="N1234" s="6">
        <v>2</v>
      </c>
      <c r="O1234">
        <v>500</v>
      </c>
      <c r="P1234">
        <v>202605</v>
      </c>
      <c r="Q1234" t="s">
        <v>378</v>
      </c>
      <c r="R1234" t="s">
        <v>1353</v>
      </c>
      <c r="S1234">
        <f>Consulta1[[#This Row],[min_port]]/100</f>
        <v>1.3000000000000001E-2</v>
      </c>
      <c r="T1234" s="252">
        <f>Consulta1[[#This Row],[TETO_COMERCIAL]]/100</f>
        <v>2.5000000000000001E-2</v>
      </c>
      <c r="U1234" t="b">
        <f>Consulta1[[#This Row],[TETO_COMERCIAL_%]]=Consulta1[[#This Row],[TAXA]]</f>
        <v>0</v>
      </c>
      <c r="V1234" t="str">
        <f>CONCATENATE(Consulta1[[#This Row],[MES_ALTERACAO]],Consulta1[[#This Row],[VIRADA]])</f>
        <v>2026055</v>
      </c>
      <c r="W1234">
        <f>VLOOKUP(Consulta1[[#This Row],[Coluna2]],CALENDARIO!$J:$K,2,FALSE)</f>
        <v>2</v>
      </c>
    </row>
    <row r="1235" spans="1:23" x14ac:dyDescent="0.25">
      <c r="A1235" t="s">
        <v>363</v>
      </c>
      <c r="B1235" t="str">
        <f>CONCATENATE(Consulta1[[#This Row],[id]],Consulta1[[#This Row],[EMPREGADOR]])</f>
        <v>12PREF SALVADOR CLT</v>
      </c>
      <c r="C1235" s="6">
        <f>IF(A1235=A1234,C1234+1,1)</f>
        <v>12</v>
      </c>
      <c r="D1235" t="s">
        <v>3179</v>
      </c>
      <c r="E1235" s="101">
        <v>1.6500000000000001E-2</v>
      </c>
      <c r="F1235" s="6">
        <v>120</v>
      </c>
      <c r="G1235" t="s">
        <v>1349</v>
      </c>
      <c r="H1235" s="82">
        <v>2.5</v>
      </c>
      <c r="I1235">
        <v>10</v>
      </c>
      <c r="J1235">
        <v>50</v>
      </c>
      <c r="K1235" t="s">
        <v>3180</v>
      </c>
      <c r="L1235" s="6" t="s">
        <v>1356</v>
      </c>
      <c r="M1235" s="6">
        <v>5</v>
      </c>
      <c r="N1235" s="6">
        <v>2</v>
      </c>
      <c r="O1235">
        <v>40000</v>
      </c>
      <c r="P1235">
        <v>202605</v>
      </c>
      <c r="Q1235" t="s">
        <v>378</v>
      </c>
      <c r="R1235" t="s">
        <v>1353</v>
      </c>
      <c r="S1235">
        <f>Consulta1[[#This Row],[min_port]]/100</f>
        <v>1.3000000000000001E-2</v>
      </c>
      <c r="T1235" s="252">
        <f>Consulta1[[#This Row],[TETO_COMERCIAL]]/100</f>
        <v>2.5000000000000001E-2</v>
      </c>
      <c r="U1235" t="b">
        <f>Consulta1[[#This Row],[TETO_COMERCIAL_%]]=Consulta1[[#This Row],[TAXA]]</f>
        <v>0</v>
      </c>
      <c r="V1235" t="str">
        <f>CONCATENATE(Consulta1[[#This Row],[MES_ALTERACAO]],Consulta1[[#This Row],[VIRADA]])</f>
        <v>2026055</v>
      </c>
      <c r="W1235">
        <f>VLOOKUP(Consulta1[[#This Row],[Coluna2]],CALENDARIO!$J:$K,2,FALSE)</f>
        <v>2</v>
      </c>
    </row>
    <row r="1236" spans="1:23" x14ac:dyDescent="0.25">
      <c r="A1236" t="s">
        <v>363</v>
      </c>
      <c r="B1236" t="str">
        <f>CONCATENATE(Consulta1[[#This Row],[id]],Consulta1[[#This Row],[EMPREGADOR]])</f>
        <v>13PREF SALVADOR CLT</v>
      </c>
      <c r="C1236" s="6">
        <f>IF(A1236=A1235,C1235+1,1)</f>
        <v>13</v>
      </c>
      <c r="D1236" t="s">
        <v>3181</v>
      </c>
      <c r="E1236" s="101">
        <v>1.6399999999999998E-2</v>
      </c>
      <c r="F1236" s="6">
        <v>120</v>
      </c>
      <c r="G1236" t="s">
        <v>1349</v>
      </c>
      <c r="H1236" s="82">
        <v>2.5</v>
      </c>
      <c r="I1236">
        <v>10</v>
      </c>
      <c r="J1236">
        <v>50</v>
      </c>
      <c r="K1236" t="s">
        <v>3182</v>
      </c>
      <c r="L1236" s="6" t="s">
        <v>1356</v>
      </c>
      <c r="M1236" s="6">
        <v>5</v>
      </c>
      <c r="N1236" s="6">
        <v>2</v>
      </c>
      <c r="O1236">
        <v>50000</v>
      </c>
      <c r="P1236">
        <v>202605</v>
      </c>
      <c r="Q1236" t="s">
        <v>378</v>
      </c>
      <c r="R1236" t="s">
        <v>1353</v>
      </c>
      <c r="S1236">
        <f>Consulta1[[#This Row],[min_port]]/100</f>
        <v>1.3000000000000001E-2</v>
      </c>
      <c r="T1236" s="252">
        <f>Consulta1[[#This Row],[TETO_COMERCIAL]]/100</f>
        <v>2.5000000000000001E-2</v>
      </c>
      <c r="U1236" t="b">
        <f>Consulta1[[#This Row],[TETO_COMERCIAL_%]]=Consulta1[[#This Row],[TAXA]]</f>
        <v>0</v>
      </c>
      <c r="V1236" t="str">
        <f>CONCATENATE(Consulta1[[#This Row],[MES_ALTERACAO]],Consulta1[[#This Row],[VIRADA]])</f>
        <v>2026055</v>
      </c>
      <c r="W1236">
        <f>VLOOKUP(Consulta1[[#This Row],[Coluna2]],CALENDARIO!$J:$K,2,FALSE)</f>
        <v>2</v>
      </c>
    </row>
    <row r="1237" spans="1:23" x14ac:dyDescent="0.25">
      <c r="A1237" t="s">
        <v>364</v>
      </c>
      <c r="B1237" t="str">
        <f>CONCATENATE(Consulta1[[#This Row],[id]],Consulta1[[#This Row],[EMPREGADOR]])</f>
        <v>1PREF SALVADOR EST</v>
      </c>
      <c r="C1237" s="6">
        <f>IF(A1237=A1236,C1236+1,1)</f>
        <v>1</v>
      </c>
      <c r="D1237" t="s">
        <v>3183</v>
      </c>
      <c r="E1237" s="101">
        <v>2.5000000000000001E-2</v>
      </c>
      <c r="F1237" s="6">
        <v>120</v>
      </c>
      <c r="G1237" t="s">
        <v>1349</v>
      </c>
      <c r="H1237" s="82">
        <v>2.5</v>
      </c>
      <c r="I1237">
        <v>10</v>
      </c>
      <c r="J1237">
        <v>50</v>
      </c>
      <c r="K1237" t="s">
        <v>3184</v>
      </c>
      <c r="L1237" s="6" t="s">
        <v>1356</v>
      </c>
      <c r="M1237" s="6">
        <v>5</v>
      </c>
      <c r="N1237" s="6">
        <v>2</v>
      </c>
      <c r="O1237">
        <v>500</v>
      </c>
      <c r="P1237">
        <v>202605</v>
      </c>
      <c r="Q1237" t="s">
        <v>378</v>
      </c>
      <c r="R1237" t="s">
        <v>1353</v>
      </c>
      <c r="S1237">
        <f>Consulta1[[#This Row],[min_port]]/100</f>
        <v>1.3000000000000001E-2</v>
      </c>
      <c r="T1237" s="252">
        <f>Consulta1[[#This Row],[TETO_COMERCIAL]]/100</f>
        <v>2.5000000000000001E-2</v>
      </c>
      <c r="U1237" t="b">
        <f>Consulta1[[#This Row],[TETO_COMERCIAL_%]]=Consulta1[[#This Row],[TAXA]]</f>
        <v>1</v>
      </c>
      <c r="V1237" t="str">
        <f>CONCATENATE(Consulta1[[#This Row],[MES_ALTERACAO]],Consulta1[[#This Row],[VIRADA]])</f>
        <v>2026055</v>
      </c>
      <c r="W1237">
        <f>VLOOKUP(Consulta1[[#This Row],[Coluna2]],CALENDARIO!$J:$K,2,FALSE)</f>
        <v>2</v>
      </c>
    </row>
    <row r="1238" spans="1:23" x14ac:dyDescent="0.25">
      <c r="A1238" t="s">
        <v>364</v>
      </c>
      <c r="B1238" t="str">
        <f>CONCATENATE(Consulta1[[#This Row],[id]],Consulta1[[#This Row],[EMPREGADOR]])</f>
        <v>2PREF SALVADOR EST</v>
      </c>
      <c r="C1238" s="6">
        <f>IF(A1238=A1237,C1237+1,1)</f>
        <v>2</v>
      </c>
      <c r="D1238" t="s">
        <v>3185</v>
      </c>
      <c r="E1238" s="101">
        <v>2.4E-2</v>
      </c>
      <c r="F1238" s="6">
        <v>120</v>
      </c>
      <c r="G1238" t="s">
        <v>1349</v>
      </c>
      <c r="H1238" s="82">
        <v>2.5</v>
      </c>
      <c r="I1238">
        <v>10</v>
      </c>
      <c r="J1238">
        <v>50</v>
      </c>
      <c r="K1238" t="s">
        <v>3186</v>
      </c>
      <c r="L1238" s="6" t="s">
        <v>1356</v>
      </c>
      <c r="M1238" s="6">
        <v>5</v>
      </c>
      <c r="N1238" s="6">
        <v>2</v>
      </c>
      <c r="O1238">
        <v>500</v>
      </c>
      <c r="P1238">
        <v>202605</v>
      </c>
      <c r="Q1238" t="s">
        <v>378</v>
      </c>
      <c r="R1238" t="s">
        <v>1353</v>
      </c>
      <c r="S1238">
        <f>Consulta1[[#This Row],[min_port]]/100</f>
        <v>1.3000000000000001E-2</v>
      </c>
      <c r="T1238" s="252">
        <f>Consulta1[[#This Row],[TETO_COMERCIAL]]/100</f>
        <v>2.5000000000000001E-2</v>
      </c>
      <c r="U1238" t="b">
        <f>Consulta1[[#This Row],[TETO_COMERCIAL_%]]=Consulta1[[#This Row],[TAXA]]</f>
        <v>0</v>
      </c>
      <c r="V1238" t="str">
        <f>CONCATENATE(Consulta1[[#This Row],[MES_ALTERACAO]],Consulta1[[#This Row],[VIRADA]])</f>
        <v>2026055</v>
      </c>
      <c r="W1238">
        <f>VLOOKUP(Consulta1[[#This Row],[Coluna2]],CALENDARIO!$J:$K,2,FALSE)</f>
        <v>2</v>
      </c>
    </row>
    <row r="1239" spans="1:23" x14ac:dyDescent="0.25">
      <c r="A1239" t="s">
        <v>364</v>
      </c>
      <c r="B1239" t="str">
        <f>CONCATENATE(Consulta1[[#This Row],[id]],Consulta1[[#This Row],[EMPREGADOR]])</f>
        <v>3PREF SALVADOR EST</v>
      </c>
      <c r="C1239" s="6">
        <f>IF(A1239=A1238,C1238+1,1)</f>
        <v>3</v>
      </c>
      <c r="D1239" t="s">
        <v>3187</v>
      </c>
      <c r="E1239" s="101">
        <v>2.3E-2</v>
      </c>
      <c r="F1239" s="6">
        <v>120</v>
      </c>
      <c r="G1239" t="s">
        <v>1349</v>
      </c>
      <c r="H1239" s="82">
        <v>2.5</v>
      </c>
      <c r="I1239">
        <v>10</v>
      </c>
      <c r="J1239">
        <v>50</v>
      </c>
      <c r="K1239" t="s">
        <v>3188</v>
      </c>
      <c r="L1239" s="6" t="s">
        <v>1356</v>
      </c>
      <c r="M1239" s="6">
        <v>5</v>
      </c>
      <c r="N1239" s="6">
        <v>2</v>
      </c>
      <c r="O1239">
        <v>500</v>
      </c>
      <c r="P1239">
        <v>202605</v>
      </c>
      <c r="Q1239" t="s">
        <v>378</v>
      </c>
      <c r="R1239" t="s">
        <v>1353</v>
      </c>
      <c r="S1239">
        <f>Consulta1[[#This Row],[min_port]]/100</f>
        <v>1.3000000000000001E-2</v>
      </c>
      <c r="T1239" s="252">
        <f>Consulta1[[#This Row],[TETO_COMERCIAL]]/100</f>
        <v>2.5000000000000001E-2</v>
      </c>
      <c r="U1239" t="b">
        <f>Consulta1[[#This Row],[TETO_COMERCIAL_%]]=Consulta1[[#This Row],[TAXA]]</f>
        <v>0</v>
      </c>
      <c r="V1239" t="str">
        <f>CONCATENATE(Consulta1[[#This Row],[MES_ALTERACAO]],Consulta1[[#This Row],[VIRADA]])</f>
        <v>2026055</v>
      </c>
      <c r="W1239">
        <f>VLOOKUP(Consulta1[[#This Row],[Coluna2]],CALENDARIO!$J:$K,2,FALSE)</f>
        <v>2</v>
      </c>
    </row>
    <row r="1240" spans="1:23" x14ac:dyDescent="0.25">
      <c r="A1240" t="s">
        <v>364</v>
      </c>
      <c r="B1240" t="str">
        <f>CONCATENATE(Consulta1[[#This Row],[id]],Consulta1[[#This Row],[EMPREGADOR]])</f>
        <v>4PREF SALVADOR EST</v>
      </c>
      <c r="C1240" s="6">
        <f>IF(A1240=A1239,C1239+1,1)</f>
        <v>4</v>
      </c>
      <c r="D1240" t="s">
        <v>3189</v>
      </c>
      <c r="E1240" s="101">
        <v>2.2000000000000002E-2</v>
      </c>
      <c r="F1240" s="6">
        <v>120</v>
      </c>
      <c r="G1240" t="s">
        <v>1349</v>
      </c>
      <c r="H1240" s="82">
        <v>2.5</v>
      </c>
      <c r="I1240">
        <v>10</v>
      </c>
      <c r="J1240">
        <v>50</v>
      </c>
      <c r="K1240" t="s">
        <v>3190</v>
      </c>
      <c r="L1240" s="6" t="s">
        <v>1356</v>
      </c>
      <c r="M1240" s="6">
        <v>5</v>
      </c>
      <c r="N1240" s="6">
        <v>2</v>
      </c>
      <c r="O1240">
        <v>500</v>
      </c>
      <c r="P1240">
        <v>202605</v>
      </c>
      <c r="Q1240" t="s">
        <v>378</v>
      </c>
      <c r="R1240" t="s">
        <v>1353</v>
      </c>
      <c r="S1240">
        <f>Consulta1[[#This Row],[min_port]]/100</f>
        <v>1.3000000000000001E-2</v>
      </c>
      <c r="T1240" s="252">
        <f>Consulta1[[#This Row],[TETO_COMERCIAL]]/100</f>
        <v>2.5000000000000001E-2</v>
      </c>
      <c r="U1240" t="b">
        <f>Consulta1[[#This Row],[TETO_COMERCIAL_%]]=Consulta1[[#This Row],[TAXA]]</f>
        <v>0</v>
      </c>
      <c r="V1240" t="str">
        <f>CONCATENATE(Consulta1[[#This Row],[MES_ALTERACAO]],Consulta1[[#This Row],[VIRADA]])</f>
        <v>2026055</v>
      </c>
      <c r="W1240">
        <f>VLOOKUP(Consulta1[[#This Row],[Coluna2]],CALENDARIO!$J:$K,2,FALSE)</f>
        <v>2</v>
      </c>
    </row>
    <row r="1241" spans="1:23" x14ac:dyDescent="0.25">
      <c r="A1241" t="s">
        <v>364</v>
      </c>
      <c r="B1241" t="str">
        <f>CONCATENATE(Consulta1[[#This Row],[id]],Consulta1[[#This Row],[EMPREGADOR]])</f>
        <v>5PREF SALVADOR EST</v>
      </c>
      <c r="C1241" s="6">
        <f>IF(A1241=A1240,C1240+1,1)</f>
        <v>5</v>
      </c>
      <c r="D1241" t="s">
        <v>3191</v>
      </c>
      <c r="E1241" s="101">
        <v>2.1000000000000001E-2</v>
      </c>
      <c r="F1241" s="6">
        <v>120</v>
      </c>
      <c r="G1241" t="s">
        <v>1349</v>
      </c>
      <c r="H1241" s="82">
        <v>2.5</v>
      </c>
      <c r="I1241">
        <v>10</v>
      </c>
      <c r="J1241">
        <v>50</v>
      </c>
      <c r="K1241" t="s">
        <v>3192</v>
      </c>
      <c r="L1241" s="6" t="s">
        <v>1356</v>
      </c>
      <c r="M1241" s="6">
        <v>5</v>
      </c>
      <c r="N1241" s="6">
        <v>2</v>
      </c>
      <c r="O1241">
        <v>500</v>
      </c>
      <c r="P1241">
        <v>202605</v>
      </c>
      <c r="Q1241" t="s">
        <v>378</v>
      </c>
      <c r="R1241" t="s">
        <v>1353</v>
      </c>
      <c r="S1241">
        <f>Consulta1[[#This Row],[min_port]]/100</f>
        <v>1.3000000000000001E-2</v>
      </c>
      <c r="T1241" s="252">
        <f>Consulta1[[#This Row],[TETO_COMERCIAL]]/100</f>
        <v>2.5000000000000001E-2</v>
      </c>
      <c r="U1241" t="b">
        <f>Consulta1[[#This Row],[TETO_COMERCIAL_%]]=Consulta1[[#This Row],[TAXA]]</f>
        <v>0</v>
      </c>
      <c r="V1241" t="str">
        <f>CONCATENATE(Consulta1[[#This Row],[MES_ALTERACAO]],Consulta1[[#This Row],[VIRADA]])</f>
        <v>2026055</v>
      </c>
      <c r="W1241">
        <f>VLOOKUP(Consulta1[[#This Row],[Coluna2]],CALENDARIO!$J:$K,2,FALSE)</f>
        <v>2</v>
      </c>
    </row>
    <row r="1242" spans="1:23" x14ac:dyDescent="0.25">
      <c r="A1242" t="s">
        <v>364</v>
      </c>
      <c r="B1242" t="str">
        <f>CONCATENATE(Consulta1[[#This Row],[id]],Consulta1[[#This Row],[EMPREGADOR]])</f>
        <v>6PREF SALVADOR EST</v>
      </c>
      <c r="C1242" s="6">
        <f>IF(A1242=A1241,C1241+1,1)</f>
        <v>6</v>
      </c>
      <c r="D1242" t="s">
        <v>3193</v>
      </c>
      <c r="E1242" s="101">
        <v>0.02</v>
      </c>
      <c r="F1242" s="6">
        <v>120</v>
      </c>
      <c r="G1242" t="s">
        <v>1349</v>
      </c>
      <c r="H1242" s="82">
        <v>2.5</v>
      </c>
      <c r="I1242">
        <v>10</v>
      </c>
      <c r="J1242">
        <v>50</v>
      </c>
      <c r="K1242" t="s">
        <v>3194</v>
      </c>
      <c r="L1242" s="6" t="s">
        <v>1356</v>
      </c>
      <c r="M1242" s="6">
        <v>5</v>
      </c>
      <c r="N1242" s="6">
        <v>2</v>
      </c>
      <c r="O1242">
        <v>500</v>
      </c>
      <c r="P1242">
        <v>202605</v>
      </c>
      <c r="Q1242" t="s">
        <v>378</v>
      </c>
      <c r="R1242" t="s">
        <v>1353</v>
      </c>
      <c r="S1242">
        <f>Consulta1[[#This Row],[min_port]]/100</f>
        <v>1.3000000000000001E-2</v>
      </c>
      <c r="T1242" s="252">
        <f>Consulta1[[#This Row],[TETO_COMERCIAL]]/100</f>
        <v>2.5000000000000001E-2</v>
      </c>
      <c r="U1242" t="b">
        <f>Consulta1[[#This Row],[TETO_COMERCIAL_%]]=Consulta1[[#This Row],[TAXA]]</f>
        <v>0</v>
      </c>
      <c r="V1242" t="str">
        <f>CONCATENATE(Consulta1[[#This Row],[MES_ALTERACAO]],Consulta1[[#This Row],[VIRADA]])</f>
        <v>2026055</v>
      </c>
      <c r="W1242">
        <f>VLOOKUP(Consulta1[[#This Row],[Coluna2]],CALENDARIO!$J:$K,2,FALSE)</f>
        <v>2</v>
      </c>
    </row>
    <row r="1243" spans="1:23" x14ac:dyDescent="0.25">
      <c r="A1243" t="s">
        <v>364</v>
      </c>
      <c r="B1243" t="str">
        <f>CONCATENATE(Consulta1[[#This Row],[id]],Consulta1[[#This Row],[EMPREGADOR]])</f>
        <v>7PREF SALVADOR EST</v>
      </c>
      <c r="C1243" s="6">
        <f>IF(A1243=A1242,C1242+1,1)</f>
        <v>7</v>
      </c>
      <c r="D1243" t="s">
        <v>3195</v>
      </c>
      <c r="E1243" s="101">
        <v>1.9E-2</v>
      </c>
      <c r="F1243" s="6">
        <v>120</v>
      </c>
      <c r="G1243" t="s">
        <v>1349</v>
      </c>
      <c r="H1243" s="82">
        <v>2.5</v>
      </c>
      <c r="I1243">
        <v>10</v>
      </c>
      <c r="J1243">
        <v>50</v>
      </c>
      <c r="K1243" t="s">
        <v>3196</v>
      </c>
      <c r="L1243" s="6" t="s">
        <v>1356</v>
      </c>
      <c r="M1243" s="6">
        <v>5</v>
      </c>
      <c r="N1243" s="6">
        <v>2</v>
      </c>
      <c r="O1243">
        <v>500</v>
      </c>
      <c r="P1243">
        <v>202605</v>
      </c>
      <c r="Q1243" t="s">
        <v>378</v>
      </c>
      <c r="R1243" t="s">
        <v>1353</v>
      </c>
      <c r="S1243">
        <f>Consulta1[[#This Row],[min_port]]/100</f>
        <v>1.3000000000000001E-2</v>
      </c>
      <c r="T1243" s="252">
        <f>Consulta1[[#This Row],[TETO_COMERCIAL]]/100</f>
        <v>2.5000000000000001E-2</v>
      </c>
      <c r="U1243" t="b">
        <f>Consulta1[[#This Row],[TETO_COMERCIAL_%]]=Consulta1[[#This Row],[TAXA]]</f>
        <v>0</v>
      </c>
      <c r="V1243" t="str">
        <f>CONCATENATE(Consulta1[[#This Row],[MES_ALTERACAO]],Consulta1[[#This Row],[VIRADA]])</f>
        <v>2026055</v>
      </c>
      <c r="W1243">
        <f>VLOOKUP(Consulta1[[#This Row],[Coluna2]],CALENDARIO!$J:$K,2,FALSE)</f>
        <v>2</v>
      </c>
    </row>
    <row r="1244" spans="1:23" x14ac:dyDescent="0.25">
      <c r="A1244" t="s">
        <v>364</v>
      </c>
      <c r="B1244" t="str">
        <f>CONCATENATE(Consulta1[[#This Row],[id]],Consulta1[[#This Row],[EMPREGADOR]])</f>
        <v>8PREF SALVADOR EST</v>
      </c>
      <c r="C1244" s="6">
        <f>IF(A1244=A1243,C1243+1,1)</f>
        <v>8</v>
      </c>
      <c r="D1244" t="s">
        <v>3197</v>
      </c>
      <c r="E1244" s="101">
        <v>1.8500000000000003E-2</v>
      </c>
      <c r="F1244" s="6">
        <v>120</v>
      </c>
      <c r="G1244" t="s">
        <v>1349</v>
      </c>
      <c r="H1244" s="82">
        <v>2.5</v>
      </c>
      <c r="I1244">
        <v>10</v>
      </c>
      <c r="J1244">
        <v>50</v>
      </c>
      <c r="K1244" t="s">
        <v>3198</v>
      </c>
      <c r="L1244" s="6" t="s">
        <v>1356</v>
      </c>
      <c r="M1244" s="6">
        <v>5</v>
      </c>
      <c r="N1244" s="6">
        <v>2</v>
      </c>
      <c r="O1244">
        <v>500</v>
      </c>
      <c r="P1244">
        <v>202605</v>
      </c>
      <c r="Q1244" t="s">
        <v>378</v>
      </c>
      <c r="R1244" t="s">
        <v>1353</v>
      </c>
      <c r="S1244">
        <f>Consulta1[[#This Row],[min_port]]/100</f>
        <v>1.3000000000000001E-2</v>
      </c>
      <c r="T1244" s="252">
        <f>Consulta1[[#This Row],[TETO_COMERCIAL]]/100</f>
        <v>2.5000000000000001E-2</v>
      </c>
      <c r="U1244" t="b">
        <f>Consulta1[[#This Row],[TETO_COMERCIAL_%]]=Consulta1[[#This Row],[TAXA]]</f>
        <v>0</v>
      </c>
      <c r="V1244" t="str">
        <f>CONCATENATE(Consulta1[[#This Row],[MES_ALTERACAO]],Consulta1[[#This Row],[VIRADA]])</f>
        <v>2026055</v>
      </c>
      <c r="W1244">
        <f>VLOOKUP(Consulta1[[#This Row],[Coluna2]],CALENDARIO!$J:$K,2,FALSE)</f>
        <v>2</v>
      </c>
    </row>
    <row r="1245" spans="1:23" x14ac:dyDescent="0.25">
      <c r="A1245" t="s">
        <v>364</v>
      </c>
      <c r="B1245" t="str">
        <f>CONCATENATE(Consulta1[[#This Row],[id]],Consulta1[[#This Row],[EMPREGADOR]])</f>
        <v>9PREF SALVADOR EST</v>
      </c>
      <c r="C1245" s="6">
        <f>IF(A1245=A1244,C1244+1,1)</f>
        <v>9</v>
      </c>
      <c r="D1245" t="s">
        <v>3199</v>
      </c>
      <c r="E1245" s="101">
        <v>1.8000000000000002E-2</v>
      </c>
      <c r="F1245" s="6">
        <v>120</v>
      </c>
      <c r="G1245" t="s">
        <v>1349</v>
      </c>
      <c r="H1245" s="82">
        <v>2.5</v>
      </c>
      <c r="I1245">
        <v>10</v>
      </c>
      <c r="J1245">
        <v>50</v>
      </c>
      <c r="K1245" t="s">
        <v>3200</v>
      </c>
      <c r="L1245" s="6" t="s">
        <v>1356</v>
      </c>
      <c r="M1245" s="6">
        <v>5</v>
      </c>
      <c r="N1245" s="6">
        <v>2</v>
      </c>
      <c r="O1245">
        <v>500</v>
      </c>
      <c r="P1245">
        <v>202605</v>
      </c>
      <c r="Q1245" t="s">
        <v>378</v>
      </c>
      <c r="R1245" t="s">
        <v>1353</v>
      </c>
      <c r="S1245">
        <f>Consulta1[[#This Row],[min_port]]/100</f>
        <v>1.3000000000000001E-2</v>
      </c>
      <c r="T1245" s="252">
        <f>Consulta1[[#This Row],[TETO_COMERCIAL]]/100</f>
        <v>2.5000000000000001E-2</v>
      </c>
      <c r="U1245" t="b">
        <f>Consulta1[[#This Row],[TETO_COMERCIAL_%]]=Consulta1[[#This Row],[TAXA]]</f>
        <v>0</v>
      </c>
      <c r="V1245" t="str">
        <f>CONCATENATE(Consulta1[[#This Row],[MES_ALTERACAO]],Consulta1[[#This Row],[VIRADA]])</f>
        <v>2026055</v>
      </c>
      <c r="W1245">
        <f>VLOOKUP(Consulta1[[#This Row],[Coluna2]],CALENDARIO!$J:$K,2,FALSE)</f>
        <v>2</v>
      </c>
    </row>
    <row r="1246" spans="1:23" x14ac:dyDescent="0.25">
      <c r="A1246" t="s">
        <v>364</v>
      </c>
      <c r="B1246" t="str">
        <f>CONCATENATE(Consulta1[[#This Row],[id]],Consulta1[[#This Row],[EMPREGADOR]])</f>
        <v>10PREF SALVADOR EST</v>
      </c>
      <c r="C1246" s="6">
        <f>IF(A1246=A1245,C1245+1,1)</f>
        <v>10</v>
      </c>
      <c r="D1246" t="s">
        <v>3201</v>
      </c>
      <c r="E1246" s="101">
        <v>1.7600000000000001E-2</v>
      </c>
      <c r="F1246" s="6">
        <v>120</v>
      </c>
      <c r="G1246" t="s">
        <v>1349</v>
      </c>
      <c r="H1246" s="82">
        <v>2.5</v>
      </c>
      <c r="I1246">
        <v>10</v>
      </c>
      <c r="J1246">
        <v>50</v>
      </c>
      <c r="K1246" t="s">
        <v>3202</v>
      </c>
      <c r="L1246" s="6" t="s">
        <v>1356</v>
      </c>
      <c r="M1246" s="6">
        <v>5</v>
      </c>
      <c r="N1246" s="6">
        <v>2</v>
      </c>
      <c r="O1246">
        <v>500</v>
      </c>
      <c r="P1246">
        <v>202605</v>
      </c>
      <c r="Q1246" t="s">
        <v>378</v>
      </c>
      <c r="R1246" t="s">
        <v>1353</v>
      </c>
      <c r="S1246">
        <f>Consulta1[[#This Row],[min_port]]/100</f>
        <v>1.3000000000000001E-2</v>
      </c>
      <c r="T1246" s="252">
        <f>Consulta1[[#This Row],[TETO_COMERCIAL]]/100</f>
        <v>2.5000000000000001E-2</v>
      </c>
      <c r="U1246" t="b">
        <f>Consulta1[[#This Row],[TETO_COMERCIAL_%]]=Consulta1[[#This Row],[TAXA]]</f>
        <v>0</v>
      </c>
      <c r="V1246" t="str">
        <f>CONCATENATE(Consulta1[[#This Row],[MES_ALTERACAO]],Consulta1[[#This Row],[VIRADA]])</f>
        <v>2026055</v>
      </c>
      <c r="W1246">
        <f>VLOOKUP(Consulta1[[#This Row],[Coluna2]],CALENDARIO!$J:$K,2,FALSE)</f>
        <v>2</v>
      </c>
    </row>
    <row r="1247" spans="1:23" x14ac:dyDescent="0.25">
      <c r="A1247" t="s">
        <v>364</v>
      </c>
      <c r="B1247" t="str">
        <f>CONCATENATE(Consulta1[[#This Row],[id]],Consulta1[[#This Row],[EMPREGADOR]])</f>
        <v>11PREF SALVADOR EST</v>
      </c>
      <c r="C1247" s="6">
        <f>IF(A1247=A1246,C1246+1,1)</f>
        <v>11</v>
      </c>
      <c r="D1247" t="s">
        <v>3203</v>
      </c>
      <c r="E1247" s="101">
        <v>1.7100000000000001E-2</v>
      </c>
      <c r="F1247" s="6">
        <v>120</v>
      </c>
      <c r="G1247" t="s">
        <v>1349</v>
      </c>
      <c r="H1247" s="82">
        <v>2.5</v>
      </c>
      <c r="I1247">
        <v>10</v>
      </c>
      <c r="J1247">
        <v>50</v>
      </c>
      <c r="K1247" t="s">
        <v>3204</v>
      </c>
      <c r="L1247" s="6" t="s">
        <v>1356</v>
      </c>
      <c r="M1247" s="6">
        <v>5</v>
      </c>
      <c r="N1247" s="6">
        <v>2</v>
      </c>
      <c r="O1247">
        <v>500</v>
      </c>
      <c r="P1247">
        <v>202605</v>
      </c>
      <c r="Q1247" t="s">
        <v>378</v>
      </c>
      <c r="R1247" t="s">
        <v>1353</v>
      </c>
      <c r="S1247">
        <f>Consulta1[[#This Row],[min_port]]/100</f>
        <v>1.3000000000000001E-2</v>
      </c>
      <c r="T1247" s="252">
        <f>Consulta1[[#This Row],[TETO_COMERCIAL]]/100</f>
        <v>2.5000000000000001E-2</v>
      </c>
      <c r="U1247" t="b">
        <f>Consulta1[[#This Row],[TETO_COMERCIAL_%]]=Consulta1[[#This Row],[TAXA]]</f>
        <v>0</v>
      </c>
      <c r="V1247" t="str">
        <f>CONCATENATE(Consulta1[[#This Row],[MES_ALTERACAO]],Consulta1[[#This Row],[VIRADA]])</f>
        <v>2026055</v>
      </c>
      <c r="W1247">
        <f>VLOOKUP(Consulta1[[#This Row],[Coluna2]],CALENDARIO!$J:$K,2,FALSE)</f>
        <v>2</v>
      </c>
    </row>
    <row r="1248" spans="1:23" x14ac:dyDescent="0.25">
      <c r="A1248" t="s">
        <v>364</v>
      </c>
      <c r="B1248" t="str">
        <f>CONCATENATE(Consulta1[[#This Row],[id]],Consulta1[[#This Row],[EMPREGADOR]])</f>
        <v>12PREF SALVADOR EST</v>
      </c>
      <c r="C1248" s="6">
        <f>IF(A1248=A1247,C1247+1,1)</f>
        <v>12</v>
      </c>
      <c r="D1248" t="s">
        <v>3205</v>
      </c>
      <c r="E1248" s="101">
        <v>1.6500000000000001E-2</v>
      </c>
      <c r="F1248" s="6">
        <v>120</v>
      </c>
      <c r="G1248" t="s">
        <v>1349</v>
      </c>
      <c r="H1248" s="82">
        <v>2.5</v>
      </c>
      <c r="I1248">
        <v>10</v>
      </c>
      <c r="J1248">
        <v>50</v>
      </c>
      <c r="K1248" t="s">
        <v>3206</v>
      </c>
      <c r="L1248" s="6" t="s">
        <v>1356</v>
      </c>
      <c r="M1248" s="6">
        <v>5</v>
      </c>
      <c r="N1248" s="6">
        <v>2</v>
      </c>
      <c r="O1248">
        <v>40000</v>
      </c>
      <c r="P1248">
        <v>202605</v>
      </c>
      <c r="Q1248" t="s">
        <v>378</v>
      </c>
      <c r="R1248" t="s">
        <v>1353</v>
      </c>
      <c r="S1248">
        <f>Consulta1[[#This Row],[min_port]]/100</f>
        <v>1.3000000000000001E-2</v>
      </c>
      <c r="T1248" s="252">
        <f>Consulta1[[#This Row],[TETO_COMERCIAL]]/100</f>
        <v>2.5000000000000001E-2</v>
      </c>
      <c r="U1248" t="b">
        <f>Consulta1[[#This Row],[TETO_COMERCIAL_%]]=Consulta1[[#This Row],[TAXA]]</f>
        <v>0</v>
      </c>
      <c r="V1248" t="str">
        <f>CONCATENATE(Consulta1[[#This Row],[MES_ALTERACAO]],Consulta1[[#This Row],[VIRADA]])</f>
        <v>2026055</v>
      </c>
      <c r="W1248">
        <f>VLOOKUP(Consulta1[[#This Row],[Coluna2]],CALENDARIO!$J:$K,2,FALSE)</f>
        <v>2</v>
      </c>
    </row>
    <row r="1249" spans="1:23" x14ac:dyDescent="0.25">
      <c r="A1249" t="s">
        <v>364</v>
      </c>
      <c r="B1249" t="str">
        <f>CONCATENATE(Consulta1[[#This Row],[id]],Consulta1[[#This Row],[EMPREGADOR]])</f>
        <v>13PREF SALVADOR EST</v>
      </c>
      <c r="C1249" s="6">
        <f>IF(A1249=A1248,C1248+1,1)</f>
        <v>13</v>
      </c>
      <c r="D1249" t="s">
        <v>3207</v>
      </c>
      <c r="E1249" s="101">
        <v>1.6399999999999998E-2</v>
      </c>
      <c r="F1249" s="6">
        <v>120</v>
      </c>
      <c r="G1249" t="s">
        <v>1349</v>
      </c>
      <c r="H1249" s="82">
        <v>2.5</v>
      </c>
      <c r="I1249">
        <v>10</v>
      </c>
      <c r="J1249">
        <v>50</v>
      </c>
      <c r="K1249" t="s">
        <v>3208</v>
      </c>
      <c r="L1249" s="6" t="s">
        <v>1356</v>
      </c>
      <c r="M1249" s="6">
        <v>5</v>
      </c>
      <c r="N1249" s="6">
        <v>2</v>
      </c>
      <c r="O1249">
        <v>50000</v>
      </c>
      <c r="P1249">
        <v>202605</v>
      </c>
      <c r="Q1249" t="s">
        <v>378</v>
      </c>
      <c r="R1249" t="s">
        <v>1353</v>
      </c>
      <c r="S1249">
        <f>Consulta1[[#This Row],[min_port]]/100</f>
        <v>1.3000000000000001E-2</v>
      </c>
      <c r="T1249" s="252">
        <f>Consulta1[[#This Row],[TETO_COMERCIAL]]/100</f>
        <v>2.5000000000000001E-2</v>
      </c>
      <c r="U1249" t="b">
        <f>Consulta1[[#This Row],[TETO_COMERCIAL_%]]=Consulta1[[#This Row],[TAXA]]</f>
        <v>0</v>
      </c>
      <c r="V1249" t="str">
        <f>CONCATENATE(Consulta1[[#This Row],[MES_ALTERACAO]],Consulta1[[#This Row],[VIRADA]])</f>
        <v>2026055</v>
      </c>
      <c r="W1249">
        <f>VLOOKUP(Consulta1[[#This Row],[Coluna2]],CALENDARIO!$J:$K,2,FALSE)</f>
        <v>2</v>
      </c>
    </row>
    <row r="1250" spans="1:23" x14ac:dyDescent="0.25">
      <c r="A1250" t="s">
        <v>365</v>
      </c>
      <c r="B1250" t="str">
        <f>CONCATENATE(Consulta1[[#This Row],[id]],Consulta1[[#This Row],[EMPREGADOR]])</f>
        <v>1PREF SALVADOR INAT</v>
      </c>
      <c r="C1250" s="6">
        <f>IF(A1250=A1249,C1249+1,1)</f>
        <v>1</v>
      </c>
      <c r="D1250" t="s">
        <v>3209</v>
      </c>
      <c r="E1250" s="101">
        <v>2.5000000000000001E-2</v>
      </c>
      <c r="F1250" s="6">
        <v>120</v>
      </c>
      <c r="G1250" t="s">
        <v>1349</v>
      </c>
      <c r="H1250" s="82">
        <v>2.5</v>
      </c>
      <c r="I1250">
        <v>10</v>
      </c>
      <c r="J1250">
        <v>50</v>
      </c>
      <c r="K1250" t="s">
        <v>3210</v>
      </c>
      <c r="L1250" s="6" t="s">
        <v>1356</v>
      </c>
      <c r="M1250" s="6">
        <v>5</v>
      </c>
      <c r="N1250" s="6">
        <v>2</v>
      </c>
      <c r="O1250">
        <v>500</v>
      </c>
      <c r="P1250">
        <v>202605</v>
      </c>
      <c r="Q1250" t="s">
        <v>378</v>
      </c>
      <c r="R1250" t="s">
        <v>1353</v>
      </c>
      <c r="S1250">
        <f>Consulta1[[#This Row],[min_port]]/100</f>
        <v>1.3000000000000001E-2</v>
      </c>
      <c r="T1250" s="252">
        <f>Consulta1[[#This Row],[TETO_COMERCIAL]]/100</f>
        <v>2.5000000000000001E-2</v>
      </c>
      <c r="U1250" t="b">
        <f>Consulta1[[#This Row],[TETO_COMERCIAL_%]]=Consulta1[[#This Row],[TAXA]]</f>
        <v>1</v>
      </c>
      <c r="V1250" t="str">
        <f>CONCATENATE(Consulta1[[#This Row],[MES_ALTERACAO]],Consulta1[[#This Row],[VIRADA]])</f>
        <v>2026055</v>
      </c>
      <c r="W1250">
        <f>VLOOKUP(Consulta1[[#This Row],[Coluna2]],CALENDARIO!$J:$K,2,FALSE)</f>
        <v>2</v>
      </c>
    </row>
    <row r="1251" spans="1:23" x14ac:dyDescent="0.25">
      <c r="A1251" t="s">
        <v>365</v>
      </c>
      <c r="B1251" t="str">
        <f>CONCATENATE(Consulta1[[#This Row],[id]],Consulta1[[#This Row],[EMPREGADOR]])</f>
        <v>2PREF SALVADOR INAT</v>
      </c>
      <c r="C1251" s="6">
        <f>IF(A1251=A1250,C1250+1,1)</f>
        <v>2</v>
      </c>
      <c r="D1251" t="s">
        <v>3211</v>
      </c>
      <c r="E1251" s="101">
        <v>2.4E-2</v>
      </c>
      <c r="F1251" s="6">
        <v>120</v>
      </c>
      <c r="G1251" t="s">
        <v>1349</v>
      </c>
      <c r="H1251" s="82">
        <v>2.5</v>
      </c>
      <c r="I1251">
        <v>10</v>
      </c>
      <c r="J1251">
        <v>50</v>
      </c>
      <c r="K1251" t="s">
        <v>3212</v>
      </c>
      <c r="L1251" s="6" t="s">
        <v>1356</v>
      </c>
      <c r="M1251" s="6">
        <v>5</v>
      </c>
      <c r="N1251" s="6">
        <v>2</v>
      </c>
      <c r="O1251">
        <v>500</v>
      </c>
      <c r="P1251">
        <v>202605</v>
      </c>
      <c r="Q1251" t="s">
        <v>378</v>
      </c>
      <c r="R1251" t="s">
        <v>1353</v>
      </c>
      <c r="S1251">
        <f>Consulta1[[#This Row],[min_port]]/100</f>
        <v>1.3000000000000001E-2</v>
      </c>
      <c r="T1251" s="252">
        <f>Consulta1[[#This Row],[TETO_COMERCIAL]]/100</f>
        <v>2.5000000000000001E-2</v>
      </c>
      <c r="U1251" t="b">
        <f>Consulta1[[#This Row],[TETO_COMERCIAL_%]]=Consulta1[[#This Row],[TAXA]]</f>
        <v>0</v>
      </c>
      <c r="V1251" t="str">
        <f>CONCATENATE(Consulta1[[#This Row],[MES_ALTERACAO]],Consulta1[[#This Row],[VIRADA]])</f>
        <v>2026055</v>
      </c>
      <c r="W1251">
        <f>VLOOKUP(Consulta1[[#This Row],[Coluna2]],CALENDARIO!$J:$K,2,FALSE)</f>
        <v>2</v>
      </c>
    </row>
    <row r="1252" spans="1:23" x14ac:dyDescent="0.25">
      <c r="A1252" t="s">
        <v>365</v>
      </c>
      <c r="B1252" t="str">
        <f>CONCATENATE(Consulta1[[#This Row],[id]],Consulta1[[#This Row],[EMPREGADOR]])</f>
        <v>3PREF SALVADOR INAT</v>
      </c>
      <c r="C1252" s="6">
        <f>IF(A1252=A1251,C1251+1,1)</f>
        <v>3</v>
      </c>
      <c r="D1252" t="s">
        <v>3213</v>
      </c>
      <c r="E1252" s="101">
        <v>2.3E-2</v>
      </c>
      <c r="F1252" s="6">
        <v>120</v>
      </c>
      <c r="G1252" t="s">
        <v>1349</v>
      </c>
      <c r="H1252" s="82">
        <v>2.5</v>
      </c>
      <c r="I1252">
        <v>10</v>
      </c>
      <c r="J1252">
        <v>50</v>
      </c>
      <c r="K1252" t="s">
        <v>3214</v>
      </c>
      <c r="L1252" s="6" t="s">
        <v>1356</v>
      </c>
      <c r="M1252" s="6">
        <v>5</v>
      </c>
      <c r="N1252" s="6">
        <v>2</v>
      </c>
      <c r="O1252">
        <v>500</v>
      </c>
      <c r="P1252">
        <v>202605</v>
      </c>
      <c r="Q1252" t="s">
        <v>378</v>
      </c>
      <c r="R1252" t="s">
        <v>1353</v>
      </c>
      <c r="S1252">
        <f>Consulta1[[#This Row],[min_port]]/100</f>
        <v>1.3000000000000001E-2</v>
      </c>
      <c r="T1252" s="252">
        <f>Consulta1[[#This Row],[TETO_COMERCIAL]]/100</f>
        <v>2.5000000000000001E-2</v>
      </c>
      <c r="U1252" t="b">
        <f>Consulta1[[#This Row],[TETO_COMERCIAL_%]]=Consulta1[[#This Row],[TAXA]]</f>
        <v>0</v>
      </c>
      <c r="V1252" t="str">
        <f>CONCATENATE(Consulta1[[#This Row],[MES_ALTERACAO]],Consulta1[[#This Row],[VIRADA]])</f>
        <v>2026055</v>
      </c>
      <c r="W1252">
        <f>VLOOKUP(Consulta1[[#This Row],[Coluna2]],CALENDARIO!$J:$K,2,FALSE)</f>
        <v>2</v>
      </c>
    </row>
    <row r="1253" spans="1:23" x14ac:dyDescent="0.25">
      <c r="A1253" t="s">
        <v>365</v>
      </c>
      <c r="B1253" t="str">
        <f>CONCATENATE(Consulta1[[#This Row],[id]],Consulta1[[#This Row],[EMPREGADOR]])</f>
        <v>4PREF SALVADOR INAT</v>
      </c>
      <c r="C1253" s="6">
        <f>IF(A1253=A1252,C1252+1,1)</f>
        <v>4</v>
      </c>
      <c r="D1253" t="s">
        <v>3215</v>
      </c>
      <c r="E1253" s="101">
        <v>2.2000000000000002E-2</v>
      </c>
      <c r="F1253" s="6">
        <v>120</v>
      </c>
      <c r="G1253" t="s">
        <v>1349</v>
      </c>
      <c r="H1253" s="82">
        <v>2.5</v>
      </c>
      <c r="I1253">
        <v>10</v>
      </c>
      <c r="J1253">
        <v>50</v>
      </c>
      <c r="K1253" t="s">
        <v>3216</v>
      </c>
      <c r="L1253" s="6" t="s">
        <v>1356</v>
      </c>
      <c r="M1253" s="6">
        <v>5</v>
      </c>
      <c r="N1253" s="6">
        <v>2</v>
      </c>
      <c r="O1253">
        <v>500</v>
      </c>
      <c r="P1253">
        <v>202605</v>
      </c>
      <c r="Q1253" t="s">
        <v>378</v>
      </c>
      <c r="R1253" t="s">
        <v>1353</v>
      </c>
      <c r="S1253">
        <f>Consulta1[[#This Row],[min_port]]/100</f>
        <v>1.3000000000000001E-2</v>
      </c>
      <c r="T1253" s="252">
        <f>Consulta1[[#This Row],[TETO_COMERCIAL]]/100</f>
        <v>2.5000000000000001E-2</v>
      </c>
      <c r="U1253" t="b">
        <f>Consulta1[[#This Row],[TETO_COMERCIAL_%]]=Consulta1[[#This Row],[TAXA]]</f>
        <v>0</v>
      </c>
      <c r="V1253" t="str">
        <f>CONCATENATE(Consulta1[[#This Row],[MES_ALTERACAO]],Consulta1[[#This Row],[VIRADA]])</f>
        <v>2026055</v>
      </c>
      <c r="W1253">
        <f>VLOOKUP(Consulta1[[#This Row],[Coluna2]],CALENDARIO!$J:$K,2,FALSE)</f>
        <v>2</v>
      </c>
    </row>
    <row r="1254" spans="1:23" x14ac:dyDescent="0.25">
      <c r="A1254" t="s">
        <v>365</v>
      </c>
      <c r="B1254" t="str">
        <f>CONCATENATE(Consulta1[[#This Row],[id]],Consulta1[[#This Row],[EMPREGADOR]])</f>
        <v>5PREF SALVADOR INAT</v>
      </c>
      <c r="C1254" s="6">
        <f>IF(A1254=A1253,C1253+1,1)</f>
        <v>5</v>
      </c>
      <c r="D1254" t="s">
        <v>3217</v>
      </c>
      <c r="E1254" s="101">
        <v>2.1000000000000001E-2</v>
      </c>
      <c r="F1254" s="6">
        <v>120</v>
      </c>
      <c r="G1254" t="s">
        <v>1349</v>
      </c>
      <c r="H1254" s="82">
        <v>2.5</v>
      </c>
      <c r="I1254">
        <v>10</v>
      </c>
      <c r="J1254">
        <v>50</v>
      </c>
      <c r="K1254" t="s">
        <v>3218</v>
      </c>
      <c r="L1254" s="6" t="s">
        <v>1356</v>
      </c>
      <c r="M1254" s="6">
        <v>5</v>
      </c>
      <c r="N1254" s="6">
        <v>2</v>
      </c>
      <c r="O1254">
        <v>500</v>
      </c>
      <c r="P1254">
        <v>202605</v>
      </c>
      <c r="Q1254" t="s">
        <v>378</v>
      </c>
      <c r="R1254" t="s">
        <v>1353</v>
      </c>
      <c r="S1254">
        <f>Consulta1[[#This Row],[min_port]]/100</f>
        <v>1.3000000000000001E-2</v>
      </c>
      <c r="T1254" s="252">
        <f>Consulta1[[#This Row],[TETO_COMERCIAL]]/100</f>
        <v>2.5000000000000001E-2</v>
      </c>
      <c r="U1254" t="b">
        <f>Consulta1[[#This Row],[TETO_COMERCIAL_%]]=Consulta1[[#This Row],[TAXA]]</f>
        <v>0</v>
      </c>
      <c r="V1254" t="str">
        <f>CONCATENATE(Consulta1[[#This Row],[MES_ALTERACAO]],Consulta1[[#This Row],[VIRADA]])</f>
        <v>2026055</v>
      </c>
      <c r="W1254">
        <f>VLOOKUP(Consulta1[[#This Row],[Coluna2]],CALENDARIO!$J:$K,2,FALSE)</f>
        <v>2</v>
      </c>
    </row>
    <row r="1255" spans="1:23" x14ac:dyDescent="0.25">
      <c r="A1255" t="s">
        <v>365</v>
      </c>
      <c r="B1255" t="str">
        <f>CONCATENATE(Consulta1[[#This Row],[id]],Consulta1[[#This Row],[EMPREGADOR]])</f>
        <v>6PREF SALVADOR INAT</v>
      </c>
      <c r="C1255" s="6">
        <f>IF(A1255=A1254,C1254+1,1)</f>
        <v>6</v>
      </c>
      <c r="D1255" t="s">
        <v>3219</v>
      </c>
      <c r="E1255" s="101">
        <v>0.02</v>
      </c>
      <c r="F1255" s="6">
        <v>120</v>
      </c>
      <c r="G1255" t="s">
        <v>1349</v>
      </c>
      <c r="H1255" s="82">
        <v>2.5</v>
      </c>
      <c r="I1255">
        <v>10</v>
      </c>
      <c r="J1255">
        <v>50</v>
      </c>
      <c r="K1255" t="s">
        <v>3220</v>
      </c>
      <c r="L1255" s="6" t="s">
        <v>1356</v>
      </c>
      <c r="M1255" s="6">
        <v>5</v>
      </c>
      <c r="N1255" s="6">
        <v>2</v>
      </c>
      <c r="O1255">
        <v>500</v>
      </c>
      <c r="P1255">
        <v>202605</v>
      </c>
      <c r="Q1255" t="s">
        <v>378</v>
      </c>
      <c r="R1255" t="s">
        <v>1353</v>
      </c>
      <c r="S1255">
        <f>Consulta1[[#This Row],[min_port]]/100</f>
        <v>1.3000000000000001E-2</v>
      </c>
      <c r="T1255" s="252">
        <f>Consulta1[[#This Row],[TETO_COMERCIAL]]/100</f>
        <v>2.5000000000000001E-2</v>
      </c>
      <c r="U1255" t="b">
        <f>Consulta1[[#This Row],[TETO_COMERCIAL_%]]=Consulta1[[#This Row],[TAXA]]</f>
        <v>0</v>
      </c>
      <c r="V1255" t="str">
        <f>CONCATENATE(Consulta1[[#This Row],[MES_ALTERACAO]],Consulta1[[#This Row],[VIRADA]])</f>
        <v>2026055</v>
      </c>
      <c r="W1255">
        <f>VLOOKUP(Consulta1[[#This Row],[Coluna2]],CALENDARIO!$J:$K,2,FALSE)</f>
        <v>2</v>
      </c>
    </row>
    <row r="1256" spans="1:23" x14ac:dyDescent="0.25">
      <c r="A1256" t="s">
        <v>365</v>
      </c>
      <c r="B1256" t="str">
        <f>CONCATENATE(Consulta1[[#This Row],[id]],Consulta1[[#This Row],[EMPREGADOR]])</f>
        <v>7PREF SALVADOR INAT</v>
      </c>
      <c r="C1256" s="6">
        <f>IF(A1256=A1255,C1255+1,1)</f>
        <v>7</v>
      </c>
      <c r="D1256" t="s">
        <v>3221</v>
      </c>
      <c r="E1256" s="101">
        <v>1.9E-2</v>
      </c>
      <c r="F1256" s="6">
        <v>120</v>
      </c>
      <c r="G1256" t="s">
        <v>1349</v>
      </c>
      <c r="H1256" s="82">
        <v>2.5</v>
      </c>
      <c r="I1256">
        <v>10</v>
      </c>
      <c r="J1256">
        <v>50</v>
      </c>
      <c r="K1256" t="s">
        <v>3222</v>
      </c>
      <c r="L1256" s="6" t="s">
        <v>1356</v>
      </c>
      <c r="M1256" s="6">
        <v>5</v>
      </c>
      <c r="N1256" s="6">
        <v>2</v>
      </c>
      <c r="O1256">
        <v>500</v>
      </c>
      <c r="P1256">
        <v>202605</v>
      </c>
      <c r="Q1256" t="s">
        <v>378</v>
      </c>
      <c r="R1256" t="s">
        <v>1353</v>
      </c>
      <c r="S1256">
        <f>Consulta1[[#This Row],[min_port]]/100</f>
        <v>1.3000000000000001E-2</v>
      </c>
      <c r="T1256" s="252">
        <f>Consulta1[[#This Row],[TETO_COMERCIAL]]/100</f>
        <v>2.5000000000000001E-2</v>
      </c>
      <c r="U1256" t="b">
        <f>Consulta1[[#This Row],[TETO_COMERCIAL_%]]=Consulta1[[#This Row],[TAXA]]</f>
        <v>0</v>
      </c>
      <c r="V1256" t="str">
        <f>CONCATENATE(Consulta1[[#This Row],[MES_ALTERACAO]],Consulta1[[#This Row],[VIRADA]])</f>
        <v>2026055</v>
      </c>
      <c r="W1256">
        <f>VLOOKUP(Consulta1[[#This Row],[Coluna2]],CALENDARIO!$J:$K,2,FALSE)</f>
        <v>2</v>
      </c>
    </row>
    <row r="1257" spans="1:23" x14ac:dyDescent="0.25">
      <c r="A1257" t="s">
        <v>365</v>
      </c>
      <c r="B1257" t="str">
        <f>CONCATENATE(Consulta1[[#This Row],[id]],Consulta1[[#This Row],[EMPREGADOR]])</f>
        <v>8PREF SALVADOR INAT</v>
      </c>
      <c r="C1257" s="6">
        <f>IF(A1257=A1256,C1256+1,1)</f>
        <v>8</v>
      </c>
      <c r="D1257" t="s">
        <v>3223</v>
      </c>
      <c r="E1257" s="101">
        <v>1.8500000000000003E-2</v>
      </c>
      <c r="F1257" s="6">
        <v>120</v>
      </c>
      <c r="G1257" t="s">
        <v>1349</v>
      </c>
      <c r="H1257" s="82">
        <v>2.5</v>
      </c>
      <c r="I1257">
        <v>10</v>
      </c>
      <c r="J1257">
        <v>50</v>
      </c>
      <c r="K1257" t="s">
        <v>3224</v>
      </c>
      <c r="L1257" s="6" t="s">
        <v>1356</v>
      </c>
      <c r="M1257" s="6">
        <v>5</v>
      </c>
      <c r="N1257" s="6">
        <v>2</v>
      </c>
      <c r="O1257">
        <v>500</v>
      </c>
      <c r="P1257">
        <v>202605</v>
      </c>
      <c r="Q1257" t="s">
        <v>378</v>
      </c>
      <c r="R1257" t="s">
        <v>1353</v>
      </c>
      <c r="S1257">
        <f>Consulta1[[#This Row],[min_port]]/100</f>
        <v>1.3000000000000001E-2</v>
      </c>
      <c r="T1257" s="252">
        <f>Consulta1[[#This Row],[TETO_COMERCIAL]]/100</f>
        <v>2.5000000000000001E-2</v>
      </c>
      <c r="U1257" t="b">
        <f>Consulta1[[#This Row],[TETO_COMERCIAL_%]]=Consulta1[[#This Row],[TAXA]]</f>
        <v>0</v>
      </c>
      <c r="V1257" t="str">
        <f>CONCATENATE(Consulta1[[#This Row],[MES_ALTERACAO]],Consulta1[[#This Row],[VIRADA]])</f>
        <v>2026055</v>
      </c>
      <c r="W1257">
        <f>VLOOKUP(Consulta1[[#This Row],[Coluna2]],CALENDARIO!$J:$K,2,FALSE)</f>
        <v>2</v>
      </c>
    </row>
    <row r="1258" spans="1:23" x14ac:dyDescent="0.25">
      <c r="A1258" t="s">
        <v>365</v>
      </c>
      <c r="B1258" t="str">
        <f>CONCATENATE(Consulta1[[#This Row],[id]],Consulta1[[#This Row],[EMPREGADOR]])</f>
        <v>9PREF SALVADOR INAT</v>
      </c>
      <c r="C1258" s="6">
        <f>IF(A1258=A1257,C1257+1,1)</f>
        <v>9</v>
      </c>
      <c r="D1258" t="s">
        <v>3225</v>
      </c>
      <c r="E1258" s="101">
        <v>1.8000000000000002E-2</v>
      </c>
      <c r="F1258" s="6">
        <v>120</v>
      </c>
      <c r="G1258" t="s">
        <v>1349</v>
      </c>
      <c r="H1258" s="82">
        <v>2.5</v>
      </c>
      <c r="I1258">
        <v>10</v>
      </c>
      <c r="J1258">
        <v>50</v>
      </c>
      <c r="K1258" t="s">
        <v>3226</v>
      </c>
      <c r="L1258" s="6" t="s">
        <v>1356</v>
      </c>
      <c r="M1258" s="6">
        <v>5</v>
      </c>
      <c r="N1258" s="6">
        <v>2</v>
      </c>
      <c r="O1258">
        <v>500</v>
      </c>
      <c r="P1258">
        <v>202605</v>
      </c>
      <c r="Q1258" t="s">
        <v>378</v>
      </c>
      <c r="R1258" t="s">
        <v>1353</v>
      </c>
      <c r="S1258">
        <f>Consulta1[[#This Row],[min_port]]/100</f>
        <v>1.3000000000000001E-2</v>
      </c>
      <c r="T1258" s="252">
        <f>Consulta1[[#This Row],[TETO_COMERCIAL]]/100</f>
        <v>2.5000000000000001E-2</v>
      </c>
      <c r="U1258" t="b">
        <f>Consulta1[[#This Row],[TETO_COMERCIAL_%]]=Consulta1[[#This Row],[TAXA]]</f>
        <v>0</v>
      </c>
      <c r="V1258" t="str">
        <f>CONCATENATE(Consulta1[[#This Row],[MES_ALTERACAO]],Consulta1[[#This Row],[VIRADA]])</f>
        <v>2026055</v>
      </c>
      <c r="W1258">
        <f>VLOOKUP(Consulta1[[#This Row],[Coluna2]],CALENDARIO!$J:$K,2,FALSE)</f>
        <v>2</v>
      </c>
    </row>
    <row r="1259" spans="1:23" x14ac:dyDescent="0.25">
      <c r="A1259" t="s">
        <v>365</v>
      </c>
      <c r="B1259" t="str">
        <f>CONCATENATE(Consulta1[[#This Row],[id]],Consulta1[[#This Row],[EMPREGADOR]])</f>
        <v>10PREF SALVADOR INAT</v>
      </c>
      <c r="C1259" s="6">
        <f>IF(A1259=A1258,C1258+1,1)</f>
        <v>10</v>
      </c>
      <c r="D1259" t="s">
        <v>3227</v>
      </c>
      <c r="E1259" s="101">
        <v>1.7600000000000001E-2</v>
      </c>
      <c r="F1259" s="6">
        <v>120</v>
      </c>
      <c r="G1259" t="s">
        <v>1349</v>
      </c>
      <c r="H1259" s="82">
        <v>2.5</v>
      </c>
      <c r="I1259">
        <v>10</v>
      </c>
      <c r="J1259">
        <v>50</v>
      </c>
      <c r="K1259" t="s">
        <v>3228</v>
      </c>
      <c r="L1259" s="6" t="s">
        <v>1356</v>
      </c>
      <c r="M1259" s="6">
        <v>5</v>
      </c>
      <c r="N1259" s="6">
        <v>2</v>
      </c>
      <c r="O1259">
        <v>500</v>
      </c>
      <c r="P1259">
        <v>202605</v>
      </c>
      <c r="Q1259" t="s">
        <v>378</v>
      </c>
      <c r="R1259" t="s">
        <v>1353</v>
      </c>
      <c r="S1259">
        <f>Consulta1[[#This Row],[min_port]]/100</f>
        <v>1.3000000000000001E-2</v>
      </c>
      <c r="T1259" s="252">
        <f>Consulta1[[#This Row],[TETO_COMERCIAL]]/100</f>
        <v>2.5000000000000001E-2</v>
      </c>
      <c r="U1259" t="b">
        <f>Consulta1[[#This Row],[TETO_COMERCIAL_%]]=Consulta1[[#This Row],[TAXA]]</f>
        <v>0</v>
      </c>
      <c r="V1259" t="str">
        <f>CONCATENATE(Consulta1[[#This Row],[MES_ALTERACAO]],Consulta1[[#This Row],[VIRADA]])</f>
        <v>2026055</v>
      </c>
      <c r="W1259">
        <f>VLOOKUP(Consulta1[[#This Row],[Coluna2]],CALENDARIO!$J:$K,2,FALSE)</f>
        <v>2</v>
      </c>
    </row>
    <row r="1260" spans="1:23" x14ac:dyDescent="0.25">
      <c r="A1260" t="s">
        <v>365</v>
      </c>
      <c r="B1260" t="str">
        <f>CONCATENATE(Consulta1[[#This Row],[id]],Consulta1[[#This Row],[EMPREGADOR]])</f>
        <v>11PREF SALVADOR INAT</v>
      </c>
      <c r="C1260" s="6">
        <f>IF(A1260=A1259,C1259+1,1)</f>
        <v>11</v>
      </c>
      <c r="D1260" t="s">
        <v>3229</v>
      </c>
      <c r="E1260" s="101">
        <v>1.7100000000000001E-2</v>
      </c>
      <c r="F1260" s="6">
        <v>120</v>
      </c>
      <c r="G1260" t="s">
        <v>1349</v>
      </c>
      <c r="H1260" s="82">
        <v>2.5</v>
      </c>
      <c r="I1260">
        <v>10</v>
      </c>
      <c r="J1260">
        <v>50</v>
      </c>
      <c r="K1260" t="s">
        <v>3230</v>
      </c>
      <c r="L1260" s="6" t="s">
        <v>1356</v>
      </c>
      <c r="M1260" s="6">
        <v>5</v>
      </c>
      <c r="N1260" s="6">
        <v>2</v>
      </c>
      <c r="O1260">
        <v>500</v>
      </c>
      <c r="P1260">
        <v>202605</v>
      </c>
      <c r="Q1260" t="s">
        <v>378</v>
      </c>
      <c r="R1260" t="s">
        <v>1353</v>
      </c>
      <c r="S1260">
        <f>Consulta1[[#This Row],[min_port]]/100</f>
        <v>1.3000000000000001E-2</v>
      </c>
      <c r="T1260" s="252">
        <f>Consulta1[[#This Row],[TETO_COMERCIAL]]/100</f>
        <v>2.5000000000000001E-2</v>
      </c>
      <c r="U1260" t="b">
        <f>Consulta1[[#This Row],[TETO_COMERCIAL_%]]=Consulta1[[#This Row],[TAXA]]</f>
        <v>0</v>
      </c>
      <c r="V1260" t="str">
        <f>CONCATENATE(Consulta1[[#This Row],[MES_ALTERACAO]],Consulta1[[#This Row],[VIRADA]])</f>
        <v>2026055</v>
      </c>
      <c r="W1260">
        <f>VLOOKUP(Consulta1[[#This Row],[Coluna2]],CALENDARIO!$J:$K,2,FALSE)</f>
        <v>2</v>
      </c>
    </row>
    <row r="1261" spans="1:23" x14ac:dyDescent="0.25">
      <c r="A1261" t="s">
        <v>365</v>
      </c>
      <c r="B1261" t="str">
        <f>CONCATENATE(Consulta1[[#This Row],[id]],Consulta1[[#This Row],[EMPREGADOR]])</f>
        <v>12PREF SALVADOR INAT</v>
      </c>
      <c r="C1261" s="6">
        <f>IF(A1261=A1260,C1260+1,1)</f>
        <v>12</v>
      </c>
      <c r="D1261" t="s">
        <v>3231</v>
      </c>
      <c r="E1261" s="101">
        <v>1.6500000000000001E-2</v>
      </c>
      <c r="F1261" s="6">
        <v>120</v>
      </c>
      <c r="G1261" t="s">
        <v>1349</v>
      </c>
      <c r="H1261" s="82">
        <v>2.5</v>
      </c>
      <c r="I1261">
        <v>10</v>
      </c>
      <c r="J1261">
        <v>50</v>
      </c>
      <c r="K1261" t="s">
        <v>3232</v>
      </c>
      <c r="L1261" s="6" t="s">
        <v>1356</v>
      </c>
      <c r="M1261" s="6">
        <v>5</v>
      </c>
      <c r="N1261" s="6">
        <v>2</v>
      </c>
      <c r="O1261">
        <v>40000</v>
      </c>
      <c r="P1261">
        <v>202605</v>
      </c>
      <c r="Q1261" t="s">
        <v>378</v>
      </c>
      <c r="R1261" t="s">
        <v>1353</v>
      </c>
      <c r="S1261">
        <f>Consulta1[[#This Row],[min_port]]/100</f>
        <v>1.3000000000000001E-2</v>
      </c>
      <c r="T1261" s="252">
        <f>Consulta1[[#This Row],[TETO_COMERCIAL]]/100</f>
        <v>2.5000000000000001E-2</v>
      </c>
      <c r="U1261" t="b">
        <f>Consulta1[[#This Row],[TETO_COMERCIAL_%]]=Consulta1[[#This Row],[TAXA]]</f>
        <v>0</v>
      </c>
      <c r="V1261" t="str">
        <f>CONCATENATE(Consulta1[[#This Row],[MES_ALTERACAO]],Consulta1[[#This Row],[VIRADA]])</f>
        <v>2026055</v>
      </c>
      <c r="W1261">
        <f>VLOOKUP(Consulta1[[#This Row],[Coluna2]],CALENDARIO!$J:$K,2,FALSE)</f>
        <v>2</v>
      </c>
    </row>
    <row r="1262" spans="1:23" x14ac:dyDescent="0.25">
      <c r="A1262" t="s">
        <v>365</v>
      </c>
      <c r="B1262" t="str">
        <f>CONCATENATE(Consulta1[[#This Row],[id]],Consulta1[[#This Row],[EMPREGADOR]])</f>
        <v>13PREF SALVADOR INAT</v>
      </c>
      <c r="C1262" s="6">
        <f>IF(A1262=A1261,C1261+1,1)</f>
        <v>13</v>
      </c>
      <c r="D1262" t="s">
        <v>3233</v>
      </c>
      <c r="E1262" s="101">
        <v>1.6399999999999998E-2</v>
      </c>
      <c r="F1262" s="6">
        <v>120</v>
      </c>
      <c r="G1262" t="s">
        <v>1349</v>
      </c>
      <c r="H1262" s="82">
        <v>2.5</v>
      </c>
      <c r="I1262">
        <v>10</v>
      </c>
      <c r="J1262">
        <v>50</v>
      </c>
      <c r="K1262" t="s">
        <v>3234</v>
      </c>
      <c r="L1262" s="6" t="s">
        <v>1356</v>
      </c>
      <c r="M1262" s="6">
        <v>5</v>
      </c>
      <c r="N1262" s="6">
        <v>2</v>
      </c>
      <c r="O1262">
        <v>50000</v>
      </c>
      <c r="P1262">
        <v>202605</v>
      </c>
      <c r="Q1262" t="s">
        <v>378</v>
      </c>
      <c r="R1262" t="s">
        <v>1353</v>
      </c>
      <c r="S1262">
        <f>Consulta1[[#This Row],[min_port]]/100</f>
        <v>1.3000000000000001E-2</v>
      </c>
      <c r="T1262" s="252">
        <f>Consulta1[[#This Row],[TETO_COMERCIAL]]/100</f>
        <v>2.5000000000000001E-2</v>
      </c>
      <c r="U1262" t="b">
        <f>Consulta1[[#This Row],[TETO_COMERCIAL_%]]=Consulta1[[#This Row],[TAXA]]</f>
        <v>0</v>
      </c>
      <c r="V1262" t="str">
        <f>CONCATENATE(Consulta1[[#This Row],[MES_ALTERACAO]],Consulta1[[#This Row],[VIRADA]])</f>
        <v>2026055</v>
      </c>
      <c r="W1262">
        <f>VLOOKUP(Consulta1[[#This Row],[Coluna2]],CALENDARIO!$J:$K,2,FALSE)</f>
        <v>2</v>
      </c>
    </row>
    <row r="1263" spans="1:23" x14ac:dyDescent="0.25">
      <c r="A1263" t="s">
        <v>2466</v>
      </c>
      <c r="B1263" t="str">
        <f>CONCATENATE(Consulta1[[#This Row],[id]],Consulta1[[#This Row],[EMPREGADOR]])</f>
        <v>1PREF SANTARÉM</v>
      </c>
      <c r="C1263" s="6">
        <f>IF(A1263=A1262,C1262+1,1)</f>
        <v>1</v>
      </c>
      <c r="D1263" t="s">
        <v>2467</v>
      </c>
      <c r="E1263" s="101">
        <v>2.5000000000000001E-2</v>
      </c>
      <c r="F1263" s="6">
        <v>96</v>
      </c>
      <c r="G1263" t="s">
        <v>1349</v>
      </c>
      <c r="H1263" s="82">
        <v>2.5</v>
      </c>
      <c r="I1263">
        <v>7</v>
      </c>
      <c r="K1263" t="s">
        <v>2468</v>
      </c>
      <c r="L1263" s="6" t="s">
        <v>1438</v>
      </c>
      <c r="M1263" s="6">
        <v>13</v>
      </c>
      <c r="N1263" s="6">
        <v>2</v>
      </c>
      <c r="O1263">
        <v>500</v>
      </c>
      <c r="P1263">
        <v>202605</v>
      </c>
      <c r="Q1263" t="s">
        <v>377</v>
      </c>
      <c r="R1263" t="s">
        <v>1350</v>
      </c>
      <c r="S1263">
        <f>Consulta1[[#This Row],[min_port]]/100</f>
        <v>1.6500000000000001E-2</v>
      </c>
      <c r="T1263" s="252">
        <f>Consulta1[[#This Row],[TETO_COMERCIAL]]/100</f>
        <v>2.5000000000000001E-2</v>
      </c>
      <c r="U1263" t="b">
        <f>Consulta1[[#This Row],[TETO_COMERCIAL_%]]=Consulta1[[#This Row],[TAXA]]</f>
        <v>1</v>
      </c>
      <c r="V1263" t="str">
        <f>CONCATENATE(Consulta1[[#This Row],[MES_ALTERACAO]],Consulta1[[#This Row],[VIRADA]])</f>
        <v>20260513</v>
      </c>
      <c r="W1263">
        <f>VLOOKUP(Consulta1[[#This Row],[Coluna2]],CALENDARIO!$J:$K,2,FALSE)</f>
        <v>8</v>
      </c>
    </row>
    <row r="1264" spans="1:23" x14ac:dyDescent="0.25">
      <c r="A1264" t="s">
        <v>2466</v>
      </c>
      <c r="B1264" t="str">
        <f>CONCATENATE(Consulta1[[#This Row],[id]],Consulta1[[#This Row],[EMPREGADOR]])</f>
        <v>2PREF SANTARÉM</v>
      </c>
      <c r="C1264" s="6">
        <f>IF(A1264=A1263,C1263+1,1)</f>
        <v>2</v>
      </c>
      <c r="D1264" t="s">
        <v>2469</v>
      </c>
      <c r="E1264" s="101">
        <v>2.4E-2</v>
      </c>
      <c r="F1264" s="6">
        <v>96</v>
      </c>
      <c r="G1264" t="s">
        <v>1349</v>
      </c>
      <c r="H1264" s="82">
        <v>2.5</v>
      </c>
      <c r="I1264">
        <v>7</v>
      </c>
      <c r="K1264" t="s">
        <v>2470</v>
      </c>
      <c r="L1264" s="6" t="s">
        <v>1438</v>
      </c>
      <c r="M1264" s="6">
        <v>13</v>
      </c>
      <c r="N1264" s="6">
        <v>2</v>
      </c>
      <c r="O1264">
        <v>500</v>
      </c>
      <c r="P1264">
        <v>202605</v>
      </c>
      <c r="Q1264" t="s">
        <v>377</v>
      </c>
      <c r="R1264" t="s">
        <v>1350</v>
      </c>
      <c r="S1264">
        <f>Consulta1[[#This Row],[min_port]]/100</f>
        <v>1.6500000000000001E-2</v>
      </c>
      <c r="T1264" s="252">
        <f>Consulta1[[#This Row],[TETO_COMERCIAL]]/100</f>
        <v>2.5000000000000001E-2</v>
      </c>
      <c r="U1264" t="b">
        <f>Consulta1[[#This Row],[TETO_COMERCIAL_%]]=Consulta1[[#This Row],[TAXA]]</f>
        <v>0</v>
      </c>
      <c r="V1264" t="str">
        <f>CONCATENATE(Consulta1[[#This Row],[MES_ALTERACAO]],Consulta1[[#This Row],[VIRADA]])</f>
        <v>20260513</v>
      </c>
      <c r="W1264">
        <f>VLOOKUP(Consulta1[[#This Row],[Coluna2]],CALENDARIO!$J:$K,2,FALSE)</f>
        <v>8</v>
      </c>
    </row>
    <row r="1265" spans="1:23" x14ac:dyDescent="0.25">
      <c r="A1265" t="s">
        <v>2466</v>
      </c>
      <c r="B1265" t="str">
        <f>CONCATENATE(Consulta1[[#This Row],[id]],Consulta1[[#This Row],[EMPREGADOR]])</f>
        <v>3PREF SANTARÉM</v>
      </c>
      <c r="C1265" s="6">
        <f>IF(A1265=A1264,C1264+1,1)</f>
        <v>3</v>
      </c>
      <c r="D1265" t="s">
        <v>2471</v>
      </c>
      <c r="E1265" s="101">
        <v>2.3E-2</v>
      </c>
      <c r="F1265" s="6">
        <v>96</v>
      </c>
      <c r="G1265" t="s">
        <v>1349</v>
      </c>
      <c r="H1265" s="82">
        <v>2.5</v>
      </c>
      <c r="I1265">
        <v>7</v>
      </c>
      <c r="K1265" t="s">
        <v>2472</v>
      </c>
      <c r="L1265" s="6" t="s">
        <v>1438</v>
      </c>
      <c r="M1265" s="6">
        <v>13</v>
      </c>
      <c r="N1265" s="6">
        <v>2</v>
      </c>
      <c r="O1265">
        <v>500</v>
      </c>
      <c r="P1265">
        <v>202605</v>
      </c>
      <c r="Q1265" t="s">
        <v>377</v>
      </c>
      <c r="R1265" t="s">
        <v>1350</v>
      </c>
      <c r="S1265">
        <f>Consulta1[[#This Row],[min_port]]/100</f>
        <v>1.6500000000000001E-2</v>
      </c>
      <c r="T1265" s="252">
        <f>Consulta1[[#This Row],[TETO_COMERCIAL]]/100</f>
        <v>2.5000000000000001E-2</v>
      </c>
      <c r="U1265" t="b">
        <f>Consulta1[[#This Row],[TETO_COMERCIAL_%]]=Consulta1[[#This Row],[TAXA]]</f>
        <v>0</v>
      </c>
      <c r="V1265" t="str">
        <f>CONCATENATE(Consulta1[[#This Row],[MES_ALTERACAO]],Consulta1[[#This Row],[VIRADA]])</f>
        <v>20260513</v>
      </c>
      <c r="W1265">
        <f>VLOOKUP(Consulta1[[#This Row],[Coluna2]],CALENDARIO!$J:$K,2,FALSE)</f>
        <v>8</v>
      </c>
    </row>
    <row r="1266" spans="1:23" x14ac:dyDescent="0.25">
      <c r="A1266" t="s">
        <v>2466</v>
      </c>
      <c r="B1266" t="str">
        <f>CONCATENATE(Consulta1[[#This Row],[id]],Consulta1[[#This Row],[EMPREGADOR]])</f>
        <v>4PREF SANTARÉM</v>
      </c>
      <c r="C1266" s="6">
        <f>IF(A1266=A1265,C1265+1,1)</f>
        <v>4</v>
      </c>
      <c r="D1266" t="s">
        <v>2473</v>
      </c>
      <c r="E1266" s="101">
        <v>2.2400000000000003E-2</v>
      </c>
      <c r="F1266" s="6">
        <v>96</v>
      </c>
      <c r="G1266" t="s">
        <v>1349</v>
      </c>
      <c r="H1266" s="82">
        <v>2.5</v>
      </c>
      <c r="I1266">
        <v>7</v>
      </c>
      <c r="K1266" t="s">
        <v>2474</v>
      </c>
      <c r="L1266" s="6" t="s">
        <v>1438</v>
      </c>
      <c r="M1266" s="6">
        <v>13</v>
      </c>
      <c r="N1266" s="6">
        <v>2</v>
      </c>
      <c r="O1266">
        <v>500</v>
      </c>
      <c r="P1266">
        <v>202605</v>
      </c>
      <c r="Q1266" t="s">
        <v>377</v>
      </c>
      <c r="R1266" t="s">
        <v>1350</v>
      </c>
      <c r="S1266">
        <f>Consulta1[[#This Row],[min_port]]/100</f>
        <v>1.6500000000000001E-2</v>
      </c>
      <c r="T1266" s="252">
        <f>Consulta1[[#This Row],[TETO_COMERCIAL]]/100</f>
        <v>2.5000000000000001E-2</v>
      </c>
      <c r="U1266" t="b">
        <f>Consulta1[[#This Row],[TETO_COMERCIAL_%]]=Consulta1[[#This Row],[TAXA]]</f>
        <v>0</v>
      </c>
      <c r="V1266" t="str">
        <f>CONCATENATE(Consulta1[[#This Row],[MES_ALTERACAO]],Consulta1[[#This Row],[VIRADA]])</f>
        <v>20260513</v>
      </c>
      <c r="W1266">
        <f>VLOOKUP(Consulta1[[#This Row],[Coluna2]],CALENDARIO!$J:$K,2,FALSE)</f>
        <v>8</v>
      </c>
    </row>
    <row r="1267" spans="1:23" x14ac:dyDescent="0.25">
      <c r="A1267" t="s">
        <v>2466</v>
      </c>
      <c r="B1267" t="str">
        <f>CONCATENATE(Consulta1[[#This Row],[id]],Consulta1[[#This Row],[EMPREGADOR]])</f>
        <v>5PREF SANTARÉM</v>
      </c>
      <c r="C1267" s="6">
        <f>IF(A1267=A1266,C1266+1,1)</f>
        <v>5</v>
      </c>
      <c r="D1267" t="s">
        <v>3490</v>
      </c>
      <c r="E1267" s="101">
        <v>2.18E-2</v>
      </c>
      <c r="F1267" s="6">
        <v>96</v>
      </c>
      <c r="G1267" t="s">
        <v>1349</v>
      </c>
      <c r="H1267" s="82">
        <v>2.5</v>
      </c>
      <c r="I1267">
        <v>7</v>
      </c>
      <c r="K1267" t="s">
        <v>3491</v>
      </c>
      <c r="L1267" s="6" t="s">
        <v>1438</v>
      </c>
      <c r="M1267" s="6">
        <v>13</v>
      </c>
      <c r="N1267" s="6">
        <v>2</v>
      </c>
      <c r="O1267">
        <v>20000</v>
      </c>
      <c r="P1267">
        <v>202605</v>
      </c>
      <c r="Q1267" t="s">
        <v>377</v>
      </c>
      <c r="R1267" t="s">
        <v>1350</v>
      </c>
      <c r="S1267">
        <f>Consulta1[[#This Row],[min_port]]/100</f>
        <v>1.6500000000000001E-2</v>
      </c>
      <c r="T1267" s="252">
        <f>Consulta1[[#This Row],[TETO_COMERCIAL]]/100</f>
        <v>2.5000000000000001E-2</v>
      </c>
      <c r="U1267" t="b">
        <f>Consulta1[[#This Row],[TETO_COMERCIAL_%]]=Consulta1[[#This Row],[TAXA]]</f>
        <v>0</v>
      </c>
      <c r="V1267" t="str">
        <f>CONCATENATE(Consulta1[[#This Row],[MES_ALTERACAO]],Consulta1[[#This Row],[VIRADA]])</f>
        <v>20260513</v>
      </c>
      <c r="W1267">
        <f>VLOOKUP(Consulta1[[#This Row],[Coluna2]],CALENDARIO!$J:$K,2,FALSE)</f>
        <v>8</v>
      </c>
    </row>
    <row r="1268" spans="1:23" x14ac:dyDescent="0.25">
      <c r="A1268" t="s">
        <v>2466</v>
      </c>
      <c r="B1268" t="str">
        <f>CONCATENATE(Consulta1[[#This Row],[id]],Consulta1[[#This Row],[EMPREGADOR]])</f>
        <v>6PREF SANTARÉM</v>
      </c>
      <c r="C1268" s="6">
        <f>IF(A1268=A1267,C1267+1,1)</f>
        <v>6</v>
      </c>
      <c r="D1268" t="s">
        <v>3492</v>
      </c>
      <c r="E1268" s="101">
        <v>2.1499999999999998E-2</v>
      </c>
      <c r="F1268" s="6">
        <v>96</v>
      </c>
      <c r="G1268" t="s">
        <v>1349</v>
      </c>
      <c r="H1268" s="82">
        <v>2.5</v>
      </c>
      <c r="I1268">
        <v>7</v>
      </c>
      <c r="K1268" t="s">
        <v>3493</v>
      </c>
      <c r="L1268" s="6" t="s">
        <v>1438</v>
      </c>
      <c r="M1268" s="6">
        <v>13</v>
      </c>
      <c r="N1268" s="6">
        <v>2</v>
      </c>
      <c r="O1268">
        <v>30000</v>
      </c>
      <c r="P1268">
        <v>202605</v>
      </c>
      <c r="Q1268" t="s">
        <v>377</v>
      </c>
      <c r="R1268" t="s">
        <v>1350</v>
      </c>
      <c r="S1268">
        <f>Consulta1[[#This Row],[min_port]]/100</f>
        <v>1.6500000000000001E-2</v>
      </c>
      <c r="T1268" s="252">
        <f>Consulta1[[#This Row],[TETO_COMERCIAL]]/100</f>
        <v>2.5000000000000001E-2</v>
      </c>
      <c r="U1268" t="b">
        <f>Consulta1[[#This Row],[TETO_COMERCIAL_%]]=Consulta1[[#This Row],[TAXA]]</f>
        <v>0</v>
      </c>
      <c r="V1268" t="str">
        <f>CONCATENATE(Consulta1[[#This Row],[MES_ALTERACAO]],Consulta1[[#This Row],[VIRADA]])</f>
        <v>20260513</v>
      </c>
      <c r="W1268">
        <f>VLOOKUP(Consulta1[[#This Row],[Coluna2]],CALENDARIO!$J:$K,2,FALSE)</f>
        <v>8</v>
      </c>
    </row>
    <row r="1269" spans="1:23" x14ac:dyDescent="0.25">
      <c r="A1269" t="s">
        <v>336</v>
      </c>
      <c r="B1269" t="str">
        <f>CONCATENATE(Consulta1[[#This Row],[id]],Consulta1[[#This Row],[EMPREGADOR]])</f>
        <v>1PREF SANTOS</v>
      </c>
      <c r="C1269" s="6">
        <f>IF(A1269=A1268,C1268+1,1)</f>
        <v>1</v>
      </c>
      <c r="D1269" t="s">
        <v>262</v>
      </c>
      <c r="E1269" s="101">
        <v>2.5000000000000001E-2</v>
      </c>
      <c r="F1269" s="6">
        <v>96</v>
      </c>
      <c r="G1269" t="s">
        <v>1349</v>
      </c>
      <c r="H1269" s="82">
        <v>2.5</v>
      </c>
      <c r="I1269">
        <v>14</v>
      </c>
      <c r="K1269" t="s">
        <v>2064</v>
      </c>
      <c r="L1269" s="6" t="s">
        <v>1399</v>
      </c>
      <c r="M1269" s="6">
        <v>5</v>
      </c>
      <c r="N1269" s="6">
        <v>2</v>
      </c>
      <c r="O1269">
        <v>500</v>
      </c>
      <c r="P1269">
        <v>202605</v>
      </c>
      <c r="Q1269" t="s">
        <v>377</v>
      </c>
      <c r="R1269" t="s">
        <v>1353</v>
      </c>
      <c r="S1269">
        <f>Consulta1[[#This Row],[min_port]]/100</f>
        <v>1.3899999999999999E-2</v>
      </c>
      <c r="T1269" s="252">
        <f>Consulta1[[#This Row],[TETO_COMERCIAL]]/100</f>
        <v>2.5000000000000001E-2</v>
      </c>
      <c r="U1269" t="b">
        <f>Consulta1[[#This Row],[TETO_COMERCIAL_%]]=Consulta1[[#This Row],[TAXA]]</f>
        <v>1</v>
      </c>
      <c r="V1269" t="str">
        <f>CONCATENATE(Consulta1[[#This Row],[MES_ALTERACAO]],Consulta1[[#This Row],[VIRADA]])</f>
        <v>2026055</v>
      </c>
      <c r="W1269">
        <f>VLOOKUP(Consulta1[[#This Row],[Coluna2]],CALENDARIO!$J:$K,2,FALSE)</f>
        <v>2</v>
      </c>
    </row>
    <row r="1270" spans="1:23" x14ac:dyDescent="0.25">
      <c r="A1270" t="s">
        <v>336</v>
      </c>
      <c r="B1270" t="str">
        <f>CONCATENATE(Consulta1[[#This Row],[id]],Consulta1[[#This Row],[EMPREGADOR]])</f>
        <v>2PREF SANTOS</v>
      </c>
      <c r="C1270" s="6">
        <f>IF(A1270=A1269,C1269+1,1)</f>
        <v>2</v>
      </c>
      <c r="D1270" t="s">
        <v>212</v>
      </c>
      <c r="E1270" s="101">
        <v>2.3900000000000001E-2</v>
      </c>
      <c r="F1270" s="6">
        <v>96</v>
      </c>
      <c r="G1270" t="s">
        <v>1349</v>
      </c>
      <c r="H1270" s="82">
        <v>2.5</v>
      </c>
      <c r="I1270">
        <v>14</v>
      </c>
      <c r="J1270">
        <v>56</v>
      </c>
      <c r="K1270" t="s">
        <v>2065</v>
      </c>
      <c r="L1270" s="6" t="s">
        <v>1399</v>
      </c>
      <c r="M1270" s="6">
        <v>5</v>
      </c>
      <c r="N1270" s="6">
        <v>2</v>
      </c>
      <c r="O1270">
        <v>500</v>
      </c>
      <c r="P1270">
        <v>202605</v>
      </c>
      <c r="Q1270" t="s">
        <v>377</v>
      </c>
      <c r="R1270" t="s">
        <v>1353</v>
      </c>
      <c r="S1270">
        <f>Consulta1[[#This Row],[min_port]]/100</f>
        <v>1.3899999999999999E-2</v>
      </c>
      <c r="T1270" s="252">
        <f>Consulta1[[#This Row],[TETO_COMERCIAL]]/100</f>
        <v>2.5000000000000001E-2</v>
      </c>
      <c r="U1270" t="b">
        <f>Consulta1[[#This Row],[TETO_COMERCIAL_%]]=Consulta1[[#This Row],[TAXA]]</f>
        <v>0</v>
      </c>
      <c r="V1270" t="str">
        <f>CONCATENATE(Consulta1[[#This Row],[MES_ALTERACAO]],Consulta1[[#This Row],[VIRADA]])</f>
        <v>2026055</v>
      </c>
      <c r="W1270">
        <f>VLOOKUP(Consulta1[[#This Row],[Coluna2]],CALENDARIO!$J:$K,2,FALSE)</f>
        <v>2</v>
      </c>
    </row>
    <row r="1271" spans="1:23" x14ac:dyDescent="0.25">
      <c r="A1271" t="s">
        <v>336</v>
      </c>
      <c r="B1271" t="str">
        <f>CONCATENATE(Consulta1[[#This Row],[id]],Consulta1[[#This Row],[EMPREGADOR]])</f>
        <v>3PREF SANTOS</v>
      </c>
      <c r="C1271" s="6">
        <f>IF(A1271=A1270,C1270+1,1)</f>
        <v>3</v>
      </c>
      <c r="D1271" t="s">
        <v>263</v>
      </c>
      <c r="E1271" s="101">
        <v>2.29E-2</v>
      </c>
      <c r="F1271" s="6">
        <v>96</v>
      </c>
      <c r="G1271" t="s">
        <v>1349</v>
      </c>
      <c r="H1271" s="82">
        <v>2.5</v>
      </c>
      <c r="I1271">
        <v>14</v>
      </c>
      <c r="J1271">
        <v>58</v>
      </c>
      <c r="K1271" t="s">
        <v>2066</v>
      </c>
      <c r="L1271" s="6" t="s">
        <v>1399</v>
      </c>
      <c r="M1271" s="6">
        <v>5</v>
      </c>
      <c r="N1271" s="6">
        <v>2</v>
      </c>
      <c r="O1271">
        <v>500</v>
      </c>
      <c r="P1271">
        <v>202605</v>
      </c>
      <c r="Q1271" t="s">
        <v>377</v>
      </c>
      <c r="R1271" t="s">
        <v>1353</v>
      </c>
      <c r="S1271">
        <f>Consulta1[[#This Row],[min_port]]/100</f>
        <v>1.3899999999999999E-2</v>
      </c>
      <c r="T1271" s="252">
        <f>Consulta1[[#This Row],[TETO_COMERCIAL]]/100</f>
        <v>2.5000000000000001E-2</v>
      </c>
      <c r="U1271" t="b">
        <f>Consulta1[[#This Row],[TETO_COMERCIAL_%]]=Consulta1[[#This Row],[TAXA]]</f>
        <v>0</v>
      </c>
      <c r="V1271" t="str">
        <f>CONCATENATE(Consulta1[[#This Row],[MES_ALTERACAO]],Consulta1[[#This Row],[VIRADA]])</f>
        <v>2026055</v>
      </c>
      <c r="W1271">
        <f>VLOOKUP(Consulta1[[#This Row],[Coluna2]],CALENDARIO!$J:$K,2,FALSE)</f>
        <v>2</v>
      </c>
    </row>
    <row r="1272" spans="1:23" x14ac:dyDescent="0.25">
      <c r="A1272" t="s">
        <v>336</v>
      </c>
      <c r="B1272" t="str">
        <f>CONCATENATE(Consulta1[[#This Row],[id]],Consulta1[[#This Row],[EMPREGADOR]])</f>
        <v>4PREF SANTOS</v>
      </c>
      <c r="C1272" s="6">
        <f>IF(A1272=A1271,C1271+1,1)</f>
        <v>4</v>
      </c>
      <c r="D1272" t="s">
        <v>264</v>
      </c>
      <c r="E1272" s="101">
        <v>2.1899999999999999E-2</v>
      </c>
      <c r="F1272" s="6">
        <v>120</v>
      </c>
      <c r="G1272" t="s">
        <v>1349</v>
      </c>
      <c r="H1272" s="82">
        <v>2.5</v>
      </c>
      <c r="I1272">
        <v>14</v>
      </c>
      <c r="J1272">
        <v>55</v>
      </c>
      <c r="K1272" t="s">
        <v>2067</v>
      </c>
      <c r="L1272" s="6" t="s">
        <v>1399</v>
      </c>
      <c r="M1272" s="6">
        <v>5</v>
      </c>
      <c r="N1272" s="6">
        <v>2</v>
      </c>
      <c r="O1272">
        <v>500</v>
      </c>
      <c r="P1272">
        <v>202605</v>
      </c>
      <c r="Q1272" t="s">
        <v>377</v>
      </c>
      <c r="R1272" t="s">
        <v>1353</v>
      </c>
      <c r="S1272">
        <f>Consulta1[[#This Row],[min_port]]/100</f>
        <v>1.3899999999999999E-2</v>
      </c>
      <c r="T1272" s="252">
        <f>Consulta1[[#This Row],[TETO_COMERCIAL]]/100</f>
        <v>2.5000000000000001E-2</v>
      </c>
      <c r="U1272" t="b">
        <f>Consulta1[[#This Row],[TETO_COMERCIAL_%]]=Consulta1[[#This Row],[TAXA]]</f>
        <v>0</v>
      </c>
      <c r="V1272" t="str">
        <f>CONCATENATE(Consulta1[[#This Row],[MES_ALTERACAO]],Consulta1[[#This Row],[VIRADA]])</f>
        <v>2026055</v>
      </c>
      <c r="W1272">
        <f>VLOOKUP(Consulta1[[#This Row],[Coluna2]],CALENDARIO!$J:$K,2,FALSE)</f>
        <v>2</v>
      </c>
    </row>
    <row r="1273" spans="1:23" x14ac:dyDescent="0.25">
      <c r="A1273" t="s">
        <v>336</v>
      </c>
      <c r="B1273" t="str">
        <f>CONCATENATE(Consulta1[[#This Row],[id]],Consulta1[[#This Row],[EMPREGADOR]])</f>
        <v>5PREF SANTOS</v>
      </c>
      <c r="C1273" s="6">
        <f>IF(A1273=A1272,C1272+1,1)</f>
        <v>5</v>
      </c>
      <c r="D1273" t="s">
        <v>901</v>
      </c>
      <c r="E1273" s="101">
        <v>2.0899999999999998E-2</v>
      </c>
      <c r="F1273" s="6">
        <v>120</v>
      </c>
      <c r="G1273" t="s">
        <v>1349</v>
      </c>
      <c r="H1273" s="82">
        <v>2.5</v>
      </c>
      <c r="I1273">
        <v>14</v>
      </c>
      <c r="J1273">
        <v>52</v>
      </c>
      <c r="K1273" t="s">
        <v>2068</v>
      </c>
      <c r="L1273" s="6" t="s">
        <v>1399</v>
      </c>
      <c r="M1273" s="6">
        <v>5</v>
      </c>
      <c r="N1273" s="6">
        <v>2</v>
      </c>
      <c r="O1273">
        <v>500</v>
      </c>
      <c r="P1273">
        <v>202605</v>
      </c>
      <c r="Q1273" t="s">
        <v>377</v>
      </c>
      <c r="R1273" t="s">
        <v>1353</v>
      </c>
      <c r="S1273">
        <f>Consulta1[[#This Row],[min_port]]/100</f>
        <v>1.3899999999999999E-2</v>
      </c>
      <c r="T1273" s="252">
        <f>Consulta1[[#This Row],[TETO_COMERCIAL]]/100</f>
        <v>2.5000000000000001E-2</v>
      </c>
      <c r="U1273" t="b">
        <f>Consulta1[[#This Row],[TETO_COMERCIAL_%]]=Consulta1[[#This Row],[TAXA]]</f>
        <v>0</v>
      </c>
      <c r="V1273" t="str">
        <f>CONCATENATE(Consulta1[[#This Row],[MES_ALTERACAO]],Consulta1[[#This Row],[VIRADA]])</f>
        <v>2026055</v>
      </c>
      <c r="W1273">
        <f>VLOOKUP(Consulta1[[#This Row],[Coluna2]],CALENDARIO!$J:$K,2,FALSE)</f>
        <v>2</v>
      </c>
    </row>
    <row r="1274" spans="1:23" x14ac:dyDescent="0.25">
      <c r="A1274" t="s">
        <v>336</v>
      </c>
      <c r="B1274" t="str">
        <f>CONCATENATE(Consulta1[[#This Row],[id]],Consulta1[[#This Row],[EMPREGADOR]])</f>
        <v>6PREF SANTOS</v>
      </c>
      <c r="C1274" s="6">
        <f>IF(A1274=A1273,C1273+1,1)</f>
        <v>6</v>
      </c>
      <c r="D1274" t="s">
        <v>902</v>
      </c>
      <c r="E1274" s="101">
        <v>1.9900000000000001E-2</v>
      </c>
      <c r="F1274" s="6">
        <v>120</v>
      </c>
      <c r="G1274" t="s">
        <v>1349</v>
      </c>
      <c r="H1274" s="82">
        <v>2.5</v>
      </c>
      <c r="I1274">
        <v>14</v>
      </c>
      <c r="J1274">
        <v>66</v>
      </c>
      <c r="K1274" t="s">
        <v>2069</v>
      </c>
      <c r="L1274" s="6" t="s">
        <v>1399</v>
      </c>
      <c r="M1274" s="6">
        <v>5</v>
      </c>
      <c r="N1274" s="6">
        <v>2</v>
      </c>
      <c r="O1274">
        <v>500</v>
      </c>
      <c r="P1274">
        <v>202605</v>
      </c>
      <c r="Q1274" t="s">
        <v>377</v>
      </c>
      <c r="R1274" t="s">
        <v>1353</v>
      </c>
      <c r="S1274">
        <f>Consulta1[[#This Row],[min_port]]/100</f>
        <v>1.3899999999999999E-2</v>
      </c>
      <c r="T1274" s="252">
        <f>Consulta1[[#This Row],[TETO_COMERCIAL]]/100</f>
        <v>2.5000000000000001E-2</v>
      </c>
      <c r="U1274" t="b">
        <f>Consulta1[[#This Row],[TETO_COMERCIAL_%]]=Consulta1[[#This Row],[TAXA]]</f>
        <v>0</v>
      </c>
      <c r="V1274" t="str">
        <f>CONCATENATE(Consulta1[[#This Row],[MES_ALTERACAO]],Consulta1[[#This Row],[VIRADA]])</f>
        <v>2026055</v>
      </c>
      <c r="W1274">
        <f>VLOOKUP(Consulta1[[#This Row],[Coluna2]],CALENDARIO!$J:$K,2,FALSE)</f>
        <v>2</v>
      </c>
    </row>
    <row r="1275" spans="1:23" x14ac:dyDescent="0.25">
      <c r="A1275" t="s">
        <v>336</v>
      </c>
      <c r="B1275" t="str">
        <f>CONCATENATE(Consulta1[[#This Row],[id]],Consulta1[[#This Row],[EMPREGADOR]])</f>
        <v>7PREF SANTOS</v>
      </c>
      <c r="C1275" s="6">
        <f>IF(A1275=A1274,C1274+1,1)</f>
        <v>7</v>
      </c>
      <c r="D1275" t="s">
        <v>903</v>
      </c>
      <c r="E1275" s="101">
        <v>1.89E-2</v>
      </c>
      <c r="F1275" s="6">
        <v>120</v>
      </c>
      <c r="G1275" t="s">
        <v>1349</v>
      </c>
      <c r="H1275" s="82">
        <v>2.5</v>
      </c>
      <c r="I1275">
        <v>14</v>
      </c>
      <c r="J1275">
        <v>59</v>
      </c>
      <c r="K1275" t="s">
        <v>2070</v>
      </c>
      <c r="L1275" s="6" t="s">
        <v>1399</v>
      </c>
      <c r="M1275" s="6">
        <v>5</v>
      </c>
      <c r="N1275" s="6">
        <v>2</v>
      </c>
      <c r="O1275">
        <v>500</v>
      </c>
      <c r="P1275">
        <v>202605</v>
      </c>
      <c r="Q1275" t="s">
        <v>377</v>
      </c>
      <c r="R1275" t="s">
        <v>1353</v>
      </c>
      <c r="S1275">
        <f>Consulta1[[#This Row],[min_port]]/100</f>
        <v>1.3899999999999999E-2</v>
      </c>
      <c r="T1275" s="252">
        <f>Consulta1[[#This Row],[TETO_COMERCIAL]]/100</f>
        <v>2.5000000000000001E-2</v>
      </c>
      <c r="U1275" t="b">
        <f>Consulta1[[#This Row],[TETO_COMERCIAL_%]]=Consulta1[[#This Row],[TAXA]]</f>
        <v>0</v>
      </c>
      <c r="V1275" t="str">
        <f>CONCATENATE(Consulta1[[#This Row],[MES_ALTERACAO]],Consulta1[[#This Row],[VIRADA]])</f>
        <v>2026055</v>
      </c>
      <c r="W1275">
        <f>VLOOKUP(Consulta1[[#This Row],[Coluna2]],CALENDARIO!$J:$K,2,FALSE)</f>
        <v>2</v>
      </c>
    </row>
    <row r="1276" spans="1:23" x14ac:dyDescent="0.25">
      <c r="A1276" t="s">
        <v>336</v>
      </c>
      <c r="B1276" t="str">
        <f>CONCATENATE(Consulta1[[#This Row],[id]],Consulta1[[#This Row],[EMPREGADOR]])</f>
        <v>8PREF SANTOS</v>
      </c>
      <c r="C1276" s="6">
        <f>IF(A1276=A1275,C1275+1,1)</f>
        <v>8</v>
      </c>
      <c r="D1276" t="s">
        <v>904</v>
      </c>
      <c r="E1276" s="101">
        <v>1.7899999999999999E-2</v>
      </c>
      <c r="F1276" s="6">
        <v>120</v>
      </c>
      <c r="G1276" t="s">
        <v>1349</v>
      </c>
      <c r="H1276" s="82">
        <v>2.5</v>
      </c>
      <c r="I1276">
        <v>14</v>
      </c>
      <c r="J1276">
        <v>58</v>
      </c>
      <c r="K1276" t="s">
        <v>2071</v>
      </c>
      <c r="L1276" s="6" t="s">
        <v>1399</v>
      </c>
      <c r="M1276" s="6">
        <v>5</v>
      </c>
      <c r="N1276" s="6">
        <v>2</v>
      </c>
      <c r="O1276">
        <v>500</v>
      </c>
      <c r="P1276">
        <v>202605</v>
      </c>
      <c r="Q1276" t="s">
        <v>377</v>
      </c>
      <c r="R1276" t="s">
        <v>1353</v>
      </c>
      <c r="S1276">
        <f>Consulta1[[#This Row],[min_port]]/100</f>
        <v>1.3899999999999999E-2</v>
      </c>
      <c r="T1276" s="252">
        <f>Consulta1[[#This Row],[TETO_COMERCIAL]]/100</f>
        <v>2.5000000000000001E-2</v>
      </c>
      <c r="U1276" t="b">
        <f>Consulta1[[#This Row],[TETO_COMERCIAL_%]]=Consulta1[[#This Row],[TAXA]]</f>
        <v>0</v>
      </c>
      <c r="V1276" t="str">
        <f>CONCATENATE(Consulta1[[#This Row],[MES_ALTERACAO]],Consulta1[[#This Row],[VIRADA]])</f>
        <v>2026055</v>
      </c>
      <c r="W1276">
        <f>VLOOKUP(Consulta1[[#This Row],[Coluna2]],CALENDARIO!$J:$K,2,FALSE)</f>
        <v>2</v>
      </c>
    </row>
    <row r="1277" spans="1:23" x14ac:dyDescent="0.25">
      <c r="A1277" t="s">
        <v>336</v>
      </c>
      <c r="B1277" t="str">
        <f>CONCATENATE(Consulta1[[#This Row],[id]],Consulta1[[#This Row],[EMPREGADOR]])</f>
        <v>9PREF SANTOS</v>
      </c>
      <c r="C1277" s="6">
        <f>IF(A1277=A1276,C1276+1,1)</f>
        <v>9</v>
      </c>
      <c r="D1277" t="s">
        <v>2475</v>
      </c>
      <c r="E1277" s="101">
        <v>1.6899999999999998E-2</v>
      </c>
      <c r="F1277" s="6">
        <v>120</v>
      </c>
      <c r="G1277" t="s">
        <v>1349</v>
      </c>
      <c r="H1277" s="82">
        <v>2.5</v>
      </c>
      <c r="I1277">
        <v>14</v>
      </c>
      <c r="J1277">
        <v>61</v>
      </c>
      <c r="K1277" t="s">
        <v>2476</v>
      </c>
      <c r="L1277" s="6" t="s">
        <v>1399</v>
      </c>
      <c r="M1277" s="6">
        <v>5</v>
      </c>
      <c r="N1277" s="6">
        <v>2</v>
      </c>
      <c r="O1277">
        <v>20000</v>
      </c>
      <c r="P1277">
        <v>202605</v>
      </c>
      <c r="Q1277" t="s">
        <v>377</v>
      </c>
      <c r="R1277" t="s">
        <v>1353</v>
      </c>
      <c r="S1277">
        <f>Consulta1[[#This Row],[min_port]]/100</f>
        <v>1.3899999999999999E-2</v>
      </c>
      <c r="T1277" s="252">
        <f>Consulta1[[#This Row],[TETO_COMERCIAL]]/100</f>
        <v>2.5000000000000001E-2</v>
      </c>
      <c r="U1277" t="b">
        <f>Consulta1[[#This Row],[TETO_COMERCIAL_%]]=Consulta1[[#This Row],[TAXA]]</f>
        <v>0</v>
      </c>
      <c r="V1277" t="str">
        <f>CONCATENATE(Consulta1[[#This Row],[MES_ALTERACAO]],Consulta1[[#This Row],[VIRADA]])</f>
        <v>2026055</v>
      </c>
      <c r="W1277">
        <f>VLOOKUP(Consulta1[[#This Row],[Coluna2]],CALENDARIO!$J:$K,2,FALSE)</f>
        <v>2</v>
      </c>
    </row>
    <row r="1278" spans="1:23" x14ac:dyDescent="0.25">
      <c r="A1278" t="s">
        <v>3058</v>
      </c>
      <c r="B1278" t="str">
        <f>CONCATENATE(Consulta1[[#This Row],[id]],Consulta1[[#This Row],[EMPREGADOR]])</f>
        <v>1PREF SÃO JOSE</v>
      </c>
      <c r="C1278" s="6">
        <f>IF(A1278=A1277,C1277+1,1)</f>
        <v>1</v>
      </c>
      <c r="D1278" t="s">
        <v>235</v>
      </c>
      <c r="E1278" s="101">
        <v>2.5000000000000001E-2</v>
      </c>
      <c r="F1278" s="6">
        <v>120</v>
      </c>
      <c r="G1278" t="s">
        <v>1349</v>
      </c>
      <c r="H1278" s="82">
        <v>2.5</v>
      </c>
      <c r="I1278">
        <v>11</v>
      </c>
      <c r="J1278">
        <v>47</v>
      </c>
      <c r="K1278" t="s">
        <v>2051</v>
      </c>
      <c r="L1278" s="6" t="s">
        <v>1374</v>
      </c>
      <c r="M1278" s="6">
        <v>10</v>
      </c>
      <c r="N1278" s="6">
        <v>2</v>
      </c>
      <c r="O1278">
        <v>500</v>
      </c>
      <c r="P1278">
        <v>202605</v>
      </c>
      <c r="Q1278" t="s">
        <v>377</v>
      </c>
      <c r="R1278" t="s">
        <v>1353</v>
      </c>
      <c r="S1278">
        <f>Consulta1[[#This Row],[min_port]]/100</f>
        <v>1.4999999999999999E-2</v>
      </c>
      <c r="T1278" s="252">
        <f>Consulta1[[#This Row],[TETO_COMERCIAL]]/100</f>
        <v>2.5000000000000001E-2</v>
      </c>
      <c r="U1278" t="b">
        <f>Consulta1[[#This Row],[TETO_COMERCIAL_%]]=Consulta1[[#This Row],[TAXA]]</f>
        <v>1</v>
      </c>
      <c r="V1278" t="str">
        <f>CONCATENATE(Consulta1[[#This Row],[MES_ALTERACAO]],Consulta1[[#This Row],[VIRADA]])</f>
        <v>20260510</v>
      </c>
      <c r="W1278">
        <f>VLOOKUP(Consulta1[[#This Row],[Coluna2]],CALENDARIO!$J:$K,2,FALSE)</f>
        <v>5</v>
      </c>
    </row>
    <row r="1279" spans="1:23" x14ac:dyDescent="0.25">
      <c r="A1279" t="s">
        <v>3058</v>
      </c>
      <c r="B1279" t="str">
        <f>CONCATENATE(Consulta1[[#This Row],[id]],Consulta1[[#This Row],[EMPREGADOR]])</f>
        <v>2PREF SÃO JOSE</v>
      </c>
      <c r="C1279" s="6">
        <f>IF(A1279=A1278,C1278+1,1)</f>
        <v>2</v>
      </c>
      <c r="D1279" t="s">
        <v>738</v>
      </c>
      <c r="E1279" s="101">
        <v>2.2499999999999999E-2</v>
      </c>
      <c r="F1279" s="6">
        <v>120</v>
      </c>
      <c r="G1279" t="s">
        <v>1349</v>
      </c>
      <c r="H1279" s="82">
        <v>2.5</v>
      </c>
      <c r="I1279">
        <v>11</v>
      </c>
      <c r="J1279">
        <v>47</v>
      </c>
      <c r="K1279" t="s">
        <v>2052</v>
      </c>
      <c r="L1279" s="6" t="s">
        <v>1374</v>
      </c>
      <c r="M1279" s="6">
        <v>10</v>
      </c>
      <c r="N1279" s="6">
        <v>2</v>
      </c>
      <c r="O1279">
        <v>500</v>
      </c>
      <c r="P1279">
        <v>202605</v>
      </c>
      <c r="Q1279" t="s">
        <v>377</v>
      </c>
      <c r="R1279" t="s">
        <v>1353</v>
      </c>
      <c r="S1279">
        <f>Consulta1[[#This Row],[min_port]]/100</f>
        <v>1.4999999999999999E-2</v>
      </c>
      <c r="T1279" s="252">
        <f>Consulta1[[#This Row],[TETO_COMERCIAL]]/100</f>
        <v>2.5000000000000001E-2</v>
      </c>
      <c r="U1279" t="b">
        <f>Consulta1[[#This Row],[TETO_COMERCIAL_%]]=Consulta1[[#This Row],[TAXA]]</f>
        <v>0</v>
      </c>
      <c r="V1279" t="str">
        <f>CONCATENATE(Consulta1[[#This Row],[MES_ALTERACAO]],Consulta1[[#This Row],[VIRADA]])</f>
        <v>20260510</v>
      </c>
      <c r="W1279">
        <f>VLOOKUP(Consulta1[[#This Row],[Coluna2]],CALENDARIO!$J:$K,2,FALSE)</f>
        <v>5</v>
      </c>
    </row>
    <row r="1280" spans="1:23" x14ac:dyDescent="0.25">
      <c r="A1280" t="s">
        <v>3058</v>
      </c>
      <c r="B1280" t="str">
        <f>CONCATENATE(Consulta1[[#This Row],[id]],Consulta1[[#This Row],[EMPREGADOR]])</f>
        <v>3PREF SÃO JOSE</v>
      </c>
      <c r="C1280" s="6">
        <f>IF(A1280=A1279,C1279+1,1)</f>
        <v>3</v>
      </c>
      <c r="D1280" t="s">
        <v>3059</v>
      </c>
      <c r="E1280" s="101">
        <v>0.02</v>
      </c>
      <c r="F1280" s="6">
        <v>120</v>
      </c>
      <c r="G1280" t="s">
        <v>1349</v>
      </c>
      <c r="H1280" s="82">
        <v>2.5</v>
      </c>
      <c r="I1280">
        <v>11</v>
      </c>
      <c r="J1280">
        <v>47</v>
      </c>
      <c r="K1280" t="s">
        <v>3060</v>
      </c>
      <c r="L1280" s="6" t="s">
        <v>1374</v>
      </c>
      <c r="M1280" s="6">
        <v>10</v>
      </c>
      <c r="N1280" s="6">
        <v>2</v>
      </c>
      <c r="O1280">
        <v>500</v>
      </c>
      <c r="P1280">
        <v>202605</v>
      </c>
      <c r="Q1280" t="s">
        <v>377</v>
      </c>
      <c r="R1280" t="s">
        <v>1353</v>
      </c>
      <c r="S1280">
        <f>Consulta1[[#This Row],[min_port]]/100</f>
        <v>1.4999999999999999E-2</v>
      </c>
      <c r="T1280" s="252">
        <f>Consulta1[[#This Row],[TETO_COMERCIAL]]/100</f>
        <v>2.5000000000000001E-2</v>
      </c>
      <c r="U1280" t="b">
        <f>Consulta1[[#This Row],[TETO_COMERCIAL_%]]=Consulta1[[#This Row],[TAXA]]</f>
        <v>0</v>
      </c>
      <c r="V1280" t="str">
        <f>CONCATENATE(Consulta1[[#This Row],[MES_ALTERACAO]],Consulta1[[#This Row],[VIRADA]])</f>
        <v>20260510</v>
      </c>
      <c r="W1280">
        <f>VLOOKUP(Consulta1[[#This Row],[Coluna2]],CALENDARIO!$J:$K,2,FALSE)</f>
        <v>5</v>
      </c>
    </row>
    <row r="1281" spans="1:23" x14ac:dyDescent="0.25">
      <c r="A1281" t="s">
        <v>3058</v>
      </c>
      <c r="B1281" t="str">
        <f>CONCATENATE(Consulta1[[#This Row],[id]],Consulta1[[#This Row],[EMPREGADOR]])</f>
        <v>4PREF SÃO JOSE</v>
      </c>
      <c r="C1281" s="6">
        <f>IF(A1281=A1280,C1280+1,1)</f>
        <v>4</v>
      </c>
      <c r="D1281" t="s">
        <v>3061</v>
      </c>
      <c r="E1281" s="101">
        <v>1.9E-2</v>
      </c>
      <c r="F1281" s="6">
        <v>120</v>
      </c>
      <c r="G1281" t="s">
        <v>1349</v>
      </c>
      <c r="H1281" s="82">
        <v>2.5</v>
      </c>
      <c r="I1281">
        <v>11</v>
      </c>
      <c r="J1281">
        <v>47</v>
      </c>
      <c r="K1281" t="s">
        <v>3062</v>
      </c>
      <c r="L1281" s="6" t="s">
        <v>1374</v>
      </c>
      <c r="M1281" s="6">
        <v>10</v>
      </c>
      <c r="N1281" s="6">
        <v>2</v>
      </c>
      <c r="O1281">
        <v>500</v>
      </c>
      <c r="P1281">
        <v>202605</v>
      </c>
      <c r="Q1281" t="s">
        <v>377</v>
      </c>
      <c r="R1281" t="s">
        <v>1353</v>
      </c>
      <c r="S1281">
        <f>Consulta1[[#This Row],[min_port]]/100</f>
        <v>1.4999999999999999E-2</v>
      </c>
      <c r="T1281" s="252">
        <f>Consulta1[[#This Row],[TETO_COMERCIAL]]/100</f>
        <v>2.5000000000000001E-2</v>
      </c>
      <c r="U1281" t="b">
        <f>Consulta1[[#This Row],[TETO_COMERCIAL_%]]=Consulta1[[#This Row],[TAXA]]</f>
        <v>0</v>
      </c>
      <c r="V1281" t="str">
        <f>CONCATENATE(Consulta1[[#This Row],[MES_ALTERACAO]],Consulta1[[#This Row],[VIRADA]])</f>
        <v>20260510</v>
      </c>
      <c r="W1281">
        <f>VLOOKUP(Consulta1[[#This Row],[Coluna2]],CALENDARIO!$J:$K,2,FALSE)</f>
        <v>5</v>
      </c>
    </row>
    <row r="1282" spans="1:23" x14ac:dyDescent="0.25">
      <c r="A1282" t="s">
        <v>3058</v>
      </c>
      <c r="B1282" t="str">
        <f>CONCATENATE(Consulta1[[#This Row],[id]],Consulta1[[#This Row],[EMPREGADOR]])</f>
        <v>5PREF SÃO JOSE</v>
      </c>
      <c r="C1282" s="6">
        <f>IF(A1282=A1281,C1281+1,1)</f>
        <v>5</v>
      </c>
      <c r="D1282" t="s">
        <v>3063</v>
      </c>
      <c r="E1282" s="101">
        <v>1.8500000000000003E-2</v>
      </c>
      <c r="F1282" s="6">
        <v>120</v>
      </c>
      <c r="G1282" t="s">
        <v>1349</v>
      </c>
      <c r="H1282" s="82">
        <v>2.5</v>
      </c>
      <c r="I1282">
        <v>11</v>
      </c>
      <c r="J1282">
        <v>47</v>
      </c>
      <c r="K1282" t="s">
        <v>3064</v>
      </c>
      <c r="L1282" s="6" t="s">
        <v>1374</v>
      </c>
      <c r="M1282" s="6">
        <v>10</v>
      </c>
      <c r="N1282" s="6">
        <v>2</v>
      </c>
      <c r="O1282">
        <v>500</v>
      </c>
      <c r="P1282">
        <v>202605</v>
      </c>
      <c r="Q1282" t="s">
        <v>377</v>
      </c>
      <c r="R1282" t="s">
        <v>1353</v>
      </c>
      <c r="S1282">
        <f>Consulta1[[#This Row],[min_port]]/100</f>
        <v>1.4999999999999999E-2</v>
      </c>
      <c r="T1282" s="252">
        <f>Consulta1[[#This Row],[TETO_COMERCIAL]]/100</f>
        <v>2.5000000000000001E-2</v>
      </c>
      <c r="U1282" t="b">
        <f>Consulta1[[#This Row],[TETO_COMERCIAL_%]]=Consulta1[[#This Row],[TAXA]]</f>
        <v>0</v>
      </c>
      <c r="V1282" t="str">
        <f>CONCATENATE(Consulta1[[#This Row],[MES_ALTERACAO]],Consulta1[[#This Row],[VIRADA]])</f>
        <v>20260510</v>
      </c>
      <c r="W1282">
        <f>VLOOKUP(Consulta1[[#This Row],[Coluna2]],CALENDARIO!$J:$K,2,FALSE)</f>
        <v>5</v>
      </c>
    </row>
    <row r="1283" spans="1:23" x14ac:dyDescent="0.25">
      <c r="A1283" t="s">
        <v>3838</v>
      </c>
      <c r="B1283" t="str">
        <f>CONCATENATE(Consulta1[[#This Row],[id]],Consulta1[[#This Row],[EMPREGADOR]])</f>
        <v>1PREF SAO L PORT</v>
      </c>
      <c r="C1283" s="6">
        <f>IF(A1283=A1282,C1282+1,1)</f>
        <v>1</v>
      </c>
      <c r="D1283" t="s">
        <v>3927</v>
      </c>
      <c r="E1283" s="101">
        <v>2.5000000000000001E-2</v>
      </c>
      <c r="F1283" s="6">
        <v>120</v>
      </c>
      <c r="G1283" t="s">
        <v>1349</v>
      </c>
      <c r="H1283" s="82">
        <v>2.5</v>
      </c>
      <c r="I1283">
        <v>25</v>
      </c>
      <c r="J1283">
        <v>70</v>
      </c>
      <c r="K1283" t="s">
        <v>3928</v>
      </c>
      <c r="L1283" s="6" t="s">
        <v>1381</v>
      </c>
      <c r="M1283" s="6">
        <v>30</v>
      </c>
      <c r="N1283" s="6">
        <v>2</v>
      </c>
      <c r="O1283">
        <v>500</v>
      </c>
      <c r="P1283">
        <v>202605</v>
      </c>
      <c r="Q1283" t="s">
        <v>377</v>
      </c>
      <c r="R1283" t="s">
        <v>1353</v>
      </c>
      <c r="S1283">
        <f>Consulta1[[#This Row],[min_port]]/100</f>
        <v>1.3999999999999999E-2</v>
      </c>
      <c r="T1283" s="252">
        <f>Consulta1[[#This Row],[TETO_COMERCIAL]]/100</f>
        <v>2.5000000000000001E-2</v>
      </c>
      <c r="U1283" t="b">
        <f>Consulta1[[#This Row],[TETO_COMERCIAL_%]]=Consulta1[[#This Row],[TAXA]]</f>
        <v>1</v>
      </c>
      <c r="V1283" t="str">
        <f>CONCATENATE(Consulta1[[#This Row],[MES_ALTERACAO]],Consulta1[[#This Row],[VIRADA]])</f>
        <v>20260530</v>
      </c>
      <c r="W1283">
        <f>VLOOKUP(Consulta1[[#This Row],[Coluna2]],CALENDARIO!$J:$K,2,FALSE)</f>
        <v>20</v>
      </c>
    </row>
    <row r="1284" spans="1:23" x14ac:dyDescent="0.25">
      <c r="A1284" t="s">
        <v>3838</v>
      </c>
      <c r="B1284" t="str">
        <f>CONCATENATE(Consulta1[[#This Row],[id]],Consulta1[[#This Row],[EMPREGADOR]])</f>
        <v>2PREF SAO L PORT</v>
      </c>
      <c r="C1284" s="6">
        <f>IF(A1284=A1283,C1283+1,1)</f>
        <v>2</v>
      </c>
      <c r="D1284" t="s">
        <v>3929</v>
      </c>
      <c r="E1284" s="101">
        <v>2.4E-2</v>
      </c>
      <c r="F1284" s="6">
        <v>120</v>
      </c>
      <c r="G1284" t="s">
        <v>1349</v>
      </c>
      <c r="H1284" s="82">
        <v>2.5</v>
      </c>
      <c r="I1284">
        <v>25</v>
      </c>
      <c r="J1284">
        <v>70</v>
      </c>
      <c r="K1284" t="s">
        <v>3930</v>
      </c>
      <c r="L1284" s="6" t="s">
        <v>1381</v>
      </c>
      <c r="M1284" s="6">
        <v>30</v>
      </c>
      <c r="N1284" s="6">
        <v>2</v>
      </c>
      <c r="O1284">
        <v>500</v>
      </c>
      <c r="P1284">
        <v>202605</v>
      </c>
      <c r="Q1284" t="s">
        <v>377</v>
      </c>
      <c r="R1284" t="s">
        <v>1353</v>
      </c>
      <c r="S1284">
        <f>Consulta1[[#This Row],[min_port]]/100</f>
        <v>1.3999999999999999E-2</v>
      </c>
      <c r="T1284" s="252">
        <f>Consulta1[[#This Row],[TETO_COMERCIAL]]/100</f>
        <v>2.5000000000000001E-2</v>
      </c>
      <c r="U1284" t="b">
        <f>Consulta1[[#This Row],[TETO_COMERCIAL_%]]=Consulta1[[#This Row],[TAXA]]</f>
        <v>0</v>
      </c>
      <c r="V1284" t="str">
        <f>CONCATENATE(Consulta1[[#This Row],[MES_ALTERACAO]],Consulta1[[#This Row],[VIRADA]])</f>
        <v>20260530</v>
      </c>
      <c r="W1284">
        <f>VLOOKUP(Consulta1[[#This Row],[Coluna2]],CALENDARIO!$J:$K,2,FALSE)</f>
        <v>20</v>
      </c>
    </row>
    <row r="1285" spans="1:23" x14ac:dyDescent="0.25">
      <c r="A1285" t="s">
        <v>3838</v>
      </c>
      <c r="B1285" t="str">
        <f>CONCATENATE(Consulta1[[#This Row],[id]],Consulta1[[#This Row],[EMPREGADOR]])</f>
        <v>3PREF SAO L PORT</v>
      </c>
      <c r="C1285" s="6">
        <f>IF(A1285=A1284,C1284+1,1)</f>
        <v>3</v>
      </c>
      <c r="D1285" t="s">
        <v>3931</v>
      </c>
      <c r="E1285" s="101">
        <v>2.3E-2</v>
      </c>
      <c r="F1285" s="6">
        <v>120</v>
      </c>
      <c r="G1285" t="s">
        <v>1349</v>
      </c>
      <c r="H1285" s="82">
        <v>2.5</v>
      </c>
      <c r="I1285">
        <v>25</v>
      </c>
      <c r="J1285">
        <v>70</v>
      </c>
      <c r="K1285" t="s">
        <v>3932</v>
      </c>
      <c r="L1285" s="6" t="s">
        <v>1381</v>
      </c>
      <c r="M1285" s="6">
        <v>30</v>
      </c>
      <c r="N1285" s="6">
        <v>2</v>
      </c>
      <c r="O1285">
        <v>500</v>
      </c>
      <c r="P1285">
        <v>202605</v>
      </c>
      <c r="Q1285" t="s">
        <v>377</v>
      </c>
      <c r="R1285" t="s">
        <v>1353</v>
      </c>
      <c r="S1285">
        <f>Consulta1[[#This Row],[min_port]]/100</f>
        <v>1.3999999999999999E-2</v>
      </c>
      <c r="T1285" s="252">
        <f>Consulta1[[#This Row],[TETO_COMERCIAL]]/100</f>
        <v>2.5000000000000001E-2</v>
      </c>
      <c r="U1285" t="b">
        <f>Consulta1[[#This Row],[TETO_COMERCIAL_%]]=Consulta1[[#This Row],[TAXA]]</f>
        <v>0</v>
      </c>
      <c r="V1285" t="str">
        <f>CONCATENATE(Consulta1[[#This Row],[MES_ALTERACAO]],Consulta1[[#This Row],[VIRADA]])</f>
        <v>20260530</v>
      </c>
      <c r="W1285">
        <f>VLOOKUP(Consulta1[[#This Row],[Coluna2]],CALENDARIO!$J:$K,2,FALSE)</f>
        <v>20</v>
      </c>
    </row>
    <row r="1286" spans="1:23" x14ac:dyDescent="0.25">
      <c r="A1286" t="s">
        <v>3838</v>
      </c>
      <c r="B1286" t="str">
        <f>CONCATENATE(Consulta1[[#This Row],[id]],Consulta1[[#This Row],[EMPREGADOR]])</f>
        <v>4PREF SAO L PORT</v>
      </c>
      <c r="C1286" s="6">
        <f>IF(A1286=A1285,C1285+1,1)</f>
        <v>4</v>
      </c>
      <c r="D1286" t="s">
        <v>3933</v>
      </c>
      <c r="E1286" s="101">
        <v>2.2000000000000002E-2</v>
      </c>
      <c r="F1286" s="6">
        <v>120</v>
      </c>
      <c r="G1286" t="s">
        <v>1349</v>
      </c>
      <c r="H1286" s="82">
        <v>2.5</v>
      </c>
      <c r="I1286">
        <v>25</v>
      </c>
      <c r="J1286">
        <v>70</v>
      </c>
      <c r="K1286" t="s">
        <v>3934</v>
      </c>
      <c r="L1286" s="6" t="s">
        <v>1381</v>
      </c>
      <c r="M1286" s="6">
        <v>30</v>
      </c>
      <c r="N1286" s="6">
        <v>2</v>
      </c>
      <c r="O1286">
        <v>500</v>
      </c>
      <c r="P1286">
        <v>202605</v>
      </c>
      <c r="Q1286" t="s">
        <v>377</v>
      </c>
      <c r="R1286" t="s">
        <v>1353</v>
      </c>
      <c r="S1286">
        <f>Consulta1[[#This Row],[min_port]]/100</f>
        <v>1.3999999999999999E-2</v>
      </c>
      <c r="T1286" s="252">
        <f>Consulta1[[#This Row],[TETO_COMERCIAL]]/100</f>
        <v>2.5000000000000001E-2</v>
      </c>
      <c r="U1286" t="b">
        <f>Consulta1[[#This Row],[TETO_COMERCIAL_%]]=Consulta1[[#This Row],[TAXA]]</f>
        <v>0</v>
      </c>
      <c r="V1286" t="str">
        <f>CONCATENATE(Consulta1[[#This Row],[MES_ALTERACAO]],Consulta1[[#This Row],[VIRADA]])</f>
        <v>20260530</v>
      </c>
      <c r="W1286">
        <f>VLOOKUP(Consulta1[[#This Row],[Coluna2]],CALENDARIO!$J:$K,2,FALSE)</f>
        <v>20</v>
      </c>
    </row>
    <row r="1287" spans="1:23" x14ac:dyDescent="0.25">
      <c r="A1287" t="s">
        <v>3838</v>
      </c>
      <c r="B1287" t="str">
        <f>CONCATENATE(Consulta1[[#This Row],[id]],Consulta1[[#This Row],[EMPREGADOR]])</f>
        <v>5PREF SAO L PORT</v>
      </c>
      <c r="C1287" s="6">
        <f>IF(A1287=A1286,C1286+1,1)</f>
        <v>5</v>
      </c>
      <c r="D1287" t="s">
        <v>3935</v>
      </c>
      <c r="E1287" s="101">
        <v>2.1000000000000001E-2</v>
      </c>
      <c r="F1287" s="6">
        <v>120</v>
      </c>
      <c r="G1287" t="s">
        <v>1349</v>
      </c>
      <c r="H1287" s="82">
        <v>2.5</v>
      </c>
      <c r="I1287">
        <v>25</v>
      </c>
      <c r="J1287">
        <v>70</v>
      </c>
      <c r="K1287" t="s">
        <v>3936</v>
      </c>
      <c r="L1287" s="6" t="s">
        <v>1381</v>
      </c>
      <c r="M1287" s="6">
        <v>30</v>
      </c>
      <c r="N1287" s="6">
        <v>2</v>
      </c>
      <c r="O1287">
        <v>500</v>
      </c>
      <c r="P1287">
        <v>202605</v>
      </c>
      <c r="Q1287" t="s">
        <v>377</v>
      </c>
      <c r="R1287" t="s">
        <v>1353</v>
      </c>
      <c r="S1287">
        <f>Consulta1[[#This Row],[min_port]]/100</f>
        <v>1.3999999999999999E-2</v>
      </c>
      <c r="T1287" s="252">
        <f>Consulta1[[#This Row],[TETO_COMERCIAL]]/100</f>
        <v>2.5000000000000001E-2</v>
      </c>
      <c r="U1287" t="b">
        <f>Consulta1[[#This Row],[TETO_COMERCIAL_%]]=Consulta1[[#This Row],[TAXA]]</f>
        <v>0</v>
      </c>
      <c r="V1287" t="str">
        <f>CONCATENATE(Consulta1[[#This Row],[MES_ALTERACAO]],Consulta1[[#This Row],[VIRADA]])</f>
        <v>20260530</v>
      </c>
      <c r="W1287">
        <f>VLOOKUP(Consulta1[[#This Row],[Coluna2]],CALENDARIO!$J:$K,2,FALSE)</f>
        <v>20</v>
      </c>
    </row>
    <row r="1288" spans="1:23" x14ac:dyDescent="0.25">
      <c r="A1288" t="s">
        <v>3838</v>
      </c>
      <c r="B1288" t="str">
        <f>CONCATENATE(Consulta1[[#This Row],[id]],Consulta1[[#This Row],[EMPREGADOR]])</f>
        <v>6PREF SAO L PORT</v>
      </c>
      <c r="C1288" s="6">
        <f>IF(A1288=A1287,C1287+1,1)</f>
        <v>6</v>
      </c>
      <c r="D1288" t="s">
        <v>3937</v>
      </c>
      <c r="E1288" s="101">
        <v>1.83E-2</v>
      </c>
      <c r="F1288" s="6">
        <v>120</v>
      </c>
      <c r="G1288" t="s">
        <v>1349</v>
      </c>
      <c r="H1288" s="82">
        <v>2.5</v>
      </c>
      <c r="I1288">
        <v>25</v>
      </c>
      <c r="J1288">
        <v>70</v>
      </c>
      <c r="K1288" t="s">
        <v>3938</v>
      </c>
      <c r="L1288" s="6" t="s">
        <v>1381</v>
      </c>
      <c r="M1288" s="6">
        <v>30</v>
      </c>
      <c r="N1288" s="6">
        <v>2</v>
      </c>
      <c r="O1288">
        <v>30000</v>
      </c>
      <c r="P1288">
        <v>202605</v>
      </c>
      <c r="Q1288" t="s">
        <v>377</v>
      </c>
      <c r="R1288" t="s">
        <v>1353</v>
      </c>
      <c r="S1288">
        <f>Consulta1[[#This Row],[min_port]]/100</f>
        <v>1.3999999999999999E-2</v>
      </c>
      <c r="T1288" s="252">
        <f>Consulta1[[#This Row],[TETO_COMERCIAL]]/100</f>
        <v>2.5000000000000001E-2</v>
      </c>
      <c r="U1288" t="b">
        <f>Consulta1[[#This Row],[TETO_COMERCIAL_%]]=Consulta1[[#This Row],[TAXA]]</f>
        <v>0</v>
      </c>
      <c r="V1288" t="str">
        <f>CONCATENATE(Consulta1[[#This Row],[MES_ALTERACAO]],Consulta1[[#This Row],[VIRADA]])</f>
        <v>20260530</v>
      </c>
      <c r="W1288">
        <f>VLOOKUP(Consulta1[[#This Row],[Coluna2]],CALENDARIO!$J:$K,2,FALSE)</f>
        <v>20</v>
      </c>
    </row>
    <row r="1289" spans="1:23" x14ac:dyDescent="0.25">
      <c r="A1289" t="s">
        <v>3838</v>
      </c>
      <c r="B1289" t="str">
        <f>CONCATENATE(Consulta1[[#This Row],[id]],Consulta1[[#This Row],[EMPREGADOR]])</f>
        <v>7PREF SAO L PORT</v>
      </c>
      <c r="C1289" s="6">
        <f>IF(A1289=A1288,C1288+1,1)</f>
        <v>7</v>
      </c>
      <c r="D1289" t="s">
        <v>3939</v>
      </c>
      <c r="E1289" s="101">
        <v>1.7899999999999999E-2</v>
      </c>
      <c r="F1289" s="6">
        <v>120</v>
      </c>
      <c r="G1289" t="s">
        <v>1349</v>
      </c>
      <c r="H1289" s="82">
        <v>2.5</v>
      </c>
      <c r="I1289">
        <v>25</v>
      </c>
      <c r="J1289">
        <v>70</v>
      </c>
      <c r="K1289" t="s">
        <v>3940</v>
      </c>
      <c r="L1289" s="6" t="s">
        <v>1381</v>
      </c>
      <c r="M1289" s="6">
        <v>30</v>
      </c>
      <c r="N1289" s="6">
        <v>2</v>
      </c>
      <c r="O1289">
        <v>50000</v>
      </c>
      <c r="P1289">
        <v>202605</v>
      </c>
      <c r="Q1289" t="s">
        <v>377</v>
      </c>
      <c r="R1289" t="s">
        <v>1353</v>
      </c>
      <c r="S1289">
        <f>Consulta1[[#This Row],[min_port]]/100</f>
        <v>1.3999999999999999E-2</v>
      </c>
      <c r="T1289" s="252">
        <f>Consulta1[[#This Row],[TETO_COMERCIAL]]/100</f>
        <v>2.5000000000000001E-2</v>
      </c>
      <c r="U1289" t="b">
        <f>Consulta1[[#This Row],[TETO_COMERCIAL_%]]=Consulta1[[#This Row],[TAXA]]</f>
        <v>0</v>
      </c>
      <c r="V1289" t="str">
        <f>CONCATENATE(Consulta1[[#This Row],[MES_ALTERACAO]],Consulta1[[#This Row],[VIRADA]])</f>
        <v>20260530</v>
      </c>
      <c r="W1289">
        <f>VLOOKUP(Consulta1[[#This Row],[Coluna2]],CALENDARIO!$J:$K,2,FALSE)</f>
        <v>20</v>
      </c>
    </row>
    <row r="1290" spans="1:23" x14ac:dyDescent="0.25">
      <c r="A1290" t="s">
        <v>3941</v>
      </c>
      <c r="B1290" t="str">
        <f>CONCATENATE(Consulta1[[#This Row],[id]],Consulta1[[#This Row],[EMPREGADOR]])</f>
        <v>1PREF SAO L PORT CLT</v>
      </c>
      <c r="C1290" s="6">
        <f>IF(A1290=A1289,C1289+1,1)</f>
        <v>1</v>
      </c>
      <c r="D1290" t="s">
        <v>3942</v>
      </c>
      <c r="E1290" s="101">
        <v>2.5000000000000001E-2</v>
      </c>
      <c r="F1290" s="6">
        <v>120</v>
      </c>
      <c r="G1290" t="s">
        <v>1349</v>
      </c>
      <c r="H1290" s="82">
        <v>2.5</v>
      </c>
      <c r="I1290">
        <v>25</v>
      </c>
      <c r="J1290">
        <v>70</v>
      </c>
      <c r="K1290" t="s">
        <v>3943</v>
      </c>
      <c r="L1290" s="6" t="s">
        <v>1381</v>
      </c>
      <c r="M1290" s="6">
        <v>30</v>
      </c>
      <c r="N1290" s="6">
        <v>2</v>
      </c>
      <c r="O1290">
        <v>500</v>
      </c>
      <c r="P1290">
        <v>202605</v>
      </c>
      <c r="Q1290" t="s">
        <v>377</v>
      </c>
      <c r="R1290" t="s">
        <v>1353</v>
      </c>
      <c r="S1290">
        <f>Consulta1[[#This Row],[min_port]]/100</f>
        <v>1.3999999999999999E-2</v>
      </c>
      <c r="T1290" s="252">
        <f>Consulta1[[#This Row],[TETO_COMERCIAL]]/100</f>
        <v>2.5000000000000001E-2</v>
      </c>
      <c r="U1290" t="b">
        <f>Consulta1[[#This Row],[TETO_COMERCIAL_%]]=Consulta1[[#This Row],[TAXA]]</f>
        <v>1</v>
      </c>
      <c r="V1290" t="str">
        <f>CONCATENATE(Consulta1[[#This Row],[MES_ALTERACAO]],Consulta1[[#This Row],[VIRADA]])</f>
        <v>20260530</v>
      </c>
      <c r="W1290">
        <f>VLOOKUP(Consulta1[[#This Row],[Coluna2]],CALENDARIO!$J:$K,2,FALSE)</f>
        <v>20</v>
      </c>
    </row>
    <row r="1291" spans="1:23" x14ac:dyDescent="0.25">
      <c r="A1291" t="s">
        <v>3941</v>
      </c>
      <c r="B1291" t="str">
        <f>CONCATENATE(Consulta1[[#This Row],[id]],Consulta1[[#This Row],[EMPREGADOR]])</f>
        <v>2PREF SAO L PORT CLT</v>
      </c>
      <c r="C1291" s="6">
        <f>IF(A1291=A1290,C1290+1,1)</f>
        <v>2</v>
      </c>
      <c r="D1291" t="s">
        <v>3944</v>
      </c>
      <c r="E1291" s="101">
        <v>2.4E-2</v>
      </c>
      <c r="F1291" s="6">
        <v>120</v>
      </c>
      <c r="G1291" t="s">
        <v>1349</v>
      </c>
      <c r="H1291" s="82">
        <v>2.5</v>
      </c>
      <c r="I1291">
        <v>25</v>
      </c>
      <c r="J1291">
        <v>70</v>
      </c>
      <c r="K1291" t="s">
        <v>3945</v>
      </c>
      <c r="L1291" s="6" t="s">
        <v>1381</v>
      </c>
      <c r="M1291" s="6">
        <v>30</v>
      </c>
      <c r="N1291" s="6">
        <v>2</v>
      </c>
      <c r="O1291">
        <v>500</v>
      </c>
      <c r="P1291">
        <v>202605</v>
      </c>
      <c r="Q1291" t="s">
        <v>377</v>
      </c>
      <c r="R1291" t="s">
        <v>1353</v>
      </c>
      <c r="S1291">
        <f>Consulta1[[#This Row],[min_port]]/100</f>
        <v>1.3999999999999999E-2</v>
      </c>
      <c r="T1291" s="252">
        <f>Consulta1[[#This Row],[TETO_COMERCIAL]]/100</f>
        <v>2.5000000000000001E-2</v>
      </c>
      <c r="U1291" t="b">
        <f>Consulta1[[#This Row],[TETO_COMERCIAL_%]]=Consulta1[[#This Row],[TAXA]]</f>
        <v>0</v>
      </c>
      <c r="V1291" t="str">
        <f>CONCATENATE(Consulta1[[#This Row],[MES_ALTERACAO]],Consulta1[[#This Row],[VIRADA]])</f>
        <v>20260530</v>
      </c>
      <c r="W1291">
        <f>VLOOKUP(Consulta1[[#This Row],[Coluna2]],CALENDARIO!$J:$K,2,FALSE)</f>
        <v>20</v>
      </c>
    </row>
    <row r="1292" spans="1:23" x14ac:dyDescent="0.25">
      <c r="A1292" t="s">
        <v>3941</v>
      </c>
      <c r="B1292" t="str">
        <f>CONCATENATE(Consulta1[[#This Row],[id]],Consulta1[[#This Row],[EMPREGADOR]])</f>
        <v>3PREF SAO L PORT CLT</v>
      </c>
      <c r="C1292" s="6">
        <f>IF(A1292=A1291,C1291+1,1)</f>
        <v>3</v>
      </c>
      <c r="D1292" t="s">
        <v>3946</v>
      </c>
      <c r="E1292" s="101">
        <v>2.3E-2</v>
      </c>
      <c r="F1292" s="6">
        <v>120</v>
      </c>
      <c r="G1292" t="s">
        <v>1349</v>
      </c>
      <c r="H1292" s="82">
        <v>2.5</v>
      </c>
      <c r="I1292">
        <v>25</v>
      </c>
      <c r="J1292">
        <v>70</v>
      </c>
      <c r="K1292" t="s">
        <v>3947</v>
      </c>
      <c r="L1292" s="6" t="s">
        <v>1381</v>
      </c>
      <c r="M1292" s="6">
        <v>30</v>
      </c>
      <c r="N1292" s="6">
        <v>2</v>
      </c>
      <c r="O1292">
        <v>500</v>
      </c>
      <c r="P1292">
        <v>202605</v>
      </c>
      <c r="Q1292" t="s">
        <v>377</v>
      </c>
      <c r="R1292" t="s">
        <v>1353</v>
      </c>
      <c r="S1292">
        <f>Consulta1[[#This Row],[min_port]]/100</f>
        <v>1.3999999999999999E-2</v>
      </c>
      <c r="T1292" s="252">
        <f>Consulta1[[#This Row],[TETO_COMERCIAL]]/100</f>
        <v>2.5000000000000001E-2</v>
      </c>
      <c r="U1292" t="b">
        <f>Consulta1[[#This Row],[TETO_COMERCIAL_%]]=Consulta1[[#This Row],[TAXA]]</f>
        <v>0</v>
      </c>
      <c r="V1292" t="str">
        <f>CONCATENATE(Consulta1[[#This Row],[MES_ALTERACAO]],Consulta1[[#This Row],[VIRADA]])</f>
        <v>20260530</v>
      </c>
      <c r="W1292">
        <f>VLOOKUP(Consulta1[[#This Row],[Coluna2]],CALENDARIO!$J:$K,2,FALSE)</f>
        <v>20</v>
      </c>
    </row>
    <row r="1293" spans="1:23" x14ac:dyDescent="0.25">
      <c r="A1293" t="s">
        <v>3941</v>
      </c>
      <c r="B1293" t="str">
        <f>CONCATENATE(Consulta1[[#This Row],[id]],Consulta1[[#This Row],[EMPREGADOR]])</f>
        <v>4PREF SAO L PORT CLT</v>
      </c>
      <c r="C1293" s="6">
        <f>IF(A1293=A1292,C1292+1,1)</f>
        <v>4</v>
      </c>
      <c r="D1293" t="s">
        <v>3948</v>
      </c>
      <c r="E1293" s="101">
        <v>2.2000000000000002E-2</v>
      </c>
      <c r="F1293" s="6">
        <v>120</v>
      </c>
      <c r="G1293" t="s">
        <v>1349</v>
      </c>
      <c r="H1293" s="82">
        <v>2.5</v>
      </c>
      <c r="I1293">
        <v>25</v>
      </c>
      <c r="J1293">
        <v>70</v>
      </c>
      <c r="K1293" t="s">
        <v>3949</v>
      </c>
      <c r="L1293" s="6" t="s">
        <v>1381</v>
      </c>
      <c r="M1293" s="6">
        <v>30</v>
      </c>
      <c r="N1293" s="6">
        <v>2</v>
      </c>
      <c r="O1293">
        <v>500</v>
      </c>
      <c r="P1293">
        <v>202605</v>
      </c>
      <c r="Q1293" t="s">
        <v>377</v>
      </c>
      <c r="R1293" t="s">
        <v>1353</v>
      </c>
      <c r="S1293">
        <f>Consulta1[[#This Row],[min_port]]/100</f>
        <v>1.3999999999999999E-2</v>
      </c>
      <c r="T1293" s="252">
        <f>Consulta1[[#This Row],[TETO_COMERCIAL]]/100</f>
        <v>2.5000000000000001E-2</v>
      </c>
      <c r="U1293" t="b">
        <f>Consulta1[[#This Row],[TETO_COMERCIAL_%]]=Consulta1[[#This Row],[TAXA]]</f>
        <v>0</v>
      </c>
      <c r="V1293" t="str">
        <f>CONCATENATE(Consulta1[[#This Row],[MES_ALTERACAO]],Consulta1[[#This Row],[VIRADA]])</f>
        <v>20260530</v>
      </c>
      <c r="W1293">
        <f>VLOOKUP(Consulta1[[#This Row],[Coluna2]],CALENDARIO!$J:$K,2,FALSE)</f>
        <v>20</v>
      </c>
    </row>
    <row r="1294" spans="1:23" x14ac:dyDescent="0.25">
      <c r="A1294" t="s">
        <v>3941</v>
      </c>
      <c r="B1294" t="str">
        <f>CONCATENATE(Consulta1[[#This Row],[id]],Consulta1[[#This Row],[EMPREGADOR]])</f>
        <v>5PREF SAO L PORT CLT</v>
      </c>
      <c r="C1294" s="6">
        <f>IF(A1294=A1293,C1293+1,1)</f>
        <v>5</v>
      </c>
      <c r="D1294" t="s">
        <v>3950</v>
      </c>
      <c r="E1294" s="101">
        <v>2.1000000000000001E-2</v>
      </c>
      <c r="F1294" s="6">
        <v>120</v>
      </c>
      <c r="G1294" t="s">
        <v>1349</v>
      </c>
      <c r="H1294" s="82">
        <v>2.5</v>
      </c>
      <c r="I1294">
        <v>25</v>
      </c>
      <c r="J1294">
        <v>70</v>
      </c>
      <c r="K1294" t="s">
        <v>3951</v>
      </c>
      <c r="L1294" s="6" t="s">
        <v>1381</v>
      </c>
      <c r="M1294" s="6">
        <v>30</v>
      </c>
      <c r="N1294" s="6">
        <v>2</v>
      </c>
      <c r="O1294">
        <v>500</v>
      </c>
      <c r="P1294">
        <v>202605</v>
      </c>
      <c r="Q1294" t="s">
        <v>377</v>
      </c>
      <c r="R1294" t="s">
        <v>1353</v>
      </c>
      <c r="S1294">
        <f>Consulta1[[#This Row],[min_port]]/100</f>
        <v>1.3999999999999999E-2</v>
      </c>
      <c r="T1294" s="252">
        <f>Consulta1[[#This Row],[TETO_COMERCIAL]]/100</f>
        <v>2.5000000000000001E-2</v>
      </c>
      <c r="U1294" t="b">
        <f>Consulta1[[#This Row],[TETO_COMERCIAL_%]]=Consulta1[[#This Row],[TAXA]]</f>
        <v>0</v>
      </c>
      <c r="V1294" t="str">
        <f>CONCATENATE(Consulta1[[#This Row],[MES_ALTERACAO]],Consulta1[[#This Row],[VIRADA]])</f>
        <v>20260530</v>
      </c>
      <c r="W1294">
        <f>VLOOKUP(Consulta1[[#This Row],[Coluna2]],CALENDARIO!$J:$K,2,FALSE)</f>
        <v>20</v>
      </c>
    </row>
    <row r="1295" spans="1:23" x14ac:dyDescent="0.25">
      <c r="A1295" t="s">
        <v>3941</v>
      </c>
      <c r="B1295" t="str">
        <f>CONCATENATE(Consulta1[[#This Row],[id]],Consulta1[[#This Row],[EMPREGADOR]])</f>
        <v>6PREF SAO L PORT CLT</v>
      </c>
      <c r="C1295" s="6">
        <f>IF(A1295=A1294,C1294+1,1)</f>
        <v>6</v>
      </c>
      <c r="D1295" t="s">
        <v>3952</v>
      </c>
      <c r="E1295" s="101">
        <v>1.83E-2</v>
      </c>
      <c r="F1295" s="6">
        <v>120</v>
      </c>
      <c r="G1295" t="s">
        <v>1349</v>
      </c>
      <c r="H1295" s="82">
        <v>2.5</v>
      </c>
      <c r="I1295">
        <v>25</v>
      </c>
      <c r="J1295">
        <v>70</v>
      </c>
      <c r="K1295" t="s">
        <v>3953</v>
      </c>
      <c r="L1295" s="6" t="s">
        <v>1381</v>
      </c>
      <c r="M1295" s="6">
        <v>30</v>
      </c>
      <c r="N1295" s="6">
        <v>2</v>
      </c>
      <c r="O1295">
        <v>30000</v>
      </c>
      <c r="P1295">
        <v>202605</v>
      </c>
      <c r="Q1295" t="s">
        <v>377</v>
      </c>
      <c r="R1295" t="s">
        <v>1353</v>
      </c>
      <c r="S1295">
        <f>Consulta1[[#This Row],[min_port]]/100</f>
        <v>1.3999999999999999E-2</v>
      </c>
      <c r="T1295" s="252">
        <f>Consulta1[[#This Row],[TETO_COMERCIAL]]/100</f>
        <v>2.5000000000000001E-2</v>
      </c>
      <c r="U1295" t="b">
        <f>Consulta1[[#This Row],[TETO_COMERCIAL_%]]=Consulta1[[#This Row],[TAXA]]</f>
        <v>0</v>
      </c>
      <c r="V1295" t="str">
        <f>CONCATENATE(Consulta1[[#This Row],[MES_ALTERACAO]],Consulta1[[#This Row],[VIRADA]])</f>
        <v>20260530</v>
      </c>
      <c r="W1295">
        <f>VLOOKUP(Consulta1[[#This Row],[Coluna2]],CALENDARIO!$J:$K,2,FALSE)</f>
        <v>20</v>
      </c>
    </row>
    <row r="1296" spans="1:23" x14ac:dyDescent="0.25">
      <c r="A1296" t="s">
        <v>3941</v>
      </c>
      <c r="B1296" t="str">
        <f>CONCATENATE(Consulta1[[#This Row],[id]],Consulta1[[#This Row],[EMPREGADOR]])</f>
        <v>7PREF SAO L PORT CLT</v>
      </c>
      <c r="C1296" s="6">
        <f>IF(A1296=A1295,C1295+1,1)</f>
        <v>7</v>
      </c>
      <c r="D1296" t="s">
        <v>3954</v>
      </c>
      <c r="E1296" s="101">
        <v>1.7899999999999999E-2</v>
      </c>
      <c r="F1296" s="6">
        <v>120</v>
      </c>
      <c r="G1296" t="s">
        <v>1349</v>
      </c>
      <c r="H1296" s="82">
        <v>2.5</v>
      </c>
      <c r="I1296">
        <v>25</v>
      </c>
      <c r="J1296">
        <v>70</v>
      </c>
      <c r="K1296" t="s">
        <v>3955</v>
      </c>
      <c r="L1296" s="6" t="s">
        <v>1381</v>
      </c>
      <c r="M1296" s="6">
        <v>30</v>
      </c>
      <c r="N1296" s="6">
        <v>2</v>
      </c>
      <c r="O1296">
        <v>50000</v>
      </c>
      <c r="P1296">
        <v>202605</v>
      </c>
      <c r="Q1296" t="s">
        <v>377</v>
      </c>
      <c r="R1296" t="s">
        <v>1353</v>
      </c>
      <c r="S1296">
        <f>Consulta1[[#This Row],[min_port]]/100</f>
        <v>1.3999999999999999E-2</v>
      </c>
      <c r="T1296" s="252">
        <f>Consulta1[[#This Row],[TETO_COMERCIAL]]/100</f>
        <v>2.5000000000000001E-2</v>
      </c>
      <c r="U1296" t="b">
        <f>Consulta1[[#This Row],[TETO_COMERCIAL_%]]=Consulta1[[#This Row],[TAXA]]</f>
        <v>0</v>
      </c>
      <c r="V1296" t="str">
        <f>CONCATENATE(Consulta1[[#This Row],[MES_ALTERACAO]],Consulta1[[#This Row],[VIRADA]])</f>
        <v>20260530</v>
      </c>
      <c r="W1296">
        <f>VLOOKUP(Consulta1[[#This Row],[Coluna2]],CALENDARIO!$J:$K,2,FALSE)</f>
        <v>20</v>
      </c>
    </row>
    <row r="1297" spans="1:23" x14ac:dyDescent="0.25">
      <c r="A1297" t="s">
        <v>3839</v>
      </c>
      <c r="B1297" t="str">
        <f>CONCATENATE(Consulta1[[#This Row],[id]],Consulta1[[#This Row],[EMPREGADOR]])</f>
        <v>1PREF SAO LUIS M</v>
      </c>
      <c r="C1297" s="6">
        <f>IF(A1297=A1296,C1296+1,1)</f>
        <v>1</v>
      </c>
      <c r="D1297" t="s">
        <v>3494</v>
      </c>
      <c r="E1297" s="101">
        <v>1.83E-2</v>
      </c>
      <c r="F1297" s="6">
        <v>120</v>
      </c>
      <c r="G1297" t="s">
        <v>1349</v>
      </c>
      <c r="H1297" s="82">
        <v>2.5</v>
      </c>
      <c r="I1297">
        <v>25</v>
      </c>
      <c r="J1297">
        <v>70</v>
      </c>
      <c r="K1297" t="s">
        <v>3495</v>
      </c>
      <c r="L1297" s="6" t="s">
        <v>1381</v>
      </c>
      <c r="M1297" s="6">
        <v>30</v>
      </c>
      <c r="N1297" s="6">
        <v>2</v>
      </c>
      <c r="O1297">
        <v>30000</v>
      </c>
      <c r="P1297">
        <v>202605</v>
      </c>
      <c r="Q1297" t="s">
        <v>377</v>
      </c>
      <c r="R1297" t="s">
        <v>1353</v>
      </c>
      <c r="S1297">
        <f>Consulta1[[#This Row],[min_port]]/100</f>
        <v>1.3999999999999999E-2</v>
      </c>
      <c r="T1297" s="252">
        <f>Consulta1[[#This Row],[TETO_COMERCIAL]]/100</f>
        <v>2.5000000000000001E-2</v>
      </c>
      <c r="U1297" t="b">
        <f>Consulta1[[#This Row],[TETO_COMERCIAL_%]]=Consulta1[[#This Row],[TAXA]]</f>
        <v>0</v>
      </c>
      <c r="V1297" t="str">
        <f>CONCATENATE(Consulta1[[#This Row],[MES_ALTERACAO]],Consulta1[[#This Row],[VIRADA]])</f>
        <v>20260530</v>
      </c>
      <c r="W1297">
        <f>VLOOKUP(Consulta1[[#This Row],[Coluna2]],CALENDARIO!$J:$K,2,FALSE)</f>
        <v>20</v>
      </c>
    </row>
    <row r="1298" spans="1:23" x14ac:dyDescent="0.25">
      <c r="A1298" t="s">
        <v>3839</v>
      </c>
      <c r="B1298" t="str">
        <f>CONCATENATE(Consulta1[[#This Row],[id]],Consulta1[[#This Row],[EMPREGADOR]])</f>
        <v>2PREF SAO LUIS M</v>
      </c>
      <c r="C1298" s="6">
        <f>IF(A1298=A1297,C1297+1,1)</f>
        <v>2</v>
      </c>
      <c r="D1298" t="s">
        <v>3496</v>
      </c>
      <c r="E1298" s="101">
        <v>1.7899999999999999E-2</v>
      </c>
      <c r="F1298" s="6">
        <v>120</v>
      </c>
      <c r="G1298" t="s">
        <v>1349</v>
      </c>
      <c r="H1298" s="82">
        <v>2.5</v>
      </c>
      <c r="I1298">
        <v>25</v>
      </c>
      <c r="J1298">
        <v>70</v>
      </c>
      <c r="K1298" t="s">
        <v>3497</v>
      </c>
      <c r="L1298" s="6" t="s">
        <v>1381</v>
      </c>
      <c r="M1298" s="6">
        <v>30</v>
      </c>
      <c r="N1298" s="6">
        <v>2</v>
      </c>
      <c r="O1298">
        <v>50000</v>
      </c>
      <c r="P1298">
        <v>202605</v>
      </c>
      <c r="Q1298" t="s">
        <v>377</v>
      </c>
      <c r="R1298" t="s">
        <v>1353</v>
      </c>
      <c r="S1298">
        <f>Consulta1[[#This Row],[min_port]]/100</f>
        <v>1.3999999999999999E-2</v>
      </c>
      <c r="T1298" s="252">
        <f>Consulta1[[#This Row],[TETO_COMERCIAL]]/100</f>
        <v>2.5000000000000001E-2</v>
      </c>
      <c r="U1298" t="b">
        <f>Consulta1[[#This Row],[TETO_COMERCIAL_%]]=Consulta1[[#This Row],[TAXA]]</f>
        <v>0</v>
      </c>
      <c r="V1298" t="str">
        <f>CONCATENATE(Consulta1[[#This Row],[MES_ALTERACAO]],Consulta1[[#This Row],[VIRADA]])</f>
        <v>20260530</v>
      </c>
      <c r="W1298">
        <f>VLOOKUP(Consulta1[[#This Row],[Coluna2]],CALENDARIO!$J:$K,2,FALSE)</f>
        <v>20</v>
      </c>
    </row>
    <row r="1299" spans="1:23" x14ac:dyDescent="0.25">
      <c r="A1299" t="s">
        <v>3956</v>
      </c>
      <c r="B1299" t="str">
        <f>CONCATENATE(Consulta1[[#This Row],[id]],Consulta1[[#This Row],[EMPREGADOR]])</f>
        <v>1PREF SAO LUIS M CLT</v>
      </c>
      <c r="C1299" s="6">
        <f>IF(A1299=A1298,C1298+1,1)</f>
        <v>1</v>
      </c>
      <c r="D1299" t="s">
        <v>3498</v>
      </c>
      <c r="E1299" s="101">
        <v>1.83E-2</v>
      </c>
      <c r="F1299" s="6">
        <v>120</v>
      </c>
      <c r="G1299" t="s">
        <v>1349</v>
      </c>
      <c r="H1299" s="82">
        <v>2.5</v>
      </c>
      <c r="I1299">
        <v>25</v>
      </c>
      <c r="J1299">
        <v>70</v>
      </c>
      <c r="K1299" t="s">
        <v>3499</v>
      </c>
      <c r="L1299" s="6" t="s">
        <v>1381</v>
      </c>
      <c r="M1299" s="6">
        <v>30</v>
      </c>
      <c r="N1299" s="6">
        <v>2</v>
      </c>
      <c r="O1299">
        <v>30000</v>
      </c>
      <c r="P1299">
        <v>202605</v>
      </c>
      <c r="Q1299" t="s">
        <v>377</v>
      </c>
      <c r="R1299" t="s">
        <v>1353</v>
      </c>
      <c r="S1299">
        <f>Consulta1[[#This Row],[min_port]]/100</f>
        <v>1.3999999999999999E-2</v>
      </c>
      <c r="T1299" s="252">
        <f>Consulta1[[#This Row],[TETO_COMERCIAL]]/100</f>
        <v>2.5000000000000001E-2</v>
      </c>
      <c r="U1299" t="b">
        <f>Consulta1[[#This Row],[TETO_COMERCIAL_%]]=Consulta1[[#This Row],[TAXA]]</f>
        <v>0</v>
      </c>
      <c r="V1299" t="str">
        <f>CONCATENATE(Consulta1[[#This Row],[MES_ALTERACAO]],Consulta1[[#This Row],[VIRADA]])</f>
        <v>20260530</v>
      </c>
      <c r="W1299">
        <f>VLOOKUP(Consulta1[[#This Row],[Coluna2]],CALENDARIO!$J:$K,2,FALSE)</f>
        <v>20</v>
      </c>
    </row>
    <row r="1300" spans="1:23" x14ac:dyDescent="0.25">
      <c r="A1300" t="s">
        <v>3956</v>
      </c>
      <c r="B1300" t="str">
        <f>CONCATENATE(Consulta1[[#This Row],[id]],Consulta1[[#This Row],[EMPREGADOR]])</f>
        <v>2PREF SAO LUIS M CLT</v>
      </c>
      <c r="C1300" s="6">
        <f>IF(A1300=A1299,C1299+1,1)</f>
        <v>2</v>
      </c>
      <c r="D1300" t="s">
        <v>3500</v>
      </c>
      <c r="E1300" s="101">
        <v>1.7899999999999999E-2</v>
      </c>
      <c r="F1300" s="6">
        <v>120</v>
      </c>
      <c r="G1300" t="s">
        <v>1349</v>
      </c>
      <c r="H1300" s="82">
        <v>2.5</v>
      </c>
      <c r="I1300">
        <v>25</v>
      </c>
      <c r="J1300">
        <v>70</v>
      </c>
      <c r="K1300" t="s">
        <v>3501</v>
      </c>
      <c r="L1300" s="6" t="s">
        <v>1381</v>
      </c>
      <c r="M1300" s="6">
        <v>30</v>
      </c>
      <c r="N1300" s="6">
        <v>2</v>
      </c>
      <c r="O1300">
        <v>50000</v>
      </c>
      <c r="P1300">
        <v>202605</v>
      </c>
      <c r="Q1300" t="s">
        <v>377</v>
      </c>
      <c r="R1300" t="s">
        <v>1353</v>
      </c>
      <c r="S1300">
        <f>Consulta1[[#This Row],[min_port]]/100</f>
        <v>1.3999999999999999E-2</v>
      </c>
      <c r="T1300" s="252">
        <f>Consulta1[[#This Row],[TETO_COMERCIAL]]/100</f>
        <v>2.5000000000000001E-2</v>
      </c>
      <c r="U1300" t="b">
        <f>Consulta1[[#This Row],[TETO_COMERCIAL_%]]=Consulta1[[#This Row],[TAXA]]</f>
        <v>0</v>
      </c>
      <c r="V1300" t="str">
        <f>CONCATENATE(Consulta1[[#This Row],[MES_ALTERACAO]],Consulta1[[#This Row],[VIRADA]])</f>
        <v>20260530</v>
      </c>
      <c r="W1300">
        <f>VLOOKUP(Consulta1[[#This Row],[Coluna2]],CALENDARIO!$J:$K,2,FALSE)</f>
        <v>20</v>
      </c>
    </row>
    <row r="1301" spans="1:23" x14ac:dyDescent="0.25">
      <c r="A1301" t="s">
        <v>3065</v>
      </c>
      <c r="B1301" t="str">
        <f>CONCATENATE(Consulta1[[#This Row],[id]],Consulta1[[#This Row],[EMPREGADOR]])</f>
        <v>1PREF SAO PAULO</v>
      </c>
      <c r="C1301" s="6">
        <f>IF(A1301=A1300,C1300+1,1)</f>
        <v>1</v>
      </c>
      <c r="D1301" t="s">
        <v>3255</v>
      </c>
      <c r="E1301" s="101">
        <v>2.4900000000000002E-2</v>
      </c>
      <c r="F1301" s="6">
        <v>120</v>
      </c>
      <c r="G1301" t="s">
        <v>1349</v>
      </c>
      <c r="H1301" s="82">
        <v>2.4900000000000002</v>
      </c>
      <c r="I1301">
        <v>15</v>
      </c>
      <c r="J1301">
        <v>57</v>
      </c>
      <c r="K1301" t="s">
        <v>3256</v>
      </c>
      <c r="L1301" s="6" t="s">
        <v>2591</v>
      </c>
      <c r="M1301" s="6">
        <v>7</v>
      </c>
      <c r="N1301" s="6">
        <v>2</v>
      </c>
      <c r="O1301">
        <v>500</v>
      </c>
      <c r="P1301">
        <v>202605</v>
      </c>
      <c r="Q1301" t="s">
        <v>377</v>
      </c>
      <c r="R1301" t="s">
        <v>1353</v>
      </c>
      <c r="S1301">
        <f>Consulta1[[#This Row],[min_port]]/100</f>
        <v>1.29E-2</v>
      </c>
      <c r="T1301" s="252">
        <f>Consulta1[[#This Row],[TETO_COMERCIAL]]/100</f>
        <v>2.4900000000000002E-2</v>
      </c>
      <c r="U1301" t="b">
        <f>Consulta1[[#This Row],[TETO_COMERCIAL_%]]=Consulta1[[#This Row],[TAXA]]</f>
        <v>1</v>
      </c>
      <c r="V1301" t="str">
        <f>CONCATENATE(Consulta1[[#This Row],[MES_ALTERACAO]],Consulta1[[#This Row],[VIRADA]])</f>
        <v>2026057</v>
      </c>
      <c r="W1301">
        <f>VLOOKUP(Consulta1[[#This Row],[Coluna2]],CALENDARIO!$J:$K,2,FALSE)</f>
        <v>4</v>
      </c>
    </row>
    <row r="1302" spans="1:23" x14ac:dyDescent="0.25">
      <c r="A1302" t="s">
        <v>3065</v>
      </c>
      <c r="B1302" t="str">
        <f>CONCATENATE(Consulta1[[#This Row],[id]],Consulta1[[#This Row],[EMPREGADOR]])</f>
        <v>2PREF SAO PAULO</v>
      </c>
      <c r="C1302" s="6">
        <f>IF(A1302=A1301,C1301+1,1)</f>
        <v>2</v>
      </c>
      <c r="D1302" t="s">
        <v>3257</v>
      </c>
      <c r="E1302" s="101">
        <v>2.3900000000000001E-2</v>
      </c>
      <c r="F1302" s="6">
        <v>120</v>
      </c>
      <c r="G1302" t="s">
        <v>1349</v>
      </c>
      <c r="H1302" s="82">
        <v>2.4900000000000002</v>
      </c>
      <c r="I1302">
        <v>15</v>
      </c>
      <c r="J1302">
        <v>57</v>
      </c>
      <c r="K1302" t="s">
        <v>3258</v>
      </c>
      <c r="L1302" s="6" t="s">
        <v>2591</v>
      </c>
      <c r="M1302" s="6">
        <v>7</v>
      </c>
      <c r="N1302" s="6">
        <v>2</v>
      </c>
      <c r="O1302">
        <v>500</v>
      </c>
      <c r="P1302">
        <v>202605</v>
      </c>
      <c r="Q1302" t="s">
        <v>377</v>
      </c>
      <c r="R1302" t="s">
        <v>1353</v>
      </c>
      <c r="S1302">
        <f>Consulta1[[#This Row],[min_port]]/100</f>
        <v>1.29E-2</v>
      </c>
      <c r="T1302" s="252">
        <f>Consulta1[[#This Row],[TETO_COMERCIAL]]/100</f>
        <v>2.4900000000000002E-2</v>
      </c>
      <c r="U1302" t="b">
        <f>Consulta1[[#This Row],[TETO_COMERCIAL_%]]=Consulta1[[#This Row],[TAXA]]</f>
        <v>0</v>
      </c>
      <c r="V1302" t="str">
        <f>CONCATENATE(Consulta1[[#This Row],[MES_ALTERACAO]],Consulta1[[#This Row],[VIRADA]])</f>
        <v>2026057</v>
      </c>
      <c r="W1302">
        <f>VLOOKUP(Consulta1[[#This Row],[Coluna2]],CALENDARIO!$J:$K,2,FALSE)</f>
        <v>4</v>
      </c>
    </row>
    <row r="1303" spans="1:23" x14ac:dyDescent="0.25">
      <c r="A1303" t="s">
        <v>3065</v>
      </c>
      <c r="B1303" t="str">
        <f>CONCATENATE(Consulta1[[#This Row],[id]],Consulta1[[#This Row],[EMPREGADOR]])</f>
        <v>3PREF SAO PAULO</v>
      </c>
      <c r="C1303" s="6">
        <f>IF(A1303=A1302,C1302+1,1)</f>
        <v>3</v>
      </c>
      <c r="D1303" t="s">
        <v>3259</v>
      </c>
      <c r="E1303" s="101">
        <v>2.29E-2</v>
      </c>
      <c r="F1303" s="6">
        <v>120</v>
      </c>
      <c r="G1303" t="s">
        <v>1349</v>
      </c>
      <c r="H1303" s="82">
        <v>2.4900000000000002</v>
      </c>
      <c r="I1303">
        <v>15</v>
      </c>
      <c r="J1303">
        <v>57</v>
      </c>
      <c r="K1303" t="s">
        <v>3260</v>
      </c>
      <c r="L1303" s="6" t="s">
        <v>2591</v>
      </c>
      <c r="M1303" s="6">
        <v>7</v>
      </c>
      <c r="N1303" s="6">
        <v>2</v>
      </c>
      <c r="O1303">
        <v>500</v>
      </c>
      <c r="P1303">
        <v>202605</v>
      </c>
      <c r="Q1303" t="s">
        <v>377</v>
      </c>
      <c r="R1303" t="s">
        <v>1353</v>
      </c>
      <c r="S1303">
        <f>Consulta1[[#This Row],[min_port]]/100</f>
        <v>1.29E-2</v>
      </c>
      <c r="T1303" s="252">
        <f>Consulta1[[#This Row],[TETO_COMERCIAL]]/100</f>
        <v>2.4900000000000002E-2</v>
      </c>
      <c r="U1303" t="b">
        <f>Consulta1[[#This Row],[TETO_COMERCIAL_%]]=Consulta1[[#This Row],[TAXA]]</f>
        <v>0</v>
      </c>
      <c r="V1303" t="str">
        <f>CONCATENATE(Consulta1[[#This Row],[MES_ALTERACAO]],Consulta1[[#This Row],[VIRADA]])</f>
        <v>2026057</v>
      </c>
      <c r="W1303">
        <f>VLOOKUP(Consulta1[[#This Row],[Coluna2]],CALENDARIO!$J:$K,2,FALSE)</f>
        <v>4</v>
      </c>
    </row>
    <row r="1304" spans="1:23" x14ac:dyDescent="0.25">
      <c r="A1304" t="s">
        <v>3065</v>
      </c>
      <c r="B1304" t="str">
        <f>CONCATENATE(Consulta1[[#This Row],[id]],Consulta1[[#This Row],[EMPREGADOR]])</f>
        <v>4PREF SAO PAULO</v>
      </c>
      <c r="C1304" s="6">
        <f>IF(A1304=A1303,C1303+1,1)</f>
        <v>4</v>
      </c>
      <c r="D1304" t="s">
        <v>3261</v>
      </c>
      <c r="E1304" s="101">
        <v>2.1899999999999999E-2</v>
      </c>
      <c r="F1304" s="6">
        <v>120</v>
      </c>
      <c r="G1304" t="s">
        <v>1349</v>
      </c>
      <c r="H1304" s="82">
        <v>2.4900000000000002</v>
      </c>
      <c r="I1304">
        <v>15</v>
      </c>
      <c r="J1304">
        <v>57</v>
      </c>
      <c r="K1304" t="s">
        <v>3262</v>
      </c>
      <c r="L1304" s="6" t="s">
        <v>2591</v>
      </c>
      <c r="M1304" s="6">
        <v>7</v>
      </c>
      <c r="N1304" s="6">
        <v>2</v>
      </c>
      <c r="O1304">
        <v>500</v>
      </c>
      <c r="P1304">
        <v>202605</v>
      </c>
      <c r="Q1304" t="s">
        <v>377</v>
      </c>
      <c r="R1304" t="s">
        <v>1353</v>
      </c>
      <c r="S1304">
        <f>Consulta1[[#This Row],[min_port]]/100</f>
        <v>1.29E-2</v>
      </c>
      <c r="T1304" s="252">
        <f>Consulta1[[#This Row],[TETO_COMERCIAL]]/100</f>
        <v>2.4900000000000002E-2</v>
      </c>
      <c r="U1304" t="b">
        <f>Consulta1[[#This Row],[TETO_COMERCIAL_%]]=Consulta1[[#This Row],[TAXA]]</f>
        <v>0</v>
      </c>
      <c r="V1304" t="str">
        <f>CONCATENATE(Consulta1[[#This Row],[MES_ALTERACAO]],Consulta1[[#This Row],[VIRADA]])</f>
        <v>2026057</v>
      </c>
      <c r="W1304">
        <f>VLOOKUP(Consulta1[[#This Row],[Coluna2]],CALENDARIO!$J:$K,2,FALSE)</f>
        <v>4</v>
      </c>
    </row>
    <row r="1305" spans="1:23" x14ac:dyDescent="0.25">
      <c r="A1305" t="s">
        <v>3065</v>
      </c>
      <c r="B1305" t="str">
        <f>CONCATENATE(Consulta1[[#This Row],[id]],Consulta1[[#This Row],[EMPREGADOR]])</f>
        <v>5PREF SAO PAULO</v>
      </c>
      <c r="C1305" s="6">
        <f>IF(A1305=A1304,C1304+1,1)</f>
        <v>5</v>
      </c>
      <c r="D1305" t="s">
        <v>3263</v>
      </c>
      <c r="E1305" s="101">
        <v>2.0899999999999998E-2</v>
      </c>
      <c r="F1305" s="6">
        <v>120</v>
      </c>
      <c r="G1305" t="s">
        <v>1349</v>
      </c>
      <c r="H1305" s="82">
        <v>2.4900000000000002</v>
      </c>
      <c r="I1305">
        <v>15</v>
      </c>
      <c r="J1305">
        <v>57</v>
      </c>
      <c r="K1305" t="s">
        <v>3264</v>
      </c>
      <c r="L1305" s="6" t="s">
        <v>2591</v>
      </c>
      <c r="M1305" s="6">
        <v>7</v>
      </c>
      <c r="N1305" s="6">
        <v>2</v>
      </c>
      <c r="O1305">
        <v>500</v>
      </c>
      <c r="P1305">
        <v>202605</v>
      </c>
      <c r="Q1305" t="s">
        <v>377</v>
      </c>
      <c r="R1305" t="s">
        <v>1353</v>
      </c>
      <c r="S1305">
        <f>Consulta1[[#This Row],[min_port]]/100</f>
        <v>1.29E-2</v>
      </c>
      <c r="T1305" s="252">
        <f>Consulta1[[#This Row],[TETO_COMERCIAL]]/100</f>
        <v>2.4900000000000002E-2</v>
      </c>
      <c r="U1305" t="b">
        <f>Consulta1[[#This Row],[TETO_COMERCIAL_%]]=Consulta1[[#This Row],[TAXA]]</f>
        <v>0</v>
      </c>
      <c r="V1305" t="str">
        <f>CONCATENATE(Consulta1[[#This Row],[MES_ALTERACAO]],Consulta1[[#This Row],[VIRADA]])</f>
        <v>2026057</v>
      </c>
      <c r="W1305">
        <f>VLOOKUP(Consulta1[[#This Row],[Coluna2]],CALENDARIO!$J:$K,2,FALSE)</f>
        <v>4</v>
      </c>
    </row>
    <row r="1306" spans="1:23" x14ac:dyDescent="0.25">
      <c r="A1306" t="s">
        <v>3065</v>
      </c>
      <c r="B1306" t="str">
        <f>CONCATENATE(Consulta1[[#This Row],[id]],Consulta1[[#This Row],[EMPREGADOR]])</f>
        <v>6PREF SAO PAULO</v>
      </c>
      <c r="C1306" s="6">
        <f>IF(A1306=A1305,C1305+1,1)</f>
        <v>6</v>
      </c>
      <c r="D1306" t="s">
        <v>3265</v>
      </c>
      <c r="E1306" s="101">
        <v>1.9900000000000001E-2</v>
      </c>
      <c r="F1306" s="6">
        <v>120</v>
      </c>
      <c r="G1306" t="s">
        <v>1349</v>
      </c>
      <c r="H1306" s="82">
        <v>2.4900000000000002</v>
      </c>
      <c r="I1306">
        <v>15</v>
      </c>
      <c r="J1306">
        <v>57</v>
      </c>
      <c r="K1306" t="s">
        <v>3266</v>
      </c>
      <c r="L1306" s="6" t="s">
        <v>2591</v>
      </c>
      <c r="M1306" s="6">
        <v>7</v>
      </c>
      <c r="N1306" s="6">
        <v>2</v>
      </c>
      <c r="O1306">
        <v>500</v>
      </c>
      <c r="P1306">
        <v>202605</v>
      </c>
      <c r="Q1306" t="s">
        <v>377</v>
      </c>
      <c r="R1306" t="s">
        <v>1353</v>
      </c>
      <c r="S1306">
        <f>Consulta1[[#This Row],[min_port]]/100</f>
        <v>1.29E-2</v>
      </c>
      <c r="T1306" s="252">
        <f>Consulta1[[#This Row],[TETO_COMERCIAL]]/100</f>
        <v>2.4900000000000002E-2</v>
      </c>
      <c r="U1306" t="b">
        <f>Consulta1[[#This Row],[TETO_COMERCIAL_%]]=Consulta1[[#This Row],[TAXA]]</f>
        <v>0</v>
      </c>
      <c r="V1306" t="str">
        <f>CONCATENATE(Consulta1[[#This Row],[MES_ALTERACAO]],Consulta1[[#This Row],[VIRADA]])</f>
        <v>2026057</v>
      </c>
      <c r="W1306">
        <f>VLOOKUP(Consulta1[[#This Row],[Coluna2]],CALENDARIO!$J:$K,2,FALSE)</f>
        <v>4</v>
      </c>
    </row>
    <row r="1307" spans="1:23" x14ac:dyDescent="0.25">
      <c r="A1307" t="s">
        <v>3065</v>
      </c>
      <c r="B1307" t="str">
        <f>CONCATENATE(Consulta1[[#This Row],[id]],Consulta1[[#This Row],[EMPREGADOR]])</f>
        <v>7PREF SAO PAULO</v>
      </c>
      <c r="C1307" s="6">
        <f>IF(A1307=A1306,C1306+1,1)</f>
        <v>7</v>
      </c>
      <c r="D1307" t="s">
        <v>3267</v>
      </c>
      <c r="E1307" s="101">
        <v>1.89E-2</v>
      </c>
      <c r="F1307" s="6">
        <v>120</v>
      </c>
      <c r="G1307" t="s">
        <v>1349</v>
      </c>
      <c r="H1307" s="82">
        <v>2.4900000000000002</v>
      </c>
      <c r="I1307">
        <v>15</v>
      </c>
      <c r="J1307">
        <v>57</v>
      </c>
      <c r="K1307" t="s">
        <v>3268</v>
      </c>
      <c r="L1307" s="6" t="s">
        <v>2591</v>
      </c>
      <c r="M1307" s="6">
        <v>7</v>
      </c>
      <c r="N1307" s="6">
        <v>2</v>
      </c>
      <c r="O1307">
        <v>500</v>
      </c>
      <c r="P1307">
        <v>202605</v>
      </c>
      <c r="Q1307" t="s">
        <v>377</v>
      </c>
      <c r="R1307" t="s">
        <v>1353</v>
      </c>
      <c r="S1307">
        <f>Consulta1[[#This Row],[min_port]]/100</f>
        <v>1.29E-2</v>
      </c>
      <c r="T1307" s="252">
        <f>Consulta1[[#This Row],[TETO_COMERCIAL]]/100</f>
        <v>2.4900000000000002E-2</v>
      </c>
      <c r="U1307" t="b">
        <f>Consulta1[[#This Row],[TETO_COMERCIAL_%]]=Consulta1[[#This Row],[TAXA]]</f>
        <v>0</v>
      </c>
      <c r="V1307" t="str">
        <f>CONCATENATE(Consulta1[[#This Row],[MES_ALTERACAO]],Consulta1[[#This Row],[VIRADA]])</f>
        <v>2026057</v>
      </c>
      <c r="W1307">
        <f>VLOOKUP(Consulta1[[#This Row],[Coluna2]],CALENDARIO!$J:$K,2,FALSE)</f>
        <v>4</v>
      </c>
    </row>
    <row r="1308" spans="1:23" x14ac:dyDescent="0.25">
      <c r="A1308" t="s">
        <v>3065</v>
      </c>
      <c r="B1308" t="str">
        <f>CONCATENATE(Consulta1[[#This Row],[id]],Consulta1[[#This Row],[EMPREGADOR]])</f>
        <v>8PREF SAO PAULO</v>
      </c>
      <c r="C1308" s="6">
        <f>IF(A1308=A1307,C1307+1,1)</f>
        <v>8</v>
      </c>
      <c r="D1308" t="s">
        <v>3269</v>
      </c>
      <c r="E1308" s="101">
        <v>1.7899999999999999E-2</v>
      </c>
      <c r="F1308" s="6">
        <v>120</v>
      </c>
      <c r="G1308" t="s">
        <v>1349</v>
      </c>
      <c r="H1308" s="82">
        <v>2.4900000000000002</v>
      </c>
      <c r="I1308">
        <v>15</v>
      </c>
      <c r="J1308">
        <v>57</v>
      </c>
      <c r="K1308" t="s">
        <v>3270</v>
      </c>
      <c r="L1308" s="6" t="s">
        <v>2591</v>
      </c>
      <c r="M1308" s="6">
        <v>7</v>
      </c>
      <c r="N1308" s="6">
        <v>2</v>
      </c>
      <c r="O1308">
        <v>500</v>
      </c>
      <c r="P1308">
        <v>202605</v>
      </c>
      <c r="Q1308" t="s">
        <v>377</v>
      </c>
      <c r="R1308" t="s">
        <v>1353</v>
      </c>
      <c r="S1308">
        <f>Consulta1[[#This Row],[min_port]]/100</f>
        <v>1.29E-2</v>
      </c>
      <c r="T1308" s="252">
        <f>Consulta1[[#This Row],[TETO_COMERCIAL]]/100</f>
        <v>2.4900000000000002E-2</v>
      </c>
      <c r="U1308" t="b">
        <f>Consulta1[[#This Row],[TETO_COMERCIAL_%]]=Consulta1[[#This Row],[TAXA]]</f>
        <v>0</v>
      </c>
      <c r="V1308" t="str">
        <f>CONCATENATE(Consulta1[[#This Row],[MES_ALTERACAO]],Consulta1[[#This Row],[VIRADA]])</f>
        <v>2026057</v>
      </c>
      <c r="W1308">
        <f>VLOOKUP(Consulta1[[#This Row],[Coluna2]],CALENDARIO!$J:$K,2,FALSE)</f>
        <v>4</v>
      </c>
    </row>
    <row r="1309" spans="1:23" x14ac:dyDescent="0.25">
      <c r="A1309" t="s">
        <v>3065</v>
      </c>
      <c r="B1309" t="str">
        <f>CONCATENATE(Consulta1[[#This Row],[id]],Consulta1[[#This Row],[EMPREGADOR]])</f>
        <v>9PREF SAO PAULO</v>
      </c>
      <c r="C1309" s="6">
        <f>IF(A1309=A1308,C1308+1,1)</f>
        <v>9</v>
      </c>
      <c r="D1309" t="s">
        <v>3271</v>
      </c>
      <c r="E1309" s="101">
        <v>1.7399999999999999E-2</v>
      </c>
      <c r="F1309" s="6">
        <v>120</v>
      </c>
      <c r="G1309" t="s">
        <v>1349</v>
      </c>
      <c r="H1309" s="82">
        <v>2.4900000000000002</v>
      </c>
      <c r="I1309">
        <v>15</v>
      </c>
      <c r="J1309">
        <v>57</v>
      </c>
      <c r="K1309" t="s">
        <v>3272</v>
      </c>
      <c r="L1309" s="6" t="s">
        <v>2591</v>
      </c>
      <c r="M1309" s="6">
        <v>7</v>
      </c>
      <c r="N1309" s="6">
        <v>2</v>
      </c>
      <c r="O1309">
        <v>500</v>
      </c>
      <c r="P1309">
        <v>202605</v>
      </c>
      <c r="Q1309" t="s">
        <v>377</v>
      </c>
      <c r="R1309" t="s">
        <v>1353</v>
      </c>
      <c r="S1309">
        <f>Consulta1[[#This Row],[min_port]]/100</f>
        <v>1.29E-2</v>
      </c>
      <c r="T1309" s="252">
        <f>Consulta1[[#This Row],[TETO_COMERCIAL]]/100</f>
        <v>2.4900000000000002E-2</v>
      </c>
      <c r="U1309" t="b">
        <f>Consulta1[[#This Row],[TETO_COMERCIAL_%]]=Consulta1[[#This Row],[TAXA]]</f>
        <v>0</v>
      </c>
      <c r="V1309" t="str">
        <f>CONCATENATE(Consulta1[[#This Row],[MES_ALTERACAO]],Consulta1[[#This Row],[VIRADA]])</f>
        <v>2026057</v>
      </c>
      <c r="W1309">
        <f>VLOOKUP(Consulta1[[#This Row],[Coluna2]],CALENDARIO!$J:$K,2,FALSE)</f>
        <v>4</v>
      </c>
    </row>
    <row r="1310" spans="1:23" x14ac:dyDescent="0.25">
      <c r="A1310" t="s">
        <v>3065</v>
      </c>
      <c r="B1310" t="str">
        <f>CONCATENATE(Consulta1[[#This Row],[id]],Consulta1[[#This Row],[EMPREGADOR]])</f>
        <v>10PREF SAO PAULO</v>
      </c>
      <c r="C1310" s="6">
        <f>IF(A1310=A1309,C1309+1,1)</f>
        <v>10</v>
      </c>
      <c r="D1310" t="s">
        <v>3273</v>
      </c>
      <c r="E1310" s="101">
        <v>1.6899999999999998E-2</v>
      </c>
      <c r="F1310" s="6">
        <v>120</v>
      </c>
      <c r="G1310" t="s">
        <v>1349</v>
      </c>
      <c r="H1310" s="82">
        <v>2.4900000000000002</v>
      </c>
      <c r="I1310">
        <v>15</v>
      </c>
      <c r="J1310">
        <v>57</v>
      </c>
      <c r="K1310" t="s">
        <v>3274</v>
      </c>
      <c r="L1310" s="6" t="s">
        <v>2591</v>
      </c>
      <c r="M1310" s="6">
        <v>7</v>
      </c>
      <c r="N1310" s="6">
        <v>2</v>
      </c>
      <c r="O1310">
        <v>500</v>
      </c>
      <c r="P1310">
        <v>202605</v>
      </c>
      <c r="Q1310" t="s">
        <v>377</v>
      </c>
      <c r="R1310" t="s">
        <v>1353</v>
      </c>
      <c r="S1310">
        <f>Consulta1[[#This Row],[min_port]]/100</f>
        <v>1.29E-2</v>
      </c>
      <c r="T1310" s="252">
        <f>Consulta1[[#This Row],[TETO_COMERCIAL]]/100</f>
        <v>2.4900000000000002E-2</v>
      </c>
      <c r="U1310" t="b">
        <f>Consulta1[[#This Row],[TETO_COMERCIAL_%]]=Consulta1[[#This Row],[TAXA]]</f>
        <v>0</v>
      </c>
      <c r="V1310" t="str">
        <f>CONCATENATE(Consulta1[[#This Row],[MES_ALTERACAO]],Consulta1[[#This Row],[VIRADA]])</f>
        <v>2026057</v>
      </c>
      <c r="W1310">
        <f>VLOOKUP(Consulta1[[#This Row],[Coluna2]],CALENDARIO!$J:$K,2,FALSE)</f>
        <v>4</v>
      </c>
    </row>
    <row r="1311" spans="1:23" x14ac:dyDescent="0.25">
      <c r="A1311" t="s">
        <v>3065</v>
      </c>
      <c r="B1311" t="str">
        <f>CONCATENATE(Consulta1[[#This Row],[id]],Consulta1[[#This Row],[EMPREGADOR]])</f>
        <v>11PREF SAO PAULO</v>
      </c>
      <c r="C1311" s="6">
        <f>IF(A1311=A1310,C1310+1,1)</f>
        <v>11</v>
      </c>
      <c r="D1311" t="s">
        <v>3275</v>
      </c>
      <c r="E1311" s="101">
        <v>1.6399999999999998E-2</v>
      </c>
      <c r="F1311" s="6">
        <v>120</v>
      </c>
      <c r="G1311" t="s">
        <v>1349</v>
      </c>
      <c r="H1311" s="82">
        <v>2.4900000000000002</v>
      </c>
      <c r="I1311">
        <v>15</v>
      </c>
      <c r="J1311">
        <v>57</v>
      </c>
      <c r="K1311" t="s">
        <v>3276</v>
      </c>
      <c r="L1311" s="6" t="s">
        <v>2591</v>
      </c>
      <c r="M1311" s="6">
        <v>7</v>
      </c>
      <c r="N1311" s="6">
        <v>2</v>
      </c>
      <c r="O1311">
        <v>500</v>
      </c>
      <c r="P1311">
        <v>202605</v>
      </c>
      <c r="Q1311" t="s">
        <v>377</v>
      </c>
      <c r="R1311" t="s">
        <v>1353</v>
      </c>
      <c r="S1311">
        <f>Consulta1[[#This Row],[min_port]]/100</f>
        <v>1.29E-2</v>
      </c>
      <c r="T1311" s="252">
        <f>Consulta1[[#This Row],[TETO_COMERCIAL]]/100</f>
        <v>2.4900000000000002E-2</v>
      </c>
      <c r="U1311" t="b">
        <f>Consulta1[[#This Row],[TETO_COMERCIAL_%]]=Consulta1[[#This Row],[TAXA]]</f>
        <v>0</v>
      </c>
      <c r="V1311" t="str">
        <f>CONCATENATE(Consulta1[[#This Row],[MES_ALTERACAO]],Consulta1[[#This Row],[VIRADA]])</f>
        <v>2026057</v>
      </c>
      <c r="W1311">
        <f>VLOOKUP(Consulta1[[#This Row],[Coluna2]],CALENDARIO!$J:$K,2,FALSE)</f>
        <v>4</v>
      </c>
    </row>
    <row r="1312" spans="1:23" x14ac:dyDescent="0.25">
      <c r="A1312" t="s">
        <v>3065</v>
      </c>
      <c r="B1312" t="str">
        <f>CONCATENATE(Consulta1[[#This Row],[id]],Consulta1[[#This Row],[EMPREGADOR]])</f>
        <v>12PREF SAO PAULO</v>
      </c>
      <c r="C1312" s="6">
        <f>IF(A1312=A1311,C1311+1,1)</f>
        <v>12</v>
      </c>
      <c r="D1312" t="s">
        <v>3277</v>
      </c>
      <c r="E1312" s="101">
        <v>1.6200000000000003E-2</v>
      </c>
      <c r="F1312" s="6">
        <v>120</v>
      </c>
      <c r="G1312" t="s">
        <v>1349</v>
      </c>
      <c r="H1312" s="82">
        <v>2.4900000000000002</v>
      </c>
      <c r="I1312">
        <v>15</v>
      </c>
      <c r="J1312">
        <v>57</v>
      </c>
      <c r="K1312" t="s">
        <v>3278</v>
      </c>
      <c r="L1312" s="6" t="s">
        <v>2591</v>
      </c>
      <c r="M1312" s="6">
        <v>7</v>
      </c>
      <c r="N1312" s="6">
        <v>2</v>
      </c>
      <c r="O1312">
        <v>20000</v>
      </c>
      <c r="P1312">
        <v>202605</v>
      </c>
      <c r="Q1312" t="s">
        <v>377</v>
      </c>
      <c r="R1312" t="s">
        <v>1353</v>
      </c>
      <c r="S1312">
        <f>Consulta1[[#This Row],[min_port]]/100</f>
        <v>1.29E-2</v>
      </c>
      <c r="T1312" s="252">
        <f>Consulta1[[#This Row],[TETO_COMERCIAL]]/100</f>
        <v>2.4900000000000002E-2</v>
      </c>
      <c r="U1312" t="b">
        <f>Consulta1[[#This Row],[TETO_COMERCIAL_%]]=Consulta1[[#This Row],[TAXA]]</f>
        <v>0</v>
      </c>
      <c r="V1312" t="str">
        <f>CONCATENATE(Consulta1[[#This Row],[MES_ALTERACAO]],Consulta1[[#This Row],[VIRADA]])</f>
        <v>2026057</v>
      </c>
      <c r="W1312">
        <f>VLOOKUP(Consulta1[[#This Row],[Coluna2]],CALENDARIO!$J:$K,2,FALSE)</f>
        <v>4</v>
      </c>
    </row>
    <row r="1313" spans="1:23" x14ac:dyDescent="0.25">
      <c r="A1313" t="s">
        <v>3065</v>
      </c>
      <c r="B1313" t="str">
        <f>CONCATENATE(Consulta1[[#This Row],[id]],Consulta1[[#This Row],[EMPREGADOR]])</f>
        <v>13PREF SAO PAULO</v>
      </c>
      <c r="C1313" s="6">
        <f>IF(A1313=A1312,C1312+1,1)</f>
        <v>13</v>
      </c>
      <c r="D1313" t="s">
        <v>3279</v>
      </c>
      <c r="E1313" s="101">
        <v>1.5900000000000001E-2</v>
      </c>
      <c r="F1313" s="6">
        <v>120</v>
      </c>
      <c r="G1313" t="s">
        <v>1349</v>
      </c>
      <c r="H1313" s="82">
        <v>2.4900000000000002</v>
      </c>
      <c r="I1313">
        <v>15</v>
      </c>
      <c r="J1313">
        <v>57</v>
      </c>
      <c r="K1313" t="s">
        <v>3280</v>
      </c>
      <c r="L1313" s="6" t="s">
        <v>2591</v>
      </c>
      <c r="M1313" s="6">
        <v>7</v>
      </c>
      <c r="N1313" s="6">
        <v>2</v>
      </c>
      <c r="O1313">
        <v>30000</v>
      </c>
      <c r="P1313">
        <v>202605</v>
      </c>
      <c r="Q1313" t="s">
        <v>377</v>
      </c>
      <c r="R1313" t="s">
        <v>1353</v>
      </c>
      <c r="S1313">
        <f>Consulta1[[#This Row],[min_port]]/100</f>
        <v>1.29E-2</v>
      </c>
      <c r="T1313" s="252">
        <f>Consulta1[[#This Row],[TETO_COMERCIAL]]/100</f>
        <v>2.4900000000000002E-2</v>
      </c>
      <c r="U1313" t="b">
        <f>Consulta1[[#This Row],[TETO_COMERCIAL_%]]=Consulta1[[#This Row],[TAXA]]</f>
        <v>0</v>
      </c>
      <c r="V1313" t="str">
        <f>CONCATENATE(Consulta1[[#This Row],[MES_ALTERACAO]],Consulta1[[#This Row],[VIRADA]])</f>
        <v>2026057</v>
      </c>
      <c r="W1313">
        <f>VLOOKUP(Consulta1[[#This Row],[Coluna2]],CALENDARIO!$J:$K,2,FALSE)</f>
        <v>4</v>
      </c>
    </row>
    <row r="1314" spans="1:23" x14ac:dyDescent="0.25">
      <c r="A1314" t="s">
        <v>3065</v>
      </c>
      <c r="B1314" t="str">
        <f>CONCATENATE(Consulta1[[#This Row],[id]],Consulta1[[#This Row],[EMPREGADOR]])</f>
        <v>14PREF SAO PAULO</v>
      </c>
      <c r="C1314" s="6">
        <f>IF(A1314=A1313,C1313+1,1)</f>
        <v>14</v>
      </c>
      <c r="D1314" t="s">
        <v>3281</v>
      </c>
      <c r="E1314" s="101">
        <v>1.54E-2</v>
      </c>
      <c r="F1314" s="6">
        <v>120</v>
      </c>
      <c r="G1314" t="s">
        <v>1349</v>
      </c>
      <c r="H1314" s="82">
        <v>2.4900000000000002</v>
      </c>
      <c r="I1314">
        <v>15</v>
      </c>
      <c r="J1314">
        <v>57</v>
      </c>
      <c r="K1314" t="s">
        <v>3282</v>
      </c>
      <c r="L1314" s="6" t="s">
        <v>2591</v>
      </c>
      <c r="M1314" s="6">
        <v>7</v>
      </c>
      <c r="N1314" s="6">
        <v>2</v>
      </c>
      <c r="O1314">
        <v>30000</v>
      </c>
      <c r="P1314">
        <v>202605</v>
      </c>
      <c r="Q1314" t="s">
        <v>377</v>
      </c>
      <c r="R1314" t="s">
        <v>1353</v>
      </c>
      <c r="S1314">
        <f>Consulta1[[#This Row],[min_port]]/100</f>
        <v>1.29E-2</v>
      </c>
      <c r="T1314" s="252">
        <f>Consulta1[[#This Row],[TETO_COMERCIAL]]/100</f>
        <v>2.4900000000000002E-2</v>
      </c>
      <c r="U1314" t="b">
        <f>Consulta1[[#This Row],[TETO_COMERCIAL_%]]=Consulta1[[#This Row],[TAXA]]</f>
        <v>0</v>
      </c>
      <c r="V1314" t="str">
        <f>CONCATENATE(Consulta1[[#This Row],[MES_ALTERACAO]],Consulta1[[#This Row],[VIRADA]])</f>
        <v>2026057</v>
      </c>
      <c r="W1314">
        <f>VLOOKUP(Consulta1[[#This Row],[Coluna2]],CALENDARIO!$J:$K,2,FALSE)</f>
        <v>4</v>
      </c>
    </row>
    <row r="1315" spans="1:23" x14ac:dyDescent="0.25">
      <c r="A1315" t="s">
        <v>3065</v>
      </c>
      <c r="B1315" t="str">
        <f>CONCATENATE(Consulta1[[#This Row],[id]],Consulta1[[#This Row],[EMPREGADOR]])</f>
        <v>15PREF SAO PAULO</v>
      </c>
      <c r="C1315" s="6">
        <f>IF(A1315=A1314,C1314+1,1)</f>
        <v>15</v>
      </c>
      <c r="D1315" t="s">
        <v>3283</v>
      </c>
      <c r="E1315" s="101">
        <v>1.4999999999999999E-2</v>
      </c>
      <c r="F1315" s="6">
        <v>120</v>
      </c>
      <c r="G1315" t="s">
        <v>1349</v>
      </c>
      <c r="H1315" s="82">
        <v>2.4900000000000002</v>
      </c>
      <c r="I1315">
        <v>15</v>
      </c>
      <c r="J1315">
        <v>57</v>
      </c>
      <c r="K1315" t="s">
        <v>3284</v>
      </c>
      <c r="L1315" s="6" t="s">
        <v>2591</v>
      </c>
      <c r="M1315" s="6">
        <v>7</v>
      </c>
      <c r="N1315" s="6">
        <v>2</v>
      </c>
      <c r="O1315">
        <v>60000</v>
      </c>
      <c r="P1315">
        <v>202605</v>
      </c>
      <c r="Q1315" t="s">
        <v>377</v>
      </c>
      <c r="R1315" t="s">
        <v>1353</v>
      </c>
      <c r="S1315">
        <f>Consulta1[[#This Row],[min_port]]/100</f>
        <v>1.29E-2</v>
      </c>
      <c r="T1315" s="252">
        <f>Consulta1[[#This Row],[TETO_COMERCIAL]]/100</f>
        <v>2.4900000000000002E-2</v>
      </c>
      <c r="U1315" t="b">
        <f>Consulta1[[#This Row],[TETO_COMERCIAL_%]]=Consulta1[[#This Row],[TAXA]]</f>
        <v>0</v>
      </c>
      <c r="V1315" t="str">
        <f>CONCATENATE(Consulta1[[#This Row],[MES_ALTERACAO]],Consulta1[[#This Row],[VIRADA]])</f>
        <v>2026057</v>
      </c>
      <c r="W1315">
        <f>VLOOKUP(Consulta1[[#This Row],[Coluna2]],CALENDARIO!$J:$K,2,FALSE)</f>
        <v>4</v>
      </c>
    </row>
    <row r="1316" spans="1:23" x14ac:dyDescent="0.25">
      <c r="A1316" t="s">
        <v>3957</v>
      </c>
      <c r="B1316" t="str">
        <f>CONCATENATE(Consulta1[[#This Row],[id]],Consulta1[[#This Row],[EMPREGADOR]])</f>
        <v>1PREF SETE PORT</v>
      </c>
      <c r="C1316" s="6">
        <f>IF(A1316=A1315,C1315+1,1)</f>
        <v>1</v>
      </c>
      <c r="D1316" t="s">
        <v>289</v>
      </c>
      <c r="E1316" s="101">
        <v>2.0499999999999997E-2</v>
      </c>
      <c r="F1316" s="6">
        <v>120</v>
      </c>
      <c r="G1316" t="s">
        <v>1349</v>
      </c>
      <c r="H1316" s="82">
        <v>2.25</v>
      </c>
      <c r="I1316">
        <v>25</v>
      </c>
      <c r="K1316" t="s">
        <v>2072</v>
      </c>
      <c r="L1316" s="6" t="s">
        <v>1374</v>
      </c>
      <c r="M1316" s="6">
        <v>12</v>
      </c>
      <c r="N1316" s="6">
        <v>2</v>
      </c>
      <c r="O1316">
        <v>500</v>
      </c>
      <c r="P1316">
        <v>202605</v>
      </c>
      <c r="Q1316" t="s">
        <v>377</v>
      </c>
      <c r="R1316" t="s">
        <v>1353</v>
      </c>
      <c r="S1316">
        <f>Consulta1[[#This Row],[min_port]]/100</f>
        <v>1.4999999999999999E-2</v>
      </c>
      <c r="T1316" s="252">
        <f>Consulta1[[#This Row],[TETO_COMERCIAL]]/100</f>
        <v>2.2499999999999999E-2</v>
      </c>
      <c r="U1316" t="b">
        <f>Consulta1[[#This Row],[TETO_COMERCIAL_%]]=Consulta1[[#This Row],[TAXA]]</f>
        <v>0</v>
      </c>
      <c r="V1316" t="str">
        <f>CONCATENATE(Consulta1[[#This Row],[MES_ALTERACAO]],Consulta1[[#This Row],[VIRADA]])</f>
        <v>20260512</v>
      </c>
      <c r="W1316">
        <f>VLOOKUP(Consulta1[[#This Row],[Coluna2]],CALENDARIO!$J:$K,2,FALSE)</f>
        <v>7</v>
      </c>
    </row>
    <row r="1317" spans="1:23" x14ac:dyDescent="0.25">
      <c r="A1317" t="s">
        <v>398</v>
      </c>
      <c r="B1317" t="str">
        <f>CONCATENATE(Consulta1[[#This Row],[id]],Consulta1[[#This Row],[EMPREGADOR]])</f>
        <v>1PREF SINOP</v>
      </c>
      <c r="C1317" s="6">
        <f>IF(A1317=A1316,C1316+1,1)</f>
        <v>1</v>
      </c>
      <c r="D1317" t="s">
        <v>399</v>
      </c>
      <c r="E1317" s="101">
        <v>2.5000000000000001E-2</v>
      </c>
      <c r="F1317" s="6">
        <v>120</v>
      </c>
      <c r="G1317" t="s">
        <v>1349</v>
      </c>
      <c r="H1317" s="82">
        <v>2.5</v>
      </c>
      <c r="I1317">
        <v>10</v>
      </c>
      <c r="J1317">
        <v>49</v>
      </c>
      <c r="K1317" t="s">
        <v>2073</v>
      </c>
      <c r="L1317" s="6" t="s">
        <v>1374</v>
      </c>
      <c r="M1317" s="6">
        <v>15</v>
      </c>
      <c r="N1317" s="6">
        <v>2</v>
      </c>
      <c r="O1317">
        <v>500</v>
      </c>
      <c r="P1317">
        <v>202605</v>
      </c>
      <c r="Q1317" t="s">
        <v>377</v>
      </c>
      <c r="R1317" t="s">
        <v>1350</v>
      </c>
      <c r="S1317">
        <f>Consulta1[[#This Row],[min_port]]/100</f>
        <v>1.4999999999999999E-2</v>
      </c>
      <c r="T1317" s="252">
        <f>Consulta1[[#This Row],[TETO_COMERCIAL]]/100</f>
        <v>2.5000000000000001E-2</v>
      </c>
      <c r="U1317" t="b">
        <f>Consulta1[[#This Row],[TETO_COMERCIAL_%]]=Consulta1[[#This Row],[TAXA]]</f>
        <v>1</v>
      </c>
      <c r="V1317" t="str">
        <f>CONCATENATE(Consulta1[[#This Row],[MES_ALTERACAO]],Consulta1[[#This Row],[VIRADA]])</f>
        <v>20260515</v>
      </c>
      <c r="W1317">
        <f>VLOOKUP(Consulta1[[#This Row],[Coluna2]],CALENDARIO!$J:$K,2,FALSE)</f>
        <v>10</v>
      </c>
    </row>
    <row r="1318" spans="1:23" x14ac:dyDescent="0.25">
      <c r="A1318" t="s">
        <v>398</v>
      </c>
      <c r="B1318" t="str">
        <f>CONCATENATE(Consulta1[[#This Row],[id]],Consulta1[[#This Row],[EMPREGADOR]])</f>
        <v>2PREF SINOP</v>
      </c>
      <c r="C1318" s="6">
        <f>IF(A1318=A1317,C1317+1,1)</f>
        <v>2</v>
      </c>
      <c r="D1318" t="s">
        <v>1327</v>
      </c>
      <c r="E1318" s="101">
        <v>2.2499999999999999E-2</v>
      </c>
      <c r="F1318" s="6">
        <v>120</v>
      </c>
      <c r="G1318" t="s">
        <v>1349</v>
      </c>
      <c r="H1318" s="82">
        <v>2.5</v>
      </c>
      <c r="I1318">
        <v>10</v>
      </c>
      <c r="J1318">
        <v>49</v>
      </c>
      <c r="K1318" t="s">
        <v>2074</v>
      </c>
      <c r="L1318" s="6" t="s">
        <v>1374</v>
      </c>
      <c r="M1318" s="6">
        <v>15</v>
      </c>
      <c r="N1318" s="6">
        <v>2</v>
      </c>
      <c r="O1318">
        <v>500</v>
      </c>
      <c r="P1318">
        <v>202605</v>
      </c>
      <c r="Q1318" t="s">
        <v>377</v>
      </c>
      <c r="R1318" t="s">
        <v>1350</v>
      </c>
      <c r="S1318">
        <f>Consulta1[[#This Row],[min_port]]/100</f>
        <v>1.4999999999999999E-2</v>
      </c>
      <c r="T1318" s="252">
        <f>Consulta1[[#This Row],[TETO_COMERCIAL]]/100</f>
        <v>2.5000000000000001E-2</v>
      </c>
      <c r="U1318" t="b">
        <f>Consulta1[[#This Row],[TETO_COMERCIAL_%]]=Consulta1[[#This Row],[TAXA]]</f>
        <v>0</v>
      </c>
      <c r="V1318" t="str">
        <f>CONCATENATE(Consulta1[[#This Row],[MES_ALTERACAO]],Consulta1[[#This Row],[VIRADA]])</f>
        <v>20260515</v>
      </c>
      <c r="W1318">
        <f>VLOOKUP(Consulta1[[#This Row],[Coluna2]],CALENDARIO!$J:$K,2,FALSE)</f>
        <v>10</v>
      </c>
    </row>
    <row r="1319" spans="1:23" x14ac:dyDescent="0.25">
      <c r="A1319" t="s">
        <v>398</v>
      </c>
      <c r="B1319" t="str">
        <f>CONCATENATE(Consulta1[[#This Row],[id]],Consulta1[[#This Row],[EMPREGADOR]])</f>
        <v>3PREF SINOP</v>
      </c>
      <c r="C1319" s="6">
        <f>IF(A1319=A1318,C1318+1,1)</f>
        <v>3</v>
      </c>
      <c r="D1319" t="s">
        <v>1328</v>
      </c>
      <c r="E1319" s="101">
        <v>0.02</v>
      </c>
      <c r="F1319" s="6">
        <v>120</v>
      </c>
      <c r="G1319" t="s">
        <v>1349</v>
      </c>
      <c r="H1319" s="82">
        <v>2.5</v>
      </c>
      <c r="I1319">
        <v>10</v>
      </c>
      <c r="J1319">
        <v>49</v>
      </c>
      <c r="K1319" t="s">
        <v>2075</v>
      </c>
      <c r="L1319" s="6" t="s">
        <v>1374</v>
      </c>
      <c r="M1319" s="6">
        <v>15</v>
      </c>
      <c r="N1319" s="6">
        <v>2</v>
      </c>
      <c r="O1319">
        <v>500</v>
      </c>
      <c r="P1319">
        <v>202605</v>
      </c>
      <c r="Q1319" t="s">
        <v>377</v>
      </c>
      <c r="R1319" t="s">
        <v>1350</v>
      </c>
      <c r="S1319">
        <f>Consulta1[[#This Row],[min_port]]/100</f>
        <v>1.4999999999999999E-2</v>
      </c>
      <c r="T1319" s="252">
        <f>Consulta1[[#This Row],[TETO_COMERCIAL]]/100</f>
        <v>2.5000000000000001E-2</v>
      </c>
      <c r="U1319" t="b">
        <f>Consulta1[[#This Row],[TETO_COMERCIAL_%]]=Consulta1[[#This Row],[TAXA]]</f>
        <v>0</v>
      </c>
      <c r="V1319" t="str">
        <f>CONCATENATE(Consulta1[[#This Row],[MES_ALTERACAO]],Consulta1[[#This Row],[VIRADA]])</f>
        <v>20260515</v>
      </c>
      <c r="W1319">
        <f>VLOOKUP(Consulta1[[#This Row],[Coluna2]],CALENDARIO!$J:$K,2,FALSE)</f>
        <v>10</v>
      </c>
    </row>
    <row r="1320" spans="1:23" x14ac:dyDescent="0.25">
      <c r="A1320" t="s">
        <v>398</v>
      </c>
      <c r="B1320" t="str">
        <f>CONCATENATE(Consulta1[[#This Row],[id]],Consulta1[[#This Row],[EMPREGADOR]])</f>
        <v>4PREF SINOP</v>
      </c>
      <c r="C1320" s="6">
        <f>IF(A1320=A1319,C1319+1,1)</f>
        <v>4</v>
      </c>
      <c r="D1320" t="s">
        <v>1329</v>
      </c>
      <c r="E1320" s="101">
        <v>1.8500000000000003E-2</v>
      </c>
      <c r="F1320" s="6">
        <v>120</v>
      </c>
      <c r="G1320" t="s">
        <v>1349</v>
      </c>
      <c r="H1320" s="82">
        <v>2.5</v>
      </c>
      <c r="I1320">
        <v>10</v>
      </c>
      <c r="J1320">
        <v>49</v>
      </c>
      <c r="K1320" t="s">
        <v>2076</v>
      </c>
      <c r="L1320" s="6" t="s">
        <v>1374</v>
      </c>
      <c r="M1320" s="6">
        <v>15</v>
      </c>
      <c r="N1320" s="6">
        <v>2</v>
      </c>
      <c r="O1320">
        <v>500</v>
      </c>
      <c r="P1320">
        <v>202605</v>
      </c>
      <c r="Q1320" t="s">
        <v>377</v>
      </c>
      <c r="R1320" t="s">
        <v>1350</v>
      </c>
      <c r="S1320">
        <f>Consulta1[[#This Row],[min_port]]/100</f>
        <v>1.4999999999999999E-2</v>
      </c>
      <c r="T1320" s="252">
        <f>Consulta1[[#This Row],[TETO_COMERCIAL]]/100</f>
        <v>2.5000000000000001E-2</v>
      </c>
      <c r="U1320" t="b">
        <f>Consulta1[[#This Row],[TETO_COMERCIAL_%]]=Consulta1[[#This Row],[TAXA]]</f>
        <v>0</v>
      </c>
      <c r="V1320" t="str">
        <f>CONCATENATE(Consulta1[[#This Row],[MES_ALTERACAO]],Consulta1[[#This Row],[VIRADA]])</f>
        <v>20260515</v>
      </c>
      <c r="W1320">
        <f>VLOOKUP(Consulta1[[#This Row],[Coluna2]],CALENDARIO!$J:$K,2,FALSE)</f>
        <v>10</v>
      </c>
    </row>
    <row r="1321" spans="1:23" x14ac:dyDescent="0.25">
      <c r="A1321" t="s">
        <v>398</v>
      </c>
      <c r="B1321" t="str">
        <f>CONCATENATE(Consulta1[[#This Row],[id]],Consulta1[[#This Row],[EMPREGADOR]])</f>
        <v>5PREF SINOP</v>
      </c>
      <c r="C1321" s="6">
        <f>IF(A1321=A1320,C1320+1,1)</f>
        <v>5</v>
      </c>
      <c r="D1321" t="s">
        <v>1330</v>
      </c>
      <c r="E1321" s="101">
        <v>1.8000000000000002E-2</v>
      </c>
      <c r="F1321" s="6">
        <v>120</v>
      </c>
      <c r="G1321" t="s">
        <v>1349</v>
      </c>
      <c r="H1321" s="82">
        <v>2.5</v>
      </c>
      <c r="I1321">
        <v>10</v>
      </c>
      <c r="J1321">
        <v>49</v>
      </c>
      <c r="K1321" t="s">
        <v>2077</v>
      </c>
      <c r="L1321" s="6" t="s">
        <v>1374</v>
      </c>
      <c r="M1321" s="6">
        <v>15</v>
      </c>
      <c r="N1321" s="6">
        <v>2</v>
      </c>
      <c r="O1321">
        <v>500</v>
      </c>
      <c r="P1321">
        <v>202605</v>
      </c>
      <c r="Q1321" t="s">
        <v>377</v>
      </c>
      <c r="R1321" t="s">
        <v>1350</v>
      </c>
      <c r="S1321">
        <f>Consulta1[[#This Row],[min_port]]/100</f>
        <v>1.4999999999999999E-2</v>
      </c>
      <c r="T1321" s="252">
        <f>Consulta1[[#This Row],[TETO_COMERCIAL]]/100</f>
        <v>2.5000000000000001E-2</v>
      </c>
      <c r="U1321" t="b">
        <f>Consulta1[[#This Row],[TETO_COMERCIAL_%]]=Consulta1[[#This Row],[TAXA]]</f>
        <v>0</v>
      </c>
      <c r="V1321" t="str">
        <f>CONCATENATE(Consulta1[[#This Row],[MES_ALTERACAO]],Consulta1[[#This Row],[VIRADA]])</f>
        <v>20260515</v>
      </c>
      <c r="W1321">
        <f>VLOOKUP(Consulta1[[#This Row],[Coluna2]],CALENDARIO!$J:$K,2,FALSE)</f>
        <v>10</v>
      </c>
    </row>
    <row r="1322" spans="1:23" x14ac:dyDescent="0.25">
      <c r="A1322" t="s">
        <v>398</v>
      </c>
      <c r="B1322" t="str">
        <f>CONCATENATE(Consulta1[[#This Row],[id]],Consulta1[[#This Row],[EMPREGADOR]])</f>
        <v>6PREF SINOP</v>
      </c>
      <c r="C1322" s="6">
        <f>IF(A1322=A1321,C1321+1,1)</f>
        <v>6</v>
      </c>
      <c r="D1322" t="s">
        <v>1331</v>
      </c>
      <c r="E1322" s="101">
        <v>1.7600000000000001E-2</v>
      </c>
      <c r="F1322" s="6">
        <v>120</v>
      </c>
      <c r="G1322" t="s">
        <v>1349</v>
      </c>
      <c r="H1322" s="82">
        <v>2.5</v>
      </c>
      <c r="I1322">
        <v>10</v>
      </c>
      <c r="J1322">
        <v>49</v>
      </c>
      <c r="K1322" t="s">
        <v>2078</v>
      </c>
      <c r="L1322" s="6" t="s">
        <v>1374</v>
      </c>
      <c r="M1322" s="6">
        <v>15</v>
      </c>
      <c r="N1322" s="6">
        <v>2</v>
      </c>
      <c r="O1322">
        <v>500</v>
      </c>
      <c r="P1322">
        <v>202605</v>
      </c>
      <c r="Q1322" t="s">
        <v>377</v>
      </c>
      <c r="R1322" t="s">
        <v>1350</v>
      </c>
      <c r="S1322">
        <f>Consulta1[[#This Row],[min_port]]/100</f>
        <v>1.4999999999999999E-2</v>
      </c>
      <c r="T1322" s="252">
        <f>Consulta1[[#This Row],[TETO_COMERCIAL]]/100</f>
        <v>2.5000000000000001E-2</v>
      </c>
      <c r="U1322" t="b">
        <f>Consulta1[[#This Row],[TETO_COMERCIAL_%]]=Consulta1[[#This Row],[TAXA]]</f>
        <v>0</v>
      </c>
      <c r="V1322" t="str">
        <f>CONCATENATE(Consulta1[[#This Row],[MES_ALTERACAO]],Consulta1[[#This Row],[VIRADA]])</f>
        <v>20260515</v>
      </c>
      <c r="W1322">
        <f>VLOOKUP(Consulta1[[#This Row],[Coluna2]],CALENDARIO!$J:$K,2,FALSE)</f>
        <v>10</v>
      </c>
    </row>
    <row r="1323" spans="1:23" x14ac:dyDescent="0.25">
      <c r="A1323" t="s">
        <v>398</v>
      </c>
      <c r="B1323" t="str">
        <f>CONCATENATE(Consulta1[[#This Row],[id]],Consulta1[[#This Row],[EMPREGADOR]])</f>
        <v>7PREF SINOP</v>
      </c>
      <c r="C1323" s="6">
        <f>IF(A1323=A1322,C1322+1,1)</f>
        <v>7</v>
      </c>
      <c r="D1323" t="s">
        <v>1332</v>
      </c>
      <c r="E1323" s="101">
        <v>1.7399999999999999E-2</v>
      </c>
      <c r="F1323" s="6">
        <v>120</v>
      </c>
      <c r="G1323" t="s">
        <v>1349</v>
      </c>
      <c r="H1323" s="82">
        <v>2.5</v>
      </c>
      <c r="I1323">
        <v>10</v>
      </c>
      <c r="J1323">
        <v>49</v>
      </c>
      <c r="K1323" t="s">
        <v>2079</v>
      </c>
      <c r="L1323" s="6" t="s">
        <v>1374</v>
      </c>
      <c r="M1323" s="6">
        <v>15</v>
      </c>
      <c r="N1323" s="6">
        <v>2</v>
      </c>
      <c r="O1323">
        <v>500</v>
      </c>
      <c r="P1323">
        <v>202605</v>
      </c>
      <c r="Q1323" t="s">
        <v>377</v>
      </c>
      <c r="R1323" t="s">
        <v>1350</v>
      </c>
      <c r="S1323">
        <f>Consulta1[[#This Row],[min_port]]/100</f>
        <v>1.4999999999999999E-2</v>
      </c>
      <c r="T1323" s="252">
        <f>Consulta1[[#This Row],[TETO_COMERCIAL]]/100</f>
        <v>2.5000000000000001E-2</v>
      </c>
      <c r="U1323" t="b">
        <f>Consulta1[[#This Row],[TETO_COMERCIAL_%]]=Consulta1[[#This Row],[TAXA]]</f>
        <v>0</v>
      </c>
      <c r="V1323" t="str">
        <f>CONCATENATE(Consulta1[[#This Row],[MES_ALTERACAO]],Consulta1[[#This Row],[VIRADA]])</f>
        <v>20260515</v>
      </c>
      <c r="W1323">
        <f>VLOOKUP(Consulta1[[#This Row],[Coluna2]],CALENDARIO!$J:$K,2,FALSE)</f>
        <v>10</v>
      </c>
    </row>
    <row r="1324" spans="1:23" x14ac:dyDescent="0.25">
      <c r="A1324" t="s">
        <v>398</v>
      </c>
      <c r="B1324" t="str">
        <f>CONCATENATE(Consulta1[[#This Row],[id]],Consulta1[[#This Row],[EMPREGADOR]])</f>
        <v>8PREF SINOP</v>
      </c>
      <c r="C1324" s="6">
        <f>IF(A1324=A1323,C1323+1,1)</f>
        <v>8</v>
      </c>
      <c r="D1324" t="s">
        <v>1333</v>
      </c>
      <c r="E1324" s="101">
        <v>1.72E-2</v>
      </c>
      <c r="F1324" s="6">
        <v>120</v>
      </c>
      <c r="G1324" t="s">
        <v>1349</v>
      </c>
      <c r="H1324" s="82">
        <v>2.5</v>
      </c>
      <c r="I1324">
        <v>10</v>
      </c>
      <c r="J1324">
        <v>49</v>
      </c>
      <c r="K1324" t="s">
        <v>2080</v>
      </c>
      <c r="L1324" s="6" t="s">
        <v>1374</v>
      </c>
      <c r="M1324" s="6">
        <v>15</v>
      </c>
      <c r="N1324" s="6">
        <v>2</v>
      </c>
      <c r="O1324">
        <v>500</v>
      </c>
      <c r="P1324">
        <v>202605</v>
      </c>
      <c r="Q1324" t="s">
        <v>377</v>
      </c>
      <c r="R1324" t="s">
        <v>1350</v>
      </c>
      <c r="S1324">
        <f>Consulta1[[#This Row],[min_port]]/100</f>
        <v>1.4999999999999999E-2</v>
      </c>
      <c r="T1324" s="252">
        <f>Consulta1[[#This Row],[TETO_COMERCIAL]]/100</f>
        <v>2.5000000000000001E-2</v>
      </c>
      <c r="U1324" t="b">
        <f>Consulta1[[#This Row],[TETO_COMERCIAL_%]]=Consulta1[[#This Row],[TAXA]]</f>
        <v>0</v>
      </c>
      <c r="V1324" t="str">
        <f>CONCATENATE(Consulta1[[#This Row],[MES_ALTERACAO]],Consulta1[[#This Row],[VIRADA]])</f>
        <v>20260515</v>
      </c>
      <c r="W1324">
        <f>VLOOKUP(Consulta1[[#This Row],[Coluna2]],CALENDARIO!$J:$K,2,FALSE)</f>
        <v>10</v>
      </c>
    </row>
    <row r="1325" spans="1:23" x14ac:dyDescent="0.25">
      <c r="A1325" t="s">
        <v>582</v>
      </c>
      <c r="B1325" t="str">
        <f>CONCATENATE(Consulta1[[#This Row],[id]],Consulta1[[#This Row],[EMPREGADOR]])</f>
        <v>1PREF SJ CAMPOS</v>
      </c>
      <c r="C1325" s="6">
        <f>IF(A1325=A1324,C1324+1,1)</f>
        <v>1</v>
      </c>
      <c r="D1325" t="s">
        <v>583</v>
      </c>
      <c r="E1325" s="101">
        <v>2.5000000000000001E-2</v>
      </c>
      <c r="F1325" s="6">
        <v>96</v>
      </c>
      <c r="G1325" t="s">
        <v>1349</v>
      </c>
      <c r="H1325" s="82">
        <v>2.5</v>
      </c>
      <c r="I1325">
        <v>15</v>
      </c>
      <c r="K1325" t="s">
        <v>2081</v>
      </c>
      <c r="L1325" s="6" t="s">
        <v>1616</v>
      </c>
      <c r="M1325" s="6">
        <v>15</v>
      </c>
      <c r="N1325" s="6">
        <v>2</v>
      </c>
      <c r="O1325">
        <v>500</v>
      </c>
      <c r="P1325">
        <v>202605</v>
      </c>
      <c r="Q1325" t="s">
        <v>377</v>
      </c>
      <c r="R1325" t="s">
        <v>1353</v>
      </c>
      <c r="S1325">
        <f>Consulta1[[#This Row],[min_port]]/100</f>
        <v>1.5900000000000001E-2</v>
      </c>
      <c r="T1325" s="252">
        <f>Consulta1[[#This Row],[TETO_COMERCIAL]]/100</f>
        <v>2.5000000000000001E-2</v>
      </c>
      <c r="U1325" t="b">
        <f>Consulta1[[#This Row],[TETO_COMERCIAL_%]]=Consulta1[[#This Row],[TAXA]]</f>
        <v>1</v>
      </c>
      <c r="V1325" t="str">
        <f>CONCATENATE(Consulta1[[#This Row],[MES_ALTERACAO]],Consulta1[[#This Row],[VIRADA]])</f>
        <v>20260515</v>
      </c>
      <c r="W1325">
        <f>VLOOKUP(Consulta1[[#This Row],[Coluna2]],CALENDARIO!$J:$K,2,FALSE)</f>
        <v>10</v>
      </c>
    </row>
    <row r="1326" spans="1:23" x14ac:dyDescent="0.25">
      <c r="A1326" t="s">
        <v>582</v>
      </c>
      <c r="B1326" t="str">
        <f>CONCATENATE(Consulta1[[#This Row],[id]],Consulta1[[#This Row],[EMPREGADOR]])</f>
        <v>2PREF SJ CAMPOS</v>
      </c>
      <c r="C1326" s="6">
        <f>IF(A1326=A1325,C1325+1,1)</f>
        <v>2</v>
      </c>
      <c r="D1326" t="s">
        <v>584</v>
      </c>
      <c r="E1326" s="101">
        <v>2.3900000000000001E-2</v>
      </c>
      <c r="F1326" s="6">
        <v>96</v>
      </c>
      <c r="G1326" t="s">
        <v>1349</v>
      </c>
      <c r="H1326" s="82">
        <v>2.5</v>
      </c>
      <c r="I1326">
        <v>15</v>
      </c>
      <c r="K1326" t="s">
        <v>2082</v>
      </c>
      <c r="L1326" s="6" t="s">
        <v>1616</v>
      </c>
      <c r="M1326" s="6">
        <v>15</v>
      </c>
      <c r="N1326" s="6">
        <v>2</v>
      </c>
      <c r="O1326">
        <v>500</v>
      </c>
      <c r="P1326">
        <v>202605</v>
      </c>
      <c r="Q1326" t="s">
        <v>377</v>
      </c>
      <c r="R1326" t="s">
        <v>1353</v>
      </c>
      <c r="S1326">
        <f>Consulta1[[#This Row],[min_port]]/100</f>
        <v>1.5900000000000001E-2</v>
      </c>
      <c r="T1326" s="252">
        <f>Consulta1[[#This Row],[TETO_COMERCIAL]]/100</f>
        <v>2.5000000000000001E-2</v>
      </c>
      <c r="U1326" t="b">
        <f>Consulta1[[#This Row],[TETO_COMERCIAL_%]]=Consulta1[[#This Row],[TAXA]]</f>
        <v>0</v>
      </c>
      <c r="V1326" t="str">
        <f>CONCATENATE(Consulta1[[#This Row],[MES_ALTERACAO]],Consulta1[[#This Row],[VIRADA]])</f>
        <v>20260515</v>
      </c>
      <c r="W1326">
        <f>VLOOKUP(Consulta1[[#This Row],[Coluna2]],CALENDARIO!$J:$K,2,FALSE)</f>
        <v>10</v>
      </c>
    </row>
    <row r="1327" spans="1:23" x14ac:dyDescent="0.25">
      <c r="A1327" t="s">
        <v>582</v>
      </c>
      <c r="B1327" t="str">
        <f>CONCATENATE(Consulta1[[#This Row],[id]],Consulta1[[#This Row],[EMPREGADOR]])</f>
        <v>3PREF SJ CAMPOS</v>
      </c>
      <c r="C1327" s="6">
        <f>IF(A1327=A1326,C1326+1,1)</f>
        <v>3</v>
      </c>
      <c r="D1327" t="s">
        <v>585</v>
      </c>
      <c r="E1327" s="101">
        <v>2.29E-2</v>
      </c>
      <c r="F1327" s="6">
        <v>96</v>
      </c>
      <c r="G1327" t="s">
        <v>1349</v>
      </c>
      <c r="H1327" s="82">
        <v>2.5</v>
      </c>
      <c r="I1327">
        <v>15</v>
      </c>
      <c r="K1327" t="s">
        <v>2083</v>
      </c>
      <c r="L1327" s="6" t="s">
        <v>1616</v>
      </c>
      <c r="M1327" s="6">
        <v>15</v>
      </c>
      <c r="N1327" s="6">
        <v>2</v>
      </c>
      <c r="O1327">
        <v>500</v>
      </c>
      <c r="P1327">
        <v>202605</v>
      </c>
      <c r="Q1327" t="s">
        <v>377</v>
      </c>
      <c r="R1327" t="s">
        <v>1353</v>
      </c>
      <c r="S1327">
        <f>Consulta1[[#This Row],[min_port]]/100</f>
        <v>1.5900000000000001E-2</v>
      </c>
      <c r="T1327" s="252">
        <f>Consulta1[[#This Row],[TETO_COMERCIAL]]/100</f>
        <v>2.5000000000000001E-2</v>
      </c>
      <c r="U1327" t="b">
        <f>Consulta1[[#This Row],[TETO_COMERCIAL_%]]=Consulta1[[#This Row],[TAXA]]</f>
        <v>0</v>
      </c>
      <c r="V1327" t="str">
        <f>CONCATENATE(Consulta1[[#This Row],[MES_ALTERACAO]],Consulta1[[#This Row],[VIRADA]])</f>
        <v>20260515</v>
      </c>
      <c r="W1327">
        <f>VLOOKUP(Consulta1[[#This Row],[Coluna2]],CALENDARIO!$J:$K,2,FALSE)</f>
        <v>10</v>
      </c>
    </row>
    <row r="1328" spans="1:23" x14ac:dyDescent="0.25">
      <c r="A1328" t="s">
        <v>582</v>
      </c>
      <c r="B1328" t="str">
        <f>CONCATENATE(Consulta1[[#This Row],[id]],Consulta1[[#This Row],[EMPREGADOR]])</f>
        <v>4PREF SJ CAMPOS</v>
      </c>
      <c r="C1328" s="6">
        <f>IF(A1328=A1327,C1327+1,1)</f>
        <v>4</v>
      </c>
      <c r="D1328" t="s">
        <v>586</v>
      </c>
      <c r="E1328" s="101">
        <v>2.1899999999999999E-2</v>
      </c>
      <c r="F1328" s="6">
        <v>96</v>
      </c>
      <c r="G1328" t="s">
        <v>1349</v>
      </c>
      <c r="H1328" s="82">
        <v>2.5</v>
      </c>
      <c r="I1328">
        <v>15</v>
      </c>
      <c r="J1328">
        <v>43</v>
      </c>
      <c r="K1328" t="s">
        <v>2084</v>
      </c>
      <c r="L1328" s="6" t="s">
        <v>1616</v>
      </c>
      <c r="M1328" s="6">
        <v>15</v>
      </c>
      <c r="N1328" s="6">
        <v>2</v>
      </c>
      <c r="O1328">
        <v>500</v>
      </c>
      <c r="P1328">
        <v>202605</v>
      </c>
      <c r="Q1328" t="s">
        <v>377</v>
      </c>
      <c r="R1328" t="s">
        <v>1353</v>
      </c>
      <c r="S1328">
        <f>Consulta1[[#This Row],[min_port]]/100</f>
        <v>1.5900000000000001E-2</v>
      </c>
      <c r="T1328" s="252">
        <f>Consulta1[[#This Row],[TETO_COMERCIAL]]/100</f>
        <v>2.5000000000000001E-2</v>
      </c>
      <c r="U1328" t="b">
        <f>Consulta1[[#This Row],[TETO_COMERCIAL_%]]=Consulta1[[#This Row],[TAXA]]</f>
        <v>0</v>
      </c>
      <c r="V1328" t="str">
        <f>CONCATENATE(Consulta1[[#This Row],[MES_ALTERACAO]],Consulta1[[#This Row],[VIRADA]])</f>
        <v>20260515</v>
      </c>
      <c r="W1328">
        <f>VLOOKUP(Consulta1[[#This Row],[Coluna2]],CALENDARIO!$J:$K,2,FALSE)</f>
        <v>10</v>
      </c>
    </row>
    <row r="1329" spans="1:23" x14ac:dyDescent="0.25">
      <c r="A1329" t="s">
        <v>582</v>
      </c>
      <c r="B1329" t="str">
        <f>CONCATENATE(Consulta1[[#This Row],[id]],Consulta1[[#This Row],[EMPREGADOR]])</f>
        <v>5PREF SJ CAMPOS</v>
      </c>
      <c r="C1329" s="6">
        <f>IF(A1329=A1328,C1328+1,1)</f>
        <v>5</v>
      </c>
      <c r="D1329" t="s">
        <v>706</v>
      </c>
      <c r="E1329" s="101">
        <v>2.0899999999999998E-2</v>
      </c>
      <c r="F1329" s="6">
        <v>96</v>
      </c>
      <c r="G1329" t="s">
        <v>1349</v>
      </c>
      <c r="H1329" s="82">
        <v>2.5</v>
      </c>
      <c r="I1329">
        <v>15</v>
      </c>
      <c r="K1329" t="s">
        <v>2085</v>
      </c>
      <c r="L1329" s="6" t="s">
        <v>1616</v>
      </c>
      <c r="M1329" s="6">
        <v>15</v>
      </c>
      <c r="N1329" s="6">
        <v>2</v>
      </c>
      <c r="O1329">
        <v>500</v>
      </c>
      <c r="P1329">
        <v>202605</v>
      </c>
      <c r="Q1329" t="s">
        <v>377</v>
      </c>
      <c r="R1329" t="s">
        <v>1353</v>
      </c>
      <c r="S1329">
        <f>Consulta1[[#This Row],[min_port]]/100</f>
        <v>1.5900000000000001E-2</v>
      </c>
      <c r="T1329" s="252">
        <f>Consulta1[[#This Row],[TETO_COMERCIAL]]/100</f>
        <v>2.5000000000000001E-2</v>
      </c>
      <c r="U1329" t="b">
        <f>Consulta1[[#This Row],[TETO_COMERCIAL_%]]=Consulta1[[#This Row],[TAXA]]</f>
        <v>0</v>
      </c>
      <c r="V1329" t="str">
        <f>CONCATENATE(Consulta1[[#This Row],[MES_ALTERACAO]],Consulta1[[#This Row],[VIRADA]])</f>
        <v>20260515</v>
      </c>
      <c r="W1329">
        <f>VLOOKUP(Consulta1[[#This Row],[Coluna2]],CALENDARIO!$J:$K,2,FALSE)</f>
        <v>10</v>
      </c>
    </row>
    <row r="1330" spans="1:23" x14ac:dyDescent="0.25">
      <c r="A1330" t="s">
        <v>2086</v>
      </c>
      <c r="B1330" t="str">
        <f>CONCATENATE(Consulta1[[#This Row],[id]],Consulta1[[#This Row],[EMPREGADOR]])</f>
        <v>1PREF SJR PRETO</v>
      </c>
      <c r="C1330" s="6">
        <f>IF(A1330=A1329,C1329+1,1)</f>
        <v>1</v>
      </c>
      <c r="D1330" t="s">
        <v>2087</v>
      </c>
      <c r="E1330" s="101">
        <v>1.9599999999999999E-2</v>
      </c>
      <c r="F1330" s="6">
        <v>96</v>
      </c>
      <c r="G1330" t="s">
        <v>1349</v>
      </c>
      <c r="H1330" s="82">
        <v>1.96</v>
      </c>
      <c r="I1330">
        <v>15</v>
      </c>
      <c r="K1330" t="s">
        <v>2088</v>
      </c>
      <c r="L1330" s="6" t="s">
        <v>1424</v>
      </c>
      <c r="M1330" s="6">
        <v>1</v>
      </c>
      <c r="N1330" s="6">
        <v>2</v>
      </c>
      <c r="O1330">
        <v>500</v>
      </c>
      <c r="P1330">
        <v>202605</v>
      </c>
      <c r="Q1330" t="s">
        <v>377</v>
      </c>
      <c r="R1330" t="s">
        <v>1353</v>
      </c>
      <c r="S1330">
        <f>Consulta1[[#This Row],[min_port]]/100</f>
        <v>1.7100000000000001E-2</v>
      </c>
      <c r="T1330" s="252">
        <f>Consulta1[[#This Row],[TETO_COMERCIAL]]/100</f>
        <v>1.9599999999999999E-2</v>
      </c>
      <c r="U1330" t="b">
        <f>Consulta1[[#This Row],[TETO_COMERCIAL_%]]=Consulta1[[#This Row],[TAXA]]</f>
        <v>1</v>
      </c>
      <c r="V1330" t="str">
        <f>CONCATENATE(Consulta1[[#This Row],[MES_ALTERACAO]],Consulta1[[#This Row],[VIRADA]])</f>
        <v>2026051</v>
      </c>
      <c r="W1330">
        <f>VLOOKUP(Consulta1[[#This Row],[Coluna2]],CALENDARIO!$J:$K,2,FALSE)</f>
        <v>0</v>
      </c>
    </row>
    <row r="1331" spans="1:23" x14ac:dyDescent="0.25">
      <c r="A1331" t="s">
        <v>374</v>
      </c>
      <c r="B1331" t="str">
        <f>CONCATENATE(Consulta1[[#This Row],[id]],Consulta1[[#This Row],[EMPREGADOR]])</f>
        <v>1PREF SOBRAL</v>
      </c>
      <c r="C1331" s="6">
        <f>IF(A1331=A1330,C1330+1,1)</f>
        <v>1</v>
      </c>
      <c r="D1331" t="s">
        <v>277</v>
      </c>
      <c r="E1331" s="101">
        <v>2.5000000000000001E-2</v>
      </c>
      <c r="F1331" s="6">
        <v>120</v>
      </c>
      <c r="G1331" t="s">
        <v>1349</v>
      </c>
      <c r="H1331" s="82">
        <v>2.5</v>
      </c>
      <c r="I1331">
        <v>20</v>
      </c>
      <c r="J1331">
        <v>46</v>
      </c>
      <c r="K1331" t="s">
        <v>2089</v>
      </c>
      <c r="L1331" s="6" t="s">
        <v>1372</v>
      </c>
      <c r="M1331" s="6">
        <v>15</v>
      </c>
      <c r="N1331" s="6">
        <v>2</v>
      </c>
      <c r="O1331">
        <v>500</v>
      </c>
      <c r="P1331">
        <v>202605</v>
      </c>
      <c r="Q1331" t="s">
        <v>377</v>
      </c>
      <c r="R1331" t="s">
        <v>1353</v>
      </c>
      <c r="S1331">
        <f>Consulta1[[#This Row],[min_port]]/100</f>
        <v>1.6E-2</v>
      </c>
      <c r="T1331" s="252">
        <f>Consulta1[[#This Row],[TETO_COMERCIAL]]/100</f>
        <v>2.5000000000000001E-2</v>
      </c>
      <c r="U1331" t="b">
        <f>Consulta1[[#This Row],[TETO_COMERCIAL_%]]=Consulta1[[#This Row],[TAXA]]</f>
        <v>1</v>
      </c>
      <c r="V1331" t="str">
        <f>CONCATENATE(Consulta1[[#This Row],[MES_ALTERACAO]],Consulta1[[#This Row],[VIRADA]])</f>
        <v>20260515</v>
      </c>
      <c r="W1331">
        <f>VLOOKUP(Consulta1[[#This Row],[Coluna2]],CALENDARIO!$J:$K,2,FALSE)</f>
        <v>10</v>
      </c>
    </row>
    <row r="1332" spans="1:23" x14ac:dyDescent="0.25">
      <c r="A1332" t="s">
        <v>374</v>
      </c>
      <c r="B1332" t="str">
        <f>CONCATENATE(Consulta1[[#This Row],[id]],Consulta1[[#This Row],[EMPREGADOR]])</f>
        <v>2PREF SOBRAL</v>
      </c>
      <c r="C1332" s="6">
        <f>IF(A1332=A1331,C1331+1,1)</f>
        <v>2</v>
      </c>
      <c r="D1332" t="s">
        <v>278</v>
      </c>
      <c r="E1332" s="101">
        <v>2.4E-2</v>
      </c>
      <c r="F1332" s="6">
        <v>120</v>
      </c>
      <c r="G1332" t="s">
        <v>1349</v>
      </c>
      <c r="H1332" s="82">
        <v>2.5</v>
      </c>
      <c r="I1332">
        <v>20</v>
      </c>
      <c r="K1332" t="s">
        <v>2090</v>
      </c>
      <c r="L1332" s="6" t="s">
        <v>1372</v>
      </c>
      <c r="M1332" s="6">
        <v>15</v>
      </c>
      <c r="N1332" s="6">
        <v>2</v>
      </c>
      <c r="O1332">
        <v>500</v>
      </c>
      <c r="P1332">
        <v>202605</v>
      </c>
      <c r="Q1332" t="s">
        <v>377</v>
      </c>
      <c r="R1332" t="s">
        <v>1353</v>
      </c>
      <c r="S1332">
        <f>Consulta1[[#This Row],[min_port]]/100</f>
        <v>1.6E-2</v>
      </c>
      <c r="T1332" s="252">
        <f>Consulta1[[#This Row],[TETO_COMERCIAL]]/100</f>
        <v>2.5000000000000001E-2</v>
      </c>
      <c r="U1332" t="b">
        <f>Consulta1[[#This Row],[TETO_COMERCIAL_%]]=Consulta1[[#This Row],[TAXA]]</f>
        <v>0</v>
      </c>
      <c r="V1332" t="str">
        <f>CONCATENATE(Consulta1[[#This Row],[MES_ALTERACAO]],Consulta1[[#This Row],[VIRADA]])</f>
        <v>20260515</v>
      </c>
      <c r="W1332">
        <f>VLOOKUP(Consulta1[[#This Row],[Coluna2]],CALENDARIO!$J:$K,2,FALSE)</f>
        <v>10</v>
      </c>
    </row>
    <row r="1333" spans="1:23" x14ac:dyDescent="0.25">
      <c r="A1333" t="s">
        <v>374</v>
      </c>
      <c r="B1333" t="str">
        <f>CONCATENATE(Consulta1[[#This Row],[id]],Consulta1[[#This Row],[EMPREGADOR]])</f>
        <v>3PREF SOBRAL</v>
      </c>
      <c r="C1333" s="6">
        <f>IF(A1333=A1332,C1332+1,1)</f>
        <v>3</v>
      </c>
      <c r="D1333" t="s">
        <v>1147</v>
      </c>
      <c r="E1333" s="101">
        <v>2.3E-2</v>
      </c>
      <c r="F1333" s="6">
        <v>120</v>
      </c>
      <c r="G1333" t="s">
        <v>1349</v>
      </c>
      <c r="H1333" s="82">
        <v>2.5</v>
      </c>
      <c r="I1333">
        <v>20</v>
      </c>
      <c r="K1333" t="s">
        <v>2091</v>
      </c>
      <c r="L1333" s="6" t="s">
        <v>1372</v>
      </c>
      <c r="M1333" s="6">
        <v>15</v>
      </c>
      <c r="N1333" s="6">
        <v>2</v>
      </c>
      <c r="O1333">
        <v>500</v>
      </c>
      <c r="P1333">
        <v>202605</v>
      </c>
      <c r="Q1333" t="s">
        <v>377</v>
      </c>
      <c r="R1333" t="s">
        <v>1353</v>
      </c>
      <c r="S1333">
        <f>Consulta1[[#This Row],[min_port]]/100</f>
        <v>1.6E-2</v>
      </c>
      <c r="T1333" s="252">
        <f>Consulta1[[#This Row],[TETO_COMERCIAL]]/100</f>
        <v>2.5000000000000001E-2</v>
      </c>
      <c r="U1333" t="b">
        <f>Consulta1[[#This Row],[TETO_COMERCIAL_%]]=Consulta1[[#This Row],[TAXA]]</f>
        <v>0</v>
      </c>
      <c r="V1333" t="str">
        <f>CONCATENATE(Consulta1[[#This Row],[MES_ALTERACAO]],Consulta1[[#This Row],[VIRADA]])</f>
        <v>20260515</v>
      </c>
      <c r="W1333">
        <f>VLOOKUP(Consulta1[[#This Row],[Coluna2]],CALENDARIO!$J:$K,2,FALSE)</f>
        <v>10</v>
      </c>
    </row>
    <row r="1334" spans="1:23" x14ac:dyDescent="0.25">
      <c r="A1334" t="s">
        <v>374</v>
      </c>
      <c r="B1334" t="str">
        <f>CONCATENATE(Consulta1[[#This Row],[id]],Consulta1[[#This Row],[EMPREGADOR]])</f>
        <v>4PREF SOBRAL</v>
      </c>
      <c r="C1334" s="6">
        <f>IF(A1334=A1333,C1333+1,1)</f>
        <v>4</v>
      </c>
      <c r="D1334" t="s">
        <v>1148</v>
      </c>
      <c r="E1334" s="101">
        <v>2.2099999999999998E-2</v>
      </c>
      <c r="F1334" s="6">
        <v>120</v>
      </c>
      <c r="G1334" t="s">
        <v>1349</v>
      </c>
      <c r="H1334" s="82">
        <v>2.5</v>
      </c>
      <c r="I1334">
        <v>20</v>
      </c>
      <c r="J1334">
        <v>54</v>
      </c>
      <c r="K1334" t="s">
        <v>2092</v>
      </c>
      <c r="L1334" s="6" t="s">
        <v>1372</v>
      </c>
      <c r="M1334" s="6">
        <v>15</v>
      </c>
      <c r="N1334" s="6">
        <v>2</v>
      </c>
      <c r="O1334">
        <v>500</v>
      </c>
      <c r="P1334">
        <v>202605</v>
      </c>
      <c r="Q1334" t="s">
        <v>377</v>
      </c>
      <c r="R1334" t="s">
        <v>1353</v>
      </c>
      <c r="S1334">
        <f>Consulta1[[#This Row],[min_port]]/100</f>
        <v>1.6E-2</v>
      </c>
      <c r="T1334" s="252">
        <f>Consulta1[[#This Row],[TETO_COMERCIAL]]/100</f>
        <v>2.5000000000000001E-2</v>
      </c>
      <c r="U1334" t="b">
        <f>Consulta1[[#This Row],[TETO_COMERCIAL_%]]=Consulta1[[#This Row],[TAXA]]</f>
        <v>0</v>
      </c>
      <c r="V1334" t="str">
        <f>CONCATENATE(Consulta1[[#This Row],[MES_ALTERACAO]],Consulta1[[#This Row],[VIRADA]])</f>
        <v>20260515</v>
      </c>
      <c r="W1334">
        <f>VLOOKUP(Consulta1[[#This Row],[Coluna2]],CALENDARIO!$J:$K,2,FALSE)</f>
        <v>10</v>
      </c>
    </row>
    <row r="1335" spans="1:23" x14ac:dyDescent="0.25">
      <c r="A1335" t="s">
        <v>3840</v>
      </c>
      <c r="B1335" t="str">
        <f>CONCATENATE(Consulta1[[#This Row],[id]],Consulta1[[#This Row],[EMPREGADOR]])</f>
        <v>1PREF SORO PORT</v>
      </c>
      <c r="C1335" s="6">
        <f>IF(A1335=A1334,C1334+1,1)</f>
        <v>1</v>
      </c>
      <c r="D1335" t="s">
        <v>1149</v>
      </c>
      <c r="E1335" s="101">
        <v>2.5000000000000001E-2</v>
      </c>
      <c r="F1335" s="6">
        <v>120</v>
      </c>
      <c r="G1335" t="s">
        <v>1349</v>
      </c>
      <c r="H1335" s="82">
        <v>2.5</v>
      </c>
      <c r="I1335">
        <v>15</v>
      </c>
      <c r="K1335" t="s">
        <v>2093</v>
      </c>
      <c r="L1335" s="6" t="s">
        <v>1616</v>
      </c>
      <c r="M1335" s="6">
        <v>15</v>
      </c>
      <c r="N1335" s="6">
        <v>2</v>
      </c>
      <c r="O1335">
        <v>500</v>
      </c>
      <c r="P1335">
        <v>202605</v>
      </c>
      <c r="Q1335" t="s">
        <v>377</v>
      </c>
      <c r="R1335" t="s">
        <v>1353</v>
      </c>
      <c r="S1335">
        <f>Consulta1[[#This Row],[min_port]]/100</f>
        <v>1.5900000000000001E-2</v>
      </c>
      <c r="T1335" s="252">
        <f>Consulta1[[#This Row],[TETO_COMERCIAL]]/100</f>
        <v>2.5000000000000001E-2</v>
      </c>
      <c r="U1335" t="b">
        <f>Consulta1[[#This Row],[TETO_COMERCIAL_%]]=Consulta1[[#This Row],[TAXA]]</f>
        <v>1</v>
      </c>
      <c r="V1335" t="str">
        <f>CONCATENATE(Consulta1[[#This Row],[MES_ALTERACAO]],Consulta1[[#This Row],[VIRADA]])</f>
        <v>20260515</v>
      </c>
      <c r="W1335">
        <f>VLOOKUP(Consulta1[[#This Row],[Coluna2]],CALENDARIO!$J:$K,2,FALSE)</f>
        <v>10</v>
      </c>
    </row>
    <row r="1336" spans="1:23" x14ac:dyDescent="0.25">
      <c r="A1336" t="s">
        <v>3840</v>
      </c>
      <c r="B1336" t="str">
        <f>CONCATENATE(Consulta1[[#This Row],[id]],Consulta1[[#This Row],[EMPREGADOR]])</f>
        <v>2PREF SORO PORT</v>
      </c>
      <c r="C1336" s="6">
        <f>IF(A1336=A1335,C1335+1,1)</f>
        <v>2</v>
      </c>
      <c r="D1336" t="s">
        <v>1150</v>
      </c>
      <c r="E1336" s="101">
        <v>2.1899999999999999E-2</v>
      </c>
      <c r="F1336" s="6">
        <v>120</v>
      </c>
      <c r="G1336" t="s">
        <v>1349</v>
      </c>
      <c r="H1336" s="82">
        <v>2.5</v>
      </c>
      <c r="I1336">
        <v>15</v>
      </c>
      <c r="K1336" t="s">
        <v>2094</v>
      </c>
      <c r="L1336" s="6" t="s">
        <v>1616</v>
      </c>
      <c r="M1336" s="6">
        <v>15</v>
      </c>
      <c r="N1336" s="6">
        <v>2</v>
      </c>
      <c r="O1336">
        <v>500</v>
      </c>
      <c r="P1336">
        <v>202605</v>
      </c>
      <c r="Q1336" t="s">
        <v>377</v>
      </c>
      <c r="R1336" t="s">
        <v>1353</v>
      </c>
      <c r="S1336">
        <f>Consulta1[[#This Row],[min_port]]/100</f>
        <v>1.5900000000000001E-2</v>
      </c>
      <c r="T1336" s="252">
        <f>Consulta1[[#This Row],[TETO_COMERCIAL]]/100</f>
        <v>2.5000000000000001E-2</v>
      </c>
      <c r="U1336" t="b">
        <f>Consulta1[[#This Row],[TETO_COMERCIAL_%]]=Consulta1[[#This Row],[TAXA]]</f>
        <v>0</v>
      </c>
      <c r="V1336" t="str">
        <f>CONCATENATE(Consulta1[[#This Row],[MES_ALTERACAO]],Consulta1[[#This Row],[VIRADA]])</f>
        <v>20260515</v>
      </c>
      <c r="W1336">
        <f>VLOOKUP(Consulta1[[#This Row],[Coluna2]],CALENDARIO!$J:$K,2,FALSE)</f>
        <v>10</v>
      </c>
    </row>
    <row r="1337" spans="1:23" x14ac:dyDescent="0.25">
      <c r="A1337" t="s">
        <v>3840</v>
      </c>
      <c r="B1337" t="str">
        <f>CONCATENATE(Consulta1[[#This Row],[id]],Consulta1[[#This Row],[EMPREGADOR]])</f>
        <v>3PREF SORO PORT</v>
      </c>
      <c r="C1337" s="6">
        <f>IF(A1337=A1336,C1336+1,1)</f>
        <v>3</v>
      </c>
      <c r="D1337" t="s">
        <v>1151</v>
      </c>
      <c r="E1337" s="101">
        <v>2.0899999999999998E-2</v>
      </c>
      <c r="F1337" s="6">
        <v>120</v>
      </c>
      <c r="G1337" t="s">
        <v>1349</v>
      </c>
      <c r="H1337" s="82">
        <v>2.5</v>
      </c>
      <c r="I1337">
        <v>15</v>
      </c>
      <c r="K1337" t="s">
        <v>2095</v>
      </c>
      <c r="L1337" s="6" t="s">
        <v>1616</v>
      </c>
      <c r="M1337" s="6">
        <v>15</v>
      </c>
      <c r="N1337" s="6">
        <v>2</v>
      </c>
      <c r="O1337">
        <v>500</v>
      </c>
      <c r="P1337">
        <v>202605</v>
      </c>
      <c r="Q1337" t="s">
        <v>377</v>
      </c>
      <c r="R1337" t="s">
        <v>1353</v>
      </c>
      <c r="S1337">
        <f>Consulta1[[#This Row],[min_port]]/100</f>
        <v>1.5900000000000001E-2</v>
      </c>
      <c r="T1337" s="252">
        <f>Consulta1[[#This Row],[TETO_COMERCIAL]]/100</f>
        <v>2.5000000000000001E-2</v>
      </c>
      <c r="U1337" t="b">
        <f>Consulta1[[#This Row],[TETO_COMERCIAL_%]]=Consulta1[[#This Row],[TAXA]]</f>
        <v>0</v>
      </c>
      <c r="V1337" t="str">
        <f>CONCATENATE(Consulta1[[#This Row],[MES_ALTERACAO]],Consulta1[[#This Row],[VIRADA]])</f>
        <v>20260515</v>
      </c>
      <c r="W1337">
        <f>VLOOKUP(Consulta1[[#This Row],[Coluna2]],CALENDARIO!$J:$K,2,FALSE)</f>
        <v>10</v>
      </c>
    </row>
    <row r="1338" spans="1:23" x14ac:dyDescent="0.25">
      <c r="A1338" t="s">
        <v>3840</v>
      </c>
      <c r="B1338" t="str">
        <f>CONCATENATE(Consulta1[[#This Row],[id]],Consulta1[[#This Row],[EMPREGADOR]])</f>
        <v>4PREF SORO PORT</v>
      </c>
      <c r="C1338" s="6">
        <f>IF(A1338=A1337,C1337+1,1)</f>
        <v>4</v>
      </c>
      <c r="D1338" t="s">
        <v>1152</v>
      </c>
      <c r="E1338" s="101">
        <v>1.9900000000000001E-2</v>
      </c>
      <c r="F1338" s="6">
        <v>120</v>
      </c>
      <c r="G1338" t="s">
        <v>1349</v>
      </c>
      <c r="H1338" s="82">
        <v>2.5</v>
      </c>
      <c r="I1338">
        <v>15</v>
      </c>
      <c r="K1338" t="s">
        <v>2096</v>
      </c>
      <c r="L1338" s="6" t="s">
        <v>1616</v>
      </c>
      <c r="M1338" s="6">
        <v>15</v>
      </c>
      <c r="N1338" s="6">
        <v>2</v>
      </c>
      <c r="O1338">
        <v>500</v>
      </c>
      <c r="P1338">
        <v>202605</v>
      </c>
      <c r="Q1338" t="s">
        <v>377</v>
      </c>
      <c r="R1338" t="s">
        <v>1353</v>
      </c>
      <c r="S1338">
        <f>Consulta1[[#This Row],[min_port]]/100</f>
        <v>1.5900000000000001E-2</v>
      </c>
      <c r="T1338" s="252">
        <f>Consulta1[[#This Row],[TETO_COMERCIAL]]/100</f>
        <v>2.5000000000000001E-2</v>
      </c>
      <c r="U1338" t="b">
        <f>Consulta1[[#This Row],[TETO_COMERCIAL_%]]=Consulta1[[#This Row],[TAXA]]</f>
        <v>0</v>
      </c>
      <c r="V1338" t="str">
        <f>CONCATENATE(Consulta1[[#This Row],[MES_ALTERACAO]],Consulta1[[#This Row],[VIRADA]])</f>
        <v>20260515</v>
      </c>
      <c r="W1338">
        <f>VLOOKUP(Consulta1[[#This Row],[Coluna2]],CALENDARIO!$J:$K,2,FALSE)</f>
        <v>10</v>
      </c>
    </row>
    <row r="1339" spans="1:23" x14ac:dyDescent="0.25">
      <c r="A1339" t="s">
        <v>3840</v>
      </c>
      <c r="B1339" t="str">
        <f>CONCATENATE(Consulta1[[#This Row],[id]],Consulta1[[#This Row],[EMPREGADOR]])</f>
        <v>5PREF SORO PORT</v>
      </c>
      <c r="C1339" s="6">
        <f>IF(A1339=A1338,C1338+1,1)</f>
        <v>5</v>
      </c>
      <c r="D1339" t="s">
        <v>1153</v>
      </c>
      <c r="E1339" s="101">
        <v>1.89E-2</v>
      </c>
      <c r="F1339" s="6">
        <v>120</v>
      </c>
      <c r="G1339" t="s">
        <v>1349</v>
      </c>
      <c r="H1339" s="82">
        <v>2.5</v>
      </c>
      <c r="I1339">
        <v>15</v>
      </c>
      <c r="K1339" t="s">
        <v>2097</v>
      </c>
      <c r="L1339" s="6" t="s">
        <v>1616</v>
      </c>
      <c r="M1339" s="6">
        <v>15</v>
      </c>
      <c r="N1339" s="6">
        <v>2</v>
      </c>
      <c r="O1339">
        <v>500</v>
      </c>
      <c r="P1339">
        <v>202605</v>
      </c>
      <c r="Q1339" t="s">
        <v>377</v>
      </c>
      <c r="R1339" t="s">
        <v>1353</v>
      </c>
      <c r="S1339">
        <f>Consulta1[[#This Row],[min_port]]/100</f>
        <v>1.5900000000000001E-2</v>
      </c>
      <c r="T1339" s="252">
        <f>Consulta1[[#This Row],[TETO_COMERCIAL]]/100</f>
        <v>2.5000000000000001E-2</v>
      </c>
      <c r="U1339" t="b">
        <f>Consulta1[[#This Row],[TETO_COMERCIAL_%]]=Consulta1[[#This Row],[TAXA]]</f>
        <v>0</v>
      </c>
      <c r="V1339" t="str">
        <f>CONCATENATE(Consulta1[[#This Row],[MES_ALTERACAO]],Consulta1[[#This Row],[VIRADA]])</f>
        <v>20260515</v>
      </c>
      <c r="W1339">
        <f>VLOOKUP(Consulta1[[#This Row],[Coluna2]],CALENDARIO!$J:$K,2,FALSE)</f>
        <v>10</v>
      </c>
    </row>
    <row r="1340" spans="1:23" x14ac:dyDescent="0.25">
      <c r="A1340" t="s">
        <v>3840</v>
      </c>
      <c r="B1340" t="str">
        <f>CONCATENATE(Consulta1[[#This Row],[id]],Consulta1[[#This Row],[EMPREGADOR]])</f>
        <v>6PREF SORO PORT</v>
      </c>
      <c r="C1340" s="6">
        <f>IF(A1340=A1339,C1339+1,1)</f>
        <v>6</v>
      </c>
      <c r="D1340" t="s">
        <v>1154</v>
      </c>
      <c r="E1340" s="101">
        <v>1.7899999999999999E-2</v>
      </c>
      <c r="F1340" s="6">
        <v>120</v>
      </c>
      <c r="G1340" t="s">
        <v>1349</v>
      </c>
      <c r="H1340" s="82">
        <v>2.5</v>
      </c>
      <c r="I1340">
        <v>15</v>
      </c>
      <c r="K1340" t="s">
        <v>2098</v>
      </c>
      <c r="L1340" s="6" t="s">
        <v>1616</v>
      </c>
      <c r="M1340" s="6">
        <v>15</v>
      </c>
      <c r="N1340" s="6">
        <v>2</v>
      </c>
      <c r="O1340">
        <v>500</v>
      </c>
      <c r="P1340">
        <v>202605</v>
      </c>
      <c r="Q1340" t="s">
        <v>377</v>
      </c>
      <c r="R1340" t="s">
        <v>1353</v>
      </c>
      <c r="S1340">
        <f>Consulta1[[#This Row],[min_port]]/100</f>
        <v>1.5900000000000001E-2</v>
      </c>
      <c r="T1340" s="252">
        <f>Consulta1[[#This Row],[TETO_COMERCIAL]]/100</f>
        <v>2.5000000000000001E-2</v>
      </c>
      <c r="U1340" t="b">
        <f>Consulta1[[#This Row],[TETO_COMERCIAL_%]]=Consulta1[[#This Row],[TAXA]]</f>
        <v>0</v>
      </c>
      <c r="V1340" t="str">
        <f>CONCATENATE(Consulta1[[#This Row],[MES_ALTERACAO]],Consulta1[[#This Row],[VIRADA]])</f>
        <v>20260515</v>
      </c>
      <c r="W1340">
        <f>VLOOKUP(Consulta1[[#This Row],[Coluna2]],CALENDARIO!$J:$K,2,FALSE)</f>
        <v>10</v>
      </c>
    </row>
    <row r="1341" spans="1:23" x14ac:dyDescent="0.25">
      <c r="A1341" t="s">
        <v>3066</v>
      </c>
      <c r="B1341" t="str">
        <f>CONCATENATE(Consulta1[[#This Row],[id]],Consulta1[[#This Row],[EMPREGADOR]])</f>
        <v>1PREF SORRISO</v>
      </c>
      <c r="C1341" s="6">
        <f>IF(A1341=A1340,C1340+1,1)</f>
        <v>1</v>
      </c>
      <c r="D1341" t="s">
        <v>1074</v>
      </c>
      <c r="E1341" s="101">
        <v>1.9E-2</v>
      </c>
      <c r="F1341" s="6">
        <v>120</v>
      </c>
      <c r="G1341" t="s">
        <v>1349</v>
      </c>
      <c r="H1341" s="82">
        <v>1.9</v>
      </c>
      <c r="I1341">
        <v>15</v>
      </c>
      <c r="J1341">
        <v>46</v>
      </c>
      <c r="K1341" t="s">
        <v>2099</v>
      </c>
      <c r="L1341" s="6" t="s">
        <v>1371</v>
      </c>
      <c r="M1341" s="6">
        <v>15</v>
      </c>
      <c r="N1341" s="6">
        <v>2</v>
      </c>
      <c r="O1341">
        <v>500</v>
      </c>
      <c r="P1341">
        <v>202605</v>
      </c>
      <c r="Q1341" t="s">
        <v>377</v>
      </c>
      <c r="R1341" t="s">
        <v>1353</v>
      </c>
      <c r="S1341">
        <f>Consulta1[[#This Row],[min_port]]/100</f>
        <v>1.4499999999999999E-2</v>
      </c>
      <c r="T1341" s="252">
        <f>Consulta1[[#This Row],[TETO_COMERCIAL]]/100</f>
        <v>1.9E-2</v>
      </c>
      <c r="U1341" t="b">
        <f>Consulta1[[#This Row],[TETO_COMERCIAL_%]]=Consulta1[[#This Row],[TAXA]]</f>
        <v>1</v>
      </c>
      <c r="V1341" t="str">
        <f>CONCATENATE(Consulta1[[#This Row],[MES_ALTERACAO]],Consulta1[[#This Row],[VIRADA]])</f>
        <v>20260515</v>
      </c>
      <c r="W1341">
        <f>VLOOKUP(Consulta1[[#This Row],[Coluna2]],CALENDARIO!$J:$K,2,FALSE)</f>
        <v>10</v>
      </c>
    </row>
    <row r="1342" spans="1:23" x14ac:dyDescent="0.25">
      <c r="A1342" t="s">
        <v>3066</v>
      </c>
      <c r="B1342" t="str">
        <f>CONCATENATE(Consulta1[[#This Row],[id]],Consulta1[[#This Row],[EMPREGADOR]])</f>
        <v>2PREF SORRISO</v>
      </c>
      <c r="C1342" s="6">
        <f>IF(A1342=A1341,C1341+1,1)</f>
        <v>2</v>
      </c>
      <c r="D1342" t="s">
        <v>280</v>
      </c>
      <c r="E1342" s="101">
        <v>1.8000000000000002E-2</v>
      </c>
      <c r="F1342" s="6">
        <v>120</v>
      </c>
      <c r="G1342" t="s">
        <v>1349</v>
      </c>
      <c r="H1342" s="82">
        <v>1.9</v>
      </c>
      <c r="I1342">
        <v>15</v>
      </c>
      <c r="J1342">
        <v>46</v>
      </c>
      <c r="K1342" t="s">
        <v>2100</v>
      </c>
      <c r="L1342" s="6" t="s">
        <v>1371</v>
      </c>
      <c r="M1342" s="6">
        <v>15</v>
      </c>
      <c r="N1342" s="6">
        <v>2</v>
      </c>
      <c r="O1342">
        <v>500</v>
      </c>
      <c r="P1342">
        <v>202605</v>
      </c>
      <c r="Q1342" t="s">
        <v>377</v>
      </c>
      <c r="R1342" t="s">
        <v>1353</v>
      </c>
      <c r="S1342">
        <f>Consulta1[[#This Row],[min_port]]/100</f>
        <v>1.4499999999999999E-2</v>
      </c>
      <c r="T1342" s="252">
        <f>Consulta1[[#This Row],[TETO_COMERCIAL]]/100</f>
        <v>1.9E-2</v>
      </c>
      <c r="U1342" t="b">
        <f>Consulta1[[#This Row],[TETO_COMERCIAL_%]]=Consulta1[[#This Row],[TAXA]]</f>
        <v>0</v>
      </c>
      <c r="V1342" t="str">
        <f>CONCATENATE(Consulta1[[#This Row],[MES_ALTERACAO]],Consulta1[[#This Row],[VIRADA]])</f>
        <v>20260515</v>
      </c>
      <c r="W1342">
        <f>VLOOKUP(Consulta1[[#This Row],[Coluna2]],CALENDARIO!$J:$K,2,FALSE)</f>
        <v>10</v>
      </c>
    </row>
    <row r="1343" spans="1:23" x14ac:dyDescent="0.25">
      <c r="A1343" t="s">
        <v>3066</v>
      </c>
      <c r="B1343" t="str">
        <f>CONCATENATE(Consulta1[[#This Row],[id]],Consulta1[[#This Row],[EMPREGADOR]])</f>
        <v>3PREF SORRISO</v>
      </c>
      <c r="C1343" s="6">
        <f>IF(A1343=A1342,C1342+1,1)</f>
        <v>3</v>
      </c>
      <c r="D1343" t="s">
        <v>281</v>
      </c>
      <c r="E1343" s="101">
        <v>1.7000000000000001E-2</v>
      </c>
      <c r="F1343" s="6">
        <v>120</v>
      </c>
      <c r="G1343" t="s">
        <v>1349</v>
      </c>
      <c r="H1343" s="82">
        <v>1.9</v>
      </c>
      <c r="I1343">
        <v>15</v>
      </c>
      <c r="J1343">
        <v>48</v>
      </c>
      <c r="K1343" t="s">
        <v>2101</v>
      </c>
      <c r="L1343" s="6" t="s">
        <v>1371</v>
      </c>
      <c r="M1343" s="6">
        <v>15</v>
      </c>
      <c r="N1343" s="6">
        <v>2</v>
      </c>
      <c r="O1343">
        <v>500</v>
      </c>
      <c r="P1343">
        <v>202605</v>
      </c>
      <c r="Q1343" t="s">
        <v>377</v>
      </c>
      <c r="R1343" t="s">
        <v>1353</v>
      </c>
      <c r="S1343">
        <f>Consulta1[[#This Row],[min_port]]/100</f>
        <v>1.4499999999999999E-2</v>
      </c>
      <c r="T1343" s="252">
        <f>Consulta1[[#This Row],[TETO_COMERCIAL]]/100</f>
        <v>1.9E-2</v>
      </c>
      <c r="U1343" t="b">
        <f>Consulta1[[#This Row],[TETO_COMERCIAL_%]]=Consulta1[[#This Row],[TAXA]]</f>
        <v>0</v>
      </c>
      <c r="V1343" t="str">
        <f>CONCATENATE(Consulta1[[#This Row],[MES_ALTERACAO]],Consulta1[[#This Row],[VIRADA]])</f>
        <v>20260515</v>
      </c>
      <c r="W1343">
        <f>VLOOKUP(Consulta1[[#This Row],[Coluna2]],CALENDARIO!$J:$K,2,FALSE)</f>
        <v>10</v>
      </c>
    </row>
    <row r="1344" spans="1:23" x14ac:dyDescent="0.25">
      <c r="A1344" t="s">
        <v>752</v>
      </c>
      <c r="B1344" t="str">
        <f>CONCATENATE(Consulta1[[#This Row],[id]],Consulta1[[#This Row],[EMPREGADOR]])</f>
        <v>1PREF ST ANDRE</v>
      </c>
      <c r="C1344" s="6">
        <f>IF(A1344=A1343,C1343+1,1)</f>
        <v>1</v>
      </c>
      <c r="D1344" t="s">
        <v>767</v>
      </c>
      <c r="E1344" s="101">
        <v>2.4900000000000002E-2</v>
      </c>
      <c r="F1344" s="6">
        <v>96</v>
      </c>
      <c r="G1344" t="s">
        <v>1349</v>
      </c>
      <c r="H1344" s="82">
        <v>2.4900000000000002</v>
      </c>
      <c r="I1344">
        <v>20</v>
      </c>
      <c r="J1344">
        <v>57</v>
      </c>
      <c r="K1344" t="s">
        <v>2102</v>
      </c>
      <c r="L1344" s="6" t="s">
        <v>2103</v>
      </c>
      <c r="M1344" s="6">
        <v>10</v>
      </c>
      <c r="N1344" s="6">
        <v>2</v>
      </c>
      <c r="O1344">
        <v>500</v>
      </c>
      <c r="P1344">
        <v>202605</v>
      </c>
      <c r="Q1344" t="s">
        <v>377</v>
      </c>
      <c r="R1344" t="s">
        <v>1353</v>
      </c>
      <c r="S1344">
        <f>Consulta1[[#This Row],[min_port]]/100</f>
        <v>1.8799999999999997E-2</v>
      </c>
      <c r="T1344" s="252">
        <f>Consulta1[[#This Row],[TETO_COMERCIAL]]/100</f>
        <v>2.4900000000000002E-2</v>
      </c>
      <c r="U1344" t="b">
        <f>Consulta1[[#This Row],[TETO_COMERCIAL_%]]=Consulta1[[#This Row],[TAXA]]</f>
        <v>1</v>
      </c>
      <c r="V1344" t="str">
        <f>CONCATENATE(Consulta1[[#This Row],[MES_ALTERACAO]],Consulta1[[#This Row],[VIRADA]])</f>
        <v>20260510</v>
      </c>
      <c r="W1344">
        <f>VLOOKUP(Consulta1[[#This Row],[Coluna2]],CALENDARIO!$J:$K,2,FALSE)</f>
        <v>5</v>
      </c>
    </row>
    <row r="1345" spans="1:23" x14ac:dyDescent="0.25">
      <c r="A1345" t="s">
        <v>752</v>
      </c>
      <c r="B1345" t="str">
        <f>CONCATENATE(Consulta1[[#This Row],[id]],Consulta1[[#This Row],[EMPREGADOR]])</f>
        <v>2PREF ST ANDRE</v>
      </c>
      <c r="C1345" s="6">
        <f>IF(A1345=A1344,C1344+1,1)</f>
        <v>2</v>
      </c>
      <c r="D1345" t="s">
        <v>768</v>
      </c>
      <c r="E1345" s="101">
        <v>2.3900000000000001E-2</v>
      </c>
      <c r="F1345" s="6">
        <v>96</v>
      </c>
      <c r="G1345" t="s">
        <v>1349</v>
      </c>
      <c r="H1345" s="82">
        <v>2.4900000000000002</v>
      </c>
      <c r="I1345">
        <v>20</v>
      </c>
      <c r="J1345">
        <v>57</v>
      </c>
      <c r="K1345" t="s">
        <v>2104</v>
      </c>
      <c r="L1345" s="6" t="s">
        <v>2103</v>
      </c>
      <c r="M1345" s="6">
        <v>10</v>
      </c>
      <c r="N1345" s="6">
        <v>2</v>
      </c>
      <c r="O1345">
        <v>500</v>
      </c>
      <c r="P1345">
        <v>202605</v>
      </c>
      <c r="Q1345" t="s">
        <v>377</v>
      </c>
      <c r="R1345" t="s">
        <v>1353</v>
      </c>
      <c r="S1345">
        <f>Consulta1[[#This Row],[min_port]]/100</f>
        <v>1.8799999999999997E-2</v>
      </c>
      <c r="T1345" s="252">
        <f>Consulta1[[#This Row],[TETO_COMERCIAL]]/100</f>
        <v>2.4900000000000002E-2</v>
      </c>
      <c r="U1345" t="b">
        <f>Consulta1[[#This Row],[TETO_COMERCIAL_%]]=Consulta1[[#This Row],[TAXA]]</f>
        <v>0</v>
      </c>
      <c r="V1345" t="str">
        <f>CONCATENATE(Consulta1[[#This Row],[MES_ALTERACAO]],Consulta1[[#This Row],[VIRADA]])</f>
        <v>20260510</v>
      </c>
      <c r="W1345">
        <f>VLOOKUP(Consulta1[[#This Row],[Coluna2]],CALENDARIO!$J:$K,2,FALSE)</f>
        <v>5</v>
      </c>
    </row>
    <row r="1346" spans="1:23" x14ac:dyDescent="0.25">
      <c r="A1346" t="s">
        <v>752</v>
      </c>
      <c r="B1346" t="str">
        <f>CONCATENATE(Consulta1[[#This Row],[id]],Consulta1[[#This Row],[EMPREGADOR]])</f>
        <v>3PREF ST ANDRE</v>
      </c>
      <c r="C1346" s="6">
        <f>IF(A1346=A1345,C1345+1,1)</f>
        <v>3</v>
      </c>
      <c r="D1346" t="s">
        <v>769</v>
      </c>
      <c r="E1346" s="101">
        <v>2.29E-2</v>
      </c>
      <c r="F1346" s="6">
        <v>96</v>
      </c>
      <c r="G1346" t="s">
        <v>1349</v>
      </c>
      <c r="H1346" s="82">
        <v>2.4900000000000002</v>
      </c>
      <c r="I1346">
        <v>20</v>
      </c>
      <c r="J1346">
        <v>57</v>
      </c>
      <c r="K1346" t="s">
        <v>2105</v>
      </c>
      <c r="L1346" s="6" t="s">
        <v>2103</v>
      </c>
      <c r="M1346" s="6">
        <v>10</v>
      </c>
      <c r="N1346" s="6">
        <v>2</v>
      </c>
      <c r="O1346">
        <v>500</v>
      </c>
      <c r="P1346">
        <v>202605</v>
      </c>
      <c r="Q1346" t="s">
        <v>377</v>
      </c>
      <c r="R1346" t="s">
        <v>1353</v>
      </c>
      <c r="S1346">
        <f>Consulta1[[#This Row],[min_port]]/100</f>
        <v>1.8799999999999997E-2</v>
      </c>
      <c r="T1346" s="252">
        <f>Consulta1[[#This Row],[TETO_COMERCIAL]]/100</f>
        <v>2.4900000000000002E-2</v>
      </c>
      <c r="U1346" t="b">
        <f>Consulta1[[#This Row],[TETO_COMERCIAL_%]]=Consulta1[[#This Row],[TAXA]]</f>
        <v>0</v>
      </c>
      <c r="V1346" t="str">
        <f>CONCATENATE(Consulta1[[#This Row],[MES_ALTERACAO]],Consulta1[[#This Row],[VIRADA]])</f>
        <v>20260510</v>
      </c>
      <c r="W1346">
        <f>VLOOKUP(Consulta1[[#This Row],[Coluna2]],CALENDARIO!$J:$K,2,FALSE)</f>
        <v>5</v>
      </c>
    </row>
    <row r="1347" spans="1:23" x14ac:dyDescent="0.25">
      <c r="A1347" t="s">
        <v>752</v>
      </c>
      <c r="B1347" t="str">
        <f>CONCATENATE(Consulta1[[#This Row],[id]],Consulta1[[#This Row],[EMPREGADOR]])</f>
        <v>4PREF ST ANDRE</v>
      </c>
      <c r="C1347" s="6">
        <f>IF(A1347=A1346,C1346+1,1)</f>
        <v>4</v>
      </c>
      <c r="D1347" t="s">
        <v>770</v>
      </c>
      <c r="E1347" s="101">
        <v>2.2099999999999998E-2</v>
      </c>
      <c r="F1347" s="6">
        <v>96</v>
      </c>
      <c r="G1347" t="s">
        <v>1349</v>
      </c>
      <c r="H1347" s="82">
        <v>2.4900000000000002</v>
      </c>
      <c r="I1347">
        <v>20</v>
      </c>
      <c r="J1347">
        <v>57</v>
      </c>
      <c r="K1347" t="s">
        <v>2106</v>
      </c>
      <c r="L1347" s="6" t="s">
        <v>2103</v>
      </c>
      <c r="M1347" s="6">
        <v>10</v>
      </c>
      <c r="N1347" s="6">
        <v>2</v>
      </c>
      <c r="O1347">
        <v>500</v>
      </c>
      <c r="P1347">
        <v>202605</v>
      </c>
      <c r="Q1347" t="s">
        <v>377</v>
      </c>
      <c r="R1347" t="s">
        <v>1353</v>
      </c>
      <c r="S1347">
        <f>Consulta1[[#This Row],[min_port]]/100</f>
        <v>1.8799999999999997E-2</v>
      </c>
      <c r="T1347" s="252">
        <f>Consulta1[[#This Row],[TETO_COMERCIAL]]/100</f>
        <v>2.4900000000000002E-2</v>
      </c>
      <c r="U1347" t="b">
        <f>Consulta1[[#This Row],[TETO_COMERCIAL_%]]=Consulta1[[#This Row],[TAXA]]</f>
        <v>0</v>
      </c>
      <c r="V1347" t="str">
        <f>CONCATENATE(Consulta1[[#This Row],[MES_ALTERACAO]],Consulta1[[#This Row],[VIRADA]])</f>
        <v>20260510</v>
      </c>
      <c r="W1347">
        <f>VLOOKUP(Consulta1[[#This Row],[Coluna2]],CALENDARIO!$J:$K,2,FALSE)</f>
        <v>5</v>
      </c>
    </row>
    <row r="1348" spans="1:23" x14ac:dyDescent="0.25">
      <c r="A1348" t="s">
        <v>3067</v>
      </c>
      <c r="B1348" t="str">
        <f>CONCATENATE(Consulta1[[#This Row],[id]],Consulta1[[#This Row],[EMPREGADOR]])</f>
        <v>1PREF STA CRUZ</v>
      </c>
      <c r="C1348" s="6">
        <f>IF(A1348=A1347,C1347+1,1)</f>
        <v>1</v>
      </c>
      <c r="D1348" t="s">
        <v>677</v>
      </c>
      <c r="E1348" s="101">
        <v>2.5000000000000001E-2</v>
      </c>
      <c r="F1348" s="6">
        <v>120</v>
      </c>
      <c r="G1348" t="s">
        <v>1349</v>
      </c>
      <c r="H1348" s="82">
        <v>2.5</v>
      </c>
      <c r="I1348">
        <v>12</v>
      </c>
      <c r="K1348" t="s">
        <v>2107</v>
      </c>
      <c r="L1348" s="6" t="s">
        <v>1374</v>
      </c>
      <c r="M1348" s="6">
        <v>15</v>
      </c>
      <c r="N1348" s="6">
        <v>2</v>
      </c>
      <c r="O1348">
        <v>500</v>
      </c>
      <c r="P1348">
        <v>202605</v>
      </c>
      <c r="Q1348" t="s">
        <v>377</v>
      </c>
      <c r="R1348" t="s">
        <v>1350</v>
      </c>
      <c r="S1348">
        <f>Consulta1[[#This Row],[min_port]]/100</f>
        <v>1.4999999999999999E-2</v>
      </c>
      <c r="T1348" s="252">
        <f>Consulta1[[#This Row],[TETO_COMERCIAL]]/100</f>
        <v>2.5000000000000001E-2</v>
      </c>
      <c r="U1348" t="b">
        <f>Consulta1[[#This Row],[TETO_COMERCIAL_%]]=Consulta1[[#This Row],[TAXA]]</f>
        <v>1</v>
      </c>
      <c r="V1348" t="str">
        <f>CONCATENATE(Consulta1[[#This Row],[MES_ALTERACAO]],Consulta1[[#This Row],[VIRADA]])</f>
        <v>20260515</v>
      </c>
      <c r="W1348">
        <f>VLOOKUP(Consulta1[[#This Row],[Coluna2]],CALENDARIO!$J:$K,2,FALSE)</f>
        <v>10</v>
      </c>
    </row>
    <row r="1349" spans="1:23" x14ac:dyDescent="0.25">
      <c r="A1349" t="s">
        <v>3067</v>
      </c>
      <c r="B1349" t="str">
        <f>CONCATENATE(Consulta1[[#This Row],[id]],Consulta1[[#This Row],[EMPREGADOR]])</f>
        <v>2PREF STA CRUZ</v>
      </c>
      <c r="C1349" s="6">
        <f>IF(A1349=A1348,C1348+1,1)</f>
        <v>2</v>
      </c>
      <c r="D1349" t="s">
        <v>777</v>
      </c>
      <c r="E1349" s="101">
        <v>2.4E-2</v>
      </c>
      <c r="F1349" s="6">
        <v>120</v>
      </c>
      <c r="G1349" t="s">
        <v>1349</v>
      </c>
      <c r="H1349" s="82">
        <v>2.5</v>
      </c>
      <c r="I1349">
        <v>12</v>
      </c>
      <c r="K1349" t="s">
        <v>2108</v>
      </c>
      <c r="L1349" s="6" t="s">
        <v>1374</v>
      </c>
      <c r="M1349" s="6">
        <v>15</v>
      </c>
      <c r="N1349" s="6">
        <v>2</v>
      </c>
      <c r="O1349">
        <v>500</v>
      </c>
      <c r="P1349">
        <v>202605</v>
      </c>
      <c r="Q1349" t="s">
        <v>377</v>
      </c>
      <c r="R1349" t="s">
        <v>1350</v>
      </c>
      <c r="S1349">
        <f>Consulta1[[#This Row],[min_port]]/100</f>
        <v>1.4999999999999999E-2</v>
      </c>
      <c r="T1349" s="252">
        <f>Consulta1[[#This Row],[TETO_COMERCIAL]]/100</f>
        <v>2.5000000000000001E-2</v>
      </c>
      <c r="U1349" t="b">
        <f>Consulta1[[#This Row],[TETO_COMERCIAL_%]]=Consulta1[[#This Row],[TAXA]]</f>
        <v>0</v>
      </c>
      <c r="V1349" t="str">
        <f>CONCATENATE(Consulta1[[#This Row],[MES_ALTERACAO]],Consulta1[[#This Row],[VIRADA]])</f>
        <v>20260515</v>
      </c>
      <c r="W1349">
        <f>VLOOKUP(Consulta1[[#This Row],[Coluna2]],CALENDARIO!$J:$K,2,FALSE)</f>
        <v>10</v>
      </c>
    </row>
    <row r="1350" spans="1:23" x14ac:dyDescent="0.25">
      <c r="A1350" t="s">
        <v>3067</v>
      </c>
      <c r="B1350" t="str">
        <f>CONCATENATE(Consulta1[[#This Row],[id]],Consulta1[[#This Row],[EMPREGADOR]])</f>
        <v>3PREF STA CRUZ</v>
      </c>
      <c r="C1350" s="6">
        <f>IF(A1350=A1349,C1349+1,1)</f>
        <v>3</v>
      </c>
      <c r="D1350" t="s">
        <v>778</v>
      </c>
      <c r="E1350" s="101">
        <v>2.3E-2</v>
      </c>
      <c r="F1350" s="6">
        <v>120</v>
      </c>
      <c r="G1350" t="s">
        <v>1349</v>
      </c>
      <c r="H1350" s="82">
        <v>2.5</v>
      </c>
      <c r="I1350">
        <v>12</v>
      </c>
      <c r="K1350" t="s">
        <v>2109</v>
      </c>
      <c r="L1350" s="6" t="s">
        <v>1374</v>
      </c>
      <c r="M1350" s="6">
        <v>15</v>
      </c>
      <c r="N1350" s="6">
        <v>2</v>
      </c>
      <c r="O1350">
        <v>500</v>
      </c>
      <c r="P1350">
        <v>202605</v>
      </c>
      <c r="Q1350" t="s">
        <v>377</v>
      </c>
      <c r="R1350" t="s">
        <v>1350</v>
      </c>
      <c r="S1350">
        <f>Consulta1[[#This Row],[min_port]]/100</f>
        <v>1.4999999999999999E-2</v>
      </c>
      <c r="T1350" s="252">
        <f>Consulta1[[#This Row],[TETO_COMERCIAL]]/100</f>
        <v>2.5000000000000001E-2</v>
      </c>
      <c r="U1350" t="b">
        <f>Consulta1[[#This Row],[TETO_COMERCIAL_%]]=Consulta1[[#This Row],[TAXA]]</f>
        <v>0</v>
      </c>
      <c r="V1350" t="str">
        <f>CONCATENATE(Consulta1[[#This Row],[MES_ALTERACAO]],Consulta1[[#This Row],[VIRADA]])</f>
        <v>20260515</v>
      </c>
      <c r="W1350">
        <f>VLOOKUP(Consulta1[[#This Row],[Coluna2]],CALENDARIO!$J:$K,2,FALSE)</f>
        <v>10</v>
      </c>
    </row>
    <row r="1351" spans="1:23" x14ac:dyDescent="0.25">
      <c r="A1351" t="s">
        <v>3067</v>
      </c>
      <c r="B1351" t="str">
        <f>CONCATENATE(Consulta1[[#This Row],[id]],Consulta1[[#This Row],[EMPREGADOR]])</f>
        <v>4PREF STA CRUZ</v>
      </c>
      <c r="C1351" s="6">
        <f>IF(A1351=A1350,C1350+1,1)</f>
        <v>4</v>
      </c>
      <c r="D1351" t="s">
        <v>779</v>
      </c>
      <c r="E1351" s="101">
        <v>2.2000000000000002E-2</v>
      </c>
      <c r="F1351" s="6">
        <v>120</v>
      </c>
      <c r="G1351" t="s">
        <v>1349</v>
      </c>
      <c r="H1351" s="82">
        <v>2.5</v>
      </c>
      <c r="I1351">
        <v>12</v>
      </c>
      <c r="K1351" t="s">
        <v>2110</v>
      </c>
      <c r="L1351" s="6" t="s">
        <v>1374</v>
      </c>
      <c r="M1351" s="6">
        <v>15</v>
      </c>
      <c r="N1351" s="6">
        <v>2</v>
      </c>
      <c r="O1351">
        <v>500</v>
      </c>
      <c r="P1351">
        <v>202605</v>
      </c>
      <c r="Q1351" t="s">
        <v>377</v>
      </c>
      <c r="R1351" t="s">
        <v>1350</v>
      </c>
      <c r="S1351">
        <f>Consulta1[[#This Row],[min_port]]/100</f>
        <v>1.4999999999999999E-2</v>
      </c>
      <c r="T1351" s="252">
        <f>Consulta1[[#This Row],[TETO_COMERCIAL]]/100</f>
        <v>2.5000000000000001E-2</v>
      </c>
      <c r="U1351" t="b">
        <f>Consulta1[[#This Row],[TETO_COMERCIAL_%]]=Consulta1[[#This Row],[TAXA]]</f>
        <v>0</v>
      </c>
      <c r="V1351" t="str">
        <f>CONCATENATE(Consulta1[[#This Row],[MES_ALTERACAO]],Consulta1[[#This Row],[VIRADA]])</f>
        <v>20260515</v>
      </c>
      <c r="W1351">
        <f>VLOOKUP(Consulta1[[#This Row],[Coluna2]],CALENDARIO!$J:$K,2,FALSE)</f>
        <v>10</v>
      </c>
    </row>
    <row r="1352" spans="1:23" x14ac:dyDescent="0.25">
      <c r="A1352" t="s">
        <v>1124</v>
      </c>
      <c r="B1352" t="str">
        <f>CONCATENATE(Consulta1[[#This Row],[id]],Consulta1[[#This Row],[EMPREGADOR]])</f>
        <v>1PREF STA MARIA</v>
      </c>
      <c r="C1352" s="6">
        <f>IF(A1352=A1351,C1351+1,1)</f>
        <v>1</v>
      </c>
      <c r="D1352" t="s">
        <v>1125</v>
      </c>
      <c r="E1352" s="101">
        <v>2.5000000000000001E-2</v>
      </c>
      <c r="F1352" s="6">
        <v>120</v>
      </c>
      <c r="G1352" t="s">
        <v>1349</v>
      </c>
      <c r="H1352" s="82">
        <v>2.5</v>
      </c>
      <c r="I1352">
        <v>11</v>
      </c>
      <c r="K1352" t="s">
        <v>2111</v>
      </c>
      <c r="L1352" s="6" t="s">
        <v>1471</v>
      </c>
      <c r="M1352" s="6">
        <v>5</v>
      </c>
      <c r="N1352" s="6">
        <v>2</v>
      </c>
      <c r="O1352">
        <v>500</v>
      </c>
      <c r="P1352">
        <v>202605</v>
      </c>
      <c r="Q1352" t="s">
        <v>378</v>
      </c>
      <c r="R1352" t="s">
        <v>1353</v>
      </c>
      <c r="S1352">
        <f>Consulta1[[#This Row],[min_port]]/100</f>
        <v>1.34E-2</v>
      </c>
      <c r="T1352" s="252">
        <f>Consulta1[[#This Row],[TETO_COMERCIAL]]/100</f>
        <v>2.5000000000000001E-2</v>
      </c>
      <c r="U1352" t="b">
        <f>Consulta1[[#This Row],[TETO_COMERCIAL_%]]=Consulta1[[#This Row],[TAXA]]</f>
        <v>1</v>
      </c>
      <c r="V1352" t="str">
        <f>CONCATENATE(Consulta1[[#This Row],[MES_ALTERACAO]],Consulta1[[#This Row],[VIRADA]])</f>
        <v>2026055</v>
      </c>
      <c r="W1352">
        <f>VLOOKUP(Consulta1[[#This Row],[Coluna2]],CALENDARIO!$J:$K,2,FALSE)</f>
        <v>2</v>
      </c>
    </row>
    <row r="1353" spans="1:23" x14ac:dyDescent="0.25">
      <c r="A1353" t="s">
        <v>1124</v>
      </c>
      <c r="B1353" t="str">
        <f>CONCATENATE(Consulta1[[#This Row],[id]],Consulta1[[#This Row],[EMPREGADOR]])</f>
        <v>2PREF STA MARIA</v>
      </c>
      <c r="C1353" s="6">
        <f>IF(A1353=A1352,C1352+1,1)</f>
        <v>2</v>
      </c>
      <c r="D1353" t="s">
        <v>1126</v>
      </c>
      <c r="E1353" s="101">
        <v>2.2499999999999999E-2</v>
      </c>
      <c r="F1353" s="6">
        <v>120</v>
      </c>
      <c r="G1353" t="s">
        <v>1349</v>
      </c>
      <c r="H1353" s="82">
        <v>2.5</v>
      </c>
      <c r="I1353">
        <v>11</v>
      </c>
      <c r="K1353" t="s">
        <v>2112</v>
      </c>
      <c r="L1353" s="6" t="s">
        <v>1471</v>
      </c>
      <c r="M1353" s="6">
        <v>5</v>
      </c>
      <c r="N1353" s="6">
        <v>2</v>
      </c>
      <c r="O1353">
        <v>500</v>
      </c>
      <c r="P1353">
        <v>202605</v>
      </c>
      <c r="Q1353" t="s">
        <v>378</v>
      </c>
      <c r="R1353" t="s">
        <v>1353</v>
      </c>
      <c r="S1353">
        <f>Consulta1[[#This Row],[min_port]]/100</f>
        <v>1.34E-2</v>
      </c>
      <c r="T1353" s="252">
        <f>Consulta1[[#This Row],[TETO_COMERCIAL]]/100</f>
        <v>2.5000000000000001E-2</v>
      </c>
      <c r="U1353" t="b">
        <f>Consulta1[[#This Row],[TETO_COMERCIAL_%]]=Consulta1[[#This Row],[TAXA]]</f>
        <v>0</v>
      </c>
      <c r="V1353" t="str">
        <f>CONCATENATE(Consulta1[[#This Row],[MES_ALTERACAO]],Consulta1[[#This Row],[VIRADA]])</f>
        <v>2026055</v>
      </c>
      <c r="W1353">
        <f>VLOOKUP(Consulta1[[#This Row],[Coluna2]],CALENDARIO!$J:$K,2,FALSE)</f>
        <v>2</v>
      </c>
    </row>
    <row r="1354" spans="1:23" x14ac:dyDescent="0.25">
      <c r="A1354" t="s">
        <v>1124</v>
      </c>
      <c r="B1354" t="str">
        <f>CONCATENATE(Consulta1[[#This Row],[id]],Consulta1[[#This Row],[EMPREGADOR]])</f>
        <v>3PREF STA MARIA</v>
      </c>
      <c r="C1354" s="6">
        <f>IF(A1354=A1353,C1353+1,1)</f>
        <v>3</v>
      </c>
      <c r="D1354" t="s">
        <v>1127</v>
      </c>
      <c r="E1354" s="101">
        <v>2.1499999999999998E-2</v>
      </c>
      <c r="F1354" s="6">
        <v>120</v>
      </c>
      <c r="G1354" t="s">
        <v>1349</v>
      </c>
      <c r="H1354" s="82">
        <v>2.5</v>
      </c>
      <c r="I1354">
        <v>11</v>
      </c>
      <c r="K1354" t="s">
        <v>2113</v>
      </c>
      <c r="L1354" s="6" t="s">
        <v>1471</v>
      </c>
      <c r="M1354" s="6">
        <v>5</v>
      </c>
      <c r="N1354" s="6">
        <v>2</v>
      </c>
      <c r="O1354">
        <v>500</v>
      </c>
      <c r="P1354">
        <v>202605</v>
      </c>
      <c r="Q1354" t="s">
        <v>378</v>
      </c>
      <c r="R1354" t="s">
        <v>1353</v>
      </c>
      <c r="S1354">
        <f>Consulta1[[#This Row],[min_port]]/100</f>
        <v>1.34E-2</v>
      </c>
      <c r="T1354" s="252">
        <f>Consulta1[[#This Row],[TETO_COMERCIAL]]/100</f>
        <v>2.5000000000000001E-2</v>
      </c>
      <c r="U1354" t="b">
        <f>Consulta1[[#This Row],[TETO_COMERCIAL_%]]=Consulta1[[#This Row],[TAXA]]</f>
        <v>0</v>
      </c>
      <c r="V1354" t="str">
        <f>CONCATENATE(Consulta1[[#This Row],[MES_ALTERACAO]],Consulta1[[#This Row],[VIRADA]])</f>
        <v>2026055</v>
      </c>
      <c r="W1354">
        <f>VLOOKUP(Consulta1[[#This Row],[Coluna2]],CALENDARIO!$J:$K,2,FALSE)</f>
        <v>2</v>
      </c>
    </row>
    <row r="1355" spans="1:23" x14ac:dyDescent="0.25">
      <c r="A1355" t="s">
        <v>1124</v>
      </c>
      <c r="B1355" t="str">
        <f>CONCATENATE(Consulta1[[#This Row],[id]],Consulta1[[#This Row],[EMPREGADOR]])</f>
        <v>4PREF STA MARIA</v>
      </c>
      <c r="C1355" s="6">
        <f>IF(A1355=A1354,C1354+1,1)</f>
        <v>4</v>
      </c>
      <c r="D1355" t="s">
        <v>1128</v>
      </c>
      <c r="E1355" s="101">
        <v>2.06E-2</v>
      </c>
      <c r="F1355" s="6">
        <v>120</v>
      </c>
      <c r="G1355" t="s">
        <v>1349</v>
      </c>
      <c r="H1355" s="82">
        <v>2.5</v>
      </c>
      <c r="I1355">
        <v>11</v>
      </c>
      <c r="K1355" t="s">
        <v>2114</v>
      </c>
      <c r="L1355" s="6" t="s">
        <v>1471</v>
      </c>
      <c r="M1355" s="6">
        <v>5</v>
      </c>
      <c r="N1355" s="6">
        <v>2</v>
      </c>
      <c r="O1355">
        <v>500</v>
      </c>
      <c r="P1355">
        <v>202605</v>
      </c>
      <c r="Q1355" t="s">
        <v>378</v>
      </c>
      <c r="R1355" t="s">
        <v>1353</v>
      </c>
      <c r="S1355">
        <f>Consulta1[[#This Row],[min_port]]/100</f>
        <v>1.34E-2</v>
      </c>
      <c r="T1355" s="252">
        <f>Consulta1[[#This Row],[TETO_COMERCIAL]]/100</f>
        <v>2.5000000000000001E-2</v>
      </c>
      <c r="U1355" t="b">
        <f>Consulta1[[#This Row],[TETO_COMERCIAL_%]]=Consulta1[[#This Row],[TAXA]]</f>
        <v>0</v>
      </c>
      <c r="V1355" t="str">
        <f>CONCATENATE(Consulta1[[#This Row],[MES_ALTERACAO]],Consulta1[[#This Row],[VIRADA]])</f>
        <v>2026055</v>
      </c>
      <c r="W1355">
        <f>VLOOKUP(Consulta1[[#This Row],[Coluna2]],CALENDARIO!$J:$K,2,FALSE)</f>
        <v>2</v>
      </c>
    </row>
    <row r="1356" spans="1:23" x14ac:dyDescent="0.25">
      <c r="A1356" t="s">
        <v>1124</v>
      </c>
      <c r="B1356" t="str">
        <f>CONCATENATE(Consulta1[[#This Row],[id]],Consulta1[[#This Row],[EMPREGADOR]])</f>
        <v>5PREF STA MARIA</v>
      </c>
      <c r="C1356" s="6">
        <f>IF(A1356=A1355,C1355+1,1)</f>
        <v>5</v>
      </c>
      <c r="D1356" t="s">
        <v>1129</v>
      </c>
      <c r="E1356" s="101">
        <v>2.0299999999999999E-2</v>
      </c>
      <c r="F1356" s="6">
        <v>120</v>
      </c>
      <c r="G1356" t="s">
        <v>1349</v>
      </c>
      <c r="H1356" s="82">
        <v>2.5</v>
      </c>
      <c r="I1356">
        <v>11</v>
      </c>
      <c r="K1356" t="s">
        <v>2115</v>
      </c>
      <c r="L1356" s="6" t="s">
        <v>1471</v>
      </c>
      <c r="M1356" s="6">
        <v>5</v>
      </c>
      <c r="N1356" s="6">
        <v>2</v>
      </c>
      <c r="O1356">
        <v>500</v>
      </c>
      <c r="P1356">
        <v>202605</v>
      </c>
      <c r="Q1356" t="s">
        <v>378</v>
      </c>
      <c r="R1356" t="s">
        <v>1353</v>
      </c>
      <c r="S1356">
        <f>Consulta1[[#This Row],[min_port]]/100</f>
        <v>1.34E-2</v>
      </c>
      <c r="T1356" s="252">
        <f>Consulta1[[#This Row],[TETO_COMERCIAL]]/100</f>
        <v>2.5000000000000001E-2</v>
      </c>
      <c r="U1356" t="b">
        <f>Consulta1[[#This Row],[TETO_COMERCIAL_%]]=Consulta1[[#This Row],[TAXA]]</f>
        <v>0</v>
      </c>
      <c r="V1356" t="str">
        <f>CONCATENATE(Consulta1[[#This Row],[MES_ALTERACAO]],Consulta1[[#This Row],[VIRADA]])</f>
        <v>2026055</v>
      </c>
      <c r="W1356">
        <f>VLOOKUP(Consulta1[[#This Row],[Coluna2]],CALENDARIO!$J:$K,2,FALSE)</f>
        <v>2</v>
      </c>
    </row>
    <row r="1357" spans="1:23" x14ac:dyDescent="0.25">
      <c r="A1357" t="s">
        <v>286</v>
      </c>
      <c r="B1357" t="str">
        <f>CONCATENATE(Consulta1[[#This Row],[id]],Consulta1[[#This Row],[EMPREGADOR]])</f>
        <v>1PREF SUZANO</v>
      </c>
      <c r="C1357" s="6">
        <f>IF(A1357=A1356,C1356+1,1)</f>
        <v>1</v>
      </c>
      <c r="D1357" t="s">
        <v>287</v>
      </c>
      <c r="E1357" s="101">
        <v>2.5000000000000001E-2</v>
      </c>
      <c r="F1357" s="6">
        <v>120</v>
      </c>
      <c r="G1357" t="s">
        <v>1349</v>
      </c>
      <c r="H1357" s="82">
        <v>2.5</v>
      </c>
      <c r="I1357">
        <v>10</v>
      </c>
      <c r="J1357">
        <v>58</v>
      </c>
      <c r="K1357" t="s">
        <v>2116</v>
      </c>
      <c r="L1357" s="6" t="s">
        <v>1409</v>
      </c>
      <c r="M1357" s="6">
        <v>7</v>
      </c>
      <c r="N1357" s="6">
        <v>2</v>
      </c>
      <c r="O1357">
        <v>500</v>
      </c>
      <c r="P1357">
        <v>202605</v>
      </c>
      <c r="Q1357" t="s">
        <v>377</v>
      </c>
      <c r="R1357" t="s">
        <v>1353</v>
      </c>
      <c r="S1357">
        <f>Consulta1[[#This Row],[min_port]]/100</f>
        <v>1.55E-2</v>
      </c>
      <c r="T1357" s="252">
        <f>Consulta1[[#This Row],[TETO_COMERCIAL]]/100</f>
        <v>2.5000000000000001E-2</v>
      </c>
      <c r="U1357" t="b">
        <f>Consulta1[[#This Row],[TETO_COMERCIAL_%]]=Consulta1[[#This Row],[TAXA]]</f>
        <v>1</v>
      </c>
      <c r="V1357" t="str">
        <f>CONCATENATE(Consulta1[[#This Row],[MES_ALTERACAO]],Consulta1[[#This Row],[VIRADA]])</f>
        <v>2026057</v>
      </c>
      <c r="W1357">
        <f>VLOOKUP(Consulta1[[#This Row],[Coluna2]],CALENDARIO!$J:$K,2,FALSE)</f>
        <v>4</v>
      </c>
    </row>
    <row r="1358" spans="1:23" x14ac:dyDescent="0.25">
      <c r="A1358" t="s">
        <v>286</v>
      </c>
      <c r="B1358" t="str">
        <f>CONCATENATE(Consulta1[[#This Row],[id]],Consulta1[[#This Row],[EMPREGADOR]])</f>
        <v>2PREF SUZANO</v>
      </c>
      <c r="C1358" s="6">
        <f>IF(A1358=A1357,C1357+1,1)</f>
        <v>2</v>
      </c>
      <c r="D1358" t="s">
        <v>288</v>
      </c>
      <c r="E1358" s="101">
        <v>2.3900000000000001E-2</v>
      </c>
      <c r="F1358" s="6">
        <v>120</v>
      </c>
      <c r="G1358" t="s">
        <v>1349</v>
      </c>
      <c r="H1358" s="82">
        <v>2.5</v>
      </c>
      <c r="I1358">
        <v>10</v>
      </c>
      <c r="J1358">
        <v>50</v>
      </c>
      <c r="K1358" t="s">
        <v>2117</v>
      </c>
      <c r="L1358" s="6" t="s">
        <v>1409</v>
      </c>
      <c r="M1358" s="6">
        <v>7</v>
      </c>
      <c r="N1358" s="6">
        <v>2</v>
      </c>
      <c r="O1358">
        <v>500</v>
      </c>
      <c r="P1358">
        <v>202605</v>
      </c>
      <c r="Q1358" t="s">
        <v>377</v>
      </c>
      <c r="R1358" t="s">
        <v>1353</v>
      </c>
      <c r="S1358">
        <f>Consulta1[[#This Row],[min_port]]/100</f>
        <v>1.55E-2</v>
      </c>
      <c r="T1358" s="252">
        <f>Consulta1[[#This Row],[TETO_COMERCIAL]]/100</f>
        <v>2.5000000000000001E-2</v>
      </c>
      <c r="U1358" t="b">
        <f>Consulta1[[#This Row],[TETO_COMERCIAL_%]]=Consulta1[[#This Row],[TAXA]]</f>
        <v>0</v>
      </c>
      <c r="V1358" t="str">
        <f>CONCATENATE(Consulta1[[#This Row],[MES_ALTERACAO]],Consulta1[[#This Row],[VIRADA]])</f>
        <v>2026057</v>
      </c>
      <c r="W1358">
        <f>VLOOKUP(Consulta1[[#This Row],[Coluna2]],CALENDARIO!$J:$K,2,FALSE)</f>
        <v>4</v>
      </c>
    </row>
    <row r="1359" spans="1:23" x14ac:dyDescent="0.25">
      <c r="A1359" t="s">
        <v>286</v>
      </c>
      <c r="B1359" t="str">
        <f>CONCATENATE(Consulta1[[#This Row],[id]],Consulta1[[#This Row],[EMPREGADOR]])</f>
        <v>3PREF SUZANO</v>
      </c>
      <c r="C1359" s="6">
        <f>IF(A1359=A1358,C1358+1,1)</f>
        <v>3</v>
      </c>
      <c r="D1359" t="s">
        <v>465</v>
      </c>
      <c r="E1359" s="101">
        <v>2.29E-2</v>
      </c>
      <c r="F1359" s="6">
        <v>120</v>
      </c>
      <c r="G1359" t="s">
        <v>1349</v>
      </c>
      <c r="H1359" s="82">
        <v>2.5</v>
      </c>
      <c r="I1359">
        <v>10</v>
      </c>
      <c r="K1359" t="s">
        <v>2118</v>
      </c>
      <c r="L1359" s="6" t="s">
        <v>1409</v>
      </c>
      <c r="M1359" s="6">
        <v>7</v>
      </c>
      <c r="N1359" s="6">
        <v>2</v>
      </c>
      <c r="O1359">
        <v>500</v>
      </c>
      <c r="P1359">
        <v>202605</v>
      </c>
      <c r="Q1359" t="s">
        <v>377</v>
      </c>
      <c r="R1359" t="s">
        <v>1353</v>
      </c>
      <c r="S1359">
        <f>Consulta1[[#This Row],[min_port]]/100</f>
        <v>1.55E-2</v>
      </c>
      <c r="T1359" s="252">
        <f>Consulta1[[#This Row],[TETO_COMERCIAL]]/100</f>
        <v>2.5000000000000001E-2</v>
      </c>
      <c r="U1359" t="b">
        <f>Consulta1[[#This Row],[TETO_COMERCIAL_%]]=Consulta1[[#This Row],[TAXA]]</f>
        <v>0</v>
      </c>
      <c r="V1359" t="str">
        <f>CONCATENATE(Consulta1[[#This Row],[MES_ALTERACAO]],Consulta1[[#This Row],[VIRADA]])</f>
        <v>2026057</v>
      </c>
      <c r="W1359">
        <f>VLOOKUP(Consulta1[[#This Row],[Coluna2]],CALENDARIO!$J:$K,2,FALSE)</f>
        <v>4</v>
      </c>
    </row>
    <row r="1360" spans="1:23" x14ac:dyDescent="0.25">
      <c r="A1360" t="s">
        <v>286</v>
      </c>
      <c r="B1360" t="str">
        <f>CONCATENATE(Consulta1[[#This Row],[id]],Consulta1[[#This Row],[EMPREGADOR]])</f>
        <v>4PREF SUZANO</v>
      </c>
      <c r="C1360" s="6">
        <f>IF(A1360=A1359,C1359+1,1)</f>
        <v>4</v>
      </c>
      <c r="D1360" t="s">
        <v>466</v>
      </c>
      <c r="E1360" s="101">
        <v>2.2499999999999999E-2</v>
      </c>
      <c r="F1360" s="6">
        <v>120</v>
      </c>
      <c r="G1360" t="s">
        <v>1349</v>
      </c>
      <c r="H1360" s="82">
        <v>2.5</v>
      </c>
      <c r="I1360">
        <v>10</v>
      </c>
      <c r="J1360">
        <v>46</v>
      </c>
      <c r="K1360" t="s">
        <v>2119</v>
      </c>
      <c r="L1360" s="6" t="s">
        <v>1409</v>
      </c>
      <c r="M1360" s="6">
        <v>7</v>
      </c>
      <c r="N1360" s="6">
        <v>2</v>
      </c>
      <c r="O1360">
        <v>500</v>
      </c>
      <c r="P1360">
        <v>202605</v>
      </c>
      <c r="Q1360" t="s">
        <v>377</v>
      </c>
      <c r="R1360" t="s">
        <v>1353</v>
      </c>
      <c r="S1360">
        <f>Consulta1[[#This Row],[min_port]]/100</f>
        <v>1.55E-2</v>
      </c>
      <c r="T1360" s="252">
        <f>Consulta1[[#This Row],[TETO_COMERCIAL]]/100</f>
        <v>2.5000000000000001E-2</v>
      </c>
      <c r="U1360" t="b">
        <f>Consulta1[[#This Row],[TETO_COMERCIAL_%]]=Consulta1[[#This Row],[TAXA]]</f>
        <v>0</v>
      </c>
      <c r="V1360" t="str">
        <f>CONCATENATE(Consulta1[[#This Row],[MES_ALTERACAO]],Consulta1[[#This Row],[VIRADA]])</f>
        <v>2026057</v>
      </c>
      <c r="W1360">
        <f>VLOOKUP(Consulta1[[#This Row],[Coluna2]],CALENDARIO!$J:$K,2,FALSE)</f>
        <v>4</v>
      </c>
    </row>
    <row r="1361" spans="1:23" x14ac:dyDescent="0.25">
      <c r="A1361" t="s">
        <v>3068</v>
      </c>
      <c r="B1361" t="str">
        <f>CONCATENATE(Consulta1[[#This Row],[id]],Consulta1[[#This Row],[EMPREGADOR]])</f>
        <v>1PREF TANGARA</v>
      </c>
      <c r="C1361" s="6">
        <f>IF(A1361=A1360,C1360+1,1)</f>
        <v>1</v>
      </c>
      <c r="D1361" t="s">
        <v>557</v>
      </c>
      <c r="E1361" s="101">
        <v>2.5000000000000001E-2</v>
      </c>
      <c r="F1361" s="6">
        <v>120</v>
      </c>
      <c r="G1361" t="s">
        <v>1349</v>
      </c>
      <c r="H1361" s="82">
        <v>2.5</v>
      </c>
      <c r="I1361">
        <v>11</v>
      </c>
      <c r="K1361" t="s">
        <v>2120</v>
      </c>
      <c r="L1361" s="6" t="s">
        <v>2121</v>
      </c>
      <c r="M1361" s="6">
        <v>15</v>
      </c>
      <c r="N1361" s="6">
        <v>2</v>
      </c>
      <c r="O1361">
        <v>500</v>
      </c>
      <c r="P1361">
        <v>202605</v>
      </c>
      <c r="Q1361" t="s">
        <v>377</v>
      </c>
      <c r="R1361" t="s">
        <v>1350</v>
      </c>
      <c r="S1361">
        <f>Consulta1[[#This Row],[min_port]]/100</f>
        <v>1.8600000000000002E-2</v>
      </c>
      <c r="T1361" s="252">
        <f>Consulta1[[#This Row],[TETO_COMERCIAL]]/100</f>
        <v>2.5000000000000001E-2</v>
      </c>
      <c r="U1361" t="b">
        <f>Consulta1[[#This Row],[TETO_COMERCIAL_%]]=Consulta1[[#This Row],[TAXA]]</f>
        <v>1</v>
      </c>
      <c r="V1361" t="str">
        <f>CONCATENATE(Consulta1[[#This Row],[MES_ALTERACAO]],Consulta1[[#This Row],[VIRADA]])</f>
        <v>20260515</v>
      </c>
      <c r="W1361">
        <f>VLOOKUP(Consulta1[[#This Row],[Coluna2]],CALENDARIO!$J:$K,2,FALSE)</f>
        <v>10</v>
      </c>
    </row>
    <row r="1362" spans="1:23" x14ac:dyDescent="0.25">
      <c r="A1362" t="s">
        <v>3069</v>
      </c>
      <c r="B1362" t="str">
        <f>CONCATENATE(Consulta1[[#This Row],[id]],Consulta1[[#This Row],[EMPREGADOR]])</f>
        <v>1PREF TATUI</v>
      </c>
      <c r="C1362" s="6">
        <f>IF(A1362=A1361,C1361+1,1)</f>
        <v>1</v>
      </c>
      <c r="D1362" t="s">
        <v>1334</v>
      </c>
      <c r="E1362" s="101">
        <v>2.5000000000000001E-2</v>
      </c>
      <c r="F1362" s="6">
        <v>120</v>
      </c>
      <c r="G1362" t="s">
        <v>1349</v>
      </c>
      <c r="H1362" s="82">
        <v>2.5</v>
      </c>
      <c r="I1362">
        <v>21</v>
      </c>
      <c r="K1362" t="s">
        <v>2122</v>
      </c>
      <c r="L1362" s="6" t="s">
        <v>1519</v>
      </c>
      <c r="M1362" s="6">
        <v>14</v>
      </c>
      <c r="N1362" s="6">
        <v>2</v>
      </c>
      <c r="O1362">
        <v>500</v>
      </c>
      <c r="P1362">
        <v>202605</v>
      </c>
      <c r="Q1362" t="s">
        <v>377</v>
      </c>
      <c r="R1362" t="s">
        <v>1353</v>
      </c>
      <c r="S1362">
        <f>Consulta1[[#This Row],[min_port]]/100</f>
        <v>1.3500000000000002E-2</v>
      </c>
      <c r="T1362" s="252">
        <f>Consulta1[[#This Row],[TETO_COMERCIAL]]/100</f>
        <v>2.5000000000000001E-2</v>
      </c>
      <c r="U1362" t="b">
        <f>Consulta1[[#This Row],[TETO_COMERCIAL_%]]=Consulta1[[#This Row],[TAXA]]</f>
        <v>1</v>
      </c>
      <c r="V1362" t="str">
        <f>CONCATENATE(Consulta1[[#This Row],[MES_ALTERACAO]],Consulta1[[#This Row],[VIRADA]])</f>
        <v>20260514</v>
      </c>
      <c r="W1362">
        <f>VLOOKUP(Consulta1[[#This Row],[Coluna2]],CALENDARIO!$J:$K,2,FALSE)</f>
        <v>9</v>
      </c>
    </row>
    <row r="1363" spans="1:23" x14ac:dyDescent="0.25">
      <c r="A1363" t="s">
        <v>3069</v>
      </c>
      <c r="B1363" t="str">
        <f>CONCATENATE(Consulta1[[#This Row],[id]],Consulta1[[#This Row],[EMPREGADOR]])</f>
        <v>2PREF TATUI</v>
      </c>
      <c r="C1363" s="6">
        <f>IF(A1363=A1362,C1362+1,1)</f>
        <v>2</v>
      </c>
      <c r="D1363" t="s">
        <v>1335</v>
      </c>
      <c r="E1363" s="101">
        <v>2.06E-2</v>
      </c>
      <c r="F1363" s="6">
        <v>120</v>
      </c>
      <c r="G1363" t="s">
        <v>1349</v>
      </c>
      <c r="H1363" s="82">
        <v>2.5</v>
      </c>
      <c r="I1363">
        <v>21</v>
      </c>
      <c r="J1363">
        <v>54</v>
      </c>
      <c r="K1363" t="s">
        <v>2123</v>
      </c>
      <c r="L1363" s="6" t="s">
        <v>1519</v>
      </c>
      <c r="M1363" s="6">
        <v>14</v>
      </c>
      <c r="N1363" s="6">
        <v>2</v>
      </c>
      <c r="O1363">
        <v>500</v>
      </c>
      <c r="P1363">
        <v>202605</v>
      </c>
      <c r="Q1363" t="s">
        <v>377</v>
      </c>
      <c r="R1363" t="s">
        <v>1353</v>
      </c>
      <c r="S1363">
        <f>Consulta1[[#This Row],[min_port]]/100</f>
        <v>1.3500000000000002E-2</v>
      </c>
      <c r="T1363" s="252">
        <f>Consulta1[[#This Row],[TETO_COMERCIAL]]/100</f>
        <v>2.5000000000000001E-2</v>
      </c>
      <c r="U1363" t="b">
        <f>Consulta1[[#This Row],[TETO_COMERCIAL_%]]=Consulta1[[#This Row],[TAXA]]</f>
        <v>0</v>
      </c>
      <c r="V1363" t="str">
        <f>CONCATENATE(Consulta1[[#This Row],[MES_ALTERACAO]],Consulta1[[#This Row],[VIRADA]])</f>
        <v>20260514</v>
      </c>
      <c r="W1363">
        <f>VLOOKUP(Consulta1[[#This Row],[Coluna2]],CALENDARIO!$J:$K,2,FALSE)</f>
        <v>9</v>
      </c>
    </row>
    <row r="1364" spans="1:23" x14ac:dyDescent="0.25">
      <c r="A1364" t="s">
        <v>3069</v>
      </c>
      <c r="B1364" t="str">
        <f>CONCATENATE(Consulta1[[#This Row],[id]],Consulta1[[#This Row],[EMPREGADOR]])</f>
        <v>3PREF TATUI</v>
      </c>
      <c r="C1364" s="6">
        <f>IF(A1364=A1363,C1363+1,1)</f>
        <v>3</v>
      </c>
      <c r="D1364" t="s">
        <v>1336</v>
      </c>
      <c r="E1364" s="101">
        <v>2.0199999999999999E-2</v>
      </c>
      <c r="F1364" s="6">
        <v>120</v>
      </c>
      <c r="G1364" t="s">
        <v>1349</v>
      </c>
      <c r="H1364" s="82">
        <v>2.5</v>
      </c>
      <c r="I1364">
        <v>21</v>
      </c>
      <c r="K1364" t="s">
        <v>2124</v>
      </c>
      <c r="L1364" s="6" t="s">
        <v>1519</v>
      </c>
      <c r="M1364" s="6">
        <v>14</v>
      </c>
      <c r="N1364" s="6">
        <v>2</v>
      </c>
      <c r="O1364">
        <v>500</v>
      </c>
      <c r="P1364">
        <v>202605</v>
      </c>
      <c r="Q1364" t="s">
        <v>377</v>
      </c>
      <c r="R1364" t="s">
        <v>1353</v>
      </c>
      <c r="S1364">
        <f>Consulta1[[#This Row],[min_port]]/100</f>
        <v>1.3500000000000002E-2</v>
      </c>
      <c r="T1364" s="252">
        <f>Consulta1[[#This Row],[TETO_COMERCIAL]]/100</f>
        <v>2.5000000000000001E-2</v>
      </c>
      <c r="U1364" t="b">
        <f>Consulta1[[#This Row],[TETO_COMERCIAL_%]]=Consulta1[[#This Row],[TAXA]]</f>
        <v>0</v>
      </c>
      <c r="V1364" t="str">
        <f>CONCATENATE(Consulta1[[#This Row],[MES_ALTERACAO]],Consulta1[[#This Row],[VIRADA]])</f>
        <v>20260514</v>
      </c>
      <c r="W1364">
        <f>VLOOKUP(Consulta1[[#This Row],[Coluna2]],CALENDARIO!$J:$K,2,FALSE)</f>
        <v>9</v>
      </c>
    </row>
    <row r="1365" spans="1:23" x14ac:dyDescent="0.25">
      <c r="A1365" t="s">
        <v>3070</v>
      </c>
      <c r="B1365" t="str">
        <f>CONCATENATE(Consulta1[[#This Row],[id]],Consulta1[[#This Row],[EMPREGADOR]])</f>
        <v>1PREF TAUA</v>
      </c>
      <c r="C1365" s="6">
        <f>IF(A1365=A1364,C1364+1,1)</f>
        <v>1</v>
      </c>
      <c r="D1365" t="s">
        <v>739</v>
      </c>
      <c r="E1365" s="101">
        <v>2.5000000000000001E-2</v>
      </c>
      <c r="F1365" s="6">
        <v>120</v>
      </c>
      <c r="G1365" t="s">
        <v>1349</v>
      </c>
      <c r="H1365" s="82">
        <v>2.5</v>
      </c>
      <c r="I1365">
        <v>20</v>
      </c>
      <c r="K1365" t="s">
        <v>2125</v>
      </c>
      <c r="L1365" s="6" t="s">
        <v>1372</v>
      </c>
      <c r="M1365" s="6">
        <v>10</v>
      </c>
      <c r="N1365" s="6">
        <v>2</v>
      </c>
      <c r="O1365">
        <v>500</v>
      </c>
      <c r="P1365">
        <v>202605</v>
      </c>
      <c r="Q1365" t="s">
        <v>377</v>
      </c>
      <c r="R1365" t="s">
        <v>1353</v>
      </c>
      <c r="S1365">
        <f>Consulta1[[#This Row],[min_port]]/100</f>
        <v>1.6E-2</v>
      </c>
      <c r="T1365" s="252">
        <f>Consulta1[[#This Row],[TETO_COMERCIAL]]/100</f>
        <v>2.5000000000000001E-2</v>
      </c>
      <c r="U1365" t="b">
        <f>Consulta1[[#This Row],[TETO_COMERCIAL_%]]=Consulta1[[#This Row],[TAXA]]</f>
        <v>1</v>
      </c>
      <c r="V1365" t="str">
        <f>CONCATENATE(Consulta1[[#This Row],[MES_ALTERACAO]],Consulta1[[#This Row],[VIRADA]])</f>
        <v>20260510</v>
      </c>
      <c r="W1365">
        <f>VLOOKUP(Consulta1[[#This Row],[Coluna2]],CALENDARIO!$J:$K,2,FALSE)</f>
        <v>5</v>
      </c>
    </row>
    <row r="1366" spans="1:23" x14ac:dyDescent="0.25">
      <c r="A1366" t="s">
        <v>3070</v>
      </c>
      <c r="B1366" t="str">
        <f>CONCATENATE(Consulta1[[#This Row],[id]],Consulta1[[#This Row],[EMPREGADOR]])</f>
        <v>2PREF TAUA</v>
      </c>
      <c r="C1366" s="6">
        <f>IF(A1366=A1365,C1365+1,1)</f>
        <v>2</v>
      </c>
      <c r="D1366" t="s">
        <v>740</v>
      </c>
      <c r="E1366" s="101">
        <v>2.4E-2</v>
      </c>
      <c r="F1366" s="6">
        <v>120</v>
      </c>
      <c r="G1366" t="s">
        <v>1349</v>
      </c>
      <c r="H1366" s="82">
        <v>2.5</v>
      </c>
      <c r="I1366">
        <v>20</v>
      </c>
      <c r="K1366" t="s">
        <v>2126</v>
      </c>
      <c r="L1366" s="6" t="s">
        <v>1372</v>
      </c>
      <c r="M1366" s="6">
        <v>10</v>
      </c>
      <c r="N1366" s="6">
        <v>2</v>
      </c>
      <c r="O1366">
        <v>500</v>
      </c>
      <c r="P1366">
        <v>202605</v>
      </c>
      <c r="Q1366" t="s">
        <v>377</v>
      </c>
      <c r="R1366" t="s">
        <v>1353</v>
      </c>
      <c r="S1366">
        <f>Consulta1[[#This Row],[min_port]]/100</f>
        <v>1.6E-2</v>
      </c>
      <c r="T1366" s="252">
        <f>Consulta1[[#This Row],[TETO_COMERCIAL]]/100</f>
        <v>2.5000000000000001E-2</v>
      </c>
      <c r="U1366" t="b">
        <f>Consulta1[[#This Row],[TETO_COMERCIAL_%]]=Consulta1[[#This Row],[TAXA]]</f>
        <v>0</v>
      </c>
      <c r="V1366" t="str">
        <f>CONCATENATE(Consulta1[[#This Row],[MES_ALTERACAO]],Consulta1[[#This Row],[VIRADA]])</f>
        <v>20260510</v>
      </c>
      <c r="W1366">
        <f>VLOOKUP(Consulta1[[#This Row],[Coluna2]],CALENDARIO!$J:$K,2,FALSE)</f>
        <v>5</v>
      </c>
    </row>
    <row r="1367" spans="1:23" x14ac:dyDescent="0.25">
      <c r="A1367" t="s">
        <v>3070</v>
      </c>
      <c r="B1367" t="str">
        <f>CONCATENATE(Consulta1[[#This Row],[id]],Consulta1[[#This Row],[EMPREGADOR]])</f>
        <v>3PREF TAUA</v>
      </c>
      <c r="C1367" s="6">
        <f>IF(A1367=A1366,C1366+1,1)</f>
        <v>3</v>
      </c>
      <c r="D1367" t="s">
        <v>741</v>
      </c>
      <c r="E1367" s="101">
        <v>2.3E-2</v>
      </c>
      <c r="F1367" s="6">
        <v>120</v>
      </c>
      <c r="G1367" t="s">
        <v>1349</v>
      </c>
      <c r="H1367" s="82">
        <v>2.5</v>
      </c>
      <c r="I1367">
        <v>20</v>
      </c>
      <c r="K1367" t="s">
        <v>2127</v>
      </c>
      <c r="L1367" s="6" t="s">
        <v>1372</v>
      </c>
      <c r="M1367" s="6">
        <v>10</v>
      </c>
      <c r="N1367" s="6">
        <v>2</v>
      </c>
      <c r="O1367">
        <v>500</v>
      </c>
      <c r="P1367">
        <v>202605</v>
      </c>
      <c r="Q1367" t="s">
        <v>377</v>
      </c>
      <c r="R1367" t="s">
        <v>1353</v>
      </c>
      <c r="S1367">
        <f>Consulta1[[#This Row],[min_port]]/100</f>
        <v>1.6E-2</v>
      </c>
      <c r="T1367" s="252">
        <f>Consulta1[[#This Row],[TETO_COMERCIAL]]/100</f>
        <v>2.5000000000000001E-2</v>
      </c>
      <c r="U1367" t="b">
        <f>Consulta1[[#This Row],[TETO_COMERCIAL_%]]=Consulta1[[#This Row],[TAXA]]</f>
        <v>0</v>
      </c>
      <c r="V1367" t="str">
        <f>CONCATENATE(Consulta1[[#This Row],[MES_ALTERACAO]],Consulta1[[#This Row],[VIRADA]])</f>
        <v>20260510</v>
      </c>
      <c r="W1367">
        <f>VLOOKUP(Consulta1[[#This Row],[Coluna2]],CALENDARIO!$J:$K,2,FALSE)</f>
        <v>5</v>
      </c>
    </row>
    <row r="1368" spans="1:23" x14ac:dyDescent="0.25">
      <c r="A1368" t="s">
        <v>3071</v>
      </c>
      <c r="B1368" t="str">
        <f>CONCATENATE(Consulta1[[#This Row],[id]],Consulta1[[#This Row],[EMPREGADOR]])</f>
        <v>1PREF TAUA EST</v>
      </c>
      <c r="C1368" s="6">
        <f>IF(A1368=A1367,C1367+1,1)</f>
        <v>1</v>
      </c>
      <c r="D1368" t="s">
        <v>742</v>
      </c>
      <c r="E1368" s="101">
        <v>2.5000000000000001E-2</v>
      </c>
      <c r="F1368" s="6">
        <v>120</v>
      </c>
      <c r="G1368" t="s">
        <v>1349</v>
      </c>
      <c r="H1368" s="82">
        <v>2.5</v>
      </c>
      <c r="I1368">
        <v>20</v>
      </c>
      <c r="K1368" t="s">
        <v>2128</v>
      </c>
      <c r="L1368" s="6" t="s">
        <v>1372</v>
      </c>
      <c r="M1368" s="6">
        <v>10</v>
      </c>
      <c r="N1368" s="6">
        <v>2</v>
      </c>
      <c r="O1368">
        <v>500</v>
      </c>
      <c r="P1368">
        <v>202605</v>
      </c>
      <c r="Q1368" t="s">
        <v>377</v>
      </c>
      <c r="R1368" t="s">
        <v>1353</v>
      </c>
      <c r="S1368">
        <f>Consulta1[[#This Row],[min_port]]/100</f>
        <v>1.6E-2</v>
      </c>
      <c r="T1368" s="252">
        <f>Consulta1[[#This Row],[TETO_COMERCIAL]]/100</f>
        <v>2.5000000000000001E-2</v>
      </c>
      <c r="U1368" t="b">
        <f>Consulta1[[#This Row],[TETO_COMERCIAL_%]]=Consulta1[[#This Row],[TAXA]]</f>
        <v>1</v>
      </c>
      <c r="V1368" t="str">
        <f>CONCATENATE(Consulta1[[#This Row],[MES_ALTERACAO]],Consulta1[[#This Row],[VIRADA]])</f>
        <v>20260510</v>
      </c>
      <c r="W1368">
        <f>VLOOKUP(Consulta1[[#This Row],[Coluna2]],CALENDARIO!$J:$K,2,FALSE)</f>
        <v>5</v>
      </c>
    </row>
    <row r="1369" spans="1:23" x14ac:dyDescent="0.25">
      <c r="A1369" t="s">
        <v>3071</v>
      </c>
      <c r="B1369" t="str">
        <f>CONCATENATE(Consulta1[[#This Row],[id]],Consulta1[[#This Row],[EMPREGADOR]])</f>
        <v>2PREF TAUA EST</v>
      </c>
      <c r="C1369" s="6">
        <f>IF(A1369=A1368,C1368+1,1)</f>
        <v>2</v>
      </c>
      <c r="D1369" t="s">
        <v>743</v>
      </c>
      <c r="E1369" s="101">
        <v>2.4E-2</v>
      </c>
      <c r="F1369" s="6">
        <v>120</v>
      </c>
      <c r="G1369" t="s">
        <v>1349</v>
      </c>
      <c r="H1369" s="82">
        <v>2.5</v>
      </c>
      <c r="I1369">
        <v>20</v>
      </c>
      <c r="K1369" t="s">
        <v>2129</v>
      </c>
      <c r="L1369" s="6" t="s">
        <v>1372</v>
      </c>
      <c r="M1369" s="6">
        <v>10</v>
      </c>
      <c r="N1369" s="6">
        <v>2</v>
      </c>
      <c r="O1369">
        <v>500</v>
      </c>
      <c r="P1369">
        <v>202605</v>
      </c>
      <c r="Q1369" t="s">
        <v>377</v>
      </c>
      <c r="R1369" t="s">
        <v>1353</v>
      </c>
      <c r="S1369">
        <f>Consulta1[[#This Row],[min_port]]/100</f>
        <v>1.6E-2</v>
      </c>
      <c r="T1369" s="252">
        <f>Consulta1[[#This Row],[TETO_COMERCIAL]]/100</f>
        <v>2.5000000000000001E-2</v>
      </c>
      <c r="U1369" t="b">
        <f>Consulta1[[#This Row],[TETO_COMERCIAL_%]]=Consulta1[[#This Row],[TAXA]]</f>
        <v>0</v>
      </c>
      <c r="V1369" t="str">
        <f>CONCATENATE(Consulta1[[#This Row],[MES_ALTERACAO]],Consulta1[[#This Row],[VIRADA]])</f>
        <v>20260510</v>
      </c>
      <c r="W1369">
        <f>VLOOKUP(Consulta1[[#This Row],[Coluna2]],CALENDARIO!$J:$K,2,FALSE)</f>
        <v>5</v>
      </c>
    </row>
    <row r="1370" spans="1:23" x14ac:dyDescent="0.25">
      <c r="A1370" t="s">
        <v>3071</v>
      </c>
      <c r="B1370" t="str">
        <f>CONCATENATE(Consulta1[[#This Row],[id]],Consulta1[[#This Row],[EMPREGADOR]])</f>
        <v>3PREF TAUA EST</v>
      </c>
      <c r="C1370" s="6">
        <f>IF(A1370=A1369,C1369+1,1)</f>
        <v>3</v>
      </c>
      <c r="D1370" t="s">
        <v>744</v>
      </c>
      <c r="E1370" s="101">
        <v>2.3E-2</v>
      </c>
      <c r="F1370" s="6">
        <v>120</v>
      </c>
      <c r="G1370" t="s">
        <v>1349</v>
      </c>
      <c r="H1370" s="82">
        <v>2.5</v>
      </c>
      <c r="I1370">
        <v>20</v>
      </c>
      <c r="K1370" t="s">
        <v>2130</v>
      </c>
      <c r="L1370" s="6" t="s">
        <v>1372</v>
      </c>
      <c r="M1370" s="6">
        <v>10</v>
      </c>
      <c r="N1370" s="6">
        <v>2</v>
      </c>
      <c r="O1370">
        <v>500</v>
      </c>
      <c r="P1370">
        <v>202605</v>
      </c>
      <c r="Q1370" t="s">
        <v>377</v>
      </c>
      <c r="R1370" t="s">
        <v>1353</v>
      </c>
      <c r="S1370">
        <f>Consulta1[[#This Row],[min_port]]/100</f>
        <v>1.6E-2</v>
      </c>
      <c r="T1370" s="252">
        <f>Consulta1[[#This Row],[TETO_COMERCIAL]]/100</f>
        <v>2.5000000000000001E-2</v>
      </c>
      <c r="U1370" t="b">
        <f>Consulta1[[#This Row],[TETO_COMERCIAL_%]]=Consulta1[[#This Row],[TAXA]]</f>
        <v>0</v>
      </c>
      <c r="V1370" t="str">
        <f>CONCATENATE(Consulta1[[#This Row],[MES_ALTERACAO]],Consulta1[[#This Row],[VIRADA]])</f>
        <v>20260510</v>
      </c>
      <c r="W1370">
        <f>VLOOKUP(Consulta1[[#This Row],[Coluna2]],CALENDARIO!$J:$K,2,FALSE)</f>
        <v>5</v>
      </c>
    </row>
    <row r="1371" spans="1:23" x14ac:dyDescent="0.25">
      <c r="A1371" t="s">
        <v>337</v>
      </c>
      <c r="B1371" t="str">
        <f>CONCATENATE(Consulta1[[#This Row],[id]],Consulta1[[#This Row],[EMPREGADOR]])</f>
        <v>1PREF TAUBATE</v>
      </c>
      <c r="C1371" s="6">
        <f>IF(A1371=A1370,C1370+1,1)</f>
        <v>1</v>
      </c>
      <c r="D1371" t="s">
        <v>338</v>
      </c>
      <c r="E1371" s="101">
        <v>2.5000000000000001E-2</v>
      </c>
      <c r="F1371" s="6">
        <v>120</v>
      </c>
      <c r="G1371" t="s">
        <v>1349</v>
      </c>
      <c r="H1371" s="82">
        <v>2.5</v>
      </c>
      <c r="I1371">
        <v>10</v>
      </c>
      <c r="J1371">
        <v>53</v>
      </c>
      <c r="K1371" t="s">
        <v>2131</v>
      </c>
      <c r="L1371" s="6" t="s">
        <v>1381</v>
      </c>
      <c r="M1371" s="6">
        <v>14</v>
      </c>
      <c r="N1371" s="6">
        <v>2</v>
      </c>
      <c r="O1371">
        <v>500</v>
      </c>
      <c r="P1371">
        <v>202605</v>
      </c>
      <c r="Q1371" t="s">
        <v>377</v>
      </c>
      <c r="R1371" t="s">
        <v>1350</v>
      </c>
      <c r="S1371">
        <f>Consulta1[[#This Row],[min_port]]/100</f>
        <v>1.3999999999999999E-2</v>
      </c>
      <c r="T1371" s="252">
        <f>Consulta1[[#This Row],[TETO_COMERCIAL]]/100</f>
        <v>2.5000000000000001E-2</v>
      </c>
      <c r="U1371" t="b">
        <f>Consulta1[[#This Row],[TETO_COMERCIAL_%]]=Consulta1[[#This Row],[TAXA]]</f>
        <v>1</v>
      </c>
      <c r="V1371" t="str">
        <f>CONCATENATE(Consulta1[[#This Row],[MES_ALTERACAO]],Consulta1[[#This Row],[VIRADA]])</f>
        <v>20260514</v>
      </c>
      <c r="W1371">
        <f>VLOOKUP(Consulta1[[#This Row],[Coluna2]],CALENDARIO!$J:$K,2,FALSE)</f>
        <v>9</v>
      </c>
    </row>
    <row r="1372" spans="1:23" x14ac:dyDescent="0.25">
      <c r="A1372" t="s">
        <v>337</v>
      </c>
      <c r="B1372" t="str">
        <f>CONCATENATE(Consulta1[[#This Row],[id]],Consulta1[[#This Row],[EMPREGADOR]])</f>
        <v>2PREF TAUBATE</v>
      </c>
      <c r="C1372" s="6">
        <f>IF(A1372=A1371,C1371+1,1)</f>
        <v>2</v>
      </c>
      <c r="D1372" t="s">
        <v>339</v>
      </c>
      <c r="E1372" s="101">
        <v>2.3900000000000001E-2</v>
      </c>
      <c r="F1372" s="6">
        <v>120</v>
      </c>
      <c r="G1372" t="s">
        <v>1349</v>
      </c>
      <c r="H1372" s="82">
        <v>2.5</v>
      </c>
      <c r="I1372">
        <v>10</v>
      </c>
      <c r="J1372">
        <v>34</v>
      </c>
      <c r="K1372" t="s">
        <v>2132</v>
      </c>
      <c r="L1372" s="6" t="s">
        <v>1381</v>
      </c>
      <c r="M1372" s="6">
        <v>14</v>
      </c>
      <c r="N1372" s="6">
        <v>2</v>
      </c>
      <c r="O1372">
        <v>500</v>
      </c>
      <c r="P1372">
        <v>202605</v>
      </c>
      <c r="Q1372" t="s">
        <v>377</v>
      </c>
      <c r="R1372" t="s">
        <v>1350</v>
      </c>
      <c r="S1372">
        <f>Consulta1[[#This Row],[min_port]]/100</f>
        <v>1.3999999999999999E-2</v>
      </c>
      <c r="T1372" s="252">
        <f>Consulta1[[#This Row],[TETO_COMERCIAL]]/100</f>
        <v>2.5000000000000001E-2</v>
      </c>
      <c r="U1372" t="b">
        <f>Consulta1[[#This Row],[TETO_COMERCIAL_%]]=Consulta1[[#This Row],[TAXA]]</f>
        <v>0</v>
      </c>
      <c r="V1372" t="str">
        <f>CONCATENATE(Consulta1[[#This Row],[MES_ALTERACAO]],Consulta1[[#This Row],[VIRADA]])</f>
        <v>20260514</v>
      </c>
      <c r="W1372">
        <f>VLOOKUP(Consulta1[[#This Row],[Coluna2]],CALENDARIO!$J:$K,2,FALSE)</f>
        <v>9</v>
      </c>
    </row>
    <row r="1373" spans="1:23" x14ac:dyDescent="0.25">
      <c r="A1373" t="s">
        <v>337</v>
      </c>
      <c r="B1373" t="str">
        <f>CONCATENATE(Consulta1[[#This Row],[id]],Consulta1[[#This Row],[EMPREGADOR]])</f>
        <v>3PREF TAUBATE</v>
      </c>
      <c r="C1373" s="6">
        <f>IF(A1373=A1372,C1372+1,1)</f>
        <v>3</v>
      </c>
      <c r="D1373" t="s">
        <v>340</v>
      </c>
      <c r="E1373" s="101">
        <v>2.29E-2</v>
      </c>
      <c r="F1373" s="6">
        <v>120</v>
      </c>
      <c r="G1373" t="s">
        <v>1349</v>
      </c>
      <c r="H1373" s="82">
        <v>2.5</v>
      </c>
      <c r="I1373">
        <v>10</v>
      </c>
      <c r="J1373">
        <v>39</v>
      </c>
      <c r="K1373" t="s">
        <v>2133</v>
      </c>
      <c r="L1373" s="6" t="s">
        <v>1381</v>
      </c>
      <c r="M1373" s="6">
        <v>14</v>
      </c>
      <c r="N1373" s="6">
        <v>2</v>
      </c>
      <c r="O1373">
        <v>500</v>
      </c>
      <c r="P1373">
        <v>202605</v>
      </c>
      <c r="Q1373" t="s">
        <v>377</v>
      </c>
      <c r="R1373" t="s">
        <v>1350</v>
      </c>
      <c r="S1373">
        <f>Consulta1[[#This Row],[min_port]]/100</f>
        <v>1.3999999999999999E-2</v>
      </c>
      <c r="T1373" s="252">
        <f>Consulta1[[#This Row],[TETO_COMERCIAL]]/100</f>
        <v>2.5000000000000001E-2</v>
      </c>
      <c r="U1373" t="b">
        <f>Consulta1[[#This Row],[TETO_COMERCIAL_%]]=Consulta1[[#This Row],[TAXA]]</f>
        <v>0</v>
      </c>
      <c r="V1373" t="str">
        <f>CONCATENATE(Consulta1[[#This Row],[MES_ALTERACAO]],Consulta1[[#This Row],[VIRADA]])</f>
        <v>20260514</v>
      </c>
      <c r="W1373">
        <f>VLOOKUP(Consulta1[[#This Row],[Coluna2]],CALENDARIO!$J:$K,2,FALSE)</f>
        <v>9</v>
      </c>
    </row>
    <row r="1374" spans="1:23" x14ac:dyDescent="0.25">
      <c r="A1374" t="s">
        <v>337</v>
      </c>
      <c r="B1374" t="str">
        <f>CONCATENATE(Consulta1[[#This Row],[id]],Consulta1[[#This Row],[EMPREGADOR]])</f>
        <v>4PREF TAUBATE</v>
      </c>
      <c r="C1374" s="6">
        <f>IF(A1374=A1373,C1373+1,1)</f>
        <v>4</v>
      </c>
      <c r="D1374" t="s">
        <v>341</v>
      </c>
      <c r="E1374" s="101">
        <v>2.1899999999999999E-2</v>
      </c>
      <c r="F1374" s="6">
        <v>120</v>
      </c>
      <c r="G1374" t="s">
        <v>1349</v>
      </c>
      <c r="H1374" s="82">
        <v>2.5</v>
      </c>
      <c r="I1374">
        <v>10</v>
      </c>
      <c r="J1374">
        <v>31</v>
      </c>
      <c r="K1374" t="s">
        <v>2134</v>
      </c>
      <c r="L1374" s="6" t="s">
        <v>1381</v>
      </c>
      <c r="M1374" s="6">
        <v>14</v>
      </c>
      <c r="N1374" s="6">
        <v>2</v>
      </c>
      <c r="O1374">
        <v>500</v>
      </c>
      <c r="P1374">
        <v>202605</v>
      </c>
      <c r="Q1374" t="s">
        <v>377</v>
      </c>
      <c r="R1374" t="s">
        <v>1350</v>
      </c>
      <c r="S1374">
        <f>Consulta1[[#This Row],[min_port]]/100</f>
        <v>1.3999999999999999E-2</v>
      </c>
      <c r="T1374" s="252">
        <f>Consulta1[[#This Row],[TETO_COMERCIAL]]/100</f>
        <v>2.5000000000000001E-2</v>
      </c>
      <c r="U1374" t="b">
        <f>Consulta1[[#This Row],[TETO_COMERCIAL_%]]=Consulta1[[#This Row],[TAXA]]</f>
        <v>0</v>
      </c>
      <c r="V1374" t="str">
        <f>CONCATENATE(Consulta1[[#This Row],[MES_ALTERACAO]],Consulta1[[#This Row],[VIRADA]])</f>
        <v>20260514</v>
      </c>
      <c r="W1374">
        <f>VLOOKUP(Consulta1[[#This Row],[Coluna2]],CALENDARIO!$J:$K,2,FALSE)</f>
        <v>9</v>
      </c>
    </row>
    <row r="1375" spans="1:23" x14ac:dyDescent="0.25">
      <c r="A1375" t="s">
        <v>337</v>
      </c>
      <c r="B1375" t="str">
        <f>CONCATENATE(Consulta1[[#This Row],[id]],Consulta1[[#This Row],[EMPREGADOR]])</f>
        <v>5PREF TAUBATE</v>
      </c>
      <c r="C1375" s="6">
        <f>IF(A1375=A1374,C1374+1,1)</f>
        <v>5</v>
      </c>
      <c r="D1375" t="s">
        <v>824</v>
      </c>
      <c r="E1375" s="101">
        <v>2.0899999999999998E-2</v>
      </c>
      <c r="F1375" s="6">
        <v>120</v>
      </c>
      <c r="G1375" t="s">
        <v>1349</v>
      </c>
      <c r="H1375" s="82">
        <v>2.5</v>
      </c>
      <c r="I1375">
        <v>10</v>
      </c>
      <c r="J1375">
        <v>39</v>
      </c>
      <c r="K1375" t="s">
        <v>2135</v>
      </c>
      <c r="L1375" s="6" t="s">
        <v>1381</v>
      </c>
      <c r="M1375" s="6">
        <v>14</v>
      </c>
      <c r="N1375" s="6">
        <v>2</v>
      </c>
      <c r="O1375">
        <v>500</v>
      </c>
      <c r="P1375">
        <v>202605</v>
      </c>
      <c r="Q1375" t="s">
        <v>377</v>
      </c>
      <c r="R1375" t="s">
        <v>1350</v>
      </c>
      <c r="S1375">
        <f>Consulta1[[#This Row],[min_port]]/100</f>
        <v>1.3999999999999999E-2</v>
      </c>
      <c r="T1375" s="252">
        <f>Consulta1[[#This Row],[TETO_COMERCIAL]]/100</f>
        <v>2.5000000000000001E-2</v>
      </c>
      <c r="U1375" t="b">
        <f>Consulta1[[#This Row],[TETO_COMERCIAL_%]]=Consulta1[[#This Row],[TAXA]]</f>
        <v>0</v>
      </c>
      <c r="V1375" t="str">
        <f>CONCATENATE(Consulta1[[#This Row],[MES_ALTERACAO]],Consulta1[[#This Row],[VIRADA]])</f>
        <v>20260514</v>
      </c>
      <c r="W1375">
        <f>VLOOKUP(Consulta1[[#This Row],[Coluna2]],CALENDARIO!$J:$K,2,FALSE)</f>
        <v>9</v>
      </c>
    </row>
    <row r="1376" spans="1:23" x14ac:dyDescent="0.25">
      <c r="A1376" t="s">
        <v>337</v>
      </c>
      <c r="B1376" t="str">
        <f>CONCATENATE(Consulta1[[#This Row],[id]],Consulta1[[#This Row],[EMPREGADOR]])</f>
        <v>6PREF TAUBATE</v>
      </c>
      <c r="C1376" s="6">
        <f>IF(A1376=A1375,C1375+1,1)</f>
        <v>6</v>
      </c>
      <c r="D1376" t="s">
        <v>3142</v>
      </c>
      <c r="E1376" s="101">
        <v>2.0199999999999999E-2</v>
      </c>
      <c r="F1376" s="6">
        <v>120</v>
      </c>
      <c r="G1376" t="s">
        <v>1349</v>
      </c>
      <c r="H1376" s="82">
        <v>2.5</v>
      </c>
      <c r="I1376">
        <v>10</v>
      </c>
      <c r="J1376">
        <v>44</v>
      </c>
      <c r="K1376" t="s">
        <v>3143</v>
      </c>
      <c r="L1376" s="6" t="s">
        <v>1381</v>
      </c>
      <c r="M1376" s="6">
        <v>14</v>
      </c>
      <c r="N1376" s="6">
        <v>2</v>
      </c>
      <c r="O1376">
        <v>500</v>
      </c>
      <c r="P1376">
        <v>202605</v>
      </c>
      <c r="Q1376" t="s">
        <v>377</v>
      </c>
      <c r="R1376" t="s">
        <v>1350</v>
      </c>
      <c r="S1376">
        <f>Consulta1[[#This Row],[min_port]]/100</f>
        <v>1.3999999999999999E-2</v>
      </c>
      <c r="T1376" s="252">
        <f>Consulta1[[#This Row],[TETO_COMERCIAL]]/100</f>
        <v>2.5000000000000001E-2</v>
      </c>
      <c r="U1376" t="b">
        <f>Consulta1[[#This Row],[TETO_COMERCIAL_%]]=Consulta1[[#This Row],[TAXA]]</f>
        <v>0</v>
      </c>
      <c r="V1376" t="str">
        <f>CONCATENATE(Consulta1[[#This Row],[MES_ALTERACAO]],Consulta1[[#This Row],[VIRADA]])</f>
        <v>20260514</v>
      </c>
      <c r="W1376">
        <f>VLOOKUP(Consulta1[[#This Row],[Coluna2]],CALENDARIO!$J:$K,2,FALSE)</f>
        <v>9</v>
      </c>
    </row>
    <row r="1377" spans="1:23" x14ac:dyDescent="0.25">
      <c r="A1377" t="s">
        <v>2776</v>
      </c>
      <c r="B1377" t="str">
        <f>CONCATENATE(Consulta1[[#This Row],[id]],Consulta1[[#This Row],[EMPREGADOR]])</f>
        <v>1PREF TIETE SP</v>
      </c>
      <c r="C1377" s="6">
        <f>IF(A1377=A1376,C1376+1,1)</f>
        <v>1</v>
      </c>
      <c r="D1377" t="s">
        <v>2777</v>
      </c>
      <c r="E1377" s="101">
        <v>2.5000000000000001E-2</v>
      </c>
      <c r="F1377" s="6">
        <v>120</v>
      </c>
      <c r="G1377" t="s">
        <v>1349</v>
      </c>
      <c r="H1377" s="82">
        <v>2.5</v>
      </c>
      <c r="I1377">
        <v>15</v>
      </c>
      <c r="K1377" t="s">
        <v>2778</v>
      </c>
      <c r="L1377" s="6" t="s">
        <v>1407</v>
      </c>
      <c r="M1377" s="6">
        <v>14</v>
      </c>
      <c r="N1377" s="6">
        <v>2</v>
      </c>
      <c r="O1377">
        <v>500</v>
      </c>
      <c r="P1377">
        <v>202605</v>
      </c>
      <c r="Q1377" t="s">
        <v>378</v>
      </c>
      <c r="R1377" t="s">
        <v>1353</v>
      </c>
      <c r="S1377">
        <f>Consulta1[[#This Row],[min_port]]/100</f>
        <v>1.49E-2</v>
      </c>
      <c r="T1377" s="252">
        <f>Consulta1[[#This Row],[TETO_COMERCIAL]]/100</f>
        <v>2.5000000000000001E-2</v>
      </c>
      <c r="U1377" t="b">
        <f>Consulta1[[#This Row],[TETO_COMERCIAL_%]]=Consulta1[[#This Row],[TAXA]]</f>
        <v>1</v>
      </c>
      <c r="V1377" t="str">
        <f>CONCATENATE(Consulta1[[#This Row],[MES_ALTERACAO]],Consulta1[[#This Row],[VIRADA]])</f>
        <v>20260514</v>
      </c>
      <c r="W1377">
        <f>VLOOKUP(Consulta1[[#This Row],[Coluna2]],CALENDARIO!$J:$K,2,FALSE)</f>
        <v>9</v>
      </c>
    </row>
    <row r="1378" spans="1:23" x14ac:dyDescent="0.25">
      <c r="A1378" t="s">
        <v>2776</v>
      </c>
      <c r="B1378" t="str">
        <f>CONCATENATE(Consulta1[[#This Row],[id]],Consulta1[[#This Row],[EMPREGADOR]])</f>
        <v>2PREF TIETE SP</v>
      </c>
      <c r="C1378" s="6">
        <f>IF(A1378=A1377,C1377+1,1)</f>
        <v>2</v>
      </c>
      <c r="D1378" t="s">
        <v>2779</v>
      </c>
      <c r="E1378" s="101">
        <v>2.2000000000000002E-2</v>
      </c>
      <c r="F1378" s="6">
        <v>120</v>
      </c>
      <c r="G1378" t="s">
        <v>1349</v>
      </c>
      <c r="H1378" s="82">
        <v>2.5</v>
      </c>
      <c r="I1378">
        <v>15</v>
      </c>
      <c r="K1378" t="s">
        <v>2780</v>
      </c>
      <c r="L1378" s="6" t="s">
        <v>1407</v>
      </c>
      <c r="M1378" s="6">
        <v>14</v>
      </c>
      <c r="N1378" s="6">
        <v>2</v>
      </c>
      <c r="O1378">
        <v>500</v>
      </c>
      <c r="P1378">
        <v>202605</v>
      </c>
      <c r="Q1378" t="s">
        <v>378</v>
      </c>
      <c r="R1378" t="s">
        <v>1353</v>
      </c>
      <c r="S1378">
        <f>Consulta1[[#This Row],[min_port]]/100</f>
        <v>1.49E-2</v>
      </c>
      <c r="T1378" s="252">
        <f>Consulta1[[#This Row],[TETO_COMERCIAL]]/100</f>
        <v>2.5000000000000001E-2</v>
      </c>
      <c r="U1378" t="b">
        <f>Consulta1[[#This Row],[TETO_COMERCIAL_%]]=Consulta1[[#This Row],[TAXA]]</f>
        <v>0</v>
      </c>
      <c r="V1378" t="str">
        <f>CONCATENATE(Consulta1[[#This Row],[MES_ALTERACAO]],Consulta1[[#This Row],[VIRADA]])</f>
        <v>20260514</v>
      </c>
      <c r="W1378">
        <f>VLOOKUP(Consulta1[[#This Row],[Coluna2]],CALENDARIO!$J:$K,2,FALSE)</f>
        <v>9</v>
      </c>
    </row>
    <row r="1379" spans="1:23" x14ac:dyDescent="0.25">
      <c r="A1379" t="s">
        <v>2776</v>
      </c>
      <c r="B1379" t="str">
        <f>CONCATENATE(Consulta1[[#This Row],[id]],Consulta1[[#This Row],[EMPREGADOR]])</f>
        <v>3PREF TIETE SP</v>
      </c>
      <c r="C1379" s="6">
        <f>IF(A1379=A1378,C1378+1,1)</f>
        <v>3</v>
      </c>
      <c r="D1379" t="s">
        <v>2781</v>
      </c>
      <c r="E1379" s="101">
        <v>2.0899999999999998E-2</v>
      </c>
      <c r="F1379" s="6">
        <v>120</v>
      </c>
      <c r="G1379" t="s">
        <v>1349</v>
      </c>
      <c r="H1379" s="82">
        <v>2.5</v>
      </c>
      <c r="I1379">
        <v>15</v>
      </c>
      <c r="K1379" t="s">
        <v>2782</v>
      </c>
      <c r="L1379" s="6" t="s">
        <v>1407</v>
      </c>
      <c r="M1379" s="6">
        <v>14</v>
      </c>
      <c r="N1379" s="6">
        <v>2</v>
      </c>
      <c r="O1379">
        <v>500</v>
      </c>
      <c r="P1379">
        <v>202605</v>
      </c>
      <c r="Q1379" t="s">
        <v>378</v>
      </c>
      <c r="R1379" t="s">
        <v>1353</v>
      </c>
      <c r="S1379">
        <f>Consulta1[[#This Row],[min_port]]/100</f>
        <v>1.49E-2</v>
      </c>
      <c r="T1379" s="252">
        <f>Consulta1[[#This Row],[TETO_COMERCIAL]]/100</f>
        <v>2.5000000000000001E-2</v>
      </c>
      <c r="U1379" t="b">
        <f>Consulta1[[#This Row],[TETO_COMERCIAL_%]]=Consulta1[[#This Row],[TAXA]]</f>
        <v>0</v>
      </c>
      <c r="V1379" t="str">
        <f>CONCATENATE(Consulta1[[#This Row],[MES_ALTERACAO]],Consulta1[[#This Row],[VIRADA]])</f>
        <v>20260514</v>
      </c>
      <c r="W1379">
        <f>VLOOKUP(Consulta1[[#This Row],[Coluna2]],CALENDARIO!$J:$K,2,FALSE)</f>
        <v>9</v>
      </c>
    </row>
    <row r="1380" spans="1:23" x14ac:dyDescent="0.25">
      <c r="A1380" t="s">
        <v>2776</v>
      </c>
      <c r="B1380" t="str">
        <f>CONCATENATE(Consulta1[[#This Row],[id]],Consulta1[[#This Row],[EMPREGADOR]])</f>
        <v>4PREF TIETE SP</v>
      </c>
      <c r="C1380" s="6">
        <f>IF(A1380=A1379,C1379+1,1)</f>
        <v>4</v>
      </c>
      <c r="D1380" t="s">
        <v>2783</v>
      </c>
      <c r="E1380" s="101">
        <v>2.0499999999999997E-2</v>
      </c>
      <c r="F1380" s="6">
        <v>120</v>
      </c>
      <c r="G1380" t="s">
        <v>1349</v>
      </c>
      <c r="H1380" s="82">
        <v>2.5</v>
      </c>
      <c r="I1380">
        <v>15</v>
      </c>
      <c r="K1380" t="s">
        <v>2784</v>
      </c>
      <c r="L1380" s="6" t="s">
        <v>1407</v>
      </c>
      <c r="M1380" s="6">
        <v>14</v>
      </c>
      <c r="N1380" s="6">
        <v>2</v>
      </c>
      <c r="O1380">
        <v>500</v>
      </c>
      <c r="P1380">
        <v>202605</v>
      </c>
      <c r="Q1380" t="s">
        <v>378</v>
      </c>
      <c r="R1380" t="s">
        <v>1353</v>
      </c>
      <c r="S1380">
        <f>Consulta1[[#This Row],[min_port]]/100</f>
        <v>1.49E-2</v>
      </c>
      <c r="T1380" s="252">
        <f>Consulta1[[#This Row],[TETO_COMERCIAL]]/100</f>
        <v>2.5000000000000001E-2</v>
      </c>
      <c r="U1380" t="b">
        <f>Consulta1[[#This Row],[TETO_COMERCIAL_%]]=Consulta1[[#This Row],[TAXA]]</f>
        <v>0</v>
      </c>
      <c r="V1380" t="str">
        <f>CONCATENATE(Consulta1[[#This Row],[MES_ALTERACAO]],Consulta1[[#This Row],[VIRADA]])</f>
        <v>20260514</v>
      </c>
      <c r="W1380">
        <f>VLOOKUP(Consulta1[[#This Row],[Coluna2]],CALENDARIO!$J:$K,2,FALSE)</f>
        <v>9</v>
      </c>
    </row>
    <row r="1381" spans="1:23" x14ac:dyDescent="0.25">
      <c r="A1381" t="s">
        <v>2776</v>
      </c>
      <c r="B1381" t="str">
        <f>CONCATENATE(Consulta1[[#This Row],[id]],Consulta1[[#This Row],[EMPREGADOR]])</f>
        <v>5PREF TIETE SP</v>
      </c>
      <c r="C1381" s="6">
        <f>IF(A1381=A1380,C1380+1,1)</f>
        <v>5</v>
      </c>
      <c r="D1381" t="s">
        <v>2785</v>
      </c>
      <c r="E1381" s="101">
        <v>1.9900000000000001E-2</v>
      </c>
      <c r="F1381" s="6">
        <v>120</v>
      </c>
      <c r="G1381" t="s">
        <v>1349</v>
      </c>
      <c r="H1381" s="82">
        <v>2.5</v>
      </c>
      <c r="I1381">
        <v>15</v>
      </c>
      <c r="K1381" t="s">
        <v>2786</v>
      </c>
      <c r="L1381" s="6" t="s">
        <v>1407</v>
      </c>
      <c r="M1381" s="6">
        <v>14</v>
      </c>
      <c r="N1381" s="6">
        <v>2</v>
      </c>
      <c r="O1381">
        <v>500</v>
      </c>
      <c r="P1381">
        <v>202605</v>
      </c>
      <c r="Q1381" t="s">
        <v>378</v>
      </c>
      <c r="R1381" t="s">
        <v>1353</v>
      </c>
      <c r="S1381">
        <f>Consulta1[[#This Row],[min_port]]/100</f>
        <v>1.49E-2</v>
      </c>
      <c r="T1381" s="252">
        <f>Consulta1[[#This Row],[TETO_COMERCIAL]]/100</f>
        <v>2.5000000000000001E-2</v>
      </c>
      <c r="U1381" t="b">
        <f>Consulta1[[#This Row],[TETO_COMERCIAL_%]]=Consulta1[[#This Row],[TAXA]]</f>
        <v>0</v>
      </c>
      <c r="V1381" t="str">
        <f>CONCATENATE(Consulta1[[#This Row],[MES_ALTERACAO]],Consulta1[[#This Row],[VIRADA]])</f>
        <v>20260514</v>
      </c>
      <c r="W1381">
        <f>VLOOKUP(Consulta1[[#This Row],[Coluna2]],CALENDARIO!$J:$K,2,FALSE)</f>
        <v>9</v>
      </c>
    </row>
    <row r="1382" spans="1:23" x14ac:dyDescent="0.25">
      <c r="A1382" t="s">
        <v>2776</v>
      </c>
      <c r="B1382" t="str">
        <f>CONCATENATE(Consulta1[[#This Row],[id]],Consulta1[[#This Row],[EMPREGADOR]])</f>
        <v>6PREF TIETE SP</v>
      </c>
      <c r="C1382" s="6">
        <f>IF(A1382=A1381,C1381+1,1)</f>
        <v>6</v>
      </c>
      <c r="D1382" t="s">
        <v>2787</v>
      </c>
      <c r="E1382" s="101">
        <v>1.95E-2</v>
      </c>
      <c r="F1382" s="6">
        <v>120</v>
      </c>
      <c r="G1382" t="s">
        <v>1349</v>
      </c>
      <c r="H1382" s="82">
        <v>2.5</v>
      </c>
      <c r="I1382">
        <v>15</v>
      </c>
      <c r="K1382" t="s">
        <v>2788</v>
      </c>
      <c r="L1382" s="6" t="s">
        <v>1407</v>
      </c>
      <c r="M1382" s="6">
        <v>14</v>
      </c>
      <c r="N1382" s="6">
        <v>2</v>
      </c>
      <c r="O1382">
        <v>500</v>
      </c>
      <c r="P1382">
        <v>202605</v>
      </c>
      <c r="Q1382" t="s">
        <v>378</v>
      </c>
      <c r="R1382" t="s">
        <v>1353</v>
      </c>
      <c r="S1382">
        <f>Consulta1[[#This Row],[min_port]]/100</f>
        <v>1.49E-2</v>
      </c>
      <c r="T1382" s="252">
        <f>Consulta1[[#This Row],[TETO_COMERCIAL]]/100</f>
        <v>2.5000000000000001E-2</v>
      </c>
      <c r="U1382" t="b">
        <f>Consulta1[[#This Row],[TETO_COMERCIAL_%]]=Consulta1[[#This Row],[TAXA]]</f>
        <v>0</v>
      </c>
      <c r="V1382" t="str">
        <f>CONCATENATE(Consulta1[[#This Row],[MES_ALTERACAO]],Consulta1[[#This Row],[VIRADA]])</f>
        <v>20260514</v>
      </c>
      <c r="W1382">
        <f>VLOOKUP(Consulta1[[#This Row],[Coluna2]],CALENDARIO!$J:$K,2,FALSE)</f>
        <v>9</v>
      </c>
    </row>
    <row r="1383" spans="1:23" x14ac:dyDescent="0.25">
      <c r="A1383" t="s">
        <v>2776</v>
      </c>
      <c r="B1383" t="str">
        <f>CONCATENATE(Consulta1[[#This Row],[id]],Consulta1[[#This Row],[EMPREGADOR]])</f>
        <v>7PREF TIETE SP</v>
      </c>
      <c r="C1383" s="6">
        <f>IF(A1383=A1382,C1382+1,1)</f>
        <v>7</v>
      </c>
      <c r="D1383" t="s">
        <v>2789</v>
      </c>
      <c r="E1383" s="101">
        <v>1.89E-2</v>
      </c>
      <c r="F1383" s="6">
        <v>120</v>
      </c>
      <c r="G1383" t="s">
        <v>1349</v>
      </c>
      <c r="H1383" s="82">
        <v>2.5</v>
      </c>
      <c r="I1383">
        <v>15</v>
      </c>
      <c r="K1383" t="s">
        <v>2790</v>
      </c>
      <c r="L1383" s="6" t="s">
        <v>1407</v>
      </c>
      <c r="M1383" s="6">
        <v>14</v>
      </c>
      <c r="N1383" s="6">
        <v>2</v>
      </c>
      <c r="O1383">
        <v>500</v>
      </c>
      <c r="P1383">
        <v>202605</v>
      </c>
      <c r="Q1383" t="s">
        <v>378</v>
      </c>
      <c r="R1383" t="s">
        <v>1353</v>
      </c>
      <c r="S1383">
        <f>Consulta1[[#This Row],[min_port]]/100</f>
        <v>1.49E-2</v>
      </c>
      <c r="T1383" s="252">
        <f>Consulta1[[#This Row],[TETO_COMERCIAL]]/100</f>
        <v>2.5000000000000001E-2</v>
      </c>
      <c r="U1383" t="b">
        <f>Consulta1[[#This Row],[TETO_COMERCIAL_%]]=Consulta1[[#This Row],[TAXA]]</f>
        <v>0</v>
      </c>
      <c r="V1383" t="str">
        <f>CONCATENATE(Consulta1[[#This Row],[MES_ALTERACAO]],Consulta1[[#This Row],[VIRADA]])</f>
        <v>20260514</v>
      </c>
      <c r="W1383">
        <f>VLOOKUP(Consulta1[[#This Row],[Coluna2]],CALENDARIO!$J:$K,2,FALSE)</f>
        <v>9</v>
      </c>
    </row>
    <row r="1384" spans="1:23" x14ac:dyDescent="0.25">
      <c r="A1384" t="s">
        <v>3072</v>
      </c>
      <c r="B1384" t="str">
        <f>CONCATENATE(Consulta1[[#This Row],[id]],Consulta1[[#This Row],[EMPREGADOR]])</f>
        <v>1PREF TRES PONTA</v>
      </c>
      <c r="C1384" s="6">
        <f>IF(A1384=A1383,C1383+1,1)</f>
        <v>1</v>
      </c>
      <c r="D1384" t="s">
        <v>509</v>
      </c>
      <c r="E1384" s="101">
        <v>2.2000000000000002E-2</v>
      </c>
      <c r="F1384" s="6">
        <v>120</v>
      </c>
      <c r="G1384" t="s">
        <v>1349</v>
      </c>
      <c r="H1384" s="82">
        <v>2.25</v>
      </c>
      <c r="I1384">
        <v>13</v>
      </c>
      <c r="K1384" t="s">
        <v>2136</v>
      </c>
      <c r="L1384" s="6" t="s">
        <v>1374</v>
      </c>
      <c r="M1384" s="6">
        <v>15</v>
      </c>
      <c r="N1384" s="6">
        <v>2</v>
      </c>
      <c r="O1384">
        <v>500</v>
      </c>
      <c r="P1384">
        <v>202605</v>
      </c>
      <c r="Q1384" t="s">
        <v>377</v>
      </c>
      <c r="R1384" t="s">
        <v>1350</v>
      </c>
      <c r="S1384">
        <f>Consulta1[[#This Row],[min_port]]/100</f>
        <v>1.4999999999999999E-2</v>
      </c>
      <c r="T1384" s="252">
        <f>Consulta1[[#This Row],[TETO_COMERCIAL]]/100</f>
        <v>2.2499999999999999E-2</v>
      </c>
      <c r="U1384" t="b">
        <f>Consulta1[[#This Row],[TETO_COMERCIAL_%]]=Consulta1[[#This Row],[TAXA]]</f>
        <v>0</v>
      </c>
      <c r="V1384" t="str">
        <f>CONCATENATE(Consulta1[[#This Row],[MES_ALTERACAO]],Consulta1[[#This Row],[VIRADA]])</f>
        <v>20260515</v>
      </c>
      <c r="W1384">
        <f>VLOOKUP(Consulta1[[#This Row],[Coluna2]],CALENDARIO!$J:$K,2,FALSE)</f>
        <v>10</v>
      </c>
    </row>
    <row r="1385" spans="1:23" x14ac:dyDescent="0.25">
      <c r="A1385" t="s">
        <v>3072</v>
      </c>
      <c r="B1385" t="str">
        <f>CONCATENATE(Consulta1[[#This Row],[id]],Consulta1[[#This Row],[EMPREGADOR]])</f>
        <v>2PREF TRES PONTA</v>
      </c>
      <c r="C1385" s="6">
        <f>IF(A1385=A1384,C1384+1,1)</f>
        <v>2</v>
      </c>
      <c r="D1385" t="s">
        <v>510</v>
      </c>
      <c r="E1385" s="101">
        <v>2.1000000000000001E-2</v>
      </c>
      <c r="F1385" s="6">
        <v>120</v>
      </c>
      <c r="G1385" t="s">
        <v>1349</v>
      </c>
      <c r="H1385" s="82">
        <v>2.25</v>
      </c>
      <c r="I1385">
        <v>13</v>
      </c>
      <c r="K1385" t="s">
        <v>2137</v>
      </c>
      <c r="L1385" s="6" t="s">
        <v>1374</v>
      </c>
      <c r="M1385" s="6">
        <v>15</v>
      </c>
      <c r="N1385" s="6">
        <v>2</v>
      </c>
      <c r="O1385">
        <v>500</v>
      </c>
      <c r="P1385">
        <v>202605</v>
      </c>
      <c r="Q1385" t="s">
        <v>377</v>
      </c>
      <c r="R1385" t="s">
        <v>1350</v>
      </c>
      <c r="S1385">
        <f>Consulta1[[#This Row],[min_port]]/100</f>
        <v>1.4999999999999999E-2</v>
      </c>
      <c r="T1385" s="252">
        <f>Consulta1[[#This Row],[TETO_COMERCIAL]]/100</f>
        <v>2.2499999999999999E-2</v>
      </c>
      <c r="U1385" t="b">
        <f>Consulta1[[#This Row],[TETO_COMERCIAL_%]]=Consulta1[[#This Row],[TAXA]]</f>
        <v>0</v>
      </c>
      <c r="V1385" t="str">
        <f>CONCATENATE(Consulta1[[#This Row],[MES_ALTERACAO]],Consulta1[[#This Row],[VIRADA]])</f>
        <v>20260515</v>
      </c>
      <c r="W1385">
        <f>VLOOKUP(Consulta1[[#This Row],[Coluna2]],CALENDARIO!$J:$K,2,FALSE)</f>
        <v>10</v>
      </c>
    </row>
    <row r="1386" spans="1:23" x14ac:dyDescent="0.25">
      <c r="A1386" t="s">
        <v>3072</v>
      </c>
      <c r="B1386" t="str">
        <f>CONCATENATE(Consulta1[[#This Row],[id]],Consulta1[[#This Row],[EMPREGADOR]])</f>
        <v>3PREF TRES PONTA</v>
      </c>
      <c r="C1386" s="6">
        <f>IF(A1386=A1385,C1385+1,1)</f>
        <v>3</v>
      </c>
      <c r="D1386" t="s">
        <v>511</v>
      </c>
      <c r="E1386" s="101">
        <v>0.02</v>
      </c>
      <c r="F1386" s="6">
        <v>120</v>
      </c>
      <c r="G1386" t="s">
        <v>1349</v>
      </c>
      <c r="H1386" s="82">
        <v>2.25</v>
      </c>
      <c r="I1386">
        <v>13</v>
      </c>
      <c r="K1386" t="s">
        <v>2138</v>
      </c>
      <c r="L1386" s="6" t="s">
        <v>1374</v>
      </c>
      <c r="M1386" s="6">
        <v>15</v>
      </c>
      <c r="N1386" s="6">
        <v>2</v>
      </c>
      <c r="O1386">
        <v>500</v>
      </c>
      <c r="P1386">
        <v>202605</v>
      </c>
      <c r="Q1386" t="s">
        <v>377</v>
      </c>
      <c r="R1386" t="s">
        <v>1350</v>
      </c>
      <c r="S1386">
        <f>Consulta1[[#This Row],[min_port]]/100</f>
        <v>1.4999999999999999E-2</v>
      </c>
      <c r="T1386" s="252">
        <f>Consulta1[[#This Row],[TETO_COMERCIAL]]/100</f>
        <v>2.2499999999999999E-2</v>
      </c>
      <c r="U1386" t="b">
        <f>Consulta1[[#This Row],[TETO_COMERCIAL_%]]=Consulta1[[#This Row],[TAXA]]</f>
        <v>0</v>
      </c>
      <c r="V1386" t="str">
        <f>CONCATENATE(Consulta1[[#This Row],[MES_ALTERACAO]],Consulta1[[#This Row],[VIRADA]])</f>
        <v>20260515</v>
      </c>
      <c r="W1386">
        <f>VLOOKUP(Consulta1[[#This Row],[Coluna2]],CALENDARIO!$J:$K,2,FALSE)</f>
        <v>10</v>
      </c>
    </row>
    <row r="1387" spans="1:23" x14ac:dyDescent="0.25">
      <c r="A1387" t="s">
        <v>2532</v>
      </c>
      <c r="B1387" t="str">
        <f>CONCATENATE(Consulta1[[#This Row],[id]],Consulta1[[#This Row],[EMPREGADOR]])</f>
        <v>1PREF TRINDADE</v>
      </c>
      <c r="C1387" s="6">
        <f>IF(A1387=A1386,C1386+1,1)</f>
        <v>1</v>
      </c>
      <c r="D1387" t="s">
        <v>2533</v>
      </c>
      <c r="E1387" s="101">
        <v>2.2000000000000002E-2</v>
      </c>
      <c r="F1387" s="6">
        <v>96</v>
      </c>
      <c r="G1387" t="s">
        <v>1349</v>
      </c>
      <c r="H1387" s="82">
        <v>2.4</v>
      </c>
      <c r="I1387">
        <v>11</v>
      </c>
      <c r="K1387" t="s">
        <v>2534</v>
      </c>
      <c r="L1387" s="6" t="s">
        <v>1519</v>
      </c>
      <c r="M1387" s="6">
        <v>10</v>
      </c>
      <c r="N1387" s="6">
        <v>2</v>
      </c>
      <c r="O1387">
        <v>500</v>
      </c>
      <c r="P1387">
        <v>202605</v>
      </c>
      <c r="Q1387" t="s">
        <v>377</v>
      </c>
      <c r="R1387" t="s">
        <v>1353</v>
      </c>
      <c r="S1387">
        <f>Consulta1[[#This Row],[min_port]]/100</f>
        <v>1.3500000000000002E-2</v>
      </c>
      <c r="T1387" s="252">
        <f>Consulta1[[#This Row],[TETO_COMERCIAL]]/100</f>
        <v>2.4E-2</v>
      </c>
      <c r="U1387" t="b">
        <f>Consulta1[[#This Row],[TETO_COMERCIAL_%]]=Consulta1[[#This Row],[TAXA]]</f>
        <v>0</v>
      </c>
      <c r="V1387" t="str">
        <f>CONCATENATE(Consulta1[[#This Row],[MES_ALTERACAO]],Consulta1[[#This Row],[VIRADA]])</f>
        <v>20260510</v>
      </c>
      <c r="W1387">
        <f>VLOOKUP(Consulta1[[#This Row],[Coluna2]],CALENDARIO!$J:$K,2,FALSE)</f>
        <v>5</v>
      </c>
    </row>
    <row r="1388" spans="1:23" x14ac:dyDescent="0.25">
      <c r="A1388" t="s">
        <v>2532</v>
      </c>
      <c r="B1388" t="str">
        <f>CONCATENATE(Consulta1[[#This Row],[id]],Consulta1[[#This Row],[EMPREGADOR]])</f>
        <v>2PREF TRINDADE</v>
      </c>
      <c r="C1388" s="6">
        <f>IF(A1388=A1387,C1387+1,1)</f>
        <v>2</v>
      </c>
      <c r="D1388" t="s">
        <v>2535</v>
      </c>
      <c r="E1388" s="101">
        <v>2.1000000000000001E-2</v>
      </c>
      <c r="F1388" s="6">
        <v>96</v>
      </c>
      <c r="G1388" t="s">
        <v>1349</v>
      </c>
      <c r="H1388" s="82">
        <v>2.4</v>
      </c>
      <c r="I1388">
        <v>11</v>
      </c>
      <c r="K1388" t="s">
        <v>2536</v>
      </c>
      <c r="L1388" s="6" t="s">
        <v>1519</v>
      </c>
      <c r="M1388" s="6">
        <v>10</v>
      </c>
      <c r="N1388" s="6">
        <v>2</v>
      </c>
      <c r="O1388">
        <v>500</v>
      </c>
      <c r="P1388">
        <v>202605</v>
      </c>
      <c r="Q1388" t="s">
        <v>377</v>
      </c>
      <c r="R1388" t="s">
        <v>1353</v>
      </c>
      <c r="S1388">
        <f>Consulta1[[#This Row],[min_port]]/100</f>
        <v>1.3500000000000002E-2</v>
      </c>
      <c r="T1388" s="252">
        <f>Consulta1[[#This Row],[TETO_COMERCIAL]]/100</f>
        <v>2.4E-2</v>
      </c>
      <c r="U1388" t="b">
        <f>Consulta1[[#This Row],[TETO_COMERCIAL_%]]=Consulta1[[#This Row],[TAXA]]</f>
        <v>0</v>
      </c>
      <c r="V1388" t="str">
        <f>CONCATENATE(Consulta1[[#This Row],[MES_ALTERACAO]],Consulta1[[#This Row],[VIRADA]])</f>
        <v>20260510</v>
      </c>
      <c r="W1388">
        <f>VLOOKUP(Consulta1[[#This Row],[Coluna2]],CALENDARIO!$J:$K,2,FALSE)</f>
        <v>5</v>
      </c>
    </row>
    <row r="1389" spans="1:23" x14ac:dyDescent="0.25">
      <c r="A1389" t="s">
        <v>2532</v>
      </c>
      <c r="B1389" t="str">
        <f>CONCATENATE(Consulta1[[#This Row],[id]],Consulta1[[#This Row],[EMPREGADOR]])</f>
        <v>3PREF TRINDADE</v>
      </c>
      <c r="C1389" s="6">
        <f>IF(A1389=A1388,C1388+1,1)</f>
        <v>3</v>
      </c>
      <c r="D1389" t="s">
        <v>2537</v>
      </c>
      <c r="E1389" s="101">
        <v>0.02</v>
      </c>
      <c r="F1389" s="6">
        <v>96</v>
      </c>
      <c r="G1389" t="s">
        <v>1349</v>
      </c>
      <c r="H1389" s="82">
        <v>2.4</v>
      </c>
      <c r="I1389">
        <v>11</v>
      </c>
      <c r="K1389" t="s">
        <v>2538</v>
      </c>
      <c r="L1389" s="6" t="s">
        <v>1519</v>
      </c>
      <c r="M1389" s="6">
        <v>10</v>
      </c>
      <c r="N1389" s="6">
        <v>2</v>
      </c>
      <c r="O1389">
        <v>500</v>
      </c>
      <c r="P1389">
        <v>202605</v>
      </c>
      <c r="Q1389" t="s">
        <v>377</v>
      </c>
      <c r="R1389" t="s">
        <v>1353</v>
      </c>
      <c r="S1389">
        <f>Consulta1[[#This Row],[min_port]]/100</f>
        <v>1.3500000000000002E-2</v>
      </c>
      <c r="T1389" s="252">
        <f>Consulta1[[#This Row],[TETO_COMERCIAL]]/100</f>
        <v>2.4E-2</v>
      </c>
      <c r="U1389" t="b">
        <f>Consulta1[[#This Row],[TETO_COMERCIAL_%]]=Consulta1[[#This Row],[TAXA]]</f>
        <v>0</v>
      </c>
      <c r="V1389" t="str">
        <f>CONCATENATE(Consulta1[[#This Row],[MES_ALTERACAO]],Consulta1[[#This Row],[VIRADA]])</f>
        <v>20260510</v>
      </c>
      <c r="W1389">
        <f>VLOOKUP(Consulta1[[#This Row],[Coluna2]],CALENDARIO!$J:$K,2,FALSE)</f>
        <v>5</v>
      </c>
    </row>
    <row r="1390" spans="1:23" x14ac:dyDescent="0.25">
      <c r="A1390" t="s">
        <v>265</v>
      </c>
      <c r="B1390" t="str">
        <f>CONCATENATE(Consulta1[[#This Row],[id]],Consulta1[[#This Row],[EMPREGADOR]])</f>
        <v>1PREF UBATUBA</v>
      </c>
      <c r="C1390" s="6">
        <f>IF(A1390=A1389,C1389+1,1)</f>
        <v>1</v>
      </c>
      <c r="D1390" t="s">
        <v>266</v>
      </c>
      <c r="E1390" s="101">
        <v>2.5000000000000001E-2</v>
      </c>
      <c r="F1390" s="6">
        <v>96</v>
      </c>
      <c r="G1390" t="s">
        <v>1349</v>
      </c>
      <c r="H1390" s="82">
        <v>2.5</v>
      </c>
      <c r="I1390">
        <v>15</v>
      </c>
      <c r="J1390">
        <v>57</v>
      </c>
      <c r="K1390" t="s">
        <v>2139</v>
      </c>
      <c r="L1390" s="6" t="s">
        <v>1352</v>
      </c>
      <c r="M1390" s="6">
        <v>10</v>
      </c>
      <c r="N1390" s="6">
        <v>2</v>
      </c>
      <c r="O1390">
        <v>500</v>
      </c>
      <c r="P1390">
        <v>202605</v>
      </c>
      <c r="Q1390" t="s">
        <v>377</v>
      </c>
      <c r="R1390" t="s">
        <v>1353</v>
      </c>
      <c r="S1390">
        <f>Consulta1[[#This Row],[min_port]]/100</f>
        <v>1.7500000000000002E-2</v>
      </c>
      <c r="T1390" s="252">
        <f>Consulta1[[#This Row],[TETO_COMERCIAL]]/100</f>
        <v>2.5000000000000001E-2</v>
      </c>
      <c r="U1390" t="b">
        <f>Consulta1[[#This Row],[TETO_COMERCIAL_%]]=Consulta1[[#This Row],[TAXA]]</f>
        <v>1</v>
      </c>
      <c r="V1390" t="str">
        <f>CONCATENATE(Consulta1[[#This Row],[MES_ALTERACAO]],Consulta1[[#This Row],[VIRADA]])</f>
        <v>20260510</v>
      </c>
      <c r="W1390">
        <f>VLOOKUP(Consulta1[[#This Row],[Coluna2]],CALENDARIO!$J:$K,2,FALSE)</f>
        <v>5</v>
      </c>
    </row>
    <row r="1391" spans="1:23" x14ac:dyDescent="0.25">
      <c r="A1391" t="s">
        <v>265</v>
      </c>
      <c r="B1391" t="str">
        <f>CONCATENATE(Consulta1[[#This Row],[id]],Consulta1[[#This Row],[EMPREGADOR]])</f>
        <v>2PREF UBATUBA</v>
      </c>
      <c r="C1391" s="6">
        <f>IF(A1391=A1390,C1390+1,1)</f>
        <v>2</v>
      </c>
      <c r="D1391" t="s">
        <v>267</v>
      </c>
      <c r="E1391" s="101">
        <v>2.3900000000000001E-2</v>
      </c>
      <c r="F1391" s="6">
        <v>96</v>
      </c>
      <c r="G1391" t="s">
        <v>1349</v>
      </c>
      <c r="H1391" s="82">
        <v>2.5</v>
      </c>
      <c r="I1391">
        <v>15</v>
      </c>
      <c r="J1391">
        <v>57</v>
      </c>
      <c r="K1391" t="s">
        <v>2140</v>
      </c>
      <c r="L1391" s="6" t="s">
        <v>1352</v>
      </c>
      <c r="M1391" s="6">
        <v>10</v>
      </c>
      <c r="N1391" s="6">
        <v>2</v>
      </c>
      <c r="O1391">
        <v>500</v>
      </c>
      <c r="P1391">
        <v>202605</v>
      </c>
      <c r="Q1391" t="s">
        <v>377</v>
      </c>
      <c r="R1391" t="s">
        <v>1353</v>
      </c>
      <c r="S1391">
        <f>Consulta1[[#This Row],[min_port]]/100</f>
        <v>1.7500000000000002E-2</v>
      </c>
      <c r="T1391" s="252">
        <f>Consulta1[[#This Row],[TETO_COMERCIAL]]/100</f>
        <v>2.5000000000000001E-2</v>
      </c>
      <c r="U1391" t="b">
        <f>Consulta1[[#This Row],[TETO_COMERCIAL_%]]=Consulta1[[#This Row],[TAXA]]</f>
        <v>0</v>
      </c>
      <c r="V1391" t="str">
        <f>CONCATENATE(Consulta1[[#This Row],[MES_ALTERACAO]],Consulta1[[#This Row],[VIRADA]])</f>
        <v>20260510</v>
      </c>
      <c r="W1391">
        <f>VLOOKUP(Consulta1[[#This Row],[Coluna2]],CALENDARIO!$J:$K,2,FALSE)</f>
        <v>5</v>
      </c>
    </row>
    <row r="1392" spans="1:23" x14ac:dyDescent="0.25">
      <c r="A1392" t="s">
        <v>265</v>
      </c>
      <c r="B1392" t="str">
        <f>CONCATENATE(Consulta1[[#This Row],[id]],Consulta1[[#This Row],[EMPREGADOR]])</f>
        <v>3PREF UBATUBA</v>
      </c>
      <c r="C1392" s="6">
        <f>IF(A1392=A1391,C1391+1,1)</f>
        <v>3</v>
      </c>
      <c r="D1392" t="s">
        <v>268</v>
      </c>
      <c r="E1392" s="101">
        <v>2.29E-2</v>
      </c>
      <c r="F1392" s="6">
        <v>96</v>
      </c>
      <c r="G1392" t="s">
        <v>1349</v>
      </c>
      <c r="H1392" s="82">
        <v>2.5</v>
      </c>
      <c r="I1392">
        <v>15</v>
      </c>
      <c r="J1392">
        <v>57</v>
      </c>
      <c r="K1392" t="s">
        <v>2141</v>
      </c>
      <c r="L1392" s="6" t="s">
        <v>1352</v>
      </c>
      <c r="M1392" s="6">
        <v>10</v>
      </c>
      <c r="N1392" s="6">
        <v>2</v>
      </c>
      <c r="O1392">
        <v>500</v>
      </c>
      <c r="P1392">
        <v>202605</v>
      </c>
      <c r="Q1392" t="s">
        <v>377</v>
      </c>
      <c r="R1392" t="s">
        <v>1353</v>
      </c>
      <c r="S1392">
        <f>Consulta1[[#This Row],[min_port]]/100</f>
        <v>1.7500000000000002E-2</v>
      </c>
      <c r="T1392" s="252">
        <f>Consulta1[[#This Row],[TETO_COMERCIAL]]/100</f>
        <v>2.5000000000000001E-2</v>
      </c>
      <c r="U1392" t="b">
        <f>Consulta1[[#This Row],[TETO_COMERCIAL_%]]=Consulta1[[#This Row],[TAXA]]</f>
        <v>0</v>
      </c>
      <c r="V1392" t="str">
        <f>CONCATENATE(Consulta1[[#This Row],[MES_ALTERACAO]],Consulta1[[#This Row],[VIRADA]])</f>
        <v>20260510</v>
      </c>
      <c r="W1392">
        <f>VLOOKUP(Consulta1[[#This Row],[Coluna2]],CALENDARIO!$J:$K,2,FALSE)</f>
        <v>5</v>
      </c>
    </row>
    <row r="1393" spans="1:23" x14ac:dyDescent="0.25">
      <c r="A1393" t="s">
        <v>265</v>
      </c>
      <c r="B1393" t="str">
        <f>CONCATENATE(Consulta1[[#This Row],[id]],Consulta1[[#This Row],[EMPREGADOR]])</f>
        <v>4PREF UBATUBA</v>
      </c>
      <c r="C1393" s="6">
        <f>IF(A1393=A1392,C1392+1,1)</f>
        <v>4</v>
      </c>
      <c r="D1393" t="s">
        <v>269</v>
      </c>
      <c r="E1393" s="101">
        <v>2.1899999999999999E-2</v>
      </c>
      <c r="F1393" s="6">
        <v>96</v>
      </c>
      <c r="G1393" t="s">
        <v>1349</v>
      </c>
      <c r="H1393" s="82">
        <v>2.5</v>
      </c>
      <c r="I1393">
        <v>15</v>
      </c>
      <c r="J1393">
        <v>57</v>
      </c>
      <c r="K1393" t="s">
        <v>2142</v>
      </c>
      <c r="L1393" s="6" t="s">
        <v>1352</v>
      </c>
      <c r="M1393" s="6">
        <v>10</v>
      </c>
      <c r="N1393" s="6">
        <v>2</v>
      </c>
      <c r="O1393">
        <v>500</v>
      </c>
      <c r="P1393">
        <v>202605</v>
      </c>
      <c r="Q1393" t="s">
        <v>377</v>
      </c>
      <c r="R1393" t="s">
        <v>1353</v>
      </c>
      <c r="S1393">
        <f>Consulta1[[#This Row],[min_port]]/100</f>
        <v>1.7500000000000002E-2</v>
      </c>
      <c r="T1393" s="252">
        <f>Consulta1[[#This Row],[TETO_COMERCIAL]]/100</f>
        <v>2.5000000000000001E-2</v>
      </c>
      <c r="U1393" t="b">
        <f>Consulta1[[#This Row],[TETO_COMERCIAL_%]]=Consulta1[[#This Row],[TAXA]]</f>
        <v>0</v>
      </c>
      <c r="V1393" t="str">
        <f>CONCATENATE(Consulta1[[#This Row],[MES_ALTERACAO]],Consulta1[[#This Row],[VIRADA]])</f>
        <v>20260510</v>
      </c>
      <c r="W1393">
        <f>VLOOKUP(Consulta1[[#This Row],[Coluna2]],CALENDARIO!$J:$K,2,FALSE)</f>
        <v>5</v>
      </c>
    </row>
    <row r="1394" spans="1:23" x14ac:dyDescent="0.25">
      <c r="A1394" t="s">
        <v>265</v>
      </c>
      <c r="B1394" t="str">
        <f>CONCATENATE(Consulta1[[#This Row],[id]],Consulta1[[#This Row],[EMPREGADOR]])</f>
        <v>5PREF UBATUBA</v>
      </c>
      <c r="C1394" s="6">
        <f>IF(A1394=A1393,C1393+1,1)</f>
        <v>5</v>
      </c>
      <c r="D1394" t="s">
        <v>472</v>
      </c>
      <c r="E1394" s="101">
        <v>2.12E-2</v>
      </c>
      <c r="F1394" s="6">
        <v>96</v>
      </c>
      <c r="G1394" t="s">
        <v>1349</v>
      </c>
      <c r="H1394" s="82">
        <v>2.5</v>
      </c>
      <c r="I1394">
        <v>15</v>
      </c>
      <c r="J1394">
        <v>57</v>
      </c>
      <c r="K1394" t="s">
        <v>2143</v>
      </c>
      <c r="L1394" s="6" t="s">
        <v>1352</v>
      </c>
      <c r="M1394" s="6">
        <v>10</v>
      </c>
      <c r="N1394" s="6">
        <v>2</v>
      </c>
      <c r="O1394">
        <v>500</v>
      </c>
      <c r="P1394">
        <v>202605</v>
      </c>
      <c r="Q1394" t="s">
        <v>377</v>
      </c>
      <c r="R1394" t="s">
        <v>1353</v>
      </c>
      <c r="S1394">
        <f>Consulta1[[#This Row],[min_port]]/100</f>
        <v>1.7500000000000002E-2</v>
      </c>
      <c r="T1394" s="252">
        <f>Consulta1[[#This Row],[TETO_COMERCIAL]]/100</f>
        <v>2.5000000000000001E-2</v>
      </c>
      <c r="U1394" t="b">
        <f>Consulta1[[#This Row],[TETO_COMERCIAL_%]]=Consulta1[[#This Row],[TAXA]]</f>
        <v>0</v>
      </c>
      <c r="V1394" t="str">
        <f>CONCATENATE(Consulta1[[#This Row],[MES_ALTERACAO]],Consulta1[[#This Row],[VIRADA]])</f>
        <v>20260510</v>
      </c>
      <c r="W1394">
        <f>VLOOKUP(Consulta1[[#This Row],[Coluna2]],CALENDARIO!$J:$K,2,FALSE)</f>
        <v>5</v>
      </c>
    </row>
    <row r="1395" spans="1:23" x14ac:dyDescent="0.25">
      <c r="A1395" t="s">
        <v>1108</v>
      </c>
      <c r="B1395" t="str">
        <f>CONCATENATE(Consulta1[[#This Row],[id]],Consulta1[[#This Row],[EMPREGADOR]])</f>
        <v>1PREF UBERABA</v>
      </c>
      <c r="C1395" s="6">
        <f>IF(A1395=A1394,C1394+1,1)</f>
        <v>1</v>
      </c>
      <c r="D1395" t="s">
        <v>1109</v>
      </c>
      <c r="E1395" s="101">
        <v>2.2000000000000002E-2</v>
      </c>
      <c r="F1395" s="6">
        <v>120</v>
      </c>
      <c r="G1395" t="s">
        <v>1349</v>
      </c>
      <c r="H1395" s="82">
        <v>2.35</v>
      </c>
      <c r="I1395">
        <v>28</v>
      </c>
      <c r="J1395">
        <v>67</v>
      </c>
      <c r="K1395" t="s">
        <v>2144</v>
      </c>
      <c r="L1395" s="6" t="s">
        <v>1374</v>
      </c>
      <c r="M1395" s="6">
        <v>10</v>
      </c>
      <c r="N1395" s="6">
        <v>2</v>
      </c>
      <c r="O1395">
        <v>500</v>
      </c>
      <c r="P1395">
        <v>202605</v>
      </c>
      <c r="Q1395" t="s">
        <v>377</v>
      </c>
      <c r="R1395" t="s">
        <v>1353</v>
      </c>
      <c r="S1395">
        <f>Consulta1[[#This Row],[min_port]]/100</f>
        <v>1.4999999999999999E-2</v>
      </c>
      <c r="T1395" s="252">
        <f>Consulta1[[#This Row],[TETO_COMERCIAL]]/100</f>
        <v>2.35E-2</v>
      </c>
      <c r="U1395" t="b">
        <f>Consulta1[[#This Row],[TETO_COMERCIAL_%]]=Consulta1[[#This Row],[TAXA]]</f>
        <v>0</v>
      </c>
      <c r="V1395" t="str">
        <f>CONCATENATE(Consulta1[[#This Row],[MES_ALTERACAO]],Consulta1[[#This Row],[VIRADA]])</f>
        <v>20260510</v>
      </c>
      <c r="W1395">
        <f>VLOOKUP(Consulta1[[#This Row],[Coluna2]],CALENDARIO!$J:$K,2,FALSE)</f>
        <v>5</v>
      </c>
    </row>
    <row r="1396" spans="1:23" x14ac:dyDescent="0.25">
      <c r="A1396" t="s">
        <v>1108</v>
      </c>
      <c r="B1396" t="str">
        <f>CONCATENATE(Consulta1[[#This Row],[id]],Consulta1[[#This Row],[EMPREGADOR]])</f>
        <v>2PREF UBERABA</v>
      </c>
      <c r="C1396" s="6">
        <f>IF(A1396=A1395,C1395+1,1)</f>
        <v>2</v>
      </c>
      <c r="D1396" t="s">
        <v>1110</v>
      </c>
      <c r="E1396" s="101">
        <v>2.1000000000000001E-2</v>
      </c>
      <c r="F1396" s="6">
        <v>120</v>
      </c>
      <c r="G1396" t="s">
        <v>1349</v>
      </c>
      <c r="H1396" s="82">
        <v>2.35</v>
      </c>
      <c r="I1396">
        <v>28</v>
      </c>
      <c r="J1396">
        <v>75</v>
      </c>
      <c r="K1396" t="s">
        <v>2145</v>
      </c>
      <c r="L1396" s="6" t="s">
        <v>1374</v>
      </c>
      <c r="M1396" s="6">
        <v>10</v>
      </c>
      <c r="N1396" s="6">
        <v>2</v>
      </c>
      <c r="O1396">
        <v>500</v>
      </c>
      <c r="P1396">
        <v>202605</v>
      </c>
      <c r="Q1396" t="s">
        <v>377</v>
      </c>
      <c r="R1396" t="s">
        <v>1353</v>
      </c>
      <c r="S1396">
        <f>Consulta1[[#This Row],[min_port]]/100</f>
        <v>1.4999999999999999E-2</v>
      </c>
      <c r="T1396" s="252">
        <f>Consulta1[[#This Row],[TETO_COMERCIAL]]/100</f>
        <v>2.35E-2</v>
      </c>
      <c r="U1396" t="b">
        <f>Consulta1[[#This Row],[TETO_COMERCIAL_%]]=Consulta1[[#This Row],[TAXA]]</f>
        <v>0</v>
      </c>
      <c r="V1396" t="str">
        <f>CONCATENATE(Consulta1[[#This Row],[MES_ALTERACAO]],Consulta1[[#This Row],[VIRADA]])</f>
        <v>20260510</v>
      </c>
      <c r="W1396">
        <f>VLOOKUP(Consulta1[[#This Row],[Coluna2]],CALENDARIO!$J:$K,2,FALSE)</f>
        <v>5</v>
      </c>
    </row>
    <row r="1397" spans="1:23" x14ac:dyDescent="0.25">
      <c r="A1397" t="s">
        <v>1108</v>
      </c>
      <c r="B1397" t="str">
        <f>CONCATENATE(Consulta1[[#This Row],[id]],Consulta1[[#This Row],[EMPREGADOR]])</f>
        <v>3PREF UBERABA</v>
      </c>
      <c r="C1397" s="6">
        <f>IF(A1397=A1396,C1396+1,1)</f>
        <v>3</v>
      </c>
      <c r="D1397" t="s">
        <v>1111</v>
      </c>
      <c r="E1397" s="101">
        <v>0.02</v>
      </c>
      <c r="F1397" s="6">
        <v>120</v>
      </c>
      <c r="G1397" t="s">
        <v>1349</v>
      </c>
      <c r="H1397" s="82">
        <v>2.35</v>
      </c>
      <c r="I1397">
        <v>28</v>
      </c>
      <c r="J1397">
        <v>72</v>
      </c>
      <c r="K1397" t="s">
        <v>2146</v>
      </c>
      <c r="L1397" s="6" t="s">
        <v>1374</v>
      </c>
      <c r="M1397" s="6">
        <v>10</v>
      </c>
      <c r="N1397" s="6">
        <v>2</v>
      </c>
      <c r="O1397">
        <v>500</v>
      </c>
      <c r="P1397">
        <v>202605</v>
      </c>
      <c r="Q1397" t="s">
        <v>377</v>
      </c>
      <c r="R1397" t="s">
        <v>1353</v>
      </c>
      <c r="S1397">
        <f>Consulta1[[#This Row],[min_port]]/100</f>
        <v>1.4999999999999999E-2</v>
      </c>
      <c r="T1397" s="252">
        <f>Consulta1[[#This Row],[TETO_COMERCIAL]]/100</f>
        <v>2.35E-2</v>
      </c>
      <c r="U1397" t="b">
        <f>Consulta1[[#This Row],[TETO_COMERCIAL_%]]=Consulta1[[#This Row],[TAXA]]</f>
        <v>0</v>
      </c>
      <c r="V1397" t="str">
        <f>CONCATENATE(Consulta1[[#This Row],[MES_ALTERACAO]],Consulta1[[#This Row],[VIRADA]])</f>
        <v>20260510</v>
      </c>
      <c r="W1397">
        <f>VLOOKUP(Consulta1[[#This Row],[Coluna2]],CALENDARIO!$J:$K,2,FALSE)</f>
        <v>5</v>
      </c>
    </row>
    <row r="1398" spans="1:23" x14ac:dyDescent="0.25">
      <c r="A1398" t="s">
        <v>989</v>
      </c>
      <c r="B1398" t="str">
        <f>CONCATENATE(Consulta1[[#This Row],[id]],Consulta1[[#This Row],[EMPREGADOR]])</f>
        <v>1PREF UBERLANDIA</v>
      </c>
      <c r="C1398" s="6">
        <f>IF(A1398=A1397,C1397+1,1)</f>
        <v>1</v>
      </c>
      <c r="D1398" t="s">
        <v>990</v>
      </c>
      <c r="E1398" s="101">
        <v>2.07E-2</v>
      </c>
      <c r="F1398" s="6">
        <v>120</v>
      </c>
      <c r="G1398" t="s">
        <v>1349</v>
      </c>
      <c r="H1398" s="82">
        <v>2.25</v>
      </c>
      <c r="I1398">
        <v>25</v>
      </c>
      <c r="J1398">
        <v>57</v>
      </c>
      <c r="K1398" t="s">
        <v>2147</v>
      </c>
      <c r="L1398" s="6" t="s">
        <v>1374</v>
      </c>
      <c r="M1398" s="6">
        <v>15</v>
      </c>
      <c r="N1398" s="6">
        <v>2</v>
      </c>
      <c r="O1398">
        <v>500</v>
      </c>
      <c r="P1398">
        <v>202605</v>
      </c>
      <c r="Q1398" t="s">
        <v>377</v>
      </c>
      <c r="R1398" t="s">
        <v>1353</v>
      </c>
      <c r="S1398">
        <f>Consulta1[[#This Row],[min_port]]/100</f>
        <v>1.4999999999999999E-2</v>
      </c>
      <c r="T1398" s="252">
        <f>Consulta1[[#This Row],[TETO_COMERCIAL]]/100</f>
        <v>2.2499999999999999E-2</v>
      </c>
      <c r="U1398" t="b">
        <f>Consulta1[[#This Row],[TETO_COMERCIAL_%]]=Consulta1[[#This Row],[TAXA]]</f>
        <v>0</v>
      </c>
      <c r="V1398" t="str">
        <f>CONCATENATE(Consulta1[[#This Row],[MES_ALTERACAO]],Consulta1[[#This Row],[VIRADA]])</f>
        <v>20260515</v>
      </c>
      <c r="W1398">
        <f>VLOOKUP(Consulta1[[#This Row],[Coluna2]],CALENDARIO!$J:$K,2,FALSE)</f>
        <v>10</v>
      </c>
    </row>
    <row r="1399" spans="1:23" x14ac:dyDescent="0.25">
      <c r="A1399" t="s">
        <v>989</v>
      </c>
      <c r="B1399" t="str">
        <f>CONCATENATE(Consulta1[[#This Row],[id]],Consulta1[[#This Row],[EMPREGADOR]])</f>
        <v>2PREF UBERLANDIA</v>
      </c>
      <c r="C1399" s="6">
        <f>IF(A1399=A1398,C1398+1,1)</f>
        <v>2</v>
      </c>
      <c r="D1399" t="s">
        <v>991</v>
      </c>
      <c r="E1399" s="101">
        <v>1.9699999999999999E-2</v>
      </c>
      <c r="F1399" s="6">
        <v>120</v>
      </c>
      <c r="G1399" t="s">
        <v>1349</v>
      </c>
      <c r="H1399" s="82">
        <v>2.25</v>
      </c>
      <c r="I1399">
        <v>25</v>
      </c>
      <c r="J1399">
        <v>57</v>
      </c>
      <c r="K1399" t="s">
        <v>2148</v>
      </c>
      <c r="L1399" s="6" t="s">
        <v>1374</v>
      </c>
      <c r="M1399" s="6">
        <v>15</v>
      </c>
      <c r="N1399" s="6">
        <v>2</v>
      </c>
      <c r="O1399">
        <v>500</v>
      </c>
      <c r="P1399">
        <v>202605</v>
      </c>
      <c r="Q1399" t="s">
        <v>377</v>
      </c>
      <c r="R1399" t="s">
        <v>1353</v>
      </c>
      <c r="S1399">
        <f>Consulta1[[#This Row],[min_port]]/100</f>
        <v>1.4999999999999999E-2</v>
      </c>
      <c r="T1399" s="252">
        <f>Consulta1[[#This Row],[TETO_COMERCIAL]]/100</f>
        <v>2.2499999999999999E-2</v>
      </c>
      <c r="U1399" t="b">
        <f>Consulta1[[#This Row],[TETO_COMERCIAL_%]]=Consulta1[[#This Row],[TAXA]]</f>
        <v>0</v>
      </c>
      <c r="V1399" t="str">
        <f>CONCATENATE(Consulta1[[#This Row],[MES_ALTERACAO]],Consulta1[[#This Row],[VIRADA]])</f>
        <v>20260515</v>
      </c>
      <c r="W1399">
        <f>VLOOKUP(Consulta1[[#This Row],[Coluna2]],CALENDARIO!$J:$K,2,FALSE)</f>
        <v>10</v>
      </c>
    </row>
    <row r="1400" spans="1:23" x14ac:dyDescent="0.25">
      <c r="A1400" t="s">
        <v>989</v>
      </c>
      <c r="B1400" t="str">
        <f>CONCATENATE(Consulta1[[#This Row],[id]],Consulta1[[#This Row],[EMPREGADOR]])</f>
        <v>3PREF UBERLANDIA</v>
      </c>
      <c r="C1400" s="6">
        <f>IF(A1400=A1399,C1399+1,1)</f>
        <v>3</v>
      </c>
      <c r="D1400" t="s">
        <v>992</v>
      </c>
      <c r="E1400" s="101">
        <v>1.9E-2</v>
      </c>
      <c r="F1400" s="6">
        <v>120</v>
      </c>
      <c r="G1400" t="s">
        <v>1349</v>
      </c>
      <c r="H1400" s="82">
        <v>2.25</v>
      </c>
      <c r="I1400">
        <v>25</v>
      </c>
      <c r="J1400">
        <v>53</v>
      </c>
      <c r="K1400" t="s">
        <v>2149</v>
      </c>
      <c r="L1400" s="6" t="s">
        <v>1374</v>
      </c>
      <c r="M1400" s="6">
        <v>15</v>
      </c>
      <c r="N1400" s="6">
        <v>2</v>
      </c>
      <c r="O1400">
        <v>500</v>
      </c>
      <c r="P1400">
        <v>202605</v>
      </c>
      <c r="Q1400" t="s">
        <v>377</v>
      </c>
      <c r="R1400" t="s">
        <v>1353</v>
      </c>
      <c r="S1400">
        <f>Consulta1[[#This Row],[min_port]]/100</f>
        <v>1.4999999999999999E-2</v>
      </c>
      <c r="T1400" s="252">
        <f>Consulta1[[#This Row],[TETO_COMERCIAL]]/100</f>
        <v>2.2499999999999999E-2</v>
      </c>
      <c r="U1400" t="b">
        <f>Consulta1[[#This Row],[TETO_COMERCIAL_%]]=Consulta1[[#This Row],[TAXA]]</f>
        <v>0</v>
      </c>
      <c r="V1400" t="str">
        <f>CONCATENATE(Consulta1[[#This Row],[MES_ALTERACAO]],Consulta1[[#This Row],[VIRADA]])</f>
        <v>20260515</v>
      </c>
      <c r="W1400">
        <f>VLOOKUP(Consulta1[[#This Row],[Coluna2]],CALENDARIO!$J:$K,2,FALSE)</f>
        <v>10</v>
      </c>
    </row>
    <row r="1401" spans="1:23" x14ac:dyDescent="0.25">
      <c r="A1401" t="s">
        <v>558</v>
      </c>
      <c r="B1401" t="str">
        <f>CONCATENATE(Consulta1[[#This Row],[id]],Consulta1[[#This Row],[EMPREGADOR]])</f>
        <v>1PREF V GRANDE</v>
      </c>
      <c r="C1401" s="6">
        <f>IF(A1401=A1400,C1400+1,1)</f>
        <v>1</v>
      </c>
      <c r="D1401" t="s">
        <v>559</v>
      </c>
      <c r="E1401" s="101">
        <v>2.5000000000000001E-2</v>
      </c>
      <c r="F1401" s="6">
        <v>96</v>
      </c>
      <c r="G1401" t="s">
        <v>1349</v>
      </c>
      <c r="H1401" s="82">
        <v>2.5</v>
      </c>
      <c r="I1401">
        <v>10</v>
      </c>
      <c r="J1401">
        <v>46</v>
      </c>
      <c r="K1401" t="s">
        <v>2150</v>
      </c>
      <c r="L1401" s="6" t="s">
        <v>1381</v>
      </c>
      <c r="M1401" s="6">
        <v>10</v>
      </c>
      <c r="N1401" s="6">
        <v>2</v>
      </c>
      <c r="O1401">
        <v>500</v>
      </c>
      <c r="P1401">
        <v>202605</v>
      </c>
      <c r="Q1401" t="s">
        <v>377</v>
      </c>
      <c r="R1401" t="s">
        <v>1350</v>
      </c>
      <c r="S1401">
        <f>Consulta1[[#This Row],[min_port]]/100</f>
        <v>1.3999999999999999E-2</v>
      </c>
      <c r="T1401" s="252">
        <f>Consulta1[[#This Row],[TETO_COMERCIAL]]/100</f>
        <v>2.5000000000000001E-2</v>
      </c>
      <c r="U1401" t="b">
        <f>Consulta1[[#This Row],[TETO_COMERCIAL_%]]=Consulta1[[#This Row],[TAXA]]</f>
        <v>1</v>
      </c>
      <c r="V1401" t="str">
        <f>CONCATENATE(Consulta1[[#This Row],[MES_ALTERACAO]],Consulta1[[#This Row],[VIRADA]])</f>
        <v>20260510</v>
      </c>
      <c r="W1401">
        <f>VLOOKUP(Consulta1[[#This Row],[Coluna2]],CALENDARIO!$J:$K,2,FALSE)</f>
        <v>5</v>
      </c>
    </row>
    <row r="1402" spans="1:23" x14ac:dyDescent="0.25">
      <c r="A1402" t="s">
        <v>558</v>
      </c>
      <c r="B1402" t="str">
        <f>CONCATENATE(Consulta1[[#This Row],[id]],Consulta1[[#This Row],[EMPREGADOR]])</f>
        <v>2PREF V GRANDE</v>
      </c>
      <c r="C1402" s="6">
        <f>IF(A1402=A1401,C1401+1,1)</f>
        <v>2</v>
      </c>
      <c r="D1402" t="s">
        <v>560</v>
      </c>
      <c r="E1402" s="101">
        <v>2.2499999999999999E-2</v>
      </c>
      <c r="F1402" s="6">
        <v>96</v>
      </c>
      <c r="G1402" t="s">
        <v>1349</v>
      </c>
      <c r="H1402" s="82">
        <v>2.5</v>
      </c>
      <c r="I1402">
        <v>10</v>
      </c>
      <c r="K1402" t="s">
        <v>2151</v>
      </c>
      <c r="L1402" s="6" t="s">
        <v>1381</v>
      </c>
      <c r="M1402" s="6">
        <v>10</v>
      </c>
      <c r="N1402" s="6">
        <v>2</v>
      </c>
      <c r="O1402">
        <v>500</v>
      </c>
      <c r="P1402">
        <v>202605</v>
      </c>
      <c r="Q1402" t="s">
        <v>377</v>
      </c>
      <c r="R1402" t="s">
        <v>1350</v>
      </c>
      <c r="S1402">
        <f>Consulta1[[#This Row],[min_port]]/100</f>
        <v>1.3999999999999999E-2</v>
      </c>
      <c r="T1402" s="252">
        <f>Consulta1[[#This Row],[TETO_COMERCIAL]]/100</f>
        <v>2.5000000000000001E-2</v>
      </c>
      <c r="U1402" t="b">
        <f>Consulta1[[#This Row],[TETO_COMERCIAL_%]]=Consulta1[[#This Row],[TAXA]]</f>
        <v>0</v>
      </c>
      <c r="V1402" t="str">
        <f>CONCATENATE(Consulta1[[#This Row],[MES_ALTERACAO]],Consulta1[[#This Row],[VIRADA]])</f>
        <v>20260510</v>
      </c>
      <c r="W1402">
        <f>VLOOKUP(Consulta1[[#This Row],[Coluna2]],CALENDARIO!$J:$K,2,FALSE)</f>
        <v>5</v>
      </c>
    </row>
    <row r="1403" spans="1:23" x14ac:dyDescent="0.25">
      <c r="A1403" t="s">
        <v>558</v>
      </c>
      <c r="B1403" t="str">
        <f>CONCATENATE(Consulta1[[#This Row],[id]],Consulta1[[#This Row],[EMPREGADOR]])</f>
        <v>3PREF V GRANDE</v>
      </c>
      <c r="C1403" s="6">
        <f>IF(A1403=A1402,C1402+1,1)</f>
        <v>3</v>
      </c>
      <c r="D1403" t="s">
        <v>1337</v>
      </c>
      <c r="E1403" s="101">
        <v>2.2000000000000002E-2</v>
      </c>
      <c r="F1403" s="6">
        <v>96</v>
      </c>
      <c r="G1403" t="s">
        <v>1349</v>
      </c>
      <c r="H1403" s="82">
        <v>2.5</v>
      </c>
      <c r="I1403">
        <v>10</v>
      </c>
      <c r="K1403" t="s">
        <v>2152</v>
      </c>
      <c r="L1403" s="6" t="s">
        <v>1381</v>
      </c>
      <c r="M1403" s="6">
        <v>10</v>
      </c>
      <c r="N1403" s="6">
        <v>2</v>
      </c>
      <c r="O1403">
        <v>500</v>
      </c>
      <c r="P1403">
        <v>202605</v>
      </c>
      <c r="Q1403" t="s">
        <v>377</v>
      </c>
      <c r="R1403" t="s">
        <v>1350</v>
      </c>
      <c r="S1403">
        <f>Consulta1[[#This Row],[min_port]]/100</f>
        <v>1.3999999999999999E-2</v>
      </c>
      <c r="T1403" s="252">
        <f>Consulta1[[#This Row],[TETO_COMERCIAL]]/100</f>
        <v>2.5000000000000001E-2</v>
      </c>
      <c r="U1403" t="b">
        <f>Consulta1[[#This Row],[TETO_COMERCIAL_%]]=Consulta1[[#This Row],[TAXA]]</f>
        <v>0</v>
      </c>
      <c r="V1403" t="str">
        <f>CONCATENATE(Consulta1[[#This Row],[MES_ALTERACAO]],Consulta1[[#This Row],[VIRADA]])</f>
        <v>20260510</v>
      </c>
      <c r="W1403">
        <f>VLOOKUP(Consulta1[[#This Row],[Coluna2]],CALENDARIO!$J:$K,2,FALSE)</f>
        <v>5</v>
      </c>
    </row>
    <row r="1404" spans="1:23" x14ac:dyDescent="0.25">
      <c r="A1404" t="s">
        <v>558</v>
      </c>
      <c r="B1404" t="str">
        <f>CONCATENATE(Consulta1[[#This Row],[id]],Consulta1[[#This Row],[EMPREGADOR]])</f>
        <v>4PREF V GRANDE</v>
      </c>
      <c r="C1404" s="6">
        <f>IF(A1404=A1403,C1403+1,1)</f>
        <v>4</v>
      </c>
      <c r="D1404" t="s">
        <v>1338</v>
      </c>
      <c r="E1404" s="101">
        <v>2.12E-2</v>
      </c>
      <c r="F1404" s="6">
        <v>96</v>
      </c>
      <c r="G1404" t="s">
        <v>1349</v>
      </c>
      <c r="H1404" s="82">
        <v>2.5</v>
      </c>
      <c r="I1404">
        <v>10</v>
      </c>
      <c r="K1404" t="s">
        <v>2153</v>
      </c>
      <c r="L1404" s="6" t="s">
        <v>1381</v>
      </c>
      <c r="M1404" s="6">
        <v>10</v>
      </c>
      <c r="N1404" s="6">
        <v>2</v>
      </c>
      <c r="O1404">
        <v>500</v>
      </c>
      <c r="P1404">
        <v>202605</v>
      </c>
      <c r="Q1404" t="s">
        <v>377</v>
      </c>
      <c r="R1404" t="s">
        <v>1350</v>
      </c>
      <c r="S1404">
        <f>Consulta1[[#This Row],[min_port]]/100</f>
        <v>1.3999999999999999E-2</v>
      </c>
      <c r="T1404" s="252">
        <f>Consulta1[[#This Row],[TETO_COMERCIAL]]/100</f>
        <v>2.5000000000000001E-2</v>
      </c>
      <c r="U1404" t="b">
        <f>Consulta1[[#This Row],[TETO_COMERCIAL_%]]=Consulta1[[#This Row],[TAXA]]</f>
        <v>0</v>
      </c>
      <c r="V1404" t="str">
        <f>CONCATENATE(Consulta1[[#This Row],[MES_ALTERACAO]],Consulta1[[#This Row],[VIRADA]])</f>
        <v>20260510</v>
      </c>
      <c r="W1404">
        <f>VLOOKUP(Consulta1[[#This Row],[Coluna2]],CALENDARIO!$J:$K,2,FALSE)</f>
        <v>5</v>
      </c>
    </row>
    <row r="1405" spans="1:23" x14ac:dyDescent="0.25">
      <c r="A1405" t="s">
        <v>558</v>
      </c>
      <c r="B1405" t="str">
        <f>CONCATENATE(Consulta1[[#This Row],[id]],Consulta1[[#This Row],[EMPREGADOR]])</f>
        <v>5PREF V GRANDE</v>
      </c>
      <c r="C1405" s="6">
        <f>IF(A1405=A1404,C1404+1,1)</f>
        <v>5</v>
      </c>
      <c r="D1405" t="s">
        <v>1339</v>
      </c>
      <c r="E1405" s="101">
        <v>0.02</v>
      </c>
      <c r="F1405" s="6">
        <v>96</v>
      </c>
      <c r="G1405" t="s">
        <v>1349</v>
      </c>
      <c r="H1405" s="82">
        <v>2.5</v>
      </c>
      <c r="I1405">
        <v>10</v>
      </c>
      <c r="K1405" t="s">
        <v>2154</v>
      </c>
      <c r="L1405" s="6" t="s">
        <v>1381</v>
      </c>
      <c r="M1405" s="6">
        <v>10</v>
      </c>
      <c r="N1405" s="6">
        <v>2</v>
      </c>
      <c r="O1405">
        <v>500</v>
      </c>
      <c r="P1405">
        <v>202605</v>
      </c>
      <c r="Q1405" t="s">
        <v>377</v>
      </c>
      <c r="R1405" t="s">
        <v>1350</v>
      </c>
      <c r="S1405">
        <f>Consulta1[[#This Row],[min_port]]/100</f>
        <v>1.3999999999999999E-2</v>
      </c>
      <c r="T1405" s="252">
        <f>Consulta1[[#This Row],[TETO_COMERCIAL]]/100</f>
        <v>2.5000000000000001E-2</v>
      </c>
      <c r="U1405" t="b">
        <f>Consulta1[[#This Row],[TETO_COMERCIAL_%]]=Consulta1[[#This Row],[TAXA]]</f>
        <v>0</v>
      </c>
      <c r="V1405" t="str">
        <f>CONCATENATE(Consulta1[[#This Row],[MES_ALTERACAO]],Consulta1[[#This Row],[VIRADA]])</f>
        <v>20260510</v>
      </c>
      <c r="W1405">
        <f>VLOOKUP(Consulta1[[#This Row],[Coluna2]],CALENDARIO!$J:$K,2,FALSE)</f>
        <v>5</v>
      </c>
    </row>
    <row r="1406" spans="1:23" x14ac:dyDescent="0.25">
      <c r="A1406" t="s">
        <v>558</v>
      </c>
      <c r="B1406" t="str">
        <f>CONCATENATE(Consulta1[[#This Row],[id]],Consulta1[[#This Row],[EMPREGADOR]])</f>
        <v>6PREF V GRANDE</v>
      </c>
      <c r="C1406" s="6">
        <f>IF(A1406=A1405,C1405+1,1)</f>
        <v>6</v>
      </c>
      <c r="D1406" t="s">
        <v>1340</v>
      </c>
      <c r="E1406" s="101">
        <v>1.95E-2</v>
      </c>
      <c r="F1406" s="6">
        <v>96</v>
      </c>
      <c r="G1406" t="s">
        <v>1349</v>
      </c>
      <c r="H1406" s="82">
        <v>2.5</v>
      </c>
      <c r="I1406">
        <v>10</v>
      </c>
      <c r="K1406" t="s">
        <v>2155</v>
      </c>
      <c r="L1406" s="6" t="s">
        <v>1381</v>
      </c>
      <c r="M1406" s="6">
        <v>10</v>
      </c>
      <c r="N1406" s="6">
        <v>2</v>
      </c>
      <c r="O1406">
        <v>500</v>
      </c>
      <c r="P1406">
        <v>202605</v>
      </c>
      <c r="Q1406" t="s">
        <v>377</v>
      </c>
      <c r="R1406" t="s">
        <v>1350</v>
      </c>
      <c r="S1406">
        <f>Consulta1[[#This Row],[min_port]]/100</f>
        <v>1.3999999999999999E-2</v>
      </c>
      <c r="T1406" s="252">
        <f>Consulta1[[#This Row],[TETO_COMERCIAL]]/100</f>
        <v>2.5000000000000001E-2</v>
      </c>
      <c r="U1406" t="b">
        <f>Consulta1[[#This Row],[TETO_COMERCIAL_%]]=Consulta1[[#This Row],[TAXA]]</f>
        <v>0</v>
      </c>
      <c r="V1406" t="str">
        <f>CONCATENATE(Consulta1[[#This Row],[MES_ALTERACAO]],Consulta1[[#This Row],[VIRADA]])</f>
        <v>20260510</v>
      </c>
      <c r="W1406">
        <f>VLOOKUP(Consulta1[[#This Row],[Coluna2]],CALENDARIO!$J:$K,2,FALSE)</f>
        <v>5</v>
      </c>
    </row>
    <row r="1407" spans="1:23" x14ac:dyDescent="0.25">
      <c r="A1407" t="s">
        <v>3673</v>
      </c>
      <c r="B1407" t="str">
        <f>CONCATENATE(Consulta1[[#This Row],[id]],Consulta1[[#This Row],[EMPREGADOR]])</f>
        <v>1PREF VALPARAISO</v>
      </c>
      <c r="C1407" s="6">
        <f>IF(A1407=A1406,C1406+1,1)</f>
        <v>1</v>
      </c>
      <c r="D1407" t="s">
        <v>3744</v>
      </c>
      <c r="E1407" s="101">
        <v>2.5000000000000001E-2</v>
      </c>
      <c r="F1407" s="6">
        <v>96</v>
      </c>
      <c r="G1407" t="s">
        <v>1349</v>
      </c>
      <c r="H1407" s="82">
        <v>2.5</v>
      </c>
      <c r="I1407">
        <v>15</v>
      </c>
      <c r="J1407">
        <v>46</v>
      </c>
      <c r="K1407" t="s">
        <v>3745</v>
      </c>
      <c r="L1407" s="6" t="s">
        <v>1605</v>
      </c>
      <c r="M1407" s="6">
        <v>15</v>
      </c>
      <c r="N1407" s="6">
        <v>2</v>
      </c>
      <c r="O1407">
        <v>500</v>
      </c>
      <c r="P1407">
        <v>202605</v>
      </c>
      <c r="Q1407" t="s">
        <v>377</v>
      </c>
      <c r="R1407" t="s">
        <v>1353</v>
      </c>
      <c r="S1407">
        <f>Consulta1[[#This Row],[min_port]]/100</f>
        <v>1.43E-2</v>
      </c>
      <c r="T1407" s="252">
        <f>Consulta1[[#This Row],[TETO_COMERCIAL]]/100</f>
        <v>2.5000000000000001E-2</v>
      </c>
      <c r="U1407" t="b">
        <f>Consulta1[[#This Row],[TETO_COMERCIAL_%]]=Consulta1[[#This Row],[TAXA]]</f>
        <v>1</v>
      </c>
      <c r="V1407" t="str">
        <f>CONCATENATE(Consulta1[[#This Row],[MES_ALTERACAO]],Consulta1[[#This Row],[VIRADA]])</f>
        <v>20260515</v>
      </c>
      <c r="W1407">
        <f>VLOOKUP(Consulta1[[#This Row],[Coluna2]],CALENDARIO!$J:$K,2,FALSE)</f>
        <v>10</v>
      </c>
    </row>
    <row r="1408" spans="1:23" x14ac:dyDescent="0.25">
      <c r="A1408" t="s">
        <v>3673</v>
      </c>
      <c r="B1408" t="str">
        <f>CONCATENATE(Consulta1[[#This Row],[id]],Consulta1[[#This Row],[EMPREGADOR]])</f>
        <v>2PREF VALPARAISO</v>
      </c>
      <c r="C1408" s="6">
        <f>IF(A1408=A1407,C1407+1,1)</f>
        <v>2</v>
      </c>
      <c r="D1408" t="s">
        <v>3746</v>
      </c>
      <c r="E1408" s="101">
        <v>2.3E-2</v>
      </c>
      <c r="F1408" s="6">
        <v>96</v>
      </c>
      <c r="G1408" t="s">
        <v>1349</v>
      </c>
      <c r="H1408" s="82">
        <v>2.5</v>
      </c>
      <c r="I1408">
        <v>15</v>
      </c>
      <c r="K1408" t="s">
        <v>3747</v>
      </c>
      <c r="L1408" s="6" t="s">
        <v>1605</v>
      </c>
      <c r="M1408" s="6">
        <v>15</v>
      </c>
      <c r="N1408" s="6">
        <v>2</v>
      </c>
      <c r="O1408">
        <v>500</v>
      </c>
      <c r="P1408">
        <v>202605</v>
      </c>
      <c r="Q1408" t="s">
        <v>377</v>
      </c>
      <c r="R1408" t="s">
        <v>1353</v>
      </c>
      <c r="S1408">
        <f>Consulta1[[#This Row],[min_port]]/100</f>
        <v>1.43E-2</v>
      </c>
      <c r="T1408" s="252">
        <f>Consulta1[[#This Row],[TETO_COMERCIAL]]/100</f>
        <v>2.5000000000000001E-2</v>
      </c>
      <c r="U1408" t="b">
        <f>Consulta1[[#This Row],[TETO_COMERCIAL_%]]=Consulta1[[#This Row],[TAXA]]</f>
        <v>0</v>
      </c>
      <c r="V1408" t="str">
        <f>CONCATENATE(Consulta1[[#This Row],[MES_ALTERACAO]],Consulta1[[#This Row],[VIRADA]])</f>
        <v>20260515</v>
      </c>
      <c r="W1408">
        <f>VLOOKUP(Consulta1[[#This Row],[Coluna2]],CALENDARIO!$J:$K,2,FALSE)</f>
        <v>10</v>
      </c>
    </row>
    <row r="1409" spans="1:23" x14ac:dyDescent="0.25">
      <c r="A1409" t="s">
        <v>3673</v>
      </c>
      <c r="B1409" t="str">
        <f>CONCATENATE(Consulta1[[#This Row],[id]],Consulta1[[#This Row],[EMPREGADOR]])</f>
        <v>3PREF VALPARAISO</v>
      </c>
      <c r="C1409" s="6">
        <f>IF(A1409=A1408,C1408+1,1)</f>
        <v>3</v>
      </c>
      <c r="D1409" t="s">
        <v>3793</v>
      </c>
      <c r="E1409" s="101">
        <v>2.2499999999999999E-2</v>
      </c>
      <c r="F1409" s="6">
        <v>96</v>
      </c>
      <c r="G1409" t="s">
        <v>1349</v>
      </c>
      <c r="H1409" s="82">
        <v>2.5</v>
      </c>
      <c r="I1409">
        <v>15</v>
      </c>
      <c r="J1409">
        <v>48</v>
      </c>
      <c r="K1409" t="s">
        <v>3794</v>
      </c>
      <c r="L1409" s="6" t="s">
        <v>1605</v>
      </c>
      <c r="M1409" s="6">
        <v>15</v>
      </c>
      <c r="N1409" s="6">
        <v>2</v>
      </c>
      <c r="O1409">
        <v>500</v>
      </c>
      <c r="P1409">
        <v>202605</v>
      </c>
      <c r="Q1409" t="s">
        <v>377</v>
      </c>
      <c r="R1409" t="s">
        <v>1353</v>
      </c>
      <c r="S1409">
        <f>Consulta1[[#This Row],[min_port]]/100</f>
        <v>1.43E-2</v>
      </c>
      <c r="T1409" s="252">
        <f>Consulta1[[#This Row],[TETO_COMERCIAL]]/100</f>
        <v>2.5000000000000001E-2</v>
      </c>
      <c r="U1409" t="b">
        <f>Consulta1[[#This Row],[TETO_COMERCIAL_%]]=Consulta1[[#This Row],[TAXA]]</f>
        <v>0</v>
      </c>
      <c r="V1409" t="str">
        <f>CONCATENATE(Consulta1[[#This Row],[MES_ALTERACAO]],Consulta1[[#This Row],[VIRADA]])</f>
        <v>20260515</v>
      </c>
      <c r="W1409">
        <f>VLOOKUP(Consulta1[[#This Row],[Coluna2]],CALENDARIO!$J:$K,2,FALSE)</f>
        <v>10</v>
      </c>
    </row>
    <row r="1410" spans="1:23" x14ac:dyDescent="0.25">
      <c r="A1410" t="s">
        <v>3673</v>
      </c>
      <c r="B1410" t="str">
        <f>CONCATENATE(Consulta1[[#This Row],[id]],Consulta1[[#This Row],[EMPREGADOR]])</f>
        <v>4PREF VALPARAISO</v>
      </c>
      <c r="C1410" s="6">
        <f>IF(A1410=A1409,C1409+1,1)</f>
        <v>4</v>
      </c>
      <c r="D1410" t="s">
        <v>3795</v>
      </c>
      <c r="E1410" s="101">
        <v>2.2000000000000002E-2</v>
      </c>
      <c r="F1410" s="6">
        <v>96</v>
      </c>
      <c r="G1410" t="s">
        <v>1349</v>
      </c>
      <c r="H1410" s="82">
        <v>2.5</v>
      </c>
      <c r="I1410">
        <v>15</v>
      </c>
      <c r="K1410" t="s">
        <v>3796</v>
      </c>
      <c r="L1410" s="6" t="s">
        <v>1605</v>
      </c>
      <c r="M1410" s="6">
        <v>15</v>
      </c>
      <c r="N1410" s="6">
        <v>2</v>
      </c>
      <c r="O1410">
        <v>500</v>
      </c>
      <c r="P1410">
        <v>202605</v>
      </c>
      <c r="Q1410" t="s">
        <v>377</v>
      </c>
      <c r="R1410" t="s">
        <v>1353</v>
      </c>
      <c r="S1410">
        <f>Consulta1[[#This Row],[min_port]]/100</f>
        <v>1.43E-2</v>
      </c>
      <c r="T1410" s="252">
        <f>Consulta1[[#This Row],[TETO_COMERCIAL]]/100</f>
        <v>2.5000000000000001E-2</v>
      </c>
      <c r="U1410" t="b">
        <f>Consulta1[[#This Row],[TETO_COMERCIAL_%]]=Consulta1[[#This Row],[TAXA]]</f>
        <v>0</v>
      </c>
      <c r="V1410" t="str">
        <f>CONCATENATE(Consulta1[[#This Row],[MES_ALTERACAO]],Consulta1[[#This Row],[VIRADA]])</f>
        <v>20260515</v>
      </c>
      <c r="W1410">
        <f>VLOOKUP(Consulta1[[#This Row],[Coluna2]],CALENDARIO!$J:$K,2,FALSE)</f>
        <v>10</v>
      </c>
    </row>
    <row r="1411" spans="1:23" x14ac:dyDescent="0.25">
      <c r="A1411" t="s">
        <v>3673</v>
      </c>
      <c r="B1411" t="str">
        <f>CONCATENATE(Consulta1[[#This Row],[id]],Consulta1[[#This Row],[EMPREGADOR]])</f>
        <v>5PREF VALPARAISO</v>
      </c>
      <c r="C1411" s="6">
        <f>IF(A1411=A1410,C1410+1,1)</f>
        <v>5</v>
      </c>
      <c r="D1411" t="s">
        <v>3797</v>
      </c>
      <c r="E1411" s="101">
        <v>2.1499999999999998E-2</v>
      </c>
      <c r="F1411" s="6">
        <v>96</v>
      </c>
      <c r="G1411" t="s">
        <v>1349</v>
      </c>
      <c r="H1411" s="82">
        <v>2.5</v>
      </c>
      <c r="I1411">
        <v>15</v>
      </c>
      <c r="K1411" t="s">
        <v>3798</v>
      </c>
      <c r="L1411" s="6" t="s">
        <v>1605</v>
      </c>
      <c r="M1411" s="6">
        <v>15</v>
      </c>
      <c r="N1411" s="6">
        <v>2</v>
      </c>
      <c r="O1411">
        <v>500</v>
      </c>
      <c r="P1411">
        <v>202605</v>
      </c>
      <c r="Q1411" t="s">
        <v>377</v>
      </c>
      <c r="R1411" t="s">
        <v>1353</v>
      </c>
      <c r="S1411">
        <f>Consulta1[[#This Row],[min_port]]/100</f>
        <v>1.43E-2</v>
      </c>
      <c r="T1411" s="252">
        <f>Consulta1[[#This Row],[TETO_COMERCIAL]]/100</f>
        <v>2.5000000000000001E-2</v>
      </c>
      <c r="U1411" t="b">
        <f>Consulta1[[#This Row],[TETO_COMERCIAL_%]]=Consulta1[[#This Row],[TAXA]]</f>
        <v>0</v>
      </c>
      <c r="V1411" t="str">
        <f>CONCATENATE(Consulta1[[#This Row],[MES_ALTERACAO]],Consulta1[[#This Row],[VIRADA]])</f>
        <v>20260515</v>
      </c>
      <c r="W1411">
        <f>VLOOKUP(Consulta1[[#This Row],[Coluna2]],CALENDARIO!$J:$K,2,FALSE)</f>
        <v>10</v>
      </c>
    </row>
    <row r="1412" spans="1:23" x14ac:dyDescent="0.25">
      <c r="A1412" t="s">
        <v>3673</v>
      </c>
      <c r="B1412" t="str">
        <f>CONCATENATE(Consulta1[[#This Row],[id]],Consulta1[[#This Row],[EMPREGADOR]])</f>
        <v>6PREF VALPARAISO</v>
      </c>
      <c r="C1412" s="6">
        <f>IF(A1412=A1411,C1411+1,1)</f>
        <v>6</v>
      </c>
      <c r="D1412" t="s">
        <v>3799</v>
      </c>
      <c r="E1412" s="101">
        <v>2.1499999999999998E-2</v>
      </c>
      <c r="F1412" s="6">
        <v>96</v>
      </c>
      <c r="G1412" t="s">
        <v>1349</v>
      </c>
      <c r="H1412" s="82">
        <v>2.5</v>
      </c>
      <c r="I1412">
        <v>15</v>
      </c>
      <c r="K1412" t="s">
        <v>3800</v>
      </c>
      <c r="L1412" s="6" t="s">
        <v>1605</v>
      </c>
      <c r="M1412" s="6">
        <v>15</v>
      </c>
      <c r="N1412" s="6">
        <v>2</v>
      </c>
      <c r="O1412">
        <v>500</v>
      </c>
      <c r="P1412">
        <v>202605</v>
      </c>
      <c r="Q1412" t="s">
        <v>377</v>
      </c>
      <c r="R1412" t="s">
        <v>1353</v>
      </c>
      <c r="S1412">
        <f>Consulta1[[#This Row],[min_port]]/100</f>
        <v>1.43E-2</v>
      </c>
      <c r="T1412" s="252">
        <f>Consulta1[[#This Row],[TETO_COMERCIAL]]/100</f>
        <v>2.5000000000000001E-2</v>
      </c>
      <c r="U1412" t="b">
        <f>Consulta1[[#This Row],[TETO_COMERCIAL_%]]=Consulta1[[#This Row],[TAXA]]</f>
        <v>0</v>
      </c>
      <c r="V1412" t="str">
        <f>CONCATENATE(Consulta1[[#This Row],[MES_ALTERACAO]],Consulta1[[#This Row],[VIRADA]])</f>
        <v>20260515</v>
      </c>
      <c r="W1412">
        <f>VLOOKUP(Consulta1[[#This Row],[Coluna2]],CALENDARIO!$J:$K,2,FALSE)</f>
        <v>10</v>
      </c>
    </row>
    <row r="1413" spans="1:23" x14ac:dyDescent="0.25">
      <c r="A1413" t="s">
        <v>3673</v>
      </c>
      <c r="B1413" t="str">
        <f>CONCATENATE(Consulta1[[#This Row],[id]],Consulta1[[#This Row],[EMPREGADOR]])</f>
        <v>7PREF VALPARAISO</v>
      </c>
      <c r="C1413" s="6">
        <f>IF(A1413=A1412,C1412+1,1)</f>
        <v>7</v>
      </c>
      <c r="D1413" t="s">
        <v>3801</v>
      </c>
      <c r="E1413" s="101">
        <v>2.1000000000000001E-2</v>
      </c>
      <c r="F1413" s="6">
        <v>96</v>
      </c>
      <c r="G1413" t="s">
        <v>1349</v>
      </c>
      <c r="H1413" s="82">
        <v>2.5</v>
      </c>
      <c r="I1413">
        <v>15</v>
      </c>
      <c r="K1413" t="s">
        <v>3802</v>
      </c>
      <c r="L1413" s="6" t="s">
        <v>1605</v>
      </c>
      <c r="M1413" s="6">
        <v>15</v>
      </c>
      <c r="N1413" s="6">
        <v>2</v>
      </c>
      <c r="O1413">
        <v>500</v>
      </c>
      <c r="P1413">
        <v>202605</v>
      </c>
      <c r="Q1413" t="s">
        <v>377</v>
      </c>
      <c r="R1413" t="s">
        <v>1353</v>
      </c>
      <c r="S1413">
        <f>Consulta1[[#This Row],[min_port]]/100</f>
        <v>1.43E-2</v>
      </c>
      <c r="T1413" s="252">
        <f>Consulta1[[#This Row],[TETO_COMERCIAL]]/100</f>
        <v>2.5000000000000001E-2</v>
      </c>
      <c r="U1413" t="b">
        <f>Consulta1[[#This Row],[TETO_COMERCIAL_%]]=Consulta1[[#This Row],[TAXA]]</f>
        <v>0</v>
      </c>
      <c r="V1413" t="str">
        <f>CONCATENATE(Consulta1[[#This Row],[MES_ALTERACAO]],Consulta1[[#This Row],[VIRADA]])</f>
        <v>20260515</v>
      </c>
      <c r="W1413">
        <f>VLOOKUP(Consulta1[[#This Row],[Coluna2]],CALENDARIO!$J:$K,2,FALSE)</f>
        <v>10</v>
      </c>
    </row>
    <row r="1414" spans="1:23" x14ac:dyDescent="0.25">
      <c r="A1414" t="s">
        <v>3673</v>
      </c>
      <c r="B1414" t="str">
        <f>CONCATENATE(Consulta1[[#This Row],[id]],Consulta1[[#This Row],[EMPREGADOR]])</f>
        <v>8PREF VALPARAISO</v>
      </c>
      <c r="C1414" s="6">
        <f>IF(A1414=A1413,C1413+1,1)</f>
        <v>8</v>
      </c>
      <c r="D1414" t="s">
        <v>3803</v>
      </c>
      <c r="E1414" s="101">
        <v>2.0499999999999997E-2</v>
      </c>
      <c r="F1414" s="6">
        <v>96</v>
      </c>
      <c r="G1414" t="s">
        <v>1349</v>
      </c>
      <c r="H1414" s="82">
        <v>2.5</v>
      </c>
      <c r="I1414">
        <v>15</v>
      </c>
      <c r="K1414" t="s">
        <v>3804</v>
      </c>
      <c r="L1414" s="6" t="s">
        <v>1605</v>
      </c>
      <c r="M1414" s="6">
        <v>15</v>
      </c>
      <c r="N1414" s="6">
        <v>2</v>
      </c>
      <c r="O1414">
        <v>500</v>
      </c>
      <c r="P1414">
        <v>202605</v>
      </c>
      <c r="Q1414" t="s">
        <v>377</v>
      </c>
      <c r="R1414" t="s">
        <v>1353</v>
      </c>
      <c r="S1414">
        <f>Consulta1[[#This Row],[min_port]]/100</f>
        <v>1.43E-2</v>
      </c>
      <c r="T1414" s="252">
        <f>Consulta1[[#This Row],[TETO_COMERCIAL]]/100</f>
        <v>2.5000000000000001E-2</v>
      </c>
      <c r="U1414" t="b">
        <f>Consulta1[[#This Row],[TETO_COMERCIAL_%]]=Consulta1[[#This Row],[TAXA]]</f>
        <v>0</v>
      </c>
      <c r="V1414" t="str">
        <f>CONCATENATE(Consulta1[[#This Row],[MES_ALTERACAO]],Consulta1[[#This Row],[VIRADA]])</f>
        <v>20260515</v>
      </c>
      <c r="W1414">
        <f>VLOOKUP(Consulta1[[#This Row],[Coluna2]],CALENDARIO!$J:$K,2,FALSE)</f>
        <v>10</v>
      </c>
    </row>
    <row r="1415" spans="1:23" x14ac:dyDescent="0.25">
      <c r="A1415" t="s">
        <v>3673</v>
      </c>
      <c r="B1415" t="str">
        <f>CONCATENATE(Consulta1[[#This Row],[id]],Consulta1[[#This Row],[EMPREGADOR]])</f>
        <v>9PREF VALPARAISO</v>
      </c>
      <c r="C1415" s="6">
        <f>IF(A1415=A1414,C1414+1,1)</f>
        <v>9</v>
      </c>
      <c r="D1415" t="s">
        <v>3805</v>
      </c>
      <c r="E1415" s="101">
        <v>0.02</v>
      </c>
      <c r="F1415" s="6">
        <v>96</v>
      </c>
      <c r="G1415" t="s">
        <v>1349</v>
      </c>
      <c r="H1415" s="82">
        <v>2.5</v>
      </c>
      <c r="I1415">
        <v>15</v>
      </c>
      <c r="K1415" t="s">
        <v>3806</v>
      </c>
      <c r="L1415" s="6" t="s">
        <v>1605</v>
      </c>
      <c r="M1415" s="6">
        <v>15</v>
      </c>
      <c r="N1415" s="6">
        <v>2</v>
      </c>
      <c r="O1415">
        <v>500</v>
      </c>
      <c r="P1415">
        <v>202605</v>
      </c>
      <c r="Q1415" t="s">
        <v>377</v>
      </c>
      <c r="R1415" t="s">
        <v>1353</v>
      </c>
      <c r="S1415">
        <f>Consulta1[[#This Row],[min_port]]/100</f>
        <v>1.43E-2</v>
      </c>
      <c r="T1415" s="252">
        <f>Consulta1[[#This Row],[TETO_COMERCIAL]]/100</f>
        <v>2.5000000000000001E-2</v>
      </c>
      <c r="U1415" t="b">
        <f>Consulta1[[#This Row],[TETO_COMERCIAL_%]]=Consulta1[[#This Row],[TAXA]]</f>
        <v>0</v>
      </c>
      <c r="V1415" t="str">
        <f>CONCATENATE(Consulta1[[#This Row],[MES_ALTERACAO]],Consulta1[[#This Row],[VIRADA]])</f>
        <v>20260515</v>
      </c>
      <c r="W1415">
        <f>VLOOKUP(Consulta1[[#This Row],[Coluna2]],CALENDARIO!$J:$K,2,FALSE)</f>
        <v>10</v>
      </c>
    </row>
    <row r="1416" spans="1:23" x14ac:dyDescent="0.25">
      <c r="A1416" t="s">
        <v>3673</v>
      </c>
      <c r="B1416" t="str">
        <f>CONCATENATE(Consulta1[[#This Row],[id]],Consulta1[[#This Row],[EMPREGADOR]])</f>
        <v>10PREF VALPARAISO</v>
      </c>
      <c r="C1416" s="6">
        <f>IF(A1416=A1415,C1415+1,1)</f>
        <v>10</v>
      </c>
      <c r="D1416" t="s">
        <v>3807</v>
      </c>
      <c r="E1416" s="101">
        <v>1.95E-2</v>
      </c>
      <c r="F1416" s="6">
        <v>96</v>
      </c>
      <c r="G1416" t="s">
        <v>1349</v>
      </c>
      <c r="H1416" s="82">
        <v>2.5</v>
      </c>
      <c r="I1416">
        <v>15</v>
      </c>
      <c r="K1416" t="s">
        <v>3808</v>
      </c>
      <c r="L1416" s="6" t="s">
        <v>1605</v>
      </c>
      <c r="M1416" s="6">
        <v>15</v>
      </c>
      <c r="N1416" s="6">
        <v>2</v>
      </c>
      <c r="O1416">
        <v>500</v>
      </c>
      <c r="P1416">
        <v>202605</v>
      </c>
      <c r="Q1416" t="s">
        <v>377</v>
      </c>
      <c r="R1416" t="s">
        <v>1353</v>
      </c>
      <c r="S1416">
        <f>Consulta1[[#This Row],[min_port]]/100</f>
        <v>1.43E-2</v>
      </c>
      <c r="T1416" s="252">
        <f>Consulta1[[#This Row],[TETO_COMERCIAL]]/100</f>
        <v>2.5000000000000001E-2</v>
      </c>
      <c r="U1416" t="b">
        <f>Consulta1[[#This Row],[TETO_COMERCIAL_%]]=Consulta1[[#This Row],[TAXA]]</f>
        <v>0</v>
      </c>
      <c r="V1416" t="str">
        <f>CONCATENATE(Consulta1[[#This Row],[MES_ALTERACAO]],Consulta1[[#This Row],[VIRADA]])</f>
        <v>20260515</v>
      </c>
      <c r="W1416">
        <f>VLOOKUP(Consulta1[[#This Row],[Coluna2]],CALENDARIO!$J:$K,2,FALSE)</f>
        <v>10</v>
      </c>
    </row>
    <row r="1417" spans="1:23" x14ac:dyDescent="0.25">
      <c r="A1417" t="s">
        <v>3673</v>
      </c>
      <c r="B1417" t="str">
        <f>CONCATENATE(Consulta1[[#This Row],[id]],Consulta1[[#This Row],[EMPREGADOR]])</f>
        <v>11PREF VALPARAISO</v>
      </c>
      <c r="C1417" s="6">
        <f>IF(A1417=A1416,C1416+1,1)</f>
        <v>11</v>
      </c>
      <c r="D1417" t="s">
        <v>3809</v>
      </c>
      <c r="E1417" s="101">
        <v>1.9E-2</v>
      </c>
      <c r="F1417" s="6">
        <v>96</v>
      </c>
      <c r="G1417" t="s">
        <v>1349</v>
      </c>
      <c r="H1417" s="82">
        <v>2.5</v>
      </c>
      <c r="I1417">
        <v>15</v>
      </c>
      <c r="K1417" t="s">
        <v>3810</v>
      </c>
      <c r="L1417" s="6" t="s">
        <v>1605</v>
      </c>
      <c r="M1417" s="6">
        <v>15</v>
      </c>
      <c r="N1417" s="6">
        <v>2</v>
      </c>
      <c r="O1417">
        <v>500</v>
      </c>
      <c r="P1417">
        <v>202605</v>
      </c>
      <c r="Q1417" t="s">
        <v>377</v>
      </c>
      <c r="R1417" t="s">
        <v>1353</v>
      </c>
      <c r="S1417">
        <f>Consulta1[[#This Row],[min_port]]/100</f>
        <v>1.43E-2</v>
      </c>
      <c r="T1417" s="252">
        <f>Consulta1[[#This Row],[TETO_COMERCIAL]]/100</f>
        <v>2.5000000000000001E-2</v>
      </c>
      <c r="U1417" t="b">
        <f>Consulta1[[#This Row],[TETO_COMERCIAL_%]]=Consulta1[[#This Row],[TAXA]]</f>
        <v>0</v>
      </c>
      <c r="V1417" t="str">
        <f>CONCATENATE(Consulta1[[#This Row],[MES_ALTERACAO]],Consulta1[[#This Row],[VIRADA]])</f>
        <v>20260515</v>
      </c>
      <c r="W1417">
        <f>VLOOKUP(Consulta1[[#This Row],[Coluna2]],CALENDARIO!$J:$K,2,FALSE)</f>
        <v>10</v>
      </c>
    </row>
    <row r="1418" spans="1:23" x14ac:dyDescent="0.25">
      <c r="A1418" t="s">
        <v>3673</v>
      </c>
      <c r="B1418" t="str">
        <f>CONCATENATE(Consulta1[[#This Row],[id]],Consulta1[[#This Row],[EMPREGADOR]])</f>
        <v>12PREF VALPARAISO</v>
      </c>
      <c r="C1418" s="6">
        <f>IF(A1418=A1417,C1417+1,1)</f>
        <v>12</v>
      </c>
      <c r="D1418" t="s">
        <v>3811</v>
      </c>
      <c r="E1418" s="101">
        <v>1.8500000000000003E-2</v>
      </c>
      <c r="F1418" s="6">
        <v>96</v>
      </c>
      <c r="G1418" t="s">
        <v>1349</v>
      </c>
      <c r="H1418" s="82">
        <v>2.5</v>
      </c>
      <c r="I1418">
        <v>15</v>
      </c>
      <c r="K1418" t="s">
        <v>3812</v>
      </c>
      <c r="L1418" s="6" t="s">
        <v>1605</v>
      </c>
      <c r="M1418" s="6">
        <v>15</v>
      </c>
      <c r="N1418" s="6">
        <v>2</v>
      </c>
      <c r="O1418">
        <v>500</v>
      </c>
      <c r="P1418">
        <v>202605</v>
      </c>
      <c r="Q1418" t="s">
        <v>377</v>
      </c>
      <c r="R1418" t="s">
        <v>1353</v>
      </c>
      <c r="S1418">
        <f>Consulta1[[#This Row],[min_port]]/100</f>
        <v>1.43E-2</v>
      </c>
      <c r="T1418" s="252">
        <f>Consulta1[[#This Row],[TETO_COMERCIAL]]/100</f>
        <v>2.5000000000000001E-2</v>
      </c>
      <c r="U1418" t="b">
        <f>Consulta1[[#This Row],[TETO_COMERCIAL_%]]=Consulta1[[#This Row],[TAXA]]</f>
        <v>0</v>
      </c>
      <c r="V1418" t="str">
        <f>CONCATENATE(Consulta1[[#This Row],[MES_ALTERACAO]],Consulta1[[#This Row],[VIRADA]])</f>
        <v>20260515</v>
      </c>
      <c r="W1418">
        <f>VLOOKUP(Consulta1[[#This Row],[Coluna2]],CALENDARIO!$J:$K,2,FALSE)</f>
        <v>10</v>
      </c>
    </row>
    <row r="1419" spans="1:23" x14ac:dyDescent="0.25">
      <c r="A1419" t="s">
        <v>3673</v>
      </c>
      <c r="B1419" t="str">
        <f>CONCATENATE(Consulta1[[#This Row],[id]],Consulta1[[#This Row],[EMPREGADOR]])</f>
        <v>13PREF VALPARAISO</v>
      </c>
      <c r="C1419" s="6">
        <f>IF(A1419=A1418,C1418+1,1)</f>
        <v>13</v>
      </c>
      <c r="D1419" t="s">
        <v>3813</v>
      </c>
      <c r="E1419" s="101">
        <v>1.8000000000000002E-2</v>
      </c>
      <c r="F1419" s="6">
        <v>96</v>
      </c>
      <c r="G1419" t="s">
        <v>1349</v>
      </c>
      <c r="H1419" s="82">
        <v>2.5</v>
      </c>
      <c r="I1419">
        <v>15</v>
      </c>
      <c r="K1419" t="s">
        <v>3814</v>
      </c>
      <c r="L1419" s="6" t="s">
        <v>1605</v>
      </c>
      <c r="M1419" s="6">
        <v>15</v>
      </c>
      <c r="N1419" s="6">
        <v>2</v>
      </c>
      <c r="O1419">
        <v>500</v>
      </c>
      <c r="P1419">
        <v>202605</v>
      </c>
      <c r="Q1419" t="s">
        <v>377</v>
      </c>
      <c r="R1419" t="s">
        <v>1353</v>
      </c>
      <c r="S1419">
        <f>Consulta1[[#This Row],[min_port]]/100</f>
        <v>1.43E-2</v>
      </c>
      <c r="T1419" s="252">
        <f>Consulta1[[#This Row],[TETO_COMERCIAL]]/100</f>
        <v>2.5000000000000001E-2</v>
      </c>
      <c r="U1419" t="b">
        <f>Consulta1[[#This Row],[TETO_COMERCIAL_%]]=Consulta1[[#This Row],[TAXA]]</f>
        <v>0</v>
      </c>
      <c r="V1419" t="str">
        <f>CONCATENATE(Consulta1[[#This Row],[MES_ALTERACAO]],Consulta1[[#This Row],[VIRADA]])</f>
        <v>20260515</v>
      </c>
      <c r="W1419">
        <f>VLOOKUP(Consulta1[[#This Row],[Coluna2]],CALENDARIO!$J:$K,2,FALSE)</f>
        <v>10</v>
      </c>
    </row>
    <row r="1420" spans="1:23" x14ac:dyDescent="0.25">
      <c r="A1420" t="s">
        <v>981</v>
      </c>
      <c r="B1420" t="str">
        <f>CONCATENATE(Consulta1[[#This Row],[id]],Consulta1[[#This Row],[EMPREGADOR]])</f>
        <v>1PREF VERA CRUZ</v>
      </c>
      <c r="C1420" s="6">
        <f>IF(A1420=A1419,C1419+1,1)</f>
        <v>1</v>
      </c>
      <c r="D1420" t="s">
        <v>982</v>
      </c>
      <c r="E1420" s="101">
        <v>2.5000000000000001E-2</v>
      </c>
      <c r="F1420" s="6">
        <v>120</v>
      </c>
      <c r="G1420" t="s">
        <v>1349</v>
      </c>
      <c r="H1420" s="82">
        <v>2.5</v>
      </c>
      <c r="I1420">
        <v>11</v>
      </c>
      <c r="K1420" t="s">
        <v>2156</v>
      </c>
      <c r="L1420" s="6" t="s">
        <v>1671</v>
      </c>
      <c r="M1420" s="6">
        <v>15</v>
      </c>
      <c r="N1420" s="6">
        <v>2</v>
      </c>
      <c r="O1420">
        <v>500</v>
      </c>
      <c r="P1420">
        <v>202605</v>
      </c>
      <c r="Q1420" t="s">
        <v>377</v>
      </c>
      <c r="R1420" t="s">
        <v>1350</v>
      </c>
      <c r="S1420">
        <f>Consulta1[[#This Row],[min_port]]/100</f>
        <v>1.52E-2</v>
      </c>
      <c r="T1420" s="252">
        <f>Consulta1[[#This Row],[TETO_COMERCIAL]]/100</f>
        <v>2.5000000000000001E-2</v>
      </c>
      <c r="U1420" t="b">
        <f>Consulta1[[#This Row],[TETO_COMERCIAL_%]]=Consulta1[[#This Row],[TAXA]]</f>
        <v>1</v>
      </c>
      <c r="V1420" t="str">
        <f>CONCATENATE(Consulta1[[#This Row],[MES_ALTERACAO]],Consulta1[[#This Row],[VIRADA]])</f>
        <v>20260515</v>
      </c>
      <c r="W1420">
        <f>VLOOKUP(Consulta1[[#This Row],[Coluna2]],CALENDARIO!$J:$K,2,FALSE)</f>
        <v>10</v>
      </c>
    </row>
    <row r="1421" spans="1:23" x14ac:dyDescent="0.25">
      <c r="A1421" t="s">
        <v>981</v>
      </c>
      <c r="B1421" t="str">
        <f>CONCATENATE(Consulta1[[#This Row],[id]],Consulta1[[#This Row],[EMPREGADOR]])</f>
        <v>2PREF VERA CRUZ</v>
      </c>
      <c r="C1421" s="6">
        <f>IF(A1421=A1420,C1420+1,1)</f>
        <v>2</v>
      </c>
      <c r="D1421" t="s">
        <v>983</v>
      </c>
      <c r="E1421" s="101">
        <v>2.1099999999999997E-2</v>
      </c>
      <c r="F1421" s="6">
        <v>120</v>
      </c>
      <c r="G1421" t="s">
        <v>1349</v>
      </c>
      <c r="H1421" s="82">
        <v>2.5</v>
      </c>
      <c r="I1421">
        <v>11</v>
      </c>
      <c r="K1421" t="s">
        <v>2157</v>
      </c>
      <c r="L1421" s="6" t="s">
        <v>1671</v>
      </c>
      <c r="M1421" s="6">
        <v>15</v>
      </c>
      <c r="N1421" s="6">
        <v>2</v>
      </c>
      <c r="O1421">
        <v>500</v>
      </c>
      <c r="P1421">
        <v>202605</v>
      </c>
      <c r="Q1421" t="s">
        <v>377</v>
      </c>
      <c r="R1421" t="s">
        <v>1350</v>
      </c>
      <c r="S1421">
        <f>Consulta1[[#This Row],[min_port]]/100</f>
        <v>1.52E-2</v>
      </c>
      <c r="T1421" s="252">
        <f>Consulta1[[#This Row],[TETO_COMERCIAL]]/100</f>
        <v>2.5000000000000001E-2</v>
      </c>
      <c r="U1421" t="b">
        <f>Consulta1[[#This Row],[TETO_COMERCIAL_%]]=Consulta1[[#This Row],[TAXA]]</f>
        <v>0</v>
      </c>
      <c r="V1421" t="str">
        <f>CONCATENATE(Consulta1[[#This Row],[MES_ALTERACAO]],Consulta1[[#This Row],[VIRADA]])</f>
        <v>20260515</v>
      </c>
      <c r="W1421">
        <f>VLOOKUP(Consulta1[[#This Row],[Coluna2]],CALENDARIO!$J:$K,2,FALSE)</f>
        <v>10</v>
      </c>
    </row>
    <row r="1422" spans="1:23" x14ac:dyDescent="0.25">
      <c r="A1422" t="s">
        <v>981</v>
      </c>
      <c r="B1422" t="str">
        <f>CONCATENATE(Consulta1[[#This Row],[id]],Consulta1[[#This Row],[EMPREGADOR]])</f>
        <v>3PREF VERA CRUZ</v>
      </c>
      <c r="C1422" s="6">
        <f>IF(A1422=A1421,C1421+1,1)</f>
        <v>3</v>
      </c>
      <c r="D1422" t="s">
        <v>984</v>
      </c>
      <c r="E1422" s="101">
        <v>2.0499999999999997E-2</v>
      </c>
      <c r="F1422" s="6">
        <v>120</v>
      </c>
      <c r="G1422" t="s">
        <v>1349</v>
      </c>
      <c r="H1422" s="82">
        <v>2.5</v>
      </c>
      <c r="I1422">
        <v>11</v>
      </c>
      <c r="K1422" t="s">
        <v>2158</v>
      </c>
      <c r="L1422" s="6" t="s">
        <v>1671</v>
      </c>
      <c r="M1422" s="6">
        <v>15</v>
      </c>
      <c r="N1422" s="6">
        <v>2</v>
      </c>
      <c r="O1422">
        <v>500</v>
      </c>
      <c r="P1422">
        <v>202605</v>
      </c>
      <c r="Q1422" t="s">
        <v>377</v>
      </c>
      <c r="R1422" t="s">
        <v>1350</v>
      </c>
      <c r="S1422">
        <f>Consulta1[[#This Row],[min_port]]/100</f>
        <v>1.52E-2</v>
      </c>
      <c r="T1422" s="252">
        <f>Consulta1[[#This Row],[TETO_COMERCIAL]]/100</f>
        <v>2.5000000000000001E-2</v>
      </c>
      <c r="U1422" t="b">
        <f>Consulta1[[#This Row],[TETO_COMERCIAL_%]]=Consulta1[[#This Row],[TAXA]]</f>
        <v>0</v>
      </c>
      <c r="V1422" t="str">
        <f>CONCATENATE(Consulta1[[#This Row],[MES_ALTERACAO]],Consulta1[[#This Row],[VIRADA]])</f>
        <v>20260515</v>
      </c>
      <c r="W1422">
        <f>VLOOKUP(Consulta1[[#This Row],[Coluna2]],CALENDARIO!$J:$K,2,FALSE)</f>
        <v>10</v>
      </c>
    </row>
    <row r="1423" spans="1:23" x14ac:dyDescent="0.25">
      <c r="A1423" t="s">
        <v>981</v>
      </c>
      <c r="B1423" t="str">
        <f>CONCATENATE(Consulta1[[#This Row],[id]],Consulta1[[#This Row],[EMPREGADOR]])</f>
        <v>4PREF VERA CRUZ</v>
      </c>
      <c r="C1423" s="6">
        <f>IF(A1423=A1422,C1422+1,1)</f>
        <v>4</v>
      </c>
      <c r="D1423" t="s">
        <v>985</v>
      </c>
      <c r="E1423" s="101">
        <v>1.9900000000000001E-2</v>
      </c>
      <c r="F1423" s="6">
        <v>120</v>
      </c>
      <c r="G1423" t="s">
        <v>1349</v>
      </c>
      <c r="H1423" s="82">
        <v>2.5</v>
      </c>
      <c r="I1423">
        <v>11</v>
      </c>
      <c r="K1423" t="s">
        <v>2159</v>
      </c>
      <c r="L1423" s="6" t="s">
        <v>1671</v>
      </c>
      <c r="M1423" s="6">
        <v>15</v>
      </c>
      <c r="N1423" s="6">
        <v>2</v>
      </c>
      <c r="O1423">
        <v>500</v>
      </c>
      <c r="P1423">
        <v>202605</v>
      </c>
      <c r="Q1423" t="s">
        <v>377</v>
      </c>
      <c r="R1423" t="s">
        <v>1350</v>
      </c>
      <c r="S1423">
        <f>Consulta1[[#This Row],[min_port]]/100</f>
        <v>1.52E-2</v>
      </c>
      <c r="T1423" s="252">
        <f>Consulta1[[#This Row],[TETO_COMERCIAL]]/100</f>
        <v>2.5000000000000001E-2</v>
      </c>
      <c r="U1423" t="b">
        <f>Consulta1[[#This Row],[TETO_COMERCIAL_%]]=Consulta1[[#This Row],[TAXA]]</f>
        <v>0</v>
      </c>
      <c r="V1423" t="str">
        <f>CONCATENATE(Consulta1[[#This Row],[MES_ALTERACAO]],Consulta1[[#This Row],[VIRADA]])</f>
        <v>20260515</v>
      </c>
      <c r="W1423">
        <f>VLOOKUP(Consulta1[[#This Row],[Coluna2]],CALENDARIO!$J:$K,2,FALSE)</f>
        <v>10</v>
      </c>
    </row>
    <row r="1424" spans="1:23" x14ac:dyDescent="0.25">
      <c r="A1424" t="s">
        <v>2539</v>
      </c>
      <c r="B1424" t="str">
        <f>CONCATENATE(Consulta1[[#This Row],[id]],Consulta1[[#This Row],[EMPREGADOR]])</f>
        <v>1PREF VIAMAO</v>
      </c>
      <c r="C1424" s="6">
        <f>IF(A1424=A1423,C1423+1,1)</f>
        <v>1</v>
      </c>
      <c r="D1424" t="s">
        <v>2540</v>
      </c>
      <c r="E1424" s="101">
        <v>1.8500000000000003E-2</v>
      </c>
      <c r="F1424" s="6">
        <v>120</v>
      </c>
      <c r="G1424" t="s">
        <v>1349</v>
      </c>
      <c r="H1424" s="82">
        <v>1.85</v>
      </c>
      <c r="I1424">
        <v>10</v>
      </c>
      <c r="K1424" t="s">
        <v>2576</v>
      </c>
      <c r="L1424" s="6" t="s">
        <v>1494</v>
      </c>
      <c r="M1424" s="6">
        <v>15</v>
      </c>
      <c r="N1424" s="6">
        <v>2</v>
      </c>
      <c r="O1424">
        <v>500</v>
      </c>
      <c r="P1424">
        <v>202605</v>
      </c>
      <c r="Q1424" t="s">
        <v>377</v>
      </c>
      <c r="R1424" t="s">
        <v>1350</v>
      </c>
      <c r="S1424">
        <f>Consulta1[[#This Row],[min_port]]/100</f>
        <v>1.37E-2</v>
      </c>
      <c r="T1424" s="252">
        <f>Consulta1[[#This Row],[TETO_COMERCIAL]]/100</f>
        <v>1.8500000000000003E-2</v>
      </c>
      <c r="U1424" t="b">
        <f>Consulta1[[#This Row],[TETO_COMERCIAL_%]]=Consulta1[[#This Row],[TAXA]]</f>
        <v>1</v>
      </c>
      <c r="V1424" t="str">
        <f>CONCATENATE(Consulta1[[#This Row],[MES_ALTERACAO]],Consulta1[[#This Row],[VIRADA]])</f>
        <v>20260515</v>
      </c>
      <c r="W1424">
        <f>VLOOKUP(Consulta1[[#This Row],[Coluna2]],CALENDARIO!$J:$K,2,FALSE)</f>
        <v>10</v>
      </c>
    </row>
    <row r="1425" spans="1:23" x14ac:dyDescent="0.25">
      <c r="A1425" t="s">
        <v>2539</v>
      </c>
      <c r="B1425" t="str">
        <f>CONCATENATE(Consulta1[[#This Row],[id]],Consulta1[[#This Row],[EMPREGADOR]])</f>
        <v>2PREF VIAMAO</v>
      </c>
      <c r="C1425" s="6">
        <f>IF(A1425=A1424,C1424+1,1)</f>
        <v>2</v>
      </c>
      <c r="D1425" t="s">
        <v>2541</v>
      </c>
      <c r="E1425" s="101">
        <v>1.8000000000000002E-2</v>
      </c>
      <c r="F1425" s="6">
        <v>120</v>
      </c>
      <c r="G1425" t="s">
        <v>1349</v>
      </c>
      <c r="H1425" s="82">
        <v>1.85</v>
      </c>
      <c r="I1425">
        <v>10</v>
      </c>
      <c r="J1425">
        <v>40</v>
      </c>
      <c r="K1425" t="s">
        <v>2577</v>
      </c>
      <c r="L1425" s="6" t="s">
        <v>1494</v>
      </c>
      <c r="M1425" s="6">
        <v>15</v>
      </c>
      <c r="N1425" s="6">
        <v>2</v>
      </c>
      <c r="O1425">
        <v>500</v>
      </c>
      <c r="P1425">
        <v>202605</v>
      </c>
      <c r="Q1425" t="s">
        <v>377</v>
      </c>
      <c r="R1425" t="s">
        <v>1350</v>
      </c>
      <c r="S1425">
        <f>Consulta1[[#This Row],[min_port]]/100</f>
        <v>1.37E-2</v>
      </c>
      <c r="T1425" s="252">
        <f>Consulta1[[#This Row],[TETO_COMERCIAL]]/100</f>
        <v>1.8500000000000003E-2</v>
      </c>
      <c r="U1425" t="b">
        <f>Consulta1[[#This Row],[TETO_COMERCIAL_%]]=Consulta1[[#This Row],[TAXA]]</f>
        <v>0</v>
      </c>
      <c r="V1425" t="str">
        <f>CONCATENATE(Consulta1[[#This Row],[MES_ALTERACAO]],Consulta1[[#This Row],[VIRADA]])</f>
        <v>20260515</v>
      </c>
      <c r="W1425">
        <f>VLOOKUP(Consulta1[[#This Row],[Coluna2]],CALENDARIO!$J:$K,2,FALSE)</f>
        <v>10</v>
      </c>
    </row>
    <row r="1426" spans="1:23" x14ac:dyDescent="0.25">
      <c r="A1426" t="s">
        <v>2539</v>
      </c>
      <c r="B1426" t="str">
        <f>CONCATENATE(Consulta1[[#This Row],[id]],Consulta1[[#This Row],[EMPREGADOR]])</f>
        <v>3PREF VIAMAO</v>
      </c>
      <c r="C1426" s="6">
        <f>IF(A1426=A1425,C1425+1,1)</f>
        <v>3</v>
      </c>
      <c r="D1426" t="s">
        <v>2542</v>
      </c>
      <c r="E1426" s="101">
        <v>1.7500000000000002E-2</v>
      </c>
      <c r="F1426" s="6">
        <v>120</v>
      </c>
      <c r="G1426" t="s">
        <v>1349</v>
      </c>
      <c r="H1426" s="82">
        <v>1.85</v>
      </c>
      <c r="I1426">
        <v>10</v>
      </c>
      <c r="J1426">
        <v>34</v>
      </c>
      <c r="K1426" t="s">
        <v>2578</v>
      </c>
      <c r="L1426" s="6" t="s">
        <v>1494</v>
      </c>
      <c r="M1426" s="6">
        <v>15</v>
      </c>
      <c r="N1426" s="6">
        <v>2</v>
      </c>
      <c r="O1426">
        <v>500</v>
      </c>
      <c r="P1426">
        <v>202605</v>
      </c>
      <c r="Q1426" t="s">
        <v>377</v>
      </c>
      <c r="R1426" t="s">
        <v>1350</v>
      </c>
      <c r="S1426">
        <f>Consulta1[[#This Row],[min_port]]/100</f>
        <v>1.37E-2</v>
      </c>
      <c r="T1426" s="252">
        <f>Consulta1[[#This Row],[TETO_COMERCIAL]]/100</f>
        <v>1.8500000000000003E-2</v>
      </c>
      <c r="U1426" t="b">
        <f>Consulta1[[#This Row],[TETO_COMERCIAL_%]]=Consulta1[[#This Row],[TAXA]]</f>
        <v>0</v>
      </c>
      <c r="V1426" t="str">
        <f>CONCATENATE(Consulta1[[#This Row],[MES_ALTERACAO]],Consulta1[[#This Row],[VIRADA]])</f>
        <v>20260515</v>
      </c>
      <c r="W1426">
        <f>VLOOKUP(Consulta1[[#This Row],[Coluna2]],CALENDARIO!$J:$K,2,FALSE)</f>
        <v>10</v>
      </c>
    </row>
    <row r="1427" spans="1:23" x14ac:dyDescent="0.25">
      <c r="A1427" t="s">
        <v>2539</v>
      </c>
      <c r="B1427" t="str">
        <f>CONCATENATE(Consulta1[[#This Row],[id]],Consulta1[[#This Row],[EMPREGADOR]])</f>
        <v>4PREF VIAMAO</v>
      </c>
      <c r="C1427" s="6">
        <f>IF(A1427=A1426,C1426+1,1)</f>
        <v>4</v>
      </c>
      <c r="D1427" t="s">
        <v>2543</v>
      </c>
      <c r="E1427" s="101">
        <v>1.7000000000000001E-2</v>
      </c>
      <c r="F1427" s="6">
        <v>120</v>
      </c>
      <c r="G1427" t="s">
        <v>1349</v>
      </c>
      <c r="H1427" s="82">
        <v>1.85</v>
      </c>
      <c r="I1427">
        <v>10</v>
      </c>
      <c r="J1427">
        <v>39</v>
      </c>
      <c r="K1427" t="s">
        <v>2579</v>
      </c>
      <c r="L1427" s="6" t="s">
        <v>1494</v>
      </c>
      <c r="M1427" s="6">
        <v>15</v>
      </c>
      <c r="N1427" s="6">
        <v>2</v>
      </c>
      <c r="O1427">
        <v>500</v>
      </c>
      <c r="P1427">
        <v>202605</v>
      </c>
      <c r="Q1427" t="s">
        <v>377</v>
      </c>
      <c r="R1427" t="s">
        <v>1350</v>
      </c>
      <c r="S1427">
        <f>Consulta1[[#This Row],[min_port]]/100</f>
        <v>1.37E-2</v>
      </c>
      <c r="T1427" s="252">
        <f>Consulta1[[#This Row],[TETO_COMERCIAL]]/100</f>
        <v>1.8500000000000003E-2</v>
      </c>
      <c r="U1427" t="b">
        <f>Consulta1[[#This Row],[TETO_COMERCIAL_%]]=Consulta1[[#This Row],[TAXA]]</f>
        <v>0</v>
      </c>
      <c r="V1427" t="str">
        <f>CONCATENATE(Consulta1[[#This Row],[MES_ALTERACAO]],Consulta1[[#This Row],[VIRADA]])</f>
        <v>20260515</v>
      </c>
      <c r="W1427">
        <f>VLOOKUP(Consulta1[[#This Row],[Coluna2]],CALENDARIO!$J:$K,2,FALSE)</f>
        <v>10</v>
      </c>
    </row>
    <row r="1428" spans="1:23" x14ac:dyDescent="0.25">
      <c r="A1428" t="s">
        <v>2539</v>
      </c>
      <c r="B1428" t="str">
        <f>CONCATENATE(Consulta1[[#This Row],[id]],Consulta1[[#This Row],[EMPREGADOR]])</f>
        <v>5PREF VIAMAO</v>
      </c>
      <c r="C1428" s="6">
        <f>IF(A1428=A1427,C1427+1,1)</f>
        <v>5</v>
      </c>
      <c r="D1428" t="s">
        <v>2809</v>
      </c>
      <c r="E1428" s="101">
        <v>1.6500000000000001E-2</v>
      </c>
      <c r="F1428" s="6">
        <v>120</v>
      </c>
      <c r="G1428" t="s">
        <v>1349</v>
      </c>
      <c r="H1428" s="82">
        <v>1.85</v>
      </c>
      <c r="I1428">
        <v>10</v>
      </c>
      <c r="J1428">
        <v>41</v>
      </c>
      <c r="K1428" t="s">
        <v>2810</v>
      </c>
      <c r="L1428" s="6" t="s">
        <v>1494</v>
      </c>
      <c r="M1428" s="6">
        <v>15</v>
      </c>
      <c r="N1428" s="6">
        <v>2</v>
      </c>
      <c r="O1428">
        <v>30000</v>
      </c>
      <c r="P1428">
        <v>202605</v>
      </c>
      <c r="Q1428" t="s">
        <v>377</v>
      </c>
      <c r="R1428" t="s">
        <v>1350</v>
      </c>
      <c r="S1428">
        <f>Consulta1[[#This Row],[min_port]]/100</f>
        <v>1.37E-2</v>
      </c>
      <c r="T1428" s="252">
        <f>Consulta1[[#This Row],[TETO_COMERCIAL]]/100</f>
        <v>1.8500000000000003E-2</v>
      </c>
      <c r="U1428" t="b">
        <f>Consulta1[[#This Row],[TETO_COMERCIAL_%]]=Consulta1[[#This Row],[TAXA]]</f>
        <v>0</v>
      </c>
      <c r="V1428" t="str">
        <f>CONCATENATE(Consulta1[[#This Row],[MES_ALTERACAO]],Consulta1[[#This Row],[VIRADA]])</f>
        <v>20260515</v>
      </c>
      <c r="W1428">
        <f>VLOOKUP(Consulta1[[#This Row],[Coluna2]],CALENDARIO!$J:$K,2,FALSE)</f>
        <v>10</v>
      </c>
    </row>
    <row r="1429" spans="1:23" x14ac:dyDescent="0.25">
      <c r="A1429" t="s">
        <v>2539</v>
      </c>
      <c r="B1429" t="str">
        <f>CONCATENATE(Consulta1[[#This Row],[id]],Consulta1[[#This Row],[EMPREGADOR]])</f>
        <v>6PREF VIAMAO</v>
      </c>
      <c r="C1429" s="6">
        <f>IF(A1429=A1428,C1428+1,1)</f>
        <v>6</v>
      </c>
      <c r="D1429" t="s">
        <v>2811</v>
      </c>
      <c r="E1429" s="101">
        <v>1.6299999999999999E-2</v>
      </c>
      <c r="F1429" s="6">
        <v>120</v>
      </c>
      <c r="G1429" t="s">
        <v>1349</v>
      </c>
      <c r="H1429" s="82">
        <v>1.85</v>
      </c>
      <c r="I1429">
        <v>10</v>
      </c>
      <c r="J1429">
        <v>39</v>
      </c>
      <c r="K1429" t="s">
        <v>2812</v>
      </c>
      <c r="L1429" s="6" t="s">
        <v>1494</v>
      </c>
      <c r="M1429" s="6">
        <v>15</v>
      </c>
      <c r="N1429" s="6">
        <v>2</v>
      </c>
      <c r="O1429">
        <v>50000</v>
      </c>
      <c r="P1429">
        <v>202605</v>
      </c>
      <c r="Q1429" t="s">
        <v>377</v>
      </c>
      <c r="R1429" t="s">
        <v>1350</v>
      </c>
      <c r="S1429">
        <f>Consulta1[[#This Row],[min_port]]/100</f>
        <v>1.37E-2</v>
      </c>
      <c r="T1429" s="252">
        <f>Consulta1[[#This Row],[TETO_COMERCIAL]]/100</f>
        <v>1.8500000000000003E-2</v>
      </c>
      <c r="U1429" t="b">
        <f>Consulta1[[#This Row],[TETO_COMERCIAL_%]]=Consulta1[[#This Row],[TAXA]]</f>
        <v>0</v>
      </c>
      <c r="V1429" t="str">
        <f>CONCATENATE(Consulta1[[#This Row],[MES_ALTERACAO]],Consulta1[[#This Row],[VIRADA]])</f>
        <v>20260515</v>
      </c>
      <c r="W1429">
        <f>VLOOKUP(Consulta1[[#This Row],[Coluna2]],CALENDARIO!$J:$K,2,FALSE)</f>
        <v>10</v>
      </c>
    </row>
    <row r="1430" spans="1:23" x14ac:dyDescent="0.25">
      <c r="A1430" t="s">
        <v>2544</v>
      </c>
      <c r="B1430" t="str">
        <f>CONCATENATE(Consulta1[[#This Row],[id]],Consulta1[[#This Row],[EMPREGADOR]])</f>
        <v>1PREF VIAMAO CLT</v>
      </c>
      <c r="C1430" s="6">
        <f>IF(A1430=A1429,C1429+1,1)</f>
        <v>1</v>
      </c>
      <c r="D1430" t="s">
        <v>2545</v>
      </c>
      <c r="E1430" s="101">
        <v>1.8500000000000003E-2</v>
      </c>
      <c r="F1430" s="6">
        <v>120</v>
      </c>
      <c r="G1430" t="s">
        <v>1349</v>
      </c>
      <c r="H1430" s="82">
        <v>1.85</v>
      </c>
      <c r="I1430">
        <v>10</v>
      </c>
      <c r="K1430" t="s">
        <v>2580</v>
      </c>
      <c r="L1430" s="6" t="s">
        <v>1494</v>
      </c>
      <c r="M1430" s="6">
        <v>15</v>
      </c>
      <c r="N1430" s="6">
        <v>2</v>
      </c>
      <c r="O1430">
        <v>500</v>
      </c>
      <c r="P1430">
        <v>202605</v>
      </c>
      <c r="Q1430" t="s">
        <v>377</v>
      </c>
      <c r="R1430" t="s">
        <v>1350</v>
      </c>
      <c r="S1430">
        <f>Consulta1[[#This Row],[min_port]]/100</f>
        <v>1.37E-2</v>
      </c>
      <c r="T1430" s="252">
        <f>Consulta1[[#This Row],[TETO_COMERCIAL]]/100</f>
        <v>1.8500000000000003E-2</v>
      </c>
      <c r="U1430" t="b">
        <f>Consulta1[[#This Row],[TETO_COMERCIAL_%]]=Consulta1[[#This Row],[TAXA]]</f>
        <v>1</v>
      </c>
      <c r="V1430" t="str">
        <f>CONCATENATE(Consulta1[[#This Row],[MES_ALTERACAO]],Consulta1[[#This Row],[VIRADA]])</f>
        <v>20260515</v>
      </c>
      <c r="W1430">
        <f>VLOOKUP(Consulta1[[#This Row],[Coluna2]],CALENDARIO!$J:$K,2,FALSE)</f>
        <v>10</v>
      </c>
    </row>
    <row r="1431" spans="1:23" x14ac:dyDescent="0.25">
      <c r="A1431" t="s">
        <v>2544</v>
      </c>
      <c r="B1431" t="str">
        <f>CONCATENATE(Consulta1[[#This Row],[id]],Consulta1[[#This Row],[EMPREGADOR]])</f>
        <v>2PREF VIAMAO CLT</v>
      </c>
      <c r="C1431" s="6">
        <f>IF(A1431=A1430,C1430+1,1)</f>
        <v>2</v>
      </c>
      <c r="D1431" t="s">
        <v>2546</v>
      </c>
      <c r="E1431" s="101">
        <v>1.8000000000000002E-2</v>
      </c>
      <c r="F1431" s="6">
        <v>120</v>
      </c>
      <c r="G1431" t="s">
        <v>1349</v>
      </c>
      <c r="H1431" s="82">
        <v>1.85</v>
      </c>
      <c r="I1431">
        <v>10</v>
      </c>
      <c r="J1431">
        <v>38</v>
      </c>
      <c r="K1431" t="s">
        <v>2581</v>
      </c>
      <c r="L1431" s="6" t="s">
        <v>1494</v>
      </c>
      <c r="M1431" s="6">
        <v>15</v>
      </c>
      <c r="N1431" s="6">
        <v>2</v>
      </c>
      <c r="O1431">
        <v>500</v>
      </c>
      <c r="P1431">
        <v>202605</v>
      </c>
      <c r="Q1431" t="s">
        <v>377</v>
      </c>
      <c r="R1431" t="s">
        <v>1350</v>
      </c>
      <c r="S1431">
        <f>Consulta1[[#This Row],[min_port]]/100</f>
        <v>1.37E-2</v>
      </c>
      <c r="T1431" s="252">
        <f>Consulta1[[#This Row],[TETO_COMERCIAL]]/100</f>
        <v>1.8500000000000003E-2</v>
      </c>
      <c r="U1431" t="b">
        <f>Consulta1[[#This Row],[TETO_COMERCIAL_%]]=Consulta1[[#This Row],[TAXA]]</f>
        <v>0</v>
      </c>
      <c r="V1431" t="str">
        <f>CONCATENATE(Consulta1[[#This Row],[MES_ALTERACAO]],Consulta1[[#This Row],[VIRADA]])</f>
        <v>20260515</v>
      </c>
      <c r="W1431">
        <f>VLOOKUP(Consulta1[[#This Row],[Coluna2]],CALENDARIO!$J:$K,2,FALSE)</f>
        <v>10</v>
      </c>
    </row>
    <row r="1432" spans="1:23" x14ac:dyDescent="0.25">
      <c r="A1432" t="s">
        <v>2544</v>
      </c>
      <c r="B1432" t="str">
        <f>CONCATENATE(Consulta1[[#This Row],[id]],Consulta1[[#This Row],[EMPREGADOR]])</f>
        <v>3PREF VIAMAO CLT</v>
      </c>
      <c r="C1432" s="6">
        <f>IF(A1432=A1431,C1431+1,1)</f>
        <v>3</v>
      </c>
      <c r="D1432" t="s">
        <v>2547</v>
      </c>
      <c r="E1432" s="101">
        <v>1.7500000000000002E-2</v>
      </c>
      <c r="F1432" s="6">
        <v>120</v>
      </c>
      <c r="G1432" t="s">
        <v>1349</v>
      </c>
      <c r="H1432" s="82">
        <v>1.85</v>
      </c>
      <c r="I1432">
        <v>10</v>
      </c>
      <c r="K1432" t="s">
        <v>2582</v>
      </c>
      <c r="L1432" s="6" t="s">
        <v>1494</v>
      </c>
      <c r="M1432" s="6">
        <v>15</v>
      </c>
      <c r="N1432" s="6">
        <v>2</v>
      </c>
      <c r="O1432">
        <v>500</v>
      </c>
      <c r="P1432">
        <v>202605</v>
      </c>
      <c r="Q1432" t="s">
        <v>377</v>
      </c>
      <c r="R1432" t="s">
        <v>1350</v>
      </c>
      <c r="S1432">
        <f>Consulta1[[#This Row],[min_port]]/100</f>
        <v>1.37E-2</v>
      </c>
      <c r="T1432" s="252">
        <f>Consulta1[[#This Row],[TETO_COMERCIAL]]/100</f>
        <v>1.8500000000000003E-2</v>
      </c>
      <c r="U1432" t="b">
        <f>Consulta1[[#This Row],[TETO_COMERCIAL_%]]=Consulta1[[#This Row],[TAXA]]</f>
        <v>0</v>
      </c>
      <c r="V1432" t="str">
        <f>CONCATENATE(Consulta1[[#This Row],[MES_ALTERACAO]],Consulta1[[#This Row],[VIRADA]])</f>
        <v>20260515</v>
      </c>
      <c r="W1432">
        <f>VLOOKUP(Consulta1[[#This Row],[Coluna2]],CALENDARIO!$J:$K,2,FALSE)</f>
        <v>10</v>
      </c>
    </row>
    <row r="1433" spans="1:23" x14ac:dyDescent="0.25">
      <c r="A1433" t="s">
        <v>2544</v>
      </c>
      <c r="B1433" t="str">
        <f>CONCATENATE(Consulta1[[#This Row],[id]],Consulta1[[#This Row],[EMPREGADOR]])</f>
        <v>4PREF VIAMAO CLT</v>
      </c>
      <c r="C1433" s="6">
        <f>IF(A1433=A1432,C1432+1,1)</f>
        <v>4</v>
      </c>
      <c r="D1433" t="s">
        <v>2548</v>
      </c>
      <c r="E1433" s="101">
        <v>1.7000000000000001E-2</v>
      </c>
      <c r="F1433" s="6">
        <v>120</v>
      </c>
      <c r="G1433" t="s">
        <v>1349</v>
      </c>
      <c r="H1433" s="82">
        <v>1.85</v>
      </c>
      <c r="I1433">
        <v>10</v>
      </c>
      <c r="J1433">
        <v>31</v>
      </c>
      <c r="K1433" t="s">
        <v>2583</v>
      </c>
      <c r="L1433" s="6" t="s">
        <v>1494</v>
      </c>
      <c r="M1433" s="6">
        <v>15</v>
      </c>
      <c r="N1433" s="6">
        <v>2</v>
      </c>
      <c r="O1433">
        <v>500</v>
      </c>
      <c r="P1433">
        <v>202605</v>
      </c>
      <c r="Q1433" t="s">
        <v>377</v>
      </c>
      <c r="R1433" t="s">
        <v>1350</v>
      </c>
      <c r="S1433">
        <f>Consulta1[[#This Row],[min_port]]/100</f>
        <v>1.37E-2</v>
      </c>
      <c r="T1433" s="252">
        <f>Consulta1[[#This Row],[TETO_COMERCIAL]]/100</f>
        <v>1.8500000000000003E-2</v>
      </c>
      <c r="U1433" t="b">
        <f>Consulta1[[#This Row],[TETO_COMERCIAL_%]]=Consulta1[[#This Row],[TAXA]]</f>
        <v>0</v>
      </c>
      <c r="V1433" t="str">
        <f>CONCATENATE(Consulta1[[#This Row],[MES_ALTERACAO]],Consulta1[[#This Row],[VIRADA]])</f>
        <v>20260515</v>
      </c>
      <c r="W1433">
        <f>VLOOKUP(Consulta1[[#This Row],[Coluna2]],CALENDARIO!$J:$K,2,FALSE)</f>
        <v>10</v>
      </c>
    </row>
    <row r="1434" spans="1:23" x14ac:dyDescent="0.25">
      <c r="A1434" t="s">
        <v>2544</v>
      </c>
      <c r="B1434" t="str">
        <f>CONCATENATE(Consulta1[[#This Row],[id]],Consulta1[[#This Row],[EMPREGADOR]])</f>
        <v>5PREF VIAMAO CLT</v>
      </c>
      <c r="C1434" s="6">
        <f>IF(A1434=A1433,C1433+1,1)</f>
        <v>5</v>
      </c>
      <c r="D1434" t="s">
        <v>2813</v>
      </c>
      <c r="E1434" s="101">
        <v>1.6500000000000001E-2</v>
      </c>
      <c r="F1434" s="6">
        <v>120</v>
      </c>
      <c r="G1434" t="s">
        <v>1349</v>
      </c>
      <c r="H1434" s="82">
        <v>1.85</v>
      </c>
      <c r="I1434">
        <v>10</v>
      </c>
      <c r="J1434">
        <v>30</v>
      </c>
      <c r="K1434" t="s">
        <v>2814</v>
      </c>
      <c r="L1434" s="6" t="s">
        <v>1494</v>
      </c>
      <c r="M1434" s="6">
        <v>15</v>
      </c>
      <c r="N1434" s="6">
        <v>2</v>
      </c>
      <c r="O1434">
        <v>500</v>
      </c>
      <c r="P1434">
        <v>202605</v>
      </c>
      <c r="Q1434" t="s">
        <v>377</v>
      </c>
      <c r="R1434" t="s">
        <v>1350</v>
      </c>
      <c r="S1434">
        <f>Consulta1[[#This Row],[min_port]]/100</f>
        <v>1.37E-2</v>
      </c>
      <c r="T1434" s="252">
        <f>Consulta1[[#This Row],[TETO_COMERCIAL]]/100</f>
        <v>1.8500000000000003E-2</v>
      </c>
      <c r="U1434" t="b">
        <f>Consulta1[[#This Row],[TETO_COMERCIAL_%]]=Consulta1[[#This Row],[TAXA]]</f>
        <v>0</v>
      </c>
      <c r="V1434" t="str">
        <f>CONCATENATE(Consulta1[[#This Row],[MES_ALTERACAO]],Consulta1[[#This Row],[VIRADA]])</f>
        <v>20260515</v>
      </c>
      <c r="W1434">
        <f>VLOOKUP(Consulta1[[#This Row],[Coluna2]],CALENDARIO!$J:$K,2,FALSE)</f>
        <v>10</v>
      </c>
    </row>
    <row r="1435" spans="1:23" x14ac:dyDescent="0.25">
      <c r="A1435" t="s">
        <v>2544</v>
      </c>
      <c r="B1435" t="str">
        <f>CONCATENATE(Consulta1[[#This Row],[id]],Consulta1[[#This Row],[EMPREGADOR]])</f>
        <v>6PREF VIAMAO CLT</v>
      </c>
      <c r="C1435" s="6">
        <f>IF(A1435=A1434,C1434+1,1)</f>
        <v>6</v>
      </c>
      <c r="D1435" t="s">
        <v>2815</v>
      </c>
      <c r="E1435" s="101">
        <v>1.6299999999999999E-2</v>
      </c>
      <c r="F1435" s="6">
        <v>120</v>
      </c>
      <c r="G1435" t="s">
        <v>1349</v>
      </c>
      <c r="H1435" s="82">
        <v>1.85</v>
      </c>
      <c r="I1435">
        <v>10</v>
      </c>
      <c r="J1435">
        <v>37</v>
      </c>
      <c r="K1435" t="s">
        <v>2816</v>
      </c>
      <c r="L1435" s="6" t="s">
        <v>1494</v>
      </c>
      <c r="M1435" s="6">
        <v>15</v>
      </c>
      <c r="N1435" s="6">
        <v>2</v>
      </c>
      <c r="O1435">
        <v>500</v>
      </c>
      <c r="P1435">
        <v>202605</v>
      </c>
      <c r="Q1435" t="s">
        <v>377</v>
      </c>
      <c r="R1435" t="s">
        <v>1350</v>
      </c>
      <c r="S1435">
        <f>Consulta1[[#This Row],[min_port]]/100</f>
        <v>1.37E-2</v>
      </c>
      <c r="T1435" s="252">
        <f>Consulta1[[#This Row],[TETO_COMERCIAL]]/100</f>
        <v>1.8500000000000003E-2</v>
      </c>
      <c r="U1435" t="b">
        <f>Consulta1[[#This Row],[TETO_COMERCIAL_%]]=Consulta1[[#This Row],[TAXA]]</f>
        <v>0</v>
      </c>
      <c r="V1435" t="str">
        <f>CONCATENATE(Consulta1[[#This Row],[MES_ALTERACAO]],Consulta1[[#This Row],[VIRADA]])</f>
        <v>20260515</v>
      </c>
      <c r="W1435">
        <f>VLOOKUP(Consulta1[[#This Row],[Coluna2]],CALENDARIO!$J:$K,2,FALSE)</f>
        <v>10</v>
      </c>
    </row>
    <row r="1436" spans="1:23" x14ac:dyDescent="0.25">
      <c r="A1436" t="s">
        <v>3749</v>
      </c>
      <c r="B1436" t="str">
        <f>CONCATENATE(Consulta1[[#This Row],[id]],Consulta1[[#This Row],[EMPREGADOR]])</f>
        <v>1PREF VITORIA ES</v>
      </c>
      <c r="C1436" s="6">
        <f>IF(A1436=A1435,C1435+1,1)</f>
        <v>1</v>
      </c>
      <c r="D1436" t="s">
        <v>664</v>
      </c>
      <c r="E1436" s="101">
        <v>2.5000000000000001E-2</v>
      </c>
      <c r="F1436" s="6">
        <v>96</v>
      </c>
      <c r="G1436" t="s">
        <v>1349</v>
      </c>
      <c r="H1436" s="82">
        <v>2.5</v>
      </c>
      <c r="I1436">
        <v>15</v>
      </c>
      <c r="K1436" t="s">
        <v>2160</v>
      </c>
      <c r="L1436" s="6" t="s">
        <v>1409</v>
      </c>
      <c r="M1436" s="6">
        <v>10</v>
      </c>
      <c r="N1436" s="6">
        <v>2</v>
      </c>
      <c r="O1436">
        <v>500</v>
      </c>
      <c r="P1436">
        <v>202605</v>
      </c>
      <c r="Q1436" t="s">
        <v>377</v>
      </c>
      <c r="R1436" t="s">
        <v>1353</v>
      </c>
      <c r="S1436">
        <f>Consulta1[[#This Row],[min_port]]/100</f>
        <v>1.55E-2</v>
      </c>
      <c r="T1436" s="252">
        <f>Consulta1[[#This Row],[TETO_COMERCIAL]]/100</f>
        <v>2.5000000000000001E-2</v>
      </c>
      <c r="U1436" t="b">
        <f>Consulta1[[#This Row],[TETO_COMERCIAL_%]]=Consulta1[[#This Row],[TAXA]]</f>
        <v>1</v>
      </c>
      <c r="V1436" t="str">
        <f>CONCATENATE(Consulta1[[#This Row],[MES_ALTERACAO]],Consulta1[[#This Row],[VIRADA]])</f>
        <v>20260510</v>
      </c>
      <c r="W1436">
        <f>VLOOKUP(Consulta1[[#This Row],[Coluna2]],CALENDARIO!$J:$K,2,FALSE)</f>
        <v>5</v>
      </c>
    </row>
    <row r="1437" spans="1:23" x14ac:dyDescent="0.25">
      <c r="A1437" t="s">
        <v>3749</v>
      </c>
      <c r="B1437" t="str">
        <f>CONCATENATE(Consulta1[[#This Row],[id]],Consulta1[[#This Row],[EMPREGADOR]])</f>
        <v>2PREF VITORIA ES</v>
      </c>
      <c r="C1437" s="6">
        <f>IF(A1437=A1436,C1436+1,1)</f>
        <v>2</v>
      </c>
      <c r="D1437" t="s">
        <v>665</v>
      </c>
      <c r="E1437" s="101">
        <v>2.3E-2</v>
      </c>
      <c r="F1437" s="6">
        <v>96</v>
      </c>
      <c r="G1437" t="s">
        <v>1349</v>
      </c>
      <c r="H1437" s="82">
        <v>2.5</v>
      </c>
      <c r="I1437">
        <v>15</v>
      </c>
      <c r="K1437" t="s">
        <v>2161</v>
      </c>
      <c r="L1437" s="6" t="s">
        <v>1409</v>
      </c>
      <c r="M1437" s="6">
        <v>10</v>
      </c>
      <c r="N1437" s="6">
        <v>2</v>
      </c>
      <c r="O1437">
        <v>500</v>
      </c>
      <c r="P1437">
        <v>202605</v>
      </c>
      <c r="Q1437" t="s">
        <v>377</v>
      </c>
      <c r="R1437" t="s">
        <v>1353</v>
      </c>
      <c r="S1437">
        <f>Consulta1[[#This Row],[min_port]]/100</f>
        <v>1.55E-2</v>
      </c>
      <c r="T1437" s="252">
        <f>Consulta1[[#This Row],[TETO_COMERCIAL]]/100</f>
        <v>2.5000000000000001E-2</v>
      </c>
      <c r="U1437" t="b">
        <f>Consulta1[[#This Row],[TETO_COMERCIAL_%]]=Consulta1[[#This Row],[TAXA]]</f>
        <v>0</v>
      </c>
      <c r="V1437" t="str">
        <f>CONCATENATE(Consulta1[[#This Row],[MES_ALTERACAO]],Consulta1[[#This Row],[VIRADA]])</f>
        <v>20260510</v>
      </c>
      <c r="W1437">
        <f>VLOOKUP(Consulta1[[#This Row],[Coluna2]],CALENDARIO!$J:$K,2,FALSE)</f>
        <v>5</v>
      </c>
    </row>
    <row r="1438" spans="1:23" x14ac:dyDescent="0.25">
      <c r="A1438" t="s">
        <v>3749</v>
      </c>
      <c r="B1438" t="str">
        <f>CONCATENATE(Consulta1[[#This Row],[id]],Consulta1[[#This Row],[EMPREGADOR]])</f>
        <v>3PREF VITORIA ES</v>
      </c>
      <c r="C1438" s="6">
        <f>IF(A1438=A1437,C1437+1,1)</f>
        <v>3</v>
      </c>
      <c r="D1438" t="s">
        <v>666</v>
      </c>
      <c r="E1438" s="101">
        <v>2.1000000000000001E-2</v>
      </c>
      <c r="F1438" s="6">
        <v>96</v>
      </c>
      <c r="G1438" t="s">
        <v>1349</v>
      </c>
      <c r="H1438" s="82">
        <v>2.5</v>
      </c>
      <c r="I1438">
        <v>15</v>
      </c>
      <c r="K1438" t="s">
        <v>2162</v>
      </c>
      <c r="L1438" s="6" t="s">
        <v>1409</v>
      </c>
      <c r="M1438" s="6">
        <v>10</v>
      </c>
      <c r="N1438" s="6">
        <v>2</v>
      </c>
      <c r="O1438">
        <v>500</v>
      </c>
      <c r="P1438">
        <v>202605</v>
      </c>
      <c r="Q1438" t="s">
        <v>377</v>
      </c>
      <c r="R1438" t="s">
        <v>1353</v>
      </c>
      <c r="S1438">
        <f>Consulta1[[#This Row],[min_port]]/100</f>
        <v>1.55E-2</v>
      </c>
      <c r="T1438" s="252">
        <f>Consulta1[[#This Row],[TETO_COMERCIAL]]/100</f>
        <v>2.5000000000000001E-2</v>
      </c>
      <c r="U1438" t="b">
        <f>Consulta1[[#This Row],[TETO_COMERCIAL_%]]=Consulta1[[#This Row],[TAXA]]</f>
        <v>0</v>
      </c>
      <c r="V1438" t="str">
        <f>CONCATENATE(Consulta1[[#This Row],[MES_ALTERACAO]],Consulta1[[#This Row],[VIRADA]])</f>
        <v>20260510</v>
      </c>
      <c r="W1438">
        <f>VLOOKUP(Consulta1[[#This Row],[Coluna2]],CALENDARIO!$J:$K,2,FALSE)</f>
        <v>5</v>
      </c>
    </row>
    <row r="1439" spans="1:23" x14ac:dyDescent="0.25">
      <c r="A1439" t="s">
        <v>3749</v>
      </c>
      <c r="B1439" t="str">
        <f>CONCATENATE(Consulta1[[#This Row],[id]],Consulta1[[#This Row],[EMPREGADOR]])</f>
        <v>4PREF VITORIA ES</v>
      </c>
      <c r="C1439" s="6">
        <f>IF(A1439=A1438,C1438+1,1)</f>
        <v>4</v>
      </c>
      <c r="D1439" t="s">
        <v>667</v>
      </c>
      <c r="E1439" s="101">
        <v>0.02</v>
      </c>
      <c r="F1439" s="6">
        <v>96</v>
      </c>
      <c r="G1439" t="s">
        <v>1349</v>
      </c>
      <c r="H1439" s="82">
        <v>2.5</v>
      </c>
      <c r="I1439">
        <v>15</v>
      </c>
      <c r="K1439" t="s">
        <v>2163</v>
      </c>
      <c r="L1439" s="6" t="s">
        <v>1409</v>
      </c>
      <c r="M1439" s="6">
        <v>10</v>
      </c>
      <c r="N1439" s="6">
        <v>2</v>
      </c>
      <c r="O1439">
        <v>500</v>
      </c>
      <c r="P1439">
        <v>202605</v>
      </c>
      <c r="Q1439" t="s">
        <v>377</v>
      </c>
      <c r="R1439" t="s">
        <v>1353</v>
      </c>
      <c r="S1439">
        <f>Consulta1[[#This Row],[min_port]]/100</f>
        <v>1.55E-2</v>
      </c>
      <c r="T1439" s="252">
        <f>Consulta1[[#This Row],[TETO_COMERCIAL]]/100</f>
        <v>2.5000000000000001E-2</v>
      </c>
      <c r="U1439" t="b">
        <f>Consulta1[[#This Row],[TETO_COMERCIAL_%]]=Consulta1[[#This Row],[TAXA]]</f>
        <v>0</v>
      </c>
      <c r="V1439" t="str">
        <f>CONCATENATE(Consulta1[[#This Row],[MES_ALTERACAO]],Consulta1[[#This Row],[VIRADA]])</f>
        <v>20260510</v>
      </c>
      <c r="W1439">
        <f>VLOOKUP(Consulta1[[#This Row],[Coluna2]],CALENDARIO!$J:$K,2,FALSE)</f>
        <v>5</v>
      </c>
    </row>
    <row r="1440" spans="1:23" x14ac:dyDescent="0.25">
      <c r="A1440" t="s">
        <v>3749</v>
      </c>
      <c r="B1440" t="str">
        <f>CONCATENATE(Consulta1[[#This Row],[id]],Consulta1[[#This Row],[EMPREGADOR]])</f>
        <v>5PREF VITORIA ES</v>
      </c>
      <c r="C1440" s="6">
        <f>IF(A1440=A1439,C1439+1,1)</f>
        <v>5</v>
      </c>
      <c r="D1440" t="s">
        <v>668</v>
      </c>
      <c r="E1440" s="101">
        <v>1.95E-2</v>
      </c>
      <c r="F1440" s="6">
        <v>96</v>
      </c>
      <c r="G1440" t="s">
        <v>1349</v>
      </c>
      <c r="H1440" s="82">
        <v>2.5</v>
      </c>
      <c r="I1440">
        <v>15</v>
      </c>
      <c r="K1440" t="s">
        <v>2164</v>
      </c>
      <c r="L1440" s="6" t="s">
        <v>1409</v>
      </c>
      <c r="M1440" s="6">
        <v>10</v>
      </c>
      <c r="N1440" s="6">
        <v>2</v>
      </c>
      <c r="O1440">
        <v>500</v>
      </c>
      <c r="P1440">
        <v>202605</v>
      </c>
      <c r="Q1440" t="s">
        <v>377</v>
      </c>
      <c r="R1440" t="s">
        <v>1353</v>
      </c>
      <c r="S1440">
        <f>Consulta1[[#This Row],[min_port]]/100</f>
        <v>1.55E-2</v>
      </c>
      <c r="T1440" s="252">
        <f>Consulta1[[#This Row],[TETO_COMERCIAL]]/100</f>
        <v>2.5000000000000001E-2</v>
      </c>
      <c r="U1440" t="b">
        <f>Consulta1[[#This Row],[TETO_COMERCIAL_%]]=Consulta1[[#This Row],[TAXA]]</f>
        <v>0</v>
      </c>
      <c r="V1440" t="str">
        <f>CONCATENATE(Consulta1[[#This Row],[MES_ALTERACAO]],Consulta1[[#This Row],[VIRADA]])</f>
        <v>20260510</v>
      </c>
      <c r="W1440">
        <f>VLOOKUP(Consulta1[[#This Row],[Coluna2]],CALENDARIO!$J:$K,2,FALSE)</f>
        <v>5</v>
      </c>
    </row>
    <row r="1441" spans="1:23" x14ac:dyDescent="0.25">
      <c r="A1441" t="s">
        <v>569</v>
      </c>
      <c r="B1441" t="str">
        <f>CONCATENATE(Consulta1[[#This Row],[id]],Consulta1[[#This Row],[EMPREGADOR]])</f>
        <v>1PREF VOTUPORANG</v>
      </c>
      <c r="C1441" s="6">
        <f>IF(A1441=A1440,C1440+1,1)</f>
        <v>1</v>
      </c>
      <c r="D1441" t="s">
        <v>570</v>
      </c>
      <c r="E1441" s="101">
        <v>2.5000000000000001E-2</v>
      </c>
      <c r="F1441" s="6">
        <v>84</v>
      </c>
      <c r="G1441" t="s">
        <v>1349</v>
      </c>
      <c r="H1441" s="82">
        <v>2.5</v>
      </c>
      <c r="I1441">
        <v>20</v>
      </c>
      <c r="J1441">
        <v>57</v>
      </c>
      <c r="K1441" t="s">
        <v>2165</v>
      </c>
      <c r="L1441" s="6" t="s">
        <v>1616</v>
      </c>
      <c r="M1441" s="6">
        <v>10</v>
      </c>
      <c r="N1441" s="6">
        <v>2</v>
      </c>
      <c r="O1441">
        <v>500</v>
      </c>
      <c r="P1441">
        <v>202605</v>
      </c>
      <c r="Q1441" t="s">
        <v>377</v>
      </c>
      <c r="R1441" t="s">
        <v>1353</v>
      </c>
      <c r="S1441">
        <f>Consulta1[[#This Row],[min_port]]/100</f>
        <v>1.5900000000000001E-2</v>
      </c>
      <c r="T1441" s="252">
        <f>Consulta1[[#This Row],[TETO_COMERCIAL]]/100</f>
        <v>2.5000000000000001E-2</v>
      </c>
      <c r="U1441" t="b">
        <f>Consulta1[[#This Row],[TETO_COMERCIAL_%]]=Consulta1[[#This Row],[TAXA]]</f>
        <v>1</v>
      </c>
      <c r="V1441" t="str">
        <f>CONCATENATE(Consulta1[[#This Row],[MES_ALTERACAO]],Consulta1[[#This Row],[VIRADA]])</f>
        <v>20260510</v>
      </c>
      <c r="W1441">
        <f>VLOOKUP(Consulta1[[#This Row],[Coluna2]],CALENDARIO!$J:$K,2,FALSE)</f>
        <v>5</v>
      </c>
    </row>
    <row r="1442" spans="1:23" x14ac:dyDescent="0.25">
      <c r="A1442" t="s">
        <v>569</v>
      </c>
      <c r="B1442" t="str">
        <f>CONCATENATE(Consulta1[[#This Row],[id]],Consulta1[[#This Row],[EMPREGADOR]])</f>
        <v>2PREF VOTUPORANG</v>
      </c>
      <c r="C1442" s="6">
        <f>IF(A1442=A1441,C1441+1,1)</f>
        <v>2</v>
      </c>
      <c r="D1442" t="s">
        <v>571</v>
      </c>
      <c r="E1442" s="101">
        <v>2.4E-2</v>
      </c>
      <c r="F1442" s="6">
        <v>84</v>
      </c>
      <c r="G1442" t="s">
        <v>1349</v>
      </c>
      <c r="H1442" s="82">
        <v>2.5</v>
      </c>
      <c r="I1442">
        <v>20</v>
      </c>
      <c r="J1442">
        <v>57</v>
      </c>
      <c r="K1442" t="s">
        <v>2166</v>
      </c>
      <c r="L1442" s="6" t="s">
        <v>1616</v>
      </c>
      <c r="M1442" s="6">
        <v>10</v>
      </c>
      <c r="N1442" s="6">
        <v>2</v>
      </c>
      <c r="O1442">
        <v>500</v>
      </c>
      <c r="P1442">
        <v>202605</v>
      </c>
      <c r="Q1442" t="s">
        <v>377</v>
      </c>
      <c r="R1442" t="s">
        <v>1353</v>
      </c>
      <c r="S1442">
        <f>Consulta1[[#This Row],[min_port]]/100</f>
        <v>1.5900000000000001E-2</v>
      </c>
      <c r="T1442" s="252">
        <f>Consulta1[[#This Row],[TETO_COMERCIAL]]/100</f>
        <v>2.5000000000000001E-2</v>
      </c>
      <c r="U1442" t="b">
        <f>Consulta1[[#This Row],[TETO_COMERCIAL_%]]=Consulta1[[#This Row],[TAXA]]</f>
        <v>0</v>
      </c>
      <c r="V1442" t="str">
        <f>CONCATENATE(Consulta1[[#This Row],[MES_ALTERACAO]],Consulta1[[#This Row],[VIRADA]])</f>
        <v>20260510</v>
      </c>
      <c r="W1442">
        <f>VLOOKUP(Consulta1[[#This Row],[Coluna2]],CALENDARIO!$J:$K,2,FALSE)</f>
        <v>5</v>
      </c>
    </row>
    <row r="1443" spans="1:23" x14ac:dyDescent="0.25">
      <c r="A1443" t="s">
        <v>569</v>
      </c>
      <c r="B1443" t="str">
        <f>CONCATENATE(Consulta1[[#This Row],[id]],Consulta1[[#This Row],[EMPREGADOR]])</f>
        <v>3PREF VOTUPORANG</v>
      </c>
      <c r="C1443" s="6">
        <f>IF(A1443=A1442,C1442+1,1)</f>
        <v>3</v>
      </c>
      <c r="D1443" t="s">
        <v>646</v>
      </c>
      <c r="E1443" s="101">
        <v>2.29E-2</v>
      </c>
      <c r="F1443" s="6">
        <v>84</v>
      </c>
      <c r="G1443" t="s">
        <v>1349</v>
      </c>
      <c r="H1443" s="82">
        <v>2.5</v>
      </c>
      <c r="I1443">
        <v>20</v>
      </c>
      <c r="J1443">
        <v>57</v>
      </c>
      <c r="K1443" t="s">
        <v>2167</v>
      </c>
      <c r="L1443" s="6" t="s">
        <v>1616</v>
      </c>
      <c r="M1443" s="6">
        <v>10</v>
      </c>
      <c r="N1443" s="6">
        <v>2</v>
      </c>
      <c r="O1443">
        <v>500</v>
      </c>
      <c r="P1443">
        <v>202605</v>
      </c>
      <c r="Q1443" t="s">
        <v>377</v>
      </c>
      <c r="R1443" t="s">
        <v>1353</v>
      </c>
      <c r="S1443">
        <f>Consulta1[[#This Row],[min_port]]/100</f>
        <v>1.5900000000000001E-2</v>
      </c>
      <c r="T1443" s="252">
        <f>Consulta1[[#This Row],[TETO_COMERCIAL]]/100</f>
        <v>2.5000000000000001E-2</v>
      </c>
      <c r="U1443" t="b">
        <f>Consulta1[[#This Row],[TETO_COMERCIAL_%]]=Consulta1[[#This Row],[TAXA]]</f>
        <v>0</v>
      </c>
      <c r="V1443" t="str">
        <f>CONCATENATE(Consulta1[[#This Row],[MES_ALTERACAO]],Consulta1[[#This Row],[VIRADA]])</f>
        <v>20260510</v>
      </c>
      <c r="W1443">
        <f>VLOOKUP(Consulta1[[#This Row],[Coluna2]],CALENDARIO!$J:$K,2,FALSE)</f>
        <v>5</v>
      </c>
    </row>
    <row r="1444" spans="1:23" x14ac:dyDescent="0.25">
      <c r="A1444" t="s">
        <v>3815</v>
      </c>
      <c r="B1444" t="str">
        <f>CONCATENATE(Consulta1[[#This Row],[id]],Consulta1[[#This Row],[EMPREGADOR]])</f>
        <v>1PREFCURITIBA</v>
      </c>
      <c r="C1444" s="6">
        <f>IF(A1444=A1443,C1443+1,1)</f>
        <v>1</v>
      </c>
      <c r="D1444" t="s">
        <v>883</v>
      </c>
      <c r="E1444" s="101">
        <v>1.72E-2</v>
      </c>
      <c r="F1444" s="6">
        <v>120</v>
      </c>
      <c r="G1444" t="s">
        <v>1349</v>
      </c>
      <c r="H1444" s="82">
        <v>1.8</v>
      </c>
      <c r="I1444">
        <v>7</v>
      </c>
      <c r="J1444">
        <v>51</v>
      </c>
      <c r="K1444" t="s">
        <v>1779</v>
      </c>
      <c r="L1444" s="6" t="s">
        <v>1372</v>
      </c>
      <c r="M1444" s="6">
        <v>5</v>
      </c>
      <c r="N1444" s="6">
        <v>2</v>
      </c>
      <c r="O1444">
        <v>500</v>
      </c>
      <c r="P1444">
        <v>202605</v>
      </c>
      <c r="Q1444" t="s">
        <v>377</v>
      </c>
      <c r="R1444" t="s">
        <v>1353</v>
      </c>
      <c r="S1444">
        <f>Consulta1[[#This Row],[min_port]]/100</f>
        <v>1.6E-2</v>
      </c>
      <c r="T1444" s="252">
        <f>Consulta1[[#This Row],[TETO_COMERCIAL]]/100</f>
        <v>1.8000000000000002E-2</v>
      </c>
      <c r="U1444" t="b">
        <f>Consulta1[[#This Row],[TETO_COMERCIAL_%]]=Consulta1[[#This Row],[TAXA]]</f>
        <v>0</v>
      </c>
      <c r="V1444" t="str">
        <f>CONCATENATE(Consulta1[[#This Row],[MES_ALTERACAO]],Consulta1[[#This Row],[VIRADA]])</f>
        <v>2026055</v>
      </c>
      <c r="W1444">
        <f>VLOOKUP(Consulta1[[#This Row],[Coluna2]],CALENDARIO!$J:$K,2,FALSE)</f>
        <v>2</v>
      </c>
    </row>
    <row r="1445" spans="1:23" x14ac:dyDescent="0.25">
      <c r="A1445" t="s">
        <v>3815</v>
      </c>
      <c r="B1445" t="str">
        <f>CONCATENATE(Consulta1[[#This Row],[id]],Consulta1[[#This Row],[EMPREGADOR]])</f>
        <v>2PREFCURITIBA</v>
      </c>
      <c r="C1445" s="6">
        <f>IF(A1445=A1444,C1444+1,1)</f>
        <v>2</v>
      </c>
      <c r="D1445" t="s">
        <v>884</v>
      </c>
      <c r="E1445" s="101">
        <v>1.6899999999999998E-2</v>
      </c>
      <c r="F1445" s="6">
        <v>120</v>
      </c>
      <c r="G1445" t="s">
        <v>1349</v>
      </c>
      <c r="H1445" s="82">
        <v>1.8</v>
      </c>
      <c r="I1445">
        <v>7</v>
      </c>
      <c r="K1445" t="s">
        <v>1780</v>
      </c>
      <c r="L1445" s="6" t="s">
        <v>1372</v>
      </c>
      <c r="M1445" s="6">
        <v>5</v>
      </c>
      <c r="N1445" s="6">
        <v>2</v>
      </c>
      <c r="O1445">
        <v>500</v>
      </c>
      <c r="P1445">
        <v>202605</v>
      </c>
      <c r="Q1445" t="s">
        <v>377</v>
      </c>
      <c r="R1445" t="s">
        <v>1353</v>
      </c>
      <c r="S1445">
        <f>Consulta1[[#This Row],[min_port]]/100</f>
        <v>1.6E-2</v>
      </c>
      <c r="T1445" s="252">
        <f>Consulta1[[#This Row],[TETO_COMERCIAL]]/100</f>
        <v>1.8000000000000002E-2</v>
      </c>
      <c r="U1445" t="b">
        <f>Consulta1[[#This Row],[TETO_COMERCIAL_%]]=Consulta1[[#This Row],[TAXA]]</f>
        <v>0</v>
      </c>
      <c r="V1445" t="str">
        <f>CONCATENATE(Consulta1[[#This Row],[MES_ALTERACAO]],Consulta1[[#This Row],[VIRADA]])</f>
        <v>2026055</v>
      </c>
      <c r="W1445">
        <f>VLOOKUP(Consulta1[[#This Row],[Coluna2]],CALENDARIO!$J:$K,2,FALSE)</f>
        <v>2</v>
      </c>
    </row>
    <row r="1446" spans="1:23" x14ac:dyDescent="0.25">
      <c r="A1446" t="s">
        <v>3815</v>
      </c>
      <c r="B1446" t="str">
        <f>CONCATENATE(Consulta1[[#This Row],[id]],Consulta1[[#This Row],[EMPREGADOR]])</f>
        <v>3PREFCURITIBA</v>
      </c>
      <c r="C1446" s="6">
        <f>IF(A1446=A1445,C1445+1,1)</f>
        <v>3</v>
      </c>
      <c r="D1446" t="s">
        <v>885</v>
      </c>
      <c r="E1446" s="101">
        <v>1.67E-2</v>
      </c>
      <c r="F1446" s="6">
        <v>120</v>
      </c>
      <c r="G1446" t="s">
        <v>1349</v>
      </c>
      <c r="H1446" s="82">
        <v>1.8</v>
      </c>
      <c r="I1446">
        <v>7</v>
      </c>
      <c r="K1446" t="s">
        <v>1781</v>
      </c>
      <c r="L1446" s="6" t="s">
        <v>1372</v>
      </c>
      <c r="M1446" s="6">
        <v>5</v>
      </c>
      <c r="N1446" s="6">
        <v>2</v>
      </c>
      <c r="O1446">
        <v>500</v>
      </c>
      <c r="P1446">
        <v>202605</v>
      </c>
      <c r="Q1446" t="s">
        <v>377</v>
      </c>
      <c r="R1446" t="s">
        <v>1353</v>
      </c>
      <c r="S1446">
        <f>Consulta1[[#This Row],[min_port]]/100</f>
        <v>1.6E-2</v>
      </c>
      <c r="T1446" s="252">
        <f>Consulta1[[#This Row],[TETO_COMERCIAL]]/100</f>
        <v>1.8000000000000002E-2</v>
      </c>
      <c r="U1446" t="b">
        <f>Consulta1[[#This Row],[TETO_COMERCIAL_%]]=Consulta1[[#This Row],[TAXA]]</f>
        <v>0</v>
      </c>
      <c r="V1446" t="str">
        <f>CONCATENATE(Consulta1[[#This Row],[MES_ALTERACAO]],Consulta1[[#This Row],[VIRADA]])</f>
        <v>2026055</v>
      </c>
      <c r="W1446">
        <f>VLOOKUP(Consulta1[[#This Row],[Coluna2]],CALENDARIO!$J:$K,2,FALSE)</f>
        <v>2</v>
      </c>
    </row>
    <row r="1447" spans="1:23" x14ac:dyDescent="0.25">
      <c r="A1447" t="s">
        <v>678</v>
      </c>
      <c r="B1447" t="str">
        <f>CONCATENATE(Consulta1[[#This Row],[id]],Consulta1[[#This Row],[EMPREGADOR]])</f>
        <v>1PREV CUBATAO</v>
      </c>
      <c r="C1447" s="6">
        <f>IF(A1447=A1446,C1446+1,1)</f>
        <v>1</v>
      </c>
      <c r="D1447" t="s">
        <v>679</v>
      </c>
      <c r="E1447" s="101">
        <v>2.5000000000000001E-2</v>
      </c>
      <c r="F1447" s="6">
        <v>96</v>
      </c>
      <c r="G1447" t="s">
        <v>1349</v>
      </c>
      <c r="H1447" s="82">
        <v>2.5</v>
      </c>
      <c r="I1447">
        <v>20</v>
      </c>
      <c r="K1447" t="s">
        <v>2173</v>
      </c>
      <c r="L1447" s="6" t="s">
        <v>1407</v>
      </c>
      <c r="M1447" s="6">
        <v>15</v>
      </c>
      <c r="N1447" s="6">
        <v>2</v>
      </c>
      <c r="O1447">
        <v>500</v>
      </c>
      <c r="P1447">
        <v>202605</v>
      </c>
      <c r="Q1447" t="s">
        <v>377</v>
      </c>
      <c r="R1447" t="s">
        <v>1353</v>
      </c>
      <c r="S1447">
        <f>Consulta1[[#This Row],[min_port]]/100</f>
        <v>1.49E-2</v>
      </c>
      <c r="T1447" s="252">
        <f>Consulta1[[#This Row],[TETO_COMERCIAL]]/100</f>
        <v>2.5000000000000001E-2</v>
      </c>
      <c r="U1447" t="b">
        <f>Consulta1[[#This Row],[TETO_COMERCIAL_%]]=Consulta1[[#This Row],[TAXA]]</f>
        <v>1</v>
      </c>
      <c r="V1447" t="str">
        <f>CONCATENATE(Consulta1[[#This Row],[MES_ALTERACAO]],Consulta1[[#This Row],[VIRADA]])</f>
        <v>20260515</v>
      </c>
      <c r="W1447">
        <f>VLOOKUP(Consulta1[[#This Row],[Coluna2]],CALENDARIO!$J:$K,2,FALSE)</f>
        <v>10</v>
      </c>
    </row>
    <row r="1448" spans="1:23" x14ac:dyDescent="0.25">
      <c r="A1448" t="s">
        <v>678</v>
      </c>
      <c r="B1448" t="str">
        <f>CONCATENATE(Consulta1[[#This Row],[id]],Consulta1[[#This Row],[EMPREGADOR]])</f>
        <v>2PREV CUBATAO</v>
      </c>
      <c r="C1448" s="6">
        <f>IF(A1448=A1447,C1447+1,1)</f>
        <v>2</v>
      </c>
      <c r="D1448" t="s">
        <v>680</v>
      </c>
      <c r="E1448" s="101">
        <v>2.3900000000000001E-2</v>
      </c>
      <c r="F1448" s="6">
        <v>96</v>
      </c>
      <c r="G1448" t="s">
        <v>1349</v>
      </c>
      <c r="H1448" s="82">
        <v>2.5</v>
      </c>
      <c r="I1448">
        <v>20</v>
      </c>
      <c r="K1448" t="s">
        <v>2174</v>
      </c>
      <c r="L1448" s="6" t="s">
        <v>1407</v>
      </c>
      <c r="M1448" s="6">
        <v>15</v>
      </c>
      <c r="N1448" s="6">
        <v>2</v>
      </c>
      <c r="O1448">
        <v>500</v>
      </c>
      <c r="P1448">
        <v>202605</v>
      </c>
      <c r="Q1448" t="s">
        <v>377</v>
      </c>
      <c r="R1448" t="s">
        <v>1353</v>
      </c>
      <c r="S1448">
        <f>Consulta1[[#This Row],[min_port]]/100</f>
        <v>1.49E-2</v>
      </c>
      <c r="T1448" s="252">
        <f>Consulta1[[#This Row],[TETO_COMERCIAL]]/100</f>
        <v>2.5000000000000001E-2</v>
      </c>
      <c r="U1448" t="b">
        <f>Consulta1[[#This Row],[TETO_COMERCIAL_%]]=Consulta1[[#This Row],[TAXA]]</f>
        <v>0</v>
      </c>
      <c r="V1448" t="str">
        <f>CONCATENATE(Consulta1[[#This Row],[MES_ALTERACAO]],Consulta1[[#This Row],[VIRADA]])</f>
        <v>20260515</v>
      </c>
      <c r="W1448">
        <f>VLOOKUP(Consulta1[[#This Row],[Coluna2]],CALENDARIO!$J:$K,2,FALSE)</f>
        <v>10</v>
      </c>
    </row>
    <row r="1449" spans="1:23" x14ac:dyDescent="0.25">
      <c r="A1449" t="s">
        <v>678</v>
      </c>
      <c r="B1449" t="str">
        <f>CONCATENATE(Consulta1[[#This Row],[id]],Consulta1[[#This Row],[EMPREGADOR]])</f>
        <v>3PREV CUBATAO</v>
      </c>
      <c r="C1449" s="6">
        <f>IF(A1449=A1448,C1448+1,1)</f>
        <v>3</v>
      </c>
      <c r="D1449" t="s">
        <v>681</v>
      </c>
      <c r="E1449" s="101">
        <v>2.29E-2</v>
      </c>
      <c r="F1449" s="6">
        <v>96</v>
      </c>
      <c r="G1449" t="s">
        <v>1349</v>
      </c>
      <c r="H1449" s="82">
        <v>2.5</v>
      </c>
      <c r="I1449">
        <v>20</v>
      </c>
      <c r="J1449">
        <v>44</v>
      </c>
      <c r="K1449" t="s">
        <v>2175</v>
      </c>
      <c r="L1449" s="6" t="s">
        <v>1407</v>
      </c>
      <c r="M1449" s="6">
        <v>15</v>
      </c>
      <c r="N1449" s="6">
        <v>2</v>
      </c>
      <c r="O1449">
        <v>500</v>
      </c>
      <c r="P1449">
        <v>202605</v>
      </c>
      <c r="Q1449" t="s">
        <v>377</v>
      </c>
      <c r="R1449" t="s">
        <v>1353</v>
      </c>
      <c r="S1449">
        <f>Consulta1[[#This Row],[min_port]]/100</f>
        <v>1.49E-2</v>
      </c>
      <c r="T1449" s="252">
        <f>Consulta1[[#This Row],[TETO_COMERCIAL]]/100</f>
        <v>2.5000000000000001E-2</v>
      </c>
      <c r="U1449" t="b">
        <f>Consulta1[[#This Row],[TETO_COMERCIAL_%]]=Consulta1[[#This Row],[TAXA]]</f>
        <v>0</v>
      </c>
      <c r="V1449" t="str">
        <f>CONCATENATE(Consulta1[[#This Row],[MES_ALTERACAO]],Consulta1[[#This Row],[VIRADA]])</f>
        <v>20260515</v>
      </c>
      <c r="W1449">
        <f>VLOOKUP(Consulta1[[#This Row],[Coluna2]],CALENDARIO!$J:$K,2,FALSE)</f>
        <v>10</v>
      </c>
    </row>
    <row r="1450" spans="1:23" x14ac:dyDescent="0.25">
      <c r="A1450" t="s">
        <v>678</v>
      </c>
      <c r="B1450" t="str">
        <f>CONCATENATE(Consulta1[[#This Row],[id]],Consulta1[[#This Row],[EMPREGADOR]])</f>
        <v>4PREV CUBATAO</v>
      </c>
      <c r="C1450" s="6">
        <f>IF(A1450=A1449,C1449+1,1)</f>
        <v>4</v>
      </c>
      <c r="D1450" t="s">
        <v>1097</v>
      </c>
      <c r="E1450" s="101">
        <v>2.1899999999999999E-2</v>
      </c>
      <c r="F1450" s="6">
        <v>96</v>
      </c>
      <c r="G1450" t="s">
        <v>1349</v>
      </c>
      <c r="H1450" s="82">
        <v>2.5</v>
      </c>
      <c r="I1450">
        <v>20</v>
      </c>
      <c r="K1450" t="s">
        <v>2176</v>
      </c>
      <c r="L1450" s="6" t="s">
        <v>1407</v>
      </c>
      <c r="M1450" s="6">
        <v>15</v>
      </c>
      <c r="N1450" s="6">
        <v>2</v>
      </c>
      <c r="O1450">
        <v>500</v>
      </c>
      <c r="P1450">
        <v>202605</v>
      </c>
      <c r="Q1450" t="s">
        <v>377</v>
      </c>
      <c r="R1450" t="s">
        <v>1353</v>
      </c>
      <c r="S1450">
        <f>Consulta1[[#This Row],[min_port]]/100</f>
        <v>1.49E-2</v>
      </c>
      <c r="T1450" s="252">
        <f>Consulta1[[#This Row],[TETO_COMERCIAL]]/100</f>
        <v>2.5000000000000001E-2</v>
      </c>
      <c r="U1450" t="b">
        <f>Consulta1[[#This Row],[TETO_COMERCIAL_%]]=Consulta1[[#This Row],[TAXA]]</f>
        <v>0</v>
      </c>
      <c r="V1450" t="str">
        <f>CONCATENATE(Consulta1[[#This Row],[MES_ALTERACAO]],Consulta1[[#This Row],[VIRADA]])</f>
        <v>20260515</v>
      </c>
      <c r="W1450">
        <f>VLOOKUP(Consulta1[[#This Row],[Coluna2]],CALENDARIO!$J:$K,2,FALSE)</f>
        <v>10</v>
      </c>
    </row>
    <row r="1451" spans="1:23" x14ac:dyDescent="0.25">
      <c r="A1451" t="s">
        <v>678</v>
      </c>
      <c r="B1451" t="str">
        <f>CONCATENATE(Consulta1[[#This Row],[id]],Consulta1[[#This Row],[EMPREGADOR]])</f>
        <v>5PREV CUBATAO</v>
      </c>
      <c r="C1451" s="6">
        <f>IF(A1451=A1450,C1450+1,1)</f>
        <v>5</v>
      </c>
      <c r="D1451" t="s">
        <v>1098</v>
      </c>
      <c r="E1451" s="101">
        <v>2.12E-2</v>
      </c>
      <c r="F1451" s="6">
        <v>96</v>
      </c>
      <c r="G1451" t="s">
        <v>1349</v>
      </c>
      <c r="H1451" s="82">
        <v>2.5</v>
      </c>
      <c r="I1451">
        <v>20</v>
      </c>
      <c r="J1451">
        <v>54</v>
      </c>
      <c r="K1451" t="s">
        <v>2177</v>
      </c>
      <c r="L1451" s="6" t="s">
        <v>1407</v>
      </c>
      <c r="M1451" s="6">
        <v>15</v>
      </c>
      <c r="N1451" s="6">
        <v>2</v>
      </c>
      <c r="O1451">
        <v>500</v>
      </c>
      <c r="P1451">
        <v>202605</v>
      </c>
      <c r="Q1451" t="s">
        <v>377</v>
      </c>
      <c r="R1451" t="s">
        <v>1353</v>
      </c>
      <c r="S1451">
        <f>Consulta1[[#This Row],[min_port]]/100</f>
        <v>1.49E-2</v>
      </c>
      <c r="T1451" s="252">
        <f>Consulta1[[#This Row],[TETO_COMERCIAL]]/100</f>
        <v>2.5000000000000001E-2</v>
      </c>
      <c r="U1451" t="b">
        <f>Consulta1[[#This Row],[TETO_COMERCIAL_%]]=Consulta1[[#This Row],[TAXA]]</f>
        <v>0</v>
      </c>
      <c r="V1451" t="str">
        <f>CONCATENATE(Consulta1[[#This Row],[MES_ALTERACAO]],Consulta1[[#This Row],[VIRADA]])</f>
        <v>20260515</v>
      </c>
      <c r="W1451">
        <f>VLOOKUP(Consulta1[[#This Row],[Coluna2]],CALENDARIO!$J:$K,2,FALSE)</f>
        <v>10</v>
      </c>
    </row>
    <row r="1452" spans="1:23" x14ac:dyDescent="0.25">
      <c r="A1452" t="s">
        <v>3073</v>
      </c>
      <c r="B1452" t="str">
        <f>CONCATENATE(Consulta1[[#This Row],[id]],Consulta1[[#This Row],[EMPREGADOR]])</f>
        <v>1PREV ITAJAI SC</v>
      </c>
      <c r="C1452" s="6">
        <f>IF(A1452=A1451,C1451+1,1)</f>
        <v>1</v>
      </c>
      <c r="D1452" t="s">
        <v>2553</v>
      </c>
      <c r="E1452" s="101">
        <v>2.5000000000000001E-2</v>
      </c>
      <c r="F1452" s="6">
        <v>96</v>
      </c>
      <c r="G1452" t="s">
        <v>1349</v>
      </c>
      <c r="H1452" s="82">
        <v>2.5</v>
      </c>
      <c r="I1452">
        <v>20</v>
      </c>
      <c r="J1452">
        <v>37</v>
      </c>
      <c r="K1452" t="s">
        <v>2554</v>
      </c>
      <c r="L1452" s="6" t="s">
        <v>1381</v>
      </c>
      <c r="M1452" s="6">
        <v>20</v>
      </c>
      <c r="N1452" s="6">
        <v>2</v>
      </c>
      <c r="O1452">
        <v>500</v>
      </c>
      <c r="P1452">
        <v>202605</v>
      </c>
      <c r="Q1452" t="s">
        <v>377</v>
      </c>
      <c r="R1452" t="s">
        <v>1350</v>
      </c>
      <c r="S1452">
        <f>Consulta1[[#This Row],[min_port]]/100</f>
        <v>1.3999999999999999E-2</v>
      </c>
      <c r="T1452" s="252">
        <f>Consulta1[[#This Row],[TETO_COMERCIAL]]/100</f>
        <v>2.5000000000000001E-2</v>
      </c>
      <c r="U1452" t="b">
        <f>Consulta1[[#This Row],[TETO_COMERCIAL_%]]=Consulta1[[#This Row],[TAXA]]</f>
        <v>1</v>
      </c>
      <c r="V1452" t="str">
        <f>CONCATENATE(Consulta1[[#This Row],[MES_ALTERACAO]],Consulta1[[#This Row],[VIRADA]])</f>
        <v>20260520</v>
      </c>
      <c r="W1452">
        <f>VLOOKUP(Consulta1[[#This Row],[Coluna2]],CALENDARIO!$J:$K,2,FALSE)</f>
        <v>13</v>
      </c>
    </row>
    <row r="1453" spans="1:23" x14ac:dyDescent="0.25">
      <c r="A1453" t="s">
        <v>3073</v>
      </c>
      <c r="B1453" t="str">
        <f>CONCATENATE(Consulta1[[#This Row],[id]],Consulta1[[#This Row],[EMPREGADOR]])</f>
        <v>2PREV ITAJAI SC</v>
      </c>
      <c r="C1453" s="6">
        <f>IF(A1453=A1452,C1452+1,1)</f>
        <v>2</v>
      </c>
      <c r="D1453" t="s">
        <v>2555</v>
      </c>
      <c r="E1453" s="101">
        <v>0.02</v>
      </c>
      <c r="F1453" s="6">
        <v>96</v>
      </c>
      <c r="G1453" t="s">
        <v>1349</v>
      </c>
      <c r="H1453" s="82">
        <v>2.5</v>
      </c>
      <c r="I1453">
        <v>20</v>
      </c>
      <c r="J1453">
        <v>37</v>
      </c>
      <c r="K1453" t="s">
        <v>2556</v>
      </c>
      <c r="L1453" s="6" t="s">
        <v>1381</v>
      </c>
      <c r="M1453" s="6">
        <v>20</v>
      </c>
      <c r="N1453" s="6">
        <v>2</v>
      </c>
      <c r="O1453">
        <v>500</v>
      </c>
      <c r="P1453">
        <v>202605</v>
      </c>
      <c r="Q1453" t="s">
        <v>377</v>
      </c>
      <c r="R1453" t="s">
        <v>1350</v>
      </c>
      <c r="S1453">
        <f>Consulta1[[#This Row],[min_port]]/100</f>
        <v>1.3999999999999999E-2</v>
      </c>
      <c r="T1453" s="252">
        <f>Consulta1[[#This Row],[TETO_COMERCIAL]]/100</f>
        <v>2.5000000000000001E-2</v>
      </c>
      <c r="U1453" t="b">
        <f>Consulta1[[#This Row],[TETO_COMERCIAL_%]]=Consulta1[[#This Row],[TAXA]]</f>
        <v>0</v>
      </c>
      <c r="V1453" t="str">
        <f>CONCATENATE(Consulta1[[#This Row],[MES_ALTERACAO]],Consulta1[[#This Row],[VIRADA]])</f>
        <v>20260520</v>
      </c>
      <c r="W1453">
        <f>VLOOKUP(Consulta1[[#This Row],[Coluna2]],CALENDARIO!$J:$K,2,FALSE)</f>
        <v>13</v>
      </c>
    </row>
    <row r="1454" spans="1:23" x14ac:dyDescent="0.25">
      <c r="A1454" t="s">
        <v>3073</v>
      </c>
      <c r="B1454" t="str">
        <f>CONCATENATE(Consulta1[[#This Row],[id]],Consulta1[[#This Row],[EMPREGADOR]])</f>
        <v>3PREV ITAJAI SC</v>
      </c>
      <c r="C1454" s="6">
        <f>IF(A1454=A1453,C1453+1,1)</f>
        <v>3</v>
      </c>
      <c r="D1454" t="s">
        <v>2557</v>
      </c>
      <c r="E1454" s="101">
        <v>1.9E-2</v>
      </c>
      <c r="F1454" s="6">
        <v>96</v>
      </c>
      <c r="G1454" t="s">
        <v>1349</v>
      </c>
      <c r="H1454" s="82">
        <v>2.5</v>
      </c>
      <c r="I1454">
        <v>20</v>
      </c>
      <c r="J1454">
        <v>37</v>
      </c>
      <c r="K1454" t="s">
        <v>2558</v>
      </c>
      <c r="L1454" s="6" t="s">
        <v>1381</v>
      </c>
      <c r="M1454" s="6">
        <v>20</v>
      </c>
      <c r="N1454" s="6">
        <v>2</v>
      </c>
      <c r="O1454">
        <v>500</v>
      </c>
      <c r="P1454">
        <v>202605</v>
      </c>
      <c r="Q1454" t="s">
        <v>377</v>
      </c>
      <c r="R1454" t="s">
        <v>1350</v>
      </c>
      <c r="S1454">
        <f>Consulta1[[#This Row],[min_port]]/100</f>
        <v>1.3999999999999999E-2</v>
      </c>
      <c r="T1454" s="252">
        <f>Consulta1[[#This Row],[TETO_COMERCIAL]]/100</f>
        <v>2.5000000000000001E-2</v>
      </c>
      <c r="U1454" t="b">
        <f>Consulta1[[#This Row],[TETO_COMERCIAL_%]]=Consulta1[[#This Row],[TAXA]]</f>
        <v>0</v>
      </c>
      <c r="V1454" t="str">
        <f>CONCATENATE(Consulta1[[#This Row],[MES_ALTERACAO]],Consulta1[[#This Row],[VIRADA]])</f>
        <v>20260520</v>
      </c>
      <c r="W1454">
        <f>VLOOKUP(Consulta1[[#This Row],[Coluna2]],CALENDARIO!$J:$K,2,FALSE)</f>
        <v>13</v>
      </c>
    </row>
    <row r="1455" spans="1:23" x14ac:dyDescent="0.25">
      <c r="A1455" t="s">
        <v>3073</v>
      </c>
      <c r="B1455" t="str">
        <f>CONCATENATE(Consulta1[[#This Row],[id]],Consulta1[[#This Row],[EMPREGADOR]])</f>
        <v>4PREV ITAJAI SC</v>
      </c>
      <c r="C1455" s="6">
        <f>IF(A1455=A1454,C1454+1,1)</f>
        <v>4</v>
      </c>
      <c r="D1455" t="s">
        <v>2559</v>
      </c>
      <c r="E1455" s="101">
        <v>1.8500000000000003E-2</v>
      </c>
      <c r="F1455" s="6">
        <v>96</v>
      </c>
      <c r="G1455" t="s">
        <v>1349</v>
      </c>
      <c r="H1455" s="82">
        <v>2.5</v>
      </c>
      <c r="I1455">
        <v>20</v>
      </c>
      <c r="J1455">
        <v>37</v>
      </c>
      <c r="K1455" t="s">
        <v>2560</v>
      </c>
      <c r="L1455" s="6" t="s">
        <v>1381</v>
      </c>
      <c r="M1455" s="6">
        <v>20</v>
      </c>
      <c r="N1455" s="6">
        <v>2</v>
      </c>
      <c r="O1455">
        <v>500</v>
      </c>
      <c r="P1455">
        <v>202605</v>
      </c>
      <c r="Q1455" t="s">
        <v>377</v>
      </c>
      <c r="R1455" t="s">
        <v>1350</v>
      </c>
      <c r="S1455">
        <f>Consulta1[[#This Row],[min_port]]/100</f>
        <v>1.3999999999999999E-2</v>
      </c>
      <c r="T1455" s="252">
        <f>Consulta1[[#This Row],[TETO_COMERCIAL]]/100</f>
        <v>2.5000000000000001E-2</v>
      </c>
      <c r="U1455" t="b">
        <f>Consulta1[[#This Row],[TETO_COMERCIAL_%]]=Consulta1[[#This Row],[TAXA]]</f>
        <v>0</v>
      </c>
      <c r="V1455" t="str">
        <f>CONCATENATE(Consulta1[[#This Row],[MES_ALTERACAO]],Consulta1[[#This Row],[VIRADA]])</f>
        <v>20260520</v>
      </c>
      <c r="W1455">
        <f>VLOOKUP(Consulta1[[#This Row],[Coluna2]],CALENDARIO!$J:$K,2,FALSE)</f>
        <v>13</v>
      </c>
    </row>
    <row r="1456" spans="1:23" x14ac:dyDescent="0.25">
      <c r="A1456" t="s">
        <v>3073</v>
      </c>
      <c r="B1456" t="str">
        <f>CONCATENATE(Consulta1[[#This Row],[id]],Consulta1[[#This Row],[EMPREGADOR]])</f>
        <v>5PREV ITAJAI SC</v>
      </c>
      <c r="C1456" s="6">
        <f>IF(A1456=A1455,C1455+1,1)</f>
        <v>5</v>
      </c>
      <c r="D1456" t="s">
        <v>2561</v>
      </c>
      <c r="E1456" s="101">
        <v>1.8000000000000002E-2</v>
      </c>
      <c r="F1456" s="6">
        <v>96</v>
      </c>
      <c r="G1456" t="s">
        <v>1349</v>
      </c>
      <c r="H1456" s="82">
        <v>2.5</v>
      </c>
      <c r="I1456">
        <v>20</v>
      </c>
      <c r="J1456">
        <v>37</v>
      </c>
      <c r="K1456" t="s">
        <v>2562</v>
      </c>
      <c r="L1456" s="6" t="s">
        <v>1381</v>
      </c>
      <c r="M1456" s="6">
        <v>20</v>
      </c>
      <c r="N1456" s="6">
        <v>2</v>
      </c>
      <c r="O1456">
        <v>500</v>
      </c>
      <c r="P1456">
        <v>202605</v>
      </c>
      <c r="Q1456" t="s">
        <v>377</v>
      </c>
      <c r="R1456" t="s">
        <v>1350</v>
      </c>
      <c r="S1456">
        <f>Consulta1[[#This Row],[min_port]]/100</f>
        <v>1.3999999999999999E-2</v>
      </c>
      <c r="T1456" s="252">
        <f>Consulta1[[#This Row],[TETO_COMERCIAL]]/100</f>
        <v>2.5000000000000001E-2</v>
      </c>
      <c r="U1456" t="b">
        <f>Consulta1[[#This Row],[TETO_COMERCIAL_%]]=Consulta1[[#This Row],[TAXA]]</f>
        <v>0</v>
      </c>
      <c r="V1456" t="str">
        <f>CONCATENATE(Consulta1[[#This Row],[MES_ALTERACAO]],Consulta1[[#This Row],[VIRADA]])</f>
        <v>20260520</v>
      </c>
      <c r="W1456">
        <f>VLOOKUP(Consulta1[[#This Row],[Coluna2]],CALENDARIO!$J:$K,2,FALSE)</f>
        <v>13</v>
      </c>
    </row>
    <row r="1457" spans="1:23" x14ac:dyDescent="0.25">
      <c r="A1457" t="s">
        <v>790</v>
      </c>
      <c r="B1457" t="str">
        <f>CONCATENATE(Consulta1[[#This Row],[id]],Consulta1[[#This Row],[EMPREGADOR]])</f>
        <v>1PREV ITANHAEM</v>
      </c>
      <c r="C1457" s="6">
        <f>IF(A1457=A1456,C1456+1,1)</f>
        <v>1</v>
      </c>
      <c r="D1457" t="s">
        <v>324</v>
      </c>
      <c r="E1457" s="101">
        <v>2.5000000000000001E-2</v>
      </c>
      <c r="F1457" s="6">
        <v>120</v>
      </c>
      <c r="G1457" t="s">
        <v>1349</v>
      </c>
      <c r="H1457" s="82">
        <v>2.5</v>
      </c>
      <c r="I1457">
        <v>15</v>
      </c>
      <c r="J1457">
        <v>41</v>
      </c>
      <c r="K1457" t="s">
        <v>2178</v>
      </c>
      <c r="L1457" s="6" t="s">
        <v>1407</v>
      </c>
      <c r="M1457" s="6">
        <v>15</v>
      </c>
      <c r="N1457" s="6">
        <v>2</v>
      </c>
      <c r="O1457">
        <v>500</v>
      </c>
      <c r="P1457">
        <v>202605</v>
      </c>
      <c r="Q1457" t="s">
        <v>378</v>
      </c>
      <c r="R1457" t="s">
        <v>1353</v>
      </c>
      <c r="S1457">
        <f>Consulta1[[#This Row],[min_port]]/100</f>
        <v>1.49E-2</v>
      </c>
      <c r="T1457" s="252">
        <f>Consulta1[[#This Row],[TETO_COMERCIAL]]/100</f>
        <v>2.5000000000000001E-2</v>
      </c>
      <c r="U1457" t="b">
        <f>Consulta1[[#This Row],[TETO_COMERCIAL_%]]=Consulta1[[#This Row],[TAXA]]</f>
        <v>1</v>
      </c>
      <c r="V1457" t="str">
        <f>CONCATENATE(Consulta1[[#This Row],[MES_ALTERACAO]],Consulta1[[#This Row],[VIRADA]])</f>
        <v>20260515</v>
      </c>
      <c r="W1457">
        <f>VLOOKUP(Consulta1[[#This Row],[Coluna2]],CALENDARIO!$J:$K,2,FALSE)</f>
        <v>10</v>
      </c>
    </row>
    <row r="1458" spans="1:23" x14ac:dyDescent="0.25">
      <c r="A1458" t="s">
        <v>790</v>
      </c>
      <c r="B1458" t="str">
        <f>CONCATENATE(Consulta1[[#This Row],[id]],Consulta1[[#This Row],[EMPREGADOR]])</f>
        <v>2PREV ITANHAEM</v>
      </c>
      <c r="C1458" s="6">
        <f>IF(A1458=A1457,C1457+1,1)</f>
        <v>2</v>
      </c>
      <c r="D1458" t="s">
        <v>2564</v>
      </c>
      <c r="E1458" s="101">
        <v>2.3900000000000001E-2</v>
      </c>
      <c r="F1458" s="6">
        <v>120</v>
      </c>
      <c r="G1458" t="s">
        <v>1349</v>
      </c>
      <c r="H1458" s="82">
        <v>2.5</v>
      </c>
      <c r="I1458">
        <v>15</v>
      </c>
      <c r="K1458" t="s">
        <v>2565</v>
      </c>
      <c r="L1458" s="6" t="s">
        <v>1407</v>
      </c>
      <c r="M1458" s="6">
        <v>15</v>
      </c>
      <c r="N1458" s="6">
        <v>2</v>
      </c>
      <c r="O1458">
        <v>500</v>
      </c>
      <c r="P1458">
        <v>202605</v>
      </c>
      <c r="Q1458" t="s">
        <v>378</v>
      </c>
      <c r="R1458" t="s">
        <v>1353</v>
      </c>
      <c r="S1458">
        <f>Consulta1[[#This Row],[min_port]]/100</f>
        <v>1.49E-2</v>
      </c>
      <c r="T1458" s="252">
        <f>Consulta1[[#This Row],[TETO_COMERCIAL]]/100</f>
        <v>2.5000000000000001E-2</v>
      </c>
      <c r="U1458" t="b">
        <f>Consulta1[[#This Row],[TETO_COMERCIAL_%]]=Consulta1[[#This Row],[TAXA]]</f>
        <v>0</v>
      </c>
      <c r="V1458" t="str">
        <f>CONCATENATE(Consulta1[[#This Row],[MES_ALTERACAO]],Consulta1[[#This Row],[VIRADA]])</f>
        <v>20260515</v>
      </c>
      <c r="W1458">
        <f>VLOOKUP(Consulta1[[#This Row],[Coluna2]],CALENDARIO!$J:$K,2,FALSE)</f>
        <v>10</v>
      </c>
    </row>
    <row r="1459" spans="1:23" x14ac:dyDescent="0.25">
      <c r="A1459" t="s">
        <v>790</v>
      </c>
      <c r="B1459" t="str">
        <f>CONCATENATE(Consulta1[[#This Row],[id]],Consulta1[[#This Row],[EMPREGADOR]])</f>
        <v>3PREV ITANHAEM</v>
      </c>
      <c r="C1459" s="6">
        <f>IF(A1459=A1458,C1458+1,1)</f>
        <v>3</v>
      </c>
      <c r="D1459" t="s">
        <v>2566</v>
      </c>
      <c r="E1459" s="101">
        <v>2.29E-2</v>
      </c>
      <c r="F1459" s="6">
        <v>120</v>
      </c>
      <c r="G1459" t="s">
        <v>1349</v>
      </c>
      <c r="H1459" s="82">
        <v>2.5</v>
      </c>
      <c r="I1459">
        <v>15</v>
      </c>
      <c r="J1459">
        <v>49</v>
      </c>
      <c r="K1459" t="s">
        <v>2567</v>
      </c>
      <c r="L1459" s="6" t="s">
        <v>1407</v>
      </c>
      <c r="M1459" s="6">
        <v>15</v>
      </c>
      <c r="N1459" s="6">
        <v>2</v>
      </c>
      <c r="O1459">
        <v>500</v>
      </c>
      <c r="P1459">
        <v>202605</v>
      </c>
      <c r="Q1459" t="s">
        <v>378</v>
      </c>
      <c r="R1459" t="s">
        <v>1353</v>
      </c>
      <c r="S1459">
        <f>Consulta1[[#This Row],[min_port]]/100</f>
        <v>1.49E-2</v>
      </c>
      <c r="T1459" s="252">
        <f>Consulta1[[#This Row],[TETO_COMERCIAL]]/100</f>
        <v>2.5000000000000001E-2</v>
      </c>
      <c r="U1459" t="b">
        <f>Consulta1[[#This Row],[TETO_COMERCIAL_%]]=Consulta1[[#This Row],[TAXA]]</f>
        <v>0</v>
      </c>
      <c r="V1459" t="str">
        <f>CONCATENATE(Consulta1[[#This Row],[MES_ALTERACAO]],Consulta1[[#This Row],[VIRADA]])</f>
        <v>20260515</v>
      </c>
      <c r="W1459">
        <f>VLOOKUP(Consulta1[[#This Row],[Coluna2]],CALENDARIO!$J:$K,2,FALSE)</f>
        <v>10</v>
      </c>
    </row>
    <row r="1460" spans="1:23" x14ac:dyDescent="0.25">
      <c r="A1460" t="s">
        <v>790</v>
      </c>
      <c r="B1460" t="str">
        <f>CONCATENATE(Consulta1[[#This Row],[id]],Consulta1[[#This Row],[EMPREGADOR]])</f>
        <v>4PREV ITANHAEM</v>
      </c>
      <c r="C1460" s="6">
        <f>IF(A1460=A1459,C1459+1,1)</f>
        <v>4</v>
      </c>
      <c r="D1460" t="s">
        <v>2568</v>
      </c>
      <c r="E1460" s="101">
        <v>2.1899999999999999E-2</v>
      </c>
      <c r="F1460" s="6">
        <v>120</v>
      </c>
      <c r="G1460" t="s">
        <v>1349</v>
      </c>
      <c r="H1460" s="82">
        <v>2.5</v>
      </c>
      <c r="I1460">
        <v>15</v>
      </c>
      <c r="K1460" t="s">
        <v>2569</v>
      </c>
      <c r="L1460" s="6" t="s">
        <v>1407</v>
      </c>
      <c r="M1460" s="6">
        <v>15</v>
      </c>
      <c r="N1460" s="6">
        <v>2</v>
      </c>
      <c r="O1460">
        <v>500</v>
      </c>
      <c r="P1460">
        <v>202605</v>
      </c>
      <c r="Q1460" t="s">
        <v>378</v>
      </c>
      <c r="R1460" t="s">
        <v>1353</v>
      </c>
      <c r="S1460">
        <f>Consulta1[[#This Row],[min_port]]/100</f>
        <v>1.49E-2</v>
      </c>
      <c r="T1460" s="252">
        <f>Consulta1[[#This Row],[TETO_COMERCIAL]]/100</f>
        <v>2.5000000000000001E-2</v>
      </c>
      <c r="U1460" t="b">
        <f>Consulta1[[#This Row],[TETO_COMERCIAL_%]]=Consulta1[[#This Row],[TAXA]]</f>
        <v>0</v>
      </c>
      <c r="V1460" t="str">
        <f>CONCATENATE(Consulta1[[#This Row],[MES_ALTERACAO]],Consulta1[[#This Row],[VIRADA]])</f>
        <v>20260515</v>
      </c>
      <c r="W1460">
        <f>VLOOKUP(Consulta1[[#This Row],[Coluna2]],CALENDARIO!$J:$K,2,FALSE)</f>
        <v>10</v>
      </c>
    </row>
    <row r="1461" spans="1:23" x14ac:dyDescent="0.25">
      <c r="A1461" t="s">
        <v>790</v>
      </c>
      <c r="B1461" t="str">
        <f>CONCATENATE(Consulta1[[#This Row],[id]],Consulta1[[#This Row],[EMPREGADOR]])</f>
        <v>5PREV ITANHAEM</v>
      </c>
      <c r="C1461" s="6">
        <f>IF(A1461=A1460,C1460+1,1)</f>
        <v>5</v>
      </c>
      <c r="D1461" t="s">
        <v>2570</v>
      </c>
      <c r="E1461" s="101">
        <v>2.0899999999999998E-2</v>
      </c>
      <c r="F1461" s="6">
        <v>120</v>
      </c>
      <c r="G1461" t="s">
        <v>1349</v>
      </c>
      <c r="H1461" s="82">
        <v>2.5</v>
      </c>
      <c r="I1461">
        <v>15</v>
      </c>
      <c r="J1461">
        <v>40</v>
      </c>
      <c r="K1461" t="s">
        <v>2571</v>
      </c>
      <c r="L1461" s="6" t="s">
        <v>1407</v>
      </c>
      <c r="M1461" s="6">
        <v>15</v>
      </c>
      <c r="N1461" s="6">
        <v>2</v>
      </c>
      <c r="O1461">
        <v>500</v>
      </c>
      <c r="P1461">
        <v>202605</v>
      </c>
      <c r="Q1461" t="s">
        <v>378</v>
      </c>
      <c r="R1461" t="s">
        <v>1353</v>
      </c>
      <c r="S1461">
        <f>Consulta1[[#This Row],[min_port]]/100</f>
        <v>1.49E-2</v>
      </c>
      <c r="T1461" s="252">
        <f>Consulta1[[#This Row],[TETO_COMERCIAL]]/100</f>
        <v>2.5000000000000001E-2</v>
      </c>
      <c r="U1461" t="b">
        <f>Consulta1[[#This Row],[TETO_COMERCIAL_%]]=Consulta1[[#This Row],[TAXA]]</f>
        <v>0</v>
      </c>
      <c r="V1461" t="str">
        <f>CONCATENATE(Consulta1[[#This Row],[MES_ALTERACAO]],Consulta1[[#This Row],[VIRADA]])</f>
        <v>20260515</v>
      </c>
      <c r="W1461">
        <f>VLOOKUP(Consulta1[[#This Row],[Coluna2]],CALENDARIO!$J:$K,2,FALSE)</f>
        <v>10</v>
      </c>
    </row>
    <row r="1462" spans="1:23" x14ac:dyDescent="0.25">
      <c r="A1462" t="s">
        <v>3074</v>
      </c>
      <c r="B1462" t="str">
        <f>CONCATENATE(Consulta1[[#This Row],[id]],Consulta1[[#This Row],[EMPREGADOR]])</f>
        <v>1PREVIFOR MG</v>
      </c>
      <c r="C1462" s="6">
        <f>IF(A1462=A1461,C1461+1,1)</f>
        <v>1</v>
      </c>
      <c r="D1462" t="s">
        <v>534</v>
      </c>
      <c r="E1462" s="101">
        <v>2.1499999999999998E-2</v>
      </c>
      <c r="F1462" s="6">
        <v>120</v>
      </c>
      <c r="G1462" t="s">
        <v>1349</v>
      </c>
      <c r="H1462" s="82">
        <v>2.25</v>
      </c>
      <c r="I1462">
        <v>6</v>
      </c>
      <c r="K1462" t="s">
        <v>2180</v>
      </c>
      <c r="L1462" s="6" t="s">
        <v>1374</v>
      </c>
      <c r="M1462" s="6">
        <v>10</v>
      </c>
      <c r="N1462" s="6">
        <v>2</v>
      </c>
      <c r="O1462">
        <v>500</v>
      </c>
      <c r="P1462">
        <v>202605</v>
      </c>
      <c r="Q1462" t="s">
        <v>378</v>
      </c>
      <c r="R1462" t="s">
        <v>1350</v>
      </c>
      <c r="S1462">
        <f>Consulta1[[#This Row],[min_port]]/100</f>
        <v>1.4999999999999999E-2</v>
      </c>
      <c r="T1462" s="252">
        <f>Consulta1[[#This Row],[TETO_COMERCIAL]]/100</f>
        <v>2.2499999999999999E-2</v>
      </c>
      <c r="U1462" t="b">
        <f>Consulta1[[#This Row],[TETO_COMERCIAL_%]]=Consulta1[[#This Row],[TAXA]]</f>
        <v>0</v>
      </c>
      <c r="V1462" t="str">
        <f>CONCATENATE(Consulta1[[#This Row],[MES_ALTERACAO]],Consulta1[[#This Row],[VIRADA]])</f>
        <v>20260510</v>
      </c>
      <c r="W1462">
        <f>VLOOKUP(Consulta1[[#This Row],[Coluna2]],CALENDARIO!$J:$K,2,FALSE)</f>
        <v>5</v>
      </c>
    </row>
    <row r="1463" spans="1:23" x14ac:dyDescent="0.25">
      <c r="A1463" t="s">
        <v>3074</v>
      </c>
      <c r="B1463" t="str">
        <f>CONCATENATE(Consulta1[[#This Row],[id]],Consulta1[[#This Row],[EMPREGADOR]])</f>
        <v>2PREVIFOR MG</v>
      </c>
      <c r="C1463" s="6">
        <f>IF(A1463=A1462,C1462+1,1)</f>
        <v>2</v>
      </c>
      <c r="D1463" t="s">
        <v>535</v>
      </c>
      <c r="E1463" s="101">
        <v>2.0199999999999999E-2</v>
      </c>
      <c r="F1463" s="6">
        <v>120</v>
      </c>
      <c r="G1463" t="s">
        <v>1349</v>
      </c>
      <c r="H1463" s="82">
        <v>2.25</v>
      </c>
      <c r="I1463">
        <v>6</v>
      </c>
      <c r="K1463" t="s">
        <v>2181</v>
      </c>
      <c r="L1463" s="6" t="s">
        <v>1374</v>
      </c>
      <c r="M1463" s="6">
        <v>10</v>
      </c>
      <c r="N1463" s="6">
        <v>2</v>
      </c>
      <c r="O1463">
        <v>500</v>
      </c>
      <c r="P1463">
        <v>202605</v>
      </c>
      <c r="Q1463" t="s">
        <v>378</v>
      </c>
      <c r="R1463" t="s">
        <v>1350</v>
      </c>
      <c r="S1463">
        <f>Consulta1[[#This Row],[min_port]]/100</f>
        <v>1.4999999999999999E-2</v>
      </c>
      <c r="T1463" s="252">
        <f>Consulta1[[#This Row],[TETO_COMERCIAL]]/100</f>
        <v>2.2499999999999999E-2</v>
      </c>
      <c r="U1463" t="b">
        <f>Consulta1[[#This Row],[TETO_COMERCIAL_%]]=Consulta1[[#This Row],[TAXA]]</f>
        <v>0</v>
      </c>
      <c r="V1463" t="str">
        <f>CONCATENATE(Consulta1[[#This Row],[MES_ALTERACAO]],Consulta1[[#This Row],[VIRADA]])</f>
        <v>20260510</v>
      </c>
      <c r="W1463">
        <f>VLOOKUP(Consulta1[[#This Row],[Coluna2]],CALENDARIO!$J:$K,2,FALSE)</f>
        <v>5</v>
      </c>
    </row>
    <row r="1464" spans="1:23" x14ac:dyDescent="0.25">
      <c r="A1464" t="s">
        <v>457</v>
      </c>
      <c r="B1464" t="str">
        <f>CONCATENATE(Consulta1[[#This Row],[id]],Consulta1[[#This Row],[EMPREGADOR]])</f>
        <v>1SAAE FORMIGA MG</v>
      </c>
      <c r="C1464" s="6">
        <f>IF(A1464=A1463,C1463+1,1)</f>
        <v>1</v>
      </c>
      <c r="D1464" t="s">
        <v>458</v>
      </c>
      <c r="E1464" s="101">
        <v>2.1499999999999998E-2</v>
      </c>
      <c r="F1464" s="6">
        <v>120</v>
      </c>
      <c r="G1464" t="s">
        <v>1349</v>
      </c>
      <c r="H1464" s="82">
        <v>2.25</v>
      </c>
      <c r="I1464">
        <v>8</v>
      </c>
      <c r="K1464" t="s">
        <v>2182</v>
      </c>
      <c r="L1464" s="6" t="s">
        <v>1374</v>
      </c>
      <c r="M1464" s="6">
        <v>10</v>
      </c>
      <c r="N1464" s="6">
        <v>2</v>
      </c>
      <c r="O1464">
        <v>500</v>
      </c>
      <c r="P1464">
        <v>202605</v>
      </c>
      <c r="Q1464" t="s">
        <v>378</v>
      </c>
      <c r="R1464" t="s">
        <v>1350</v>
      </c>
      <c r="S1464">
        <f>Consulta1[[#This Row],[min_port]]/100</f>
        <v>1.4999999999999999E-2</v>
      </c>
      <c r="T1464" s="252">
        <f>Consulta1[[#This Row],[TETO_COMERCIAL]]/100</f>
        <v>2.2499999999999999E-2</v>
      </c>
      <c r="U1464" t="b">
        <f>Consulta1[[#This Row],[TETO_COMERCIAL_%]]=Consulta1[[#This Row],[TAXA]]</f>
        <v>0</v>
      </c>
      <c r="V1464" t="str">
        <f>CONCATENATE(Consulta1[[#This Row],[MES_ALTERACAO]],Consulta1[[#This Row],[VIRADA]])</f>
        <v>20260510</v>
      </c>
      <c r="W1464">
        <f>VLOOKUP(Consulta1[[#This Row],[Coluna2]],CALENDARIO!$J:$K,2,FALSE)</f>
        <v>5</v>
      </c>
    </row>
    <row r="1465" spans="1:23" x14ac:dyDescent="0.25">
      <c r="A1465" t="s">
        <v>457</v>
      </c>
      <c r="B1465" t="str">
        <f>CONCATENATE(Consulta1[[#This Row],[id]],Consulta1[[#This Row],[EMPREGADOR]])</f>
        <v>2SAAE FORMIGA MG</v>
      </c>
      <c r="C1465" s="6">
        <f>IF(A1465=A1464,C1464+1,1)</f>
        <v>2</v>
      </c>
      <c r="D1465" t="s">
        <v>459</v>
      </c>
      <c r="E1465" s="101">
        <v>2.0199999999999999E-2</v>
      </c>
      <c r="F1465" s="6">
        <v>120</v>
      </c>
      <c r="G1465" t="s">
        <v>1349</v>
      </c>
      <c r="H1465" s="82">
        <v>2.25</v>
      </c>
      <c r="I1465">
        <v>8</v>
      </c>
      <c r="K1465" t="s">
        <v>2183</v>
      </c>
      <c r="L1465" s="6" t="s">
        <v>1374</v>
      </c>
      <c r="M1465" s="6">
        <v>10</v>
      </c>
      <c r="N1465" s="6">
        <v>2</v>
      </c>
      <c r="O1465">
        <v>500</v>
      </c>
      <c r="P1465">
        <v>202605</v>
      </c>
      <c r="Q1465" t="s">
        <v>378</v>
      </c>
      <c r="R1465" t="s">
        <v>1350</v>
      </c>
      <c r="S1465">
        <f>Consulta1[[#This Row],[min_port]]/100</f>
        <v>1.4999999999999999E-2</v>
      </c>
      <c r="T1465" s="252">
        <f>Consulta1[[#This Row],[TETO_COMERCIAL]]/100</f>
        <v>2.2499999999999999E-2</v>
      </c>
      <c r="U1465" t="b">
        <f>Consulta1[[#This Row],[TETO_COMERCIAL_%]]=Consulta1[[#This Row],[TAXA]]</f>
        <v>0</v>
      </c>
      <c r="V1465" t="str">
        <f>CONCATENATE(Consulta1[[#This Row],[MES_ALTERACAO]],Consulta1[[#This Row],[VIRADA]])</f>
        <v>20260510</v>
      </c>
      <c r="W1465">
        <f>VLOOKUP(Consulta1[[#This Row],[Coluna2]],CALENDARIO!$J:$K,2,FALSE)</f>
        <v>5</v>
      </c>
    </row>
    <row r="1466" spans="1:23" x14ac:dyDescent="0.25">
      <c r="A1466" t="s">
        <v>3958</v>
      </c>
      <c r="B1466" t="str">
        <f>CONCATENATE(Consulta1[[#This Row],[id]],Consulta1[[#This Row],[EMPREGADOR]])</f>
        <v>1SAAE SALTO SP</v>
      </c>
      <c r="C1466" s="6">
        <f>IF(A1466=A1465,C1465+1,1)</f>
        <v>1</v>
      </c>
      <c r="D1466" t="s">
        <v>1278</v>
      </c>
      <c r="E1466" s="101">
        <v>2.5000000000000001E-2</v>
      </c>
      <c r="F1466" s="6">
        <v>120</v>
      </c>
      <c r="G1466" t="s">
        <v>1349</v>
      </c>
      <c r="H1466" s="82">
        <v>2.5</v>
      </c>
      <c r="I1466">
        <v>8</v>
      </c>
      <c r="K1466" t="s">
        <v>2184</v>
      </c>
      <c r="L1466" s="6" t="s">
        <v>1371</v>
      </c>
      <c r="M1466" s="6">
        <v>12</v>
      </c>
      <c r="N1466" s="6">
        <v>2</v>
      </c>
      <c r="O1466">
        <v>500</v>
      </c>
      <c r="P1466">
        <v>202605</v>
      </c>
      <c r="Q1466" t="s">
        <v>377</v>
      </c>
      <c r="R1466" t="s">
        <v>1350</v>
      </c>
      <c r="S1466">
        <f>Consulta1[[#This Row],[min_port]]/100</f>
        <v>1.4499999999999999E-2</v>
      </c>
      <c r="T1466" s="252">
        <f>Consulta1[[#This Row],[TETO_COMERCIAL]]/100</f>
        <v>2.5000000000000001E-2</v>
      </c>
      <c r="U1466" t="b">
        <f>Consulta1[[#This Row],[TETO_COMERCIAL_%]]=Consulta1[[#This Row],[TAXA]]</f>
        <v>1</v>
      </c>
      <c r="V1466" t="str">
        <f>CONCATENATE(Consulta1[[#This Row],[MES_ALTERACAO]],Consulta1[[#This Row],[VIRADA]])</f>
        <v>20260512</v>
      </c>
      <c r="W1466">
        <f>VLOOKUP(Consulta1[[#This Row],[Coluna2]],CALENDARIO!$J:$K,2,FALSE)</f>
        <v>7</v>
      </c>
    </row>
    <row r="1467" spans="1:23" x14ac:dyDescent="0.25">
      <c r="A1467" t="s">
        <v>3958</v>
      </c>
      <c r="B1467" t="str">
        <f>CONCATENATE(Consulta1[[#This Row],[id]],Consulta1[[#This Row],[EMPREGADOR]])</f>
        <v>2SAAE SALTO SP</v>
      </c>
      <c r="C1467" s="6">
        <f>IF(A1467=A1466,C1466+1,1)</f>
        <v>2</v>
      </c>
      <c r="D1467" t="s">
        <v>1279</v>
      </c>
      <c r="E1467" s="101">
        <v>1.9900000000000001E-2</v>
      </c>
      <c r="F1467" s="6">
        <v>120</v>
      </c>
      <c r="G1467" t="s">
        <v>1349</v>
      </c>
      <c r="H1467" s="82">
        <v>2.5</v>
      </c>
      <c r="I1467">
        <v>8</v>
      </c>
      <c r="J1467">
        <v>33</v>
      </c>
      <c r="K1467" t="s">
        <v>2185</v>
      </c>
      <c r="L1467" s="6" t="s">
        <v>1371</v>
      </c>
      <c r="M1467" s="6">
        <v>12</v>
      </c>
      <c r="N1467" s="6">
        <v>2</v>
      </c>
      <c r="O1467">
        <v>500</v>
      </c>
      <c r="P1467">
        <v>202605</v>
      </c>
      <c r="Q1467" t="s">
        <v>377</v>
      </c>
      <c r="R1467" t="s">
        <v>1350</v>
      </c>
      <c r="S1467">
        <f>Consulta1[[#This Row],[min_port]]/100</f>
        <v>1.4499999999999999E-2</v>
      </c>
      <c r="T1467" s="252">
        <f>Consulta1[[#This Row],[TETO_COMERCIAL]]/100</f>
        <v>2.5000000000000001E-2</v>
      </c>
      <c r="U1467" t="b">
        <f>Consulta1[[#This Row],[TETO_COMERCIAL_%]]=Consulta1[[#This Row],[TAXA]]</f>
        <v>0</v>
      </c>
      <c r="V1467" t="str">
        <f>CONCATENATE(Consulta1[[#This Row],[MES_ALTERACAO]],Consulta1[[#This Row],[VIRADA]])</f>
        <v>20260512</v>
      </c>
      <c r="W1467">
        <f>VLOOKUP(Consulta1[[#This Row],[Coluna2]],CALENDARIO!$J:$K,2,FALSE)</f>
        <v>7</v>
      </c>
    </row>
    <row r="1468" spans="1:23" x14ac:dyDescent="0.25">
      <c r="A1468" t="s">
        <v>3958</v>
      </c>
      <c r="B1468" t="str">
        <f>CONCATENATE(Consulta1[[#This Row],[id]],Consulta1[[#This Row],[EMPREGADOR]])</f>
        <v>3SAAE SALTO SP</v>
      </c>
      <c r="C1468" s="6">
        <f>IF(A1468=A1467,C1467+1,1)</f>
        <v>3</v>
      </c>
      <c r="D1468" t="s">
        <v>1280</v>
      </c>
      <c r="E1468" s="101">
        <v>1.95E-2</v>
      </c>
      <c r="F1468" s="6">
        <v>120</v>
      </c>
      <c r="G1468" t="s">
        <v>1349</v>
      </c>
      <c r="H1468" s="82">
        <v>2.5</v>
      </c>
      <c r="I1468">
        <v>8</v>
      </c>
      <c r="J1468">
        <v>33</v>
      </c>
      <c r="K1468" t="s">
        <v>2186</v>
      </c>
      <c r="L1468" s="6" t="s">
        <v>1371</v>
      </c>
      <c r="M1468" s="6">
        <v>12</v>
      </c>
      <c r="N1468" s="6">
        <v>2</v>
      </c>
      <c r="O1468">
        <v>500</v>
      </c>
      <c r="P1468">
        <v>202605</v>
      </c>
      <c r="Q1468" t="s">
        <v>377</v>
      </c>
      <c r="R1468" t="s">
        <v>1350</v>
      </c>
      <c r="S1468">
        <f>Consulta1[[#This Row],[min_port]]/100</f>
        <v>1.4499999999999999E-2</v>
      </c>
      <c r="T1468" s="252">
        <f>Consulta1[[#This Row],[TETO_COMERCIAL]]/100</f>
        <v>2.5000000000000001E-2</v>
      </c>
      <c r="U1468" t="b">
        <f>Consulta1[[#This Row],[TETO_COMERCIAL_%]]=Consulta1[[#This Row],[TAXA]]</f>
        <v>0</v>
      </c>
      <c r="V1468" t="str">
        <f>CONCATENATE(Consulta1[[#This Row],[MES_ALTERACAO]],Consulta1[[#This Row],[VIRADA]])</f>
        <v>20260512</v>
      </c>
      <c r="W1468">
        <f>VLOOKUP(Consulta1[[#This Row],[Coluna2]],CALENDARIO!$J:$K,2,FALSE)</f>
        <v>7</v>
      </c>
    </row>
    <row r="1469" spans="1:23" x14ac:dyDescent="0.25">
      <c r="A1469" t="s">
        <v>3958</v>
      </c>
      <c r="B1469" t="str">
        <f>CONCATENATE(Consulta1[[#This Row],[id]],Consulta1[[#This Row],[EMPREGADOR]])</f>
        <v>4SAAE SALTO SP</v>
      </c>
      <c r="C1469" s="6">
        <f>IF(A1469=A1468,C1468+1,1)</f>
        <v>4</v>
      </c>
      <c r="D1469" t="s">
        <v>1281</v>
      </c>
      <c r="E1469" s="101">
        <v>1.89E-2</v>
      </c>
      <c r="F1469" s="6">
        <v>120</v>
      </c>
      <c r="G1469" t="s">
        <v>1349</v>
      </c>
      <c r="H1469" s="82">
        <v>2.5</v>
      </c>
      <c r="I1469">
        <v>8</v>
      </c>
      <c r="J1469">
        <v>33</v>
      </c>
      <c r="K1469" t="s">
        <v>2187</v>
      </c>
      <c r="L1469" s="6" t="s">
        <v>1371</v>
      </c>
      <c r="M1469" s="6">
        <v>12</v>
      </c>
      <c r="N1469" s="6">
        <v>2</v>
      </c>
      <c r="O1469">
        <v>500</v>
      </c>
      <c r="P1469">
        <v>202605</v>
      </c>
      <c r="Q1469" t="s">
        <v>377</v>
      </c>
      <c r="R1469" t="s">
        <v>1350</v>
      </c>
      <c r="S1469">
        <f>Consulta1[[#This Row],[min_port]]/100</f>
        <v>1.4499999999999999E-2</v>
      </c>
      <c r="T1469" s="252">
        <f>Consulta1[[#This Row],[TETO_COMERCIAL]]/100</f>
        <v>2.5000000000000001E-2</v>
      </c>
      <c r="U1469" t="b">
        <f>Consulta1[[#This Row],[TETO_COMERCIAL_%]]=Consulta1[[#This Row],[TAXA]]</f>
        <v>0</v>
      </c>
      <c r="V1469" t="str">
        <f>CONCATENATE(Consulta1[[#This Row],[MES_ALTERACAO]],Consulta1[[#This Row],[VIRADA]])</f>
        <v>20260512</v>
      </c>
      <c r="W1469">
        <f>VLOOKUP(Consulta1[[#This Row],[Coluna2]],CALENDARIO!$J:$K,2,FALSE)</f>
        <v>7</v>
      </c>
    </row>
    <row r="1470" spans="1:23" x14ac:dyDescent="0.25">
      <c r="A1470" t="s">
        <v>3958</v>
      </c>
      <c r="B1470" t="str">
        <f>CONCATENATE(Consulta1[[#This Row],[id]],Consulta1[[#This Row],[EMPREGADOR]])</f>
        <v>5SAAE SALTO SP</v>
      </c>
      <c r="C1470" s="6">
        <f>IF(A1470=A1469,C1469+1,1)</f>
        <v>5</v>
      </c>
      <c r="D1470" t="s">
        <v>1282</v>
      </c>
      <c r="E1470" s="101">
        <v>1.8500000000000003E-2</v>
      </c>
      <c r="F1470" s="6">
        <v>120</v>
      </c>
      <c r="G1470" t="s">
        <v>1349</v>
      </c>
      <c r="H1470" s="82">
        <v>2.5</v>
      </c>
      <c r="I1470">
        <v>8</v>
      </c>
      <c r="K1470" t="s">
        <v>2188</v>
      </c>
      <c r="L1470" s="6" t="s">
        <v>1371</v>
      </c>
      <c r="M1470" s="6">
        <v>12</v>
      </c>
      <c r="N1470" s="6">
        <v>2</v>
      </c>
      <c r="O1470">
        <v>500</v>
      </c>
      <c r="P1470">
        <v>202605</v>
      </c>
      <c r="Q1470" t="s">
        <v>377</v>
      </c>
      <c r="R1470" t="s">
        <v>1350</v>
      </c>
      <c r="S1470">
        <f>Consulta1[[#This Row],[min_port]]/100</f>
        <v>1.4499999999999999E-2</v>
      </c>
      <c r="T1470" s="252">
        <f>Consulta1[[#This Row],[TETO_COMERCIAL]]/100</f>
        <v>2.5000000000000001E-2</v>
      </c>
      <c r="U1470" t="b">
        <f>Consulta1[[#This Row],[TETO_COMERCIAL_%]]=Consulta1[[#This Row],[TAXA]]</f>
        <v>0</v>
      </c>
      <c r="V1470" t="str">
        <f>CONCATENATE(Consulta1[[#This Row],[MES_ALTERACAO]],Consulta1[[#This Row],[VIRADA]])</f>
        <v>20260512</v>
      </c>
      <c r="W1470">
        <f>VLOOKUP(Consulta1[[#This Row],[Coluna2]],CALENDARIO!$J:$K,2,FALSE)</f>
        <v>7</v>
      </c>
    </row>
    <row r="1471" spans="1:23" x14ac:dyDescent="0.25">
      <c r="A1471" t="s">
        <v>3958</v>
      </c>
      <c r="B1471" t="str">
        <f>CONCATENATE(Consulta1[[#This Row],[id]],Consulta1[[#This Row],[EMPREGADOR]])</f>
        <v>6SAAE SALTO SP</v>
      </c>
      <c r="C1471" s="6">
        <f>IF(A1471=A1470,C1470+1,1)</f>
        <v>6</v>
      </c>
      <c r="D1471" t="s">
        <v>1283</v>
      </c>
      <c r="E1471" s="101">
        <v>1.7899999999999999E-2</v>
      </c>
      <c r="F1471" s="6">
        <v>120</v>
      </c>
      <c r="G1471" t="s">
        <v>1349</v>
      </c>
      <c r="H1471" s="82">
        <v>2.5</v>
      </c>
      <c r="I1471">
        <v>8</v>
      </c>
      <c r="J1471">
        <v>33</v>
      </c>
      <c r="K1471" t="s">
        <v>2189</v>
      </c>
      <c r="L1471" s="6" t="s">
        <v>1371</v>
      </c>
      <c r="M1471" s="6">
        <v>12</v>
      </c>
      <c r="N1471" s="6">
        <v>2</v>
      </c>
      <c r="O1471">
        <v>500</v>
      </c>
      <c r="P1471">
        <v>202605</v>
      </c>
      <c r="Q1471" t="s">
        <v>377</v>
      </c>
      <c r="R1471" t="s">
        <v>1350</v>
      </c>
      <c r="S1471">
        <f>Consulta1[[#This Row],[min_port]]/100</f>
        <v>1.4499999999999999E-2</v>
      </c>
      <c r="T1471" s="252">
        <f>Consulta1[[#This Row],[TETO_COMERCIAL]]/100</f>
        <v>2.5000000000000001E-2</v>
      </c>
      <c r="U1471" t="b">
        <f>Consulta1[[#This Row],[TETO_COMERCIAL_%]]=Consulta1[[#This Row],[TAXA]]</f>
        <v>0</v>
      </c>
      <c r="V1471" t="str">
        <f>CONCATENATE(Consulta1[[#This Row],[MES_ALTERACAO]],Consulta1[[#This Row],[VIRADA]])</f>
        <v>20260512</v>
      </c>
      <c r="W1471">
        <f>VLOOKUP(Consulta1[[#This Row],[Coluna2]],CALENDARIO!$J:$K,2,FALSE)</f>
        <v>7</v>
      </c>
    </row>
    <row r="1472" spans="1:23" x14ac:dyDescent="0.25">
      <c r="A1472" t="s">
        <v>3075</v>
      </c>
      <c r="B1472" t="str">
        <f>CONCATENATE(Consulta1[[#This Row],[id]],Consulta1[[#This Row],[EMPREGADOR]])</f>
        <v>1SEMAE MOGI CRU</v>
      </c>
      <c r="C1472" s="6">
        <f>IF(A1472=A1471,C1471+1,1)</f>
        <v>1</v>
      </c>
      <c r="D1472" t="s">
        <v>2190</v>
      </c>
      <c r="E1472" s="101">
        <v>2.5899999999999999E-2</v>
      </c>
      <c r="F1472" s="6">
        <v>120</v>
      </c>
      <c r="G1472" t="s">
        <v>1349</v>
      </c>
      <c r="H1472" s="82">
        <v>2.59</v>
      </c>
      <c r="I1472">
        <v>15</v>
      </c>
      <c r="K1472" t="s">
        <v>2191</v>
      </c>
      <c r="L1472" s="6" t="s">
        <v>2192</v>
      </c>
      <c r="M1472" s="6">
        <v>16</v>
      </c>
      <c r="N1472" s="6">
        <v>2</v>
      </c>
      <c r="O1472">
        <v>500</v>
      </c>
      <c r="P1472">
        <v>202605</v>
      </c>
      <c r="Q1472" t="s">
        <v>377</v>
      </c>
      <c r="R1472" t="s">
        <v>1350</v>
      </c>
      <c r="S1472">
        <f>Consulta1[[#This Row],[min_port]]/100</f>
        <v>2.2400000000000003E-2</v>
      </c>
      <c r="T1472" s="252">
        <f>Consulta1[[#This Row],[TETO_COMERCIAL]]/100</f>
        <v>2.5899999999999999E-2</v>
      </c>
      <c r="U1472" t="b">
        <f>Consulta1[[#This Row],[TETO_COMERCIAL_%]]=Consulta1[[#This Row],[TAXA]]</f>
        <v>1</v>
      </c>
      <c r="V1472" t="str">
        <f>CONCATENATE(Consulta1[[#This Row],[MES_ALTERACAO]],Consulta1[[#This Row],[VIRADA]])</f>
        <v>20260516</v>
      </c>
      <c r="W1472">
        <f>VLOOKUP(Consulta1[[#This Row],[Coluna2]],CALENDARIO!$J:$K,2,FALSE)</f>
        <v>10</v>
      </c>
    </row>
    <row r="1473" spans="1:23" x14ac:dyDescent="0.25">
      <c r="A1473" t="s">
        <v>3075</v>
      </c>
      <c r="B1473" t="str">
        <f>CONCATENATE(Consulta1[[#This Row],[id]],Consulta1[[#This Row],[EMPREGADOR]])</f>
        <v>2SEMAE MOGI CRU</v>
      </c>
      <c r="C1473" s="6">
        <f>IF(A1473=A1472,C1472+1,1)</f>
        <v>2</v>
      </c>
      <c r="D1473" t="s">
        <v>2193</v>
      </c>
      <c r="E1473" s="101">
        <v>2.4900000000000002E-2</v>
      </c>
      <c r="F1473" s="6">
        <v>120</v>
      </c>
      <c r="G1473" t="s">
        <v>1349</v>
      </c>
      <c r="H1473" s="82">
        <v>2.59</v>
      </c>
      <c r="I1473">
        <v>15</v>
      </c>
      <c r="K1473" t="s">
        <v>2194</v>
      </c>
      <c r="L1473" s="6" t="s">
        <v>2192</v>
      </c>
      <c r="M1473" s="6">
        <v>16</v>
      </c>
      <c r="N1473" s="6">
        <v>2</v>
      </c>
      <c r="O1473">
        <v>500</v>
      </c>
      <c r="P1473">
        <v>202605</v>
      </c>
      <c r="Q1473" t="s">
        <v>377</v>
      </c>
      <c r="R1473" t="s">
        <v>1350</v>
      </c>
      <c r="S1473">
        <f>Consulta1[[#This Row],[min_port]]/100</f>
        <v>2.2400000000000003E-2</v>
      </c>
      <c r="T1473" s="252">
        <f>Consulta1[[#This Row],[TETO_COMERCIAL]]/100</f>
        <v>2.5899999999999999E-2</v>
      </c>
      <c r="U1473" t="b">
        <f>Consulta1[[#This Row],[TETO_COMERCIAL_%]]=Consulta1[[#This Row],[TAXA]]</f>
        <v>0</v>
      </c>
      <c r="V1473" t="str">
        <f>CONCATENATE(Consulta1[[#This Row],[MES_ALTERACAO]],Consulta1[[#This Row],[VIRADA]])</f>
        <v>20260516</v>
      </c>
      <c r="W1473">
        <f>VLOOKUP(Consulta1[[#This Row],[Coluna2]],CALENDARIO!$J:$K,2,FALSE)</f>
        <v>10</v>
      </c>
    </row>
    <row r="1474" spans="1:23" x14ac:dyDescent="0.25">
      <c r="A1474" t="s">
        <v>3076</v>
      </c>
      <c r="B1474" t="str">
        <f>CONCATENATE(Consulta1[[#This Row],[id]],Consulta1[[#This Row],[EMPREGADOR]])</f>
        <v>1SEMAE PIRACICAB EST</v>
      </c>
      <c r="C1474" s="6">
        <f>IF(A1474=A1473,C1473+1,1)</f>
        <v>1</v>
      </c>
      <c r="D1474" t="s">
        <v>909</v>
      </c>
      <c r="E1474" s="101">
        <v>1.9699999999999999E-2</v>
      </c>
      <c r="F1474" s="6">
        <v>96</v>
      </c>
      <c r="G1474" t="s">
        <v>1349</v>
      </c>
      <c r="H1474" s="82">
        <v>2.08</v>
      </c>
      <c r="I1474">
        <v>5</v>
      </c>
      <c r="J1474">
        <v>33</v>
      </c>
      <c r="K1474" t="s">
        <v>2195</v>
      </c>
      <c r="L1474" s="6" t="s">
        <v>1366</v>
      </c>
      <c r="M1474" s="6">
        <v>16</v>
      </c>
      <c r="N1474" s="6">
        <v>2</v>
      </c>
      <c r="O1474">
        <v>500</v>
      </c>
      <c r="P1474">
        <v>202605</v>
      </c>
      <c r="Q1474" t="s">
        <v>377</v>
      </c>
      <c r="R1474" t="s">
        <v>1350</v>
      </c>
      <c r="S1474">
        <f>Consulta1[[#This Row],[min_port]]/100</f>
        <v>1.8000000000000002E-2</v>
      </c>
      <c r="T1474" s="252">
        <f>Consulta1[[#This Row],[TETO_COMERCIAL]]/100</f>
        <v>2.0799999999999999E-2</v>
      </c>
      <c r="U1474" t="b">
        <f>Consulta1[[#This Row],[TETO_COMERCIAL_%]]=Consulta1[[#This Row],[TAXA]]</f>
        <v>0</v>
      </c>
      <c r="V1474" t="str">
        <f>CONCATENATE(Consulta1[[#This Row],[MES_ALTERACAO]],Consulta1[[#This Row],[VIRADA]])</f>
        <v>20260516</v>
      </c>
      <c r="W1474">
        <f>VLOOKUP(Consulta1[[#This Row],[Coluna2]],CALENDARIO!$J:$K,2,FALSE)</f>
        <v>10</v>
      </c>
    </row>
    <row r="1475" spans="1:23" x14ac:dyDescent="0.25">
      <c r="A1475" t="s">
        <v>403</v>
      </c>
      <c r="B1475" t="str">
        <f>CONCATENATE(Consulta1[[#This Row],[id]],Consulta1[[#This Row],[EMPREGADOR]])</f>
        <v>1SENADO FEDERAL</v>
      </c>
      <c r="C1475" s="6">
        <f>IF(A1475=A1474,C1474+1,1)</f>
        <v>1</v>
      </c>
      <c r="D1475" t="s">
        <v>404</v>
      </c>
      <c r="E1475" s="101">
        <v>1.4999999999999999E-2</v>
      </c>
      <c r="F1475" s="6">
        <v>120</v>
      </c>
      <c r="G1475" t="s">
        <v>1349</v>
      </c>
      <c r="H1475" s="82">
        <v>1.5</v>
      </c>
      <c r="I1475">
        <v>25</v>
      </c>
      <c r="J1475">
        <v>29</v>
      </c>
      <c r="K1475" t="s">
        <v>2196</v>
      </c>
      <c r="L1475" s="6" t="s">
        <v>2197</v>
      </c>
      <c r="M1475" s="6">
        <v>6</v>
      </c>
      <c r="N1475" s="6">
        <v>2</v>
      </c>
      <c r="O1475">
        <v>500</v>
      </c>
      <c r="P1475">
        <v>202605</v>
      </c>
      <c r="Q1475" t="s">
        <v>378</v>
      </c>
      <c r="R1475" t="s">
        <v>1353</v>
      </c>
      <c r="S1475">
        <f>Consulta1[[#This Row],[min_port]]/100</f>
        <v>1.2500000000000001E-2</v>
      </c>
      <c r="T1475" s="252">
        <f>Consulta1[[#This Row],[TETO_COMERCIAL]]/100</f>
        <v>1.4999999999999999E-2</v>
      </c>
      <c r="U1475" t="b">
        <f>Consulta1[[#This Row],[TETO_COMERCIAL_%]]=Consulta1[[#This Row],[TAXA]]</f>
        <v>1</v>
      </c>
      <c r="V1475" t="str">
        <f>CONCATENATE(Consulta1[[#This Row],[MES_ALTERACAO]],Consulta1[[#This Row],[VIRADA]])</f>
        <v>2026056</v>
      </c>
      <c r="W1475">
        <f>VLOOKUP(Consulta1[[#This Row],[Coluna2]],CALENDARIO!$J:$K,2,FALSE)</f>
        <v>3</v>
      </c>
    </row>
    <row r="1476" spans="1:23" x14ac:dyDescent="0.25">
      <c r="A1476" t="s">
        <v>2477</v>
      </c>
      <c r="B1476" t="str">
        <f>CONCATENATE(Consulta1[[#This Row],[id]],Consulta1[[#This Row],[EMPREGADOR]])</f>
        <v>1SEPREM</v>
      </c>
      <c r="C1476" s="6">
        <f>IF(A1476=A1475,C1475+1,1)</f>
        <v>1</v>
      </c>
      <c r="D1476" t="s">
        <v>2478</v>
      </c>
      <c r="E1476" s="101">
        <v>1.8500000000000003E-2</v>
      </c>
      <c r="F1476" s="6">
        <v>96</v>
      </c>
      <c r="G1476" t="s">
        <v>1349</v>
      </c>
      <c r="H1476" s="82">
        <v>1.85</v>
      </c>
      <c r="I1476">
        <v>13</v>
      </c>
      <c r="K1476" t="s">
        <v>2479</v>
      </c>
      <c r="L1476" s="6" t="s">
        <v>1409</v>
      </c>
      <c r="M1476" s="6">
        <v>20</v>
      </c>
      <c r="N1476" s="6">
        <v>2</v>
      </c>
      <c r="O1476">
        <v>500</v>
      </c>
      <c r="P1476">
        <v>202605</v>
      </c>
      <c r="Q1476" t="s">
        <v>377</v>
      </c>
      <c r="R1476" t="s">
        <v>1350</v>
      </c>
      <c r="S1476">
        <f>Consulta1[[#This Row],[min_port]]/100</f>
        <v>1.55E-2</v>
      </c>
      <c r="T1476" s="252">
        <f>Consulta1[[#This Row],[TETO_COMERCIAL]]/100</f>
        <v>1.8500000000000003E-2</v>
      </c>
      <c r="U1476" t="b">
        <f>Consulta1[[#This Row],[TETO_COMERCIAL_%]]=Consulta1[[#This Row],[TAXA]]</f>
        <v>1</v>
      </c>
      <c r="V1476" t="str">
        <f>CONCATENATE(Consulta1[[#This Row],[MES_ALTERACAO]],Consulta1[[#This Row],[VIRADA]])</f>
        <v>20260520</v>
      </c>
      <c r="W1476">
        <f>VLOOKUP(Consulta1[[#This Row],[Coluna2]],CALENDARIO!$J:$K,2,FALSE)</f>
        <v>13</v>
      </c>
    </row>
    <row r="1477" spans="1:23" x14ac:dyDescent="0.25">
      <c r="A1477" t="s">
        <v>2477</v>
      </c>
      <c r="B1477" t="str">
        <f>CONCATENATE(Consulta1[[#This Row],[id]],Consulta1[[#This Row],[EMPREGADOR]])</f>
        <v>2SEPREM</v>
      </c>
      <c r="C1477" s="6">
        <f>IF(A1477=A1476,C1476+1,1)</f>
        <v>2</v>
      </c>
      <c r="D1477" t="s">
        <v>2480</v>
      </c>
      <c r="E1477" s="101">
        <v>1.8000000000000002E-2</v>
      </c>
      <c r="F1477" s="6">
        <v>96</v>
      </c>
      <c r="G1477" t="s">
        <v>1349</v>
      </c>
      <c r="H1477" s="82">
        <v>1.85</v>
      </c>
      <c r="I1477">
        <v>13</v>
      </c>
      <c r="K1477" t="s">
        <v>2481</v>
      </c>
      <c r="L1477" s="6" t="s">
        <v>1409</v>
      </c>
      <c r="M1477" s="6">
        <v>20</v>
      </c>
      <c r="N1477" s="6">
        <v>2</v>
      </c>
      <c r="O1477">
        <v>500</v>
      </c>
      <c r="P1477">
        <v>202605</v>
      </c>
      <c r="Q1477" t="s">
        <v>377</v>
      </c>
      <c r="R1477" t="s">
        <v>1350</v>
      </c>
      <c r="S1477">
        <f>Consulta1[[#This Row],[min_port]]/100</f>
        <v>1.55E-2</v>
      </c>
      <c r="T1477" s="252">
        <f>Consulta1[[#This Row],[TETO_COMERCIAL]]/100</f>
        <v>1.8500000000000003E-2</v>
      </c>
      <c r="U1477" t="b">
        <f>Consulta1[[#This Row],[TETO_COMERCIAL_%]]=Consulta1[[#This Row],[TAXA]]</f>
        <v>0</v>
      </c>
      <c r="V1477" t="str">
        <f>CONCATENATE(Consulta1[[#This Row],[MES_ALTERACAO]],Consulta1[[#This Row],[VIRADA]])</f>
        <v>20260520</v>
      </c>
      <c r="W1477">
        <f>VLOOKUP(Consulta1[[#This Row],[Coluna2]],CALENDARIO!$J:$K,2,FALSE)</f>
        <v>13</v>
      </c>
    </row>
    <row r="1478" spans="1:23" x14ac:dyDescent="0.25">
      <c r="A1478" t="s">
        <v>2477</v>
      </c>
      <c r="B1478" t="str">
        <f>CONCATENATE(Consulta1[[#This Row],[id]],Consulta1[[#This Row],[EMPREGADOR]])</f>
        <v>3SEPREM</v>
      </c>
      <c r="C1478" s="6">
        <f>IF(A1478=A1477,C1477+1,1)</f>
        <v>3</v>
      </c>
      <c r="D1478" t="s">
        <v>2482</v>
      </c>
      <c r="E1478" s="101">
        <v>1.7500000000000002E-2</v>
      </c>
      <c r="F1478" s="6">
        <v>96</v>
      </c>
      <c r="G1478" t="s">
        <v>1349</v>
      </c>
      <c r="H1478" s="82">
        <v>1.85</v>
      </c>
      <c r="I1478">
        <v>13</v>
      </c>
      <c r="K1478" t="s">
        <v>2483</v>
      </c>
      <c r="L1478" s="6" t="s">
        <v>1409</v>
      </c>
      <c r="M1478" s="6">
        <v>20</v>
      </c>
      <c r="N1478" s="6">
        <v>2</v>
      </c>
      <c r="O1478">
        <v>500</v>
      </c>
      <c r="P1478">
        <v>202605</v>
      </c>
      <c r="Q1478" t="s">
        <v>377</v>
      </c>
      <c r="R1478" t="s">
        <v>1350</v>
      </c>
      <c r="S1478">
        <f>Consulta1[[#This Row],[min_port]]/100</f>
        <v>1.55E-2</v>
      </c>
      <c r="T1478" s="252">
        <f>Consulta1[[#This Row],[TETO_COMERCIAL]]/100</f>
        <v>1.8500000000000003E-2</v>
      </c>
      <c r="U1478" t="b">
        <f>Consulta1[[#This Row],[TETO_COMERCIAL_%]]=Consulta1[[#This Row],[TAXA]]</f>
        <v>0</v>
      </c>
      <c r="V1478" t="str">
        <f>CONCATENATE(Consulta1[[#This Row],[MES_ALTERACAO]],Consulta1[[#This Row],[VIRADA]])</f>
        <v>20260520</v>
      </c>
      <c r="W1478">
        <f>VLOOKUP(Consulta1[[#This Row],[Coluna2]],CALENDARIO!$J:$K,2,FALSE)</f>
        <v>13</v>
      </c>
    </row>
    <row r="1479" spans="1:23" x14ac:dyDescent="0.25">
      <c r="A1479" t="s">
        <v>2477</v>
      </c>
      <c r="B1479" t="str">
        <f>CONCATENATE(Consulta1[[#This Row],[id]],Consulta1[[#This Row],[EMPREGADOR]])</f>
        <v>4SEPREM</v>
      </c>
      <c r="C1479" s="6">
        <f>IF(A1479=A1478,C1478+1,1)</f>
        <v>4</v>
      </c>
      <c r="D1479" t="s">
        <v>2484</v>
      </c>
      <c r="E1479" s="101">
        <v>1.6899999999999998E-2</v>
      </c>
      <c r="F1479" s="6">
        <v>96</v>
      </c>
      <c r="G1479" t="s">
        <v>1349</v>
      </c>
      <c r="H1479" s="82">
        <v>1.85</v>
      </c>
      <c r="I1479">
        <v>13</v>
      </c>
      <c r="K1479" t="s">
        <v>2485</v>
      </c>
      <c r="L1479" s="6" t="s">
        <v>1409</v>
      </c>
      <c r="M1479" s="6">
        <v>20</v>
      </c>
      <c r="N1479" s="6">
        <v>2</v>
      </c>
      <c r="O1479">
        <v>500</v>
      </c>
      <c r="P1479">
        <v>202605</v>
      </c>
      <c r="Q1479" t="s">
        <v>377</v>
      </c>
      <c r="R1479" t="s">
        <v>1350</v>
      </c>
      <c r="S1479">
        <f>Consulta1[[#This Row],[min_port]]/100</f>
        <v>1.55E-2</v>
      </c>
      <c r="T1479" s="252">
        <f>Consulta1[[#This Row],[TETO_COMERCIAL]]/100</f>
        <v>1.8500000000000003E-2</v>
      </c>
      <c r="U1479" t="b">
        <f>Consulta1[[#This Row],[TETO_COMERCIAL_%]]=Consulta1[[#This Row],[TAXA]]</f>
        <v>0</v>
      </c>
      <c r="V1479" t="str">
        <f>CONCATENATE(Consulta1[[#This Row],[MES_ALTERACAO]],Consulta1[[#This Row],[VIRADA]])</f>
        <v>20260520</v>
      </c>
      <c r="W1479">
        <f>VLOOKUP(Consulta1[[#This Row],[Coluna2]],CALENDARIO!$J:$K,2,FALSE)</f>
        <v>13</v>
      </c>
    </row>
    <row r="1480" spans="1:23" x14ac:dyDescent="0.25">
      <c r="A1480" t="s">
        <v>3077</v>
      </c>
      <c r="B1480" t="str">
        <f>CONCATENATE(Consulta1[[#This Row],[id]],Consulta1[[#This Row],[EMPREGADOR]])</f>
        <v>1SIAPE PORT</v>
      </c>
      <c r="C1480" s="6">
        <f>IF(A1480=A1479,C1479+1,1)</f>
        <v>1</v>
      </c>
      <c r="D1480" t="s">
        <v>3816</v>
      </c>
      <c r="E1480" s="101">
        <v>1.7729999999999999E-2</v>
      </c>
      <c r="F1480" s="6">
        <v>120</v>
      </c>
      <c r="G1480" t="s">
        <v>1349</v>
      </c>
      <c r="H1480" s="82">
        <v>1.8</v>
      </c>
      <c r="I1480">
        <v>15</v>
      </c>
      <c r="J1480">
        <v>51</v>
      </c>
      <c r="K1480" t="s">
        <v>3817</v>
      </c>
      <c r="L1480" s="6" t="s">
        <v>1471</v>
      </c>
      <c r="M1480" s="6">
        <v>10</v>
      </c>
      <c r="N1480" s="6">
        <v>2</v>
      </c>
      <c r="O1480">
        <v>500</v>
      </c>
      <c r="P1480">
        <v>202605</v>
      </c>
      <c r="Q1480" t="s">
        <v>377</v>
      </c>
      <c r="R1480" t="s">
        <v>1353</v>
      </c>
      <c r="S1480">
        <f>Consulta1[[#This Row],[min_port]]/100</f>
        <v>1.34E-2</v>
      </c>
      <c r="T1480" s="252">
        <f>Consulta1[[#This Row],[TETO_COMERCIAL]]/100</f>
        <v>1.8000000000000002E-2</v>
      </c>
      <c r="U1480" t="b">
        <f>Consulta1[[#This Row],[TETO_COMERCIAL_%]]=Consulta1[[#This Row],[TAXA]]</f>
        <v>0</v>
      </c>
      <c r="V1480" t="str">
        <f>CONCATENATE(Consulta1[[#This Row],[MES_ALTERACAO]],Consulta1[[#This Row],[VIRADA]])</f>
        <v>20260510</v>
      </c>
      <c r="W1480">
        <f>VLOOKUP(Consulta1[[#This Row],[Coluna2]],CALENDARIO!$J:$K,2,FALSE)</f>
        <v>5</v>
      </c>
    </row>
    <row r="1481" spans="1:23" x14ac:dyDescent="0.25">
      <c r="A1481" t="s">
        <v>3077</v>
      </c>
      <c r="B1481" t="str">
        <f>CONCATENATE(Consulta1[[#This Row],[id]],Consulta1[[#This Row],[EMPREGADOR]])</f>
        <v>2SIAPE PORT</v>
      </c>
      <c r="C1481" s="6">
        <f>IF(A1481=A1480,C1480+1,1)</f>
        <v>2</v>
      </c>
      <c r="D1481" t="s">
        <v>2817</v>
      </c>
      <c r="E1481" s="101">
        <v>1.7729999999999999E-2</v>
      </c>
      <c r="F1481" s="6">
        <v>96</v>
      </c>
      <c r="G1481" t="s">
        <v>1349</v>
      </c>
      <c r="H1481" s="82">
        <v>1.8</v>
      </c>
      <c r="I1481">
        <v>15</v>
      </c>
      <c r="J1481">
        <v>51</v>
      </c>
      <c r="K1481" t="s">
        <v>2818</v>
      </c>
      <c r="L1481" s="6" t="s">
        <v>1471</v>
      </c>
      <c r="M1481" s="6">
        <v>10</v>
      </c>
      <c r="N1481" s="6">
        <v>2</v>
      </c>
      <c r="O1481">
        <v>500</v>
      </c>
      <c r="P1481">
        <v>202605</v>
      </c>
      <c r="Q1481" t="s">
        <v>377</v>
      </c>
      <c r="R1481" t="s">
        <v>1353</v>
      </c>
      <c r="S1481">
        <f>Consulta1[[#This Row],[min_port]]/100</f>
        <v>1.34E-2</v>
      </c>
      <c r="T1481" s="252">
        <f>Consulta1[[#This Row],[TETO_COMERCIAL]]/100</f>
        <v>1.8000000000000002E-2</v>
      </c>
      <c r="U1481" t="b">
        <f>Consulta1[[#This Row],[TETO_COMERCIAL_%]]=Consulta1[[#This Row],[TAXA]]</f>
        <v>0</v>
      </c>
      <c r="V1481" t="str">
        <f>CONCATENATE(Consulta1[[#This Row],[MES_ALTERACAO]],Consulta1[[#This Row],[VIRADA]])</f>
        <v>20260510</v>
      </c>
      <c r="W1481">
        <f>VLOOKUP(Consulta1[[#This Row],[Coluna2]],CALENDARIO!$J:$K,2,FALSE)</f>
        <v>5</v>
      </c>
    </row>
    <row r="1482" spans="1:23" x14ac:dyDescent="0.25">
      <c r="A1482" t="s">
        <v>3077</v>
      </c>
      <c r="B1482" t="str">
        <f>CONCATENATE(Consulta1[[#This Row],[id]],Consulta1[[#This Row],[EMPREGADOR]])</f>
        <v>3SIAPE PORT</v>
      </c>
      <c r="C1482" s="6">
        <f>IF(A1482=A1481,C1481+1,1)</f>
        <v>3</v>
      </c>
      <c r="D1482" t="s">
        <v>3818</v>
      </c>
      <c r="E1482" s="101">
        <v>1.7500000000000002E-2</v>
      </c>
      <c r="F1482" s="6">
        <v>120</v>
      </c>
      <c r="G1482" t="s">
        <v>1349</v>
      </c>
      <c r="H1482" s="82">
        <v>1.8</v>
      </c>
      <c r="I1482">
        <v>15</v>
      </c>
      <c r="J1482">
        <v>51</v>
      </c>
      <c r="K1482" t="s">
        <v>3819</v>
      </c>
      <c r="L1482" s="6" t="s">
        <v>1471</v>
      </c>
      <c r="M1482" s="6">
        <v>10</v>
      </c>
      <c r="N1482" s="6">
        <v>2</v>
      </c>
      <c r="O1482">
        <v>500</v>
      </c>
      <c r="P1482">
        <v>202605</v>
      </c>
      <c r="Q1482" t="s">
        <v>377</v>
      </c>
      <c r="R1482" t="s">
        <v>1353</v>
      </c>
      <c r="S1482">
        <f>Consulta1[[#This Row],[min_port]]/100</f>
        <v>1.34E-2</v>
      </c>
      <c r="T1482" s="252">
        <f>Consulta1[[#This Row],[TETO_COMERCIAL]]/100</f>
        <v>1.8000000000000002E-2</v>
      </c>
      <c r="U1482" t="b">
        <f>Consulta1[[#This Row],[TETO_COMERCIAL_%]]=Consulta1[[#This Row],[TAXA]]</f>
        <v>0</v>
      </c>
      <c r="V1482" t="str">
        <f>CONCATENATE(Consulta1[[#This Row],[MES_ALTERACAO]],Consulta1[[#This Row],[VIRADA]])</f>
        <v>20260510</v>
      </c>
      <c r="W1482">
        <f>VLOOKUP(Consulta1[[#This Row],[Coluna2]],CALENDARIO!$J:$K,2,FALSE)</f>
        <v>5</v>
      </c>
    </row>
    <row r="1483" spans="1:23" x14ac:dyDescent="0.25">
      <c r="A1483" t="s">
        <v>3077</v>
      </c>
      <c r="B1483" t="str">
        <f>CONCATENATE(Consulta1[[#This Row],[id]],Consulta1[[#This Row],[EMPREGADOR]])</f>
        <v>4SIAPE PORT</v>
      </c>
      <c r="C1483" s="6">
        <f>IF(A1483=A1482,C1482+1,1)</f>
        <v>4</v>
      </c>
      <c r="D1483" t="s">
        <v>2819</v>
      </c>
      <c r="E1483" s="101">
        <v>1.7500000000000002E-2</v>
      </c>
      <c r="F1483" s="6">
        <v>96</v>
      </c>
      <c r="G1483" t="s">
        <v>1349</v>
      </c>
      <c r="H1483" s="82">
        <v>1.8</v>
      </c>
      <c r="I1483">
        <v>15</v>
      </c>
      <c r="J1483">
        <v>51</v>
      </c>
      <c r="K1483" t="s">
        <v>2820</v>
      </c>
      <c r="L1483" s="6" t="s">
        <v>1471</v>
      </c>
      <c r="M1483" s="6">
        <v>10</v>
      </c>
      <c r="N1483" s="6">
        <v>2</v>
      </c>
      <c r="O1483">
        <v>500</v>
      </c>
      <c r="P1483">
        <v>202605</v>
      </c>
      <c r="Q1483" t="s">
        <v>377</v>
      </c>
      <c r="R1483" t="s">
        <v>1353</v>
      </c>
      <c r="S1483">
        <f>Consulta1[[#This Row],[min_port]]/100</f>
        <v>1.34E-2</v>
      </c>
      <c r="T1483" s="252">
        <f>Consulta1[[#This Row],[TETO_COMERCIAL]]/100</f>
        <v>1.8000000000000002E-2</v>
      </c>
      <c r="U1483" t="b">
        <f>Consulta1[[#This Row],[TETO_COMERCIAL_%]]=Consulta1[[#This Row],[TAXA]]</f>
        <v>0</v>
      </c>
      <c r="V1483" t="str">
        <f>CONCATENATE(Consulta1[[#This Row],[MES_ALTERACAO]],Consulta1[[#This Row],[VIRADA]])</f>
        <v>20260510</v>
      </c>
      <c r="W1483">
        <f>VLOOKUP(Consulta1[[#This Row],[Coluna2]],CALENDARIO!$J:$K,2,FALSE)</f>
        <v>5</v>
      </c>
    </row>
    <row r="1484" spans="1:23" x14ac:dyDescent="0.25">
      <c r="A1484" t="s">
        <v>3077</v>
      </c>
      <c r="B1484" t="str">
        <f>CONCATENATE(Consulta1[[#This Row],[id]],Consulta1[[#This Row],[EMPREGADOR]])</f>
        <v>5SIAPE PORT</v>
      </c>
      <c r="C1484" s="6">
        <f>IF(A1484=A1483,C1483+1,1)</f>
        <v>5</v>
      </c>
      <c r="D1484" t="s">
        <v>3820</v>
      </c>
      <c r="E1484" s="101">
        <v>1.72E-2</v>
      </c>
      <c r="F1484" s="6">
        <v>120</v>
      </c>
      <c r="G1484" t="s">
        <v>1349</v>
      </c>
      <c r="H1484" s="82">
        <v>1.8</v>
      </c>
      <c r="I1484">
        <v>15</v>
      </c>
      <c r="J1484">
        <v>51</v>
      </c>
      <c r="K1484" t="s">
        <v>3821</v>
      </c>
      <c r="L1484" s="6" t="s">
        <v>1471</v>
      </c>
      <c r="M1484" s="6">
        <v>10</v>
      </c>
      <c r="N1484" s="6">
        <v>2</v>
      </c>
      <c r="O1484">
        <v>500</v>
      </c>
      <c r="P1484">
        <v>202605</v>
      </c>
      <c r="Q1484" t="s">
        <v>377</v>
      </c>
      <c r="R1484" t="s">
        <v>1353</v>
      </c>
      <c r="S1484">
        <f>Consulta1[[#This Row],[min_port]]/100</f>
        <v>1.34E-2</v>
      </c>
      <c r="T1484" s="252">
        <f>Consulta1[[#This Row],[TETO_COMERCIAL]]/100</f>
        <v>1.8000000000000002E-2</v>
      </c>
      <c r="U1484" t="b">
        <f>Consulta1[[#This Row],[TETO_COMERCIAL_%]]=Consulta1[[#This Row],[TAXA]]</f>
        <v>0</v>
      </c>
      <c r="V1484" t="str">
        <f>CONCATENATE(Consulta1[[#This Row],[MES_ALTERACAO]],Consulta1[[#This Row],[VIRADA]])</f>
        <v>20260510</v>
      </c>
      <c r="W1484">
        <f>VLOOKUP(Consulta1[[#This Row],[Coluna2]],CALENDARIO!$J:$K,2,FALSE)</f>
        <v>5</v>
      </c>
    </row>
    <row r="1485" spans="1:23" x14ac:dyDescent="0.25">
      <c r="A1485" t="s">
        <v>3077</v>
      </c>
      <c r="B1485" t="str">
        <f>CONCATENATE(Consulta1[[#This Row],[id]],Consulta1[[#This Row],[EMPREGADOR]])</f>
        <v>6SIAPE PORT</v>
      </c>
      <c r="C1485" s="6">
        <f>IF(A1485=A1484,C1484+1,1)</f>
        <v>6</v>
      </c>
      <c r="D1485" t="s">
        <v>2821</v>
      </c>
      <c r="E1485" s="101">
        <v>1.72E-2</v>
      </c>
      <c r="F1485" s="6">
        <v>96</v>
      </c>
      <c r="G1485" t="s">
        <v>1349</v>
      </c>
      <c r="H1485" s="82">
        <v>1.8</v>
      </c>
      <c r="I1485">
        <v>15</v>
      </c>
      <c r="J1485">
        <v>51</v>
      </c>
      <c r="K1485" t="s">
        <v>2822</v>
      </c>
      <c r="L1485" s="6" t="s">
        <v>1471</v>
      </c>
      <c r="M1485" s="6">
        <v>10</v>
      </c>
      <c r="N1485" s="6">
        <v>2</v>
      </c>
      <c r="O1485">
        <v>500</v>
      </c>
      <c r="P1485">
        <v>202605</v>
      </c>
      <c r="Q1485" t="s">
        <v>377</v>
      </c>
      <c r="R1485" t="s">
        <v>1353</v>
      </c>
      <c r="S1485">
        <f>Consulta1[[#This Row],[min_port]]/100</f>
        <v>1.34E-2</v>
      </c>
      <c r="T1485" s="252">
        <f>Consulta1[[#This Row],[TETO_COMERCIAL]]/100</f>
        <v>1.8000000000000002E-2</v>
      </c>
      <c r="U1485" t="b">
        <f>Consulta1[[#This Row],[TETO_COMERCIAL_%]]=Consulta1[[#This Row],[TAXA]]</f>
        <v>0</v>
      </c>
      <c r="V1485" t="str">
        <f>CONCATENATE(Consulta1[[#This Row],[MES_ALTERACAO]],Consulta1[[#This Row],[VIRADA]])</f>
        <v>20260510</v>
      </c>
      <c r="W1485">
        <f>VLOOKUP(Consulta1[[#This Row],[Coluna2]],CALENDARIO!$J:$K,2,FALSE)</f>
        <v>5</v>
      </c>
    </row>
    <row r="1486" spans="1:23" x14ac:dyDescent="0.25">
      <c r="A1486" t="s">
        <v>3077</v>
      </c>
      <c r="B1486" t="str">
        <f>CONCATENATE(Consulta1[[#This Row],[id]],Consulta1[[#This Row],[EMPREGADOR]])</f>
        <v>7SIAPE PORT</v>
      </c>
      <c r="C1486" s="6">
        <f>IF(A1486=A1485,C1485+1,1)</f>
        <v>7</v>
      </c>
      <c r="D1486" t="s">
        <v>3822</v>
      </c>
      <c r="E1486" s="101">
        <v>1.6899999999999998E-2</v>
      </c>
      <c r="F1486" s="6">
        <v>120</v>
      </c>
      <c r="G1486" t="s">
        <v>1349</v>
      </c>
      <c r="H1486" s="82">
        <v>1.8</v>
      </c>
      <c r="I1486">
        <v>15</v>
      </c>
      <c r="J1486">
        <v>51</v>
      </c>
      <c r="K1486" t="s">
        <v>3823</v>
      </c>
      <c r="L1486" s="6" t="s">
        <v>1471</v>
      </c>
      <c r="M1486" s="6">
        <v>10</v>
      </c>
      <c r="N1486" s="6">
        <v>2</v>
      </c>
      <c r="O1486">
        <v>500</v>
      </c>
      <c r="P1486">
        <v>202605</v>
      </c>
      <c r="Q1486" t="s">
        <v>377</v>
      </c>
      <c r="R1486" t="s">
        <v>1353</v>
      </c>
      <c r="S1486">
        <f>Consulta1[[#This Row],[min_port]]/100</f>
        <v>1.34E-2</v>
      </c>
      <c r="T1486" s="252">
        <f>Consulta1[[#This Row],[TETO_COMERCIAL]]/100</f>
        <v>1.8000000000000002E-2</v>
      </c>
      <c r="U1486" t="b">
        <f>Consulta1[[#This Row],[TETO_COMERCIAL_%]]=Consulta1[[#This Row],[TAXA]]</f>
        <v>0</v>
      </c>
      <c r="V1486" t="str">
        <f>CONCATENATE(Consulta1[[#This Row],[MES_ALTERACAO]],Consulta1[[#This Row],[VIRADA]])</f>
        <v>20260510</v>
      </c>
      <c r="W1486">
        <f>VLOOKUP(Consulta1[[#This Row],[Coluna2]],CALENDARIO!$J:$K,2,FALSE)</f>
        <v>5</v>
      </c>
    </row>
    <row r="1487" spans="1:23" x14ac:dyDescent="0.25">
      <c r="A1487" t="s">
        <v>3077</v>
      </c>
      <c r="B1487" t="str">
        <f>CONCATENATE(Consulta1[[#This Row],[id]],Consulta1[[#This Row],[EMPREGADOR]])</f>
        <v>8SIAPE PORT</v>
      </c>
      <c r="C1487" s="6">
        <f>IF(A1487=A1486,C1486+1,1)</f>
        <v>8</v>
      </c>
      <c r="D1487" t="s">
        <v>2823</v>
      </c>
      <c r="E1487" s="101">
        <v>1.6899999999999998E-2</v>
      </c>
      <c r="F1487" s="6">
        <v>96</v>
      </c>
      <c r="G1487" t="s">
        <v>1349</v>
      </c>
      <c r="H1487" s="82">
        <v>1.8</v>
      </c>
      <c r="I1487">
        <v>15</v>
      </c>
      <c r="J1487">
        <v>51</v>
      </c>
      <c r="K1487" t="s">
        <v>2824</v>
      </c>
      <c r="L1487" s="6" t="s">
        <v>1471</v>
      </c>
      <c r="M1487" s="6">
        <v>10</v>
      </c>
      <c r="N1487" s="6">
        <v>2</v>
      </c>
      <c r="O1487">
        <v>500</v>
      </c>
      <c r="P1487">
        <v>202605</v>
      </c>
      <c r="Q1487" t="s">
        <v>377</v>
      </c>
      <c r="R1487" t="s">
        <v>1353</v>
      </c>
      <c r="S1487">
        <f>Consulta1[[#This Row],[min_port]]/100</f>
        <v>1.34E-2</v>
      </c>
      <c r="T1487" s="252">
        <f>Consulta1[[#This Row],[TETO_COMERCIAL]]/100</f>
        <v>1.8000000000000002E-2</v>
      </c>
      <c r="U1487" t="b">
        <f>Consulta1[[#This Row],[TETO_COMERCIAL_%]]=Consulta1[[#This Row],[TAXA]]</f>
        <v>0</v>
      </c>
      <c r="V1487" t="str">
        <f>CONCATENATE(Consulta1[[#This Row],[MES_ALTERACAO]],Consulta1[[#This Row],[VIRADA]])</f>
        <v>20260510</v>
      </c>
      <c r="W1487">
        <f>VLOOKUP(Consulta1[[#This Row],[Coluna2]],CALENDARIO!$J:$K,2,FALSE)</f>
        <v>5</v>
      </c>
    </row>
    <row r="1488" spans="1:23" x14ac:dyDescent="0.25">
      <c r="A1488" t="s">
        <v>3077</v>
      </c>
      <c r="B1488" t="str">
        <f>CONCATENATE(Consulta1[[#This Row],[id]],Consulta1[[#This Row],[EMPREGADOR]])</f>
        <v>9SIAPE PORT</v>
      </c>
      <c r="C1488" s="6">
        <f>IF(A1488=A1487,C1487+1,1)</f>
        <v>9</v>
      </c>
      <c r="D1488" t="s">
        <v>3824</v>
      </c>
      <c r="E1488" s="101">
        <v>1.67E-2</v>
      </c>
      <c r="F1488" s="6">
        <v>120</v>
      </c>
      <c r="G1488" t="s">
        <v>1349</v>
      </c>
      <c r="H1488" s="82">
        <v>1.8</v>
      </c>
      <c r="I1488">
        <v>15</v>
      </c>
      <c r="J1488">
        <v>51</v>
      </c>
      <c r="K1488" t="s">
        <v>3825</v>
      </c>
      <c r="L1488" s="6" t="s">
        <v>1471</v>
      </c>
      <c r="M1488" s="6">
        <v>10</v>
      </c>
      <c r="N1488" s="6">
        <v>2</v>
      </c>
      <c r="O1488">
        <v>500</v>
      </c>
      <c r="P1488">
        <v>202605</v>
      </c>
      <c r="Q1488" t="s">
        <v>377</v>
      </c>
      <c r="R1488" t="s">
        <v>1353</v>
      </c>
      <c r="S1488">
        <f>Consulta1[[#This Row],[min_port]]/100</f>
        <v>1.34E-2</v>
      </c>
      <c r="T1488" s="252">
        <f>Consulta1[[#This Row],[TETO_COMERCIAL]]/100</f>
        <v>1.8000000000000002E-2</v>
      </c>
      <c r="U1488" t="b">
        <f>Consulta1[[#This Row],[TETO_COMERCIAL_%]]=Consulta1[[#This Row],[TAXA]]</f>
        <v>0</v>
      </c>
      <c r="V1488" t="str">
        <f>CONCATENATE(Consulta1[[#This Row],[MES_ALTERACAO]],Consulta1[[#This Row],[VIRADA]])</f>
        <v>20260510</v>
      </c>
      <c r="W1488">
        <f>VLOOKUP(Consulta1[[#This Row],[Coluna2]],CALENDARIO!$J:$K,2,FALSE)</f>
        <v>5</v>
      </c>
    </row>
    <row r="1489" spans="1:23" x14ac:dyDescent="0.25">
      <c r="A1489" t="s">
        <v>3077</v>
      </c>
      <c r="B1489" t="str">
        <f>CONCATENATE(Consulta1[[#This Row],[id]],Consulta1[[#This Row],[EMPREGADOR]])</f>
        <v>10SIAPE PORT</v>
      </c>
      <c r="C1489" s="6">
        <f>IF(A1489=A1488,C1488+1,1)</f>
        <v>10</v>
      </c>
      <c r="D1489" t="s">
        <v>2825</v>
      </c>
      <c r="E1489" s="101">
        <v>1.67E-2</v>
      </c>
      <c r="F1489" s="6">
        <v>96</v>
      </c>
      <c r="G1489" t="s">
        <v>1349</v>
      </c>
      <c r="H1489" s="82">
        <v>1.8</v>
      </c>
      <c r="I1489">
        <v>15</v>
      </c>
      <c r="J1489">
        <v>51</v>
      </c>
      <c r="K1489" t="s">
        <v>2826</v>
      </c>
      <c r="L1489" s="6" t="s">
        <v>1471</v>
      </c>
      <c r="M1489" s="6">
        <v>10</v>
      </c>
      <c r="N1489" s="6">
        <v>2</v>
      </c>
      <c r="O1489">
        <v>500</v>
      </c>
      <c r="P1489">
        <v>202605</v>
      </c>
      <c r="Q1489" t="s">
        <v>377</v>
      </c>
      <c r="R1489" t="s">
        <v>1353</v>
      </c>
      <c r="S1489">
        <f>Consulta1[[#This Row],[min_port]]/100</f>
        <v>1.34E-2</v>
      </c>
      <c r="T1489" s="252">
        <f>Consulta1[[#This Row],[TETO_COMERCIAL]]/100</f>
        <v>1.8000000000000002E-2</v>
      </c>
      <c r="U1489" t="b">
        <f>Consulta1[[#This Row],[TETO_COMERCIAL_%]]=Consulta1[[#This Row],[TAXA]]</f>
        <v>0</v>
      </c>
      <c r="V1489" t="str">
        <f>CONCATENATE(Consulta1[[#This Row],[MES_ALTERACAO]],Consulta1[[#This Row],[VIRADA]])</f>
        <v>20260510</v>
      </c>
      <c r="W1489">
        <f>VLOOKUP(Consulta1[[#This Row],[Coluna2]],CALENDARIO!$J:$K,2,FALSE)</f>
        <v>5</v>
      </c>
    </row>
    <row r="1490" spans="1:23" x14ac:dyDescent="0.25">
      <c r="A1490" t="s">
        <v>3077</v>
      </c>
      <c r="B1490" t="str">
        <f>CONCATENATE(Consulta1[[#This Row],[id]],Consulta1[[#This Row],[EMPREGADOR]])</f>
        <v>11SIAPE PORT</v>
      </c>
      <c r="C1490" s="6">
        <f>IF(A1490=A1489,C1489+1,1)</f>
        <v>11</v>
      </c>
      <c r="D1490" t="s">
        <v>3826</v>
      </c>
      <c r="E1490" s="101">
        <v>1.6E-2</v>
      </c>
      <c r="F1490" s="6">
        <v>120</v>
      </c>
      <c r="G1490" t="s">
        <v>1349</v>
      </c>
      <c r="H1490" s="82">
        <v>1.8</v>
      </c>
      <c r="I1490">
        <v>15</v>
      </c>
      <c r="J1490">
        <v>51</v>
      </c>
      <c r="K1490" t="s">
        <v>3827</v>
      </c>
      <c r="L1490" s="6" t="s">
        <v>1471</v>
      </c>
      <c r="M1490" s="6">
        <v>10</v>
      </c>
      <c r="N1490" s="6">
        <v>2</v>
      </c>
      <c r="O1490">
        <v>30000</v>
      </c>
      <c r="P1490">
        <v>202605</v>
      </c>
      <c r="Q1490" t="s">
        <v>377</v>
      </c>
      <c r="R1490" t="s">
        <v>1353</v>
      </c>
      <c r="S1490">
        <f>Consulta1[[#This Row],[min_port]]/100</f>
        <v>1.34E-2</v>
      </c>
      <c r="T1490" s="252">
        <f>Consulta1[[#This Row],[TETO_COMERCIAL]]/100</f>
        <v>1.8000000000000002E-2</v>
      </c>
      <c r="U1490" t="b">
        <f>Consulta1[[#This Row],[TETO_COMERCIAL_%]]=Consulta1[[#This Row],[TAXA]]</f>
        <v>0</v>
      </c>
      <c r="V1490" t="str">
        <f>CONCATENATE(Consulta1[[#This Row],[MES_ALTERACAO]],Consulta1[[#This Row],[VIRADA]])</f>
        <v>20260510</v>
      </c>
      <c r="W1490">
        <f>VLOOKUP(Consulta1[[#This Row],[Coluna2]],CALENDARIO!$J:$K,2,FALSE)</f>
        <v>5</v>
      </c>
    </row>
    <row r="1491" spans="1:23" x14ac:dyDescent="0.25">
      <c r="A1491" t="s">
        <v>3077</v>
      </c>
      <c r="B1491" t="str">
        <f>CONCATENATE(Consulta1[[#This Row],[id]],Consulta1[[#This Row],[EMPREGADOR]])</f>
        <v>12SIAPE PORT</v>
      </c>
      <c r="C1491" s="6">
        <f>IF(A1491=A1490,C1490+1,1)</f>
        <v>12</v>
      </c>
      <c r="D1491" t="s">
        <v>3078</v>
      </c>
      <c r="E1491" s="101">
        <v>1.6E-2</v>
      </c>
      <c r="F1491" s="6">
        <v>96</v>
      </c>
      <c r="G1491" t="s">
        <v>1349</v>
      </c>
      <c r="H1491" s="82">
        <v>1.8</v>
      </c>
      <c r="I1491">
        <v>15</v>
      </c>
      <c r="J1491">
        <v>51</v>
      </c>
      <c r="K1491" t="s">
        <v>3079</v>
      </c>
      <c r="L1491" s="6" t="s">
        <v>1471</v>
      </c>
      <c r="M1491" s="6">
        <v>10</v>
      </c>
      <c r="N1491" s="6">
        <v>2</v>
      </c>
      <c r="O1491">
        <v>20000</v>
      </c>
      <c r="P1491">
        <v>202605</v>
      </c>
      <c r="Q1491" t="s">
        <v>377</v>
      </c>
      <c r="R1491" t="s">
        <v>1353</v>
      </c>
      <c r="S1491">
        <f>Consulta1[[#This Row],[min_port]]/100</f>
        <v>1.34E-2</v>
      </c>
      <c r="T1491" s="252">
        <f>Consulta1[[#This Row],[TETO_COMERCIAL]]/100</f>
        <v>1.8000000000000002E-2</v>
      </c>
      <c r="U1491" t="b">
        <f>Consulta1[[#This Row],[TETO_COMERCIAL_%]]=Consulta1[[#This Row],[TAXA]]</f>
        <v>0</v>
      </c>
      <c r="V1491" t="str">
        <f>CONCATENATE(Consulta1[[#This Row],[MES_ALTERACAO]],Consulta1[[#This Row],[VIRADA]])</f>
        <v>20260510</v>
      </c>
      <c r="W1491">
        <f>VLOOKUP(Consulta1[[#This Row],[Coluna2]],CALENDARIO!$J:$K,2,FALSE)</f>
        <v>5</v>
      </c>
    </row>
    <row r="1492" spans="1:23" x14ac:dyDescent="0.25">
      <c r="A1492" t="s">
        <v>3077</v>
      </c>
      <c r="B1492" t="str">
        <f>CONCATENATE(Consulta1[[#This Row],[id]],Consulta1[[#This Row],[EMPREGADOR]])</f>
        <v>13SIAPE PORT</v>
      </c>
      <c r="C1492" s="6">
        <f>IF(A1492=A1491,C1491+1,1)</f>
        <v>13</v>
      </c>
      <c r="D1492" t="s">
        <v>3828</v>
      </c>
      <c r="E1492" s="101">
        <v>1.5800000000000002E-2</v>
      </c>
      <c r="F1492" s="6">
        <v>120</v>
      </c>
      <c r="G1492" t="s">
        <v>1349</v>
      </c>
      <c r="H1492" s="82">
        <v>1.8</v>
      </c>
      <c r="I1492">
        <v>15</v>
      </c>
      <c r="J1492">
        <v>51</v>
      </c>
      <c r="K1492" t="s">
        <v>3829</v>
      </c>
      <c r="L1492" s="6" t="s">
        <v>1471</v>
      </c>
      <c r="M1492" s="6">
        <v>10</v>
      </c>
      <c r="N1492" s="6">
        <v>2</v>
      </c>
      <c r="O1492">
        <v>35000</v>
      </c>
      <c r="P1492">
        <v>202605</v>
      </c>
      <c r="Q1492" t="s">
        <v>377</v>
      </c>
      <c r="R1492" t="s">
        <v>1353</v>
      </c>
      <c r="S1492">
        <f>Consulta1[[#This Row],[min_port]]/100</f>
        <v>1.34E-2</v>
      </c>
      <c r="T1492" s="252">
        <f>Consulta1[[#This Row],[TETO_COMERCIAL]]/100</f>
        <v>1.8000000000000002E-2</v>
      </c>
      <c r="U1492" t="b">
        <f>Consulta1[[#This Row],[TETO_COMERCIAL_%]]=Consulta1[[#This Row],[TAXA]]</f>
        <v>0</v>
      </c>
      <c r="V1492" t="str">
        <f>CONCATENATE(Consulta1[[#This Row],[MES_ALTERACAO]],Consulta1[[#This Row],[VIRADA]])</f>
        <v>20260510</v>
      </c>
      <c r="W1492">
        <f>VLOOKUP(Consulta1[[#This Row],[Coluna2]],CALENDARIO!$J:$K,2,FALSE)</f>
        <v>5</v>
      </c>
    </row>
    <row r="1493" spans="1:23" x14ac:dyDescent="0.25">
      <c r="A1493" t="s">
        <v>3077</v>
      </c>
      <c r="B1493" t="str">
        <f>CONCATENATE(Consulta1[[#This Row],[id]],Consulta1[[#This Row],[EMPREGADOR]])</f>
        <v>14SIAPE PORT</v>
      </c>
      <c r="C1493" s="6">
        <f>IF(A1493=A1492,C1492+1,1)</f>
        <v>14</v>
      </c>
      <c r="D1493" t="s">
        <v>3080</v>
      </c>
      <c r="E1493" s="101">
        <v>1.5800000000000002E-2</v>
      </c>
      <c r="F1493" s="6">
        <v>96</v>
      </c>
      <c r="G1493" t="s">
        <v>1349</v>
      </c>
      <c r="H1493" s="82">
        <v>1.8</v>
      </c>
      <c r="I1493">
        <v>15</v>
      </c>
      <c r="J1493">
        <v>51</v>
      </c>
      <c r="K1493" t="s">
        <v>3081</v>
      </c>
      <c r="L1493" s="6" t="s">
        <v>1471</v>
      </c>
      <c r="M1493" s="6">
        <v>10</v>
      </c>
      <c r="N1493" s="6">
        <v>2</v>
      </c>
      <c r="O1493">
        <v>30000</v>
      </c>
      <c r="P1493">
        <v>202605</v>
      </c>
      <c r="Q1493" t="s">
        <v>377</v>
      </c>
      <c r="R1493" t="s">
        <v>1353</v>
      </c>
      <c r="S1493">
        <f>Consulta1[[#This Row],[min_port]]/100</f>
        <v>1.34E-2</v>
      </c>
      <c r="T1493" s="252">
        <f>Consulta1[[#This Row],[TETO_COMERCIAL]]/100</f>
        <v>1.8000000000000002E-2</v>
      </c>
      <c r="U1493" t="b">
        <f>Consulta1[[#This Row],[TETO_COMERCIAL_%]]=Consulta1[[#This Row],[TAXA]]</f>
        <v>0</v>
      </c>
      <c r="V1493" t="str">
        <f>CONCATENATE(Consulta1[[#This Row],[MES_ALTERACAO]],Consulta1[[#This Row],[VIRADA]])</f>
        <v>20260510</v>
      </c>
      <c r="W1493">
        <f>VLOOKUP(Consulta1[[#This Row],[Coluna2]],CALENDARIO!$J:$K,2,FALSE)</f>
        <v>5</v>
      </c>
    </row>
    <row r="1494" spans="1:23" x14ac:dyDescent="0.25">
      <c r="A1494" t="s">
        <v>3077</v>
      </c>
      <c r="B1494" t="str">
        <f>CONCATENATE(Consulta1[[#This Row],[id]],Consulta1[[#This Row],[EMPREGADOR]])</f>
        <v>15SIAPE PORT</v>
      </c>
      <c r="C1494" s="6">
        <f>IF(A1494=A1493,C1493+1,1)</f>
        <v>15</v>
      </c>
      <c r="D1494" t="s">
        <v>3830</v>
      </c>
      <c r="E1494" s="101">
        <v>1.55E-2</v>
      </c>
      <c r="F1494" s="6">
        <v>120</v>
      </c>
      <c r="G1494" t="s">
        <v>1349</v>
      </c>
      <c r="H1494" s="82">
        <v>1.8</v>
      </c>
      <c r="I1494">
        <v>15</v>
      </c>
      <c r="J1494">
        <v>51</v>
      </c>
      <c r="K1494" t="s">
        <v>3831</v>
      </c>
      <c r="L1494" s="6" t="s">
        <v>1471</v>
      </c>
      <c r="M1494" s="6">
        <v>10</v>
      </c>
      <c r="N1494" s="6">
        <v>2</v>
      </c>
      <c r="O1494">
        <v>50000</v>
      </c>
      <c r="P1494">
        <v>202605</v>
      </c>
      <c r="Q1494" t="s">
        <v>377</v>
      </c>
      <c r="R1494" t="s">
        <v>1353</v>
      </c>
      <c r="S1494">
        <f>Consulta1[[#This Row],[min_port]]/100</f>
        <v>1.34E-2</v>
      </c>
      <c r="T1494" s="252">
        <f>Consulta1[[#This Row],[TETO_COMERCIAL]]/100</f>
        <v>1.8000000000000002E-2</v>
      </c>
      <c r="U1494" t="b">
        <f>Consulta1[[#This Row],[TETO_COMERCIAL_%]]=Consulta1[[#This Row],[TAXA]]</f>
        <v>0</v>
      </c>
      <c r="V1494" t="str">
        <f>CONCATENATE(Consulta1[[#This Row],[MES_ALTERACAO]],Consulta1[[#This Row],[VIRADA]])</f>
        <v>20260510</v>
      </c>
      <c r="W1494">
        <f>VLOOKUP(Consulta1[[#This Row],[Coluna2]],CALENDARIO!$J:$K,2,FALSE)</f>
        <v>5</v>
      </c>
    </row>
    <row r="1495" spans="1:23" x14ac:dyDescent="0.25">
      <c r="A1495" t="s">
        <v>3077</v>
      </c>
      <c r="B1495" t="str">
        <f>CONCATENATE(Consulta1[[#This Row],[id]],Consulta1[[#This Row],[EMPREGADOR]])</f>
        <v>16SIAPE PORT</v>
      </c>
      <c r="C1495" s="6">
        <f>IF(A1495=A1494,C1494+1,1)</f>
        <v>16</v>
      </c>
      <c r="D1495" t="s">
        <v>3082</v>
      </c>
      <c r="E1495" s="101">
        <v>1.55E-2</v>
      </c>
      <c r="F1495" s="6">
        <v>96</v>
      </c>
      <c r="G1495" t="s">
        <v>1349</v>
      </c>
      <c r="H1495" s="82">
        <v>1.8</v>
      </c>
      <c r="I1495">
        <v>15</v>
      </c>
      <c r="J1495">
        <v>51</v>
      </c>
      <c r="K1495" t="s">
        <v>3083</v>
      </c>
      <c r="L1495" s="6" t="s">
        <v>1471</v>
      </c>
      <c r="M1495" s="6">
        <v>10</v>
      </c>
      <c r="N1495" s="6">
        <v>2</v>
      </c>
      <c r="O1495">
        <v>50000</v>
      </c>
      <c r="P1495">
        <v>202605</v>
      </c>
      <c r="Q1495" t="s">
        <v>377</v>
      </c>
      <c r="R1495" t="s">
        <v>1353</v>
      </c>
      <c r="S1495">
        <f>Consulta1[[#This Row],[min_port]]/100</f>
        <v>1.34E-2</v>
      </c>
      <c r="T1495" s="252">
        <f>Consulta1[[#This Row],[TETO_COMERCIAL]]/100</f>
        <v>1.8000000000000002E-2</v>
      </c>
      <c r="U1495" t="b">
        <f>Consulta1[[#This Row],[TETO_COMERCIAL_%]]=Consulta1[[#This Row],[TAXA]]</f>
        <v>0</v>
      </c>
      <c r="V1495" t="str">
        <f>CONCATENATE(Consulta1[[#This Row],[MES_ALTERACAO]],Consulta1[[#This Row],[VIRADA]])</f>
        <v>20260510</v>
      </c>
      <c r="W1495">
        <f>VLOOKUP(Consulta1[[#This Row],[Coluna2]],CALENDARIO!$J:$K,2,FALSE)</f>
        <v>5</v>
      </c>
    </row>
    <row r="1496" spans="1:23" x14ac:dyDescent="0.25">
      <c r="A1496" t="s">
        <v>3077</v>
      </c>
      <c r="B1496" t="str">
        <f>CONCATENATE(Consulta1[[#This Row],[id]],Consulta1[[#This Row],[EMPREGADOR]])</f>
        <v>17SIAPE PORT</v>
      </c>
      <c r="C1496" s="6">
        <f>IF(A1496=A1495,C1495+1,1)</f>
        <v>17</v>
      </c>
      <c r="D1496" t="s">
        <v>3832</v>
      </c>
      <c r="E1496" s="101">
        <v>1.5300000000000001E-2</v>
      </c>
      <c r="F1496" s="6">
        <v>120</v>
      </c>
      <c r="G1496" t="s">
        <v>1349</v>
      </c>
      <c r="H1496" s="82">
        <v>1.8</v>
      </c>
      <c r="I1496">
        <v>15</v>
      </c>
      <c r="J1496">
        <v>51</v>
      </c>
      <c r="K1496" t="s">
        <v>3833</v>
      </c>
      <c r="L1496" s="6" t="s">
        <v>1471</v>
      </c>
      <c r="M1496" s="6">
        <v>10</v>
      </c>
      <c r="N1496" s="6">
        <v>2</v>
      </c>
      <c r="O1496">
        <v>50000</v>
      </c>
      <c r="P1496">
        <v>202605</v>
      </c>
      <c r="Q1496" t="s">
        <v>377</v>
      </c>
      <c r="R1496" t="s">
        <v>1353</v>
      </c>
      <c r="S1496">
        <f>Consulta1[[#This Row],[min_port]]/100</f>
        <v>1.34E-2</v>
      </c>
      <c r="T1496" s="252">
        <f>Consulta1[[#This Row],[TETO_COMERCIAL]]/100</f>
        <v>1.8000000000000002E-2</v>
      </c>
      <c r="U1496" t="b">
        <f>Consulta1[[#This Row],[TETO_COMERCIAL_%]]=Consulta1[[#This Row],[TAXA]]</f>
        <v>0</v>
      </c>
      <c r="V1496" t="str">
        <f>CONCATENATE(Consulta1[[#This Row],[MES_ALTERACAO]],Consulta1[[#This Row],[VIRADA]])</f>
        <v>20260510</v>
      </c>
      <c r="W1496">
        <f>VLOOKUP(Consulta1[[#This Row],[Coluna2]],CALENDARIO!$J:$K,2,FALSE)</f>
        <v>5</v>
      </c>
    </row>
    <row r="1497" spans="1:23" x14ac:dyDescent="0.25">
      <c r="A1497" t="s">
        <v>3077</v>
      </c>
      <c r="B1497" t="str">
        <f>CONCATENATE(Consulta1[[#This Row],[id]],Consulta1[[#This Row],[EMPREGADOR]])</f>
        <v>18SIAPE PORT</v>
      </c>
      <c r="C1497" s="6">
        <f>IF(A1497=A1496,C1496+1,1)</f>
        <v>18</v>
      </c>
      <c r="D1497" t="s">
        <v>3144</v>
      </c>
      <c r="E1497" s="101">
        <v>1.5300000000000001E-2</v>
      </c>
      <c r="F1497" s="6">
        <v>96</v>
      </c>
      <c r="G1497" t="s">
        <v>1349</v>
      </c>
      <c r="H1497" s="82">
        <v>1.8</v>
      </c>
      <c r="I1497">
        <v>15</v>
      </c>
      <c r="J1497">
        <v>51</v>
      </c>
      <c r="K1497" t="s">
        <v>3145</v>
      </c>
      <c r="L1497" s="6" t="s">
        <v>1471</v>
      </c>
      <c r="M1497" s="6">
        <v>10</v>
      </c>
      <c r="N1497" s="6">
        <v>2</v>
      </c>
      <c r="O1497">
        <v>50000</v>
      </c>
      <c r="P1497">
        <v>202605</v>
      </c>
      <c r="Q1497" t="s">
        <v>377</v>
      </c>
      <c r="R1497" t="s">
        <v>1353</v>
      </c>
      <c r="S1497">
        <f>Consulta1[[#This Row],[min_port]]/100</f>
        <v>1.34E-2</v>
      </c>
      <c r="T1497" s="252">
        <f>Consulta1[[#This Row],[TETO_COMERCIAL]]/100</f>
        <v>1.8000000000000002E-2</v>
      </c>
      <c r="U1497" t="b">
        <f>Consulta1[[#This Row],[TETO_COMERCIAL_%]]=Consulta1[[#This Row],[TAXA]]</f>
        <v>0</v>
      </c>
      <c r="V1497" t="str">
        <f>CONCATENATE(Consulta1[[#This Row],[MES_ALTERACAO]],Consulta1[[#This Row],[VIRADA]])</f>
        <v>20260510</v>
      </c>
      <c r="W1497">
        <f>VLOOKUP(Consulta1[[#This Row],[Coluna2]],CALENDARIO!$J:$K,2,FALSE)</f>
        <v>5</v>
      </c>
    </row>
    <row r="1498" spans="1:23" x14ac:dyDescent="0.25">
      <c r="A1498" t="s">
        <v>3077</v>
      </c>
      <c r="B1498" t="str">
        <f>CONCATENATE(Consulta1[[#This Row],[id]],Consulta1[[#This Row],[EMPREGADOR]])</f>
        <v>19SIAPE PORT</v>
      </c>
      <c r="C1498" s="6">
        <f>IF(A1498=A1497,C1497+1,1)</f>
        <v>19</v>
      </c>
      <c r="D1498" t="s">
        <v>3834</v>
      </c>
      <c r="E1498" s="101">
        <v>1.5100000000000001E-2</v>
      </c>
      <c r="F1498" s="6">
        <v>120</v>
      </c>
      <c r="G1498" t="s">
        <v>1349</v>
      </c>
      <c r="H1498" s="82">
        <v>1.8</v>
      </c>
      <c r="I1498">
        <v>15</v>
      </c>
      <c r="J1498">
        <v>51</v>
      </c>
      <c r="K1498" t="s">
        <v>3835</v>
      </c>
      <c r="L1498" s="6" t="s">
        <v>1471</v>
      </c>
      <c r="M1498" s="6">
        <v>10</v>
      </c>
      <c r="N1498" s="6">
        <v>2</v>
      </c>
      <c r="O1498">
        <v>140000</v>
      </c>
      <c r="P1498">
        <v>202605</v>
      </c>
      <c r="Q1498" t="s">
        <v>377</v>
      </c>
      <c r="R1498" t="s">
        <v>1353</v>
      </c>
      <c r="S1498">
        <f>Consulta1[[#This Row],[min_port]]/100</f>
        <v>1.34E-2</v>
      </c>
      <c r="T1498" s="252">
        <f>Consulta1[[#This Row],[TETO_COMERCIAL]]/100</f>
        <v>1.8000000000000002E-2</v>
      </c>
      <c r="U1498" t="b">
        <f>Consulta1[[#This Row],[TETO_COMERCIAL_%]]=Consulta1[[#This Row],[TAXA]]</f>
        <v>0</v>
      </c>
      <c r="V1498" t="str">
        <f>CONCATENATE(Consulta1[[#This Row],[MES_ALTERACAO]],Consulta1[[#This Row],[VIRADA]])</f>
        <v>20260510</v>
      </c>
      <c r="W1498">
        <f>VLOOKUP(Consulta1[[#This Row],[Coluna2]],CALENDARIO!$J:$K,2,FALSE)</f>
        <v>5</v>
      </c>
    </row>
    <row r="1499" spans="1:23" x14ac:dyDescent="0.25">
      <c r="A1499" t="s">
        <v>3077</v>
      </c>
      <c r="B1499" t="str">
        <f>CONCATENATE(Consulta1[[#This Row],[id]],Consulta1[[#This Row],[EMPREGADOR]])</f>
        <v>20SIAPE PORT</v>
      </c>
      <c r="C1499" s="6">
        <f>IF(A1499=A1498,C1498+1,1)</f>
        <v>20</v>
      </c>
      <c r="D1499" t="s">
        <v>3146</v>
      </c>
      <c r="E1499" s="101">
        <v>1.5100000000000001E-2</v>
      </c>
      <c r="F1499" s="6">
        <v>96</v>
      </c>
      <c r="G1499" t="s">
        <v>1349</v>
      </c>
      <c r="H1499" s="82">
        <v>1.8</v>
      </c>
      <c r="I1499">
        <v>15</v>
      </c>
      <c r="J1499">
        <v>51</v>
      </c>
      <c r="K1499" t="s">
        <v>3147</v>
      </c>
      <c r="L1499" s="6" t="s">
        <v>1471</v>
      </c>
      <c r="M1499" s="6">
        <v>10</v>
      </c>
      <c r="N1499" s="6">
        <v>2</v>
      </c>
      <c r="O1499">
        <v>140000</v>
      </c>
      <c r="P1499">
        <v>202605</v>
      </c>
      <c r="Q1499" t="s">
        <v>377</v>
      </c>
      <c r="R1499" t="s">
        <v>1353</v>
      </c>
      <c r="S1499">
        <f>Consulta1[[#This Row],[min_port]]/100</f>
        <v>1.34E-2</v>
      </c>
      <c r="T1499" s="252">
        <f>Consulta1[[#This Row],[TETO_COMERCIAL]]/100</f>
        <v>1.8000000000000002E-2</v>
      </c>
      <c r="U1499" t="b">
        <f>Consulta1[[#This Row],[TETO_COMERCIAL_%]]=Consulta1[[#This Row],[TAXA]]</f>
        <v>0</v>
      </c>
      <c r="V1499" t="str">
        <f>CONCATENATE(Consulta1[[#This Row],[MES_ALTERACAO]],Consulta1[[#This Row],[VIRADA]])</f>
        <v>20260510</v>
      </c>
      <c r="W1499">
        <f>VLOOKUP(Consulta1[[#This Row],[Coluna2]],CALENDARIO!$J:$K,2,FALSE)</f>
        <v>5</v>
      </c>
    </row>
    <row r="1500" spans="1:23" x14ac:dyDescent="0.25">
      <c r="A1500" t="s">
        <v>3084</v>
      </c>
      <c r="B1500" t="str">
        <f>CONCATENATE(Consulta1[[#This Row],[id]],Consulta1[[#This Row],[EMPREGADOR]])</f>
        <v>1SSPREV SP</v>
      </c>
      <c r="C1500" s="6">
        <f>IF(A1500=A1499,C1499+1,1)</f>
        <v>1</v>
      </c>
      <c r="D1500" t="s">
        <v>420</v>
      </c>
      <c r="E1500" s="101">
        <v>2.5000000000000001E-2</v>
      </c>
      <c r="F1500" s="6">
        <v>120</v>
      </c>
      <c r="G1500" t="s">
        <v>1349</v>
      </c>
      <c r="H1500" s="82">
        <v>2.5</v>
      </c>
      <c r="I1500">
        <v>7</v>
      </c>
      <c r="J1500">
        <v>57</v>
      </c>
      <c r="K1500" t="s">
        <v>2198</v>
      </c>
      <c r="L1500" s="6" t="s">
        <v>1371</v>
      </c>
      <c r="M1500" s="6">
        <v>10</v>
      </c>
      <c r="N1500" s="6">
        <v>2</v>
      </c>
      <c r="O1500">
        <v>500</v>
      </c>
      <c r="P1500">
        <v>202605</v>
      </c>
      <c r="Q1500" t="s">
        <v>377</v>
      </c>
      <c r="R1500" t="s">
        <v>1350</v>
      </c>
      <c r="S1500">
        <f>Consulta1[[#This Row],[min_port]]/100</f>
        <v>1.4499999999999999E-2</v>
      </c>
      <c r="T1500" s="252">
        <f>Consulta1[[#This Row],[TETO_COMERCIAL]]/100</f>
        <v>2.5000000000000001E-2</v>
      </c>
      <c r="U1500" t="b">
        <f>Consulta1[[#This Row],[TETO_COMERCIAL_%]]=Consulta1[[#This Row],[TAXA]]</f>
        <v>1</v>
      </c>
      <c r="V1500" t="str">
        <f>CONCATENATE(Consulta1[[#This Row],[MES_ALTERACAO]],Consulta1[[#This Row],[VIRADA]])</f>
        <v>20260510</v>
      </c>
      <c r="W1500">
        <f>VLOOKUP(Consulta1[[#This Row],[Coluna2]],CALENDARIO!$J:$K,2,FALSE)</f>
        <v>5</v>
      </c>
    </row>
    <row r="1501" spans="1:23" x14ac:dyDescent="0.25">
      <c r="A1501" t="s">
        <v>3084</v>
      </c>
      <c r="B1501" t="str">
        <f>CONCATENATE(Consulta1[[#This Row],[id]],Consulta1[[#This Row],[EMPREGADOR]])</f>
        <v>2SSPREV SP</v>
      </c>
      <c r="C1501" s="6">
        <f>IF(A1501=A1500,C1500+1,1)</f>
        <v>2</v>
      </c>
      <c r="D1501" t="s">
        <v>421</v>
      </c>
      <c r="E1501" s="101">
        <v>2.1899999999999999E-2</v>
      </c>
      <c r="F1501" s="6">
        <v>120</v>
      </c>
      <c r="G1501" t="s">
        <v>1349</v>
      </c>
      <c r="H1501" s="82">
        <v>2.5</v>
      </c>
      <c r="I1501">
        <v>7</v>
      </c>
      <c r="J1501">
        <v>57</v>
      </c>
      <c r="K1501" t="s">
        <v>2199</v>
      </c>
      <c r="L1501" s="6" t="s">
        <v>1371</v>
      </c>
      <c r="M1501" s="6">
        <v>10</v>
      </c>
      <c r="N1501" s="6">
        <v>2</v>
      </c>
      <c r="O1501">
        <v>500</v>
      </c>
      <c r="P1501">
        <v>202605</v>
      </c>
      <c r="Q1501" t="s">
        <v>377</v>
      </c>
      <c r="R1501" t="s">
        <v>1350</v>
      </c>
      <c r="S1501">
        <f>Consulta1[[#This Row],[min_port]]/100</f>
        <v>1.4499999999999999E-2</v>
      </c>
      <c r="T1501" s="252">
        <f>Consulta1[[#This Row],[TETO_COMERCIAL]]/100</f>
        <v>2.5000000000000001E-2</v>
      </c>
      <c r="U1501" t="b">
        <f>Consulta1[[#This Row],[TETO_COMERCIAL_%]]=Consulta1[[#This Row],[TAXA]]</f>
        <v>0</v>
      </c>
      <c r="V1501" t="str">
        <f>CONCATENATE(Consulta1[[#This Row],[MES_ALTERACAO]],Consulta1[[#This Row],[VIRADA]])</f>
        <v>20260510</v>
      </c>
      <c r="W1501">
        <f>VLOOKUP(Consulta1[[#This Row],[Coluna2]],CALENDARIO!$J:$K,2,FALSE)</f>
        <v>5</v>
      </c>
    </row>
    <row r="1502" spans="1:23" x14ac:dyDescent="0.25">
      <c r="A1502" t="s">
        <v>3084</v>
      </c>
      <c r="B1502" t="str">
        <f>CONCATENATE(Consulta1[[#This Row],[id]],Consulta1[[#This Row],[EMPREGADOR]])</f>
        <v>3SSPREV SP</v>
      </c>
      <c r="C1502" s="6">
        <f>IF(A1502=A1501,C1501+1,1)</f>
        <v>3</v>
      </c>
      <c r="D1502" t="s">
        <v>422</v>
      </c>
      <c r="E1502" s="101">
        <v>2.0899999999999998E-2</v>
      </c>
      <c r="F1502" s="6">
        <v>120</v>
      </c>
      <c r="G1502" t="s">
        <v>1349</v>
      </c>
      <c r="H1502" s="82">
        <v>2.5</v>
      </c>
      <c r="I1502">
        <v>7</v>
      </c>
      <c r="J1502">
        <v>57</v>
      </c>
      <c r="K1502" t="s">
        <v>2200</v>
      </c>
      <c r="L1502" s="6" t="s">
        <v>1371</v>
      </c>
      <c r="M1502" s="6">
        <v>10</v>
      </c>
      <c r="N1502" s="6">
        <v>2</v>
      </c>
      <c r="O1502">
        <v>500</v>
      </c>
      <c r="P1502">
        <v>202605</v>
      </c>
      <c r="Q1502" t="s">
        <v>377</v>
      </c>
      <c r="R1502" t="s">
        <v>1350</v>
      </c>
      <c r="S1502">
        <f>Consulta1[[#This Row],[min_port]]/100</f>
        <v>1.4499999999999999E-2</v>
      </c>
      <c r="T1502" s="252">
        <f>Consulta1[[#This Row],[TETO_COMERCIAL]]/100</f>
        <v>2.5000000000000001E-2</v>
      </c>
      <c r="U1502" t="b">
        <f>Consulta1[[#This Row],[TETO_COMERCIAL_%]]=Consulta1[[#This Row],[TAXA]]</f>
        <v>0</v>
      </c>
      <c r="V1502" t="str">
        <f>CONCATENATE(Consulta1[[#This Row],[MES_ALTERACAO]],Consulta1[[#This Row],[VIRADA]])</f>
        <v>20260510</v>
      </c>
      <c r="W1502">
        <f>VLOOKUP(Consulta1[[#This Row],[Coluna2]],CALENDARIO!$J:$K,2,FALSE)</f>
        <v>5</v>
      </c>
    </row>
    <row r="1503" spans="1:23" x14ac:dyDescent="0.25">
      <c r="A1503" t="s">
        <v>3084</v>
      </c>
      <c r="B1503" t="str">
        <f>CONCATENATE(Consulta1[[#This Row],[id]],Consulta1[[#This Row],[EMPREGADOR]])</f>
        <v>4SSPREV SP</v>
      </c>
      <c r="C1503" s="6">
        <f>IF(A1503=A1502,C1502+1,1)</f>
        <v>4</v>
      </c>
      <c r="D1503" t="s">
        <v>423</v>
      </c>
      <c r="E1503" s="101">
        <v>1.9900000000000001E-2</v>
      </c>
      <c r="F1503" s="6">
        <v>120</v>
      </c>
      <c r="G1503" t="s">
        <v>1349</v>
      </c>
      <c r="H1503" s="82">
        <v>2.5</v>
      </c>
      <c r="I1503">
        <v>7</v>
      </c>
      <c r="J1503">
        <v>57</v>
      </c>
      <c r="K1503" t="s">
        <v>2201</v>
      </c>
      <c r="L1503" s="6" t="s">
        <v>1371</v>
      </c>
      <c r="M1503" s="6">
        <v>10</v>
      </c>
      <c r="N1503" s="6">
        <v>2</v>
      </c>
      <c r="O1503">
        <v>500</v>
      </c>
      <c r="P1503">
        <v>202605</v>
      </c>
      <c r="Q1503" t="s">
        <v>377</v>
      </c>
      <c r="R1503" t="s">
        <v>1350</v>
      </c>
      <c r="S1503">
        <f>Consulta1[[#This Row],[min_port]]/100</f>
        <v>1.4499999999999999E-2</v>
      </c>
      <c r="T1503" s="252">
        <f>Consulta1[[#This Row],[TETO_COMERCIAL]]/100</f>
        <v>2.5000000000000001E-2</v>
      </c>
      <c r="U1503" t="b">
        <f>Consulta1[[#This Row],[TETO_COMERCIAL_%]]=Consulta1[[#This Row],[TAXA]]</f>
        <v>0</v>
      </c>
      <c r="V1503" t="str">
        <f>CONCATENATE(Consulta1[[#This Row],[MES_ALTERACAO]],Consulta1[[#This Row],[VIRADA]])</f>
        <v>20260510</v>
      </c>
      <c r="W1503">
        <f>VLOOKUP(Consulta1[[#This Row],[Coluna2]],CALENDARIO!$J:$K,2,FALSE)</f>
        <v>5</v>
      </c>
    </row>
    <row r="1504" spans="1:23" x14ac:dyDescent="0.25">
      <c r="A1504" t="s">
        <v>3084</v>
      </c>
      <c r="B1504" t="str">
        <f>CONCATENATE(Consulta1[[#This Row],[id]],Consulta1[[#This Row],[EMPREGADOR]])</f>
        <v>5SSPREV SP</v>
      </c>
      <c r="C1504" s="6">
        <f>IF(A1504=A1503,C1503+1,1)</f>
        <v>5</v>
      </c>
      <c r="D1504" t="s">
        <v>424</v>
      </c>
      <c r="E1504" s="101">
        <v>1.95E-2</v>
      </c>
      <c r="F1504" s="6">
        <v>120</v>
      </c>
      <c r="G1504" t="s">
        <v>1349</v>
      </c>
      <c r="H1504" s="82">
        <v>2.5</v>
      </c>
      <c r="I1504">
        <v>7</v>
      </c>
      <c r="J1504">
        <v>57</v>
      </c>
      <c r="K1504" t="s">
        <v>2202</v>
      </c>
      <c r="L1504" s="6" t="s">
        <v>1371</v>
      </c>
      <c r="M1504" s="6">
        <v>10</v>
      </c>
      <c r="N1504" s="6">
        <v>2</v>
      </c>
      <c r="O1504">
        <v>500</v>
      </c>
      <c r="P1504">
        <v>202605</v>
      </c>
      <c r="Q1504" t="s">
        <v>377</v>
      </c>
      <c r="R1504" t="s">
        <v>1350</v>
      </c>
      <c r="S1504">
        <f>Consulta1[[#This Row],[min_port]]/100</f>
        <v>1.4499999999999999E-2</v>
      </c>
      <c r="T1504" s="252">
        <f>Consulta1[[#This Row],[TETO_COMERCIAL]]/100</f>
        <v>2.5000000000000001E-2</v>
      </c>
      <c r="U1504" t="b">
        <f>Consulta1[[#This Row],[TETO_COMERCIAL_%]]=Consulta1[[#This Row],[TAXA]]</f>
        <v>0</v>
      </c>
      <c r="V1504" t="str">
        <f>CONCATENATE(Consulta1[[#This Row],[MES_ALTERACAO]],Consulta1[[#This Row],[VIRADA]])</f>
        <v>20260510</v>
      </c>
      <c r="W1504">
        <f>VLOOKUP(Consulta1[[#This Row],[Coluna2]],CALENDARIO!$J:$K,2,FALSE)</f>
        <v>5</v>
      </c>
    </row>
    <row r="1505" spans="1:23" x14ac:dyDescent="0.25">
      <c r="A1505" t="s">
        <v>3085</v>
      </c>
      <c r="B1505" t="str">
        <f>CONCATENATE(Consulta1[[#This Row],[id]],Consulta1[[#This Row],[EMPREGADOR]])</f>
        <v>1SUP TRIB FEDRAL</v>
      </c>
      <c r="C1505" s="6">
        <f>IF(A1505=A1504,C1504+1,1)</f>
        <v>1</v>
      </c>
      <c r="D1505" t="s">
        <v>405</v>
      </c>
      <c r="E1505" s="101">
        <v>2.5000000000000001E-2</v>
      </c>
      <c r="F1505" s="6">
        <v>120</v>
      </c>
      <c r="G1505" t="s">
        <v>1349</v>
      </c>
      <c r="H1505" s="82">
        <v>2.5</v>
      </c>
      <c r="I1505">
        <v>25</v>
      </c>
      <c r="K1505" t="s">
        <v>2203</v>
      </c>
      <c r="L1505" s="6" t="s">
        <v>1356</v>
      </c>
      <c r="M1505" s="6">
        <v>8</v>
      </c>
      <c r="N1505" s="6">
        <v>2</v>
      </c>
      <c r="O1505">
        <v>500</v>
      </c>
      <c r="P1505">
        <v>202605</v>
      </c>
      <c r="Q1505" t="s">
        <v>378</v>
      </c>
      <c r="R1505" t="s">
        <v>1350</v>
      </c>
      <c r="S1505">
        <f>Consulta1[[#This Row],[min_port]]/100</f>
        <v>1.3000000000000001E-2</v>
      </c>
      <c r="T1505" s="252">
        <f>Consulta1[[#This Row],[TETO_COMERCIAL]]/100</f>
        <v>2.5000000000000001E-2</v>
      </c>
      <c r="U1505" t="b">
        <f>Consulta1[[#This Row],[TETO_COMERCIAL_%]]=Consulta1[[#This Row],[TAXA]]</f>
        <v>1</v>
      </c>
      <c r="V1505" t="str">
        <f>CONCATENATE(Consulta1[[#This Row],[MES_ALTERACAO]],Consulta1[[#This Row],[VIRADA]])</f>
        <v>2026058</v>
      </c>
      <c r="W1505">
        <f>VLOOKUP(Consulta1[[#This Row],[Coluna2]],CALENDARIO!$J:$K,2,FALSE)</f>
        <v>5</v>
      </c>
    </row>
    <row r="1506" spans="1:23" x14ac:dyDescent="0.25">
      <c r="A1506" t="s">
        <v>3085</v>
      </c>
      <c r="B1506" t="str">
        <f>CONCATENATE(Consulta1[[#This Row],[id]],Consulta1[[#This Row],[EMPREGADOR]])</f>
        <v>2SUP TRIB FEDRAL</v>
      </c>
      <c r="C1506" s="6">
        <f>IF(A1506=A1505,C1505+1,1)</f>
        <v>2</v>
      </c>
      <c r="D1506" t="s">
        <v>406</v>
      </c>
      <c r="E1506" s="101">
        <v>1.9E-2</v>
      </c>
      <c r="F1506" s="6">
        <v>120</v>
      </c>
      <c r="G1506" t="s">
        <v>1349</v>
      </c>
      <c r="H1506" s="82">
        <v>2.5</v>
      </c>
      <c r="I1506">
        <v>25</v>
      </c>
      <c r="K1506" t="s">
        <v>2204</v>
      </c>
      <c r="L1506" s="6" t="s">
        <v>1356</v>
      </c>
      <c r="M1506" s="6">
        <v>8</v>
      </c>
      <c r="N1506" s="6">
        <v>2</v>
      </c>
      <c r="O1506">
        <v>500</v>
      </c>
      <c r="P1506">
        <v>202605</v>
      </c>
      <c r="Q1506" t="s">
        <v>378</v>
      </c>
      <c r="R1506" t="s">
        <v>1350</v>
      </c>
      <c r="S1506">
        <f>Consulta1[[#This Row],[min_port]]/100</f>
        <v>1.3000000000000001E-2</v>
      </c>
      <c r="T1506" s="252">
        <f>Consulta1[[#This Row],[TETO_COMERCIAL]]/100</f>
        <v>2.5000000000000001E-2</v>
      </c>
      <c r="U1506" t="b">
        <f>Consulta1[[#This Row],[TETO_COMERCIAL_%]]=Consulta1[[#This Row],[TAXA]]</f>
        <v>0</v>
      </c>
      <c r="V1506" t="str">
        <f>CONCATENATE(Consulta1[[#This Row],[MES_ALTERACAO]],Consulta1[[#This Row],[VIRADA]])</f>
        <v>2026058</v>
      </c>
      <c r="W1506">
        <f>VLOOKUP(Consulta1[[#This Row],[Coluna2]],CALENDARIO!$J:$K,2,FALSE)</f>
        <v>5</v>
      </c>
    </row>
    <row r="1507" spans="1:23" x14ac:dyDescent="0.25">
      <c r="A1507" t="s">
        <v>3085</v>
      </c>
      <c r="B1507" t="str">
        <f>CONCATENATE(Consulta1[[#This Row],[id]],Consulta1[[#This Row],[EMPREGADOR]])</f>
        <v>3SUP TRIB FEDRAL</v>
      </c>
      <c r="C1507" s="6">
        <f>IF(A1507=A1506,C1506+1,1)</f>
        <v>3</v>
      </c>
      <c r="D1507" t="s">
        <v>407</v>
      </c>
      <c r="E1507" s="101">
        <v>1.8000000000000002E-2</v>
      </c>
      <c r="F1507" s="6">
        <v>120</v>
      </c>
      <c r="G1507" t="s">
        <v>1349</v>
      </c>
      <c r="H1507" s="82">
        <v>2.5</v>
      </c>
      <c r="I1507">
        <v>25</v>
      </c>
      <c r="J1507">
        <v>25</v>
      </c>
      <c r="K1507" t="s">
        <v>2205</v>
      </c>
      <c r="L1507" s="6" t="s">
        <v>1356</v>
      </c>
      <c r="M1507" s="6">
        <v>8</v>
      </c>
      <c r="N1507" s="6">
        <v>2</v>
      </c>
      <c r="O1507">
        <v>500</v>
      </c>
      <c r="P1507">
        <v>202605</v>
      </c>
      <c r="Q1507" t="s">
        <v>378</v>
      </c>
      <c r="R1507" t="s">
        <v>1350</v>
      </c>
      <c r="S1507">
        <f>Consulta1[[#This Row],[min_port]]/100</f>
        <v>1.3000000000000001E-2</v>
      </c>
      <c r="T1507" s="252">
        <f>Consulta1[[#This Row],[TETO_COMERCIAL]]/100</f>
        <v>2.5000000000000001E-2</v>
      </c>
      <c r="U1507" t="b">
        <f>Consulta1[[#This Row],[TETO_COMERCIAL_%]]=Consulta1[[#This Row],[TAXA]]</f>
        <v>0</v>
      </c>
      <c r="V1507" t="str">
        <f>CONCATENATE(Consulta1[[#This Row],[MES_ALTERACAO]],Consulta1[[#This Row],[VIRADA]])</f>
        <v>2026058</v>
      </c>
      <c r="W1507">
        <f>VLOOKUP(Consulta1[[#This Row],[Coluna2]],CALENDARIO!$J:$K,2,FALSE)</f>
        <v>5</v>
      </c>
    </row>
    <row r="1508" spans="1:23" x14ac:dyDescent="0.25">
      <c r="A1508" t="s">
        <v>3342</v>
      </c>
      <c r="B1508" t="str">
        <f>CONCATENATE(Consulta1[[#This Row],[id]],Consulta1[[#This Row],[EMPREGADOR]])</f>
        <v>1TEE SP</v>
      </c>
      <c r="C1508" s="6">
        <f>IF(A1508=A1507,C1507+1,1)</f>
        <v>1</v>
      </c>
      <c r="D1508" t="s">
        <v>850</v>
      </c>
      <c r="E1508" s="101">
        <v>1.8500000000000003E-2</v>
      </c>
      <c r="F1508" s="6">
        <v>120</v>
      </c>
      <c r="G1508" t="s">
        <v>1349</v>
      </c>
      <c r="H1508" s="82">
        <v>1.85</v>
      </c>
      <c r="I1508">
        <v>5</v>
      </c>
      <c r="K1508" t="s">
        <v>2277</v>
      </c>
      <c r="L1508" s="6" t="s">
        <v>1399</v>
      </c>
      <c r="M1508" s="6">
        <v>30</v>
      </c>
      <c r="N1508" s="6">
        <v>2</v>
      </c>
      <c r="O1508">
        <v>500</v>
      </c>
      <c r="P1508">
        <v>202605</v>
      </c>
      <c r="Q1508" t="s">
        <v>377</v>
      </c>
      <c r="R1508" t="s">
        <v>1353</v>
      </c>
      <c r="S1508">
        <f>Consulta1[[#This Row],[min_port]]/100</f>
        <v>1.3899999999999999E-2</v>
      </c>
      <c r="T1508" s="252">
        <f>Consulta1[[#This Row],[TETO_COMERCIAL]]/100</f>
        <v>1.8500000000000003E-2</v>
      </c>
      <c r="U1508" t="b">
        <f>Consulta1[[#This Row],[TETO_COMERCIAL_%]]=Consulta1[[#This Row],[TAXA]]</f>
        <v>1</v>
      </c>
      <c r="V1508" t="str">
        <f>CONCATENATE(Consulta1[[#This Row],[MES_ALTERACAO]],Consulta1[[#This Row],[VIRADA]])</f>
        <v>20260530</v>
      </c>
      <c r="W1508">
        <f>VLOOKUP(Consulta1[[#This Row],[Coluna2]],CALENDARIO!$J:$K,2,FALSE)</f>
        <v>20</v>
      </c>
    </row>
    <row r="1509" spans="1:23" x14ac:dyDescent="0.25">
      <c r="A1509" t="s">
        <v>3342</v>
      </c>
      <c r="B1509" t="str">
        <f>CONCATENATE(Consulta1[[#This Row],[id]],Consulta1[[#This Row],[EMPREGADOR]])</f>
        <v>2TEE SP</v>
      </c>
      <c r="C1509" s="6">
        <f>IF(A1509=A1508,C1508+1,1)</f>
        <v>2</v>
      </c>
      <c r="D1509" t="s">
        <v>851</v>
      </c>
      <c r="E1509" s="101">
        <v>1.8000000000000002E-2</v>
      </c>
      <c r="F1509" s="6">
        <v>120</v>
      </c>
      <c r="G1509" t="s">
        <v>1349</v>
      </c>
      <c r="H1509" s="82">
        <v>1.85</v>
      </c>
      <c r="I1509">
        <v>5</v>
      </c>
      <c r="K1509" t="s">
        <v>2278</v>
      </c>
      <c r="L1509" s="6" t="s">
        <v>1399</v>
      </c>
      <c r="M1509" s="6">
        <v>30</v>
      </c>
      <c r="N1509" s="6">
        <v>2</v>
      </c>
      <c r="O1509">
        <v>500</v>
      </c>
      <c r="P1509">
        <v>202605</v>
      </c>
      <c r="Q1509" t="s">
        <v>377</v>
      </c>
      <c r="R1509" t="s">
        <v>1353</v>
      </c>
      <c r="S1509">
        <f>Consulta1[[#This Row],[min_port]]/100</f>
        <v>1.3899999999999999E-2</v>
      </c>
      <c r="T1509" s="252">
        <f>Consulta1[[#This Row],[TETO_COMERCIAL]]/100</f>
        <v>1.8500000000000003E-2</v>
      </c>
      <c r="U1509" t="b">
        <f>Consulta1[[#This Row],[TETO_COMERCIAL_%]]=Consulta1[[#This Row],[TAXA]]</f>
        <v>0</v>
      </c>
      <c r="V1509" t="str">
        <f>CONCATENATE(Consulta1[[#This Row],[MES_ALTERACAO]],Consulta1[[#This Row],[VIRADA]])</f>
        <v>20260530</v>
      </c>
      <c r="W1509">
        <f>VLOOKUP(Consulta1[[#This Row],[Coluna2]],CALENDARIO!$J:$K,2,FALSE)</f>
        <v>20</v>
      </c>
    </row>
    <row r="1510" spans="1:23" x14ac:dyDescent="0.25">
      <c r="A1510" t="s">
        <v>3342</v>
      </c>
      <c r="B1510" t="str">
        <f>CONCATENATE(Consulta1[[#This Row],[id]],Consulta1[[#This Row],[EMPREGADOR]])</f>
        <v>3TEE SP</v>
      </c>
      <c r="C1510" s="6">
        <f>IF(A1510=A1509,C1509+1,1)</f>
        <v>3</v>
      </c>
      <c r="D1510" t="s">
        <v>852</v>
      </c>
      <c r="E1510" s="101">
        <v>1.7500000000000002E-2</v>
      </c>
      <c r="F1510" s="6">
        <v>120</v>
      </c>
      <c r="G1510" t="s">
        <v>1349</v>
      </c>
      <c r="H1510" s="82">
        <v>1.85</v>
      </c>
      <c r="I1510">
        <v>5</v>
      </c>
      <c r="K1510" t="s">
        <v>2279</v>
      </c>
      <c r="L1510" s="6" t="s">
        <v>1399</v>
      </c>
      <c r="M1510" s="6">
        <v>30</v>
      </c>
      <c r="N1510" s="6">
        <v>2</v>
      </c>
      <c r="O1510">
        <v>500</v>
      </c>
      <c r="P1510">
        <v>202605</v>
      </c>
      <c r="Q1510" t="s">
        <v>377</v>
      </c>
      <c r="R1510" t="s">
        <v>1353</v>
      </c>
      <c r="S1510">
        <f>Consulta1[[#This Row],[min_port]]/100</f>
        <v>1.3899999999999999E-2</v>
      </c>
      <c r="T1510" s="252">
        <f>Consulta1[[#This Row],[TETO_COMERCIAL]]/100</f>
        <v>1.8500000000000003E-2</v>
      </c>
      <c r="U1510" t="b">
        <f>Consulta1[[#This Row],[TETO_COMERCIAL_%]]=Consulta1[[#This Row],[TAXA]]</f>
        <v>0</v>
      </c>
      <c r="V1510" t="str">
        <f>CONCATENATE(Consulta1[[#This Row],[MES_ALTERACAO]],Consulta1[[#This Row],[VIRADA]])</f>
        <v>20260530</v>
      </c>
      <c r="W1510">
        <f>VLOOKUP(Consulta1[[#This Row],[Coluna2]],CALENDARIO!$J:$K,2,FALSE)</f>
        <v>20</v>
      </c>
    </row>
    <row r="1511" spans="1:23" x14ac:dyDescent="0.25">
      <c r="A1511" t="s">
        <v>3342</v>
      </c>
      <c r="B1511" t="str">
        <f>CONCATENATE(Consulta1[[#This Row],[id]],Consulta1[[#This Row],[EMPREGADOR]])</f>
        <v>4TEE SP</v>
      </c>
      <c r="C1511" s="6">
        <f>IF(A1511=A1510,C1510+1,1)</f>
        <v>4</v>
      </c>
      <c r="D1511" t="s">
        <v>853</v>
      </c>
      <c r="E1511" s="101">
        <v>1.7299999999999999E-2</v>
      </c>
      <c r="F1511" s="6">
        <v>120</v>
      </c>
      <c r="G1511" t="s">
        <v>1349</v>
      </c>
      <c r="H1511" s="82">
        <v>1.85</v>
      </c>
      <c r="I1511">
        <v>5</v>
      </c>
      <c r="J1511">
        <v>41</v>
      </c>
      <c r="K1511" t="s">
        <v>2280</v>
      </c>
      <c r="L1511" s="6" t="s">
        <v>1399</v>
      </c>
      <c r="M1511" s="6">
        <v>30</v>
      </c>
      <c r="N1511" s="6">
        <v>2</v>
      </c>
      <c r="O1511">
        <v>500</v>
      </c>
      <c r="P1511">
        <v>202605</v>
      </c>
      <c r="Q1511" t="s">
        <v>377</v>
      </c>
      <c r="R1511" t="s">
        <v>1353</v>
      </c>
      <c r="S1511">
        <f>Consulta1[[#This Row],[min_port]]/100</f>
        <v>1.3899999999999999E-2</v>
      </c>
      <c r="T1511" s="252">
        <f>Consulta1[[#This Row],[TETO_COMERCIAL]]/100</f>
        <v>1.8500000000000003E-2</v>
      </c>
      <c r="U1511" t="b">
        <f>Consulta1[[#This Row],[TETO_COMERCIAL_%]]=Consulta1[[#This Row],[TAXA]]</f>
        <v>0</v>
      </c>
      <c r="V1511" t="str">
        <f>CONCATENATE(Consulta1[[#This Row],[MES_ALTERACAO]],Consulta1[[#This Row],[VIRADA]])</f>
        <v>20260530</v>
      </c>
      <c r="W1511">
        <f>VLOOKUP(Consulta1[[#This Row],[Coluna2]],CALENDARIO!$J:$K,2,FALSE)</f>
        <v>20</v>
      </c>
    </row>
    <row r="1512" spans="1:23" x14ac:dyDescent="0.25">
      <c r="A1512" t="s">
        <v>1284</v>
      </c>
      <c r="B1512" t="str">
        <f>CONCATENATE(Consulta1[[#This Row],[id]],Consulta1[[#This Row],[EMPREGADOR]])</f>
        <v>1TJ AM</v>
      </c>
      <c r="C1512" s="6">
        <f>IF(A1512=A1511,C1511+1,1)</f>
        <v>1</v>
      </c>
      <c r="D1512" t="s">
        <v>1285</v>
      </c>
      <c r="E1512" s="101">
        <v>2.5000000000000001E-2</v>
      </c>
      <c r="F1512" s="6">
        <v>96</v>
      </c>
      <c r="G1512" t="s">
        <v>1349</v>
      </c>
      <c r="H1512" s="82">
        <v>2.5</v>
      </c>
      <c r="I1512">
        <v>15</v>
      </c>
      <c r="J1512">
        <v>27</v>
      </c>
      <c r="K1512" t="s">
        <v>2206</v>
      </c>
      <c r="L1512" s="6" t="s">
        <v>1873</v>
      </c>
      <c r="M1512" s="6">
        <v>31</v>
      </c>
      <c r="N1512" s="6">
        <v>2</v>
      </c>
      <c r="O1512">
        <v>500</v>
      </c>
      <c r="P1512">
        <v>202605</v>
      </c>
      <c r="Q1512" t="s">
        <v>378</v>
      </c>
      <c r="R1512" t="s">
        <v>1353</v>
      </c>
      <c r="S1512">
        <f>Consulta1[[#This Row],[min_port]]/100</f>
        <v>1.7000000000000001E-2</v>
      </c>
      <c r="T1512" s="252">
        <f>Consulta1[[#This Row],[TETO_COMERCIAL]]/100</f>
        <v>2.5000000000000001E-2</v>
      </c>
      <c r="U1512" t="b">
        <f>Consulta1[[#This Row],[TETO_COMERCIAL_%]]=Consulta1[[#This Row],[TAXA]]</f>
        <v>1</v>
      </c>
      <c r="V1512" t="str">
        <f>CONCATENATE(Consulta1[[#This Row],[MES_ALTERACAO]],Consulta1[[#This Row],[VIRADA]])</f>
        <v>20260531</v>
      </c>
      <c r="W1512">
        <f>VLOOKUP(Consulta1[[#This Row],[Coluna2]],CALENDARIO!$J:$K,2,FALSE)</f>
        <v>20</v>
      </c>
    </row>
    <row r="1513" spans="1:23" x14ac:dyDescent="0.25">
      <c r="A1513" t="s">
        <v>1284</v>
      </c>
      <c r="B1513" t="str">
        <f>CONCATENATE(Consulta1[[#This Row],[id]],Consulta1[[#This Row],[EMPREGADOR]])</f>
        <v>2TJ AM</v>
      </c>
      <c r="C1513" s="6">
        <f>IF(A1513=A1512,C1512+1,1)</f>
        <v>2</v>
      </c>
      <c r="D1513" t="s">
        <v>1286</v>
      </c>
      <c r="E1513" s="101">
        <v>2.4E-2</v>
      </c>
      <c r="F1513" s="6">
        <v>96</v>
      </c>
      <c r="G1513" t="s">
        <v>1349</v>
      </c>
      <c r="H1513" s="82">
        <v>2.5</v>
      </c>
      <c r="I1513">
        <v>15</v>
      </c>
      <c r="J1513">
        <v>27</v>
      </c>
      <c r="K1513" t="s">
        <v>2207</v>
      </c>
      <c r="L1513" s="6" t="s">
        <v>1873</v>
      </c>
      <c r="M1513" s="6">
        <v>31</v>
      </c>
      <c r="N1513" s="6">
        <v>2</v>
      </c>
      <c r="O1513">
        <v>500</v>
      </c>
      <c r="P1513">
        <v>202605</v>
      </c>
      <c r="Q1513" t="s">
        <v>378</v>
      </c>
      <c r="R1513" t="s">
        <v>1353</v>
      </c>
      <c r="S1513">
        <f>Consulta1[[#This Row],[min_port]]/100</f>
        <v>1.7000000000000001E-2</v>
      </c>
      <c r="T1513" s="252">
        <f>Consulta1[[#This Row],[TETO_COMERCIAL]]/100</f>
        <v>2.5000000000000001E-2</v>
      </c>
      <c r="U1513" t="b">
        <f>Consulta1[[#This Row],[TETO_COMERCIAL_%]]=Consulta1[[#This Row],[TAXA]]</f>
        <v>0</v>
      </c>
      <c r="V1513" t="str">
        <f>CONCATENATE(Consulta1[[#This Row],[MES_ALTERACAO]],Consulta1[[#This Row],[VIRADA]])</f>
        <v>20260531</v>
      </c>
      <c r="W1513">
        <f>VLOOKUP(Consulta1[[#This Row],[Coluna2]],CALENDARIO!$J:$K,2,FALSE)</f>
        <v>20</v>
      </c>
    </row>
    <row r="1514" spans="1:23" x14ac:dyDescent="0.25">
      <c r="A1514" t="s">
        <v>1284</v>
      </c>
      <c r="B1514" t="str">
        <f>CONCATENATE(Consulta1[[#This Row],[id]],Consulta1[[#This Row],[EMPREGADOR]])</f>
        <v>3TJ AM</v>
      </c>
      <c r="C1514" s="6">
        <f>IF(A1514=A1513,C1513+1,1)</f>
        <v>3</v>
      </c>
      <c r="D1514" t="s">
        <v>1287</v>
      </c>
      <c r="E1514" s="101">
        <v>2.3E-2</v>
      </c>
      <c r="F1514" s="6">
        <v>96</v>
      </c>
      <c r="G1514" t="s">
        <v>1349</v>
      </c>
      <c r="H1514" s="82">
        <v>2.5</v>
      </c>
      <c r="I1514">
        <v>15</v>
      </c>
      <c r="J1514">
        <v>27</v>
      </c>
      <c r="K1514" t="s">
        <v>2208</v>
      </c>
      <c r="L1514" s="6" t="s">
        <v>1873</v>
      </c>
      <c r="M1514" s="6">
        <v>31</v>
      </c>
      <c r="N1514" s="6">
        <v>2</v>
      </c>
      <c r="O1514">
        <v>500</v>
      </c>
      <c r="P1514">
        <v>202605</v>
      </c>
      <c r="Q1514" t="s">
        <v>378</v>
      </c>
      <c r="R1514" t="s">
        <v>1353</v>
      </c>
      <c r="S1514">
        <f>Consulta1[[#This Row],[min_port]]/100</f>
        <v>1.7000000000000001E-2</v>
      </c>
      <c r="T1514" s="252">
        <f>Consulta1[[#This Row],[TETO_COMERCIAL]]/100</f>
        <v>2.5000000000000001E-2</v>
      </c>
      <c r="U1514" t="b">
        <f>Consulta1[[#This Row],[TETO_COMERCIAL_%]]=Consulta1[[#This Row],[TAXA]]</f>
        <v>0</v>
      </c>
      <c r="V1514" t="str">
        <f>CONCATENATE(Consulta1[[#This Row],[MES_ALTERACAO]],Consulta1[[#This Row],[VIRADA]])</f>
        <v>20260531</v>
      </c>
      <c r="W1514">
        <f>VLOOKUP(Consulta1[[#This Row],[Coluna2]],CALENDARIO!$J:$K,2,FALSE)</f>
        <v>20</v>
      </c>
    </row>
    <row r="1515" spans="1:23" x14ac:dyDescent="0.25">
      <c r="A1515" t="s">
        <v>1284</v>
      </c>
      <c r="B1515" t="str">
        <f>CONCATENATE(Consulta1[[#This Row],[id]],Consulta1[[#This Row],[EMPREGADOR]])</f>
        <v>4TJ AM</v>
      </c>
      <c r="C1515" s="6">
        <f>IF(A1515=A1514,C1514+1,1)</f>
        <v>4</v>
      </c>
      <c r="D1515" t="s">
        <v>1288</v>
      </c>
      <c r="E1515" s="101">
        <v>2.2000000000000002E-2</v>
      </c>
      <c r="F1515" s="6">
        <v>96</v>
      </c>
      <c r="G1515" t="s">
        <v>1349</v>
      </c>
      <c r="H1515" s="82">
        <v>2.5</v>
      </c>
      <c r="I1515">
        <v>15</v>
      </c>
      <c r="J1515">
        <v>27</v>
      </c>
      <c r="K1515" t="s">
        <v>2209</v>
      </c>
      <c r="L1515" s="6" t="s">
        <v>1873</v>
      </c>
      <c r="M1515" s="6">
        <v>31</v>
      </c>
      <c r="N1515" s="6">
        <v>2</v>
      </c>
      <c r="O1515">
        <v>500</v>
      </c>
      <c r="P1515">
        <v>202605</v>
      </c>
      <c r="Q1515" t="s">
        <v>378</v>
      </c>
      <c r="R1515" t="s">
        <v>1353</v>
      </c>
      <c r="S1515">
        <f>Consulta1[[#This Row],[min_port]]/100</f>
        <v>1.7000000000000001E-2</v>
      </c>
      <c r="T1515" s="252">
        <f>Consulta1[[#This Row],[TETO_COMERCIAL]]/100</f>
        <v>2.5000000000000001E-2</v>
      </c>
      <c r="U1515" t="b">
        <f>Consulta1[[#This Row],[TETO_COMERCIAL_%]]=Consulta1[[#This Row],[TAXA]]</f>
        <v>0</v>
      </c>
      <c r="V1515" t="str">
        <f>CONCATENATE(Consulta1[[#This Row],[MES_ALTERACAO]],Consulta1[[#This Row],[VIRADA]])</f>
        <v>20260531</v>
      </c>
      <c r="W1515">
        <f>VLOOKUP(Consulta1[[#This Row],[Coluna2]],CALENDARIO!$J:$K,2,FALSE)</f>
        <v>20</v>
      </c>
    </row>
    <row r="1516" spans="1:23" x14ac:dyDescent="0.25">
      <c r="A1516" t="s">
        <v>1284</v>
      </c>
      <c r="B1516" t="str">
        <f>CONCATENATE(Consulta1[[#This Row],[id]],Consulta1[[#This Row],[EMPREGADOR]])</f>
        <v>5TJ AM</v>
      </c>
      <c r="C1516" s="6">
        <f>IF(A1516=A1515,C1515+1,1)</f>
        <v>5</v>
      </c>
      <c r="D1516" t="s">
        <v>1289</v>
      </c>
      <c r="E1516" s="101">
        <v>2.1000000000000001E-2</v>
      </c>
      <c r="F1516" s="6">
        <v>96</v>
      </c>
      <c r="G1516" t="s">
        <v>1349</v>
      </c>
      <c r="H1516" s="82">
        <v>2.5</v>
      </c>
      <c r="I1516">
        <v>15</v>
      </c>
      <c r="J1516">
        <v>27</v>
      </c>
      <c r="K1516" t="s">
        <v>2210</v>
      </c>
      <c r="L1516" s="6" t="s">
        <v>1873</v>
      </c>
      <c r="M1516" s="6">
        <v>31</v>
      </c>
      <c r="N1516" s="6">
        <v>2</v>
      </c>
      <c r="O1516">
        <v>500</v>
      </c>
      <c r="P1516">
        <v>202605</v>
      </c>
      <c r="Q1516" t="s">
        <v>378</v>
      </c>
      <c r="R1516" t="s">
        <v>1353</v>
      </c>
      <c r="S1516">
        <f>Consulta1[[#This Row],[min_port]]/100</f>
        <v>1.7000000000000001E-2</v>
      </c>
      <c r="T1516" s="252">
        <f>Consulta1[[#This Row],[TETO_COMERCIAL]]/100</f>
        <v>2.5000000000000001E-2</v>
      </c>
      <c r="U1516" t="b">
        <f>Consulta1[[#This Row],[TETO_COMERCIAL_%]]=Consulta1[[#This Row],[TAXA]]</f>
        <v>0</v>
      </c>
      <c r="V1516" t="str">
        <f>CONCATENATE(Consulta1[[#This Row],[MES_ALTERACAO]],Consulta1[[#This Row],[VIRADA]])</f>
        <v>20260531</v>
      </c>
      <c r="W1516">
        <f>VLOOKUP(Consulta1[[#This Row],[Coluna2]],CALENDARIO!$J:$K,2,FALSE)</f>
        <v>20</v>
      </c>
    </row>
    <row r="1517" spans="1:23" x14ac:dyDescent="0.25">
      <c r="A1517" t="s">
        <v>1284</v>
      </c>
      <c r="B1517" t="str">
        <f>CONCATENATE(Consulta1[[#This Row],[id]],Consulta1[[#This Row],[EMPREGADOR]])</f>
        <v>6TJ AM</v>
      </c>
      <c r="C1517" s="6">
        <f>IF(A1517=A1516,C1516+1,1)</f>
        <v>6</v>
      </c>
      <c r="D1517" t="s">
        <v>1290</v>
      </c>
      <c r="E1517" s="101">
        <v>0.02</v>
      </c>
      <c r="F1517" s="6">
        <v>96</v>
      </c>
      <c r="G1517" t="s">
        <v>1349</v>
      </c>
      <c r="H1517" s="82">
        <v>2.5</v>
      </c>
      <c r="I1517">
        <v>15</v>
      </c>
      <c r="J1517">
        <v>27</v>
      </c>
      <c r="K1517" t="s">
        <v>2211</v>
      </c>
      <c r="L1517" s="6" t="s">
        <v>1873</v>
      </c>
      <c r="M1517" s="6">
        <v>31</v>
      </c>
      <c r="N1517" s="6">
        <v>2</v>
      </c>
      <c r="O1517">
        <v>500</v>
      </c>
      <c r="P1517">
        <v>202605</v>
      </c>
      <c r="Q1517" t="s">
        <v>378</v>
      </c>
      <c r="R1517" t="s">
        <v>1353</v>
      </c>
      <c r="S1517">
        <f>Consulta1[[#This Row],[min_port]]/100</f>
        <v>1.7000000000000001E-2</v>
      </c>
      <c r="T1517" s="252">
        <f>Consulta1[[#This Row],[TETO_COMERCIAL]]/100</f>
        <v>2.5000000000000001E-2</v>
      </c>
      <c r="U1517" t="b">
        <f>Consulta1[[#This Row],[TETO_COMERCIAL_%]]=Consulta1[[#This Row],[TAXA]]</f>
        <v>0</v>
      </c>
      <c r="V1517" t="str">
        <f>CONCATENATE(Consulta1[[#This Row],[MES_ALTERACAO]],Consulta1[[#This Row],[VIRADA]])</f>
        <v>20260531</v>
      </c>
      <c r="W1517">
        <f>VLOOKUP(Consulta1[[#This Row],[Coluna2]],CALENDARIO!$J:$K,2,FALSE)</f>
        <v>20</v>
      </c>
    </row>
    <row r="1518" spans="1:23" x14ac:dyDescent="0.25">
      <c r="A1518" t="s">
        <v>1284</v>
      </c>
      <c r="B1518" t="str">
        <f>CONCATENATE(Consulta1[[#This Row],[id]],Consulta1[[#This Row],[EMPREGADOR]])</f>
        <v>7TJ AM</v>
      </c>
      <c r="C1518" s="6">
        <f>IF(A1518=A1517,C1517+1,1)</f>
        <v>7</v>
      </c>
      <c r="D1518" t="s">
        <v>1291</v>
      </c>
      <c r="E1518" s="101">
        <v>1.9E-2</v>
      </c>
      <c r="F1518" s="6">
        <v>96</v>
      </c>
      <c r="G1518" t="s">
        <v>1349</v>
      </c>
      <c r="H1518" s="82">
        <v>2.5</v>
      </c>
      <c r="I1518">
        <v>15</v>
      </c>
      <c r="J1518">
        <v>27</v>
      </c>
      <c r="K1518" t="s">
        <v>2212</v>
      </c>
      <c r="L1518" s="6" t="s">
        <v>1873</v>
      </c>
      <c r="M1518" s="6">
        <v>31</v>
      </c>
      <c r="N1518" s="6">
        <v>2</v>
      </c>
      <c r="O1518">
        <v>500</v>
      </c>
      <c r="P1518">
        <v>202605</v>
      </c>
      <c r="Q1518" t="s">
        <v>378</v>
      </c>
      <c r="R1518" t="s">
        <v>1353</v>
      </c>
      <c r="S1518">
        <f>Consulta1[[#This Row],[min_port]]/100</f>
        <v>1.7000000000000001E-2</v>
      </c>
      <c r="T1518" s="252">
        <f>Consulta1[[#This Row],[TETO_COMERCIAL]]/100</f>
        <v>2.5000000000000001E-2</v>
      </c>
      <c r="U1518" t="b">
        <f>Consulta1[[#This Row],[TETO_COMERCIAL_%]]=Consulta1[[#This Row],[TAXA]]</f>
        <v>0</v>
      </c>
      <c r="V1518" t="str">
        <f>CONCATENATE(Consulta1[[#This Row],[MES_ALTERACAO]],Consulta1[[#This Row],[VIRADA]])</f>
        <v>20260531</v>
      </c>
      <c r="W1518">
        <f>VLOOKUP(Consulta1[[#This Row],[Coluna2]],CALENDARIO!$J:$K,2,FALSE)</f>
        <v>20</v>
      </c>
    </row>
    <row r="1519" spans="1:23" x14ac:dyDescent="0.25">
      <c r="A1519" t="s">
        <v>1284</v>
      </c>
      <c r="B1519" t="str">
        <f>CONCATENATE(Consulta1[[#This Row],[id]],Consulta1[[#This Row],[EMPREGADOR]])</f>
        <v>8TJ AM</v>
      </c>
      <c r="C1519" s="6">
        <f>IF(A1519=A1518,C1518+1,1)</f>
        <v>8</v>
      </c>
      <c r="D1519" t="s">
        <v>1292</v>
      </c>
      <c r="E1519" s="101">
        <v>1.83E-2</v>
      </c>
      <c r="F1519" s="6">
        <v>96</v>
      </c>
      <c r="G1519" t="s">
        <v>1349</v>
      </c>
      <c r="H1519" s="82">
        <v>2.5</v>
      </c>
      <c r="I1519">
        <v>15</v>
      </c>
      <c r="J1519">
        <v>27</v>
      </c>
      <c r="K1519" t="s">
        <v>2213</v>
      </c>
      <c r="L1519" s="6" t="s">
        <v>1873</v>
      </c>
      <c r="M1519" s="6">
        <v>31</v>
      </c>
      <c r="N1519" s="6">
        <v>2</v>
      </c>
      <c r="O1519">
        <v>500</v>
      </c>
      <c r="P1519">
        <v>202605</v>
      </c>
      <c r="Q1519" t="s">
        <v>378</v>
      </c>
      <c r="R1519" t="s">
        <v>1353</v>
      </c>
      <c r="S1519">
        <f>Consulta1[[#This Row],[min_port]]/100</f>
        <v>1.7000000000000001E-2</v>
      </c>
      <c r="T1519" s="252">
        <f>Consulta1[[#This Row],[TETO_COMERCIAL]]/100</f>
        <v>2.5000000000000001E-2</v>
      </c>
      <c r="U1519" t="b">
        <f>Consulta1[[#This Row],[TETO_COMERCIAL_%]]=Consulta1[[#This Row],[TAXA]]</f>
        <v>0</v>
      </c>
      <c r="V1519" t="str">
        <f>CONCATENATE(Consulta1[[#This Row],[MES_ALTERACAO]],Consulta1[[#This Row],[VIRADA]])</f>
        <v>20260531</v>
      </c>
      <c r="W1519">
        <f>VLOOKUP(Consulta1[[#This Row],[Coluna2]],CALENDARIO!$J:$K,2,FALSE)</f>
        <v>20</v>
      </c>
    </row>
    <row r="1520" spans="1:23" x14ac:dyDescent="0.25">
      <c r="A1520" t="s">
        <v>3086</v>
      </c>
      <c r="B1520" t="str">
        <f>CONCATENATE(Consulta1[[#This Row],[id]],Consulta1[[#This Row],[EMPREGADOR]])</f>
        <v>1TJ BA</v>
      </c>
      <c r="C1520" s="6">
        <f>IF(A1520=A1519,C1519+1,1)</f>
        <v>1</v>
      </c>
      <c r="D1520" t="s">
        <v>647</v>
      </c>
      <c r="E1520" s="101">
        <v>2.5000000000000001E-2</v>
      </c>
      <c r="F1520" s="6">
        <v>120</v>
      </c>
      <c r="G1520" t="s">
        <v>1349</v>
      </c>
      <c r="H1520" s="82">
        <v>2.5</v>
      </c>
      <c r="I1520">
        <v>1</v>
      </c>
      <c r="J1520">
        <v>41</v>
      </c>
      <c r="K1520" t="s">
        <v>2214</v>
      </c>
      <c r="L1520" s="6" t="s">
        <v>2215</v>
      </c>
      <c r="M1520" s="6">
        <v>5</v>
      </c>
      <c r="N1520" s="6">
        <v>2</v>
      </c>
      <c r="O1520">
        <v>500</v>
      </c>
      <c r="P1520">
        <v>202605</v>
      </c>
      <c r="Q1520" t="s">
        <v>377</v>
      </c>
      <c r="R1520" t="s">
        <v>1350</v>
      </c>
      <c r="S1520">
        <f>Consulta1[[#This Row],[min_port]]/100</f>
        <v>1.5100000000000001E-2</v>
      </c>
      <c r="T1520" s="252">
        <f>Consulta1[[#This Row],[TETO_COMERCIAL]]/100</f>
        <v>2.5000000000000001E-2</v>
      </c>
      <c r="U1520" t="b">
        <f>Consulta1[[#This Row],[TETO_COMERCIAL_%]]=Consulta1[[#This Row],[TAXA]]</f>
        <v>1</v>
      </c>
      <c r="V1520" t="str">
        <f>CONCATENATE(Consulta1[[#This Row],[MES_ALTERACAO]],Consulta1[[#This Row],[VIRADA]])</f>
        <v>2026055</v>
      </c>
      <c r="W1520">
        <f>VLOOKUP(Consulta1[[#This Row],[Coluna2]],CALENDARIO!$J:$K,2,FALSE)</f>
        <v>2</v>
      </c>
    </row>
    <row r="1521" spans="1:23" x14ac:dyDescent="0.25">
      <c r="A1521" t="s">
        <v>3086</v>
      </c>
      <c r="B1521" t="str">
        <f>CONCATENATE(Consulta1[[#This Row],[id]],Consulta1[[#This Row],[EMPREGADOR]])</f>
        <v>2TJ BA</v>
      </c>
      <c r="C1521" s="6">
        <f>IF(A1521=A1520,C1520+1,1)</f>
        <v>2</v>
      </c>
      <c r="D1521" t="s">
        <v>648</v>
      </c>
      <c r="E1521" s="101">
        <v>2.4E-2</v>
      </c>
      <c r="F1521" s="6">
        <v>120</v>
      </c>
      <c r="G1521" t="s">
        <v>1349</v>
      </c>
      <c r="H1521" s="82">
        <v>2.5</v>
      </c>
      <c r="I1521">
        <v>1</v>
      </c>
      <c r="J1521">
        <v>41</v>
      </c>
      <c r="K1521" t="s">
        <v>2216</v>
      </c>
      <c r="L1521" s="6" t="s">
        <v>2215</v>
      </c>
      <c r="M1521" s="6">
        <v>5</v>
      </c>
      <c r="N1521" s="6">
        <v>2</v>
      </c>
      <c r="O1521">
        <v>500</v>
      </c>
      <c r="P1521">
        <v>202605</v>
      </c>
      <c r="Q1521" t="s">
        <v>377</v>
      </c>
      <c r="R1521" t="s">
        <v>1350</v>
      </c>
      <c r="S1521">
        <f>Consulta1[[#This Row],[min_port]]/100</f>
        <v>1.5100000000000001E-2</v>
      </c>
      <c r="T1521" s="252">
        <f>Consulta1[[#This Row],[TETO_COMERCIAL]]/100</f>
        <v>2.5000000000000001E-2</v>
      </c>
      <c r="U1521" t="b">
        <f>Consulta1[[#This Row],[TETO_COMERCIAL_%]]=Consulta1[[#This Row],[TAXA]]</f>
        <v>0</v>
      </c>
      <c r="V1521" t="str">
        <f>CONCATENATE(Consulta1[[#This Row],[MES_ALTERACAO]],Consulta1[[#This Row],[VIRADA]])</f>
        <v>2026055</v>
      </c>
      <c r="W1521">
        <f>VLOOKUP(Consulta1[[#This Row],[Coluna2]],CALENDARIO!$J:$K,2,FALSE)</f>
        <v>2</v>
      </c>
    </row>
    <row r="1522" spans="1:23" x14ac:dyDescent="0.25">
      <c r="A1522" t="s">
        <v>3086</v>
      </c>
      <c r="B1522" t="str">
        <f>CONCATENATE(Consulta1[[#This Row],[id]],Consulta1[[#This Row],[EMPREGADOR]])</f>
        <v>3TJ BA</v>
      </c>
      <c r="C1522" s="6">
        <f>IF(A1522=A1521,C1521+1,1)</f>
        <v>3</v>
      </c>
      <c r="D1522" t="s">
        <v>649</v>
      </c>
      <c r="E1522" s="101">
        <v>2.3E-2</v>
      </c>
      <c r="F1522" s="6">
        <v>120</v>
      </c>
      <c r="G1522" t="s">
        <v>1349</v>
      </c>
      <c r="H1522" s="82">
        <v>2.5</v>
      </c>
      <c r="I1522">
        <v>1</v>
      </c>
      <c r="J1522">
        <v>41</v>
      </c>
      <c r="K1522" t="s">
        <v>2217</v>
      </c>
      <c r="L1522" s="6" t="s">
        <v>2215</v>
      </c>
      <c r="M1522" s="6">
        <v>5</v>
      </c>
      <c r="N1522" s="6">
        <v>2</v>
      </c>
      <c r="O1522">
        <v>500</v>
      </c>
      <c r="P1522">
        <v>202605</v>
      </c>
      <c r="Q1522" t="s">
        <v>377</v>
      </c>
      <c r="R1522" t="s">
        <v>1350</v>
      </c>
      <c r="S1522">
        <f>Consulta1[[#This Row],[min_port]]/100</f>
        <v>1.5100000000000001E-2</v>
      </c>
      <c r="T1522" s="252">
        <f>Consulta1[[#This Row],[TETO_COMERCIAL]]/100</f>
        <v>2.5000000000000001E-2</v>
      </c>
      <c r="U1522" t="b">
        <f>Consulta1[[#This Row],[TETO_COMERCIAL_%]]=Consulta1[[#This Row],[TAXA]]</f>
        <v>0</v>
      </c>
      <c r="V1522" t="str">
        <f>CONCATENATE(Consulta1[[#This Row],[MES_ALTERACAO]],Consulta1[[#This Row],[VIRADA]])</f>
        <v>2026055</v>
      </c>
      <c r="W1522">
        <f>VLOOKUP(Consulta1[[#This Row],[Coluna2]],CALENDARIO!$J:$K,2,FALSE)</f>
        <v>2</v>
      </c>
    </row>
    <row r="1523" spans="1:23" x14ac:dyDescent="0.25">
      <c r="A1523" t="s">
        <v>3086</v>
      </c>
      <c r="B1523" t="str">
        <f>CONCATENATE(Consulta1[[#This Row],[id]],Consulta1[[#This Row],[EMPREGADOR]])</f>
        <v>4TJ BA</v>
      </c>
      <c r="C1523" s="6">
        <f>IF(A1523=A1522,C1522+1,1)</f>
        <v>4</v>
      </c>
      <c r="D1523" t="s">
        <v>650</v>
      </c>
      <c r="E1523" s="101">
        <v>2.2000000000000002E-2</v>
      </c>
      <c r="F1523" s="6">
        <v>120</v>
      </c>
      <c r="G1523" t="s">
        <v>1349</v>
      </c>
      <c r="H1523" s="82">
        <v>2.5</v>
      </c>
      <c r="I1523">
        <v>1</v>
      </c>
      <c r="J1523">
        <v>41</v>
      </c>
      <c r="K1523" t="s">
        <v>2218</v>
      </c>
      <c r="L1523" s="6" t="s">
        <v>2215</v>
      </c>
      <c r="M1523" s="6">
        <v>5</v>
      </c>
      <c r="N1523" s="6">
        <v>2</v>
      </c>
      <c r="O1523">
        <v>500</v>
      </c>
      <c r="P1523">
        <v>202605</v>
      </c>
      <c r="Q1523" t="s">
        <v>377</v>
      </c>
      <c r="R1523" t="s">
        <v>1350</v>
      </c>
      <c r="S1523">
        <f>Consulta1[[#This Row],[min_port]]/100</f>
        <v>1.5100000000000001E-2</v>
      </c>
      <c r="T1523" s="252">
        <f>Consulta1[[#This Row],[TETO_COMERCIAL]]/100</f>
        <v>2.5000000000000001E-2</v>
      </c>
      <c r="U1523" t="b">
        <f>Consulta1[[#This Row],[TETO_COMERCIAL_%]]=Consulta1[[#This Row],[TAXA]]</f>
        <v>0</v>
      </c>
      <c r="V1523" t="str">
        <f>CONCATENATE(Consulta1[[#This Row],[MES_ALTERACAO]],Consulta1[[#This Row],[VIRADA]])</f>
        <v>2026055</v>
      </c>
      <c r="W1523">
        <f>VLOOKUP(Consulta1[[#This Row],[Coluna2]],CALENDARIO!$J:$K,2,FALSE)</f>
        <v>2</v>
      </c>
    </row>
    <row r="1524" spans="1:23" x14ac:dyDescent="0.25">
      <c r="A1524" t="s">
        <v>3086</v>
      </c>
      <c r="B1524" t="str">
        <f>CONCATENATE(Consulta1[[#This Row],[id]],Consulta1[[#This Row],[EMPREGADOR]])</f>
        <v>5TJ BA</v>
      </c>
      <c r="C1524" s="6">
        <f>IF(A1524=A1523,C1523+1,1)</f>
        <v>5</v>
      </c>
      <c r="D1524" t="s">
        <v>241</v>
      </c>
      <c r="E1524" s="101">
        <v>2.1099999999999997E-2</v>
      </c>
      <c r="F1524" s="6">
        <v>120</v>
      </c>
      <c r="G1524" t="s">
        <v>1349</v>
      </c>
      <c r="H1524" s="82">
        <v>2.5</v>
      </c>
      <c r="I1524">
        <v>1</v>
      </c>
      <c r="J1524">
        <v>41</v>
      </c>
      <c r="K1524" t="s">
        <v>2219</v>
      </c>
      <c r="L1524" s="6" t="s">
        <v>2215</v>
      </c>
      <c r="M1524" s="6">
        <v>5</v>
      </c>
      <c r="N1524" s="6">
        <v>2</v>
      </c>
      <c r="O1524">
        <v>500</v>
      </c>
      <c r="P1524">
        <v>202605</v>
      </c>
      <c r="Q1524" t="s">
        <v>377</v>
      </c>
      <c r="R1524" t="s">
        <v>1350</v>
      </c>
      <c r="S1524">
        <f>Consulta1[[#This Row],[min_port]]/100</f>
        <v>1.5100000000000001E-2</v>
      </c>
      <c r="T1524" s="252">
        <f>Consulta1[[#This Row],[TETO_COMERCIAL]]/100</f>
        <v>2.5000000000000001E-2</v>
      </c>
      <c r="U1524" t="b">
        <f>Consulta1[[#This Row],[TETO_COMERCIAL_%]]=Consulta1[[#This Row],[TAXA]]</f>
        <v>0</v>
      </c>
      <c r="V1524" t="str">
        <f>CONCATENATE(Consulta1[[#This Row],[MES_ALTERACAO]],Consulta1[[#This Row],[VIRADA]])</f>
        <v>2026055</v>
      </c>
      <c r="W1524">
        <f>VLOOKUP(Consulta1[[#This Row],[Coluna2]],CALENDARIO!$J:$K,2,FALSE)</f>
        <v>2</v>
      </c>
    </row>
    <row r="1525" spans="1:23" x14ac:dyDescent="0.25">
      <c r="A1525" t="s">
        <v>791</v>
      </c>
      <c r="B1525" t="str">
        <f>CONCATENATE(Consulta1[[#This Row],[id]],Consulta1[[#This Row],[EMPREGADOR]])</f>
        <v>1TJ DF</v>
      </c>
      <c r="C1525" s="6">
        <f>IF(A1525=A1524,C1524+1,1)</f>
        <v>1</v>
      </c>
      <c r="D1525" t="s">
        <v>796</v>
      </c>
      <c r="E1525" s="101">
        <v>1.7500000000000002E-2</v>
      </c>
      <c r="F1525" s="6">
        <v>120</v>
      </c>
      <c r="G1525" t="s">
        <v>1349</v>
      </c>
      <c r="H1525" s="82">
        <v>1.75</v>
      </c>
      <c r="I1525">
        <v>25</v>
      </c>
      <c r="J1525">
        <v>33</v>
      </c>
      <c r="K1525" t="s">
        <v>2220</v>
      </c>
      <c r="L1525" s="6" t="s">
        <v>1381</v>
      </c>
      <c r="M1525" s="6">
        <v>5</v>
      </c>
      <c r="N1525" s="6">
        <v>2</v>
      </c>
      <c r="O1525">
        <v>500</v>
      </c>
      <c r="P1525">
        <v>202605</v>
      </c>
      <c r="Q1525" t="s">
        <v>377</v>
      </c>
      <c r="R1525" t="s">
        <v>1350</v>
      </c>
      <c r="S1525">
        <f>Consulta1[[#This Row],[min_port]]/100</f>
        <v>1.3999999999999999E-2</v>
      </c>
      <c r="T1525" s="252">
        <f>Consulta1[[#This Row],[TETO_COMERCIAL]]/100</f>
        <v>1.7500000000000002E-2</v>
      </c>
      <c r="U1525" t="b">
        <f>Consulta1[[#This Row],[TETO_COMERCIAL_%]]=Consulta1[[#This Row],[TAXA]]</f>
        <v>1</v>
      </c>
      <c r="V1525" t="str">
        <f>CONCATENATE(Consulta1[[#This Row],[MES_ALTERACAO]],Consulta1[[#This Row],[VIRADA]])</f>
        <v>2026055</v>
      </c>
      <c r="W1525">
        <f>VLOOKUP(Consulta1[[#This Row],[Coluna2]],CALENDARIO!$J:$K,2,FALSE)</f>
        <v>2</v>
      </c>
    </row>
    <row r="1526" spans="1:23" x14ac:dyDescent="0.25">
      <c r="A1526" t="s">
        <v>855</v>
      </c>
      <c r="B1526" t="str">
        <f>CONCATENATE(Consulta1[[#This Row],[id]],Consulta1[[#This Row],[EMPREGADOR]])</f>
        <v>1TJ ESP SANTO - ESPECIAL</v>
      </c>
      <c r="C1526" s="6">
        <f>IF(A1526=A1525,C1525+1,1)</f>
        <v>1</v>
      </c>
      <c r="D1526" t="s">
        <v>910</v>
      </c>
      <c r="E1526" s="101">
        <v>2.5000000000000001E-2</v>
      </c>
      <c r="F1526" s="6">
        <v>120</v>
      </c>
      <c r="G1526" t="s">
        <v>1349</v>
      </c>
      <c r="H1526" s="82">
        <v>2.5</v>
      </c>
      <c r="I1526">
        <v>10</v>
      </c>
      <c r="K1526" t="s">
        <v>2221</v>
      </c>
      <c r="L1526" s="6" t="s">
        <v>2222</v>
      </c>
      <c r="M1526" s="6">
        <v>30</v>
      </c>
      <c r="N1526" s="6">
        <v>2</v>
      </c>
      <c r="O1526">
        <v>500</v>
      </c>
      <c r="P1526">
        <v>202605</v>
      </c>
      <c r="Q1526" t="s">
        <v>377</v>
      </c>
      <c r="R1526" t="s">
        <v>1353</v>
      </c>
      <c r="S1526">
        <f>Consulta1[[#This Row],[min_port]]/100</f>
        <v>1.66E-2</v>
      </c>
      <c r="T1526" s="252">
        <f>Consulta1[[#This Row],[TETO_COMERCIAL]]/100</f>
        <v>2.5000000000000001E-2</v>
      </c>
      <c r="U1526" t="b">
        <f>Consulta1[[#This Row],[TETO_COMERCIAL_%]]=Consulta1[[#This Row],[TAXA]]</f>
        <v>1</v>
      </c>
      <c r="V1526" t="str">
        <f>CONCATENATE(Consulta1[[#This Row],[MES_ALTERACAO]],Consulta1[[#This Row],[VIRADA]])</f>
        <v>20260530</v>
      </c>
      <c r="W1526">
        <f>VLOOKUP(Consulta1[[#This Row],[Coluna2]],CALENDARIO!$J:$K,2,FALSE)</f>
        <v>20</v>
      </c>
    </row>
    <row r="1527" spans="1:23" x14ac:dyDescent="0.25">
      <c r="A1527" t="s">
        <v>855</v>
      </c>
      <c r="B1527" t="str">
        <f>CONCATENATE(Consulta1[[#This Row],[id]],Consulta1[[#This Row],[EMPREGADOR]])</f>
        <v>2TJ ESP SANTO - ESPECIAL</v>
      </c>
      <c r="C1527" s="6">
        <f>IF(A1527=A1526,C1526+1,1)</f>
        <v>2</v>
      </c>
      <c r="D1527" t="s">
        <v>911</v>
      </c>
      <c r="E1527" s="101">
        <v>2.4E-2</v>
      </c>
      <c r="F1527" s="6">
        <v>120</v>
      </c>
      <c r="G1527" t="s">
        <v>1349</v>
      </c>
      <c r="H1527" s="82">
        <v>2.5</v>
      </c>
      <c r="I1527">
        <v>10</v>
      </c>
      <c r="K1527" t="s">
        <v>2223</v>
      </c>
      <c r="L1527" s="6" t="s">
        <v>2222</v>
      </c>
      <c r="M1527" s="6">
        <v>30</v>
      </c>
      <c r="N1527" s="6">
        <v>2</v>
      </c>
      <c r="O1527">
        <v>500</v>
      </c>
      <c r="P1527">
        <v>202605</v>
      </c>
      <c r="Q1527" t="s">
        <v>377</v>
      </c>
      <c r="R1527" t="s">
        <v>1353</v>
      </c>
      <c r="S1527">
        <f>Consulta1[[#This Row],[min_port]]/100</f>
        <v>1.66E-2</v>
      </c>
      <c r="T1527" s="252">
        <f>Consulta1[[#This Row],[TETO_COMERCIAL]]/100</f>
        <v>2.5000000000000001E-2</v>
      </c>
      <c r="U1527" t="b">
        <f>Consulta1[[#This Row],[TETO_COMERCIAL_%]]=Consulta1[[#This Row],[TAXA]]</f>
        <v>0</v>
      </c>
      <c r="V1527" t="str">
        <f>CONCATENATE(Consulta1[[#This Row],[MES_ALTERACAO]],Consulta1[[#This Row],[VIRADA]])</f>
        <v>20260530</v>
      </c>
      <c r="W1527">
        <f>VLOOKUP(Consulta1[[#This Row],[Coluna2]],CALENDARIO!$J:$K,2,FALSE)</f>
        <v>20</v>
      </c>
    </row>
    <row r="1528" spans="1:23" x14ac:dyDescent="0.25">
      <c r="A1528" t="s">
        <v>855</v>
      </c>
      <c r="B1528" t="str">
        <f>CONCATENATE(Consulta1[[#This Row],[id]],Consulta1[[#This Row],[EMPREGADOR]])</f>
        <v>3TJ ESP SANTO - ESPECIAL</v>
      </c>
      <c r="C1528" s="6">
        <f>IF(A1528=A1527,C1527+1,1)</f>
        <v>3</v>
      </c>
      <c r="D1528" t="s">
        <v>912</v>
      </c>
      <c r="E1528" s="101">
        <v>2.3E-2</v>
      </c>
      <c r="F1528" s="6">
        <v>120</v>
      </c>
      <c r="G1528" t="s">
        <v>1349</v>
      </c>
      <c r="H1528" s="82">
        <v>2.5</v>
      </c>
      <c r="I1528">
        <v>10</v>
      </c>
      <c r="K1528" t="s">
        <v>2224</v>
      </c>
      <c r="L1528" s="6" t="s">
        <v>2222</v>
      </c>
      <c r="M1528" s="6">
        <v>30</v>
      </c>
      <c r="N1528" s="6">
        <v>2</v>
      </c>
      <c r="O1528">
        <v>500</v>
      </c>
      <c r="P1528">
        <v>202605</v>
      </c>
      <c r="Q1528" t="s">
        <v>377</v>
      </c>
      <c r="R1528" t="s">
        <v>1353</v>
      </c>
      <c r="S1528">
        <f>Consulta1[[#This Row],[min_port]]/100</f>
        <v>1.66E-2</v>
      </c>
      <c r="T1528" s="252">
        <f>Consulta1[[#This Row],[TETO_COMERCIAL]]/100</f>
        <v>2.5000000000000001E-2</v>
      </c>
      <c r="U1528" t="b">
        <f>Consulta1[[#This Row],[TETO_COMERCIAL_%]]=Consulta1[[#This Row],[TAXA]]</f>
        <v>0</v>
      </c>
      <c r="V1528" t="str">
        <f>CONCATENATE(Consulta1[[#This Row],[MES_ALTERACAO]],Consulta1[[#This Row],[VIRADA]])</f>
        <v>20260530</v>
      </c>
      <c r="W1528">
        <f>VLOOKUP(Consulta1[[#This Row],[Coluna2]],CALENDARIO!$J:$K,2,FALSE)</f>
        <v>20</v>
      </c>
    </row>
    <row r="1529" spans="1:23" x14ac:dyDescent="0.25">
      <c r="A1529" t="s">
        <v>855</v>
      </c>
      <c r="B1529" t="str">
        <f>CONCATENATE(Consulta1[[#This Row],[id]],Consulta1[[#This Row],[EMPREGADOR]])</f>
        <v>4TJ ESP SANTO - ESPECIAL</v>
      </c>
      <c r="C1529" s="6">
        <f>IF(A1529=A1528,C1528+1,1)</f>
        <v>4</v>
      </c>
      <c r="D1529" t="s">
        <v>913</v>
      </c>
      <c r="E1529" s="101">
        <v>2.2000000000000002E-2</v>
      </c>
      <c r="F1529" s="6">
        <v>120</v>
      </c>
      <c r="G1529" t="s">
        <v>1349</v>
      </c>
      <c r="H1529" s="82">
        <v>2.5</v>
      </c>
      <c r="I1529">
        <v>10</v>
      </c>
      <c r="K1529" t="s">
        <v>2225</v>
      </c>
      <c r="L1529" s="6" t="s">
        <v>2222</v>
      </c>
      <c r="M1529" s="6">
        <v>30</v>
      </c>
      <c r="N1529" s="6">
        <v>2</v>
      </c>
      <c r="O1529">
        <v>500</v>
      </c>
      <c r="P1529">
        <v>202605</v>
      </c>
      <c r="Q1529" t="s">
        <v>377</v>
      </c>
      <c r="R1529" t="s">
        <v>1353</v>
      </c>
      <c r="S1529">
        <f>Consulta1[[#This Row],[min_port]]/100</f>
        <v>1.66E-2</v>
      </c>
      <c r="T1529" s="252">
        <f>Consulta1[[#This Row],[TETO_COMERCIAL]]/100</f>
        <v>2.5000000000000001E-2</v>
      </c>
      <c r="U1529" t="b">
        <f>Consulta1[[#This Row],[TETO_COMERCIAL_%]]=Consulta1[[#This Row],[TAXA]]</f>
        <v>0</v>
      </c>
      <c r="V1529" t="str">
        <f>CONCATENATE(Consulta1[[#This Row],[MES_ALTERACAO]],Consulta1[[#This Row],[VIRADA]])</f>
        <v>20260530</v>
      </c>
      <c r="W1529">
        <f>VLOOKUP(Consulta1[[#This Row],[Coluna2]],CALENDARIO!$J:$K,2,FALSE)</f>
        <v>20</v>
      </c>
    </row>
    <row r="1530" spans="1:23" x14ac:dyDescent="0.25">
      <c r="A1530" t="s">
        <v>855</v>
      </c>
      <c r="B1530" t="str">
        <f>CONCATENATE(Consulta1[[#This Row],[id]],Consulta1[[#This Row],[EMPREGADOR]])</f>
        <v>5TJ ESP SANTO - ESPECIAL</v>
      </c>
      <c r="C1530" s="6">
        <f>IF(A1530=A1529,C1529+1,1)</f>
        <v>5</v>
      </c>
      <c r="D1530" t="s">
        <v>914</v>
      </c>
      <c r="E1530" s="101">
        <v>2.1000000000000001E-2</v>
      </c>
      <c r="F1530" s="6">
        <v>120</v>
      </c>
      <c r="G1530" t="s">
        <v>1349</v>
      </c>
      <c r="H1530" s="82">
        <v>2.5</v>
      </c>
      <c r="I1530">
        <v>10</v>
      </c>
      <c r="K1530" t="s">
        <v>2226</v>
      </c>
      <c r="L1530" s="6" t="s">
        <v>2222</v>
      </c>
      <c r="M1530" s="6">
        <v>30</v>
      </c>
      <c r="N1530" s="6">
        <v>2</v>
      </c>
      <c r="O1530">
        <v>500</v>
      </c>
      <c r="P1530">
        <v>202605</v>
      </c>
      <c r="Q1530" t="s">
        <v>377</v>
      </c>
      <c r="R1530" t="s">
        <v>1353</v>
      </c>
      <c r="S1530">
        <f>Consulta1[[#This Row],[min_port]]/100</f>
        <v>1.66E-2</v>
      </c>
      <c r="T1530" s="252">
        <f>Consulta1[[#This Row],[TETO_COMERCIAL]]/100</f>
        <v>2.5000000000000001E-2</v>
      </c>
      <c r="U1530" t="b">
        <f>Consulta1[[#This Row],[TETO_COMERCIAL_%]]=Consulta1[[#This Row],[TAXA]]</f>
        <v>0</v>
      </c>
      <c r="V1530" t="str">
        <f>CONCATENATE(Consulta1[[#This Row],[MES_ALTERACAO]],Consulta1[[#This Row],[VIRADA]])</f>
        <v>20260530</v>
      </c>
      <c r="W1530">
        <f>VLOOKUP(Consulta1[[#This Row],[Coluna2]],CALENDARIO!$J:$K,2,FALSE)</f>
        <v>20</v>
      </c>
    </row>
    <row r="1531" spans="1:23" x14ac:dyDescent="0.25">
      <c r="A1531" t="s">
        <v>855</v>
      </c>
      <c r="B1531" t="str">
        <f>CONCATENATE(Consulta1[[#This Row],[id]],Consulta1[[#This Row],[EMPREGADOR]])</f>
        <v>6TJ ESP SANTO - ESPECIAL</v>
      </c>
      <c r="C1531" s="6">
        <f>IF(A1531=A1530,C1530+1,1)</f>
        <v>6</v>
      </c>
      <c r="D1531" t="s">
        <v>915</v>
      </c>
      <c r="E1531" s="101">
        <v>0.02</v>
      </c>
      <c r="F1531" s="6">
        <v>120</v>
      </c>
      <c r="G1531" t="s">
        <v>1349</v>
      </c>
      <c r="H1531" s="82">
        <v>2.5</v>
      </c>
      <c r="I1531">
        <v>10</v>
      </c>
      <c r="K1531" t="s">
        <v>2227</v>
      </c>
      <c r="L1531" s="6" t="s">
        <v>2222</v>
      </c>
      <c r="M1531" s="6">
        <v>30</v>
      </c>
      <c r="N1531" s="6">
        <v>2</v>
      </c>
      <c r="O1531">
        <v>500</v>
      </c>
      <c r="P1531">
        <v>202605</v>
      </c>
      <c r="Q1531" t="s">
        <v>377</v>
      </c>
      <c r="R1531" t="s">
        <v>1353</v>
      </c>
      <c r="S1531">
        <f>Consulta1[[#This Row],[min_port]]/100</f>
        <v>1.66E-2</v>
      </c>
      <c r="T1531" s="252">
        <f>Consulta1[[#This Row],[TETO_COMERCIAL]]/100</f>
        <v>2.5000000000000001E-2</v>
      </c>
      <c r="U1531" t="b">
        <f>Consulta1[[#This Row],[TETO_COMERCIAL_%]]=Consulta1[[#This Row],[TAXA]]</f>
        <v>0</v>
      </c>
      <c r="V1531" t="str">
        <f>CONCATENATE(Consulta1[[#This Row],[MES_ALTERACAO]],Consulta1[[#This Row],[VIRADA]])</f>
        <v>20260530</v>
      </c>
      <c r="W1531">
        <f>VLOOKUP(Consulta1[[#This Row],[Coluna2]],CALENDARIO!$J:$K,2,FALSE)</f>
        <v>20</v>
      </c>
    </row>
    <row r="1532" spans="1:23" x14ac:dyDescent="0.25">
      <c r="A1532" t="s">
        <v>855</v>
      </c>
      <c r="B1532" t="str">
        <f>CONCATENATE(Consulta1[[#This Row],[id]],Consulta1[[#This Row],[EMPREGADOR]])</f>
        <v>7TJ ESP SANTO - ESPECIAL</v>
      </c>
      <c r="C1532" s="6">
        <f>IF(A1532=A1531,C1531+1,1)</f>
        <v>7</v>
      </c>
      <c r="D1532" t="s">
        <v>916</v>
      </c>
      <c r="E1532" s="101">
        <v>1.9699999999999999E-2</v>
      </c>
      <c r="F1532" s="6">
        <v>120</v>
      </c>
      <c r="G1532" t="s">
        <v>1349</v>
      </c>
      <c r="H1532" s="82">
        <v>2.5</v>
      </c>
      <c r="I1532">
        <v>10</v>
      </c>
      <c r="K1532" t="s">
        <v>2228</v>
      </c>
      <c r="L1532" s="6" t="s">
        <v>2222</v>
      </c>
      <c r="M1532" s="6">
        <v>30</v>
      </c>
      <c r="N1532" s="6">
        <v>2</v>
      </c>
      <c r="O1532">
        <v>500</v>
      </c>
      <c r="P1532">
        <v>202605</v>
      </c>
      <c r="Q1532" t="s">
        <v>377</v>
      </c>
      <c r="R1532" t="s">
        <v>1353</v>
      </c>
      <c r="S1532">
        <f>Consulta1[[#This Row],[min_port]]/100</f>
        <v>1.66E-2</v>
      </c>
      <c r="T1532" s="252">
        <f>Consulta1[[#This Row],[TETO_COMERCIAL]]/100</f>
        <v>2.5000000000000001E-2</v>
      </c>
      <c r="U1532" t="b">
        <f>Consulta1[[#This Row],[TETO_COMERCIAL_%]]=Consulta1[[#This Row],[TAXA]]</f>
        <v>0</v>
      </c>
      <c r="V1532" t="str">
        <f>CONCATENATE(Consulta1[[#This Row],[MES_ALTERACAO]],Consulta1[[#This Row],[VIRADA]])</f>
        <v>20260530</v>
      </c>
      <c r="W1532">
        <f>VLOOKUP(Consulta1[[#This Row],[Coluna2]],CALENDARIO!$J:$K,2,FALSE)</f>
        <v>20</v>
      </c>
    </row>
    <row r="1533" spans="1:23" x14ac:dyDescent="0.25">
      <c r="A1533" t="s">
        <v>3087</v>
      </c>
      <c r="B1533" t="str">
        <f>CONCATENATE(Consulta1[[#This Row],[id]],Consulta1[[#This Row],[EMPREGADOR]])</f>
        <v>1TJ MA</v>
      </c>
      <c r="C1533" s="6">
        <f>IF(A1533=A1532,C1532+1,1)</f>
        <v>1</v>
      </c>
      <c r="D1533" t="s">
        <v>825</v>
      </c>
      <c r="E1533" s="101">
        <v>2.5000000000000001E-2</v>
      </c>
      <c r="F1533" s="6">
        <v>120</v>
      </c>
      <c r="G1533" t="s">
        <v>1349</v>
      </c>
      <c r="H1533" s="82">
        <v>2.5</v>
      </c>
      <c r="I1533">
        <v>11</v>
      </c>
      <c r="K1533" t="s">
        <v>2229</v>
      </c>
      <c r="L1533" s="6" t="s">
        <v>1427</v>
      </c>
      <c r="M1533" s="6">
        <v>1</v>
      </c>
      <c r="N1533" s="6">
        <v>2</v>
      </c>
      <c r="O1533">
        <v>500</v>
      </c>
      <c r="P1533">
        <v>202605</v>
      </c>
      <c r="Q1533" t="s">
        <v>377</v>
      </c>
      <c r="R1533" t="s">
        <v>1353</v>
      </c>
      <c r="S1533">
        <f>Consulta1[[#This Row],[min_port]]/100</f>
        <v>1.41E-2</v>
      </c>
      <c r="T1533" s="252">
        <f>Consulta1[[#This Row],[TETO_COMERCIAL]]/100</f>
        <v>2.5000000000000001E-2</v>
      </c>
      <c r="U1533" t="b">
        <f>Consulta1[[#This Row],[TETO_COMERCIAL_%]]=Consulta1[[#This Row],[TAXA]]</f>
        <v>1</v>
      </c>
      <c r="V1533" t="str">
        <f>CONCATENATE(Consulta1[[#This Row],[MES_ALTERACAO]],Consulta1[[#This Row],[VIRADA]])</f>
        <v>2026051</v>
      </c>
      <c r="W1533">
        <f>VLOOKUP(Consulta1[[#This Row],[Coluna2]],CALENDARIO!$J:$K,2,FALSE)</f>
        <v>0</v>
      </c>
    </row>
    <row r="1534" spans="1:23" x14ac:dyDescent="0.25">
      <c r="A1534" t="s">
        <v>3087</v>
      </c>
      <c r="B1534" t="str">
        <f>CONCATENATE(Consulta1[[#This Row],[id]],Consulta1[[#This Row],[EMPREGADOR]])</f>
        <v>2TJ MA</v>
      </c>
      <c r="C1534" s="6">
        <f>IF(A1534=A1533,C1533+1,1)</f>
        <v>2</v>
      </c>
      <c r="D1534" t="s">
        <v>290</v>
      </c>
      <c r="E1534" s="101">
        <v>2.2000000000000002E-2</v>
      </c>
      <c r="F1534" s="6">
        <v>120</v>
      </c>
      <c r="G1534" t="s">
        <v>1349</v>
      </c>
      <c r="H1534" s="82">
        <v>2.5</v>
      </c>
      <c r="I1534">
        <v>11</v>
      </c>
      <c r="J1534">
        <v>57</v>
      </c>
      <c r="K1534" t="s">
        <v>2230</v>
      </c>
      <c r="L1534" s="6" t="s">
        <v>1427</v>
      </c>
      <c r="M1534" s="6">
        <v>1</v>
      </c>
      <c r="N1534" s="6">
        <v>2</v>
      </c>
      <c r="O1534">
        <v>500</v>
      </c>
      <c r="P1534">
        <v>202605</v>
      </c>
      <c r="Q1534" t="s">
        <v>377</v>
      </c>
      <c r="R1534" t="s">
        <v>1353</v>
      </c>
      <c r="S1534">
        <f>Consulta1[[#This Row],[min_port]]/100</f>
        <v>1.41E-2</v>
      </c>
      <c r="T1534" s="252">
        <f>Consulta1[[#This Row],[TETO_COMERCIAL]]/100</f>
        <v>2.5000000000000001E-2</v>
      </c>
      <c r="U1534" t="b">
        <f>Consulta1[[#This Row],[TETO_COMERCIAL_%]]=Consulta1[[#This Row],[TAXA]]</f>
        <v>0</v>
      </c>
      <c r="V1534" t="str">
        <f>CONCATENATE(Consulta1[[#This Row],[MES_ALTERACAO]],Consulta1[[#This Row],[VIRADA]])</f>
        <v>2026051</v>
      </c>
      <c r="W1534">
        <f>VLOOKUP(Consulta1[[#This Row],[Coluna2]],CALENDARIO!$J:$K,2,FALSE)</f>
        <v>0</v>
      </c>
    </row>
    <row r="1535" spans="1:23" x14ac:dyDescent="0.25">
      <c r="A1535" t="s">
        <v>3087</v>
      </c>
      <c r="B1535" t="str">
        <f>CONCATENATE(Consulta1[[#This Row],[id]],Consulta1[[#This Row],[EMPREGADOR]])</f>
        <v>3TJ MA</v>
      </c>
      <c r="C1535" s="6">
        <f>IF(A1535=A1534,C1534+1,1)</f>
        <v>3</v>
      </c>
      <c r="D1535" t="s">
        <v>291</v>
      </c>
      <c r="E1535" s="101">
        <v>2.1000000000000001E-2</v>
      </c>
      <c r="F1535" s="6">
        <v>120</v>
      </c>
      <c r="G1535" t="s">
        <v>1349</v>
      </c>
      <c r="H1535" s="82">
        <v>2.5</v>
      </c>
      <c r="I1535">
        <v>11</v>
      </c>
      <c r="J1535">
        <v>52</v>
      </c>
      <c r="K1535" t="s">
        <v>2231</v>
      </c>
      <c r="L1535" s="6" t="s">
        <v>1427</v>
      </c>
      <c r="M1535" s="6">
        <v>1</v>
      </c>
      <c r="N1535" s="6">
        <v>2</v>
      </c>
      <c r="O1535">
        <v>500</v>
      </c>
      <c r="P1535">
        <v>202605</v>
      </c>
      <c r="Q1535" t="s">
        <v>377</v>
      </c>
      <c r="R1535" t="s">
        <v>1353</v>
      </c>
      <c r="S1535">
        <f>Consulta1[[#This Row],[min_port]]/100</f>
        <v>1.41E-2</v>
      </c>
      <c r="T1535" s="252">
        <f>Consulta1[[#This Row],[TETO_COMERCIAL]]/100</f>
        <v>2.5000000000000001E-2</v>
      </c>
      <c r="U1535" t="b">
        <f>Consulta1[[#This Row],[TETO_COMERCIAL_%]]=Consulta1[[#This Row],[TAXA]]</f>
        <v>0</v>
      </c>
      <c r="V1535" t="str">
        <f>CONCATENATE(Consulta1[[#This Row],[MES_ALTERACAO]],Consulta1[[#This Row],[VIRADA]])</f>
        <v>2026051</v>
      </c>
      <c r="W1535">
        <f>VLOOKUP(Consulta1[[#This Row],[Coluna2]],CALENDARIO!$J:$K,2,FALSE)</f>
        <v>0</v>
      </c>
    </row>
    <row r="1536" spans="1:23" x14ac:dyDescent="0.25">
      <c r="A1536" t="s">
        <v>3087</v>
      </c>
      <c r="B1536" t="str">
        <f>CONCATENATE(Consulta1[[#This Row],[id]],Consulta1[[#This Row],[EMPREGADOR]])</f>
        <v>4TJ MA</v>
      </c>
      <c r="C1536" s="6">
        <f>IF(A1536=A1535,C1535+1,1)</f>
        <v>4</v>
      </c>
      <c r="D1536" t="s">
        <v>292</v>
      </c>
      <c r="E1536" s="101">
        <v>0.02</v>
      </c>
      <c r="F1536" s="6">
        <v>120</v>
      </c>
      <c r="G1536" t="s">
        <v>1349</v>
      </c>
      <c r="H1536" s="82">
        <v>2.5</v>
      </c>
      <c r="I1536">
        <v>11</v>
      </c>
      <c r="J1536">
        <v>58</v>
      </c>
      <c r="K1536" t="s">
        <v>2232</v>
      </c>
      <c r="L1536" s="6" t="s">
        <v>1427</v>
      </c>
      <c r="M1536" s="6">
        <v>1</v>
      </c>
      <c r="N1536" s="6">
        <v>2</v>
      </c>
      <c r="O1536">
        <v>500</v>
      </c>
      <c r="P1536">
        <v>202605</v>
      </c>
      <c r="Q1536" t="s">
        <v>377</v>
      </c>
      <c r="R1536" t="s">
        <v>1353</v>
      </c>
      <c r="S1536">
        <f>Consulta1[[#This Row],[min_port]]/100</f>
        <v>1.41E-2</v>
      </c>
      <c r="T1536" s="252">
        <f>Consulta1[[#This Row],[TETO_COMERCIAL]]/100</f>
        <v>2.5000000000000001E-2</v>
      </c>
      <c r="U1536" t="b">
        <f>Consulta1[[#This Row],[TETO_COMERCIAL_%]]=Consulta1[[#This Row],[TAXA]]</f>
        <v>0</v>
      </c>
      <c r="V1536" t="str">
        <f>CONCATENATE(Consulta1[[#This Row],[MES_ALTERACAO]],Consulta1[[#This Row],[VIRADA]])</f>
        <v>2026051</v>
      </c>
      <c r="W1536">
        <f>VLOOKUP(Consulta1[[#This Row],[Coluna2]],CALENDARIO!$J:$K,2,FALSE)</f>
        <v>0</v>
      </c>
    </row>
    <row r="1537" spans="1:23" x14ac:dyDescent="0.25">
      <c r="A1537" t="s">
        <v>3087</v>
      </c>
      <c r="B1537" t="str">
        <f>CONCATENATE(Consulta1[[#This Row],[id]],Consulta1[[#This Row],[EMPREGADOR]])</f>
        <v>5TJ MA</v>
      </c>
      <c r="C1537" s="6">
        <f>IF(A1537=A1536,C1536+1,1)</f>
        <v>5</v>
      </c>
      <c r="D1537" t="s">
        <v>826</v>
      </c>
      <c r="E1537" s="101">
        <v>1.95E-2</v>
      </c>
      <c r="F1537" s="6">
        <v>120</v>
      </c>
      <c r="G1537" t="s">
        <v>1349</v>
      </c>
      <c r="H1537" s="82">
        <v>2.5</v>
      </c>
      <c r="I1537">
        <v>11</v>
      </c>
      <c r="J1537">
        <v>56</v>
      </c>
      <c r="K1537" t="s">
        <v>2233</v>
      </c>
      <c r="L1537" s="6" t="s">
        <v>1427</v>
      </c>
      <c r="M1537" s="6">
        <v>1</v>
      </c>
      <c r="N1537" s="6">
        <v>2</v>
      </c>
      <c r="O1537">
        <v>500</v>
      </c>
      <c r="P1537">
        <v>202605</v>
      </c>
      <c r="Q1537" t="s">
        <v>377</v>
      </c>
      <c r="R1537" t="s">
        <v>1353</v>
      </c>
      <c r="S1537">
        <f>Consulta1[[#This Row],[min_port]]/100</f>
        <v>1.41E-2</v>
      </c>
      <c r="T1537" s="252">
        <f>Consulta1[[#This Row],[TETO_COMERCIAL]]/100</f>
        <v>2.5000000000000001E-2</v>
      </c>
      <c r="U1537" t="b">
        <f>Consulta1[[#This Row],[TETO_COMERCIAL_%]]=Consulta1[[#This Row],[TAXA]]</f>
        <v>0</v>
      </c>
      <c r="V1537" t="str">
        <f>CONCATENATE(Consulta1[[#This Row],[MES_ALTERACAO]],Consulta1[[#This Row],[VIRADA]])</f>
        <v>2026051</v>
      </c>
      <c r="W1537">
        <f>VLOOKUP(Consulta1[[#This Row],[Coluna2]],CALENDARIO!$J:$K,2,FALSE)</f>
        <v>0</v>
      </c>
    </row>
    <row r="1538" spans="1:23" x14ac:dyDescent="0.25">
      <c r="A1538" t="s">
        <v>3087</v>
      </c>
      <c r="B1538" t="str">
        <f>CONCATENATE(Consulta1[[#This Row],[id]],Consulta1[[#This Row],[EMPREGADOR]])</f>
        <v>6TJ MA</v>
      </c>
      <c r="C1538" s="6">
        <f>IF(A1538=A1537,C1537+1,1)</f>
        <v>6</v>
      </c>
      <c r="D1538" t="s">
        <v>827</v>
      </c>
      <c r="E1538" s="101">
        <v>1.9E-2</v>
      </c>
      <c r="F1538" s="6">
        <v>120</v>
      </c>
      <c r="G1538" t="s">
        <v>1349</v>
      </c>
      <c r="H1538" s="82">
        <v>2.5</v>
      </c>
      <c r="I1538">
        <v>11</v>
      </c>
      <c r="J1538">
        <v>56</v>
      </c>
      <c r="K1538" t="s">
        <v>2234</v>
      </c>
      <c r="L1538" s="6" t="s">
        <v>1427</v>
      </c>
      <c r="M1538" s="6">
        <v>1</v>
      </c>
      <c r="N1538" s="6">
        <v>2</v>
      </c>
      <c r="O1538">
        <v>500</v>
      </c>
      <c r="P1538">
        <v>202605</v>
      </c>
      <c r="Q1538" t="s">
        <v>377</v>
      </c>
      <c r="R1538" t="s">
        <v>1353</v>
      </c>
      <c r="S1538">
        <f>Consulta1[[#This Row],[min_port]]/100</f>
        <v>1.41E-2</v>
      </c>
      <c r="T1538" s="252">
        <f>Consulta1[[#This Row],[TETO_COMERCIAL]]/100</f>
        <v>2.5000000000000001E-2</v>
      </c>
      <c r="U1538" t="b">
        <f>Consulta1[[#This Row],[TETO_COMERCIAL_%]]=Consulta1[[#This Row],[TAXA]]</f>
        <v>0</v>
      </c>
      <c r="V1538" t="str">
        <f>CONCATENATE(Consulta1[[#This Row],[MES_ALTERACAO]],Consulta1[[#This Row],[VIRADA]])</f>
        <v>2026051</v>
      </c>
      <c r="W1538">
        <f>VLOOKUP(Consulta1[[#This Row],[Coluna2]],CALENDARIO!$J:$K,2,FALSE)</f>
        <v>0</v>
      </c>
    </row>
    <row r="1539" spans="1:23" x14ac:dyDescent="0.25">
      <c r="A1539" t="s">
        <v>282</v>
      </c>
      <c r="B1539" t="str">
        <f>CONCATENATE(Consulta1[[#This Row],[id]],Consulta1[[#This Row],[EMPREGADOR]])</f>
        <v>1TJ MATO GROSSO</v>
      </c>
      <c r="C1539" s="6">
        <f>IF(A1539=A1538,C1538+1,1)</f>
        <v>1</v>
      </c>
      <c r="D1539" t="s">
        <v>1341</v>
      </c>
      <c r="E1539" s="101">
        <v>2.5000000000000001E-2</v>
      </c>
      <c r="F1539" s="6">
        <v>120</v>
      </c>
      <c r="G1539" t="s">
        <v>1349</v>
      </c>
      <c r="H1539" s="82">
        <v>2.5</v>
      </c>
      <c r="I1539">
        <v>1</v>
      </c>
      <c r="J1539">
        <v>27</v>
      </c>
      <c r="K1539" t="s">
        <v>2235</v>
      </c>
      <c r="L1539" s="6" t="s">
        <v>1519</v>
      </c>
      <c r="M1539" s="6">
        <v>31</v>
      </c>
      <c r="N1539" s="6">
        <v>2</v>
      </c>
      <c r="O1539">
        <v>500</v>
      </c>
      <c r="P1539">
        <v>202605</v>
      </c>
      <c r="Q1539" t="s">
        <v>377</v>
      </c>
      <c r="R1539" t="s">
        <v>1350</v>
      </c>
      <c r="S1539">
        <f>Consulta1[[#This Row],[min_port]]/100</f>
        <v>1.3500000000000002E-2</v>
      </c>
      <c r="T1539" s="252">
        <f>Consulta1[[#This Row],[TETO_COMERCIAL]]/100</f>
        <v>2.5000000000000001E-2</v>
      </c>
      <c r="U1539" t="b">
        <f>Consulta1[[#This Row],[TETO_COMERCIAL_%]]=Consulta1[[#This Row],[TAXA]]</f>
        <v>1</v>
      </c>
      <c r="V1539" t="str">
        <f>CONCATENATE(Consulta1[[#This Row],[MES_ALTERACAO]],Consulta1[[#This Row],[VIRADA]])</f>
        <v>20260531</v>
      </c>
      <c r="W1539">
        <f>VLOOKUP(Consulta1[[#This Row],[Coluna2]],CALENDARIO!$J:$K,2,FALSE)</f>
        <v>20</v>
      </c>
    </row>
    <row r="1540" spans="1:23" x14ac:dyDescent="0.25">
      <c r="A1540" t="s">
        <v>282</v>
      </c>
      <c r="B1540" t="str">
        <f>CONCATENATE(Consulta1[[#This Row],[id]],Consulta1[[#This Row],[EMPREGADOR]])</f>
        <v>2TJ MATO GROSSO</v>
      </c>
      <c r="C1540" s="6">
        <f>IF(A1540=A1539,C1539+1,1)</f>
        <v>2</v>
      </c>
      <c r="D1540" t="s">
        <v>1342</v>
      </c>
      <c r="E1540" s="101">
        <v>2.2499999999999999E-2</v>
      </c>
      <c r="F1540" s="6">
        <v>120</v>
      </c>
      <c r="G1540" t="s">
        <v>1349</v>
      </c>
      <c r="H1540" s="82">
        <v>2.5</v>
      </c>
      <c r="I1540">
        <v>1</v>
      </c>
      <c r="J1540">
        <v>27</v>
      </c>
      <c r="K1540" t="s">
        <v>2236</v>
      </c>
      <c r="L1540" s="6" t="s">
        <v>1519</v>
      </c>
      <c r="M1540" s="6">
        <v>4</v>
      </c>
      <c r="N1540" s="6">
        <v>2</v>
      </c>
      <c r="O1540">
        <v>500</v>
      </c>
      <c r="P1540">
        <v>202605</v>
      </c>
      <c r="Q1540" t="s">
        <v>377</v>
      </c>
      <c r="R1540" t="s">
        <v>1350</v>
      </c>
      <c r="S1540">
        <f>Consulta1[[#This Row],[min_port]]/100</f>
        <v>1.3500000000000002E-2</v>
      </c>
      <c r="T1540" s="252">
        <f>Consulta1[[#This Row],[TETO_COMERCIAL]]/100</f>
        <v>2.5000000000000001E-2</v>
      </c>
      <c r="U1540" t="b">
        <f>Consulta1[[#This Row],[TETO_COMERCIAL_%]]=Consulta1[[#This Row],[TAXA]]</f>
        <v>0</v>
      </c>
      <c r="V1540" t="str">
        <f>CONCATENATE(Consulta1[[#This Row],[MES_ALTERACAO]],Consulta1[[#This Row],[VIRADA]])</f>
        <v>2026054</v>
      </c>
      <c r="W1540">
        <f>VLOOKUP(Consulta1[[#This Row],[Coluna2]],CALENDARIO!$J:$K,2,FALSE)</f>
        <v>1</v>
      </c>
    </row>
    <row r="1541" spans="1:23" x14ac:dyDescent="0.25">
      <c r="A1541" t="s">
        <v>282</v>
      </c>
      <c r="B1541" t="str">
        <f>CONCATENATE(Consulta1[[#This Row],[id]],Consulta1[[#This Row],[EMPREGADOR]])</f>
        <v>3TJ MATO GROSSO</v>
      </c>
      <c r="C1541" s="6">
        <f>IF(A1541=A1540,C1540+1,1)</f>
        <v>3</v>
      </c>
      <c r="D1541" t="s">
        <v>283</v>
      </c>
      <c r="E1541" s="101">
        <v>0.02</v>
      </c>
      <c r="F1541" s="6">
        <v>120</v>
      </c>
      <c r="G1541" t="s">
        <v>1349</v>
      </c>
      <c r="H1541" s="82">
        <v>2.5</v>
      </c>
      <c r="I1541">
        <v>1</v>
      </c>
      <c r="J1541">
        <v>27</v>
      </c>
      <c r="K1541" t="s">
        <v>2237</v>
      </c>
      <c r="L1541" s="6" t="s">
        <v>1519</v>
      </c>
      <c r="M1541" s="6">
        <v>4</v>
      </c>
      <c r="N1541" s="6">
        <v>2</v>
      </c>
      <c r="O1541">
        <v>500</v>
      </c>
      <c r="P1541">
        <v>202605</v>
      </c>
      <c r="Q1541" t="s">
        <v>377</v>
      </c>
      <c r="R1541" t="s">
        <v>1350</v>
      </c>
      <c r="S1541">
        <f>Consulta1[[#This Row],[min_port]]/100</f>
        <v>1.3500000000000002E-2</v>
      </c>
      <c r="T1541" s="252">
        <f>Consulta1[[#This Row],[TETO_COMERCIAL]]/100</f>
        <v>2.5000000000000001E-2</v>
      </c>
      <c r="U1541" t="b">
        <f>Consulta1[[#This Row],[TETO_COMERCIAL_%]]=Consulta1[[#This Row],[TAXA]]</f>
        <v>0</v>
      </c>
      <c r="V1541" t="str">
        <f>CONCATENATE(Consulta1[[#This Row],[MES_ALTERACAO]],Consulta1[[#This Row],[VIRADA]])</f>
        <v>2026054</v>
      </c>
      <c r="W1541">
        <f>VLOOKUP(Consulta1[[#This Row],[Coluna2]],CALENDARIO!$J:$K,2,FALSE)</f>
        <v>1</v>
      </c>
    </row>
    <row r="1542" spans="1:23" x14ac:dyDescent="0.25">
      <c r="A1542" t="s">
        <v>282</v>
      </c>
      <c r="B1542" t="str">
        <f>CONCATENATE(Consulta1[[#This Row],[id]],Consulta1[[#This Row],[EMPREGADOR]])</f>
        <v>4TJ MATO GROSSO</v>
      </c>
      <c r="C1542" s="6">
        <f>IF(A1542=A1541,C1541+1,1)</f>
        <v>4</v>
      </c>
      <c r="D1542" t="s">
        <v>1343</v>
      </c>
      <c r="E1542" s="101">
        <v>1.8000000000000002E-2</v>
      </c>
      <c r="F1542" s="6">
        <v>120</v>
      </c>
      <c r="G1542" t="s">
        <v>1349</v>
      </c>
      <c r="H1542" s="82">
        <v>2.5</v>
      </c>
      <c r="I1542">
        <v>1</v>
      </c>
      <c r="J1542">
        <v>27</v>
      </c>
      <c r="K1542" t="s">
        <v>2238</v>
      </c>
      <c r="L1542" s="6" t="s">
        <v>1519</v>
      </c>
      <c r="M1542" s="6">
        <v>4</v>
      </c>
      <c r="N1542" s="6">
        <v>2</v>
      </c>
      <c r="O1542">
        <v>500</v>
      </c>
      <c r="P1542">
        <v>202605</v>
      </c>
      <c r="Q1542" t="s">
        <v>377</v>
      </c>
      <c r="R1542" t="s">
        <v>1350</v>
      </c>
      <c r="S1542">
        <f>Consulta1[[#This Row],[min_port]]/100</f>
        <v>1.3500000000000002E-2</v>
      </c>
      <c r="T1542" s="252">
        <f>Consulta1[[#This Row],[TETO_COMERCIAL]]/100</f>
        <v>2.5000000000000001E-2</v>
      </c>
      <c r="U1542" t="b">
        <f>Consulta1[[#This Row],[TETO_COMERCIAL_%]]=Consulta1[[#This Row],[TAXA]]</f>
        <v>0</v>
      </c>
      <c r="V1542" t="str">
        <f>CONCATENATE(Consulta1[[#This Row],[MES_ALTERACAO]],Consulta1[[#This Row],[VIRADA]])</f>
        <v>2026054</v>
      </c>
      <c r="W1542">
        <f>VLOOKUP(Consulta1[[#This Row],[Coluna2]],CALENDARIO!$J:$K,2,FALSE)</f>
        <v>1</v>
      </c>
    </row>
    <row r="1543" spans="1:23" x14ac:dyDescent="0.25">
      <c r="A1543" t="s">
        <v>282</v>
      </c>
      <c r="B1543" t="str">
        <f>CONCATENATE(Consulta1[[#This Row],[id]],Consulta1[[#This Row],[EMPREGADOR]])</f>
        <v>5TJ MATO GROSSO</v>
      </c>
      <c r="C1543" s="6">
        <f>IF(A1543=A1542,C1542+1,1)</f>
        <v>5</v>
      </c>
      <c r="D1543" t="s">
        <v>1344</v>
      </c>
      <c r="E1543" s="101">
        <v>1.7600000000000001E-2</v>
      </c>
      <c r="F1543" s="6">
        <v>120</v>
      </c>
      <c r="G1543" t="s">
        <v>1349</v>
      </c>
      <c r="H1543" s="82">
        <v>2.5</v>
      </c>
      <c r="I1543">
        <v>1</v>
      </c>
      <c r="J1543">
        <v>27</v>
      </c>
      <c r="K1543" t="s">
        <v>2239</v>
      </c>
      <c r="L1543" s="6" t="s">
        <v>1519</v>
      </c>
      <c r="M1543" s="6">
        <v>4</v>
      </c>
      <c r="N1543" s="6">
        <v>2</v>
      </c>
      <c r="O1543">
        <v>500</v>
      </c>
      <c r="P1543">
        <v>202605</v>
      </c>
      <c r="Q1543" t="s">
        <v>377</v>
      </c>
      <c r="R1543" t="s">
        <v>1350</v>
      </c>
      <c r="S1543">
        <f>Consulta1[[#This Row],[min_port]]/100</f>
        <v>1.3500000000000002E-2</v>
      </c>
      <c r="T1543" s="252">
        <f>Consulta1[[#This Row],[TETO_COMERCIAL]]/100</f>
        <v>2.5000000000000001E-2</v>
      </c>
      <c r="U1543" t="b">
        <f>Consulta1[[#This Row],[TETO_COMERCIAL_%]]=Consulta1[[#This Row],[TAXA]]</f>
        <v>0</v>
      </c>
      <c r="V1543" t="str">
        <f>CONCATENATE(Consulta1[[#This Row],[MES_ALTERACAO]],Consulta1[[#This Row],[VIRADA]])</f>
        <v>2026054</v>
      </c>
      <c r="W1543">
        <f>VLOOKUP(Consulta1[[#This Row],[Coluna2]],CALENDARIO!$J:$K,2,FALSE)</f>
        <v>1</v>
      </c>
    </row>
    <row r="1544" spans="1:23" x14ac:dyDescent="0.25">
      <c r="A1544" t="s">
        <v>282</v>
      </c>
      <c r="B1544" t="str">
        <f>CONCATENATE(Consulta1[[#This Row],[id]],Consulta1[[#This Row],[EMPREGADOR]])</f>
        <v>6TJ MATO GROSSO</v>
      </c>
      <c r="C1544" s="6">
        <f>IF(A1544=A1543,C1543+1,1)</f>
        <v>6</v>
      </c>
      <c r="D1544" t="s">
        <v>1345</v>
      </c>
      <c r="E1544" s="101">
        <v>1.7399999999999999E-2</v>
      </c>
      <c r="F1544" s="6">
        <v>120</v>
      </c>
      <c r="G1544" t="s">
        <v>1349</v>
      </c>
      <c r="H1544" s="82">
        <v>2.5</v>
      </c>
      <c r="I1544">
        <v>1</v>
      </c>
      <c r="J1544">
        <v>27</v>
      </c>
      <c r="K1544" t="s">
        <v>2240</v>
      </c>
      <c r="L1544" s="6" t="s">
        <v>1519</v>
      </c>
      <c r="M1544" s="6">
        <v>4</v>
      </c>
      <c r="N1544" s="6">
        <v>2</v>
      </c>
      <c r="O1544">
        <v>500</v>
      </c>
      <c r="P1544">
        <v>202605</v>
      </c>
      <c r="Q1544" t="s">
        <v>377</v>
      </c>
      <c r="R1544" t="s">
        <v>1350</v>
      </c>
      <c r="S1544">
        <f>Consulta1[[#This Row],[min_port]]/100</f>
        <v>1.3500000000000002E-2</v>
      </c>
      <c r="T1544" s="252">
        <f>Consulta1[[#This Row],[TETO_COMERCIAL]]/100</f>
        <v>2.5000000000000001E-2</v>
      </c>
      <c r="U1544" t="b">
        <f>Consulta1[[#This Row],[TETO_COMERCIAL_%]]=Consulta1[[#This Row],[TAXA]]</f>
        <v>0</v>
      </c>
      <c r="V1544" t="str">
        <f>CONCATENATE(Consulta1[[#This Row],[MES_ALTERACAO]],Consulta1[[#This Row],[VIRADA]])</f>
        <v>2026054</v>
      </c>
      <c r="W1544">
        <f>VLOOKUP(Consulta1[[#This Row],[Coluna2]],CALENDARIO!$J:$K,2,FALSE)</f>
        <v>1</v>
      </c>
    </row>
    <row r="1545" spans="1:23" x14ac:dyDescent="0.25">
      <c r="A1545" t="s">
        <v>282</v>
      </c>
      <c r="B1545" t="str">
        <f>CONCATENATE(Consulta1[[#This Row],[id]],Consulta1[[#This Row],[EMPREGADOR]])</f>
        <v>7TJ MATO GROSSO</v>
      </c>
      <c r="C1545" s="6">
        <f>IF(A1545=A1544,C1544+1,1)</f>
        <v>7</v>
      </c>
      <c r="D1545" t="s">
        <v>1346</v>
      </c>
      <c r="E1545" s="101">
        <v>1.72E-2</v>
      </c>
      <c r="F1545" s="6">
        <v>120</v>
      </c>
      <c r="G1545" t="s">
        <v>1349</v>
      </c>
      <c r="H1545" s="82">
        <v>2.5</v>
      </c>
      <c r="I1545">
        <v>1</v>
      </c>
      <c r="J1545">
        <v>27</v>
      </c>
      <c r="K1545" t="s">
        <v>2241</v>
      </c>
      <c r="L1545" s="6" t="s">
        <v>1519</v>
      </c>
      <c r="M1545" s="6">
        <v>4</v>
      </c>
      <c r="N1545" s="6">
        <v>2</v>
      </c>
      <c r="O1545">
        <v>500</v>
      </c>
      <c r="P1545">
        <v>202605</v>
      </c>
      <c r="Q1545" t="s">
        <v>377</v>
      </c>
      <c r="R1545" t="s">
        <v>1350</v>
      </c>
      <c r="S1545">
        <f>Consulta1[[#This Row],[min_port]]/100</f>
        <v>1.3500000000000002E-2</v>
      </c>
      <c r="T1545" s="252">
        <f>Consulta1[[#This Row],[TETO_COMERCIAL]]/100</f>
        <v>2.5000000000000001E-2</v>
      </c>
      <c r="U1545" t="b">
        <f>Consulta1[[#This Row],[TETO_COMERCIAL_%]]=Consulta1[[#This Row],[TAXA]]</f>
        <v>0</v>
      </c>
      <c r="V1545" t="str">
        <f>CONCATENATE(Consulta1[[#This Row],[MES_ALTERACAO]],Consulta1[[#This Row],[VIRADA]])</f>
        <v>2026054</v>
      </c>
      <c r="W1545">
        <f>VLOOKUP(Consulta1[[#This Row],[Coluna2]],CALENDARIO!$J:$K,2,FALSE)</f>
        <v>1</v>
      </c>
    </row>
    <row r="1546" spans="1:23" x14ac:dyDescent="0.25">
      <c r="A1546" t="s">
        <v>282</v>
      </c>
      <c r="B1546" t="str">
        <f>CONCATENATE(Consulta1[[#This Row],[id]],Consulta1[[#This Row],[EMPREGADOR]])</f>
        <v>8TJ MATO GROSSO</v>
      </c>
      <c r="C1546" s="6">
        <f>IF(A1546=A1545,C1545+1,1)</f>
        <v>8</v>
      </c>
      <c r="D1546" t="s">
        <v>1347</v>
      </c>
      <c r="E1546" s="101">
        <v>1.7000000000000001E-2</v>
      </c>
      <c r="F1546" s="6">
        <v>120</v>
      </c>
      <c r="G1546" t="s">
        <v>1349</v>
      </c>
      <c r="H1546" s="82">
        <v>2.5</v>
      </c>
      <c r="I1546">
        <v>1</v>
      </c>
      <c r="J1546">
        <v>27</v>
      </c>
      <c r="K1546" t="s">
        <v>2242</v>
      </c>
      <c r="L1546" s="6" t="s">
        <v>1519</v>
      </c>
      <c r="M1546" s="6">
        <v>4</v>
      </c>
      <c r="N1546" s="6">
        <v>2</v>
      </c>
      <c r="O1546">
        <v>500</v>
      </c>
      <c r="P1546">
        <v>202605</v>
      </c>
      <c r="Q1546" t="s">
        <v>377</v>
      </c>
      <c r="R1546" t="s">
        <v>1350</v>
      </c>
      <c r="S1546">
        <f>Consulta1[[#This Row],[min_port]]/100</f>
        <v>1.3500000000000002E-2</v>
      </c>
      <c r="T1546" s="252">
        <f>Consulta1[[#This Row],[TETO_COMERCIAL]]/100</f>
        <v>2.5000000000000001E-2</v>
      </c>
      <c r="U1546" t="b">
        <f>Consulta1[[#This Row],[TETO_COMERCIAL_%]]=Consulta1[[#This Row],[TAXA]]</f>
        <v>0</v>
      </c>
      <c r="V1546" t="str">
        <f>CONCATENATE(Consulta1[[#This Row],[MES_ALTERACAO]],Consulta1[[#This Row],[VIRADA]])</f>
        <v>2026054</v>
      </c>
      <c r="W1546">
        <f>VLOOKUP(Consulta1[[#This Row],[Coluna2]],CALENDARIO!$J:$K,2,FALSE)</f>
        <v>1</v>
      </c>
    </row>
    <row r="1547" spans="1:23" x14ac:dyDescent="0.25">
      <c r="A1547" t="s">
        <v>282</v>
      </c>
      <c r="B1547" t="str">
        <f>CONCATENATE(Consulta1[[#This Row],[id]],Consulta1[[#This Row],[EMPREGADOR]])</f>
        <v>9TJ MATO GROSSO</v>
      </c>
      <c r="C1547" s="6">
        <f>IF(A1547=A1546,C1546+1,1)</f>
        <v>9</v>
      </c>
      <c r="D1547" t="s">
        <v>1348</v>
      </c>
      <c r="E1547" s="101">
        <v>1.6799999999999999E-2</v>
      </c>
      <c r="F1547" s="6">
        <v>120</v>
      </c>
      <c r="G1547" t="s">
        <v>1349</v>
      </c>
      <c r="H1547" s="82">
        <v>2.5</v>
      </c>
      <c r="I1547">
        <v>1</v>
      </c>
      <c r="J1547">
        <v>27</v>
      </c>
      <c r="K1547" t="s">
        <v>2243</v>
      </c>
      <c r="L1547" s="6" t="s">
        <v>1519</v>
      </c>
      <c r="M1547" s="6">
        <v>4</v>
      </c>
      <c r="N1547" s="6">
        <v>2</v>
      </c>
      <c r="O1547">
        <v>500</v>
      </c>
      <c r="P1547">
        <v>202605</v>
      </c>
      <c r="Q1547" t="s">
        <v>377</v>
      </c>
      <c r="R1547" t="s">
        <v>1350</v>
      </c>
      <c r="S1547">
        <f>Consulta1[[#This Row],[min_port]]/100</f>
        <v>1.3500000000000002E-2</v>
      </c>
      <c r="T1547" s="252">
        <f>Consulta1[[#This Row],[TETO_COMERCIAL]]/100</f>
        <v>2.5000000000000001E-2</v>
      </c>
      <c r="U1547" t="b">
        <f>Consulta1[[#This Row],[TETO_COMERCIAL_%]]=Consulta1[[#This Row],[TAXA]]</f>
        <v>0</v>
      </c>
      <c r="V1547" t="str">
        <f>CONCATENATE(Consulta1[[#This Row],[MES_ALTERACAO]],Consulta1[[#This Row],[VIRADA]])</f>
        <v>2026054</v>
      </c>
      <c r="W1547">
        <f>VLOOKUP(Consulta1[[#This Row],[Coluna2]],CALENDARIO!$J:$K,2,FALSE)</f>
        <v>1</v>
      </c>
    </row>
    <row r="1548" spans="1:23" x14ac:dyDescent="0.25">
      <c r="A1548" t="s">
        <v>3088</v>
      </c>
      <c r="B1548" t="str">
        <f>CONCATENATE(Consulta1[[#This Row],[id]],Consulta1[[#This Row],[EMPREGADOR]])</f>
        <v>1TJ MG</v>
      </c>
      <c r="C1548" s="6">
        <f>IF(A1548=A1547,C1547+1,1)</f>
        <v>1</v>
      </c>
      <c r="D1548" t="s">
        <v>233</v>
      </c>
      <c r="E1548" s="101">
        <v>2.0499999999999997E-2</v>
      </c>
      <c r="F1548" s="6">
        <v>120</v>
      </c>
      <c r="G1548" t="s">
        <v>1349</v>
      </c>
      <c r="H1548" s="82">
        <v>2.25</v>
      </c>
      <c r="I1548">
        <v>10</v>
      </c>
      <c r="J1548">
        <v>46</v>
      </c>
      <c r="K1548" t="s">
        <v>2244</v>
      </c>
      <c r="L1548" s="6" t="s">
        <v>1381</v>
      </c>
      <c r="M1548" s="6">
        <v>9</v>
      </c>
      <c r="N1548" s="6">
        <v>2</v>
      </c>
      <c r="O1548">
        <v>500</v>
      </c>
      <c r="P1548">
        <v>202605</v>
      </c>
      <c r="Q1548" t="s">
        <v>377</v>
      </c>
      <c r="R1548" t="s">
        <v>1353</v>
      </c>
      <c r="S1548">
        <f>Consulta1[[#This Row],[min_port]]/100</f>
        <v>1.3999999999999999E-2</v>
      </c>
      <c r="T1548" s="252">
        <f>Consulta1[[#This Row],[TETO_COMERCIAL]]/100</f>
        <v>2.2499999999999999E-2</v>
      </c>
      <c r="U1548" t="b">
        <f>Consulta1[[#This Row],[TETO_COMERCIAL_%]]=Consulta1[[#This Row],[TAXA]]</f>
        <v>0</v>
      </c>
      <c r="V1548" t="str">
        <f>CONCATENATE(Consulta1[[#This Row],[MES_ALTERACAO]],Consulta1[[#This Row],[VIRADA]])</f>
        <v>2026059</v>
      </c>
      <c r="W1548">
        <f>VLOOKUP(Consulta1[[#This Row],[Coluna2]],CALENDARIO!$J:$K,2,FALSE)</f>
        <v>5</v>
      </c>
    </row>
    <row r="1549" spans="1:23" x14ac:dyDescent="0.25">
      <c r="A1549" t="s">
        <v>923</v>
      </c>
      <c r="B1549" t="str">
        <f>CONCATENATE(Consulta1[[#This Row],[id]],Consulta1[[#This Row],[EMPREGADOR]])</f>
        <v>1TJ MS</v>
      </c>
      <c r="C1549" s="6">
        <f>IF(A1549=A1548,C1548+1,1)</f>
        <v>1</v>
      </c>
      <c r="D1549" t="s">
        <v>924</v>
      </c>
      <c r="E1549" s="101">
        <v>2.35E-2</v>
      </c>
      <c r="F1549" s="6">
        <v>96</v>
      </c>
      <c r="G1549" t="s">
        <v>1349</v>
      </c>
      <c r="H1549" s="82">
        <v>2.35</v>
      </c>
      <c r="I1549">
        <v>20</v>
      </c>
      <c r="J1549">
        <v>27</v>
      </c>
      <c r="K1549" t="s">
        <v>2245</v>
      </c>
      <c r="L1549" s="6" t="s">
        <v>1381</v>
      </c>
      <c r="M1549" s="6">
        <v>2</v>
      </c>
      <c r="N1549" s="6">
        <v>2</v>
      </c>
      <c r="O1549">
        <v>500</v>
      </c>
      <c r="P1549">
        <v>202605</v>
      </c>
      <c r="Q1549" t="s">
        <v>377</v>
      </c>
      <c r="R1549" t="s">
        <v>1353</v>
      </c>
      <c r="S1549">
        <f>Consulta1[[#This Row],[min_port]]/100</f>
        <v>1.3999999999999999E-2</v>
      </c>
      <c r="T1549" s="252">
        <f>Consulta1[[#This Row],[TETO_COMERCIAL]]/100</f>
        <v>2.35E-2</v>
      </c>
      <c r="U1549" t="b">
        <f>Consulta1[[#This Row],[TETO_COMERCIAL_%]]=Consulta1[[#This Row],[TAXA]]</f>
        <v>1</v>
      </c>
      <c r="V1549" t="str">
        <f>CONCATENATE(Consulta1[[#This Row],[MES_ALTERACAO]],Consulta1[[#This Row],[VIRADA]])</f>
        <v>2026052</v>
      </c>
      <c r="W1549">
        <f>VLOOKUP(Consulta1[[#This Row],[Coluna2]],CALENDARIO!$J:$K,2,FALSE)</f>
        <v>0</v>
      </c>
    </row>
    <row r="1550" spans="1:23" x14ac:dyDescent="0.25">
      <c r="A1550" t="s">
        <v>923</v>
      </c>
      <c r="B1550" t="str">
        <f>CONCATENATE(Consulta1[[#This Row],[id]],Consulta1[[#This Row],[EMPREGADOR]])</f>
        <v>2TJ MS</v>
      </c>
      <c r="C1550" s="6">
        <f>IF(A1550=A1549,C1549+1,1)</f>
        <v>2</v>
      </c>
      <c r="D1550" t="s">
        <v>925</v>
      </c>
      <c r="E1550" s="101">
        <v>2.2499999999999999E-2</v>
      </c>
      <c r="F1550" s="6">
        <v>96</v>
      </c>
      <c r="G1550" t="s">
        <v>1349</v>
      </c>
      <c r="H1550" s="82">
        <v>2.35</v>
      </c>
      <c r="I1550">
        <v>20</v>
      </c>
      <c r="J1550">
        <v>27</v>
      </c>
      <c r="K1550" t="s">
        <v>2246</v>
      </c>
      <c r="L1550" s="6" t="s">
        <v>1381</v>
      </c>
      <c r="M1550" s="6">
        <v>2</v>
      </c>
      <c r="N1550" s="6">
        <v>2</v>
      </c>
      <c r="O1550">
        <v>500</v>
      </c>
      <c r="P1550">
        <v>202605</v>
      </c>
      <c r="Q1550" t="s">
        <v>377</v>
      </c>
      <c r="R1550" t="s">
        <v>1353</v>
      </c>
      <c r="S1550">
        <f>Consulta1[[#This Row],[min_port]]/100</f>
        <v>1.3999999999999999E-2</v>
      </c>
      <c r="T1550" s="252">
        <f>Consulta1[[#This Row],[TETO_COMERCIAL]]/100</f>
        <v>2.35E-2</v>
      </c>
      <c r="U1550" t="b">
        <f>Consulta1[[#This Row],[TETO_COMERCIAL_%]]=Consulta1[[#This Row],[TAXA]]</f>
        <v>0</v>
      </c>
      <c r="V1550" t="str">
        <f>CONCATENATE(Consulta1[[#This Row],[MES_ALTERACAO]],Consulta1[[#This Row],[VIRADA]])</f>
        <v>2026052</v>
      </c>
      <c r="W1550">
        <f>VLOOKUP(Consulta1[[#This Row],[Coluna2]],CALENDARIO!$J:$K,2,FALSE)</f>
        <v>0</v>
      </c>
    </row>
    <row r="1551" spans="1:23" x14ac:dyDescent="0.25">
      <c r="A1551" t="s">
        <v>923</v>
      </c>
      <c r="B1551" t="str">
        <f>CONCATENATE(Consulta1[[#This Row],[id]],Consulta1[[#This Row],[EMPREGADOR]])</f>
        <v>3TJ MS</v>
      </c>
      <c r="C1551" s="6">
        <f>IF(A1551=A1550,C1550+1,1)</f>
        <v>3</v>
      </c>
      <c r="D1551" t="s">
        <v>926</v>
      </c>
      <c r="E1551" s="101">
        <v>2.1499999999999998E-2</v>
      </c>
      <c r="F1551" s="6">
        <v>96</v>
      </c>
      <c r="G1551" t="s">
        <v>1349</v>
      </c>
      <c r="H1551" s="82">
        <v>2.35</v>
      </c>
      <c r="I1551">
        <v>20</v>
      </c>
      <c r="J1551">
        <v>27</v>
      </c>
      <c r="K1551" t="s">
        <v>2247</v>
      </c>
      <c r="L1551" s="6" t="s">
        <v>1381</v>
      </c>
      <c r="M1551" s="6">
        <v>2</v>
      </c>
      <c r="N1551" s="6">
        <v>2</v>
      </c>
      <c r="O1551">
        <v>500</v>
      </c>
      <c r="P1551">
        <v>202605</v>
      </c>
      <c r="Q1551" t="s">
        <v>377</v>
      </c>
      <c r="R1551" t="s">
        <v>1353</v>
      </c>
      <c r="S1551">
        <f>Consulta1[[#This Row],[min_port]]/100</f>
        <v>1.3999999999999999E-2</v>
      </c>
      <c r="T1551" s="252">
        <f>Consulta1[[#This Row],[TETO_COMERCIAL]]/100</f>
        <v>2.35E-2</v>
      </c>
      <c r="U1551" t="b">
        <f>Consulta1[[#This Row],[TETO_COMERCIAL_%]]=Consulta1[[#This Row],[TAXA]]</f>
        <v>0</v>
      </c>
      <c r="V1551" t="str">
        <f>CONCATENATE(Consulta1[[#This Row],[MES_ALTERACAO]],Consulta1[[#This Row],[VIRADA]])</f>
        <v>2026052</v>
      </c>
      <c r="W1551">
        <f>VLOOKUP(Consulta1[[#This Row],[Coluna2]],CALENDARIO!$J:$K,2,FALSE)</f>
        <v>0</v>
      </c>
    </row>
    <row r="1552" spans="1:23" x14ac:dyDescent="0.25">
      <c r="A1552" t="s">
        <v>923</v>
      </c>
      <c r="B1552" t="str">
        <f>CONCATENATE(Consulta1[[#This Row],[id]],Consulta1[[#This Row],[EMPREGADOR]])</f>
        <v>4TJ MS</v>
      </c>
      <c r="C1552" s="6">
        <f>IF(A1552=A1551,C1551+1,1)</f>
        <v>4</v>
      </c>
      <c r="D1552" t="s">
        <v>927</v>
      </c>
      <c r="E1552" s="101">
        <v>2.0499999999999997E-2</v>
      </c>
      <c r="F1552" s="6">
        <v>96</v>
      </c>
      <c r="G1552" t="s">
        <v>1349</v>
      </c>
      <c r="H1552" s="82">
        <v>2.35</v>
      </c>
      <c r="I1552">
        <v>20</v>
      </c>
      <c r="J1552">
        <v>27</v>
      </c>
      <c r="K1552" t="s">
        <v>2248</v>
      </c>
      <c r="L1552" s="6" t="s">
        <v>1381</v>
      </c>
      <c r="M1552" s="6">
        <v>2</v>
      </c>
      <c r="N1552" s="6">
        <v>2</v>
      </c>
      <c r="O1552">
        <v>500</v>
      </c>
      <c r="P1552">
        <v>202605</v>
      </c>
      <c r="Q1552" t="s">
        <v>377</v>
      </c>
      <c r="R1552" t="s">
        <v>1353</v>
      </c>
      <c r="S1552">
        <f>Consulta1[[#This Row],[min_port]]/100</f>
        <v>1.3999999999999999E-2</v>
      </c>
      <c r="T1552" s="252">
        <f>Consulta1[[#This Row],[TETO_COMERCIAL]]/100</f>
        <v>2.35E-2</v>
      </c>
      <c r="U1552" t="b">
        <f>Consulta1[[#This Row],[TETO_COMERCIAL_%]]=Consulta1[[#This Row],[TAXA]]</f>
        <v>0</v>
      </c>
      <c r="V1552" t="str">
        <f>CONCATENATE(Consulta1[[#This Row],[MES_ALTERACAO]],Consulta1[[#This Row],[VIRADA]])</f>
        <v>2026052</v>
      </c>
      <c r="W1552">
        <f>VLOOKUP(Consulta1[[#This Row],[Coluna2]],CALENDARIO!$J:$K,2,FALSE)</f>
        <v>0</v>
      </c>
    </row>
    <row r="1553" spans="1:23" x14ac:dyDescent="0.25">
      <c r="A1553" t="s">
        <v>923</v>
      </c>
      <c r="B1553" t="str">
        <f>CONCATENATE(Consulta1[[#This Row],[id]],Consulta1[[#This Row],[EMPREGADOR]])</f>
        <v>5TJ MS</v>
      </c>
      <c r="C1553" s="6">
        <f>IF(A1553=A1552,C1552+1,1)</f>
        <v>5</v>
      </c>
      <c r="D1553" t="s">
        <v>928</v>
      </c>
      <c r="E1553" s="101">
        <v>1.95E-2</v>
      </c>
      <c r="F1553" s="6">
        <v>96</v>
      </c>
      <c r="G1553" t="s">
        <v>1349</v>
      </c>
      <c r="H1553" s="82">
        <v>2.35</v>
      </c>
      <c r="I1553">
        <v>20</v>
      </c>
      <c r="J1553">
        <v>27</v>
      </c>
      <c r="K1553" t="s">
        <v>2249</v>
      </c>
      <c r="L1553" s="6" t="s">
        <v>1381</v>
      </c>
      <c r="M1553" s="6">
        <v>2</v>
      </c>
      <c r="N1553" s="6">
        <v>2</v>
      </c>
      <c r="O1553">
        <v>500</v>
      </c>
      <c r="P1553">
        <v>202605</v>
      </c>
      <c r="Q1553" t="s">
        <v>377</v>
      </c>
      <c r="R1553" t="s">
        <v>1353</v>
      </c>
      <c r="S1553">
        <f>Consulta1[[#This Row],[min_port]]/100</f>
        <v>1.3999999999999999E-2</v>
      </c>
      <c r="T1553" s="252">
        <f>Consulta1[[#This Row],[TETO_COMERCIAL]]/100</f>
        <v>2.35E-2</v>
      </c>
      <c r="U1553" t="b">
        <f>Consulta1[[#This Row],[TETO_COMERCIAL_%]]=Consulta1[[#This Row],[TAXA]]</f>
        <v>0</v>
      </c>
      <c r="V1553" t="str">
        <f>CONCATENATE(Consulta1[[#This Row],[MES_ALTERACAO]],Consulta1[[#This Row],[VIRADA]])</f>
        <v>2026052</v>
      </c>
      <c r="W1553">
        <f>VLOOKUP(Consulta1[[#This Row],[Coluna2]],CALENDARIO!$J:$K,2,FALSE)</f>
        <v>0</v>
      </c>
    </row>
    <row r="1554" spans="1:23" x14ac:dyDescent="0.25">
      <c r="A1554" t="s">
        <v>923</v>
      </c>
      <c r="B1554" t="str">
        <f>CONCATENATE(Consulta1[[#This Row],[id]],Consulta1[[#This Row],[EMPREGADOR]])</f>
        <v>6TJ MS</v>
      </c>
      <c r="C1554" s="6">
        <f>IF(A1554=A1553,C1553+1,1)</f>
        <v>6</v>
      </c>
      <c r="D1554" t="s">
        <v>929</v>
      </c>
      <c r="E1554" s="101">
        <v>1.8500000000000003E-2</v>
      </c>
      <c r="F1554" s="6">
        <v>96</v>
      </c>
      <c r="G1554" t="s">
        <v>1349</v>
      </c>
      <c r="H1554" s="82">
        <v>2.35</v>
      </c>
      <c r="I1554">
        <v>20</v>
      </c>
      <c r="J1554">
        <v>27</v>
      </c>
      <c r="K1554" t="s">
        <v>2250</v>
      </c>
      <c r="L1554" s="6" t="s">
        <v>1381</v>
      </c>
      <c r="M1554" s="6">
        <v>2</v>
      </c>
      <c r="N1554" s="6">
        <v>2</v>
      </c>
      <c r="O1554">
        <v>500</v>
      </c>
      <c r="P1554">
        <v>202605</v>
      </c>
      <c r="Q1554" t="s">
        <v>377</v>
      </c>
      <c r="R1554" t="s">
        <v>1353</v>
      </c>
      <c r="S1554">
        <f>Consulta1[[#This Row],[min_port]]/100</f>
        <v>1.3999999999999999E-2</v>
      </c>
      <c r="T1554" s="252">
        <f>Consulta1[[#This Row],[TETO_COMERCIAL]]/100</f>
        <v>2.35E-2</v>
      </c>
      <c r="U1554" t="b">
        <f>Consulta1[[#This Row],[TETO_COMERCIAL_%]]=Consulta1[[#This Row],[TAXA]]</f>
        <v>0</v>
      </c>
      <c r="V1554" t="str">
        <f>CONCATENATE(Consulta1[[#This Row],[MES_ALTERACAO]],Consulta1[[#This Row],[VIRADA]])</f>
        <v>2026052</v>
      </c>
      <c r="W1554">
        <f>VLOOKUP(Consulta1[[#This Row],[Coluna2]],CALENDARIO!$J:$K,2,FALSE)</f>
        <v>0</v>
      </c>
    </row>
    <row r="1555" spans="1:23" x14ac:dyDescent="0.25">
      <c r="A1555" t="s">
        <v>923</v>
      </c>
      <c r="B1555" t="str">
        <f>CONCATENATE(Consulta1[[#This Row],[id]],Consulta1[[#This Row],[EMPREGADOR]])</f>
        <v>7TJ MS</v>
      </c>
      <c r="C1555" s="6">
        <f>IF(A1555=A1554,C1554+1,1)</f>
        <v>7</v>
      </c>
      <c r="D1555" t="s">
        <v>930</v>
      </c>
      <c r="E1555" s="101">
        <v>1.7500000000000002E-2</v>
      </c>
      <c r="F1555" s="6">
        <v>96</v>
      </c>
      <c r="G1555" t="s">
        <v>1349</v>
      </c>
      <c r="H1555" s="82">
        <v>2.35</v>
      </c>
      <c r="I1555">
        <v>20</v>
      </c>
      <c r="J1555">
        <v>27</v>
      </c>
      <c r="K1555" t="s">
        <v>2251</v>
      </c>
      <c r="L1555" s="6" t="s">
        <v>1381</v>
      </c>
      <c r="M1555" s="6">
        <v>2</v>
      </c>
      <c r="N1555" s="6">
        <v>2</v>
      </c>
      <c r="O1555">
        <v>500</v>
      </c>
      <c r="P1555">
        <v>202605</v>
      </c>
      <c r="Q1555" t="s">
        <v>377</v>
      </c>
      <c r="R1555" t="s">
        <v>1353</v>
      </c>
      <c r="S1555">
        <f>Consulta1[[#This Row],[min_port]]/100</f>
        <v>1.3999999999999999E-2</v>
      </c>
      <c r="T1555" s="252">
        <f>Consulta1[[#This Row],[TETO_COMERCIAL]]/100</f>
        <v>2.35E-2</v>
      </c>
      <c r="U1555" t="b">
        <f>Consulta1[[#This Row],[TETO_COMERCIAL_%]]=Consulta1[[#This Row],[TAXA]]</f>
        <v>0</v>
      </c>
      <c r="V1555" t="str">
        <f>CONCATENATE(Consulta1[[#This Row],[MES_ALTERACAO]],Consulta1[[#This Row],[VIRADA]])</f>
        <v>2026052</v>
      </c>
      <c r="W1555">
        <f>VLOOKUP(Consulta1[[#This Row],[Coluna2]],CALENDARIO!$J:$K,2,FALSE)</f>
        <v>0</v>
      </c>
    </row>
    <row r="1556" spans="1:23" x14ac:dyDescent="0.25">
      <c r="A1556" t="s">
        <v>923</v>
      </c>
      <c r="B1556" t="str">
        <f>CONCATENATE(Consulta1[[#This Row],[id]],Consulta1[[#This Row],[EMPREGADOR]])</f>
        <v>8TJ MS</v>
      </c>
      <c r="C1556" s="6">
        <f>IF(A1556=A1555,C1555+1,1)</f>
        <v>8</v>
      </c>
      <c r="D1556" t="s">
        <v>931</v>
      </c>
      <c r="E1556" s="101">
        <v>1.6500000000000001E-2</v>
      </c>
      <c r="F1556" s="6">
        <v>96</v>
      </c>
      <c r="G1556" t="s">
        <v>1349</v>
      </c>
      <c r="H1556" s="82">
        <v>2.35</v>
      </c>
      <c r="I1556">
        <v>20</v>
      </c>
      <c r="J1556">
        <v>27</v>
      </c>
      <c r="K1556" t="s">
        <v>2252</v>
      </c>
      <c r="L1556" s="6" t="s">
        <v>1381</v>
      </c>
      <c r="M1556" s="6">
        <v>2</v>
      </c>
      <c r="N1556" s="6">
        <v>2</v>
      </c>
      <c r="O1556">
        <v>500</v>
      </c>
      <c r="P1556">
        <v>202605</v>
      </c>
      <c r="Q1556" t="s">
        <v>377</v>
      </c>
      <c r="R1556" t="s">
        <v>1353</v>
      </c>
      <c r="S1556">
        <f>Consulta1[[#This Row],[min_port]]/100</f>
        <v>1.3999999999999999E-2</v>
      </c>
      <c r="T1556" s="252">
        <f>Consulta1[[#This Row],[TETO_COMERCIAL]]/100</f>
        <v>2.35E-2</v>
      </c>
      <c r="U1556" t="b">
        <f>Consulta1[[#This Row],[TETO_COMERCIAL_%]]=Consulta1[[#This Row],[TAXA]]</f>
        <v>0</v>
      </c>
      <c r="V1556" t="str">
        <f>CONCATENATE(Consulta1[[#This Row],[MES_ALTERACAO]],Consulta1[[#This Row],[VIRADA]])</f>
        <v>2026052</v>
      </c>
      <c r="W1556">
        <f>VLOOKUP(Consulta1[[#This Row],[Coluna2]],CALENDARIO!$J:$K,2,FALSE)</f>
        <v>0</v>
      </c>
    </row>
    <row r="1557" spans="1:23" x14ac:dyDescent="0.25">
      <c r="A1557" t="s">
        <v>3089</v>
      </c>
      <c r="B1557" t="str">
        <f>CONCATENATE(Consulta1[[#This Row],[id]],Consulta1[[#This Row],[EMPREGADOR]])</f>
        <v>1TJ PI</v>
      </c>
      <c r="C1557" s="6">
        <f>IF(A1557=A1556,C1556+1,1)</f>
        <v>1</v>
      </c>
      <c r="D1557" t="s">
        <v>828</v>
      </c>
      <c r="E1557" s="101">
        <v>2.2000000000000002E-2</v>
      </c>
      <c r="F1557" s="6">
        <v>120</v>
      </c>
      <c r="G1557" t="s">
        <v>1349</v>
      </c>
      <c r="H1557" s="82">
        <v>2.5</v>
      </c>
      <c r="I1557">
        <v>25</v>
      </c>
      <c r="J1557">
        <v>41</v>
      </c>
      <c r="K1557" t="s">
        <v>2253</v>
      </c>
      <c r="L1557" s="6" t="s">
        <v>1494</v>
      </c>
      <c r="M1557" s="6">
        <v>5</v>
      </c>
      <c r="N1557" s="6">
        <v>2</v>
      </c>
      <c r="O1557">
        <v>500</v>
      </c>
      <c r="P1557">
        <v>202605</v>
      </c>
      <c r="Q1557" t="s">
        <v>377</v>
      </c>
      <c r="R1557" t="s">
        <v>1350</v>
      </c>
      <c r="S1557">
        <f>Consulta1[[#This Row],[min_port]]/100</f>
        <v>1.37E-2</v>
      </c>
      <c r="T1557" s="252">
        <f>Consulta1[[#This Row],[TETO_COMERCIAL]]/100</f>
        <v>2.5000000000000001E-2</v>
      </c>
      <c r="U1557" t="b">
        <f>Consulta1[[#This Row],[TETO_COMERCIAL_%]]=Consulta1[[#This Row],[TAXA]]</f>
        <v>0</v>
      </c>
      <c r="V1557" t="str">
        <f>CONCATENATE(Consulta1[[#This Row],[MES_ALTERACAO]],Consulta1[[#This Row],[VIRADA]])</f>
        <v>2026055</v>
      </c>
      <c r="W1557">
        <f>VLOOKUP(Consulta1[[#This Row],[Coluna2]],CALENDARIO!$J:$K,2,FALSE)</f>
        <v>2</v>
      </c>
    </row>
    <row r="1558" spans="1:23" x14ac:dyDescent="0.25">
      <c r="A1558" t="s">
        <v>3089</v>
      </c>
      <c r="B1558" t="str">
        <f>CONCATENATE(Consulta1[[#This Row],[id]],Consulta1[[#This Row],[EMPREGADOR]])</f>
        <v>2TJ PI</v>
      </c>
      <c r="C1558" s="6">
        <f>IF(A1558=A1557,C1557+1,1)</f>
        <v>2</v>
      </c>
      <c r="D1558" t="s">
        <v>293</v>
      </c>
      <c r="E1558" s="101">
        <v>2.1000000000000001E-2</v>
      </c>
      <c r="F1558" s="6">
        <v>120</v>
      </c>
      <c r="G1558" t="s">
        <v>1349</v>
      </c>
      <c r="H1558" s="82">
        <v>2.5</v>
      </c>
      <c r="I1558">
        <v>25</v>
      </c>
      <c r="J1558">
        <v>35</v>
      </c>
      <c r="K1558" t="s">
        <v>2254</v>
      </c>
      <c r="L1558" s="6" t="s">
        <v>1494</v>
      </c>
      <c r="M1558" s="6">
        <v>5</v>
      </c>
      <c r="N1558" s="6">
        <v>2</v>
      </c>
      <c r="O1558">
        <v>500</v>
      </c>
      <c r="P1558">
        <v>202605</v>
      </c>
      <c r="Q1558" t="s">
        <v>377</v>
      </c>
      <c r="R1558" t="s">
        <v>1350</v>
      </c>
      <c r="S1558">
        <f>Consulta1[[#This Row],[min_port]]/100</f>
        <v>1.37E-2</v>
      </c>
      <c r="T1558" s="252">
        <f>Consulta1[[#This Row],[TETO_COMERCIAL]]/100</f>
        <v>2.5000000000000001E-2</v>
      </c>
      <c r="U1558" t="b">
        <f>Consulta1[[#This Row],[TETO_COMERCIAL_%]]=Consulta1[[#This Row],[TAXA]]</f>
        <v>0</v>
      </c>
      <c r="V1558" t="str">
        <f>CONCATENATE(Consulta1[[#This Row],[MES_ALTERACAO]],Consulta1[[#This Row],[VIRADA]])</f>
        <v>2026055</v>
      </c>
      <c r="W1558">
        <f>VLOOKUP(Consulta1[[#This Row],[Coluna2]],CALENDARIO!$J:$K,2,FALSE)</f>
        <v>2</v>
      </c>
    </row>
    <row r="1559" spans="1:23" x14ac:dyDescent="0.25">
      <c r="A1559" t="s">
        <v>3089</v>
      </c>
      <c r="B1559" t="str">
        <f>CONCATENATE(Consulta1[[#This Row],[id]],Consulta1[[#This Row],[EMPREGADOR]])</f>
        <v>3TJ PI</v>
      </c>
      <c r="C1559" s="6">
        <f>IF(A1559=A1558,C1558+1,1)</f>
        <v>3</v>
      </c>
      <c r="D1559" t="s">
        <v>294</v>
      </c>
      <c r="E1559" s="101">
        <v>0.02</v>
      </c>
      <c r="F1559" s="6">
        <v>120</v>
      </c>
      <c r="G1559" t="s">
        <v>1349</v>
      </c>
      <c r="H1559" s="82">
        <v>2.5</v>
      </c>
      <c r="I1559">
        <v>25</v>
      </c>
      <c r="J1559">
        <v>44</v>
      </c>
      <c r="K1559" t="s">
        <v>2255</v>
      </c>
      <c r="L1559" s="6" t="s">
        <v>1494</v>
      </c>
      <c r="M1559" s="6">
        <v>5</v>
      </c>
      <c r="N1559" s="6">
        <v>2</v>
      </c>
      <c r="O1559">
        <v>500</v>
      </c>
      <c r="P1559">
        <v>202605</v>
      </c>
      <c r="Q1559" t="s">
        <v>377</v>
      </c>
      <c r="R1559" t="s">
        <v>1350</v>
      </c>
      <c r="S1559">
        <f>Consulta1[[#This Row],[min_port]]/100</f>
        <v>1.37E-2</v>
      </c>
      <c r="T1559" s="252">
        <f>Consulta1[[#This Row],[TETO_COMERCIAL]]/100</f>
        <v>2.5000000000000001E-2</v>
      </c>
      <c r="U1559" t="b">
        <f>Consulta1[[#This Row],[TETO_COMERCIAL_%]]=Consulta1[[#This Row],[TAXA]]</f>
        <v>0</v>
      </c>
      <c r="V1559" t="str">
        <f>CONCATENATE(Consulta1[[#This Row],[MES_ALTERACAO]],Consulta1[[#This Row],[VIRADA]])</f>
        <v>2026055</v>
      </c>
      <c r="W1559">
        <f>VLOOKUP(Consulta1[[#This Row],[Coluna2]],CALENDARIO!$J:$K,2,FALSE)</f>
        <v>2</v>
      </c>
    </row>
    <row r="1560" spans="1:23" x14ac:dyDescent="0.25">
      <c r="A1560" t="s">
        <v>3089</v>
      </c>
      <c r="B1560" t="str">
        <f>CONCATENATE(Consulta1[[#This Row],[id]],Consulta1[[#This Row],[EMPREGADOR]])</f>
        <v>4TJ PI</v>
      </c>
      <c r="C1560" s="6">
        <f>IF(A1560=A1559,C1559+1,1)</f>
        <v>4</v>
      </c>
      <c r="D1560" t="s">
        <v>295</v>
      </c>
      <c r="E1560" s="101">
        <v>1.9E-2</v>
      </c>
      <c r="F1560" s="6">
        <v>120</v>
      </c>
      <c r="G1560" t="s">
        <v>1349</v>
      </c>
      <c r="H1560" s="82">
        <v>2.5</v>
      </c>
      <c r="I1560">
        <v>25</v>
      </c>
      <c r="J1560">
        <v>37</v>
      </c>
      <c r="K1560" t="s">
        <v>2256</v>
      </c>
      <c r="L1560" s="6" t="s">
        <v>1494</v>
      </c>
      <c r="M1560" s="6">
        <v>5</v>
      </c>
      <c r="N1560" s="6">
        <v>2</v>
      </c>
      <c r="O1560">
        <v>500</v>
      </c>
      <c r="P1560">
        <v>202605</v>
      </c>
      <c r="Q1560" t="s">
        <v>377</v>
      </c>
      <c r="R1560" t="s">
        <v>1350</v>
      </c>
      <c r="S1560">
        <f>Consulta1[[#This Row],[min_port]]/100</f>
        <v>1.37E-2</v>
      </c>
      <c r="T1560" s="252">
        <f>Consulta1[[#This Row],[TETO_COMERCIAL]]/100</f>
        <v>2.5000000000000001E-2</v>
      </c>
      <c r="U1560" t="b">
        <f>Consulta1[[#This Row],[TETO_COMERCIAL_%]]=Consulta1[[#This Row],[TAXA]]</f>
        <v>0</v>
      </c>
      <c r="V1560" t="str">
        <f>CONCATENATE(Consulta1[[#This Row],[MES_ALTERACAO]],Consulta1[[#This Row],[VIRADA]])</f>
        <v>2026055</v>
      </c>
      <c r="W1560">
        <f>VLOOKUP(Consulta1[[#This Row],[Coluna2]],CALENDARIO!$J:$K,2,FALSE)</f>
        <v>2</v>
      </c>
    </row>
    <row r="1561" spans="1:23" x14ac:dyDescent="0.25">
      <c r="A1561" t="s">
        <v>3089</v>
      </c>
      <c r="B1561" t="str">
        <f>CONCATENATE(Consulta1[[#This Row],[id]],Consulta1[[#This Row],[EMPREGADOR]])</f>
        <v>5TJ PI</v>
      </c>
      <c r="C1561" s="6">
        <f>IF(A1561=A1560,C1560+1,1)</f>
        <v>5</v>
      </c>
      <c r="D1561" t="s">
        <v>1112</v>
      </c>
      <c r="E1561" s="101">
        <v>1.7500000000000002E-2</v>
      </c>
      <c r="F1561" s="6">
        <v>120</v>
      </c>
      <c r="G1561" t="s">
        <v>1349</v>
      </c>
      <c r="H1561" s="82">
        <v>2.5</v>
      </c>
      <c r="I1561">
        <v>25</v>
      </c>
      <c r="J1561">
        <v>38</v>
      </c>
      <c r="K1561" t="s">
        <v>2257</v>
      </c>
      <c r="L1561" s="6" t="s">
        <v>1494</v>
      </c>
      <c r="M1561" s="6">
        <v>5</v>
      </c>
      <c r="N1561" s="6">
        <v>2</v>
      </c>
      <c r="O1561">
        <v>500</v>
      </c>
      <c r="P1561">
        <v>202605</v>
      </c>
      <c r="Q1561" t="s">
        <v>377</v>
      </c>
      <c r="R1561" t="s">
        <v>1350</v>
      </c>
      <c r="S1561">
        <f>Consulta1[[#This Row],[min_port]]/100</f>
        <v>1.37E-2</v>
      </c>
      <c r="T1561" s="252">
        <f>Consulta1[[#This Row],[TETO_COMERCIAL]]/100</f>
        <v>2.5000000000000001E-2</v>
      </c>
      <c r="U1561" t="b">
        <f>Consulta1[[#This Row],[TETO_COMERCIAL_%]]=Consulta1[[#This Row],[TAXA]]</f>
        <v>0</v>
      </c>
      <c r="V1561" t="str">
        <f>CONCATENATE(Consulta1[[#This Row],[MES_ALTERACAO]],Consulta1[[#This Row],[VIRADA]])</f>
        <v>2026055</v>
      </c>
      <c r="W1561">
        <f>VLOOKUP(Consulta1[[#This Row],[Coluna2]],CALENDARIO!$J:$K,2,FALSE)</f>
        <v>2</v>
      </c>
    </row>
    <row r="1562" spans="1:23" x14ac:dyDescent="0.25">
      <c r="A1562" t="s">
        <v>3089</v>
      </c>
      <c r="B1562" t="str">
        <f>CONCATENATE(Consulta1[[#This Row],[id]],Consulta1[[#This Row],[EMPREGADOR]])</f>
        <v>6TJ PI</v>
      </c>
      <c r="C1562" s="6">
        <f>IF(A1562=A1561,C1561+1,1)</f>
        <v>6</v>
      </c>
      <c r="D1562" t="s">
        <v>1113</v>
      </c>
      <c r="E1562" s="101">
        <v>1.6E-2</v>
      </c>
      <c r="F1562" s="6">
        <v>120</v>
      </c>
      <c r="G1562" t="s">
        <v>1349</v>
      </c>
      <c r="H1562" s="82">
        <v>2.5</v>
      </c>
      <c r="I1562">
        <v>25</v>
      </c>
      <c r="J1562">
        <v>32</v>
      </c>
      <c r="K1562" t="s">
        <v>2258</v>
      </c>
      <c r="L1562" s="6" t="s">
        <v>1494</v>
      </c>
      <c r="M1562" s="6">
        <v>5</v>
      </c>
      <c r="N1562" s="6">
        <v>2</v>
      </c>
      <c r="O1562">
        <v>500</v>
      </c>
      <c r="P1562">
        <v>202605</v>
      </c>
      <c r="Q1562" t="s">
        <v>377</v>
      </c>
      <c r="R1562" t="s">
        <v>1350</v>
      </c>
      <c r="S1562">
        <f>Consulta1[[#This Row],[min_port]]/100</f>
        <v>1.37E-2</v>
      </c>
      <c r="T1562" s="252">
        <f>Consulta1[[#This Row],[TETO_COMERCIAL]]/100</f>
        <v>2.5000000000000001E-2</v>
      </c>
      <c r="U1562" t="b">
        <f>Consulta1[[#This Row],[TETO_COMERCIAL_%]]=Consulta1[[#This Row],[TAXA]]</f>
        <v>0</v>
      </c>
      <c r="V1562" t="str">
        <f>CONCATENATE(Consulta1[[#This Row],[MES_ALTERACAO]],Consulta1[[#This Row],[VIRADA]])</f>
        <v>2026055</v>
      </c>
      <c r="W1562">
        <f>VLOOKUP(Consulta1[[#This Row],[Coluna2]],CALENDARIO!$J:$K,2,FALSE)</f>
        <v>2</v>
      </c>
    </row>
    <row r="1563" spans="1:23" x14ac:dyDescent="0.25">
      <c r="A1563" t="s">
        <v>84</v>
      </c>
      <c r="B1563" t="str">
        <f>CONCATENATE(Consulta1[[#This Row],[id]],Consulta1[[#This Row],[EMPREGADOR]])</f>
        <v>1TJ SAO PAULO</v>
      </c>
      <c r="C1563" s="6">
        <f>IF(A1563=A1562,C1562+1,1)</f>
        <v>1</v>
      </c>
      <c r="D1563" t="s">
        <v>408</v>
      </c>
      <c r="E1563" s="101">
        <v>2.4900000000000002E-2</v>
      </c>
      <c r="F1563" s="6">
        <v>96</v>
      </c>
      <c r="G1563" t="s">
        <v>1349</v>
      </c>
      <c r="H1563" s="82">
        <v>2.5</v>
      </c>
      <c r="I1563">
        <v>10</v>
      </c>
      <c r="J1563">
        <v>27</v>
      </c>
      <c r="K1563" t="s">
        <v>2259</v>
      </c>
      <c r="L1563" s="6" t="s">
        <v>1678</v>
      </c>
      <c r="M1563" s="6">
        <v>13</v>
      </c>
      <c r="N1563" s="6">
        <v>2</v>
      </c>
      <c r="O1563">
        <v>500</v>
      </c>
      <c r="P1563">
        <v>202605</v>
      </c>
      <c r="Q1563" t="s">
        <v>377</v>
      </c>
      <c r="R1563" t="s">
        <v>1350</v>
      </c>
      <c r="S1563">
        <f>Consulta1[[#This Row],[min_port]]/100</f>
        <v>1.32E-2</v>
      </c>
      <c r="T1563" s="252">
        <f>Consulta1[[#This Row],[TETO_COMERCIAL]]/100</f>
        <v>2.5000000000000001E-2</v>
      </c>
      <c r="U1563" t="b">
        <f>Consulta1[[#This Row],[TETO_COMERCIAL_%]]=Consulta1[[#This Row],[TAXA]]</f>
        <v>0</v>
      </c>
      <c r="V1563" t="str">
        <f>CONCATENATE(Consulta1[[#This Row],[MES_ALTERACAO]],Consulta1[[#This Row],[VIRADA]])</f>
        <v>20260513</v>
      </c>
      <c r="W1563">
        <f>VLOOKUP(Consulta1[[#This Row],[Coluna2]],CALENDARIO!$J:$K,2,FALSE)</f>
        <v>8</v>
      </c>
    </row>
    <row r="1564" spans="1:23" x14ac:dyDescent="0.25">
      <c r="A1564" t="s">
        <v>84</v>
      </c>
      <c r="B1564" t="str">
        <f>CONCATENATE(Consulta1[[#This Row],[id]],Consulta1[[#This Row],[EMPREGADOR]])</f>
        <v>2TJ SAO PAULO</v>
      </c>
      <c r="C1564" s="6">
        <f>IF(A1564=A1563,C1563+1,1)</f>
        <v>2</v>
      </c>
      <c r="D1564" t="s">
        <v>409</v>
      </c>
      <c r="E1564" s="101">
        <v>2.4900000000000002E-2</v>
      </c>
      <c r="F1564" s="6">
        <v>96</v>
      </c>
      <c r="G1564" t="s">
        <v>1349</v>
      </c>
      <c r="H1564" s="82">
        <v>2.5</v>
      </c>
      <c r="I1564">
        <v>10</v>
      </c>
      <c r="J1564">
        <v>27</v>
      </c>
      <c r="K1564" t="s">
        <v>2260</v>
      </c>
      <c r="L1564" s="6" t="s">
        <v>1678</v>
      </c>
      <c r="M1564" s="6">
        <v>11</v>
      </c>
      <c r="N1564" s="6">
        <v>2</v>
      </c>
      <c r="O1564">
        <v>500</v>
      </c>
      <c r="P1564">
        <v>202605</v>
      </c>
      <c r="Q1564" t="s">
        <v>377</v>
      </c>
      <c r="R1564" t="s">
        <v>1350</v>
      </c>
      <c r="S1564">
        <f>Consulta1[[#This Row],[min_port]]/100</f>
        <v>1.32E-2</v>
      </c>
      <c r="T1564" s="252">
        <f>Consulta1[[#This Row],[TETO_COMERCIAL]]/100</f>
        <v>2.5000000000000001E-2</v>
      </c>
      <c r="U1564" t="b">
        <f>Consulta1[[#This Row],[TETO_COMERCIAL_%]]=Consulta1[[#This Row],[TAXA]]</f>
        <v>0</v>
      </c>
      <c r="V1564" t="str">
        <f>CONCATENATE(Consulta1[[#This Row],[MES_ALTERACAO]],Consulta1[[#This Row],[VIRADA]])</f>
        <v>20260511</v>
      </c>
      <c r="W1564">
        <f>VLOOKUP(Consulta1[[#This Row],[Coluna2]],CALENDARIO!$J:$K,2,FALSE)</f>
        <v>6</v>
      </c>
    </row>
    <row r="1565" spans="1:23" x14ac:dyDescent="0.25">
      <c r="A1565" t="s">
        <v>84</v>
      </c>
      <c r="B1565" t="str">
        <f>CONCATENATE(Consulta1[[#This Row],[id]],Consulta1[[#This Row],[EMPREGADOR]])</f>
        <v>3TJ SAO PAULO</v>
      </c>
      <c r="C1565" s="6">
        <f>IF(A1565=A1564,C1564+1,1)</f>
        <v>3</v>
      </c>
      <c r="D1565" t="s">
        <v>410</v>
      </c>
      <c r="E1565" s="101">
        <v>1.89E-2</v>
      </c>
      <c r="F1565" s="6">
        <v>96</v>
      </c>
      <c r="G1565" t="s">
        <v>1349</v>
      </c>
      <c r="H1565" s="82">
        <v>2.5</v>
      </c>
      <c r="I1565">
        <v>10</v>
      </c>
      <c r="J1565">
        <v>27</v>
      </c>
      <c r="K1565" t="s">
        <v>2261</v>
      </c>
      <c r="L1565" s="6" t="s">
        <v>1678</v>
      </c>
      <c r="M1565" s="6">
        <v>11</v>
      </c>
      <c r="N1565" s="6">
        <v>2</v>
      </c>
      <c r="O1565">
        <v>500</v>
      </c>
      <c r="P1565">
        <v>202605</v>
      </c>
      <c r="Q1565" t="s">
        <v>377</v>
      </c>
      <c r="R1565" t="s">
        <v>1350</v>
      </c>
      <c r="S1565">
        <f>Consulta1[[#This Row],[min_port]]/100</f>
        <v>1.32E-2</v>
      </c>
      <c r="T1565" s="252">
        <f>Consulta1[[#This Row],[TETO_COMERCIAL]]/100</f>
        <v>2.5000000000000001E-2</v>
      </c>
      <c r="U1565" t="b">
        <f>Consulta1[[#This Row],[TETO_COMERCIAL_%]]=Consulta1[[#This Row],[TAXA]]</f>
        <v>0</v>
      </c>
      <c r="V1565" t="str">
        <f>CONCATENATE(Consulta1[[#This Row],[MES_ALTERACAO]],Consulta1[[#This Row],[VIRADA]])</f>
        <v>20260511</v>
      </c>
      <c r="W1565">
        <f>VLOOKUP(Consulta1[[#This Row],[Coluna2]],CALENDARIO!$J:$K,2,FALSE)</f>
        <v>6</v>
      </c>
    </row>
    <row r="1566" spans="1:23" x14ac:dyDescent="0.25">
      <c r="A1566" t="s">
        <v>84</v>
      </c>
      <c r="B1566" t="str">
        <f>CONCATENATE(Consulta1[[#This Row],[id]],Consulta1[[#This Row],[EMPREGADOR]])</f>
        <v>4TJ SAO PAULO</v>
      </c>
      <c r="C1566" s="6">
        <f>IF(A1566=A1565,C1565+1,1)</f>
        <v>4</v>
      </c>
      <c r="D1566" t="s">
        <v>628</v>
      </c>
      <c r="E1566" s="101">
        <v>1.89E-2</v>
      </c>
      <c r="F1566" s="6">
        <v>96</v>
      </c>
      <c r="G1566" t="s">
        <v>1349</v>
      </c>
      <c r="H1566" s="82">
        <v>2.5</v>
      </c>
      <c r="I1566">
        <v>10</v>
      </c>
      <c r="J1566">
        <v>27</v>
      </c>
      <c r="K1566" t="s">
        <v>2262</v>
      </c>
      <c r="L1566" s="6" t="s">
        <v>1678</v>
      </c>
      <c r="M1566" s="6">
        <v>13</v>
      </c>
      <c r="N1566" s="6">
        <v>2</v>
      </c>
      <c r="O1566">
        <v>500</v>
      </c>
      <c r="P1566">
        <v>202605</v>
      </c>
      <c r="Q1566" t="s">
        <v>377</v>
      </c>
      <c r="R1566" t="s">
        <v>1350</v>
      </c>
      <c r="S1566">
        <f>Consulta1[[#This Row],[min_port]]/100</f>
        <v>1.32E-2</v>
      </c>
      <c r="T1566" s="252">
        <f>Consulta1[[#This Row],[TETO_COMERCIAL]]/100</f>
        <v>2.5000000000000001E-2</v>
      </c>
      <c r="U1566" t="b">
        <f>Consulta1[[#This Row],[TETO_COMERCIAL_%]]=Consulta1[[#This Row],[TAXA]]</f>
        <v>0</v>
      </c>
      <c r="V1566" t="str">
        <f>CONCATENATE(Consulta1[[#This Row],[MES_ALTERACAO]],Consulta1[[#This Row],[VIRADA]])</f>
        <v>20260513</v>
      </c>
      <c r="W1566">
        <f>VLOOKUP(Consulta1[[#This Row],[Coluna2]],CALENDARIO!$J:$K,2,FALSE)</f>
        <v>8</v>
      </c>
    </row>
    <row r="1567" spans="1:23" x14ac:dyDescent="0.25">
      <c r="A1567" t="s">
        <v>84</v>
      </c>
      <c r="B1567" t="str">
        <f>CONCATENATE(Consulta1[[#This Row],[id]],Consulta1[[#This Row],[EMPREGADOR]])</f>
        <v>5TJ SAO PAULO</v>
      </c>
      <c r="C1567" s="6">
        <f>IF(A1567=A1566,C1566+1,1)</f>
        <v>5</v>
      </c>
      <c r="D1567" t="s">
        <v>411</v>
      </c>
      <c r="E1567" s="101">
        <v>1.8500000000000003E-2</v>
      </c>
      <c r="F1567" s="6">
        <v>96</v>
      </c>
      <c r="G1567" t="s">
        <v>1349</v>
      </c>
      <c r="H1567" s="82">
        <v>2.5</v>
      </c>
      <c r="I1567">
        <v>10</v>
      </c>
      <c r="J1567">
        <v>27</v>
      </c>
      <c r="K1567" t="s">
        <v>2263</v>
      </c>
      <c r="L1567" s="6" t="s">
        <v>1678</v>
      </c>
      <c r="M1567" s="6">
        <v>13</v>
      </c>
      <c r="N1567" s="6">
        <v>2</v>
      </c>
      <c r="O1567">
        <v>500</v>
      </c>
      <c r="P1567">
        <v>202605</v>
      </c>
      <c r="Q1567" t="s">
        <v>377</v>
      </c>
      <c r="R1567" t="s">
        <v>1350</v>
      </c>
      <c r="S1567">
        <f>Consulta1[[#This Row],[min_port]]/100</f>
        <v>1.32E-2</v>
      </c>
      <c r="T1567" s="252">
        <f>Consulta1[[#This Row],[TETO_COMERCIAL]]/100</f>
        <v>2.5000000000000001E-2</v>
      </c>
      <c r="U1567" t="b">
        <f>Consulta1[[#This Row],[TETO_COMERCIAL_%]]=Consulta1[[#This Row],[TAXA]]</f>
        <v>0</v>
      </c>
      <c r="V1567" t="str">
        <f>CONCATENATE(Consulta1[[#This Row],[MES_ALTERACAO]],Consulta1[[#This Row],[VIRADA]])</f>
        <v>20260513</v>
      </c>
      <c r="W1567">
        <f>VLOOKUP(Consulta1[[#This Row],[Coluna2]],CALENDARIO!$J:$K,2,FALSE)</f>
        <v>8</v>
      </c>
    </row>
    <row r="1568" spans="1:23" x14ac:dyDescent="0.25">
      <c r="A1568" t="s">
        <v>84</v>
      </c>
      <c r="B1568" t="str">
        <f>CONCATENATE(Consulta1[[#This Row],[id]],Consulta1[[#This Row],[EMPREGADOR]])</f>
        <v>6TJ SAO PAULO</v>
      </c>
      <c r="C1568" s="6">
        <f>IF(A1568=A1567,C1567+1,1)</f>
        <v>6</v>
      </c>
      <c r="D1568" t="s">
        <v>412</v>
      </c>
      <c r="E1568" s="101">
        <v>1.8500000000000003E-2</v>
      </c>
      <c r="F1568" s="6">
        <v>96</v>
      </c>
      <c r="G1568" t="s">
        <v>1349</v>
      </c>
      <c r="H1568" s="82">
        <v>2.5</v>
      </c>
      <c r="I1568">
        <v>10</v>
      </c>
      <c r="J1568">
        <v>27</v>
      </c>
      <c r="K1568" t="s">
        <v>2264</v>
      </c>
      <c r="L1568" s="6" t="s">
        <v>1678</v>
      </c>
      <c r="M1568" s="6">
        <v>11</v>
      </c>
      <c r="N1568" s="6">
        <v>2</v>
      </c>
      <c r="O1568">
        <v>500</v>
      </c>
      <c r="P1568">
        <v>202605</v>
      </c>
      <c r="Q1568" t="s">
        <v>377</v>
      </c>
      <c r="R1568" t="s">
        <v>1350</v>
      </c>
      <c r="S1568">
        <f>Consulta1[[#This Row],[min_port]]/100</f>
        <v>1.32E-2</v>
      </c>
      <c r="T1568" s="252">
        <f>Consulta1[[#This Row],[TETO_COMERCIAL]]/100</f>
        <v>2.5000000000000001E-2</v>
      </c>
      <c r="U1568" t="b">
        <f>Consulta1[[#This Row],[TETO_COMERCIAL_%]]=Consulta1[[#This Row],[TAXA]]</f>
        <v>0</v>
      </c>
      <c r="V1568" t="str">
        <f>CONCATENATE(Consulta1[[#This Row],[MES_ALTERACAO]],Consulta1[[#This Row],[VIRADA]])</f>
        <v>20260511</v>
      </c>
      <c r="W1568">
        <f>VLOOKUP(Consulta1[[#This Row],[Coluna2]],CALENDARIO!$J:$K,2,FALSE)</f>
        <v>6</v>
      </c>
    </row>
    <row r="1569" spans="1:23" x14ac:dyDescent="0.25">
      <c r="A1569" t="s">
        <v>84</v>
      </c>
      <c r="B1569" t="str">
        <f>CONCATENATE(Consulta1[[#This Row],[id]],Consulta1[[#This Row],[EMPREGADOR]])</f>
        <v>7TJ SAO PAULO</v>
      </c>
      <c r="C1569" s="6">
        <f>IF(A1569=A1568,C1568+1,1)</f>
        <v>7</v>
      </c>
      <c r="D1569" t="s">
        <v>745</v>
      </c>
      <c r="E1569" s="101">
        <v>1.7899999999999999E-2</v>
      </c>
      <c r="F1569" s="6">
        <v>96</v>
      </c>
      <c r="G1569" t="s">
        <v>1349</v>
      </c>
      <c r="H1569" s="82">
        <v>2.5</v>
      </c>
      <c r="I1569">
        <v>10</v>
      </c>
      <c r="J1569">
        <v>27</v>
      </c>
      <c r="K1569" t="s">
        <v>2265</v>
      </c>
      <c r="L1569" s="6" t="s">
        <v>1678</v>
      </c>
      <c r="M1569" s="6">
        <v>13</v>
      </c>
      <c r="N1569" s="6">
        <v>2</v>
      </c>
      <c r="O1569">
        <v>500</v>
      </c>
      <c r="P1569">
        <v>202605</v>
      </c>
      <c r="Q1569" t="s">
        <v>377</v>
      </c>
      <c r="R1569" t="s">
        <v>1350</v>
      </c>
      <c r="S1569">
        <f>Consulta1[[#This Row],[min_port]]/100</f>
        <v>1.32E-2</v>
      </c>
      <c r="T1569" s="252">
        <f>Consulta1[[#This Row],[TETO_COMERCIAL]]/100</f>
        <v>2.5000000000000001E-2</v>
      </c>
      <c r="U1569" t="b">
        <f>Consulta1[[#This Row],[TETO_COMERCIAL_%]]=Consulta1[[#This Row],[TAXA]]</f>
        <v>0</v>
      </c>
      <c r="V1569" t="str">
        <f>CONCATENATE(Consulta1[[#This Row],[MES_ALTERACAO]],Consulta1[[#This Row],[VIRADA]])</f>
        <v>20260513</v>
      </c>
      <c r="W1569">
        <f>VLOOKUP(Consulta1[[#This Row],[Coluna2]],CALENDARIO!$J:$K,2,FALSE)</f>
        <v>8</v>
      </c>
    </row>
    <row r="1570" spans="1:23" x14ac:dyDescent="0.25">
      <c r="A1570" t="s">
        <v>84</v>
      </c>
      <c r="B1570" t="str">
        <f>CONCATENATE(Consulta1[[#This Row],[id]],Consulta1[[#This Row],[EMPREGADOR]])</f>
        <v>8TJ SAO PAULO</v>
      </c>
      <c r="C1570" s="6">
        <f>IF(A1570=A1569,C1569+1,1)</f>
        <v>8</v>
      </c>
      <c r="D1570" t="s">
        <v>746</v>
      </c>
      <c r="E1570" s="101">
        <v>1.7899999999999999E-2</v>
      </c>
      <c r="F1570" s="6">
        <v>96</v>
      </c>
      <c r="G1570" t="s">
        <v>1349</v>
      </c>
      <c r="H1570" s="82">
        <v>2.5</v>
      </c>
      <c r="I1570">
        <v>10</v>
      </c>
      <c r="J1570">
        <v>27</v>
      </c>
      <c r="K1570" t="s">
        <v>2266</v>
      </c>
      <c r="L1570" s="6" t="s">
        <v>1678</v>
      </c>
      <c r="M1570" s="6">
        <v>11</v>
      </c>
      <c r="N1570" s="6">
        <v>2</v>
      </c>
      <c r="O1570">
        <v>500</v>
      </c>
      <c r="P1570">
        <v>202605</v>
      </c>
      <c r="Q1570" t="s">
        <v>377</v>
      </c>
      <c r="R1570" t="s">
        <v>1350</v>
      </c>
      <c r="S1570">
        <f>Consulta1[[#This Row],[min_port]]/100</f>
        <v>1.32E-2</v>
      </c>
      <c r="T1570" s="252">
        <f>Consulta1[[#This Row],[TETO_COMERCIAL]]/100</f>
        <v>2.5000000000000001E-2</v>
      </c>
      <c r="U1570" t="b">
        <f>Consulta1[[#This Row],[TETO_COMERCIAL_%]]=Consulta1[[#This Row],[TAXA]]</f>
        <v>0</v>
      </c>
      <c r="V1570" t="str">
        <f>CONCATENATE(Consulta1[[#This Row],[MES_ALTERACAO]],Consulta1[[#This Row],[VIRADA]])</f>
        <v>20260511</v>
      </c>
      <c r="W1570">
        <f>VLOOKUP(Consulta1[[#This Row],[Coluna2]],CALENDARIO!$J:$K,2,FALSE)</f>
        <v>6</v>
      </c>
    </row>
    <row r="1571" spans="1:23" x14ac:dyDescent="0.25">
      <c r="A1571" t="s">
        <v>84</v>
      </c>
      <c r="B1571" t="str">
        <f>CONCATENATE(Consulta1[[#This Row],[id]],Consulta1[[#This Row],[EMPREGADOR]])</f>
        <v>9TJ SAO PAULO</v>
      </c>
      <c r="C1571" s="6">
        <f>IF(A1571=A1570,C1570+1,1)</f>
        <v>9</v>
      </c>
      <c r="D1571" t="s">
        <v>747</v>
      </c>
      <c r="E1571" s="101">
        <v>1.7500000000000002E-2</v>
      </c>
      <c r="F1571" s="6">
        <v>96</v>
      </c>
      <c r="G1571" t="s">
        <v>1349</v>
      </c>
      <c r="H1571" s="82">
        <v>2.5</v>
      </c>
      <c r="I1571">
        <v>10</v>
      </c>
      <c r="J1571">
        <v>27</v>
      </c>
      <c r="K1571" t="s">
        <v>2267</v>
      </c>
      <c r="L1571" s="6" t="s">
        <v>1678</v>
      </c>
      <c r="M1571" s="6">
        <v>13</v>
      </c>
      <c r="N1571" s="6">
        <v>2</v>
      </c>
      <c r="O1571">
        <v>500</v>
      </c>
      <c r="P1571">
        <v>202605</v>
      </c>
      <c r="Q1571" t="s">
        <v>377</v>
      </c>
      <c r="R1571" t="s">
        <v>1350</v>
      </c>
      <c r="S1571">
        <f>Consulta1[[#This Row],[min_port]]/100</f>
        <v>1.32E-2</v>
      </c>
      <c r="T1571" s="252">
        <f>Consulta1[[#This Row],[TETO_COMERCIAL]]/100</f>
        <v>2.5000000000000001E-2</v>
      </c>
      <c r="U1571" t="b">
        <f>Consulta1[[#This Row],[TETO_COMERCIAL_%]]=Consulta1[[#This Row],[TAXA]]</f>
        <v>0</v>
      </c>
      <c r="V1571" t="str">
        <f>CONCATENATE(Consulta1[[#This Row],[MES_ALTERACAO]],Consulta1[[#This Row],[VIRADA]])</f>
        <v>20260513</v>
      </c>
      <c r="W1571">
        <f>VLOOKUP(Consulta1[[#This Row],[Coluna2]],CALENDARIO!$J:$K,2,FALSE)</f>
        <v>8</v>
      </c>
    </row>
    <row r="1572" spans="1:23" x14ac:dyDescent="0.25">
      <c r="A1572" t="s">
        <v>84</v>
      </c>
      <c r="B1572" t="str">
        <f>CONCATENATE(Consulta1[[#This Row],[id]],Consulta1[[#This Row],[EMPREGADOR]])</f>
        <v>10TJ SAO PAULO</v>
      </c>
      <c r="C1572" s="6">
        <f>IF(A1572=A1571,C1571+1,1)</f>
        <v>10</v>
      </c>
      <c r="D1572" t="s">
        <v>748</v>
      </c>
      <c r="E1572" s="101">
        <v>1.7500000000000002E-2</v>
      </c>
      <c r="F1572" s="6">
        <v>96</v>
      </c>
      <c r="G1572" t="s">
        <v>1349</v>
      </c>
      <c r="H1572" s="82">
        <v>2.5</v>
      </c>
      <c r="I1572">
        <v>10</v>
      </c>
      <c r="J1572">
        <v>27</v>
      </c>
      <c r="K1572" t="s">
        <v>2268</v>
      </c>
      <c r="L1572" s="6" t="s">
        <v>1678</v>
      </c>
      <c r="M1572" s="6">
        <v>11</v>
      </c>
      <c r="N1572" s="6">
        <v>2</v>
      </c>
      <c r="O1572">
        <v>500</v>
      </c>
      <c r="P1572">
        <v>202605</v>
      </c>
      <c r="Q1572" t="s">
        <v>377</v>
      </c>
      <c r="R1572" t="s">
        <v>1350</v>
      </c>
      <c r="S1572">
        <f>Consulta1[[#This Row],[min_port]]/100</f>
        <v>1.32E-2</v>
      </c>
      <c r="T1572" s="252">
        <f>Consulta1[[#This Row],[TETO_COMERCIAL]]/100</f>
        <v>2.5000000000000001E-2</v>
      </c>
      <c r="U1572" t="b">
        <f>Consulta1[[#This Row],[TETO_COMERCIAL_%]]=Consulta1[[#This Row],[TAXA]]</f>
        <v>0</v>
      </c>
      <c r="V1572" t="str">
        <f>CONCATENATE(Consulta1[[#This Row],[MES_ALTERACAO]],Consulta1[[#This Row],[VIRADA]])</f>
        <v>20260511</v>
      </c>
      <c r="W1572">
        <f>VLOOKUP(Consulta1[[#This Row],[Coluna2]],CALENDARIO!$J:$K,2,FALSE)</f>
        <v>6</v>
      </c>
    </row>
    <row r="1573" spans="1:23" x14ac:dyDescent="0.25">
      <c r="A1573" t="s">
        <v>84</v>
      </c>
      <c r="B1573" t="str">
        <f>CONCATENATE(Consulta1[[#This Row],[id]],Consulta1[[#This Row],[EMPREGADOR]])</f>
        <v>11TJ SAO PAULO</v>
      </c>
      <c r="C1573" s="6">
        <f>IF(A1573=A1572,C1572+1,1)</f>
        <v>11</v>
      </c>
      <c r="D1573" t="s">
        <v>749</v>
      </c>
      <c r="E1573" s="101">
        <v>1.6899999999999998E-2</v>
      </c>
      <c r="F1573" s="6">
        <v>96</v>
      </c>
      <c r="G1573" t="s">
        <v>1349</v>
      </c>
      <c r="H1573" s="82">
        <v>2.5</v>
      </c>
      <c r="I1573">
        <v>10</v>
      </c>
      <c r="J1573">
        <v>27</v>
      </c>
      <c r="K1573" t="s">
        <v>2269</v>
      </c>
      <c r="L1573" s="6" t="s">
        <v>1678</v>
      </c>
      <c r="M1573" s="6">
        <v>13</v>
      </c>
      <c r="N1573" s="6">
        <v>2</v>
      </c>
      <c r="O1573">
        <v>500</v>
      </c>
      <c r="P1573">
        <v>202605</v>
      </c>
      <c r="Q1573" t="s">
        <v>377</v>
      </c>
      <c r="R1573" t="s">
        <v>1350</v>
      </c>
      <c r="S1573">
        <f>Consulta1[[#This Row],[min_port]]/100</f>
        <v>1.32E-2</v>
      </c>
      <c r="T1573" s="252">
        <f>Consulta1[[#This Row],[TETO_COMERCIAL]]/100</f>
        <v>2.5000000000000001E-2</v>
      </c>
      <c r="U1573" t="b">
        <f>Consulta1[[#This Row],[TETO_COMERCIAL_%]]=Consulta1[[#This Row],[TAXA]]</f>
        <v>0</v>
      </c>
      <c r="V1573" t="str">
        <f>CONCATENATE(Consulta1[[#This Row],[MES_ALTERACAO]],Consulta1[[#This Row],[VIRADA]])</f>
        <v>20260513</v>
      </c>
      <c r="W1573">
        <f>VLOOKUP(Consulta1[[#This Row],[Coluna2]],CALENDARIO!$J:$K,2,FALSE)</f>
        <v>8</v>
      </c>
    </row>
    <row r="1574" spans="1:23" x14ac:dyDescent="0.25">
      <c r="A1574" t="s">
        <v>84</v>
      </c>
      <c r="B1574" t="str">
        <f>CONCATENATE(Consulta1[[#This Row],[id]],Consulta1[[#This Row],[EMPREGADOR]])</f>
        <v>12TJ SAO PAULO</v>
      </c>
      <c r="C1574" s="6">
        <f>IF(A1574=A1573,C1573+1,1)</f>
        <v>12</v>
      </c>
      <c r="D1574" t="s">
        <v>750</v>
      </c>
      <c r="E1574" s="101">
        <v>1.6899999999999998E-2</v>
      </c>
      <c r="F1574" s="6">
        <v>96</v>
      </c>
      <c r="G1574" t="s">
        <v>1349</v>
      </c>
      <c r="H1574" s="82">
        <v>2.5</v>
      </c>
      <c r="I1574">
        <v>10</v>
      </c>
      <c r="J1574">
        <v>27</v>
      </c>
      <c r="K1574" t="s">
        <v>2270</v>
      </c>
      <c r="L1574" s="6" t="s">
        <v>1678</v>
      </c>
      <c r="M1574" s="6">
        <v>11</v>
      </c>
      <c r="N1574" s="6">
        <v>2</v>
      </c>
      <c r="O1574">
        <v>500</v>
      </c>
      <c r="P1574">
        <v>202605</v>
      </c>
      <c r="Q1574" t="s">
        <v>377</v>
      </c>
      <c r="R1574" t="s">
        <v>1350</v>
      </c>
      <c r="S1574">
        <f>Consulta1[[#This Row],[min_port]]/100</f>
        <v>1.32E-2</v>
      </c>
      <c r="T1574" s="252">
        <f>Consulta1[[#This Row],[TETO_COMERCIAL]]/100</f>
        <v>2.5000000000000001E-2</v>
      </c>
      <c r="U1574" t="b">
        <f>Consulta1[[#This Row],[TETO_COMERCIAL_%]]=Consulta1[[#This Row],[TAXA]]</f>
        <v>0</v>
      </c>
      <c r="V1574" t="str">
        <f>CONCATENATE(Consulta1[[#This Row],[MES_ALTERACAO]],Consulta1[[#This Row],[VIRADA]])</f>
        <v>20260511</v>
      </c>
      <c r="W1574">
        <f>VLOOKUP(Consulta1[[#This Row],[Coluna2]],CALENDARIO!$J:$K,2,FALSE)</f>
        <v>6</v>
      </c>
    </row>
    <row r="1575" spans="1:23" x14ac:dyDescent="0.25">
      <c r="A1575" t="s">
        <v>84</v>
      </c>
      <c r="B1575" t="str">
        <f>CONCATENATE(Consulta1[[#This Row],[id]],Consulta1[[#This Row],[EMPREGADOR]])</f>
        <v>13TJ SAO PAULO</v>
      </c>
      <c r="C1575" s="6">
        <f>IF(A1575=A1574,C1574+1,1)</f>
        <v>13</v>
      </c>
      <c r="D1575" t="s">
        <v>1114</v>
      </c>
      <c r="E1575" s="101">
        <v>1.6500000000000001E-2</v>
      </c>
      <c r="F1575" s="6">
        <v>96</v>
      </c>
      <c r="G1575" t="s">
        <v>1349</v>
      </c>
      <c r="H1575" s="82">
        <v>2.5</v>
      </c>
      <c r="I1575">
        <v>10</v>
      </c>
      <c r="J1575">
        <v>27</v>
      </c>
      <c r="K1575" t="s">
        <v>2271</v>
      </c>
      <c r="L1575" s="6" t="s">
        <v>1678</v>
      </c>
      <c r="M1575" s="6">
        <v>13</v>
      </c>
      <c r="N1575" s="6">
        <v>2</v>
      </c>
      <c r="O1575">
        <v>500</v>
      </c>
      <c r="P1575">
        <v>202605</v>
      </c>
      <c r="Q1575" t="s">
        <v>377</v>
      </c>
      <c r="R1575" t="s">
        <v>1350</v>
      </c>
      <c r="S1575">
        <f>Consulta1[[#This Row],[min_port]]/100</f>
        <v>1.32E-2</v>
      </c>
      <c r="T1575" s="252">
        <f>Consulta1[[#This Row],[TETO_COMERCIAL]]/100</f>
        <v>2.5000000000000001E-2</v>
      </c>
      <c r="U1575" t="b">
        <f>Consulta1[[#This Row],[TETO_COMERCIAL_%]]=Consulta1[[#This Row],[TAXA]]</f>
        <v>0</v>
      </c>
      <c r="V1575" t="str">
        <f>CONCATENATE(Consulta1[[#This Row],[MES_ALTERACAO]],Consulta1[[#This Row],[VIRADA]])</f>
        <v>20260513</v>
      </c>
      <c r="W1575">
        <f>VLOOKUP(Consulta1[[#This Row],[Coluna2]],CALENDARIO!$J:$K,2,FALSE)</f>
        <v>8</v>
      </c>
    </row>
    <row r="1576" spans="1:23" x14ac:dyDescent="0.25">
      <c r="A1576" t="s">
        <v>84</v>
      </c>
      <c r="B1576" t="str">
        <f>CONCATENATE(Consulta1[[#This Row],[id]],Consulta1[[#This Row],[EMPREGADOR]])</f>
        <v>14TJ SAO PAULO</v>
      </c>
      <c r="C1576" s="6">
        <f>IF(A1576=A1575,C1575+1,1)</f>
        <v>14</v>
      </c>
      <c r="D1576" t="s">
        <v>1115</v>
      </c>
      <c r="E1576" s="101">
        <v>1.6500000000000001E-2</v>
      </c>
      <c r="F1576" s="6">
        <v>96</v>
      </c>
      <c r="G1576" t="s">
        <v>1349</v>
      </c>
      <c r="H1576" s="82">
        <v>2.5</v>
      </c>
      <c r="I1576">
        <v>10</v>
      </c>
      <c r="J1576">
        <v>27</v>
      </c>
      <c r="K1576" t="s">
        <v>2272</v>
      </c>
      <c r="L1576" s="6" t="s">
        <v>1678</v>
      </c>
      <c r="M1576" s="6">
        <v>11</v>
      </c>
      <c r="N1576" s="6">
        <v>2</v>
      </c>
      <c r="O1576">
        <v>500</v>
      </c>
      <c r="P1576">
        <v>202605</v>
      </c>
      <c r="Q1576" t="s">
        <v>377</v>
      </c>
      <c r="R1576" t="s">
        <v>1350</v>
      </c>
      <c r="S1576">
        <f>Consulta1[[#This Row],[min_port]]/100</f>
        <v>1.32E-2</v>
      </c>
      <c r="T1576" s="252">
        <f>Consulta1[[#This Row],[TETO_COMERCIAL]]/100</f>
        <v>2.5000000000000001E-2</v>
      </c>
      <c r="U1576" t="b">
        <f>Consulta1[[#This Row],[TETO_COMERCIAL_%]]=Consulta1[[#This Row],[TAXA]]</f>
        <v>0</v>
      </c>
      <c r="V1576" t="str">
        <f>CONCATENATE(Consulta1[[#This Row],[MES_ALTERACAO]],Consulta1[[#This Row],[VIRADA]])</f>
        <v>20260511</v>
      </c>
      <c r="W1576">
        <f>VLOOKUP(Consulta1[[#This Row],[Coluna2]],CALENDARIO!$J:$K,2,FALSE)</f>
        <v>6</v>
      </c>
    </row>
    <row r="1577" spans="1:23" x14ac:dyDescent="0.25">
      <c r="A1577" t="s">
        <v>84</v>
      </c>
      <c r="B1577" t="str">
        <f>CONCATENATE(Consulta1[[#This Row],[id]],Consulta1[[#This Row],[EMPREGADOR]])</f>
        <v>15TJ SAO PAULO</v>
      </c>
      <c r="C1577" s="6">
        <f>IF(A1577=A1576,C1576+1,1)</f>
        <v>15</v>
      </c>
      <c r="D1577" t="s">
        <v>3235</v>
      </c>
      <c r="E1577" s="101">
        <v>1.5900000000000001E-2</v>
      </c>
      <c r="F1577" s="6">
        <v>96</v>
      </c>
      <c r="G1577" t="s">
        <v>1349</v>
      </c>
      <c r="H1577" s="82">
        <v>2.5</v>
      </c>
      <c r="I1577">
        <v>10</v>
      </c>
      <c r="J1577">
        <v>27</v>
      </c>
      <c r="K1577" t="s">
        <v>3236</v>
      </c>
      <c r="L1577" s="6" t="s">
        <v>1678</v>
      </c>
      <c r="M1577" s="6">
        <v>13</v>
      </c>
      <c r="N1577" s="6">
        <v>2</v>
      </c>
      <c r="O1577">
        <v>500</v>
      </c>
      <c r="P1577">
        <v>202605</v>
      </c>
      <c r="Q1577" t="s">
        <v>377</v>
      </c>
      <c r="R1577" t="s">
        <v>1350</v>
      </c>
      <c r="S1577">
        <f>Consulta1[[#This Row],[min_port]]/100</f>
        <v>1.32E-2</v>
      </c>
      <c r="T1577" s="252">
        <f>Consulta1[[#This Row],[TETO_COMERCIAL]]/100</f>
        <v>2.5000000000000001E-2</v>
      </c>
      <c r="U1577" t="b">
        <f>Consulta1[[#This Row],[TETO_COMERCIAL_%]]=Consulta1[[#This Row],[TAXA]]</f>
        <v>0</v>
      </c>
      <c r="V1577" t="str">
        <f>CONCATENATE(Consulta1[[#This Row],[MES_ALTERACAO]],Consulta1[[#This Row],[VIRADA]])</f>
        <v>20260513</v>
      </c>
      <c r="W1577">
        <f>VLOOKUP(Consulta1[[#This Row],[Coluna2]],CALENDARIO!$J:$K,2,FALSE)</f>
        <v>8</v>
      </c>
    </row>
    <row r="1578" spans="1:23" x14ac:dyDescent="0.25">
      <c r="A1578" t="s">
        <v>84</v>
      </c>
      <c r="B1578" t="str">
        <f>CONCATENATE(Consulta1[[#This Row],[id]],Consulta1[[#This Row],[EMPREGADOR]])</f>
        <v>16TJ SAO PAULO</v>
      </c>
      <c r="C1578" s="6">
        <f>IF(A1578=A1577,C1577+1,1)</f>
        <v>16</v>
      </c>
      <c r="D1578" t="s">
        <v>3237</v>
      </c>
      <c r="E1578" s="101">
        <v>1.5900000000000001E-2</v>
      </c>
      <c r="F1578" s="6">
        <v>96</v>
      </c>
      <c r="G1578" t="s">
        <v>1349</v>
      </c>
      <c r="H1578" s="82">
        <v>2.5</v>
      </c>
      <c r="I1578">
        <v>10</v>
      </c>
      <c r="J1578">
        <v>27</v>
      </c>
      <c r="K1578" t="s">
        <v>3238</v>
      </c>
      <c r="L1578" s="6" t="s">
        <v>1678</v>
      </c>
      <c r="M1578" s="6">
        <v>11</v>
      </c>
      <c r="N1578" s="6">
        <v>2</v>
      </c>
      <c r="O1578">
        <v>500</v>
      </c>
      <c r="P1578">
        <v>202605</v>
      </c>
      <c r="Q1578" t="s">
        <v>377</v>
      </c>
      <c r="R1578" t="s">
        <v>1350</v>
      </c>
      <c r="S1578">
        <f>Consulta1[[#This Row],[min_port]]/100</f>
        <v>1.32E-2</v>
      </c>
      <c r="T1578" s="252">
        <f>Consulta1[[#This Row],[TETO_COMERCIAL]]/100</f>
        <v>2.5000000000000001E-2</v>
      </c>
      <c r="U1578" t="b">
        <f>Consulta1[[#This Row],[TETO_COMERCIAL_%]]=Consulta1[[#This Row],[TAXA]]</f>
        <v>0</v>
      </c>
      <c r="V1578" t="str">
        <f>CONCATENATE(Consulta1[[#This Row],[MES_ALTERACAO]],Consulta1[[#This Row],[VIRADA]])</f>
        <v>20260511</v>
      </c>
      <c r="W1578">
        <f>VLOOKUP(Consulta1[[#This Row],[Coluna2]],CALENDARIO!$J:$K,2,FALSE)</f>
        <v>6</v>
      </c>
    </row>
    <row r="1579" spans="1:23" x14ac:dyDescent="0.25">
      <c r="A1579" t="s">
        <v>84</v>
      </c>
      <c r="B1579" t="str">
        <f>CONCATENATE(Consulta1[[#This Row],[id]],Consulta1[[#This Row],[EMPREGADOR]])</f>
        <v>17TJ SAO PAULO</v>
      </c>
      <c r="C1579" s="6">
        <f>IF(A1579=A1578,C1578+1,1)</f>
        <v>17</v>
      </c>
      <c r="D1579" t="s">
        <v>3239</v>
      </c>
      <c r="E1579" s="101">
        <v>1.55E-2</v>
      </c>
      <c r="F1579" s="6">
        <v>96</v>
      </c>
      <c r="G1579" t="s">
        <v>1349</v>
      </c>
      <c r="H1579" s="82">
        <v>2.5</v>
      </c>
      <c r="I1579">
        <v>10</v>
      </c>
      <c r="J1579">
        <v>27</v>
      </c>
      <c r="K1579" t="s">
        <v>3240</v>
      </c>
      <c r="L1579" s="6" t="s">
        <v>1678</v>
      </c>
      <c r="M1579" s="6">
        <v>13</v>
      </c>
      <c r="N1579" s="6">
        <v>2</v>
      </c>
      <c r="O1579">
        <v>500</v>
      </c>
      <c r="P1579">
        <v>202605</v>
      </c>
      <c r="Q1579" t="s">
        <v>377</v>
      </c>
      <c r="R1579" t="s">
        <v>1350</v>
      </c>
      <c r="S1579">
        <f>Consulta1[[#This Row],[min_port]]/100</f>
        <v>1.32E-2</v>
      </c>
      <c r="T1579" s="252">
        <f>Consulta1[[#This Row],[TETO_COMERCIAL]]/100</f>
        <v>2.5000000000000001E-2</v>
      </c>
      <c r="U1579" t="b">
        <f>Consulta1[[#This Row],[TETO_COMERCIAL_%]]=Consulta1[[#This Row],[TAXA]]</f>
        <v>0</v>
      </c>
      <c r="V1579" t="str">
        <f>CONCATENATE(Consulta1[[#This Row],[MES_ALTERACAO]],Consulta1[[#This Row],[VIRADA]])</f>
        <v>20260513</v>
      </c>
      <c r="W1579">
        <f>VLOOKUP(Consulta1[[#This Row],[Coluna2]],CALENDARIO!$J:$K,2,FALSE)</f>
        <v>8</v>
      </c>
    </row>
    <row r="1580" spans="1:23" x14ac:dyDescent="0.25">
      <c r="A1580" t="s">
        <v>84</v>
      </c>
      <c r="B1580" t="str">
        <f>CONCATENATE(Consulta1[[#This Row],[id]],Consulta1[[#This Row],[EMPREGADOR]])</f>
        <v>18TJ SAO PAULO</v>
      </c>
      <c r="C1580" s="6">
        <f>IF(A1580=A1579,C1579+1,1)</f>
        <v>18</v>
      </c>
      <c r="D1580" t="s">
        <v>3241</v>
      </c>
      <c r="E1580" s="101">
        <v>1.55E-2</v>
      </c>
      <c r="F1580" s="6">
        <v>96</v>
      </c>
      <c r="G1580" t="s">
        <v>1349</v>
      </c>
      <c r="H1580" s="82">
        <v>2.5</v>
      </c>
      <c r="I1580">
        <v>10</v>
      </c>
      <c r="J1580">
        <v>27</v>
      </c>
      <c r="K1580" t="s">
        <v>3242</v>
      </c>
      <c r="L1580" s="6" t="s">
        <v>1678</v>
      </c>
      <c r="M1580" s="6">
        <v>13</v>
      </c>
      <c r="N1580" s="6">
        <v>2</v>
      </c>
      <c r="O1580">
        <v>30000</v>
      </c>
      <c r="P1580">
        <v>202605</v>
      </c>
      <c r="Q1580" t="s">
        <v>377</v>
      </c>
      <c r="R1580" t="s">
        <v>1350</v>
      </c>
      <c r="S1580">
        <f>Consulta1[[#This Row],[min_port]]/100</f>
        <v>1.32E-2</v>
      </c>
      <c r="T1580" s="252">
        <f>Consulta1[[#This Row],[TETO_COMERCIAL]]/100</f>
        <v>2.5000000000000001E-2</v>
      </c>
      <c r="U1580" t="b">
        <f>Consulta1[[#This Row],[TETO_COMERCIAL_%]]=Consulta1[[#This Row],[TAXA]]</f>
        <v>0</v>
      </c>
      <c r="V1580" t="str">
        <f>CONCATENATE(Consulta1[[#This Row],[MES_ALTERACAO]],Consulta1[[#This Row],[VIRADA]])</f>
        <v>20260513</v>
      </c>
      <c r="W1580">
        <f>VLOOKUP(Consulta1[[#This Row],[Coluna2]],CALENDARIO!$J:$K,2,FALSE)</f>
        <v>8</v>
      </c>
    </row>
    <row r="1581" spans="1:23" x14ac:dyDescent="0.25">
      <c r="A1581" t="s">
        <v>84</v>
      </c>
      <c r="B1581" t="str">
        <f>CONCATENATE(Consulta1[[#This Row],[id]],Consulta1[[#This Row],[EMPREGADOR]])</f>
        <v>19TJ SAO PAULO</v>
      </c>
      <c r="C1581" s="6">
        <f>IF(A1581=A1580,C1580+1,1)</f>
        <v>19</v>
      </c>
      <c r="D1581" t="s">
        <v>3243</v>
      </c>
      <c r="E1581" s="101">
        <v>1.55E-2</v>
      </c>
      <c r="F1581" s="6">
        <v>96</v>
      </c>
      <c r="G1581" t="s">
        <v>1349</v>
      </c>
      <c r="H1581" s="82">
        <v>2.5</v>
      </c>
      <c r="I1581">
        <v>10</v>
      </c>
      <c r="J1581">
        <v>27</v>
      </c>
      <c r="K1581" t="s">
        <v>3244</v>
      </c>
      <c r="L1581" s="6" t="s">
        <v>1678</v>
      </c>
      <c r="M1581" s="6">
        <v>11</v>
      </c>
      <c r="N1581" s="6">
        <v>2</v>
      </c>
      <c r="O1581">
        <v>500</v>
      </c>
      <c r="P1581">
        <v>202605</v>
      </c>
      <c r="Q1581" t="s">
        <v>377</v>
      </c>
      <c r="R1581" t="s">
        <v>1350</v>
      </c>
      <c r="S1581">
        <f>Consulta1[[#This Row],[min_port]]/100</f>
        <v>1.32E-2</v>
      </c>
      <c r="T1581" s="252">
        <f>Consulta1[[#This Row],[TETO_COMERCIAL]]/100</f>
        <v>2.5000000000000001E-2</v>
      </c>
      <c r="U1581" t="b">
        <f>Consulta1[[#This Row],[TETO_COMERCIAL_%]]=Consulta1[[#This Row],[TAXA]]</f>
        <v>0</v>
      </c>
      <c r="V1581" t="str">
        <f>CONCATENATE(Consulta1[[#This Row],[MES_ALTERACAO]],Consulta1[[#This Row],[VIRADA]])</f>
        <v>20260511</v>
      </c>
      <c r="W1581">
        <f>VLOOKUP(Consulta1[[#This Row],[Coluna2]],CALENDARIO!$J:$K,2,FALSE)</f>
        <v>6</v>
      </c>
    </row>
    <row r="1582" spans="1:23" x14ac:dyDescent="0.25">
      <c r="A1582" t="s">
        <v>84</v>
      </c>
      <c r="B1582" t="str">
        <f>CONCATENATE(Consulta1[[#This Row],[id]],Consulta1[[#This Row],[EMPREGADOR]])</f>
        <v>20TJ SAO PAULO</v>
      </c>
      <c r="C1582" s="6">
        <f>IF(A1582=A1581,C1581+1,1)</f>
        <v>20</v>
      </c>
      <c r="D1582" t="s">
        <v>3245</v>
      </c>
      <c r="E1582" s="101">
        <v>1.55E-2</v>
      </c>
      <c r="F1582" s="6">
        <v>96</v>
      </c>
      <c r="G1582" t="s">
        <v>1349</v>
      </c>
      <c r="H1582" s="82">
        <v>2.5</v>
      </c>
      <c r="I1582">
        <v>10</v>
      </c>
      <c r="J1582">
        <v>27</v>
      </c>
      <c r="K1582" t="s">
        <v>3246</v>
      </c>
      <c r="L1582" s="6" t="s">
        <v>1678</v>
      </c>
      <c r="M1582" s="6">
        <v>11</v>
      </c>
      <c r="N1582" s="6">
        <v>2</v>
      </c>
      <c r="O1582">
        <v>30000</v>
      </c>
      <c r="P1582">
        <v>202605</v>
      </c>
      <c r="Q1582" t="s">
        <v>377</v>
      </c>
      <c r="R1582" t="s">
        <v>1350</v>
      </c>
      <c r="S1582">
        <f>Consulta1[[#This Row],[min_port]]/100</f>
        <v>1.32E-2</v>
      </c>
      <c r="T1582" s="252">
        <f>Consulta1[[#This Row],[TETO_COMERCIAL]]/100</f>
        <v>2.5000000000000001E-2</v>
      </c>
      <c r="U1582" t="b">
        <f>Consulta1[[#This Row],[TETO_COMERCIAL_%]]=Consulta1[[#This Row],[TAXA]]</f>
        <v>0</v>
      </c>
      <c r="V1582" t="str">
        <f>CONCATENATE(Consulta1[[#This Row],[MES_ALTERACAO]],Consulta1[[#This Row],[VIRADA]])</f>
        <v>20260511</v>
      </c>
      <c r="W1582">
        <f>VLOOKUP(Consulta1[[#This Row],[Coluna2]],CALENDARIO!$J:$K,2,FALSE)</f>
        <v>6</v>
      </c>
    </row>
    <row r="1583" spans="1:23" x14ac:dyDescent="0.25">
      <c r="A1583" t="s">
        <v>84</v>
      </c>
      <c r="B1583" t="str">
        <f>CONCATENATE(Consulta1[[#This Row],[id]],Consulta1[[#This Row],[EMPREGADOR]])</f>
        <v>21TJ SAO PAULO</v>
      </c>
      <c r="C1583" s="6">
        <f>IF(A1583=A1582,C1582+1,1)</f>
        <v>21</v>
      </c>
      <c r="D1583" t="s">
        <v>3247</v>
      </c>
      <c r="E1583" s="101">
        <v>1.5100000000000001E-2</v>
      </c>
      <c r="F1583" s="6">
        <v>96</v>
      </c>
      <c r="G1583" t="s">
        <v>1349</v>
      </c>
      <c r="H1583" s="82">
        <v>2.5</v>
      </c>
      <c r="I1583">
        <v>10</v>
      </c>
      <c r="J1583">
        <v>27</v>
      </c>
      <c r="K1583" t="s">
        <v>3248</v>
      </c>
      <c r="L1583" s="6" t="s">
        <v>1678</v>
      </c>
      <c r="M1583" s="6">
        <v>13</v>
      </c>
      <c r="N1583" s="6">
        <v>2</v>
      </c>
      <c r="O1583">
        <v>50000</v>
      </c>
      <c r="P1583">
        <v>202605</v>
      </c>
      <c r="Q1583" t="s">
        <v>377</v>
      </c>
      <c r="R1583" t="s">
        <v>1350</v>
      </c>
      <c r="S1583">
        <f>Consulta1[[#This Row],[min_port]]/100</f>
        <v>1.32E-2</v>
      </c>
      <c r="T1583" s="252">
        <f>Consulta1[[#This Row],[TETO_COMERCIAL]]/100</f>
        <v>2.5000000000000001E-2</v>
      </c>
      <c r="U1583" t="b">
        <f>Consulta1[[#This Row],[TETO_COMERCIAL_%]]=Consulta1[[#This Row],[TAXA]]</f>
        <v>0</v>
      </c>
      <c r="V1583" t="str">
        <f>CONCATENATE(Consulta1[[#This Row],[MES_ALTERACAO]],Consulta1[[#This Row],[VIRADA]])</f>
        <v>20260513</v>
      </c>
      <c r="W1583">
        <f>VLOOKUP(Consulta1[[#This Row],[Coluna2]],CALENDARIO!$J:$K,2,FALSE)</f>
        <v>8</v>
      </c>
    </row>
    <row r="1584" spans="1:23" x14ac:dyDescent="0.25">
      <c r="A1584" t="s">
        <v>84</v>
      </c>
      <c r="B1584" t="str">
        <f>CONCATENATE(Consulta1[[#This Row],[id]],Consulta1[[#This Row],[EMPREGADOR]])</f>
        <v>22TJ SAO PAULO</v>
      </c>
      <c r="C1584" s="6">
        <f>IF(A1584=A1583,C1583+1,1)</f>
        <v>22</v>
      </c>
      <c r="D1584" t="s">
        <v>3249</v>
      </c>
      <c r="E1584" s="101">
        <v>1.5100000000000001E-2</v>
      </c>
      <c r="F1584" s="6">
        <v>96</v>
      </c>
      <c r="G1584" t="s">
        <v>1349</v>
      </c>
      <c r="H1584" s="82">
        <v>2.5</v>
      </c>
      <c r="I1584">
        <v>10</v>
      </c>
      <c r="J1584">
        <v>27</v>
      </c>
      <c r="K1584" t="s">
        <v>3250</v>
      </c>
      <c r="L1584" s="6" t="s">
        <v>1678</v>
      </c>
      <c r="M1584" s="6">
        <v>11</v>
      </c>
      <c r="N1584" s="6">
        <v>2</v>
      </c>
      <c r="O1584">
        <v>50000</v>
      </c>
      <c r="P1584">
        <v>202605</v>
      </c>
      <c r="Q1584" t="s">
        <v>377</v>
      </c>
      <c r="R1584" t="s">
        <v>1350</v>
      </c>
      <c r="S1584">
        <f>Consulta1[[#This Row],[min_port]]/100</f>
        <v>1.32E-2</v>
      </c>
      <c r="T1584" s="252">
        <f>Consulta1[[#This Row],[TETO_COMERCIAL]]/100</f>
        <v>2.5000000000000001E-2</v>
      </c>
      <c r="U1584" t="b">
        <f>Consulta1[[#This Row],[TETO_COMERCIAL_%]]=Consulta1[[#This Row],[TAXA]]</f>
        <v>0</v>
      </c>
      <c r="V1584" t="str">
        <f>CONCATENATE(Consulta1[[#This Row],[MES_ALTERACAO]],Consulta1[[#This Row],[VIRADA]])</f>
        <v>20260511</v>
      </c>
      <c r="W1584">
        <f>VLOOKUP(Consulta1[[#This Row],[Coluna2]],CALENDARIO!$J:$K,2,FALSE)</f>
        <v>6</v>
      </c>
    </row>
    <row r="1585" spans="1:23" x14ac:dyDescent="0.25">
      <c r="A1585" t="s">
        <v>3090</v>
      </c>
      <c r="B1585" t="str">
        <f>CONCATENATE(Consulta1[[#This Row],[id]],Consulta1[[#This Row],[EMPREGADOR]])</f>
        <v>1TJ SE</v>
      </c>
      <c r="C1585" s="6">
        <f>IF(A1585=A1584,C1584+1,1)</f>
        <v>1</v>
      </c>
      <c r="D1585" t="s">
        <v>594</v>
      </c>
      <c r="E1585" s="101">
        <v>2.4E-2</v>
      </c>
      <c r="F1585" s="6">
        <v>120</v>
      </c>
      <c r="G1585" t="s">
        <v>1349</v>
      </c>
      <c r="H1585" s="82">
        <v>2.4</v>
      </c>
      <c r="I1585">
        <v>28</v>
      </c>
      <c r="J1585">
        <v>27</v>
      </c>
      <c r="K1585" t="s">
        <v>2273</v>
      </c>
      <c r="L1585" s="6" t="s">
        <v>1746</v>
      </c>
      <c r="M1585" s="6">
        <v>5</v>
      </c>
      <c r="N1585" s="6">
        <v>2</v>
      </c>
      <c r="O1585">
        <v>500</v>
      </c>
      <c r="P1585">
        <v>202605</v>
      </c>
      <c r="Q1585" t="s">
        <v>377</v>
      </c>
      <c r="R1585" t="s">
        <v>1350</v>
      </c>
      <c r="S1585">
        <f>Consulta1[[#This Row],[min_port]]/100</f>
        <v>1.54E-2</v>
      </c>
      <c r="T1585" s="252">
        <f>Consulta1[[#This Row],[TETO_COMERCIAL]]/100</f>
        <v>2.4E-2</v>
      </c>
      <c r="U1585" t="b">
        <f>Consulta1[[#This Row],[TETO_COMERCIAL_%]]=Consulta1[[#This Row],[TAXA]]</f>
        <v>1</v>
      </c>
      <c r="V1585" t="str">
        <f>CONCATENATE(Consulta1[[#This Row],[MES_ALTERACAO]],Consulta1[[#This Row],[VIRADA]])</f>
        <v>2026055</v>
      </c>
      <c r="W1585">
        <f>VLOOKUP(Consulta1[[#This Row],[Coluna2]],CALENDARIO!$J:$K,2,FALSE)</f>
        <v>2</v>
      </c>
    </row>
    <row r="1586" spans="1:23" x14ac:dyDescent="0.25">
      <c r="A1586" t="s">
        <v>3090</v>
      </c>
      <c r="B1586" t="str">
        <f>CONCATENATE(Consulta1[[#This Row],[id]],Consulta1[[#This Row],[EMPREGADOR]])</f>
        <v>2TJ SE</v>
      </c>
      <c r="C1586" s="6">
        <f>IF(A1586=A1585,C1585+1,1)</f>
        <v>2</v>
      </c>
      <c r="D1586" t="s">
        <v>595</v>
      </c>
      <c r="E1586" s="101">
        <v>2.3E-2</v>
      </c>
      <c r="F1586" s="6">
        <v>120</v>
      </c>
      <c r="G1586" t="s">
        <v>1349</v>
      </c>
      <c r="H1586" s="82">
        <v>2.4</v>
      </c>
      <c r="I1586">
        <v>28</v>
      </c>
      <c r="J1586">
        <v>27</v>
      </c>
      <c r="K1586" t="s">
        <v>2274</v>
      </c>
      <c r="L1586" s="6" t="s">
        <v>1746</v>
      </c>
      <c r="M1586" s="6">
        <v>5</v>
      </c>
      <c r="N1586" s="6">
        <v>2</v>
      </c>
      <c r="O1586">
        <v>500</v>
      </c>
      <c r="P1586">
        <v>202605</v>
      </c>
      <c r="Q1586" t="s">
        <v>377</v>
      </c>
      <c r="R1586" t="s">
        <v>1350</v>
      </c>
      <c r="S1586">
        <f>Consulta1[[#This Row],[min_port]]/100</f>
        <v>1.54E-2</v>
      </c>
      <c r="T1586" s="252">
        <f>Consulta1[[#This Row],[TETO_COMERCIAL]]/100</f>
        <v>2.4E-2</v>
      </c>
      <c r="U1586" t="b">
        <f>Consulta1[[#This Row],[TETO_COMERCIAL_%]]=Consulta1[[#This Row],[TAXA]]</f>
        <v>0</v>
      </c>
      <c r="V1586" t="str">
        <f>CONCATENATE(Consulta1[[#This Row],[MES_ALTERACAO]],Consulta1[[#This Row],[VIRADA]])</f>
        <v>2026055</v>
      </c>
      <c r="W1586">
        <f>VLOOKUP(Consulta1[[#This Row],[Coluna2]],CALENDARIO!$J:$K,2,FALSE)</f>
        <v>2</v>
      </c>
    </row>
    <row r="1587" spans="1:23" x14ac:dyDescent="0.25">
      <c r="A1587" t="s">
        <v>3090</v>
      </c>
      <c r="B1587" t="str">
        <f>CONCATENATE(Consulta1[[#This Row],[id]],Consulta1[[#This Row],[EMPREGADOR]])</f>
        <v>3TJ SE</v>
      </c>
      <c r="C1587" s="6">
        <f>IF(A1587=A1586,C1586+1,1)</f>
        <v>3</v>
      </c>
      <c r="D1587" t="s">
        <v>596</v>
      </c>
      <c r="E1587" s="101">
        <v>2.2499999999999999E-2</v>
      </c>
      <c r="F1587" s="6">
        <v>120</v>
      </c>
      <c r="G1587" t="s">
        <v>1349</v>
      </c>
      <c r="H1587" s="82">
        <v>2.4</v>
      </c>
      <c r="I1587">
        <v>28</v>
      </c>
      <c r="J1587">
        <v>27</v>
      </c>
      <c r="K1587" t="s">
        <v>2275</v>
      </c>
      <c r="L1587" s="6" t="s">
        <v>1746</v>
      </c>
      <c r="M1587" s="6">
        <v>5</v>
      </c>
      <c r="N1587" s="6">
        <v>2</v>
      </c>
      <c r="O1587">
        <v>500</v>
      </c>
      <c r="P1587">
        <v>202605</v>
      </c>
      <c r="Q1587" t="s">
        <v>377</v>
      </c>
      <c r="R1587" t="s">
        <v>1350</v>
      </c>
      <c r="S1587">
        <f>Consulta1[[#This Row],[min_port]]/100</f>
        <v>1.54E-2</v>
      </c>
      <c r="T1587" s="252">
        <f>Consulta1[[#This Row],[TETO_COMERCIAL]]/100</f>
        <v>2.4E-2</v>
      </c>
      <c r="U1587" t="b">
        <f>Consulta1[[#This Row],[TETO_COMERCIAL_%]]=Consulta1[[#This Row],[TAXA]]</f>
        <v>0</v>
      </c>
      <c r="V1587" t="str">
        <f>CONCATENATE(Consulta1[[#This Row],[MES_ALTERACAO]],Consulta1[[#This Row],[VIRADA]])</f>
        <v>2026055</v>
      </c>
      <c r="W1587">
        <f>VLOOKUP(Consulta1[[#This Row],[Coluna2]],CALENDARIO!$J:$K,2,FALSE)</f>
        <v>2</v>
      </c>
    </row>
    <row r="1588" spans="1:23" x14ac:dyDescent="0.25">
      <c r="A1588" t="s">
        <v>3090</v>
      </c>
      <c r="B1588" t="str">
        <f>CONCATENATE(Consulta1[[#This Row],[id]],Consulta1[[#This Row],[EMPREGADOR]])</f>
        <v>4TJ SE</v>
      </c>
      <c r="C1588" s="6">
        <f>IF(A1588=A1587,C1587+1,1)</f>
        <v>4</v>
      </c>
      <c r="D1588" t="s">
        <v>597</v>
      </c>
      <c r="E1588" s="101">
        <v>2.18E-2</v>
      </c>
      <c r="F1588" s="6">
        <v>120</v>
      </c>
      <c r="G1588" t="s">
        <v>1349</v>
      </c>
      <c r="H1588" s="82">
        <v>2.4</v>
      </c>
      <c r="I1588">
        <v>28</v>
      </c>
      <c r="J1588">
        <v>27</v>
      </c>
      <c r="K1588" t="s">
        <v>2276</v>
      </c>
      <c r="L1588" s="6" t="s">
        <v>1746</v>
      </c>
      <c r="M1588" s="6">
        <v>5</v>
      </c>
      <c r="N1588" s="6">
        <v>2</v>
      </c>
      <c r="O1588">
        <v>500</v>
      </c>
      <c r="P1588">
        <v>202605</v>
      </c>
      <c r="Q1588" t="s">
        <v>377</v>
      </c>
      <c r="R1588" t="s">
        <v>1350</v>
      </c>
      <c r="S1588">
        <f>Consulta1[[#This Row],[min_port]]/100</f>
        <v>1.54E-2</v>
      </c>
      <c r="T1588" s="252">
        <f>Consulta1[[#This Row],[TETO_COMERCIAL]]/100</f>
        <v>2.4E-2</v>
      </c>
      <c r="U1588" t="b">
        <f>Consulta1[[#This Row],[TETO_COMERCIAL_%]]=Consulta1[[#This Row],[TAXA]]</f>
        <v>0</v>
      </c>
      <c r="V1588" t="str">
        <f>CONCATENATE(Consulta1[[#This Row],[MES_ALTERACAO]],Consulta1[[#This Row],[VIRADA]])</f>
        <v>2026055</v>
      </c>
      <c r="W1588">
        <f>VLOOKUP(Consulta1[[#This Row],[Coluna2]],CALENDARIO!$J:$K,2,FALSE)</f>
        <v>2</v>
      </c>
    </row>
    <row r="1589" spans="1:23" x14ac:dyDescent="0.25">
      <c r="A1589" t="s">
        <v>3091</v>
      </c>
      <c r="B1589" t="str">
        <f>CONCATENATE(Consulta1[[#This Row],[id]],Consulta1[[#This Row],[EMPREGADOR]])</f>
        <v>1TRT 15ª REG SP</v>
      </c>
      <c r="C1589" s="6">
        <f>IF(A1589=A1588,C1588+1,1)</f>
        <v>1</v>
      </c>
      <c r="D1589" t="s">
        <v>2435</v>
      </c>
      <c r="E1589" s="101">
        <v>2.5000000000000001E-2</v>
      </c>
      <c r="F1589" s="6">
        <v>120</v>
      </c>
      <c r="G1589" t="s">
        <v>1349</v>
      </c>
      <c r="H1589" s="82">
        <v>2.5</v>
      </c>
      <c r="I1589">
        <v>24</v>
      </c>
      <c r="J1589">
        <v>57</v>
      </c>
      <c r="K1589" t="s">
        <v>2436</v>
      </c>
      <c r="L1589" s="6" t="s">
        <v>1438</v>
      </c>
      <c r="M1589" s="6">
        <v>31</v>
      </c>
      <c r="N1589" s="6">
        <v>2</v>
      </c>
      <c r="O1589">
        <v>500</v>
      </c>
      <c r="P1589">
        <v>202605</v>
      </c>
      <c r="Q1589" t="s">
        <v>377</v>
      </c>
      <c r="R1589" t="s">
        <v>1350</v>
      </c>
      <c r="S1589">
        <f>Consulta1[[#This Row],[min_port]]/100</f>
        <v>1.6500000000000001E-2</v>
      </c>
      <c r="T1589" s="252">
        <f>Consulta1[[#This Row],[TETO_COMERCIAL]]/100</f>
        <v>2.5000000000000001E-2</v>
      </c>
      <c r="U1589" t="b">
        <f>Consulta1[[#This Row],[TETO_COMERCIAL_%]]=Consulta1[[#This Row],[TAXA]]</f>
        <v>1</v>
      </c>
      <c r="V1589" t="str">
        <f>CONCATENATE(Consulta1[[#This Row],[MES_ALTERACAO]],Consulta1[[#This Row],[VIRADA]])</f>
        <v>20260531</v>
      </c>
      <c r="W1589">
        <f>VLOOKUP(Consulta1[[#This Row],[Coluna2]],CALENDARIO!$J:$K,2,FALSE)</f>
        <v>20</v>
      </c>
    </row>
    <row r="1590" spans="1:23" x14ac:dyDescent="0.25">
      <c r="A1590" t="s">
        <v>3091</v>
      </c>
      <c r="B1590" t="str">
        <f>CONCATENATE(Consulta1[[#This Row],[id]],Consulta1[[#This Row],[EMPREGADOR]])</f>
        <v>2TRT 15ª REG SP</v>
      </c>
      <c r="C1590" s="6">
        <f>IF(A1590=A1589,C1589+1,1)</f>
        <v>2</v>
      </c>
      <c r="D1590" t="s">
        <v>2437</v>
      </c>
      <c r="E1590" s="101">
        <v>0.02</v>
      </c>
      <c r="F1590" s="6">
        <v>120</v>
      </c>
      <c r="G1590" t="s">
        <v>1349</v>
      </c>
      <c r="H1590" s="82">
        <v>2.5</v>
      </c>
      <c r="I1590">
        <v>24</v>
      </c>
      <c r="J1590">
        <v>57</v>
      </c>
      <c r="K1590" t="s">
        <v>2438</v>
      </c>
      <c r="L1590" s="6" t="s">
        <v>1438</v>
      </c>
      <c r="M1590" s="6">
        <v>31</v>
      </c>
      <c r="N1590" s="6">
        <v>2</v>
      </c>
      <c r="O1590">
        <v>500</v>
      </c>
      <c r="P1590">
        <v>202605</v>
      </c>
      <c r="Q1590" t="s">
        <v>377</v>
      </c>
      <c r="R1590" t="s">
        <v>1350</v>
      </c>
      <c r="S1590">
        <f>Consulta1[[#This Row],[min_port]]/100</f>
        <v>1.6500000000000001E-2</v>
      </c>
      <c r="T1590" s="252">
        <f>Consulta1[[#This Row],[TETO_COMERCIAL]]/100</f>
        <v>2.5000000000000001E-2</v>
      </c>
      <c r="U1590" t="b">
        <f>Consulta1[[#This Row],[TETO_COMERCIAL_%]]=Consulta1[[#This Row],[TAXA]]</f>
        <v>0</v>
      </c>
      <c r="V1590" t="str">
        <f>CONCATENATE(Consulta1[[#This Row],[MES_ALTERACAO]],Consulta1[[#This Row],[VIRADA]])</f>
        <v>20260531</v>
      </c>
      <c r="W1590">
        <f>VLOOKUP(Consulta1[[#This Row],[Coluna2]],CALENDARIO!$J:$K,2,FALSE)</f>
        <v>20</v>
      </c>
    </row>
    <row r="1591" spans="1:23" x14ac:dyDescent="0.25">
      <c r="A1591" t="s">
        <v>3091</v>
      </c>
      <c r="B1591" t="str">
        <f>CONCATENATE(Consulta1[[#This Row],[id]],Consulta1[[#This Row],[EMPREGADOR]])</f>
        <v>3TRT 15ª REG SP</v>
      </c>
      <c r="C1591" s="6">
        <f>IF(A1591=A1590,C1590+1,1)</f>
        <v>3</v>
      </c>
      <c r="D1591" t="s">
        <v>2439</v>
      </c>
      <c r="E1591" s="101">
        <v>1.9E-2</v>
      </c>
      <c r="F1591" s="6">
        <v>120</v>
      </c>
      <c r="G1591" t="s">
        <v>1349</v>
      </c>
      <c r="H1591" s="82">
        <v>2.5</v>
      </c>
      <c r="I1591">
        <v>24</v>
      </c>
      <c r="J1591">
        <v>57</v>
      </c>
      <c r="K1591" t="s">
        <v>2440</v>
      </c>
      <c r="L1591" s="6" t="s">
        <v>1438</v>
      </c>
      <c r="M1591" s="6">
        <v>31</v>
      </c>
      <c r="N1591" s="6">
        <v>2</v>
      </c>
      <c r="O1591">
        <v>500</v>
      </c>
      <c r="P1591">
        <v>202605</v>
      </c>
      <c r="Q1591" t="s">
        <v>377</v>
      </c>
      <c r="R1591" t="s">
        <v>1350</v>
      </c>
      <c r="S1591">
        <f>Consulta1[[#This Row],[min_port]]/100</f>
        <v>1.6500000000000001E-2</v>
      </c>
      <c r="T1591" s="252">
        <f>Consulta1[[#This Row],[TETO_COMERCIAL]]/100</f>
        <v>2.5000000000000001E-2</v>
      </c>
      <c r="U1591" t="b">
        <f>Consulta1[[#This Row],[TETO_COMERCIAL_%]]=Consulta1[[#This Row],[TAXA]]</f>
        <v>0</v>
      </c>
      <c r="V1591" t="str">
        <f>CONCATENATE(Consulta1[[#This Row],[MES_ALTERACAO]],Consulta1[[#This Row],[VIRADA]])</f>
        <v>20260531</v>
      </c>
      <c r="W1591">
        <f>VLOOKUP(Consulta1[[#This Row],[Coluna2]],CALENDARIO!$J:$K,2,FALSE)</f>
        <v>20</v>
      </c>
    </row>
    <row r="1592" spans="1:23" x14ac:dyDescent="0.25">
      <c r="A1592" t="s">
        <v>3092</v>
      </c>
      <c r="B1592" t="str">
        <f>CONCATENATE(Consulta1[[#This Row],[id]],Consulta1[[#This Row],[EMPREGADOR]])</f>
        <v>1TRT 23º REG MT</v>
      </c>
      <c r="C1592" s="6">
        <f>IF(A1592=A1591,C1591+1,1)</f>
        <v>1</v>
      </c>
      <c r="D1592" t="s">
        <v>2281</v>
      </c>
      <c r="E1592" s="101">
        <v>2.5000000000000001E-2</v>
      </c>
      <c r="F1592" s="6">
        <v>120</v>
      </c>
      <c r="G1592" t="s">
        <v>1349</v>
      </c>
      <c r="H1592" s="82">
        <v>2.5</v>
      </c>
      <c r="I1592">
        <v>25</v>
      </c>
      <c r="J1592">
        <v>27</v>
      </c>
      <c r="K1592" t="s">
        <v>2282</v>
      </c>
      <c r="L1592" s="6" t="s">
        <v>1519</v>
      </c>
      <c r="M1592" s="6">
        <v>31</v>
      </c>
      <c r="N1592" s="6">
        <v>2</v>
      </c>
      <c r="O1592">
        <v>500</v>
      </c>
      <c r="P1592">
        <v>202605</v>
      </c>
      <c r="Q1592" t="s">
        <v>377</v>
      </c>
      <c r="R1592" t="s">
        <v>1350</v>
      </c>
      <c r="S1592">
        <f>Consulta1[[#This Row],[min_port]]/100</f>
        <v>1.3500000000000002E-2</v>
      </c>
      <c r="T1592" s="252">
        <f>Consulta1[[#This Row],[TETO_COMERCIAL]]/100</f>
        <v>2.5000000000000001E-2</v>
      </c>
      <c r="U1592" t="b">
        <f>Consulta1[[#This Row],[TETO_COMERCIAL_%]]=Consulta1[[#This Row],[TAXA]]</f>
        <v>1</v>
      </c>
      <c r="V1592" t="str">
        <f>CONCATENATE(Consulta1[[#This Row],[MES_ALTERACAO]],Consulta1[[#This Row],[VIRADA]])</f>
        <v>20260531</v>
      </c>
      <c r="W1592">
        <f>VLOOKUP(Consulta1[[#This Row],[Coluna2]],CALENDARIO!$J:$K,2,FALSE)</f>
        <v>20</v>
      </c>
    </row>
    <row r="1593" spans="1:23" x14ac:dyDescent="0.25">
      <c r="A1593" t="s">
        <v>3092</v>
      </c>
      <c r="B1593" t="str">
        <f>CONCATENATE(Consulta1[[#This Row],[id]],Consulta1[[#This Row],[EMPREGADOR]])</f>
        <v>2TRT 23º REG MT</v>
      </c>
      <c r="C1593" s="6">
        <f>IF(A1593=A1592,C1592+1,1)</f>
        <v>2</v>
      </c>
      <c r="D1593" t="s">
        <v>2283</v>
      </c>
      <c r="E1593" s="101">
        <v>2.2499999999999999E-2</v>
      </c>
      <c r="F1593" s="6">
        <v>120</v>
      </c>
      <c r="G1593" t="s">
        <v>1349</v>
      </c>
      <c r="H1593" s="82">
        <v>2.5</v>
      </c>
      <c r="I1593">
        <v>25</v>
      </c>
      <c r="J1593">
        <v>27</v>
      </c>
      <c r="K1593" t="s">
        <v>2284</v>
      </c>
      <c r="L1593" s="6" t="s">
        <v>1519</v>
      </c>
      <c r="M1593" s="6">
        <v>31</v>
      </c>
      <c r="N1593" s="6">
        <v>2</v>
      </c>
      <c r="O1593">
        <v>500</v>
      </c>
      <c r="P1593">
        <v>202605</v>
      </c>
      <c r="Q1593" t="s">
        <v>377</v>
      </c>
      <c r="R1593" t="s">
        <v>1350</v>
      </c>
      <c r="S1593">
        <f>Consulta1[[#This Row],[min_port]]/100</f>
        <v>1.3500000000000002E-2</v>
      </c>
      <c r="T1593" s="252">
        <f>Consulta1[[#This Row],[TETO_COMERCIAL]]/100</f>
        <v>2.5000000000000001E-2</v>
      </c>
      <c r="U1593" t="b">
        <f>Consulta1[[#This Row],[TETO_COMERCIAL_%]]=Consulta1[[#This Row],[TAXA]]</f>
        <v>0</v>
      </c>
      <c r="V1593" t="str">
        <f>CONCATENATE(Consulta1[[#This Row],[MES_ALTERACAO]],Consulta1[[#This Row],[VIRADA]])</f>
        <v>20260531</v>
      </c>
      <c r="W1593">
        <f>VLOOKUP(Consulta1[[#This Row],[Coluna2]],CALENDARIO!$J:$K,2,FALSE)</f>
        <v>20</v>
      </c>
    </row>
    <row r="1594" spans="1:23" x14ac:dyDescent="0.25">
      <c r="A1594" t="s">
        <v>3092</v>
      </c>
      <c r="B1594" t="str">
        <f>CONCATENATE(Consulta1[[#This Row],[id]],Consulta1[[#This Row],[EMPREGADOR]])</f>
        <v>3TRT 23º REG MT</v>
      </c>
      <c r="C1594" s="6">
        <f>IF(A1594=A1593,C1593+1,1)</f>
        <v>3</v>
      </c>
      <c r="D1594" t="s">
        <v>2285</v>
      </c>
      <c r="E1594" s="101">
        <v>0.02</v>
      </c>
      <c r="F1594" s="6">
        <v>120</v>
      </c>
      <c r="G1594" t="s">
        <v>1349</v>
      </c>
      <c r="H1594" s="82">
        <v>2.5</v>
      </c>
      <c r="I1594">
        <v>25</v>
      </c>
      <c r="J1594">
        <v>27</v>
      </c>
      <c r="K1594" t="s">
        <v>2286</v>
      </c>
      <c r="L1594" s="6" t="s">
        <v>1519</v>
      </c>
      <c r="M1594" s="6">
        <v>31</v>
      </c>
      <c r="N1594" s="6">
        <v>2</v>
      </c>
      <c r="O1594">
        <v>500</v>
      </c>
      <c r="P1594">
        <v>202605</v>
      </c>
      <c r="Q1594" t="s">
        <v>377</v>
      </c>
      <c r="R1594" t="s">
        <v>1350</v>
      </c>
      <c r="S1594">
        <f>Consulta1[[#This Row],[min_port]]/100</f>
        <v>1.3500000000000002E-2</v>
      </c>
      <c r="T1594" s="252">
        <f>Consulta1[[#This Row],[TETO_COMERCIAL]]/100</f>
        <v>2.5000000000000001E-2</v>
      </c>
      <c r="U1594" t="b">
        <f>Consulta1[[#This Row],[TETO_COMERCIAL_%]]=Consulta1[[#This Row],[TAXA]]</f>
        <v>0</v>
      </c>
      <c r="V1594" t="str">
        <f>CONCATENATE(Consulta1[[#This Row],[MES_ALTERACAO]],Consulta1[[#This Row],[VIRADA]])</f>
        <v>20260531</v>
      </c>
      <c r="W1594">
        <f>VLOOKUP(Consulta1[[#This Row],[Coluna2]],CALENDARIO!$J:$K,2,FALSE)</f>
        <v>20</v>
      </c>
    </row>
    <row r="1595" spans="1:23" x14ac:dyDescent="0.25">
      <c r="A1595" t="s">
        <v>3092</v>
      </c>
      <c r="B1595" t="str">
        <f>CONCATENATE(Consulta1[[#This Row],[id]],Consulta1[[#This Row],[EMPREGADOR]])</f>
        <v>4TRT 23º REG MT</v>
      </c>
      <c r="C1595" s="6">
        <f>IF(A1595=A1594,C1594+1,1)</f>
        <v>4</v>
      </c>
      <c r="D1595" t="s">
        <v>2287</v>
      </c>
      <c r="E1595" s="101">
        <v>1.8000000000000002E-2</v>
      </c>
      <c r="F1595" s="6">
        <v>120</v>
      </c>
      <c r="G1595" t="s">
        <v>1349</v>
      </c>
      <c r="H1595" s="82">
        <v>2.5</v>
      </c>
      <c r="I1595">
        <v>25</v>
      </c>
      <c r="J1595">
        <v>27</v>
      </c>
      <c r="K1595" t="s">
        <v>2288</v>
      </c>
      <c r="L1595" s="6" t="s">
        <v>1519</v>
      </c>
      <c r="M1595" s="6">
        <v>31</v>
      </c>
      <c r="N1595" s="6">
        <v>2</v>
      </c>
      <c r="O1595">
        <v>500</v>
      </c>
      <c r="P1595">
        <v>202605</v>
      </c>
      <c r="Q1595" t="s">
        <v>377</v>
      </c>
      <c r="R1595" t="s">
        <v>1350</v>
      </c>
      <c r="S1595">
        <f>Consulta1[[#This Row],[min_port]]/100</f>
        <v>1.3500000000000002E-2</v>
      </c>
      <c r="T1595" s="252">
        <f>Consulta1[[#This Row],[TETO_COMERCIAL]]/100</f>
        <v>2.5000000000000001E-2</v>
      </c>
      <c r="U1595" t="b">
        <f>Consulta1[[#This Row],[TETO_COMERCIAL_%]]=Consulta1[[#This Row],[TAXA]]</f>
        <v>0</v>
      </c>
      <c r="V1595" t="str">
        <f>CONCATENATE(Consulta1[[#This Row],[MES_ALTERACAO]],Consulta1[[#This Row],[VIRADA]])</f>
        <v>20260531</v>
      </c>
      <c r="W1595">
        <f>VLOOKUP(Consulta1[[#This Row],[Coluna2]],CALENDARIO!$J:$K,2,FALSE)</f>
        <v>20</v>
      </c>
    </row>
    <row r="1596" spans="1:23" x14ac:dyDescent="0.25">
      <c r="A1596" t="s">
        <v>3092</v>
      </c>
      <c r="B1596" t="str">
        <f>CONCATENATE(Consulta1[[#This Row],[id]],Consulta1[[#This Row],[EMPREGADOR]])</f>
        <v>5TRT 23º REG MT</v>
      </c>
      <c r="C1596" s="6">
        <f>IF(A1596=A1595,C1595+1,1)</f>
        <v>5</v>
      </c>
      <c r="D1596" t="s">
        <v>2289</v>
      </c>
      <c r="E1596" s="101">
        <v>1.7600000000000001E-2</v>
      </c>
      <c r="F1596" s="6">
        <v>120</v>
      </c>
      <c r="G1596" t="s">
        <v>1349</v>
      </c>
      <c r="H1596" s="82">
        <v>2.5</v>
      </c>
      <c r="I1596">
        <v>25</v>
      </c>
      <c r="J1596">
        <v>27</v>
      </c>
      <c r="K1596" t="s">
        <v>2290</v>
      </c>
      <c r="L1596" s="6" t="s">
        <v>1519</v>
      </c>
      <c r="M1596" s="6">
        <v>31</v>
      </c>
      <c r="N1596" s="6">
        <v>2</v>
      </c>
      <c r="O1596">
        <v>500</v>
      </c>
      <c r="P1596">
        <v>202605</v>
      </c>
      <c r="Q1596" t="s">
        <v>377</v>
      </c>
      <c r="R1596" t="s">
        <v>1350</v>
      </c>
      <c r="S1596">
        <f>Consulta1[[#This Row],[min_port]]/100</f>
        <v>1.3500000000000002E-2</v>
      </c>
      <c r="T1596" s="252">
        <f>Consulta1[[#This Row],[TETO_COMERCIAL]]/100</f>
        <v>2.5000000000000001E-2</v>
      </c>
      <c r="U1596" t="b">
        <f>Consulta1[[#This Row],[TETO_COMERCIAL_%]]=Consulta1[[#This Row],[TAXA]]</f>
        <v>0</v>
      </c>
      <c r="V1596" t="str">
        <f>CONCATENATE(Consulta1[[#This Row],[MES_ALTERACAO]],Consulta1[[#This Row],[VIRADA]])</f>
        <v>20260531</v>
      </c>
      <c r="W1596">
        <f>VLOOKUP(Consulta1[[#This Row],[Coluna2]],CALENDARIO!$J:$K,2,FALSE)</f>
        <v>20</v>
      </c>
    </row>
    <row r="1597" spans="1:23" x14ac:dyDescent="0.25">
      <c r="A1597" t="s">
        <v>3092</v>
      </c>
      <c r="B1597" t="str">
        <f>CONCATENATE(Consulta1[[#This Row],[id]],Consulta1[[#This Row],[EMPREGADOR]])</f>
        <v>6TRT 23º REG MT</v>
      </c>
      <c r="C1597" s="6">
        <f>IF(A1597=A1596,C1596+1,1)</f>
        <v>6</v>
      </c>
      <c r="D1597" t="s">
        <v>2291</v>
      </c>
      <c r="E1597" s="101">
        <v>1.7399999999999999E-2</v>
      </c>
      <c r="F1597" s="6">
        <v>120</v>
      </c>
      <c r="G1597" t="s">
        <v>1349</v>
      </c>
      <c r="H1597" s="82">
        <v>2.5</v>
      </c>
      <c r="I1597">
        <v>25</v>
      </c>
      <c r="J1597">
        <v>27</v>
      </c>
      <c r="K1597" t="s">
        <v>2292</v>
      </c>
      <c r="L1597" s="6" t="s">
        <v>1519</v>
      </c>
      <c r="M1597" s="6">
        <v>31</v>
      </c>
      <c r="N1597" s="6">
        <v>2</v>
      </c>
      <c r="O1597">
        <v>500</v>
      </c>
      <c r="P1597">
        <v>202605</v>
      </c>
      <c r="Q1597" t="s">
        <v>377</v>
      </c>
      <c r="R1597" t="s">
        <v>1350</v>
      </c>
      <c r="S1597">
        <f>Consulta1[[#This Row],[min_port]]/100</f>
        <v>1.3500000000000002E-2</v>
      </c>
      <c r="T1597" s="252">
        <f>Consulta1[[#This Row],[TETO_COMERCIAL]]/100</f>
        <v>2.5000000000000001E-2</v>
      </c>
      <c r="U1597" t="b">
        <f>Consulta1[[#This Row],[TETO_COMERCIAL_%]]=Consulta1[[#This Row],[TAXA]]</f>
        <v>0</v>
      </c>
      <c r="V1597" t="str">
        <f>CONCATENATE(Consulta1[[#This Row],[MES_ALTERACAO]],Consulta1[[#This Row],[VIRADA]])</f>
        <v>20260531</v>
      </c>
      <c r="W1597">
        <f>VLOOKUP(Consulta1[[#This Row],[Coluna2]],CALENDARIO!$J:$K,2,FALSE)</f>
        <v>20</v>
      </c>
    </row>
    <row r="1598" spans="1:23" x14ac:dyDescent="0.25">
      <c r="A1598" t="s">
        <v>3092</v>
      </c>
      <c r="B1598" t="str">
        <f>CONCATENATE(Consulta1[[#This Row],[id]],Consulta1[[#This Row],[EMPREGADOR]])</f>
        <v>7TRT 23º REG MT</v>
      </c>
      <c r="C1598" s="6">
        <f>IF(A1598=A1597,C1597+1,1)</f>
        <v>7</v>
      </c>
      <c r="D1598" t="s">
        <v>2293</v>
      </c>
      <c r="E1598" s="101">
        <v>1.72E-2</v>
      </c>
      <c r="F1598" s="6">
        <v>120</v>
      </c>
      <c r="G1598" t="s">
        <v>1349</v>
      </c>
      <c r="H1598" s="82">
        <v>2.5</v>
      </c>
      <c r="I1598">
        <v>25</v>
      </c>
      <c r="J1598">
        <v>27</v>
      </c>
      <c r="K1598" t="s">
        <v>2294</v>
      </c>
      <c r="L1598" s="6" t="s">
        <v>1519</v>
      </c>
      <c r="M1598" s="6">
        <v>31</v>
      </c>
      <c r="N1598" s="6">
        <v>2</v>
      </c>
      <c r="O1598">
        <v>500</v>
      </c>
      <c r="P1598">
        <v>202605</v>
      </c>
      <c r="Q1598" t="s">
        <v>377</v>
      </c>
      <c r="R1598" t="s">
        <v>1350</v>
      </c>
      <c r="S1598">
        <f>Consulta1[[#This Row],[min_port]]/100</f>
        <v>1.3500000000000002E-2</v>
      </c>
      <c r="T1598" s="252">
        <f>Consulta1[[#This Row],[TETO_COMERCIAL]]/100</f>
        <v>2.5000000000000001E-2</v>
      </c>
      <c r="U1598" t="b">
        <f>Consulta1[[#This Row],[TETO_COMERCIAL_%]]=Consulta1[[#This Row],[TAXA]]</f>
        <v>0</v>
      </c>
      <c r="V1598" t="str">
        <f>CONCATENATE(Consulta1[[#This Row],[MES_ALTERACAO]],Consulta1[[#This Row],[VIRADA]])</f>
        <v>20260531</v>
      </c>
      <c r="W1598">
        <f>VLOOKUP(Consulta1[[#This Row],[Coluna2]],CALENDARIO!$J:$K,2,FALSE)</f>
        <v>20</v>
      </c>
    </row>
    <row r="1599" spans="1:23" x14ac:dyDescent="0.25">
      <c r="A1599" t="s">
        <v>3092</v>
      </c>
      <c r="B1599" t="str">
        <f>CONCATENATE(Consulta1[[#This Row],[id]],Consulta1[[#This Row],[EMPREGADOR]])</f>
        <v>8TRT 23º REG MT</v>
      </c>
      <c r="C1599" s="6">
        <f>IF(A1599=A1598,C1598+1,1)</f>
        <v>8</v>
      </c>
      <c r="D1599" t="s">
        <v>2295</v>
      </c>
      <c r="E1599" s="101">
        <v>1.7000000000000001E-2</v>
      </c>
      <c r="F1599" s="6">
        <v>120</v>
      </c>
      <c r="G1599" t="s">
        <v>1349</v>
      </c>
      <c r="H1599" s="82">
        <v>2.5</v>
      </c>
      <c r="I1599">
        <v>25</v>
      </c>
      <c r="J1599">
        <v>27</v>
      </c>
      <c r="K1599" t="s">
        <v>2296</v>
      </c>
      <c r="L1599" s="6" t="s">
        <v>1519</v>
      </c>
      <c r="M1599" s="6">
        <v>31</v>
      </c>
      <c r="N1599" s="6">
        <v>2</v>
      </c>
      <c r="O1599">
        <v>500</v>
      </c>
      <c r="P1599">
        <v>202605</v>
      </c>
      <c r="Q1599" t="s">
        <v>377</v>
      </c>
      <c r="R1599" t="s">
        <v>1350</v>
      </c>
      <c r="S1599">
        <f>Consulta1[[#This Row],[min_port]]/100</f>
        <v>1.3500000000000002E-2</v>
      </c>
      <c r="T1599" s="252">
        <f>Consulta1[[#This Row],[TETO_COMERCIAL]]/100</f>
        <v>2.5000000000000001E-2</v>
      </c>
      <c r="U1599" t="b">
        <f>Consulta1[[#This Row],[TETO_COMERCIAL_%]]=Consulta1[[#This Row],[TAXA]]</f>
        <v>0</v>
      </c>
      <c r="V1599" t="str">
        <f>CONCATENATE(Consulta1[[#This Row],[MES_ALTERACAO]],Consulta1[[#This Row],[VIRADA]])</f>
        <v>20260531</v>
      </c>
      <c r="W1599">
        <f>VLOOKUP(Consulta1[[#This Row],[Coluna2]],CALENDARIO!$J:$K,2,FALSE)</f>
        <v>20</v>
      </c>
    </row>
    <row r="1600" spans="1:23" x14ac:dyDescent="0.25">
      <c r="A1600" t="s">
        <v>3092</v>
      </c>
      <c r="B1600" t="str">
        <f>CONCATENATE(Consulta1[[#This Row],[id]],Consulta1[[#This Row],[EMPREGADOR]])</f>
        <v>9TRT 23º REG MT</v>
      </c>
      <c r="C1600" s="6">
        <f>IF(A1600=A1599,C1599+1,1)</f>
        <v>9</v>
      </c>
      <c r="D1600" t="s">
        <v>2297</v>
      </c>
      <c r="E1600" s="101">
        <v>1.6799999999999999E-2</v>
      </c>
      <c r="F1600" s="6">
        <v>120</v>
      </c>
      <c r="G1600" t="s">
        <v>1349</v>
      </c>
      <c r="H1600" s="82">
        <v>2.5</v>
      </c>
      <c r="I1600">
        <v>25</v>
      </c>
      <c r="J1600">
        <v>27</v>
      </c>
      <c r="K1600" t="s">
        <v>2298</v>
      </c>
      <c r="L1600" s="6" t="s">
        <v>1519</v>
      </c>
      <c r="M1600" s="6">
        <v>31</v>
      </c>
      <c r="N1600" s="6">
        <v>2</v>
      </c>
      <c r="O1600">
        <v>500</v>
      </c>
      <c r="P1600">
        <v>202605</v>
      </c>
      <c r="Q1600" t="s">
        <v>377</v>
      </c>
      <c r="R1600" t="s">
        <v>1350</v>
      </c>
      <c r="S1600">
        <f>Consulta1[[#This Row],[min_port]]/100</f>
        <v>1.3500000000000002E-2</v>
      </c>
      <c r="T1600" s="252">
        <f>Consulta1[[#This Row],[TETO_COMERCIAL]]/100</f>
        <v>2.5000000000000001E-2</v>
      </c>
      <c r="U1600" t="b">
        <f>Consulta1[[#This Row],[TETO_COMERCIAL_%]]=Consulta1[[#This Row],[TAXA]]</f>
        <v>0</v>
      </c>
      <c r="V1600" t="str">
        <f>CONCATENATE(Consulta1[[#This Row],[MES_ALTERACAO]],Consulta1[[#This Row],[VIRADA]])</f>
        <v>20260531</v>
      </c>
      <c r="W1600">
        <f>VLOOKUP(Consulta1[[#This Row],[Coluna2]],CALENDARIO!$J:$K,2,FALSE)</f>
        <v>20</v>
      </c>
    </row>
    <row r="1601" spans="1:23" x14ac:dyDescent="0.25">
      <c r="A1601" t="s">
        <v>3093</v>
      </c>
      <c r="B1601" t="str">
        <f>CONCATENATE(Consulta1[[#This Row],[id]],Consulta1[[#This Row],[EMPREGADOR]])</f>
        <v>1TRT 4ª REG RS</v>
      </c>
      <c r="C1601" s="6">
        <f>IF(A1601=A1600,C1600+1,1)</f>
        <v>1</v>
      </c>
      <c r="D1601" t="s">
        <v>2299</v>
      </c>
      <c r="E1601" s="101">
        <v>2.5000000000000001E-2</v>
      </c>
      <c r="F1601" s="6">
        <v>120</v>
      </c>
      <c r="G1601" t="s">
        <v>1349</v>
      </c>
      <c r="H1601" s="82">
        <v>2.5</v>
      </c>
      <c r="I1601">
        <v>30</v>
      </c>
      <c r="K1601" t="s">
        <v>2300</v>
      </c>
      <c r="L1601" s="6" t="s">
        <v>1678</v>
      </c>
      <c r="M1601" s="6">
        <v>2</v>
      </c>
      <c r="N1601" s="6">
        <v>2</v>
      </c>
      <c r="O1601">
        <v>500</v>
      </c>
      <c r="P1601">
        <v>202605</v>
      </c>
      <c r="Q1601" t="s">
        <v>377</v>
      </c>
      <c r="R1601" t="s">
        <v>1350</v>
      </c>
      <c r="S1601">
        <f>Consulta1[[#This Row],[min_port]]/100</f>
        <v>1.32E-2</v>
      </c>
      <c r="T1601" s="252">
        <f>Consulta1[[#This Row],[TETO_COMERCIAL]]/100</f>
        <v>2.5000000000000001E-2</v>
      </c>
      <c r="U1601" t="b">
        <f>Consulta1[[#This Row],[TETO_COMERCIAL_%]]=Consulta1[[#This Row],[TAXA]]</f>
        <v>1</v>
      </c>
      <c r="V1601" t="str">
        <f>CONCATENATE(Consulta1[[#This Row],[MES_ALTERACAO]],Consulta1[[#This Row],[VIRADA]])</f>
        <v>2026052</v>
      </c>
      <c r="W1601">
        <f>VLOOKUP(Consulta1[[#This Row],[Coluna2]],CALENDARIO!$J:$K,2,FALSE)</f>
        <v>0</v>
      </c>
    </row>
    <row r="1602" spans="1:23" x14ac:dyDescent="0.25">
      <c r="A1602" t="s">
        <v>3093</v>
      </c>
      <c r="B1602" t="str">
        <f>CONCATENATE(Consulta1[[#This Row],[id]],Consulta1[[#This Row],[EMPREGADOR]])</f>
        <v>2TRT 4ª REG RS</v>
      </c>
      <c r="C1602" s="6">
        <f>IF(A1602=A1601,C1601+1,1)</f>
        <v>2</v>
      </c>
      <c r="D1602" t="s">
        <v>2301</v>
      </c>
      <c r="E1602" s="101">
        <v>1.95E-2</v>
      </c>
      <c r="F1602" s="6">
        <v>120</v>
      </c>
      <c r="G1602" t="s">
        <v>1349</v>
      </c>
      <c r="H1602" s="82">
        <v>2.5</v>
      </c>
      <c r="I1602">
        <v>30</v>
      </c>
      <c r="K1602" t="s">
        <v>2302</v>
      </c>
      <c r="L1602" s="6" t="s">
        <v>1678</v>
      </c>
      <c r="M1602" s="6">
        <v>2</v>
      </c>
      <c r="N1602" s="6">
        <v>2</v>
      </c>
      <c r="O1602">
        <v>500</v>
      </c>
      <c r="P1602">
        <v>202605</v>
      </c>
      <c r="Q1602" t="s">
        <v>377</v>
      </c>
      <c r="R1602" t="s">
        <v>1350</v>
      </c>
      <c r="S1602">
        <f>Consulta1[[#This Row],[min_port]]/100</f>
        <v>1.32E-2</v>
      </c>
      <c r="T1602" s="252">
        <f>Consulta1[[#This Row],[TETO_COMERCIAL]]/100</f>
        <v>2.5000000000000001E-2</v>
      </c>
      <c r="U1602" t="b">
        <f>Consulta1[[#This Row],[TETO_COMERCIAL_%]]=Consulta1[[#This Row],[TAXA]]</f>
        <v>0</v>
      </c>
      <c r="V1602" t="str">
        <f>CONCATENATE(Consulta1[[#This Row],[MES_ALTERACAO]],Consulta1[[#This Row],[VIRADA]])</f>
        <v>2026052</v>
      </c>
      <c r="W1602">
        <f>VLOOKUP(Consulta1[[#This Row],[Coluna2]],CALENDARIO!$J:$K,2,FALSE)</f>
        <v>0</v>
      </c>
    </row>
    <row r="1603" spans="1:23" x14ac:dyDescent="0.25">
      <c r="A1603" t="s">
        <v>3093</v>
      </c>
      <c r="B1603" t="str">
        <f>CONCATENATE(Consulta1[[#This Row],[id]],Consulta1[[#This Row],[EMPREGADOR]])</f>
        <v>3TRT 4ª REG RS</v>
      </c>
      <c r="C1603" s="6">
        <f>IF(A1603=A1602,C1602+1,1)</f>
        <v>3</v>
      </c>
      <c r="D1603" t="s">
        <v>2303</v>
      </c>
      <c r="E1603" s="101">
        <v>1.8500000000000003E-2</v>
      </c>
      <c r="F1603" s="6">
        <v>120</v>
      </c>
      <c r="G1603" t="s">
        <v>1349</v>
      </c>
      <c r="H1603" s="82">
        <v>2.5</v>
      </c>
      <c r="I1603">
        <v>30</v>
      </c>
      <c r="J1603">
        <v>53</v>
      </c>
      <c r="K1603" t="s">
        <v>2304</v>
      </c>
      <c r="L1603" s="6" t="s">
        <v>1678</v>
      </c>
      <c r="M1603" s="6">
        <v>2</v>
      </c>
      <c r="N1603" s="6">
        <v>2</v>
      </c>
      <c r="O1603">
        <v>500</v>
      </c>
      <c r="P1603">
        <v>202605</v>
      </c>
      <c r="Q1603" t="s">
        <v>377</v>
      </c>
      <c r="R1603" t="s">
        <v>1350</v>
      </c>
      <c r="S1603">
        <f>Consulta1[[#This Row],[min_port]]/100</f>
        <v>1.32E-2</v>
      </c>
      <c r="T1603" s="252">
        <f>Consulta1[[#This Row],[TETO_COMERCIAL]]/100</f>
        <v>2.5000000000000001E-2</v>
      </c>
      <c r="U1603" t="b">
        <f>Consulta1[[#This Row],[TETO_COMERCIAL_%]]=Consulta1[[#This Row],[TAXA]]</f>
        <v>0</v>
      </c>
      <c r="V1603" t="str">
        <f>CONCATENATE(Consulta1[[#This Row],[MES_ALTERACAO]],Consulta1[[#This Row],[VIRADA]])</f>
        <v>2026052</v>
      </c>
      <c r="W1603">
        <f>VLOOKUP(Consulta1[[#This Row],[Coluna2]],CALENDARIO!$J:$K,2,FALSE)</f>
        <v>0</v>
      </c>
    </row>
    <row r="1604" spans="1:23" x14ac:dyDescent="0.25">
      <c r="A1604" t="s">
        <v>3093</v>
      </c>
      <c r="B1604" t="str">
        <f>CONCATENATE(Consulta1[[#This Row],[id]],Consulta1[[#This Row],[EMPREGADOR]])</f>
        <v>4TRT 4ª REG RS</v>
      </c>
      <c r="C1604" s="6">
        <f>IF(A1604=A1603,C1603+1,1)</f>
        <v>4</v>
      </c>
      <c r="D1604" t="s">
        <v>2305</v>
      </c>
      <c r="E1604" s="101">
        <v>1.7500000000000002E-2</v>
      </c>
      <c r="F1604" s="6">
        <v>120</v>
      </c>
      <c r="G1604" t="s">
        <v>1349</v>
      </c>
      <c r="H1604" s="82">
        <v>2.5</v>
      </c>
      <c r="I1604">
        <v>30</v>
      </c>
      <c r="J1604">
        <v>41</v>
      </c>
      <c r="K1604" t="s">
        <v>2306</v>
      </c>
      <c r="L1604" s="6" t="s">
        <v>1678</v>
      </c>
      <c r="M1604" s="6">
        <v>2</v>
      </c>
      <c r="N1604" s="6">
        <v>2</v>
      </c>
      <c r="O1604">
        <v>500</v>
      </c>
      <c r="P1604">
        <v>202605</v>
      </c>
      <c r="Q1604" t="s">
        <v>377</v>
      </c>
      <c r="R1604" t="s">
        <v>1350</v>
      </c>
      <c r="S1604">
        <f>Consulta1[[#This Row],[min_port]]/100</f>
        <v>1.32E-2</v>
      </c>
      <c r="T1604" s="252">
        <f>Consulta1[[#This Row],[TETO_COMERCIAL]]/100</f>
        <v>2.5000000000000001E-2</v>
      </c>
      <c r="U1604" t="b">
        <f>Consulta1[[#This Row],[TETO_COMERCIAL_%]]=Consulta1[[#This Row],[TAXA]]</f>
        <v>0</v>
      </c>
      <c r="V1604" t="str">
        <f>CONCATENATE(Consulta1[[#This Row],[MES_ALTERACAO]],Consulta1[[#This Row],[VIRADA]])</f>
        <v>2026052</v>
      </c>
      <c r="W1604">
        <f>VLOOKUP(Consulta1[[#This Row],[Coluna2]],CALENDARIO!$J:$K,2,FALSE)</f>
        <v>0</v>
      </c>
    </row>
    <row r="1605" spans="1:23" x14ac:dyDescent="0.25">
      <c r="A1605" t="s">
        <v>3093</v>
      </c>
      <c r="B1605" t="str">
        <f>CONCATENATE(Consulta1[[#This Row],[id]],Consulta1[[#This Row],[EMPREGADOR]])</f>
        <v>5TRT 4ª REG RS</v>
      </c>
      <c r="C1605" s="6">
        <f>IF(A1605=A1604,C1604+1,1)</f>
        <v>5</v>
      </c>
      <c r="D1605" t="s">
        <v>2307</v>
      </c>
      <c r="E1605" s="101">
        <v>1.67E-2</v>
      </c>
      <c r="F1605" s="6">
        <v>120</v>
      </c>
      <c r="G1605" t="s">
        <v>1349</v>
      </c>
      <c r="H1605" s="82">
        <v>2.5</v>
      </c>
      <c r="I1605">
        <v>30</v>
      </c>
      <c r="J1605">
        <v>46</v>
      </c>
      <c r="K1605" t="s">
        <v>2308</v>
      </c>
      <c r="L1605" s="6" t="s">
        <v>1678</v>
      </c>
      <c r="M1605" s="6">
        <v>2</v>
      </c>
      <c r="N1605" s="6">
        <v>2</v>
      </c>
      <c r="O1605">
        <v>500</v>
      </c>
      <c r="P1605">
        <v>202605</v>
      </c>
      <c r="Q1605" t="s">
        <v>377</v>
      </c>
      <c r="R1605" t="s">
        <v>1350</v>
      </c>
      <c r="S1605">
        <f>Consulta1[[#This Row],[min_port]]/100</f>
        <v>1.32E-2</v>
      </c>
      <c r="T1605" s="252">
        <f>Consulta1[[#This Row],[TETO_COMERCIAL]]/100</f>
        <v>2.5000000000000001E-2</v>
      </c>
      <c r="U1605" t="b">
        <f>Consulta1[[#This Row],[TETO_COMERCIAL_%]]=Consulta1[[#This Row],[TAXA]]</f>
        <v>0</v>
      </c>
      <c r="V1605" t="str">
        <f>CONCATENATE(Consulta1[[#This Row],[MES_ALTERACAO]],Consulta1[[#This Row],[VIRADA]])</f>
        <v>2026052</v>
      </c>
      <c r="W1605">
        <f>VLOOKUP(Consulta1[[#This Row],[Coluna2]],CALENDARIO!$J:$K,2,FALSE)</f>
        <v>0</v>
      </c>
    </row>
    <row r="1606" spans="1:23" x14ac:dyDescent="0.25">
      <c r="A1606" t="s">
        <v>3094</v>
      </c>
      <c r="B1606" t="str">
        <f>CONCATENATE(Consulta1[[#This Row],[id]],Consulta1[[#This Row],[EMPREGADOR]])</f>
        <v>1UNICAMP SP CLT</v>
      </c>
      <c r="C1606" s="6">
        <f>IF(A1606=A1605,C1605+1,1)</f>
        <v>1</v>
      </c>
      <c r="D1606" t="s">
        <v>1075</v>
      </c>
      <c r="E1606" s="101">
        <v>2.5000000000000001E-2</v>
      </c>
      <c r="F1606" s="6">
        <v>96</v>
      </c>
      <c r="G1606" t="s">
        <v>1349</v>
      </c>
      <c r="H1606" s="82">
        <v>2.5</v>
      </c>
      <c r="I1606">
        <v>10</v>
      </c>
      <c r="J1606">
        <v>25</v>
      </c>
      <c r="K1606" t="s">
        <v>2309</v>
      </c>
      <c r="L1606" s="6" t="s">
        <v>1409</v>
      </c>
      <c r="M1606" s="6">
        <v>25</v>
      </c>
      <c r="N1606" s="6">
        <v>2</v>
      </c>
      <c r="O1606">
        <v>500</v>
      </c>
      <c r="P1606">
        <v>202605</v>
      </c>
      <c r="Q1606" t="s">
        <v>377</v>
      </c>
      <c r="R1606" t="s">
        <v>1350</v>
      </c>
      <c r="S1606">
        <f>Consulta1[[#This Row],[min_port]]/100</f>
        <v>1.55E-2</v>
      </c>
      <c r="T1606" s="252">
        <f>Consulta1[[#This Row],[TETO_COMERCIAL]]/100</f>
        <v>2.5000000000000001E-2</v>
      </c>
      <c r="U1606" t="b">
        <f>Consulta1[[#This Row],[TETO_COMERCIAL_%]]=Consulta1[[#This Row],[TAXA]]</f>
        <v>1</v>
      </c>
      <c r="V1606" t="str">
        <f>CONCATENATE(Consulta1[[#This Row],[MES_ALTERACAO]],Consulta1[[#This Row],[VIRADA]])</f>
        <v>20260525</v>
      </c>
      <c r="W1606">
        <f>VLOOKUP(Consulta1[[#This Row],[Coluna2]],CALENDARIO!$J:$K,2,FALSE)</f>
        <v>16</v>
      </c>
    </row>
    <row r="1607" spans="1:23" x14ac:dyDescent="0.25">
      <c r="A1607" t="s">
        <v>3094</v>
      </c>
      <c r="B1607" t="str">
        <f>CONCATENATE(Consulta1[[#This Row],[id]],Consulta1[[#This Row],[EMPREGADOR]])</f>
        <v>2UNICAMP SP CLT</v>
      </c>
      <c r="C1607" s="6">
        <f>IF(A1607=A1606,C1606+1,1)</f>
        <v>2</v>
      </c>
      <c r="D1607" t="s">
        <v>1076</v>
      </c>
      <c r="E1607" s="101">
        <v>1.9900000000000001E-2</v>
      </c>
      <c r="F1607" s="6">
        <v>96</v>
      </c>
      <c r="G1607" t="s">
        <v>1349</v>
      </c>
      <c r="H1607" s="82">
        <v>2.5</v>
      </c>
      <c r="I1607">
        <v>10</v>
      </c>
      <c r="J1607">
        <v>34</v>
      </c>
      <c r="K1607" t="s">
        <v>2310</v>
      </c>
      <c r="L1607" s="6" t="s">
        <v>1409</v>
      </c>
      <c r="M1607" s="6">
        <v>25</v>
      </c>
      <c r="N1607" s="6">
        <v>2</v>
      </c>
      <c r="O1607">
        <v>500</v>
      </c>
      <c r="P1607">
        <v>202605</v>
      </c>
      <c r="Q1607" t="s">
        <v>377</v>
      </c>
      <c r="R1607" t="s">
        <v>1350</v>
      </c>
      <c r="S1607">
        <f>Consulta1[[#This Row],[min_port]]/100</f>
        <v>1.55E-2</v>
      </c>
      <c r="T1607" s="252">
        <f>Consulta1[[#This Row],[TETO_COMERCIAL]]/100</f>
        <v>2.5000000000000001E-2</v>
      </c>
      <c r="U1607" t="b">
        <f>Consulta1[[#This Row],[TETO_COMERCIAL_%]]=Consulta1[[#This Row],[TAXA]]</f>
        <v>0</v>
      </c>
      <c r="V1607" t="str">
        <f>CONCATENATE(Consulta1[[#This Row],[MES_ALTERACAO]],Consulta1[[#This Row],[VIRADA]])</f>
        <v>20260525</v>
      </c>
      <c r="W1607">
        <f>VLOOKUP(Consulta1[[#This Row],[Coluna2]],CALENDARIO!$J:$K,2,FALSE)</f>
        <v>16</v>
      </c>
    </row>
    <row r="1608" spans="1:23" x14ac:dyDescent="0.25">
      <c r="A1608" t="s">
        <v>3094</v>
      </c>
      <c r="B1608" t="str">
        <f>CONCATENATE(Consulta1[[#This Row],[id]],Consulta1[[#This Row],[EMPREGADOR]])</f>
        <v>3UNICAMP SP CLT</v>
      </c>
      <c r="C1608" s="6">
        <f>IF(A1608=A1607,C1607+1,1)</f>
        <v>3</v>
      </c>
      <c r="D1608" t="s">
        <v>1077</v>
      </c>
      <c r="E1608" s="101">
        <v>1.89E-2</v>
      </c>
      <c r="F1608" s="6">
        <v>96</v>
      </c>
      <c r="G1608" t="s">
        <v>1349</v>
      </c>
      <c r="H1608" s="82">
        <v>2.5</v>
      </c>
      <c r="I1608">
        <v>10</v>
      </c>
      <c r="J1608">
        <v>42</v>
      </c>
      <c r="K1608" t="s">
        <v>2311</v>
      </c>
      <c r="L1608" s="6" t="s">
        <v>1409</v>
      </c>
      <c r="M1608" s="6">
        <v>25</v>
      </c>
      <c r="N1608" s="6">
        <v>2</v>
      </c>
      <c r="O1608">
        <v>500</v>
      </c>
      <c r="P1608">
        <v>202605</v>
      </c>
      <c r="Q1608" t="s">
        <v>377</v>
      </c>
      <c r="R1608" t="s">
        <v>1350</v>
      </c>
      <c r="S1608">
        <f>Consulta1[[#This Row],[min_port]]/100</f>
        <v>1.55E-2</v>
      </c>
      <c r="T1608" s="252">
        <f>Consulta1[[#This Row],[TETO_COMERCIAL]]/100</f>
        <v>2.5000000000000001E-2</v>
      </c>
      <c r="U1608" t="b">
        <f>Consulta1[[#This Row],[TETO_COMERCIAL_%]]=Consulta1[[#This Row],[TAXA]]</f>
        <v>0</v>
      </c>
      <c r="V1608" t="str">
        <f>CONCATENATE(Consulta1[[#This Row],[MES_ALTERACAO]],Consulta1[[#This Row],[VIRADA]])</f>
        <v>20260525</v>
      </c>
      <c r="W1608">
        <f>VLOOKUP(Consulta1[[#This Row],[Coluna2]],CALENDARIO!$J:$K,2,FALSE)</f>
        <v>16</v>
      </c>
    </row>
    <row r="1609" spans="1:23" x14ac:dyDescent="0.25">
      <c r="A1609" t="s">
        <v>3094</v>
      </c>
      <c r="B1609" t="str">
        <f>CONCATENATE(Consulta1[[#This Row],[id]],Consulta1[[#This Row],[EMPREGADOR]])</f>
        <v>4UNICAMP SP CLT</v>
      </c>
      <c r="C1609" s="6">
        <f>IF(A1609=A1608,C1608+1,1)</f>
        <v>4</v>
      </c>
      <c r="D1609" t="s">
        <v>1078</v>
      </c>
      <c r="E1609" s="101">
        <v>1.83E-2</v>
      </c>
      <c r="F1609" s="6">
        <v>96</v>
      </c>
      <c r="G1609" t="s">
        <v>1349</v>
      </c>
      <c r="H1609" s="82">
        <v>2.5</v>
      </c>
      <c r="I1609">
        <v>10</v>
      </c>
      <c r="J1609">
        <v>33</v>
      </c>
      <c r="K1609" t="s">
        <v>2312</v>
      </c>
      <c r="L1609" s="6" t="s">
        <v>1409</v>
      </c>
      <c r="M1609" s="6">
        <v>25</v>
      </c>
      <c r="N1609" s="6">
        <v>2</v>
      </c>
      <c r="O1609">
        <v>500</v>
      </c>
      <c r="P1609">
        <v>202605</v>
      </c>
      <c r="Q1609" t="s">
        <v>377</v>
      </c>
      <c r="R1609" t="s">
        <v>1350</v>
      </c>
      <c r="S1609">
        <f>Consulta1[[#This Row],[min_port]]/100</f>
        <v>1.55E-2</v>
      </c>
      <c r="T1609" s="252">
        <f>Consulta1[[#This Row],[TETO_COMERCIAL]]/100</f>
        <v>2.5000000000000001E-2</v>
      </c>
      <c r="U1609" t="b">
        <f>Consulta1[[#This Row],[TETO_COMERCIAL_%]]=Consulta1[[#This Row],[TAXA]]</f>
        <v>0</v>
      </c>
      <c r="V1609" t="str">
        <f>CONCATENATE(Consulta1[[#This Row],[MES_ALTERACAO]],Consulta1[[#This Row],[VIRADA]])</f>
        <v>20260525</v>
      </c>
      <c r="W1609">
        <f>VLOOKUP(Consulta1[[#This Row],[Coluna2]],CALENDARIO!$J:$K,2,FALSE)</f>
        <v>16</v>
      </c>
    </row>
    <row r="1610" spans="1:23" x14ac:dyDescent="0.25">
      <c r="A1610" t="s">
        <v>3094</v>
      </c>
      <c r="B1610" t="str">
        <f>CONCATENATE(Consulta1[[#This Row],[id]],Consulta1[[#This Row],[EMPREGADOR]])</f>
        <v>5UNICAMP SP CLT</v>
      </c>
      <c r="C1610" s="6">
        <f>IF(A1610=A1609,C1609+1,1)</f>
        <v>5</v>
      </c>
      <c r="D1610" t="s">
        <v>1079</v>
      </c>
      <c r="E1610" s="101">
        <v>1.7600000000000001E-2</v>
      </c>
      <c r="F1610" s="6">
        <v>96</v>
      </c>
      <c r="G1610" t="s">
        <v>1349</v>
      </c>
      <c r="H1610" s="82">
        <v>2.5</v>
      </c>
      <c r="I1610">
        <v>10</v>
      </c>
      <c r="K1610" t="s">
        <v>2313</v>
      </c>
      <c r="L1610" s="6" t="s">
        <v>1409</v>
      </c>
      <c r="M1610" s="6">
        <v>25</v>
      </c>
      <c r="N1610" s="6">
        <v>2</v>
      </c>
      <c r="O1610">
        <v>500</v>
      </c>
      <c r="P1610">
        <v>202605</v>
      </c>
      <c r="Q1610" t="s">
        <v>377</v>
      </c>
      <c r="R1610" t="s">
        <v>1350</v>
      </c>
      <c r="S1610">
        <f>Consulta1[[#This Row],[min_port]]/100</f>
        <v>1.55E-2</v>
      </c>
      <c r="T1610" s="252">
        <f>Consulta1[[#This Row],[TETO_COMERCIAL]]/100</f>
        <v>2.5000000000000001E-2</v>
      </c>
      <c r="U1610" t="b">
        <f>Consulta1[[#This Row],[TETO_COMERCIAL_%]]=Consulta1[[#This Row],[TAXA]]</f>
        <v>0</v>
      </c>
      <c r="V1610" t="str">
        <f>CONCATENATE(Consulta1[[#This Row],[MES_ALTERACAO]],Consulta1[[#This Row],[VIRADA]])</f>
        <v>20260525</v>
      </c>
      <c r="W1610">
        <f>VLOOKUP(Consulta1[[#This Row],[Coluna2]],CALENDARIO!$J:$K,2,FALSE)</f>
        <v>16</v>
      </c>
    </row>
    <row r="1611" spans="1:23" x14ac:dyDescent="0.25">
      <c r="A1611" t="s">
        <v>3094</v>
      </c>
      <c r="B1611" t="str">
        <f>CONCATENATE(Consulta1[[#This Row],[id]],Consulta1[[#This Row],[EMPREGADOR]])</f>
        <v>6UNICAMP SP CLT</v>
      </c>
      <c r="C1611" s="6">
        <f>IF(A1611=A1610,C1610+1,1)</f>
        <v>6</v>
      </c>
      <c r="D1611" t="s">
        <v>1080</v>
      </c>
      <c r="E1611" s="101">
        <v>1.7299999999999999E-2</v>
      </c>
      <c r="F1611" s="6">
        <v>96</v>
      </c>
      <c r="G1611" t="s">
        <v>1349</v>
      </c>
      <c r="H1611" s="82">
        <v>2.5</v>
      </c>
      <c r="I1611">
        <v>10</v>
      </c>
      <c r="K1611" t="s">
        <v>2314</v>
      </c>
      <c r="L1611" s="6" t="s">
        <v>1409</v>
      </c>
      <c r="M1611" s="6">
        <v>25</v>
      </c>
      <c r="N1611" s="6">
        <v>2</v>
      </c>
      <c r="O1611">
        <v>500</v>
      </c>
      <c r="P1611">
        <v>202605</v>
      </c>
      <c r="Q1611" t="s">
        <v>377</v>
      </c>
      <c r="R1611" t="s">
        <v>1350</v>
      </c>
      <c r="S1611">
        <f>Consulta1[[#This Row],[min_port]]/100</f>
        <v>1.55E-2</v>
      </c>
      <c r="T1611" s="252">
        <f>Consulta1[[#This Row],[TETO_COMERCIAL]]/100</f>
        <v>2.5000000000000001E-2</v>
      </c>
      <c r="U1611" t="b">
        <f>Consulta1[[#This Row],[TETO_COMERCIAL_%]]=Consulta1[[#This Row],[TAXA]]</f>
        <v>0</v>
      </c>
      <c r="V1611" t="str">
        <f>CONCATENATE(Consulta1[[#This Row],[MES_ALTERACAO]],Consulta1[[#This Row],[VIRADA]])</f>
        <v>20260525</v>
      </c>
      <c r="W1611">
        <f>VLOOKUP(Consulta1[[#This Row],[Coluna2]],CALENDARIO!$J:$K,2,FALSE)</f>
        <v>16</v>
      </c>
    </row>
    <row r="1612" spans="1:23" x14ac:dyDescent="0.25">
      <c r="A1612" t="s">
        <v>3095</v>
      </c>
      <c r="B1612" t="str">
        <f>CONCATENATE(Consulta1[[#This Row],[id]],Consulta1[[#This Row],[EMPREGADOR]])</f>
        <v>1UNICAMP SP EST</v>
      </c>
      <c r="C1612" s="6">
        <f>IF(A1612=A1611,C1611+1,1)</f>
        <v>1</v>
      </c>
      <c r="D1612" t="s">
        <v>413</v>
      </c>
      <c r="E1612" s="101">
        <v>2.5000000000000001E-2</v>
      </c>
      <c r="F1612" s="6">
        <v>96</v>
      </c>
      <c r="G1612" t="s">
        <v>1349</v>
      </c>
      <c r="H1612" s="82">
        <v>2.5</v>
      </c>
      <c r="I1612">
        <v>10</v>
      </c>
      <c r="K1612" t="s">
        <v>2315</v>
      </c>
      <c r="L1612" s="6" t="s">
        <v>1409</v>
      </c>
      <c r="M1612" s="6">
        <v>25</v>
      </c>
      <c r="N1612" s="6">
        <v>2</v>
      </c>
      <c r="O1612">
        <v>500</v>
      </c>
      <c r="P1612">
        <v>202605</v>
      </c>
      <c r="Q1612" t="s">
        <v>377</v>
      </c>
      <c r="R1612" t="s">
        <v>1350</v>
      </c>
      <c r="S1612">
        <f>Consulta1[[#This Row],[min_port]]/100</f>
        <v>1.55E-2</v>
      </c>
      <c r="T1612" s="252">
        <f>Consulta1[[#This Row],[TETO_COMERCIAL]]/100</f>
        <v>2.5000000000000001E-2</v>
      </c>
      <c r="U1612" t="b">
        <f>Consulta1[[#This Row],[TETO_COMERCIAL_%]]=Consulta1[[#This Row],[TAXA]]</f>
        <v>1</v>
      </c>
      <c r="V1612" t="str">
        <f>CONCATENATE(Consulta1[[#This Row],[MES_ALTERACAO]],Consulta1[[#This Row],[VIRADA]])</f>
        <v>20260525</v>
      </c>
      <c r="W1612">
        <f>VLOOKUP(Consulta1[[#This Row],[Coluna2]],CALENDARIO!$J:$K,2,FALSE)</f>
        <v>16</v>
      </c>
    </row>
    <row r="1613" spans="1:23" x14ac:dyDescent="0.25">
      <c r="A1613" t="s">
        <v>3095</v>
      </c>
      <c r="B1613" t="str">
        <f>CONCATENATE(Consulta1[[#This Row],[id]],Consulta1[[#This Row],[EMPREGADOR]])</f>
        <v>2UNICAMP SP EST</v>
      </c>
      <c r="C1613" s="6">
        <f>IF(A1613=A1612,C1612+1,1)</f>
        <v>2</v>
      </c>
      <c r="D1613" t="s">
        <v>414</v>
      </c>
      <c r="E1613" s="101">
        <v>1.9900000000000001E-2</v>
      </c>
      <c r="F1613" s="6">
        <v>96</v>
      </c>
      <c r="G1613" t="s">
        <v>1349</v>
      </c>
      <c r="H1613" s="82">
        <v>2.5</v>
      </c>
      <c r="I1613">
        <v>10</v>
      </c>
      <c r="J1613">
        <v>32</v>
      </c>
      <c r="K1613" t="s">
        <v>2316</v>
      </c>
      <c r="L1613" s="6" t="s">
        <v>1409</v>
      </c>
      <c r="M1613" s="6">
        <v>25</v>
      </c>
      <c r="N1613" s="6">
        <v>2</v>
      </c>
      <c r="O1613">
        <v>500</v>
      </c>
      <c r="P1613">
        <v>202605</v>
      </c>
      <c r="Q1613" t="s">
        <v>377</v>
      </c>
      <c r="R1613" t="s">
        <v>1350</v>
      </c>
      <c r="S1613">
        <f>Consulta1[[#This Row],[min_port]]/100</f>
        <v>1.55E-2</v>
      </c>
      <c r="T1613" s="252">
        <f>Consulta1[[#This Row],[TETO_COMERCIAL]]/100</f>
        <v>2.5000000000000001E-2</v>
      </c>
      <c r="U1613" t="b">
        <f>Consulta1[[#This Row],[TETO_COMERCIAL_%]]=Consulta1[[#This Row],[TAXA]]</f>
        <v>0</v>
      </c>
      <c r="V1613" t="str">
        <f>CONCATENATE(Consulta1[[#This Row],[MES_ALTERACAO]],Consulta1[[#This Row],[VIRADA]])</f>
        <v>20260525</v>
      </c>
      <c r="W1613">
        <f>VLOOKUP(Consulta1[[#This Row],[Coluna2]],CALENDARIO!$J:$K,2,FALSE)</f>
        <v>16</v>
      </c>
    </row>
    <row r="1614" spans="1:23" x14ac:dyDescent="0.25">
      <c r="A1614" t="s">
        <v>3095</v>
      </c>
      <c r="B1614" t="str">
        <f>CONCATENATE(Consulta1[[#This Row],[id]],Consulta1[[#This Row],[EMPREGADOR]])</f>
        <v>3UNICAMP SP EST</v>
      </c>
      <c r="C1614" s="6">
        <f>IF(A1614=A1613,C1613+1,1)</f>
        <v>3</v>
      </c>
      <c r="D1614" t="s">
        <v>415</v>
      </c>
      <c r="E1614" s="101">
        <v>1.89E-2</v>
      </c>
      <c r="F1614" s="6">
        <v>96</v>
      </c>
      <c r="G1614" t="s">
        <v>1349</v>
      </c>
      <c r="H1614" s="82">
        <v>2.5</v>
      </c>
      <c r="I1614">
        <v>10</v>
      </c>
      <c r="J1614">
        <v>31</v>
      </c>
      <c r="K1614" t="s">
        <v>2317</v>
      </c>
      <c r="L1614" s="6" t="s">
        <v>1409</v>
      </c>
      <c r="M1614" s="6">
        <v>25</v>
      </c>
      <c r="N1614" s="6">
        <v>2</v>
      </c>
      <c r="O1614">
        <v>500</v>
      </c>
      <c r="P1614">
        <v>202605</v>
      </c>
      <c r="Q1614" t="s">
        <v>377</v>
      </c>
      <c r="R1614" t="s">
        <v>1350</v>
      </c>
      <c r="S1614">
        <f>Consulta1[[#This Row],[min_port]]/100</f>
        <v>1.55E-2</v>
      </c>
      <c r="T1614" s="252">
        <f>Consulta1[[#This Row],[TETO_COMERCIAL]]/100</f>
        <v>2.5000000000000001E-2</v>
      </c>
      <c r="U1614" t="b">
        <f>Consulta1[[#This Row],[TETO_COMERCIAL_%]]=Consulta1[[#This Row],[TAXA]]</f>
        <v>0</v>
      </c>
      <c r="V1614" t="str">
        <f>CONCATENATE(Consulta1[[#This Row],[MES_ALTERACAO]],Consulta1[[#This Row],[VIRADA]])</f>
        <v>20260525</v>
      </c>
      <c r="W1614">
        <f>VLOOKUP(Consulta1[[#This Row],[Coluna2]],CALENDARIO!$J:$K,2,FALSE)</f>
        <v>16</v>
      </c>
    </row>
    <row r="1615" spans="1:23" x14ac:dyDescent="0.25">
      <c r="A1615" t="s">
        <v>3095</v>
      </c>
      <c r="B1615" t="str">
        <f>CONCATENATE(Consulta1[[#This Row],[id]],Consulta1[[#This Row],[EMPREGADOR]])</f>
        <v>4UNICAMP SP EST</v>
      </c>
      <c r="C1615" s="6">
        <f>IF(A1615=A1614,C1614+1,1)</f>
        <v>4</v>
      </c>
      <c r="D1615" t="s">
        <v>771</v>
      </c>
      <c r="E1615" s="101">
        <v>1.83E-2</v>
      </c>
      <c r="F1615" s="6">
        <v>96</v>
      </c>
      <c r="G1615" t="s">
        <v>1349</v>
      </c>
      <c r="H1615" s="82">
        <v>2.5</v>
      </c>
      <c r="I1615">
        <v>10</v>
      </c>
      <c r="J1615">
        <v>38</v>
      </c>
      <c r="K1615" t="s">
        <v>2318</v>
      </c>
      <c r="L1615" s="6" t="s">
        <v>1409</v>
      </c>
      <c r="M1615" s="6">
        <v>25</v>
      </c>
      <c r="N1615" s="6">
        <v>2</v>
      </c>
      <c r="O1615">
        <v>500</v>
      </c>
      <c r="P1615">
        <v>202605</v>
      </c>
      <c r="Q1615" t="s">
        <v>377</v>
      </c>
      <c r="R1615" t="s">
        <v>1350</v>
      </c>
      <c r="S1615">
        <f>Consulta1[[#This Row],[min_port]]/100</f>
        <v>1.55E-2</v>
      </c>
      <c r="T1615" s="252">
        <f>Consulta1[[#This Row],[TETO_COMERCIAL]]/100</f>
        <v>2.5000000000000001E-2</v>
      </c>
      <c r="U1615" t="b">
        <f>Consulta1[[#This Row],[TETO_COMERCIAL_%]]=Consulta1[[#This Row],[TAXA]]</f>
        <v>0</v>
      </c>
      <c r="V1615" t="str">
        <f>CONCATENATE(Consulta1[[#This Row],[MES_ALTERACAO]],Consulta1[[#This Row],[VIRADA]])</f>
        <v>20260525</v>
      </c>
      <c r="W1615">
        <f>VLOOKUP(Consulta1[[#This Row],[Coluna2]],CALENDARIO!$J:$K,2,FALSE)</f>
        <v>16</v>
      </c>
    </row>
    <row r="1616" spans="1:23" x14ac:dyDescent="0.25">
      <c r="A1616" t="s">
        <v>3095</v>
      </c>
      <c r="B1616" t="str">
        <f>CONCATENATE(Consulta1[[#This Row],[id]],Consulta1[[#This Row],[EMPREGADOR]])</f>
        <v>5UNICAMP SP EST</v>
      </c>
      <c r="C1616" s="6">
        <f>IF(A1616=A1615,C1615+1,1)</f>
        <v>5</v>
      </c>
      <c r="D1616" t="s">
        <v>772</v>
      </c>
      <c r="E1616" s="101">
        <v>1.7600000000000001E-2</v>
      </c>
      <c r="F1616" s="6">
        <v>96</v>
      </c>
      <c r="G1616" t="s">
        <v>1349</v>
      </c>
      <c r="H1616" s="82">
        <v>2.5</v>
      </c>
      <c r="I1616">
        <v>10</v>
      </c>
      <c r="K1616" t="s">
        <v>2319</v>
      </c>
      <c r="L1616" s="6" t="s">
        <v>1409</v>
      </c>
      <c r="M1616" s="6">
        <v>25</v>
      </c>
      <c r="N1616" s="6">
        <v>2</v>
      </c>
      <c r="O1616">
        <v>500</v>
      </c>
      <c r="P1616">
        <v>202605</v>
      </c>
      <c r="Q1616" t="s">
        <v>377</v>
      </c>
      <c r="R1616" t="s">
        <v>1350</v>
      </c>
      <c r="S1616">
        <f>Consulta1[[#This Row],[min_port]]/100</f>
        <v>1.55E-2</v>
      </c>
      <c r="T1616" s="252">
        <f>Consulta1[[#This Row],[TETO_COMERCIAL]]/100</f>
        <v>2.5000000000000001E-2</v>
      </c>
      <c r="U1616" t="b">
        <f>Consulta1[[#This Row],[TETO_COMERCIAL_%]]=Consulta1[[#This Row],[TAXA]]</f>
        <v>0</v>
      </c>
      <c r="V1616" t="str">
        <f>CONCATENATE(Consulta1[[#This Row],[MES_ALTERACAO]],Consulta1[[#This Row],[VIRADA]])</f>
        <v>20260525</v>
      </c>
      <c r="W1616">
        <f>VLOOKUP(Consulta1[[#This Row],[Coluna2]],CALENDARIO!$J:$K,2,FALSE)</f>
        <v>16</v>
      </c>
    </row>
    <row r="1617" spans="1:23" x14ac:dyDescent="0.25">
      <c r="A1617" t="s">
        <v>3095</v>
      </c>
      <c r="B1617" t="str">
        <f>CONCATENATE(Consulta1[[#This Row],[id]],Consulta1[[#This Row],[EMPREGADOR]])</f>
        <v>6UNICAMP SP EST</v>
      </c>
      <c r="C1617" s="6">
        <f>IF(A1617=A1616,C1616+1,1)</f>
        <v>6</v>
      </c>
      <c r="D1617" t="s">
        <v>986</v>
      </c>
      <c r="E1617" s="101">
        <v>1.7299999999999999E-2</v>
      </c>
      <c r="F1617" s="6">
        <v>96</v>
      </c>
      <c r="G1617" t="s">
        <v>1349</v>
      </c>
      <c r="H1617" s="82">
        <v>2.5</v>
      </c>
      <c r="I1617">
        <v>10</v>
      </c>
      <c r="J1617">
        <v>37</v>
      </c>
      <c r="K1617" t="s">
        <v>2320</v>
      </c>
      <c r="L1617" s="6" t="s">
        <v>1409</v>
      </c>
      <c r="M1617" s="6">
        <v>25</v>
      </c>
      <c r="N1617" s="6">
        <v>2</v>
      </c>
      <c r="O1617">
        <v>500</v>
      </c>
      <c r="P1617">
        <v>202605</v>
      </c>
      <c r="Q1617" t="s">
        <v>377</v>
      </c>
      <c r="R1617" t="s">
        <v>1350</v>
      </c>
      <c r="S1617">
        <f>Consulta1[[#This Row],[min_port]]/100</f>
        <v>1.55E-2</v>
      </c>
      <c r="T1617" s="252">
        <f>Consulta1[[#This Row],[TETO_COMERCIAL]]/100</f>
        <v>2.5000000000000001E-2</v>
      </c>
      <c r="U1617" t="b">
        <f>Consulta1[[#This Row],[TETO_COMERCIAL_%]]=Consulta1[[#This Row],[TAXA]]</f>
        <v>0</v>
      </c>
      <c r="V1617" t="str">
        <f>CONCATENATE(Consulta1[[#This Row],[MES_ALTERACAO]],Consulta1[[#This Row],[VIRADA]])</f>
        <v>20260525</v>
      </c>
      <c r="W1617">
        <f>VLOOKUP(Consulta1[[#This Row],[Coluna2]],CALENDARIO!$J:$K,2,FALSE)</f>
        <v>16</v>
      </c>
    </row>
    <row r="1618" spans="1:23" x14ac:dyDescent="0.25">
      <c r="A1618" t="s">
        <v>1130</v>
      </c>
      <c r="B1618" t="str">
        <f>CONCATENATE(Consulta1[[#This Row],[id]],Consulta1[[#This Row],[EMPREGADOR]])</f>
        <v>1USP</v>
      </c>
      <c r="C1618" s="6">
        <f>IF(A1618=A1617,C1617+1,1)</f>
        <v>1</v>
      </c>
      <c r="D1618" t="s">
        <v>1131</v>
      </c>
      <c r="E1618" s="101">
        <v>2.5000000000000001E-2</v>
      </c>
      <c r="F1618" s="6">
        <v>96</v>
      </c>
      <c r="G1618" t="s">
        <v>1349</v>
      </c>
      <c r="H1618" s="82">
        <v>2.5</v>
      </c>
      <c r="I1618">
        <v>15</v>
      </c>
      <c r="J1618">
        <v>45</v>
      </c>
      <c r="K1618" t="s">
        <v>2321</v>
      </c>
      <c r="L1618" s="6" t="s">
        <v>1371</v>
      </c>
      <c r="M1618" s="6">
        <v>16</v>
      </c>
      <c r="N1618" s="6">
        <v>2</v>
      </c>
      <c r="O1618">
        <v>500</v>
      </c>
      <c r="P1618">
        <v>202605</v>
      </c>
      <c r="Q1618" t="s">
        <v>378</v>
      </c>
      <c r="R1618" t="s">
        <v>1350</v>
      </c>
      <c r="S1618">
        <f>Consulta1[[#This Row],[min_port]]/100</f>
        <v>1.4499999999999999E-2</v>
      </c>
      <c r="T1618" s="252">
        <f>Consulta1[[#This Row],[TETO_COMERCIAL]]/100</f>
        <v>2.5000000000000001E-2</v>
      </c>
      <c r="U1618" t="b">
        <f>Consulta1[[#This Row],[TETO_COMERCIAL_%]]=Consulta1[[#This Row],[TAXA]]</f>
        <v>1</v>
      </c>
      <c r="V1618" t="str">
        <f>CONCATENATE(Consulta1[[#This Row],[MES_ALTERACAO]],Consulta1[[#This Row],[VIRADA]])</f>
        <v>20260516</v>
      </c>
      <c r="W1618">
        <f>VLOOKUP(Consulta1[[#This Row],[Coluna2]],CALENDARIO!$J:$K,2,FALSE)</f>
        <v>10</v>
      </c>
    </row>
    <row r="1619" spans="1:23" x14ac:dyDescent="0.25">
      <c r="A1619" t="s">
        <v>1130</v>
      </c>
      <c r="B1619" t="str">
        <f>CONCATENATE(Consulta1[[#This Row],[id]],Consulta1[[#This Row],[EMPREGADOR]])</f>
        <v>2USP</v>
      </c>
      <c r="C1619" s="6">
        <f>IF(A1619=A1618,C1618+1,1)</f>
        <v>2</v>
      </c>
      <c r="D1619" t="s">
        <v>1132</v>
      </c>
      <c r="E1619" s="101">
        <v>2.3900000000000001E-2</v>
      </c>
      <c r="F1619" s="6">
        <v>96</v>
      </c>
      <c r="G1619" t="s">
        <v>1349</v>
      </c>
      <c r="H1619" s="82">
        <v>2.5</v>
      </c>
      <c r="I1619">
        <v>15</v>
      </c>
      <c r="J1619">
        <v>44</v>
      </c>
      <c r="K1619" t="s">
        <v>2322</v>
      </c>
      <c r="L1619" s="6" t="s">
        <v>1371</v>
      </c>
      <c r="M1619" s="6">
        <v>16</v>
      </c>
      <c r="N1619" s="6">
        <v>2</v>
      </c>
      <c r="O1619">
        <v>500</v>
      </c>
      <c r="P1619">
        <v>202605</v>
      </c>
      <c r="Q1619" t="s">
        <v>378</v>
      </c>
      <c r="R1619" t="s">
        <v>1350</v>
      </c>
      <c r="S1619">
        <f>Consulta1[[#This Row],[min_port]]/100</f>
        <v>1.4499999999999999E-2</v>
      </c>
      <c r="T1619" s="252">
        <f>Consulta1[[#This Row],[TETO_COMERCIAL]]/100</f>
        <v>2.5000000000000001E-2</v>
      </c>
      <c r="U1619" t="b">
        <f>Consulta1[[#This Row],[TETO_COMERCIAL_%]]=Consulta1[[#This Row],[TAXA]]</f>
        <v>0</v>
      </c>
      <c r="V1619" t="str">
        <f>CONCATENATE(Consulta1[[#This Row],[MES_ALTERACAO]],Consulta1[[#This Row],[VIRADA]])</f>
        <v>20260516</v>
      </c>
      <c r="W1619">
        <f>VLOOKUP(Consulta1[[#This Row],[Coluna2]],CALENDARIO!$J:$K,2,FALSE)</f>
        <v>10</v>
      </c>
    </row>
    <row r="1620" spans="1:23" x14ac:dyDescent="0.25">
      <c r="A1620" t="s">
        <v>1130</v>
      </c>
      <c r="B1620" t="str">
        <f>CONCATENATE(Consulta1[[#This Row],[id]],Consulta1[[#This Row],[EMPREGADOR]])</f>
        <v>3USP</v>
      </c>
      <c r="C1620" s="6">
        <f>IF(A1620=A1619,C1619+1,1)</f>
        <v>3</v>
      </c>
      <c r="D1620" t="s">
        <v>1133</v>
      </c>
      <c r="E1620" s="101">
        <v>2.29E-2</v>
      </c>
      <c r="F1620" s="6">
        <v>96</v>
      </c>
      <c r="G1620" t="s">
        <v>1349</v>
      </c>
      <c r="H1620" s="82">
        <v>2.5</v>
      </c>
      <c r="I1620">
        <v>15</v>
      </c>
      <c r="J1620">
        <v>44</v>
      </c>
      <c r="K1620" t="s">
        <v>2323</v>
      </c>
      <c r="L1620" s="6" t="s">
        <v>1371</v>
      </c>
      <c r="M1620" s="6">
        <v>16</v>
      </c>
      <c r="N1620" s="6">
        <v>2</v>
      </c>
      <c r="O1620">
        <v>500</v>
      </c>
      <c r="P1620">
        <v>202605</v>
      </c>
      <c r="Q1620" t="s">
        <v>378</v>
      </c>
      <c r="R1620" t="s">
        <v>1350</v>
      </c>
      <c r="S1620">
        <f>Consulta1[[#This Row],[min_port]]/100</f>
        <v>1.4499999999999999E-2</v>
      </c>
      <c r="T1620" s="252">
        <f>Consulta1[[#This Row],[TETO_COMERCIAL]]/100</f>
        <v>2.5000000000000001E-2</v>
      </c>
      <c r="U1620" t="b">
        <f>Consulta1[[#This Row],[TETO_COMERCIAL_%]]=Consulta1[[#This Row],[TAXA]]</f>
        <v>0</v>
      </c>
      <c r="V1620" t="str">
        <f>CONCATENATE(Consulta1[[#This Row],[MES_ALTERACAO]],Consulta1[[#This Row],[VIRADA]])</f>
        <v>20260516</v>
      </c>
      <c r="W1620">
        <f>VLOOKUP(Consulta1[[#This Row],[Coluna2]],CALENDARIO!$J:$K,2,FALSE)</f>
        <v>10</v>
      </c>
    </row>
    <row r="1621" spans="1:23" x14ac:dyDescent="0.25">
      <c r="A1621" t="s">
        <v>1130</v>
      </c>
      <c r="B1621" t="str">
        <f>CONCATENATE(Consulta1[[#This Row],[id]],Consulta1[[#This Row],[EMPREGADOR]])</f>
        <v>4USP</v>
      </c>
      <c r="C1621" s="6">
        <f>IF(A1621=A1620,C1620+1,1)</f>
        <v>4</v>
      </c>
      <c r="D1621" t="s">
        <v>1134</v>
      </c>
      <c r="E1621" s="101">
        <v>2.1899999999999999E-2</v>
      </c>
      <c r="F1621" s="6">
        <v>96</v>
      </c>
      <c r="G1621" t="s">
        <v>1349</v>
      </c>
      <c r="H1621" s="82">
        <v>2.5</v>
      </c>
      <c r="I1621">
        <v>15</v>
      </c>
      <c r="J1621">
        <v>44</v>
      </c>
      <c r="K1621" t="s">
        <v>2324</v>
      </c>
      <c r="L1621" s="6" t="s">
        <v>1371</v>
      </c>
      <c r="M1621" s="6">
        <v>16</v>
      </c>
      <c r="N1621" s="6">
        <v>2</v>
      </c>
      <c r="O1621">
        <v>500</v>
      </c>
      <c r="P1621">
        <v>202605</v>
      </c>
      <c r="Q1621" t="s">
        <v>378</v>
      </c>
      <c r="R1621" t="s">
        <v>1350</v>
      </c>
      <c r="S1621">
        <f>Consulta1[[#This Row],[min_port]]/100</f>
        <v>1.4499999999999999E-2</v>
      </c>
      <c r="T1621" s="252">
        <f>Consulta1[[#This Row],[TETO_COMERCIAL]]/100</f>
        <v>2.5000000000000001E-2</v>
      </c>
      <c r="U1621" t="b">
        <f>Consulta1[[#This Row],[TETO_COMERCIAL_%]]=Consulta1[[#This Row],[TAXA]]</f>
        <v>0</v>
      </c>
      <c r="V1621" t="str">
        <f>CONCATENATE(Consulta1[[#This Row],[MES_ALTERACAO]],Consulta1[[#This Row],[VIRADA]])</f>
        <v>20260516</v>
      </c>
      <c r="W1621">
        <f>VLOOKUP(Consulta1[[#This Row],[Coluna2]],CALENDARIO!$J:$K,2,FALSE)</f>
        <v>10</v>
      </c>
    </row>
    <row r="1622" spans="1:23" x14ac:dyDescent="0.25">
      <c r="A1622" t="s">
        <v>1130</v>
      </c>
      <c r="B1622" t="str">
        <f>CONCATENATE(Consulta1[[#This Row],[id]],Consulta1[[#This Row],[EMPREGADOR]])</f>
        <v>5USP</v>
      </c>
      <c r="C1622" s="6">
        <f>IF(A1622=A1621,C1621+1,1)</f>
        <v>5</v>
      </c>
      <c r="D1622" t="s">
        <v>1135</v>
      </c>
      <c r="E1622" s="101">
        <v>2.12E-2</v>
      </c>
      <c r="F1622" s="6">
        <v>96</v>
      </c>
      <c r="G1622" t="s">
        <v>1349</v>
      </c>
      <c r="H1622" s="82">
        <v>2.5</v>
      </c>
      <c r="I1622">
        <v>15</v>
      </c>
      <c r="J1622">
        <v>44</v>
      </c>
      <c r="K1622" t="s">
        <v>2325</v>
      </c>
      <c r="L1622" s="6" t="s">
        <v>1371</v>
      </c>
      <c r="M1622" s="6">
        <v>16</v>
      </c>
      <c r="N1622" s="6">
        <v>2</v>
      </c>
      <c r="O1622">
        <v>500</v>
      </c>
      <c r="P1622">
        <v>202605</v>
      </c>
      <c r="Q1622" t="s">
        <v>378</v>
      </c>
      <c r="R1622" t="s">
        <v>1350</v>
      </c>
      <c r="S1622">
        <f>Consulta1[[#This Row],[min_port]]/100</f>
        <v>1.4499999999999999E-2</v>
      </c>
      <c r="T1622" s="252">
        <f>Consulta1[[#This Row],[TETO_COMERCIAL]]/100</f>
        <v>2.5000000000000001E-2</v>
      </c>
      <c r="U1622" t="b">
        <f>Consulta1[[#This Row],[TETO_COMERCIAL_%]]=Consulta1[[#This Row],[TAXA]]</f>
        <v>0</v>
      </c>
      <c r="V1622" t="str">
        <f>CONCATENATE(Consulta1[[#This Row],[MES_ALTERACAO]],Consulta1[[#This Row],[VIRADA]])</f>
        <v>20260516</v>
      </c>
      <c r="W1622">
        <f>VLOOKUP(Consulta1[[#This Row],[Coluna2]],CALENDARIO!$J:$K,2,FALSE)</f>
        <v>10</v>
      </c>
    </row>
    <row r="1623" spans="1:23" x14ac:dyDescent="0.25">
      <c r="A1623" t="s">
        <v>1136</v>
      </c>
      <c r="B1623" t="str">
        <f>CONCATENATE(Consulta1[[#This Row],[id]],Consulta1[[#This Row],[EMPREGADOR]])</f>
        <v>1USP CLT</v>
      </c>
      <c r="C1623" s="6">
        <f>IF(A1623=A1622,C1622+1,1)</f>
        <v>1</v>
      </c>
      <c r="D1623" t="s">
        <v>1137</v>
      </c>
      <c r="E1623" s="101">
        <v>2.5000000000000001E-2</v>
      </c>
      <c r="F1623" s="6">
        <v>96</v>
      </c>
      <c r="G1623" t="s">
        <v>1349</v>
      </c>
      <c r="H1623" s="82">
        <v>2.5</v>
      </c>
      <c r="I1623">
        <v>15</v>
      </c>
      <c r="J1623">
        <v>45</v>
      </c>
      <c r="K1623" t="s">
        <v>2326</v>
      </c>
      <c r="L1623" s="6" t="s">
        <v>1371</v>
      </c>
      <c r="M1623" s="6">
        <v>16</v>
      </c>
      <c r="N1623" s="6">
        <v>2</v>
      </c>
      <c r="O1623">
        <v>500</v>
      </c>
      <c r="P1623">
        <v>202605</v>
      </c>
      <c r="Q1623" t="s">
        <v>378</v>
      </c>
      <c r="R1623" t="s">
        <v>1350</v>
      </c>
      <c r="S1623">
        <f>Consulta1[[#This Row],[min_port]]/100</f>
        <v>1.4499999999999999E-2</v>
      </c>
      <c r="T1623" s="252">
        <f>Consulta1[[#This Row],[TETO_COMERCIAL]]/100</f>
        <v>2.5000000000000001E-2</v>
      </c>
      <c r="U1623" t="b">
        <f>Consulta1[[#This Row],[TETO_COMERCIAL_%]]=Consulta1[[#This Row],[TAXA]]</f>
        <v>1</v>
      </c>
      <c r="V1623" t="str">
        <f>CONCATENATE(Consulta1[[#This Row],[MES_ALTERACAO]],Consulta1[[#This Row],[VIRADA]])</f>
        <v>20260516</v>
      </c>
      <c r="W1623">
        <f>VLOOKUP(Consulta1[[#This Row],[Coluna2]],CALENDARIO!$J:$K,2,FALSE)</f>
        <v>10</v>
      </c>
    </row>
    <row r="1624" spans="1:23" x14ac:dyDescent="0.25">
      <c r="A1624" t="s">
        <v>1136</v>
      </c>
      <c r="B1624" t="str">
        <f>CONCATENATE(Consulta1[[#This Row],[id]],Consulta1[[#This Row],[EMPREGADOR]])</f>
        <v>2USP CLT</v>
      </c>
      <c r="C1624" s="6">
        <f>IF(A1624=A1623,C1623+1,1)</f>
        <v>2</v>
      </c>
      <c r="D1624" t="s">
        <v>1138</v>
      </c>
      <c r="E1624" s="101">
        <v>2.3900000000000001E-2</v>
      </c>
      <c r="F1624" s="6">
        <v>96</v>
      </c>
      <c r="G1624" t="s">
        <v>1349</v>
      </c>
      <c r="H1624" s="82">
        <v>2.5</v>
      </c>
      <c r="I1624">
        <v>15</v>
      </c>
      <c r="J1624">
        <v>44</v>
      </c>
      <c r="K1624" t="s">
        <v>2327</v>
      </c>
      <c r="L1624" s="6" t="s">
        <v>1371</v>
      </c>
      <c r="M1624" s="6">
        <v>16</v>
      </c>
      <c r="N1624" s="6">
        <v>2</v>
      </c>
      <c r="O1624">
        <v>500</v>
      </c>
      <c r="P1624">
        <v>202605</v>
      </c>
      <c r="Q1624" t="s">
        <v>378</v>
      </c>
      <c r="R1624" t="s">
        <v>1350</v>
      </c>
      <c r="S1624">
        <f>Consulta1[[#This Row],[min_port]]/100</f>
        <v>1.4499999999999999E-2</v>
      </c>
      <c r="T1624" s="252">
        <f>Consulta1[[#This Row],[TETO_COMERCIAL]]/100</f>
        <v>2.5000000000000001E-2</v>
      </c>
      <c r="U1624" t="b">
        <f>Consulta1[[#This Row],[TETO_COMERCIAL_%]]=Consulta1[[#This Row],[TAXA]]</f>
        <v>0</v>
      </c>
      <c r="V1624" t="str">
        <f>CONCATENATE(Consulta1[[#This Row],[MES_ALTERACAO]],Consulta1[[#This Row],[VIRADA]])</f>
        <v>20260516</v>
      </c>
      <c r="W1624">
        <f>VLOOKUP(Consulta1[[#This Row],[Coluna2]],CALENDARIO!$J:$K,2,FALSE)</f>
        <v>10</v>
      </c>
    </row>
    <row r="1625" spans="1:23" x14ac:dyDescent="0.25">
      <c r="A1625" t="s">
        <v>1136</v>
      </c>
      <c r="B1625" t="str">
        <f>CONCATENATE(Consulta1[[#This Row],[id]],Consulta1[[#This Row],[EMPREGADOR]])</f>
        <v>3USP CLT</v>
      </c>
      <c r="C1625" s="6">
        <f>IF(A1625=A1624,C1624+1,1)</f>
        <v>3</v>
      </c>
      <c r="D1625" t="s">
        <v>1139</v>
      </c>
      <c r="E1625" s="101">
        <v>2.29E-2</v>
      </c>
      <c r="F1625" s="6">
        <v>96</v>
      </c>
      <c r="G1625" t="s">
        <v>1349</v>
      </c>
      <c r="H1625" s="82">
        <v>2.5</v>
      </c>
      <c r="I1625">
        <v>15</v>
      </c>
      <c r="J1625">
        <v>44</v>
      </c>
      <c r="K1625" t="s">
        <v>2328</v>
      </c>
      <c r="L1625" s="6" t="s">
        <v>1371</v>
      </c>
      <c r="M1625" s="6">
        <v>16</v>
      </c>
      <c r="N1625" s="6">
        <v>2</v>
      </c>
      <c r="O1625">
        <v>500</v>
      </c>
      <c r="P1625">
        <v>202605</v>
      </c>
      <c r="Q1625" t="s">
        <v>378</v>
      </c>
      <c r="R1625" t="s">
        <v>1350</v>
      </c>
      <c r="S1625">
        <f>Consulta1[[#This Row],[min_port]]/100</f>
        <v>1.4499999999999999E-2</v>
      </c>
      <c r="T1625" s="252">
        <f>Consulta1[[#This Row],[TETO_COMERCIAL]]/100</f>
        <v>2.5000000000000001E-2</v>
      </c>
      <c r="U1625" t="b">
        <f>Consulta1[[#This Row],[TETO_COMERCIAL_%]]=Consulta1[[#This Row],[TAXA]]</f>
        <v>0</v>
      </c>
      <c r="V1625" t="str">
        <f>CONCATENATE(Consulta1[[#This Row],[MES_ALTERACAO]],Consulta1[[#This Row],[VIRADA]])</f>
        <v>20260516</v>
      </c>
      <c r="W1625">
        <f>VLOOKUP(Consulta1[[#This Row],[Coluna2]],CALENDARIO!$J:$K,2,FALSE)</f>
        <v>10</v>
      </c>
    </row>
    <row r="1626" spans="1:23" x14ac:dyDescent="0.25">
      <c r="A1626" t="s">
        <v>1136</v>
      </c>
      <c r="B1626" t="str">
        <f>CONCATENATE(Consulta1[[#This Row],[id]],Consulta1[[#This Row],[EMPREGADOR]])</f>
        <v>4USP CLT</v>
      </c>
      <c r="C1626" s="6">
        <f>IF(A1626=A1625,C1625+1,1)</f>
        <v>4</v>
      </c>
      <c r="D1626" t="s">
        <v>1140</v>
      </c>
      <c r="E1626" s="101">
        <v>2.1899999999999999E-2</v>
      </c>
      <c r="F1626" s="6">
        <v>96</v>
      </c>
      <c r="G1626" t="s">
        <v>1349</v>
      </c>
      <c r="H1626" s="82">
        <v>2.5</v>
      </c>
      <c r="I1626">
        <v>15</v>
      </c>
      <c r="J1626">
        <v>44</v>
      </c>
      <c r="K1626" t="s">
        <v>2329</v>
      </c>
      <c r="L1626" s="6" t="s">
        <v>1371</v>
      </c>
      <c r="M1626" s="6">
        <v>16</v>
      </c>
      <c r="N1626" s="6">
        <v>2</v>
      </c>
      <c r="O1626">
        <v>500</v>
      </c>
      <c r="P1626">
        <v>202605</v>
      </c>
      <c r="Q1626" t="s">
        <v>378</v>
      </c>
      <c r="R1626" t="s">
        <v>1350</v>
      </c>
      <c r="S1626">
        <f>Consulta1[[#This Row],[min_port]]/100</f>
        <v>1.4499999999999999E-2</v>
      </c>
      <c r="T1626" s="252">
        <f>Consulta1[[#This Row],[TETO_COMERCIAL]]/100</f>
        <v>2.5000000000000001E-2</v>
      </c>
      <c r="U1626" t="b">
        <f>Consulta1[[#This Row],[TETO_COMERCIAL_%]]=Consulta1[[#This Row],[TAXA]]</f>
        <v>0</v>
      </c>
      <c r="V1626" t="str">
        <f>CONCATENATE(Consulta1[[#This Row],[MES_ALTERACAO]],Consulta1[[#This Row],[VIRADA]])</f>
        <v>20260516</v>
      </c>
      <c r="W1626">
        <f>VLOOKUP(Consulta1[[#This Row],[Coluna2]],CALENDARIO!$J:$K,2,FALSE)</f>
        <v>10</v>
      </c>
    </row>
    <row r="1627" spans="1:23" x14ac:dyDescent="0.25">
      <c r="A1627" t="s">
        <v>1136</v>
      </c>
      <c r="B1627" t="str">
        <f>CONCATENATE(Consulta1[[#This Row],[id]],Consulta1[[#This Row],[EMPREGADOR]])</f>
        <v>5USP CLT</v>
      </c>
      <c r="C1627" s="6">
        <f>IF(A1627=A1626,C1626+1,1)</f>
        <v>5</v>
      </c>
      <c r="D1627" t="s">
        <v>1141</v>
      </c>
      <c r="E1627" s="101">
        <v>2.12E-2</v>
      </c>
      <c r="F1627" s="6">
        <v>96</v>
      </c>
      <c r="G1627" t="s">
        <v>1349</v>
      </c>
      <c r="H1627" s="82">
        <v>2.5</v>
      </c>
      <c r="I1627">
        <v>15</v>
      </c>
      <c r="J1627">
        <v>44</v>
      </c>
      <c r="K1627" t="s">
        <v>2330</v>
      </c>
      <c r="L1627" s="6" t="s">
        <v>1371</v>
      </c>
      <c r="M1627" s="6">
        <v>16</v>
      </c>
      <c r="N1627" s="6">
        <v>2</v>
      </c>
      <c r="O1627">
        <v>500</v>
      </c>
      <c r="P1627">
        <v>202605</v>
      </c>
      <c r="Q1627" t="s">
        <v>378</v>
      </c>
      <c r="R1627" t="s">
        <v>1350</v>
      </c>
      <c r="S1627">
        <f>Consulta1[[#This Row],[min_port]]/100</f>
        <v>1.4499999999999999E-2</v>
      </c>
      <c r="T1627" s="252">
        <f>Consulta1[[#This Row],[TETO_COMERCIAL]]/100</f>
        <v>2.5000000000000001E-2</v>
      </c>
      <c r="U1627" t="b">
        <f>Consulta1[[#This Row],[TETO_COMERCIAL_%]]=Consulta1[[#This Row],[TAXA]]</f>
        <v>0</v>
      </c>
      <c r="V1627" t="str">
        <f>CONCATENATE(Consulta1[[#This Row],[MES_ALTERACAO]],Consulta1[[#This Row],[VIRADA]])</f>
        <v>20260516</v>
      </c>
      <c r="W1627">
        <f>VLOOKUP(Consulta1[[#This Row],[Coluna2]],CALENDARIO!$J:$K,2,FALSE)</f>
        <v>10</v>
      </c>
    </row>
    <row r="1634" spans="1:1" x14ac:dyDescent="0.25">
      <c r="A1634" s="284"/>
    </row>
    <row r="1635" spans="1:1" x14ac:dyDescent="0.25">
      <c r="A1635" s="285"/>
    </row>
    <row r="1636" spans="1:1" x14ac:dyDescent="0.25">
      <c r="A1636" s="285"/>
    </row>
    <row r="1637" spans="1:1" x14ac:dyDescent="0.25">
      <c r="A1637" s="285"/>
    </row>
    <row r="1638" spans="1:1" x14ac:dyDescent="0.25">
      <c r="A1638" s="284"/>
    </row>
  </sheetData>
  <phoneticPr fontId="20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CC94-35C5-48A6-B1B2-C930289C7AC8}">
  <sheetPr codeName="Planilha121"/>
  <dimension ref="A1:K2558"/>
  <sheetViews>
    <sheetView workbookViewId="0">
      <selection activeCell="K2" sqref="K2"/>
    </sheetView>
  </sheetViews>
  <sheetFormatPr defaultRowHeight="15" x14ac:dyDescent="0.25"/>
  <cols>
    <col min="1" max="1" width="9" bestFit="1" customWidth="1"/>
    <col min="2" max="2" width="21.85546875" bestFit="1" customWidth="1"/>
    <col min="3" max="3" width="10.7109375" bestFit="1" customWidth="1"/>
    <col min="4" max="4" width="16.28515625" bestFit="1" customWidth="1"/>
    <col min="5" max="5" width="11.28515625" bestFit="1" customWidth="1"/>
    <col min="6" max="6" width="24.7109375" bestFit="1" customWidth="1"/>
    <col min="7" max="7" width="10.42578125" bestFit="1" customWidth="1"/>
    <col min="8" max="8" width="8.28515625" style="6" bestFit="1" customWidth="1"/>
    <col min="9" max="9" width="9.28515625" style="6" bestFit="1" customWidth="1"/>
    <col min="10" max="11" width="10.42578125" bestFit="1" customWidth="1"/>
  </cols>
  <sheetData>
    <row r="1" spans="1:11" x14ac:dyDescent="0.25">
      <c r="A1" t="s">
        <v>296</v>
      </c>
      <c r="B1" t="s">
        <v>297</v>
      </c>
      <c r="C1" t="s">
        <v>298</v>
      </c>
      <c r="D1" t="s">
        <v>299</v>
      </c>
      <c r="E1" t="s">
        <v>300</v>
      </c>
      <c r="F1" t="s">
        <v>301</v>
      </c>
      <c r="G1" t="s">
        <v>208</v>
      </c>
      <c r="H1" s="6" t="s">
        <v>316</v>
      </c>
      <c r="I1" s="6" t="s">
        <v>317</v>
      </c>
      <c r="J1" t="s">
        <v>302</v>
      </c>
      <c r="K1" t="s">
        <v>303</v>
      </c>
    </row>
    <row r="2" spans="1:11" x14ac:dyDescent="0.25">
      <c r="A2">
        <v>202401</v>
      </c>
      <c r="B2">
        <v>0</v>
      </c>
      <c r="C2" s="148">
        <v>45292</v>
      </c>
      <c r="D2">
        <v>22</v>
      </c>
      <c r="E2">
        <v>22</v>
      </c>
      <c r="F2">
        <v>0</v>
      </c>
      <c r="G2">
        <f>Consulta2[[#This Row],[DIA_UTIL_CORRENTE]]</f>
        <v>0</v>
      </c>
      <c r="H2" s="6">
        <f>DAY(Consulta2[[#This Row],[DATA]])</f>
        <v>1</v>
      </c>
      <c r="I2" s="6">
        <f>MONTH(Consulta2[[#This Row],[DATA]])</f>
        <v>1</v>
      </c>
      <c r="J2" t="str">
        <f>CONCATENATE(Consulta2[[#This Row],[SAFRA]],Consulta2[[#This Row],[dia]])</f>
        <v>2024011</v>
      </c>
      <c r="K2">
        <f>Consulta2[[#This Row],[DIA_UTIL_CORRENTE]]</f>
        <v>0</v>
      </c>
    </row>
    <row r="3" spans="1:11" x14ac:dyDescent="0.25">
      <c r="A3">
        <v>202401</v>
      </c>
      <c r="B3">
        <v>1</v>
      </c>
      <c r="C3" s="148">
        <v>45293</v>
      </c>
      <c r="D3">
        <v>22</v>
      </c>
      <c r="E3">
        <v>22</v>
      </c>
      <c r="F3">
        <v>1</v>
      </c>
      <c r="G3">
        <f>Consulta2[[#This Row],[DIA_UTIL_CORRENTE]]</f>
        <v>1</v>
      </c>
      <c r="H3" s="6">
        <f>DAY(Consulta2[[#This Row],[DATA]])</f>
        <v>2</v>
      </c>
      <c r="I3" s="6">
        <f>MONTH(Consulta2[[#This Row],[DATA]])</f>
        <v>1</v>
      </c>
      <c r="J3" t="str">
        <f>CONCATENATE(Consulta2[[#This Row],[SAFRA]],Consulta2[[#This Row],[dia]])</f>
        <v>2024012</v>
      </c>
      <c r="K3">
        <f>Consulta2[[#This Row],[DIA_UTIL_CORRENTE]]</f>
        <v>1</v>
      </c>
    </row>
    <row r="4" spans="1:11" x14ac:dyDescent="0.25">
      <c r="A4">
        <v>202401</v>
      </c>
      <c r="B4">
        <v>2</v>
      </c>
      <c r="C4" s="148">
        <v>45294</v>
      </c>
      <c r="D4">
        <v>22</v>
      </c>
      <c r="E4">
        <v>22</v>
      </c>
      <c r="F4">
        <v>2</v>
      </c>
      <c r="G4">
        <f>Consulta2[[#This Row],[DIA_UTIL_CORRENTE]]</f>
        <v>2</v>
      </c>
      <c r="H4" s="6">
        <f>DAY(Consulta2[[#This Row],[DATA]])</f>
        <v>3</v>
      </c>
      <c r="I4" s="6">
        <f>MONTH(Consulta2[[#This Row],[DATA]])</f>
        <v>1</v>
      </c>
      <c r="J4" t="str">
        <f>CONCATENATE(Consulta2[[#This Row],[SAFRA]],Consulta2[[#This Row],[dia]])</f>
        <v>2024013</v>
      </c>
      <c r="K4">
        <f>Consulta2[[#This Row],[DIA_UTIL_CORRENTE]]</f>
        <v>2</v>
      </c>
    </row>
    <row r="5" spans="1:11" x14ac:dyDescent="0.25">
      <c r="A5">
        <v>202401</v>
      </c>
      <c r="B5">
        <v>3</v>
      </c>
      <c r="C5" s="148">
        <v>45295</v>
      </c>
      <c r="D5">
        <v>22</v>
      </c>
      <c r="E5">
        <v>22</v>
      </c>
      <c r="F5">
        <v>3</v>
      </c>
      <c r="G5">
        <f>Consulta2[[#This Row],[DIA_UTIL_CORRENTE]]</f>
        <v>3</v>
      </c>
      <c r="H5" s="6">
        <f>DAY(Consulta2[[#This Row],[DATA]])</f>
        <v>4</v>
      </c>
      <c r="I5" s="6">
        <f>MONTH(Consulta2[[#This Row],[DATA]])</f>
        <v>1</v>
      </c>
      <c r="J5" t="str">
        <f>CONCATENATE(Consulta2[[#This Row],[SAFRA]],Consulta2[[#This Row],[dia]])</f>
        <v>2024014</v>
      </c>
      <c r="K5">
        <f>Consulta2[[#This Row],[DIA_UTIL_CORRENTE]]</f>
        <v>3</v>
      </c>
    </row>
    <row r="6" spans="1:11" x14ac:dyDescent="0.25">
      <c r="A6">
        <v>202401</v>
      </c>
      <c r="B6">
        <v>4</v>
      </c>
      <c r="C6" s="148">
        <v>45296</v>
      </c>
      <c r="D6">
        <v>22</v>
      </c>
      <c r="E6">
        <v>22</v>
      </c>
      <c r="F6">
        <v>4</v>
      </c>
      <c r="G6">
        <f>Consulta2[[#This Row],[DIA_UTIL_CORRENTE]]</f>
        <v>4</v>
      </c>
      <c r="H6" s="6">
        <f>DAY(Consulta2[[#This Row],[DATA]])</f>
        <v>5</v>
      </c>
      <c r="I6" s="6">
        <f>MONTH(Consulta2[[#This Row],[DATA]])</f>
        <v>1</v>
      </c>
      <c r="J6" t="str">
        <f>CONCATENATE(Consulta2[[#This Row],[SAFRA]],Consulta2[[#This Row],[dia]])</f>
        <v>2024015</v>
      </c>
      <c r="K6">
        <f>Consulta2[[#This Row],[DIA_UTIL_CORRENTE]]</f>
        <v>4</v>
      </c>
    </row>
    <row r="7" spans="1:11" x14ac:dyDescent="0.25">
      <c r="A7">
        <v>202401</v>
      </c>
      <c r="B7">
        <v>4</v>
      </c>
      <c r="C7" s="148">
        <v>45297</v>
      </c>
      <c r="D7">
        <v>22</v>
      </c>
      <c r="E7">
        <v>22</v>
      </c>
      <c r="F7">
        <v>4</v>
      </c>
      <c r="G7">
        <f>Consulta2[[#This Row],[DIA_UTIL_CORRENTE]]</f>
        <v>4</v>
      </c>
      <c r="H7" s="6">
        <f>DAY(Consulta2[[#This Row],[DATA]])</f>
        <v>6</v>
      </c>
      <c r="I7" s="6">
        <f>MONTH(Consulta2[[#This Row],[DATA]])</f>
        <v>1</v>
      </c>
      <c r="J7" t="str">
        <f>CONCATENATE(Consulta2[[#This Row],[SAFRA]],Consulta2[[#This Row],[dia]])</f>
        <v>2024016</v>
      </c>
      <c r="K7">
        <f>Consulta2[[#This Row],[DIA_UTIL_CORRENTE]]</f>
        <v>4</v>
      </c>
    </row>
    <row r="8" spans="1:11" x14ac:dyDescent="0.25">
      <c r="A8">
        <v>202401</v>
      </c>
      <c r="B8">
        <v>4</v>
      </c>
      <c r="C8" s="148">
        <v>45298</v>
      </c>
      <c r="D8">
        <v>22</v>
      </c>
      <c r="E8">
        <v>22</v>
      </c>
      <c r="F8">
        <v>4</v>
      </c>
      <c r="G8">
        <f>Consulta2[[#This Row],[DIA_UTIL_CORRENTE]]</f>
        <v>4</v>
      </c>
      <c r="H8" s="6">
        <f>DAY(Consulta2[[#This Row],[DATA]])</f>
        <v>7</v>
      </c>
      <c r="I8" s="6">
        <f>MONTH(Consulta2[[#This Row],[DATA]])</f>
        <v>1</v>
      </c>
      <c r="J8" t="str">
        <f>CONCATENATE(Consulta2[[#This Row],[SAFRA]],Consulta2[[#This Row],[dia]])</f>
        <v>2024017</v>
      </c>
      <c r="K8">
        <f>Consulta2[[#This Row],[DIA_UTIL_CORRENTE]]</f>
        <v>4</v>
      </c>
    </row>
    <row r="9" spans="1:11" x14ac:dyDescent="0.25">
      <c r="A9">
        <v>202401</v>
      </c>
      <c r="B9">
        <v>5</v>
      </c>
      <c r="C9" s="148">
        <v>45299</v>
      </c>
      <c r="D9">
        <v>22</v>
      </c>
      <c r="E9">
        <v>22</v>
      </c>
      <c r="F9">
        <v>5</v>
      </c>
      <c r="G9">
        <f>Consulta2[[#This Row],[DIA_UTIL_CORRENTE]]</f>
        <v>5</v>
      </c>
      <c r="H9" s="6">
        <f>DAY(Consulta2[[#This Row],[DATA]])</f>
        <v>8</v>
      </c>
      <c r="I9" s="6">
        <f>MONTH(Consulta2[[#This Row],[DATA]])</f>
        <v>1</v>
      </c>
      <c r="J9" t="str">
        <f>CONCATENATE(Consulta2[[#This Row],[SAFRA]],Consulta2[[#This Row],[dia]])</f>
        <v>2024018</v>
      </c>
      <c r="K9">
        <f>Consulta2[[#This Row],[DIA_UTIL_CORRENTE]]</f>
        <v>5</v>
      </c>
    </row>
    <row r="10" spans="1:11" x14ac:dyDescent="0.25">
      <c r="A10">
        <v>202401</v>
      </c>
      <c r="B10">
        <v>6</v>
      </c>
      <c r="C10" s="148">
        <v>45300</v>
      </c>
      <c r="D10">
        <v>22</v>
      </c>
      <c r="E10">
        <v>22</v>
      </c>
      <c r="F10">
        <v>6</v>
      </c>
      <c r="G10">
        <f>Consulta2[[#This Row],[DIA_UTIL_CORRENTE]]</f>
        <v>6</v>
      </c>
      <c r="H10" s="6">
        <f>DAY(Consulta2[[#This Row],[DATA]])</f>
        <v>9</v>
      </c>
      <c r="I10" s="6">
        <f>MONTH(Consulta2[[#This Row],[DATA]])</f>
        <v>1</v>
      </c>
      <c r="J10" t="str">
        <f>CONCATENATE(Consulta2[[#This Row],[SAFRA]],Consulta2[[#This Row],[dia]])</f>
        <v>2024019</v>
      </c>
      <c r="K10">
        <f>Consulta2[[#This Row],[DIA_UTIL_CORRENTE]]</f>
        <v>6</v>
      </c>
    </row>
    <row r="11" spans="1:11" x14ac:dyDescent="0.25">
      <c r="A11">
        <v>202401</v>
      </c>
      <c r="B11">
        <v>7</v>
      </c>
      <c r="C11" s="148">
        <v>45301</v>
      </c>
      <c r="D11">
        <v>22</v>
      </c>
      <c r="E11">
        <v>22</v>
      </c>
      <c r="F11">
        <v>7</v>
      </c>
      <c r="G11">
        <f>Consulta2[[#This Row],[DIA_UTIL_CORRENTE]]</f>
        <v>7</v>
      </c>
      <c r="H11" s="6">
        <f>DAY(Consulta2[[#This Row],[DATA]])</f>
        <v>10</v>
      </c>
      <c r="I11" s="6">
        <f>MONTH(Consulta2[[#This Row],[DATA]])</f>
        <v>1</v>
      </c>
      <c r="J11" t="str">
        <f>CONCATENATE(Consulta2[[#This Row],[SAFRA]],Consulta2[[#This Row],[dia]])</f>
        <v>20240110</v>
      </c>
      <c r="K11">
        <f>Consulta2[[#This Row],[DIA_UTIL_CORRENTE]]</f>
        <v>7</v>
      </c>
    </row>
    <row r="12" spans="1:11" x14ac:dyDescent="0.25">
      <c r="A12">
        <v>202401</v>
      </c>
      <c r="B12">
        <v>8</v>
      </c>
      <c r="C12" s="148">
        <v>45302</v>
      </c>
      <c r="D12">
        <v>22</v>
      </c>
      <c r="E12">
        <v>22</v>
      </c>
      <c r="F12">
        <v>8</v>
      </c>
      <c r="G12">
        <f>Consulta2[[#This Row],[DIA_UTIL_CORRENTE]]</f>
        <v>8</v>
      </c>
      <c r="H12" s="6">
        <f>DAY(Consulta2[[#This Row],[DATA]])</f>
        <v>11</v>
      </c>
      <c r="I12" s="6">
        <f>MONTH(Consulta2[[#This Row],[DATA]])</f>
        <v>1</v>
      </c>
      <c r="J12" t="str">
        <f>CONCATENATE(Consulta2[[#This Row],[SAFRA]],Consulta2[[#This Row],[dia]])</f>
        <v>20240111</v>
      </c>
      <c r="K12">
        <f>Consulta2[[#This Row],[DIA_UTIL_CORRENTE]]</f>
        <v>8</v>
      </c>
    </row>
    <row r="13" spans="1:11" x14ac:dyDescent="0.25">
      <c r="A13">
        <v>202401</v>
      </c>
      <c r="B13">
        <v>9</v>
      </c>
      <c r="C13" s="148">
        <v>45303</v>
      </c>
      <c r="D13">
        <v>22</v>
      </c>
      <c r="E13">
        <v>22</v>
      </c>
      <c r="F13">
        <v>9</v>
      </c>
      <c r="G13">
        <f>Consulta2[[#This Row],[DIA_UTIL_CORRENTE]]</f>
        <v>9</v>
      </c>
      <c r="H13" s="6">
        <f>DAY(Consulta2[[#This Row],[DATA]])</f>
        <v>12</v>
      </c>
      <c r="I13" s="6">
        <f>MONTH(Consulta2[[#This Row],[DATA]])</f>
        <v>1</v>
      </c>
      <c r="J13" t="str">
        <f>CONCATENATE(Consulta2[[#This Row],[SAFRA]],Consulta2[[#This Row],[dia]])</f>
        <v>20240112</v>
      </c>
      <c r="K13">
        <f>Consulta2[[#This Row],[DIA_UTIL_CORRENTE]]</f>
        <v>9</v>
      </c>
    </row>
    <row r="14" spans="1:11" x14ac:dyDescent="0.25">
      <c r="A14">
        <v>202401</v>
      </c>
      <c r="B14">
        <v>9</v>
      </c>
      <c r="C14" s="148">
        <v>45304</v>
      </c>
      <c r="D14">
        <v>22</v>
      </c>
      <c r="E14">
        <v>22</v>
      </c>
      <c r="F14">
        <v>9</v>
      </c>
      <c r="G14">
        <f>Consulta2[[#This Row],[DIA_UTIL_CORRENTE]]</f>
        <v>9</v>
      </c>
      <c r="H14" s="6">
        <f>DAY(Consulta2[[#This Row],[DATA]])</f>
        <v>13</v>
      </c>
      <c r="I14" s="6">
        <f>MONTH(Consulta2[[#This Row],[DATA]])</f>
        <v>1</v>
      </c>
      <c r="J14" t="str">
        <f>CONCATENATE(Consulta2[[#This Row],[SAFRA]],Consulta2[[#This Row],[dia]])</f>
        <v>20240113</v>
      </c>
      <c r="K14">
        <f>Consulta2[[#This Row],[DIA_UTIL_CORRENTE]]</f>
        <v>9</v>
      </c>
    </row>
    <row r="15" spans="1:11" x14ac:dyDescent="0.25">
      <c r="A15">
        <v>202401</v>
      </c>
      <c r="B15">
        <v>9</v>
      </c>
      <c r="C15" s="148">
        <v>45305</v>
      </c>
      <c r="D15">
        <v>22</v>
      </c>
      <c r="E15">
        <v>22</v>
      </c>
      <c r="F15">
        <v>9</v>
      </c>
      <c r="G15">
        <f>Consulta2[[#This Row],[DIA_UTIL_CORRENTE]]</f>
        <v>9</v>
      </c>
      <c r="H15" s="6">
        <f>DAY(Consulta2[[#This Row],[DATA]])</f>
        <v>14</v>
      </c>
      <c r="I15" s="6">
        <f>MONTH(Consulta2[[#This Row],[DATA]])</f>
        <v>1</v>
      </c>
      <c r="J15" t="str">
        <f>CONCATENATE(Consulta2[[#This Row],[SAFRA]],Consulta2[[#This Row],[dia]])</f>
        <v>20240114</v>
      </c>
      <c r="K15">
        <f>Consulta2[[#This Row],[DIA_UTIL_CORRENTE]]</f>
        <v>9</v>
      </c>
    </row>
    <row r="16" spans="1:11" x14ac:dyDescent="0.25">
      <c r="A16">
        <v>202401</v>
      </c>
      <c r="B16">
        <v>10</v>
      </c>
      <c r="C16" s="148">
        <v>45306</v>
      </c>
      <c r="D16">
        <v>22</v>
      </c>
      <c r="E16">
        <v>22</v>
      </c>
      <c r="F16">
        <v>10</v>
      </c>
      <c r="G16">
        <f>Consulta2[[#This Row],[DIA_UTIL_CORRENTE]]</f>
        <v>10</v>
      </c>
      <c r="H16" s="6">
        <f>DAY(Consulta2[[#This Row],[DATA]])</f>
        <v>15</v>
      </c>
      <c r="I16" s="6">
        <f>MONTH(Consulta2[[#This Row],[DATA]])</f>
        <v>1</v>
      </c>
      <c r="J16" t="str">
        <f>CONCATENATE(Consulta2[[#This Row],[SAFRA]],Consulta2[[#This Row],[dia]])</f>
        <v>20240115</v>
      </c>
      <c r="K16">
        <f>Consulta2[[#This Row],[DIA_UTIL_CORRENTE]]</f>
        <v>10</v>
      </c>
    </row>
    <row r="17" spans="1:11" x14ac:dyDescent="0.25">
      <c r="A17">
        <v>202401</v>
      </c>
      <c r="B17">
        <v>11</v>
      </c>
      <c r="C17" s="148">
        <v>45307</v>
      </c>
      <c r="D17">
        <v>22</v>
      </c>
      <c r="E17">
        <v>22</v>
      </c>
      <c r="F17">
        <v>11</v>
      </c>
      <c r="G17">
        <f>Consulta2[[#This Row],[DIA_UTIL_CORRENTE]]</f>
        <v>11</v>
      </c>
      <c r="H17" s="6">
        <f>DAY(Consulta2[[#This Row],[DATA]])</f>
        <v>16</v>
      </c>
      <c r="I17" s="6">
        <f>MONTH(Consulta2[[#This Row],[DATA]])</f>
        <v>1</v>
      </c>
      <c r="J17" t="str">
        <f>CONCATENATE(Consulta2[[#This Row],[SAFRA]],Consulta2[[#This Row],[dia]])</f>
        <v>20240116</v>
      </c>
      <c r="K17">
        <f>Consulta2[[#This Row],[DIA_UTIL_CORRENTE]]</f>
        <v>11</v>
      </c>
    </row>
    <row r="18" spans="1:11" x14ac:dyDescent="0.25">
      <c r="A18">
        <v>202401</v>
      </c>
      <c r="B18">
        <v>12</v>
      </c>
      <c r="C18" s="148">
        <v>45308</v>
      </c>
      <c r="D18">
        <v>22</v>
      </c>
      <c r="E18">
        <v>22</v>
      </c>
      <c r="F18">
        <v>12</v>
      </c>
      <c r="G18">
        <f>Consulta2[[#This Row],[DIA_UTIL_CORRENTE]]</f>
        <v>12</v>
      </c>
      <c r="H18" s="6">
        <f>DAY(Consulta2[[#This Row],[DATA]])</f>
        <v>17</v>
      </c>
      <c r="I18" s="6">
        <f>MONTH(Consulta2[[#This Row],[DATA]])</f>
        <v>1</v>
      </c>
      <c r="J18" t="str">
        <f>CONCATENATE(Consulta2[[#This Row],[SAFRA]],Consulta2[[#This Row],[dia]])</f>
        <v>20240117</v>
      </c>
      <c r="K18">
        <f>Consulta2[[#This Row],[DIA_UTIL_CORRENTE]]</f>
        <v>12</v>
      </c>
    </row>
    <row r="19" spans="1:11" x14ac:dyDescent="0.25">
      <c r="A19">
        <v>202401</v>
      </c>
      <c r="B19">
        <v>13</v>
      </c>
      <c r="C19" s="148">
        <v>45309</v>
      </c>
      <c r="D19">
        <v>22</v>
      </c>
      <c r="E19">
        <v>22</v>
      </c>
      <c r="F19">
        <v>13</v>
      </c>
      <c r="G19">
        <f>Consulta2[[#This Row],[DIA_UTIL_CORRENTE]]</f>
        <v>13</v>
      </c>
      <c r="H19" s="6">
        <f>DAY(Consulta2[[#This Row],[DATA]])</f>
        <v>18</v>
      </c>
      <c r="I19" s="6">
        <f>MONTH(Consulta2[[#This Row],[DATA]])</f>
        <v>1</v>
      </c>
      <c r="J19" t="str">
        <f>CONCATENATE(Consulta2[[#This Row],[SAFRA]],Consulta2[[#This Row],[dia]])</f>
        <v>20240118</v>
      </c>
      <c r="K19">
        <f>Consulta2[[#This Row],[DIA_UTIL_CORRENTE]]</f>
        <v>13</v>
      </c>
    </row>
    <row r="20" spans="1:11" x14ac:dyDescent="0.25">
      <c r="A20">
        <v>202401</v>
      </c>
      <c r="B20">
        <v>14</v>
      </c>
      <c r="C20" s="148">
        <v>45310</v>
      </c>
      <c r="D20">
        <v>22</v>
      </c>
      <c r="E20">
        <v>22</v>
      </c>
      <c r="F20">
        <v>14</v>
      </c>
      <c r="G20">
        <f>Consulta2[[#This Row],[DIA_UTIL_CORRENTE]]</f>
        <v>14</v>
      </c>
      <c r="H20" s="6">
        <f>DAY(Consulta2[[#This Row],[DATA]])</f>
        <v>19</v>
      </c>
      <c r="I20" s="6">
        <f>MONTH(Consulta2[[#This Row],[DATA]])</f>
        <v>1</v>
      </c>
      <c r="J20" t="str">
        <f>CONCATENATE(Consulta2[[#This Row],[SAFRA]],Consulta2[[#This Row],[dia]])</f>
        <v>20240119</v>
      </c>
      <c r="K20">
        <f>Consulta2[[#This Row],[DIA_UTIL_CORRENTE]]</f>
        <v>14</v>
      </c>
    </row>
    <row r="21" spans="1:11" x14ac:dyDescent="0.25">
      <c r="A21">
        <v>202401</v>
      </c>
      <c r="B21">
        <v>14</v>
      </c>
      <c r="C21" s="148">
        <v>45311</v>
      </c>
      <c r="D21">
        <v>22</v>
      </c>
      <c r="E21">
        <v>22</v>
      </c>
      <c r="F21">
        <v>14</v>
      </c>
      <c r="G21">
        <f>Consulta2[[#This Row],[DIA_UTIL_CORRENTE]]</f>
        <v>14</v>
      </c>
      <c r="H21" s="6">
        <f>DAY(Consulta2[[#This Row],[DATA]])</f>
        <v>20</v>
      </c>
      <c r="I21" s="6">
        <f>MONTH(Consulta2[[#This Row],[DATA]])</f>
        <v>1</v>
      </c>
      <c r="J21" t="str">
        <f>CONCATENATE(Consulta2[[#This Row],[SAFRA]],Consulta2[[#This Row],[dia]])</f>
        <v>20240120</v>
      </c>
      <c r="K21">
        <f>Consulta2[[#This Row],[DIA_UTIL_CORRENTE]]</f>
        <v>14</v>
      </c>
    </row>
    <row r="22" spans="1:11" x14ac:dyDescent="0.25">
      <c r="A22">
        <v>202401</v>
      </c>
      <c r="B22">
        <v>14</v>
      </c>
      <c r="C22" s="148">
        <v>45312</v>
      </c>
      <c r="D22">
        <v>22</v>
      </c>
      <c r="E22">
        <v>22</v>
      </c>
      <c r="F22">
        <v>14</v>
      </c>
      <c r="G22">
        <f>Consulta2[[#This Row],[DIA_UTIL_CORRENTE]]</f>
        <v>14</v>
      </c>
      <c r="H22" s="6">
        <f>DAY(Consulta2[[#This Row],[DATA]])</f>
        <v>21</v>
      </c>
      <c r="I22" s="6">
        <f>MONTH(Consulta2[[#This Row],[DATA]])</f>
        <v>1</v>
      </c>
      <c r="J22" t="str">
        <f>CONCATENATE(Consulta2[[#This Row],[SAFRA]],Consulta2[[#This Row],[dia]])</f>
        <v>20240121</v>
      </c>
      <c r="K22">
        <f>Consulta2[[#This Row],[DIA_UTIL_CORRENTE]]</f>
        <v>14</v>
      </c>
    </row>
    <row r="23" spans="1:11" x14ac:dyDescent="0.25">
      <c r="A23">
        <v>202401</v>
      </c>
      <c r="B23">
        <v>15</v>
      </c>
      <c r="C23" s="148">
        <v>45313</v>
      </c>
      <c r="D23">
        <v>22</v>
      </c>
      <c r="E23">
        <v>22</v>
      </c>
      <c r="F23">
        <v>15</v>
      </c>
      <c r="G23">
        <f>Consulta2[[#This Row],[DIA_UTIL_CORRENTE]]</f>
        <v>15</v>
      </c>
      <c r="H23" s="6">
        <f>DAY(Consulta2[[#This Row],[DATA]])</f>
        <v>22</v>
      </c>
      <c r="I23" s="6">
        <f>MONTH(Consulta2[[#This Row],[DATA]])</f>
        <v>1</v>
      </c>
      <c r="J23" t="str">
        <f>CONCATENATE(Consulta2[[#This Row],[SAFRA]],Consulta2[[#This Row],[dia]])</f>
        <v>20240122</v>
      </c>
      <c r="K23">
        <f>Consulta2[[#This Row],[DIA_UTIL_CORRENTE]]</f>
        <v>15</v>
      </c>
    </row>
    <row r="24" spans="1:11" x14ac:dyDescent="0.25">
      <c r="A24">
        <v>202401</v>
      </c>
      <c r="B24">
        <v>16</v>
      </c>
      <c r="C24" s="148">
        <v>45314</v>
      </c>
      <c r="D24">
        <v>22</v>
      </c>
      <c r="E24">
        <v>22</v>
      </c>
      <c r="F24">
        <v>16</v>
      </c>
      <c r="G24">
        <f>Consulta2[[#This Row],[DIA_UTIL_CORRENTE]]</f>
        <v>16</v>
      </c>
      <c r="H24" s="6">
        <f>DAY(Consulta2[[#This Row],[DATA]])</f>
        <v>23</v>
      </c>
      <c r="I24" s="6">
        <f>MONTH(Consulta2[[#This Row],[DATA]])</f>
        <v>1</v>
      </c>
      <c r="J24" t="str">
        <f>CONCATENATE(Consulta2[[#This Row],[SAFRA]],Consulta2[[#This Row],[dia]])</f>
        <v>20240123</v>
      </c>
      <c r="K24">
        <f>Consulta2[[#This Row],[DIA_UTIL_CORRENTE]]</f>
        <v>16</v>
      </c>
    </row>
    <row r="25" spans="1:11" x14ac:dyDescent="0.25">
      <c r="A25">
        <v>202401</v>
      </c>
      <c r="B25">
        <v>17</v>
      </c>
      <c r="C25" s="148">
        <v>45315</v>
      </c>
      <c r="D25">
        <v>22</v>
      </c>
      <c r="E25">
        <v>22</v>
      </c>
      <c r="F25">
        <v>17</v>
      </c>
      <c r="G25">
        <f>Consulta2[[#This Row],[DIA_UTIL_CORRENTE]]</f>
        <v>17</v>
      </c>
      <c r="H25" s="6">
        <f>DAY(Consulta2[[#This Row],[DATA]])</f>
        <v>24</v>
      </c>
      <c r="I25" s="6">
        <f>MONTH(Consulta2[[#This Row],[DATA]])</f>
        <v>1</v>
      </c>
      <c r="J25" t="str">
        <f>CONCATENATE(Consulta2[[#This Row],[SAFRA]],Consulta2[[#This Row],[dia]])</f>
        <v>20240124</v>
      </c>
      <c r="K25">
        <f>Consulta2[[#This Row],[DIA_UTIL_CORRENTE]]</f>
        <v>17</v>
      </c>
    </row>
    <row r="26" spans="1:11" x14ac:dyDescent="0.25">
      <c r="A26">
        <v>202401</v>
      </c>
      <c r="B26">
        <v>18</v>
      </c>
      <c r="C26" s="148">
        <v>45316</v>
      </c>
      <c r="D26">
        <v>22</v>
      </c>
      <c r="E26">
        <v>22</v>
      </c>
      <c r="F26">
        <v>18</v>
      </c>
      <c r="G26">
        <f>Consulta2[[#This Row],[DIA_UTIL_CORRENTE]]</f>
        <v>18</v>
      </c>
      <c r="H26" s="6">
        <f>DAY(Consulta2[[#This Row],[DATA]])</f>
        <v>25</v>
      </c>
      <c r="I26" s="6">
        <f>MONTH(Consulta2[[#This Row],[DATA]])</f>
        <v>1</v>
      </c>
      <c r="J26" t="str">
        <f>CONCATENATE(Consulta2[[#This Row],[SAFRA]],Consulta2[[#This Row],[dia]])</f>
        <v>20240125</v>
      </c>
      <c r="K26">
        <f>Consulta2[[#This Row],[DIA_UTIL_CORRENTE]]</f>
        <v>18</v>
      </c>
    </row>
    <row r="27" spans="1:11" x14ac:dyDescent="0.25">
      <c r="A27">
        <v>202401</v>
      </c>
      <c r="B27">
        <v>19</v>
      </c>
      <c r="C27" s="148">
        <v>45317</v>
      </c>
      <c r="D27">
        <v>22</v>
      </c>
      <c r="E27">
        <v>22</v>
      </c>
      <c r="F27">
        <v>19</v>
      </c>
      <c r="G27">
        <f>Consulta2[[#This Row],[DIA_UTIL_CORRENTE]]</f>
        <v>19</v>
      </c>
      <c r="H27" s="6">
        <f>DAY(Consulta2[[#This Row],[DATA]])</f>
        <v>26</v>
      </c>
      <c r="I27" s="6">
        <f>MONTH(Consulta2[[#This Row],[DATA]])</f>
        <v>1</v>
      </c>
      <c r="J27" t="str">
        <f>CONCATENATE(Consulta2[[#This Row],[SAFRA]],Consulta2[[#This Row],[dia]])</f>
        <v>20240126</v>
      </c>
      <c r="K27">
        <f>Consulta2[[#This Row],[DIA_UTIL_CORRENTE]]</f>
        <v>19</v>
      </c>
    </row>
    <row r="28" spans="1:11" x14ac:dyDescent="0.25">
      <c r="A28">
        <v>202401</v>
      </c>
      <c r="B28">
        <v>19</v>
      </c>
      <c r="C28" s="148">
        <v>45318</v>
      </c>
      <c r="D28">
        <v>22</v>
      </c>
      <c r="E28">
        <v>22</v>
      </c>
      <c r="F28">
        <v>19</v>
      </c>
      <c r="G28">
        <f>Consulta2[[#This Row],[DIA_UTIL_CORRENTE]]</f>
        <v>19</v>
      </c>
      <c r="H28" s="6">
        <f>DAY(Consulta2[[#This Row],[DATA]])</f>
        <v>27</v>
      </c>
      <c r="I28" s="6">
        <f>MONTH(Consulta2[[#This Row],[DATA]])</f>
        <v>1</v>
      </c>
      <c r="J28" t="str">
        <f>CONCATENATE(Consulta2[[#This Row],[SAFRA]],Consulta2[[#This Row],[dia]])</f>
        <v>20240127</v>
      </c>
      <c r="K28">
        <f>Consulta2[[#This Row],[DIA_UTIL_CORRENTE]]</f>
        <v>19</v>
      </c>
    </row>
    <row r="29" spans="1:11" x14ac:dyDescent="0.25">
      <c r="A29">
        <v>202401</v>
      </c>
      <c r="B29">
        <v>19</v>
      </c>
      <c r="C29" s="148">
        <v>45319</v>
      </c>
      <c r="D29">
        <v>22</v>
      </c>
      <c r="E29">
        <v>22</v>
      </c>
      <c r="F29">
        <v>19</v>
      </c>
      <c r="G29">
        <f>Consulta2[[#This Row],[DIA_UTIL_CORRENTE]]</f>
        <v>19</v>
      </c>
      <c r="H29" s="6">
        <f>DAY(Consulta2[[#This Row],[DATA]])</f>
        <v>28</v>
      </c>
      <c r="I29" s="6">
        <f>MONTH(Consulta2[[#This Row],[DATA]])</f>
        <v>1</v>
      </c>
      <c r="J29" t="str">
        <f>CONCATENATE(Consulta2[[#This Row],[SAFRA]],Consulta2[[#This Row],[dia]])</f>
        <v>20240128</v>
      </c>
      <c r="K29">
        <f>Consulta2[[#This Row],[DIA_UTIL_CORRENTE]]</f>
        <v>19</v>
      </c>
    </row>
    <row r="30" spans="1:11" x14ac:dyDescent="0.25">
      <c r="A30">
        <v>202401</v>
      </c>
      <c r="B30">
        <v>20</v>
      </c>
      <c r="C30" s="148">
        <v>45320</v>
      </c>
      <c r="D30">
        <v>22</v>
      </c>
      <c r="E30">
        <v>22</v>
      </c>
      <c r="F30">
        <v>20</v>
      </c>
      <c r="G30">
        <f>Consulta2[[#This Row],[DIA_UTIL_CORRENTE]]</f>
        <v>20</v>
      </c>
      <c r="H30" s="6">
        <f>DAY(Consulta2[[#This Row],[DATA]])</f>
        <v>29</v>
      </c>
      <c r="I30" s="6">
        <f>MONTH(Consulta2[[#This Row],[DATA]])</f>
        <v>1</v>
      </c>
      <c r="J30" t="str">
        <f>CONCATENATE(Consulta2[[#This Row],[SAFRA]],Consulta2[[#This Row],[dia]])</f>
        <v>20240129</v>
      </c>
      <c r="K30">
        <f>Consulta2[[#This Row],[DIA_UTIL_CORRENTE]]</f>
        <v>20</v>
      </c>
    </row>
    <row r="31" spans="1:11" x14ac:dyDescent="0.25">
      <c r="A31">
        <v>202401</v>
      </c>
      <c r="B31">
        <v>21</v>
      </c>
      <c r="C31" s="148">
        <v>45321</v>
      </c>
      <c r="D31">
        <v>22</v>
      </c>
      <c r="E31">
        <v>22</v>
      </c>
      <c r="F31">
        <v>21</v>
      </c>
      <c r="G31">
        <f>Consulta2[[#This Row],[DIA_UTIL_CORRENTE]]</f>
        <v>21</v>
      </c>
      <c r="H31" s="6">
        <f>DAY(Consulta2[[#This Row],[DATA]])</f>
        <v>30</v>
      </c>
      <c r="I31" s="6">
        <f>MONTH(Consulta2[[#This Row],[DATA]])</f>
        <v>1</v>
      </c>
      <c r="J31" t="str">
        <f>CONCATENATE(Consulta2[[#This Row],[SAFRA]],Consulta2[[#This Row],[dia]])</f>
        <v>20240130</v>
      </c>
      <c r="K31">
        <f>Consulta2[[#This Row],[DIA_UTIL_CORRENTE]]</f>
        <v>21</v>
      </c>
    </row>
    <row r="32" spans="1:11" x14ac:dyDescent="0.25">
      <c r="A32">
        <v>202401</v>
      </c>
      <c r="B32">
        <v>22</v>
      </c>
      <c r="C32" s="148">
        <v>45322</v>
      </c>
      <c r="D32">
        <v>22</v>
      </c>
      <c r="E32">
        <v>22</v>
      </c>
      <c r="F32">
        <v>22</v>
      </c>
      <c r="G32">
        <f>Consulta2[[#This Row],[DIA_UTIL_CORRENTE]]</f>
        <v>22</v>
      </c>
      <c r="H32" s="6">
        <f>DAY(Consulta2[[#This Row],[DATA]])</f>
        <v>31</v>
      </c>
      <c r="I32" s="6">
        <f>MONTH(Consulta2[[#This Row],[DATA]])</f>
        <v>1</v>
      </c>
      <c r="J32" t="str">
        <f>CONCATENATE(Consulta2[[#This Row],[SAFRA]],Consulta2[[#This Row],[dia]])</f>
        <v>20240131</v>
      </c>
      <c r="K32">
        <f>Consulta2[[#This Row],[DIA_UTIL_CORRENTE]]</f>
        <v>22</v>
      </c>
    </row>
    <row r="33" spans="1:11" x14ac:dyDescent="0.25">
      <c r="A33">
        <v>202402</v>
      </c>
      <c r="B33">
        <v>1</v>
      </c>
      <c r="C33" s="148">
        <v>45323</v>
      </c>
      <c r="D33">
        <v>19</v>
      </c>
      <c r="E33">
        <v>19</v>
      </c>
      <c r="F33">
        <v>23</v>
      </c>
      <c r="G33">
        <f>Consulta2[[#This Row],[DIA_UTIL_CORRENTE]]</f>
        <v>1</v>
      </c>
      <c r="H33" s="6">
        <f>DAY(Consulta2[[#This Row],[DATA]])</f>
        <v>1</v>
      </c>
      <c r="I33" s="6">
        <f>MONTH(Consulta2[[#This Row],[DATA]])</f>
        <v>2</v>
      </c>
      <c r="J33" t="str">
        <f>CONCATENATE(Consulta2[[#This Row],[SAFRA]],Consulta2[[#This Row],[dia]])</f>
        <v>2024021</v>
      </c>
      <c r="K33">
        <f>Consulta2[[#This Row],[DIA_UTIL_CORRENTE]]</f>
        <v>1</v>
      </c>
    </row>
    <row r="34" spans="1:11" x14ac:dyDescent="0.25">
      <c r="A34">
        <v>202402</v>
      </c>
      <c r="B34">
        <v>2</v>
      </c>
      <c r="C34" s="148">
        <v>45324</v>
      </c>
      <c r="D34">
        <v>19</v>
      </c>
      <c r="E34">
        <v>19</v>
      </c>
      <c r="F34">
        <v>24</v>
      </c>
      <c r="G34">
        <f>Consulta2[[#This Row],[DIA_UTIL_CORRENTE]]</f>
        <v>2</v>
      </c>
      <c r="H34" s="6">
        <f>DAY(Consulta2[[#This Row],[DATA]])</f>
        <v>2</v>
      </c>
      <c r="I34" s="6">
        <f>MONTH(Consulta2[[#This Row],[DATA]])</f>
        <v>2</v>
      </c>
      <c r="J34" t="str">
        <f>CONCATENATE(Consulta2[[#This Row],[SAFRA]],Consulta2[[#This Row],[dia]])</f>
        <v>2024022</v>
      </c>
      <c r="K34">
        <f>Consulta2[[#This Row],[DIA_UTIL_CORRENTE]]</f>
        <v>2</v>
      </c>
    </row>
    <row r="35" spans="1:11" x14ac:dyDescent="0.25">
      <c r="A35">
        <v>202402</v>
      </c>
      <c r="B35">
        <v>2</v>
      </c>
      <c r="C35" s="148">
        <v>45325</v>
      </c>
      <c r="D35">
        <v>19</v>
      </c>
      <c r="E35">
        <v>19</v>
      </c>
      <c r="F35">
        <v>24</v>
      </c>
      <c r="G35">
        <f>Consulta2[[#This Row],[DIA_UTIL_CORRENTE]]</f>
        <v>2</v>
      </c>
      <c r="H35" s="6">
        <f>DAY(Consulta2[[#This Row],[DATA]])</f>
        <v>3</v>
      </c>
      <c r="I35" s="6">
        <f>MONTH(Consulta2[[#This Row],[DATA]])</f>
        <v>2</v>
      </c>
      <c r="J35" t="str">
        <f>CONCATENATE(Consulta2[[#This Row],[SAFRA]],Consulta2[[#This Row],[dia]])</f>
        <v>2024023</v>
      </c>
      <c r="K35">
        <f>Consulta2[[#This Row],[DIA_UTIL_CORRENTE]]</f>
        <v>2</v>
      </c>
    </row>
    <row r="36" spans="1:11" x14ac:dyDescent="0.25">
      <c r="A36">
        <v>202402</v>
      </c>
      <c r="B36">
        <v>2</v>
      </c>
      <c r="C36" s="148">
        <v>45326</v>
      </c>
      <c r="D36">
        <v>19</v>
      </c>
      <c r="E36">
        <v>19</v>
      </c>
      <c r="F36">
        <v>24</v>
      </c>
      <c r="G36">
        <f>Consulta2[[#This Row],[DIA_UTIL_CORRENTE]]</f>
        <v>2</v>
      </c>
      <c r="H36" s="6">
        <f>DAY(Consulta2[[#This Row],[DATA]])</f>
        <v>4</v>
      </c>
      <c r="I36" s="6">
        <f>MONTH(Consulta2[[#This Row],[DATA]])</f>
        <v>2</v>
      </c>
      <c r="J36" t="str">
        <f>CONCATENATE(Consulta2[[#This Row],[SAFRA]],Consulta2[[#This Row],[dia]])</f>
        <v>2024024</v>
      </c>
      <c r="K36">
        <f>Consulta2[[#This Row],[DIA_UTIL_CORRENTE]]</f>
        <v>2</v>
      </c>
    </row>
    <row r="37" spans="1:11" x14ac:dyDescent="0.25">
      <c r="A37">
        <v>202402</v>
      </c>
      <c r="B37">
        <v>3</v>
      </c>
      <c r="C37" s="148">
        <v>45327</v>
      </c>
      <c r="D37">
        <v>19</v>
      </c>
      <c r="E37">
        <v>19</v>
      </c>
      <c r="F37">
        <v>25</v>
      </c>
      <c r="G37">
        <f>Consulta2[[#This Row],[DIA_UTIL_CORRENTE]]</f>
        <v>3</v>
      </c>
      <c r="H37" s="6">
        <f>DAY(Consulta2[[#This Row],[DATA]])</f>
        <v>5</v>
      </c>
      <c r="I37" s="6">
        <f>MONTH(Consulta2[[#This Row],[DATA]])</f>
        <v>2</v>
      </c>
      <c r="J37" t="str">
        <f>CONCATENATE(Consulta2[[#This Row],[SAFRA]],Consulta2[[#This Row],[dia]])</f>
        <v>2024025</v>
      </c>
      <c r="K37">
        <f>Consulta2[[#This Row],[DIA_UTIL_CORRENTE]]</f>
        <v>3</v>
      </c>
    </row>
    <row r="38" spans="1:11" x14ac:dyDescent="0.25">
      <c r="A38">
        <v>202402</v>
      </c>
      <c r="B38">
        <v>4</v>
      </c>
      <c r="C38" s="148">
        <v>45328</v>
      </c>
      <c r="D38">
        <v>19</v>
      </c>
      <c r="E38">
        <v>19</v>
      </c>
      <c r="F38">
        <v>26</v>
      </c>
      <c r="G38">
        <f>Consulta2[[#This Row],[DIA_UTIL_CORRENTE]]</f>
        <v>4</v>
      </c>
      <c r="H38" s="6">
        <f>DAY(Consulta2[[#This Row],[DATA]])</f>
        <v>6</v>
      </c>
      <c r="I38" s="6">
        <f>MONTH(Consulta2[[#This Row],[DATA]])</f>
        <v>2</v>
      </c>
      <c r="J38" t="str">
        <f>CONCATENATE(Consulta2[[#This Row],[SAFRA]],Consulta2[[#This Row],[dia]])</f>
        <v>2024026</v>
      </c>
      <c r="K38">
        <f>Consulta2[[#This Row],[DIA_UTIL_CORRENTE]]</f>
        <v>4</v>
      </c>
    </row>
    <row r="39" spans="1:11" x14ac:dyDescent="0.25">
      <c r="A39">
        <v>202402</v>
      </c>
      <c r="B39">
        <v>5</v>
      </c>
      <c r="C39" s="148">
        <v>45329</v>
      </c>
      <c r="D39">
        <v>19</v>
      </c>
      <c r="E39">
        <v>19</v>
      </c>
      <c r="F39">
        <v>27</v>
      </c>
      <c r="G39">
        <f>Consulta2[[#This Row],[DIA_UTIL_CORRENTE]]</f>
        <v>5</v>
      </c>
      <c r="H39" s="6">
        <f>DAY(Consulta2[[#This Row],[DATA]])</f>
        <v>7</v>
      </c>
      <c r="I39" s="6">
        <f>MONTH(Consulta2[[#This Row],[DATA]])</f>
        <v>2</v>
      </c>
      <c r="J39" t="str">
        <f>CONCATENATE(Consulta2[[#This Row],[SAFRA]],Consulta2[[#This Row],[dia]])</f>
        <v>2024027</v>
      </c>
      <c r="K39">
        <f>Consulta2[[#This Row],[DIA_UTIL_CORRENTE]]</f>
        <v>5</v>
      </c>
    </row>
    <row r="40" spans="1:11" x14ac:dyDescent="0.25">
      <c r="A40">
        <v>202402</v>
      </c>
      <c r="B40">
        <v>6</v>
      </c>
      <c r="C40" s="148">
        <v>45330</v>
      </c>
      <c r="D40">
        <v>19</v>
      </c>
      <c r="E40">
        <v>19</v>
      </c>
      <c r="F40">
        <v>28</v>
      </c>
      <c r="G40">
        <f>Consulta2[[#This Row],[DIA_UTIL_CORRENTE]]</f>
        <v>6</v>
      </c>
      <c r="H40" s="6">
        <f>DAY(Consulta2[[#This Row],[DATA]])</f>
        <v>8</v>
      </c>
      <c r="I40" s="6">
        <f>MONTH(Consulta2[[#This Row],[DATA]])</f>
        <v>2</v>
      </c>
      <c r="J40" t="str">
        <f>CONCATENATE(Consulta2[[#This Row],[SAFRA]],Consulta2[[#This Row],[dia]])</f>
        <v>2024028</v>
      </c>
      <c r="K40">
        <f>Consulta2[[#This Row],[DIA_UTIL_CORRENTE]]</f>
        <v>6</v>
      </c>
    </row>
    <row r="41" spans="1:11" x14ac:dyDescent="0.25">
      <c r="A41">
        <v>202402</v>
      </c>
      <c r="B41">
        <v>7</v>
      </c>
      <c r="C41" s="148">
        <v>45331</v>
      </c>
      <c r="D41">
        <v>19</v>
      </c>
      <c r="E41">
        <v>19</v>
      </c>
      <c r="F41">
        <v>29</v>
      </c>
      <c r="G41">
        <f>Consulta2[[#This Row],[DIA_UTIL_CORRENTE]]</f>
        <v>7</v>
      </c>
      <c r="H41" s="6">
        <f>DAY(Consulta2[[#This Row],[DATA]])</f>
        <v>9</v>
      </c>
      <c r="I41" s="6">
        <f>MONTH(Consulta2[[#This Row],[DATA]])</f>
        <v>2</v>
      </c>
      <c r="J41" t="str">
        <f>CONCATENATE(Consulta2[[#This Row],[SAFRA]],Consulta2[[#This Row],[dia]])</f>
        <v>2024029</v>
      </c>
      <c r="K41">
        <f>Consulta2[[#This Row],[DIA_UTIL_CORRENTE]]</f>
        <v>7</v>
      </c>
    </row>
    <row r="42" spans="1:11" x14ac:dyDescent="0.25">
      <c r="A42">
        <v>202402</v>
      </c>
      <c r="B42">
        <v>7</v>
      </c>
      <c r="C42" s="148">
        <v>45332</v>
      </c>
      <c r="D42">
        <v>19</v>
      </c>
      <c r="E42">
        <v>19</v>
      </c>
      <c r="F42">
        <v>29</v>
      </c>
      <c r="G42">
        <f>Consulta2[[#This Row],[DIA_UTIL_CORRENTE]]</f>
        <v>7</v>
      </c>
      <c r="H42" s="6">
        <f>DAY(Consulta2[[#This Row],[DATA]])</f>
        <v>10</v>
      </c>
      <c r="I42" s="6">
        <f>MONTH(Consulta2[[#This Row],[DATA]])</f>
        <v>2</v>
      </c>
      <c r="J42" t="str">
        <f>CONCATENATE(Consulta2[[#This Row],[SAFRA]],Consulta2[[#This Row],[dia]])</f>
        <v>20240210</v>
      </c>
      <c r="K42">
        <f>Consulta2[[#This Row],[DIA_UTIL_CORRENTE]]</f>
        <v>7</v>
      </c>
    </row>
    <row r="43" spans="1:11" x14ac:dyDescent="0.25">
      <c r="A43">
        <v>202402</v>
      </c>
      <c r="B43">
        <v>7</v>
      </c>
      <c r="C43" s="148">
        <v>45333</v>
      </c>
      <c r="D43">
        <v>19</v>
      </c>
      <c r="E43">
        <v>19</v>
      </c>
      <c r="F43">
        <v>29</v>
      </c>
      <c r="G43">
        <f>Consulta2[[#This Row],[DIA_UTIL_CORRENTE]]</f>
        <v>7</v>
      </c>
      <c r="H43" s="6">
        <f>DAY(Consulta2[[#This Row],[DATA]])</f>
        <v>11</v>
      </c>
      <c r="I43" s="6">
        <f>MONTH(Consulta2[[#This Row],[DATA]])</f>
        <v>2</v>
      </c>
      <c r="J43" t="str">
        <f>CONCATENATE(Consulta2[[#This Row],[SAFRA]],Consulta2[[#This Row],[dia]])</f>
        <v>20240211</v>
      </c>
      <c r="K43">
        <f>Consulta2[[#This Row],[DIA_UTIL_CORRENTE]]</f>
        <v>7</v>
      </c>
    </row>
    <row r="44" spans="1:11" x14ac:dyDescent="0.25">
      <c r="A44">
        <v>202402</v>
      </c>
      <c r="B44">
        <v>7</v>
      </c>
      <c r="C44" s="148">
        <v>45334</v>
      </c>
      <c r="D44">
        <v>19</v>
      </c>
      <c r="E44">
        <v>19</v>
      </c>
      <c r="F44">
        <v>29</v>
      </c>
      <c r="G44">
        <f>Consulta2[[#This Row],[DIA_UTIL_CORRENTE]]</f>
        <v>7</v>
      </c>
      <c r="H44" s="6">
        <f>DAY(Consulta2[[#This Row],[DATA]])</f>
        <v>12</v>
      </c>
      <c r="I44" s="6">
        <f>MONTH(Consulta2[[#This Row],[DATA]])</f>
        <v>2</v>
      </c>
      <c r="J44" t="str">
        <f>CONCATENATE(Consulta2[[#This Row],[SAFRA]],Consulta2[[#This Row],[dia]])</f>
        <v>20240212</v>
      </c>
      <c r="K44">
        <f>Consulta2[[#This Row],[DIA_UTIL_CORRENTE]]</f>
        <v>7</v>
      </c>
    </row>
    <row r="45" spans="1:11" x14ac:dyDescent="0.25">
      <c r="A45">
        <v>202402</v>
      </c>
      <c r="B45">
        <v>7</v>
      </c>
      <c r="C45" s="148">
        <v>45335</v>
      </c>
      <c r="D45">
        <v>19</v>
      </c>
      <c r="E45">
        <v>19</v>
      </c>
      <c r="F45">
        <v>29</v>
      </c>
      <c r="G45">
        <f>Consulta2[[#This Row],[DIA_UTIL_CORRENTE]]</f>
        <v>7</v>
      </c>
      <c r="H45" s="6">
        <f>DAY(Consulta2[[#This Row],[DATA]])</f>
        <v>13</v>
      </c>
      <c r="I45" s="6">
        <f>MONTH(Consulta2[[#This Row],[DATA]])</f>
        <v>2</v>
      </c>
      <c r="J45" t="str">
        <f>CONCATENATE(Consulta2[[#This Row],[SAFRA]],Consulta2[[#This Row],[dia]])</f>
        <v>20240213</v>
      </c>
      <c r="K45">
        <f>Consulta2[[#This Row],[DIA_UTIL_CORRENTE]]</f>
        <v>7</v>
      </c>
    </row>
    <row r="46" spans="1:11" x14ac:dyDescent="0.25">
      <c r="A46">
        <v>202402</v>
      </c>
      <c r="B46">
        <v>8</v>
      </c>
      <c r="C46" s="148">
        <v>45336</v>
      </c>
      <c r="D46">
        <v>19</v>
      </c>
      <c r="E46">
        <v>19</v>
      </c>
      <c r="F46">
        <v>30</v>
      </c>
      <c r="G46">
        <f>Consulta2[[#This Row],[DIA_UTIL_CORRENTE]]</f>
        <v>8</v>
      </c>
      <c r="H46" s="6">
        <f>DAY(Consulta2[[#This Row],[DATA]])</f>
        <v>14</v>
      </c>
      <c r="I46" s="6">
        <f>MONTH(Consulta2[[#This Row],[DATA]])</f>
        <v>2</v>
      </c>
      <c r="J46" t="str">
        <f>CONCATENATE(Consulta2[[#This Row],[SAFRA]],Consulta2[[#This Row],[dia]])</f>
        <v>20240214</v>
      </c>
      <c r="K46">
        <f>Consulta2[[#This Row],[DIA_UTIL_CORRENTE]]</f>
        <v>8</v>
      </c>
    </row>
    <row r="47" spans="1:11" x14ac:dyDescent="0.25">
      <c r="A47">
        <v>202402</v>
      </c>
      <c r="B47">
        <v>9</v>
      </c>
      <c r="C47" s="148">
        <v>45337</v>
      </c>
      <c r="D47">
        <v>19</v>
      </c>
      <c r="E47">
        <v>19</v>
      </c>
      <c r="F47">
        <v>31</v>
      </c>
      <c r="G47">
        <f>Consulta2[[#This Row],[DIA_UTIL_CORRENTE]]</f>
        <v>9</v>
      </c>
      <c r="H47" s="6">
        <f>DAY(Consulta2[[#This Row],[DATA]])</f>
        <v>15</v>
      </c>
      <c r="I47" s="6">
        <f>MONTH(Consulta2[[#This Row],[DATA]])</f>
        <v>2</v>
      </c>
      <c r="J47" t="str">
        <f>CONCATENATE(Consulta2[[#This Row],[SAFRA]],Consulta2[[#This Row],[dia]])</f>
        <v>20240215</v>
      </c>
      <c r="K47">
        <f>Consulta2[[#This Row],[DIA_UTIL_CORRENTE]]</f>
        <v>9</v>
      </c>
    </row>
    <row r="48" spans="1:11" x14ac:dyDescent="0.25">
      <c r="A48">
        <v>202402</v>
      </c>
      <c r="B48">
        <v>10</v>
      </c>
      <c r="C48" s="148">
        <v>45338</v>
      </c>
      <c r="D48">
        <v>19</v>
      </c>
      <c r="E48">
        <v>19</v>
      </c>
      <c r="F48">
        <v>32</v>
      </c>
      <c r="G48">
        <f>Consulta2[[#This Row],[DIA_UTIL_CORRENTE]]</f>
        <v>10</v>
      </c>
      <c r="H48" s="6">
        <f>DAY(Consulta2[[#This Row],[DATA]])</f>
        <v>16</v>
      </c>
      <c r="I48" s="6">
        <f>MONTH(Consulta2[[#This Row],[DATA]])</f>
        <v>2</v>
      </c>
      <c r="J48" t="str">
        <f>CONCATENATE(Consulta2[[#This Row],[SAFRA]],Consulta2[[#This Row],[dia]])</f>
        <v>20240216</v>
      </c>
      <c r="K48">
        <f>Consulta2[[#This Row],[DIA_UTIL_CORRENTE]]</f>
        <v>10</v>
      </c>
    </row>
    <row r="49" spans="1:11" x14ac:dyDescent="0.25">
      <c r="A49">
        <v>202402</v>
      </c>
      <c r="B49">
        <v>10</v>
      </c>
      <c r="C49" s="148">
        <v>45339</v>
      </c>
      <c r="D49">
        <v>19</v>
      </c>
      <c r="E49">
        <v>19</v>
      </c>
      <c r="F49">
        <v>32</v>
      </c>
      <c r="G49">
        <f>Consulta2[[#This Row],[DIA_UTIL_CORRENTE]]</f>
        <v>10</v>
      </c>
      <c r="H49" s="6">
        <f>DAY(Consulta2[[#This Row],[DATA]])</f>
        <v>17</v>
      </c>
      <c r="I49" s="6">
        <f>MONTH(Consulta2[[#This Row],[DATA]])</f>
        <v>2</v>
      </c>
      <c r="J49" t="str">
        <f>CONCATENATE(Consulta2[[#This Row],[SAFRA]],Consulta2[[#This Row],[dia]])</f>
        <v>20240217</v>
      </c>
      <c r="K49">
        <f>Consulta2[[#This Row],[DIA_UTIL_CORRENTE]]</f>
        <v>10</v>
      </c>
    </row>
    <row r="50" spans="1:11" x14ac:dyDescent="0.25">
      <c r="A50">
        <v>202402</v>
      </c>
      <c r="B50">
        <v>10</v>
      </c>
      <c r="C50" s="148">
        <v>45340</v>
      </c>
      <c r="D50">
        <v>19</v>
      </c>
      <c r="E50">
        <v>19</v>
      </c>
      <c r="F50">
        <v>32</v>
      </c>
      <c r="G50">
        <f>Consulta2[[#This Row],[DIA_UTIL_CORRENTE]]</f>
        <v>10</v>
      </c>
      <c r="H50" s="6">
        <f>DAY(Consulta2[[#This Row],[DATA]])</f>
        <v>18</v>
      </c>
      <c r="I50" s="6">
        <f>MONTH(Consulta2[[#This Row],[DATA]])</f>
        <v>2</v>
      </c>
      <c r="J50" t="str">
        <f>CONCATENATE(Consulta2[[#This Row],[SAFRA]],Consulta2[[#This Row],[dia]])</f>
        <v>20240218</v>
      </c>
      <c r="K50">
        <f>Consulta2[[#This Row],[DIA_UTIL_CORRENTE]]</f>
        <v>10</v>
      </c>
    </row>
    <row r="51" spans="1:11" x14ac:dyDescent="0.25">
      <c r="A51">
        <v>202402</v>
      </c>
      <c r="B51">
        <v>11</v>
      </c>
      <c r="C51" s="148">
        <v>45341</v>
      </c>
      <c r="D51">
        <v>19</v>
      </c>
      <c r="E51">
        <v>19</v>
      </c>
      <c r="F51">
        <v>33</v>
      </c>
      <c r="G51">
        <f>Consulta2[[#This Row],[DIA_UTIL_CORRENTE]]</f>
        <v>11</v>
      </c>
      <c r="H51" s="6">
        <f>DAY(Consulta2[[#This Row],[DATA]])</f>
        <v>19</v>
      </c>
      <c r="I51" s="6">
        <f>MONTH(Consulta2[[#This Row],[DATA]])</f>
        <v>2</v>
      </c>
      <c r="J51" t="str">
        <f>CONCATENATE(Consulta2[[#This Row],[SAFRA]],Consulta2[[#This Row],[dia]])</f>
        <v>20240219</v>
      </c>
      <c r="K51">
        <f>Consulta2[[#This Row],[DIA_UTIL_CORRENTE]]</f>
        <v>11</v>
      </c>
    </row>
    <row r="52" spans="1:11" x14ac:dyDescent="0.25">
      <c r="A52">
        <v>202402</v>
      </c>
      <c r="B52">
        <v>12</v>
      </c>
      <c r="C52" s="148">
        <v>45342</v>
      </c>
      <c r="D52">
        <v>19</v>
      </c>
      <c r="E52">
        <v>19</v>
      </c>
      <c r="F52">
        <v>34</v>
      </c>
      <c r="G52">
        <f>Consulta2[[#This Row],[DIA_UTIL_CORRENTE]]</f>
        <v>12</v>
      </c>
      <c r="H52" s="6">
        <f>DAY(Consulta2[[#This Row],[DATA]])</f>
        <v>20</v>
      </c>
      <c r="I52" s="6">
        <f>MONTH(Consulta2[[#This Row],[DATA]])</f>
        <v>2</v>
      </c>
      <c r="J52" t="str">
        <f>CONCATENATE(Consulta2[[#This Row],[SAFRA]],Consulta2[[#This Row],[dia]])</f>
        <v>20240220</v>
      </c>
      <c r="K52">
        <f>Consulta2[[#This Row],[DIA_UTIL_CORRENTE]]</f>
        <v>12</v>
      </c>
    </row>
    <row r="53" spans="1:11" x14ac:dyDescent="0.25">
      <c r="A53">
        <v>202402</v>
      </c>
      <c r="B53">
        <v>13</v>
      </c>
      <c r="C53" s="148">
        <v>45343</v>
      </c>
      <c r="D53">
        <v>19</v>
      </c>
      <c r="E53">
        <v>19</v>
      </c>
      <c r="F53">
        <v>35</v>
      </c>
      <c r="G53">
        <f>Consulta2[[#This Row],[DIA_UTIL_CORRENTE]]</f>
        <v>13</v>
      </c>
      <c r="H53" s="6">
        <f>DAY(Consulta2[[#This Row],[DATA]])</f>
        <v>21</v>
      </c>
      <c r="I53" s="6">
        <f>MONTH(Consulta2[[#This Row],[DATA]])</f>
        <v>2</v>
      </c>
      <c r="J53" t="str">
        <f>CONCATENATE(Consulta2[[#This Row],[SAFRA]],Consulta2[[#This Row],[dia]])</f>
        <v>20240221</v>
      </c>
      <c r="K53">
        <f>Consulta2[[#This Row],[DIA_UTIL_CORRENTE]]</f>
        <v>13</v>
      </c>
    </row>
    <row r="54" spans="1:11" x14ac:dyDescent="0.25">
      <c r="A54">
        <v>202402</v>
      </c>
      <c r="B54">
        <v>14</v>
      </c>
      <c r="C54" s="148">
        <v>45344</v>
      </c>
      <c r="D54">
        <v>19</v>
      </c>
      <c r="E54">
        <v>19</v>
      </c>
      <c r="F54">
        <v>36</v>
      </c>
      <c r="G54">
        <f>Consulta2[[#This Row],[DIA_UTIL_CORRENTE]]</f>
        <v>14</v>
      </c>
      <c r="H54" s="6">
        <f>DAY(Consulta2[[#This Row],[DATA]])</f>
        <v>22</v>
      </c>
      <c r="I54" s="6">
        <f>MONTH(Consulta2[[#This Row],[DATA]])</f>
        <v>2</v>
      </c>
      <c r="J54" t="str">
        <f>CONCATENATE(Consulta2[[#This Row],[SAFRA]],Consulta2[[#This Row],[dia]])</f>
        <v>20240222</v>
      </c>
      <c r="K54">
        <f>Consulta2[[#This Row],[DIA_UTIL_CORRENTE]]</f>
        <v>14</v>
      </c>
    </row>
    <row r="55" spans="1:11" x14ac:dyDescent="0.25">
      <c r="A55">
        <v>202402</v>
      </c>
      <c r="B55">
        <v>15</v>
      </c>
      <c r="C55" s="148">
        <v>45345</v>
      </c>
      <c r="D55">
        <v>19</v>
      </c>
      <c r="E55">
        <v>19</v>
      </c>
      <c r="F55">
        <v>37</v>
      </c>
      <c r="G55">
        <f>Consulta2[[#This Row],[DIA_UTIL_CORRENTE]]</f>
        <v>15</v>
      </c>
      <c r="H55" s="6">
        <f>DAY(Consulta2[[#This Row],[DATA]])</f>
        <v>23</v>
      </c>
      <c r="I55" s="6">
        <f>MONTH(Consulta2[[#This Row],[DATA]])</f>
        <v>2</v>
      </c>
      <c r="J55" t="str">
        <f>CONCATENATE(Consulta2[[#This Row],[SAFRA]],Consulta2[[#This Row],[dia]])</f>
        <v>20240223</v>
      </c>
      <c r="K55">
        <f>Consulta2[[#This Row],[DIA_UTIL_CORRENTE]]</f>
        <v>15</v>
      </c>
    </row>
    <row r="56" spans="1:11" x14ac:dyDescent="0.25">
      <c r="A56">
        <v>202402</v>
      </c>
      <c r="B56">
        <v>15</v>
      </c>
      <c r="C56" s="148">
        <v>45346</v>
      </c>
      <c r="D56">
        <v>19</v>
      </c>
      <c r="E56">
        <v>19</v>
      </c>
      <c r="F56">
        <v>37</v>
      </c>
      <c r="G56">
        <f>Consulta2[[#This Row],[DIA_UTIL_CORRENTE]]</f>
        <v>15</v>
      </c>
      <c r="H56" s="6">
        <f>DAY(Consulta2[[#This Row],[DATA]])</f>
        <v>24</v>
      </c>
      <c r="I56" s="6">
        <f>MONTH(Consulta2[[#This Row],[DATA]])</f>
        <v>2</v>
      </c>
      <c r="J56" t="str">
        <f>CONCATENATE(Consulta2[[#This Row],[SAFRA]],Consulta2[[#This Row],[dia]])</f>
        <v>20240224</v>
      </c>
      <c r="K56">
        <f>Consulta2[[#This Row],[DIA_UTIL_CORRENTE]]</f>
        <v>15</v>
      </c>
    </row>
    <row r="57" spans="1:11" x14ac:dyDescent="0.25">
      <c r="A57">
        <v>202402</v>
      </c>
      <c r="B57">
        <v>15</v>
      </c>
      <c r="C57" s="148">
        <v>45347</v>
      </c>
      <c r="D57">
        <v>19</v>
      </c>
      <c r="E57">
        <v>19</v>
      </c>
      <c r="F57">
        <v>37</v>
      </c>
      <c r="G57">
        <f>Consulta2[[#This Row],[DIA_UTIL_CORRENTE]]</f>
        <v>15</v>
      </c>
      <c r="H57" s="6">
        <f>DAY(Consulta2[[#This Row],[DATA]])</f>
        <v>25</v>
      </c>
      <c r="I57" s="6">
        <f>MONTH(Consulta2[[#This Row],[DATA]])</f>
        <v>2</v>
      </c>
      <c r="J57" t="str">
        <f>CONCATENATE(Consulta2[[#This Row],[SAFRA]],Consulta2[[#This Row],[dia]])</f>
        <v>20240225</v>
      </c>
      <c r="K57">
        <f>Consulta2[[#This Row],[DIA_UTIL_CORRENTE]]</f>
        <v>15</v>
      </c>
    </row>
    <row r="58" spans="1:11" x14ac:dyDescent="0.25">
      <c r="A58">
        <v>202402</v>
      </c>
      <c r="B58">
        <v>16</v>
      </c>
      <c r="C58" s="148">
        <v>45348</v>
      </c>
      <c r="D58">
        <v>19</v>
      </c>
      <c r="E58">
        <v>19</v>
      </c>
      <c r="F58">
        <v>38</v>
      </c>
      <c r="G58">
        <f>Consulta2[[#This Row],[DIA_UTIL_CORRENTE]]</f>
        <v>16</v>
      </c>
      <c r="H58" s="6">
        <f>DAY(Consulta2[[#This Row],[DATA]])</f>
        <v>26</v>
      </c>
      <c r="I58" s="6">
        <f>MONTH(Consulta2[[#This Row],[DATA]])</f>
        <v>2</v>
      </c>
      <c r="J58" t="str">
        <f>CONCATENATE(Consulta2[[#This Row],[SAFRA]],Consulta2[[#This Row],[dia]])</f>
        <v>20240226</v>
      </c>
      <c r="K58">
        <f>Consulta2[[#This Row],[DIA_UTIL_CORRENTE]]</f>
        <v>16</v>
      </c>
    </row>
    <row r="59" spans="1:11" x14ac:dyDescent="0.25">
      <c r="A59">
        <v>202402</v>
      </c>
      <c r="B59">
        <v>17</v>
      </c>
      <c r="C59" s="148">
        <v>45349</v>
      </c>
      <c r="D59">
        <v>19</v>
      </c>
      <c r="E59">
        <v>19</v>
      </c>
      <c r="F59">
        <v>39</v>
      </c>
      <c r="G59">
        <f>Consulta2[[#This Row],[DIA_UTIL_CORRENTE]]</f>
        <v>17</v>
      </c>
      <c r="H59" s="6">
        <f>DAY(Consulta2[[#This Row],[DATA]])</f>
        <v>27</v>
      </c>
      <c r="I59" s="6">
        <f>MONTH(Consulta2[[#This Row],[DATA]])</f>
        <v>2</v>
      </c>
      <c r="J59" t="str">
        <f>CONCATENATE(Consulta2[[#This Row],[SAFRA]],Consulta2[[#This Row],[dia]])</f>
        <v>20240227</v>
      </c>
      <c r="K59">
        <f>Consulta2[[#This Row],[DIA_UTIL_CORRENTE]]</f>
        <v>17</v>
      </c>
    </row>
    <row r="60" spans="1:11" x14ac:dyDescent="0.25">
      <c r="A60">
        <v>202402</v>
      </c>
      <c r="B60">
        <v>18</v>
      </c>
      <c r="C60" s="148">
        <v>45350</v>
      </c>
      <c r="D60">
        <v>19</v>
      </c>
      <c r="E60">
        <v>19</v>
      </c>
      <c r="F60">
        <v>40</v>
      </c>
      <c r="G60">
        <f>Consulta2[[#This Row],[DIA_UTIL_CORRENTE]]</f>
        <v>18</v>
      </c>
      <c r="H60" s="6">
        <f>DAY(Consulta2[[#This Row],[DATA]])</f>
        <v>28</v>
      </c>
      <c r="I60" s="6">
        <f>MONTH(Consulta2[[#This Row],[DATA]])</f>
        <v>2</v>
      </c>
      <c r="J60" t="str">
        <f>CONCATENATE(Consulta2[[#This Row],[SAFRA]],Consulta2[[#This Row],[dia]])</f>
        <v>20240228</v>
      </c>
      <c r="K60">
        <f>Consulta2[[#This Row],[DIA_UTIL_CORRENTE]]</f>
        <v>18</v>
      </c>
    </row>
    <row r="61" spans="1:11" x14ac:dyDescent="0.25">
      <c r="A61">
        <v>202402</v>
      </c>
      <c r="B61">
        <v>19</v>
      </c>
      <c r="C61" s="148">
        <v>45351</v>
      </c>
      <c r="D61">
        <v>19</v>
      </c>
      <c r="E61">
        <v>19</v>
      </c>
      <c r="F61">
        <v>41</v>
      </c>
      <c r="G61">
        <f>Consulta2[[#This Row],[DIA_UTIL_CORRENTE]]</f>
        <v>19</v>
      </c>
      <c r="H61" s="6">
        <f>DAY(Consulta2[[#This Row],[DATA]])</f>
        <v>29</v>
      </c>
      <c r="I61" s="6">
        <f>MONTH(Consulta2[[#This Row],[DATA]])</f>
        <v>2</v>
      </c>
      <c r="J61" t="str">
        <f>CONCATENATE(Consulta2[[#This Row],[SAFRA]],Consulta2[[#This Row],[dia]])</f>
        <v>20240229</v>
      </c>
      <c r="K61">
        <f>Consulta2[[#This Row],[DIA_UTIL_CORRENTE]]</f>
        <v>19</v>
      </c>
    </row>
    <row r="62" spans="1:11" x14ac:dyDescent="0.25">
      <c r="A62">
        <v>202403</v>
      </c>
      <c r="B62">
        <v>1</v>
      </c>
      <c r="C62" s="148">
        <v>45352</v>
      </c>
      <c r="D62">
        <v>20</v>
      </c>
      <c r="E62">
        <v>20</v>
      </c>
      <c r="F62">
        <v>42</v>
      </c>
      <c r="G62">
        <f>Consulta2[[#This Row],[DIA_UTIL_CORRENTE]]</f>
        <v>1</v>
      </c>
      <c r="H62" s="6">
        <f>DAY(Consulta2[[#This Row],[DATA]])</f>
        <v>1</v>
      </c>
      <c r="I62" s="6">
        <f>MONTH(Consulta2[[#This Row],[DATA]])</f>
        <v>3</v>
      </c>
      <c r="J62" t="str">
        <f>CONCATENATE(Consulta2[[#This Row],[SAFRA]],Consulta2[[#This Row],[dia]])</f>
        <v>2024031</v>
      </c>
      <c r="K62">
        <f>Consulta2[[#This Row],[DIA_UTIL_CORRENTE]]</f>
        <v>1</v>
      </c>
    </row>
    <row r="63" spans="1:11" x14ac:dyDescent="0.25">
      <c r="A63">
        <v>202403</v>
      </c>
      <c r="B63">
        <v>1</v>
      </c>
      <c r="C63" s="148">
        <v>45353</v>
      </c>
      <c r="D63">
        <v>20</v>
      </c>
      <c r="E63">
        <v>20</v>
      </c>
      <c r="F63">
        <v>42</v>
      </c>
      <c r="G63">
        <f>Consulta2[[#This Row],[DIA_UTIL_CORRENTE]]</f>
        <v>1</v>
      </c>
      <c r="H63" s="6">
        <f>DAY(Consulta2[[#This Row],[DATA]])</f>
        <v>2</v>
      </c>
      <c r="I63" s="6">
        <f>MONTH(Consulta2[[#This Row],[DATA]])</f>
        <v>3</v>
      </c>
      <c r="J63" t="str">
        <f>CONCATENATE(Consulta2[[#This Row],[SAFRA]],Consulta2[[#This Row],[dia]])</f>
        <v>2024032</v>
      </c>
      <c r="K63">
        <f>Consulta2[[#This Row],[DIA_UTIL_CORRENTE]]</f>
        <v>1</v>
      </c>
    </row>
    <row r="64" spans="1:11" x14ac:dyDescent="0.25">
      <c r="A64">
        <v>202403</v>
      </c>
      <c r="B64">
        <v>1</v>
      </c>
      <c r="C64" s="148">
        <v>45354</v>
      </c>
      <c r="D64">
        <v>20</v>
      </c>
      <c r="E64">
        <v>20</v>
      </c>
      <c r="F64">
        <v>42</v>
      </c>
      <c r="G64">
        <f>Consulta2[[#This Row],[DIA_UTIL_CORRENTE]]</f>
        <v>1</v>
      </c>
      <c r="H64" s="6">
        <f>DAY(Consulta2[[#This Row],[DATA]])</f>
        <v>3</v>
      </c>
      <c r="I64" s="6">
        <f>MONTH(Consulta2[[#This Row],[DATA]])</f>
        <v>3</v>
      </c>
      <c r="J64" t="str">
        <f>CONCATENATE(Consulta2[[#This Row],[SAFRA]],Consulta2[[#This Row],[dia]])</f>
        <v>2024033</v>
      </c>
      <c r="K64">
        <f>Consulta2[[#This Row],[DIA_UTIL_CORRENTE]]</f>
        <v>1</v>
      </c>
    </row>
    <row r="65" spans="1:11" x14ac:dyDescent="0.25">
      <c r="A65">
        <v>202403</v>
      </c>
      <c r="B65">
        <v>2</v>
      </c>
      <c r="C65" s="148">
        <v>45355</v>
      </c>
      <c r="D65">
        <v>20</v>
      </c>
      <c r="E65">
        <v>20</v>
      </c>
      <c r="F65">
        <v>43</v>
      </c>
      <c r="G65">
        <f>Consulta2[[#This Row],[DIA_UTIL_CORRENTE]]</f>
        <v>2</v>
      </c>
      <c r="H65" s="6">
        <f>DAY(Consulta2[[#This Row],[DATA]])</f>
        <v>4</v>
      </c>
      <c r="I65" s="6">
        <f>MONTH(Consulta2[[#This Row],[DATA]])</f>
        <v>3</v>
      </c>
      <c r="J65" t="str">
        <f>CONCATENATE(Consulta2[[#This Row],[SAFRA]],Consulta2[[#This Row],[dia]])</f>
        <v>2024034</v>
      </c>
      <c r="K65">
        <f>Consulta2[[#This Row],[DIA_UTIL_CORRENTE]]</f>
        <v>2</v>
      </c>
    </row>
    <row r="66" spans="1:11" x14ac:dyDescent="0.25">
      <c r="A66">
        <v>202403</v>
      </c>
      <c r="B66">
        <v>3</v>
      </c>
      <c r="C66" s="148">
        <v>45356</v>
      </c>
      <c r="D66">
        <v>20</v>
      </c>
      <c r="E66">
        <v>20</v>
      </c>
      <c r="F66">
        <v>44</v>
      </c>
      <c r="G66">
        <f>Consulta2[[#This Row],[DIA_UTIL_CORRENTE]]</f>
        <v>3</v>
      </c>
      <c r="H66" s="6">
        <f>DAY(Consulta2[[#This Row],[DATA]])</f>
        <v>5</v>
      </c>
      <c r="I66" s="6">
        <f>MONTH(Consulta2[[#This Row],[DATA]])</f>
        <v>3</v>
      </c>
      <c r="J66" t="str">
        <f>CONCATENATE(Consulta2[[#This Row],[SAFRA]],Consulta2[[#This Row],[dia]])</f>
        <v>2024035</v>
      </c>
      <c r="K66">
        <f>Consulta2[[#This Row],[DIA_UTIL_CORRENTE]]</f>
        <v>3</v>
      </c>
    </row>
    <row r="67" spans="1:11" x14ac:dyDescent="0.25">
      <c r="A67">
        <v>202403</v>
      </c>
      <c r="B67">
        <v>4</v>
      </c>
      <c r="C67" s="148">
        <v>45357</v>
      </c>
      <c r="D67">
        <v>20</v>
      </c>
      <c r="E67">
        <v>20</v>
      </c>
      <c r="F67">
        <v>45</v>
      </c>
      <c r="G67">
        <f>Consulta2[[#This Row],[DIA_UTIL_CORRENTE]]</f>
        <v>4</v>
      </c>
      <c r="H67" s="6">
        <f>DAY(Consulta2[[#This Row],[DATA]])</f>
        <v>6</v>
      </c>
      <c r="I67" s="6">
        <f>MONTH(Consulta2[[#This Row],[DATA]])</f>
        <v>3</v>
      </c>
      <c r="J67" t="str">
        <f>CONCATENATE(Consulta2[[#This Row],[SAFRA]],Consulta2[[#This Row],[dia]])</f>
        <v>2024036</v>
      </c>
      <c r="K67">
        <f>Consulta2[[#This Row],[DIA_UTIL_CORRENTE]]</f>
        <v>4</v>
      </c>
    </row>
    <row r="68" spans="1:11" x14ac:dyDescent="0.25">
      <c r="A68">
        <v>202403</v>
      </c>
      <c r="B68">
        <v>5</v>
      </c>
      <c r="C68" s="148">
        <v>45358</v>
      </c>
      <c r="D68">
        <v>20</v>
      </c>
      <c r="E68">
        <v>20</v>
      </c>
      <c r="F68">
        <v>46</v>
      </c>
      <c r="G68">
        <f>Consulta2[[#This Row],[DIA_UTIL_CORRENTE]]</f>
        <v>5</v>
      </c>
      <c r="H68" s="6">
        <f>DAY(Consulta2[[#This Row],[DATA]])</f>
        <v>7</v>
      </c>
      <c r="I68" s="6">
        <f>MONTH(Consulta2[[#This Row],[DATA]])</f>
        <v>3</v>
      </c>
      <c r="J68" t="str">
        <f>CONCATENATE(Consulta2[[#This Row],[SAFRA]],Consulta2[[#This Row],[dia]])</f>
        <v>2024037</v>
      </c>
      <c r="K68">
        <f>Consulta2[[#This Row],[DIA_UTIL_CORRENTE]]</f>
        <v>5</v>
      </c>
    </row>
    <row r="69" spans="1:11" x14ac:dyDescent="0.25">
      <c r="A69">
        <v>202403</v>
      </c>
      <c r="B69">
        <v>6</v>
      </c>
      <c r="C69" s="148">
        <v>45359</v>
      </c>
      <c r="D69">
        <v>20</v>
      </c>
      <c r="E69">
        <v>20</v>
      </c>
      <c r="F69">
        <v>47</v>
      </c>
      <c r="G69">
        <f>Consulta2[[#This Row],[DIA_UTIL_CORRENTE]]</f>
        <v>6</v>
      </c>
      <c r="H69" s="6">
        <f>DAY(Consulta2[[#This Row],[DATA]])</f>
        <v>8</v>
      </c>
      <c r="I69" s="6">
        <f>MONTH(Consulta2[[#This Row],[DATA]])</f>
        <v>3</v>
      </c>
      <c r="J69" t="str">
        <f>CONCATENATE(Consulta2[[#This Row],[SAFRA]],Consulta2[[#This Row],[dia]])</f>
        <v>2024038</v>
      </c>
      <c r="K69">
        <f>Consulta2[[#This Row],[DIA_UTIL_CORRENTE]]</f>
        <v>6</v>
      </c>
    </row>
    <row r="70" spans="1:11" x14ac:dyDescent="0.25">
      <c r="A70">
        <v>202403</v>
      </c>
      <c r="B70">
        <v>6</v>
      </c>
      <c r="C70" s="148">
        <v>45360</v>
      </c>
      <c r="D70">
        <v>20</v>
      </c>
      <c r="E70">
        <v>20</v>
      </c>
      <c r="F70">
        <v>47</v>
      </c>
      <c r="G70">
        <f>Consulta2[[#This Row],[DIA_UTIL_CORRENTE]]</f>
        <v>6</v>
      </c>
      <c r="H70" s="6">
        <f>DAY(Consulta2[[#This Row],[DATA]])</f>
        <v>9</v>
      </c>
      <c r="I70" s="6">
        <f>MONTH(Consulta2[[#This Row],[DATA]])</f>
        <v>3</v>
      </c>
      <c r="J70" t="str">
        <f>CONCATENATE(Consulta2[[#This Row],[SAFRA]],Consulta2[[#This Row],[dia]])</f>
        <v>2024039</v>
      </c>
      <c r="K70">
        <f>Consulta2[[#This Row],[DIA_UTIL_CORRENTE]]</f>
        <v>6</v>
      </c>
    </row>
    <row r="71" spans="1:11" x14ac:dyDescent="0.25">
      <c r="A71">
        <v>202403</v>
      </c>
      <c r="B71">
        <v>6</v>
      </c>
      <c r="C71" s="148">
        <v>45361</v>
      </c>
      <c r="D71">
        <v>20</v>
      </c>
      <c r="E71">
        <v>20</v>
      </c>
      <c r="F71">
        <v>47</v>
      </c>
      <c r="G71">
        <f>Consulta2[[#This Row],[DIA_UTIL_CORRENTE]]</f>
        <v>6</v>
      </c>
      <c r="H71" s="6">
        <f>DAY(Consulta2[[#This Row],[DATA]])</f>
        <v>10</v>
      </c>
      <c r="I71" s="6">
        <f>MONTH(Consulta2[[#This Row],[DATA]])</f>
        <v>3</v>
      </c>
      <c r="J71" t="str">
        <f>CONCATENATE(Consulta2[[#This Row],[SAFRA]],Consulta2[[#This Row],[dia]])</f>
        <v>20240310</v>
      </c>
      <c r="K71">
        <f>Consulta2[[#This Row],[DIA_UTIL_CORRENTE]]</f>
        <v>6</v>
      </c>
    </row>
    <row r="72" spans="1:11" x14ac:dyDescent="0.25">
      <c r="A72">
        <v>202403</v>
      </c>
      <c r="B72">
        <v>7</v>
      </c>
      <c r="C72" s="148">
        <v>45362</v>
      </c>
      <c r="D72">
        <v>20</v>
      </c>
      <c r="E72">
        <v>20</v>
      </c>
      <c r="F72">
        <v>48</v>
      </c>
      <c r="G72">
        <f>Consulta2[[#This Row],[DIA_UTIL_CORRENTE]]</f>
        <v>7</v>
      </c>
      <c r="H72" s="6">
        <f>DAY(Consulta2[[#This Row],[DATA]])</f>
        <v>11</v>
      </c>
      <c r="I72" s="6">
        <f>MONTH(Consulta2[[#This Row],[DATA]])</f>
        <v>3</v>
      </c>
      <c r="J72" t="str">
        <f>CONCATENATE(Consulta2[[#This Row],[SAFRA]],Consulta2[[#This Row],[dia]])</f>
        <v>20240311</v>
      </c>
      <c r="K72">
        <f>Consulta2[[#This Row],[DIA_UTIL_CORRENTE]]</f>
        <v>7</v>
      </c>
    </row>
    <row r="73" spans="1:11" x14ac:dyDescent="0.25">
      <c r="A73">
        <v>202403</v>
      </c>
      <c r="B73">
        <v>8</v>
      </c>
      <c r="C73" s="148">
        <v>45363</v>
      </c>
      <c r="D73">
        <v>20</v>
      </c>
      <c r="E73">
        <v>20</v>
      </c>
      <c r="F73">
        <v>49</v>
      </c>
      <c r="G73">
        <f>Consulta2[[#This Row],[DIA_UTIL_CORRENTE]]</f>
        <v>8</v>
      </c>
      <c r="H73" s="6">
        <f>DAY(Consulta2[[#This Row],[DATA]])</f>
        <v>12</v>
      </c>
      <c r="I73" s="6">
        <f>MONTH(Consulta2[[#This Row],[DATA]])</f>
        <v>3</v>
      </c>
      <c r="J73" t="str">
        <f>CONCATENATE(Consulta2[[#This Row],[SAFRA]],Consulta2[[#This Row],[dia]])</f>
        <v>20240312</v>
      </c>
      <c r="K73">
        <f>Consulta2[[#This Row],[DIA_UTIL_CORRENTE]]</f>
        <v>8</v>
      </c>
    </row>
    <row r="74" spans="1:11" x14ac:dyDescent="0.25">
      <c r="A74">
        <v>202403</v>
      </c>
      <c r="B74">
        <v>9</v>
      </c>
      <c r="C74" s="148">
        <v>45364</v>
      </c>
      <c r="D74">
        <v>20</v>
      </c>
      <c r="E74">
        <v>20</v>
      </c>
      <c r="F74">
        <v>50</v>
      </c>
      <c r="G74">
        <f>Consulta2[[#This Row],[DIA_UTIL_CORRENTE]]</f>
        <v>9</v>
      </c>
      <c r="H74" s="6">
        <f>DAY(Consulta2[[#This Row],[DATA]])</f>
        <v>13</v>
      </c>
      <c r="I74" s="6">
        <f>MONTH(Consulta2[[#This Row],[DATA]])</f>
        <v>3</v>
      </c>
      <c r="J74" t="str">
        <f>CONCATENATE(Consulta2[[#This Row],[SAFRA]],Consulta2[[#This Row],[dia]])</f>
        <v>20240313</v>
      </c>
      <c r="K74">
        <f>Consulta2[[#This Row],[DIA_UTIL_CORRENTE]]</f>
        <v>9</v>
      </c>
    </row>
    <row r="75" spans="1:11" x14ac:dyDescent="0.25">
      <c r="A75">
        <v>202403</v>
      </c>
      <c r="B75">
        <v>10</v>
      </c>
      <c r="C75" s="148">
        <v>45365</v>
      </c>
      <c r="D75">
        <v>20</v>
      </c>
      <c r="E75">
        <v>20</v>
      </c>
      <c r="F75">
        <v>51</v>
      </c>
      <c r="G75">
        <f>Consulta2[[#This Row],[DIA_UTIL_CORRENTE]]</f>
        <v>10</v>
      </c>
      <c r="H75" s="6">
        <f>DAY(Consulta2[[#This Row],[DATA]])</f>
        <v>14</v>
      </c>
      <c r="I75" s="6">
        <f>MONTH(Consulta2[[#This Row],[DATA]])</f>
        <v>3</v>
      </c>
      <c r="J75" t="str">
        <f>CONCATENATE(Consulta2[[#This Row],[SAFRA]],Consulta2[[#This Row],[dia]])</f>
        <v>20240314</v>
      </c>
      <c r="K75">
        <f>Consulta2[[#This Row],[DIA_UTIL_CORRENTE]]</f>
        <v>10</v>
      </c>
    </row>
    <row r="76" spans="1:11" x14ac:dyDescent="0.25">
      <c r="A76">
        <v>202403</v>
      </c>
      <c r="B76">
        <v>11</v>
      </c>
      <c r="C76" s="148">
        <v>45366</v>
      </c>
      <c r="D76">
        <v>20</v>
      </c>
      <c r="E76">
        <v>20</v>
      </c>
      <c r="F76">
        <v>52</v>
      </c>
      <c r="G76">
        <f>Consulta2[[#This Row],[DIA_UTIL_CORRENTE]]</f>
        <v>11</v>
      </c>
      <c r="H76" s="6">
        <f>DAY(Consulta2[[#This Row],[DATA]])</f>
        <v>15</v>
      </c>
      <c r="I76" s="6">
        <f>MONTH(Consulta2[[#This Row],[DATA]])</f>
        <v>3</v>
      </c>
      <c r="J76" t="str">
        <f>CONCATENATE(Consulta2[[#This Row],[SAFRA]],Consulta2[[#This Row],[dia]])</f>
        <v>20240315</v>
      </c>
      <c r="K76">
        <f>Consulta2[[#This Row],[DIA_UTIL_CORRENTE]]</f>
        <v>11</v>
      </c>
    </row>
    <row r="77" spans="1:11" x14ac:dyDescent="0.25">
      <c r="A77">
        <v>202403</v>
      </c>
      <c r="B77">
        <v>11</v>
      </c>
      <c r="C77" s="148">
        <v>45367</v>
      </c>
      <c r="D77">
        <v>20</v>
      </c>
      <c r="E77">
        <v>20</v>
      </c>
      <c r="F77">
        <v>52</v>
      </c>
      <c r="G77">
        <f>Consulta2[[#This Row],[DIA_UTIL_CORRENTE]]</f>
        <v>11</v>
      </c>
      <c r="H77" s="6">
        <f>DAY(Consulta2[[#This Row],[DATA]])</f>
        <v>16</v>
      </c>
      <c r="I77" s="6">
        <f>MONTH(Consulta2[[#This Row],[DATA]])</f>
        <v>3</v>
      </c>
      <c r="J77" t="str">
        <f>CONCATENATE(Consulta2[[#This Row],[SAFRA]],Consulta2[[#This Row],[dia]])</f>
        <v>20240316</v>
      </c>
      <c r="K77">
        <f>Consulta2[[#This Row],[DIA_UTIL_CORRENTE]]</f>
        <v>11</v>
      </c>
    </row>
    <row r="78" spans="1:11" x14ac:dyDescent="0.25">
      <c r="A78">
        <v>202403</v>
      </c>
      <c r="B78">
        <v>11</v>
      </c>
      <c r="C78" s="148">
        <v>45368</v>
      </c>
      <c r="D78">
        <v>20</v>
      </c>
      <c r="E78">
        <v>20</v>
      </c>
      <c r="F78">
        <v>52</v>
      </c>
      <c r="G78">
        <f>Consulta2[[#This Row],[DIA_UTIL_CORRENTE]]</f>
        <v>11</v>
      </c>
      <c r="H78" s="6">
        <f>DAY(Consulta2[[#This Row],[DATA]])</f>
        <v>17</v>
      </c>
      <c r="I78" s="6">
        <f>MONTH(Consulta2[[#This Row],[DATA]])</f>
        <v>3</v>
      </c>
      <c r="J78" t="str">
        <f>CONCATENATE(Consulta2[[#This Row],[SAFRA]],Consulta2[[#This Row],[dia]])</f>
        <v>20240317</v>
      </c>
      <c r="K78">
        <f>Consulta2[[#This Row],[DIA_UTIL_CORRENTE]]</f>
        <v>11</v>
      </c>
    </row>
    <row r="79" spans="1:11" x14ac:dyDescent="0.25">
      <c r="A79">
        <v>202403</v>
      </c>
      <c r="B79">
        <v>12</v>
      </c>
      <c r="C79" s="148">
        <v>45369</v>
      </c>
      <c r="D79">
        <v>20</v>
      </c>
      <c r="E79">
        <v>20</v>
      </c>
      <c r="F79">
        <v>53</v>
      </c>
      <c r="G79">
        <f>Consulta2[[#This Row],[DIA_UTIL_CORRENTE]]</f>
        <v>12</v>
      </c>
      <c r="H79" s="6">
        <f>DAY(Consulta2[[#This Row],[DATA]])</f>
        <v>18</v>
      </c>
      <c r="I79" s="6">
        <f>MONTH(Consulta2[[#This Row],[DATA]])</f>
        <v>3</v>
      </c>
      <c r="J79" t="str">
        <f>CONCATENATE(Consulta2[[#This Row],[SAFRA]],Consulta2[[#This Row],[dia]])</f>
        <v>20240318</v>
      </c>
      <c r="K79">
        <f>Consulta2[[#This Row],[DIA_UTIL_CORRENTE]]</f>
        <v>12</v>
      </c>
    </row>
    <row r="80" spans="1:11" x14ac:dyDescent="0.25">
      <c r="A80">
        <v>202403</v>
      </c>
      <c r="B80">
        <v>13</v>
      </c>
      <c r="C80" s="148">
        <v>45370</v>
      </c>
      <c r="D80">
        <v>20</v>
      </c>
      <c r="E80">
        <v>20</v>
      </c>
      <c r="F80">
        <v>54</v>
      </c>
      <c r="G80">
        <f>Consulta2[[#This Row],[DIA_UTIL_CORRENTE]]</f>
        <v>13</v>
      </c>
      <c r="H80" s="6">
        <f>DAY(Consulta2[[#This Row],[DATA]])</f>
        <v>19</v>
      </c>
      <c r="I80" s="6">
        <f>MONTH(Consulta2[[#This Row],[DATA]])</f>
        <v>3</v>
      </c>
      <c r="J80" t="str">
        <f>CONCATENATE(Consulta2[[#This Row],[SAFRA]],Consulta2[[#This Row],[dia]])</f>
        <v>20240319</v>
      </c>
      <c r="K80">
        <f>Consulta2[[#This Row],[DIA_UTIL_CORRENTE]]</f>
        <v>13</v>
      </c>
    </row>
    <row r="81" spans="1:11" x14ac:dyDescent="0.25">
      <c r="A81">
        <v>202403</v>
      </c>
      <c r="B81">
        <v>14</v>
      </c>
      <c r="C81" s="148">
        <v>45371</v>
      </c>
      <c r="D81">
        <v>20</v>
      </c>
      <c r="E81">
        <v>20</v>
      </c>
      <c r="F81">
        <v>55</v>
      </c>
      <c r="G81">
        <f>Consulta2[[#This Row],[DIA_UTIL_CORRENTE]]</f>
        <v>14</v>
      </c>
      <c r="H81" s="6">
        <f>DAY(Consulta2[[#This Row],[DATA]])</f>
        <v>20</v>
      </c>
      <c r="I81" s="6">
        <f>MONTH(Consulta2[[#This Row],[DATA]])</f>
        <v>3</v>
      </c>
      <c r="J81" t="str">
        <f>CONCATENATE(Consulta2[[#This Row],[SAFRA]],Consulta2[[#This Row],[dia]])</f>
        <v>20240320</v>
      </c>
      <c r="K81">
        <f>Consulta2[[#This Row],[DIA_UTIL_CORRENTE]]</f>
        <v>14</v>
      </c>
    </row>
    <row r="82" spans="1:11" x14ac:dyDescent="0.25">
      <c r="A82">
        <v>202403</v>
      </c>
      <c r="B82">
        <v>15</v>
      </c>
      <c r="C82" s="148">
        <v>45372</v>
      </c>
      <c r="D82">
        <v>20</v>
      </c>
      <c r="E82">
        <v>20</v>
      </c>
      <c r="F82">
        <v>56</v>
      </c>
      <c r="G82">
        <f>Consulta2[[#This Row],[DIA_UTIL_CORRENTE]]</f>
        <v>15</v>
      </c>
      <c r="H82" s="6">
        <f>DAY(Consulta2[[#This Row],[DATA]])</f>
        <v>21</v>
      </c>
      <c r="I82" s="6">
        <f>MONTH(Consulta2[[#This Row],[DATA]])</f>
        <v>3</v>
      </c>
      <c r="J82" t="str">
        <f>CONCATENATE(Consulta2[[#This Row],[SAFRA]],Consulta2[[#This Row],[dia]])</f>
        <v>20240321</v>
      </c>
      <c r="K82">
        <f>Consulta2[[#This Row],[DIA_UTIL_CORRENTE]]</f>
        <v>15</v>
      </c>
    </row>
    <row r="83" spans="1:11" x14ac:dyDescent="0.25">
      <c r="A83">
        <v>202403</v>
      </c>
      <c r="B83">
        <v>16</v>
      </c>
      <c r="C83" s="148">
        <v>45373</v>
      </c>
      <c r="D83">
        <v>20</v>
      </c>
      <c r="E83">
        <v>20</v>
      </c>
      <c r="F83">
        <v>57</v>
      </c>
      <c r="G83">
        <f>Consulta2[[#This Row],[DIA_UTIL_CORRENTE]]</f>
        <v>16</v>
      </c>
      <c r="H83" s="6">
        <f>DAY(Consulta2[[#This Row],[DATA]])</f>
        <v>22</v>
      </c>
      <c r="I83" s="6">
        <f>MONTH(Consulta2[[#This Row],[DATA]])</f>
        <v>3</v>
      </c>
      <c r="J83" t="str">
        <f>CONCATENATE(Consulta2[[#This Row],[SAFRA]],Consulta2[[#This Row],[dia]])</f>
        <v>20240322</v>
      </c>
      <c r="K83">
        <f>Consulta2[[#This Row],[DIA_UTIL_CORRENTE]]</f>
        <v>16</v>
      </c>
    </row>
    <row r="84" spans="1:11" x14ac:dyDescent="0.25">
      <c r="A84">
        <v>202403</v>
      </c>
      <c r="B84">
        <v>16</v>
      </c>
      <c r="C84" s="148">
        <v>45374</v>
      </c>
      <c r="D84">
        <v>20</v>
      </c>
      <c r="E84">
        <v>20</v>
      </c>
      <c r="F84">
        <v>57</v>
      </c>
      <c r="G84">
        <f>Consulta2[[#This Row],[DIA_UTIL_CORRENTE]]</f>
        <v>16</v>
      </c>
      <c r="H84" s="6">
        <f>DAY(Consulta2[[#This Row],[DATA]])</f>
        <v>23</v>
      </c>
      <c r="I84" s="6">
        <f>MONTH(Consulta2[[#This Row],[DATA]])</f>
        <v>3</v>
      </c>
      <c r="J84" t="str">
        <f>CONCATENATE(Consulta2[[#This Row],[SAFRA]],Consulta2[[#This Row],[dia]])</f>
        <v>20240323</v>
      </c>
      <c r="K84">
        <f>Consulta2[[#This Row],[DIA_UTIL_CORRENTE]]</f>
        <v>16</v>
      </c>
    </row>
    <row r="85" spans="1:11" x14ac:dyDescent="0.25">
      <c r="A85">
        <v>202403</v>
      </c>
      <c r="B85">
        <v>16</v>
      </c>
      <c r="C85" s="148">
        <v>45375</v>
      </c>
      <c r="D85">
        <v>20</v>
      </c>
      <c r="E85">
        <v>20</v>
      </c>
      <c r="F85">
        <v>57</v>
      </c>
      <c r="G85">
        <f>Consulta2[[#This Row],[DIA_UTIL_CORRENTE]]</f>
        <v>16</v>
      </c>
      <c r="H85" s="6">
        <f>DAY(Consulta2[[#This Row],[DATA]])</f>
        <v>24</v>
      </c>
      <c r="I85" s="6">
        <f>MONTH(Consulta2[[#This Row],[DATA]])</f>
        <v>3</v>
      </c>
      <c r="J85" t="str">
        <f>CONCATENATE(Consulta2[[#This Row],[SAFRA]],Consulta2[[#This Row],[dia]])</f>
        <v>20240324</v>
      </c>
      <c r="K85">
        <f>Consulta2[[#This Row],[DIA_UTIL_CORRENTE]]</f>
        <v>16</v>
      </c>
    </row>
    <row r="86" spans="1:11" x14ac:dyDescent="0.25">
      <c r="A86">
        <v>202403</v>
      </c>
      <c r="B86">
        <v>17</v>
      </c>
      <c r="C86" s="148">
        <v>45376</v>
      </c>
      <c r="D86">
        <v>20</v>
      </c>
      <c r="E86">
        <v>20</v>
      </c>
      <c r="F86">
        <v>58</v>
      </c>
      <c r="G86">
        <f>Consulta2[[#This Row],[DIA_UTIL_CORRENTE]]</f>
        <v>17</v>
      </c>
      <c r="H86" s="6">
        <f>DAY(Consulta2[[#This Row],[DATA]])</f>
        <v>25</v>
      </c>
      <c r="I86" s="6">
        <f>MONTH(Consulta2[[#This Row],[DATA]])</f>
        <v>3</v>
      </c>
      <c r="J86" t="str">
        <f>CONCATENATE(Consulta2[[#This Row],[SAFRA]],Consulta2[[#This Row],[dia]])</f>
        <v>20240325</v>
      </c>
      <c r="K86">
        <f>Consulta2[[#This Row],[DIA_UTIL_CORRENTE]]</f>
        <v>17</v>
      </c>
    </row>
    <row r="87" spans="1:11" x14ac:dyDescent="0.25">
      <c r="A87">
        <v>202403</v>
      </c>
      <c r="B87">
        <v>18</v>
      </c>
      <c r="C87" s="148">
        <v>45377</v>
      </c>
      <c r="D87">
        <v>20</v>
      </c>
      <c r="E87">
        <v>20</v>
      </c>
      <c r="F87">
        <v>59</v>
      </c>
      <c r="G87">
        <f>Consulta2[[#This Row],[DIA_UTIL_CORRENTE]]</f>
        <v>18</v>
      </c>
      <c r="H87" s="6">
        <f>DAY(Consulta2[[#This Row],[DATA]])</f>
        <v>26</v>
      </c>
      <c r="I87" s="6">
        <f>MONTH(Consulta2[[#This Row],[DATA]])</f>
        <v>3</v>
      </c>
      <c r="J87" t="str">
        <f>CONCATENATE(Consulta2[[#This Row],[SAFRA]],Consulta2[[#This Row],[dia]])</f>
        <v>20240326</v>
      </c>
      <c r="K87">
        <f>Consulta2[[#This Row],[DIA_UTIL_CORRENTE]]</f>
        <v>18</v>
      </c>
    </row>
    <row r="88" spans="1:11" x14ac:dyDescent="0.25">
      <c r="A88">
        <v>202403</v>
      </c>
      <c r="B88">
        <v>19</v>
      </c>
      <c r="C88" s="148">
        <v>45378</v>
      </c>
      <c r="D88">
        <v>20</v>
      </c>
      <c r="E88">
        <v>20</v>
      </c>
      <c r="F88">
        <v>60</v>
      </c>
      <c r="G88">
        <f>Consulta2[[#This Row],[DIA_UTIL_CORRENTE]]</f>
        <v>19</v>
      </c>
      <c r="H88" s="6">
        <f>DAY(Consulta2[[#This Row],[DATA]])</f>
        <v>27</v>
      </c>
      <c r="I88" s="6">
        <f>MONTH(Consulta2[[#This Row],[DATA]])</f>
        <v>3</v>
      </c>
      <c r="J88" t="str">
        <f>CONCATENATE(Consulta2[[#This Row],[SAFRA]],Consulta2[[#This Row],[dia]])</f>
        <v>20240327</v>
      </c>
      <c r="K88">
        <f>Consulta2[[#This Row],[DIA_UTIL_CORRENTE]]</f>
        <v>19</v>
      </c>
    </row>
    <row r="89" spans="1:11" x14ac:dyDescent="0.25">
      <c r="A89">
        <v>202403</v>
      </c>
      <c r="B89">
        <v>20</v>
      </c>
      <c r="C89" s="148">
        <v>45379</v>
      </c>
      <c r="D89">
        <v>20</v>
      </c>
      <c r="E89">
        <v>20</v>
      </c>
      <c r="F89">
        <v>61</v>
      </c>
      <c r="G89">
        <f>Consulta2[[#This Row],[DIA_UTIL_CORRENTE]]</f>
        <v>20</v>
      </c>
      <c r="H89" s="6">
        <f>DAY(Consulta2[[#This Row],[DATA]])</f>
        <v>28</v>
      </c>
      <c r="I89" s="6">
        <f>MONTH(Consulta2[[#This Row],[DATA]])</f>
        <v>3</v>
      </c>
      <c r="J89" t="str">
        <f>CONCATENATE(Consulta2[[#This Row],[SAFRA]],Consulta2[[#This Row],[dia]])</f>
        <v>20240328</v>
      </c>
      <c r="K89">
        <f>Consulta2[[#This Row],[DIA_UTIL_CORRENTE]]</f>
        <v>20</v>
      </c>
    </row>
    <row r="90" spans="1:11" x14ac:dyDescent="0.25">
      <c r="A90">
        <v>202403</v>
      </c>
      <c r="B90">
        <v>20</v>
      </c>
      <c r="C90" s="148">
        <v>45380</v>
      </c>
      <c r="D90">
        <v>20</v>
      </c>
      <c r="E90">
        <v>20</v>
      </c>
      <c r="F90">
        <v>61</v>
      </c>
      <c r="G90">
        <f>Consulta2[[#This Row],[DIA_UTIL_CORRENTE]]</f>
        <v>20</v>
      </c>
      <c r="H90" s="6">
        <f>DAY(Consulta2[[#This Row],[DATA]])</f>
        <v>29</v>
      </c>
      <c r="I90" s="6">
        <f>MONTH(Consulta2[[#This Row],[DATA]])</f>
        <v>3</v>
      </c>
      <c r="J90" t="str">
        <f>CONCATENATE(Consulta2[[#This Row],[SAFRA]],Consulta2[[#This Row],[dia]])</f>
        <v>20240329</v>
      </c>
      <c r="K90">
        <f>Consulta2[[#This Row],[DIA_UTIL_CORRENTE]]</f>
        <v>20</v>
      </c>
    </row>
    <row r="91" spans="1:11" x14ac:dyDescent="0.25">
      <c r="A91">
        <v>202403</v>
      </c>
      <c r="B91">
        <v>20</v>
      </c>
      <c r="C91" s="148">
        <v>45381</v>
      </c>
      <c r="D91">
        <v>20</v>
      </c>
      <c r="E91">
        <v>20</v>
      </c>
      <c r="F91">
        <v>61</v>
      </c>
      <c r="G91">
        <f>Consulta2[[#This Row],[DIA_UTIL_CORRENTE]]</f>
        <v>20</v>
      </c>
      <c r="H91" s="6">
        <f>DAY(Consulta2[[#This Row],[DATA]])</f>
        <v>30</v>
      </c>
      <c r="I91" s="6">
        <f>MONTH(Consulta2[[#This Row],[DATA]])</f>
        <v>3</v>
      </c>
      <c r="J91" t="str">
        <f>CONCATENATE(Consulta2[[#This Row],[SAFRA]],Consulta2[[#This Row],[dia]])</f>
        <v>20240330</v>
      </c>
      <c r="K91">
        <f>Consulta2[[#This Row],[DIA_UTIL_CORRENTE]]</f>
        <v>20</v>
      </c>
    </row>
    <row r="92" spans="1:11" x14ac:dyDescent="0.25">
      <c r="A92">
        <v>202403</v>
      </c>
      <c r="B92">
        <v>20</v>
      </c>
      <c r="C92" s="148">
        <v>45382</v>
      </c>
      <c r="D92">
        <v>20</v>
      </c>
      <c r="E92">
        <v>20</v>
      </c>
      <c r="F92">
        <v>61</v>
      </c>
      <c r="G92">
        <f>Consulta2[[#This Row],[DIA_UTIL_CORRENTE]]</f>
        <v>20</v>
      </c>
      <c r="H92" s="6">
        <f>DAY(Consulta2[[#This Row],[DATA]])</f>
        <v>31</v>
      </c>
      <c r="I92" s="6">
        <f>MONTH(Consulta2[[#This Row],[DATA]])</f>
        <v>3</v>
      </c>
      <c r="J92" t="str">
        <f>CONCATENATE(Consulta2[[#This Row],[SAFRA]],Consulta2[[#This Row],[dia]])</f>
        <v>20240331</v>
      </c>
      <c r="K92">
        <f>Consulta2[[#This Row],[DIA_UTIL_CORRENTE]]</f>
        <v>20</v>
      </c>
    </row>
    <row r="93" spans="1:11" x14ac:dyDescent="0.25">
      <c r="A93">
        <v>202404</v>
      </c>
      <c r="B93">
        <v>1</v>
      </c>
      <c r="C93" s="148">
        <v>45383</v>
      </c>
      <c r="D93">
        <v>22</v>
      </c>
      <c r="E93">
        <v>22</v>
      </c>
      <c r="F93">
        <v>62</v>
      </c>
      <c r="G93">
        <f>Consulta2[[#This Row],[DIA_UTIL_CORRENTE]]</f>
        <v>1</v>
      </c>
      <c r="H93" s="6">
        <f>DAY(Consulta2[[#This Row],[DATA]])</f>
        <v>1</v>
      </c>
      <c r="I93" s="6">
        <f>MONTH(Consulta2[[#This Row],[DATA]])</f>
        <v>4</v>
      </c>
      <c r="J93" t="str">
        <f>CONCATENATE(Consulta2[[#This Row],[SAFRA]],Consulta2[[#This Row],[dia]])</f>
        <v>2024041</v>
      </c>
      <c r="K93">
        <f>Consulta2[[#This Row],[DIA_UTIL_CORRENTE]]</f>
        <v>1</v>
      </c>
    </row>
    <row r="94" spans="1:11" x14ac:dyDescent="0.25">
      <c r="A94">
        <v>202404</v>
      </c>
      <c r="B94">
        <v>2</v>
      </c>
      <c r="C94" s="148">
        <v>45384</v>
      </c>
      <c r="D94">
        <v>22</v>
      </c>
      <c r="E94">
        <v>22</v>
      </c>
      <c r="F94">
        <v>63</v>
      </c>
      <c r="G94">
        <f>Consulta2[[#This Row],[DIA_UTIL_CORRENTE]]</f>
        <v>2</v>
      </c>
      <c r="H94" s="6">
        <f>DAY(Consulta2[[#This Row],[DATA]])</f>
        <v>2</v>
      </c>
      <c r="I94" s="6">
        <f>MONTH(Consulta2[[#This Row],[DATA]])</f>
        <v>4</v>
      </c>
      <c r="J94" t="str">
        <f>CONCATENATE(Consulta2[[#This Row],[SAFRA]],Consulta2[[#This Row],[dia]])</f>
        <v>2024042</v>
      </c>
      <c r="K94">
        <f>Consulta2[[#This Row],[DIA_UTIL_CORRENTE]]</f>
        <v>2</v>
      </c>
    </row>
    <row r="95" spans="1:11" x14ac:dyDescent="0.25">
      <c r="A95">
        <v>202404</v>
      </c>
      <c r="B95">
        <v>3</v>
      </c>
      <c r="C95" s="148">
        <v>45385</v>
      </c>
      <c r="D95">
        <v>22</v>
      </c>
      <c r="E95">
        <v>22</v>
      </c>
      <c r="F95">
        <v>64</v>
      </c>
      <c r="G95">
        <f>Consulta2[[#This Row],[DIA_UTIL_CORRENTE]]</f>
        <v>3</v>
      </c>
      <c r="H95" s="6">
        <f>DAY(Consulta2[[#This Row],[DATA]])</f>
        <v>3</v>
      </c>
      <c r="I95" s="6">
        <f>MONTH(Consulta2[[#This Row],[DATA]])</f>
        <v>4</v>
      </c>
      <c r="J95" t="str">
        <f>CONCATENATE(Consulta2[[#This Row],[SAFRA]],Consulta2[[#This Row],[dia]])</f>
        <v>2024043</v>
      </c>
      <c r="K95">
        <f>Consulta2[[#This Row],[DIA_UTIL_CORRENTE]]</f>
        <v>3</v>
      </c>
    </row>
    <row r="96" spans="1:11" x14ac:dyDescent="0.25">
      <c r="A96">
        <v>202404</v>
      </c>
      <c r="B96">
        <v>4</v>
      </c>
      <c r="C96" s="148">
        <v>45386</v>
      </c>
      <c r="D96">
        <v>22</v>
      </c>
      <c r="E96">
        <v>22</v>
      </c>
      <c r="F96">
        <v>65</v>
      </c>
      <c r="G96">
        <f>Consulta2[[#This Row],[DIA_UTIL_CORRENTE]]</f>
        <v>4</v>
      </c>
      <c r="H96" s="6">
        <f>DAY(Consulta2[[#This Row],[DATA]])</f>
        <v>4</v>
      </c>
      <c r="I96" s="6">
        <f>MONTH(Consulta2[[#This Row],[DATA]])</f>
        <v>4</v>
      </c>
      <c r="J96" t="str">
        <f>CONCATENATE(Consulta2[[#This Row],[SAFRA]],Consulta2[[#This Row],[dia]])</f>
        <v>2024044</v>
      </c>
      <c r="K96">
        <f>Consulta2[[#This Row],[DIA_UTIL_CORRENTE]]</f>
        <v>4</v>
      </c>
    </row>
    <row r="97" spans="1:11" x14ac:dyDescent="0.25">
      <c r="A97">
        <v>202404</v>
      </c>
      <c r="B97">
        <v>5</v>
      </c>
      <c r="C97" s="148">
        <v>45387</v>
      </c>
      <c r="D97">
        <v>22</v>
      </c>
      <c r="E97">
        <v>22</v>
      </c>
      <c r="F97">
        <v>66</v>
      </c>
      <c r="G97">
        <f>Consulta2[[#This Row],[DIA_UTIL_CORRENTE]]</f>
        <v>5</v>
      </c>
      <c r="H97" s="6">
        <f>DAY(Consulta2[[#This Row],[DATA]])</f>
        <v>5</v>
      </c>
      <c r="I97" s="6">
        <f>MONTH(Consulta2[[#This Row],[DATA]])</f>
        <v>4</v>
      </c>
      <c r="J97" t="str">
        <f>CONCATENATE(Consulta2[[#This Row],[SAFRA]],Consulta2[[#This Row],[dia]])</f>
        <v>2024045</v>
      </c>
      <c r="K97">
        <f>Consulta2[[#This Row],[DIA_UTIL_CORRENTE]]</f>
        <v>5</v>
      </c>
    </row>
    <row r="98" spans="1:11" x14ac:dyDescent="0.25">
      <c r="A98">
        <v>202404</v>
      </c>
      <c r="B98">
        <v>5</v>
      </c>
      <c r="C98" s="148">
        <v>45388</v>
      </c>
      <c r="D98">
        <v>22</v>
      </c>
      <c r="E98">
        <v>22</v>
      </c>
      <c r="F98">
        <v>66</v>
      </c>
      <c r="G98">
        <f>Consulta2[[#This Row],[DIA_UTIL_CORRENTE]]</f>
        <v>5</v>
      </c>
      <c r="H98" s="6">
        <f>DAY(Consulta2[[#This Row],[DATA]])</f>
        <v>6</v>
      </c>
      <c r="I98" s="6">
        <f>MONTH(Consulta2[[#This Row],[DATA]])</f>
        <v>4</v>
      </c>
      <c r="J98" t="str">
        <f>CONCATENATE(Consulta2[[#This Row],[SAFRA]],Consulta2[[#This Row],[dia]])</f>
        <v>2024046</v>
      </c>
      <c r="K98">
        <f>Consulta2[[#This Row],[DIA_UTIL_CORRENTE]]</f>
        <v>5</v>
      </c>
    </row>
    <row r="99" spans="1:11" x14ac:dyDescent="0.25">
      <c r="A99">
        <v>202404</v>
      </c>
      <c r="B99">
        <v>5</v>
      </c>
      <c r="C99" s="148">
        <v>45389</v>
      </c>
      <c r="D99">
        <v>22</v>
      </c>
      <c r="E99">
        <v>22</v>
      </c>
      <c r="F99">
        <v>66</v>
      </c>
      <c r="G99">
        <f>Consulta2[[#This Row],[DIA_UTIL_CORRENTE]]</f>
        <v>5</v>
      </c>
      <c r="H99" s="6">
        <f>DAY(Consulta2[[#This Row],[DATA]])</f>
        <v>7</v>
      </c>
      <c r="I99" s="6">
        <f>MONTH(Consulta2[[#This Row],[DATA]])</f>
        <v>4</v>
      </c>
      <c r="J99" t="str">
        <f>CONCATENATE(Consulta2[[#This Row],[SAFRA]],Consulta2[[#This Row],[dia]])</f>
        <v>2024047</v>
      </c>
      <c r="K99">
        <f>Consulta2[[#This Row],[DIA_UTIL_CORRENTE]]</f>
        <v>5</v>
      </c>
    </row>
    <row r="100" spans="1:11" x14ac:dyDescent="0.25">
      <c r="A100">
        <v>202404</v>
      </c>
      <c r="B100">
        <v>6</v>
      </c>
      <c r="C100" s="148">
        <v>45390</v>
      </c>
      <c r="D100">
        <v>22</v>
      </c>
      <c r="E100">
        <v>22</v>
      </c>
      <c r="F100">
        <v>67</v>
      </c>
      <c r="G100">
        <f>Consulta2[[#This Row],[DIA_UTIL_CORRENTE]]</f>
        <v>6</v>
      </c>
      <c r="H100" s="6">
        <f>DAY(Consulta2[[#This Row],[DATA]])</f>
        <v>8</v>
      </c>
      <c r="I100" s="6">
        <f>MONTH(Consulta2[[#This Row],[DATA]])</f>
        <v>4</v>
      </c>
      <c r="J100" t="str">
        <f>CONCATENATE(Consulta2[[#This Row],[SAFRA]],Consulta2[[#This Row],[dia]])</f>
        <v>2024048</v>
      </c>
      <c r="K100">
        <f>Consulta2[[#This Row],[DIA_UTIL_CORRENTE]]</f>
        <v>6</v>
      </c>
    </row>
    <row r="101" spans="1:11" x14ac:dyDescent="0.25">
      <c r="A101">
        <v>202404</v>
      </c>
      <c r="B101">
        <v>7</v>
      </c>
      <c r="C101" s="148">
        <v>45391</v>
      </c>
      <c r="D101">
        <v>22</v>
      </c>
      <c r="E101">
        <v>22</v>
      </c>
      <c r="F101">
        <v>68</v>
      </c>
      <c r="G101">
        <f>Consulta2[[#This Row],[DIA_UTIL_CORRENTE]]</f>
        <v>7</v>
      </c>
      <c r="H101" s="6">
        <f>DAY(Consulta2[[#This Row],[DATA]])</f>
        <v>9</v>
      </c>
      <c r="I101" s="6">
        <f>MONTH(Consulta2[[#This Row],[DATA]])</f>
        <v>4</v>
      </c>
      <c r="J101" t="str">
        <f>CONCATENATE(Consulta2[[#This Row],[SAFRA]],Consulta2[[#This Row],[dia]])</f>
        <v>2024049</v>
      </c>
      <c r="K101">
        <f>Consulta2[[#This Row],[DIA_UTIL_CORRENTE]]</f>
        <v>7</v>
      </c>
    </row>
    <row r="102" spans="1:11" x14ac:dyDescent="0.25">
      <c r="A102">
        <v>202404</v>
      </c>
      <c r="B102">
        <v>8</v>
      </c>
      <c r="C102" s="148">
        <v>45392</v>
      </c>
      <c r="D102">
        <v>22</v>
      </c>
      <c r="E102">
        <v>22</v>
      </c>
      <c r="F102">
        <v>69</v>
      </c>
      <c r="G102">
        <f>Consulta2[[#This Row],[DIA_UTIL_CORRENTE]]</f>
        <v>8</v>
      </c>
      <c r="H102" s="6">
        <f>DAY(Consulta2[[#This Row],[DATA]])</f>
        <v>10</v>
      </c>
      <c r="I102" s="6">
        <f>MONTH(Consulta2[[#This Row],[DATA]])</f>
        <v>4</v>
      </c>
      <c r="J102" t="str">
        <f>CONCATENATE(Consulta2[[#This Row],[SAFRA]],Consulta2[[#This Row],[dia]])</f>
        <v>20240410</v>
      </c>
      <c r="K102">
        <f>Consulta2[[#This Row],[DIA_UTIL_CORRENTE]]</f>
        <v>8</v>
      </c>
    </row>
    <row r="103" spans="1:11" x14ac:dyDescent="0.25">
      <c r="A103">
        <v>202404</v>
      </c>
      <c r="B103">
        <v>9</v>
      </c>
      <c r="C103" s="148">
        <v>45393</v>
      </c>
      <c r="D103">
        <v>22</v>
      </c>
      <c r="E103">
        <v>22</v>
      </c>
      <c r="F103">
        <v>70</v>
      </c>
      <c r="G103">
        <f>Consulta2[[#This Row],[DIA_UTIL_CORRENTE]]</f>
        <v>9</v>
      </c>
      <c r="H103" s="6">
        <f>DAY(Consulta2[[#This Row],[DATA]])</f>
        <v>11</v>
      </c>
      <c r="I103" s="6">
        <f>MONTH(Consulta2[[#This Row],[DATA]])</f>
        <v>4</v>
      </c>
      <c r="J103" t="str">
        <f>CONCATENATE(Consulta2[[#This Row],[SAFRA]],Consulta2[[#This Row],[dia]])</f>
        <v>20240411</v>
      </c>
      <c r="K103">
        <f>Consulta2[[#This Row],[DIA_UTIL_CORRENTE]]</f>
        <v>9</v>
      </c>
    </row>
    <row r="104" spans="1:11" x14ac:dyDescent="0.25">
      <c r="A104">
        <v>202404</v>
      </c>
      <c r="B104">
        <v>10</v>
      </c>
      <c r="C104" s="148">
        <v>45394</v>
      </c>
      <c r="D104">
        <v>22</v>
      </c>
      <c r="E104">
        <v>22</v>
      </c>
      <c r="F104">
        <v>71</v>
      </c>
      <c r="G104">
        <f>Consulta2[[#This Row],[DIA_UTIL_CORRENTE]]</f>
        <v>10</v>
      </c>
      <c r="H104" s="6">
        <f>DAY(Consulta2[[#This Row],[DATA]])</f>
        <v>12</v>
      </c>
      <c r="I104" s="6">
        <f>MONTH(Consulta2[[#This Row],[DATA]])</f>
        <v>4</v>
      </c>
      <c r="J104" t="str">
        <f>CONCATENATE(Consulta2[[#This Row],[SAFRA]],Consulta2[[#This Row],[dia]])</f>
        <v>20240412</v>
      </c>
      <c r="K104">
        <f>Consulta2[[#This Row],[DIA_UTIL_CORRENTE]]</f>
        <v>10</v>
      </c>
    </row>
    <row r="105" spans="1:11" x14ac:dyDescent="0.25">
      <c r="A105">
        <v>202404</v>
      </c>
      <c r="B105">
        <v>10</v>
      </c>
      <c r="C105" s="148">
        <v>45395</v>
      </c>
      <c r="D105">
        <v>22</v>
      </c>
      <c r="E105">
        <v>22</v>
      </c>
      <c r="F105">
        <v>71</v>
      </c>
      <c r="G105">
        <f>Consulta2[[#This Row],[DIA_UTIL_CORRENTE]]</f>
        <v>10</v>
      </c>
      <c r="H105" s="6">
        <f>DAY(Consulta2[[#This Row],[DATA]])</f>
        <v>13</v>
      </c>
      <c r="I105" s="6">
        <f>MONTH(Consulta2[[#This Row],[DATA]])</f>
        <v>4</v>
      </c>
      <c r="J105" t="str">
        <f>CONCATENATE(Consulta2[[#This Row],[SAFRA]],Consulta2[[#This Row],[dia]])</f>
        <v>20240413</v>
      </c>
      <c r="K105">
        <f>Consulta2[[#This Row],[DIA_UTIL_CORRENTE]]</f>
        <v>10</v>
      </c>
    </row>
    <row r="106" spans="1:11" x14ac:dyDescent="0.25">
      <c r="A106">
        <v>202404</v>
      </c>
      <c r="B106">
        <v>10</v>
      </c>
      <c r="C106" s="148">
        <v>45396</v>
      </c>
      <c r="D106">
        <v>22</v>
      </c>
      <c r="E106">
        <v>22</v>
      </c>
      <c r="F106">
        <v>71</v>
      </c>
      <c r="G106">
        <f>Consulta2[[#This Row],[DIA_UTIL_CORRENTE]]</f>
        <v>10</v>
      </c>
      <c r="H106" s="6">
        <f>DAY(Consulta2[[#This Row],[DATA]])</f>
        <v>14</v>
      </c>
      <c r="I106" s="6">
        <f>MONTH(Consulta2[[#This Row],[DATA]])</f>
        <v>4</v>
      </c>
      <c r="J106" t="str">
        <f>CONCATENATE(Consulta2[[#This Row],[SAFRA]],Consulta2[[#This Row],[dia]])</f>
        <v>20240414</v>
      </c>
      <c r="K106">
        <f>Consulta2[[#This Row],[DIA_UTIL_CORRENTE]]</f>
        <v>10</v>
      </c>
    </row>
    <row r="107" spans="1:11" x14ac:dyDescent="0.25">
      <c r="A107">
        <v>202404</v>
      </c>
      <c r="B107">
        <v>11</v>
      </c>
      <c r="C107" s="148">
        <v>45397</v>
      </c>
      <c r="D107">
        <v>22</v>
      </c>
      <c r="E107">
        <v>22</v>
      </c>
      <c r="F107">
        <v>72</v>
      </c>
      <c r="G107">
        <f>Consulta2[[#This Row],[DIA_UTIL_CORRENTE]]</f>
        <v>11</v>
      </c>
      <c r="H107" s="6">
        <f>DAY(Consulta2[[#This Row],[DATA]])</f>
        <v>15</v>
      </c>
      <c r="I107" s="6">
        <f>MONTH(Consulta2[[#This Row],[DATA]])</f>
        <v>4</v>
      </c>
      <c r="J107" t="str">
        <f>CONCATENATE(Consulta2[[#This Row],[SAFRA]],Consulta2[[#This Row],[dia]])</f>
        <v>20240415</v>
      </c>
      <c r="K107">
        <f>Consulta2[[#This Row],[DIA_UTIL_CORRENTE]]</f>
        <v>11</v>
      </c>
    </row>
    <row r="108" spans="1:11" x14ac:dyDescent="0.25">
      <c r="A108">
        <v>202404</v>
      </c>
      <c r="B108">
        <v>12</v>
      </c>
      <c r="C108" s="148">
        <v>45398</v>
      </c>
      <c r="D108">
        <v>22</v>
      </c>
      <c r="E108">
        <v>22</v>
      </c>
      <c r="F108">
        <v>73</v>
      </c>
      <c r="G108">
        <f>Consulta2[[#This Row],[DIA_UTIL_CORRENTE]]</f>
        <v>12</v>
      </c>
      <c r="H108" s="6">
        <f>DAY(Consulta2[[#This Row],[DATA]])</f>
        <v>16</v>
      </c>
      <c r="I108" s="6">
        <f>MONTH(Consulta2[[#This Row],[DATA]])</f>
        <v>4</v>
      </c>
      <c r="J108" t="str">
        <f>CONCATENATE(Consulta2[[#This Row],[SAFRA]],Consulta2[[#This Row],[dia]])</f>
        <v>20240416</v>
      </c>
      <c r="K108">
        <f>Consulta2[[#This Row],[DIA_UTIL_CORRENTE]]</f>
        <v>12</v>
      </c>
    </row>
    <row r="109" spans="1:11" x14ac:dyDescent="0.25">
      <c r="A109">
        <v>202404</v>
      </c>
      <c r="B109">
        <v>13</v>
      </c>
      <c r="C109" s="148">
        <v>45399</v>
      </c>
      <c r="D109">
        <v>22</v>
      </c>
      <c r="E109">
        <v>22</v>
      </c>
      <c r="F109">
        <v>74</v>
      </c>
      <c r="G109">
        <f>Consulta2[[#This Row],[DIA_UTIL_CORRENTE]]</f>
        <v>13</v>
      </c>
      <c r="H109" s="6">
        <f>DAY(Consulta2[[#This Row],[DATA]])</f>
        <v>17</v>
      </c>
      <c r="I109" s="6">
        <f>MONTH(Consulta2[[#This Row],[DATA]])</f>
        <v>4</v>
      </c>
      <c r="J109" t="str">
        <f>CONCATENATE(Consulta2[[#This Row],[SAFRA]],Consulta2[[#This Row],[dia]])</f>
        <v>20240417</v>
      </c>
      <c r="K109">
        <f>Consulta2[[#This Row],[DIA_UTIL_CORRENTE]]</f>
        <v>13</v>
      </c>
    </row>
    <row r="110" spans="1:11" x14ac:dyDescent="0.25">
      <c r="A110">
        <v>202404</v>
      </c>
      <c r="B110">
        <v>14</v>
      </c>
      <c r="C110" s="148">
        <v>45400</v>
      </c>
      <c r="D110">
        <v>22</v>
      </c>
      <c r="E110">
        <v>22</v>
      </c>
      <c r="F110">
        <v>75</v>
      </c>
      <c r="G110">
        <f>Consulta2[[#This Row],[DIA_UTIL_CORRENTE]]</f>
        <v>14</v>
      </c>
      <c r="H110" s="6">
        <f>DAY(Consulta2[[#This Row],[DATA]])</f>
        <v>18</v>
      </c>
      <c r="I110" s="6">
        <f>MONTH(Consulta2[[#This Row],[DATA]])</f>
        <v>4</v>
      </c>
      <c r="J110" t="str">
        <f>CONCATENATE(Consulta2[[#This Row],[SAFRA]],Consulta2[[#This Row],[dia]])</f>
        <v>20240418</v>
      </c>
      <c r="K110">
        <f>Consulta2[[#This Row],[DIA_UTIL_CORRENTE]]</f>
        <v>14</v>
      </c>
    </row>
    <row r="111" spans="1:11" x14ac:dyDescent="0.25">
      <c r="A111">
        <v>202404</v>
      </c>
      <c r="B111">
        <v>15</v>
      </c>
      <c r="C111" s="148">
        <v>45401</v>
      </c>
      <c r="D111">
        <v>22</v>
      </c>
      <c r="E111">
        <v>22</v>
      </c>
      <c r="F111">
        <v>76</v>
      </c>
      <c r="G111">
        <f>Consulta2[[#This Row],[DIA_UTIL_CORRENTE]]</f>
        <v>15</v>
      </c>
      <c r="H111" s="6">
        <f>DAY(Consulta2[[#This Row],[DATA]])</f>
        <v>19</v>
      </c>
      <c r="I111" s="6">
        <f>MONTH(Consulta2[[#This Row],[DATA]])</f>
        <v>4</v>
      </c>
      <c r="J111" t="str">
        <f>CONCATENATE(Consulta2[[#This Row],[SAFRA]],Consulta2[[#This Row],[dia]])</f>
        <v>20240419</v>
      </c>
      <c r="K111">
        <f>Consulta2[[#This Row],[DIA_UTIL_CORRENTE]]</f>
        <v>15</v>
      </c>
    </row>
    <row r="112" spans="1:11" x14ac:dyDescent="0.25">
      <c r="A112">
        <v>202404</v>
      </c>
      <c r="B112">
        <v>15</v>
      </c>
      <c r="C112" s="148">
        <v>45402</v>
      </c>
      <c r="D112">
        <v>22</v>
      </c>
      <c r="E112">
        <v>22</v>
      </c>
      <c r="F112">
        <v>76</v>
      </c>
      <c r="G112">
        <f>Consulta2[[#This Row],[DIA_UTIL_CORRENTE]]</f>
        <v>15</v>
      </c>
      <c r="H112" s="6">
        <f>DAY(Consulta2[[#This Row],[DATA]])</f>
        <v>20</v>
      </c>
      <c r="I112" s="6">
        <f>MONTH(Consulta2[[#This Row],[DATA]])</f>
        <v>4</v>
      </c>
      <c r="J112" t="str">
        <f>CONCATENATE(Consulta2[[#This Row],[SAFRA]],Consulta2[[#This Row],[dia]])</f>
        <v>20240420</v>
      </c>
      <c r="K112">
        <f>Consulta2[[#This Row],[DIA_UTIL_CORRENTE]]</f>
        <v>15</v>
      </c>
    </row>
    <row r="113" spans="1:11" x14ac:dyDescent="0.25">
      <c r="A113">
        <v>202404</v>
      </c>
      <c r="B113">
        <v>15</v>
      </c>
      <c r="C113" s="148">
        <v>45403</v>
      </c>
      <c r="D113">
        <v>22</v>
      </c>
      <c r="E113">
        <v>22</v>
      </c>
      <c r="F113">
        <v>76</v>
      </c>
      <c r="G113">
        <f>Consulta2[[#This Row],[DIA_UTIL_CORRENTE]]</f>
        <v>15</v>
      </c>
      <c r="H113" s="6">
        <f>DAY(Consulta2[[#This Row],[DATA]])</f>
        <v>21</v>
      </c>
      <c r="I113" s="6">
        <f>MONTH(Consulta2[[#This Row],[DATA]])</f>
        <v>4</v>
      </c>
      <c r="J113" t="str">
        <f>CONCATENATE(Consulta2[[#This Row],[SAFRA]],Consulta2[[#This Row],[dia]])</f>
        <v>20240421</v>
      </c>
      <c r="K113">
        <f>Consulta2[[#This Row],[DIA_UTIL_CORRENTE]]</f>
        <v>15</v>
      </c>
    </row>
    <row r="114" spans="1:11" x14ac:dyDescent="0.25">
      <c r="A114">
        <v>202404</v>
      </c>
      <c r="B114">
        <v>16</v>
      </c>
      <c r="C114" s="148">
        <v>45404</v>
      </c>
      <c r="D114">
        <v>22</v>
      </c>
      <c r="E114">
        <v>22</v>
      </c>
      <c r="F114">
        <v>77</v>
      </c>
      <c r="G114">
        <f>Consulta2[[#This Row],[DIA_UTIL_CORRENTE]]</f>
        <v>16</v>
      </c>
      <c r="H114" s="6">
        <f>DAY(Consulta2[[#This Row],[DATA]])</f>
        <v>22</v>
      </c>
      <c r="I114" s="6">
        <f>MONTH(Consulta2[[#This Row],[DATA]])</f>
        <v>4</v>
      </c>
      <c r="J114" t="str">
        <f>CONCATENATE(Consulta2[[#This Row],[SAFRA]],Consulta2[[#This Row],[dia]])</f>
        <v>20240422</v>
      </c>
      <c r="K114">
        <f>Consulta2[[#This Row],[DIA_UTIL_CORRENTE]]</f>
        <v>16</v>
      </c>
    </row>
    <row r="115" spans="1:11" x14ac:dyDescent="0.25">
      <c r="A115">
        <v>202404</v>
      </c>
      <c r="B115">
        <v>17</v>
      </c>
      <c r="C115" s="148">
        <v>45405</v>
      </c>
      <c r="D115">
        <v>22</v>
      </c>
      <c r="E115">
        <v>22</v>
      </c>
      <c r="F115">
        <v>78</v>
      </c>
      <c r="G115">
        <f>Consulta2[[#This Row],[DIA_UTIL_CORRENTE]]</f>
        <v>17</v>
      </c>
      <c r="H115" s="6">
        <f>DAY(Consulta2[[#This Row],[DATA]])</f>
        <v>23</v>
      </c>
      <c r="I115" s="6">
        <f>MONTH(Consulta2[[#This Row],[DATA]])</f>
        <v>4</v>
      </c>
      <c r="J115" t="str">
        <f>CONCATENATE(Consulta2[[#This Row],[SAFRA]],Consulta2[[#This Row],[dia]])</f>
        <v>20240423</v>
      </c>
      <c r="K115">
        <f>Consulta2[[#This Row],[DIA_UTIL_CORRENTE]]</f>
        <v>17</v>
      </c>
    </row>
    <row r="116" spans="1:11" x14ac:dyDescent="0.25">
      <c r="A116">
        <v>202404</v>
      </c>
      <c r="B116">
        <v>18</v>
      </c>
      <c r="C116" s="148">
        <v>45406</v>
      </c>
      <c r="D116">
        <v>22</v>
      </c>
      <c r="E116">
        <v>22</v>
      </c>
      <c r="F116">
        <v>79</v>
      </c>
      <c r="G116">
        <f>Consulta2[[#This Row],[DIA_UTIL_CORRENTE]]</f>
        <v>18</v>
      </c>
      <c r="H116" s="6">
        <f>DAY(Consulta2[[#This Row],[DATA]])</f>
        <v>24</v>
      </c>
      <c r="I116" s="6">
        <f>MONTH(Consulta2[[#This Row],[DATA]])</f>
        <v>4</v>
      </c>
      <c r="J116" t="str">
        <f>CONCATENATE(Consulta2[[#This Row],[SAFRA]],Consulta2[[#This Row],[dia]])</f>
        <v>20240424</v>
      </c>
      <c r="K116">
        <f>Consulta2[[#This Row],[DIA_UTIL_CORRENTE]]</f>
        <v>18</v>
      </c>
    </row>
    <row r="117" spans="1:11" x14ac:dyDescent="0.25">
      <c r="A117">
        <v>202404</v>
      </c>
      <c r="B117">
        <v>19</v>
      </c>
      <c r="C117" s="148">
        <v>45407</v>
      </c>
      <c r="D117">
        <v>22</v>
      </c>
      <c r="E117">
        <v>22</v>
      </c>
      <c r="F117">
        <v>80</v>
      </c>
      <c r="G117">
        <f>Consulta2[[#This Row],[DIA_UTIL_CORRENTE]]</f>
        <v>19</v>
      </c>
      <c r="H117" s="6">
        <f>DAY(Consulta2[[#This Row],[DATA]])</f>
        <v>25</v>
      </c>
      <c r="I117" s="6">
        <f>MONTH(Consulta2[[#This Row],[DATA]])</f>
        <v>4</v>
      </c>
      <c r="J117" t="str">
        <f>CONCATENATE(Consulta2[[#This Row],[SAFRA]],Consulta2[[#This Row],[dia]])</f>
        <v>20240425</v>
      </c>
      <c r="K117">
        <f>Consulta2[[#This Row],[DIA_UTIL_CORRENTE]]</f>
        <v>19</v>
      </c>
    </row>
    <row r="118" spans="1:11" x14ac:dyDescent="0.25">
      <c r="A118">
        <v>202404</v>
      </c>
      <c r="B118">
        <v>20</v>
      </c>
      <c r="C118" s="148">
        <v>45408</v>
      </c>
      <c r="D118">
        <v>22</v>
      </c>
      <c r="E118">
        <v>22</v>
      </c>
      <c r="F118">
        <v>81</v>
      </c>
      <c r="G118">
        <f>Consulta2[[#This Row],[DIA_UTIL_CORRENTE]]</f>
        <v>20</v>
      </c>
      <c r="H118" s="6">
        <f>DAY(Consulta2[[#This Row],[DATA]])</f>
        <v>26</v>
      </c>
      <c r="I118" s="6">
        <f>MONTH(Consulta2[[#This Row],[DATA]])</f>
        <v>4</v>
      </c>
      <c r="J118" t="str">
        <f>CONCATENATE(Consulta2[[#This Row],[SAFRA]],Consulta2[[#This Row],[dia]])</f>
        <v>20240426</v>
      </c>
      <c r="K118">
        <f>Consulta2[[#This Row],[DIA_UTIL_CORRENTE]]</f>
        <v>20</v>
      </c>
    </row>
    <row r="119" spans="1:11" x14ac:dyDescent="0.25">
      <c r="A119">
        <v>202404</v>
      </c>
      <c r="B119">
        <v>20</v>
      </c>
      <c r="C119" s="148">
        <v>45409</v>
      </c>
      <c r="D119">
        <v>22</v>
      </c>
      <c r="E119">
        <v>22</v>
      </c>
      <c r="F119">
        <v>81</v>
      </c>
      <c r="G119">
        <f>Consulta2[[#This Row],[DIA_UTIL_CORRENTE]]</f>
        <v>20</v>
      </c>
      <c r="H119" s="6">
        <f>DAY(Consulta2[[#This Row],[DATA]])</f>
        <v>27</v>
      </c>
      <c r="I119" s="6">
        <f>MONTH(Consulta2[[#This Row],[DATA]])</f>
        <v>4</v>
      </c>
      <c r="J119" t="str">
        <f>CONCATENATE(Consulta2[[#This Row],[SAFRA]],Consulta2[[#This Row],[dia]])</f>
        <v>20240427</v>
      </c>
      <c r="K119">
        <f>Consulta2[[#This Row],[DIA_UTIL_CORRENTE]]</f>
        <v>20</v>
      </c>
    </row>
    <row r="120" spans="1:11" x14ac:dyDescent="0.25">
      <c r="A120">
        <v>202404</v>
      </c>
      <c r="B120">
        <v>20</v>
      </c>
      <c r="C120" s="148">
        <v>45410</v>
      </c>
      <c r="D120">
        <v>22</v>
      </c>
      <c r="E120">
        <v>22</v>
      </c>
      <c r="F120">
        <v>81</v>
      </c>
      <c r="G120">
        <f>Consulta2[[#This Row],[DIA_UTIL_CORRENTE]]</f>
        <v>20</v>
      </c>
      <c r="H120" s="6">
        <f>DAY(Consulta2[[#This Row],[DATA]])</f>
        <v>28</v>
      </c>
      <c r="I120" s="6">
        <f>MONTH(Consulta2[[#This Row],[DATA]])</f>
        <v>4</v>
      </c>
      <c r="J120" t="str">
        <f>CONCATENATE(Consulta2[[#This Row],[SAFRA]],Consulta2[[#This Row],[dia]])</f>
        <v>20240428</v>
      </c>
      <c r="K120">
        <f>Consulta2[[#This Row],[DIA_UTIL_CORRENTE]]</f>
        <v>20</v>
      </c>
    </row>
    <row r="121" spans="1:11" x14ac:dyDescent="0.25">
      <c r="A121">
        <v>202404</v>
      </c>
      <c r="B121">
        <v>21</v>
      </c>
      <c r="C121" s="148">
        <v>45411</v>
      </c>
      <c r="D121">
        <v>22</v>
      </c>
      <c r="E121">
        <v>22</v>
      </c>
      <c r="F121">
        <v>82</v>
      </c>
      <c r="G121">
        <f>Consulta2[[#This Row],[DIA_UTIL_CORRENTE]]</f>
        <v>21</v>
      </c>
      <c r="H121" s="6">
        <f>DAY(Consulta2[[#This Row],[DATA]])</f>
        <v>29</v>
      </c>
      <c r="I121" s="6">
        <f>MONTH(Consulta2[[#This Row],[DATA]])</f>
        <v>4</v>
      </c>
      <c r="J121" t="str">
        <f>CONCATENATE(Consulta2[[#This Row],[SAFRA]],Consulta2[[#This Row],[dia]])</f>
        <v>20240429</v>
      </c>
      <c r="K121">
        <f>Consulta2[[#This Row],[DIA_UTIL_CORRENTE]]</f>
        <v>21</v>
      </c>
    </row>
    <row r="122" spans="1:11" x14ac:dyDescent="0.25">
      <c r="A122">
        <v>202404</v>
      </c>
      <c r="B122">
        <v>22</v>
      </c>
      <c r="C122" s="148">
        <v>45412</v>
      </c>
      <c r="D122">
        <v>22</v>
      </c>
      <c r="E122">
        <v>22</v>
      </c>
      <c r="F122">
        <v>83</v>
      </c>
      <c r="G122">
        <f>Consulta2[[#This Row],[DIA_UTIL_CORRENTE]]</f>
        <v>22</v>
      </c>
      <c r="H122" s="6">
        <f>DAY(Consulta2[[#This Row],[DATA]])</f>
        <v>30</v>
      </c>
      <c r="I122" s="6">
        <f>MONTH(Consulta2[[#This Row],[DATA]])</f>
        <v>4</v>
      </c>
      <c r="J122" t="str">
        <f>CONCATENATE(Consulta2[[#This Row],[SAFRA]],Consulta2[[#This Row],[dia]])</f>
        <v>20240430</v>
      </c>
      <c r="K122">
        <f>Consulta2[[#This Row],[DIA_UTIL_CORRENTE]]</f>
        <v>22</v>
      </c>
    </row>
    <row r="123" spans="1:11" x14ac:dyDescent="0.25">
      <c r="A123">
        <v>202405</v>
      </c>
      <c r="B123">
        <v>0</v>
      </c>
      <c r="C123" s="148">
        <v>45413</v>
      </c>
      <c r="D123">
        <v>21</v>
      </c>
      <c r="E123">
        <v>21</v>
      </c>
      <c r="F123">
        <v>83</v>
      </c>
      <c r="G123">
        <f>Consulta2[[#This Row],[DIA_UTIL_CORRENTE]]</f>
        <v>0</v>
      </c>
      <c r="H123" s="6">
        <f>DAY(Consulta2[[#This Row],[DATA]])</f>
        <v>1</v>
      </c>
      <c r="I123" s="6">
        <f>MONTH(Consulta2[[#This Row],[DATA]])</f>
        <v>5</v>
      </c>
      <c r="J123" t="str">
        <f>CONCATENATE(Consulta2[[#This Row],[SAFRA]],Consulta2[[#This Row],[dia]])</f>
        <v>2024051</v>
      </c>
      <c r="K123">
        <f>Consulta2[[#This Row],[DIA_UTIL_CORRENTE]]</f>
        <v>0</v>
      </c>
    </row>
    <row r="124" spans="1:11" x14ac:dyDescent="0.25">
      <c r="A124">
        <v>202405</v>
      </c>
      <c r="B124">
        <v>1</v>
      </c>
      <c r="C124" s="148">
        <v>45414</v>
      </c>
      <c r="D124">
        <v>21</v>
      </c>
      <c r="E124">
        <v>21</v>
      </c>
      <c r="F124">
        <v>84</v>
      </c>
      <c r="G124">
        <f>Consulta2[[#This Row],[DIA_UTIL_CORRENTE]]</f>
        <v>1</v>
      </c>
      <c r="H124" s="6">
        <f>DAY(Consulta2[[#This Row],[DATA]])</f>
        <v>2</v>
      </c>
      <c r="I124" s="6">
        <f>MONTH(Consulta2[[#This Row],[DATA]])</f>
        <v>5</v>
      </c>
      <c r="J124" t="str">
        <f>CONCATENATE(Consulta2[[#This Row],[SAFRA]],Consulta2[[#This Row],[dia]])</f>
        <v>2024052</v>
      </c>
      <c r="K124">
        <f>Consulta2[[#This Row],[DIA_UTIL_CORRENTE]]</f>
        <v>1</v>
      </c>
    </row>
    <row r="125" spans="1:11" x14ac:dyDescent="0.25">
      <c r="A125">
        <v>202405</v>
      </c>
      <c r="B125">
        <v>2</v>
      </c>
      <c r="C125" s="148">
        <v>45415</v>
      </c>
      <c r="D125">
        <v>21</v>
      </c>
      <c r="E125">
        <v>21</v>
      </c>
      <c r="F125">
        <v>85</v>
      </c>
      <c r="G125">
        <f>Consulta2[[#This Row],[DIA_UTIL_CORRENTE]]</f>
        <v>2</v>
      </c>
      <c r="H125" s="6">
        <f>DAY(Consulta2[[#This Row],[DATA]])</f>
        <v>3</v>
      </c>
      <c r="I125" s="6">
        <f>MONTH(Consulta2[[#This Row],[DATA]])</f>
        <v>5</v>
      </c>
      <c r="J125" t="str">
        <f>CONCATENATE(Consulta2[[#This Row],[SAFRA]],Consulta2[[#This Row],[dia]])</f>
        <v>2024053</v>
      </c>
      <c r="K125">
        <f>Consulta2[[#This Row],[DIA_UTIL_CORRENTE]]</f>
        <v>2</v>
      </c>
    </row>
    <row r="126" spans="1:11" x14ac:dyDescent="0.25">
      <c r="A126">
        <v>202405</v>
      </c>
      <c r="B126">
        <v>2</v>
      </c>
      <c r="C126" s="148">
        <v>45416</v>
      </c>
      <c r="D126">
        <v>21</v>
      </c>
      <c r="E126">
        <v>21</v>
      </c>
      <c r="F126">
        <v>85</v>
      </c>
      <c r="G126">
        <f>Consulta2[[#This Row],[DIA_UTIL_CORRENTE]]</f>
        <v>2</v>
      </c>
      <c r="H126" s="6">
        <f>DAY(Consulta2[[#This Row],[DATA]])</f>
        <v>4</v>
      </c>
      <c r="I126" s="6">
        <f>MONTH(Consulta2[[#This Row],[DATA]])</f>
        <v>5</v>
      </c>
      <c r="J126" t="str">
        <f>CONCATENATE(Consulta2[[#This Row],[SAFRA]],Consulta2[[#This Row],[dia]])</f>
        <v>2024054</v>
      </c>
      <c r="K126">
        <f>Consulta2[[#This Row],[DIA_UTIL_CORRENTE]]</f>
        <v>2</v>
      </c>
    </row>
    <row r="127" spans="1:11" x14ac:dyDescent="0.25">
      <c r="A127">
        <v>202405</v>
      </c>
      <c r="B127">
        <v>2</v>
      </c>
      <c r="C127" s="148">
        <v>45417</v>
      </c>
      <c r="D127">
        <v>21</v>
      </c>
      <c r="E127">
        <v>21</v>
      </c>
      <c r="F127">
        <v>85</v>
      </c>
      <c r="G127">
        <f>Consulta2[[#This Row],[DIA_UTIL_CORRENTE]]</f>
        <v>2</v>
      </c>
      <c r="H127" s="6">
        <f>DAY(Consulta2[[#This Row],[DATA]])</f>
        <v>5</v>
      </c>
      <c r="I127" s="6">
        <f>MONTH(Consulta2[[#This Row],[DATA]])</f>
        <v>5</v>
      </c>
      <c r="J127" t="str">
        <f>CONCATENATE(Consulta2[[#This Row],[SAFRA]],Consulta2[[#This Row],[dia]])</f>
        <v>2024055</v>
      </c>
      <c r="K127">
        <f>Consulta2[[#This Row],[DIA_UTIL_CORRENTE]]</f>
        <v>2</v>
      </c>
    </row>
    <row r="128" spans="1:11" x14ac:dyDescent="0.25">
      <c r="A128">
        <v>202405</v>
      </c>
      <c r="B128">
        <v>3</v>
      </c>
      <c r="C128" s="148">
        <v>45418</v>
      </c>
      <c r="D128">
        <v>21</v>
      </c>
      <c r="E128">
        <v>21</v>
      </c>
      <c r="F128">
        <v>86</v>
      </c>
      <c r="G128">
        <f>Consulta2[[#This Row],[DIA_UTIL_CORRENTE]]</f>
        <v>3</v>
      </c>
      <c r="H128" s="6">
        <f>DAY(Consulta2[[#This Row],[DATA]])</f>
        <v>6</v>
      </c>
      <c r="I128" s="6">
        <f>MONTH(Consulta2[[#This Row],[DATA]])</f>
        <v>5</v>
      </c>
      <c r="J128" t="str">
        <f>CONCATENATE(Consulta2[[#This Row],[SAFRA]],Consulta2[[#This Row],[dia]])</f>
        <v>2024056</v>
      </c>
      <c r="K128">
        <f>Consulta2[[#This Row],[DIA_UTIL_CORRENTE]]</f>
        <v>3</v>
      </c>
    </row>
    <row r="129" spans="1:11" x14ac:dyDescent="0.25">
      <c r="A129">
        <v>202405</v>
      </c>
      <c r="B129">
        <v>4</v>
      </c>
      <c r="C129" s="148">
        <v>45419</v>
      </c>
      <c r="D129">
        <v>21</v>
      </c>
      <c r="E129">
        <v>21</v>
      </c>
      <c r="F129">
        <v>87</v>
      </c>
      <c r="G129">
        <f>Consulta2[[#This Row],[DIA_UTIL_CORRENTE]]</f>
        <v>4</v>
      </c>
      <c r="H129" s="6">
        <f>DAY(Consulta2[[#This Row],[DATA]])</f>
        <v>7</v>
      </c>
      <c r="I129" s="6">
        <f>MONTH(Consulta2[[#This Row],[DATA]])</f>
        <v>5</v>
      </c>
      <c r="J129" t="str">
        <f>CONCATENATE(Consulta2[[#This Row],[SAFRA]],Consulta2[[#This Row],[dia]])</f>
        <v>2024057</v>
      </c>
      <c r="K129">
        <f>Consulta2[[#This Row],[DIA_UTIL_CORRENTE]]</f>
        <v>4</v>
      </c>
    </row>
    <row r="130" spans="1:11" x14ac:dyDescent="0.25">
      <c r="A130">
        <v>202405</v>
      </c>
      <c r="B130">
        <v>5</v>
      </c>
      <c r="C130" s="148">
        <v>45420</v>
      </c>
      <c r="D130">
        <v>21</v>
      </c>
      <c r="E130">
        <v>21</v>
      </c>
      <c r="F130">
        <v>88</v>
      </c>
      <c r="G130">
        <f>Consulta2[[#This Row],[DIA_UTIL_CORRENTE]]</f>
        <v>5</v>
      </c>
      <c r="H130" s="6">
        <f>DAY(Consulta2[[#This Row],[DATA]])</f>
        <v>8</v>
      </c>
      <c r="I130" s="6">
        <f>MONTH(Consulta2[[#This Row],[DATA]])</f>
        <v>5</v>
      </c>
      <c r="J130" t="str">
        <f>CONCATENATE(Consulta2[[#This Row],[SAFRA]],Consulta2[[#This Row],[dia]])</f>
        <v>2024058</v>
      </c>
      <c r="K130">
        <f>Consulta2[[#This Row],[DIA_UTIL_CORRENTE]]</f>
        <v>5</v>
      </c>
    </row>
    <row r="131" spans="1:11" x14ac:dyDescent="0.25">
      <c r="A131">
        <v>202405</v>
      </c>
      <c r="B131">
        <v>6</v>
      </c>
      <c r="C131" s="148">
        <v>45421</v>
      </c>
      <c r="D131">
        <v>21</v>
      </c>
      <c r="E131">
        <v>21</v>
      </c>
      <c r="F131">
        <v>89</v>
      </c>
      <c r="G131">
        <f>Consulta2[[#This Row],[DIA_UTIL_CORRENTE]]</f>
        <v>6</v>
      </c>
      <c r="H131" s="6">
        <f>DAY(Consulta2[[#This Row],[DATA]])</f>
        <v>9</v>
      </c>
      <c r="I131" s="6">
        <f>MONTH(Consulta2[[#This Row],[DATA]])</f>
        <v>5</v>
      </c>
      <c r="J131" t="str">
        <f>CONCATENATE(Consulta2[[#This Row],[SAFRA]],Consulta2[[#This Row],[dia]])</f>
        <v>2024059</v>
      </c>
      <c r="K131">
        <f>Consulta2[[#This Row],[DIA_UTIL_CORRENTE]]</f>
        <v>6</v>
      </c>
    </row>
    <row r="132" spans="1:11" x14ac:dyDescent="0.25">
      <c r="A132">
        <v>202405</v>
      </c>
      <c r="B132">
        <v>7</v>
      </c>
      <c r="C132" s="148">
        <v>45422</v>
      </c>
      <c r="D132">
        <v>21</v>
      </c>
      <c r="E132">
        <v>21</v>
      </c>
      <c r="F132">
        <v>90</v>
      </c>
      <c r="G132">
        <f>Consulta2[[#This Row],[DIA_UTIL_CORRENTE]]</f>
        <v>7</v>
      </c>
      <c r="H132" s="6">
        <f>DAY(Consulta2[[#This Row],[DATA]])</f>
        <v>10</v>
      </c>
      <c r="I132" s="6">
        <f>MONTH(Consulta2[[#This Row],[DATA]])</f>
        <v>5</v>
      </c>
      <c r="J132" t="str">
        <f>CONCATENATE(Consulta2[[#This Row],[SAFRA]],Consulta2[[#This Row],[dia]])</f>
        <v>20240510</v>
      </c>
      <c r="K132">
        <f>Consulta2[[#This Row],[DIA_UTIL_CORRENTE]]</f>
        <v>7</v>
      </c>
    </row>
    <row r="133" spans="1:11" x14ac:dyDescent="0.25">
      <c r="A133">
        <v>202405</v>
      </c>
      <c r="B133">
        <v>7</v>
      </c>
      <c r="C133" s="148">
        <v>45423</v>
      </c>
      <c r="D133">
        <v>21</v>
      </c>
      <c r="E133">
        <v>21</v>
      </c>
      <c r="F133">
        <v>90</v>
      </c>
      <c r="G133">
        <f>Consulta2[[#This Row],[DIA_UTIL_CORRENTE]]</f>
        <v>7</v>
      </c>
      <c r="H133" s="6">
        <f>DAY(Consulta2[[#This Row],[DATA]])</f>
        <v>11</v>
      </c>
      <c r="I133" s="6">
        <f>MONTH(Consulta2[[#This Row],[DATA]])</f>
        <v>5</v>
      </c>
      <c r="J133" t="str">
        <f>CONCATENATE(Consulta2[[#This Row],[SAFRA]],Consulta2[[#This Row],[dia]])</f>
        <v>20240511</v>
      </c>
      <c r="K133">
        <f>Consulta2[[#This Row],[DIA_UTIL_CORRENTE]]</f>
        <v>7</v>
      </c>
    </row>
    <row r="134" spans="1:11" x14ac:dyDescent="0.25">
      <c r="A134">
        <v>202405</v>
      </c>
      <c r="B134">
        <v>7</v>
      </c>
      <c r="C134" s="148">
        <v>45424</v>
      </c>
      <c r="D134">
        <v>21</v>
      </c>
      <c r="E134">
        <v>21</v>
      </c>
      <c r="F134">
        <v>90</v>
      </c>
      <c r="G134">
        <f>Consulta2[[#This Row],[DIA_UTIL_CORRENTE]]</f>
        <v>7</v>
      </c>
      <c r="H134" s="6">
        <f>DAY(Consulta2[[#This Row],[DATA]])</f>
        <v>12</v>
      </c>
      <c r="I134" s="6">
        <f>MONTH(Consulta2[[#This Row],[DATA]])</f>
        <v>5</v>
      </c>
      <c r="J134" t="str">
        <f>CONCATENATE(Consulta2[[#This Row],[SAFRA]],Consulta2[[#This Row],[dia]])</f>
        <v>20240512</v>
      </c>
      <c r="K134">
        <f>Consulta2[[#This Row],[DIA_UTIL_CORRENTE]]</f>
        <v>7</v>
      </c>
    </row>
    <row r="135" spans="1:11" x14ac:dyDescent="0.25">
      <c r="A135">
        <v>202405</v>
      </c>
      <c r="B135">
        <v>8</v>
      </c>
      <c r="C135" s="148">
        <v>45425</v>
      </c>
      <c r="D135">
        <v>21</v>
      </c>
      <c r="E135">
        <v>21</v>
      </c>
      <c r="F135">
        <v>91</v>
      </c>
      <c r="G135">
        <f>Consulta2[[#This Row],[DIA_UTIL_CORRENTE]]</f>
        <v>8</v>
      </c>
      <c r="H135" s="6">
        <f>DAY(Consulta2[[#This Row],[DATA]])</f>
        <v>13</v>
      </c>
      <c r="I135" s="6">
        <f>MONTH(Consulta2[[#This Row],[DATA]])</f>
        <v>5</v>
      </c>
      <c r="J135" t="str">
        <f>CONCATENATE(Consulta2[[#This Row],[SAFRA]],Consulta2[[#This Row],[dia]])</f>
        <v>20240513</v>
      </c>
      <c r="K135">
        <f>Consulta2[[#This Row],[DIA_UTIL_CORRENTE]]</f>
        <v>8</v>
      </c>
    </row>
    <row r="136" spans="1:11" x14ac:dyDescent="0.25">
      <c r="A136">
        <v>202405</v>
      </c>
      <c r="B136">
        <v>9</v>
      </c>
      <c r="C136" s="148">
        <v>45426</v>
      </c>
      <c r="D136">
        <v>21</v>
      </c>
      <c r="E136">
        <v>21</v>
      </c>
      <c r="F136">
        <v>92</v>
      </c>
      <c r="G136">
        <f>Consulta2[[#This Row],[DIA_UTIL_CORRENTE]]</f>
        <v>9</v>
      </c>
      <c r="H136" s="6">
        <f>DAY(Consulta2[[#This Row],[DATA]])</f>
        <v>14</v>
      </c>
      <c r="I136" s="6">
        <f>MONTH(Consulta2[[#This Row],[DATA]])</f>
        <v>5</v>
      </c>
      <c r="J136" t="str">
        <f>CONCATENATE(Consulta2[[#This Row],[SAFRA]],Consulta2[[#This Row],[dia]])</f>
        <v>20240514</v>
      </c>
      <c r="K136">
        <f>Consulta2[[#This Row],[DIA_UTIL_CORRENTE]]</f>
        <v>9</v>
      </c>
    </row>
    <row r="137" spans="1:11" x14ac:dyDescent="0.25">
      <c r="A137">
        <v>202405</v>
      </c>
      <c r="B137">
        <v>10</v>
      </c>
      <c r="C137" s="148">
        <v>45427</v>
      </c>
      <c r="D137">
        <v>21</v>
      </c>
      <c r="E137">
        <v>21</v>
      </c>
      <c r="F137">
        <v>93</v>
      </c>
      <c r="G137">
        <f>Consulta2[[#This Row],[DIA_UTIL_CORRENTE]]</f>
        <v>10</v>
      </c>
      <c r="H137" s="6">
        <f>DAY(Consulta2[[#This Row],[DATA]])</f>
        <v>15</v>
      </c>
      <c r="I137" s="6">
        <f>MONTH(Consulta2[[#This Row],[DATA]])</f>
        <v>5</v>
      </c>
      <c r="J137" t="str">
        <f>CONCATENATE(Consulta2[[#This Row],[SAFRA]],Consulta2[[#This Row],[dia]])</f>
        <v>20240515</v>
      </c>
      <c r="K137">
        <f>Consulta2[[#This Row],[DIA_UTIL_CORRENTE]]</f>
        <v>10</v>
      </c>
    </row>
    <row r="138" spans="1:11" x14ac:dyDescent="0.25">
      <c r="A138">
        <v>202405</v>
      </c>
      <c r="B138">
        <v>11</v>
      </c>
      <c r="C138" s="148">
        <v>45428</v>
      </c>
      <c r="D138">
        <v>21</v>
      </c>
      <c r="E138">
        <v>21</v>
      </c>
      <c r="F138">
        <v>94</v>
      </c>
      <c r="G138">
        <f>Consulta2[[#This Row],[DIA_UTIL_CORRENTE]]</f>
        <v>11</v>
      </c>
      <c r="H138" s="6">
        <f>DAY(Consulta2[[#This Row],[DATA]])</f>
        <v>16</v>
      </c>
      <c r="I138" s="6">
        <f>MONTH(Consulta2[[#This Row],[DATA]])</f>
        <v>5</v>
      </c>
      <c r="J138" t="str">
        <f>CONCATENATE(Consulta2[[#This Row],[SAFRA]],Consulta2[[#This Row],[dia]])</f>
        <v>20240516</v>
      </c>
      <c r="K138">
        <f>Consulta2[[#This Row],[DIA_UTIL_CORRENTE]]</f>
        <v>11</v>
      </c>
    </row>
    <row r="139" spans="1:11" x14ac:dyDescent="0.25">
      <c r="A139">
        <v>202405</v>
      </c>
      <c r="B139">
        <v>12</v>
      </c>
      <c r="C139" s="148">
        <v>45429</v>
      </c>
      <c r="D139">
        <v>21</v>
      </c>
      <c r="E139">
        <v>21</v>
      </c>
      <c r="F139">
        <v>95</v>
      </c>
      <c r="G139">
        <f>Consulta2[[#This Row],[DIA_UTIL_CORRENTE]]</f>
        <v>12</v>
      </c>
      <c r="H139" s="6">
        <f>DAY(Consulta2[[#This Row],[DATA]])</f>
        <v>17</v>
      </c>
      <c r="I139" s="6">
        <f>MONTH(Consulta2[[#This Row],[DATA]])</f>
        <v>5</v>
      </c>
      <c r="J139" t="str">
        <f>CONCATENATE(Consulta2[[#This Row],[SAFRA]],Consulta2[[#This Row],[dia]])</f>
        <v>20240517</v>
      </c>
      <c r="K139">
        <f>Consulta2[[#This Row],[DIA_UTIL_CORRENTE]]</f>
        <v>12</v>
      </c>
    </row>
    <row r="140" spans="1:11" x14ac:dyDescent="0.25">
      <c r="A140">
        <v>202405</v>
      </c>
      <c r="B140">
        <v>12</v>
      </c>
      <c r="C140" s="148">
        <v>45430</v>
      </c>
      <c r="D140">
        <v>21</v>
      </c>
      <c r="E140">
        <v>21</v>
      </c>
      <c r="F140">
        <v>95</v>
      </c>
      <c r="G140">
        <f>Consulta2[[#This Row],[DIA_UTIL_CORRENTE]]</f>
        <v>12</v>
      </c>
      <c r="H140" s="6">
        <f>DAY(Consulta2[[#This Row],[DATA]])</f>
        <v>18</v>
      </c>
      <c r="I140" s="6">
        <f>MONTH(Consulta2[[#This Row],[DATA]])</f>
        <v>5</v>
      </c>
      <c r="J140" t="str">
        <f>CONCATENATE(Consulta2[[#This Row],[SAFRA]],Consulta2[[#This Row],[dia]])</f>
        <v>20240518</v>
      </c>
      <c r="K140">
        <f>Consulta2[[#This Row],[DIA_UTIL_CORRENTE]]</f>
        <v>12</v>
      </c>
    </row>
    <row r="141" spans="1:11" x14ac:dyDescent="0.25">
      <c r="A141">
        <v>202405</v>
      </c>
      <c r="B141">
        <v>12</v>
      </c>
      <c r="C141" s="148">
        <v>45431</v>
      </c>
      <c r="D141">
        <v>21</v>
      </c>
      <c r="E141">
        <v>21</v>
      </c>
      <c r="F141">
        <v>95</v>
      </c>
      <c r="G141">
        <f>Consulta2[[#This Row],[DIA_UTIL_CORRENTE]]</f>
        <v>12</v>
      </c>
      <c r="H141" s="6">
        <f>DAY(Consulta2[[#This Row],[DATA]])</f>
        <v>19</v>
      </c>
      <c r="I141" s="6">
        <f>MONTH(Consulta2[[#This Row],[DATA]])</f>
        <v>5</v>
      </c>
      <c r="J141" t="str">
        <f>CONCATENATE(Consulta2[[#This Row],[SAFRA]],Consulta2[[#This Row],[dia]])</f>
        <v>20240519</v>
      </c>
      <c r="K141">
        <f>Consulta2[[#This Row],[DIA_UTIL_CORRENTE]]</f>
        <v>12</v>
      </c>
    </row>
    <row r="142" spans="1:11" x14ac:dyDescent="0.25">
      <c r="A142">
        <v>202405</v>
      </c>
      <c r="B142">
        <v>13</v>
      </c>
      <c r="C142" s="148">
        <v>45432</v>
      </c>
      <c r="D142">
        <v>21</v>
      </c>
      <c r="E142">
        <v>21</v>
      </c>
      <c r="F142">
        <v>96</v>
      </c>
      <c r="G142">
        <f>Consulta2[[#This Row],[DIA_UTIL_CORRENTE]]</f>
        <v>13</v>
      </c>
      <c r="H142" s="6">
        <f>DAY(Consulta2[[#This Row],[DATA]])</f>
        <v>20</v>
      </c>
      <c r="I142" s="6">
        <f>MONTH(Consulta2[[#This Row],[DATA]])</f>
        <v>5</v>
      </c>
      <c r="J142" t="str">
        <f>CONCATENATE(Consulta2[[#This Row],[SAFRA]],Consulta2[[#This Row],[dia]])</f>
        <v>20240520</v>
      </c>
      <c r="K142">
        <f>Consulta2[[#This Row],[DIA_UTIL_CORRENTE]]</f>
        <v>13</v>
      </c>
    </row>
    <row r="143" spans="1:11" x14ac:dyDescent="0.25">
      <c r="A143">
        <v>202405</v>
      </c>
      <c r="B143">
        <v>14</v>
      </c>
      <c r="C143" s="148">
        <v>45433</v>
      </c>
      <c r="D143">
        <v>21</v>
      </c>
      <c r="E143">
        <v>21</v>
      </c>
      <c r="F143">
        <v>97</v>
      </c>
      <c r="G143">
        <f>Consulta2[[#This Row],[DIA_UTIL_CORRENTE]]</f>
        <v>14</v>
      </c>
      <c r="H143" s="6">
        <f>DAY(Consulta2[[#This Row],[DATA]])</f>
        <v>21</v>
      </c>
      <c r="I143" s="6">
        <f>MONTH(Consulta2[[#This Row],[DATA]])</f>
        <v>5</v>
      </c>
      <c r="J143" t="str">
        <f>CONCATENATE(Consulta2[[#This Row],[SAFRA]],Consulta2[[#This Row],[dia]])</f>
        <v>20240521</v>
      </c>
      <c r="K143">
        <f>Consulta2[[#This Row],[DIA_UTIL_CORRENTE]]</f>
        <v>14</v>
      </c>
    </row>
    <row r="144" spans="1:11" x14ac:dyDescent="0.25">
      <c r="A144">
        <v>202405</v>
      </c>
      <c r="B144">
        <v>15</v>
      </c>
      <c r="C144" s="148">
        <v>45434</v>
      </c>
      <c r="D144">
        <v>21</v>
      </c>
      <c r="E144">
        <v>21</v>
      </c>
      <c r="F144">
        <v>98</v>
      </c>
      <c r="G144">
        <f>Consulta2[[#This Row],[DIA_UTIL_CORRENTE]]</f>
        <v>15</v>
      </c>
      <c r="H144" s="6">
        <f>DAY(Consulta2[[#This Row],[DATA]])</f>
        <v>22</v>
      </c>
      <c r="I144" s="6">
        <f>MONTH(Consulta2[[#This Row],[DATA]])</f>
        <v>5</v>
      </c>
      <c r="J144" t="str">
        <f>CONCATENATE(Consulta2[[#This Row],[SAFRA]],Consulta2[[#This Row],[dia]])</f>
        <v>20240522</v>
      </c>
      <c r="K144">
        <f>Consulta2[[#This Row],[DIA_UTIL_CORRENTE]]</f>
        <v>15</v>
      </c>
    </row>
    <row r="145" spans="1:11" x14ac:dyDescent="0.25">
      <c r="A145">
        <v>202405</v>
      </c>
      <c r="B145">
        <v>16</v>
      </c>
      <c r="C145" s="148">
        <v>45435</v>
      </c>
      <c r="D145">
        <v>21</v>
      </c>
      <c r="E145">
        <v>21</v>
      </c>
      <c r="F145">
        <v>99</v>
      </c>
      <c r="G145">
        <f>Consulta2[[#This Row],[DIA_UTIL_CORRENTE]]</f>
        <v>16</v>
      </c>
      <c r="H145" s="6">
        <f>DAY(Consulta2[[#This Row],[DATA]])</f>
        <v>23</v>
      </c>
      <c r="I145" s="6">
        <f>MONTH(Consulta2[[#This Row],[DATA]])</f>
        <v>5</v>
      </c>
      <c r="J145" t="str">
        <f>CONCATENATE(Consulta2[[#This Row],[SAFRA]],Consulta2[[#This Row],[dia]])</f>
        <v>20240523</v>
      </c>
      <c r="K145">
        <f>Consulta2[[#This Row],[DIA_UTIL_CORRENTE]]</f>
        <v>16</v>
      </c>
    </row>
    <row r="146" spans="1:11" x14ac:dyDescent="0.25">
      <c r="A146">
        <v>202405</v>
      </c>
      <c r="B146">
        <v>17</v>
      </c>
      <c r="C146" s="148">
        <v>45436</v>
      </c>
      <c r="D146">
        <v>21</v>
      </c>
      <c r="E146">
        <v>21</v>
      </c>
      <c r="F146">
        <v>100</v>
      </c>
      <c r="G146">
        <f>Consulta2[[#This Row],[DIA_UTIL_CORRENTE]]</f>
        <v>17</v>
      </c>
      <c r="H146" s="6">
        <f>DAY(Consulta2[[#This Row],[DATA]])</f>
        <v>24</v>
      </c>
      <c r="I146" s="6">
        <f>MONTH(Consulta2[[#This Row],[DATA]])</f>
        <v>5</v>
      </c>
      <c r="J146" t="str">
        <f>CONCATENATE(Consulta2[[#This Row],[SAFRA]],Consulta2[[#This Row],[dia]])</f>
        <v>20240524</v>
      </c>
      <c r="K146">
        <f>Consulta2[[#This Row],[DIA_UTIL_CORRENTE]]</f>
        <v>17</v>
      </c>
    </row>
    <row r="147" spans="1:11" x14ac:dyDescent="0.25">
      <c r="A147">
        <v>202405</v>
      </c>
      <c r="B147">
        <v>17</v>
      </c>
      <c r="C147" s="148">
        <v>45437</v>
      </c>
      <c r="D147">
        <v>21</v>
      </c>
      <c r="E147">
        <v>21</v>
      </c>
      <c r="F147">
        <v>100</v>
      </c>
      <c r="G147">
        <f>Consulta2[[#This Row],[DIA_UTIL_CORRENTE]]</f>
        <v>17</v>
      </c>
      <c r="H147" s="6">
        <f>DAY(Consulta2[[#This Row],[DATA]])</f>
        <v>25</v>
      </c>
      <c r="I147" s="6">
        <f>MONTH(Consulta2[[#This Row],[DATA]])</f>
        <v>5</v>
      </c>
      <c r="J147" t="str">
        <f>CONCATENATE(Consulta2[[#This Row],[SAFRA]],Consulta2[[#This Row],[dia]])</f>
        <v>20240525</v>
      </c>
      <c r="K147">
        <f>Consulta2[[#This Row],[DIA_UTIL_CORRENTE]]</f>
        <v>17</v>
      </c>
    </row>
    <row r="148" spans="1:11" x14ac:dyDescent="0.25">
      <c r="A148">
        <v>202405</v>
      </c>
      <c r="B148">
        <v>17</v>
      </c>
      <c r="C148" s="148">
        <v>45438</v>
      </c>
      <c r="D148">
        <v>21</v>
      </c>
      <c r="E148">
        <v>21</v>
      </c>
      <c r="F148">
        <v>100</v>
      </c>
      <c r="G148">
        <f>Consulta2[[#This Row],[DIA_UTIL_CORRENTE]]</f>
        <v>17</v>
      </c>
      <c r="H148" s="6">
        <f>DAY(Consulta2[[#This Row],[DATA]])</f>
        <v>26</v>
      </c>
      <c r="I148" s="6">
        <f>MONTH(Consulta2[[#This Row],[DATA]])</f>
        <v>5</v>
      </c>
      <c r="J148" t="str">
        <f>CONCATENATE(Consulta2[[#This Row],[SAFRA]],Consulta2[[#This Row],[dia]])</f>
        <v>20240526</v>
      </c>
      <c r="K148">
        <f>Consulta2[[#This Row],[DIA_UTIL_CORRENTE]]</f>
        <v>17</v>
      </c>
    </row>
    <row r="149" spans="1:11" x14ac:dyDescent="0.25">
      <c r="A149">
        <v>202405</v>
      </c>
      <c r="B149">
        <v>18</v>
      </c>
      <c r="C149" s="148">
        <v>45439</v>
      </c>
      <c r="D149">
        <v>21</v>
      </c>
      <c r="E149">
        <v>21</v>
      </c>
      <c r="F149">
        <v>101</v>
      </c>
      <c r="G149">
        <f>Consulta2[[#This Row],[DIA_UTIL_CORRENTE]]</f>
        <v>18</v>
      </c>
      <c r="H149" s="6">
        <f>DAY(Consulta2[[#This Row],[DATA]])</f>
        <v>27</v>
      </c>
      <c r="I149" s="6">
        <f>MONTH(Consulta2[[#This Row],[DATA]])</f>
        <v>5</v>
      </c>
      <c r="J149" t="str">
        <f>CONCATENATE(Consulta2[[#This Row],[SAFRA]],Consulta2[[#This Row],[dia]])</f>
        <v>20240527</v>
      </c>
      <c r="K149">
        <f>Consulta2[[#This Row],[DIA_UTIL_CORRENTE]]</f>
        <v>18</v>
      </c>
    </row>
    <row r="150" spans="1:11" x14ac:dyDescent="0.25">
      <c r="A150">
        <v>202405</v>
      </c>
      <c r="B150">
        <v>19</v>
      </c>
      <c r="C150" s="148">
        <v>45440</v>
      </c>
      <c r="D150">
        <v>21</v>
      </c>
      <c r="E150">
        <v>21</v>
      </c>
      <c r="F150">
        <v>102</v>
      </c>
      <c r="G150">
        <f>Consulta2[[#This Row],[DIA_UTIL_CORRENTE]]</f>
        <v>19</v>
      </c>
      <c r="H150" s="6">
        <f>DAY(Consulta2[[#This Row],[DATA]])</f>
        <v>28</v>
      </c>
      <c r="I150" s="6">
        <f>MONTH(Consulta2[[#This Row],[DATA]])</f>
        <v>5</v>
      </c>
      <c r="J150" t="str">
        <f>CONCATENATE(Consulta2[[#This Row],[SAFRA]],Consulta2[[#This Row],[dia]])</f>
        <v>20240528</v>
      </c>
      <c r="K150">
        <f>Consulta2[[#This Row],[DIA_UTIL_CORRENTE]]</f>
        <v>19</v>
      </c>
    </row>
    <row r="151" spans="1:11" x14ac:dyDescent="0.25">
      <c r="A151">
        <v>202405</v>
      </c>
      <c r="B151">
        <v>20</v>
      </c>
      <c r="C151" s="148">
        <v>45441</v>
      </c>
      <c r="D151">
        <v>21</v>
      </c>
      <c r="E151">
        <v>21</v>
      </c>
      <c r="F151">
        <v>103</v>
      </c>
      <c r="G151">
        <f>Consulta2[[#This Row],[DIA_UTIL_CORRENTE]]</f>
        <v>20</v>
      </c>
      <c r="H151" s="6">
        <f>DAY(Consulta2[[#This Row],[DATA]])</f>
        <v>29</v>
      </c>
      <c r="I151" s="6">
        <f>MONTH(Consulta2[[#This Row],[DATA]])</f>
        <v>5</v>
      </c>
      <c r="J151" t="str">
        <f>CONCATENATE(Consulta2[[#This Row],[SAFRA]],Consulta2[[#This Row],[dia]])</f>
        <v>20240529</v>
      </c>
      <c r="K151">
        <f>Consulta2[[#This Row],[DIA_UTIL_CORRENTE]]</f>
        <v>20</v>
      </c>
    </row>
    <row r="152" spans="1:11" x14ac:dyDescent="0.25">
      <c r="A152">
        <v>202405</v>
      </c>
      <c r="B152">
        <v>20</v>
      </c>
      <c r="C152" s="148">
        <v>45442</v>
      </c>
      <c r="D152">
        <v>21</v>
      </c>
      <c r="E152">
        <v>21</v>
      </c>
      <c r="F152">
        <v>103</v>
      </c>
      <c r="G152">
        <f>Consulta2[[#This Row],[DIA_UTIL_CORRENTE]]</f>
        <v>20</v>
      </c>
      <c r="H152" s="6">
        <f>DAY(Consulta2[[#This Row],[DATA]])</f>
        <v>30</v>
      </c>
      <c r="I152" s="6">
        <f>MONTH(Consulta2[[#This Row],[DATA]])</f>
        <v>5</v>
      </c>
      <c r="J152" t="str">
        <f>CONCATENATE(Consulta2[[#This Row],[SAFRA]],Consulta2[[#This Row],[dia]])</f>
        <v>20240530</v>
      </c>
      <c r="K152">
        <f>Consulta2[[#This Row],[DIA_UTIL_CORRENTE]]</f>
        <v>20</v>
      </c>
    </row>
    <row r="153" spans="1:11" x14ac:dyDescent="0.25">
      <c r="A153">
        <v>202405</v>
      </c>
      <c r="B153">
        <v>21</v>
      </c>
      <c r="C153" s="148">
        <v>45443</v>
      </c>
      <c r="D153">
        <v>21</v>
      </c>
      <c r="E153">
        <v>21</v>
      </c>
      <c r="F153">
        <v>104</v>
      </c>
      <c r="G153">
        <f>Consulta2[[#This Row],[DIA_UTIL_CORRENTE]]</f>
        <v>21</v>
      </c>
      <c r="H153" s="6">
        <f>DAY(Consulta2[[#This Row],[DATA]])</f>
        <v>31</v>
      </c>
      <c r="I153" s="6">
        <f>MONTH(Consulta2[[#This Row],[DATA]])</f>
        <v>5</v>
      </c>
      <c r="J153" t="str">
        <f>CONCATENATE(Consulta2[[#This Row],[SAFRA]],Consulta2[[#This Row],[dia]])</f>
        <v>20240531</v>
      </c>
      <c r="K153">
        <f>Consulta2[[#This Row],[DIA_UTIL_CORRENTE]]</f>
        <v>21</v>
      </c>
    </row>
    <row r="154" spans="1:11" x14ac:dyDescent="0.25">
      <c r="A154">
        <v>202406</v>
      </c>
      <c r="B154">
        <v>0</v>
      </c>
      <c r="C154" s="148">
        <v>45444</v>
      </c>
      <c r="D154">
        <v>20</v>
      </c>
      <c r="E154">
        <v>20</v>
      </c>
      <c r="F154">
        <v>104</v>
      </c>
      <c r="G154">
        <f>Consulta2[[#This Row],[DIA_UTIL_CORRENTE]]</f>
        <v>0</v>
      </c>
      <c r="H154" s="6">
        <f>DAY(Consulta2[[#This Row],[DATA]])</f>
        <v>1</v>
      </c>
      <c r="I154" s="6">
        <f>MONTH(Consulta2[[#This Row],[DATA]])</f>
        <v>6</v>
      </c>
      <c r="J154" t="str">
        <f>CONCATENATE(Consulta2[[#This Row],[SAFRA]],Consulta2[[#This Row],[dia]])</f>
        <v>2024061</v>
      </c>
      <c r="K154">
        <f>Consulta2[[#This Row],[DIA_UTIL_CORRENTE]]</f>
        <v>0</v>
      </c>
    </row>
    <row r="155" spans="1:11" x14ac:dyDescent="0.25">
      <c r="A155">
        <v>202406</v>
      </c>
      <c r="B155">
        <v>0</v>
      </c>
      <c r="C155" s="148">
        <v>45445</v>
      </c>
      <c r="D155">
        <v>20</v>
      </c>
      <c r="E155">
        <v>20</v>
      </c>
      <c r="F155">
        <v>104</v>
      </c>
      <c r="G155">
        <f>Consulta2[[#This Row],[DIA_UTIL_CORRENTE]]</f>
        <v>0</v>
      </c>
      <c r="H155" s="6">
        <f>DAY(Consulta2[[#This Row],[DATA]])</f>
        <v>2</v>
      </c>
      <c r="I155" s="6">
        <f>MONTH(Consulta2[[#This Row],[DATA]])</f>
        <v>6</v>
      </c>
      <c r="J155" t="str">
        <f>CONCATENATE(Consulta2[[#This Row],[SAFRA]],Consulta2[[#This Row],[dia]])</f>
        <v>2024062</v>
      </c>
      <c r="K155">
        <f>Consulta2[[#This Row],[DIA_UTIL_CORRENTE]]</f>
        <v>0</v>
      </c>
    </row>
    <row r="156" spans="1:11" x14ac:dyDescent="0.25">
      <c r="A156">
        <v>202406</v>
      </c>
      <c r="B156">
        <v>1</v>
      </c>
      <c r="C156" s="148">
        <v>45446</v>
      </c>
      <c r="D156">
        <v>20</v>
      </c>
      <c r="E156">
        <v>20</v>
      </c>
      <c r="F156">
        <v>105</v>
      </c>
      <c r="G156">
        <f>Consulta2[[#This Row],[DIA_UTIL_CORRENTE]]</f>
        <v>1</v>
      </c>
      <c r="H156" s="6">
        <f>DAY(Consulta2[[#This Row],[DATA]])</f>
        <v>3</v>
      </c>
      <c r="I156" s="6">
        <f>MONTH(Consulta2[[#This Row],[DATA]])</f>
        <v>6</v>
      </c>
      <c r="J156" t="str">
        <f>CONCATENATE(Consulta2[[#This Row],[SAFRA]],Consulta2[[#This Row],[dia]])</f>
        <v>2024063</v>
      </c>
      <c r="K156">
        <f>Consulta2[[#This Row],[DIA_UTIL_CORRENTE]]</f>
        <v>1</v>
      </c>
    </row>
    <row r="157" spans="1:11" x14ac:dyDescent="0.25">
      <c r="A157">
        <v>202406</v>
      </c>
      <c r="B157">
        <v>2</v>
      </c>
      <c r="C157" s="148">
        <v>45447</v>
      </c>
      <c r="D157">
        <v>20</v>
      </c>
      <c r="E157">
        <v>20</v>
      </c>
      <c r="F157">
        <v>106</v>
      </c>
      <c r="G157">
        <f>Consulta2[[#This Row],[DIA_UTIL_CORRENTE]]</f>
        <v>2</v>
      </c>
      <c r="H157" s="6">
        <f>DAY(Consulta2[[#This Row],[DATA]])</f>
        <v>4</v>
      </c>
      <c r="I157" s="6">
        <f>MONTH(Consulta2[[#This Row],[DATA]])</f>
        <v>6</v>
      </c>
      <c r="J157" t="str">
        <f>CONCATENATE(Consulta2[[#This Row],[SAFRA]],Consulta2[[#This Row],[dia]])</f>
        <v>2024064</v>
      </c>
      <c r="K157">
        <f>Consulta2[[#This Row],[DIA_UTIL_CORRENTE]]</f>
        <v>2</v>
      </c>
    </row>
    <row r="158" spans="1:11" x14ac:dyDescent="0.25">
      <c r="A158">
        <v>202406</v>
      </c>
      <c r="B158">
        <v>3</v>
      </c>
      <c r="C158" s="148">
        <v>45448</v>
      </c>
      <c r="D158">
        <v>20</v>
      </c>
      <c r="E158">
        <v>20</v>
      </c>
      <c r="F158">
        <v>107</v>
      </c>
      <c r="G158">
        <f>Consulta2[[#This Row],[DIA_UTIL_CORRENTE]]</f>
        <v>3</v>
      </c>
      <c r="H158" s="6">
        <f>DAY(Consulta2[[#This Row],[DATA]])</f>
        <v>5</v>
      </c>
      <c r="I158" s="6">
        <f>MONTH(Consulta2[[#This Row],[DATA]])</f>
        <v>6</v>
      </c>
      <c r="J158" t="str">
        <f>CONCATENATE(Consulta2[[#This Row],[SAFRA]],Consulta2[[#This Row],[dia]])</f>
        <v>2024065</v>
      </c>
      <c r="K158">
        <f>Consulta2[[#This Row],[DIA_UTIL_CORRENTE]]</f>
        <v>3</v>
      </c>
    </row>
    <row r="159" spans="1:11" x14ac:dyDescent="0.25">
      <c r="A159">
        <v>202406</v>
      </c>
      <c r="B159">
        <v>4</v>
      </c>
      <c r="C159" s="148">
        <v>45449</v>
      </c>
      <c r="D159">
        <v>20</v>
      </c>
      <c r="E159">
        <v>20</v>
      </c>
      <c r="F159">
        <v>108</v>
      </c>
      <c r="G159">
        <f>Consulta2[[#This Row],[DIA_UTIL_CORRENTE]]</f>
        <v>4</v>
      </c>
      <c r="H159" s="6">
        <f>DAY(Consulta2[[#This Row],[DATA]])</f>
        <v>6</v>
      </c>
      <c r="I159" s="6">
        <f>MONTH(Consulta2[[#This Row],[DATA]])</f>
        <v>6</v>
      </c>
      <c r="J159" t="str">
        <f>CONCATENATE(Consulta2[[#This Row],[SAFRA]],Consulta2[[#This Row],[dia]])</f>
        <v>2024066</v>
      </c>
      <c r="K159">
        <f>Consulta2[[#This Row],[DIA_UTIL_CORRENTE]]</f>
        <v>4</v>
      </c>
    </row>
    <row r="160" spans="1:11" x14ac:dyDescent="0.25">
      <c r="A160">
        <v>202406</v>
      </c>
      <c r="B160">
        <v>5</v>
      </c>
      <c r="C160" s="148">
        <v>45450</v>
      </c>
      <c r="D160">
        <v>20</v>
      </c>
      <c r="E160">
        <v>20</v>
      </c>
      <c r="F160">
        <v>109</v>
      </c>
      <c r="G160">
        <f>Consulta2[[#This Row],[DIA_UTIL_CORRENTE]]</f>
        <v>5</v>
      </c>
      <c r="H160" s="6">
        <f>DAY(Consulta2[[#This Row],[DATA]])</f>
        <v>7</v>
      </c>
      <c r="I160" s="6">
        <f>MONTH(Consulta2[[#This Row],[DATA]])</f>
        <v>6</v>
      </c>
      <c r="J160" t="str">
        <f>CONCATENATE(Consulta2[[#This Row],[SAFRA]],Consulta2[[#This Row],[dia]])</f>
        <v>2024067</v>
      </c>
      <c r="K160">
        <f>Consulta2[[#This Row],[DIA_UTIL_CORRENTE]]</f>
        <v>5</v>
      </c>
    </row>
    <row r="161" spans="1:11" x14ac:dyDescent="0.25">
      <c r="A161">
        <v>202406</v>
      </c>
      <c r="B161">
        <v>5</v>
      </c>
      <c r="C161" s="148">
        <v>45451</v>
      </c>
      <c r="D161">
        <v>20</v>
      </c>
      <c r="E161">
        <v>20</v>
      </c>
      <c r="F161">
        <v>109</v>
      </c>
      <c r="G161">
        <f>Consulta2[[#This Row],[DIA_UTIL_CORRENTE]]</f>
        <v>5</v>
      </c>
      <c r="H161" s="6">
        <f>DAY(Consulta2[[#This Row],[DATA]])</f>
        <v>8</v>
      </c>
      <c r="I161" s="6">
        <f>MONTH(Consulta2[[#This Row],[DATA]])</f>
        <v>6</v>
      </c>
      <c r="J161" t="str">
        <f>CONCATENATE(Consulta2[[#This Row],[SAFRA]],Consulta2[[#This Row],[dia]])</f>
        <v>2024068</v>
      </c>
      <c r="K161">
        <f>Consulta2[[#This Row],[DIA_UTIL_CORRENTE]]</f>
        <v>5</v>
      </c>
    </row>
    <row r="162" spans="1:11" x14ac:dyDescent="0.25">
      <c r="A162">
        <v>202406</v>
      </c>
      <c r="B162">
        <v>5</v>
      </c>
      <c r="C162" s="148">
        <v>45452</v>
      </c>
      <c r="D162">
        <v>20</v>
      </c>
      <c r="E162">
        <v>20</v>
      </c>
      <c r="F162">
        <v>109</v>
      </c>
      <c r="G162">
        <f>Consulta2[[#This Row],[DIA_UTIL_CORRENTE]]</f>
        <v>5</v>
      </c>
      <c r="H162" s="6">
        <f>DAY(Consulta2[[#This Row],[DATA]])</f>
        <v>9</v>
      </c>
      <c r="I162" s="6">
        <f>MONTH(Consulta2[[#This Row],[DATA]])</f>
        <v>6</v>
      </c>
      <c r="J162" t="str">
        <f>CONCATENATE(Consulta2[[#This Row],[SAFRA]],Consulta2[[#This Row],[dia]])</f>
        <v>2024069</v>
      </c>
      <c r="K162">
        <f>Consulta2[[#This Row],[DIA_UTIL_CORRENTE]]</f>
        <v>5</v>
      </c>
    </row>
    <row r="163" spans="1:11" x14ac:dyDescent="0.25">
      <c r="A163">
        <v>202406</v>
      </c>
      <c r="B163">
        <v>6</v>
      </c>
      <c r="C163" s="148">
        <v>45453</v>
      </c>
      <c r="D163">
        <v>20</v>
      </c>
      <c r="E163">
        <v>20</v>
      </c>
      <c r="F163">
        <v>110</v>
      </c>
      <c r="G163">
        <f>Consulta2[[#This Row],[DIA_UTIL_CORRENTE]]</f>
        <v>6</v>
      </c>
      <c r="H163" s="6">
        <f>DAY(Consulta2[[#This Row],[DATA]])</f>
        <v>10</v>
      </c>
      <c r="I163" s="6">
        <f>MONTH(Consulta2[[#This Row],[DATA]])</f>
        <v>6</v>
      </c>
      <c r="J163" t="str">
        <f>CONCATENATE(Consulta2[[#This Row],[SAFRA]],Consulta2[[#This Row],[dia]])</f>
        <v>20240610</v>
      </c>
      <c r="K163">
        <f>Consulta2[[#This Row],[DIA_UTIL_CORRENTE]]</f>
        <v>6</v>
      </c>
    </row>
    <row r="164" spans="1:11" x14ac:dyDescent="0.25">
      <c r="A164">
        <v>202406</v>
      </c>
      <c r="B164">
        <v>7</v>
      </c>
      <c r="C164" s="148">
        <v>45454</v>
      </c>
      <c r="D164">
        <v>20</v>
      </c>
      <c r="E164">
        <v>20</v>
      </c>
      <c r="F164">
        <v>111</v>
      </c>
      <c r="G164">
        <f>Consulta2[[#This Row],[DIA_UTIL_CORRENTE]]</f>
        <v>7</v>
      </c>
      <c r="H164" s="6">
        <f>DAY(Consulta2[[#This Row],[DATA]])</f>
        <v>11</v>
      </c>
      <c r="I164" s="6">
        <f>MONTH(Consulta2[[#This Row],[DATA]])</f>
        <v>6</v>
      </c>
      <c r="J164" t="str">
        <f>CONCATENATE(Consulta2[[#This Row],[SAFRA]],Consulta2[[#This Row],[dia]])</f>
        <v>20240611</v>
      </c>
      <c r="K164">
        <f>Consulta2[[#This Row],[DIA_UTIL_CORRENTE]]</f>
        <v>7</v>
      </c>
    </row>
    <row r="165" spans="1:11" x14ac:dyDescent="0.25">
      <c r="A165">
        <v>202406</v>
      </c>
      <c r="B165">
        <v>8</v>
      </c>
      <c r="C165" s="148">
        <v>45455</v>
      </c>
      <c r="D165">
        <v>20</v>
      </c>
      <c r="E165">
        <v>20</v>
      </c>
      <c r="F165">
        <v>112</v>
      </c>
      <c r="G165">
        <f>Consulta2[[#This Row],[DIA_UTIL_CORRENTE]]</f>
        <v>8</v>
      </c>
      <c r="H165" s="6">
        <f>DAY(Consulta2[[#This Row],[DATA]])</f>
        <v>12</v>
      </c>
      <c r="I165" s="6">
        <f>MONTH(Consulta2[[#This Row],[DATA]])</f>
        <v>6</v>
      </c>
      <c r="J165" t="str">
        <f>CONCATENATE(Consulta2[[#This Row],[SAFRA]],Consulta2[[#This Row],[dia]])</f>
        <v>20240612</v>
      </c>
      <c r="K165">
        <f>Consulta2[[#This Row],[DIA_UTIL_CORRENTE]]</f>
        <v>8</v>
      </c>
    </row>
    <row r="166" spans="1:11" x14ac:dyDescent="0.25">
      <c r="A166">
        <v>202406</v>
      </c>
      <c r="B166">
        <v>9</v>
      </c>
      <c r="C166" s="148">
        <v>45456</v>
      </c>
      <c r="D166">
        <v>20</v>
      </c>
      <c r="E166">
        <v>20</v>
      </c>
      <c r="F166">
        <v>113</v>
      </c>
      <c r="G166">
        <f>Consulta2[[#This Row],[DIA_UTIL_CORRENTE]]</f>
        <v>9</v>
      </c>
      <c r="H166" s="6">
        <f>DAY(Consulta2[[#This Row],[DATA]])</f>
        <v>13</v>
      </c>
      <c r="I166" s="6">
        <f>MONTH(Consulta2[[#This Row],[DATA]])</f>
        <v>6</v>
      </c>
      <c r="J166" t="str">
        <f>CONCATENATE(Consulta2[[#This Row],[SAFRA]],Consulta2[[#This Row],[dia]])</f>
        <v>20240613</v>
      </c>
      <c r="K166">
        <f>Consulta2[[#This Row],[DIA_UTIL_CORRENTE]]</f>
        <v>9</v>
      </c>
    </row>
    <row r="167" spans="1:11" x14ac:dyDescent="0.25">
      <c r="A167">
        <v>202406</v>
      </c>
      <c r="B167">
        <v>10</v>
      </c>
      <c r="C167" s="148">
        <v>45457</v>
      </c>
      <c r="D167">
        <v>20</v>
      </c>
      <c r="E167">
        <v>20</v>
      </c>
      <c r="F167">
        <v>114</v>
      </c>
      <c r="G167">
        <f>Consulta2[[#This Row],[DIA_UTIL_CORRENTE]]</f>
        <v>10</v>
      </c>
      <c r="H167" s="6">
        <f>DAY(Consulta2[[#This Row],[DATA]])</f>
        <v>14</v>
      </c>
      <c r="I167" s="6">
        <f>MONTH(Consulta2[[#This Row],[DATA]])</f>
        <v>6</v>
      </c>
      <c r="J167" t="str">
        <f>CONCATENATE(Consulta2[[#This Row],[SAFRA]],Consulta2[[#This Row],[dia]])</f>
        <v>20240614</v>
      </c>
      <c r="K167">
        <f>Consulta2[[#This Row],[DIA_UTIL_CORRENTE]]</f>
        <v>10</v>
      </c>
    </row>
    <row r="168" spans="1:11" x14ac:dyDescent="0.25">
      <c r="A168">
        <v>202406</v>
      </c>
      <c r="B168">
        <v>10</v>
      </c>
      <c r="C168" s="148">
        <v>45458</v>
      </c>
      <c r="D168">
        <v>20</v>
      </c>
      <c r="E168">
        <v>20</v>
      </c>
      <c r="F168">
        <v>114</v>
      </c>
      <c r="G168">
        <f>Consulta2[[#This Row],[DIA_UTIL_CORRENTE]]</f>
        <v>10</v>
      </c>
      <c r="H168" s="6">
        <f>DAY(Consulta2[[#This Row],[DATA]])</f>
        <v>15</v>
      </c>
      <c r="I168" s="6">
        <f>MONTH(Consulta2[[#This Row],[DATA]])</f>
        <v>6</v>
      </c>
      <c r="J168" t="str">
        <f>CONCATENATE(Consulta2[[#This Row],[SAFRA]],Consulta2[[#This Row],[dia]])</f>
        <v>20240615</v>
      </c>
      <c r="K168">
        <f>Consulta2[[#This Row],[DIA_UTIL_CORRENTE]]</f>
        <v>10</v>
      </c>
    </row>
    <row r="169" spans="1:11" x14ac:dyDescent="0.25">
      <c r="A169">
        <v>202406</v>
      </c>
      <c r="B169">
        <v>10</v>
      </c>
      <c r="C169" s="148">
        <v>45459</v>
      </c>
      <c r="D169">
        <v>20</v>
      </c>
      <c r="E169">
        <v>20</v>
      </c>
      <c r="F169">
        <v>114</v>
      </c>
      <c r="G169">
        <f>Consulta2[[#This Row],[DIA_UTIL_CORRENTE]]</f>
        <v>10</v>
      </c>
      <c r="H169" s="6">
        <f>DAY(Consulta2[[#This Row],[DATA]])</f>
        <v>16</v>
      </c>
      <c r="I169" s="6">
        <f>MONTH(Consulta2[[#This Row],[DATA]])</f>
        <v>6</v>
      </c>
      <c r="J169" t="str">
        <f>CONCATENATE(Consulta2[[#This Row],[SAFRA]],Consulta2[[#This Row],[dia]])</f>
        <v>20240616</v>
      </c>
      <c r="K169">
        <f>Consulta2[[#This Row],[DIA_UTIL_CORRENTE]]</f>
        <v>10</v>
      </c>
    </row>
    <row r="170" spans="1:11" x14ac:dyDescent="0.25">
      <c r="A170">
        <v>202406</v>
      </c>
      <c r="B170">
        <v>11</v>
      </c>
      <c r="C170" s="148">
        <v>45460</v>
      </c>
      <c r="D170">
        <v>20</v>
      </c>
      <c r="E170">
        <v>20</v>
      </c>
      <c r="F170">
        <v>115</v>
      </c>
      <c r="G170">
        <f>Consulta2[[#This Row],[DIA_UTIL_CORRENTE]]</f>
        <v>11</v>
      </c>
      <c r="H170" s="6">
        <f>DAY(Consulta2[[#This Row],[DATA]])</f>
        <v>17</v>
      </c>
      <c r="I170" s="6">
        <f>MONTH(Consulta2[[#This Row],[DATA]])</f>
        <v>6</v>
      </c>
      <c r="J170" t="str">
        <f>CONCATENATE(Consulta2[[#This Row],[SAFRA]],Consulta2[[#This Row],[dia]])</f>
        <v>20240617</v>
      </c>
      <c r="K170">
        <f>Consulta2[[#This Row],[DIA_UTIL_CORRENTE]]</f>
        <v>11</v>
      </c>
    </row>
    <row r="171" spans="1:11" x14ac:dyDescent="0.25">
      <c r="A171">
        <v>202406</v>
      </c>
      <c r="B171">
        <v>12</v>
      </c>
      <c r="C171" s="148">
        <v>45461</v>
      </c>
      <c r="D171">
        <v>20</v>
      </c>
      <c r="E171">
        <v>20</v>
      </c>
      <c r="F171">
        <v>116</v>
      </c>
      <c r="G171">
        <f>Consulta2[[#This Row],[DIA_UTIL_CORRENTE]]</f>
        <v>12</v>
      </c>
      <c r="H171" s="6">
        <f>DAY(Consulta2[[#This Row],[DATA]])</f>
        <v>18</v>
      </c>
      <c r="I171" s="6">
        <f>MONTH(Consulta2[[#This Row],[DATA]])</f>
        <v>6</v>
      </c>
      <c r="J171" t="str">
        <f>CONCATENATE(Consulta2[[#This Row],[SAFRA]],Consulta2[[#This Row],[dia]])</f>
        <v>20240618</v>
      </c>
      <c r="K171">
        <f>Consulta2[[#This Row],[DIA_UTIL_CORRENTE]]</f>
        <v>12</v>
      </c>
    </row>
    <row r="172" spans="1:11" x14ac:dyDescent="0.25">
      <c r="A172">
        <v>202406</v>
      </c>
      <c r="B172">
        <v>13</v>
      </c>
      <c r="C172" s="148">
        <v>45462</v>
      </c>
      <c r="D172">
        <v>20</v>
      </c>
      <c r="E172">
        <v>20</v>
      </c>
      <c r="F172">
        <v>117</v>
      </c>
      <c r="G172">
        <f>Consulta2[[#This Row],[DIA_UTIL_CORRENTE]]</f>
        <v>13</v>
      </c>
      <c r="H172" s="6">
        <f>DAY(Consulta2[[#This Row],[DATA]])</f>
        <v>19</v>
      </c>
      <c r="I172" s="6">
        <f>MONTH(Consulta2[[#This Row],[DATA]])</f>
        <v>6</v>
      </c>
      <c r="J172" t="str">
        <f>CONCATENATE(Consulta2[[#This Row],[SAFRA]],Consulta2[[#This Row],[dia]])</f>
        <v>20240619</v>
      </c>
      <c r="K172">
        <f>Consulta2[[#This Row],[DIA_UTIL_CORRENTE]]</f>
        <v>13</v>
      </c>
    </row>
    <row r="173" spans="1:11" x14ac:dyDescent="0.25">
      <c r="A173">
        <v>202406</v>
      </c>
      <c r="B173">
        <v>14</v>
      </c>
      <c r="C173" s="148">
        <v>45463</v>
      </c>
      <c r="D173">
        <v>20</v>
      </c>
      <c r="E173">
        <v>20</v>
      </c>
      <c r="F173">
        <v>118</v>
      </c>
      <c r="G173">
        <f>Consulta2[[#This Row],[DIA_UTIL_CORRENTE]]</f>
        <v>14</v>
      </c>
      <c r="H173" s="6">
        <f>DAY(Consulta2[[#This Row],[DATA]])</f>
        <v>20</v>
      </c>
      <c r="I173" s="6">
        <f>MONTH(Consulta2[[#This Row],[DATA]])</f>
        <v>6</v>
      </c>
      <c r="J173" t="str">
        <f>CONCATENATE(Consulta2[[#This Row],[SAFRA]],Consulta2[[#This Row],[dia]])</f>
        <v>20240620</v>
      </c>
      <c r="K173">
        <f>Consulta2[[#This Row],[DIA_UTIL_CORRENTE]]</f>
        <v>14</v>
      </c>
    </row>
    <row r="174" spans="1:11" x14ac:dyDescent="0.25">
      <c r="A174">
        <v>202406</v>
      </c>
      <c r="B174">
        <v>15</v>
      </c>
      <c r="C174" s="148">
        <v>45464</v>
      </c>
      <c r="D174">
        <v>20</v>
      </c>
      <c r="E174">
        <v>20</v>
      </c>
      <c r="F174">
        <v>119</v>
      </c>
      <c r="G174">
        <f>Consulta2[[#This Row],[DIA_UTIL_CORRENTE]]</f>
        <v>15</v>
      </c>
      <c r="H174" s="6">
        <f>DAY(Consulta2[[#This Row],[DATA]])</f>
        <v>21</v>
      </c>
      <c r="I174" s="6">
        <f>MONTH(Consulta2[[#This Row],[DATA]])</f>
        <v>6</v>
      </c>
      <c r="J174" t="str">
        <f>CONCATENATE(Consulta2[[#This Row],[SAFRA]],Consulta2[[#This Row],[dia]])</f>
        <v>20240621</v>
      </c>
      <c r="K174">
        <f>Consulta2[[#This Row],[DIA_UTIL_CORRENTE]]</f>
        <v>15</v>
      </c>
    </row>
    <row r="175" spans="1:11" x14ac:dyDescent="0.25">
      <c r="A175">
        <v>202406</v>
      </c>
      <c r="B175">
        <v>15</v>
      </c>
      <c r="C175" s="148">
        <v>45465</v>
      </c>
      <c r="D175">
        <v>20</v>
      </c>
      <c r="E175">
        <v>20</v>
      </c>
      <c r="F175">
        <v>119</v>
      </c>
      <c r="G175">
        <f>Consulta2[[#This Row],[DIA_UTIL_CORRENTE]]</f>
        <v>15</v>
      </c>
      <c r="H175" s="6">
        <f>DAY(Consulta2[[#This Row],[DATA]])</f>
        <v>22</v>
      </c>
      <c r="I175" s="6">
        <f>MONTH(Consulta2[[#This Row],[DATA]])</f>
        <v>6</v>
      </c>
      <c r="J175" t="str">
        <f>CONCATENATE(Consulta2[[#This Row],[SAFRA]],Consulta2[[#This Row],[dia]])</f>
        <v>20240622</v>
      </c>
      <c r="K175">
        <f>Consulta2[[#This Row],[DIA_UTIL_CORRENTE]]</f>
        <v>15</v>
      </c>
    </row>
    <row r="176" spans="1:11" x14ac:dyDescent="0.25">
      <c r="A176">
        <v>202406</v>
      </c>
      <c r="B176">
        <v>15</v>
      </c>
      <c r="C176" s="148">
        <v>45466</v>
      </c>
      <c r="D176">
        <v>20</v>
      </c>
      <c r="E176">
        <v>20</v>
      </c>
      <c r="F176">
        <v>119</v>
      </c>
      <c r="G176">
        <f>Consulta2[[#This Row],[DIA_UTIL_CORRENTE]]</f>
        <v>15</v>
      </c>
      <c r="H176" s="6">
        <f>DAY(Consulta2[[#This Row],[DATA]])</f>
        <v>23</v>
      </c>
      <c r="I176" s="6">
        <f>MONTH(Consulta2[[#This Row],[DATA]])</f>
        <v>6</v>
      </c>
      <c r="J176" t="str">
        <f>CONCATENATE(Consulta2[[#This Row],[SAFRA]],Consulta2[[#This Row],[dia]])</f>
        <v>20240623</v>
      </c>
      <c r="K176">
        <f>Consulta2[[#This Row],[DIA_UTIL_CORRENTE]]</f>
        <v>15</v>
      </c>
    </row>
    <row r="177" spans="1:11" x14ac:dyDescent="0.25">
      <c r="A177">
        <v>202406</v>
      </c>
      <c r="B177">
        <v>16</v>
      </c>
      <c r="C177" s="148">
        <v>45467</v>
      </c>
      <c r="D177">
        <v>20</v>
      </c>
      <c r="E177">
        <v>20</v>
      </c>
      <c r="F177">
        <v>120</v>
      </c>
      <c r="G177">
        <f>Consulta2[[#This Row],[DIA_UTIL_CORRENTE]]</f>
        <v>16</v>
      </c>
      <c r="H177" s="6">
        <f>DAY(Consulta2[[#This Row],[DATA]])</f>
        <v>24</v>
      </c>
      <c r="I177" s="6">
        <f>MONTH(Consulta2[[#This Row],[DATA]])</f>
        <v>6</v>
      </c>
      <c r="J177" t="str">
        <f>CONCATENATE(Consulta2[[#This Row],[SAFRA]],Consulta2[[#This Row],[dia]])</f>
        <v>20240624</v>
      </c>
      <c r="K177">
        <f>Consulta2[[#This Row],[DIA_UTIL_CORRENTE]]</f>
        <v>16</v>
      </c>
    </row>
    <row r="178" spans="1:11" x14ac:dyDescent="0.25">
      <c r="A178">
        <v>202406</v>
      </c>
      <c r="B178">
        <v>17</v>
      </c>
      <c r="C178" s="148">
        <v>45468</v>
      </c>
      <c r="D178">
        <v>20</v>
      </c>
      <c r="E178">
        <v>20</v>
      </c>
      <c r="F178">
        <v>121</v>
      </c>
      <c r="G178">
        <f>Consulta2[[#This Row],[DIA_UTIL_CORRENTE]]</f>
        <v>17</v>
      </c>
      <c r="H178" s="6">
        <f>DAY(Consulta2[[#This Row],[DATA]])</f>
        <v>25</v>
      </c>
      <c r="I178" s="6">
        <f>MONTH(Consulta2[[#This Row],[DATA]])</f>
        <v>6</v>
      </c>
      <c r="J178" t="str">
        <f>CONCATENATE(Consulta2[[#This Row],[SAFRA]],Consulta2[[#This Row],[dia]])</f>
        <v>20240625</v>
      </c>
      <c r="K178">
        <f>Consulta2[[#This Row],[DIA_UTIL_CORRENTE]]</f>
        <v>17</v>
      </c>
    </row>
    <row r="179" spans="1:11" x14ac:dyDescent="0.25">
      <c r="A179">
        <v>202406</v>
      </c>
      <c r="B179">
        <v>18</v>
      </c>
      <c r="C179" s="148">
        <v>45469</v>
      </c>
      <c r="D179">
        <v>20</v>
      </c>
      <c r="E179">
        <v>20</v>
      </c>
      <c r="F179">
        <v>122</v>
      </c>
      <c r="G179">
        <f>Consulta2[[#This Row],[DIA_UTIL_CORRENTE]]</f>
        <v>18</v>
      </c>
      <c r="H179" s="6">
        <f>DAY(Consulta2[[#This Row],[DATA]])</f>
        <v>26</v>
      </c>
      <c r="I179" s="6">
        <f>MONTH(Consulta2[[#This Row],[DATA]])</f>
        <v>6</v>
      </c>
      <c r="J179" t="str">
        <f>CONCATENATE(Consulta2[[#This Row],[SAFRA]],Consulta2[[#This Row],[dia]])</f>
        <v>20240626</v>
      </c>
      <c r="K179">
        <f>Consulta2[[#This Row],[DIA_UTIL_CORRENTE]]</f>
        <v>18</v>
      </c>
    </row>
    <row r="180" spans="1:11" x14ac:dyDescent="0.25">
      <c r="A180">
        <v>202406</v>
      </c>
      <c r="B180">
        <v>19</v>
      </c>
      <c r="C180" s="148">
        <v>45470</v>
      </c>
      <c r="D180">
        <v>20</v>
      </c>
      <c r="E180">
        <v>20</v>
      </c>
      <c r="F180">
        <v>123</v>
      </c>
      <c r="G180">
        <f>Consulta2[[#This Row],[DIA_UTIL_CORRENTE]]</f>
        <v>19</v>
      </c>
      <c r="H180" s="6">
        <f>DAY(Consulta2[[#This Row],[DATA]])</f>
        <v>27</v>
      </c>
      <c r="I180" s="6">
        <f>MONTH(Consulta2[[#This Row],[DATA]])</f>
        <v>6</v>
      </c>
      <c r="J180" t="str">
        <f>CONCATENATE(Consulta2[[#This Row],[SAFRA]],Consulta2[[#This Row],[dia]])</f>
        <v>20240627</v>
      </c>
      <c r="K180">
        <f>Consulta2[[#This Row],[DIA_UTIL_CORRENTE]]</f>
        <v>19</v>
      </c>
    </row>
    <row r="181" spans="1:11" x14ac:dyDescent="0.25">
      <c r="A181">
        <v>202406</v>
      </c>
      <c r="B181">
        <v>20</v>
      </c>
      <c r="C181" s="148">
        <v>45471</v>
      </c>
      <c r="D181">
        <v>20</v>
      </c>
      <c r="E181">
        <v>20</v>
      </c>
      <c r="F181">
        <v>124</v>
      </c>
      <c r="G181">
        <f>Consulta2[[#This Row],[DIA_UTIL_CORRENTE]]</f>
        <v>20</v>
      </c>
      <c r="H181" s="6">
        <f>DAY(Consulta2[[#This Row],[DATA]])</f>
        <v>28</v>
      </c>
      <c r="I181" s="6">
        <f>MONTH(Consulta2[[#This Row],[DATA]])</f>
        <v>6</v>
      </c>
      <c r="J181" t="str">
        <f>CONCATENATE(Consulta2[[#This Row],[SAFRA]],Consulta2[[#This Row],[dia]])</f>
        <v>20240628</v>
      </c>
      <c r="K181">
        <f>Consulta2[[#This Row],[DIA_UTIL_CORRENTE]]</f>
        <v>20</v>
      </c>
    </row>
    <row r="182" spans="1:11" x14ac:dyDescent="0.25">
      <c r="A182">
        <v>202406</v>
      </c>
      <c r="B182">
        <v>20</v>
      </c>
      <c r="C182" s="148">
        <v>45472</v>
      </c>
      <c r="D182">
        <v>20</v>
      </c>
      <c r="E182">
        <v>20</v>
      </c>
      <c r="F182">
        <v>124</v>
      </c>
      <c r="G182">
        <f>Consulta2[[#This Row],[DIA_UTIL_CORRENTE]]</f>
        <v>20</v>
      </c>
      <c r="H182" s="6">
        <f>DAY(Consulta2[[#This Row],[DATA]])</f>
        <v>29</v>
      </c>
      <c r="I182" s="6">
        <f>MONTH(Consulta2[[#This Row],[DATA]])</f>
        <v>6</v>
      </c>
      <c r="J182" t="str">
        <f>CONCATENATE(Consulta2[[#This Row],[SAFRA]],Consulta2[[#This Row],[dia]])</f>
        <v>20240629</v>
      </c>
      <c r="K182">
        <f>Consulta2[[#This Row],[DIA_UTIL_CORRENTE]]</f>
        <v>20</v>
      </c>
    </row>
    <row r="183" spans="1:11" x14ac:dyDescent="0.25">
      <c r="A183">
        <v>202406</v>
      </c>
      <c r="B183">
        <v>20</v>
      </c>
      <c r="C183" s="148">
        <v>45473</v>
      </c>
      <c r="D183">
        <v>20</v>
      </c>
      <c r="E183">
        <v>20</v>
      </c>
      <c r="F183">
        <v>124</v>
      </c>
      <c r="G183">
        <f>Consulta2[[#This Row],[DIA_UTIL_CORRENTE]]</f>
        <v>20</v>
      </c>
      <c r="H183" s="6">
        <f>DAY(Consulta2[[#This Row],[DATA]])</f>
        <v>30</v>
      </c>
      <c r="I183" s="6">
        <f>MONTH(Consulta2[[#This Row],[DATA]])</f>
        <v>6</v>
      </c>
      <c r="J183" t="str">
        <f>CONCATENATE(Consulta2[[#This Row],[SAFRA]],Consulta2[[#This Row],[dia]])</f>
        <v>20240630</v>
      </c>
      <c r="K183">
        <f>Consulta2[[#This Row],[DIA_UTIL_CORRENTE]]</f>
        <v>20</v>
      </c>
    </row>
    <row r="184" spans="1:11" x14ac:dyDescent="0.25">
      <c r="A184">
        <v>202407</v>
      </c>
      <c r="B184">
        <v>1</v>
      </c>
      <c r="C184" s="148">
        <v>45474</v>
      </c>
      <c r="D184">
        <v>23</v>
      </c>
      <c r="E184">
        <v>23</v>
      </c>
      <c r="F184">
        <v>125</v>
      </c>
      <c r="G184">
        <f>Consulta2[[#This Row],[DIA_UTIL_CORRENTE]]</f>
        <v>1</v>
      </c>
      <c r="H184" s="6">
        <f>DAY(Consulta2[[#This Row],[DATA]])</f>
        <v>1</v>
      </c>
      <c r="I184" s="6">
        <f>MONTH(Consulta2[[#This Row],[DATA]])</f>
        <v>7</v>
      </c>
      <c r="J184" t="str">
        <f>CONCATENATE(Consulta2[[#This Row],[SAFRA]],Consulta2[[#This Row],[dia]])</f>
        <v>2024071</v>
      </c>
      <c r="K184">
        <f>Consulta2[[#This Row],[DIA_UTIL_CORRENTE]]</f>
        <v>1</v>
      </c>
    </row>
    <row r="185" spans="1:11" x14ac:dyDescent="0.25">
      <c r="A185">
        <v>202407</v>
      </c>
      <c r="B185">
        <v>2</v>
      </c>
      <c r="C185" s="148">
        <v>45475</v>
      </c>
      <c r="D185">
        <v>23</v>
      </c>
      <c r="E185">
        <v>23</v>
      </c>
      <c r="F185">
        <v>126</v>
      </c>
      <c r="G185">
        <f>Consulta2[[#This Row],[DIA_UTIL_CORRENTE]]</f>
        <v>2</v>
      </c>
      <c r="H185" s="6">
        <f>DAY(Consulta2[[#This Row],[DATA]])</f>
        <v>2</v>
      </c>
      <c r="I185" s="6">
        <f>MONTH(Consulta2[[#This Row],[DATA]])</f>
        <v>7</v>
      </c>
      <c r="J185" t="str">
        <f>CONCATENATE(Consulta2[[#This Row],[SAFRA]],Consulta2[[#This Row],[dia]])</f>
        <v>2024072</v>
      </c>
      <c r="K185">
        <f>Consulta2[[#This Row],[DIA_UTIL_CORRENTE]]</f>
        <v>2</v>
      </c>
    </row>
    <row r="186" spans="1:11" x14ac:dyDescent="0.25">
      <c r="A186">
        <v>202407</v>
      </c>
      <c r="B186">
        <v>3</v>
      </c>
      <c r="C186" s="148">
        <v>45476</v>
      </c>
      <c r="D186">
        <v>23</v>
      </c>
      <c r="E186">
        <v>23</v>
      </c>
      <c r="F186">
        <v>127</v>
      </c>
      <c r="G186">
        <f>Consulta2[[#This Row],[DIA_UTIL_CORRENTE]]</f>
        <v>3</v>
      </c>
      <c r="H186" s="6">
        <f>DAY(Consulta2[[#This Row],[DATA]])</f>
        <v>3</v>
      </c>
      <c r="I186" s="6">
        <f>MONTH(Consulta2[[#This Row],[DATA]])</f>
        <v>7</v>
      </c>
      <c r="J186" t="str">
        <f>CONCATENATE(Consulta2[[#This Row],[SAFRA]],Consulta2[[#This Row],[dia]])</f>
        <v>2024073</v>
      </c>
      <c r="K186">
        <f>Consulta2[[#This Row],[DIA_UTIL_CORRENTE]]</f>
        <v>3</v>
      </c>
    </row>
    <row r="187" spans="1:11" x14ac:dyDescent="0.25">
      <c r="A187">
        <v>202407</v>
      </c>
      <c r="B187">
        <v>4</v>
      </c>
      <c r="C187" s="148">
        <v>45477</v>
      </c>
      <c r="D187">
        <v>23</v>
      </c>
      <c r="E187">
        <v>23</v>
      </c>
      <c r="F187">
        <v>128</v>
      </c>
      <c r="G187">
        <f>Consulta2[[#This Row],[DIA_UTIL_CORRENTE]]</f>
        <v>4</v>
      </c>
      <c r="H187" s="6">
        <f>DAY(Consulta2[[#This Row],[DATA]])</f>
        <v>4</v>
      </c>
      <c r="I187" s="6">
        <f>MONTH(Consulta2[[#This Row],[DATA]])</f>
        <v>7</v>
      </c>
      <c r="J187" t="str">
        <f>CONCATENATE(Consulta2[[#This Row],[SAFRA]],Consulta2[[#This Row],[dia]])</f>
        <v>2024074</v>
      </c>
      <c r="K187">
        <f>Consulta2[[#This Row],[DIA_UTIL_CORRENTE]]</f>
        <v>4</v>
      </c>
    </row>
    <row r="188" spans="1:11" x14ac:dyDescent="0.25">
      <c r="A188">
        <v>202407</v>
      </c>
      <c r="B188">
        <v>5</v>
      </c>
      <c r="C188" s="148">
        <v>45478</v>
      </c>
      <c r="D188">
        <v>23</v>
      </c>
      <c r="E188">
        <v>23</v>
      </c>
      <c r="F188">
        <v>129</v>
      </c>
      <c r="G188">
        <f>Consulta2[[#This Row],[DIA_UTIL_CORRENTE]]</f>
        <v>5</v>
      </c>
      <c r="H188" s="6">
        <f>DAY(Consulta2[[#This Row],[DATA]])</f>
        <v>5</v>
      </c>
      <c r="I188" s="6">
        <f>MONTH(Consulta2[[#This Row],[DATA]])</f>
        <v>7</v>
      </c>
      <c r="J188" t="str">
        <f>CONCATENATE(Consulta2[[#This Row],[SAFRA]],Consulta2[[#This Row],[dia]])</f>
        <v>2024075</v>
      </c>
      <c r="K188">
        <f>Consulta2[[#This Row],[DIA_UTIL_CORRENTE]]</f>
        <v>5</v>
      </c>
    </row>
    <row r="189" spans="1:11" x14ac:dyDescent="0.25">
      <c r="A189">
        <v>202407</v>
      </c>
      <c r="B189">
        <v>5</v>
      </c>
      <c r="C189" s="148">
        <v>45479</v>
      </c>
      <c r="D189">
        <v>23</v>
      </c>
      <c r="E189">
        <v>23</v>
      </c>
      <c r="F189">
        <v>129</v>
      </c>
      <c r="G189">
        <f>Consulta2[[#This Row],[DIA_UTIL_CORRENTE]]</f>
        <v>5</v>
      </c>
      <c r="H189" s="6">
        <f>DAY(Consulta2[[#This Row],[DATA]])</f>
        <v>6</v>
      </c>
      <c r="I189" s="6">
        <f>MONTH(Consulta2[[#This Row],[DATA]])</f>
        <v>7</v>
      </c>
      <c r="J189" t="str">
        <f>CONCATENATE(Consulta2[[#This Row],[SAFRA]],Consulta2[[#This Row],[dia]])</f>
        <v>2024076</v>
      </c>
      <c r="K189">
        <f>Consulta2[[#This Row],[DIA_UTIL_CORRENTE]]</f>
        <v>5</v>
      </c>
    </row>
    <row r="190" spans="1:11" x14ac:dyDescent="0.25">
      <c r="A190">
        <v>202407</v>
      </c>
      <c r="B190">
        <v>5</v>
      </c>
      <c r="C190" s="148">
        <v>45480</v>
      </c>
      <c r="D190">
        <v>23</v>
      </c>
      <c r="E190">
        <v>23</v>
      </c>
      <c r="F190">
        <v>129</v>
      </c>
      <c r="G190">
        <f>Consulta2[[#This Row],[DIA_UTIL_CORRENTE]]</f>
        <v>5</v>
      </c>
      <c r="H190" s="6">
        <f>DAY(Consulta2[[#This Row],[DATA]])</f>
        <v>7</v>
      </c>
      <c r="I190" s="6">
        <f>MONTH(Consulta2[[#This Row],[DATA]])</f>
        <v>7</v>
      </c>
      <c r="J190" t="str">
        <f>CONCATENATE(Consulta2[[#This Row],[SAFRA]],Consulta2[[#This Row],[dia]])</f>
        <v>2024077</v>
      </c>
      <c r="K190">
        <f>Consulta2[[#This Row],[DIA_UTIL_CORRENTE]]</f>
        <v>5</v>
      </c>
    </row>
    <row r="191" spans="1:11" x14ac:dyDescent="0.25">
      <c r="A191">
        <v>202407</v>
      </c>
      <c r="B191">
        <v>6</v>
      </c>
      <c r="C191" s="148">
        <v>45481</v>
      </c>
      <c r="D191">
        <v>23</v>
      </c>
      <c r="E191">
        <v>23</v>
      </c>
      <c r="F191">
        <v>130</v>
      </c>
      <c r="G191">
        <f>Consulta2[[#This Row],[DIA_UTIL_CORRENTE]]</f>
        <v>6</v>
      </c>
      <c r="H191" s="6">
        <f>DAY(Consulta2[[#This Row],[DATA]])</f>
        <v>8</v>
      </c>
      <c r="I191" s="6">
        <f>MONTH(Consulta2[[#This Row],[DATA]])</f>
        <v>7</v>
      </c>
      <c r="J191" t="str">
        <f>CONCATENATE(Consulta2[[#This Row],[SAFRA]],Consulta2[[#This Row],[dia]])</f>
        <v>2024078</v>
      </c>
      <c r="K191">
        <f>Consulta2[[#This Row],[DIA_UTIL_CORRENTE]]</f>
        <v>6</v>
      </c>
    </row>
    <row r="192" spans="1:11" x14ac:dyDescent="0.25">
      <c r="A192">
        <v>202407</v>
      </c>
      <c r="B192">
        <v>7</v>
      </c>
      <c r="C192" s="148">
        <v>45482</v>
      </c>
      <c r="D192">
        <v>23</v>
      </c>
      <c r="E192">
        <v>23</v>
      </c>
      <c r="F192">
        <v>131</v>
      </c>
      <c r="G192">
        <f>Consulta2[[#This Row],[DIA_UTIL_CORRENTE]]</f>
        <v>7</v>
      </c>
      <c r="H192" s="6">
        <f>DAY(Consulta2[[#This Row],[DATA]])</f>
        <v>9</v>
      </c>
      <c r="I192" s="6">
        <f>MONTH(Consulta2[[#This Row],[DATA]])</f>
        <v>7</v>
      </c>
      <c r="J192" t="str">
        <f>CONCATENATE(Consulta2[[#This Row],[SAFRA]],Consulta2[[#This Row],[dia]])</f>
        <v>2024079</v>
      </c>
      <c r="K192">
        <f>Consulta2[[#This Row],[DIA_UTIL_CORRENTE]]</f>
        <v>7</v>
      </c>
    </row>
    <row r="193" spans="1:11" x14ac:dyDescent="0.25">
      <c r="A193">
        <v>202407</v>
      </c>
      <c r="B193">
        <v>8</v>
      </c>
      <c r="C193" s="148">
        <v>45483</v>
      </c>
      <c r="D193">
        <v>23</v>
      </c>
      <c r="E193">
        <v>23</v>
      </c>
      <c r="F193">
        <v>132</v>
      </c>
      <c r="G193">
        <f>Consulta2[[#This Row],[DIA_UTIL_CORRENTE]]</f>
        <v>8</v>
      </c>
      <c r="H193" s="6">
        <f>DAY(Consulta2[[#This Row],[DATA]])</f>
        <v>10</v>
      </c>
      <c r="I193" s="6">
        <f>MONTH(Consulta2[[#This Row],[DATA]])</f>
        <v>7</v>
      </c>
      <c r="J193" t="str">
        <f>CONCATENATE(Consulta2[[#This Row],[SAFRA]],Consulta2[[#This Row],[dia]])</f>
        <v>20240710</v>
      </c>
      <c r="K193">
        <f>Consulta2[[#This Row],[DIA_UTIL_CORRENTE]]</f>
        <v>8</v>
      </c>
    </row>
    <row r="194" spans="1:11" x14ac:dyDescent="0.25">
      <c r="A194">
        <v>202407</v>
      </c>
      <c r="B194">
        <v>9</v>
      </c>
      <c r="C194" s="148">
        <v>45484</v>
      </c>
      <c r="D194">
        <v>23</v>
      </c>
      <c r="E194">
        <v>23</v>
      </c>
      <c r="F194">
        <v>133</v>
      </c>
      <c r="G194">
        <f>Consulta2[[#This Row],[DIA_UTIL_CORRENTE]]</f>
        <v>9</v>
      </c>
      <c r="H194" s="6">
        <f>DAY(Consulta2[[#This Row],[DATA]])</f>
        <v>11</v>
      </c>
      <c r="I194" s="6">
        <f>MONTH(Consulta2[[#This Row],[DATA]])</f>
        <v>7</v>
      </c>
      <c r="J194" t="str">
        <f>CONCATENATE(Consulta2[[#This Row],[SAFRA]],Consulta2[[#This Row],[dia]])</f>
        <v>20240711</v>
      </c>
      <c r="K194">
        <f>Consulta2[[#This Row],[DIA_UTIL_CORRENTE]]</f>
        <v>9</v>
      </c>
    </row>
    <row r="195" spans="1:11" x14ac:dyDescent="0.25">
      <c r="A195">
        <v>202407</v>
      </c>
      <c r="B195">
        <v>10</v>
      </c>
      <c r="C195" s="148">
        <v>45485</v>
      </c>
      <c r="D195">
        <v>23</v>
      </c>
      <c r="E195">
        <v>23</v>
      </c>
      <c r="F195">
        <v>134</v>
      </c>
      <c r="G195">
        <f>Consulta2[[#This Row],[DIA_UTIL_CORRENTE]]</f>
        <v>10</v>
      </c>
      <c r="H195" s="6">
        <f>DAY(Consulta2[[#This Row],[DATA]])</f>
        <v>12</v>
      </c>
      <c r="I195" s="6">
        <f>MONTH(Consulta2[[#This Row],[DATA]])</f>
        <v>7</v>
      </c>
      <c r="J195" t="str">
        <f>CONCATENATE(Consulta2[[#This Row],[SAFRA]],Consulta2[[#This Row],[dia]])</f>
        <v>20240712</v>
      </c>
      <c r="K195">
        <f>Consulta2[[#This Row],[DIA_UTIL_CORRENTE]]</f>
        <v>10</v>
      </c>
    </row>
    <row r="196" spans="1:11" x14ac:dyDescent="0.25">
      <c r="A196">
        <v>202407</v>
      </c>
      <c r="B196">
        <v>10</v>
      </c>
      <c r="C196" s="148">
        <v>45486</v>
      </c>
      <c r="D196">
        <v>23</v>
      </c>
      <c r="E196">
        <v>23</v>
      </c>
      <c r="F196">
        <v>134</v>
      </c>
      <c r="G196">
        <f>Consulta2[[#This Row],[DIA_UTIL_CORRENTE]]</f>
        <v>10</v>
      </c>
      <c r="H196" s="6">
        <f>DAY(Consulta2[[#This Row],[DATA]])</f>
        <v>13</v>
      </c>
      <c r="I196" s="6">
        <f>MONTH(Consulta2[[#This Row],[DATA]])</f>
        <v>7</v>
      </c>
      <c r="J196" t="str">
        <f>CONCATENATE(Consulta2[[#This Row],[SAFRA]],Consulta2[[#This Row],[dia]])</f>
        <v>20240713</v>
      </c>
      <c r="K196">
        <f>Consulta2[[#This Row],[DIA_UTIL_CORRENTE]]</f>
        <v>10</v>
      </c>
    </row>
    <row r="197" spans="1:11" x14ac:dyDescent="0.25">
      <c r="A197">
        <v>202407</v>
      </c>
      <c r="B197">
        <v>10</v>
      </c>
      <c r="C197" s="148">
        <v>45487</v>
      </c>
      <c r="D197">
        <v>23</v>
      </c>
      <c r="E197">
        <v>23</v>
      </c>
      <c r="F197">
        <v>134</v>
      </c>
      <c r="G197">
        <f>Consulta2[[#This Row],[DIA_UTIL_CORRENTE]]</f>
        <v>10</v>
      </c>
      <c r="H197" s="6">
        <f>DAY(Consulta2[[#This Row],[DATA]])</f>
        <v>14</v>
      </c>
      <c r="I197" s="6">
        <f>MONTH(Consulta2[[#This Row],[DATA]])</f>
        <v>7</v>
      </c>
      <c r="J197" t="str">
        <f>CONCATENATE(Consulta2[[#This Row],[SAFRA]],Consulta2[[#This Row],[dia]])</f>
        <v>20240714</v>
      </c>
      <c r="K197">
        <f>Consulta2[[#This Row],[DIA_UTIL_CORRENTE]]</f>
        <v>10</v>
      </c>
    </row>
    <row r="198" spans="1:11" x14ac:dyDescent="0.25">
      <c r="A198">
        <v>202407</v>
      </c>
      <c r="B198">
        <v>11</v>
      </c>
      <c r="C198" s="148">
        <v>45488</v>
      </c>
      <c r="D198">
        <v>23</v>
      </c>
      <c r="E198">
        <v>23</v>
      </c>
      <c r="F198">
        <v>135</v>
      </c>
      <c r="G198">
        <f>Consulta2[[#This Row],[DIA_UTIL_CORRENTE]]</f>
        <v>11</v>
      </c>
      <c r="H198" s="6">
        <f>DAY(Consulta2[[#This Row],[DATA]])</f>
        <v>15</v>
      </c>
      <c r="I198" s="6">
        <f>MONTH(Consulta2[[#This Row],[DATA]])</f>
        <v>7</v>
      </c>
      <c r="J198" t="str">
        <f>CONCATENATE(Consulta2[[#This Row],[SAFRA]],Consulta2[[#This Row],[dia]])</f>
        <v>20240715</v>
      </c>
      <c r="K198">
        <f>Consulta2[[#This Row],[DIA_UTIL_CORRENTE]]</f>
        <v>11</v>
      </c>
    </row>
    <row r="199" spans="1:11" x14ac:dyDescent="0.25">
      <c r="A199">
        <v>202407</v>
      </c>
      <c r="B199">
        <v>12</v>
      </c>
      <c r="C199" s="148">
        <v>45489</v>
      </c>
      <c r="D199">
        <v>23</v>
      </c>
      <c r="E199">
        <v>23</v>
      </c>
      <c r="F199">
        <v>136</v>
      </c>
      <c r="G199">
        <f>Consulta2[[#This Row],[DIA_UTIL_CORRENTE]]</f>
        <v>12</v>
      </c>
      <c r="H199" s="6">
        <f>DAY(Consulta2[[#This Row],[DATA]])</f>
        <v>16</v>
      </c>
      <c r="I199" s="6">
        <f>MONTH(Consulta2[[#This Row],[DATA]])</f>
        <v>7</v>
      </c>
      <c r="J199" t="str">
        <f>CONCATENATE(Consulta2[[#This Row],[SAFRA]],Consulta2[[#This Row],[dia]])</f>
        <v>20240716</v>
      </c>
      <c r="K199">
        <f>Consulta2[[#This Row],[DIA_UTIL_CORRENTE]]</f>
        <v>12</v>
      </c>
    </row>
    <row r="200" spans="1:11" x14ac:dyDescent="0.25">
      <c r="A200">
        <v>202407</v>
      </c>
      <c r="B200">
        <v>13</v>
      </c>
      <c r="C200" s="148">
        <v>45490</v>
      </c>
      <c r="D200">
        <v>23</v>
      </c>
      <c r="E200">
        <v>23</v>
      </c>
      <c r="F200">
        <v>137</v>
      </c>
      <c r="G200">
        <f>Consulta2[[#This Row],[DIA_UTIL_CORRENTE]]</f>
        <v>13</v>
      </c>
      <c r="H200" s="6">
        <f>DAY(Consulta2[[#This Row],[DATA]])</f>
        <v>17</v>
      </c>
      <c r="I200" s="6">
        <f>MONTH(Consulta2[[#This Row],[DATA]])</f>
        <v>7</v>
      </c>
      <c r="J200" t="str">
        <f>CONCATENATE(Consulta2[[#This Row],[SAFRA]],Consulta2[[#This Row],[dia]])</f>
        <v>20240717</v>
      </c>
      <c r="K200">
        <f>Consulta2[[#This Row],[DIA_UTIL_CORRENTE]]</f>
        <v>13</v>
      </c>
    </row>
    <row r="201" spans="1:11" x14ac:dyDescent="0.25">
      <c r="A201">
        <v>202407</v>
      </c>
      <c r="B201">
        <v>14</v>
      </c>
      <c r="C201" s="148">
        <v>45491</v>
      </c>
      <c r="D201">
        <v>23</v>
      </c>
      <c r="E201">
        <v>23</v>
      </c>
      <c r="F201">
        <v>138</v>
      </c>
      <c r="G201">
        <f>Consulta2[[#This Row],[DIA_UTIL_CORRENTE]]</f>
        <v>14</v>
      </c>
      <c r="H201" s="6">
        <f>DAY(Consulta2[[#This Row],[DATA]])</f>
        <v>18</v>
      </c>
      <c r="I201" s="6">
        <f>MONTH(Consulta2[[#This Row],[DATA]])</f>
        <v>7</v>
      </c>
      <c r="J201" t="str">
        <f>CONCATENATE(Consulta2[[#This Row],[SAFRA]],Consulta2[[#This Row],[dia]])</f>
        <v>20240718</v>
      </c>
      <c r="K201">
        <f>Consulta2[[#This Row],[DIA_UTIL_CORRENTE]]</f>
        <v>14</v>
      </c>
    </row>
    <row r="202" spans="1:11" x14ac:dyDescent="0.25">
      <c r="A202">
        <v>202407</v>
      </c>
      <c r="B202">
        <v>15</v>
      </c>
      <c r="C202" s="148">
        <v>45492</v>
      </c>
      <c r="D202">
        <v>23</v>
      </c>
      <c r="E202">
        <v>23</v>
      </c>
      <c r="F202">
        <v>139</v>
      </c>
      <c r="G202">
        <f>Consulta2[[#This Row],[DIA_UTIL_CORRENTE]]</f>
        <v>15</v>
      </c>
      <c r="H202" s="6">
        <f>DAY(Consulta2[[#This Row],[DATA]])</f>
        <v>19</v>
      </c>
      <c r="I202" s="6">
        <f>MONTH(Consulta2[[#This Row],[DATA]])</f>
        <v>7</v>
      </c>
      <c r="J202" t="str">
        <f>CONCATENATE(Consulta2[[#This Row],[SAFRA]],Consulta2[[#This Row],[dia]])</f>
        <v>20240719</v>
      </c>
      <c r="K202">
        <f>Consulta2[[#This Row],[DIA_UTIL_CORRENTE]]</f>
        <v>15</v>
      </c>
    </row>
    <row r="203" spans="1:11" x14ac:dyDescent="0.25">
      <c r="A203">
        <v>202407</v>
      </c>
      <c r="B203">
        <v>15</v>
      </c>
      <c r="C203" s="148">
        <v>45493</v>
      </c>
      <c r="D203">
        <v>23</v>
      </c>
      <c r="E203">
        <v>23</v>
      </c>
      <c r="F203">
        <v>139</v>
      </c>
      <c r="G203">
        <f>Consulta2[[#This Row],[DIA_UTIL_CORRENTE]]</f>
        <v>15</v>
      </c>
      <c r="H203" s="6">
        <f>DAY(Consulta2[[#This Row],[DATA]])</f>
        <v>20</v>
      </c>
      <c r="I203" s="6">
        <f>MONTH(Consulta2[[#This Row],[DATA]])</f>
        <v>7</v>
      </c>
      <c r="J203" t="str">
        <f>CONCATENATE(Consulta2[[#This Row],[SAFRA]],Consulta2[[#This Row],[dia]])</f>
        <v>20240720</v>
      </c>
      <c r="K203">
        <f>Consulta2[[#This Row],[DIA_UTIL_CORRENTE]]</f>
        <v>15</v>
      </c>
    </row>
    <row r="204" spans="1:11" x14ac:dyDescent="0.25">
      <c r="A204">
        <v>202407</v>
      </c>
      <c r="B204">
        <v>15</v>
      </c>
      <c r="C204" s="148">
        <v>45494</v>
      </c>
      <c r="D204">
        <v>23</v>
      </c>
      <c r="E204">
        <v>23</v>
      </c>
      <c r="F204">
        <v>139</v>
      </c>
      <c r="G204">
        <f>Consulta2[[#This Row],[DIA_UTIL_CORRENTE]]</f>
        <v>15</v>
      </c>
      <c r="H204" s="6">
        <f>DAY(Consulta2[[#This Row],[DATA]])</f>
        <v>21</v>
      </c>
      <c r="I204" s="6">
        <f>MONTH(Consulta2[[#This Row],[DATA]])</f>
        <v>7</v>
      </c>
      <c r="J204" t="str">
        <f>CONCATENATE(Consulta2[[#This Row],[SAFRA]],Consulta2[[#This Row],[dia]])</f>
        <v>20240721</v>
      </c>
      <c r="K204">
        <f>Consulta2[[#This Row],[DIA_UTIL_CORRENTE]]</f>
        <v>15</v>
      </c>
    </row>
    <row r="205" spans="1:11" x14ac:dyDescent="0.25">
      <c r="A205">
        <v>202407</v>
      </c>
      <c r="B205">
        <v>16</v>
      </c>
      <c r="C205" s="148">
        <v>45495</v>
      </c>
      <c r="D205">
        <v>23</v>
      </c>
      <c r="E205">
        <v>23</v>
      </c>
      <c r="F205">
        <v>140</v>
      </c>
      <c r="G205">
        <f>Consulta2[[#This Row],[DIA_UTIL_CORRENTE]]</f>
        <v>16</v>
      </c>
      <c r="H205" s="6">
        <f>DAY(Consulta2[[#This Row],[DATA]])</f>
        <v>22</v>
      </c>
      <c r="I205" s="6">
        <f>MONTH(Consulta2[[#This Row],[DATA]])</f>
        <v>7</v>
      </c>
      <c r="J205" t="str">
        <f>CONCATENATE(Consulta2[[#This Row],[SAFRA]],Consulta2[[#This Row],[dia]])</f>
        <v>20240722</v>
      </c>
      <c r="K205">
        <f>Consulta2[[#This Row],[DIA_UTIL_CORRENTE]]</f>
        <v>16</v>
      </c>
    </row>
    <row r="206" spans="1:11" x14ac:dyDescent="0.25">
      <c r="A206">
        <v>202407</v>
      </c>
      <c r="B206">
        <v>17</v>
      </c>
      <c r="C206" s="148">
        <v>45496</v>
      </c>
      <c r="D206">
        <v>23</v>
      </c>
      <c r="E206">
        <v>23</v>
      </c>
      <c r="F206">
        <v>141</v>
      </c>
      <c r="G206">
        <f>Consulta2[[#This Row],[DIA_UTIL_CORRENTE]]</f>
        <v>17</v>
      </c>
      <c r="H206" s="6">
        <f>DAY(Consulta2[[#This Row],[DATA]])</f>
        <v>23</v>
      </c>
      <c r="I206" s="6">
        <f>MONTH(Consulta2[[#This Row],[DATA]])</f>
        <v>7</v>
      </c>
      <c r="J206" t="str">
        <f>CONCATENATE(Consulta2[[#This Row],[SAFRA]],Consulta2[[#This Row],[dia]])</f>
        <v>20240723</v>
      </c>
      <c r="K206">
        <f>Consulta2[[#This Row],[DIA_UTIL_CORRENTE]]</f>
        <v>17</v>
      </c>
    </row>
    <row r="207" spans="1:11" x14ac:dyDescent="0.25">
      <c r="A207">
        <v>202407</v>
      </c>
      <c r="B207">
        <v>18</v>
      </c>
      <c r="C207" s="148">
        <v>45497</v>
      </c>
      <c r="D207">
        <v>23</v>
      </c>
      <c r="E207">
        <v>23</v>
      </c>
      <c r="F207">
        <v>142</v>
      </c>
      <c r="G207">
        <f>Consulta2[[#This Row],[DIA_UTIL_CORRENTE]]</f>
        <v>18</v>
      </c>
      <c r="H207" s="6">
        <f>DAY(Consulta2[[#This Row],[DATA]])</f>
        <v>24</v>
      </c>
      <c r="I207" s="6">
        <f>MONTH(Consulta2[[#This Row],[DATA]])</f>
        <v>7</v>
      </c>
      <c r="J207" t="str">
        <f>CONCATENATE(Consulta2[[#This Row],[SAFRA]],Consulta2[[#This Row],[dia]])</f>
        <v>20240724</v>
      </c>
      <c r="K207">
        <f>Consulta2[[#This Row],[DIA_UTIL_CORRENTE]]</f>
        <v>18</v>
      </c>
    </row>
    <row r="208" spans="1:11" x14ac:dyDescent="0.25">
      <c r="A208">
        <v>202407</v>
      </c>
      <c r="B208">
        <v>19</v>
      </c>
      <c r="C208" s="148">
        <v>45498</v>
      </c>
      <c r="D208">
        <v>23</v>
      </c>
      <c r="E208">
        <v>23</v>
      </c>
      <c r="F208">
        <v>143</v>
      </c>
      <c r="G208">
        <f>Consulta2[[#This Row],[DIA_UTIL_CORRENTE]]</f>
        <v>19</v>
      </c>
      <c r="H208" s="6">
        <f>DAY(Consulta2[[#This Row],[DATA]])</f>
        <v>25</v>
      </c>
      <c r="I208" s="6">
        <f>MONTH(Consulta2[[#This Row],[DATA]])</f>
        <v>7</v>
      </c>
      <c r="J208" t="str">
        <f>CONCATENATE(Consulta2[[#This Row],[SAFRA]],Consulta2[[#This Row],[dia]])</f>
        <v>20240725</v>
      </c>
      <c r="K208">
        <f>Consulta2[[#This Row],[DIA_UTIL_CORRENTE]]</f>
        <v>19</v>
      </c>
    </row>
    <row r="209" spans="1:11" x14ac:dyDescent="0.25">
      <c r="A209">
        <v>202407</v>
      </c>
      <c r="B209">
        <v>20</v>
      </c>
      <c r="C209" s="148">
        <v>45499</v>
      </c>
      <c r="D209">
        <v>23</v>
      </c>
      <c r="E209">
        <v>23</v>
      </c>
      <c r="F209">
        <v>144</v>
      </c>
      <c r="G209">
        <f>Consulta2[[#This Row],[DIA_UTIL_CORRENTE]]</f>
        <v>20</v>
      </c>
      <c r="H209" s="6">
        <f>DAY(Consulta2[[#This Row],[DATA]])</f>
        <v>26</v>
      </c>
      <c r="I209" s="6">
        <f>MONTH(Consulta2[[#This Row],[DATA]])</f>
        <v>7</v>
      </c>
      <c r="J209" t="str">
        <f>CONCATENATE(Consulta2[[#This Row],[SAFRA]],Consulta2[[#This Row],[dia]])</f>
        <v>20240726</v>
      </c>
      <c r="K209">
        <f>Consulta2[[#This Row],[DIA_UTIL_CORRENTE]]</f>
        <v>20</v>
      </c>
    </row>
    <row r="210" spans="1:11" x14ac:dyDescent="0.25">
      <c r="A210">
        <v>202407</v>
      </c>
      <c r="B210">
        <v>20</v>
      </c>
      <c r="C210" s="148">
        <v>45500</v>
      </c>
      <c r="D210">
        <v>23</v>
      </c>
      <c r="E210">
        <v>23</v>
      </c>
      <c r="F210">
        <v>144</v>
      </c>
      <c r="G210">
        <f>Consulta2[[#This Row],[DIA_UTIL_CORRENTE]]</f>
        <v>20</v>
      </c>
      <c r="H210" s="6">
        <f>DAY(Consulta2[[#This Row],[DATA]])</f>
        <v>27</v>
      </c>
      <c r="I210" s="6">
        <f>MONTH(Consulta2[[#This Row],[DATA]])</f>
        <v>7</v>
      </c>
      <c r="J210" t="str">
        <f>CONCATENATE(Consulta2[[#This Row],[SAFRA]],Consulta2[[#This Row],[dia]])</f>
        <v>20240727</v>
      </c>
      <c r="K210">
        <f>Consulta2[[#This Row],[DIA_UTIL_CORRENTE]]</f>
        <v>20</v>
      </c>
    </row>
    <row r="211" spans="1:11" x14ac:dyDescent="0.25">
      <c r="A211">
        <v>202407</v>
      </c>
      <c r="B211">
        <v>20</v>
      </c>
      <c r="C211" s="148">
        <v>45501</v>
      </c>
      <c r="D211">
        <v>23</v>
      </c>
      <c r="E211">
        <v>23</v>
      </c>
      <c r="F211">
        <v>144</v>
      </c>
      <c r="G211">
        <f>Consulta2[[#This Row],[DIA_UTIL_CORRENTE]]</f>
        <v>20</v>
      </c>
      <c r="H211" s="6">
        <f>DAY(Consulta2[[#This Row],[DATA]])</f>
        <v>28</v>
      </c>
      <c r="I211" s="6">
        <f>MONTH(Consulta2[[#This Row],[DATA]])</f>
        <v>7</v>
      </c>
      <c r="J211" t="str">
        <f>CONCATENATE(Consulta2[[#This Row],[SAFRA]],Consulta2[[#This Row],[dia]])</f>
        <v>20240728</v>
      </c>
      <c r="K211">
        <f>Consulta2[[#This Row],[DIA_UTIL_CORRENTE]]</f>
        <v>20</v>
      </c>
    </row>
    <row r="212" spans="1:11" x14ac:dyDescent="0.25">
      <c r="A212">
        <v>202407</v>
      </c>
      <c r="B212">
        <v>21</v>
      </c>
      <c r="C212" s="148">
        <v>45502</v>
      </c>
      <c r="D212">
        <v>23</v>
      </c>
      <c r="E212">
        <v>23</v>
      </c>
      <c r="F212">
        <v>145</v>
      </c>
      <c r="G212">
        <f>Consulta2[[#This Row],[DIA_UTIL_CORRENTE]]</f>
        <v>21</v>
      </c>
      <c r="H212" s="6">
        <f>DAY(Consulta2[[#This Row],[DATA]])</f>
        <v>29</v>
      </c>
      <c r="I212" s="6">
        <f>MONTH(Consulta2[[#This Row],[DATA]])</f>
        <v>7</v>
      </c>
      <c r="J212" t="str">
        <f>CONCATENATE(Consulta2[[#This Row],[SAFRA]],Consulta2[[#This Row],[dia]])</f>
        <v>20240729</v>
      </c>
      <c r="K212">
        <f>Consulta2[[#This Row],[DIA_UTIL_CORRENTE]]</f>
        <v>21</v>
      </c>
    </row>
    <row r="213" spans="1:11" x14ac:dyDescent="0.25">
      <c r="A213">
        <v>202407</v>
      </c>
      <c r="B213">
        <v>22</v>
      </c>
      <c r="C213" s="148">
        <v>45503</v>
      </c>
      <c r="D213">
        <v>23</v>
      </c>
      <c r="E213">
        <v>23</v>
      </c>
      <c r="F213">
        <v>146</v>
      </c>
      <c r="G213">
        <f>Consulta2[[#This Row],[DIA_UTIL_CORRENTE]]</f>
        <v>22</v>
      </c>
      <c r="H213" s="6">
        <f>DAY(Consulta2[[#This Row],[DATA]])</f>
        <v>30</v>
      </c>
      <c r="I213" s="6">
        <f>MONTH(Consulta2[[#This Row],[DATA]])</f>
        <v>7</v>
      </c>
      <c r="J213" t="str">
        <f>CONCATENATE(Consulta2[[#This Row],[SAFRA]],Consulta2[[#This Row],[dia]])</f>
        <v>20240730</v>
      </c>
      <c r="K213">
        <f>Consulta2[[#This Row],[DIA_UTIL_CORRENTE]]</f>
        <v>22</v>
      </c>
    </row>
    <row r="214" spans="1:11" x14ac:dyDescent="0.25">
      <c r="A214">
        <v>202407</v>
      </c>
      <c r="B214">
        <v>23</v>
      </c>
      <c r="C214" s="148">
        <v>45504</v>
      </c>
      <c r="D214">
        <v>23</v>
      </c>
      <c r="E214">
        <v>23</v>
      </c>
      <c r="F214">
        <v>147</v>
      </c>
      <c r="G214">
        <f>Consulta2[[#This Row],[DIA_UTIL_CORRENTE]]</f>
        <v>23</v>
      </c>
      <c r="H214" s="6">
        <f>DAY(Consulta2[[#This Row],[DATA]])</f>
        <v>31</v>
      </c>
      <c r="I214" s="6">
        <f>MONTH(Consulta2[[#This Row],[DATA]])</f>
        <v>7</v>
      </c>
      <c r="J214" t="str">
        <f>CONCATENATE(Consulta2[[#This Row],[SAFRA]],Consulta2[[#This Row],[dia]])</f>
        <v>20240731</v>
      </c>
      <c r="K214">
        <f>Consulta2[[#This Row],[DIA_UTIL_CORRENTE]]</f>
        <v>23</v>
      </c>
    </row>
    <row r="215" spans="1:11" x14ac:dyDescent="0.25">
      <c r="A215">
        <v>202408</v>
      </c>
      <c r="B215">
        <v>1</v>
      </c>
      <c r="C215" s="148">
        <v>45505</v>
      </c>
      <c r="D215">
        <v>22</v>
      </c>
      <c r="E215">
        <v>22</v>
      </c>
      <c r="F215">
        <v>148</v>
      </c>
      <c r="G215">
        <f>Consulta2[[#This Row],[DIA_UTIL_CORRENTE]]</f>
        <v>1</v>
      </c>
      <c r="H215" s="6">
        <f>DAY(Consulta2[[#This Row],[DATA]])</f>
        <v>1</v>
      </c>
      <c r="I215" s="6">
        <f>MONTH(Consulta2[[#This Row],[DATA]])</f>
        <v>8</v>
      </c>
      <c r="J215" t="str">
        <f>CONCATENATE(Consulta2[[#This Row],[SAFRA]],Consulta2[[#This Row],[dia]])</f>
        <v>2024081</v>
      </c>
      <c r="K215">
        <f>Consulta2[[#This Row],[DIA_UTIL_CORRENTE]]</f>
        <v>1</v>
      </c>
    </row>
    <row r="216" spans="1:11" x14ac:dyDescent="0.25">
      <c r="A216">
        <v>202408</v>
      </c>
      <c r="B216">
        <v>2</v>
      </c>
      <c r="C216" s="148">
        <v>45506</v>
      </c>
      <c r="D216">
        <v>22</v>
      </c>
      <c r="E216">
        <v>22</v>
      </c>
      <c r="F216">
        <v>149</v>
      </c>
      <c r="G216">
        <f>Consulta2[[#This Row],[DIA_UTIL_CORRENTE]]</f>
        <v>2</v>
      </c>
      <c r="H216" s="6">
        <f>DAY(Consulta2[[#This Row],[DATA]])</f>
        <v>2</v>
      </c>
      <c r="I216" s="6">
        <f>MONTH(Consulta2[[#This Row],[DATA]])</f>
        <v>8</v>
      </c>
      <c r="J216" t="str">
        <f>CONCATENATE(Consulta2[[#This Row],[SAFRA]],Consulta2[[#This Row],[dia]])</f>
        <v>2024082</v>
      </c>
      <c r="K216">
        <f>Consulta2[[#This Row],[DIA_UTIL_CORRENTE]]</f>
        <v>2</v>
      </c>
    </row>
    <row r="217" spans="1:11" x14ac:dyDescent="0.25">
      <c r="A217">
        <v>202408</v>
      </c>
      <c r="B217">
        <v>2</v>
      </c>
      <c r="C217" s="148">
        <v>45507</v>
      </c>
      <c r="D217">
        <v>22</v>
      </c>
      <c r="E217">
        <v>22</v>
      </c>
      <c r="F217">
        <v>149</v>
      </c>
      <c r="G217">
        <f>Consulta2[[#This Row],[DIA_UTIL_CORRENTE]]</f>
        <v>2</v>
      </c>
      <c r="H217" s="6">
        <f>DAY(Consulta2[[#This Row],[DATA]])</f>
        <v>3</v>
      </c>
      <c r="I217" s="6">
        <f>MONTH(Consulta2[[#This Row],[DATA]])</f>
        <v>8</v>
      </c>
      <c r="J217" t="str">
        <f>CONCATENATE(Consulta2[[#This Row],[SAFRA]],Consulta2[[#This Row],[dia]])</f>
        <v>2024083</v>
      </c>
      <c r="K217">
        <f>Consulta2[[#This Row],[DIA_UTIL_CORRENTE]]</f>
        <v>2</v>
      </c>
    </row>
    <row r="218" spans="1:11" x14ac:dyDescent="0.25">
      <c r="A218">
        <v>202408</v>
      </c>
      <c r="B218">
        <v>2</v>
      </c>
      <c r="C218" s="148">
        <v>45508</v>
      </c>
      <c r="D218">
        <v>22</v>
      </c>
      <c r="E218">
        <v>22</v>
      </c>
      <c r="F218">
        <v>149</v>
      </c>
      <c r="G218">
        <f>Consulta2[[#This Row],[DIA_UTIL_CORRENTE]]</f>
        <v>2</v>
      </c>
      <c r="H218" s="6">
        <f>DAY(Consulta2[[#This Row],[DATA]])</f>
        <v>4</v>
      </c>
      <c r="I218" s="6">
        <f>MONTH(Consulta2[[#This Row],[DATA]])</f>
        <v>8</v>
      </c>
      <c r="J218" t="str">
        <f>CONCATENATE(Consulta2[[#This Row],[SAFRA]],Consulta2[[#This Row],[dia]])</f>
        <v>2024084</v>
      </c>
      <c r="K218">
        <f>Consulta2[[#This Row],[DIA_UTIL_CORRENTE]]</f>
        <v>2</v>
      </c>
    </row>
    <row r="219" spans="1:11" x14ac:dyDescent="0.25">
      <c r="A219">
        <v>202408</v>
      </c>
      <c r="B219">
        <v>3</v>
      </c>
      <c r="C219" s="148">
        <v>45509</v>
      </c>
      <c r="D219">
        <v>22</v>
      </c>
      <c r="E219">
        <v>22</v>
      </c>
      <c r="F219">
        <v>150</v>
      </c>
      <c r="G219">
        <f>Consulta2[[#This Row],[DIA_UTIL_CORRENTE]]</f>
        <v>3</v>
      </c>
      <c r="H219" s="6">
        <f>DAY(Consulta2[[#This Row],[DATA]])</f>
        <v>5</v>
      </c>
      <c r="I219" s="6">
        <f>MONTH(Consulta2[[#This Row],[DATA]])</f>
        <v>8</v>
      </c>
      <c r="J219" t="str">
        <f>CONCATENATE(Consulta2[[#This Row],[SAFRA]],Consulta2[[#This Row],[dia]])</f>
        <v>2024085</v>
      </c>
      <c r="K219">
        <f>Consulta2[[#This Row],[DIA_UTIL_CORRENTE]]</f>
        <v>3</v>
      </c>
    </row>
    <row r="220" spans="1:11" x14ac:dyDescent="0.25">
      <c r="A220">
        <v>202408</v>
      </c>
      <c r="B220">
        <v>4</v>
      </c>
      <c r="C220" s="148">
        <v>45510</v>
      </c>
      <c r="D220">
        <v>22</v>
      </c>
      <c r="E220">
        <v>22</v>
      </c>
      <c r="F220">
        <v>151</v>
      </c>
      <c r="G220">
        <f>Consulta2[[#This Row],[DIA_UTIL_CORRENTE]]</f>
        <v>4</v>
      </c>
      <c r="H220" s="6">
        <f>DAY(Consulta2[[#This Row],[DATA]])</f>
        <v>6</v>
      </c>
      <c r="I220" s="6">
        <f>MONTH(Consulta2[[#This Row],[DATA]])</f>
        <v>8</v>
      </c>
      <c r="J220" t="str">
        <f>CONCATENATE(Consulta2[[#This Row],[SAFRA]],Consulta2[[#This Row],[dia]])</f>
        <v>2024086</v>
      </c>
      <c r="K220">
        <f>Consulta2[[#This Row],[DIA_UTIL_CORRENTE]]</f>
        <v>4</v>
      </c>
    </row>
    <row r="221" spans="1:11" x14ac:dyDescent="0.25">
      <c r="A221">
        <v>202408</v>
      </c>
      <c r="B221">
        <v>5</v>
      </c>
      <c r="C221" s="148">
        <v>45511</v>
      </c>
      <c r="D221">
        <v>22</v>
      </c>
      <c r="E221">
        <v>22</v>
      </c>
      <c r="F221">
        <v>152</v>
      </c>
      <c r="G221">
        <f>Consulta2[[#This Row],[DIA_UTIL_CORRENTE]]</f>
        <v>5</v>
      </c>
      <c r="H221" s="6">
        <f>DAY(Consulta2[[#This Row],[DATA]])</f>
        <v>7</v>
      </c>
      <c r="I221" s="6">
        <f>MONTH(Consulta2[[#This Row],[DATA]])</f>
        <v>8</v>
      </c>
      <c r="J221" t="str">
        <f>CONCATENATE(Consulta2[[#This Row],[SAFRA]],Consulta2[[#This Row],[dia]])</f>
        <v>2024087</v>
      </c>
      <c r="K221">
        <f>Consulta2[[#This Row],[DIA_UTIL_CORRENTE]]</f>
        <v>5</v>
      </c>
    </row>
    <row r="222" spans="1:11" x14ac:dyDescent="0.25">
      <c r="A222">
        <v>202408</v>
      </c>
      <c r="B222">
        <v>6</v>
      </c>
      <c r="C222" s="148">
        <v>45512</v>
      </c>
      <c r="D222">
        <v>22</v>
      </c>
      <c r="E222">
        <v>22</v>
      </c>
      <c r="F222">
        <v>153</v>
      </c>
      <c r="G222">
        <f>Consulta2[[#This Row],[DIA_UTIL_CORRENTE]]</f>
        <v>6</v>
      </c>
      <c r="H222" s="6">
        <f>DAY(Consulta2[[#This Row],[DATA]])</f>
        <v>8</v>
      </c>
      <c r="I222" s="6">
        <f>MONTH(Consulta2[[#This Row],[DATA]])</f>
        <v>8</v>
      </c>
      <c r="J222" t="str">
        <f>CONCATENATE(Consulta2[[#This Row],[SAFRA]],Consulta2[[#This Row],[dia]])</f>
        <v>2024088</v>
      </c>
      <c r="K222">
        <f>Consulta2[[#This Row],[DIA_UTIL_CORRENTE]]</f>
        <v>6</v>
      </c>
    </row>
    <row r="223" spans="1:11" x14ac:dyDescent="0.25">
      <c r="A223">
        <v>202408</v>
      </c>
      <c r="B223">
        <v>7</v>
      </c>
      <c r="C223" s="148">
        <v>45513</v>
      </c>
      <c r="D223">
        <v>22</v>
      </c>
      <c r="E223">
        <v>22</v>
      </c>
      <c r="F223">
        <v>154</v>
      </c>
      <c r="G223">
        <f>Consulta2[[#This Row],[DIA_UTIL_CORRENTE]]</f>
        <v>7</v>
      </c>
      <c r="H223" s="6">
        <f>DAY(Consulta2[[#This Row],[DATA]])</f>
        <v>9</v>
      </c>
      <c r="I223" s="6">
        <f>MONTH(Consulta2[[#This Row],[DATA]])</f>
        <v>8</v>
      </c>
      <c r="J223" t="str">
        <f>CONCATENATE(Consulta2[[#This Row],[SAFRA]],Consulta2[[#This Row],[dia]])</f>
        <v>2024089</v>
      </c>
      <c r="K223">
        <f>Consulta2[[#This Row],[DIA_UTIL_CORRENTE]]</f>
        <v>7</v>
      </c>
    </row>
    <row r="224" spans="1:11" x14ac:dyDescent="0.25">
      <c r="A224">
        <v>202408</v>
      </c>
      <c r="B224">
        <v>7</v>
      </c>
      <c r="C224" s="148">
        <v>45514</v>
      </c>
      <c r="D224">
        <v>22</v>
      </c>
      <c r="E224">
        <v>22</v>
      </c>
      <c r="F224">
        <v>154</v>
      </c>
      <c r="G224">
        <f>Consulta2[[#This Row],[DIA_UTIL_CORRENTE]]</f>
        <v>7</v>
      </c>
      <c r="H224" s="6">
        <f>DAY(Consulta2[[#This Row],[DATA]])</f>
        <v>10</v>
      </c>
      <c r="I224" s="6">
        <f>MONTH(Consulta2[[#This Row],[DATA]])</f>
        <v>8</v>
      </c>
      <c r="J224" t="str">
        <f>CONCATENATE(Consulta2[[#This Row],[SAFRA]],Consulta2[[#This Row],[dia]])</f>
        <v>20240810</v>
      </c>
      <c r="K224">
        <f>Consulta2[[#This Row],[DIA_UTIL_CORRENTE]]</f>
        <v>7</v>
      </c>
    </row>
    <row r="225" spans="1:11" x14ac:dyDescent="0.25">
      <c r="A225">
        <v>202408</v>
      </c>
      <c r="B225">
        <v>7</v>
      </c>
      <c r="C225" s="148">
        <v>45515</v>
      </c>
      <c r="D225">
        <v>22</v>
      </c>
      <c r="E225">
        <v>22</v>
      </c>
      <c r="F225">
        <v>154</v>
      </c>
      <c r="G225">
        <f>Consulta2[[#This Row],[DIA_UTIL_CORRENTE]]</f>
        <v>7</v>
      </c>
      <c r="H225" s="6">
        <f>DAY(Consulta2[[#This Row],[DATA]])</f>
        <v>11</v>
      </c>
      <c r="I225" s="6">
        <f>MONTH(Consulta2[[#This Row],[DATA]])</f>
        <v>8</v>
      </c>
      <c r="J225" t="str">
        <f>CONCATENATE(Consulta2[[#This Row],[SAFRA]],Consulta2[[#This Row],[dia]])</f>
        <v>20240811</v>
      </c>
      <c r="K225">
        <f>Consulta2[[#This Row],[DIA_UTIL_CORRENTE]]</f>
        <v>7</v>
      </c>
    </row>
    <row r="226" spans="1:11" x14ac:dyDescent="0.25">
      <c r="A226">
        <v>202408</v>
      </c>
      <c r="B226">
        <v>8</v>
      </c>
      <c r="C226" s="148">
        <v>45516</v>
      </c>
      <c r="D226">
        <v>22</v>
      </c>
      <c r="E226">
        <v>22</v>
      </c>
      <c r="F226">
        <v>155</v>
      </c>
      <c r="G226">
        <f>Consulta2[[#This Row],[DIA_UTIL_CORRENTE]]</f>
        <v>8</v>
      </c>
      <c r="H226" s="6">
        <f>DAY(Consulta2[[#This Row],[DATA]])</f>
        <v>12</v>
      </c>
      <c r="I226" s="6">
        <f>MONTH(Consulta2[[#This Row],[DATA]])</f>
        <v>8</v>
      </c>
      <c r="J226" t="str">
        <f>CONCATENATE(Consulta2[[#This Row],[SAFRA]],Consulta2[[#This Row],[dia]])</f>
        <v>20240812</v>
      </c>
      <c r="K226">
        <f>Consulta2[[#This Row],[DIA_UTIL_CORRENTE]]</f>
        <v>8</v>
      </c>
    </row>
    <row r="227" spans="1:11" x14ac:dyDescent="0.25">
      <c r="A227">
        <v>202408</v>
      </c>
      <c r="B227">
        <v>9</v>
      </c>
      <c r="C227" s="148">
        <v>45517</v>
      </c>
      <c r="D227">
        <v>22</v>
      </c>
      <c r="E227">
        <v>22</v>
      </c>
      <c r="F227">
        <v>156</v>
      </c>
      <c r="G227">
        <f>Consulta2[[#This Row],[DIA_UTIL_CORRENTE]]</f>
        <v>9</v>
      </c>
      <c r="H227" s="6">
        <f>DAY(Consulta2[[#This Row],[DATA]])</f>
        <v>13</v>
      </c>
      <c r="I227" s="6">
        <f>MONTH(Consulta2[[#This Row],[DATA]])</f>
        <v>8</v>
      </c>
      <c r="J227" t="str">
        <f>CONCATENATE(Consulta2[[#This Row],[SAFRA]],Consulta2[[#This Row],[dia]])</f>
        <v>20240813</v>
      </c>
      <c r="K227">
        <f>Consulta2[[#This Row],[DIA_UTIL_CORRENTE]]</f>
        <v>9</v>
      </c>
    </row>
    <row r="228" spans="1:11" x14ac:dyDescent="0.25">
      <c r="A228">
        <v>202408</v>
      </c>
      <c r="B228">
        <v>10</v>
      </c>
      <c r="C228" s="148">
        <v>45518</v>
      </c>
      <c r="D228">
        <v>22</v>
      </c>
      <c r="E228">
        <v>22</v>
      </c>
      <c r="F228">
        <v>157</v>
      </c>
      <c r="G228">
        <f>Consulta2[[#This Row],[DIA_UTIL_CORRENTE]]</f>
        <v>10</v>
      </c>
      <c r="H228" s="6">
        <f>DAY(Consulta2[[#This Row],[DATA]])</f>
        <v>14</v>
      </c>
      <c r="I228" s="6">
        <f>MONTH(Consulta2[[#This Row],[DATA]])</f>
        <v>8</v>
      </c>
      <c r="J228" t="str">
        <f>CONCATENATE(Consulta2[[#This Row],[SAFRA]],Consulta2[[#This Row],[dia]])</f>
        <v>20240814</v>
      </c>
      <c r="K228">
        <f>Consulta2[[#This Row],[DIA_UTIL_CORRENTE]]</f>
        <v>10</v>
      </c>
    </row>
    <row r="229" spans="1:11" x14ac:dyDescent="0.25">
      <c r="A229">
        <v>202408</v>
      </c>
      <c r="B229">
        <v>11</v>
      </c>
      <c r="C229" s="148">
        <v>45519</v>
      </c>
      <c r="D229">
        <v>22</v>
      </c>
      <c r="E229">
        <v>22</v>
      </c>
      <c r="F229">
        <v>158</v>
      </c>
      <c r="G229">
        <f>Consulta2[[#This Row],[DIA_UTIL_CORRENTE]]</f>
        <v>11</v>
      </c>
      <c r="H229" s="6">
        <f>DAY(Consulta2[[#This Row],[DATA]])</f>
        <v>15</v>
      </c>
      <c r="I229" s="6">
        <f>MONTH(Consulta2[[#This Row],[DATA]])</f>
        <v>8</v>
      </c>
      <c r="J229" t="str">
        <f>CONCATENATE(Consulta2[[#This Row],[SAFRA]],Consulta2[[#This Row],[dia]])</f>
        <v>20240815</v>
      </c>
      <c r="K229">
        <f>Consulta2[[#This Row],[DIA_UTIL_CORRENTE]]</f>
        <v>11</v>
      </c>
    </row>
    <row r="230" spans="1:11" x14ac:dyDescent="0.25">
      <c r="A230">
        <v>202408</v>
      </c>
      <c r="B230">
        <v>12</v>
      </c>
      <c r="C230" s="148">
        <v>45520</v>
      </c>
      <c r="D230">
        <v>22</v>
      </c>
      <c r="E230">
        <v>22</v>
      </c>
      <c r="F230">
        <v>159</v>
      </c>
      <c r="G230">
        <f>Consulta2[[#This Row],[DIA_UTIL_CORRENTE]]</f>
        <v>12</v>
      </c>
      <c r="H230" s="6">
        <f>DAY(Consulta2[[#This Row],[DATA]])</f>
        <v>16</v>
      </c>
      <c r="I230" s="6">
        <f>MONTH(Consulta2[[#This Row],[DATA]])</f>
        <v>8</v>
      </c>
      <c r="J230" t="str">
        <f>CONCATENATE(Consulta2[[#This Row],[SAFRA]],Consulta2[[#This Row],[dia]])</f>
        <v>20240816</v>
      </c>
      <c r="K230">
        <f>Consulta2[[#This Row],[DIA_UTIL_CORRENTE]]</f>
        <v>12</v>
      </c>
    </row>
    <row r="231" spans="1:11" x14ac:dyDescent="0.25">
      <c r="A231">
        <v>202408</v>
      </c>
      <c r="B231">
        <v>12</v>
      </c>
      <c r="C231" s="148">
        <v>45521</v>
      </c>
      <c r="D231">
        <v>22</v>
      </c>
      <c r="E231">
        <v>22</v>
      </c>
      <c r="F231">
        <v>159</v>
      </c>
      <c r="G231">
        <f>Consulta2[[#This Row],[DIA_UTIL_CORRENTE]]</f>
        <v>12</v>
      </c>
      <c r="H231" s="6">
        <f>DAY(Consulta2[[#This Row],[DATA]])</f>
        <v>17</v>
      </c>
      <c r="I231" s="6">
        <f>MONTH(Consulta2[[#This Row],[DATA]])</f>
        <v>8</v>
      </c>
      <c r="J231" t="str">
        <f>CONCATENATE(Consulta2[[#This Row],[SAFRA]],Consulta2[[#This Row],[dia]])</f>
        <v>20240817</v>
      </c>
      <c r="K231">
        <f>Consulta2[[#This Row],[DIA_UTIL_CORRENTE]]</f>
        <v>12</v>
      </c>
    </row>
    <row r="232" spans="1:11" x14ac:dyDescent="0.25">
      <c r="A232">
        <v>202408</v>
      </c>
      <c r="B232">
        <v>12</v>
      </c>
      <c r="C232" s="148">
        <v>45522</v>
      </c>
      <c r="D232">
        <v>22</v>
      </c>
      <c r="E232">
        <v>22</v>
      </c>
      <c r="F232">
        <v>159</v>
      </c>
      <c r="G232">
        <f>Consulta2[[#This Row],[DIA_UTIL_CORRENTE]]</f>
        <v>12</v>
      </c>
      <c r="H232" s="6">
        <f>DAY(Consulta2[[#This Row],[DATA]])</f>
        <v>18</v>
      </c>
      <c r="I232" s="6">
        <f>MONTH(Consulta2[[#This Row],[DATA]])</f>
        <v>8</v>
      </c>
      <c r="J232" t="str">
        <f>CONCATENATE(Consulta2[[#This Row],[SAFRA]],Consulta2[[#This Row],[dia]])</f>
        <v>20240818</v>
      </c>
      <c r="K232">
        <f>Consulta2[[#This Row],[DIA_UTIL_CORRENTE]]</f>
        <v>12</v>
      </c>
    </row>
    <row r="233" spans="1:11" x14ac:dyDescent="0.25">
      <c r="A233">
        <v>202408</v>
      </c>
      <c r="B233">
        <v>13</v>
      </c>
      <c r="C233" s="148">
        <v>45523</v>
      </c>
      <c r="D233">
        <v>22</v>
      </c>
      <c r="E233">
        <v>22</v>
      </c>
      <c r="F233">
        <v>160</v>
      </c>
      <c r="G233">
        <f>Consulta2[[#This Row],[DIA_UTIL_CORRENTE]]</f>
        <v>13</v>
      </c>
      <c r="H233" s="6">
        <f>DAY(Consulta2[[#This Row],[DATA]])</f>
        <v>19</v>
      </c>
      <c r="I233" s="6">
        <f>MONTH(Consulta2[[#This Row],[DATA]])</f>
        <v>8</v>
      </c>
      <c r="J233" t="str">
        <f>CONCATENATE(Consulta2[[#This Row],[SAFRA]],Consulta2[[#This Row],[dia]])</f>
        <v>20240819</v>
      </c>
      <c r="K233">
        <f>Consulta2[[#This Row],[DIA_UTIL_CORRENTE]]</f>
        <v>13</v>
      </c>
    </row>
    <row r="234" spans="1:11" x14ac:dyDescent="0.25">
      <c r="A234">
        <v>202408</v>
      </c>
      <c r="B234">
        <v>14</v>
      </c>
      <c r="C234" s="148">
        <v>45524</v>
      </c>
      <c r="D234">
        <v>22</v>
      </c>
      <c r="E234">
        <v>22</v>
      </c>
      <c r="F234">
        <v>161</v>
      </c>
      <c r="G234">
        <f>Consulta2[[#This Row],[DIA_UTIL_CORRENTE]]</f>
        <v>14</v>
      </c>
      <c r="H234" s="6">
        <f>DAY(Consulta2[[#This Row],[DATA]])</f>
        <v>20</v>
      </c>
      <c r="I234" s="6">
        <f>MONTH(Consulta2[[#This Row],[DATA]])</f>
        <v>8</v>
      </c>
      <c r="J234" t="str">
        <f>CONCATENATE(Consulta2[[#This Row],[SAFRA]],Consulta2[[#This Row],[dia]])</f>
        <v>20240820</v>
      </c>
      <c r="K234">
        <f>Consulta2[[#This Row],[DIA_UTIL_CORRENTE]]</f>
        <v>14</v>
      </c>
    </row>
    <row r="235" spans="1:11" x14ac:dyDescent="0.25">
      <c r="A235">
        <v>202408</v>
      </c>
      <c r="B235">
        <v>15</v>
      </c>
      <c r="C235" s="148">
        <v>45525</v>
      </c>
      <c r="D235">
        <v>22</v>
      </c>
      <c r="E235">
        <v>22</v>
      </c>
      <c r="F235">
        <v>162</v>
      </c>
      <c r="G235">
        <f>Consulta2[[#This Row],[DIA_UTIL_CORRENTE]]</f>
        <v>15</v>
      </c>
      <c r="H235" s="6">
        <f>DAY(Consulta2[[#This Row],[DATA]])</f>
        <v>21</v>
      </c>
      <c r="I235" s="6">
        <f>MONTH(Consulta2[[#This Row],[DATA]])</f>
        <v>8</v>
      </c>
      <c r="J235" t="str">
        <f>CONCATENATE(Consulta2[[#This Row],[SAFRA]],Consulta2[[#This Row],[dia]])</f>
        <v>20240821</v>
      </c>
      <c r="K235">
        <f>Consulta2[[#This Row],[DIA_UTIL_CORRENTE]]</f>
        <v>15</v>
      </c>
    </row>
    <row r="236" spans="1:11" x14ac:dyDescent="0.25">
      <c r="A236">
        <v>202408</v>
      </c>
      <c r="B236">
        <v>16</v>
      </c>
      <c r="C236" s="148">
        <v>45526</v>
      </c>
      <c r="D236">
        <v>22</v>
      </c>
      <c r="E236">
        <v>22</v>
      </c>
      <c r="F236">
        <v>163</v>
      </c>
      <c r="G236">
        <f>Consulta2[[#This Row],[DIA_UTIL_CORRENTE]]</f>
        <v>16</v>
      </c>
      <c r="H236" s="6">
        <f>DAY(Consulta2[[#This Row],[DATA]])</f>
        <v>22</v>
      </c>
      <c r="I236" s="6">
        <f>MONTH(Consulta2[[#This Row],[DATA]])</f>
        <v>8</v>
      </c>
      <c r="J236" t="str">
        <f>CONCATENATE(Consulta2[[#This Row],[SAFRA]],Consulta2[[#This Row],[dia]])</f>
        <v>20240822</v>
      </c>
      <c r="K236">
        <f>Consulta2[[#This Row],[DIA_UTIL_CORRENTE]]</f>
        <v>16</v>
      </c>
    </row>
    <row r="237" spans="1:11" x14ac:dyDescent="0.25">
      <c r="A237">
        <v>202408</v>
      </c>
      <c r="B237">
        <v>17</v>
      </c>
      <c r="C237" s="148">
        <v>45527</v>
      </c>
      <c r="D237">
        <v>22</v>
      </c>
      <c r="E237">
        <v>22</v>
      </c>
      <c r="F237">
        <v>164</v>
      </c>
      <c r="G237">
        <f>Consulta2[[#This Row],[DIA_UTIL_CORRENTE]]</f>
        <v>17</v>
      </c>
      <c r="H237" s="6">
        <f>DAY(Consulta2[[#This Row],[DATA]])</f>
        <v>23</v>
      </c>
      <c r="I237" s="6">
        <f>MONTH(Consulta2[[#This Row],[DATA]])</f>
        <v>8</v>
      </c>
      <c r="J237" t="str">
        <f>CONCATENATE(Consulta2[[#This Row],[SAFRA]],Consulta2[[#This Row],[dia]])</f>
        <v>20240823</v>
      </c>
      <c r="K237">
        <f>Consulta2[[#This Row],[DIA_UTIL_CORRENTE]]</f>
        <v>17</v>
      </c>
    </row>
    <row r="238" spans="1:11" x14ac:dyDescent="0.25">
      <c r="A238">
        <v>202408</v>
      </c>
      <c r="B238">
        <v>17</v>
      </c>
      <c r="C238" s="148">
        <v>45528</v>
      </c>
      <c r="D238">
        <v>22</v>
      </c>
      <c r="E238">
        <v>22</v>
      </c>
      <c r="F238">
        <v>164</v>
      </c>
      <c r="G238">
        <f>Consulta2[[#This Row],[DIA_UTIL_CORRENTE]]</f>
        <v>17</v>
      </c>
      <c r="H238" s="6">
        <f>DAY(Consulta2[[#This Row],[DATA]])</f>
        <v>24</v>
      </c>
      <c r="I238" s="6">
        <f>MONTH(Consulta2[[#This Row],[DATA]])</f>
        <v>8</v>
      </c>
      <c r="J238" t="str">
        <f>CONCATENATE(Consulta2[[#This Row],[SAFRA]],Consulta2[[#This Row],[dia]])</f>
        <v>20240824</v>
      </c>
      <c r="K238">
        <f>Consulta2[[#This Row],[DIA_UTIL_CORRENTE]]</f>
        <v>17</v>
      </c>
    </row>
    <row r="239" spans="1:11" x14ac:dyDescent="0.25">
      <c r="A239">
        <v>202408</v>
      </c>
      <c r="B239">
        <v>17</v>
      </c>
      <c r="C239" s="148">
        <v>45529</v>
      </c>
      <c r="D239">
        <v>22</v>
      </c>
      <c r="E239">
        <v>22</v>
      </c>
      <c r="F239">
        <v>164</v>
      </c>
      <c r="G239">
        <f>Consulta2[[#This Row],[DIA_UTIL_CORRENTE]]</f>
        <v>17</v>
      </c>
      <c r="H239" s="6">
        <f>DAY(Consulta2[[#This Row],[DATA]])</f>
        <v>25</v>
      </c>
      <c r="I239" s="6">
        <f>MONTH(Consulta2[[#This Row],[DATA]])</f>
        <v>8</v>
      </c>
      <c r="J239" t="str">
        <f>CONCATENATE(Consulta2[[#This Row],[SAFRA]],Consulta2[[#This Row],[dia]])</f>
        <v>20240825</v>
      </c>
      <c r="K239">
        <f>Consulta2[[#This Row],[DIA_UTIL_CORRENTE]]</f>
        <v>17</v>
      </c>
    </row>
    <row r="240" spans="1:11" x14ac:dyDescent="0.25">
      <c r="A240">
        <v>202408</v>
      </c>
      <c r="B240">
        <v>18</v>
      </c>
      <c r="C240" s="148">
        <v>45530</v>
      </c>
      <c r="D240">
        <v>22</v>
      </c>
      <c r="E240">
        <v>22</v>
      </c>
      <c r="F240">
        <v>165</v>
      </c>
      <c r="G240">
        <f>Consulta2[[#This Row],[DIA_UTIL_CORRENTE]]</f>
        <v>18</v>
      </c>
      <c r="H240" s="6">
        <f>DAY(Consulta2[[#This Row],[DATA]])</f>
        <v>26</v>
      </c>
      <c r="I240" s="6">
        <f>MONTH(Consulta2[[#This Row],[DATA]])</f>
        <v>8</v>
      </c>
      <c r="J240" t="str">
        <f>CONCATENATE(Consulta2[[#This Row],[SAFRA]],Consulta2[[#This Row],[dia]])</f>
        <v>20240826</v>
      </c>
      <c r="K240">
        <f>Consulta2[[#This Row],[DIA_UTIL_CORRENTE]]</f>
        <v>18</v>
      </c>
    </row>
    <row r="241" spans="1:11" x14ac:dyDescent="0.25">
      <c r="A241">
        <v>202408</v>
      </c>
      <c r="B241">
        <v>19</v>
      </c>
      <c r="C241" s="148">
        <v>45531</v>
      </c>
      <c r="D241">
        <v>22</v>
      </c>
      <c r="E241">
        <v>22</v>
      </c>
      <c r="F241">
        <v>166</v>
      </c>
      <c r="G241">
        <f>Consulta2[[#This Row],[DIA_UTIL_CORRENTE]]</f>
        <v>19</v>
      </c>
      <c r="H241" s="6">
        <f>DAY(Consulta2[[#This Row],[DATA]])</f>
        <v>27</v>
      </c>
      <c r="I241" s="6">
        <f>MONTH(Consulta2[[#This Row],[DATA]])</f>
        <v>8</v>
      </c>
      <c r="J241" t="str">
        <f>CONCATENATE(Consulta2[[#This Row],[SAFRA]],Consulta2[[#This Row],[dia]])</f>
        <v>20240827</v>
      </c>
      <c r="K241">
        <f>Consulta2[[#This Row],[DIA_UTIL_CORRENTE]]</f>
        <v>19</v>
      </c>
    </row>
    <row r="242" spans="1:11" x14ac:dyDescent="0.25">
      <c r="A242">
        <v>202408</v>
      </c>
      <c r="B242">
        <v>20</v>
      </c>
      <c r="C242" s="148">
        <v>45532</v>
      </c>
      <c r="D242">
        <v>22</v>
      </c>
      <c r="E242">
        <v>22</v>
      </c>
      <c r="F242">
        <v>167</v>
      </c>
      <c r="G242">
        <f>Consulta2[[#This Row],[DIA_UTIL_CORRENTE]]</f>
        <v>20</v>
      </c>
      <c r="H242" s="6">
        <f>DAY(Consulta2[[#This Row],[DATA]])</f>
        <v>28</v>
      </c>
      <c r="I242" s="6">
        <f>MONTH(Consulta2[[#This Row],[DATA]])</f>
        <v>8</v>
      </c>
      <c r="J242" t="str">
        <f>CONCATENATE(Consulta2[[#This Row],[SAFRA]],Consulta2[[#This Row],[dia]])</f>
        <v>20240828</v>
      </c>
      <c r="K242">
        <f>Consulta2[[#This Row],[DIA_UTIL_CORRENTE]]</f>
        <v>20</v>
      </c>
    </row>
    <row r="243" spans="1:11" x14ac:dyDescent="0.25">
      <c r="A243">
        <v>202408</v>
      </c>
      <c r="B243">
        <v>21</v>
      </c>
      <c r="C243" s="148">
        <v>45533</v>
      </c>
      <c r="D243">
        <v>22</v>
      </c>
      <c r="E243">
        <v>22</v>
      </c>
      <c r="F243">
        <v>168</v>
      </c>
      <c r="G243">
        <f>Consulta2[[#This Row],[DIA_UTIL_CORRENTE]]</f>
        <v>21</v>
      </c>
      <c r="H243" s="6">
        <f>DAY(Consulta2[[#This Row],[DATA]])</f>
        <v>29</v>
      </c>
      <c r="I243" s="6">
        <f>MONTH(Consulta2[[#This Row],[DATA]])</f>
        <v>8</v>
      </c>
      <c r="J243" t="str">
        <f>CONCATENATE(Consulta2[[#This Row],[SAFRA]],Consulta2[[#This Row],[dia]])</f>
        <v>20240829</v>
      </c>
      <c r="K243">
        <f>Consulta2[[#This Row],[DIA_UTIL_CORRENTE]]</f>
        <v>21</v>
      </c>
    </row>
    <row r="244" spans="1:11" x14ac:dyDescent="0.25">
      <c r="A244">
        <v>202408</v>
      </c>
      <c r="B244">
        <v>22</v>
      </c>
      <c r="C244" s="148">
        <v>45534</v>
      </c>
      <c r="D244">
        <v>22</v>
      </c>
      <c r="E244">
        <v>22</v>
      </c>
      <c r="F244">
        <v>169</v>
      </c>
      <c r="G244">
        <f>Consulta2[[#This Row],[DIA_UTIL_CORRENTE]]</f>
        <v>22</v>
      </c>
      <c r="H244" s="6">
        <f>DAY(Consulta2[[#This Row],[DATA]])</f>
        <v>30</v>
      </c>
      <c r="I244" s="6">
        <f>MONTH(Consulta2[[#This Row],[DATA]])</f>
        <v>8</v>
      </c>
      <c r="J244" t="str">
        <f>CONCATENATE(Consulta2[[#This Row],[SAFRA]],Consulta2[[#This Row],[dia]])</f>
        <v>20240830</v>
      </c>
      <c r="K244">
        <f>Consulta2[[#This Row],[DIA_UTIL_CORRENTE]]</f>
        <v>22</v>
      </c>
    </row>
    <row r="245" spans="1:11" x14ac:dyDescent="0.25">
      <c r="A245">
        <v>202408</v>
      </c>
      <c r="B245">
        <v>22</v>
      </c>
      <c r="C245" s="148">
        <v>45535</v>
      </c>
      <c r="D245">
        <v>22</v>
      </c>
      <c r="E245">
        <v>22</v>
      </c>
      <c r="F245">
        <v>169</v>
      </c>
      <c r="G245">
        <f>Consulta2[[#This Row],[DIA_UTIL_CORRENTE]]</f>
        <v>22</v>
      </c>
      <c r="H245" s="6">
        <f>DAY(Consulta2[[#This Row],[DATA]])</f>
        <v>31</v>
      </c>
      <c r="I245" s="6">
        <f>MONTH(Consulta2[[#This Row],[DATA]])</f>
        <v>8</v>
      </c>
      <c r="J245" t="str">
        <f>CONCATENATE(Consulta2[[#This Row],[SAFRA]],Consulta2[[#This Row],[dia]])</f>
        <v>20240831</v>
      </c>
      <c r="K245">
        <f>Consulta2[[#This Row],[DIA_UTIL_CORRENTE]]</f>
        <v>22</v>
      </c>
    </row>
    <row r="246" spans="1:11" x14ac:dyDescent="0.25">
      <c r="A246">
        <v>202409</v>
      </c>
      <c r="B246">
        <v>0</v>
      </c>
      <c r="C246" s="148">
        <v>45536</v>
      </c>
      <c r="D246">
        <v>21</v>
      </c>
      <c r="E246">
        <v>21</v>
      </c>
      <c r="F246">
        <v>169</v>
      </c>
      <c r="G246">
        <f>Consulta2[[#This Row],[DIA_UTIL_CORRENTE]]</f>
        <v>0</v>
      </c>
      <c r="H246" s="6">
        <f>DAY(Consulta2[[#This Row],[DATA]])</f>
        <v>1</v>
      </c>
      <c r="I246" s="6">
        <f>MONTH(Consulta2[[#This Row],[DATA]])</f>
        <v>9</v>
      </c>
      <c r="J246" t="str">
        <f>CONCATENATE(Consulta2[[#This Row],[SAFRA]],Consulta2[[#This Row],[dia]])</f>
        <v>2024091</v>
      </c>
      <c r="K246">
        <f>Consulta2[[#This Row],[DIA_UTIL_CORRENTE]]</f>
        <v>0</v>
      </c>
    </row>
    <row r="247" spans="1:11" x14ac:dyDescent="0.25">
      <c r="A247">
        <v>202409</v>
      </c>
      <c r="B247">
        <v>1</v>
      </c>
      <c r="C247" s="148">
        <v>45537</v>
      </c>
      <c r="D247">
        <v>21</v>
      </c>
      <c r="E247">
        <v>21</v>
      </c>
      <c r="F247">
        <v>170</v>
      </c>
      <c r="G247">
        <f>Consulta2[[#This Row],[DIA_UTIL_CORRENTE]]</f>
        <v>1</v>
      </c>
      <c r="H247" s="6">
        <f>DAY(Consulta2[[#This Row],[DATA]])</f>
        <v>2</v>
      </c>
      <c r="I247" s="6">
        <f>MONTH(Consulta2[[#This Row],[DATA]])</f>
        <v>9</v>
      </c>
      <c r="J247" t="str">
        <f>CONCATENATE(Consulta2[[#This Row],[SAFRA]],Consulta2[[#This Row],[dia]])</f>
        <v>2024092</v>
      </c>
      <c r="K247">
        <f>Consulta2[[#This Row],[DIA_UTIL_CORRENTE]]</f>
        <v>1</v>
      </c>
    </row>
    <row r="248" spans="1:11" x14ac:dyDescent="0.25">
      <c r="A248">
        <v>202409</v>
      </c>
      <c r="B248">
        <v>2</v>
      </c>
      <c r="C248" s="148">
        <v>45538</v>
      </c>
      <c r="D248">
        <v>21</v>
      </c>
      <c r="E248">
        <v>21</v>
      </c>
      <c r="F248">
        <v>171</v>
      </c>
      <c r="G248">
        <f>Consulta2[[#This Row],[DIA_UTIL_CORRENTE]]</f>
        <v>2</v>
      </c>
      <c r="H248" s="6">
        <f>DAY(Consulta2[[#This Row],[DATA]])</f>
        <v>3</v>
      </c>
      <c r="I248" s="6">
        <f>MONTH(Consulta2[[#This Row],[DATA]])</f>
        <v>9</v>
      </c>
      <c r="J248" t="str">
        <f>CONCATENATE(Consulta2[[#This Row],[SAFRA]],Consulta2[[#This Row],[dia]])</f>
        <v>2024093</v>
      </c>
      <c r="K248">
        <f>Consulta2[[#This Row],[DIA_UTIL_CORRENTE]]</f>
        <v>2</v>
      </c>
    </row>
    <row r="249" spans="1:11" x14ac:dyDescent="0.25">
      <c r="A249">
        <v>202409</v>
      </c>
      <c r="B249">
        <v>3</v>
      </c>
      <c r="C249" s="148">
        <v>45539</v>
      </c>
      <c r="D249">
        <v>21</v>
      </c>
      <c r="E249">
        <v>21</v>
      </c>
      <c r="F249">
        <v>172</v>
      </c>
      <c r="G249">
        <f>Consulta2[[#This Row],[DIA_UTIL_CORRENTE]]</f>
        <v>3</v>
      </c>
      <c r="H249" s="6">
        <f>DAY(Consulta2[[#This Row],[DATA]])</f>
        <v>4</v>
      </c>
      <c r="I249" s="6">
        <f>MONTH(Consulta2[[#This Row],[DATA]])</f>
        <v>9</v>
      </c>
      <c r="J249" t="str">
        <f>CONCATENATE(Consulta2[[#This Row],[SAFRA]],Consulta2[[#This Row],[dia]])</f>
        <v>2024094</v>
      </c>
      <c r="K249">
        <f>Consulta2[[#This Row],[DIA_UTIL_CORRENTE]]</f>
        <v>3</v>
      </c>
    </row>
    <row r="250" spans="1:11" x14ac:dyDescent="0.25">
      <c r="A250">
        <v>202409</v>
      </c>
      <c r="B250">
        <v>4</v>
      </c>
      <c r="C250" s="148">
        <v>45540</v>
      </c>
      <c r="D250">
        <v>21</v>
      </c>
      <c r="E250">
        <v>21</v>
      </c>
      <c r="F250">
        <v>173</v>
      </c>
      <c r="G250">
        <f>Consulta2[[#This Row],[DIA_UTIL_CORRENTE]]</f>
        <v>4</v>
      </c>
      <c r="H250" s="6">
        <f>DAY(Consulta2[[#This Row],[DATA]])</f>
        <v>5</v>
      </c>
      <c r="I250" s="6">
        <f>MONTH(Consulta2[[#This Row],[DATA]])</f>
        <v>9</v>
      </c>
      <c r="J250" t="str">
        <f>CONCATENATE(Consulta2[[#This Row],[SAFRA]],Consulta2[[#This Row],[dia]])</f>
        <v>2024095</v>
      </c>
      <c r="K250">
        <f>Consulta2[[#This Row],[DIA_UTIL_CORRENTE]]</f>
        <v>4</v>
      </c>
    </row>
    <row r="251" spans="1:11" x14ac:dyDescent="0.25">
      <c r="A251">
        <v>202409</v>
      </c>
      <c r="B251">
        <v>5</v>
      </c>
      <c r="C251" s="148">
        <v>45541</v>
      </c>
      <c r="D251">
        <v>21</v>
      </c>
      <c r="E251">
        <v>21</v>
      </c>
      <c r="F251">
        <v>174</v>
      </c>
      <c r="G251">
        <f>Consulta2[[#This Row],[DIA_UTIL_CORRENTE]]</f>
        <v>5</v>
      </c>
      <c r="H251" s="6">
        <f>DAY(Consulta2[[#This Row],[DATA]])</f>
        <v>6</v>
      </c>
      <c r="I251" s="6">
        <f>MONTH(Consulta2[[#This Row],[DATA]])</f>
        <v>9</v>
      </c>
      <c r="J251" t="str">
        <f>CONCATENATE(Consulta2[[#This Row],[SAFRA]],Consulta2[[#This Row],[dia]])</f>
        <v>2024096</v>
      </c>
      <c r="K251">
        <f>Consulta2[[#This Row],[DIA_UTIL_CORRENTE]]</f>
        <v>5</v>
      </c>
    </row>
    <row r="252" spans="1:11" x14ac:dyDescent="0.25">
      <c r="A252">
        <v>202409</v>
      </c>
      <c r="B252">
        <v>5</v>
      </c>
      <c r="C252" s="148">
        <v>45542</v>
      </c>
      <c r="D252">
        <v>21</v>
      </c>
      <c r="E252">
        <v>21</v>
      </c>
      <c r="F252">
        <v>174</v>
      </c>
      <c r="G252">
        <f>Consulta2[[#This Row],[DIA_UTIL_CORRENTE]]</f>
        <v>5</v>
      </c>
      <c r="H252" s="6">
        <f>DAY(Consulta2[[#This Row],[DATA]])</f>
        <v>7</v>
      </c>
      <c r="I252" s="6">
        <f>MONTH(Consulta2[[#This Row],[DATA]])</f>
        <v>9</v>
      </c>
      <c r="J252" t="str">
        <f>CONCATENATE(Consulta2[[#This Row],[SAFRA]],Consulta2[[#This Row],[dia]])</f>
        <v>2024097</v>
      </c>
      <c r="K252">
        <f>Consulta2[[#This Row],[DIA_UTIL_CORRENTE]]</f>
        <v>5</v>
      </c>
    </row>
    <row r="253" spans="1:11" x14ac:dyDescent="0.25">
      <c r="A253">
        <v>202409</v>
      </c>
      <c r="B253">
        <v>5</v>
      </c>
      <c r="C253" s="148">
        <v>45543</v>
      </c>
      <c r="D253">
        <v>21</v>
      </c>
      <c r="E253">
        <v>21</v>
      </c>
      <c r="F253">
        <v>174</v>
      </c>
      <c r="G253">
        <f>Consulta2[[#This Row],[DIA_UTIL_CORRENTE]]</f>
        <v>5</v>
      </c>
      <c r="H253" s="6">
        <f>DAY(Consulta2[[#This Row],[DATA]])</f>
        <v>8</v>
      </c>
      <c r="I253" s="6">
        <f>MONTH(Consulta2[[#This Row],[DATA]])</f>
        <v>9</v>
      </c>
      <c r="J253" t="str">
        <f>CONCATENATE(Consulta2[[#This Row],[SAFRA]],Consulta2[[#This Row],[dia]])</f>
        <v>2024098</v>
      </c>
      <c r="K253">
        <f>Consulta2[[#This Row],[DIA_UTIL_CORRENTE]]</f>
        <v>5</v>
      </c>
    </row>
    <row r="254" spans="1:11" x14ac:dyDescent="0.25">
      <c r="A254">
        <v>202409</v>
      </c>
      <c r="B254">
        <v>6</v>
      </c>
      <c r="C254" s="148">
        <v>45544</v>
      </c>
      <c r="D254">
        <v>21</v>
      </c>
      <c r="E254">
        <v>21</v>
      </c>
      <c r="F254">
        <v>175</v>
      </c>
      <c r="G254">
        <f>Consulta2[[#This Row],[DIA_UTIL_CORRENTE]]</f>
        <v>6</v>
      </c>
      <c r="H254" s="6">
        <f>DAY(Consulta2[[#This Row],[DATA]])</f>
        <v>9</v>
      </c>
      <c r="I254" s="6">
        <f>MONTH(Consulta2[[#This Row],[DATA]])</f>
        <v>9</v>
      </c>
      <c r="J254" t="str">
        <f>CONCATENATE(Consulta2[[#This Row],[SAFRA]],Consulta2[[#This Row],[dia]])</f>
        <v>2024099</v>
      </c>
      <c r="K254">
        <f>Consulta2[[#This Row],[DIA_UTIL_CORRENTE]]</f>
        <v>6</v>
      </c>
    </row>
    <row r="255" spans="1:11" x14ac:dyDescent="0.25">
      <c r="A255">
        <v>202409</v>
      </c>
      <c r="B255">
        <v>7</v>
      </c>
      <c r="C255" s="148">
        <v>45545</v>
      </c>
      <c r="D255">
        <v>21</v>
      </c>
      <c r="E255">
        <v>21</v>
      </c>
      <c r="F255">
        <v>176</v>
      </c>
      <c r="G255">
        <f>Consulta2[[#This Row],[DIA_UTIL_CORRENTE]]</f>
        <v>7</v>
      </c>
      <c r="H255" s="6">
        <f>DAY(Consulta2[[#This Row],[DATA]])</f>
        <v>10</v>
      </c>
      <c r="I255" s="6">
        <f>MONTH(Consulta2[[#This Row],[DATA]])</f>
        <v>9</v>
      </c>
      <c r="J255" t="str">
        <f>CONCATENATE(Consulta2[[#This Row],[SAFRA]],Consulta2[[#This Row],[dia]])</f>
        <v>20240910</v>
      </c>
      <c r="K255">
        <f>Consulta2[[#This Row],[DIA_UTIL_CORRENTE]]</f>
        <v>7</v>
      </c>
    </row>
    <row r="256" spans="1:11" x14ac:dyDescent="0.25">
      <c r="A256">
        <v>202409</v>
      </c>
      <c r="B256">
        <v>8</v>
      </c>
      <c r="C256" s="148">
        <v>45546</v>
      </c>
      <c r="D256">
        <v>21</v>
      </c>
      <c r="E256">
        <v>21</v>
      </c>
      <c r="F256">
        <v>177</v>
      </c>
      <c r="G256">
        <f>Consulta2[[#This Row],[DIA_UTIL_CORRENTE]]</f>
        <v>8</v>
      </c>
      <c r="H256" s="6">
        <f>DAY(Consulta2[[#This Row],[DATA]])</f>
        <v>11</v>
      </c>
      <c r="I256" s="6">
        <f>MONTH(Consulta2[[#This Row],[DATA]])</f>
        <v>9</v>
      </c>
      <c r="J256" t="str">
        <f>CONCATENATE(Consulta2[[#This Row],[SAFRA]],Consulta2[[#This Row],[dia]])</f>
        <v>20240911</v>
      </c>
      <c r="K256">
        <f>Consulta2[[#This Row],[DIA_UTIL_CORRENTE]]</f>
        <v>8</v>
      </c>
    </row>
    <row r="257" spans="1:11" x14ac:dyDescent="0.25">
      <c r="A257">
        <v>202409</v>
      </c>
      <c r="B257">
        <v>9</v>
      </c>
      <c r="C257" s="148">
        <v>45547</v>
      </c>
      <c r="D257">
        <v>21</v>
      </c>
      <c r="E257">
        <v>21</v>
      </c>
      <c r="F257">
        <v>178</v>
      </c>
      <c r="G257">
        <f>Consulta2[[#This Row],[DIA_UTIL_CORRENTE]]</f>
        <v>9</v>
      </c>
      <c r="H257" s="6">
        <f>DAY(Consulta2[[#This Row],[DATA]])</f>
        <v>12</v>
      </c>
      <c r="I257" s="6">
        <f>MONTH(Consulta2[[#This Row],[DATA]])</f>
        <v>9</v>
      </c>
      <c r="J257" t="str">
        <f>CONCATENATE(Consulta2[[#This Row],[SAFRA]],Consulta2[[#This Row],[dia]])</f>
        <v>20240912</v>
      </c>
      <c r="K257">
        <f>Consulta2[[#This Row],[DIA_UTIL_CORRENTE]]</f>
        <v>9</v>
      </c>
    </row>
    <row r="258" spans="1:11" x14ac:dyDescent="0.25">
      <c r="A258">
        <v>202409</v>
      </c>
      <c r="B258">
        <v>10</v>
      </c>
      <c r="C258" s="148">
        <v>45548</v>
      </c>
      <c r="D258">
        <v>21</v>
      </c>
      <c r="E258">
        <v>21</v>
      </c>
      <c r="F258">
        <v>179</v>
      </c>
      <c r="G258">
        <f>Consulta2[[#This Row],[DIA_UTIL_CORRENTE]]</f>
        <v>10</v>
      </c>
      <c r="H258" s="6">
        <f>DAY(Consulta2[[#This Row],[DATA]])</f>
        <v>13</v>
      </c>
      <c r="I258" s="6">
        <f>MONTH(Consulta2[[#This Row],[DATA]])</f>
        <v>9</v>
      </c>
      <c r="J258" t="str">
        <f>CONCATENATE(Consulta2[[#This Row],[SAFRA]],Consulta2[[#This Row],[dia]])</f>
        <v>20240913</v>
      </c>
      <c r="K258">
        <f>Consulta2[[#This Row],[DIA_UTIL_CORRENTE]]</f>
        <v>10</v>
      </c>
    </row>
    <row r="259" spans="1:11" x14ac:dyDescent="0.25">
      <c r="A259">
        <v>202409</v>
      </c>
      <c r="B259">
        <v>10</v>
      </c>
      <c r="C259" s="148">
        <v>45549</v>
      </c>
      <c r="D259">
        <v>21</v>
      </c>
      <c r="E259">
        <v>21</v>
      </c>
      <c r="F259">
        <v>179</v>
      </c>
      <c r="G259">
        <f>Consulta2[[#This Row],[DIA_UTIL_CORRENTE]]</f>
        <v>10</v>
      </c>
      <c r="H259" s="6">
        <f>DAY(Consulta2[[#This Row],[DATA]])</f>
        <v>14</v>
      </c>
      <c r="I259" s="6">
        <f>MONTH(Consulta2[[#This Row],[DATA]])</f>
        <v>9</v>
      </c>
      <c r="J259" t="str">
        <f>CONCATENATE(Consulta2[[#This Row],[SAFRA]],Consulta2[[#This Row],[dia]])</f>
        <v>20240914</v>
      </c>
      <c r="K259">
        <f>Consulta2[[#This Row],[DIA_UTIL_CORRENTE]]</f>
        <v>10</v>
      </c>
    </row>
    <row r="260" spans="1:11" x14ac:dyDescent="0.25">
      <c r="A260">
        <v>202409</v>
      </c>
      <c r="B260">
        <v>10</v>
      </c>
      <c r="C260" s="148">
        <v>45550</v>
      </c>
      <c r="D260">
        <v>21</v>
      </c>
      <c r="E260">
        <v>21</v>
      </c>
      <c r="F260">
        <v>179</v>
      </c>
      <c r="G260">
        <f>Consulta2[[#This Row],[DIA_UTIL_CORRENTE]]</f>
        <v>10</v>
      </c>
      <c r="H260" s="6">
        <f>DAY(Consulta2[[#This Row],[DATA]])</f>
        <v>15</v>
      </c>
      <c r="I260" s="6">
        <f>MONTH(Consulta2[[#This Row],[DATA]])</f>
        <v>9</v>
      </c>
      <c r="J260" t="str">
        <f>CONCATENATE(Consulta2[[#This Row],[SAFRA]],Consulta2[[#This Row],[dia]])</f>
        <v>20240915</v>
      </c>
      <c r="K260">
        <f>Consulta2[[#This Row],[DIA_UTIL_CORRENTE]]</f>
        <v>10</v>
      </c>
    </row>
    <row r="261" spans="1:11" x14ac:dyDescent="0.25">
      <c r="A261">
        <v>202409</v>
      </c>
      <c r="B261">
        <v>11</v>
      </c>
      <c r="C261" s="148">
        <v>45551</v>
      </c>
      <c r="D261">
        <v>21</v>
      </c>
      <c r="E261">
        <v>21</v>
      </c>
      <c r="F261">
        <v>180</v>
      </c>
      <c r="G261">
        <f>Consulta2[[#This Row],[DIA_UTIL_CORRENTE]]</f>
        <v>11</v>
      </c>
      <c r="H261" s="6">
        <f>DAY(Consulta2[[#This Row],[DATA]])</f>
        <v>16</v>
      </c>
      <c r="I261" s="6">
        <f>MONTH(Consulta2[[#This Row],[DATA]])</f>
        <v>9</v>
      </c>
      <c r="J261" t="str">
        <f>CONCATENATE(Consulta2[[#This Row],[SAFRA]],Consulta2[[#This Row],[dia]])</f>
        <v>20240916</v>
      </c>
      <c r="K261">
        <f>Consulta2[[#This Row],[DIA_UTIL_CORRENTE]]</f>
        <v>11</v>
      </c>
    </row>
    <row r="262" spans="1:11" x14ac:dyDescent="0.25">
      <c r="A262">
        <v>202409</v>
      </c>
      <c r="B262">
        <v>12</v>
      </c>
      <c r="C262" s="148">
        <v>45552</v>
      </c>
      <c r="D262">
        <v>21</v>
      </c>
      <c r="E262">
        <v>21</v>
      </c>
      <c r="F262">
        <v>181</v>
      </c>
      <c r="G262">
        <f>Consulta2[[#This Row],[DIA_UTIL_CORRENTE]]</f>
        <v>12</v>
      </c>
      <c r="H262" s="6">
        <f>DAY(Consulta2[[#This Row],[DATA]])</f>
        <v>17</v>
      </c>
      <c r="I262" s="6">
        <f>MONTH(Consulta2[[#This Row],[DATA]])</f>
        <v>9</v>
      </c>
      <c r="J262" t="str">
        <f>CONCATENATE(Consulta2[[#This Row],[SAFRA]],Consulta2[[#This Row],[dia]])</f>
        <v>20240917</v>
      </c>
      <c r="K262">
        <f>Consulta2[[#This Row],[DIA_UTIL_CORRENTE]]</f>
        <v>12</v>
      </c>
    </row>
    <row r="263" spans="1:11" x14ac:dyDescent="0.25">
      <c r="A263">
        <v>202409</v>
      </c>
      <c r="B263">
        <v>13</v>
      </c>
      <c r="C263" s="148">
        <v>45553</v>
      </c>
      <c r="D263">
        <v>21</v>
      </c>
      <c r="E263">
        <v>21</v>
      </c>
      <c r="F263">
        <v>182</v>
      </c>
      <c r="G263">
        <f>Consulta2[[#This Row],[DIA_UTIL_CORRENTE]]</f>
        <v>13</v>
      </c>
      <c r="H263" s="6">
        <f>DAY(Consulta2[[#This Row],[DATA]])</f>
        <v>18</v>
      </c>
      <c r="I263" s="6">
        <f>MONTH(Consulta2[[#This Row],[DATA]])</f>
        <v>9</v>
      </c>
      <c r="J263" t="str">
        <f>CONCATENATE(Consulta2[[#This Row],[SAFRA]],Consulta2[[#This Row],[dia]])</f>
        <v>20240918</v>
      </c>
      <c r="K263">
        <f>Consulta2[[#This Row],[DIA_UTIL_CORRENTE]]</f>
        <v>13</v>
      </c>
    </row>
    <row r="264" spans="1:11" x14ac:dyDescent="0.25">
      <c r="A264">
        <v>202409</v>
      </c>
      <c r="B264">
        <v>14</v>
      </c>
      <c r="C264" s="148">
        <v>45554</v>
      </c>
      <c r="D264">
        <v>21</v>
      </c>
      <c r="E264">
        <v>21</v>
      </c>
      <c r="F264">
        <v>183</v>
      </c>
      <c r="G264">
        <f>Consulta2[[#This Row],[DIA_UTIL_CORRENTE]]</f>
        <v>14</v>
      </c>
      <c r="H264" s="6">
        <f>DAY(Consulta2[[#This Row],[DATA]])</f>
        <v>19</v>
      </c>
      <c r="I264" s="6">
        <f>MONTH(Consulta2[[#This Row],[DATA]])</f>
        <v>9</v>
      </c>
      <c r="J264" t="str">
        <f>CONCATENATE(Consulta2[[#This Row],[SAFRA]],Consulta2[[#This Row],[dia]])</f>
        <v>20240919</v>
      </c>
      <c r="K264">
        <f>Consulta2[[#This Row],[DIA_UTIL_CORRENTE]]</f>
        <v>14</v>
      </c>
    </row>
    <row r="265" spans="1:11" x14ac:dyDescent="0.25">
      <c r="A265">
        <v>202409</v>
      </c>
      <c r="B265">
        <v>15</v>
      </c>
      <c r="C265" s="148">
        <v>45555</v>
      </c>
      <c r="D265">
        <v>21</v>
      </c>
      <c r="E265">
        <v>21</v>
      </c>
      <c r="F265">
        <v>184</v>
      </c>
      <c r="G265">
        <f>Consulta2[[#This Row],[DIA_UTIL_CORRENTE]]</f>
        <v>15</v>
      </c>
      <c r="H265" s="6">
        <f>DAY(Consulta2[[#This Row],[DATA]])</f>
        <v>20</v>
      </c>
      <c r="I265" s="6">
        <f>MONTH(Consulta2[[#This Row],[DATA]])</f>
        <v>9</v>
      </c>
      <c r="J265" t="str">
        <f>CONCATENATE(Consulta2[[#This Row],[SAFRA]],Consulta2[[#This Row],[dia]])</f>
        <v>20240920</v>
      </c>
      <c r="K265">
        <f>Consulta2[[#This Row],[DIA_UTIL_CORRENTE]]</f>
        <v>15</v>
      </c>
    </row>
    <row r="266" spans="1:11" x14ac:dyDescent="0.25">
      <c r="A266">
        <v>202409</v>
      </c>
      <c r="B266">
        <v>15</v>
      </c>
      <c r="C266" s="148">
        <v>45556</v>
      </c>
      <c r="D266">
        <v>21</v>
      </c>
      <c r="E266">
        <v>21</v>
      </c>
      <c r="F266">
        <v>184</v>
      </c>
      <c r="G266">
        <f>Consulta2[[#This Row],[DIA_UTIL_CORRENTE]]</f>
        <v>15</v>
      </c>
      <c r="H266" s="6">
        <f>DAY(Consulta2[[#This Row],[DATA]])</f>
        <v>21</v>
      </c>
      <c r="I266" s="6">
        <f>MONTH(Consulta2[[#This Row],[DATA]])</f>
        <v>9</v>
      </c>
      <c r="J266" t="str">
        <f>CONCATENATE(Consulta2[[#This Row],[SAFRA]],Consulta2[[#This Row],[dia]])</f>
        <v>20240921</v>
      </c>
      <c r="K266">
        <f>Consulta2[[#This Row],[DIA_UTIL_CORRENTE]]</f>
        <v>15</v>
      </c>
    </row>
    <row r="267" spans="1:11" x14ac:dyDescent="0.25">
      <c r="A267">
        <v>202409</v>
      </c>
      <c r="B267">
        <v>15</v>
      </c>
      <c r="C267" s="148">
        <v>45557</v>
      </c>
      <c r="D267">
        <v>21</v>
      </c>
      <c r="E267">
        <v>21</v>
      </c>
      <c r="F267">
        <v>184</v>
      </c>
      <c r="G267">
        <f>Consulta2[[#This Row],[DIA_UTIL_CORRENTE]]</f>
        <v>15</v>
      </c>
      <c r="H267" s="6">
        <f>DAY(Consulta2[[#This Row],[DATA]])</f>
        <v>22</v>
      </c>
      <c r="I267" s="6">
        <f>MONTH(Consulta2[[#This Row],[DATA]])</f>
        <v>9</v>
      </c>
      <c r="J267" t="str">
        <f>CONCATENATE(Consulta2[[#This Row],[SAFRA]],Consulta2[[#This Row],[dia]])</f>
        <v>20240922</v>
      </c>
      <c r="K267">
        <f>Consulta2[[#This Row],[DIA_UTIL_CORRENTE]]</f>
        <v>15</v>
      </c>
    </row>
    <row r="268" spans="1:11" x14ac:dyDescent="0.25">
      <c r="A268">
        <v>202409</v>
      </c>
      <c r="B268">
        <v>16</v>
      </c>
      <c r="C268" s="148">
        <v>45558</v>
      </c>
      <c r="D268">
        <v>21</v>
      </c>
      <c r="E268">
        <v>21</v>
      </c>
      <c r="F268">
        <v>185</v>
      </c>
      <c r="G268">
        <f>Consulta2[[#This Row],[DIA_UTIL_CORRENTE]]</f>
        <v>16</v>
      </c>
      <c r="H268" s="6">
        <f>DAY(Consulta2[[#This Row],[DATA]])</f>
        <v>23</v>
      </c>
      <c r="I268" s="6">
        <f>MONTH(Consulta2[[#This Row],[DATA]])</f>
        <v>9</v>
      </c>
      <c r="J268" t="str">
        <f>CONCATENATE(Consulta2[[#This Row],[SAFRA]],Consulta2[[#This Row],[dia]])</f>
        <v>20240923</v>
      </c>
      <c r="K268">
        <f>Consulta2[[#This Row],[DIA_UTIL_CORRENTE]]</f>
        <v>16</v>
      </c>
    </row>
    <row r="269" spans="1:11" x14ac:dyDescent="0.25">
      <c r="A269">
        <v>202409</v>
      </c>
      <c r="B269">
        <v>17</v>
      </c>
      <c r="C269" s="148">
        <v>45559</v>
      </c>
      <c r="D269">
        <v>21</v>
      </c>
      <c r="E269">
        <v>21</v>
      </c>
      <c r="F269">
        <v>186</v>
      </c>
      <c r="G269">
        <f>Consulta2[[#This Row],[DIA_UTIL_CORRENTE]]</f>
        <v>17</v>
      </c>
      <c r="H269" s="6">
        <f>DAY(Consulta2[[#This Row],[DATA]])</f>
        <v>24</v>
      </c>
      <c r="I269" s="6">
        <f>MONTH(Consulta2[[#This Row],[DATA]])</f>
        <v>9</v>
      </c>
      <c r="J269" t="str">
        <f>CONCATENATE(Consulta2[[#This Row],[SAFRA]],Consulta2[[#This Row],[dia]])</f>
        <v>20240924</v>
      </c>
      <c r="K269">
        <f>Consulta2[[#This Row],[DIA_UTIL_CORRENTE]]</f>
        <v>17</v>
      </c>
    </row>
    <row r="270" spans="1:11" x14ac:dyDescent="0.25">
      <c r="A270">
        <v>202409</v>
      </c>
      <c r="B270">
        <v>18</v>
      </c>
      <c r="C270" s="148">
        <v>45560</v>
      </c>
      <c r="D270">
        <v>21</v>
      </c>
      <c r="E270">
        <v>21</v>
      </c>
      <c r="F270">
        <v>187</v>
      </c>
      <c r="G270">
        <f>Consulta2[[#This Row],[DIA_UTIL_CORRENTE]]</f>
        <v>18</v>
      </c>
      <c r="H270" s="6">
        <f>DAY(Consulta2[[#This Row],[DATA]])</f>
        <v>25</v>
      </c>
      <c r="I270" s="6">
        <f>MONTH(Consulta2[[#This Row],[DATA]])</f>
        <v>9</v>
      </c>
      <c r="J270" t="str">
        <f>CONCATENATE(Consulta2[[#This Row],[SAFRA]],Consulta2[[#This Row],[dia]])</f>
        <v>20240925</v>
      </c>
      <c r="K270">
        <f>Consulta2[[#This Row],[DIA_UTIL_CORRENTE]]</f>
        <v>18</v>
      </c>
    </row>
    <row r="271" spans="1:11" x14ac:dyDescent="0.25">
      <c r="A271">
        <v>202409</v>
      </c>
      <c r="B271">
        <v>19</v>
      </c>
      <c r="C271" s="148">
        <v>45561</v>
      </c>
      <c r="D271">
        <v>21</v>
      </c>
      <c r="E271">
        <v>21</v>
      </c>
      <c r="F271">
        <v>188</v>
      </c>
      <c r="G271">
        <f>Consulta2[[#This Row],[DIA_UTIL_CORRENTE]]</f>
        <v>19</v>
      </c>
      <c r="H271" s="6">
        <f>DAY(Consulta2[[#This Row],[DATA]])</f>
        <v>26</v>
      </c>
      <c r="I271" s="6">
        <f>MONTH(Consulta2[[#This Row],[DATA]])</f>
        <v>9</v>
      </c>
      <c r="J271" t="str">
        <f>CONCATENATE(Consulta2[[#This Row],[SAFRA]],Consulta2[[#This Row],[dia]])</f>
        <v>20240926</v>
      </c>
      <c r="K271">
        <f>Consulta2[[#This Row],[DIA_UTIL_CORRENTE]]</f>
        <v>19</v>
      </c>
    </row>
    <row r="272" spans="1:11" x14ac:dyDescent="0.25">
      <c r="A272">
        <v>202409</v>
      </c>
      <c r="B272">
        <v>20</v>
      </c>
      <c r="C272" s="148">
        <v>45562</v>
      </c>
      <c r="D272">
        <v>21</v>
      </c>
      <c r="E272">
        <v>21</v>
      </c>
      <c r="F272">
        <v>189</v>
      </c>
      <c r="G272">
        <f>Consulta2[[#This Row],[DIA_UTIL_CORRENTE]]</f>
        <v>20</v>
      </c>
      <c r="H272" s="6">
        <f>DAY(Consulta2[[#This Row],[DATA]])</f>
        <v>27</v>
      </c>
      <c r="I272" s="6">
        <f>MONTH(Consulta2[[#This Row],[DATA]])</f>
        <v>9</v>
      </c>
      <c r="J272" t="str">
        <f>CONCATENATE(Consulta2[[#This Row],[SAFRA]],Consulta2[[#This Row],[dia]])</f>
        <v>20240927</v>
      </c>
      <c r="K272">
        <f>Consulta2[[#This Row],[DIA_UTIL_CORRENTE]]</f>
        <v>20</v>
      </c>
    </row>
    <row r="273" spans="1:11" x14ac:dyDescent="0.25">
      <c r="A273">
        <v>202409</v>
      </c>
      <c r="B273">
        <v>20</v>
      </c>
      <c r="C273" s="148">
        <v>45563</v>
      </c>
      <c r="D273">
        <v>21</v>
      </c>
      <c r="E273">
        <v>21</v>
      </c>
      <c r="F273">
        <v>189</v>
      </c>
      <c r="G273">
        <f>Consulta2[[#This Row],[DIA_UTIL_CORRENTE]]</f>
        <v>20</v>
      </c>
      <c r="H273" s="6">
        <f>DAY(Consulta2[[#This Row],[DATA]])</f>
        <v>28</v>
      </c>
      <c r="I273" s="6">
        <f>MONTH(Consulta2[[#This Row],[DATA]])</f>
        <v>9</v>
      </c>
      <c r="J273" t="str">
        <f>CONCATENATE(Consulta2[[#This Row],[SAFRA]],Consulta2[[#This Row],[dia]])</f>
        <v>20240928</v>
      </c>
      <c r="K273">
        <f>Consulta2[[#This Row],[DIA_UTIL_CORRENTE]]</f>
        <v>20</v>
      </c>
    </row>
    <row r="274" spans="1:11" x14ac:dyDescent="0.25">
      <c r="A274">
        <v>202409</v>
      </c>
      <c r="B274">
        <v>20</v>
      </c>
      <c r="C274" s="148">
        <v>45564</v>
      </c>
      <c r="D274">
        <v>21</v>
      </c>
      <c r="E274">
        <v>21</v>
      </c>
      <c r="F274">
        <v>189</v>
      </c>
      <c r="G274">
        <f>Consulta2[[#This Row],[DIA_UTIL_CORRENTE]]</f>
        <v>20</v>
      </c>
      <c r="H274" s="6">
        <f>DAY(Consulta2[[#This Row],[DATA]])</f>
        <v>29</v>
      </c>
      <c r="I274" s="6">
        <f>MONTH(Consulta2[[#This Row],[DATA]])</f>
        <v>9</v>
      </c>
      <c r="J274" t="str">
        <f>CONCATENATE(Consulta2[[#This Row],[SAFRA]],Consulta2[[#This Row],[dia]])</f>
        <v>20240929</v>
      </c>
      <c r="K274">
        <f>Consulta2[[#This Row],[DIA_UTIL_CORRENTE]]</f>
        <v>20</v>
      </c>
    </row>
    <row r="275" spans="1:11" x14ac:dyDescent="0.25">
      <c r="A275">
        <v>202409</v>
      </c>
      <c r="B275">
        <v>21</v>
      </c>
      <c r="C275" s="148">
        <v>45565</v>
      </c>
      <c r="D275">
        <v>21</v>
      </c>
      <c r="E275">
        <v>21</v>
      </c>
      <c r="F275">
        <v>190</v>
      </c>
      <c r="G275">
        <f>Consulta2[[#This Row],[DIA_UTIL_CORRENTE]]</f>
        <v>21</v>
      </c>
      <c r="H275" s="6">
        <f>DAY(Consulta2[[#This Row],[DATA]])</f>
        <v>30</v>
      </c>
      <c r="I275" s="6">
        <f>MONTH(Consulta2[[#This Row],[DATA]])</f>
        <v>9</v>
      </c>
      <c r="J275" t="str">
        <f>CONCATENATE(Consulta2[[#This Row],[SAFRA]],Consulta2[[#This Row],[dia]])</f>
        <v>20240930</v>
      </c>
      <c r="K275">
        <f>Consulta2[[#This Row],[DIA_UTIL_CORRENTE]]</f>
        <v>21</v>
      </c>
    </row>
    <row r="276" spans="1:11" x14ac:dyDescent="0.25">
      <c r="A276">
        <v>202410</v>
      </c>
      <c r="B276">
        <v>1</v>
      </c>
      <c r="C276" s="148">
        <v>45566</v>
      </c>
      <c r="D276">
        <v>23</v>
      </c>
      <c r="E276">
        <v>23</v>
      </c>
      <c r="F276">
        <v>191</v>
      </c>
      <c r="G276">
        <f>Consulta2[[#This Row],[DIA_UTIL_CORRENTE]]</f>
        <v>1</v>
      </c>
      <c r="H276" s="6">
        <f>DAY(Consulta2[[#This Row],[DATA]])</f>
        <v>1</v>
      </c>
      <c r="I276" s="6">
        <f>MONTH(Consulta2[[#This Row],[DATA]])</f>
        <v>10</v>
      </c>
      <c r="J276" t="str">
        <f>CONCATENATE(Consulta2[[#This Row],[SAFRA]],Consulta2[[#This Row],[dia]])</f>
        <v>2024101</v>
      </c>
      <c r="K276">
        <f>Consulta2[[#This Row],[DIA_UTIL_CORRENTE]]</f>
        <v>1</v>
      </c>
    </row>
    <row r="277" spans="1:11" x14ac:dyDescent="0.25">
      <c r="A277">
        <v>202410</v>
      </c>
      <c r="B277">
        <v>2</v>
      </c>
      <c r="C277" s="148">
        <v>45567</v>
      </c>
      <c r="D277">
        <v>23</v>
      </c>
      <c r="E277">
        <v>23</v>
      </c>
      <c r="F277">
        <v>192</v>
      </c>
      <c r="G277">
        <f>Consulta2[[#This Row],[DIA_UTIL_CORRENTE]]</f>
        <v>2</v>
      </c>
      <c r="H277" s="6">
        <f>DAY(Consulta2[[#This Row],[DATA]])</f>
        <v>2</v>
      </c>
      <c r="I277" s="6">
        <f>MONTH(Consulta2[[#This Row],[DATA]])</f>
        <v>10</v>
      </c>
      <c r="J277" t="str">
        <f>CONCATENATE(Consulta2[[#This Row],[SAFRA]],Consulta2[[#This Row],[dia]])</f>
        <v>2024102</v>
      </c>
      <c r="K277">
        <f>Consulta2[[#This Row],[DIA_UTIL_CORRENTE]]</f>
        <v>2</v>
      </c>
    </row>
    <row r="278" spans="1:11" x14ac:dyDescent="0.25">
      <c r="A278">
        <v>202410</v>
      </c>
      <c r="B278">
        <v>3</v>
      </c>
      <c r="C278" s="148">
        <v>45568</v>
      </c>
      <c r="D278">
        <v>23</v>
      </c>
      <c r="E278">
        <v>23</v>
      </c>
      <c r="F278">
        <v>193</v>
      </c>
      <c r="G278">
        <f>Consulta2[[#This Row],[DIA_UTIL_CORRENTE]]</f>
        <v>3</v>
      </c>
      <c r="H278" s="6">
        <f>DAY(Consulta2[[#This Row],[DATA]])</f>
        <v>3</v>
      </c>
      <c r="I278" s="6">
        <f>MONTH(Consulta2[[#This Row],[DATA]])</f>
        <v>10</v>
      </c>
      <c r="J278" t="str">
        <f>CONCATENATE(Consulta2[[#This Row],[SAFRA]],Consulta2[[#This Row],[dia]])</f>
        <v>2024103</v>
      </c>
      <c r="K278">
        <f>Consulta2[[#This Row],[DIA_UTIL_CORRENTE]]</f>
        <v>3</v>
      </c>
    </row>
    <row r="279" spans="1:11" x14ac:dyDescent="0.25">
      <c r="A279">
        <v>202410</v>
      </c>
      <c r="B279">
        <v>4</v>
      </c>
      <c r="C279" s="148">
        <v>45569</v>
      </c>
      <c r="D279">
        <v>23</v>
      </c>
      <c r="E279">
        <v>23</v>
      </c>
      <c r="F279">
        <v>194</v>
      </c>
      <c r="G279">
        <f>Consulta2[[#This Row],[DIA_UTIL_CORRENTE]]</f>
        <v>4</v>
      </c>
      <c r="H279" s="6">
        <f>DAY(Consulta2[[#This Row],[DATA]])</f>
        <v>4</v>
      </c>
      <c r="I279" s="6">
        <f>MONTH(Consulta2[[#This Row],[DATA]])</f>
        <v>10</v>
      </c>
      <c r="J279" t="str">
        <f>CONCATENATE(Consulta2[[#This Row],[SAFRA]],Consulta2[[#This Row],[dia]])</f>
        <v>2024104</v>
      </c>
      <c r="K279">
        <f>Consulta2[[#This Row],[DIA_UTIL_CORRENTE]]</f>
        <v>4</v>
      </c>
    </row>
    <row r="280" spans="1:11" x14ac:dyDescent="0.25">
      <c r="A280">
        <v>202410</v>
      </c>
      <c r="B280">
        <v>4</v>
      </c>
      <c r="C280" s="148">
        <v>45570</v>
      </c>
      <c r="D280">
        <v>23</v>
      </c>
      <c r="E280">
        <v>23</v>
      </c>
      <c r="F280">
        <v>194</v>
      </c>
      <c r="G280">
        <f>Consulta2[[#This Row],[DIA_UTIL_CORRENTE]]</f>
        <v>4</v>
      </c>
      <c r="H280" s="6">
        <f>DAY(Consulta2[[#This Row],[DATA]])</f>
        <v>5</v>
      </c>
      <c r="I280" s="6">
        <f>MONTH(Consulta2[[#This Row],[DATA]])</f>
        <v>10</v>
      </c>
      <c r="J280" t="str">
        <f>CONCATENATE(Consulta2[[#This Row],[SAFRA]],Consulta2[[#This Row],[dia]])</f>
        <v>2024105</v>
      </c>
      <c r="K280">
        <f>Consulta2[[#This Row],[DIA_UTIL_CORRENTE]]</f>
        <v>4</v>
      </c>
    </row>
    <row r="281" spans="1:11" x14ac:dyDescent="0.25">
      <c r="A281">
        <v>202410</v>
      </c>
      <c r="B281">
        <v>4</v>
      </c>
      <c r="C281" s="148">
        <v>45571</v>
      </c>
      <c r="D281">
        <v>23</v>
      </c>
      <c r="E281">
        <v>23</v>
      </c>
      <c r="F281">
        <v>194</v>
      </c>
      <c r="G281">
        <f>Consulta2[[#This Row],[DIA_UTIL_CORRENTE]]</f>
        <v>4</v>
      </c>
      <c r="H281" s="6">
        <f>DAY(Consulta2[[#This Row],[DATA]])</f>
        <v>6</v>
      </c>
      <c r="I281" s="6">
        <f>MONTH(Consulta2[[#This Row],[DATA]])</f>
        <v>10</v>
      </c>
      <c r="J281" t="str">
        <f>CONCATENATE(Consulta2[[#This Row],[SAFRA]],Consulta2[[#This Row],[dia]])</f>
        <v>2024106</v>
      </c>
      <c r="K281">
        <f>Consulta2[[#This Row],[DIA_UTIL_CORRENTE]]</f>
        <v>4</v>
      </c>
    </row>
    <row r="282" spans="1:11" x14ac:dyDescent="0.25">
      <c r="A282">
        <v>202410</v>
      </c>
      <c r="B282">
        <v>5</v>
      </c>
      <c r="C282" s="148">
        <v>45572</v>
      </c>
      <c r="D282">
        <v>23</v>
      </c>
      <c r="E282">
        <v>23</v>
      </c>
      <c r="F282">
        <v>195</v>
      </c>
      <c r="G282">
        <f>Consulta2[[#This Row],[DIA_UTIL_CORRENTE]]</f>
        <v>5</v>
      </c>
      <c r="H282" s="6">
        <f>DAY(Consulta2[[#This Row],[DATA]])</f>
        <v>7</v>
      </c>
      <c r="I282" s="6">
        <f>MONTH(Consulta2[[#This Row],[DATA]])</f>
        <v>10</v>
      </c>
      <c r="J282" t="str">
        <f>CONCATENATE(Consulta2[[#This Row],[SAFRA]],Consulta2[[#This Row],[dia]])</f>
        <v>2024107</v>
      </c>
      <c r="K282">
        <f>Consulta2[[#This Row],[DIA_UTIL_CORRENTE]]</f>
        <v>5</v>
      </c>
    </row>
    <row r="283" spans="1:11" x14ac:dyDescent="0.25">
      <c r="A283">
        <v>202410</v>
      </c>
      <c r="B283">
        <v>6</v>
      </c>
      <c r="C283" s="148">
        <v>45573</v>
      </c>
      <c r="D283">
        <v>23</v>
      </c>
      <c r="E283">
        <v>23</v>
      </c>
      <c r="F283">
        <v>196</v>
      </c>
      <c r="G283">
        <f>Consulta2[[#This Row],[DIA_UTIL_CORRENTE]]</f>
        <v>6</v>
      </c>
      <c r="H283" s="6">
        <f>DAY(Consulta2[[#This Row],[DATA]])</f>
        <v>8</v>
      </c>
      <c r="I283" s="6">
        <f>MONTH(Consulta2[[#This Row],[DATA]])</f>
        <v>10</v>
      </c>
      <c r="J283" t="str">
        <f>CONCATENATE(Consulta2[[#This Row],[SAFRA]],Consulta2[[#This Row],[dia]])</f>
        <v>2024108</v>
      </c>
      <c r="K283">
        <f>Consulta2[[#This Row],[DIA_UTIL_CORRENTE]]</f>
        <v>6</v>
      </c>
    </row>
    <row r="284" spans="1:11" x14ac:dyDescent="0.25">
      <c r="A284">
        <v>202410</v>
      </c>
      <c r="B284">
        <v>7</v>
      </c>
      <c r="C284" s="148">
        <v>45574</v>
      </c>
      <c r="D284">
        <v>23</v>
      </c>
      <c r="E284">
        <v>23</v>
      </c>
      <c r="F284">
        <v>197</v>
      </c>
      <c r="G284">
        <f>Consulta2[[#This Row],[DIA_UTIL_CORRENTE]]</f>
        <v>7</v>
      </c>
      <c r="H284" s="6">
        <f>DAY(Consulta2[[#This Row],[DATA]])</f>
        <v>9</v>
      </c>
      <c r="I284" s="6">
        <f>MONTH(Consulta2[[#This Row],[DATA]])</f>
        <v>10</v>
      </c>
      <c r="J284" t="str">
        <f>CONCATENATE(Consulta2[[#This Row],[SAFRA]],Consulta2[[#This Row],[dia]])</f>
        <v>2024109</v>
      </c>
      <c r="K284">
        <f>Consulta2[[#This Row],[DIA_UTIL_CORRENTE]]</f>
        <v>7</v>
      </c>
    </row>
    <row r="285" spans="1:11" x14ac:dyDescent="0.25">
      <c r="A285">
        <v>202410</v>
      </c>
      <c r="B285">
        <v>8</v>
      </c>
      <c r="C285" s="148">
        <v>45575</v>
      </c>
      <c r="D285">
        <v>23</v>
      </c>
      <c r="E285">
        <v>23</v>
      </c>
      <c r="F285">
        <v>198</v>
      </c>
      <c r="G285">
        <f>Consulta2[[#This Row],[DIA_UTIL_CORRENTE]]</f>
        <v>8</v>
      </c>
      <c r="H285" s="6">
        <f>DAY(Consulta2[[#This Row],[DATA]])</f>
        <v>10</v>
      </c>
      <c r="I285" s="6">
        <f>MONTH(Consulta2[[#This Row],[DATA]])</f>
        <v>10</v>
      </c>
      <c r="J285" t="str">
        <f>CONCATENATE(Consulta2[[#This Row],[SAFRA]],Consulta2[[#This Row],[dia]])</f>
        <v>20241010</v>
      </c>
      <c r="K285">
        <f>Consulta2[[#This Row],[DIA_UTIL_CORRENTE]]</f>
        <v>8</v>
      </c>
    </row>
    <row r="286" spans="1:11" x14ac:dyDescent="0.25">
      <c r="A286">
        <v>202410</v>
      </c>
      <c r="B286">
        <v>9</v>
      </c>
      <c r="C286" s="148">
        <v>45576</v>
      </c>
      <c r="D286">
        <v>23</v>
      </c>
      <c r="E286">
        <v>23</v>
      </c>
      <c r="F286">
        <v>199</v>
      </c>
      <c r="G286">
        <f>Consulta2[[#This Row],[DIA_UTIL_CORRENTE]]</f>
        <v>9</v>
      </c>
      <c r="H286" s="6">
        <f>DAY(Consulta2[[#This Row],[DATA]])</f>
        <v>11</v>
      </c>
      <c r="I286" s="6">
        <f>MONTH(Consulta2[[#This Row],[DATA]])</f>
        <v>10</v>
      </c>
      <c r="J286" t="str">
        <f>CONCATENATE(Consulta2[[#This Row],[SAFRA]],Consulta2[[#This Row],[dia]])</f>
        <v>20241011</v>
      </c>
      <c r="K286">
        <f>Consulta2[[#This Row],[DIA_UTIL_CORRENTE]]</f>
        <v>9</v>
      </c>
    </row>
    <row r="287" spans="1:11" x14ac:dyDescent="0.25">
      <c r="A287">
        <v>202410</v>
      </c>
      <c r="B287">
        <v>9</v>
      </c>
      <c r="C287" s="148">
        <v>45577</v>
      </c>
      <c r="D287">
        <v>23</v>
      </c>
      <c r="E287">
        <v>23</v>
      </c>
      <c r="F287">
        <v>199</v>
      </c>
      <c r="G287">
        <f>Consulta2[[#This Row],[DIA_UTIL_CORRENTE]]</f>
        <v>9</v>
      </c>
      <c r="H287" s="6">
        <f>DAY(Consulta2[[#This Row],[DATA]])</f>
        <v>12</v>
      </c>
      <c r="I287" s="6">
        <f>MONTH(Consulta2[[#This Row],[DATA]])</f>
        <v>10</v>
      </c>
      <c r="J287" t="str">
        <f>CONCATENATE(Consulta2[[#This Row],[SAFRA]],Consulta2[[#This Row],[dia]])</f>
        <v>20241012</v>
      </c>
      <c r="K287">
        <f>Consulta2[[#This Row],[DIA_UTIL_CORRENTE]]</f>
        <v>9</v>
      </c>
    </row>
    <row r="288" spans="1:11" x14ac:dyDescent="0.25">
      <c r="A288">
        <v>202410</v>
      </c>
      <c r="B288">
        <v>9</v>
      </c>
      <c r="C288" s="148">
        <v>45578</v>
      </c>
      <c r="D288">
        <v>23</v>
      </c>
      <c r="E288">
        <v>23</v>
      </c>
      <c r="F288">
        <v>199</v>
      </c>
      <c r="G288">
        <f>Consulta2[[#This Row],[DIA_UTIL_CORRENTE]]</f>
        <v>9</v>
      </c>
      <c r="H288" s="6">
        <f>DAY(Consulta2[[#This Row],[DATA]])</f>
        <v>13</v>
      </c>
      <c r="I288" s="6">
        <f>MONTH(Consulta2[[#This Row],[DATA]])</f>
        <v>10</v>
      </c>
      <c r="J288" t="str">
        <f>CONCATENATE(Consulta2[[#This Row],[SAFRA]],Consulta2[[#This Row],[dia]])</f>
        <v>20241013</v>
      </c>
      <c r="K288">
        <f>Consulta2[[#This Row],[DIA_UTIL_CORRENTE]]</f>
        <v>9</v>
      </c>
    </row>
    <row r="289" spans="1:11" x14ac:dyDescent="0.25">
      <c r="A289">
        <v>202410</v>
      </c>
      <c r="B289">
        <v>10</v>
      </c>
      <c r="C289" s="148">
        <v>45579</v>
      </c>
      <c r="D289">
        <v>23</v>
      </c>
      <c r="E289">
        <v>23</v>
      </c>
      <c r="F289">
        <v>200</v>
      </c>
      <c r="G289">
        <f>Consulta2[[#This Row],[DIA_UTIL_CORRENTE]]</f>
        <v>10</v>
      </c>
      <c r="H289" s="6">
        <f>DAY(Consulta2[[#This Row],[DATA]])</f>
        <v>14</v>
      </c>
      <c r="I289" s="6">
        <f>MONTH(Consulta2[[#This Row],[DATA]])</f>
        <v>10</v>
      </c>
      <c r="J289" t="str">
        <f>CONCATENATE(Consulta2[[#This Row],[SAFRA]],Consulta2[[#This Row],[dia]])</f>
        <v>20241014</v>
      </c>
      <c r="K289">
        <f>Consulta2[[#This Row],[DIA_UTIL_CORRENTE]]</f>
        <v>10</v>
      </c>
    </row>
    <row r="290" spans="1:11" x14ac:dyDescent="0.25">
      <c r="A290">
        <v>202410</v>
      </c>
      <c r="B290">
        <v>11</v>
      </c>
      <c r="C290" s="148">
        <v>45580</v>
      </c>
      <c r="D290">
        <v>23</v>
      </c>
      <c r="E290">
        <v>23</v>
      </c>
      <c r="F290">
        <v>201</v>
      </c>
      <c r="G290">
        <f>Consulta2[[#This Row],[DIA_UTIL_CORRENTE]]</f>
        <v>11</v>
      </c>
      <c r="H290" s="6">
        <f>DAY(Consulta2[[#This Row],[DATA]])</f>
        <v>15</v>
      </c>
      <c r="I290" s="6">
        <f>MONTH(Consulta2[[#This Row],[DATA]])</f>
        <v>10</v>
      </c>
      <c r="J290" t="str">
        <f>CONCATENATE(Consulta2[[#This Row],[SAFRA]],Consulta2[[#This Row],[dia]])</f>
        <v>20241015</v>
      </c>
      <c r="K290">
        <f>Consulta2[[#This Row],[DIA_UTIL_CORRENTE]]</f>
        <v>11</v>
      </c>
    </row>
    <row r="291" spans="1:11" x14ac:dyDescent="0.25">
      <c r="A291">
        <v>202410</v>
      </c>
      <c r="B291">
        <v>12</v>
      </c>
      <c r="C291" s="148">
        <v>45581</v>
      </c>
      <c r="D291">
        <v>23</v>
      </c>
      <c r="E291">
        <v>23</v>
      </c>
      <c r="F291">
        <v>202</v>
      </c>
      <c r="G291">
        <f>Consulta2[[#This Row],[DIA_UTIL_CORRENTE]]</f>
        <v>12</v>
      </c>
      <c r="H291" s="6">
        <f>DAY(Consulta2[[#This Row],[DATA]])</f>
        <v>16</v>
      </c>
      <c r="I291" s="6">
        <f>MONTH(Consulta2[[#This Row],[DATA]])</f>
        <v>10</v>
      </c>
      <c r="J291" t="str">
        <f>CONCATENATE(Consulta2[[#This Row],[SAFRA]],Consulta2[[#This Row],[dia]])</f>
        <v>20241016</v>
      </c>
      <c r="K291">
        <f>Consulta2[[#This Row],[DIA_UTIL_CORRENTE]]</f>
        <v>12</v>
      </c>
    </row>
    <row r="292" spans="1:11" x14ac:dyDescent="0.25">
      <c r="A292">
        <v>202410</v>
      </c>
      <c r="B292">
        <v>13</v>
      </c>
      <c r="C292" s="148">
        <v>45582</v>
      </c>
      <c r="D292">
        <v>23</v>
      </c>
      <c r="E292">
        <v>23</v>
      </c>
      <c r="F292">
        <v>203</v>
      </c>
      <c r="G292">
        <f>Consulta2[[#This Row],[DIA_UTIL_CORRENTE]]</f>
        <v>13</v>
      </c>
      <c r="H292" s="6">
        <f>DAY(Consulta2[[#This Row],[DATA]])</f>
        <v>17</v>
      </c>
      <c r="I292" s="6">
        <f>MONTH(Consulta2[[#This Row],[DATA]])</f>
        <v>10</v>
      </c>
      <c r="J292" t="str">
        <f>CONCATENATE(Consulta2[[#This Row],[SAFRA]],Consulta2[[#This Row],[dia]])</f>
        <v>20241017</v>
      </c>
      <c r="K292">
        <f>Consulta2[[#This Row],[DIA_UTIL_CORRENTE]]</f>
        <v>13</v>
      </c>
    </row>
    <row r="293" spans="1:11" x14ac:dyDescent="0.25">
      <c r="A293">
        <v>202410</v>
      </c>
      <c r="B293">
        <v>14</v>
      </c>
      <c r="C293" s="148">
        <v>45583</v>
      </c>
      <c r="D293">
        <v>23</v>
      </c>
      <c r="E293">
        <v>23</v>
      </c>
      <c r="F293">
        <v>204</v>
      </c>
      <c r="G293">
        <f>Consulta2[[#This Row],[DIA_UTIL_CORRENTE]]</f>
        <v>14</v>
      </c>
      <c r="H293" s="6">
        <f>DAY(Consulta2[[#This Row],[DATA]])</f>
        <v>18</v>
      </c>
      <c r="I293" s="6">
        <f>MONTH(Consulta2[[#This Row],[DATA]])</f>
        <v>10</v>
      </c>
      <c r="J293" t="str">
        <f>CONCATENATE(Consulta2[[#This Row],[SAFRA]],Consulta2[[#This Row],[dia]])</f>
        <v>20241018</v>
      </c>
      <c r="K293">
        <f>Consulta2[[#This Row],[DIA_UTIL_CORRENTE]]</f>
        <v>14</v>
      </c>
    </row>
    <row r="294" spans="1:11" x14ac:dyDescent="0.25">
      <c r="A294">
        <v>202410</v>
      </c>
      <c r="B294">
        <v>14</v>
      </c>
      <c r="C294" s="148">
        <v>45584</v>
      </c>
      <c r="D294">
        <v>23</v>
      </c>
      <c r="E294">
        <v>23</v>
      </c>
      <c r="F294">
        <v>204</v>
      </c>
      <c r="G294">
        <f>Consulta2[[#This Row],[DIA_UTIL_CORRENTE]]</f>
        <v>14</v>
      </c>
      <c r="H294" s="6">
        <f>DAY(Consulta2[[#This Row],[DATA]])</f>
        <v>19</v>
      </c>
      <c r="I294" s="6">
        <f>MONTH(Consulta2[[#This Row],[DATA]])</f>
        <v>10</v>
      </c>
      <c r="J294" t="str">
        <f>CONCATENATE(Consulta2[[#This Row],[SAFRA]],Consulta2[[#This Row],[dia]])</f>
        <v>20241019</v>
      </c>
      <c r="K294">
        <f>Consulta2[[#This Row],[DIA_UTIL_CORRENTE]]</f>
        <v>14</v>
      </c>
    </row>
    <row r="295" spans="1:11" x14ac:dyDescent="0.25">
      <c r="A295">
        <v>202410</v>
      </c>
      <c r="B295">
        <v>14</v>
      </c>
      <c r="C295" s="148">
        <v>45585</v>
      </c>
      <c r="D295">
        <v>23</v>
      </c>
      <c r="E295">
        <v>23</v>
      </c>
      <c r="F295">
        <v>204</v>
      </c>
      <c r="G295">
        <f>Consulta2[[#This Row],[DIA_UTIL_CORRENTE]]</f>
        <v>14</v>
      </c>
      <c r="H295" s="6">
        <f>DAY(Consulta2[[#This Row],[DATA]])</f>
        <v>20</v>
      </c>
      <c r="I295" s="6">
        <f>MONTH(Consulta2[[#This Row],[DATA]])</f>
        <v>10</v>
      </c>
      <c r="J295" t="str">
        <f>CONCATENATE(Consulta2[[#This Row],[SAFRA]],Consulta2[[#This Row],[dia]])</f>
        <v>20241020</v>
      </c>
      <c r="K295">
        <f>Consulta2[[#This Row],[DIA_UTIL_CORRENTE]]</f>
        <v>14</v>
      </c>
    </row>
    <row r="296" spans="1:11" x14ac:dyDescent="0.25">
      <c r="A296">
        <v>202410</v>
      </c>
      <c r="B296">
        <v>15</v>
      </c>
      <c r="C296" s="148">
        <v>45586</v>
      </c>
      <c r="D296">
        <v>23</v>
      </c>
      <c r="E296">
        <v>23</v>
      </c>
      <c r="F296">
        <v>205</v>
      </c>
      <c r="G296">
        <f>Consulta2[[#This Row],[DIA_UTIL_CORRENTE]]</f>
        <v>15</v>
      </c>
      <c r="H296" s="6">
        <f>DAY(Consulta2[[#This Row],[DATA]])</f>
        <v>21</v>
      </c>
      <c r="I296" s="6">
        <f>MONTH(Consulta2[[#This Row],[DATA]])</f>
        <v>10</v>
      </c>
      <c r="J296" t="str">
        <f>CONCATENATE(Consulta2[[#This Row],[SAFRA]],Consulta2[[#This Row],[dia]])</f>
        <v>20241021</v>
      </c>
      <c r="K296">
        <f>Consulta2[[#This Row],[DIA_UTIL_CORRENTE]]</f>
        <v>15</v>
      </c>
    </row>
    <row r="297" spans="1:11" x14ac:dyDescent="0.25">
      <c r="A297">
        <v>202410</v>
      </c>
      <c r="B297">
        <v>16</v>
      </c>
      <c r="C297" s="148">
        <v>45587</v>
      </c>
      <c r="D297">
        <v>23</v>
      </c>
      <c r="E297">
        <v>23</v>
      </c>
      <c r="F297">
        <v>206</v>
      </c>
      <c r="G297">
        <f>Consulta2[[#This Row],[DIA_UTIL_CORRENTE]]</f>
        <v>16</v>
      </c>
      <c r="H297" s="6">
        <f>DAY(Consulta2[[#This Row],[DATA]])</f>
        <v>22</v>
      </c>
      <c r="I297" s="6">
        <f>MONTH(Consulta2[[#This Row],[DATA]])</f>
        <v>10</v>
      </c>
      <c r="J297" t="str">
        <f>CONCATENATE(Consulta2[[#This Row],[SAFRA]],Consulta2[[#This Row],[dia]])</f>
        <v>20241022</v>
      </c>
      <c r="K297">
        <f>Consulta2[[#This Row],[DIA_UTIL_CORRENTE]]</f>
        <v>16</v>
      </c>
    </row>
    <row r="298" spans="1:11" x14ac:dyDescent="0.25">
      <c r="A298">
        <v>202410</v>
      </c>
      <c r="B298">
        <v>17</v>
      </c>
      <c r="C298" s="148">
        <v>45588</v>
      </c>
      <c r="D298">
        <v>23</v>
      </c>
      <c r="E298">
        <v>23</v>
      </c>
      <c r="F298">
        <v>207</v>
      </c>
      <c r="G298">
        <f>Consulta2[[#This Row],[DIA_UTIL_CORRENTE]]</f>
        <v>17</v>
      </c>
      <c r="H298" s="6">
        <f>DAY(Consulta2[[#This Row],[DATA]])</f>
        <v>23</v>
      </c>
      <c r="I298" s="6">
        <f>MONTH(Consulta2[[#This Row],[DATA]])</f>
        <v>10</v>
      </c>
      <c r="J298" t="str">
        <f>CONCATENATE(Consulta2[[#This Row],[SAFRA]],Consulta2[[#This Row],[dia]])</f>
        <v>20241023</v>
      </c>
      <c r="K298">
        <f>Consulta2[[#This Row],[DIA_UTIL_CORRENTE]]</f>
        <v>17</v>
      </c>
    </row>
    <row r="299" spans="1:11" x14ac:dyDescent="0.25">
      <c r="A299">
        <v>202410</v>
      </c>
      <c r="B299">
        <v>18</v>
      </c>
      <c r="C299" s="148">
        <v>45589</v>
      </c>
      <c r="D299">
        <v>23</v>
      </c>
      <c r="E299">
        <v>23</v>
      </c>
      <c r="F299">
        <v>208</v>
      </c>
      <c r="G299">
        <f>Consulta2[[#This Row],[DIA_UTIL_CORRENTE]]</f>
        <v>18</v>
      </c>
      <c r="H299" s="6">
        <f>DAY(Consulta2[[#This Row],[DATA]])</f>
        <v>24</v>
      </c>
      <c r="I299" s="6">
        <f>MONTH(Consulta2[[#This Row],[DATA]])</f>
        <v>10</v>
      </c>
      <c r="J299" t="str">
        <f>CONCATENATE(Consulta2[[#This Row],[SAFRA]],Consulta2[[#This Row],[dia]])</f>
        <v>20241024</v>
      </c>
      <c r="K299">
        <f>Consulta2[[#This Row],[DIA_UTIL_CORRENTE]]</f>
        <v>18</v>
      </c>
    </row>
    <row r="300" spans="1:11" x14ac:dyDescent="0.25">
      <c r="A300">
        <v>202410</v>
      </c>
      <c r="B300">
        <v>19</v>
      </c>
      <c r="C300" s="148">
        <v>45590</v>
      </c>
      <c r="D300">
        <v>23</v>
      </c>
      <c r="E300">
        <v>23</v>
      </c>
      <c r="F300">
        <v>209</v>
      </c>
      <c r="G300">
        <f>Consulta2[[#This Row],[DIA_UTIL_CORRENTE]]</f>
        <v>19</v>
      </c>
      <c r="H300" s="6">
        <f>DAY(Consulta2[[#This Row],[DATA]])</f>
        <v>25</v>
      </c>
      <c r="I300" s="6">
        <f>MONTH(Consulta2[[#This Row],[DATA]])</f>
        <v>10</v>
      </c>
      <c r="J300" t="str">
        <f>CONCATENATE(Consulta2[[#This Row],[SAFRA]],Consulta2[[#This Row],[dia]])</f>
        <v>20241025</v>
      </c>
      <c r="K300">
        <f>Consulta2[[#This Row],[DIA_UTIL_CORRENTE]]</f>
        <v>19</v>
      </c>
    </row>
    <row r="301" spans="1:11" x14ac:dyDescent="0.25">
      <c r="A301">
        <v>202410</v>
      </c>
      <c r="B301">
        <v>19</v>
      </c>
      <c r="C301" s="148">
        <v>45591</v>
      </c>
      <c r="D301">
        <v>23</v>
      </c>
      <c r="E301">
        <v>23</v>
      </c>
      <c r="F301">
        <v>209</v>
      </c>
      <c r="G301">
        <f>Consulta2[[#This Row],[DIA_UTIL_CORRENTE]]</f>
        <v>19</v>
      </c>
      <c r="H301" s="6">
        <f>DAY(Consulta2[[#This Row],[DATA]])</f>
        <v>26</v>
      </c>
      <c r="I301" s="6">
        <f>MONTH(Consulta2[[#This Row],[DATA]])</f>
        <v>10</v>
      </c>
      <c r="J301" t="str">
        <f>CONCATENATE(Consulta2[[#This Row],[SAFRA]],Consulta2[[#This Row],[dia]])</f>
        <v>20241026</v>
      </c>
      <c r="K301">
        <f>Consulta2[[#This Row],[DIA_UTIL_CORRENTE]]</f>
        <v>19</v>
      </c>
    </row>
    <row r="302" spans="1:11" x14ac:dyDescent="0.25">
      <c r="A302">
        <v>202410</v>
      </c>
      <c r="B302">
        <v>19</v>
      </c>
      <c r="C302" s="148">
        <v>45592</v>
      </c>
      <c r="D302">
        <v>23</v>
      </c>
      <c r="E302">
        <v>23</v>
      </c>
      <c r="F302">
        <v>209</v>
      </c>
      <c r="G302">
        <f>Consulta2[[#This Row],[DIA_UTIL_CORRENTE]]</f>
        <v>19</v>
      </c>
      <c r="H302" s="6">
        <f>DAY(Consulta2[[#This Row],[DATA]])</f>
        <v>27</v>
      </c>
      <c r="I302" s="6">
        <f>MONTH(Consulta2[[#This Row],[DATA]])</f>
        <v>10</v>
      </c>
      <c r="J302" t="str">
        <f>CONCATENATE(Consulta2[[#This Row],[SAFRA]],Consulta2[[#This Row],[dia]])</f>
        <v>20241027</v>
      </c>
      <c r="K302">
        <f>Consulta2[[#This Row],[DIA_UTIL_CORRENTE]]</f>
        <v>19</v>
      </c>
    </row>
    <row r="303" spans="1:11" x14ac:dyDescent="0.25">
      <c r="A303">
        <v>202410</v>
      </c>
      <c r="B303">
        <v>20</v>
      </c>
      <c r="C303" s="148">
        <v>45593</v>
      </c>
      <c r="D303">
        <v>23</v>
      </c>
      <c r="E303">
        <v>23</v>
      </c>
      <c r="F303">
        <v>210</v>
      </c>
      <c r="G303">
        <f>Consulta2[[#This Row],[DIA_UTIL_CORRENTE]]</f>
        <v>20</v>
      </c>
      <c r="H303" s="6">
        <f>DAY(Consulta2[[#This Row],[DATA]])</f>
        <v>28</v>
      </c>
      <c r="I303" s="6">
        <f>MONTH(Consulta2[[#This Row],[DATA]])</f>
        <v>10</v>
      </c>
      <c r="J303" t="str">
        <f>CONCATENATE(Consulta2[[#This Row],[SAFRA]],Consulta2[[#This Row],[dia]])</f>
        <v>20241028</v>
      </c>
      <c r="K303">
        <f>Consulta2[[#This Row],[DIA_UTIL_CORRENTE]]</f>
        <v>20</v>
      </c>
    </row>
    <row r="304" spans="1:11" x14ac:dyDescent="0.25">
      <c r="A304">
        <v>202410</v>
      </c>
      <c r="B304">
        <v>21</v>
      </c>
      <c r="C304" s="148">
        <v>45594</v>
      </c>
      <c r="D304">
        <v>23</v>
      </c>
      <c r="E304">
        <v>23</v>
      </c>
      <c r="F304">
        <v>211</v>
      </c>
      <c r="G304">
        <f>Consulta2[[#This Row],[DIA_UTIL_CORRENTE]]</f>
        <v>21</v>
      </c>
      <c r="H304" s="6">
        <f>DAY(Consulta2[[#This Row],[DATA]])</f>
        <v>29</v>
      </c>
      <c r="I304" s="6">
        <f>MONTH(Consulta2[[#This Row],[DATA]])</f>
        <v>10</v>
      </c>
      <c r="J304" t="str">
        <f>CONCATENATE(Consulta2[[#This Row],[SAFRA]],Consulta2[[#This Row],[dia]])</f>
        <v>20241029</v>
      </c>
      <c r="K304">
        <f>Consulta2[[#This Row],[DIA_UTIL_CORRENTE]]</f>
        <v>21</v>
      </c>
    </row>
    <row r="305" spans="1:11" x14ac:dyDescent="0.25">
      <c r="A305">
        <v>202410</v>
      </c>
      <c r="B305">
        <v>22</v>
      </c>
      <c r="C305" s="148">
        <v>45595</v>
      </c>
      <c r="D305">
        <v>23</v>
      </c>
      <c r="E305">
        <v>23</v>
      </c>
      <c r="F305">
        <v>212</v>
      </c>
      <c r="G305">
        <f>Consulta2[[#This Row],[DIA_UTIL_CORRENTE]]</f>
        <v>22</v>
      </c>
      <c r="H305" s="6">
        <f>DAY(Consulta2[[#This Row],[DATA]])</f>
        <v>30</v>
      </c>
      <c r="I305" s="6">
        <f>MONTH(Consulta2[[#This Row],[DATA]])</f>
        <v>10</v>
      </c>
      <c r="J305" t="str">
        <f>CONCATENATE(Consulta2[[#This Row],[SAFRA]],Consulta2[[#This Row],[dia]])</f>
        <v>20241030</v>
      </c>
      <c r="K305">
        <f>Consulta2[[#This Row],[DIA_UTIL_CORRENTE]]</f>
        <v>22</v>
      </c>
    </row>
    <row r="306" spans="1:11" x14ac:dyDescent="0.25">
      <c r="A306">
        <v>202410</v>
      </c>
      <c r="B306">
        <v>23</v>
      </c>
      <c r="C306" s="148">
        <v>45596</v>
      </c>
      <c r="D306">
        <v>23</v>
      </c>
      <c r="E306">
        <v>23</v>
      </c>
      <c r="F306">
        <v>213</v>
      </c>
      <c r="G306">
        <f>Consulta2[[#This Row],[DIA_UTIL_CORRENTE]]</f>
        <v>23</v>
      </c>
      <c r="H306" s="6">
        <f>DAY(Consulta2[[#This Row],[DATA]])</f>
        <v>31</v>
      </c>
      <c r="I306" s="6">
        <f>MONTH(Consulta2[[#This Row],[DATA]])</f>
        <v>10</v>
      </c>
      <c r="J306" t="str">
        <f>CONCATENATE(Consulta2[[#This Row],[SAFRA]],Consulta2[[#This Row],[dia]])</f>
        <v>20241031</v>
      </c>
      <c r="K306">
        <f>Consulta2[[#This Row],[DIA_UTIL_CORRENTE]]</f>
        <v>23</v>
      </c>
    </row>
    <row r="307" spans="1:11" x14ac:dyDescent="0.25">
      <c r="A307">
        <v>202411</v>
      </c>
      <c r="B307">
        <v>1</v>
      </c>
      <c r="C307" s="148">
        <v>45597</v>
      </c>
      <c r="D307">
        <v>19</v>
      </c>
      <c r="E307">
        <v>19</v>
      </c>
      <c r="F307">
        <v>214</v>
      </c>
      <c r="G307">
        <f>Consulta2[[#This Row],[DIA_UTIL_CORRENTE]]</f>
        <v>1</v>
      </c>
      <c r="H307" s="6">
        <f>DAY(Consulta2[[#This Row],[DATA]])</f>
        <v>1</v>
      </c>
      <c r="I307" s="6">
        <f>MONTH(Consulta2[[#This Row],[DATA]])</f>
        <v>11</v>
      </c>
      <c r="J307" t="str">
        <f>CONCATENATE(Consulta2[[#This Row],[SAFRA]],Consulta2[[#This Row],[dia]])</f>
        <v>2024111</v>
      </c>
      <c r="K307">
        <f>Consulta2[[#This Row],[DIA_UTIL_CORRENTE]]</f>
        <v>1</v>
      </c>
    </row>
    <row r="308" spans="1:11" x14ac:dyDescent="0.25">
      <c r="A308">
        <v>202411</v>
      </c>
      <c r="B308">
        <v>1</v>
      </c>
      <c r="C308" s="148">
        <v>45598</v>
      </c>
      <c r="D308">
        <v>19</v>
      </c>
      <c r="E308">
        <v>19</v>
      </c>
      <c r="F308">
        <v>214</v>
      </c>
      <c r="G308">
        <f>Consulta2[[#This Row],[DIA_UTIL_CORRENTE]]</f>
        <v>1</v>
      </c>
      <c r="H308" s="6">
        <f>DAY(Consulta2[[#This Row],[DATA]])</f>
        <v>2</v>
      </c>
      <c r="I308" s="6">
        <f>MONTH(Consulta2[[#This Row],[DATA]])</f>
        <v>11</v>
      </c>
      <c r="J308" t="str">
        <f>CONCATENATE(Consulta2[[#This Row],[SAFRA]],Consulta2[[#This Row],[dia]])</f>
        <v>2024112</v>
      </c>
      <c r="K308">
        <f>Consulta2[[#This Row],[DIA_UTIL_CORRENTE]]</f>
        <v>1</v>
      </c>
    </row>
    <row r="309" spans="1:11" x14ac:dyDescent="0.25">
      <c r="A309">
        <v>202411</v>
      </c>
      <c r="B309">
        <v>1</v>
      </c>
      <c r="C309" s="148">
        <v>45599</v>
      </c>
      <c r="D309">
        <v>19</v>
      </c>
      <c r="E309">
        <v>19</v>
      </c>
      <c r="F309">
        <v>214</v>
      </c>
      <c r="G309">
        <f>Consulta2[[#This Row],[DIA_UTIL_CORRENTE]]</f>
        <v>1</v>
      </c>
      <c r="H309" s="6">
        <f>DAY(Consulta2[[#This Row],[DATA]])</f>
        <v>3</v>
      </c>
      <c r="I309" s="6">
        <f>MONTH(Consulta2[[#This Row],[DATA]])</f>
        <v>11</v>
      </c>
      <c r="J309" t="str">
        <f>CONCATENATE(Consulta2[[#This Row],[SAFRA]],Consulta2[[#This Row],[dia]])</f>
        <v>2024113</v>
      </c>
      <c r="K309">
        <f>Consulta2[[#This Row],[DIA_UTIL_CORRENTE]]</f>
        <v>1</v>
      </c>
    </row>
    <row r="310" spans="1:11" x14ac:dyDescent="0.25">
      <c r="A310">
        <v>202411</v>
      </c>
      <c r="B310">
        <v>2</v>
      </c>
      <c r="C310" s="148">
        <v>45600</v>
      </c>
      <c r="D310">
        <v>19</v>
      </c>
      <c r="E310">
        <v>19</v>
      </c>
      <c r="F310">
        <v>215</v>
      </c>
      <c r="G310">
        <f>Consulta2[[#This Row],[DIA_UTIL_CORRENTE]]</f>
        <v>2</v>
      </c>
      <c r="H310" s="6">
        <f>DAY(Consulta2[[#This Row],[DATA]])</f>
        <v>4</v>
      </c>
      <c r="I310" s="6">
        <f>MONTH(Consulta2[[#This Row],[DATA]])</f>
        <v>11</v>
      </c>
      <c r="J310" t="str">
        <f>CONCATENATE(Consulta2[[#This Row],[SAFRA]],Consulta2[[#This Row],[dia]])</f>
        <v>2024114</v>
      </c>
      <c r="K310">
        <f>Consulta2[[#This Row],[DIA_UTIL_CORRENTE]]</f>
        <v>2</v>
      </c>
    </row>
    <row r="311" spans="1:11" x14ac:dyDescent="0.25">
      <c r="A311">
        <v>202411</v>
      </c>
      <c r="B311">
        <v>3</v>
      </c>
      <c r="C311" s="148">
        <v>45601</v>
      </c>
      <c r="D311">
        <v>19</v>
      </c>
      <c r="E311">
        <v>19</v>
      </c>
      <c r="F311">
        <v>216</v>
      </c>
      <c r="G311">
        <f>Consulta2[[#This Row],[DIA_UTIL_CORRENTE]]</f>
        <v>3</v>
      </c>
      <c r="H311" s="6">
        <f>DAY(Consulta2[[#This Row],[DATA]])</f>
        <v>5</v>
      </c>
      <c r="I311" s="6">
        <f>MONTH(Consulta2[[#This Row],[DATA]])</f>
        <v>11</v>
      </c>
      <c r="J311" t="str">
        <f>CONCATENATE(Consulta2[[#This Row],[SAFRA]],Consulta2[[#This Row],[dia]])</f>
        <v>2024115</v>
      </c>
      <c r="K311">
        <f>Consulta2[[#This Row],[DIA_UTIL_CORRENTE]]</f>
        <v>3</v>
      </c>
    </row>
    <row r="312" spans="1:11" x14ac:dyDescent="0.25">
      <c r="A312">
        <v>202411</v>
      </c>
      <c r="B312">
        <v>4</v>
      </c>
      <c r="C312" s="148">
        <v>45602</v>
      </c>
      <c r="D312">
        <v>19</v>
      </c>
      <c r="E312">
        <v>19</v>
      </c>
      <c r="F312">
        <v>217</v>
      </c>
      <c r="G312">
        <f>Consulta2[[#This Row],[DIA_UTIL_CORRENTE]]</f>
        <v>4</v>
      </c>
      <c r="H312" s="6">
        <f>DAY(Consulta2[[#This Row],[DATA]])</f>
        <v>6</v>
      </c>
      <c r="I312" s="6">
        <f>MONTH(Consulta2[[#This Row],[DATA]])</f>
        <v>11</v>
      </c>
      <c r="J312" t="str">
        <f>CONCATENATE(Consulta2[[#This Row],[SAFRA]],Consulta2[[#This Row],[dia]])</f>
        <v>2024116</v>
      </c>
      <c r="K312">
        <f>Consulta2[[#This Row],[DIA_UTIL_CORRENTE]]</f>
        <v>4</v>
      </c>
    </row>
    <row r="313" spans="1:11" x14ac:dyDescent="0.25">
      <c r="A313">
        <v>202411</v>
      </c>
      <c r="B313">
        <v>5</v>
      </c>
      <c r="C313" s="148">
        <v>45603</v>
      </c>
      <c r="D313">
        <v>19</v>
      </c>
      <c r="E313">
        <v>19</v>
      </c>
      <c r="F313">
        <v>218</v>
      </c>
      <c r="G313">
        <f>Consulta2[[#This Row],[DIA_UTIL_CORRENTE]]</f>
        <v>5</v>
      </c>
      <c r="H313" s="6">
        <f>DAY(Consulta2[[#This Row],[DATA]])</f>
        <v>7</v>
      </c>
      <c r="I313" s="6">
        <f>MONTH(Consulta2[[#This Row],[DATA]])</f>
        <v>11</v>
      </c>
      <c r="J313" t="str">
        <f>CONCATENATE(Consulta2[[#This Row],[SAFRA]],Consulta2[[#This Row],[dia]])</f>
        <v>2024117</v>
      </c>
      <c r="K313">
        <f>Consulta2[[#This Row],[DIA_UTIL_CORRENTE]]</f>
        <v>5</v>
      </c>
    </row>
    <row r="314" spans="1:11" x14ac:dyDescent="0.25">
      <c r="A314">
        <v>202411</v>
      </c>
      <c r="B314">
        <v>6</v>
      </c>
      <c r="C314" s="148">
        <v>45604</v>
      </c>
      <c r="D314">
        <v>19</v>
      </c>
      <c r="E314">
        <v>19</v>
      </c>
      <c r="F314">
        <v>219</v>
      </c>
      <c r="G314">
        <f>Consulta2[[#This Row],[DIA_UTIL_CORRENTE]]</f>
        <v>6</v>
      </c>
      <c r="H314" s="6">
        <f>DAY(Consulta2[[#This Row],[DATA]])</f>
        <v>8</v>
      </c>
      <c r="I314" s="6">
        <f>MONTH(Consulta2[[#This Row],[DATA]])</f>
        <v>11</v>
      </c>
      <c r="J314" t="str">
        <f>CONCATENATE(Consulta2[[#This Row],[SAFRA]],Consulta2[[#This Row],[dia]])</f>
        <v>2024118</v>
      </c>
      <c r="K314">
        <f>Consulta2[[#This Row],[DIA_UTIL_CORRENTE]]</f>
        <v>6</v>
      </c>
    </row>
    <row r="315" spans="1:11" x14ac:dyDescent="0.25">
      <c r="A315">
        <v>202411</v>
      </c>
      <c r="B315">
        <v>6</v>
      </c>
      <c r="C315" s="148">
        <v>45605</v>
      </c>
      <c r="D315">
        <v>19</v>
      </c>
      <c r="E315">
        <v>19</v>
      </c>
      <c r="F315">
        <v>219</v>
      </c>
      <c r="G315">
        <f>Consulta2[[#This Row],[DIA_UTIL_CORRENTE]]</f>
        <v>6</v>
      </c>
      <c r="H315" s="6">
        <f>DAY(Consulta2[[#This Row],[DATA]])</f>
        <v>9</v>
      </c>
      <c r="I315" s="6">
        <f>MONTH(Consulta2[[#This Row],[DATA]])</f>
        <v>11</v>
      </c>
      <c r="J315" t="str">
        <f>CONCATENATE(Consulta2[[#This Row],[SAFRA]],Consulta2[[#This Row],[dia]])</f>
        <v>2024119</v>
      </c>
      <c r="K315">
        <f>Consulta2[[#This Row],[DIA_UTIL_CORRENTE]]</f>
        <v>6</v>
      </c>
    </row>
    <row r="316" spans="1:11" x14ac:dyDescent="0.25">
      <c r="A316">
        <v>202411</v>
      </c>
      <c r="B316">
        <v>6</v>
      </c>
      <c r="C316" s="148">
        <v>45606</v>
      </c>
      <c r="D316">
        <v>19</v>
      </c>
      <c r="E316">
        <v>19</v>
      </c>
      <c r="F316">
        <v>219</v>
      </c>
      <c r="G316">
        <f>Consulta2[[#This Row],[DIA_UTIL_CORRENTE]]</f>
        <v>6</v>
      </c>
      <c r="H316" s="6">
        <f>DAY(Consulta2[[#This Row],[DATA]])</f>
        <v>10</v>
      </c>
      <c r="I316" s="6">
        <f>MONTH(Consulta2[[#This Row],[DATA]])</f>
        <v>11</v>
      </c>
      <c r="J316" t="str">
        <f>CONCATENATE(Consulta2[[#This Row],[SAFRA]],Consulta2[[#This Row],[dia]])</f>
        <v>20241110</v>
      </c>
      <c r="K316">
        <f>Consulta2[[#This Row],[DIA_UTIL_CORRENTE]]</f>
        <v>6</v>
      </c>
    </row>
    <row r="317" spans="1:11" x14ac:dyDescent="0.25">
      <c r="A317">
        <v>202411</v>
      </c>
      <c r="B317">
        <v>7</v>
      </c>
      <c r="C317" s="148">
        <v>45607</v>
      </c>
      <c r="D317">
        <v>19</v>
      </c>
      <c r="E317">
        <v>19</v>
      </c>
      <c r="F317">
        <v>220</v>
      </c>
      <c r="G317">
        <f>Consulta2[[#This Row],[DIA_UTIL_CORRENTE]]</f>
        <v>7</v>
      </c>
      <c r="H317" s="6">
        <f>DAY(Consulta2[[#This Row],[DATA]])</f>
        <v>11</v>
      </c>
      <c r="I317" s="6">
        <f>MONTH(Consulta2[[#This Row],[DATA]])</f>
        <v>11</v>
      </c>
      <c r="J317" t="str">
        <f>CONCATENATE(Consulta2[[#This Row],[SAFRA]],Consulta2[[#This Row],[dia]])</f>
        <v>20241111</v>
      </c>
      <c r="K317">
        <f>Consulta2[[#This Row],[DIA_UTIL_CORRENTE]]</f>
        <v>7</v>
      </c>
    </row>
    <row r="318" spans="1:11" x14ac:dyDescent="0.25">
      <c r="A318">
        <v>202411</v>
      </c>
      <c r="B318">
        <v>8</v>
      </c>
      <c r="C318" s="148">
        <v>45608</v>
      </c>
      <c r="D318">
        <v>19</v>
      </c>
      <c r="E318">
        <v>19</v>
      </c>
      <c r="F318">
        <v>221</v>
      </c>
      <c r="G318">
        <f>Consulta2[[#This Row],[DIA_UTIL_CORRENTE]]</f>
        <v>8</v>
      </c>
      <c r="H318" s="6">
        <f>DAY(Consulta2[[#This Row],[DATA]])</f>
        <v>12</v>
      </c>
      <c r="I318" s="6">
        <f>MONTH(Consulta2[[#This Row],[DATA]])</f>
        <v>11</v>
      </c>
      <c r="J318" t="str">
        <f>CONCATENATE(Consulta2[[#This Row],[SAFRA]],Consulta2[[#This Row],[dia]])</f>
        <v>20241112</v>
      </c>
      <c r="K318">
        <f>Consulta2[[#This Row],[DIA_UTIL_CORRENTE]]</f>
        <v>8</v>
      </c>
    </row>
    <row r="319" spans="1:11" x14ac:dyDescent="0.25">
      <c r="A319">
        <v>202411</v>
      </c>
      <c r="B319">
        <v>9</v>
      </c>
      <c r="C319" s="148">
        <v>45609</v>
      </c>
      <c r="D319">
        <v>19</v>
      </c>
      <c r="E319">
        <v>19</v>
      </c>
      <c r="F319">
        <v>222</v>
      </c>
      <c r="G319">
        <f>Consulta2[[#This Row],[DIA_UTIL_CORRENTE]]</f>
        <v>9</v>
      </c>
      <c r="H319" s="6">
        <f>DAY(Consulta2[[#This Row],[DATA]])</f>
        <v>13</v>
      </c>
      <c r="I319" s="6">
        <f>MONTH(Consulta2[[#This Row],[DATA]])</f>
        <v>11</v>
      </c>
      <c r="J319" t="str">
        <f>CONCATENATE(Consulta2[[#This Row],[SAFRA]],Consulta2[[#This Row],[dia]])</f>
        <v>20241113</v>
      </c>
      <c r="K319">
        <f>Consulta2[[#This Row],[DIA_UTIL_CORRENTE]]</f>
        <v>9</v>
      </c>
    </row>
    <row r="320" spans="1:11" x14ac:dyDescent="0.25">
      <c r="A320">
        <v>202411</v>
      </c>
      <c r="B320">
        <v>10</v>
      </c>
      <c r="C320" s="148">
        <v>45610</v>
      </c>
      <c r="D320">
        <v>19</v>
      </c>
      <c r="E320">
        <v>19</v>
      </c>
      <c r="F320">
        <v>223</v>
      </c>
      <c r="G320">
        <f>Consulta2[[#This Row],[DIA_UTIL_CORRENTE]]</f>
        <v>10</v>
      </c>
      <c r="H320" s="6">
        <f>DAY(Consulta2[[#This Row],[DATA]])</f>
        <v>14</v>
      </c>
      <c r="I320" s="6">
        <f>MONTH(Consulta2[[#This Row],[DATA]])</f>
        <v>11</v>
      </c>
      <c r="J320" t="str">
        <f>CONCATENATE(Consulta2[[#This Row],[SAFRA]],Consulta2[[#This Row],[dia]])</f>
        <v>20241114</v>
      </c>
      <c r="K320">
        <f>Consulta2[[#This Row],[DIA_UTIL_CORRENTE]]</f>
        <v>10</v>
      </c>
    </row>
    <row r="321" spans="1:11" x14ac:dyDescent="0.25">
      <c r="A321">
        <v>202411</v>
      </c>
      <c r="B321">
        <v>10</v>
      </c>
      <c r="C321" s="148">
        <v>45611</v>
      </c>
      <c r="D321">
        <v>19</v>
      </c>
      <c r="E321">
        <v>19</v>
      </c>
      <c r="F321">
        <v>223</v>
      </c>
      <c r="G321">
        <f>Consulta2[[#This Row],[DIA_UTIL_CORRENTE]]</f>
        <v>10</v>
      </c>
      <c r="H321" s="6">
        <f>DAY(Consulta2[[#This Row],[DATA]])</f>
        <v>15</v>
      </c>
      <c r="I321" s="6">
        <f>MONTH(Consulta2[[#This Row],[DATA]])</f>
        <v>11</v>
      </c>
      <c r="J321" t="str">
        <f>CONCATENATE(Consulta2[[#This Row],[SAFRA]],Consulta2[[#This Row],[dia]])</f>
        <v>20241115</v>
      </c>
      <c r="K321">
        <f>Consulta2[[#This Row],[DIA_UTIL_CORRENTE]]</f>
        <v>10</v>
      </c>
    </row>
    <row r="322" spans="1:11" x14ac:dyDescent="0.25">
      <c r="A322">
        <v>202411</v>
      </c>
      <c r="B322">
        <v>10</v>
      </c>
      <c r="C322" s="148">
        <v>45612</v>
      </c>
      <c r="D322">
        <v>19</v>
      </c>
      <c r="E322">
        <v>19</v>
      </c>
      <c r="F322">
        <v>223</v>
      </c>
      <c r="G322">
        <f>Consulta2[[#This Row],[DIA_UTIL_CORRENTE]]</f>
        <v>10</v>
      </c>
      <c r="H322" s="6">
        <f>DAY(Consulta2[[#This Row],[DATA]])</f>
        <v>16</v>
      </c>
      <c r="I322" s="6">
        <f>MONTH(Consulta2[[#This Row],[DATA]])</f>
        <v>11</v>
      </c>
      <c r="J322" t="str">
        <f>CONCATENATE(Consulta2[[#This Row],[SAFRA]],Consulta2[[#This Row],[dia]])</f>
        <v>20241116</v>
      </c>
      <c r="K322">
        <f>Consulta2[[#This Row],[DIA_UTIL_CORRENTE]]</f>
        <v>10</v>
      </c>
    </row>
    <row r="323" spans="1:11" x14ac:dyDescent="0.25">
      <c r="A323">
        <v>202411</v>
      </c>
      <c r="B323">
        <v>10</v>
      </c>
      <c r="C323" s="148">
        <v>45613</v>
      </c>
      <c r="D323">
        <v>19</v>
      </c>
      <c r="E323">
        <v>19</v>
      </c>
      <c r="F323">
        <v>223</v>
      </c>
      <c r="G323">
        <f>Consulta2[[#This Row],[DIA_UTIL_CORRENTE]]</f>
        <v>10</v>
      </c>
      <c r="H323" s="6">
        <f>DAY(Consulta2[[#This Row],[DATA]])</f>
        <v>17</v>
      </c>
      <c r="I323" s="6">
        <f>MONTH(Consulta2[[#This Row],[DATA]])</f>
        <v>11</v>
      </c>
      <c r="J323" t="str">
        <f>CONCATENATE(Consulta2[[#This Row],[SAFRA]],Consulta2[[#This Row],[dia]])</f>
        <v>20241117</v>
      </c>
      <c r="K323">
        <f>Consulta2[[#This Row],[DIA_UTIL_CORRENTE]]</f>
        <v>10</v>
      </c>
    </row>
    <row r="324" spans="1:11" x14ac:dyDescent="0.25">
      <c r="A324">
        <v>202411</v>
      </c>
      <c r="B324">
        <v>11</v>
      </c>
      <c r="C324" s="148">
        <v>45614</v>
      </c>
      <c r="D324">
        <v>19</v>
      </c>
      <c r="E324">
        <v>19</v>
      </c>
      <c r="F324">
        <v>224</v>
      </c>
      <c r="G324">
        <f>Consulta2[[#This Row],[DIA_UTIL_CORRENTE]]</f>
        <v>11</v>
      </c>
      <c r="H324" s="6">
        <f>DAY(Consulta2[[#This Row],[DATA]])</f>
        <v>18</v>
      </c>
      <c r="I324" s="6">
        <f>MONTH(Consulta2[[#This Row],[DATA]])</f>
        <v>11</v>
      </c>
      <c r="J324" t="str">
        <f>CONCATENATE(Consulta2[[#This Row],[SAFRA]],Consulta2[[#This Row],[dia]])</f>
        <v>20241118</v>
      </c>
      <c r="K324">
        <f>Consulta2[[#This Row],[DIA_UTIL_CORRENTE]]</f>
        <v>11</v>
      </c>
    </row>
    <row r="325" spans="1:11" x14ac:dyDescent="0.25">
      <c r="A325">
        <v>202411</v>
      </c>
      <c r="B325">
        <v>12</v>
      </c>
      <c r="C325" s="148">
        <v>45615</v>
      </c>
      <c r="D325">
        <v>19</v>
      </c>
      <c r="E325">
        <v>19</v>
      </c>
      <c r="F325">
        <v>225</v>
      </c>
      <c r="G325">
        <f>Consulta2[[#This Row],[DIA_UTIL_CORRENTE]]</f>
        <v>12</v>
      </c>
      <c r="H325" s="6">
        <f>DAY(Consulta2[[#This Row],[DATA]])</f>
        <v>19</v>
      </c>
      <c r="I325" s="6">
        <f>MONTH(Consulta2[[#This Row],[DATA]])</f>
        <v>11</v>
      </c>
      <c r="J325" t="str">
        <f>CONCATENATE(Consulta2[[#This Row],[SAFRA]],Consulta2[[#This Row],[dia]])</f>
        <v>20241119</v>
      </c>
      <c r="K325">
        <f>Consulta2[[#This Row],[DIA_UTIL_CORRENTE]]</f>
        <v>12</v>
      </c>
    </row>
    <row r="326" spans="1:11" x14ac:dyDescent="0.25">
      <c r="A326">
        <v>202411</v>
      </c>
      <c r="B326">
        <v>12</v>
      </c>
      <c r="C326" s="148">
        <v>45616</v>
      </c>
      <c r="D326">
        <v>19</v>
      </c>
      <c r="E326">
        <v>19</v>
      </c>
      <c r="F326">
        <v>225</v>
      </c>
      <c r="G326">
        <f>Consulta2[[#This Row],[DIA_UTIL_CORRENTE]]</f>
        <v>12</v>
      </c>
      <c r="H326" s="6">
        <f>DAY(Consulta2[[#This Row],[DATA]])</f>
        <v>20</v>
      </c>
      <c r="I326" s="6">
        <f>MONTH(Consulta2[[#This Row],[DATA]])</f>
        <v>11</v>
      </c>
      <c r="J326" t="str">
        <f>CONCATENATE(Consulta2[[#This Row],[SAFRA]],Consulta2[[#This Row],[dia]])</f>
        <v>20241120</v>
      </c>
      <c r="K326">
        <f>Consulta2[[#This Row],[DIA_UTIL_CORRENTE]]</f>
        <v>12</v>
      </c>
    </row>
    <row r="327" spans="1:11" x14ac:dyDescent="0.25">
      <c r="A327">
        <v>202411</v>
      </c>
      <c r="B327">
        <v>13</v>
      </c>
      <c r="C327" s="148">
        <v>45617</v>
      </c>
      <c r="D327">
        <v>19</v>
      </c>
      <c r="E327">
        <v>19</v>
      </c>
      <c r="F327">
        <v>226</v>
      </c>
      <c r="G327">
        <f>Consulta2[[#This Row],[DIA_UTIL_CORRENTE]]</f>
        <v>13</v>
      </c>
      <c r="H327" s="6">
        <f>DAY(Consulta2[[#This Row],[DATA]])</f>
        <v>21</v>
      </c>
      <c r="I327" s="6">
        <f>MONTH(Consulta2[[#This Row],[DATA]])</f>
        <v>11</v>
      </c>
      <c r="J327" t="str">
        <f>CONCATENATE(Consulta2[[#This Row],[SAFRA]],Consulta2[[#This Row],[dia]])</f>
        <v>20241121</v>
      </c>
      <c r="K327">
        <f>Consulta2[[#This Row],[DIA_UTIL_CORRENTE]]</f>
        <v>13</v>
      </c>
    </row>
    <row r="328" spans="1:11" x14ac:dyDescent="0.25">
      <c r="A328">
        <v>202411</v>
      </c>
      <c r="B328">
        <v>14</v>
      </c>
      <c r="C328" s="148">
        <v>45618</v>
      </c>
      <c r="D328">
        <v>19</v>
      </c>
      <c r="E328">
        <v>19</v>
      </c>
      <c r="F328">
        <v>227</v>
      </c>
      <c r="G328">
        <f>Consulta2[[#This Row],[DIA_UTIL_CORRENTE]]</f>
        <v>14</v>
      </c>
      <c r="H328" s="6">
        <f>DAY(Consulta2[[#This Row],[DATA]])</f>
        <v>22</v>
      </c>
      <c r="I328" s="6">
        <f>MONTH(Consulta2[[#This Row],[DATA]])</f>
        <v>11</v>
      </c>
      <c r="J328" t="str">
        <f>CONCATENATE(Consulta2[[#This Row],[SAFRA]],Consulta2[[#This Row],[dia]])</f>
        <v>20241122</v>
      </c>
      <c r="K328">
        <f>Consulta2[[#This Row],[DIA_UTIL_CORRENTE]]</f>
        <v>14</v>
      </c>
    </row>
    <row r="329" spans="1:11" x14ac:dyDescent="0.25">
      <c r="A329">
        <v>202411</v>
      </c>
      <c r="B329">
        <v>14</v>
      </c>
      <c r="C329" s="148">
        <v>45619</v>
      </c>
      <c r="D329">
        <v>19</v>
      </c>
      <c r="E329">
        <v>19</v>
      </c>
      <c r="F329">
        <v>227</v>
      </c>
      <c r="G329">
        <f>Consulta2[[#This Row],[DIA_UTIL_CORRENTE]]</f>
        <v>14</v>
      </c>
      <c r="H329" s="6">
        <f>DAY(Consulta2[[#This Row],[DATA]])</f>
        <v>23</v>
      </c>
      <c r="I329" s="6">
        <f>MONTH(Consulta2[[#This Row],[DATA]])</f>
        <v>11</v>
      </c>
      <c r="J329" t="str">
        <f>CONCATENATE(Consulta2[[#This Row],[SAFRA]],Consulta2[[#This Row],[dia]])</f>
        <v>20241123</v>
      </c>
      <c r="K329">
        <f>Consulta2[[#This Row],[DIA_UTIL_CORRENTE]]</f>
        <v>14</v>
      </c>
    </row>
    <row r="330" spans="1:11" x14ac:dyDescent="0.25">
      <c r="A330">
        <v>202411</v>
      </c>
      <c r="B330">
        <v>14</v>
      </c>
      <c r="C330" s="148">
        <v>45620</v>
      </c>
      <c r="D330">
        <v>19</v>
      </c>
      <c r="E330">
        <v>19</v>
      </c>
      <c r="F330">
        <v>227</v>
      </c>
      <c r="G330">
        <f>Consulta2[[#This Row],[DIA_UTIL_CORRENTE]]</f>
        <v>14</v>
      </c>
      <c r="H330" s="6">
        <f>DAY(Consulta2[[#This Row],[DATA]])</f>
        <v>24</v>
      </c>
      <c r="I330" s="6">
        <f>MONTH(Consulta2[[#This Row],[DATA]])</f>
        <v>11</v>
      </c>
      <c r="J330" t="str">
        <f>CONCATENATE(Consulta2[[#This Row],[SAFRA]],Consulta2[[#This Row],[dia]])</f>
        <v>20241124</v>
      </c>
      <c r="K330">
        <f>Consulta2[[#This Row],[DIA_UTIL_CORRENTE]]</f>
        <v>14</v>
      </c>
    </row>
    <row r="331" spans="1:11" x14ac:dyDescent="0.25">
      <c r="A331">
        <v>202411</v>
      </c>
      <c r="B331">
        <v>15</v>
      </c>
      <c r="C331" s="148">
        <v>45621</v>
      </c>
      <c r="D331">
        <v>19</v>
      </c>
      <c r="E331">
        <v>19</v>
      </c>
      <c r="F331">
        <v>228</v>
      </c>
      <c r="G331">
        <f>Consulta2[[#This Row],[DIA_UTIL_CORRENTE]]</f>
        <v>15</v>
      </c>
      <c r="H331" s="6">
        <f>DAY(Consulta2[[#This Row],[DATA]])</f>
        <v>25</v>
      </c>
      <c r="I331" s="6">
        <f>MONTH(Consulta2[[#This Row],[DATA]])</f>
        <v>11</v>
      </c>
      <c r="J331" t="str">
        <f>CONCATENATE(Consulta2[[#This Row],[SAFRA]],Consulta2[[#This Row],[dia]])</f>
        <v>20241125</v>
      </c>
      <c r="K331">
        <f>Consulta2[[#This Row],[DIA_UTIL_CORRENTE]]</f>
        <v>15</v>
      </c>
    </row>
    <row r="332" spans="1:11" x14ac:dyDescent="0.25">
      <c r="A332">
        <v>202411</v>
      </c>
      <c r="B332">
        <v>16</v>
      </c>
      <c r="C332" s="148">
        <v>45622</v>
      </c>
      <c r="D332">
        <v>19</v>
      </c>
      <c r="E332">
        <v>19</v>
      </c>
      <c r="F332">
        <v>229</v>
      </c>
      <c r="G332">
        <f>Consulta2[[#This Row],[DIA_UTIL_CORRENTE]]</f>
        <v>16</v>
      </c>
      <c r="H332" s="6">
        <f>DAY(Consulta2[[#This Row],[DATA]])</f>
        <v>26</v>
      </c>
      <c r="I332" s="6">
        <f>MONTH(Consulta2[[#This Row],[DATA]])</f>
        <v>11</v>
      </c>
      <c r="J332" t="str">
        <f>CONCATENATE(Consulta2[[#This Row],[SAFRA]],Consulta2[[#This Row],[dia]])</f>
        <v>20241126</v>
      </c>
      <c r="K332">
        <f>Consulta2[[#This Row],[DIA_UTIL_CORRENTE]]</f>
        <v>16</v>
      </c>
    </row>
    <row r="333" spans="1:11" x14ac:dyDescent="0.25">
      <c r="A333">
        <v>202411</v>
      </c>
      <c r="B333">
        <v>17</v>
      </c>
      <c r="C333" s="148">
        <v>45623</v>
      </c>
      <c r="D333">
        <v>19</v>
      </c>
      <c r="E333">
        <v>19</v>
      </c>
      <c r="F333">
        <v>230</v>
      </c>
      <c r="G333">
        <f>Consulta2[[#This Row],[DIA_UTIL_CORRENTE]]</f>
        <v>17</v>
      </c>
      <c r="H333" s="6">
        <f>DAY(Consulta2[[#This Row],[DATA]])</f>
        <v>27</v>
      </c>
      <c r="I333" s="6">
        <f>MONTH(Consulta2[[#This Row],[DATA]])</f>
        <v>11</v>
      </c>
      <c r="J333" t="str">
        <f>CONCATENATE(Consulta2[[#This Row],[SAFRA]],Consulta2[[#This Row],[dia]])</f>
        <v>20241127</v>
      </c>
      <c r="K333">
        <f>Consulta2[[#This Row],[DIA_UTIL_CORRENTE]]</f>
        <v>17</v>
      </c>
    </row>
    <row r="334" spans="1:11" x14ac:dyDescent="0.25">
      <c r="A334">
        <v>202411</v>
      </c>
      <c r="B334">
        <v>18</v>
      </c>
      <c r="C334" s="148">
        <v>45624</v>
      </c>
      <c r="D334">
        <v>19</v>
      </c>
      <c r="E334">
        <v>19</v>
      </c>
      <c r="F334">
        <v>231</v>
      </c>
      <c r="G334">
        <f>Consulta2[[#This Row],[DIA_UTIL_CORRENTE]]</f>
        <v>18</v>
      </c>
      <c r="H334" s="6">
        <f>DAY(Consulta2[[#This Row],[DATA]])</f>
        <v>28</v>
      </c>
      <c r="I334" s="6">
        <f>MONTH(Consulta2[[#This Row],[DATA]])</f>
        <v>11</v>
      </c>
      <c r="J334" t="str">
        <f>CONCATENATE(Consulta2[[#This Row],[SAFRA]],Consulta2[[#This Row],[dia]])</f>
        <v>20241128</v>
      </c>
      <c r="K334">
        <f>Consulta2[[#This Row],[DIA_UTIL_CORRENTE]]</f>
        <v>18</v>
      </c>
    </row>
    <row r="335" spans="1:11" x14ac:dyDescent="0.25">
      <c r="A335">
        <v>202411</v>
      </c>
      <c r="B335">
        <v>19</v>
      </c>
      <c r="C335" s="148">
        <v>45625</v>
      </c>
      <c r="D335">
        <v>19</v>
      </c>
      <c r="E335">
        <v>19</v>
      </c>
      <c r="F335">
        <v>232</v>
      </c>
      <c r="G335">
        <f>Consulta2[[#This Row],[DIA_UTIL_CORRENTE]]</f>
        <v>19</v>
      </c>
      <c r="H335" s="6">
        <f>DAY(Consulta2[[#This Row],[DATA]])</f>
        <v>29</v>
      </c>
      <c r="I335" s="6">
        <f>MONTH(Consulta2[[#This Row],[DATA]])</f>
        <v>11</v>
      </c>
      <c r="J335" t="str">
        <f>CONCATENATE(Consulta2[[#This Row],[SAFRA]],Consulta2[[#This Row],[dia]])</f>
        <v>20241129</v>
      </c>
      <c r="K335">
        <f>Consulta2[[#This Row],[DIA_UTIL_CORRENTE]]</f>
        <v>19</v>
      </c>
    </row>
    <row r="336" spans="1:11" x14ac:dyDescent="0.25">
      <c r="A336">
        <v>202411</v>
      </c>
      <c r="B336">
        <v>19</v>
      </c>
      <c r="C336" s="148">
        <v>45626</v>
      </c>
      <c r="D336">
        <v>19</v>
      </c>
      <c r="E336">
        <v>19</v>
      </c>
      <c r="F336">
        <v>232</v>
      </c>
      <c r="G336">
        <f>Consulta2[[#This Row],[DIA_UTIL_CORRENTE]]</f>
        <v>19</v>
      </c>
      <c r="H336" s="6">
        <f>DAY(Consulta2[[#This Row],[DATA]])</f>
        <v>30</v>
      </c>
      <c r="I336" s="6">
        <f>MONTH(Consulta2[[#This Row],[DATA]])</f>
        <v>11</v>
      </c>
      <c r="J336" t="str">
        <f>CONCATENATE(Consulta2[[#This Row],[SAFRA]],Consulta2[[#This Row],[dia]])</f>
        <v>20241130</v>
      </c>
      <c r="K336">
        <f>Consulta2[[#This Row],[DIA_UTIL_CORRENTE]]</f>
        <v>19</v>
      </c>
    </row>
    <row r="337" spans="1:11" x14ac:dyDescent="0.25">
      <c r="A337">
        <v>202412</v>
      </c>
      <c r="B337">
        <v>0</v>
      </c>
      <c r="C337" s="148">
        <v>45627</v>
      </c>
      <c r="D337">
        <v>21</v>
      </c>
      <c r="E337">
        <v>21</v>
      </c>
      <c r="F337">
        <v>232</v>
      </c>
      <c r="G337">
        <f>Consulta2[[#This Row],[DIA_UTIL_CORRENTE]]</f>
        <v>0</v>
      </c>
      <c r="H337" s="6">
        <f>DAY(Consulta2[[#This Row],[DATA]])</f>
        <v>1</v>
      </c>
      <c r="I337" s="6">
        <f>MONTH(Consulta2[[#This Row],[DATA]])</f>
        <v>12</v>
      </c>
      <c r="J337" t="str">
        <f>CONCATENATE(Consulta2[[#This Row],[SAFRA]],Consulta2[[#This Row],[dia]])</f>
        <v>2024121</v>
      </c>
      <c r="K337">
        <f>Consulta2[[#This Row],[DIA_UTIL_CORRENTE]]</f>
        <v>0</v>
      </c>
    </row>
    <row r="338" spans="1:11" x14ac:dyDescent="0.25">
      <c r="A338">
        <v>202412</v>
      </c>
      <c r="B338">
        <v>1</v>
      </c>
      <c r="C338" s="148">
        <v>45628</v>
      </c>
      <c r="D338">
        <v>21</v>
      </c>
      <c r="E338">
        <v>21</v>
      </c>
      <c r="F338">
        <v>233</v>
      </c>
      <c r="G338">
        <f>Consulta2[[#This Row],[DIA_UTIL_CORRENTE]]</f>
        <v>1</v>
      </c>
      <c r="H338" s="6">
        <f>DAY(Consulta2[[#This Row],[DATA]])</f>
        <v>2</v>
      </c>
      <c r="I338" s="6">
        <f>MONTH(Consulta2[[#This Row],[DATA]])</f>
        <v>12</v>
      </c>
      <c r="J338" t="str">
        <f>CONCATENATE(Consulta2[[#This Row],[SAFRA]],Consulta2[[#This Row],[dia]])</f>
        <v>2024122</v>
      </c>
      <c r="K338">
        <f>Consulta2[[#This Row],[DIA_UTIL_CORRENTE]]</f>
        <v>1</v>
      </c>
    </row>
    <row r="339" spans="1:11" x14ac:dyDescent="0.25">
      <c r="A339">
        <v>202412</v>
      </c>
      <c r="B339">
        <v>2</v>
      </c>
      <c r="C339" s="148">
        <v>45629</v>
      </c>
      <c r="D339">
        <v>21</v>
      </c>
      <c r="E339">
        <v>21</v>
      </c>
      <c r="F339">
        <v>234</v>
      </c>
      <c r="G339">
        <f>Consulta2[[#This Row],[DIA_UTIL_CORRENTE]]</f>
        <v>2</v>
      </c>
      <c r="H339" s="6">
        <f>DAY(Consulta2[[#This Row],[DATA]])</f>
        <v>3</v>
      </c>
      <c r="I339" s="6">
        <f>MONTH(Consulta2[[#This Row],[DATA]])</f>
        <v>12</v>
      </c>
      <c r="J339" t="str">
        <f>CONCATENATE(Consulta2[[#This Row],[SAFRA]],Consulta2[[#This Row],[dia]])</f>
        <v>2024123</v>
      </c>
      <c r="K339">
        <f>Consulta2[[#This Row],[DIA_UTIL_CORRENTE]]</f>
        <v>2</v>
      </c>
    </row>
    <row r="340" spans="1:11" x14ac:dyDescent="0.25">
      <c r="A340">
        <v>202412</v>
      </c>
      <c r="B340">
        <v>3</v>
      </c>
      <c r="C340" s="148">
        <v>45630</v>
      </c>
      <c r="D340">
        <v>21</v>
      </c>
      <c r="E340">
        <v>21</v>
      </c>
      <c r="F340">
        <v>235</v>
      </c>
      <c r="G340">
        <f>Consulta2[[#This Row],[DIA_UTIL_CORRENTE]]</f>
        <v>3</v>
      </c>
      <c r="H340" s="6">
        <f>DAY(Consulta2[[#This Row],[DATA]])</f>
        <v>4</v>
      </c>
      <c r="I340" s="6">
        <f>MONTH(Consulta2[[#This Row],[DATA]])</f>
        <v>12</v>
      </c>
      <c r="J340" t="str">
        <f>CONCATENATE(Consulta2[[#This Row],[SAFRA]],Consulta2[[#This Row],[dia]])</f>
        <v>2024124</v>
      </c>
      <c r="K340">
        <f>Consulta2[[#This Row],[DIA_UTIL_CORRENTE]]</f>
        <v>3</v>
      </c>
    </row>
    <row r="341" spans="1:11" x14ac:dyDescent="0.25">
      <c r="A341">
        <v>202412</v>
      </c>
      <c r="B341">
        <v>4</v>
      </c>
      <c r="C341" s="148">
        <v>45631</v>
      </c>
      <c r="D341">
        <v>21</v>
      </c>
      <c r="E341">
        <v>21</v>
      </c>
      <c r="F341">
        <v>236</v>
      </c>
      <c r="G341">
        <f>Consulta2[[#This Row],[DIA_UTIL_CORRENTE]]</f>
        <v>4</v>
      </c>
      <c r="H341" s="6">
        <f>DAY(Consulta2[[#This Row],[DATA]])</f>
        <v>5</v>
      </c>
      <c r="I341" s="6">
        <f>MONTH(Consulta2[[#This Row],[DATA]])</f>
        <v>12</v>
      </c>
      <c r="J341" t="str">
        <f>CONCATENATE(Consulta2[[#This Row],[SAFRA]],Consulta2[[#This Row],[dia]])</f>
        <v>2024125</v>
      </c>
      <c r="K341">
        <f>Consulta2[[#This Row],[DIA_UTIL_CORRENTE]]</f>
        <v>4</v>
      </c>
    </row>
    <row r="342" spans="1:11" x14ac:dyDescent="0.25">
      <c r="A342">
        <v>202412</v>
      </c>
      <c r="B342">
        <v>5</v>
      </c>
      <c r="C342" s="148">
        <v>45632</v>
      </c>
      <c r="D342">
        <v>21</v>
      </c>
      <c r="E342">
        <v>21</v>
      </c>
      <c r="F342">
        <v>237</v>
      </c>
      <c r="G342">
        <f>Consulta2[[#This Row],[DIA_UTIL_CORRENTE]]</f>
        <v>5</v>
      </c>
      <c r="H342" s="6">
        <f>DAY(Consulta2[[#This Row],[DATA]])</f>
        <v>6</v>
      </c>
      <c r="I342" s="6">
        <f>MONTH(Consulta2[[#This Row],[DATA]])</f>
        <v>12</v>
      </c>
      <c r="J342" t="str">
        <f>CONCATENATE(Consulta2[[#This Row],[SAFRA]],Consulta2[[#This Row],[dia]])</f>
        <v>2024126</v>
      </c>
      <c r="K342">
        <f>Consulta2[[#This Row],[DIA_UTIL_CORRENTE]]</f>
        <v>5</v>
      </c>
    </row>
    <row r="343" spans="1:11" x14ac:dyDescent="0.25">
      <c r="A343">
        <v>202412</v>
      </c>
      <c r="B343">
        <v>5</v>
      </c>
      <c r="C343" s="148">
        <v>45633</v>
      </c>
      <c r="D343">
        <v>21</v>
      </c>
      <c r="E343">
        <v>21</v>
      </c>
      <c r="F343">
        <v>237</v>
      </c>
      <c r="G343">
        <f>Consulta2[[#This Row],[DIA_UTIL_CORRENTE]]</f>
        <v>5</v>
      </c>
      <c r="H343" s="6">
        <f>DAY(Consulta2[[#This Row],[DATA]])</f>
        <v>7</v>
      </c>
      <c r="I343" s="6">
        <f>MONTH(Consulta2[[#This Row],[DATA]])</f>
        <v>12</v>
      </c>
      <c r="J343" t="str">
        <f>CONCATENATE(Consulta2[[#This Row],[SAFRA]],Consulta2[[#This Row],[dia]])</f>
        <v>2024127</v>
      </c>
      <c r="K343">
        <f>Consulta2[[#This Row],[DIA_UTIL_CORRENTE]]</f>
        <v>5</v>
      </c>
    </row>
    <row r="344" spans="1:11" x14ac:dyDescent="0.25">
      <c r="A344">
        <v>202412</v>
      </c>
      <c r="B344">
        <v>5</v>
      </c>
      <c r="C344" s="148">
        <v>45634</v>
      </c>
      <c r="D344">
        <v>21</v>
      </c>
      <c r="E344">
        <v>21</v>
      </c>
      <c r="F344">
        <v>237</v>
      </c>
      <c r="G344">
        <f>Consulta2[[#This Row],[DIA_UTIL_CORRENTE]]</f>
        <v>5</v>
      </c>
      <c r="H344" s="6">
        <f>DAY(Consulta2[[#This Row],[DATA]])</f>
        <v>8</v>
      </c>
      <c r="I344" s="6">
        <f>MONTH(Consulta2[[#This Row],[DATA]])</f>
        <v>12</v>
      </c>
      <c r="J344" t="str">
        <f>CONCATENATE(Consulta2[[#This Row],[SAFRA]],Consulta2[[#This Row],[dia]])</f>
        <v>2024128</v>
      </c>
      <c r="K344">
        <f>Consulta2[[#This Row],[DIA_UTIL_CORRENTE]]</f>
        <v>5</v>
      </c>
    </row>
    <row r="345" spans="1:11" x14ac:dyDescent="0.25">
      <c r="A345">
        <v>202412</v>
      </c>
      <c r="B345">
        <v>6</v>
      </c>
      <c r="C345" s="148">
        <v>45635</v>
      </c>
      <c r="D345">
        <v>21</v>
      </c>
      <c r="E345">
        <v>21</v>
      </c>
      <c r="F345">
        <v>238</v>
      </c>
      <c r="G345">
        <f>Consulta2[[#This Row],[DIA_UTIL_CORRENTE]]</f>
        <v>6</v>
      </c>
      <c r="H345" s="6">
        <f>DAY(Consulta2[[#This Row],[DATA]])</f>
        <v>9</v>
      </c>
      <c r="I345" s="6">
        <f>MONTH(Consulta2[[#This Row],[DATA]])</f>
        <v>12</v>
      </c>
      <c r="J345" t="str">
        <f>CONCATENATE(Consulta2[[#This Row],[SAFRA]],Consulta2[[#This Row],[dia]])</f>
        <v>2024129</v>
      </c>
      <c r="K345">
        <f>Consulta2[[#This Row],[DIA_UTIL_CORRENTE]]</f>
        <v>6</v>
      </c>
    </row>
    <row r="346" spans="1:11" x14ac:dyDescent="0.25">
      <c r="A346">
        <v>202412</v>
      </c>
      <c r="B346">
        <v>7</v>
      </c>
      <c r="C346" s="148">
        <v>45636</v>
      </c>
      <c r="D346">
        <v>21</v>
      </c>
      <c r="E346">
        <v>21</v>
      </c>
      <c r="F346">
        <v>239</v>
      </c>
      <c r="G346">
        <f>Consulta2[[#This Row],[DIA_UTIL_CORRENTE]]</f>
        <v>7</v>
      </c>
      <c r="H346" s="6">
        <f>DAY(Consulta2[[#This Row],[DATA]])</f>
        <v>10</v>
      </c>
      <c r="I346" s="6">
        <f>MONTH(Consulta2[[#This Row],[DATA]])</f>
        <v>12</v>
      </c>
      <c r="J346" t="str">
        <f>CONCATENATE(Consulta2[[#This Row],[SAFRA]],Consulta2[[#This Row],[dia]])</f>
        <v>20241210</v>
      </c>
      <c r="K346">
        <f>Consulta2[[#This Row],[DIA_UTIL_CORRENTE]]</f>
        <v>7</v>
      </c>
    </row>
    <row r="347" spans="1:11" x14ac:dyDescent="0.25">
      <c r="A347">
        <v>202412</v>
      </c>
      <c r="B347">
        <v>8</v>
      </c>
      <c r="C347" s="148">
        <v>45637</v>
      </c>
      <c r="D347">
        <v>21</v>
      </c>
      <c r="E347">
        <v>21</v>
      </c>
      <c r="F347">
        <v>240</v>
      </c>
      <c r="G347">
        <f>Consulta2[[#This Row],[DIA_UTIL_CORRENTE]]</f>
        <v>8</v>
      </c>
      <c r="H347" s="6">
        <f>DAY(Consulta2[[#This Row],[DATA]])</f>
        <v>11</v>
      </c>
      <c r="I347" s="6">
        <f>MONTH(Consulta2[[#This Row],[DATA]])</f>
        <v>12</v>
      </c>
      <c r="J347" t="str">
        <f>CONCATENATE(Consulta2[[#This Row],[SAFRA]],Consulta2[[#This Row],[dia]])</f>
        <v>20241211</v>
      </c>
      <c r="K347">
        <f>Consulta2[[#This Row],[DIA_UTIL_CORRENTE]]</f>
        <v>8</v>
      </c>
    </row>
    <row r="348" spans="1:11" x14ac:dyDescent="0.25">
      <c r="A348">
        <v>202412</v>
      </c>
      <c r="B348">
        <v>9</v>
      </c>
      <c r="C348" s="148">
        <v>45638</v>
      </c>
      <c r="D348">
        <v>21</v>
      </c>
      <c r="E348">
        <v>21</v>
      </c>
      <c r="F348">
        <v>241</v>
      </c>
      <c r="G348">
        <f>Consulta2[[#This Row],[DIA_UTIL_CORRENTE]]</f>
        <v>9</v>
      </c>
      <c r="H348" s="6">
        <f>DAY(Consulta2[[#This Row],[DATA]])</f>
        <v>12</v>
      </c>
      <c r="I348" s="6">
        <f>MONTH(Consulta2[[#This Row],[DATA]])</f>
        <v>12</v>
      </c>
      <c r="J348" t="str">
        <f>CONCATENATE(Consulta2[[#This Row],[SAFRA]],Consulta2[[#This Row],[dia]])</f>
        <v>20241212</v>
      </c>
      <c r="K348">
        <f>Consulta2[[#This Row],[DIA_UTIL_CORRENTE]]</f>
        <v>9</v>
      </c>
    </row>
    <row r="349" spans="1:11" x14ac:dyDescent="0.25">
      <c r="A349">
        <v>202412</v>
      </c>
      <c r="B349">
        <v>10</v>
      </c>
      <c r="C349" s="148">
        <v>45639</v>
      </c>
      <c r="D349">
        <v>21</v>
      </c>
      <c r="E349">
        <v>21</v>
      </c>
      <c r="F349">
        <v>242</v>
      </c>
      <c r="G349">
        <f>Consulta2[[#This Row],[DIA_UTIL_CORRENTE]]</f>
        <v>10</v>
      </c>
      <c r="H349" s="6">
        <f>DAY(Consulta2[[#This Row],[DATA]])</f>
        <v>13</v>
      </c>
      <c r="I349" s="6">
        <f>MONTH(Consulta2[[#This Row],[DATA]])</f>
        <v>12</v>
      </c>
      <c r="J349" t="str">
        <f>CONCATENATE(Consulta2[[#This Row],[SAFRA]],Consulta2[[#This Row],[dia]])</f>
        <v>20241213</v>
      </c>
      <c r="K349">
        <f>Consulta2[[#This Row],[DIA_UTIL_CORRENTE]]</f>
        <v>10</v>
      </c>
    </row>
    <row r="350" spans="1:11" x14ac:dyDescent="0.25">
      <c r="A350">
        <v>202412</v>
      </c>
      <c r="B350">
        <v>10</v>
      </c>
      <c r="C350" s="148">
        <v>45640</v>
      </c>
      <c r="D350">
        <v>21</v>
      </c>
      <c r="E350">
        <v>21</v>
      </c>
      <c r="F350">
        <v>242</v>
      </c>
      <c r="G350">
        <f>Consulta2[[#This Row],[DIA_UTIL_CORRENTE]]</f>
        <v>10</v>
      </c>
      <c r="H350" s="6">
        <f>DAY(Consulta2[[#This Row],[DATA]])</f>
        <v>14</v>
      </c>
      <c r="I350" s="6">
        <f>MONTH(Consulta2[[#This Row],[DATA]])</f>
        <v>12</v>
      </c>
      <c r="J350" t="str">
        <f>CONCATENATE(Consulta2[[#This Row],[SAFRA]],Consulta2[[#This Row],[dia]])</f>
        <v>20241214</v>
      </c>
      <c r="K350">
        <f>Consulta2[[#This Row],[DIA_UTIL_CORRENTE]]</f>
        <v>10</v>
      </c>
    </row>
    <row r="351" spans="1:11" x14ac:dyDescent="0.25">
      <c r="A351">
        <v>202412</v>
      </c>
      <c r="B351">
        <v>10</v>
      </c>
      <c r="C351" s="148">
        <v>45641</v>
      </c>
      <c r="D351">
        <v>21</v>
      </c>
      <c r="E351">
        <v>21</v>
      </c>
      <c r="F351">
        <v>242</v>
      </c>
      <c r="G351">
        <f>Consulta2[[#This Row],[DIA_UTIL_CORRENTE]]</f>
        <v>10</v>
      </c>
      <c r="H351" s="6">
        <f>DAY(Consulta2[[#This Row],[DATA]])</f>
        <v>15</v>
      </c>
      <c r="I351" s="6">
        <f>MONTH(Consulta2[[#This Row],[DATA]])</f>
        <v>12</v>
      </c>
      <c r="J351" t="str">
        <f>CONCATENATE(Consulta2[[#This Row],[SAFRA]],Consulta2[[#This Row],[dia]])</f>
        <v>20241215</v>
      </c>
      <c r="K351">
        <f>Consulta2[[#This Row],[DIA_UTIL_CORRENTE]]</f>
        <v>10</v>
      </c>
    </row>
    <row r="352" spans="1:11" x14ac:dyDescent="0.25">
      <c r="A352">
        <v>202412</v>
      </c>
      <c r="B352">
        <v>11</v>
      </c>
      <c r="C352" s="148">
        <v>45642</v>
      </c>
      <c r="D352">
        <v>21</v>
      </c>
      <c r="E352">
        <v>21</v>
      </c>
      <c r="F352">
        <v>243</v>
      </c>
      <c r="G352">
        <f>Consulta2[[#This Row],[DIA_UTIL_CORRENTE]]</f>
        <v>11</v>
      </c>
      <c r="H352" s="6">
        <f>DAY(Consulta2[[#This Row],[DATA]])</f>
        <v>16</v>
      </c>
      <c r="I352" s="6">
        <f>MONTH(Consulta2[[#This Row],[DATA]])</f>
        <v>12</v>
      </c>
      <c r="J352" t="str">
        <f>CONCATENATE(Consulta2[[#This Row],[SAFRA]],Consulta2[[#This Row],[dia]])</f>
        <v>20241216</v>
      </c>
      <c r="K352">
        <f>Consulta2[[#This Row],[DIA_UTIL_CORRENTE]]</f>
        <v>11</v>
      </c>
    </row>
    <row r="353" spans="1:11" x14ac:dyDescent="0.25">
      <c r="A353">
        <v>202412</v>
      </c>
      <c r="B353">
        <v>12</v>
      </c>
      <c r="C353" s="148">
        <v>45643</v>
      </c>
      <c r="D353">
        <v>21</v>
      </c>
      <c r="E353">
        <v>21</v>
      </c>
      <c r="F353">
        <v>244</v>
      </c>
      <c r="G353">
        <f>Consulta2[[#This Row],[DIA_UTIL_CORRENTE]]</f>
        <v>12</v>
      </c>
      <c r="H353" s="6">
        <f>DAY(Consulta2[[#This Row],[DATA]])</f>
        <v>17</v>
      </c>
      <c r="I353" s="6">
        <f>MONTH(Consulta2[[#This Row],[DATA]])</f>
        <v>12</v>
      </c>
      <c r="J353" t="str">
        <f>CONCATENATE(Consulta2[[#This Row],[SAFRA]],Consulta2[[#This Row],[dia]])</f>
        <v>20241217</v>
      </c>
      <c r="K353">
        <f>Consulta2[[#This Row],[DIA_UTIL_CORRENTE]]</f>
        <v>12</v>
      </c>
    </row>
    <row r="354" spans="1:11" x14ac:dyDescent="0.25">
      <c r="A354">
        <v>202412</v>
      </c>
      <c r="B354">
        <v>13</v>
      </c>
      <c r="C354" s="148">
        <v>45644</v>
      </c>
      <c r="D354">
        <v>21</v>
      </c>
      <c r="E354">
        <v>21</v>
      </c>
      <c r="F354">
        <v>245</v>
      </c>
      <c r="G354">
        <f>Consulta2[[#This Row],[DIA_UTIL_CORRENTE]]</f>
        <v>13</v>
      </c>
      <c r="H354" s="6">
        <f>DAY(Consulta2[[#This Row],[DATA]])</f>
        <v>18</v>
      </c>
      <c r="I354" s="6">
        <f>MONTH(Consulta2[[#This Row],[DATA]])</f>
        <v>12</v>
      </c>
      <c r="J354" t="str">
        <f>CONCATENATE(Consulta2[[#This Row],[SAFRA]],Consulta2[[#This Row],[dia]])</f>
        <v>20241218</v>
      </c>
      <c r="K354">
        <f>Consulta2[[#This Row],[DIA_UTIL_CORRENTE]]</f>
        <v>13</v>
      </c>
    </row>
    <row r="355" spans="1:11" x14ac:dyDescent="0.25">
      <c r="A355">
        <v>202412</v>
      </c>
      <c r="B355">
        <v>14</v>
      </c>
      <c r="C355" s="148">
        <v>45645</v>
      </c>
      <c r="D355">
        <v>21</v>
      </c>
      <c r="E355">
        <v>21</v>
      </c>
      <c r="F355">
        <v>246</v>
      </c>
      <c r="G355">
        <f>Consulta2[[#This Row],[DIA_UTIL_CORRENTE]]</f>
        <v>14</v>
      </c>
      <c r="H355" s="6">
        <f>DAY(Consulta2[[#This Row],[DATA]])</f>
        <v>19</v>
      </c>
      <c r="I355" s="6">
        <f>MONTH(Consulta2[[#This Row],[DATA]])</f>
        <v>12</v>
      </c>
      <c r="J355" t="str">
        <f>CONCATENATE(Consulta2[[#This Row],[SAFRA]],Consulta2[[#This Row],[dia]])</f>
        <v>20241219</v>
      </c>
      <c r="K355">
        <f>Consulta2[[#This Row],[DIA_UTIL_CORRENTE]]</f>
        <v>14</v>
      </c>
    </row>
    <row r="356" spans="1:11" x14ac:dyDescent="0.25">
      <c r="A356">
        <v>202412</v>
      </c>
      <c r="B356">
        <v>15</v>
      </c>
      <c r="C356" s="148">
        <v>45646</v>
      </c>
      <c r="D356">
        <v>21</v>
      </c>
      <c r="E356">
        <v>21</v>
      </c>
      <c r="F356">
        <v>247</v>
      </c>
      <c r="G356">
        <f>Consulta2[[#This Row],[DIA_UTIL_CORRENTE]]</f>
        <v>15</v>
      </c>
      <c r="H356" s="6">
        <f>DAY(Consulta2[[#This Row],[DATA]])</f>
        <v>20</v>
      </c>
      <c r="I356" s="6">
        <f>MONTH(Consulta2[[#This Row],[DATA]])</f>
        <v>12</v>
      </c>
      <c r="J356" t="str">
        <f>CONCATENATE(Consulta2[[#This Row],[SAFRA]],Consulta2[[#This Row],[dia]])</f>
        <v>20241220</v>
      </c>
      <c r="K356">
        <f>Consulta2[[#This Row],[DIA_UTIL_CORRENTE]]</f>
        <v>15</v>
      </c>
    </row>
    <row r="357" spans="1:11" x14ac:dyDescent="0.25">
      <c r="A357">
        <v>202412</v>
      </c>
      <c r="B357">
        <v>15</v>
      </c>
      <c r="C357" s="148">
        <v>45647</v>
      </c>
      <c r="D357">
        <v>21</v>
      </c>
      <c r="E357">
        <v>21</v>
      </c>
      <c r="F357">
        <v>247</v>
      </c>
      <c r="G357">
        <f>Consulta2[[#This Row],[DIA_UTIL_CORRENTE]]</f>
        <v>15</v>
      </c>
      <c r="H357" s="6">
        <f>DAY(Consulta2[[#This Row],[DATA]])</f>
        <v>21</v>
      </c>
      <c r="I357" s="6">
        <f>MONTH(Consulta2[[#This Row],[DATA]])</f>
        <v>12</v>
      </c>
      <c r="J357" t="str">
        <f>CONCATENATE(Consulta2[[#This Row],[SAFRA]],Consulta2[[#This Row],[dia]])</f>
        <v>20241221</v>
      </c>
      <c r="K357">
        <f>Consulta2[[#This Row],[DIA_UTIL_CORRENTE]]</f>
        <v>15</v>
      </c>
    </row>
    <row r="358" spans="1:11" x14ac:dyDescent="0.25">
      <c r="A358">
        <v>202412</v>
      </c>
      <c r="B358">
        <v>15</v>
      </c>
      <c r="C358" s="148">
        <v>45648</v>
      </c>
      <c r="D358">
        <v>21</v>
      </c>
      <c r="E358">
        <v>21</v>
      </c>
      <c r="F358">
        <v>247</v>
      </c>
      <c r="G358">
        <f>Consulta2[[#This Row],[DIA_UTIL_CORRENTE]]</f>
        <v>15</v>
      </c>
      <c r="H358" s="6">
        <f>DAY(Consulta2[[#This Row],[DATA]])</f>
        <v>22</v>
      </c>
      <c r="I358" s="6">
        <f>MONTH(Consulta2[[#This Row],[DATA]])</f>
        <v>12</v>
      </c>
      <c r="J358" t="str">
        <f>CONCATENATE(Consulta2[[#This Row],[SAFRA]],Consulta2[[#This Row],[dia]])</f>
        <v>20241222</v>
      </c>
      <c r="K358">
        <f>Consulta2[[#This Row],[DIA_UTIL_CORRENTE]]</f>
        <v>15</v>
      </c>
    </row>
    <row r="359" spans="1:11" x14ac:dyDescent="0.25">
      <c r="A359">
        <v>202412</v>
      </c>
      <c r="B359">
        <v>16</v>
      </c>
      <c r="C359" s="148">
        <v>45649</v>
      </c>
      <c r="D359">
        <v>21</v>
      </c>
      <c r="E359">
        <v>21</v>
      </c>
      <c r="F359">
        <v>248</v>
      </c>
      <c r="G359">
        <f>Consulta2[[#This Row],[DIA_UTIL_CORRENTE]]</f>
        <v>16</v>
      </c>
      <c r="H359" s="6">
        <f>DAY(Consulta2[[#This Row],[DATA]])</f>
        <v>23</v>
      </c>
      <c r="I359" s="6">
        <f>MONTH(Consulta2[[#This Row],[DATA]])</f>
        <v>12</v>
      </c>
      <c r="J359" t="str">
        <f>CONCATENATE(Consulta2[[#This Row],[SAFRA]],Consulta2[[#This Row],[dia]])</f>
        <v>20241223</v>
      </c>
      <c r="K359">
        <f>Consulta2[[#This Row],[DIA_UTIL_CORRENTE]]</f>
        <v>16</v>
      </c>
    </row>
    <row r="360" spans="1:11" x14ac:dyDescent="0.25">
      <c r="A360">
        <v>202412</v>
      </c>
      <c r="B360">
        <v>17</v>
      </c>
      <c r="C360" s="148">
        <v>45650</v>
      </c>
      <c r="D360">
        <v>21</v>
      </c>
      <c r="E360">
        <v>21</v>
      </c>
      <c r="F360">
        <v>249</v>
      </c>
      <c r="G360">
        <f>Consulta2[[#This Row],[DIA_UTIL_CORRENTE]]</f>
        <v>17</v>
      </c>
      <c r="H360" s="6">
        <f>DAY(Consulta2[[#This Row],[DATA]])</f>
        <v>24</v>
      </c>
      <c r="I360" s="6">
        <f>MONTH(Consulta2[[#This Row],[DATA]])</f>
        <v>12</v>
      </c>
      <c r="J360" t="str">
        <f>CONCATENATE(Consulta2[[#This Row],[SAFRA]],Consulta2[[#This Row],[dia]])</f>
        <v>20241224</v>
      </c>
      <c r="K360">
        <f>Consulta2[[#This Row],[DIA_UTIL_CORRENTE]]</f>
        <v>17</v>
      </c>
    </row>
    <row r="361" spans="1:11" x14ac:dyDescent="0.25">
      <c r="A361">
        <v>202412</v>
      </c>
      <c r="B361">
        <v>17</v>
      </c>
      <c r="C361" s="148">
        <v>45651</v>
      </c>
      <c r="D361">
        <v>21</v>
      </c>
      <c r="E361">
        <v>21</v>
      </c>
      <c r="F361">
        <v>249</v>
      </c>
      <c r="G361">
        <f>Consulta2[[#This Row],[DIA_UTIL_CORRENTE]]</f>
        <v>17</v>
      </c>
      <c r="H361" s="6">
        <f>DAY(Consulta2[[#This Row],[DATA]])</f>
        <v>25</v>
      </c>
      <c r="I361" s="6">
        <f>MONTH(Consulta2[[#This Row],[DATA]])</f>
        <v>12</v>
      </c>
      <c r="J361" t="str">
        <f>CONCATENATE(Consulta2[[#This Row],[SAFRA]],Consulta2[[#This Row],[dia]])</f>
        <v>20241225</v>
      </c>
      <c r="K361">
        <f>Consulta2[[#This Row],[DIA_UTIL_CORRENTE]]</f>
        <v>17</v>
      </c>
    </row>
    <row r="362" spans="1:11" x14ac:dyDescent="0.25">
      <c r="A362">
        <v>202412</v>
      </c>
      <c r="B362">
        <v>18</v>
      </c>
      <c r="C362" s="148">
        <v>45652</v>
      </c>
      <c r="D362">
        <v>21</v>
      </c>
      <c r="E362">
        <v>21</v>
      </c>
      <c r="F362">
        <v>250</v>
      </c>
      <c r="G362">
        <f>Consulta2[[#This Row],[DIA_UTIL_CORRENTE]]</f>
        <v>18</v>
      </c>
      <c r="H362" s="6">
        <f>DAY(Consulta2[[#This Row],[DATA]])</f>
        <v>26</v>
      </c>
      <c r="I362" s="6">
        <f>MONTH(Consulta2[[#This Row],[DATA]])</f>
        <v>12</v>
      </c>
      <c r="J362" t="str">
        <f>CONCATENATE(Consulta2[[#This Row],[SAFRA]],Consulta2[[#This Row],[dia]])</f>
        <v>20241226</v>
      </c>
      <c r="K362">
        <f>Consulta2[[#This Row],[DIA_UTIL_CORRENTE]]</f>
        <v>18</v>
      </c>
    </row>
    <row r="363" spans="1:11" x14ac:dyDescent="0.25">
      <c r="A363">
        <v>202412</v>
      </c>
      <c r="B363">
        <v>19</v>
      </c>
      <c r="C363" s="148">
        <v>45653</v>
      </c>
      <c r="D363">
        <v>21</v>
      </c>
      <c r="E363">
        <v>21</v>
      </c>
      <c r="F363">
        <v>251</v>
      </c>
      <c r="G363">
        <f>Consulta2[[#This Row],[DIA_UTIL_CORRENTE]]</f>
        <v>19</v>
      </c>
      <c r="H363" s="6">
        <f>DAY(Consulta2[[#This Row],[DATA]])</f>
        <v>27</v>
      </c>
      <c r="I363" s="6">
        <f>MONTH(Consulta2[[#This Row],[DATA]])</f>
        <v>12</v>
      </c>
      <c r="J363" t="str">
        <f>CONCATENATE(Consulta2[[#This Row],[SAFRA]],Consulta2[[#This Row],[dia]])</f>
        <v>20241227</v>
      </c>
      <c r="K363">
        <f>Consulta2[[#This Row],[DIA_UTIL_CORRENTE]]</f>
        <v>19</v>
      </c>
    </row>
    <row r="364" spans="1:11" x14ac:dyDescent="0.25">
      <c r="A364">
        <v>202412</v>
      </c>
      <c r="B364">
        <v>19</v>
      </c>
      <c r="C364" s="148">
        <v>45654</v>
      </c>
      <c r="D364">
        <v>21</v>
      </c>
      <c r="E364">
        <v>21</v>
      </c>
      <c r="F364">
        <v>251</v>
      </c>
      <c r="G364">
        <f>Consulta2[[#This Row],[DIA_UTIL_CORRENTE]]</f>
        <v>19</v>
      </c>
      <c r="H364" s="6">
        <f>DAY(Consulta2[[#This Row],[DATA]])</f>
        <v>28</v>
      </c>
      <c r="I364" s="6">
        <f>MONTH(Consulta2[[#This Row],[DATA]])</f>
        <v>12</v>
      </c>
      <c r="J364" t="str">
        <f>CONCATENATE(Consulta2[[#This Row],[SAFRA]],Consulta2[[#This Row],[dia]])</f>
        <v>20241228</v>
      </c>
      <c r="K364">
        <f>Consulta2[[#This Row],[DIA_UTIL_CORRENTE]]</f>
        <v>19</v>
      </c>
    </row>
    <row r="365" spans="1:11" x14ac:dyDescent="0.25">
      <c r="A365">
        <v>202412</v>
      </c>
      <c r="B365">
        <v>19</v>
      </c>
      <c r="C365" s="148">
        <v>45655</v>
      </c>
      <c r="D365">
        <v>21</v>
      </c>
      <c r="E365">
        <v>21</v>
      </c>
      <c r="F365">
        <v>251</v>
      </c>
      <c r="G365">
        <f>Consulta2[[#This Row],[DIA_UTIL_CORRENTE]]</f>
        <v>19</v>
      </c>
      <c r="H365" s="6">
        <f>DAY(Consulta2[[#This Row],[DATA]])</f>
        <v>29</v>
      </c>
      <c r="I365" s="6">
        <f>MONTH(Consulta2[[#This Row],[DATA]])</f>
        <v>12</v>
      </c>
      <c r="J365" t="str">
        <f>CONCATENATE(Consulta2[[#This Row],[SAFRA]],Consulta2[[#This Row],[dia]])</f>
        <v>20241229</v>
      </c>
      <c r="K365">
        <f>Consulta2[[#This Row],[DIA_UTIL_CORRENTE]]</f>
        <v>19</v>
      </c>
    </row>
    <row r="366" spans="1:11" x14ac:dyDescent="0.25">
      <c r="A366">
        <v>202412</v>
      </c>
      <c r="B366">
        <v>20</v>
      </c>
      <c r="C366" s="148">
        <v>45656</v>
      </c>
      <c r="D366">
        <v>21</v>
      </c>
      <c r="E366">
        <v>21</v>
      </c>
      <c r="F366">
        <v>252</v>
      </c>
      <c r="G366">
        <f>Consulta2[[#This Row],[DIA_UTIL_CORRENTE]]</f>
        <v>20</v>
      </c>
      <c r="H366" s="6">
        <f>DAY(Consulta2[[#This Row],[DATA]])</f>
        <v>30</v>
      </c>
      <c r="I366" s="6">
        <f>MONTH(Consulta2[[#This Row],[DATA]])</f>
        <v>12</v>
      </c>
      <c r="J366" t="str">
        <f>CONCATENATE(Consulta2[[#This Row],[SAFRA]],Consulta2[[#This Row],[dia]])</f>
        <v>20241230</v>
      </c>
      <c r="K366">
        <f>Consulta2[[#This Row],[DIA_UTIL_CORRENTE]]</f>
        <v>20</v>
      </c>
    </row>
    <row r="367" spans="1:11" x14ac:dyDescent="0.25">
      <c r="A367">
        <v>202412</v>
      </c>
      <c r="B367">
        <v>21</v>
      </c>
      <c r="C367" s="148">
        <v>45657</v>
      </c>
      <c r="D367">
        <v>21</v>
      </c>
      <c r="E367">
        <v>21</v>
      </c>
      <c r="F367">
        <v>253</v>
      </c>
      <c r="G367">
        <f>Consulta2[[#This Row],[DIA_UTIL_CORRENTE]]</f>
        <v>21</v>
      </c>
      <c r="H367" s="6">
        <f>DAY(Consulta2[[#This Row],[DATA]])</f>
        <v>31</v>
      </c>
      <c r="I367" s="6">
        <f>MONTH(Consulta2[[#This Row],[DATA]])</f>
        <v>12</v>
      </c>
      <c r="J367" t="str">
        <f>CONCATENATE(Consulta2[[#This Row],[SAFRA]],Consulta2[[#This Row],[dia]])</f>
        <v>20241231</v>
      </c>
      <c r="K367">
        <f>Consulta2[[#This Row],[DIA_UTIL_CORRENTE]]</f>
        <v>21</v>
      </c>
    </row>
    <row r="368" spans="1:11" x14ac:dyDescent="0.25">
      <c r="A368">
        <v>202501</v>
      </c>
      <c r="B368">
        <v>0</v>
      </c>
      <c r="C368" s="148">
        <v>45658</v>
      </c>
      <c r="D368">
        <v>22</v>
      </c>
      <c r="E368">
        <v>22</v>
      </c>
      <c r="F368">
        <v>253</v>
      </c>
      <c r="G368">
        <f>Consulta2[[#This Row],[DIA_UTIL_CORRENTE]]</f>
        <v>0</v>
      </c>
      <c r="H368" s="6">
        <f>DAY(Consulta2[[#This Row],[DATA]])</f>
        <v>1</v>
      </c>
      <c r="I368" s="6">
        <f>MONTH(Consulta2[[#This Row],[DATA]])</f>
        <v>1</v>
      </c>
      <c r="J368" t="str">
        <f>CONCATENATE(Consulta2[[#This Row],[SAFRA]],Consulta2[[#This Row],[dia]])</f>
        <v>2025011</v>
      </c>
      <c r="K368">
        <f>Consulta2[[#This Row],[DIA_UTIL_CORRENTE]]</f>
        <v>0</v>
      </c>
    </row>
    <row r="369" spans="1:11" x14ac:dyDescent="0.25">
      <c r="A369">
        <v>202501</v>
      </c>
      <c r="B369">
        <v>1</v>
      </c>
      <c r="C369" s="148">
        <v>45659</v>
      </c>
      <c r="D369">
        <v>22</v>
      </c>
      <c r="E369">
        <v>22</v>
      </c>
      <c r="F369">
        <v>254</v>
      </c>
      <c r="G369">
        <f>Consulta2[[#This Row],[DIA_UTIL_CORRENTE]]</f>
        <v>1</v>
      </c>
      <c r="H369" s="6">
        <f>DAY(Consulta2[[#This Row],[DATA]])</f>
        <v>2</v>
      </c>
      <c r="I369" s="6">
        <f>MONTH(Consulta2[[#This Row],[DATA]])</f>
        <v>1</v>
      </c>
      <c r="J369" t="str">
        <f>CONCATENATE(Consulta2[[#This Row],[SAFRA]],Consulta2[[#This Row],[dia]])</f>
        <v>2025012</v>
      </c>
      <c r="K369">
        <f>Consulta2[[#This Row],[DIA_UTIL_CORRENTE]]</f>
        <v>1</v>
      </c>
    </row>
    <row r="370" spans="1:11" x14ac:dyDescent="0.25">
      <c r="A370">
        <v>202501</v>
      </c>
      <c r="B370">
        <v>2</v>
      </c>
      <c r="C370" s="148">
        <v>45660</v>
      </c>
      <c r="D370">
        <v>22</v>
      </c>
      <c r="E370">
        <v>22</v>
      </c>
      <c r="F370">
        <v>255</v>
      </c>
      <c r="G370">
        <f>Consulta2[[#This Row],[DIA_UTIL_CORRENTE]]</f>
        <v>2</v>
      </c>
      <c r="H370" s="6">
        <f>DAY(Consulta2[[#This Row],[DATA]])</f>
        <v>3</v>
      </c>
      <c r="I370" s="6">
        <f>MONTH(Consulta2[[#This Row],[DATA]])</f>
        <v>1</v>
      </c>
      <c r="J370" t="str">
        <f>CONCATENATE(Consulta2[[#This Row],[SAFRA]],Consulta2[[#This Row],[dia]])</f>
        <v>2025013</v>
      </c>
      <c r="K370">
        <f>Consulta2[[#This Row],[DIA_UTIL_CORRENTE]]</f>
        <v>2</v>
      </c>
    </row>
    <row r="371" spans="1:11" x14ac:dyDescent="0.25">
      <c r="A371">
        <v>202501</v>
      </c>
      <c r="B371">
        <v>2</v>
      </c>
      <c r="C371" s="148">
        <v>45661</v>
      </c>
      <c r="D371">
        <v>22</v>
      </c>
      <c r="E371">
        <v>22</v>
      </c>
      <c r="F371">
        <v>255</v>
      </c>
      <c r="G371">
        <f>Consulta2[[#This Row],[DIA_UTIL_CORRENTE]]</f>
        <v>2</v>
      </c>
      <c r="H371" s="6">
        <f>DAY(Consulta2[[#This Row],[DATA]])</f>
        <v>4</v>
      </c>
      <c r="I371" s="6">
        <f>MONTH(Consulta2[[#This Row],[DATA]])</f>
        <v>1</v>
      </c>
      <c r="J371" t="str">
        <f>CONCATENATE(Consulta2[[#This Row],[SAFRA]],Consulta2[[#This Row],[dia]])</f>
        <v>2025014</v>
      </c>
      <c r="K371">
        <f>Consulta2[[#This Row],[DIA_UTIL_CORRENTE]]</f>
        <v>2</v>
      </c>
    </row>
    <row r="372" spans="1:11" x14ac:dyDescent="0.25">
      <c r="A372">
        <v>202501</v>
      </c>
      <c r="B372">
        <v>2</v>
      </c>
      <c r="C372" s="148">
        <v>45662</v>
      </c>
      <c r="D372">
        <v>22</v>
      </c>
      <c r="E372">
        <v>22</v>
      </c>
      <c r="F372">
        <v>255</v>
      </c>
      <c r="G372">
        <f>Consulta2[[#This Row],[DIA_UTIL_CORRENTE]]</f>
        <v>2</v>
      </c>
      <c r="H372" s="6">
        <f>DAY(Consulta2[[#This Row],[DATA]])</f>
        <v>5</v>
      </c>
      <c r="I372" s="6">
        <f>MONTH(Consulta2[[#This Row],[DATA]])</f>
        <v>1</v>
      </c>
      <c r="J372" t="str">
        <f>CONCATENATE(Consulta2[[#This Row],[SAFRA]],Consulta2[[#This Row],[dia]])</f>
        <v>2025015</v>
      </c>
      <c r="K372">
        <f>Consulta2[[#This Row],[DIA_UTIL_CORRENTE]]</f>
        <v>2</v>
      </c>
    </row>
    <row r="373" spans="1:11" x14ac:dyDescent="0.25">
      <c r="A373">
        <v>202501</v>
      </c>
      <c r="B373">
        <v>3</v>
      </c>
      <c r="C373" s="148">
        <v>45663</v>
      </c>
      <c r="D373">
        <v>22</v>
      </c>
      <c r="E373">
        <v>22</v>
      </c>
      <c r="F373">
        <v>256</v>
      </c>
      <c r="G373">
        <f>Consulta2[[#This Row],[DIA_UTIL_CORRENTE]]</f>
        <v>3</v>
      </c>
      <c r="H373" s="6">
        <f>DAY(Consulta2[[#This Row],[DATA]])</f>
        <v>6</v>
      </c>
      <c r="I373" s="6">
        <f>MONTH(Consulta2[[#This Row],[DATA]])</f>
        <v>1</v>
      </c>
      <c r="J373" t="str">
        <f>CONCATENATE(Consulta2[[#This Row],[SAFRA]],Consulta2[[#This Row],[dia]])</f>
        <v>2025016</v>
      </c>
      <c r="K373">
        <f>Consulta2[[#This Row],[DIA_UTIL_CORRENTE]]</f>
        <v>3</v>
      </c>
    </row>
    <row r="374" spans="1:11" x14ac:dyDescent="0.25">
      <c r="A374">
        <v>202501</v>
      </c>
      <c r="B374">
        <v>4</v>
      </c>
      <c r="C374" s="148">
        <v>45664</v>
      </c>
      <c r="D374">
        <v>22</v>
      </c>
      <c r="E374">
        <v>22</v>
      </c>
      <c r="F374">
        <v>257</v>
      </c>
      <c r="G374">
        <f>Consulta2[[#This Row],[DIA_UTIL_CORRENTE]]</f>
        <v>4</v>
      </c>
      <c r="H374" s="6">
        <f>DAY(Consulta2[[#This Row],[DATA]])</f>
        <v>7</v>
      </c>
      <c r="I374" s="6">
        <f>MONTH(Consulta2[[#This Row],[DATA]])</f>
        <v>1</v>
      </c>
      <c r="J374" t="str">
        <f>CONCATENATE(Consulta2[[#This Row],[SAFRA]],Consulta2[[#This Row],[dia]])</f>
        <v>2025017</v>
      </c>
      <c r="K374">
        <f>Consulta2[[#This Row],[DIA_UTIL_CORRENTE]]</f>
        <v>4</v>
      </c>
    </row>
    <row r="375" spans="1:11" x14ac:dyDescent="0.25">
      <c r="A375">
        <v>202501</v>
      </c>
      <c r="B375">
        <v>5</v>
      </c>
      <c r="C375" s="148">
        <v>45665</v>
      </c>
      <c r="D375">
        <v>22</v>
      </c>
      <c r="E375">
        <v>22</v>
      </c>
      <c r="F375">
        <v>258</v>
      </c>
      <c r="G375">
        <f>Consulta2[[#This Row],[DIA_UTIL_CORRENTE]]</f>
        <v>5</v>
      </c>
      <c r="H375" s="6">
        <f>DAY(Consulta2[[#This Row],[DATA]])</f>
        <v>8</v>
      </c>
      <c r="I375" s="6">
        <f>MONTH(Consulta2[[#This Row],[DATA]])</f>
        <v>1</v>
      </c>
      <c r="J375" t="str">
        <f>CONCATENATE(Consulta2[[#This Row],[SAFRA]],Consulta2[[#This Row],[dia]])</f>
        <v>2025018</v>
      </c>
      <c r="K375">
        <f>Consulta2[[#This Row],[DIA_UTIL_CORRENTE]]</f>
        <v>5</v>
      </c>
    </row>
    <row r="376" spans="1:11" x14ac:dyDescent="0.25">
      <c r="A376">
        <v>202501</v>
      </c>
      <c r="B376">
        <v>6</v>
      </c>
      <c r="C376" s="148">
        <v>45666</v>
      </c>
      <c r="D376">
        <v>22</v>
      </c>
      <c r="E376">
        <v>22</v>
      </c>
      <c r="F376">
        <v>259</v>
      </c>
      <c r="G376">
        <f>Consulta2[[#This Row],[DIA_UTIL_CORRENTE]]</f>
        <v>6</v>
      </c>
      <c r="H376" s="6">
        <f>DAY(Consulta2[[#This Row],[DATA]])</f>
        <v>9</v>
      </c>
      <c r="I376" s="6">
        <f>MONTH(Consulta2[[#This Row],[DATA]])</f>
        <v>1</v>
      </c>
      <c r="J376" t="str">
        <f>CONCATENATE(Consulta2[[#This Row],[SAFRA]],Consulta2[[#This Row],[dia]])</f>
        <v>2025019</v>
      </c>
      <c r="K376">
        <f>Consulta2[[#This Row],[DIA_UTIL_CORRENTE]]</f>
        <v>6</v>
      </c>
    </row>
    <row r="377" spans="1:11" x14ac:dyDescent="0.25">
      <c r="A377">
        <v>202501</v>
      </c>
      <c r="B377">
        <v>7</v>
      </c>
      <c r="C377" s="148">
        <v>45667</v>
      </c>
      <c r="D377">
        <v>22</v>
      </c>
      <c r="E377">
        <v>22</v>
      </c>
      <c r="F377">
        <v>260</v>
      </c>
      <c r="G377">
        <f>Consulta2[[#This Row],[DIA_UTIL_CORRENTE]]</f>
        <v>7</v>
      </c>
      <c r="H377" s="6">
        <f>DAY(Consulta2[[#This Row],[DATA]])</f>
        <v>10</v>
      </c>
      <c r="I377" s="6">
        <f>MONTH(Consulta2[[#This Row],[DATA]])</f>
        <v>1</v>
      </c>
      <c r="J377" t="str">
        <f>CONCATENATE(Consulta2[[#This Row],[SAFRA]],Consulta2[[#This Row],[dia]])</f>
        <v>20250110</v>
      </c>
      <c r="K377">
        <f>Consulta2[[#This Row],[DIA_UTIL_CORRENTE]]</f>
        <v>7</v>
      </c>
    </row>
    <row r="378" spans="1:11" x14ac:dyDescent="0.25">
      <c r="A378">
        <v>202501</v>
      </c>
      <c r="B378">
        <v>7</v>
      </c>
      <c r="C378" s="148">
        <v>45668</v>
      </c>
      <c r="D378">
        <v>22</v>
      </c>
      <c r="E378">
        <v>22</v>
      </c>
      <c r="F378">
        <v>260</v>
      </c>
      <c r="G378">
        <f>Consulta2[[#This Row],[DIA_UTIL_CORRENTE]]</f>
        <v>7</v>
      </c>
      <c r="H378" s="6">
        <f>DAY(Consulta2[[#This Row],[DATA]])</f>
        <v>11</v>
      </c>
      <c r="I378" s="6">
        <f>MONTH(Consulta2[[#This Row],[DATA]])</f>
        <v>1</v>
      </c>
      <c r="J378" t="str">
        <f>CONCATENATE(Consulta2[[#This Row],[SAFRA]],Consulta2[[#This Row],[dia]])</f>
        <v>20250111</v>
      </c>
      <c r="K378">
        <f>Consulta2[[#This Row],[DIA_UTIL_CORRENTE]]</f>
        <v>7</v>
      </c>
    </row>
    <row r="379" spans="1:11" x14ac:dyDescent="0.25">
      <c r="A379">
        <v>202501</v>
      </c>
      <c r="B379">
        <v>7</v>
      </c>
      <c r="C379" s="148">
        <v>45669</v>
      </c>
      <c r="D379">
        <v>22</v>
      </c>
      <c r="E379">
        <v>22</v>
      </c>
      <c r="F379">
        <v>260</v>
      </c>
      <c r="G379">
        <f>Consulta2[[#This Row],[DIA_UTIL_CORRENTE]]</f>
        <v>7</v>
      </c>
      <c r="H379" s="6">
        <f>DAY(Consulta2[[#This Row],[DATA]])</f>
        <v>12</v>
      </c>
      <c r="I379" s="6">
        <f>MONTH(Consulta2[[#This Row],[DATA]])</f>
        <v>1</v>
      </c>
      <c r="J379" t="str">
        <f>CONCATENATE(Consulta2[[#This Row],[SAFRA]],Consulta2[[#This Row],[dia]])</f>
        <v>20250112</v>
      </c>
      <c r="K379">
        <f>Consulta2[[#This Row],[DIA_UTIL_CORRENTE]]</f>
        <v>7</v>
      </c>
    </row>
    <row r="380" spans="1:11" x14ac:dyDescent="0.25">
      <c r="A380">
        <v>202501</v>
      </c>
      <c r="B380">
        <v>8</v>
      </c>
      <c r="C380" s="148">
        <v>45670</v>
      </c>
      <c r="D380">
        <v>22</v>
      </c>
      <c r="E380">
        <v>22</v>
      </c>
      <c r="F380">
        <v>261</v>
      </c>
      <c r="G380">
        <f>Consulta2[[#This Row],[DIA_UTIL_CORRENTE]]</f>
        <v>8</v>
      </c>
      <c r="H380" s="6">
        <f>DAY(Consulta2[[#This Row],[DATA]])</f>
        <v>13</v>
      </c>
      <c r="I380" s="6">
        <f>MONTH(Consulta2[[#This Row],[DATA]])</f>
        <v>1</v>
      </c>
      <c r="J380" t="str">
        <f>CONCATENATE(Consulta2[[#This Row],[SAFRA]],Consulta2[[#This Row],[dia]])</f>
        <v>20250113</v>
      </c>
      <c r="K380">
        <f>Consulta2[[#This Row],[DIA_UTIL_CORRENTE]]</f>
        <v>8</v>
      </c>
    </row>
    <row r="381" spans="1:11" x14ac:dyDescent="0.25">
      <c r="A381">
        <v>202501</v>
      </c>
      <c r="B381">
        <v>9</v>
      </c>
      <c r="C381" s="148">
        <v>45671</v>
      </c>
      <c r="D381">
        <v>22</v>
      </c>
      <c r="E381">
        <v>22</v>
      </c>
      <c r="F381">
        <v>262</v>
      </c>
      <c r="G381">
        <f>Consulta2[[#This Row],[DIA_UTIL_CORRENTE]]</f>
        <v>9</v>
      </c>
      <c r="H381" s="6">
        <f>DAY(Consulta2[[#This Row],[DATA]])</f>
        <v>14</v>
      </c>
      <c r="I381" s="6">
        <f>MONTH(Consulta2[[#This Row],[DATA]])</f>
        <v>1</v>
      </c>
      <c r="J381" t="str">
        <f>CONCATENATE(Consulta2[[#This Row],[SAFRA]],Consulta2[[#This Row],[dia]])</f>
        <v>20250114</v>
      </c>
      <c r="K381">
        <f>Consulta2[[#This Row],[DIA_UTIL_CORRENTE]]</f>
        <v>9</v>
      </c>
    </row>
    <row r="382" spans="1:11" x14ac:dyDescent="0.25">
      <c r="A382">
        <v>202501</v>
      </c>
      <c r="B382">
        <v>10</v>
      </c>
      <c r="C382" s="148">
        <v>45672</v>
      </c>
      <c r="D382">
        <v>22</v>
      </c>
      <c r="E382">
        <v>22</v>
      </c>
      <c r="F382">
        <v>263</v>
      </c>
      <c r="G382">
        <f>Consulta2[[#This Row],[DIA_UTIL_CORRENTE]]</f>
        <v>10</v>
      </c>
      <c r="H382" s="6">
        <f>DAY(Consulta2[[#This Row],[DATA]])</f>
        <v>15</v>
      </c>
      <c r="I382" s="6">
        <f>MONTH(Consulta2[[#This Row],[DATA]])</f>
        <v>1</v>
      </c>
      <c r="J382" t="str">
        <f>CONCATENATE(Consulta2[[#This Row],[SAFRA]],Consulta2[[#This Row],[dia]])</f>
        <v>20250115</v>
      </c>
      <c r="K382">
        <f>Consulta2[[#This Row],[DIA_UTIL_CORRENTE]]</f>
        <v>10</v>
      </c>
    </row>
    <row r="383" spans="1:11" x14ac:dyDescent="0.25">
      <c r="A383">
        <v>202501</v>
      </c>
      <c r="B383">
        <v>11</v>
      </c>
      <c r="C383" s="148">
        <v>45673</v>
      </c>
      <c r="D383">
        <v>22</v>
      </c>
      <c r="E383">
        <v>22</v>
      </c>
      <c r="F383">
        <v>264</v>
      </c>
      <c r="G383">
        <f>Consulta2[[#This Row],[DIA_UTIL_CORRENTE]]</f>
        <v>11</v>
      </c>
      <c r="H383" s="6">
        <f>DAY(Consulta2[[#This Row],[DATA]])</f>
        <v>16</v>
      </c>
      <c r="I383" s="6">
        <f>MONTH(Consulta2[[#This Row],[DATA]])</f>
        <v>1</v>
      </c>
      <c r="J383" t="str">
        <f>CONCATENATE(Consulta2[[#This Row],[SAFRA]],Consulta2[[#This Row],[dia]])</f>
        <v>20250116</v>
      </c>
      <c r="K383">
        <f>Consulta2[[#This Row],[DIA_UTIL_CORRENTE]]</f>
        <v>11</v>
      </c>
    </row>
    <row r="384" spans="1:11" x14ac:dyDescent="0.25">
      <c r="A384">
        <v>202501</v>
      </c>
      <c r="B384">
        <v>12</v>
      </c>
      <c r="C384" s="148">
        <v>45674</v>
      </c>
      <c r="D384">
        <v>22</v>
      </c>
      <c r="E384">
        <v>22</v>
      </c>
      <c r="F384">
        <v>265</v>
      </c>
      <c r="G384">
        <f>Consulta2[[#This Row],[DIA_UTIL_CORRENTE]]</f>
        <v>12</v>
      </c>
      <c r="H384" s="6">
        <f>DAY(Consulta2[[#This Row],[DATA]])</f>
        <v>17</v>
      </c>
      <c r="I384" s="6">
        <f>MONTH(Consulta2[[#This Row],[DATA]])</f>
        <v>1</v>
      </c>
      <c r="J384" t="str">
        <f>CONCATENATE(Consulta2[[#This Row],[SAFRA]],Consulta2[[#This Row],[dia]])</f>
        <v>20250117</v>
      </c>
      <c r="K384">
        <f>Consulta2[[#This Row],[DIA_UTIL_CORRENTE]]</f>
        <v>12</v>
      </c>
    </row>
    <row r="385" spans="1:11" x14ac:dyDescent="0.25">
      <c r="A385">
        <v>202501</v>
      </c>
      <c r="B385">
        <v>12</v>
      </c>
      <c r="C385" s="148">
        <v>45675</v>
      </c>
      <c r="D385">
        <v>22</v>
      </c>
      <c r="E385">
        <v>22</v>
      </c>
      <c r="F385">
        <v>265</v>
      </c>
      <c r="G385">
        <f>Consulta2[[#This Row],[DIA_UTIL_CORRENTE]]</f>
        <v>12</v>
      </c>
      <c r="H385" s="6">
        <f>DAY(Consulta2[[#This Row],[DATA]])</f>
        <v>18</v>
      </c>
      <c r="I385" s="6">
        <f>MONTH(Consulta2[[#This Row],[DATA]])</f>
        <v>1</v>
      </c>
      <c r="J385" t="str">
        <f>CONCATENATE(Consulta2[[#This Row],[SAFRA]],Consulta2[[#This Row],[dia]])</f>
        <v>20250118</v>
      </c>
      <c r="K385">
        <f>Consulta2[[#This Row],[DIA_UTIL_CORRENTE]]</f>
        <v>12</v>
      </c>
    </row>
    <row r="386" spans="1:11" x14ac:dyDescent="0.25">
      <c r="A386">
        <v>202501</v>
      </c>
      <c r="B386">
        <v>12</v>
      </c>
      <c r="C386" s="148">
        <v>45676</v>
      </c>
      <c r="D386">
        <v>22</v>
      </c>
      <c r="E386">
        <v>22</v>
      </c>
      <c r="F386">
        <v>265</v>
      </c>
      <c r="G386">
        <f>Consulta2[[#This Row],[DIA_UTIL_CORRENTE]]</f>
        <v>12</v>
      </c>
      <c r="H386" s="6">
        <f>DAY(Consulta2[[#This Row],[DATA]])</f>
        <v>19</v>
      </c>
      <c r="I386" s="6">
        <f>MONTH(Consulta2[[#This Row],[DATA]])</f>
        <v>1</v>
      </c>
      <c r="J386" t="str">
        <f>CONCATENATE(Consulta2[[#This Row],[SAFRA]],Consulta2[[#This Row],[dia]])</f>
        <v>20250119</v>
      </c>
      <c r="K386">
        <f>Consulta2[[#This Row],[DIA_UTIL_CORRENTE]]</f>
        <v>12</v>
      </c>
    </row>
    <row r="387" spans="1:11" x14ac:dyDescent="0.25">
      <c r="A387">
        <v>202501</v>
      </c>
      <c r="B387">
        <v>13</v>
      </c>
      <c r="C387" s="148">
        <v>45677</v>
      </c>
      <c r="D387">
        <v>22</v>
      </c>
      <c r="E387">
        <v>22</v>
      </c>
      <c r="F387">
        <v>266</v>
      </c>
      <c r="G387">
        <f>Consulta2[[#This Row],[DIA_UTIL_CORRENTE]]</f>
        <v>13</v>
      </c>
      <c r="H387" s="6">
        <f>DAY(Consulta2[[#This Row],[DATA]])</f>
        <v>20</v>
      </c>
      <c r="I387" s="6">
        <f>MONTH(Consulta2[[#This Row],[DATA]])</f>
        <v>1</v>
      </c>
      <c r="J387" t="str">
        <f>CONCATENATE(Consulta2[[#This Row],[SAFRA]],Consulta2[[#This Row],[dia]])</f>
        <v>20250120</v>
      </c>
      <c r="K387">
        <f>Consulta2[[#This Row],[DIA_UTIL_CORRENTE]]</f>
        <v>13</v>
      </c>
    </row>
    <row r="388" spans="1:11" x14ac:dyDescent="0.25">
      <c r="A388">
        <v>202501</v>
      </c>
      <c r="B388">
        <v>14</v>
      </c>
      <c r="C388" s="148">
        <v>45678</v>
      </c>
      <c r="D388">
        <v>22</v>
      </c>
      <c r="E388">
        <v>22</v>
      </c>
      <c r="F388">
        <v>267</v>
      </c>
      <c r="G388">
        <f>Consulta2[[#This Row],[DIA_UTIL_CORRENTE]]</f>
        <v>14</v>
      </c>
      <c r="H388" s="6">
        <f>DAY(Consulta2[[#This Row],[DATA]])</f>
        <v>21</v>
      </c>
      <c r="I388" s="6">
        <f>MONTH(Consulta2[[#This Row],[DATA]])</f>
        <v>1</v>
      </c>
      <c r="J388" t="str">
        <f>CONCATENATE(Consulta2[[#This Row],[SAFRA]],Consulta2[[#This Row],[dia]])</f>
        <v>20250121</v>
      </c>
      <c r="K388">
        <f>Consulta2[[#This Row],[DIA_UTIL_CORRENTE]]</f>
        <v>14</v>
      </c>
    </row>
    <row r="389" spans="1:11" x14ac:dyDescent="0.25">
      <c r="A389">
        <v>202501</v>
      </c>
      <c r="B389">
        <v>15</v>
      </c>
      <c r="C389" s="148">
        <v>45679</v>
      </c>
      <c r="D389">
        <v>22</v>
      </c>
      <c r="E389">
        <v>22</v>
      </c>
      <c r="F389">
        <v>268</v>
      </c>
      <c r="G389">
        <f>Consulta2[[#This Row],[DIA_UTIL_CORRENTE]]</f>
        <v>15</v>
      </c>
      <c r="H389" s="6">
        <f>DAY(Consulta2[[#This Row],[DATA]])</f>
        <v>22</v>
      </c>
      <c r="I389" s="6">
        <f>MONTH(Consulta2[[#This Row],[DATA]])</f>
        <v>1</v>
      </c>
      <c r="J389" t="str">
        <f>CONCATENATE(Consulta2[[#This Row],[SAFRA]],Consulta2[[#This Row],[dia]])</f>
        <v>20250122</v>
      </c>
      <c r="K389">
        <f>Consulta2[[#This Row],[DIA_UTIL_CORRENTE]]</f>
        <v>15</v>
      </c>
    </row>
    <row r="390" spans="1:11" x14ac:dyDescent="0.25">
      <c r="A390">
        <v>202501</v>
      </c>
      <c r="B390">
        <v>16</v>
      </c>
      <c r="C390" s="148">
        <v>45680</v>
      </c>
      <c r="D390">
        <v>22</v>
      </c>
      <c r="E390">
        <v>22</v>
      </c>
      <c r="F390">
        <v>269</v>
      </c>
      <c r="G390">
        <f>Consulta2[[#This Row],[DIA_UTIL_CORRENTE]]</f>
        <v>16</v>
      </c>
      <c r="H390" s="6">
        <f>DAY(Consulta2[[#This Row],[DATA]])</f>
        <v>23</v>
      </c>
      <c r="I390" s="6">
        <f>MONTH(Consulta2[[#This Row],[DATA]])</f>
        <v>1</v>
      </c>
      <c r="J390" t="str">
        <f>CONCATENATE(Consulta2[[#This Row],[SAFRA]],Consulta2[[#This Row],[dia]])</f>
        <v>20250123</v>
      </c>
      <c r="K390">
        <f>Consulta2[[#This Row],[DIA_UTIL_CORRENTE]]</f>
        <v>16</v>
      </c>
    </row>
    <row r="391" spans="1:11" x14ac:dyDescent="0.25">
      <c r="A391">
        <v>202501</v>
      </c>
      <c r="B391">
        <v>17</v>
      </c>
      <c r="C391" s="148">
        <v>45681</v>
      </c>
      <c r="D391">
        <v>22</v>
      </c>
      <c r="E391">
        <v>22</v>
      </c>
      <c r="F391">
        <v>270</v>
      </c>
      <c r="G391">
        <f>Consulta2[[#This Row],[DIA_UTIL_CORRENTE]]</f>
        <v>17</v>
      </c>
      <c r="H391" s="6">
        <f>DAY(Consulta2[[#This Row],[DATA]])</f>
        <v>24</v>
      </c>
      <c r="I391" s="6">
        <f>MONTH(Consulta2[[#This Row],[DATA]])</f>
        <v>1</v>
      </c>
      <c r="J391" t="str">
        <f>CONCATENATE(Consulta2[[#This Row],[SAFRA]],Consulta2[[#This Row],[dia]])</f>
        <v>20250124</v>
      </c>
      <c r="K391">
        <f>Consulta2[[#This Row],[DIA_UTIL_CORRENTE]]</f>
        <v>17</v>
      </c>
    </row>
    <row r="392" spans="1:11" x14ac:dyDescent="0.25">
      <c r="A392">
        <v>202501</v>
      </c>
      <c r="B392">
        <v>17</v>
      </c>
      <c r="C392" s="148">
        <v>45682</v>
      </c>
      <c r="D392">
        <v>22</v>
      </c>
      <c r="E392">
        <v>22</v>
      </c>
      <c r="F392">
        <v>270</v>
      </c>
      <c r="G392">
        <f>Consulta2[[#This Row],[DIA_UTIL_CORRENTE]]</f>
        <v>17</v>
      </c>
      <c r="H392" s="6">
        <f>DAY(Consulta2[[#This Row],[DATA]])</f>
        <v>25</v>
      </c>
      <c r="I392" s="6">
        <f>MONTH(Consulta2[[#This Row],[DATA]])</f>
        <v>1</v>
      </c>
      <c r="J392" t="str">
        <f>CONCATENATE(Consulta2[[#This Row],[SAFRA]],Consulta2[[#This Row],[dia]])</f>
        <v>20250125</v>
      </c>
      <c r="K392">
        <f>Consulta2[[#This Row],[DIA_UTIL_CORRENTE]]</f>
        <v>17</v>
      </c>
    </row>
    <row r="393" spans="1:11" x14ac:dyDescent="0.25">
      <c r="A393">
        <v>202501</v>
      </c>
      <c r="B393">
        <v>17</v>
      </c>
      <c r="C393" s="148">
        <v>45683</v>
      </c>
      <c r="D393">
        <v>22</v>
      </c>
      <c r="E393">
        <v>22</v>
      </c>
      <c r="F393">
        <v>270</v>
      </c>
      <c r="G393">
        <f>Consulta2[[#This Row],[DIA_UTIL_CORRENTE]]</f>
        <v>17</v>
      </c>
      <c r="H393" s="6">
        <f>DAY(Consulta2[[#This Row],[DATA]])</f>
        <v>26</v>
      </c>
      <c r="I393" s="6">
        <f>MONTH(Consulta2[[#This Row],[DATA]])</f>
        <v>1</v>
      </c>
      <c r="J393" t="str">
        <f>CONCATENATE(Consulta2[[#This Row],[SAFRA]],Consulta2[[#This Row],[dia]])</f>
        <v>20250126</v>
      </c>
      <c r="K393">
        <f>Consulta2[[#This Row],[DIA_UTIL_CORRENTE]]</f>
        <v>17</v>
      </c>
    </row>
    <row r="394" spans="1:11" x14ac:dyDescent="0.25">
      <c r="A394">
        <v>202501</v>
      </c>
      <c r="B394">
        <v>18</v>
      </c>
      <c r="C394" s="148">
        <v>45684</v>
      </c>
      <c r="D394">
        <v>22</v>
      </c>
      <c r="E394">
        <v>22</v>
      </c>
      <c r="F394">
        <v>271</v>
      </c>
      <c r="G394">
        <f>Consulta2[[#This Row],[DIA_UTIL_CORRENTE]]</f>
        <v>18</v>
      </c>
      <c r="H394" s="6">
        <f>DAY(Consulta2[[#This Row],[DATA]])</f>
        <v>27</v>
      </c>
      <c r="I394" s="6">
        <f>MONTH(Consulta2[[#This Row],[DATA]])</f>
        <v>1</v>
      </c>
      <c r="J394" t="str">
        <f>CONCATENATE(Consulta2[[#This Row],[SAFRA]],Consulta2[[#This Row],[dia]])</f>
        <v>20250127</v>
      </c>
      <c r="K394">
        <f>Consulta2[[#This Row],[DIA_UTIL_CORRENTE]]</f>
        <v>18</v>
      </c>
    </row>
    <row r="395" spans="1:11" x14ac:dyDescent="0.25">
      <c r="A395">
        <v>202501</v>
      </c>
      <c r="B395">
        <v>19</v>
      </c>
      <c r="C395" s="148">
        <v>45685</v>
      </c>
      <c r="D395">
        <v>22</v>
      </c>
      <c r="E395">
        <v>22</v>
      </c>
      <c r="F395">
        <v>272</v>
      </c>
      <c r="G395">
        <f>Consulta2[[#This Row],[DIA_UTIL_CORRENTE]]</f>
        <v>19</v>
      </c>
      <c r="H395" s="6">
        <f>DAY(Consulta2[[#This Row],[DATA]])</f>
        <v>28</v>
      </c>
      <c r="I395" s="6">
        <f>MONTH(Consulta2[[#This Row],[DATA]])</f>
        <v>1</v>
      </c>
      <c r="J395" t="str">
        <f>CONCATENATE(Consulta2[[#This Row],[SAFRA]],Consulta2[[#This Row],[dia]])</f>
        <v>20250128</v>
      </c>
      <c r="K395">
        <f>Consulta2[[#This Row],[DIA_UTIL_CORRENTE]]</f>
        <v>19</v>
      </c>
    </row>
    <row r="396" spans="1:11" x14ac:dyDescent="0.25">
      <c r="A396">
        <v>202501</v>
      </c>
      <c r="B396">
        <v>20</v>
      </c>
      <c r="C396" s="148">
        <v>45686</v>
      </c>
      <c r="D396">
        <v>22</v>
      </c>
      <c r="E396">
        <v>22</v>
      </c>
      <c r="F396">
        <v>273</v>
      </c>
      <c r="G396">
        <f>Consulta2[[#This Row],[DIA_UTIL_CORRENTE]]</f>
        <v>20</v>
      </c>
      <c r="H396" s="6">
        <f>DAY(Consulta2[[#This Row],[DATA]])</f>
        <v>29</v>
      </c>
      <c r="I396" s="6">
        <f>MONTH(Consulta2[[#This Row],[DATA]])</f>
        <v>1</v>
      </c>
      <c r="J396" t="str">
        <f>CONCATENATE(Consulta2[[#This Row],[SAFRA]],Consulta2[[#This Row],[dia]])</f>
        <v>20250129</v>
      </c>
      <c r="K396">
        <f>Consulta2[[#This Row],[DIA_UTIL_CORRENTE]]</f>
        <v>20</v>
      </c>
    </row>
    <row r="397" spans="1:11" x14ac:dyDescent="0.25">
      <c r="A397">
        <v>202501</v>
      </c>
      <c r="B397">
        <v>21</v>
      </c>
      <c r="C397" s="148">
        <v>45687</v>
      </c>
      <c r="D397">
        <v>22</v>
      </c>
      <c r="E397">
        <v>22</v>
      </c>
      <c r="F397">
        <v>274</v>
      </c>
      <c r="G397">
        <f>Consulta2[[#This Row],[DIA_UTIL_CORRENTE]]</f>
        <v>21</v>
      </c>
      <c r="H397" s="6">
        <f>DAY(Consulta2[[#This Row],[DATA]])</f>
        <v>30</v>
      </c>
      <c r="I397" s="6">
        <f>MONTH(Consulta2[[#This Row],[DATA]])</f>
        <v>1</v>
      </c>
      <c r="J397" t="str">
        <f>CONCATENATE(Consulta2[[#This Row],[SAFRA]],Consulta2[[#This Row],[dia]])</f>
        <v>20250130</v>
      </c>
      <c r="K397">
        <f>Consulta2[[#This Row],[DIA_UTIL_CORRENTE]]</f>
        <v>21</v>
      </c>
    </row>
    <row r="398" spans="1:11" x14ac:dyDescent="0.25">
      <c r="A398">
        <v>202501</v>
      </c>
      <c r="B398">
        <v>22</v>
      </c>
      <c r="C398" s="148">
        <v>45688</v>
      </c>
      <c r="D398">
        <v>22</v>
      </c>
      <c r="E398">
        <v>22</v>
      </c>
      <c r="F398">
        <v>275</v>
      </c>
      <c r="G398">
        <f>Consulta2[[#This Row],[DIA_UTIL_CORRENTE]]</f>
        <v>22</v>
      </c>
      <c r="H398" s="6">
        <f>DAY(Consulta2[[#This Row],[DATA]])</f>
        <v>31</v>
      </c>
      <c r="I398" s="6">
        <f>MONTH(Consulta2[[#This Row],[DATA]])</f>
        <v>1</v>
      </c>
      <c r="J398" t="str">
        <f>CONCATENATE(Consulta2[[#This Row],[SAFRA]],Consulta2[[#This Row],[dia]])</f>
        <v>20250131</v>
      </c>
      <c r="K398">
        <f>Consulta2[[#This Row],[DIA_UTIL_CORRENTE]]</f>
        <v>22</v>
      </c>
    </row>
    <row r="399" spans="1:11" x14ac:dyDescent="0.25">
      <c r="A399">
        <v>202502</v>
      </c>
      <c r="B399">
        <v>0</v>
      </c>
      <c r="C399" s="148">
        <v>45689</v>
      </c>
      <c r="D399">
        <v>20</v>
      </c>
      <c r="E399">
        <v>20</v>
      </c>
      <c r="F399">
        <v>275</v>
      </c>
      <c r="G399">
        <f>Consulta2[[#This Row],[DIA_UTIL_CORRENTE]]</f>
        <v>0</v>
      </c>
      <c r="H399" s="6">
        <f>DAY(Consulta2[[#This Row],[DATA]])</f>
        <v>1</v>
      </c>
      <c r="I399" s="6">
        <f>MONTH(Consulta2[[#This Row],[DATA]])</f>
        <v>2</v>
      </c>
      <c r="J399" t="str">
        <f>CONCATENATE(Consulta2[[#This Row],[SAFRA]],Consulta2[[#This Row],[dia]])</f>
        <v>2025021</v>
      </c>
      <c r="K399">
        <f>Consulta2[[#This Row],[DIA_UTIL_CORRENTE]]</f>
        <v>0</v>
      </c>
    </row>
    <row r="400" spans="1:11" x14ac:dyDescent="0.25">
      <c r="A400">
        <v>202502</v>
      </c>
      <c r="B400">
        <v>0</v>
      </c>
      <c r="C400" s="148">
        <v>45690</v>
      </c>
      <c r="D400">
        <v>20</v>
      </c>
      <c r="E400">
        <v>20</v>
      </c>
      <c r="F400">
        <v>275</v>
      </c>
      <c r="G400">
        <f>Consulta2[[#This Row],[DIA_UTIL_CORRENTE]]</f>
        <v>0</v>
      </c>
      <c r="H400" s="6">
        <f>DAY(Consulta2[[#This Row],[DATA]])</f>
        <v>2</v>
      </c>
      <c r="I400" s="6">
        <f>MONTH(Consulta2[[#This Row],[DATA]])</f>
        <v>2</v>
      </c>
      <c r="J400" t="str">
        <f>CONCATENATE(Consulta2[[#This Row],[SAFRA]],Consulta2[[#This Row],[dia]])</f>
        <v>2025022</v>
      </c>
      <c r="K400">
        <f>Consulta2[[#This Row],[DIA_UTIL_CORRENTE]]</f>
        <v>0</v>
      </c>
    </row>
    <row r="401" spans="1:11" x14ac:dyDescent="0.25">
      <c r="A401">
        <v>202502</v>
      </c>
      <c r="B401">
        <v>1</v>
      </c>
      <c r="C401" s="148">
        <v>45691</v>
      </c>
      <c r="D401">
        <v>20</v>
      </c>
      <c r="E401">
        <v>20</v>
      </c>
      <c r="F401">
        <v>276</v>
      </c>
      <c r="G401">
        <f>Consulta2[[#This Row],[DIA_UTIL_CORRENTE]]</f>
        <v>1</v>
      </c>
      <c r="H401" s="6">
        <f>DAY(Consulta2[[#This Row],[DATA]])</f>
        <v>3</v>
      </c>
      <c r="I401" s="6">
        <f>MONTH(Consulta2[[#This Row],[DATA]])</f>
        <v>2</v>
      </c>
      <c r="J401" t="str">
        <f>CONCATENATE(Consulta2[[#This Row],[SAFRA]],Consulta2[[#This Row],[dia]])</f>
        <v>2025023</v>
      </c>
      <c r="K401">
        <f>Consulta2[[#This Row],[DIA_UTIL_CORRENTE]]</f>
        <v>1</v>
      </c>
    </row>
    <row r="402" spans="1:11" x14ac:dyDescent="0.25">
      <c r="A402">
        <v>202502</v>
      </c>
      <c r="B402">
        <v>2</v>
      </c>
      <c r="C402" s="148">
        <v>45692</v>
      </c>
      <c r="D402">
        <v>20</v>
      </c>
      <c r="E402">
        <v>20</v>
      </c>
      <c r="F402">
        <v>277</v>
      </c>
      <c r="G402">
        <f>Consulta2[[#This Row],[DIA_UTIL_CORRENTE]]</f>
        <v>2</v>
      </c>
      <c r="H402" s="6">
        <f>DAY(Consulta2[[#This Row],[DATA]])</f>
        <v>4</v>
      </c>
      <c r="I402" s="6">
        <f>MONTH(Consulta2[[#This Row],[DATA]])</f>
        <v>2</v>
      </c>
      <c r="J402" t="str">
        <f>CONCATENATE(Consulta2[[#This Row],[SAFRA]],Consulta2[[#This Row],[dia]])</f>
        <v>2025024</v>
      </c>
      <c r="K402">
        <f>Consulta2[[#This Row],[DIA_UTIL_CORRENTE]]</f>
        <v>2</v>
      </c>
    </row>
    <row r="403" spans="1:11" x14ac:dyDescent="0.25">
      <c r="A403">
        <v>202502</v>
      </c>
      <c r="B403">
        <v>3</v>
      </c>
      <c r="C403" s="148">
        <v>45693</v>
      </c>
      <c r="D403">
        <v>20</v>
      </c>
      <c r="E403">
        <v>20</v>
      </c>
      <c r="F403">
        <v>278</v>
      </c>
      <c r="G403">
        <f>Consulta2[[#This Row],[DIA_UTIL_CORRENTE]]</f>
        <v>3</v>
      </c>
      <c r="H403" s="6">
        <f>DAY(Consulta2[[#This Row],[DATA]])</f>
        <v>5</v>
      </c>
      <c r="I403" s="6">
        <f>MONTH(Consulta2[[#This Row],[DATA]])</f>
        <v>2</v>
      </c>
      <c r="J403" t="str">
        <f>CONCATENATE(Consulta2[[#This Row],[SAFRA]],Consulta2[[#This Row],[dia]])</f>
        <v>2025025</v>
      </c>
      <c r="K403">
        <f>Consulta2[[#This Row],[DIA_UTIL_CORRENTE]]</f>
        <v>3</v>
      </c>
    </row>
    <row r="404" spans="1:11" x14ac:dyDescent="0.25">
      <c r="A404">
        <v>202502</v>
      </c>
      <c r="B404">
        <v>4</v>
      </c>
      <c r="C404" s="148">
        <v>45694</v>
      </c>
      <c r="D404">
        <v>20</v>
      </c>
      <c r="E404">
        <v>20</v>
      </c>
      <c r="F404">
        <v>279</v>
      </c>
      <c r="G404">
        <f>Consulta2[[#This Row],[DIA_UTIL_CORRENTE]]</f>
        <v>4</v>
      </c>
      <c r="H404" s="6">
        <f>DAY(Consulta2[[#This Row],[DATA]])</f>
        <v>6</v>
      </c>
      <c r="I404" s="6">
        <f>MONTH(Consulta2[[#This Row],[DATA]])</f>
        <v>2</v>
      </c>
      <c r="J404" t="str">
        <f>CONCATENATE(Consulta2[[#This Row],[SAFRA]],Consulta2[[#This Row],[dia]])</f>
        <v>2025026</v>
      </c>
      <c r="K404">
        <f>Consulta2[[#This Row],[DIA_UTIL_CORRENTE]]</f>
        <v>4</v>
      </c>
    </row>
    <row r="405" spans="1:11" x14ac:dyDescent="0.25">
      <c r="A405">
        <v>202502</v>
      </c>
      <c r="B405">
        <v>5</v>
      </c>
      <c r="C405" s="148">
        <v>45695</v>
      </c>
      <c r="D405">
        <v>20</v>
      </c>
      <c r="E405">
        <v>20</v>
      </c>
      <c r="F405">
        <v>280</v>
      </c>
      <c r="G405">
        <f>Consulta2[[#This Row],[DIA_UTIL_CORRENTE]]</f>
        <v>5</v>
      </c>
      <c r="H405" s="6">
        <f>DAY(Consulta2[[#This Row],[DATA]])</f>
        <v>7</v>
      </c>
      <c r="I405" s="6">
        <f>MONTH(Consulta2[[#This Row],[DATA]])</f>
        <v>2</v>
      </c>
      <c r="J405" t="str">
        <f>CONCATENATE(Consulta2[[#This Row],[SAFRA]],Consulta2[[#This Row],[dia]])</f>
        <v>2025027</v>
      </c>
      <c r="K405">
        <f>Consulta2[[#This Row],[DIA_UTIL_CORRENTE]]</f>
        <v>5</v>
      </c>
    </row>
    <row r="406" spans="1:11" x14ac:dyDescent="0.25">
      <c r="A406">
        <v>202502</v>
      </c>
      <c r="B406">
        <v>5</v>
      </c>
      <c r="C406" s="148">
        <v>45696</v>
      </c>
      <c r="D406">
        <v>20</v>
      </c>
      <c r="E406">
        <v>20</v>
      </c>
      <c r="F406">
        <v>280</v>
      </c>
      <c r="G406">
        <f>Consulta2[[#This Row],[DIA_UTIL_CORRENTE]]</f>
        <v>5</v>
      </c>
      <c r="H406" s="6">
        <f>DAY(Consulta2[[#This Row],[DATA]])</f>
        <v>8</v>
      </c>
      <c r="I406" s="6">
        <f>MONTH(Consulta2[[#This Row],[DATA]])</f>
        <v>2</v>
      </c>
      <c r="J406" t="str">
        <f>CONCATENATE(Consulta2[[#This Row],[SAFRA]],Consulta2[[#This Row],[dia]])</f>
        <v>2025028</v>
      </c>
      <c r="K406">
        <f>Consulta2[[#This Row],[DIA_UTIL_CORRENTE]]</f>
        <v>5</v>
      </c>
    </row>
    <row r="407" spans="1:11" x14ac:dyDescent="0.25">
      <c r="A407">
        <v>202502</v>
      </c>
      <c r="B407">
        <v>5</v>
      </c>
      <c r="C407" s="148">
        <v>45697</v>
      </c>
      <c r="D407">
        <v>20</v>
      </c>
      <c r="E407">
        <v>20</v>
      </c>
      <c r="F407">
        <v>280</v>
      </c>
      <c r="G407">
        <f>Consulta2[[#This Row],[DIA_UTIL_CORRENTE]]</f>
        <v>5</v>
      </c>
      <c r="H407" s="6">
        <f>DAY(Consulta2[[#This Row],[DATA]])</f>
        <v>9</v>
      </c>
      <c r="I407" s="6">
        <f>MONTH(Consulta2[[#This Row],[DATA]])</f>
        <v>2</v>
      </c>
      <c r="J407" t="str">
        <f>CONCATENATE(Consulta2[[#This Row],[SAFRA]],Consulta2[[#This Row],[dia]])</f>
        <v>2025029</v>
      </c>
      <c r="K407">
        <f>Consulta2[[#This Row],[DIA_UTIL_CORRENTE]]</f>
        <v>5</v>
      </c>
    </row>
    <row r="408" spans="1:11" x14ac:dyDescent="0.25">
      <c r="A408">
        <v>202502</v>
      </c>
      <c r="B408">
        <v>6</v>
      </c>
      <c r="C408" s="148">
        <v>45698</v>
      </c>
      <c r="D408">
        <v>20</v>
      </c>
      <c r="E408">
        <v>20</v>
      </c>
      <c r="F408">
        <v>281</v>
      </c>
      <c r="G408">
        <f>Consulta2[[#This Row],[DIA_UTIL_CORRENTE]]</f>
        <v>6</v>
      </c>
      <c r="H408" s="6">
        <f>DAY(Consulta2[[#This Row],[DATA]])</f>
        <v>10</v>
      </c>
      <c r="I408" s="6">
        <f>MONTH(Consulta2[[#This Row],[DATA]])</f>
        <v>2</v>
      </c>
      <c r="J408" t="str">
        <f>CONCATENATE(Consulta2[[#This Row],[SAFRA]],Consulta2[[#This Row],[dia]])</f>
        <v>20250210</v>
      </c>
      <c r="K408">
        <f>Consulta2[[#This Row],[DIA_UTIL_CORRENTE]]</f>
        <v>6</v>
      </c>
    </row>
    <row r="409" spans="1:11" x14ac:dyDescent="0.25">
      <c r="A409">
        <v>202502</v>
      </c>
      <c r="B409">
        <v>7</v>
      </c>
      <c r="C409" s="148">
        <v>45699</v>
      </c>
      <c r="D409">
        <v>20</v>
      </c>
      <c r="E409">
        <v>20</v>
      </c>
      <c r="F409">
        <v>282</v>
      </c>
      <c r="G409">
        <f>Consulta2[[#This Row],[DIA_UTIL_CORRENTE]]</f>
        <v>7</v>
      </c>
      <c r="H409" s="6">
        <f>DAY(Consulta2[[#This Row],[DATA]])</f>
        <v>11</v>
      </c>
      <c r="I409" s="6">
        <f>MONTH(Consulta2[[#This Row],[DATA]])</f>
        <v>2</v>
      </c>
      <c r="J409" t="str">
        <f>CONCATENATE(Consulta2[[#This Row],[SAFRA]],Consulta2[[#This Row],[dia]])</f>
        <v>20250211</v>
      </c>
      <c r="K409">
        <f>Consulta2[[#This Row],[DIA_UTIL_CORRENTE]]</f>
        <v>7</v>
      </c>
    </row>
    <row r="410" spans="1:11" x14ac:dyDescent="0.25">
      <c r="A410">
        <v>202502</v>
      </c>
      <c r="B410">
        <v>8</v>
      </c>
      <c r="C410" s="148">
        <v>45700</v>
      </c>
      <c r="D410">
        <v>20</v>
      </c>
      <c r="E410">
        <v>20</v>
      </c>
      <c r="F410">
        <v>283</v>
      </c>
      <c r="G410">
        <f>Consulta2[[#This Row],[DIA_UTIL_CORRENTE]]</f>
        <v>8</v>
      </c>
      <c r="H410" s="6">
        <f>DAY(Consulta2[[#This Row],[DATA]])</f>
        <v>12</v>
      </c>
      <c r="I410" s="6">
        <f>MONTH(Consulta2[[#This Row],[DATA]])</f>
        <v>2</v>
      </c>
      <c r="J410" t="str">
        <f>CONCATENATE(Consulta2[[#This Row],[SAFRA]],Consulta2[[#This Row],[dia]])</f>
        <v>20250212</v>
      </c>
      <c r="K410">
        <f>Consulta2[[#This Row],[DIA_UTIL_CORRENTE]]</f>
        <v>8</v>
      </c>
    </row>
    <row r="411" spans="1:11" x14ac:dyDescent="0.25">
      <c r="A411">
        <v>202502</v>
      </c>
      <c r="B411">
        <v>9</v>
      </c>
      <c r="C411" s="148">
        <v>45701</v>
      </c>
      <c r="D411">
        <v>20</v>
      </c>
      <c r="E411">
        <v>20</v>
      </c>
      <c r="F411">
        <v>284</v>
      </c>
      <c r="G411">
        <f>Consulta2[[#This Row],[DIA_UTIL_CORRENTE]]</f>
        <v>9</v>
      </c>
      <c r="H411" s="6">
        <f>DAY(Consulta2[[#This Row],[DATA]])</f>
        <v>13</v>
      </c>
      <c r="I411" s="6">
        <f>MONTH(Consulta2[[#This Row],[DATA]])</f>
        <v>2</v>
      </c>
      <c r="J411" t="str">
        <f>CONCATENATE(Consulta2[[#This Row],[SAFRA]],Consulta2[[#This Row],[dia]])</f>
        <v>20250213</v>
      </c>
      <c r="K411">
        <f>Consulta2[[#This Row],[DIA_UTIL_CORRENTE]]</f>
        <v>9</v>
      </c>
    </row>
    <row r="412" spans="1:11" x14ac:dyDescent="0.25">
      <c r="A412">
        <v>202502</v>
      </c>
      <c r="B412">
        <v>10</v>
      </c>
      <c r="C412" s="148">
        <v>45702</v>
      </c>
      <c r="D412">
        <v>20</v>
      </c>
      <c r="E412">
        <v>20</v>
      </c>
      <c r="F412">
        <v>285</v>
      </c>
      <c r="G412">
        <f>Consulta2[[#This Row],[DIA_UTIL_CORRENTE]]</f>
        <v>10</v>
      </c>
      <c r="H412" s="6">
        <f>DAY(Consulta2[[#This Row],[DATA]])</f>
        <v>14</v>
      </c>
      <c r="I412" s="6">
        <f>MONTH(Consulta2[[#This Row],[DATA]])</f>
        <v>2</v>
      </c>
      <c r="J412" t="str">
        <f>CONCATENATE(Consulta2[[#This Row],[SAFRA]],Consulta2[[#This Row],[dia]])</f>
        <v>20250214</v>
      </c>
      <c r="K412">
        <f>Consulta2[[#This Row],[DIA_UTIL_CORRENTE]]</f>
        <v>10</v>
      </c>
    </row>
    <row r="413" spans="1:11" x14ac:dyDescent="0.25">
      <c r="A413">
        <v>202502</v>
      </c>
      <c r="B413">
        <v>10</v>
      </c>
      <c r="C413" s="148">
        <v>45703</v>
      </c>
      <c r="D413">
        <v>20</v>
      </c>
      <c r="E413">
        <v>20</v>
      </c>
      <c r="F413">
        <v>285</v>
      </c>
      <c r="G413">
        <f>Consulta2[[#This Row],[DIA_UTIL_CORRENTE]]</f>
        <v>10</v>
      </c>
      <c r="H413" s="6">
        <f>DAY(Consulta2[[#This Row],[DATA]])</f>
        <v>15</v>
      </c>
      <c r="I413" s="6">
        <f>MONTH(Consulta2[[#This Row],[DATA]])</f>
        <v>2</v>
      </c>
      <c r="J413" t="str">
        <f>CONCATENATE(Consulta2[[#This Row],[SAFRA]],Consulta2[[#This Row],[dia]])</f>
        <v>20250215</v>
      </c>
      <c r="K413">
        <f>Consulta2[[#This Row],[DIA_UTIL_CORRENTE]]</f>
        <v>10</v>
      </c>
    </row>
    <row r="414" spans="1:11" x14ac:dyDescent="0.25">
      <c r="A414">
        <v>202502</v>
      </c>
      <c r="B414">
        <v>10</v>
      </c>
      <c r="C414" s="148">
        <v>45704</v>
      </c>
      <c r="D414">
        <v>20</v>
      </c>
      <c r="E414">
        <v>20</v>
      </c>
      <c r="F414">
        <v>285</v>
      </c>
      <c r="G414">
        <f>Consulta2[[#This Row],[DIA_UTIL_CORRENTE]]</f>
        <v>10</v>
      </c>
      <c r="H414" s="6">
        <f>DAY(Consulta2[[#This Row],[DATA]])</f>
        <v>16</v>
      </c>
      <c r="I414" s="6">
        <f>MONTH(Consulta2[[#This Row],[DATA]])</f>
        <v>2</v>
      </c>
      <c r="J414" t="str">
        <f>CONCATENATE(Consulta2[[#This Row],[SAFRA]],Consulta2[[#This Row],[dia]])</f>
        <v>20250216</v>
      </c>
      <c r="K414">
        <f>Consulta2[[#This Row],[DIA_UTIL_CORRENTE]]</f>
        <v>10</v>
      </c>
    </row>
    <row r="415" spans="1:11" x14ac:dyDescent="0.25">
      <c r="A415">
        <v>202502</v>
      </c>
      <c r="B415">
        <v>11</v>
      </c>
      <c r="C415" s="148">
        <v>45705</v>
      </c>
      <c r="D415">
        <v>20</v>
      </c>
      <c r="E415">
        <v>20</v>
      </c>
      <c r="F415">
        <v>286</v>
      </c>
      <c r="G415">
        <f>Consulta2[[#This Row],[DIA_UTIL_CORRENTE]]</f>
        <v>11</v>
      </c>
      <c r="H415" s="6">
        <f>DAY(Consulta2[[#This Row],[DATA]])</f>
        <v>17</v>
      </c>
      <c r="I415" s="6">
        <f>MONTH(Consulta2[[#This Row],[DATA]])</f>
        <v>2</v>
      </c>
      <c r="J415" t="str">
        <f>CONCATENATE(Consulta2[[#This Row],[SAFRA]],Consulta2[[#This Row],[dia]])</f>
        <v>20250217</v>
      </c>
      <c r="K415">
        <f>Consulta2[[#This Row],[DIA_UTIL_CORRENTE]]</f>
        <v>11</v>
      </c>
    </row>
    <row r="416" spans="1:11" x14ac:dyDescent="0.25">
      <c r="A416">
        <v>202502</v>
      </c>
      <c r="B416">
        <v>12</v>
      </c>
      <c r="C416" s="148">
        <v>45706</v>
      </c>
      <c r="D416">
        <v>20</v>
      </c>
      <c r="E416">
        <v>20</v>
      </c>
      <c r="F416">
        <v>287</v>
      </c>
      <c r="G416">
        <f>Consulta2[[#This Row],[DIA_UTIL_CORRENTE]]</f>
        <v>12</v>
      </c>
      <c r="H416" s="6">
        <f>DAY(Consulta2[[#This Row],[DATA]])</f>
        <v>18</v>
      </c>
      <c r="I416" s="6">
        <f>MONTH(Consulta2[[#This Row],[DATA]])</f>
        <v>2</v>
      </c>
      <c r="J416" t="str">
        <f>CONCATENATE(Consulta2[[#This Row],[SAFRA]],Consulta2[[#This Row],[dia]])</f>
        <v>20250218</v>
      </c>
      <c r="K416">
        <f>Consulta2[[#This Row],[DIA_UTIL_CORRENTE]]</f>
        <v>12</v>
      </c>
    </row>
    <row r="417" spans="1:11" x14ac:dyDescent="0.25">
      <c r="A417">
        <v>202502</v>
      </c>
      <c r="B417">
        <v>13</v>
      </c>
      <c r="C417" s="148">
        <v>45707</v>
      </c>
      <c r="D417">
        <v>20</v>
      </c>
      <c r="E417">
        <v>20</v>
      </c>
      <c r="F417">
        <v>288</v>
      </c>
      <c r="G417">
        <f>Consulta2[[#This Row],[DIA_UTIL_CORRENTE]]</f>
        <v>13</v>
      </c>
      <c r="H417" s="6">
        <f>DAY(Consulta2[[#This Row],[DATA]])</f>
        <v>19</v>
      </c>
      <c r="I417" s="6">
        <f>MONTH(Consulta2[[#This Row],[DATA]])</f>
        <v>2</v>
      </c>
      <c r="J417" t="str">
        <f>CONCATENATE(Consulta2[[#This Row],[SAFRA]],Consulta2[[#This Row],[dia]])</f>
        <v>20250219</v>
      </c>
      <c r="K417">
        <f>Consulta2[[#This Row],[DIA_UTIL_CORRENTE]]</f>
        <v>13</v>
      </c>
    </row>
    <row r="418" spans="1:11" x14ac:dyDescent="0.25">
      <c r="A418">
        <v>202502</v>
      </c>
      <c r="B418">
        <v>14</v>
      </c>
      <c r="C418" s="148">
        <v>45708</v>
      </c>
      <c r="D418">
        <v>20</v>
      </c>
      <c r="E418">
        <v>20</v>
      </c>
      <c r="F418">
        <v>289</v>
      </c>
      <c r="G418">
        <f>Consulta2[[#This Row],[DIA_UTIL_CORRENTE]]</f>
        <v>14</v>
      </c>
      <c r="H418" s="6">
        <f>DAY(Consulta2[[#This Row],[DATA]])</f>
        <v>20</v>
      </c>
      <c r="I418" s="6">
        <f>MONTH(Consulta2[[#This Row],[DATA]])</f>
        <v>2</v>
      </c>
      <c r="J418" t="str">
        <f>CONCATENATE(Consulta2[[#This Row],[SAFRA]],Consulta2[[#This Row],[dia]])</f>
        <v>20250220</v>
      </c>
      <c r="K418">
        <f>Consulta2[[#This Row],[DIA_UTIL_CORRENTE]]</f>
        <v>14</v>
      </c>
    </row>
    <row r="419" spans="1:11" x14ac:dyDescent="0.25">
      <c r="A419">
        <v>202502</v>
      </c>
      <c r="B419">
        <v>15</v>
      </c>
      <c r="C419" s="148">
        <v>45709</v>
      </c>
      <c r="D419">
        <v>20</v>
      </c>
      <c r="E419">
        <v>20</v>
      </c>
      <c r="F419">
        <v>290</v>
      </c>
      <c r="G419">
        <f>Consulta2[[#This Row],[DIA_UTIL_CORRENTE]]</f>
        <v>15</v>
      </c>
      <c r="H419" s="6">
        <f>DAY(Consulta2[[#This Row],[DATA]])</f>
        <v>21</v>
      </c>
      <c r="I419" s="6">
        <f>MONTH(Consulta2[[#This Row],[DATA]])</f>
        <v>2</v>
      </c>
      <c r="J419" t="str">
        <f>CONCATENATE(Consulta2[[#This Row],[SAFRA]],Consulta2[[#This Row],[dia]])</f>
        <v>20250221</v>
      </c>
      <c r="K419">
        <f>Consulta2[[#This Row],[DIA_UTIL_CORRENTE]]</f>
        <v>15</v>
      </c>
    </row>
    <row r="420" spans="1:11" x14ac:dyDescent="0.25">
      <c r="A420">
        <v>202502</v>
      </c>
      <c r="B420">
        <v>15</v>
      </c>
      <c r="C420" s="148">
        <v>45710</v>
      </c>
      <c r="D420">
        <v>20</v>
      </c>
      <c r="E420">
        <v>20</v>
      </c>
      <c r="F420">
        <v>290</v>
      </c>
      <c r="G420">
        <f>Consulta2[[#This Row],[DIA_UTIL_CORRENTE]]</f>
        <v>15</v>
      </c>
      <c r="H420" s="6">
        <f>DAY(Consulta2[[#This Row],[DATA]])</f>
        <v>22</v>
      </c>
      <c r="I420" s="6">
        <f>MONTH(Consulta2[[#This Row],[DATA]])</f>
        <v>2</v>
      </c>
      <c r="J420" t="str">
        <f>CONCATENATE(Consulta2[[#This Row],[SAFRA]],Consulta2[[#This Row],[dia]])</f>
        <v>20250222</v>
      </c>
      <c r="K420">
        <f>Consulta2[[#This Row],[DIA_UTIL_CORRENTE]]</f>
        <v>15</v>
      </c>
    </row>
    <row r="421" spans="1:11" x14ac:dyDescent="0.25">
      <c r="A421">
        <v>202502</v>
      </c>
      <c r="B421">
        <v>15</v>
      </c>
      <c r="C421" s="148">
        <v>45711</v>
      </c>
      <c r="D421">
        <v>20</v>
      </c>
      <c r="E421">
        <v>20</v>
      </c>
      <c r="F421">
        <v>290</v>
      </c>
      <c r="G421">
        <f>Consulta2[[#This Row],[DIA_UTIL_CORRENTE]]</f>
        <v>15</v>
      </c>
      <c r="H421" s="6">
        <f>DAY(Consulta2[[#This Row],[DATA]])</f>
        <v>23</v>
      </c>
      <c r="I421" s="6">
        <f>MONTH(Consulta2[[#This Row],[DATA]])</f>
        <v>2</v>
      </c>
      <c r="J421" t="str">
        <f>CONCATENATE(Consulta2[[#This Row],[SAFRA]],Consulta2[[#This Row],[dia]])</f>
        <v>20250223</v>
      </c>
      <c r="K421">
        <f>Consulta2[[#This Row],[DIA_UTIL_CORRENTE]]</f>
        <v>15</v>
      </c>
    </row>
    <row r="422" spans="1:11" x14ac:dyDescent="0.25">
      <c r="A422">
        <v>202502</v>
      </c>
      <c r="B422">
        <v>16</v>
      </c>
      <c r="C422" s="148">
        <v>45712</v>
      </c>
      <c r="D422">
        <v>20</v>
      </c>
      <c r="E422">
        <v>20</v>
      </c>
      <c r="F422">
        <v>291</v>
      </c>
      <c r="G422">
        <f>Consulta2[[#This Row],[DIA_UTIL_CORRENTE]]</f>
        <v>16</v>
      </c>
      <c r="H422" s="6">
        <f>DAY(Consulta2[[#This Row],[DATA]])</f>
        <v>24</v>
      </c>
      <c r="I422" s="6">
        <f>MONTH(Consulta2[[#This Row],[DATA]])</f>
        <v>2</v>
      </c>
      <c r="J422" t="str">
        <f>CONCATENATE(Consulta2[[#This Row],[SAFRA]],Consulta2[[#This Row],[dia]])</f>
        <v>20250224</v>
      </c>
      <c r="K422">
        <f>Consulta2[[#This Row],[DIA_UTIL_CORRENTE]]</f>
        <v>16</v>
      </c>
    </row>
    <row r="423" spans="1:11" x14ac:dyDescent="0.25">
      <c r="A423">
        <v>202502</v>
      </c>
      <c r="B423">
        <v>17</v>
      </c>
      <c r="C423" s="148">
        <v>45713</v>
      </c>
      <c r="D423">
        <v>20</v>
      </c>
      <c r="E423">
        <v>20</v>
      </c>
      <c r="F423">
        <v>292</v>
      </c>
      <c r="G423">
        <f>Consulta2[[#This Row],[DIA_UTIL_CORRENTE]]</f>
        <v>17</v>
      </c>
      <c r="H423" s="6">
        <f>DAY(Consulta2[[#This Row],[DATA]])</f>
        <v>25</v>
      </c>
      <c r="I423" s="6">
        <f>MONTH(Consulta2[[#This Row],[DATA]])</f>
        <v>2</v>
      </c>
      <c r="J423" t="str">
        <f>CONCATENATE(Consulta2[[#This Row],[SAFRA]],Consulta2[[#This Row],[dia]])</f>
        <v>20250225</v>
      </c>
      <c r="K423">
        <f>Consulta2[[#This Row],[DIA_UTIL_CORRENTE]]</f>
        <v>17</v>
      </c>
    </row>
    <row r="424" spans="1:11" x14ac:dyDescent="0.25">
      <c r="A424">
        <v>202502</v>
      </c>
      <c r="B424">
        <v>18</v>
      </c>
      <c r="C424" s="148">
        <v>45714</v>
      </c>
      <c r="D424">
        <v>20</v>
      </c>
      <c r="E424">
        <v>20</v>
      </c>
      <c r="F424">
        <v>293</v>
      </c>
      <c r="G424">
        <f>Consulta2[[#This Row],[DIA_UTIL_CORRENTE]]</f>
        <v>18</v>
      </c>
      <c r="H424" s="6">
        <f>DAY(Consulta2[[#This Row],[DATA]])</f>
        <v>26</v>
      </c>
      <c r="I424" s="6">
        <f>MONTH(Consulta2[[#This Row],[DATA]])</f>
        <v>2</v>
      </c>
      <c r="J424" t="str">
        <f>CONCATENATE(Consulta2[[#This Row],[SAFRA]],Consulta2[[#This Row],[dia]])</f>
        <v>20250226</v>
      </c>
      <c r="K424">
        <f>Consulta2[[#This Row],[DIA_UTIL_CORRENTE]]</f>
        <v>18</v>
      </c>
    </row>
    <row r="425" spans="1:11" x14ac:dyDescent="0.25">
      <c r="A425">
        <v>202502</v>
      </c>
      <c r="B425">
        <v>19</v>
      </c>
      <c r="C425" s="148">
        <v>45715</v>
      </c>
      <c r="D425">
        <v>20</v>
      </c>
      <c r="E425">
        <v>20</v>
      </c>
      <c r="F425">
        <v>294</v>
      </c>
      <c r="G425">
        <f>Consulta2[[#This Row],[DIA_UTIL_CORRENTE]]</f>
        <v>19</v>
      </c>
      <c r="H425" s="6">
        <f>DAY(Consulta2[[#This Row],[DATA]])</f>
        <v>27</v>
      </c>
      <c r="I425" s="6">
        <f>MONTH(Consulta2[[#This Row],[DATA]])</f>
        <v>2</v>
      </c>
      <c r="J425" t="str">
        <f>CONCATENATE(Consulta2[[#This Row],[SAFRA]],Consulta2[[#This Row],[dia]])</f>
        <v>20250227</v>
      </c>
      <c r="K425">
        <f>Consulta2[[#This Row],[DIA_UTIL_CORRENTE]]</f>
        <v>19</v>
      </c>
    </row>
    <row r="426" spans="1:11" x14ac:dyDescent="0.25">
      <c r="A426">
        <v>202502</v>
      </c>
      <c r="B426">
        <v>20</v>
      </c>
      <c r="C426" s="148">
        <v>45716</v>
      </c>
      <c r="D426">
        <v>20</v>
      </c>
      <c r="E426">
        <v>20</v>
      </c>
      <c r="F426">
        <v>295</v>
      </c>
      <c r="G426">
        <f>Consulta2[[#This Row],[DIA_UTIL_CORRENTE]]</f>
        <v>20</v>
      </c>
      <c r="H426" s="6">
        <f>DAY(Consulta2[[#This Row],[DATA]])</f>
        <v>28</v>
      </c>
      <c r="I426" s="6">
        <f>MONTH(Consulta2[[#This Row],[DATA]])</f>
        <v>2</v>
      </c>
      <c r="J426" t="str">
        <f>CONCATENATE(Consulta2[[#This Row],[SAFRA]],Consulta2[[#This Row],[dia]])</f>
        <v>20250228</v>
      </c>
      <c r="K426">
        <f>Consulta2[[#This Row],[DIA_UTIL_CORRENTE]]</f>
        <v>20</v>
      </c>
    </row>
    <row r="427" spans="1:11" x14ac:dyDescent="0.25">
      <c r="A427">
        <v>202503</v>
      </c>
      <c r="B427">
        <v>0</v>
      </c>
      <c r="C427" s="148">
        <v>45717</v>
      </c>
      <c r="D427">
        <v>19</v>
      </c>
      <c r="E427">
        <v>19</v>
      </c>
      <c r="F427">
        <v>295</v>
      </c>
      <c r="G427">
        <f>Consulta2[[#This Row],[DIA_UTIL_CORRENTE]]</f>
        <v>0</v>
      </c>
      <c r="H427" s="6">
        <f>DAY(Consulta2[[#This Row],[DATA]])</f>
        <v>1</v>
      </c>
      <c r="I427" s="6">
        <f>MONTH(Consulta2[[#This Row],[DATA]])</f>
        <v>3</v>
      </c>
      <c r="J427" t="str">
        <f>CONCATENATE(Consulta2[[#This Row],[SAFRA]],Consulta2[[#This Row],[dia]])</f>
        <v>2025031</v>
      </c>
      <c r="K427">
        <f>Consulta2[[#This Row],[DIA_UTIL_CORRENTE]]</f>
        <v>0</v>
      </c>
    </row>
    <row r="428" spans="1:11" x14ac:dyDescent="0.25">
      <c r="A428">
        <v>202503</v>
      </c>
      <c r="B428">
        <v>0</v>
      </c>
      <c r="C428" s="148">
        <v>45718</v>
      </c>
      <c r="D428">
        <v>19</v>
      </c>
      <c r="E428">
        <v>19</v>
      </c>
      <c r="F428">
        <v>295</v>
      </c>
      <c r="G428">
        <f>Consulta2[[#This Row],[DIA_UTIL_CORRENTE]]</f>
        <v>0</v>
      </c>
      <c r="H428" s="6">
        <f>DAY(Consulta2[[#This Row],[DATA]])</f>
        <v>2</v>
      </c>
      <c r="I428" s="6">
        <f>MONTH(Consulta2[[#This Row],[DATA]])</f>
        <v>3</v>
      </c>
      <c r="J428" t="str">
        <f>CONCATENATE(Consulta2[[#This Row],[SAFRA]],Consulta2[[#This Row],[dia]])</f>
        <v>2025032</v>
      </c>
      <c r="K428">
        <f>Consulta2[[#This Row],[DIA_UTIL_CORRENTE]]</f>
        <v>0</v>
      </c>
    </row>
    <row r="429" spans="1:11" x14ac:dyDescent="0.25">
      <c r="A429">
        <v>202503</v>
      </c>
      <c r="B429">
        <v>0</v>
      </c>
      <c r="C429" s="148">
        <v>45719</v>
      </c>
      <c r="D429">
        <v>19</v>
      </c>
      <c r="E429">
        <v>19</v>
      </c>
      <c r="F429">
        <v>295</v>
      </c>
      <c r="G429">
        <f>Consulta2[[#This Row],[DIA_UTIL_CORRENTE]]</f>
        <v>0</v>
      </c>
      <c r="H429" s="6">
        <f>DAY(Consulta2[[#This Row],[DATA]])</f>
        <v>3</v>
      </c>
      <c r="I429" s="6">
        <f>MONTH(Consulta2[[#This Row],[DATA]])</f>
        <v>3</v>
      </c>
      <c r="J429" t="str">
        <f>CONCATENATE(Consulta2[[#This Row],[SAFRA]],Consulta2[[#This Row],[dia]])</f>
        <v>2025033</v>
      </c>
      <c r="K429">
        <f>Consulta2[[#This Row],[DIA_UTIL_CORRENTE]]</f>
        <v>0</v>
      </c>
    </row>
    <row r="430" spans="1:11" x14ac:dyDescent="0.25">
      <c r="A430">
        <v>202503</v>
      </c>
      <c r="B430">
        <v>0</v>
      </c>
      <c r="C430" s="148">
        <v>45720</v>
      </c>
      <c r="D430">
        <v>19</v>
      </c>
      <c r="E430">
        <v>19</v>
      </c>
      <c r="F430">
        <v>295</v>
      </c>
      <c r="G430">
        <f>Consulta2[[#This Row],[DIA_UTIL_CORRENTE]]</f>
        <v>0</v>
      </c>
      <c r="H430" s="6">
        <f>DAY(Consulta2[[#This Row],[DATA]])</f>
        <v>4</v>
      </c>
      <c r="I430" s="6">
        <f>MONTH(Consulta2[[#This Row],[DATA]])</f>
        <v>3</v>
      </c>
      <c r="J430" t="str">
        <f>CONCATENATE(Consulta2[[#This Row],[SAFRA]],Consulta2[[#This Row],[dia]])</f>
        <v>2025034</v>
      </c>
      <c r="K430">
        <f>Consulta2[[#This Row],[DIA_UTIL_CORRENTE]]</f>
        <v>0</v>
      </c>
    </row>
    <row r="431" spans="1:11" x14ac:dyDescent="0.25">
      <c r="A431">
        <v>202503</v>
      </c>
      <c r="B431">
        <v>1</v>
      </c>
      <c r="C431" s="148">
        <v>45721</v>
      </c>
      <c r="D431">
        <v>19</v>
      </c>
      <c r="E431">
        <v>19</v>
      </c>
      <c r="F431">
        <v>296</v>
      </c>
      <c r="G431">
        <f>Consulta2[[#This Row],[DIA_UTIL_CORRENTE]]</f>
        <v>1</v>
      </c>
      <c r="H431" s="6">
        <f>DAY(Consulta2[[#This Row],[DATA]])</f>
        <v>5</v>
      </c>
      <c r="I431" s="6">
        <f>MONTH(Consulta2[[#This Row],[DATA]])</f>
        <v>3</v>
      </c>
      <c r="J431" t="str">
        <f>CONCATENATE(Consulta2[[#This Row],[SAFRA]],Consulta2[[#This Row],[dia]])</f>
        <v>2025035</v>
      </c>
      <c r="K431">
        <f>Consulta2[[#This Row],[DIA_UTIL_CORRENTE]]</f>
        <v>1</v>
      </c>
    </row>
    <row r="432" spans="1:11" x14ac:dyDescent="0.25">
      <c r="A432">
        <v>202503</v>
      </c>
      <c r="B432">
        <v>2</v>
      </c>
      <c r="C432" s="148">
        <v>45722</v>
      </c>
      <c r="D432">
        <v>19</v>
      </c>
      <c r="E432">
        <v>19</v>
      </c>
      <c r="F432">
        <v>297</v>
      </c>
      <c r="G432">
        <f>Consulta2[[#This Row],[DIA_UTIL_CORRENTE]]</f>
        <v>2</v>
      </c>
      <c r="H432" s="6">
        <f>DAY(Consulta2[[#This Row],[DATA]])</f>
        <v>6</v>
      </c>
      <c r="I432" s="6">
        <f>MONTH(Consulta2[[#This Row],[DATA]])</f>
        <v>3</v>
      </c>
      <c r="J432" t="str">
        <f>CONCATENATE(Consulta2[[#This Row],[SAFRA]],Consulta2[[#This Row],[dia]])</f>
        <v>2025036</v>
      </c>
      <c r="K432">
        <f>Consulta2[[#This Row],[DIA_UTIL_CORRENTE]]</f>
        <v>2</v>
      </c>
    </row>
    <row r="433" spans="1:11" x14ac:dyDescent="0.25">
      <c r="A433">
        <v>202503</v>
      </c>
      <c r="B433">
        <v>3</v>
      </c>
      <c r="C433" s="148">
        <v>45723</v>
      </c>
      <c r="D433">
        <v>19</v>
      </c>
      <c r="E433">
        <v>19</v>
      </c>
      <c r="F433">
        <v>298</v>
      </c>
      <c r="G433">
        <f>Consulta2[[#This Row],[DIA_UTIL_CORRENTE]]</f>
        <v>3</v>
      </c>
      <c r="H433" s="6">
        <f>DAY(Consulta2[[#This Row],[DATA]])</f>
        <v>7</v>
      </c>
      <c r="I433" s="6">
        <f>MONTH(Consulta2[[#This Row],[DATA]])</f>
        <v>3</v>
      </c>
      <c r="J433" t="str">
        <f>CONCATENATE(Consulta2[[#This Row],[SAFRA]],Consulta2[[#This Row],[dia]])</f>
        <v>2025037</v>
      </c>
      <c r="K433">
        <f>Consulta2[[#This Row],[DIA_UTIL_CORRENTE]]</f>
        <v>3</v>
      </c>
    </row>
    <row r="434" spans="1:11" x14ac:dyDescent="0.25">
      <c r="A434">
        <v>202503</v>
      </c>
      <c r="B434">
        <v>3</v>
      </c>
      <c r="C434" s="148">
        <v>45724</v>
      </c>
      <c r="D434">
        <v>19</v>
      </c>
      <c r="E434">
        <v>19</v>
      </c>
      <c r="F434">
        <v>298</v>
      </c>
      <c r="G434">
        <f>Consulta2[[#This Row],[DIA_UTIL_CORRENTE]]</f>
        <v>3</v>
      </c>
      <c r="H434" s="6">
        <f>DAY(Consulta2[[#This Row],[DATA]])</f>
        <v>8</v>
      </c>
      <c r="I434" s="6">
        <f>MONTH(Consulta2[[#This Row],[DATA]])</f>
        <v>3</v>
      </c>
      <c r="J434" t="str">
        <f>CONCATENATE(Consulta2[[#This Row],[SAFRA]],Consulta2[[#This Row],[dia]])</f>
        <v>2025038</v>
      </c>
      <c r="K434">
        <f>Consulta2[[#This Row],[DIA_UTIL_CORRENTE]]</f>
        <v>3</v>
      </c>
    </row>
    <row r="435" spans="1:11" x14ac:dyDescent="0.25">
      <c r="A435">
        <v>202503</v>
      </c>
      <c r="B435">
        <v>3</v>
      </c>
      <c r="C435" s="148">
        <v>45725</v>
      </c>
      <c r="D435">
        <v>19</v>
      </c>
      <c r="E435">
        <v>19</v>
      </c>
      <c r="F435">
        <v>298</v>
      </c>
      <c r="G435">
        <f>Consulta2[[#This Row],[DIA_UTIL_CORRENTE]]</f>
        <v>3</v>
      </c>
      <c r="H435" s="6">
        <f>DAY(Consulta2[[#This Row],[DATA]])</f>
        <v>9</v>
      </c>
      <c r="I435" s="6">
        <f>MONTH(Consulta2[[#This Row],[DATA]])</f>
        <v>3</v>
      </c>
      <c r="J435" t="str">
        <f>CONCATENATE(Consulta2[[#This Row],[SAFRA]],Consulta2[[#This Row],[dia]])</f>
        <v>2025039</v>
      </c>
      <c r="K435">
        <f>Consulta2[[#This Row],[DIA_UTIL_CORRENTE]]</f>
        <v>3</v>
      </c>
    </row>
    <row r="436" spans="1:11" x14ac:dyDescent="0.25">
      <c r="A436">
        <v>202503</v>
      </c>
      <c r="B436">
        <v>4</v>
      </c>
      <c r="C436" s="148">
        <v>45726</v>
      </c>
      <c r="D436">
        <v>19</v>
      </c>
      <c r="E436">
        <v>19</v>
      </c>
      <c r="F436">
        <v>299</v>
      </c>
      <c r="G436">
        <f>Consulta2[[#This Row],[DIA_UTIL_CORRENTE]]</f>
        <v>4</v>
      </c>
      <c r="H436" s="6">
        <f>DAY(Consulta2[[#This Row],[DATA]])</f>
        <v>10</v>
      </c>
      <c r="I436" s="6">
        <f>MONTH(Consulta2[[#This Row],[DATA]])</f>
        <v>3</v>
      </c>
      <c r="J436" t="str">
        <f>CONCATENATE(Consulta2[[#This Row],[SAFRA]],Consulta2[[#This Row],[dia]])</f>
        <v>20250310</v>
      </c>
      <c r="K436">
        <f>Consulta2[[#This Row],[DIA_UTIL_CORRENTE]]</f>
        <v>4</v>
      </c>
    </row>
    <row r="437" spans="1:11" x14ac:dyDescent="0.25">
      <c r="A437">
        <v>202503</v>
      </c>
      <c r="B437">
        <v>5</v>
      </c>
      <c r="C437" s="148">
        <v>45727</v>
      </c>
      <c r="D437">
        <v>19</v>
      </c>
      <c r="E437">
        <v>19</v>
      </c>
      <c r="F437">
        <v>300</v>
      </c>
      <c r="G437">
        <f>Consulta2[[#This Row],[DIA_UTIL_CORRENTE]]</f>
        <v>5</v>
      </c>
      <c r="H437" s="6">
        <f>DAY(Consulta2[[#This Row],[DATA]])</f>
        <v>11</v>
      </c>
      <c r="I437" s="6">
        <f>MONTH(Consulta2[[#This Row],[DATA]])</f>
        <v>3</v>
      </c>
      <c r="J437" t="str">
        <f>CONCATENATE(Consulta2[[#This Row],[SAFRA]],Consulta2[[#This Row],[dia]])</f>
        <v>20250311</v>
      </c>
      <c r="K437">
        <f>Consulta2[[#This Row],[DIA_UTIL_CORRENTE]]</f>
        <v>5</v>
      </c>
    </row>
    <row r="438" spans="1:11" x14ac:dyDescent="0.25">
      <c r="A438">
        <v>202503</v>
      </c>
      <c r="B438">
        <v>6</v>
      </c>
      <c r="C438" s="148">
        <v>45728</v>
      </c>
      <c r="D438">
        <v>19</v>
      </c>
      <c r="E438">
        <v>19</v>
      </c>
      <c r="F438">
        <v>301</v>
      </c>
      <c r="G438">
        <f>Consulta2[[#This Row],[DIA_UTIL_CORRENTE]]</f>
        <v>6</v>
      </c>
      <c r="H438" s="6">
        <f>DAY(Consulta2[[#This Row],[DATA]])</f>
        <v>12</v>
      </c>
      <c r="I438" s="6">
        <f>MONTH(Consulta2[[#This Row],[DATA]])</f>
        <v>3</v>
      </c>
      <c r="J438" t="str">
        <f>CONCATENATE(Consulta2[[#This Row],[SAFRA]],Consulta2[[#This Row],[dia]])</f>
        <v>20250312</v>
      </c>
      <c r="K438">
        <f>Consulta2[[#This Row],[DIA_UTIL_CORRENTE]]</f>
        <v>6</v>
      </c>
    </row>
    <row r="439" spans="1:11" x14ac:dyDescent="0.25">
      <c r="A439">
        <v>202503</v>
      </c>
      <c r="B439">
        <v>7</v>
      </c>
      <c r="C439" s="148">
        <v>45729</v>
      </c>
      <c r="D439">
        <v>19</v>
      </c>
      <c r="E439">
        <v>19</v>
      </c>
      <c r="F439">
        <v>302</v>
      </c>
      <c r="G439">
        <f>Consulta2[[#This Row],[DIA_UTIL_CORRENTE]]</f>
        <v>7</v>
      </c>
      <c r="H439" s="6">
        <f>DAY(Consulta2[[#This Row],[DATA]])</f>
        <v>13</v>
      </c>
      <c r="I439" s="6">
        <f>MONTH(Consulta2[[#This Row],[DATA]])</f>
        <v>3</v>
      </c>
      <c r="J439" t="str">
        <f>CONCATENATE(Consulta2[[#This Row],[SAFRA]],Consulta2[[#This Row],[dia]])</f>
        <v>20250313</v>
      </c>
      <c r="K439">
        <f>Consulta2[[#This Row],[DIA_UTIL_CORRENTE]]</f>
        <v>7</v>
      </c>
    </row>
    <row r="440" spans="1:11" x14ac:dyDescent="0.25">
      <c r="A440">
        <v>202503</v>
      </c>
      <c r="B440">
        <v>8</v>
      </c>
      <c r="C440" s="148">
        <v>45730</v>
      </c>
      <c r="D440">
        <v>19</v>
      </c>
      <c r="E440">
        <v>19</v>
      </c>
      <c r="F440">
        <v>303</v>
      </c>
      <c r="G440">
        <f>Consulta2[[#This Row],[DIA_UTIL_CORRENTE]]</f>
        <v>8</v>
      </c>
      <c r="H440" s="6">
        <f>DAY(Consulta2[[#This Row],[DATA]])</f>
        <v>14</v>
      </c>
      <c r="I440" s="6">
        <f>MONTH(Consulta2[[#This Row],[DATA]])</f>
        <v>3</v>
      </c>
      <c r="J440" t="str">
        <f>CONCATENATE(Consulta2[[#This Row],[SAFRA]],Consulta2[[#This Row],[dia]])</f>
        <v>20250314</v>
      </c>
      <c r="K440">
        <f>Consulta2[[#This Row],[DIA_UTIL_CORRENTE]]</f>
        <v>8</v>
      </c>
    </row>
    <row r="441" spans="1:11" x14ac:dyDescent="0.25">
      <c r="A441">
        <v>202503</v>
      </c>
      <c r="B441">
        <v>8</v>
      </c>
      <c r="C441" s="148">
        <v>45731</v>
      </c>
      <c r="D441">
        <v>19</v>
      </c>
      <c r="E441">
        <v>19</v>
      </c>
      <c r="F441">
        <v>303</v>
      </c>
      <c r="G441">
        <f>Consulta2[[#This Row],[DIA_UTIL_CORRENTE]]</f>
        <v>8</v>
      </c>
      <c r="H441" s="6">
        <f>DAY(Consulta2[[#This Row],[DATA]])</f>
        <v>15</v>
      </c>
      <c r="I441" s="6">
        <f>MONTH(Consulta2[[#This Row],[DATA]])</f>
        <v>3</v>
      </c>
      <c r="J441" t="str">
        <f>CONCATENATE(Consulta2[[#This Row],[SAFRA]],Consulta2[[#This Row],[dia]])</f>
        <v>20250315</v>
      </c>
      <c r="K441">
        <f>Consulta2[[#This Row],[DIA_UTIL_CORRENTE]]</f>
        <v>8</v>
      </c>
    </row>
    <row r="442" spans="1:11" x14ac:dyDescent="0.25">
      <c r="A442">
        <v>202503</v>
      </c>
      <c r="B442">
        <v>8</v>
      </c>
      <c r="C442" s="148">
        <v>45732</v>
      </c>
      <c r="D442">
        <v>19</v>
      </c>
      <c r="E442">
        <v>19</v>
      </c>
      <c r="F442">
        <v>303</v>
      </c>
      <c r="G442">
        <f>Consulta2[[#This Row],[DIA_UTIL_CORRENTE]]</f>
        <v>8</v>
      </c>
      <c r="H442" s="6">
        <f>DAY(Consulta2[[#This Row],[DATA]])</f>
        <v>16</v>
      </c>
      <c r="I442" s="6">
        <f>MONTH(Consulta2[[#This Row],[DATA]])</f>
        <v>3</v>
      </c>
      <c r="J442" t="str">
        <f>CONCATENATE(Consulta2[[#This Row],[SAFRA]],Consulta2[[#This Row],[dia]])</f>
        <v>20250316</v>
      </c>
      <c r="K442">
        <f>Consulta2[[#This Row],[DIA_UTIL_CORRENTE]]</f>
        <v>8</v>
      </c>
    </row>
    <row r="443" spans="1:11" x14ac:dyDescent="0.25">
      <c r="A443">
        <v>202503</v>
      </c>
      <c r="B443">
        <v>9</v>
      </c>
      <c r="C443" s="148">
        <v>45733</v>
      </c>
      <c r="D443">
        <v>19</v>
      </c>
      <c r="E443">
        <v>19</v>
      </c>
      <c r="F443">
        <v>304</v>
      </c>
      <c r="G443">
        <f>Consulta2[[#This Row],[DIA_UTIL_CORRENTE]]</f>
        <v>9</v>
      </c>
      <c r="H443" s="6">
        <f>DAY(Consulta2[[#This Row],[DATA]])</f>
        <v>17</v>
      </c>
      <c r="I443" s="6">
        <f>MONTH(Consulta2[[#This Row],[DATA]])</f>
        <v>3</v>
      </c>
      <c r="J443" t="str">
        <f>CONCATENATE(Consulta2[[#This Row],[SAFRA]],Consulta2[[#This Row],[dia]])</f>
        <v>20250317</v>
      </c>
      <c r="K443">
        <f>Consulta2[[#This Row],[DIA_UTIL_CORRENTE]]</f>
        <v>9</v>
      </c>
    </row>
    <row r="444" spans="1:11" x14ac:dyDescent="0.25">
      <c r="A444">
        <v>202503</v>
      </c>
      <c r="B444">
        <v>10</v>
      </c>
      <c r="C444" s="148">
        <v>45734</v>
      </c>
      <c r="D444">
        <v>19</v>
      </c>
      <c r="E444">
        <v>19</v>
      </c>
      <c r="F444">
        <v>305</v>
      </c>
      <c r="G444">
        <f>Consulta2[[#This Row],[DIA_UTIL_CORRENTE]]</f>
        <v>10</v>
      </c>
      <c r="H444" s="6">
        <f>DAY(Consulta2[[#This Row],[DATA]])</f>
        <v>18</v>
      </c>
      <c r="I444" s="6">
        <f>MONTH(Consulta2[[#This Row],[DATA]])</f>
        <v>3</v>
      </c>
      <c r="J444" t="str">
        <f>CONCATENATE(Consulta2[[#This Row],[SAFRA]],Consulta2[[#This Row],[dia]])</f>
        <v>20250318</v>
      </c>
      <c r="K444">
        <f>Consulta2[[#This Row],[DIA_UTIL_CORRENTE]]</f>
        <v>10</v>
      </c>
    </row>
    <row r="445" spans="1:11" x14ac:dyDescent="0.25">
      <c r="A445">
        <v>202503</v>
      </c>
      <c r="B445">
        <v>11</v>
      </c>
      <c r="C445" s="148">
        <v>45735</v>
      </c>
      <c r="D445">
        <v>19</v>
      </c>
      <c r="E445">
        <v>19</v>
      </c>
      <c r="F445">
        <v>306</v>
      </c>
      <c r="G445">
        <f>Consulta2[[#This Row],[DIA_UTIL_CORRENTE]]</f>
        <v>11</v>
      </c>
      <c r="H445" s="6">
        <f>DAY(Consulta2[[#This Row],[DATA]])</f>
        <v>19</v>
      </c>
      <c r="I445" s="6">
        <f>MONTH(Consulta2[[#This Row],[DATA]])</f>
        <v>3</v>
      </c>
      <c r="J445" t="str">
        <f>CONCATENATE(Consulta2[[#This Row],[SAFRA]],Consulta2[[#This Row],[dia]])</f>
        <v>20250319</v>
      </c>
      <c r="K445">
        <f>Consulta2[[#This Row],[DIA_UTIL_CORRENTE]]</f>
        <v>11</v>
      </c>
    </row>
    <row r="446" spans="1:11" x14ac:dyDescent="0.25">
      <c r="A446">
        <v>202503</v>
      </c>
      <c r="B446">
        <v>12</v>
      </c>
      <c r="C446" s="148">
        <v>45736</v>
      </c>
      <c r="D446">
        <v>19</v>
      </c>
      <c r="E446">
        <v>19</v>
      </c>
      <c r="F446">
        <v>307</v>
      </c>
      <c r="G446">
        <f>Consulta2[[#This Row],[DIA_UTIL_CORRENTE]]</f>
        <v>12</v>
      </c>
      <c r="H446" s="6">
        <f>DAY(Consulta2[[#This Row],[DATA]])</f>
        <v>20</v>
      </c>
      <c r="I446" s="6">
        <f>MONTH(Consulta2[[#This Row],[DATA]])</f>
        <v>3</v>
      </c>
      <c r="J446" t="str">
        <f>CONCATENATE(Consulta2[[#This Row],[SAFRA]],Consulta2[[#This Row],[dia]])</f>
        <v>20250320</v>
      </c>
      <c r="K446">
        <f>Consulta2[[#This Row],[DIA_UTIL_CORRENTE]]</f>
        <v>12</v>
      </c>
    </row>
    <row r="447" spans="1:11" x14ac:dyDescent="0.25">
      <c r="A447">
        <v>202503</v>
      </c>
      <c r="B447">
        <v>13</v>
      </c>
      <c r="C447" s="148">
        <v>45737</v>
      </c>
      <c r="D447">
        <v>19</v>
      </c>
      <c r="E447">
        <v>19</v>
      </c>
      <c r="F447">
        <v>308</v>
      </c>
      <c r="G447">
        <f>Consulta2[[#This Row],[DIA_UTIL_CORRENTE]]</f>
        <v>13</v>
      </c>
      <c r="H447" s="6">
        <f>DAY(Consulta2[[#This Row],[DATA]])</f>
        <v>21</v>
      </c>
      <c r="I447" s="6">
        <f>MONTH(Consulta2[[#This Row],[DATA]])</f>
        <v>3</v>
      </c>
      <c r="J447" t="str">
        <f>CONCATENATE(Consulta2[[#This Row],[SAFRA]],Consulta2[[#This Row],[dia]])</f>
        <v>20250321</v>
      </c>
      <c r="K447">
        <f>Consulta2[[#This Row],[DIA_UTIL_CORRENTE]]</f>
        <v>13</v>
      </c>
    </row>
    <row r="448" spans="1:11" x14ac:dyDescent="0.25">
      <c r="A448">
        <v>202503</v>
      </c>
      <c r="B448">
        <v>13</v>
      </c>
      <c r="C448" s="148">
        <v>45738</v>
      </c>
      <c r="D448">
        <v>19</v>
      </c>
      <c r="E448">
        <v>19</v>
      </c>
      <c r="F448">
        <v>308</v>
      </c>
      <c r="G448">
        <f>Consulta2[[#This Row],[DIA_UTIL_CORRENTE]]</f>
        <v>13</v>
      </c>
      <c r="H448" s="6">
        <f>DAY(Consulta2[[#This Row],[DATA]])</f>
        <v>22</v>
      </c>
      <c r="I448" s="6">
        <f>MONTH(Consulta2[[#This Row],[DATA]])</f>
        <v>3</v>
      </c>
      <c r="J448" t="str">
        <f>CONCATENATE(Consulta2[[#This Row],[SAFRA]],Consulta2[[#This Row],[dia]])</f>
        <v>20250322</v>
      </c>
      <c r="K448">
        <f>Consulta2[[#This Row],[DIA_UTIL_CORRENTE]]</f>
        <v>13</v>
      </c>
    </row>
    <row r="449" spans="1:11" x14ac:dyDescent="0.25">
      <c r="A449">
        <v>202503</v>
      </c>
      <c r="B449">
        <v>13</v>
      </c>
      <c r="C449" s="148">
        <v>45739</v>
      </c>
      <c r="D449">
        <v>19</v>
      </c>
      <c r="E449">
        <v>19</v>
      </c>
      <c r="F449">
        <v>308</v>
      </c>
      <c r="G449">
        <f>Consulta2[[#This Row],[DIA_UTIL_CORRENTE]]</f>
        <v>13</v>
      </c>
      <c r="H449" s="6">
        <f>DAY(Consulta2[[#This Row],[DATA]])</f>
        <v>23</v>
      </c>
      <c r="I449" s="6">
        <f>MONTH(Consulta2[[#This Row],[DATA]])</f>
        <v>3</v>
      </c>
      <c r="J449" t="str">
        <f>CONCATENATE(Consulta2[[#This Row],[SAFRA]],Consulta2[[#This Row],[dia]])</f>
        <v>20250323</v>
      </c>
      <c r="K449">
        <f>Consulta2[[#This Row],[DIA_UTIL_CORRENTE]]</f>
        <v>13</v>
      </c>
    </row>
    <row r="450" spans="1:11" x14ac:dyDescent="0.25">
      <c r="A450">
        <v>202503</v>
      </c>
      <c r="B450">
        <v>14</v>
      </c>
      <c r="C450" s="148">
        <v>45740</v>
      </c>
      <c r="D450">
        <v>19</v>
      </c>
      <c r="E450">
        <v>19</v>
      </c>
      <c r="F450">
        <v>309</v>
      </c>
      <c r="G450">
        <f>Consulta2[[#This Row],[DIA_UTIL_CORRENTE]]</f>
        <v>14</v>
      </c>
      <c r="H450" s="6">
        <f>DAY(Consulta2[[#This Row],[DATA]])</f>
        <v>24</v>
      </c>
      <c r="I450" s="6">
        <f>MONTH(Consulta2[[#This Row],[DATA]])</f>
        <v>3</v>
      </c>
      <c r="J450" t="str">
        <f>CONCATENATE(Consulta2[[#This Row],[SAFRA]],Consulta2[[#This Row],[dia]])</f>
        <v>20250324</v>
      </c>
      <c r="K450">
        <f>Consulta2[[#This Row],[DIA_UTIL_CORRENTE]]</f>
        <v>14</v>
      </c>
    </row>
    <row r="451" spans="1:11" x14ac:dyDescent="0.25">
      <c r="A451">
        <v>202503</v>
      </c>
      <c r="B451">
        <v>15</v>
      </c>
      <c r="C451" s="148">
        <v>45741</v>
      </c>
      <c r="D451">
        <v>19</v>
      </c>
      <c r="E451">
        <v>19</v>
      </c>
      <c r="F451">
        <v>310</v>
      </c>
      <c r="G451">
        <f>Consulta2[[#This Row],[DIA_UTIL_CORRENTE]]</f>
        <v>15</v>
      </c>
      <c r="H451" s="6">
        <f>DAY(Consulta2[[#This Row],[DATA]])</f>
        <v>25</v>
      </c>
      <c r="I451" s="6">
        <f>MONTH(Consulta2[[#This Row],[DATA]])</f>
        <v>3</v>
      </c>
      <c r="J451" t="str">
        <f>CONCATENATE(Consulta2[[#This Row],[SAFRA]],Consulta2[[#This Row],[dia]])</f>
        <v>20250325</v>
      </c>
      <c r="K451">
        <f>Consulta2[[#This Row],[DIA_UTIL_CORRENTE]]</f>
        <v>15</v>
      </c>
    </row>
    <row r="452" spans="1:11" x14ac:dyDescent="0.25">
      <c r="A452">
        <v>202503</v>
      </c>
      <c r="B452">
        <v>16</v>
      </c>
      <c r="C452" s="148">
        <v>45742</v>
      </c>
      <c r="D452">
        <v>19</v>
      </c>
      <c r="E452">
        <v>19</v>
      </c>
      <c r="F452">
        <v>311</v>
      </c>
      <c r="G452">
        <f>Consulta2[[#This Row],[DIA_UTIL_CORRENTE]]</f>
        <v>16</v>
      </c>
      <c r="H452" s="6">
        <f>DAY(Consulta2[[#This Row],[DATA]])</f>
        <v>26</v>
      </c>
      <c r="I452" s="6">
        <f>MONTH(Consulta2[[#This Row],[DATA]])</f>
        <v>3</v>
      </c>
      <c r="J452" t="str">
        <f>CONCATENATE(Consulta2[[#This Row],[SAFRA]],Consulta2[[#This Row],[dia]])</f>
        <v>20250326</v>
      </c>
      <c r="K452">
        <f>Consulta2[[#This Row],[DIA_UTIL_CORRENTE]]</f>
        <v>16</v>
      </c>
    </row>
    <row r="453" spans="1:11" x14ac:dyDescent="0.25">
      <c r="A453">
        <v>202503</v>
      </c>
      <c r="B453">
        <v>17</v>
      </c>
      <c r="C453" s="148">
        <v>45743</v>
      </c>
      <c r="D453">
        <v>19</v>
      </c>
      <c r="E453">
        <v>19</v>
      </c>
      <c r="F453">
        <v>312</v>
      </c>
      <c r="G453">
        <f>Consulta2[[#This Row],[DIA_UTIL_CORRENTE]]</f>
        <v>17</v>
      </c>
      <c r="H453" s="6">
        <f>DAY(Consulta2[[#This Row],[DATA]])</f>
        <v>27</v>
      </c>
      <c r="I453" s="6">
        <f>MONTH(Consulta2[[#This Row],[DATA]])</f>
        <v>3</v>
      </c>
      <c r="J453" t="str">
        <f>CONCATENATE(Consulta2[[#This Row],[SAFRA]],Consulta2[[#This Row],[dia]])</f>
        <v>20250327</v>
      </c>
      <c r="K453">
        <f>Consulta2[[#This Row],[DIA_UTIL_CORRENTE]]</f>
        <v>17</v>
      </c>
    </row>
    <row r="454" spans="1:11" x14ac:dyDescent="0.25">
      <c r="A454">
        <v>202503</v>
      </c>
      <c r="B454">
        <v>18</v>
      </c>
      <c r="C454" s="148">
        <v>45744</v>
      </c>
      <c r="D454">
        <v>19</v>
      </c>
      <c r="E454">
        <v>19</v>
      </c>
      <c r="F454">
        <v>313</v>
      </c>
      <c r="G454">
        <f>Consulta2[[#This Row],[DIA_UTIL_CORRENTE]]</f>
        <v>18</v>
      </c>
      <c r="H454" s="6">
        <f>DAY(Consulta2[[#This Row],[DATA]])</f>
        <v>28</v>
      </c>
      <c r="I454" s="6">
        <f>MONTH(Consulta2[[#This Row],[DATA]])</f>
        <v>3</v>
      </c>
      <c r="J454" t="str">
        <f>CONCATENATE(Consulta2[[#This Row],[SAFRA]],Consulta2[[#This Row],[dia]])</f>
        <v>20250328</v>
      </c>
      <c r="K454">
        <f>Consulta2[[#This Row],[DIA_UTIL_CORRENTE]]</f>
        <v>18</v>
      </c>
    </row>
    <row r="455" spans="1:11" x14ac:dyDescent="0.25">
      <c r="A455">
        <v>202503</v>
      </c>
      <c r="B455">
        <v>18</v>
      </c>
      <c r="C455" s="148">
        <v>45745</v>
      </c>
      <c r="D455">
        <v>19</v>
      </c>
      <c r="E455">
        <v>19</v>
      </c>
      <c r="F455">
        <v>313</v>
      </c>
      <c r="G455">
        <f>Consulta2[[#This Row],[DIA_UTIL_CORRENTE]]</f>
        <v>18</v>
      </c>
      <c r="H455" s="6">
        <f>DAY(Consulta2[[#This Row],[DATA]])</f>
        <v>29</v>
      </c>
      <c r="I455" s="6">
        <f>MONTH(Consulta2[[#This Row],[DATA]])</f>
        <v>3</v>
      </c>
      <c r="J455" t="str">
        <f>CONCATENATE(Consulta2[[#This Row],[SAFRA]],Consulta2[[#This Row],[dia]])</f>
        <v>20250329</v>
      </c>
      <c r="K455">
        <f>Consulta2[[#This Row],[DIA_UTIL_CORRENTE]]</f>
        <v>18</v>
      </c>
    </row>
    <row r="456" spans="1:11" x14ac:dyDescent="0.25">
      <c r="A456">
        <v>202503</v>
      </c>
      <c r="B456">
        <v>18</v>
      </c>
      <c r="C456" s="148">
        <v>45746</v>
      </c>
      <c r="D456">
        <v>19</v>
      </c>
      <c r="E456">
        <v>19</v>
      </c>
      <c r="F456">
        <v>313</v>
      </c>
      <c r="G456">
        <f>Consulta2[[#This Row],[DIA_UTIL_CORRENTE]]</f>
        <v>18</v>
      </c>
      <c r="H456" s="6">
        <f>DAY(Consulta2[[#This Row],[DATA]])</f>
        <v>30</v>
      </c>
      <c r="I456" s="6">
        <f>MONTH(Consulta2[[#This Row],[DATA]])</f>
        <v>3</v>
      </c>
      <c r="J456" t="str">
        <f>CONCATENATE(Consulta2[[#This Row],[SAFRA]],Consulta2[[#This Row],[dia]])</f>
        <v>20250330</v>
      </c>
      <c r="K456">
        <f>Consulta2[[#This Row],[DIA_UTIL_CORRENTE]]</f>
        <v>18</v>
      </c>
    </row>
    <row r="457" spans="1:11" x14ac:dyDescent="0.25">
      <c r="A457">
        <v>202503</v>
      </c>
      <c r="B457">
        <v>19</v>
      </c>
      <c r="C457" s="148">
        <v>45747</v>
      </c>
      <c r="D457">
        <v>19</v>
      </c>
      <c r="E457">
        <v>19</v>
      </c>
      <c r="F457">
        <v>314</v>
      </c>
      <c r="G457">
        <f>Consulta2[[#This Row],[DIA_UTIL_CORRENTE]]</f>
        <v>19</v>
      </c>
      <c r="H457" s="6">
        <f>DAY(Consulta2[[#This Row],[DATA]])</f>
        <v>31</v>
      </c>
      <c r="I457" s="6">
        <f>MONTH(Consulta2[[#This Row],[DATA]])</f>
        <v>3</v>
      </c>
      <c r="J457" t="str">
        <f>CONCATENATE(Consulta2[[#This Row],[SAFRA]],Consulta2[[#This Row],[dia]])</f>
        <v>20250331</v>
      </c>
      <c r="K457">
        <f>Consulta2[[#This Row],[DIA_UTIL_CORRENTE]]</f>
        <v>19</v>
      </c>
    </row>
    <row r="458" spans="1:11" x14ac:dyDescent="0.25">
      <c r="A458">
        <v>202504</v>
      </c>
      <c r="B458">
        <v>1</v>
      </c>
      <c r="C458" s="148">
        <v>45748</v>
      </c>
      <c r="D458">
        <v>20</v>
      </c>
      <c r="E458">
        <v>20</v>
      </c>
      <c r="F458">
        <v>315</v>
      </c>
      <c r="G458">
        <f>Consulta2[[#This Row],[DIA_UTIL_CORRENTE]]</f>
        <v>1</v>
      </c>
      <c r="H458" s="6">
        <f>DAY(Consulta2[[#This Row],[DATA]])</f>
        <v>1</v>
      </c>
      <c r="I458" s="6">
        <f>MONTH(Consulta2[[#This Row],[DATA]])</f>
        <v>4</v>
      </c>
      <c r="J458" t="str">
        <f>CONCATENATE(Consulta2[[#This Row],[SAFRA]],Consulta2[[#This Row],[dia]])</f>
        <v>2025041</v>
      </c>
      <c r="K458">
        <f>Consulta2[[#This Row],[DIA_UTIL_CORRENTE]]</f>
        <v>1</v>
      </c>
    </row>
    <row r="459" spans="1:11" x14ac:dyDescent="0.25">
      <c r="A459">
        <v>202504</v>
      </c>
      <c r="B459">
        <v>2</v>
      </c>
      <c r="C459" s="148">
        <v>45749</v>
      </c>
      <c r="D459">
        <v>20</v>
      </c>
      <c r="E459">
        <v>20</v>
      </c>
      <c r="F459">
        <v>316</v>
      </c>
      <c r="G459">
        <f>Consulta2[[#This Row],[DIA_UTIL_CORRENTE]]</f>
        <v>2</v>
      </c>
      <c r="H459" s="6">
        <f>DAY(Consulta2[[#This Row],[DATA]])</f>
        <v>2</v>
      </c>
      <c r="I459" s="6">
        <f>MONTH(Consulta2[[#This Row],[DATA]])</f>
        <v>4</v>
      </c>
      <c r="J459" t="str">
        <f>CONCATENATE(Consulta2[[#This Row],[SAFRA]],Consulta2[[#This Row],[dia]])</f>
        <v>2025042</v>
      </c>
      <c r="K459">
        <f>Consulta2[[#This Row],[DIA_UTIL_CORRENTE]]</f>
        <v>2</v>
      </c>
    </row>
    <row r="460" spans="1:11" x14ac:dyDescent="0.25">
      <c r="A460">
        <v>202504</v>
      </c>
      <c r="B460">
        <v>3</v>
      </c>
      <c r="C460" s="148">
        <v>45750</v>
      </c>
      <c r="D460">
        <v>20</v>
      </c>
      <c r="E460">
        <v>20</v>
      </c>
      <c r="F460">
        <v>317</v>
      </c>
      <c r="G460">
        <f>Consulta2[[#This Row],[DIA_UTIL_CORRENTE]]</f>
        <v>3</v>
      </c>
      <c r="H460" s="6">
        <f>DAY(Consulta2[[#This Row],[DATA]])</f>
        <v>3</v>
      </c>
      <c r="I460" s="6">
        <f>MONTH(Consulta2[[#This Row],[DATA]])</f>
        <v>4</v>
      </c>
      <c r="J460" t="str">
        <f>CONCATENATE(Consulta2[[#This Row],[SAFRA]],Consulta2[[#This Row],[dia]])</f>
        <v>2025043</v>
      </c>
      <c r="K460">
        <f>Consulta2[[#This Row],[DIA_UTIL_CORRENTE]]</f>
        <v>3</v>
      </c>
    </row>
    <row r="461" spans="1:11" x14ac:dyDescent="0.25">
      <c r="A461">
        <v>202504</v>
      </c>
      <c r="B461">
        <v>4</v>
      </c>
      <c r="C461" s="148">
        <v>45751</v>
      </c>
      <c r="D461">
        <v>20</v>
      </c>
      <c r="E461">
        <v>20</v>
      </c>
      <c r="F461">
        <v>318</v>
      </c>
      <c r="G461">
        <f>Consulta2[[#This Row],[DIA_UTIL_CORRENTE]]</f>
        <v>4</v>
      </c>
      <c r="H461" s="6">
        <f>DAY(Consulta2[[#This Row],[DATA]])</f>
        <v>4</v>
      </c>
      <c r="I461" s="6">
        <f>MONTH(Consulta2[[#This Row],[DATA]])</f>
        <v>4</v>
      </c>
      <c r="J461" t="str">
        <f>CONCATENATE(Consulta2[[#This Row],[SAFRA]],Consulta2[[#This Row],[dia]])</f>
        <v>2025044</v>
      </c>
      <c r="K461">
        <f>Consulta2[[#This Row],[DIA_UTIL_CORRENTE]]</f>
        <v>4</v>
      </c>
    </row>
    <row r="462" spans="1:11" x14ac:dyDescent="0.25">
      <c r="A462">
        <v>202504</v>
      </c>
      <c r="B462">
        <v>4</v>
      </c>
      <c r="C462" s="148">
        <v>45752</v>
      </c>
      <c r="D462">
        <v>20</v>
      </c>
      <c r="E462">
        <v>20</v>
      </c>
      <c r="F462">
        <v>318</v>
      </c>
      <c r="G462">
        <f>Consulta2[[#This Row],[DIA_UTIL_CORRENTE]]</f>
        <v>4</v>
      </c>
      <c r="H462" s="6">
        <f>DAY(Consulta2[[#This Row],[DATA]])</f>
        <v>5</v>
      </c>
      <c r="I462" s="6">
        <f>MONTH(Consulta2[[#This Row],[DATA]])</f>
        <v>4</v>
      </c>
      <c r="J462" t="str">
        <f>CONCATENATE(Consulta2[[#This Row],[SAFRA]],Consulta2[[#This Row],[dia]])</f>
        <v>2025045</v>
      </c>
      <c r="K462">
        <f>Consulta2[[#This Row],[DIA_UTIL_CORRENTE]]</f>
        <v>4</v>
      </c>
    </row>
    <row r="463" spans="1:11" x14ac:dyDescent="0.25">
      <c r="A463">
        <v>202504</v>
      </c>
      <c r="B463">
        <v>4</v>
      </c>
      <c r="C463" s="148">
        <v>45753</v>
      </c>
      <c r="D463">
        <v>20</v>
      </c>
      <c r="E463">
        <v>20</v>
      </c>
      <c r="F463">
        <v>318</v>
      </c>
      <c r="G463">
        <f>Consulta2[[#This Row],[DIA_UTIL_CORRENTE]]</f>
        <v>4</v>
      </c>
      <c r="H463" s="6">
        <f>DAY(Consulta2[[#This Row],[DATA]])</f>
        <v>6</v>
      </c>
      <c r="I463" s="6">
        <f>MONTH(Consulta2[[#This Row],[DATA]])</f>
        <v>4</v>
      </c>
      <c r="J463" t="str">
        <f>CONCATENATE(Consulta2[[#This Row],[SAFRA]],Consulta2[[#This Row],[dia]])</f>
        <v>2025046</v>
      </c>
      <c r="K463">
        <f>Consulta2[[#This Row],[DIA_UTIL_CORRENTE]]</f>
        <v>4</v>
      </c>
    </row>
    <row r="464" spans="1:11" x14ac:dyDescent="0.25">
      <c r="A464">
        <v>202504</v>
      </c>
      <c r="B464">
        <v>5</v>
      </c>
      <c r="C464" s="148">
        <v>45754</v>
      </c>
      <c r="D464">
        <v>20</v>
      </c>
      <c r="E464">
        <v>20</v>
      </c>
      <c r="F464">
        <v>319</v>
      </c>
      <c r="G464">
        <f>Consulta2[[#This Row],[DIA_UTIL_CORRENTE]]</f>
        <v>5</v>
      </c>
      <c r="H464" s="6">
        <f>DAY(Consulta2[[#This Row],[DATA]])</f>
        <v>7</v>
      </c>
      <c r="I464" s="6">
        <f>MONTH(Consulta2[[#This Row],[DATA]])</f>
        <v>4</v>
      </c>
      <c r="J464" t="str">
        <f>CONCATENATE(Consulta2[[#This Row],[SAFRA]],Consulta2[[#This Row],[dia]])</f>
        <v>2025047</v>
      </c>
      <c r="K464">
        <f>Consulta2[[#This Row],[DIA_UTIL_CORRENTE]]</f>
        <v>5</v>
      </c>
    </row>
    <row r="465" spans="1:11" x14ac:dyDescent="0.25">
      <c r="A465">
        <v>202504</v>
      </c>
      <c r="B465">
        <v>6</v>
      </c>
      <c r="C465" s="148">
        <v>45755</v>
      </c>
      <c r="D465">
        <v>20</v>
      </c>
      <c r="E465">
        <v>20</v>
      </c>
      <c r="F465">
        <v>320</v>
      </c>
      <c r="G465">
        <f>Consulta2[[#This Row],[DIA_UTIL_CORRENTE]]</f>
        <v>6</v>
      </c>
      <c r="H465" s="6">
        <f>DAY(Consulta2[[#This Row],[DATA]])</f>
        <v>8</v>
      </c>
      <c r="I465" s="6">
        <f>MONTH(Consulta2[[#This Row],[DATA]])</f>
        <v>4</v>
      </c>
      <c r="J465" t="str">
        <f>CONCATENATE(Consulta2[[#This Row],[SAFRA]],Consulta2[[#This Row],[dia]])</f>
        <v>2025048</v>
      </c>
      <c r="K465">
        <f>Consulta2[[#This Row],[DIA_UTIL_CORRENTE]]</f>
        <v>6</v>
      </c>
    </row>
    <row r="466" spans="1:11" x14ac:dyDescent="0.25">
      <c r="A466">
        <v>202504</v>
      </c>
      <c r="B466">
        <v>7</v>
      </c>
      <c r="C466" s="148">
        <v>45756</v>
      </c>
      <c r="D466">
        <v>20</v>
      </c>
      <c r="E466">
        <v>20</v>
      </c>
      <c r="F466">
        <v>321</v>
      </c>
      <c r="G466">
        <f>Consulta2[[#This Row],[DIA_UTIL_CORRENTE]]</f>
        <v>7</v>
      </c>
      <c r="H466" s="6">
        <f>DAY(Consulta2[[#This Row],[DATA]])</f>
        <v>9</v>
      </c>
      <c r="I466" s="6">
        <f>MONTH(Consulta2[[#This Row],[DATA]])</f>
        <v>4</v>
      </c>
      <c r="J466" t="str">
        <f>CONCATENATE(Consulta2[[#This Row],[SAFRA]],Consulta2[[#This Row],[dia]])</f>
        <v>2025049</v>
      </c>
      <c r="K466">
        <f>Consulta2[[#This Row],[DIA_UTIL_CORRENTE]]</f>
        <v>7</v>
      </c>
    </row>
    <row r="467" spans="1:11" x14ac:dyDescent="0.25">
      <c r="A467">
        <v>202504</v>
      </c>
      <c r="B467">
        <v>8</v>
      </c>
      <c r="C467" s="148">
        <v>45757</v>
      </c>
      <c r="D467">
        <v>20</v>
      </c>
      <c r="E467">
        <v>20</v>
      </c>
      <c r="F467">
        <v>322</v>
      </c>
      <c r="G467">
        <f>Consulta2[[#This Row],[DIA_UTIL_CORRENTE]]</f>
        <v>8</v>
      </c>
      <c r="H467" s="6">
        <f>DAY(Consulta2[[#This Row],[DATA]])</f>
        <v>10</v>
      </c>
      <c r="I467" s="6">
        <f>MONTH(Consulta2[[#This Row],[DATA]])</f>
        <v>4</v>
      </c>
      <c r="J467" t="str">
        <f>CONCATENATE(Consulta2[[#This Row],[SAFRA]],Consulta2[[#This Row],[dia]])</f>
        <v>20250410</v>
      </c>
      <c r="K467">
        <f>Consulta2[[#This Row],[DIA_UTIL_CORRENTE]]</f>
        <v>8</v>
      </c>
    </row>
    <row r="468" spans="1:11" x14ac:dyDescent="0.25">
      <c r="A468">
        <v>202504</v>
      </c>
      <c r="B468">
        <v>9</v>
      </c>
      <c r="C468" s="148">
        <v>45758</v>
      </c>
      <c r="D468">
        <v>20</v>
      </c>
      <c r="E468">
        <v>20</v>
      </c>
      <c r="F468">
        <v>323</v>
      </c>
      <c r="G468">
        <f>Consulta2[[#This Row],[DIA_UTIL_CORRENTE]]</f>
        <v>9</v>
      </c>
      <c r="H468" s="6">
        <f>DAY(Consulta2[[#This Row],[DATA]])</f>
        <v>11</v>
      </c>
      <c r="I468" s="6">
        <f>MONTH(Consulta2[[#This Row],[DATA]])</f>
        <v>4</v>
      </c>
      <c r="J468" t="str">
        <f>CONCATENATE(Consulta2[[#This Row],[SAFRA]],Consulta2[[#This Row],[dia]])</f>
        <v>20250411</v>
      </c>
      <c r="K468">
        <f>Consulta2[[#This Row],[DIA_UTIL_CORRENTE]]</f>
        <v>9</v>
      </c>
    </row>
    <row r="469" spans="1:11" x14ac:dyDescent="0.25">
      <c r="A469">
        <v>202504</v>
      </c>
      <c r="B469">
        <v>9</v>
      </c>
      <c r="C469" s="148">
        <v>45759</v>
      </c>
      <c r="D469">
        <v>20</v>
      </c>
      <c r="E469">
        <v>20</v>
      </c>
      <c r="F469">
        <v>323</v>
      </c>
      <c r="G469">
        <f>Consulta2[[#This Row],[DIA_UTIL_CORRENTE]]</f>
        <v>9</v>
      </c>
      <c r="H469" s="6">
        <f>DAY(Consulta2[[#This Row],[DATA]])</f>
        <v>12</v>
      </c>
      <c r="I469" s="6">
        <f>MONTH(Consulta2[[#This Row],[DATA]])</f>
        <v>4</v>
      </c>
      <c r="J469" t="str">
        <f>CONCATENATE(Consulta2[[#This Row],[SAFRA]],Consulta2[[#This Row],[dia]])</f>
        <v>20250412</v>
      </c>
      <c r="K469">
        <f>Consulta2[[#This Row],[DIA_UTIL_CORRENTE]]</f>
        <v>9</v>
      </c>
    </row>
    <row r="470" spans="1:11" x14ac:dyDescent="0.25">
      <c r="A470">
        <v>202504</v>
      </c>
      <c r="B470">
        <v>9</v>
      </c>
      <c r="C470" s="148">
        <v>45760</v>
      </c>
      <c r="D470">
        <v>20</v>
      </c>
      <c r="E470">
        <v>20</v>
      </c>
      <c r="F470">
        <v>323</v>
      </c>
      <c r="G470">
        <f>Consulta2[[#This Row],[DIA_UTIL_CORRENTE]]</f>
        <v>9</v>
      </c>
      <c r="H470" s="6">
        <f>DAY(Consulta2[[#This Row],[DATA]])</f>
        <v>13</v>
      </c>
      <c r="I470" s="6">
        <f>MONTH(Consulta2[[#This Row],[DATA]])</f>
        <v>4</v>
      </c>
      <c r="J470" t="str">
        <f>CONCATENATE(Consulta2[[#This Row],[SAFRA]],Consulta2[[#This Row],[dia]])</f>
        <v>20250413</v>
      </c>
      <c r="K470">
        <f>Consulta2[[#This Row],[DIA_UTIL_CORRENTE]]</f>
        <v>9</v>
      </c>
    </row>
    <row r="471" spans="1:11" x14ac:dyDescent="0.25">
      <c r="A471">
        <v>202504</v>
      </c>
      <c r="B471">
        <v>10</v>
      </c>
      <c r="C471" s="148">
        <v>45761</v>
      </c>
      <c r="D471">
        <v>20</v>
      </c>
      <c r="E471">
        <v>20</v>
      </c>
      <c r="F471">
        <v>324</v>
      </c>
      <c r="G471">
        <f>Consulta2[[#This Row],[DIA_UTIL_CORRENTE]]</f>
        <v>10</v>
      </c>
      <c r="H471" s="6">
        <f>DAY(Consulta2[[#This Row],[DATA]])</f>
        <v>14</v>
      </c>
      <c r="I471" s="6">
        <f>MONTH(Consulta2[[#This Row],[DATA]])</f>
        <v>4</v>
      </c>
      <c r="J471" t="str">
        <f>CONCATENATE(Consulta2[[#This Row],[SAFRA]],Consulta2[[#This Row],[dia]])</f>
        <v>20250414</v>
      </c>
      <c r="K471">
        <f>Consulta2[[#This Row],[DIA_UTIL_CORRENTE]]</f>
        <v>10</v>
      </c>
    </row>
    <row r="472" spans="1:11" x14ac:dyDescent="0.25">
      <c r="A472">
        <v>202504</v>
      </c>
      <c r="B472">
        <v>11</v>
      </c>
      <c r="C472" s="148">
        <v>45762</v>
      </c>
      <c r="D472">
        <v>20</v>
      </c>
      <c r="E472">
        <v>20</v>
      </c>
      <c r="F472">
        <v>325</v>
      </c>
      <c r="G472">
        <f>Consulta2[[#This Row],[DIA_UTIL_CORRENTE]]</f>
        <v>11</v>
      </c>
      <c r="H472" s="6">
        <f>DAY(Consulta2[[#This Row],[DATA]])</f>
        <v>15</v>
      </c>
      <c r="I472" s="6">
        <f>MONTH(Consulta2[[#This Row],[DATA]])</f>
        <v>4</v>
      </c>
      <c r="J472" t="str">
        <f>CONCATENATE(Consulta2[[#This Row],[SAFRA]],Consulta2[[#This Row],[dia]])</f>
        <v>20250415</v>
      </c>
      <c r="K472">
        <f>Consulta2[[#This Row],[DIA_UTIL_CORRENTE]]</f>
        <v>11</v>
      </c>
    </row>
    <row r="473" spans="1:11" x14ac:dyDescent="0.25">
      <c r="A473">
        <v>202504</v>
      </c>
      <c r="B473">
        <v>12</v>
      </c>
      <c r="C473" s="148">
        <v>45763</v>
      </c>
      <c r="D473">
        <v>20</v>
      </c>
      <c r="E473">
        <v>20</v>
      </c>
      <c r="F473">
        <v>326</v>
      </c>
      <c r="G473">
        <f>Consulta2[[#This Row],[DIA_UTIL_CORRENTE]]</f>
        <v>12</v>
      </c>
      <c r="H473" s="6">
        <f>DAY(Consulta2[[#This Row],[DATA]])</f>
        <v>16</v>
      </c>
      <c r="I473" s="6">
        <f>MONTH(Consulta2[[#This Row],[DATA]])</f>
        <v>4</v>
      </c>
      <c r="J473" t="str">
        <f>CONCATENATE(Consulta2[[#This Row],[SAFRA]],Consulta2[[#This Row],[dia]])</f>
        <v>20250416</v>
      </c>
      <c r="K473">
        <f>Consulta2[[#This Row],[DIA_UTIL_CORRENTE]]</f>
        <v>12</v>
      </c>
    </row>
    <row r="474" spans="1:11" x14ac:dyDescent="0.25">
      <c r="A474">
        <v>202504</v>
      </c>
      <c r="B474">
        <v>13</v>
      </c>
      <c r="C474" s="148">
        <v>45764</v>
      </c>
      <c r="D474">
        <v>20</v>
      </c>
      <c r="E474">
        <v>20</v>
      </c>
      <c r="F474">
        <v>327</v>
      </c>
      <c r="G474">
        <f>Consulta2[[#This Row],[DIA_UTIL_CORRENTE]]</f>
        <v>13</v>
      </c>
      <c r="H474" s="6">
        <f>DAY(Consulta2[[#This Row],[DATA]])</f>
        <v>17</v>
      </c>
      <c r="I474" s="6">
        <f>MONTH(Consulta2[[#This Row],[DATA]])</f>
        <v>4</v>
      </c>
      <c r="J474" t="str">
        <f>CONCATENATE(Consulta2[[#This Row],[SAFRA]],Consulta2[[#This Row],[dia]])</f>
        <v>20250417</v>
      </c>
      <c r="K474">
        <f>Consulta2[[#This Row],[DIA_UTIL_CORRENTE]]</f>
        <v>13</v>
      </c>
    </row>
    <row r="475" spans="1:11" x14ac:dyDescent="0.25">
      <c r="A475">
        <v>202504</v>
      </c>
      <c r="B475">
        <v>13</v>
      </c>
      <c r="C475" s="148">
        <v>45765</v>
      </c>
      <c r="D475">
        <v>20</v>
      </c>
      <c r="E475">
        <v>20</v>
      </c>
      <c r="F475">
        <v>327</v>
      </c>
      <c r="G475">
        <f>Consulta2[[#This Row],[DIA_UTIL_CORRENTE]]</f>
        <v>13</v>
      </c>
      <c r="H475" s="6">
        <f>DAY(Consulta2[[#This Row],[DATA]])</f>
        <v>18</v>
      </c>
      <c r="I475" s="6">
        <f>MONTH(Consulta2[[#This Row],[DATA]])</f>
        <v>4</v>
      </c>
      <c r="J475" t="str">
        <f>CONCATENATE(Consulta2[[#This Row],[SAFRA]],Consulta2[[#This Row],[dia]])</f>
        <v>20250418</v>
      </c>
      <c r="K475">
        <f>Consulta2[[#This Row],[DIA_UTIL_CORRENTE]]</f>
        <v>13</v>
      </c>
    </row>
    <row r="476" spans="1:11" x14ac:dyDescent="0.25">
      <c r="A476">
        <v>202504</v>
      </c>
      <c r="B476">
        <v>13</v>
      </c>
      <c r="C476" s="148">
        <v>45766</v>
      </c>
      <c r="D476">
        <v>20</v>
      </c>
      <c r="E476">
        <v>20</v>
      </c>
      <c r="F476">
        <v>327</v>
      </c>
      <c r="G476">
        <f>Consulta2[[#This Row],[DIA_UTIL_CORRENTE]]</f>
        <v>13</v>
      </c>
      <c r="H476" s="6">
        <f>DAY(Consulta2[[#This Row],[DATA]])</f>
        <v>19</v>
      </c>
      <c r="I476" s="6">
        <f>MONTH(Consulta2[[#This Row],[DATA]])</f>
        <v>4</v>
      </c>
      <c r="J476" t="str">
        <f>CONCATENATE(Consulta2[[#This Row],[SAFRA]],Consulta2[[#This Row],[dia]])</f>
        <v>20250419</v>
      </c>
      <c r="K476">
        <f>Consulta2[[#This Row],[DIA_UTIL_CORRENTE]]</f>
        <v>13</v>
      </c>
    </row>
    <row r="477" spans="1:11" x14ac:dyDescent="0.25">
      <c r="A477">
        <v>202504</v>
      </c>
      <c r="B477">
        <v>13</v>
      </c>
      <c r="C477" s="148">
        <v>45767</v>
      </c>
      <c r="D477">
        <v>20</v>
      </c>
      <c r="E477">
        <v>20</v>
      </c>
      <c r="F477">
        <v>327</v>
      </c>
      <c r="G477">
        <f>Consulta2[[#This Row],[DIA_UTIL_CORRENTE]]</f>
        <v>13</v>
      </c>
      <c r="H477" s="6">
        <f>DAY(Consulta2[[#This Row],[DATA]])</f>
        <v>20</v>
      </c>
      <c r="I477" s="6">
        <f>MONTH(Consulta2[[#This Row],[DATA]])</f>
        <v>4</v>
      </c>
      <c r="J477" t="str">
        <f>CONCATENATE(Consulta2[[#This Row],[SAFRA]],Consulta2[[#This Row],[dia]])</f>
        <v>20250420</v>
      </c>
      <c r="K477">
        <f>Consulta2[[#This Row],[DIA_UTIL_CORRENTE]]</f>
        <v>13</v>
      </c>
    </row>
    <row r="478" spans="1:11" x14ac:dyDescent="0.25">
      <c r="A478">
        <v>202504</v>
      </c>
      <c r="B478">
        <v>13</v>
      </c>
      <c r="C478" s="148">
        <v>45768</v>
      </c>
      <c r="D478">
        <v>20</v>
      </c>
      <c r="E478">
        <v>20</v>
      </c>
      <c r="F478">
        <v>327</v>
      </c>
      <c r="G478">
        <f>Consulta2[[#This Row],[DIA_UTIL_CORRENTE]]</f>
        <v>13</v>
      </c>
      <c r="H478" s="6">
        <f>DAY(Consulta2[[#This Row],[DATA]])</f>
        <v>21</v>
      </c>
      <c r="I478" s="6">
        <f>MONTH(Consulta2[[#This Row],[DATA]])</f>
        <v>4</v>
      </c>
      <c r="J478" t="str">
        <f>CONCATENATE(Consulta2[[#This Row],[SAFRA]],Consulta2[[#This Row],[dia]])</f>
        <v>20250421</v>
      </c>
      <c r="K478">
        <f>Consulta2[[#This Row],[DIA_UTIL_CORRENTE]]</f>
        <v>13</v>
      </c>
    </row>
    <row r="479" spans="1:11" x14ac:dyDescent="0.25">
      <c r="A479">
        <v>202504</v>
      </c>
      <c r="B479">
        <v>14</v>
      </c>
      <c r="C479" s="148">
        <v>45769</v>
      </c>
      <c r="D479">
        <v>20</v>
      </c>
      <c r="E479">
        <v>20</v>
      </c>
      <c r="F479">
        <v>328</v>
      </c>
      <c r="G479">
        <f>Consulta2[[#This Row],[DIA_UTIL_CORRENTE]]</f>
        <v>14</v>
      </c>
      <c r="H479" s="6">
        <f>DAY(Consulta2[[#This Row],[DATA]])</f>
        <v>22</v>
      </c>
      <c r="I479" s="6">
        <f>MONTH(Consulta2[[#This Row],[DATA]])</f>
        <v>4</v>
      </c>
      <c r="J479" t="str">
        <f>CONCATENATE(Consulta2[[#This Row],[SAFRA]],Consulta2[[#This Row],[dia]])</f>
        <v>20250422</v>
      </c>
      <c r="K479">
        <f>Consulta2[[#This Row],[DIA_UTIL_CORRENTE]]</f>
        <v>14</v>
      </c>
    </row>
    <row r="480" spans="1:11" x14ac:dyDescent="0.25">
      <c r="A480">
        <v>202504</v>
      </c>
      <c r="B480">
        <v>15</v>
      </c>
      <c r="C480" s="148">
        <v>45770</v>
      </c>
      <c r="D480">
        <v>20</v>
      </c>
      <c r="E480">
        <v>20</v>
      </c>
      <c r="F480">
        <v>329</v>
      </c>
      <c r="G480">
        <f>Consulta2[[#This Row],[DIA_UTIL_CORRENTE]]</f>
        <v>15</v>
      </c>
      <c r="H480" s="6">
        <f>DAY(Consulta2[[#This Row],[DATA]])</f>
        <v>23</v>
      </c>
      <c r="I480" s="6">
        <f>MONTH(Consulta2[[#This Row],[DATA]])</f>
        <v>4</v>
      </c>
      <c r="J480" t="str">
        <f>CONCATENATE(Consulta2[[#This Row],[SAFRA]],Consulta2[[#This Row],[dia]])</f>
        <v>20250423</v>
      </c>
      <c r="K480">
        <f>Consulta2[[#This Row],[DIA_UTIL_CORRENTE]]</f>
        <v>15</v>
      </c>
    </row>
    <row r="481" spans="1:11" x14ac:dyDescent="0.25">
      <c r="A481">
        <v>202504</v>
      </c>
      <c r="B481">
        <v>16</v>
      </c>
      <c r="C481" s="148">
        <v>45771</v>
      </c>
      <c r="D481">
        <v>20</v>
      </c>
      <c r="E481">
        <v>20</v>
      </c>
      <c r="F481">
        <v>330</v>
      </c>
      <c r="G481">
        <f>Consulta2[[#This Row],[DIA_UTIL_CORRENTE]]</f>
        <v>16</v>
      </c>
      <c r="H481" s="6">
        <f>DAY(Consulta2[[#This Row],[DATA]])</f>
        <v>24</v>
      </c>
      <c r="I481" s="6">
        <f>MONTH(Consulta2[[#This Row],[DATA]])</f>
        <v>4</v>
      </c>
      <c r="J481" t="str">
        <f>CONCATENATE(Consulta2[[#This Row],[SAFRA]],Consulta2[[#This Row],[dia]])</f>
        <v>20250424</v>
      </c>
      <c r="K481">
        <f>Consulta2[[#This Row],[DIA_UTIL_CORRENTE]]</f>
        <v>16</v>
      </c>
    </row>
    <row r="482" spans="1:11" x14ac:dyDescent="0.25">
      <c r="A482">
        <v>202504</v>
      </c>
      <c r="B482">
        <v>17</v>
      </c>
      <c r="C482" s="148">
        <v>45772</v>
      </c>
      <c r="D482">
        <v>20</v>
      </c>
      <c r="E482">
        <v>20</v>
      </c>
      <c r="F482">
        <v>331</v>
      </c>
      <c r="G482">
        <f>Consulta2[[#This Row],[DIA_UTIL_CORRENTE]]</f>
        <v>17</v>
      </c>
      <c r="H482" s="6">
        <f>DAY(Consulta2[[#This Row],[DATA]])</f>
        <v>25</v>
      </c>
      <c r="I482" s="6">
        <f>MONTH(Consulta2[[#This Row],[DATA]])</f>
        <v>4</v>
      </c>
      <c r="J482" t="str">
        <f>CONCATENATE(Consulta2[[#This Row],[SAFRA]],Consulta2[[#This Row],[dia]])</f>
        <v>20250425</v>
      </c>
      <c r="K482">
        <f>Consulta2[[#This Row],[DIA_UTIL_CORRENTE]]</f>
        <v>17</v>
      </c>
    </row>
    <row r="483" spans="1:11" x14ac:dyDescent="0.25">
      <c r="A483">
        <v>202504</v>
      </c>
      <c r="B483">
        <v>17</v>
      </c>
      <c r="C483" s="148">
        <v>45773</v>
      </c>
      <c r="D483">
        <v>20</v>
      </c>
      <c r="E483">
        <v>20</v>
      </c>
      <c r="F483">
        <v>331</v>
      </c>
      <c r="G483">
        <f>Consulta2[[#This Row],[DIA_UTIL_CORRENTE]]</f>
        <v>17</v>
      </c>
      <c r="H483" s="6">
        <f>DAY(Consulta2[[#This Row],[DATA]])</f>
        <v>26</v>
      </c>
      <c r="I483" s="6">
        <f>MONTH(Consulta2[[#This Row],[DATA]])</f>
        <v>4</v>
      </c>
      <c r="J483" t="str">
        <f>CONCATENATE(Consulta2[[#This Row],[SAFRA]],Consulta2[[#This Row],[dia]])</f>
        <v>20250426</v>
      </c>
      <c r="K483">
        <f>Consulta2[[#This Row],[DIA_UTIL_CORRENTE]]</f>
        <v>17</v>
      </c>
    </row>
    <row r="484" spans="1:11" x14ac:dyDescent="0.25">
      <c r="A484">
        <v>202504</v>
      </c>
      <c r="B484">
        <v>17</v>
      </c>
      <c r="C484" s="148">
        <v>45774</v>
      </c>
      <c r="D484">
        <v>20</v>
      </c>
      <c r="E484">
        <v>20</v>
      </c>
      <c r="F484">
        <v>331</v>
      </c>
      <c r="G484">
        <f>Consulta2[[#This Row],[DIA_UTIL_CORRENTE]]</f>
        <v>17</v>
      </c>
      <c r="H484" s="6">
        <f>DAY(Consulta2[[#This Row],[DATA]])</f>
        <v>27</v>
      </c>
      <c r="I484" s="6">
        <f>MONTH(Consulta2[[#This Row],[DATA]])</f>
        <v>4</v>
      </c>
      <c r="J484" t="str">
        <f>CONCATENATE(Consulta2[[#This Row],[SAFRA]],Consulta2[[#This Row],[dia]])</f>
        <v>20250427</v>
      </c>
      <c r="K484">
        <f>Consulta2[[#This Row],[DIA_UTIL_CORRENTE]]</f>
        <v>17</v>
      </c>
    </row>
    <row r="485" spans="1:11" x14ac:dyDescent="0.25">
      <c r="A485">
        <v>202504</v>
      </c>
      <c r="B485">
        <v>18</v>
      </c>
      <c r="C485" s="148">
        <v>45775</v>
      </c>
      <c r="D485">
        <v>20</v>
      </c>
      <c r="E485">
        <v>20</v>
      </c>
      <c r="F485">
        <v>332</v>
      </c>
      <c r="G485">
        <f>Consulta2[[#This Row],[DIA_UTIL_CORRENTE]]</f>
        <v>18</v>
      </c>
      <c r="H485" s="6">
        <f>DAY(Consulta2[[#This Row],[DATA]])</f>
        <v>28</v>
      </c>
      <c r="I485" s="6">
        <f>MONTH(Consulta2[[#This Row],[DATA]])</f>
        <v>4</v>
      </c>
      <c r="J485" t="str">
        <f>CONCATENATE(Consulta2[[#This Row],[SAFRA]],Consulta2[[#This Row],[dia]])</f>
        <v>20250428</v>
      </c>
      <c r="K485">
        <f>Consulta2[[#This Row],[DIA_UTIL_CORRENTE]]</f>
        <v>18</v>
      </c>
    </row>
    <row r="486" spans="1:11" x14ac:dyDescent="0.25">
      <c r="A486">
        <v>202504</v>
      </c>
      <c r="B486">
        <v>19</v>
      </c>
      <c r="C486" s="148">
        <v>45776</v>
      </c>
      <c r="D486">
        <v>20</v>
      </c>
      <c r="E486">
        <v>20</v>
      </c>
      <c r="F486">
        <v>333</v>
      </c>
      <c r="G486">
        <f>Consulta2[[#This Row],[DIA_UTIL_CORRENTE]]</f>
        <v>19</v>
      </c>
      <c r="H486" s="6">
        <f>DAY(Consulta2[[#This Row],[DATA]])</f>
        <v>29</v>
      </c>
      <c r="I486" s="6">
        <f>MONTH(Consulta2[[#This Row],[DATA]])</f>
        <v>4</v>
      </c>
      <c r="J486" t="str">
        <f>CONCATENATE(Consulta2[[#This Row],[SAFRA]],Consulta2[[#This Row],[dia]])</f>
        <v>20250429</v>
      </c>
      <c r="K486">
        <f>Consulta2[[#This Row],[DIA_UTIL_CORRENTE]]</f>
        <v>19</v>
      </c>
    </row>
    <row r="487" spans="1:11" x14ac:dyDescent="0.25">
      <c r="A487">
        <v>202504</v>
      </c>
      <c r="B487">
        <v>20</v>
      </c>
      <c r="C487" s="148">
        <v>45777</v>
      </c>
      <c r="D487">
        <v>20</v>
      </c>
      <c r="E487">
        <v>20</v>
      </c>
      <c r="F487">
        <v>334</v>
      </c>
      <c r="G487">
        <f>Consulta2[[#This Row],[DIA_UTIL_CORRENTE]]</f>
        <v>20</v>
      </c>
      <c r="H487" s="6">
        <f>DAY(Consulta2[[#This Row],[DATA]])</f>
        <v>30</v>
      </c>
      <c r="I487" s="6">
        <f>MONTH(Consulta2[[#This Row],[DATA]])</f>
        <v>4</v>
      </c>
      <c r="J487" t="str">
        <f>CONCATENATE(Consulta2[[#This Row],[SAFRA]],Consulta2[[#This Row],[dia]])</f>
        <v>20250430</v>
      </c>
      <c r="K487">
        <f>Consulta2[[#This Row],[DIA_UTIL_CORRENTE]]</f>
        <v>20</v>
      </c>
    </row>
    <row r="488" spans="1:11" x14ac:dyDescent="0.25">
      <c r="A488">
        <v>202505</v>
      </c>
      <c r="B488">
        <v>0</v>
      </c>
      <c r="C488" s="148">
        <v>45778</v>
      </c>
      <c r="D488">
        <v>21</v>
      </c>
      <c r="E488">
        <v>21</v>
      </c>
      <c r="F488">
        <v>334</v>
      </c>
      <c r="G488">
        <f>Consulta2[[#This Row],[DIA_UTIL_CORRENTE]]</f>
        <v>0</v>
      </c>
      <c r="H488" s="6">
        <f>DAY(Consulta2[[#This Row],[DATA]])</f>
        <v>1</v>
      </c>
      <c r="I488" s="6">
        <f>MONTH(Consulta2[[#This Row],[DATA]])</f>
        <v>5</v>
      </c>
      <c r="J488" t="str">
        <f>CONCATENATE(Consulta2[[#This Row],[SAFRA]],Consulta2[[#This Row],[dia]])</f>
        <v>2025051</v>
      </c>
      <c r="K488">
        <f>Consulta2[[#This Row],[DIA_UTIL_CORRENTE]]</f>
        <v>0</v>
      </c>
    </row>
    <row r="489" spans="1:11" x14ac:dyDescent="0.25">
      <c r="A489">
        <v>202505</v>
      </c>
      <c r="B489">
        <v>1</v>
      </c>
      <c r="C489" s="148">
        <v>45779</v>
      </c>
      <c r="D489">
        <v>21</v>
      </c>
      <c r="E489">
        <v>21</v>
      </c>
      <c r="F489">
        <v>335</v>
      </c>
      <c r="G489">
        <f>Consulta2[[#This Row],[DIA_UTIL_CORRENTE]]</f>
        <v>1</v>
      </c>
      <c r="H489" s="6">
        <f>DAY(Consulta2[[#This Row],[DATA]])</f>
        <v>2</v>
      </c>
      <c r="I489" s="6">
        <f>MONTH(Consulta2[[#This Row],[DATA]])</f>
        <v>5</v>
      </c>
      <c r="J489" t="str">
        <f>CONCATENATE(Consulta2[[#This Row],[SAFRA]],Consulta2[[#This Row],[dia]])</f>
        <v>2025052</v>
      </c>
      <c r="K489">
        <f>Consulta2[[#This Row],[DIA_UTIL_CORRENTE]]</f>
        <v>1</v>
      </c>
    </row>
    <row r="490" spans="1:11" x14ac:dyDescent="0.25">
      <c r="A490">
        <v>202505</v>
      </c>
      <c r="B490">
        <v>1</v>
      </c>
      <c r="C490" s="148">
        <v>45780</v>
      </c>
      <c r="D490">
        <v>21</v>
      </c>
      <c r="E490">
        <v>21</v>
      </c>
      <c r="F490">
        <v>335</v>
      </c>
      <c r="G490">
        <f>Consulta2[[#This Row],[DIA_UTIL_CORRENTE]]</f>
        <v>1</v>
      </c>
      <c r="H490" s="6">
        <f>DAY(Consulta2[[#This Row],[DATA]])</f>
        <v>3</v>
      </c>
      <c r="I490" s="6">
        <f>MONTH(Consulta2[[#This Row],[DATA]])</f>
        <v>5</v>
      </c>
      <c r="J490" t="str">
        <f>CONCATENATE(Consulta2[[#This Row],[SAFRA]],Consulta2[[#This Row],[dia]])</f>
        <v>2025053</v>
      </c>
      <c r="K490">
        <f>Consulta2[[#This Row],[DIA_UTIL_CORRENTE]]</f>
        <v>1</v>
      </c>
    </row>
    <row r="491" spans="1:11" x14ac:dyDescent="0.25">
      <c r="A491">
        <v>202505</v>
      </c>
      <c r="B491">
        <v>1</v>
      </c>
      <c r="C491" s="148">
        <v>45781</v>
      </c>
      <c r="D491">
        <v>21</v>
      </c>
      <c r="E491">
        <v>21</v>
      </c>
      <c r="F491">
        <v>335</v>
      </c>
      <c r="G491">
        <f>Consulta2[[#This Row],[DIA_UTIL_CORRENTE]]</f>
        <v>1</v>
      </c>
      <c r="H491" s="6">
        <f>DAY(Consulta2[[#This Row],[DATA]])</f>
        <v>4</v>
      </c>
      <c r="I491" s="6">
        <f>MONTH(Consulta2[[#This Row],[DATA]])</f>
        <v>5</v>
      </c>
      <c r="J491" t="str">
        <f>CONCATENATE(Consulta2[[#This Row],[SAFRA]],Consulta2[[#This Row],[dia]])</f>
        <v>2025054</v>
      </c>
      <c r="K491">
        <f>Consulta2[[#This Row],[DIA_UTIL_CORRENTE]]</f>
        <v>1</v>
      </c>
    </row>
    <row r="492" spans="1:11" x14ac:dyDescent="0.25">
      <c r="A492">
        <v>202505</v>
      </c>
      <c r="B492">
        <v>2</v>
      </c>
      <c r="C492" s="148">
        <v>45782</v>
      </c>
      <c r="D492">
        <v>21</v>
      </c>
      <c r="E492">
        <v>21</v>
      </c>
      <c r="F492">
        <v>336</v>
      </c>
      <c r="G492">
        <f>Consulta2[[#This Row],[DIA_UTIL_CORRENTE]]</f>
        <v>2</v>
      </c>
      <c r="H492" s="6">
        <f>DAY(Consulta2[[#This Row],[DATA]])</f>
        <v>5</v>
      </c>
      <c r="I492" s="6">
        <f>MONTH(Consulta2[[#This Row],[DATA]])</f>
        <v>5</v>
      </c>
      <c r="J492" t="str">
        <f>CONCATENATE(Consulta2[[#This Row],[SAFRA]],Consulta2[[#This Row],[dia]])</f>
        <v>2025055</v>
      </c>
      <c r="K492">
        <f>Consulta2[[#This Row],[DIA_UTIL_CORRENTE]]</f>
        <v>2</v>
      </c>
    </row>
    <row r="493" spans="1:11" x14ac:dyDescent="0.25">
      <c r="A493">
        <v>202505</v>
      </c>
      <c r="B493">
        <v>3</v>
      </c>
      <c r="C493" s="148">
        <v>45783</v>
      </c>
      <c r="D493">
        <v>21</v>
      </c>
      <c r="E493">
        <v>21</v>
      </c>
      <c r="F493">
        <v>337</v>
      </c>
      <c r="G493">
        <f>Consulta2[[#This Row],[DIA_UTIL_CORRENTE]]</f>
        <v>3</v>
      </c>
      <c r="H493" s="6">
        <f>DAY(Consulta2[[#This Row],[DATA]])</f>
        <v>6</v>
      </c>
      <c r="I493" s="6">
        <f>MONTH(Consulta2[[#This Row],[DATA]])</f>
        <v>5</v>
      </c>
      <c r="J493" t="str">
        <f>CONCATENATE(Consulta2[[#This Row],[SAFRA]],Consulta2[[#This Row],[dia]])</f>
        <v>2025056</v>
      </c>
      <c r="K493">
        <f>Consulta2[[#This Row],[DIA_UTIL_CORRENTE]]</f>
        <v>3</v>
      </c>
    </row>
    <row r="494" spans="1:11" x14ac:dyDescent="0.25">
      <c r="A494">
        <v>202505</v>
      </c>
      <c r="B494">
        <v>4</v>
      </c>
      <c r="C494" s="148">
        <v>45784</v>
      </c>
      <c r="D494">
        <v>21</v>
      </c>
      <c r="E494">
        <v>21</v>
      </c>
      <c r="F494">
        <v>338</v>
      </c>
      <c r="G494">
        <f>Consulta2[[#This Row],[DIA_UTIL_CORRENTE]]</f>
        <v>4</v>
      </c>
      <c r="H494" s="6">
        <f>DAY(Consulta2[[#This Row],[DATA]])</f>
        <v>7</v>
      </c>
      <c r="I494" s="6">
        <f>MONTH(Consulta2[[#This Row],[DATA]])</f>
        <v>5</v>
      </c>
      <c r="J494" t="str">
        <f>CONCATENATE(Consulta2[[#This Row],[SAFRA]],Consulta2[[#This Row],[dia]])</f>
        <v>2025057</v>
      </c>
      <c r="K494">
        <f>Consulta2[[#This Row],[DIA_UTIL_CORRENTE]]</f>
        <v>4</v>
      </c>
    </row>
    <row r="495" spans="1:11" x14ac:dyDescent="0.25">
      <c r="A495">
        <v>202505</v>
      </c>
      <c r="B495">
        <v>5</v>
      </c>
      <c r="C495" s="148">
        <v>45785</v>
      </c>
      <c r="D495">
        <v>21</v>
      </c>
      <c r="E495">
        <v>21</v>
      </c>
      <c r="F495">
        <v>339</v>
      </c>
      <c r="G495">
        <f>Consulta2[[#This Row],[DIA_UTIL_CORRENTE]]</f>
        <v>5</v>
      </c>
      <c r="H495" s="6">
        <f>DAY(Consulta2[[#This Row],[DATA]])</f>
        <v>8</v>
      </c>
      <c r="I495" s="6">
        <f>MONTH(Consulta2[[#This Row],[DATA]])</f>
        <v>5</v>
      </c>
      <c r="J495" t="str">
        <f>CONCATENATE(Consulta2[[#This Row],[SAFRA]],Consulta2[[#This Row],[dia]])</f>
        <v>2025058</v>
      </c>
      <c r="K495">
        <f>Consulta2[[#This Row],[DIA_UTIL_CORRENTE]]</f>
        <v>5</v>
      </c>
    </row>
    <row r="496" spans="1:11" x14ac:dyDescent="0.25">
      <c r="A496">
        <v>202505</v>
      </c>
      <c r="B496">
        <v>6</v>
      </c>
      <c r="C496" s="148">
        <v>45786</v>
      </c>
      <c r="D496">
        <v>21</v>
      </c>
      <c r="E496">
        <v>21</v>
      </c>
      <c r="F496">
        <v>340</v>
      </c>
      <c r="G496">
        <f>Consulta2[[#This Row],[DIA_UTIL_CORRENTE]]</f>
        <v>6</v>
      </c>
      <c r="H496" s="6">
        <f>DAY(Consulta2[[#This Row],[DATA]])</f>
        <v>9</v>
      </c>
      <c r="I496" s="6">
        <f>MONTH(Consulta2[[#This Row],[DATA]])</f>
        <v>5</v>
      </c>
      <c r="J496" t="str">
        <f>CONCATENATE(Consulta2[[#This Row],[SAFRA]],Consulta2[[#This Row],[dia]])</f>
        <v>2025059</v>
      </c>
      <c r="K496">
        <f>Consulta2[[#This Row],[DIA_UTIL_CORRENTE]]</f>
        <v>6</v>
      </c>
    </row>
    <row r="497" spans="1:11" x14ac:dyDescent="0.25">
      <c r="A497">
        <v>202505</v>
      </c>
      <c r="B497">
        <v>6</v>
      </c>
      <c r="C497" s="148">
        <v>45787</v>
      </c>
      <c r="D497">
        <v>21</v>
      </c>
      <c r="E497">
        <v>21</v>
      </c>
      <c r="F497">
        <v>340</v>
      </c>
      <c r="G497">
        <f>Consulta2[[#This Row],[DIA_UTIL_CORRENTE]]</f>
        <v>6</v>
      </c>
      <c r="H497" s="6">
        <f>DAY(Consulta2[[#This Row],[DATA]])</f>
        <v>10</v>
      </c>
      <c r="I497" s="6">
        <f>MONTH(Consulta2[[#This Row],[DATA]])</f>
        <v>5</v>
      </c>
      <c r="J497" t="str">
        <f>CONCATENATE(Consulta2[[#This Row],[SAFRA]],Consulta2[[#This Row],[dia]])</f>
        <v>20250510</v>
      </c>
      <c r="K497">
        <f>Consulta2[[#This Row],[DIA_UTIL_CORRENTE]]</f>
        <v>6</v>
      </c>
    </row>
    <row r="498" spans="1:11" x14ac:dyDescent="0.25">
      <c r="A498">
        <v>202505</v>
      </c>
      <c r="B498">
        <v>6</v>
      </c>
      <c r="C498" s="148">
        <v>45788</v>
      </c>
      <c r="D498">
        <v>21</v>
      </c>
      <c r="E498">
        <v>21</v>
      </c>
      <c r="F498">
        <v>340</v>
      </c>
      <c r="G498">
        <f>Consulta2[[#This Row],[DIA_UTIL_CORRENTE]]</f>
        <v>6</v>
      </c>
      <c r="H498" s="6">
        <f>DAY(Consulta2[[#This Row],[DATA]])</f>
        <v>11</v>
      </c>
      <c r="I498" s="6">
        <f>MONTH(Consulta2[[#This Row],[DATA]])</f>
        <v>5</v>
      </c>
      <c r="J498" t="str">
        <f>CONCATENATE(Consulta2[[#This Row],[SAFRA]],Consulta2[[#This Row],[dia]])</f>
        <v>20250511</v>
      </c>
      <c r="K498">
        <f>Consulta2[[#This Row],[DIA_UTIL_CORRENTE]]</f>
        <v>6</v>
      </c>
    </row>
    <row r="499" spans="1:11" x14ac:dyDescent="0.25">
      <c r="A499">
        <v>202505</v>
      </c>
      <c r="B499">
        <v>7</v>
      </c>
      <c r="C499" s="148">
        <v>45789</v>
      </c>
      <c r="D499">
        <v>21</v>
      </c>
      <c r="E499">
        <v>21</v>
      </c>
      <c r="F499">
        <v>341</v>
      </c>
      <c r="G499">
        <f>Consulta2[[#This Row],[DIA_UTIL_CORRENTE]]</f>
        <v>7</v>
      </c>
      <c r="H499" s="6">
        <f>DAY(Consulta2[[#This Row],[DATA]])</f>
        <v>12</v>
      </c>
      <c r="I499" s="6">
        <f>MONTH(Consulta2[[#This Row],[DATA]])</f>
        <v>5</v>
      </c>
      <c r="J499" t="str">
        <f>CONCATENATE(Consulta2[[#This Row],[SAFRA]],Consulta2[[#This Row],[dia]])</f>
        <v>20250512</v>
      </c>
      <c r="K499">
        <f>Consulta2[[#This Row],[DIA_UTIL_CORRENTE]]</f>
        <v>7</v>
      </c>
    </row>
    <row r="500" spans="1:11" x14ac:dyDescent="0.25">
      <c r="A500">
        <v>202505</v>
      </c>
      <c r="B500">
        <v>8</v>
      </c>
      <c r="C500" s="148">
        <v>45790</v>
      </c>
      <c r="D500">
        <v>21</v>
      </c>
      <c r="E500">
        <v>21</v>
      </c>
      <c r="F500">
        <v>342</v>
      </c>
      <c r="G500">
        <f>Consulta2[[#This Row],[DIA_UTIL_CORRENTE]]</f>
        <v>8</v>
      </c>
      <c r="H500" s="6">
        <f>DAY(Consulta2[[#This Row],[DATA]])</f>
        <v>13</v>
      </c>
      <c r="I500" s="6">
        <f>MONTH(Consulta2[[#This Row],[DATA]])</f>
        <v>5</v>
      </c>
      <c r="J500" t="str">
        <f>CONCATENATE(Consulta2[[#This Row],[SAFRA]],Consulta2[[#This Row],[dia]])</f>
        <v>20250513</v>
      </c>
      <c r="K500">
        <f>Consulta2[[#This Row],[DIA_UTIL_CORRENTE]]</f>
        <v>8</v>
      </c>
    </row>
    <row r="501" spans="1:11" x14ac:dyDescent="0.25">
      <c r="A501">
        <v>202505</v>
      </c>
      <c r="B501">
        <v>9</v>
      </c>
      <c r="C501" s="148">
        <v>45791</v>
      </c>
      <c r="D501">
        <v>21</v>
      </c>
      <c r="E501">
        <v>21</v>
      </c>
      <c r="F501">
        <v>343</v>
      </c>
      <c r="G501">
        <f>Consulta2[[#This Row],[DIA_UTIL_CORRENTE]]</f>
        <v>9</v>
      </c>
      <c r="H501" s="6">
        <f>DAY(Consulta2[[#This Row],[DATA]])</f>
        <v>14</v>
      </c>
      <c r="I501" s="6">
        <f>MONTH(Consulta2[[#This Row],[DATA]])</f>
        <v>5</v>
      </c>
      <c r="J501" t="str">
        <f>CONCATENATE(Consulta2[[#This Row],[SAFRA]],Consulta2[[#This Row],[dia]])</f>
        <v>20250514</v>
      </c>
      <c r="K501">
        <f>Consulta2[[#This Row],[DIA_UTIL_CORRENTE]]</f>
        <v>9</v>
      </c>
    </row>
    <row r="502" spans="1:11" x14ac:dyDescent="0.25">
      <c r="A502">
        <v>202505</v>
      </c>
      <c r="B502">
        <v>10</v>
      </c>
      <c r="C502" s="148">
        <v>45792</v>
      </c>
      <c r="D502">
        <v>21</v>
      </c>
      <c r="E502">
        <v>21</v>
      </c>
      <c r="F502">
        <v>344</v>
      </c>
      <c r="G502">
        <f>Consulta2[[#This Row],[DIA_UTIL_CORRENTE]]</f>
        <v>10</v>
      </c>
      <c r="H502" s="6">
        <f>DAY(Consulta2[[#This Row],[DATA]])</f>
        <v>15</v>
      </c>
      <c r="I502" s="6">
        <f>MONTH(Consulta2[[#This Row],[DATA]])</f>
        <v>5</v>
      </c>
      <c r="J502" t="str">
        <f>CONCATENATE(Consulta2[[#This Row],[SAFRA]],Consulta2[[#This Row],[dia]])</f>
        <v>20250515</v>
      </c>
      <c r="K502">
        <f>Consulta2[[#This Row],[DIA_UTIL_CORRENTE]]</f>
        <v>10</v>
      </c>
    </row>
    <row r="503" spans="1:11" x14ac:dyDescent="0.25">
      <c r="A503">
        <v>202505</v>
      </c>
      <c r="B503">
        <v>11</v>
      </c>
      <c r="C503" s="148">
        <v>45793</v>
      </c>
      <c r="D503">
        <v>21</v>
      </c>
      <c r="E503">
        <v>21</v>
      </c>
      <c r="F503">
        <v>345</v>
      </c>
      <c r="G503">
        <f>Consulta2[[#This Row],[DIA_UTIL_CORRENTE]]</f>
        <v>11</v>
      </c>
      <c r="H503" s="6">
        <f>DAY(Consulta2[[#This Row],[DATA]])</f>
        <v>16</v>
      </c>
      <c r="I503" s="6">
        <f>MONTH(Consulta2[[#This Row],[DATA]])</f>
        <v>5</v>
      </c>
      <c r="J503" t="str">
        <f>CONCATENATE(Consulta2[[#This Row],[SAFRA]],Consulta2[[#This Row],[dia]])</f>
        <v>20250516</v>
      </c>
      <c r="K503">
        <f>Consulta2[[#This Row],[DIA_UTIL_CORRENTE]]</f>
        <v>11</v>
      </c>
    </row>
    <row r="504" spans="1:11" x14ac:dyDescent="0.25">
      <c r="A504">
        <v>202505</v>
      </c>
      <c r="B504">
        <v>11</v>
      </c>
      <c r="C504" s="148">
        <v>45794</v>
      </c>
      <c r="D504">
        <v>21</v>
      </c>
      <c r="E504">
        <v>21</v>
      </c>
      <c r="F504">
        <v>345</v>
      </c>
      <c r="G504">
        <f>Consulta2[[#This Row],[DIA_UTIL_CORRENTE]]</f>
        <v>11</v>
      </c>
      <c r="H504" s="6">
        <f>DAY(Consulta2[[#This Row],[DATA]])</f>
        <v>17</v>
      </c>
      <c r="I504" s="6">
        <f>MONTH(Consulta2[[#This Row],[DATA]])</f>
        <v>5</v>
      </c>
      <c r="J504" t="str">
        <f>CONCATENATE(Consulta2[[#This Row],[SAFRA]],Consulta2[[#This Row],[dia]])</f>
        <v>20250517</v>
      </c>
      <c r="K504">
        <f>Consulta2[[#This Row],[DIA_UTIL_CORRENTE]]</f>
        <v>11</v>
      </c>
    </row>
    <row r="505" spans="1:11" x14ac:dyDescent="0.25">
      <c r="A505">
        <v>202505</v>
      </c>
      <c r="B505">
        <v>11</v>
      </c>
      <c r="C505" s="148">
        <v>45795</v>
      </c>
      <c r="D505">
        <v>21</v>
      </c>
      <c r="E505">
        <v>21</v>
      </c>
      <c r="F505">
        <v>345</v>
      </c>
      <c r="G505">
        <f>Consulta2[[#This Row],[DIA_UTIL_CORRENTE]]</f>
        <v>11</v>
      </c>
      <c r="H505" s="6">
        <f>DAY(Consulta2[[#This Row],[DATA]])</f>
        <v>18</v>
      </c>
      <c r="I505" s="6">
        <f>MONTH(Consulta2[[#This Row],[DATA]])</f>
        <v>5</v>
      </c>
      <c r="J505" t="str">
        <f>CONCATENATE(Consulta2[[#This Row],[SAFRA]],Consulta2[[#This Row],[dia]])</f>
        <v>20250518</v>
      </c>
      <c r="K505">
        <f>Consulta2[[#This Row],[DIA_UTIL_CORRENTE]]</f>
        <v>11</v>
      </c>
    </row>
    <row r="506" spans="1:11" x14ac:dyDescent="0.25">
      <c r="A506">
        <v>202505</v>
      </c>
      <c r="B506">
        <v>12</v>
      </c>
      <c r="C506" s="148">
        <v>45796</v>
      </c>
      <c r="D506">
        <v>21</v>
      </c>
      <c r="E506">
        <v>21</v>
      </c>
      <c r="F506">
        <v>346</v>
      </c>
      <c r="G506">
        <f>Consulta2[[#This Row],[DIA_UTIL_CORRENTE]]</f>
        <v>12</v>
      </c>
      <c r="H506" s="6">
        <f>DAY(Consulta2[[#This Row],[DATA]])</f>
        <v>19</v>
      </c>
      <c r="I506" s="6">
        <f>MONTH(Consulta2[[#This Row],[DATA]])</f>
        <v>5</v>
      </c>
      <c r="J506" t="str">
        <f>CONCATENATE(Consulta2[[#This Row],[SAFRA]],Consulta2[[#This Row],[dia]])</f>
        <v>20250519</v>
      </c>
      <c r="K506">
        <f>Consulta2[[#This Row],[DIA_UTIL_CORRENTE]]</f>
        <v>12</v>
      </c>
    </row>
    <row r="507" spans="1:11" x14ac:dyDescent="0.25">
      <c r="A507">
        <v>202505</v>
      </c>
      <c r="B507">
        <v>13</v>
      </c>
      <c r="C507" s="148">
        <v>45797</v>
      </c>
      <c r="D507">
        <v>21</v>
      </c>
      <c r="E507">
        <v>21</v>
      </c>
      <c r="F507">
        <v>347</v>
      </c>
      <c r="G507">
        <f>Consulta2[[#This Row],[DIA_UTIL_CORRENTE]]</f>
        <v>13</v>
      </c>
      <c r="H507" s="6">
        <f>DAY(Consulta2[[#This Row],[DATA]])</f>
        <v>20</v>
      </c>
      <c r="I507" s="6">
        <f>MONTH(Consulta2[[#This Row],[DATA]])</f>
        <v>5</v>
      </c>
      <c r="J507" t="str">
        <f>CONCATENATE(Consulta2[[#This Row],[SAFRA]],Consulta2[[#This Row],[dia]])</f>
        <v>20250520</v>
      </c>
      <c r="K507">
        <f>Consulta2[[#This Row],[DIA_UTIL_CORRENTE]]</f>
        <v>13</v>
      </c>
    </row>
    <row r="508" spans="1:11" x14ac:dyDescent="0.25">
      <c r="A508">
        <v>202505</v>
      </c>
      <c r="B508">
        <v>14</v>
      </c>
      <c r="C508" s="148">
        <v>45798</v>
      </c>
      <c r="D508">
        <v>21</v>
      </c>
      <c r="E508">
        <v>21</v>
      </c>
      <c r="F508">
        <v>348</v>
      </c>
      <c r="G508">
        <f>Consulta2[[#This Row],[DIA_UTIL_CORRENTE]]</f>
        <v>14</v>
      </c>
      <c r="H508" s="6">
        <f>DAY(Consulta2[[#This Row],[DATA]])</f>
        <v>21</v>
      </c>
      <c r="I508" s="6">
        <f>MONTH(Consulta2[[#This Row],[DATA]])</f>
        <v>5</v>
      </c>
      <c r="J508" t="str">
        <f>CONCATENATE(Consulta2[[#This Row],[SAFRA]],Consulta2[[#This Row],[dia]])</f>
        <v>20250521</v>
      </c>
      <c r="K508">
        <f>Consulta2[[#This Row],[DIA_UTIL_CORRENTE]]</f>
        <v>14</v>
      </c>
    </row>
    <row r="509" spans="1:11" x14ac:dyDescent="0.25">
      <c r="A509">
        <v>202505</v>
      </c>
      <c r="B509">
        <v>15</v>
      </c>
      <c r="C509" s="148">
        <v>45799</v>
      </c>
      <c r="D509">
        <v>21</v>
      </c>
      <c r="E509">
        <v>21</v>
      </c>
      <c r="F509">
        <v>349</v>
      </c>
      <c r="G509">
        <f>Consulta2[[#This Row],[DIA_UTIL_CORRENTE]]</f>
        <v>15</v>
      </c>
      <c r="H509" s="6">
        <f>DAY(Consulta2[[#This Row],[DATA]])</f>
        <v>22</v>
      </c>
      <c r="I509" s="6">
        <f>MONTH(Consulta2[[#This Row],[DATA]])</f>
        <v>5</v>
      </c>
      <c r="J509" t="str">
        <f>CONCATENATE(Consulta2[[#This Row],[SAFRA]],Consulta2[[#This Row],[dia]])</f>
        <v>20250522</v>
      </c>
      <c r="K509">
        <f>Consulta2[[#This Row],[DIA_UTIL_CORRENTE]]</f>
        <v>15</v>
      </c>
    </row>
    <row r="510" spans="1:11" x14ac:dyDescent="0.25">
      <c r="A510">
        <v>202505</v>
      </c>
      <c r="B510">
        <v>16</v>
      </c>
      <c r="C510" s="148">
        <v>45800</v>
      </c>
      <c r="D510">
        <v>21</v>
      </c>
      <c r="E510">
        <v>21</v>
      </c>
      <c r="F510">
        <v>350</v>
      </c>
      <c r="G510">
        <f>Consulta2[[#This Row],[DIA_UTIL_CORRENTE]]</f>
        <v>16</v>
      </c>
      <c r="H510" s="6">
        <f>DAY(Consulta2[[#This Row],[DATA]])</f>
        <v>23</v>
      </c>
      <c r="I510" s="6">
        <f>MONTH(Consulta2[[#This Row],[DATA]])</f>
        <v>5</v>
      </c>
      <c r="J510" t="str">
        <f>CONCATENATE(Consulta2[[#This Row],[SAFRA]],Consulta2[[#This Row],[dia]])</f>
        <v>20250523</v>
      </c>
      <c r="K510">
        <f>Consulta2[[#This Row],[DIA_UTIL_CORRENTE]]</f>
        <v>16</v>
      </c>
    </row>
    <row r="511" spans="1:11" x14ac:dyDescent="0.25">
      <c r="A511">
        <v>202505</v>
      </c>
      <c r="B511">
        <v>16</v>
      </c>
      <c r="C511" s="148">
        <v>45801</v>
      </c>
      <c r="D511">
        <v>21</v>
      </c>
      <c r="E511">
        <v>21</v>
      </c>
      <c r="F511">
        <v>350</v>
      </c>
      <c r="G511">
        <f>Consulta2[[#This Row],[DIA_UTIL_CORRENTE]]</f>
        <v>16</v>
      </c>
      <c r="H511" s="6">
        <f>DAY(Consulta2[[#This Row],[DATA]])</f>
        <v>24</v>
      </c>
      <c r="I511" s="6">
        <f>MONTH(Consulta2[[#This Row],[DATA]])</f>
        <v>5</v>
      </c>
      <c r="J511" t="str">
        <f>CONCATENATE(Consulta2[[#This Row],[SAFRA]],Consulta2[[#This Row],[dia]])</f>
        <v>20250524</v>
      </c>
      <c r="K511">
        <f>Consulta2[[#This Row],[DIA_UTIL_CORRENTE]]</f>
        <v>16</v>
      </c>
    </row>
    <row r="512" spans="1:11" x14ac:dyDescent="0.25">
      <c r="A512">
        <v>202505</v>
      </c>
      <c r="B512">
        <v>16</v>
      </c>
      <c r="C512" s="148">
        <v>45802</v>
      </c>
      <c r="D512">
        <v>21</v>
      </c>
      <c r="E512">
        <v>21</v>
      </c>
      <c r="F512">
        <v>350</v>
      </c>
      <c r="G512">
        <f>Consulta2[[#This Row],[DIA_UTIL_CORRENTE]]</f>
        <v>16</v>
      </c>
      <c r="H512" s="6">
        <f>DAY(Consulta2[[#This Row],[DATA]])</f>
        <v>25</v>
      </c>
      <c r="I512" s="6">
        <f>MONTH(Consulta2[[#This Row],[DATA]])</f>
        <v>5</v>
      </c>
      <c r="J512" t="str">
        <f>CONCATENATE(Consulta2[[#This Row],[SAFRA]],Consulta2[[#This Row],[dia]])</f>
        <v>20250525</v>
      </c>
      <c r="K512">
        <f>Consulta2[[#This Row],[DIA_UTIL_CORRENTE]]</f>
        <v>16</v>
      </c>
    </row>
    <row r="513" spans="1:11" x14ac:dyDescent="0.25">
      <c r="A513">
        <v>202505</v>
      </c>
      <c r="B513">
        <v>17</v>
      </c>
      <c r="C513" s="148">
        <v>45803</v>
      </c>
      <c r="D513">
        <v>21</v>
      </c>
      <c r="E513">
        <v>21</v>
      </c>
      <c r="F513">
        <v>351</v>
      </c>
      <c r="G513">
        <f>Consulta2[[#This Row],[DIA_UTIL_CORRENTE]]</f>
        <v>17</v>
      </c>
      <c r="H513" s="6">
        <f>DAY(Consulta2[[#This Row],[DATA]])</f>
        <v>26</v>
      </c>
      <c r="I513" s="6">
        <f>MONTH(Consulta2[[#This Row],[DATA]])</f>
        <v>5</v>
      </c>
      <c r="J513" t="str">
        <f>CONCATENATE(Consulta2[[#This Row],[SAFRA]],Consulta2[[#This Row],[dia]])</f>
        <v>20250526</v>
      </c>
      <c r="K513">
        <f>Consulta2[[#This Row],[DIA_UTIL_CORRENTE]]</f>
        <v>17</v>
      </c>
    </row>
    <row r="514" spans="1:11" x14ac:dyDescent="0.25">
      <c r="A514">
        <v>202505</v>
      </c>
      <c r="B514">
        <v>18</v>
      </c>
      <c r="C514" s="148">
        <v>45804</v>
      </c>
      <c r="D514">
        <v>21</v>
      </c>
      <c r="E514">
        <v>21</v>
      </c>
      <c r="F514">
        <v>352</v>
      </c>
      <c r="G514">
        <f>Consulta2[[#This Row],[DIA_UTIL_CORRENTE]]</f>
        <v>18</v>
      </c>
      <c r="H514" s="6">
        <f>DAY(Consulta2[[#This Row],[DATA]])</f>
        <v>27</v>
      </c>
      <c r="I514" s="6">
        <f>MONTH(Consulta2[[#This Row],[DATA]])</f>
        <v>5</v>
      </c>
      <c r="J514" t="str">
        <f>CONCATENATE(Consulta2[[#This Row],[SAFRA]],Consulta2[[#This Row],[dia]])</f>
        <v>20250527</v>
      </c>
      <c r="K514">
        <f>Consulta2[[#This Row],[DIA_UTIL_CORRENTE]]</f>
        <v>18</v>
      </c>
    </row>
    <row r="515" spans="1:11" x14ac:dyDescent="0.25">
      <c r="A515">
        <v>202505</v>
      </c>
      <c r="B515">
        <v>19</v>
      </c>
      <c r="C515" s="148">
        <v>45805</v>
      </c>
      <c r="D515">
        <v>21</v>
      </c>
      <c r="E515">
        <v>21</v>
      </c>
      <c r="F515">
        <v>353</v>
      </c>
      <c r="G515">
        <f>Consulta2[[#This Row],[DIA_UTIL_CORRENTE]]</f>
        <v>19</v>
      </c>
      <c r="H515" s="6">
        <f>DAY(Consulta2[[#This Row],[DATA]])</f>
        <v>28</v>
      </c>
      <c r="I515" s="6">
        <f>MONTH(Consulta2[[#This Row],[DATA]])</f>
        <v>5</v>
      </c>
      <c r="J515" t="str">
        <f>CONCATENATE(Consulta2[[#This Row],[SAFRA]],Consulta2[[#This Row],[dia]])</f>
        <v>20250528</v>
      </c>
      <c r="K515">
        <f>Consulta2[[#This Row],[DIA_UTIL_CORRENTE]]</f>
        <v>19</v>
      </c>
    </row>
    <row r="516" spans="1:11" x14ac:dyDescent="0.25">
      <c r="A516">
        <v>202505</v>
      </c>
      <c r="B516">
        <v>20</v>
      </c>
      <c r="C516" s="148">
        <v>45806</v>
      </c>
      <c r="D516">
        <v>21</v>
      </c>
      <c r="E516">
        <v>21</v>
      </c>
      <c r="F516">
        <v>354</v>
      </c>
      <c r="G516">
        <f>Consulta2[[#This Row],[DIA_UTIL_CORRENTE]]</f>
        <v>20</v>
      </c>
      <c r="H516" s="6">
        <f>DAY(Consulta2[[#This Row],[DATA]])</f>
        <v>29</v>
      </c>
      <c r="I516" s="6">
        <f>MONTH(Consulta2[[#This Row],[DATA]])</f>
        <v>5</v>
      </c>
      <c r="J516" t="str">
        <f>CONCATENATE(Consulta2[[#This Row],[SAFRA]],Consulta2[[#This Row],[dia]])</f>
        <v>20250529</v>
      </c>
      <c r="K516">
        <f>Consulta2[[#This Row],[DIA_UTIL_CORRENTE]]</f>
        <v>20</v>
      </c>
    </row>
    <row r="517" spans="1:11" x14ac:dyDescent="0.25">
      <c r="A517">
        <v>202505</v>
      </c>
      <c r="B517">
        <v>21</v>
      </c>
      <c r="C517" s="148">
        <v>45807</v>
      </c>
      <c r="D517">
        <v>21</v>
      </c>
      <c r="E517">
        <v>21</v>
      </c>
      <c r="F517">
        <v>355</v>
      </c>
      <c r="G517">
        <f>Consulta2[[#This Row],[DIA_UTIL_CORRENTE]]</f>
        <v>21</v>
      </c>
      <c r="H517" s="6">
        <f>DAY(Consulta2[[#This Row],[DATA]])</f>
        <v>30</v>
      </c>
      <c r="I517" s="6">
        <f>MONTH(Consulta2[[#This Row],[DATA]])</f>
        <v>5</v>
      </c>
      <c r="J517" t="str">
        <f>CONCATENATE(Consulta2[[#This Row],[SAFRA]],Consulta2[[#This Row],[dia]])</f>
        <v>20250530</v>
      </c>
      <c r="K517">
        <f>Consulta2[[#This Row],[DIA_UTIL_CORRENTE]]</f>
        <v>21</v>
      </c>
    </row>
    <row r="518" spans="1:11" x14ac:dyDescent="0.25">
      <c r="A518">
        <v>202505</v>
      </c>
      <c r="B518">
        <v>21</v>
      </c>
      <c r="C518" s="148">
        <v>45808</v>
      </c>
      <c r="D518">
        <v>21</v>
      </c>
      <c r="E518">
        <v>21</v>
      </c>
      <c r="F518">
        <v>355</v>
      </c>
      <c r="G518">
        <f>Consulta2[[#This Row],[DIA_UTIL_CORRENTE]]</f>
        <v>21</v>
      </c>
      <c r="H518" s="6">
        <f>DAY(Consulta2[[#This Row],[DATA]])</f>
        <v>31</v>
      </c>
      <c r="I518" s="6">
        <f>MONTH(Consulta2[[#This Row],[DATA]])</f>
        <v>5</v>
      </c>
      <c r="J518" t="str">
        <f>CONCATENATE(Consulta2[[#This Row],[SAFRA]],Consulta2[[#This Row],[dia]])</f>
        <v>20250531</v>
      </c>
      <c r="K518">
        <f>Consulta2[[#This Row],[DIA_UTIL_CORRENTE]]</f>
        <v>21</v>
      </c>
    </row>
    <row r="519" spans="1:11" x14ac:dyDescent="0.25">
      <c r="A519">
        <v>202506</v>
      </c>
      <c r="B519">
        <v>0</v>
      </c>
      <c r="C519" s="148">
        <v>45809</v>
      </c>
      <c r="D519">
        <v>20</v>
      </c>
      <c r="E519">
        <v>20</v>
      </c>
      <c r="F519">
        <v>355</v>
      </c>
      <c r="G519">
        <f>Consulta2[[#This Row],[DIA_UTIL_CORRENTE]]</f>
        <v>0</v>
      </c>
      <c r="H519" s="6">
        <f>DAY(Consulta2[[#This Row],[DATA]])</f>
        <v>1</v>
      </c>
      <c r="I519" s="6">
        <f>MONTH(Consulta2[[#This Row],[DATA]])</f>
        <v>6</v>
      </c>
      <c r="J519" t="str">
        <f>CONCATENATE(Consulta2[[#This Row],[SAFRA]],Consulta2[[#This Row],[dia]])</f>
        <v>2025061</v>
      </c>
      <c r="K519">
        <f>Consulta2[[#This Row],[DIA_UTIL_CORRENTE]]</f>
        <v>0</v>
      </c>
    </row>
    <row r="520" spans="1:11" x14ac:dyDescent="0.25">
      <c r="A520">
        <v>202506</v>
      </c>
      <c r="B520">
        <v>1</v>
      </c>
      <c r="C520" s="148">
        <v>45810</v>
      </c>
      <c r="D520">
        <v>20</v>
      </c>
      <c r="E520">
        <v>20</v>
      </c>
      <c r="F520">
        <v>356</v>
      </c>
      <c r="G520">
        <f>Consulta2[[#This Row],[DIA_UTIL_CORRENTE]]</f>
        <v>1</v>
      </c>
      <c r="H520" s="6">
        <f>DAY(Consulta2[[#This Row],[DATA]])</f>
        <v>2</v>
      </c>
      <c r="I520" s="6">
        <f>MONTH(Consulta2[[#This Row],[DATA]])</f>
        <v>6</v>
      </c>
      <c r="J520" t="str">
        <f>CONCATENATE(Consulta2[[#This Row],[SAFRA]],Consulta2[[#This Row],[dia]])</f>
        <v>2025062</v>
      </c>
      <c r="K520">
        <f>Consulta2[[#This Row],[DIA_UTIL_CORRENTE]]</f>
        <v>1</v>
      </c>
    </row>
    <row r="521" spans="1:11" x14ac:dyDescent="0.25">
      <c r="A521">
        <v>202506</v>
      </c>
      <c r="B521">
        <v>2</v>
      </c>
      <c r="C521" s="148">
        <v>45811</v>
      </c>
      <c r="D521">
        <v>20</v>
      </c>
      <c r="E521">
        <v>20</v>
      </c>
      <c r="F521">
        <v>357</v>
      </c>
      <c r="G521">
        <f>Consulta2[[#This Row],[DIA_UTIL_CORRENTE]]</f>
        <v>2</v>
      </c>
      <c r="H521" s="6">
        <f>DAY(Consulta2[[#This Row],[DATA]])</f>
        <v>3</v>
      </c>
      <c r="I521" s="6">
        <f>MONTH(Consulta2[[#This Row],[DATA]])</f>
        <v>6</v>
      </c>
      <c r="J521" t="str">
        <f>CONCATENATE(Consulta2[[#This Row],[SAFRA]],Consulta2[[#This Row],[dia]])</f>
        <v>2025063</v>
      </c>
      <c r="K521">
        <f>Consulta2[[#This Row],[DIA_UTIL_CORRENTE]]</f>
        <v>2</v>
      </c>
    </row>
    <row r="522" spans="1:11" x14ac:dyDescent="0.25">
      <c r="A522">
        <v>202506</v>
      </c>
      <c r="B522">
        <v>3</v>
      </c>
      <c r="C522" s="148">
        <v>45812</v>
      </c>
      <c r="D522">
        <v>20</v>
      </c>
      <c r="E522">
        <v>20</v>
      </c>
      <c r="F522">
        <v>358</v>
      </c>
      <c r="G522">
        <f>Consulta2[[#This Row],[DIA_UTIL_CORRENTE]]</f>
        <v>3</v>
      </c>
      <c r="H522" s="6">
        <f>DAY(Consulta2[[#This Row],[DATA]])</f>
        <v>4</v>
      </c>
      <c r="I522" s="6">
        <f>MONTH(Consulta2[[#This Row],[DATA]])</f>
        <v>6</v>
      </c>
      <c r="J522" t="str">
        <f>CONCATENATE(Consulta2[[#This Row],[SAFRA]],Consulta2[[#This Row],[dia]])</f>
        <v>2025064</v>
      </c>
      <c r="K522">
        <f>Consulta2[[#This Row],[DIA_UTIL_CORRENTE]]</f>
        <v>3</v>
      </c>
    </row>
    <row r="523" spans="1:11" x14ac:dyDescent="0.25">
      <c r="A523">
        <v>202506</v>
      </c>
      <c r="B523">
        <v>4</v>
      </c>
      <c r="C523" s="148">
        <v>45813</v>
      </c>
      <c r="D523">
        <v>20</v>
      </c>
      <c r="E523">
        <v>20</v>
      </c>
      <c r="F523">
        <v>359</v>
      </c>
      <c r="G523">
        <f>Consulta2[[#This Row],[DIA_UTIL_CORRENTE]]</f>
        <v>4</v>
      </c>
      <c r="H523" s="6">
        <f>DAY(Consulta2[[#This Row],[DATA]])</f>
        <v>5</v>
      </c>
      <c r="I523" s="6">
        <f>MONTH(Consulta2[[#This Row],[DATA]])</f>
        <v>6</v>
      </c>
      <c r="J523" t="str">
        <f>CONCATENATE(Consulta2[[#This Row],[SAFRA]],Consulta2[[#This Row],[dia]])</f>
        <v>2025065</v>
      </c>
      <c r="K523">
        <f>Consulta2[[#This Row],[DIA_UTIL_CORRENTE]]</f>
        <v>4</v>
      </c>
    </row>
    <row r="524" spans="1:11" x14ac:dyDescent="0.25">
      <c r="A524">
        <v>202506</v>
      </c>
      <c r="B524">
        <v>5</v>
      </c>
      <c r="C524" s="148">
        <v>45814</v>
      </c>
      <c r="D524">
        <v>20</v>
      </c>
      <c r="E524">
        <v>20</v>
      </c>
      <c r="F524">
        <v>360</v>
      </c>
      <c r="G524">
        <f>Consulta2[[#This Row],[DIA_UTIL_CORRENTE]]</f>
        <v>5</v>
      </c>
      <c r="H524" s="6">
        <f>DAY(Consulta2[[#This Row],[DATA]])</f>
        <v>6</v>
      </c>
      <c r="I524" s="6">
        <f>MONTH(Consulta2[[#This Row],[DATA]])</f>
        <v>6</v>
      </c>
      <c r="J524" t="str">
        <f>CONCATENATE(Consulta2[[#This Row],[SAFRA]],Consulta2[[#This Row],[dia]])</f>
        <v>2025066</v>
      </c>
      <c r="K524">
        <f>Consulta2[[#This Row],[DIA_UTIL_CORRENTE]]</f>
        <v>5</v>
      </c>
    </row>
    <row r="525" spans="1:11" x14ac:dyDescent="0.25">
      <c r="A525">
        <v>202506</v>
      </c>
      <c r="B525">
        <v>5</v>
      </c>
      <c r="C525" s="148">
        <v>45815</v>
      </c>
      <c r="D525">
        <v>20</v>
      </c>
      <c r="E525">
        <v>20</v>
      </c>
      <c r="F525">
        <v>360</v>
      </c>
      <c r="G525">
        <f>Consulta2[[#This Row],[DIA_UTIL_CORRENTE]]</f>
        <v>5</v>
      </c>
      <c r="H525" s="6">
        <f>DAY(Consulta2[[#This Row],[DATA]])</f>
        <v>7</v>
      </c>
      <c r="I525" s="6">
        <f>MONTH(Consulta2[[#This Row],[DATA]])</f>
        <v>6</v>
      </c>
      <c r="J525" t="str">
        <f>CONCATENATE(Consulta2[[#This Row],[SAFRA]],Consulta2[[#This Row],[dia]])</f>
        <v>2025067</v>
      </c>
      <c r="K525">
        <f>Consulta2[[#This Row],[DIA_UTIL_CORRENTE]]</f>
        <v>5</v>
      </c>
    </row>
    <row r="526" spans="1:11" x14ac:dyDescent="0.25">
      <c r="A526">
        <v>202506</v>
      </c>
      <c r="B526">
        <v>5</v>
      </c>
      <c r="C526" s="148">
        <v>45816</v>
      </c>
      <c r="D526">
        <v>20</v>
      </c>
      <c r="E526">
        <v>20</v>
      </c>
      <c r="F526">
        <v>360</v>
      </c>
      <c r="G526">
        <f>Consulta2[[#This Row],[DIA_UTIL_CORRENTE]]</f>
        <v>5</v>
      </c>
      <c r="H526" s="6">
        <f>DAY(Consulta2[[#This Row],[DATA]])</f>
        <v>8</v>
      </c>
      <c r="I526" s="6">
        <f>MONTH(Consulta2[[#This Row],[DATA]])</f>
        <v>6</v>
      </c>
      <c r="J526" t="str">
        <f>CONCATENATE(Consulta2[[#This Row],[SAFRA]],Consulta2[[#This Row],[dia]])</f>
        <v>2025068</v>
      </c>
      <c r="K526">
        <f>Consulta2[[#This Row],[DIA_UTIL_CORRENTE]]</f>
        <v>5</v>
      </c>
    </row>
    <row r="527" spans="1:11" x14ac:dyDescent="0.25">
      <c r="A527">
        <v>202506</v>
      </c>
      <c r="B527">
        <v>6</v>
      </c>
      <c r="C527" s="148">
        <v>45817</v>
      </c>
      <c r="D527">
        <v>20</v>
      </c>
      <c r="E527">
        <v>20</v>
      </c>
      <c r="F527">
        <v>361</v>
      </c>
      <c r="G527">
        <f>Consulta2[[#This Row],[DIA_UTIL_CORRENTE]]</f>
        <v>6</v>
      </c>
      <c r="H527" s="6">
        <f>DAY(Consulta2[[#This Row],[DATA]])</f>
        <v>9</v>
      </c>
      <c r="I527" s="6">
        <f>MONTH(Consulta2[[#This Row],[DATA]])</f>
        <v>6</v>
      </c>
      <c r="J527" t="str">
        <f>CONCATENATE(Consulta2[[#This Row],[SAFRA]],Consulta2[[#This Row],[dia]])</f>
        <v>2025069</v>
      </c>
      <c r="K527">
        <f>Consulta2[[#This Row],[DIA_UTIL_CORRENTE]]</f>
        <v>6</v>
      </c>
    </row>
    <row r="528" spans="1:11" x14ac:dyDescent="0.25">
      <c r="A528">
        <v>202506</v>
      </c>
      <c r="B528">
        <v>7</v>
      </c>
      <c r="C528" s="148">
        <v>45818</v>
      </c>
      <c r="D528">
        <v>20</v>
      </c>
      <c r="E528">
        <v>20</v>
      </c>
      <c r="F528">
        <v>362</v>
      </c>
      <c r="G528">
        <f>Consulta2[[#This Row],[DIA_UTIL_CORRENTE]]</f>
        <v>7</v>
      </c>
      <c r="H528" s="6">
        <f>DAY(Consulta2[[#This Row],[DATA]])</f>
        <v>10</v>
      </c>
      <c r="I528" s="6">
        <f>MONTH(Consulta2[[#This Row],[DATA]])</f>
        <v>6</v>
      </c>
      <c r="J528" t="str">
        <f>CONCATENATE(Consulta2[[#This Row],[SAFRA]],Consulta2[[#This Row],[dia]])</f>
        <v>20250610</v>
      </c>
      <c r="K528">
        <f>Consulta2[[#This Row],[DIA_UTIL_CORRENTE]]</f>
        <v>7</v>
      </c>
    </row>
    <row r="529" spans="1:11" x14ac:dyDescent="0.25">
      <c r="A529">
        <v>202506</v>
      </c>
      <c r="B529">
        <v>8</v>
      </c>
      <c r="C529" s="148">
        <v>45819</v>
      </c>
      <c r="D529">
        <v>20</v>
      </c>
      <c r="E529">
        <v>20</v>
      </c>
      <c r="F529">
        <v>363</v>
      </c>
      <c r="G529">
        <f>Consulta2[[#This Row],[DIA_UTIL_CORRENTE]]</f>
        <v>8</v>
      </c>
      <c r="H529" s="6">
        <f>DAY(Consulta2[[#This Row],[DATA]])</f>
        <v>11</v>
      </c>
      <c r="I529" s="6">
        <f>MONTH(Consulta2[[#This Row],[DATA]])</f>
        <v>6</v>
      </c>
      <c r="J529" t="str">
        <f>CONCATENATE(Consulta2[[#This Row],[SAFRA]],Consulta2[[#This Row],[dia]])</f>
        <v>20250611</v>
      </c>
      <c r="K529">
        <f>Consulta2[[#This Row],[DIA_UTIL_CORRENTE]]</f>
        <v>8</v>
      </c>
    </row>
    <row r="530" spans="1:11" x14ac:dyDescent="0.25">
      <c r="A530">
        <v>202506</v>
      </c>
      <c r="B530">
        <v>9</v>
      </c>
      <c r="C530" s="148">
        <v>45820</v>
      </c>
      <c r="D530">
        <v>20</v>
      </c>
      <c r="E530">
        <v>20</v>
      </c>
      <c r="F530">
        <v>364</v>
      </c>
      <c r="G530">
        <f>Consulta2[[#This Row],[DIA_UTIL_CORRENTE]]</f>
        <v>9</v>
      </c>
      <c r="H530" s="6">
        <f>DAY(Consulta2[[#This Row],[DATA]])</f>
        <v>12</v>
      </c>
      <c r="I530" s="6">
        <f>MONTH(Consulta2[[#This Row],[DATA]])</f>
        <v>6</v>
      </c>
      <c r="J530" t="str">
        <f>CONCATENATE(Consulta2[[#This Row],[SAFRA]],Consulta2[[#This Row],[dia]])</f>
        <v>20250612</v>
      </c>
      <c r="K530">
        <f>Consulta2[[#This Row],[DIA_UTIL_CORRENTE]]</f>
        <v>9</v>
      </c>
    </row>
    <row r="531" spans="1:11" x14ac:dyDescent="0.25">
      <c r="A531">
        <v>202506</v>
      </c>
      <c r="B531">
        <v>10</v>
      </c>
      <c r="C531" s="148">
        <v>45821</v>
      </c>
      <c r="D531">
        <v>20</v>
      </c>
      <c r="E531">
        <v>20</v>
      </c>
      <c r="F531">
        <v>365</v>
      </c>
      <c r="G531">
        <f>Consulta2[[#This Row],[DIA_UTIL_CORRENTE]]</f>
        <v>10</v>
      </c>
      <c r="H531" s="6">
        <f>DAY(Consulta2[[#This Row],[DATA]])</f>
        <v>13</v>
      </c>
      <c r="I531" s="6">
        <f>MONTH(Consulta2[[#This Row],[DATA]])</f>
        <v>6</v>
      </c>
      <c r="J531" t="str">
        <f>CONCATENATE(Consulta2[[#This Row],[SAFRA]],Consulta2[[#This Row],[dia]])</f>
        <v>20250613</v>
      </c>
      <c r="K531">
        <f>Consulta2[[#This Row],[DIA_UTIL_CORRENTE]]</f>
        <v>10</v>
      </c>
    </row>
    <row r="532" spans="1:11" x14ac:dyDescent="0.25">
      <c r="A532">
        <v>202506</v>
      </c>
      <c r="B532">
        <v>10</v>
      </c>
      <c r="C532" s="148">
        <v>45822</v>
      </c>
      <c r="D532">
        <v>20</v>
      </c>
      <c r="E532">
        <v>20</v>
      </c>
      <c r="F532">
        <v>365</v>
      </c>
      <c r="G532">
        <f>Consulta2[[#This Row],[DIA_UTIL_CORRENTE]]</f>
        <v>10</v>
      </c>
      <c r="H532" s="6">
        <f>DAY(Consulta2[[#This Row],[DATA]])</f>
        <v>14</v>
      </c>
      <c r="I532" s="6">
        <f>MONTH(Consulta2[[#This Row],[DATA]])</f>
        <v>6</v>
      </c>
      <c r="J532" t="str">
        <f>CONCATENATE(Consulta2[[#This Row],[SAFRA]],Consulta2[[#This Row],[dia]])</f>
        <v>20250614</v>
      </c>
      <c r="K532">
        <f>Consulta2[[#This Row],[DIA_UTIL_CORRENTE]]</f>
        <v>10</v>
      </c>
    </row>
    <row r="533" spans="1:11" x14ac:dyDescent="0.25">
      <c r="A533">
        <v>202506</v>
      </c>
      <c r="B533">
        <v>10</v>
      </c>
      <c r="C533" s="148">
        <v>45823</v>
      </c>
      <c r="D533">
        <v>20</v>
      </c>
      <c r="E533">
        <v>20</v>
      </c>
      <c r="F533">
        <v>365</v>
      </c>
      <c r="G533">
        <f>Consulta2[[#This Row],[DIA_UTIL_CORRENTE]]</f>
        <v>10</v>
      </c>
      <c r="H533" s="6">
        <f>DAY(Consulta2[[#This Row],[DATA]])</f>
        <v>15</v>
      </c>
      <c r="I533" s="6">
        <f>MONTH(Consulta2[[#This Row],[DATA]])</f>
        <v>6</v>
      </c>
      <c r="J533" t="str">
        <f>CONCATENATE(Consulta2[[#This Row],[SAFRA]],Consulta2[[#This Row],[dia]])</f>
        <v>20250615</v>
      </c>
      <c r="K533">
        <f>Consulta2[[#This Row],[DIA_UTIL_CORRENTE]]</f>
        <v>10</v>
      </c>
    </row>
    <row r="534" spans="1:11" x14ac:dyDescent="0.25">
      <c r="A534">
        <v>202506</v>
      </c>
      <c r="B534">
        <v>11</v>
      </c>
      <c r="C534" s="148">
        <v>45824</v>
      </c>
      <c r="D534">
        <v>20</v>
      </c>
      <c r="E534">
        <v>20</v>
      </c>
      <c r="F534">
        <v>366</v>
      </c>
      <c r="G534">
        <f>Consulta2[[#This Row],[DIA_UTIL_CORRENTE]]</f>
        <v>11</v>
      </c>
      <c r="H534" s="6">
        <f>DAY(Consulta2[[#This Row],[DATA]])</f>
        <v>16</v>
      </c>
      <c r="I534" s="6">
        <f>MONTH(Consulta2[[#This Row],[DATA]])</f>
        <v>6</v>
      </c>
      <c r="J534" t="str">
        <f>CONCATENATE(Consulta2[[#This Row],[SAFRA]],Consulta2[[#This Row],[dia]])</f>
        <v>20250616</v>
      </c>
      <c r="K534">
        <f>Consulta2[[#This Row],[DIA_UTIL_CORRENTE]]</f>
        <v>11</v>
      </c>
    </row>
    <row r="535" spans="1:11" x14ac:dyDescent="0.25">
      <c r="A535">
        <v>202506</v>
      </c>
      <c r="B535">
        <v>12</v>
      </c>
      <c r="C535" s="148">
        <v>45825</v>
      </c>
      <c r="D535">
        <v>20</v>
      </c>
      <c r="E535">
        <v>20</v>
      </c>
      <c r="F535">
        <v>367</v>
      </c>
      <c r="G535">
        <f>Consulta2[[#This Row],[DIA_UTIL_CORRENTE]]</f>
        <v>12</v>
      </c>
      <c r="H535" s="6">
        <f>DAY(Consulta2[[#This Row],[DATA]])</f>
        <v>17</v>
      </c>
      <c r="I535" s="6">
        <f>MONTH(Consulta2[[#This Row],[DATA]])</f>
        <v>6</v>
      </c>
      <c r="J535" t="str">
        <f>CONCATENATE(Consulta2[[#This Row],[SAFRA]],Consulta2[[#This Row],[dia]])</f>
        <v>20250617</v>
      </c>
      <c r="K535">
        <f>Consulta2[[#This Row],[DIA_UTIL_CORRENTE]]</f>
        <v>12</v>
      </c>
    </row>
    <row r="536" spans="1:11" x14ac:dyDescent="0.25">
      <c r="A536">
        <v>202506</v>
      </c>
      <c r="B536">
        <v>13</v>
      </c>
      <c r="C536" s="148">
        <v>45826</v>
      </c>
      <c r="D536">
        <v>20</v>
      </c>
      <c r="E536">
        <v>20</v>
      </c>
      <c r="F536">
        <v>368</v>
      </c>
      <c r="G536">
        <f>Consulta2[[#This Row],[DIA_UTIL_CORRENTE]]</f>
        <v>13</v>
      </c>
      <c r="H536" s="6">
        <f>DAY(Consulta2[[#This Row],[DATA]])</f>
        <v>18</v>
      </c>
      <c r="I536" s="6">
        <f>MONTH(Consulta2[[#This Row],[DATA]])</f>
        <v>6</v>
      </c>
      <c r="J536" t="str">
        <f>CONCATENATE(Consulta2[[#This Row],[SAFRA]],Consulta2[[#This Row],[dia]])</f>
        <v>20250618</v>
      </c>
      <c r="K536">
        <f>Consulta2[[#This Row],[DIA_UTIL_CORRENTE]]</f>
        <v>13</v>
      </c>
    </row>
    <row r="537" spans="1:11" x14ac:dyDescent="0.25">
      <c r="A537">
        <v>202506</v>
      </c>
      <c r="B537">
        <v>13</v>
      </c>
      <c r="C537" s="148">
        <v>45827</v>
      </c>
      <c r="D537">
        <v>20</v>
      </c>
      <c r="E537">
        <v>20</v>
      </c>
      <c r="F537">
        <v>368</v>
      </c>
      <c r="G537">
        <f>Consulta2[[#This Row],[DIA_UTIL_CORRENTE]]</f>
        <v>13</v>
      </c>
      <c r="H537" s="6">
        <f>DAY(Consulta2[[#This Row],[DATA]])</f>
        <v>19</v>
      </c>
      <c r="I537" s="6">
        <f>MONTH(Consulta2[[#This Row],[DATA]])</f>
        <v>6</v>
      </c>
      <c r="J537" t="str">
        <f>CONCATENATE(Consulta2[[#This Row],[SAFRA]],Consulta2[[#This Row],[dia]])</f>
        <v>20250619</v>
      </c>
      <c r="K537">
        <f>Consulta2[[#This Row],[DIA_UTIL_CORRENTE]]</f>
        <v>13</v>
      </c>
    </row>
    <row r="538" spans="1:11" x14ac:dyDescent="0.25">
      <c r="A538">
        <v>202506</v>
      </c>
      <c r="B538">
        <v>14</v>
      </c>
      <c r="C538" s="148">
        <v>45828</v>
      </c>
      <c r="D538">
        <v>20</v>
      </c>
      <c r="E538">
        <v>20</v>
      </c>
      <c r="F538">
        <v>369</v>
      </c>
      <c r="G538">
        <f>Consulta2[[#This Row],[DIA_UTIL_CORRENTE]]</f>
        <v>14</v>
      </c>
      <c r="H538" s="6">
        <f>DAY(Consulta2[[#This Row],[DATA]])</f>
        <v>20</v>
      </c>
      <c r="I538" s="6">
        <f>MONTH(Consulta2[[#This Row],[DATA]])</f>
        <v>6</v>
      </c>
      <c r="J538" t="str">
        <f>CONCATENATE(Consulta2[[#This Row],[SAFRA]],Consulta2[[#This Row],[dia]])</f>
        <v>20250620</v>
      </c>
      <c r="K538">
        <f>Consulta2[[#This Row],[DIA_UTIL_CORRENTE]]</f>
        <v>14</v>
      </c>
    </row>
    <row r="539" spans="1:11" x14ac:dyDescent="0.25">
      <c r="A539">
        <v>202506</v>
      </c>
      <c r="B539">
        <v>14</v>
      </c>
      <c r="C539" s="148">
        <v>45829</v>
      </c>
      <c r="D539">
        <v>20</v>
      </c>
      <c r="E539">
        <v>20</v>
      </c>
      <c r="F539">
        <v>369</v>
      </c>
      <c r="G539">
        <f>Consulta2[[#This Row],[DIA_UTIL_CORRENTE]]</f>
        <v>14</v>
      </c>
      <c r="H539" s="6">
        <f>DAY(Consulta2[[#This Row],[DATA]])</f>
        <v>21</v>
      </c>
      <c r="I539" s="6">
        <f>MONTH(Consulta2[[#This Row],[DATA]])</f>
        <v>6</v>
      </c>
      <c r="J539" t="str">
        <f>CONCATENATE(Consulta2[[#This Row],[SAFRA]],Consulta2[[#This Row],[dia]])</f>
        <v>20250621</v>
      </c>
      <c r="K539">
        <f>Consulta2[[#This Row],[DIA_UTIL_CORRENTE]]</f>
        <v>14</v>
      </c>
    </row>
    <row r="540" spans="1:11" x14ac:dyDescent="0.25">
      <c r="A540">
        <v>202506</v>
      </c>
      <c r="B540">
        <v>14</v>
      </c>
      <c r="C540" s="148">
        <v>45830</v>
      </c>
      <c r="D540">
        <v>20</v>
      </c>
      <c r="E540">
        <v>20</v>
      </c>
      <c r="F540">
        <v>369</v>
      </c>
      <c r="G540">
        <f>Consulta2[[#This Row],[DIA_UTIL_CORRENTE]]</f>
        <v>14</v>
      </c>
      <c r="H540" s="6">
        <f>DAY(Consulta2[[#This Row],[DATA]])</f>
        <v>22</v>
      </c>
      <c r="I540" s="6">
        <f>MONTH(Consulta2[[#This Row],[DATA]])</f>
        <v>6</v>
      </c>
      <c r="J540" t="str">
        <f>CONCATENATE(Consulta2[[#This Row],[SAFRA]],Consulta2[[#This Row],[dia]])</f>
        <v>20250622</v>
      </c>
      <c r="K540">
        <f>Consulta2[[#This Row],[DIA_UTIL_CORRENTE]]</f>
        <v>14</v>
      </c>
    </row>
    <row r="541" spans="1:11" x14ac:dyDescent="0.25">
      <c r="A541">
        <v>202506</v>
      </c>
      <c r="B541">
        <v>15</v>
      </c>
      <c r="C541" s="148">
        <v>45831</v>
      </c>
      <c r="D541">
        <v>20</v>
      </c>
      <c r="E541">
        <v>20</v>
      </c>
      <c r="F541">
        <v>370</v>
      </c>
      <c r="G541">
        <f>Consulta2[[#This Row],[DIA_UTIL_CORRENTE]]</f>
        <v>15</v>
      </c>
      <c r="H541" s="6">
        <f>DAY(Consulta2[[#This Row],[DATA]])</f>
        <v>23</v>
      </c>
      <c r="I541" s="6">
        <f>MONTH(Consulta2[[#This Row],[DATA]])</f>
        <v>6</v>
      </c>
      <c r="J541" t="str">
        <f>CONCATENATE(Consulta2[[#This Row],[SAFRA]],Consulta2[[#This Row],[dia]])</f>
        <v>20250623</v>
      </c>
      <c r="K541">
        <f>Consulta2[[#This Row],[DIA_UTIL_CORRENTE]]</f>
        <v>15</v>
      </c>
    </row>
    <row r="542" spans="1:11" x14ac:dyDescent="0.25">
      <c r="A542">
        <v>202506</v>
      </c>
      <c r="B542">
        <v>16</v>
      </c>
      <c r="C542" s="148">
        <v>45832</v>
      </c>
      <c r="D542">
        <v>20</v>
      </c>
      <c r="E542">
        <v>20</v>
      </c>
      <c r="F542">
        <v>371</v>
      </c>
      <c r="G542">
        <f>Consulta2[[#This Row],[DIA_UTIL_CORRENTE]]</f>
        <v>16</v>
      </c>
      <c r="H542" s="6">
        <f>DAY(Consulta2[[#This Row],[DATA]])</f>
        <v>24</v>
      </c>
      <c r="I542" s="6">
        <f>MONTH(Consulta2[[#This Row],[DATA]])</f>
        <v>6</v>
      </c>
      <c r="J542" t="str">
        <f>CONCATENATE(Consulta2[[#This Row],[SAFRA]],Consulta2[[#This Row],[dia]])</f>
        <v>20250624</v>
      </c>
      <c r="K542">
        <f>Consulta2[[#This Row],[DIA_UTIL_CORRENTE]]</f>
        <v>16</v>
      </c>
    </row>
    <row r="543" spans="1:11" x14ac:dyDescent="0.25">
      <c r="A543">
        <v>202506</v>
      </c>
      <c r="B543">
        <v>17</v>
      </c>
      <c r="C543" s="148">
        <v>45833</v>
      </c>
      <c r="D543">
        <v>20</v>
      </c>
      <c r="E543">
        <v>20</v>
      </c>
      <c r="F543">
        <v>372</v>
      </c>
      <c r="G543">
        <f>Consulta2[[#This Row],[DIA_UTIL_CORRENTE]]</f>
        <v>17</v>
      </c>
      <c r="H543" s="6">
        <f>DAY(Consulta2[[#This Row],[DATA]])</f>
        <v>25</v>
      </c>
      <c r="I543" s="6">
        <f>MONTH(Consulta2[[#This Row],[DATA]])</f>
        <v>6</v>
      </c>
      <c r="J543" t="str">
        <f>CONCATENATE(Consulta2[[#This Row],[SAFRA]],Consulta2[[#This Row],[dia]])</f>
        <v>20250625</v>
      </c>
      <c r="K543">
        <f>Consulta2[[#This Row],[DIA_UTIL_CORRENTE]]</f>
        <v>17</v>
      </c>
    </row>
    <row r="544" spans="1:11" x14ac:dyDescent="0.25">
      <c r="A544">
        <v>202506</v>
      </c>
      <c r="B544">
        <v>18</v>
      </c>
      <c r="C544" s="148">
        <v>45834</v>
      </c>
      <c r="D544">
        <v>20</v>
      </c>
      <c r="E544">
        <v>20</v>
      </c>
      <c r="F544">
        <v>373</v>
      </c>
      <c r="G544">
        <f>Consulta2[[#This Row],[DIA_UTIL_CORRENTE]]</f>
        <v>18</v>
      </c>
      <c r="H544" s="6">
        <f>DAY(Consulta2[[#This Row],[DATA]])</f>
        <v>26</v>
      </c>
      <c r="I544" s="6">
        <f>MONTH(Consulta2[[#This Row],[DATA]])</f>
        <v>6</v>
      </c>
      <c r="J544" t="str">
        <f>CONCATENATE(Consulta2[[#This Row],[SAFRA]],Consulta2[[#This Row],[dia]])</f>
        <v>20250626</v>
      </c>
      <c r="K544">
        <f>Consulta2[[#This Row],[DIA_UTIL_CORRENTE]]</f>
        <v>18</v>
      </c>
    </row>
    <row r="545" spans="1:11" x14ac:dyDescent="0.25">
      <c r="A545">
        <v>202506</v>
      </c>
      <c r="B545">
        <v>19</v>
      </c>
      <c r="C545" s="148">
        <v>45835</v>
      </c>
      <c r="D545">
        <v>20</v>
      </c>
      <c r="E545">
        <v>20</v>
      </c>
      <c r="F545">
        <v>374</v>
      </c>
      <c r="G545">
        <f>Consulta2[[#This Row],[DIA_UTIL_CORRENTE]]</f>
        <v>19</v>
      </c>
      <c r="H545" s="6">
        <f>DAY(Consulta2[[#This Row],[DATA]])</f>
        <v>27</v>
      </c>
      <c r="I545" s="6">
        <f>MONTH(Consulta2[[#This Row],[DATA]])</f>
        <v>6</v>
      </c>
      <c r="J545" t="str">
        <f>CONCATENATE(Consulta2[[#This Row],[SAFRA]],Consulta2[[#This Row],[dia]])</f>
        <v>20250627</v>
      </c>
      <c r="K545">
        <f>Consulta2[[#This Row],[DIA_UTIL_CORRENTE]]</f>
        <v>19</v>
      </c>
    </row>
    <row r="546" spans="1:11" x14ac:dyDescent="0.25">
      <c r="A546">
        <v>202506</v>
      </c>
      <c r="B546">
        <v>19</v>
      </c>
      <c r="C546" s="148">
        <v>45836</v>
      </c>
      <c r="D546">
        <v>20</v>
      </c>
      <c r="E546">
        <v>20</v>
      </c>
      <c r="F546">
        <v>374</v>
      </c>
      <c r="G546">
        <f>Consulta2[[#This Row],[DIA_UTIL_CORRENTE]]</f>
        <v>19</v>
      </c>
      <c r="H546" s="6">
        <f>DAY(Consulta2[[#This Row],[DATA]])</f>
        <v>28</v>
      </c>
      <c r="I546" s="6">
        <f>MONTH(Consulta2[[#This Row],[DATA]])</f>
        <v>6</v>
      </c>
      <c r="J546" t="str">
        <f>CONCATENATE(Consulta2[[#This Row],[SAFRA]],Consulta2[[#This Row],[dia]])</f>
        <v>20250628</v>
      </c>
      <c r="K546">
        <f>Consulta2[[#This Row],[DIA_UTIL_CORRENTE]]</f>
        <v>19</v>
      </c>
    </row>
    <row r="547" spans="1:11" x14ac:dyDescent="0.25">
      <c r="A547">
        <v>202506</v>
      </c>
      <c r="B547">
        <v>19</v>
      </c>
      <c r="C547" s="148">
        <v>45837</v>
      </c>
      <c r="D547">
        <v>20</v>
      </c>
      <c r="E547">
        <v>20</v>
      </c>
      <c r="F547">
        <v>374</v>
      </c>
      <c r="G547">
        <f>Consulta2[[#This Row],[DIA_UTIL_CORRENTE]]</f>
        <v>19</v>
      </c>
      <c r="H547" s="6">
        <f>DAY(Consulta2[[#This Row],[DATA]])</f>
        <v>29</v>
      </c>
      <c r="I547" s="6">
        <f>MONTH(Consulta2[[#This Row],[DATA]])</f>
        <v>6</v>
      </c>
      <c r="J547" t="str">
        <f>CONCATENATE(Consulta2[[#This Row],[SAFRA]],Consulta2[[#This Row],[dia]])</f>
        <v>20250629</v>
      </c>
      <c r="K547">
        <f>Consulta2[[#This Row],[DIA_UTIL_CORRENTE]]</f>
        <v>19</v>
      </c>
    </row>
    <row r="548" spans="1:11" x14ac:dyDescent="0.25">
      <c r="A548">
        <v>202506</v>
      </c>
      <c r="B548">
        <v>20</v>
      </c>
      <c r="C548" s="148">
        <v>45838</v>
      </c>
      <c r="D548">
        <v>20</v>
      </c>
      <c r="E548">
        <v>20</v>
      </c>
      <c r="F548">
        <v>375</v>
      </c>
      <c r="G548">
        <f>Consulta2[[#This Row],[DIA_UTIL_CORRENTE]]</f>
        <v>20</v>
      </c>
      <c r="H548" s="6">
        <f>DAY(Consulta2[[#This Row],[DATA]])</f>
        <v>30</v>
      </c>
      <c r="I548" s="6">
        <f>MONTH(Consulta2[[#This Row],[DATA]])</f>
        <v>6</v>
      </c>
      <c r="J548" t="str">
        <f>CONCATENATE(Consulta2[[#This Row],[SAFRA]],Consulta2[[#This Row],[dia]])</f>
        <v>20250630</v>
      </c>
      <c r="K548">
        <f>Consulta2[[#This Row],[DIA_UTIL_CORRENTE]]</f>
        <v>20</v>
      </c>
    </row>
    <row r="549" spans="1:11" x14ac:dyDescent="0.25">
      <c r="A549">
        <v>202507</v>
      </c>
      <c r="B549">
        <v>1</v>
      </c>
      <c r="C549" s="148">
        <v>45839</v>
      </c>
      <c r="D549">
        <v>23</v>
      </c>
      <c r="E549">
        <v>23</v>
      </c>
      <c r="F549">
        <v>376</v>
      </c>
      <c r="G549">
        <f>Consulta2[[#This Row],[DIA_UTIL_CORRENTE]]</f>
        <v>1</v>
      </c>
      <c r="H549" s="6">
        <f>DAY(Consulta2[[#This Row],[DATA]])</f>
        <v>1</v>
      </c>
      <c r="I549" s="6">
        <f>MONTH(Consulta2[[#This Row],[DATA]])</f>
        <v>7</v>
      </c>
      <c r="J549" t="str">
        <f>CONCATENATE(Consulta2[[#This Row],[SAFRA]],Consulta2[[#This Row],[dia]])</f>
        <v>2025071</v>
      </c>
      <c r="K549">
        <f>Consulta2[[#This Row],[DIA_UTIL_CORRENTE]]</f>
        <v>1</v>
      </c>
    </row>
    <row r="550" spans="1:11" x14ac:dyDescent="0.25">
      <c r="A550">
        <v>202507</v>
      </c>
      <c r="B550">
        <v>2</v>
      </c>
      <c r="C550" s="148">
        <v>45840</v>
      </c>
      <c r="D550">
        <v>23</v>
      </c>
      <c r="E550">
        <v>23</v>
      </c>
      <c r="F550">
        <v>377</v>
      </c>
      <c r="G550">
        <f>Consulta2[[#This Row],[DIA_UTIL_CORRENTE]]</f>
        <v>2</v>
      </c>
      <c r="H550" s="6">
        <f>DAY(Consulta2[[#This Row],[DATA]])</f>
        <v>2</v>
      </c>
      <c r="I550" s="6">
        <f>MONTH(Consulta2[[#This Row],[DATA]])</f>
        <v>7</v>
      </c>
      <c r="J550" t="str">
        <f>CONCATENATE(Consulta2[[#This Row],[SAFRA]],Consulta2[[#This Row],[dia]])</f>
        <v>2025072</v>
      </c>
      <c r="K550">
        <f>Consulta2[[#This Row],[DIA_UTIL_CORRENTE]]</f>
        <v>2</v>
      </c>
    </row>
    <row r="551" spans="1:11" x14ac:dyDescent="0.25">
      <c r="A551">
        <v>202507</v>
      </c>
      <c r="B551">
        <v>3</v>
      </c>
      <c r="C551" s="148">
        <v>45841</v>
      </c>
      <c r="D551">
        <v>23</v>
      </c>
      <c r="E551">
        <v>23</v>
      </c>
      <c r="F551">
        <v>378</v>
      </c>
      <c r="G551">
        <f>Consulta2[[#This Row],[DIA_UTIL_CORRENTE]]</f>
        <v>3</v>
      </c>
      <c r="H551" s="6">
        <f>DAY(Consulta2[[#This Row],[DATA]])</f>
        <v>3</v>
      </c>
      <c r="I551" s="6">
        <f>MONTH(Consulta2[[#This Row],[DATA]])</f>
        <v>7</v>
      </c>
      <c r="J551" t="str">
        <f>CONCATENATE(Consulta2[[#This Row],[SAFRA]],Consulta2[[#This Row],[dia]])</f>
        <v>2025073</v>
      </c>
      <c r="K551">
        <f>Consulta2[[#This Row],[DIA_UTIL_CORRENTE]]</f>
        <v>3</v>
      </c>
    </row>
    <row r="552" spans="1:11" x14ac:dyDescent="0.25">
      <c r="A552">
        <v>202507</v>
      </c>
      <c r="B552">
        <v>4</v>
      </c>
      <c r="C552" s="148">
        <v>45842</v>
      </c>
      <c r="D552">
        <v>23</v>
      </c>
      <c r="E552">
        <v>23</v>
      </c>
      <c r="F552">
        <v>379</v>
      </c>
      <c r="G552">
        <f>Consulta2[[#This Row],[DIA_UTIL_CORRENTE]]</f>
        <v>4</v>
      </c>
      <c r="H552" s="6">
        <f>DAY(Consulta2[[#This Row],[DATA]])</f>
        <v>4</v>
      </c>
      <c r="I552" s="6">
        <f>MONTH(Consulta2[[#This Row],[DATA]])</f>
        <v>7</v>
      </c>
      <c r="J552" t="str">
        <f>CONCATENATE(Consulta2[[#This Row],[SAFRA]],Consulta2[[#This Row],[dia]])</f>
        <v>2025074</v>
      </c>
      <c r="K552">
        <f>Consulta2[[#This Row],[DIA_UTIL_CORRENTE]]</f>
        <v>4</v>
      </c>
    </row>
    <row r="553" spans="1:11" x14ac:dyDescent="0.25">
      <c r="A553">
        <v>202507</v>
      </c>
      <c r="B553">
        <v>4</v>
      </c>
      <c r="C553" s="148">
        <v>45843</v>
      </c>
      <c r="D553">
        <v>23</v>
      </c>
      <c r="E553">
        <v>23</v>
      </c>
      <c r="F553">
        <v>379</v>
      </c>
      <c r="G553">
        <f>Consulta2[[#This Row],[DIA_UTIL_CORRENTE]]</f>
        <v>4</v>
      </c>
      <c r="H553" s="6">
        <f>DAY(Consulta2[[#This Row],[DATA]])</f>
        <v>5</v>
      </c>
      <c r="I553" s="6">
        <f>MONTH(Consulta2[[#This Row],[DATA]])</f>
        <v>7</v>
      </c>
      <c r="J553" t="str">
        <f>CONCATENATE(Consulta2[[#This Row],[SAFRA]],Consulta2[[#This Row],[dia]])</f>
        <v>2025075</v>
      </c>
      <c r="K553">
        <f>Consulta2[[#This Row],[DIA_UTIL_CORRENTE]]</f>
        <v>4</v>
      </c>
    </row>
    <row r="554" spans="1:11" x14ac:dyDescent="0.25">
      <c r="A554">
        <v>202507</v>
      </c>
      <c r="B554">
        <v>4</v>
      </c>
      <c r="C554" s="148">
        <v>45844</v>
      </c>
      <c r="D554">
        <v>23</v>
      </c>
      <c r="E554">
        <v>23</v>
      </c>
      <c r="F554">
        <v>379</v>
      </c>
      <c r="G554">
        <f>Consulta2[[#This Row],[DIA_UTIL_CORRENTE]]</f>
        <v>4</v>
      </c>
      <c r="H554" s="6">
        <f>DAY(Consulta2[[#This Row],[DATA]])</f>
        <v>6</v>
      </c>
      <c r="I554" s="6">
        <f>MONTH(Consulta2[[#This Row],[DATA]])</f>
        <v>7</v>
      </c>
      <c r="J554" t="str">
        <f>CONCATENATE(Consulta2[[#This Row],[SAFRA]],Consulta2[[#This Row],[dia]])</f>
        <v>2025076</v>
      </c>
      <c r="K554">
        <f>Consulta2[[#This Row],[DIA_UTIL_CORRENTE]]</f>
        <v>4</v>
      </c>
    </row>
    <row r="555" spans="1:11" x14ac:dyDescent="0.25">
      <c r="A555">
        <v>202507</v>
      </c>
      <c r="B555">
        <v>5</v>
      </c>
      <c r="C555" s="148">
        <v>45845</v>
      </c>
      <c r="D555">
        <v>23</v>
      </c>
      <c r="E555">
        <v>23</v>
      </c>
      <c r="F555">
        <v>380</v>
      </c>
      <c r="G555">
        <f>Consulta2[[#This Row],[DIA_UTIL_CORRENTE]]</f>
        <v>5</v>
      </c>
      <c r="H555" s="6">
        <f>DAY(Consulta2[[#This Row],[DATA]])</f>
        <v>7</v>
      </c>
      <c r="I555" s="6">
        <f>MONTH(Consulta2[[#This Row],[DATA]])</f>
        <v>7</v>
      </c>
      <c r="J555" t="str">
        <f>CONCATENATE(Consulta2[[#This Row],[SAFRA]],Consulta2[[#This Row],[dia]])</f>
        <v>2025077</v>
      </c>
      <c r="K555">
        <f>Consulta2[[#This Row],[DIA_UTIL_CORRENTE]]</f>
        <v>5</v>
      </c>
    </row>
    <row r="556" spans="1:11" x14ac:dyDescent="0.25">
      <c r="A556">
        <v>202507</v>
      </c>
      <c r="B556">
        <v>6</v>
      </c>
      <c r="C556" s="148">
        <v>45846</v>
      </c>
      <c r="D556">
        <v>23</v>
      </c>
      <c r="E556">
        <v>23</v>
      </c>
      <c r="F556">
        <v>381</v>
      </c>
      <c r="G556">
        <f>Consulta2[[#This Row],[DIA_UTIL_CORRENTE]]</f>
        <v>6</v>
      </c>
      <c r="H556" s="6">
        <f>DAY(Consulta2[[#This Row],[DATA]])</f>
        <v>8</v>
      </c>
      <c r="I556" s="6">
        <f>MONTH(Consulta2[[#This Row],[DATA]])</f>
        <v>7</v>
      </c>
      <c r="J556" t="str">
        <f>CONCATENATE(Consulta2[[#This Row],[SAFRA]],Consulta2[[#This Row],[dia]])</f>
        <v>2025078</v>
      </c>
      <c r="K556">
        <f>Consulta2[[#This Row],[DIA_UTIL_CORRENTE]]</f>
        <v>6</v>
      </c>
    </row>
    <row r="557" spans="1:11" x14ac:dyDescent="0.25">
      <c r="A557">
        <v>202507</v>
      </c>
      <c r="B557">
        <v>7</v>
      </c>
      <c r="C557" s="148">
        <v>45847</v>
      </c>
      <c r="D557">
        <v>23</v>
      </c>
      <c r="E557">
        <v>23</v>
      </c>
      <c r="F557">
        <v>382</v>
      </c>
      <c r="G557">
        <f>Consulta2[[#This Row],[DIA_UTIL_CORRENTE]]</f>
        <v>7</v>
      </c>
      <c r="H557" s="6">
        <f>DAY(Consulta2[[#This Row],[DATA]])</f>
        <v>9</v>
      </c>
      <c r="I557" s="6">
        <f>MONTH(Consulta2[[#This Row],[DATA]])</f>
        <v>7</v>
      </c>
      <c r="J557" t="str">
        <f>CONCATENATE(Consulta2[[#This Row],[SAFRA]],Consulta2[[#This Row],[dia]])</f>
        <v>2025079</v>
      </c>
      <c r="K557">
        <f>Consulta2[[#This Row],[DIA_UTIL_CORRENTE]]</f>
        <v>7</v>
      </c>
    </row>
    <row r="558" spans="1:11" x14ac:dyDescent="0.25">
      <c r="A558">
        <v>202507</v>
      </c>
      <c r="B558">
        <v>8</v>
      </c>
      <c r="C558" s="148">
        <v>45848</v>
      </c>
      <c r="D558">
        <v>23</v>
      </c>
      <c r="E558">
        <v>23</v>
      </c>
      <c r="F558">
        <v>383</v>
      </c>
      <c r="G558">
        <f>Consulta2[[#This Row],[DIA_UTIL_CORRENTE]]</f>
        <v>8</v>
      </c>
      <c r="H558" s="6">
        <f>DAY(Consulta2[[#This Row],[DATA]])</f>
        <v>10</v>
      </c>
      <c r="I558" s="6">
        <f>MONTH(Consulta2[[#This Row],[DATA]])</f>
        <v>7</v>
      </c>
      <c r="J558" t="str">
        <f>CONCATENATE(Consulta2[[#This Row],[SAFRA]],Consulta2[[#This Row],[dia]])</f>
        <v>20250710</v>
      </c>
      <c r="K558">
        <f>Consulta2[[#This Row],[DIA_UTIL_CORRENTE]]</f>
        <v>8</v>
      </c>
    </row>
    <row r="559" spans="1:11" x14ac:dyDescent="0.25">
      <c r="A559">
        <v>202507</v>
      </c>
      <c r="B559">
        <v>9</v>
      </c>
      <c r="C559" s="148">
        <v>45849</v>
      </c>
      <c r="D559">
        <v>23</v>
      </c>
      <c r="E559">
        <v>23</v>
      </c>
      <c r="F559">
        <v>384</v>
      </c>
      <c r="G559">
        <f>Consulta2[[#This Row],[DIA_UTIL_CORRENTE]]</f>
        <v>9</v>
      </c>
      <c r="H559" s="6">
        <f>DAY(Consulta2[[#This Row],[DATA]])</f>
        <v>11</v>
      </c>
      <c r="I559" s="6">
        <f>MONTH(Consulta2[[#This Row],[DATA]])</f>
        <v>7</v>
      </c>
      <c r="J559" t="str">
        <f>CONCATENATE(Consulta2[[#This Row],[SAFRA]],Consulta2[[#This Row],[dia]])</f>
        <v>20250711</v>
      </c>
      <c r="K559">
        <f>Consulta2[[#This Row],[DIA_UTIL_CORRENTE]]</f>
        <v>9</v>
      </c>
    </row>
    <row r="560" spans="1:11" x14ac:dyDescent="0.25">
      <c r="A560">
        <v>202507</v>
      </c>
      <c r="B560">
        <v>9</v>
      </c>
      <c r="C560" s="148">
        <v>45850</v>
      </c>
      <c r="D560">
        <v>23</v>
      </c>
      <c r="E560">
        <v>23</v>
      </c>
      <c r="F560">
        <v>384</v>
      </c>
      <c r="G560">
        <f>Consulta2[[#This Row],[DIA_UTIL_CORRENTE]]</f>
        <v>9</v>
      </c>
      <c r="H560" s="6">
        <f>DAY(Consulta2[[#This Row],[DATA]])</f>
        <v>12</v>
      </c>
      <c r="I560" s="6">
        <f>MONTH(Consulta2[[#This Row],[DATA]])</f>
        <v>7</v>
      </c>
      <c r="J560" t="str">
        <f>CONCATENATE(Consulta2[[#This Row],[SAFRA]],Consulta2[[#This Row],[dia]])</f>
        <v>20250712</v>
      </c>
      <c r="K560">
        <f>Consulta2[[#This Row],[DIA_UTIL_CORRENTE]]</f>
        <v>9</v>
      </c>
    </row>
    <row r="561" spans="1:11" x14ac:dyDescent="0.25">
      <c r="A561">
        <v>202507</v>
      </c>
      <c r="B561">
        <v>9</v>
      </c>
      <c r="C561" s="148">
        <v>45851</v>
      </c>
      <c r="D561">
        <v>23</v>
      </c>
      <c r="E561">
        <v>23</v>
      </c>
      <c r="F561">
        <v>384</v>
      </c>
      <c r="G561">
        <f>Consulta2[[#This Row],[DIA_UTIL_CORRENTE]]</f>
        <v>9</v>
      </c>
      <c r="H561" s="6">
        <f>DAY(Consulta2[[#This Row],[DATA]])</f>
        <v>13</v>
      </c>
      <c r="I561" s="6">
        <f>MONTH(Consulta2[[#This Row],[DATA]])</f>
        <v>7</v>
      </c>
      <c r="J561" t="str">
        <f>CONCATENATE(Consulta2[[#This Row],[SAFRA]],Consulta2[[#This Row],[dia]])</f>
        <v>20250713</v>
      </c>
      <c r="K561">
        <f>Consulta2[[#This Row],[DIA_UTIL_CORRENTE]]</f>
        <v>9</v>
      </c>
    </row>
    <row r="562" spans="1:11" x14ac:dyDescent="0.25">
      <c r="A562">
        <v>202507</v>
      </c>
      <c r="B562">
        <v>10</v>
      </c>
      <c r="C562" s="148">
        <v>45852</v>
      </c>
      <c r="D562">
        <v>23</v>
      </c>
      <c r="E562">
        <v>23</v>
      </c>
      <c r="F562">
        <v>385</v>
      </c>
      <c r="G562">
        <f>Consulta2[[#This Row],[DIA_UTIL_CORRENTE]]</f>
        <v>10</v>
      </c>
      <c r="H562" s="6">
        <f>DAY(Consulta2[[#This Row],[DATA]])</f>
        <v>14</v>
      </c>
      <c r="I562" s="6">
        <f>MONTH(Consulta2[[#This Row],[DATA]])</f>
        <v>7</v>
      </c>
      <c r="J562" t="str">
        <f>CONCATENATE(Consulta2[[#This Row],[SAFRA]],Consulta2[[#This Row],[dia]])</f>
        <v>20250714</v>
      </c>
      <c r="K562">
        <f>Consulta2[[#This Row],[DIA_UTIL_CORRENTE]]</f>
        <v>10</v>
      </c>
    </row>
    <row r="563" spans="1:11" x14ac:dyDescent="0.25">
      <c r="A563">
        <v>202507</v>
      </c>
      <c r="B563">
        <v>11</v>
      </c>
      <c r="C563" s="148">
        <v>45853</v>
      </c>
      <c r="D563">
        <v>23</v>
      </c>
      <c r="E563">
        <v>23</v>
      </c>
      <c r="F563">
        <v>386</v>
      </c>
      <c r="G563">
        <f>Consulta2[[#This Row],[DIA_UTIL_CORRENTE]]</f>
        <v>11</v>
      </c>
      <c r="H563" s="6">
        <f>DAY(Consulta2[[#This Row],[DATA]])</f>
        <v>15</v>
      </c>
      <c r="I563" s="6">
        <f>MONTH(Consulta2[[#This Row],[DATA]])</f>
        <v>7</v>
      </c>
      <c r="J563" t="str">
        <f>CONCATENATE(Consulta2[[#This Row],[SAFRA]],Consulta2[[#This Row],[dia]])</f>
        <v>20250715</v>
      </c>
      <c r="K563">
        <f>Consulta2[[#This Row],[DIA_UTIL_CORRENTE]]</f>
        <v>11</v>
      </c>
    </row>
    <row r="564" spans="1:11" x14ac:dyDescent="0.25">
      <c r="A564">
        <v>202507</v>
      </c>
      <c r="B564">
        <v>12</v>
      </c>
      <c r="C564" s="148">
        <v>45854</v>
      </c>
      <c r="D564">
        <v>23</v>
      </c>
      <c r="E564">
        <v>23</v>
      </c>
      <c r="F564">
        <v>387</v>
      </c>
      <c r="G564">
        <f>Consulta2[[#This Row],[DIA_UTIL_CORRENTE]]</f>
        <v>12</v>
      </c>
      <c r="H564" s="6">
        <f>DAY(Consulta2[[#This Row],[DATA]])</f>
        <v>16</v>
      </c>
      <c r="I564" s="6">
        <f>MONTH(Consulta2[[#This Row],[DATA]])</f>
        <v>7</v>
      </c>
      <c r="J564" t="str">
        <f>CONCATENATE(Consulta2[[#This Row],[SAFRA]],Consulta2[[#This Row],[dia]])</f>
        <v>20250716</v>
      </c>
      <c r="K564">
        <f>Consulta2[[#This Row],[DIA_UTIL_CORRENTE]]</f>
        <v>12</v>
      </c>
    </row>
    <row r="565" spans="1:11" x14ac:dyDescent="0.25">
      <c r="A565">
        <v>202507</v>
      </c>
      <c r="B565">
        <v>13</v>
      </c>
      <c r="C565" s="148">
        <v>45855</v>
      </c>
      <c r="D565">
        <v>23</v>
      </c>
      <c r="E565">
        <v>23</v>
      </c>
      <c r="F565">
        <v>388</v>
      </c>
      <c r="G565">
        <f>Consulta2[[#This Row],[DIA_UTIL_CORRENTE]]</f>
        <v>13</v>
      </c>
      <c r="H565" s="6">
        <f>DAY(Consulta2[[#This Row],[DATA]])</f>
        <v>17</v>
      </c>
      <c r="I565" s="6">
        <f>MONTH(Consulta2[[#This Row],[DATA]])</f>
        <v>7</v>
      </c>
      <c r="J565" t="str">
        <f>CONCATENATE(Consulta2[[#This Row],[SAFRA]],Consulta2[[#This Row],[dia]])</f>
        <v>20250717</v>
      </c>
      <c r="K565">
        <f>Consulta2[[#This Row],[DIA_UTIL_CORRENTE]]</f>
        <v>13</v>
      </c>
    </row>
    <row r="566" spans="1:11" x14ac:dyDescent="0.25">
      <c r="A566">
        <v>202507</v>
      </c>
      <c r="B566">
        <v>14</v>
      </c>
      <c r="C566" s="148">
        <v>45856</v>
      </c>
      <c r="D566">
        <v>23</v>
      </c>
      <c r="E566">
        <v>23</v>
      </c>
      <c r="F566">
        <v>389</v>
      </c>
      <c r="G566">
        <f>Consulta2[[#This Row],[DIA_UTIL_CORRENTE]]</f>
        <v>14</v>
      </c>
      <c r="H566" s="6">
        <f>DAY(Consulta2[[#This Row],[DATA]])</f>
        <v>18</v>
      </c>
      <c r="I566" s="6">
        <f>MONTH(Consulta2[[#This Row],[DATA]])</f>
        <v>7</v>
      </c>
      <c r="J566" t="str">
        <f>CONCATENATE(Consulta2[[#This Row],[SAFRA]],Consulta2[[#This Row],[dia]])</f>
        <v>20250718</v>
      </c>
      <c r="K566">
        <f>Consulta2[[#This Row],[DIA_UTIL_CORRENTE]]</f>
        <v>14</v>
      </c>
    </row>
    <row r="567" spans="1:11" x14ac:dyDescent="0.25">
      <c r="A567">
        <v>202507</v>
      </c>
      <c r="B567">
        <v>14</v>
      </c>
      <c r="C567" s="148">
        <v>45857</v>
      </c>
      <c r="D567">
        <v>23</v>
      </c>
      <c r="E567">
        <v>23</v>
      </c>
      <c r="F567">
        <v>389</v>
      </c>
      <c r="G567">
        <f>Consulta2[[#This Row],[DIA_UTIL_CORRENTE]]</f>
        <v>14</v>
      </c>
      <c r="H567" s="6">
        <f>DAY(Consulta2[[#This Row],[DATA]])</f>
        <v>19</v>
      </c>
      <c r="I567" s="6">
        <f>MONTH(Consulta2[[#This Row],[DATA]])</f>
        <v>7</v>
      </c>
      <c r="J567" t="str">
        <f>CONCATENATE(Consulta2[[#This Row],[SAFRA]],Consulta2[[#This Row],[dia]])</f>
        <v>20250719</v>
      </c>
      <c r="K567">
        <f>Consulta2[[#This Row],[DIA_UTIL_CORRENTE]]</f>
        <v>14</v>
      </c>
    </row>
    <row r="568" spans="1:11" x14ac:dyDescent="0.25">
      <c r="A568">
        <v>202507</v>
      </c>
      <c r="B568">
        <v>14</v>
      </c>
      <c r="C568" s="148">
        <v>45858</v>
      </c>
      <c r="D568">
        <v>23</v>
      </c>
      <c r="E568">
        <v>23</v>
      </c>
      <c r="F568">
        <v>389</v>
      </c>
      <c r="G568">
        <f>Consulta2[[#This Row],[DIA_UTIL_CORRENTE]]</f>
        <v>14</v>
      </c>
      <c r="H568" s="6">
        <f>DAY(Consulta2[[#This Row],[DATA]])</f>
        <v>20</v>
      </c>
      <c r="I568" s="6">
        <f>MONTH(Consulta2[[#This Row],[DATA]])</f>
        <v>7</v>
      </c>
      <c r="J568" t="str">
        <f>CONCATENATE(Consulta2[[#This Row],[SAFRA]],Consulta2[[#This Row],[dia]])</f>
        <v>20250720</v>
      </c>
      <c r="K568">
        <f>Consulta2[[#This Row],[DIA_UTIL_CORRENTE]]</f>
        <v>14</v>
      </c>
    </row>
    <row r="569" spans="1:11" x14ac:dyDescent="0.25">
      <c r="A569">
        <v>202507</v>
      </c>
      <c r="B569">
        <v>15</v>
      </c>
      <c r="C569" s="148">
        <v>45859</v>
      </c>
      <c r="D569">
        <v>23</v>
      </c>
      <c r="E569">
        <v>23</v>
      </c>
      <c r="F569">
        <v>390</v>
      </c>
      <c r="G569">
        <f>Consulta2[[#This Row],[DIA_UTIL_CORRENTE]]</f>
        <v>15</v>
      </c>
      <c r="H569" s="6">
        <f>DAY(Consulta2[[#This Row],[DATA]])</f>
        <v>21</v>
      </c>
      <c r="I569" s="6">
        <f>MONTH(Consulta2[[#This Row],[DATA]])</f>
        <v>7</v>
      </c>
      <c r="J569" t="str">
        <f>CONCATENATE(Consulta2[[#This Row],[SAFRA]],Consulta2[[#This Row],[dia]])</f>
        <v>20250721</v>
      </c>
      <c r="K569">
        <f>Consulta2[[#This Row],[DIA_UTIL_CORRENTE]]</f>
        <v>15</v>
      </c>
    </row>
    <row r="570" spans="1:11" x14ac:dyDescent="0.25">
      <c r="A570">
        <v>202507</v>
      </c>
      <c r="B570">
        <v>16</v>
      </c>
      <c r="C570" s="148">
        <v>45860</v>
      </c>
      <c r="D570">
        <v>23</v>
      </c>
      <c r="E570">
        <v>23</v>
      </c>
      <c r="F570">
        <v>391</v>
      </c>
      <c r="G570">
        <f>Consulta2[[#This Row],[DIA_UTIL_CORRENTE]]</f>
        <v>16</v>
      </c>
      <c r="H570" s="6">
        <f>DAY(Consulta2[[#This Row],[DATA]])</f>
        <v>22</v>
      </c>
      <c r="I570" s="6">
        <f>MONTH(Consulta2[[#This Row],[DATA]])</f>
        <v>7</v>
      </c>
      <c r="J570" t="str">
        <f>CONCATENATE(Consulta2[[#This Row],[SAFRA]],Consulta2[[#This Row],[dia]])</f>
        <v>20250722</v>
      </c>
      <c r="K570">
        <f>Consulta2[[#This Row],[DIA_UTIL_CORRENTE]]</f>
        <v>16</v>
      </c>
    </row>
    <row r="571" spans="1:11" x14ac:dyDescent="0.25">
      <c r="A571">
        <v>202507</v>
      </c>
      <c r="B571">
        <v>17</v>
      </c>
      <c r="C571" s="148">
        <v>45861</v>
      </c>
      <c r="D571">
        <v>23</v>
      </c>
      <c r="E571">
        <v>23</v>
      </c>
      <c r="F571">
        <v>392</v>
      </c>
      <c r="G571">
        <f>Consulta2[[#This Row],[DIA_UTIL_CORRENTE]]</f>
        <v>17</v>
      </c>
      <c r="H571" s="6">
        <f>DAY(Consulta2[[#This Row],[DATA]])</f>
        <v>23</v>
      </c>
      <c r="I571" s="6">
        <f>MONTH(Consulta2[[#This Row],[DATA]])</f>
        <v>7</v>
      </c>
      <c r="J571" t="str">
        <f>CONCATENATE(Consulta2[[#This Row],[SAFRA]],Consulta2[[#This Row],[dia]])</f>
        <v>20250723</v>
      </c>
      <c r="K571">
        <f>Consulta2[[#This Row],[DIA_UTIL_CORRENTE]]</f>
        <v>17</v>
      </c>
    </row>
    <row r="572" spans="1:11" x14ac:dyDescent="0.25">
      <c r="A572">
        <v>202507</v>
      </c>
      <c r="B572">
        <v>18</v>
      </c>
      <c r="C572" s="148">
        <v>45862</v>
      </c>
      <c r="D572">
        <v>23</v>
      </c>
      <c r="E572">
        <v>23</v>
      </c>
      <c r="F572">
        <v>393</v>
      </c>
      <c r="G572">
        <f>Consulta2[[#This Row],[DIA_UTIL_CORRENTE]]</f>
        <v>18</v>
      </c>
      <c r="H572" s="6">
        <f>DAY(Consulta2[[#This Row],[DATA]])</f>
        <v>24</v>
      </c>
      <c r="I572" s="6">
        <f>MONTH(Consulta2[[#This Row],[DATA]])</f>
        <v>7</v>
      </c>
      <c r="J572" t="str">
        <f>CONCATENATE(Consulta2[[#This Row],[SAFRA]],Consulta2[[#This Row],[dia]])</f>
        <v>20250724</v>
      </c>
      <c r="K572">
        <f>Consulta2[[#This Row],[DIA_UTIL_CORRENTE]]</f>
        <v>18</v>
      </c>
    </row>
    <row r="573" spans="1:11" x14ac:dyDescent="0.25">
      <c r="A573">
        <v>202507</v>
      </c>
      <c r="B573">
        <v>19</v>
      </c>
      <c r="C573" s="148">
        <v>45863</v>
      </c>
      <c r="D573">
        <v>23</v>
      </c>
      <c r="E573">
        <v>23</v>
      </c>
      <c r="F573">
        <v>394</v>
      </c>
      <c r="G573">
        <f>Consulta2[[#This Row],[DIA_UTIL_CORRENTE]]</f>
        <v>19</v>
      </c>
      <c r="H573" s="6">
        <f>DAY(Consulta2[[#This Row],[DATA]])</f>
        <v>25</v>
      </c>
      <c r="I573" s="6">
        <f>MONTH(Consulta2[[#This Row],[DATA]])</f>
        <v>7</v>
      </c>
      <c r="J573" t="str">
        <f>CONCATENATE(Consulta2[[#This Row],[SAFRA]],Consulta2[[#This Row],[dia]])</f>
        <v>20250725</v>
      </c>
      <c r="K573">
        <f>Consulta2[[#This Row],[DIA_UTIL_CORRENTE]]</f>
        <v>19</v>
      </c>
    </row>
    <row r="574" spans="1:11" x14ac:dyDescent="0.25">
      <c r="A574">
        <v>202507</v>
      </c>
      <c r="B574">
        <v>19</v>
      </c>
      <c r="C574" s="148">
        <v>45864</v>
      </c>
      <c r="D574">
        <v>23</v>
      </c>
      <c r="E574">
        <v>23</v>
      </c>
      <c r="F574">
        <v>394</v>
      </c>
      <c r="G574">
        <f>Consulta2[[#This Row],[DIA_UTIL_CORRENTE]]</f>
        <v>19</v>
      </c>
      <c r="H574" s="6">
        <f>DAY(Consulta2[[#This Row],[DATA]])</f>
        <v>26</v>
      </c>
      <c r="I574" s="6">
        <f>MONTH(Consulta2[[#This Row],[DATA]])</f>
        <v>7</v>
      </c>
      <c r="J574" t="str">
        <f>CONCATENATE(Consulta2[[#This Row],[SAFRA]],Consulta2[[#This Row],[dia]])</f>
        <v>20250726</v>
      </c>
      <c r="K574">
        <f>Consulta2[[#This Row],[DIA_UTIL_CORRENTE]]</f>
        <v>19</v>
      </c>
    </row>
    <row r="575" spans="1:11" x14ac:dyDescent="0.25">
      <c r="A575">
        <v>202507</v>
      </c>
      <c r="B575">
        <v>19</v>
      </c>
      <c r="C575" s="148">
        <v>45865</v>
      </c>
      <c r="D575">
        <v>23</v>
      </c>
      <c r="E575">
        <v>23</v>
      </c>
      <c r="F575">
        <v>394</v>
      </c>
      <c r="G575">
        <f>Consulta2[[#This Row],[DIA_UTIL_CORRENTE]]</f>
        <v>19</v>
      </c>
      <c r="H575" s="6">
        <f>DAY(Consulta2[[#This Row],[DATA]])</f>
        <v>27</v>
      </c>
      <c r="I575" s="6">
        <f>MONTH(Consulta2[[#This Row],[DATA]])</f>
        <v>7</v>
      </c>
      <c r="J575" t="str">
        <f>CONCATENATE(Consulta2[[#This Row],[SAFRA]],Consulta2[[#This Row],[dia]])</f>
        <v>20250727</v>
      </c>
      <c r="K575">
        <f>Consulta2[[#This Row],[DIA_UTIL_CORRENTE]]</f>
        <v>19</v>
      </c>
    </row>
    <row r="576" spans="1:11" x14ac:dyDescent="0.25">
      <c r="A576">
        <v>202507</v>
      </c>
      <c r="B576">
        <v>20</v>
      </c>
      <c r="C576" s="148">
        <v>45866</v>
      </c>
      <c r="D576">
        <v>23</v>
      </c>
      <c r="E576">
        <v>23</v>
      </c>
      <c r="F576">
        <v>395</v>
      </c>
      <c r="G576">
        <f>Consulta2[[#This Row],[DIA_UTIL_CORRENTE]]</f>
        <v>20</v>
      </c>
      <c r="H576" s="6">
        <f>DAY(Consulta2[[#This Row],[DATA]])</f>
        <v>28</v>
      </c>
      <c r="I576" s="6">
        <f>MONTH(Consulta2[[#This Row],[DATA]])</f>
        <v>7</v>
      </c>
      <c r="J576" t="str">
        <f>CONCATENATE(Consulta2[[#This Row],[SAFRA]],Consulta2[[#This Row],[dia]])</f>
        <v>20250728</v>
      </c>
      <c r="K576">
        <f>Consulta2[[#This Row],[DIA_UTIL_CORRENTE]]</f>
        <v>20</v>
      </c>
    </row>
    <row r="577" spans="1:11" x14ac:dyDescent="0.25">
      <c r="A577">
        <v>202507</v>
      </c>
      <c r="B577">
        <v>21</v>
      </c>
      <c r="C577" s="148">
        <v>45867</v>
      </c>
      <c r="D577">
        <v>23</v>
      </c>
      <c r="E577">
        <v>23</v>
      </c>
      <c r="F577">
        <v>396</v>
      </c>
      <c r="G577">
        <f>Consulta2[[#This Row],[DIA_UTIL_CORRENTE]]</f>
        <v>21</v>
      </c>
      <c r="H577" s="6">
        <f>DAY(Consulta2[[#This Row],[DATA]])</f>
        <v>29</v>
      </c>
      <c r="I577" s="6">
        <f>MONTH(Consulta2[[#This Row],[DATA]])</f>
        <v>7</v>
      </c>
      <c r="J577" t="str">
        <f>CONCATENATE(Consulta2[[#This Row],[SAFRA]],Consulta2[[#This Row],[dia]])</f>
        <v>20250729</v>
      </c>
      <c r="K577">
        <f>Consulta2[[#This Row],[DIA_UTIL_CORRENTE]]</f>
        <v>21</v>
      </c>
    </row>
    <row r="578" spans="1:11" x14ac:dyDescent="0.25">
      <c r="A578">
        <v>202507</v>
      </c>
      <c r="B578">
        <v>22</v>
      </c>
      <c r="C578" s="148">
        <v>45868</v>
      </c>
      <c r="D578">
        <v>23</v>
      </c>
      <c r="E578">
        <v>23</v>
      </c>
      <c r="F578">
        <v>397</v>
      </c>
      <c r="G578">
        <f>Consulta2[[#This Row],[DIA_UTIL_CORRENTE]]</f>
        <v>22</v>
      </c>
      <c r="H578" s="6">
        <f>DAY(Consulta2[[#This Row],[DATA]])</f>
        <v>30</v>
      </c>
      <c r="I578" s="6">
        <f>MONTH(Consulta2[[#This Row],[DATA]])</f>
        <v>7</v>
      </c>
      <c r="J578" t="str">
        <f>CONCATENATE(Consulta2[[#This Row],[SAFRA]],Consulta2[[#This Row],[dia]])</f>
        <v>20250730</v>
      </c>
      <c r="K578">
        <f>Consulta2[[#This Row],[DIA_UTIL_CORRENTE]]</f>
        <v>22</v>
      </c>
    </row>
    <row r="579" spans="1:11" x14ac:dyDescent="0.25">
      <c r="A579">
        <v>202507</v>
      </c>
      <c r="B579">
        <v>23</v>
      </c>
      <c r="C579" s="148">
        <v>45869</v>
      </c>
      <c r="D579">
        <v>23</v>
      </c>
      <c r="E579">
        <v>23</v>
      </c>
      <c r="F579">
        <v>398</v>
      </c>
      <c r="G579">
        <f>Consulta2[[#This Row],[DIA_UTIL_CORRENTE]]</f>
        <v>23</v>
      </c>
      <c r="H579" s="6">
        <f>DAY(Consulta2[[#This Row],[DATA]])</f>
        <v>31</v>
      </c>
      <c r="I579" s="6">
        <f>MONTH(Consulta2[[#This Row],[DATA]])</f>
        <v>7</v>
      </c>
      <c r="J579" t="str">
        <f>CONCATENATE(Consulta2[[#This Row],[SAFRA]],Consulta2[[#This Row],[dia]])</f>
        <v>20250731</v>
      </c>
      <c r="K579">
        <f>Consulta2[[#This Row],[DIA_UTIL_CORRENTE]]</f>
        <v>23</v>
      </c>
    </row>
    <row r="580" spans="1:11" x14ac:dyDescent="0.25">
      <c r="A580">
        <v>202508</v>
      </c>
      <c r="B580">
        <v>1</v>
      </c>
      <c r="C580" s="148">
        <v>45870</v>
      </c>
      <c r="D580">
        <v>21</v>
      </c>
      <c r="E580">
        <v>21</v>
      </c>
      <c r="F580">
        <v>399</v>
      </c>
      <c r="G580">
        <f>Consulta2[[#This Row],[DIA_UTIL_CORRENTE]]</f>
        <v>1</v>
      </c>
      <c r="H580" s="6">
        <f>DAY(Consulta2[[#This Row],[DATA]])</f>
        <v>1</v>
      </c>
      <c r="I580" s="6">
        <f>MONTH(Consulta2[[#This Row],[DATA]])</f>
        <v>8</v>
      </c>
      <c r="J580" t="str">
        <f>CONCATENATE(Consulta2[[#This Row],[SAFRA]],Consulta2[[#This Row],[dia]])</f>
        <v>2025081</v>
      </c>
      <c r="K580">
        <f>Consulta2[[#This Row],[DIA_UTIL_CORRENTE]]</f>
        <v>1</v>
      </c>
    </row>
    <row r="581" spans="1:11" x14ac:dyDescent="0.25">
      <c r="A581">
        <v>202508</v>
      </c>
      <c r="B581">
        <v>1</v>
      </c>
      <c r="C581" s="148">
        <v>45871</v>
      </c>
      <c r="D581">
        <v>21</v>
      </c>
      <c r="E581">
        <v>21</v>
      </c>
      <c r="F581">
        <v>399</v>
      </c>
      <c r="G581">
        <f>Consulta2[[#This Row],[DIA_UTIL_CORRENTE]]</f>
        <v>1</v>
      </c>
      <c r="H581" s="6">
        <f>DAY(Consulta2[[#This Row],[DATA]])</f>
        <v>2</v>
      </c>
      <c r="I581" s="6">
        <f>MONTH(Consulta2[[#This Row],[DATA]])</f>
        <v>8</v>
      </c>
      <c r="J581" t="str">
        <f>CONCATENATE(Consulta2[[#This Row],[SAFRA]],Consulta2[[#This Row],[dia]])</f>
        <v>2025082</v>
      </c>
      <c r="K581">
        <f>Consulta2[[#This Row],[DIA_UTIL_CORRENTE]]</f>
        <v>1</v>
      </c>
    </row>
    <row r="582" spans="1:11" x14ac:dyDescent="0.25">
      <c r="A582">
        <v>202508</v>
      </c>
      <c r="B582">
        <v>1</v>
      </c>
      <c r="C582" s="148">
        <v>45872</v>
      </c>
      <c r="D582">
        <v>21</v>
      </c>
      <c r="E582">
        <v>21</v>
      </c>
      <c r="F582">
        <v>399</v>
      </c>
      <c r="G582">
        <f>Consulta2[[#This Row],[DIA_UTIL_CORRENTE]]</f>
        <v>1</v>
      </c>
      <c r="H582" s="6">
        <f>DAY(Consulta2[[#This Row],[DATA]])</f>
        <v>3</v>
      </c>
      <c r="I582" s="6">
        <f>MONTH(Consulta2[[#This Row],[DATA]])</f>
        <v>8</v>
      </c>
      <c r="J582" t="str">
        <f>CONCATENATE(Consulta2[[#This Row],[SAFRA]],Consulta2[[#This Row],[dia]])</f>
        <v>2025083</v>
      </c>
      <c r="K582">
        <f>Consulta2[[#This Row],[DIA_UTIL_CORRENTE]]</f>
        <v>1</v>
      </c>
    </row>
    <row r="583" spans="1:11" x14ac:dyDescent="0.25">
      <c r="A583">
        <v>202508</v>
      </c>
      <c r="B583">
        <v>2</v>
      </c>
      <c r="C583" s="148">
        <v>45873</v>
      </c>
      <c r="D583">
        <v>21</v>
      </c>
      <c r="E583">
        <v>21</v>
      </c>
      <c r="F583">
        <v>400</v>
      </c>
      <c r="G583">
        <f>Consulta2[[#This Row],[DIA_UTIL_CORRENTE]]</f>
        <v>2</v>
      </c>
      <c r="H583" s="6">
        <f>DAY(Consulta2[[#This Row],[DATA]])</f>
        <v>4</v>
      </c>
      <c r="I583" s="6">
        <f>MONTH(Consulta2[[#This Row],[DATA]])</f>
        <v>8</v>
      </c>
      <c r="J583" t="str">
        <f>CONCATENATE(Consulta2[[#This Row],[SAFRA]],Consulta2[[#This Row],[dia]])</f>
        <v>2025084</v>
      </c>
      <c r="K583">
        <f>Consulta2[[#This Row],[DIA_UTIL_CORRENTE]]</f>
        <v>2</v>
      </c>
    </row>
    <row r="584" spans="1:11" x14ac:dyDescent="0.25">
      <c r="A584">
        <v>202508</v>
      </c>
      <c r="B584">
        <v>3</v>
      </c>
      <c r="C584" s="148">
        <v>45874</v>
      </c>
      <c r="D584">
        <v>21</v>
      </c>
      <c r="E584">
        <v>21</v>
      </c>
      <c r="F584">
        <v>401</v>
      </c>
      <c r="G584">
        <f>Consulta2[[#This Row],[DIA_UTIL_CORRENTE]]</f>
        <v>3</v>
      </c>
      <c r="H584" s="6">
        <f>DAY(Consulta2[[#This Row],[DATA]])</f>
        <v>5</v>
      </c>
      <c r="I584" s="6">
        <f>MONTH(Consulta2[[#This Row],[DATA]])</f>
        <v>8</v>
      </c>
      <c r="J584" t="str">
        <f>CONCATENATE(Consulta2[[#This Row],[SAFRA]],Consulta2[[#This Row],[dia]])</f>
        <v>2025085</v>
      </c>
      <c r="K584">
        <f>Consulta2[[#This Row],[DIA_UTIL_CORRENTE]]</f>
        <v>3</v>
      </c>
    </row>
    <row r="585" spans="1:11" x14ac:dyDescent="0.25">
      <c r="A585">
        <v>202508</v>
      </c>
      <c r="B585">
        <v>4</v>
      </c>
      <c r="C585" s="148">
        <v>45875</v>
      </c>
      <c r="D585">
        <v>21</v>
      </c>
      <c r="E585">
        <v>21</v>
      </c>
      <c r="F585">
        <v>402</v>
      </c>
      <c r="G585">
        <f>Consulta2[[#This Row],[DIA_UTIL_CORRENTE]]</f>
        <v>4</v>
      </c>
      <c r="H585" s="6">
        <f>DAY(Consulta2[[#This Row],[DATA]])</f>
        <v>6</v>
      </c>
      <c r="I585" s="6">
        <f>MONTH(Consulta2[[#This Row],[DATA]])</f>
        <v>8</v>
      </c>
      <c r="J585" t="str">
        <f>CONCATENATE(Consulta2[[#This Row],[SAFRA]],Consulta2[[#This Row],[dia]])</f>
        <v>2025086</v>
      </c>
      <c r="K585">
        <f>Consulta2[[#This Row],[DIA_UTIL_CORRENTE]]</f>
        <v>4</v>
      </c>
    </row>
    <row r="586" spans="1:11" x14ac:dyDescent="0.25">
      <c r="A586">
        <v>202508</v>
      </c>
      <c r="B586">
        <v>5</v>
      </c>
      <c r="C586" s="148">
        <v>45876</v>
      </c>
      <c r="D586">
        <v>21</v>
      </c>
      <c r="E586">
        <v>21</v>
      </c>
      <c r="F586">
        <v>403</v>
      </c>
      <c r="G586">
        <f>Consulta2[[#This Row],[DIA_UTIL_CORRENTE]]</f>
        <v>5</v>
      </c>
      <c r="H586" s="6">
        <f>DAY(Consulta2[[#This Row],[DATA]])</f>
        <v>7</v>
      </c>
      <c r="I586" s="6">
        <f>MONTH(Consulta2[[#This Row],[DATA]])</f>
        <v>8</v>
      </c>
      <c r="J586" t="str">
        <f>CONCATENATE(Consulta2[[#This Row],[SAFRA]],Consulta2[[#This Row],[dia]])</f>
        <v>2025087</v>
      </c>
      <c r="K586">
        <f>Consulta2[[#This Row],[DIA_UTIL_CORRENTE]]</f>
        <v>5</v>
      </c>
    </row>
    <row r="587" spans="1:11" x14ac:dyDescent="0.25">
      <c r="A587">
        <v>202508</v>
      </c>
      <c r="B587">
        <v>6</v>
      </c>
      <c r="C587" s="148">
        <v>45877</v>
      </c>
      <c r="D587">
        <v>21</v>
      </c>
      <c r="E587">
        <v>21</v>
      </c>
      <c r="F587">
        <v>404</v>
      </c>
      <c r="G587">
        <f>Consulta2[[#This Row],[DIA_UTIL_CORRENTE]]</f>
        <v>6</v>
      </c>
      <c r="H587" s="6">
        <f>DAY(Consulta2[[#This Row],[DATA]])</f>
        <v>8</v>
      </c>
      <c r="I587" s="6">
        <f>MONTH(Consulta2[[#This Row],[DATA]])</f>
        <v>8</v>
      </c>
      <c r="J587" t="str">
        <f>CONCATENATE(Consulta2[[#This Row],[SAFRA]],Consulta2[[#This Row],[dia]])</f>
        <v>2025088</v>
      </c>
      <c r="K587">
        <f>Consulta2[[#This Row],[DIA_UTIL_CORRENTE]]</f>
        <v>6</v>
      </c>
    </row>
    <row r="588" spans="1:11" x14ac:dyDescent="0.25">
      <c r="A588">
        <v>202508</v>
      </c>
      <c r="B588">
        <v>6</v>
      </c>
      <c r="C588" s="148">
        <v>45878</v>
      </c>
      <c r="D588">
        <v>21</v>
      </c>
      <c r="E588">
        <v>21</v>
      </c>
      <c r="F588">
        <v>404</v>
      </c>
      <c r="G588">
        <f>Consulta2[[#This Row],[DIA_UTIL_CORRENTE]]</f>
        <v>6</v>
      </c>
      <c r="H588" s="6">
        <f>DAY(Consulta2[[#This Row],[DATA]])</f>
        <v>9</v>
      </c>
      <c r="I588" s="6">
        <f>MONTH(Consulta2[[#This Row],[DATA]])</f>
        <v>8</v>
      </c>
      <c r="J588" t="str">
        <f>CONCATENATE(Consulta2[[#This Row],[SAFRA]],Consulta2[[#This Row],[dia]])</f>
        <v>2025089</v>
      </c>
      <c r="K588">
        <f>Consulta2[[#This Row],[DIA_UTIL_CORRENTE]]</f>
        <v>6</v>
      </c>
    </row>
    <row r="589" spans="1:11" x14ac:dyDescent="0.25">
      <c r="A589">
        <v>202508</v>
      </c>
      <c r="B589">
        <v>6</v>
      </c>
      <c r="C589" s="148">
        <v>45879</v>
      </c>
      <c r="D589">
        <v>21</v>
      </c>
      <c r="E589">
        <v>21</v>
      </c>
      <c r="F589">
        <v>404</v>
      </c>
      <c r="G589">
        <f>Consulta2[[#This Row],[DIA_UTIL_CORRENTE]]</f>
        <v>6</v>
      </c>
      <c r="H589" s="6">
        <f>DAY(Consulta2[[#This Row],[DATA]])</f>
        <v>10</v>
      </c>
      <c r="I589" s="6">
        <f>MONTH(Consulta2[[#This Row],[DATA]])</f>
        <v>8</v>
      </c>
      <c r="J589" t="str">
        <f>CONCATENATE(Consulta2[[#This Row],[SAFRA]],Consulta2[[#This Row],[dia]])</f>
        <v>20250810</v>
      </c>
      <c r="K589">
        <f>Consulta2[[#This Row],[DIA_UTIL_CORRENTE]]</f>
        <v>6</v>
      </c>
    </row>
    <row r="590" spans="1:11" x14ac:dyDescent="0.25">
      <c r="A590">
        <v>202508</v>
      </c>
      <c r="B590">
        <v>7</v>
      </c>
      <c r="C590" s="148">
        <v>45880</v>
      </c>
      <c r="D590">
        <v>21</v>
      </c>
      <c r="E590">
        <v>21</v>
      </c>
      <c r="F590">
        <v>405</v>
      </c>
      <c r="G590">
        <f>Consulta2[[#This Row],[DIA_UTIL_CORRENTE]]</f>
        <v>7</v>
      </c>
      <c r="H590" s="6">
        <f>DAY(Consulta2[[#This Row],[DATA]])</f>
        <v>11</v>
      </c>
      <c r="I590" s="6">
        <f>MONTH(Consulta2[[#This Row],[DATA]])</f>
        <v>8</v>
      </c>
      <c r="J590" t="str">
        <f>CONCATENATE(Consulta2[[#This Row],[SAFRA]],Consulta2[[#This Row],[dia]])</f>
        <v>20250811</v>
      </c>
      <c r="K590">
        <f>Consulta2[[#This Row],[DIA_UTIL_CORRENTE]]</f>
        <v>7</v>
      </c>
    </row>
    <row r="591" spans="1:11" x14ac:dyDescent="0.25">
      <c r="A591">
        <v>202508</v>
      </c>
      <c r="B591">
        <v>8</v>
      </c>
      <c r="C591" s="148">
        <v>45881</v>
      </c>
      <c r="D591">
        <v>21</v>
      </c>
      <c r="E591">
        <v>21</v>
      </c>
      <c r="F591">
        <v>406</v>
      </c>
      <c r="G591">
        <f>Consulta2[[#This Row],[DIA_UTIL_CORRENTE]]</f>
        <v>8</v>
      </c>
      <c r="H591" s="6">
        <f>DAY(Consulta2[[#This Row],[DATA]])</f>
        <v>12</v>
      </c>
      <c r="I591" s="6">
        <f>MONTH(Consulta2[[#This Row],[DATA]])</f>
        <v>8</v>
      </c>
      <c r="J591" t="str">
        <f>CONCATENATE(Consulta2[[#This Row],[SAFRA]],Consulta2[[#This Row],[dia]])</f>
        <v>20250812</v>
      </c>
      <c r="K591">
        <f>Consulta2[[#This Row],[DIA_UTIL_CORRENTE]]</f>
        <v>8</v>
      </c>
    </row>
    <row r="592" spans="1:11" x14ac:dyDescent="0.25">
      <c r="A592">
        <v>202508</v>
      </c>
      <c r="B592">
        <v>9</v>
      </c>
      <c r="C592" s="148">
        <v>45882</v>
      </c>
      <c r="D592">
        <v>21</v>
      </c>
      <c r="E592">
        <v>21</v>
      </c>
      <c r="F592">
        <v>407</v>
      </c>
      <c r="G592">
        <f>Consulta2[[#This Row],[DIA_UTIL_CORRENTE]]</f>
        <v>9</v>
      </c>
      <c r="H592" s="6">
        <f>DAY(Consulta2[[#This Row],[DATA]])</f>
        <v>13</v>
      </c>
      <c r="I592" s="6">
        <f>MONTH(Consulta2[[#This Row],[DATA]])</f>
        <v>8</v>
      </c>
      <c r="J592" t="str">
        <f>CONCATENATE(Consulta2[[#This Row],[SAFRA]],Consulta2[[#This Row],[dia]])</f>
        <v>20250813</v>
      </c>
      <c r="K592">
        <f>Consulta2[[#This Row],[DIA_UTIL_CORRENTE]]</f>
        <v>9</v>
      </c>
    </row>
    <row r="593" spans="1:11" x14ac:dyDescent="0.25">
      <c r="A593">
        <v>202508</v>
      </c>
      <c r="B593">
        <v>10</v>
      </c>
      <c r="C593" s="148">
        <v>45883</v>
      </c>
      <c r="D593">
        <v>21</v>
      </c>
      <c r="E593">
        <v>21</v>
      </c>
      <c r="F593">
        <v>408</v>
      </c>
      <c r="G593">
        <f>Consulta2[[#This Row],[DIA_UTIL_CORRENTE]]</f>
        <v>10</v>
      </c>
      <c r="H593" s="6">
        <f>DAY(Consulta2[[#This Row],[DATA]])</f>
        <v>14</v>
      </c>
      <c r="I593" s="6">
        <f>MONTH(Consulta2[[#This Row],[DATA]])</f>
        <v>8</v>
      </c>
      <c r="J593" t="str">
        <f>CONCATENATE(Consulta2[[#This Row],[SAFRA]],Consulta2[[#This Row],[dia]])</f>
        <v>20250814</v>
      </c>
      <c r="K593">
        <f>Consulta2[[#This Row],[DIA_UTIL_CORRENTE]]</f>
        <v>10</v>
      </c>
    </row>
    <row r="594" spans="1:11" x14ac:dyDescent="0.25">
      <c r="A594">
        <v>202508</v>
      </c>
      <c r="B594">
        <v>11</v>
      </c>
      <c r="C594" s="148">
        <v>45884</v>
      </c>
      <c r="D594">
        <v>21</v>
      </c>
      <c r="E594">
        <v>21</v>
      </c>
      <c r="F594">
        <v>409</v>
      </c>
      <c r="G594">
        <f>Consulta2[[#This Row],[DIA_UTIL_CORRENTE]]</f>
        <v>11</v>
      </c>
      <c r="H594" s="6">
        <f>DAY(Consulta2[[#This Row],[DATA]])</f>
        <v>15</v>
      </c>
      <c r="I594" s="6">
        <f>MONTH(Consulta2[[#This Row],[DATA]])</f>
        <v>8</v>
      </c>
      <c r="J594" t="str">
        <f>CONCATENATE(Consulta2[[#This Row],[SAFRA]],Consulta2[[#This Row],[dia]])</f>
        <v>20250815</v>
      </c>
      <c r="K594">
        <f>Consulta2[[#This Row],[DIA_UTIL_CORRENTE]]</f>
        <v>11</v>
      </c>
    </row>
    <row r="595" spans="1:11" x14ac:dyDescent="0.25">
      <c r="A595">
        <v>202508</v>
      </c>
      <c r="B595">
        <v>11</v>
      </c>
      <c r="C595" s="148">
        <v>45885</v>
      </c>
      <c r="D595">
        <v>21</v>
      </c>
      <c r="E595">
        <v>21</v>
      </c>
      <c r="F595">
        <v>409</v>
      </c>
      <c r="G595">
        <f>Consulta2[[#This Row],[DIA_UTIL_CORRENTE]]</f>
        <v>11</v>
      </c>
      <c r="H595" s="6">
        <f>DAY(Consulta2[[#This Row],[DATA]])</f>
        <v>16</v>
      </c>
      <c r="I595" s="6">
        <f>MONTH(Consulta2[[#This Row],[DATA]])</f>
        <v>8</v>
      </c>
      <c r="J595" t="str">
        <f>CONCATENATE(Consulta2[[#This Row],[SAFRA]],Consulta2[[#This Row],[dia]])</f>
        <v>20250816</v>
      </c>
      <c r="K595">
        <f>Consulta2[[#This Row],[DIA_UTIL_CORRENTE]]</f>
        <v>11</v>
      </c>
    </row>
    <row r="596" spans="1:11" x14ac:dyDescent="0.25">
      <c r="A596">
        <v>202508</v>
      </c>
      <c r="B596">
        <v>11</v>
      </c>
      <c r="C596" s="148">
        <v>45886</v>
      </c>
      <c r="D596">
        <v>21</v>
      </c>
      <c r="E596">
        <v>21</v>
      </c>
      <c r="F596">
        <v>409</v>
      </c>
      <c r="G596">
        <f>Consulta2[[#This Row],[DIA_UTIL_CORRENTE]]</f>
        <v>11</v>
      </c>
      <c r="H596" s="6">
        <f>DAY(Consulta2[[#This Row],[DATA]])</f>
        <v>17</v>
      </c>
      <c r="I596" s="6">
        <f>MONTH(Consulta2[[#This Row],[DATA]])</f>
        <v>8</v>
      </c>
      <c r="J596" t="str">
        <f>CONCATENATE(Consulta2[[#This Row],[SAFRA]],Consulta2[[#This Row],[dia]])</f>
        <v>20250817</v>
      </c>
      <c r="K596">
        <f>Consulta2[[#This Row],[DIA_UTIL_CORRENTE]]</f>
        <v>11</v>
      </c>
    </row>
    <row r="597" spans="1:11" x14ac:dyDescent="0.25">
      <c r="A597">
        <v>202508</v>
      </c>
      <c r="B597">
        <v>12</v>
      </c>
      <c r="C597" s="148">
        <v>45887</v>
      </c>
      <c r="D597">
        <v>21</v>
      </c>
      <c r="E597">
        <v>21</v>
      </c>
      <c r="F597">
        <v>410</v>
      </c>
      <c r="G597">
        <f>Consulta2[[#This Row],[DIA_UTIL_CORRENTE]]</f>
        <v>12</v>
      </c>
      <c r="H597" s="6">
        <f>DAY(Consulta2[[#This Row],[DATA]])</f>
        <v>18</v>
      </c>
      <c r="I597" s="6">
        <f>MONTH(Consulta2[[#This Row],[DATA]])</f>
        <v>8</v>
      </c>
      <c r="J597" t="str">
        <f>CONCATENATE(Consulta2[[#This Row],[SAFRA]],Consulta2[[#This Row],[dia]])</f>
        <v>20250818</v>
      </c>
      <c r="K597">
        <f>Consulta2[[#This Row],[DIA_UTIL_CORRENTE]]</f>
        <v>12</v>
      </c>
    </row>
    <row r="598" spans="1:11" x14ac:dyDescent="0.25">
      <c r="A598">
        <v>202508</v>
      </c>
      <c r="B598">
        <v>13</v>
      </c>
      <c r="C598" s="148">
        <v>45888</v>
      </c>
      <c r="D598">
        <v>21</v>
      </c>
      <c r="E598">
        <v>21</v>
      </c>
      <c r="F598">
        <v>411</v>
      </c>
      <c r="G598">
        <f>Consulta2[[#This Row],[DIA_UTIL_CORRENTE]]</f>
        <v>13</v>
      </c>
      <c r="H598" s="6">
        <f>DAY(Consulta2[[#This Row],[DATA]])</f>
        <v>19</v>
      </c>
      <c r="I598" s="6">
        <f>MONTH(Consulta2[[#This Row],[DATA]])</f>
        <v>8</v>
      </c>
      <c r="J598" t="str">
        <f>CONCATENATE(Consulta2[[#This Row],[SAFRA]],Consulta2[[#This Row],[dia]])</f>
        <v>20250819</v>
      </c>
      <c r="K598">
        <f>Consulta2[[#This Row],[DIA_UTIL_CORRENTE]]</f>
        <v>13</v>
      </c>
    </row>
    <row r="599" spans="1:11" x14ac:dyDescent="0.25">
      <c r="A599">
        <v>202508</v>
      </c>
      <c r="B599">
        <v>14</v>
      </c>
      <c r="C599" s="148">
        <v>45889</v>
      </c>
      <c r="D599">
        <v>21</v>
      </c>
      <c r="E599">
        <v>21</v>
      </c>
      <c r="F599">
        <v>412</v>
      </c>
      <c r="G599">
        <f>Consulta2[[#This Row],[DIA_UTIL_CORRENTE]]</f>
        <v>14</v>
      </c>
      <c r="H599" s="6">
        <f>DAY(Consulta2[[#This Row],[DATA]])</f>
        <v>20</v>
      </c>
      <c r="I599" s="6">
        <f>MONTH(Consulta2[[#This Row],[DATA]])</f>
        <v>8</v>
      </c>
      <c r="J599" t="str">
        <f>CONCATENATE(Consulta2[[#This Row],[SAFRA]],Consulta2[[#This Row],[dia]])</f>
        <v>20250820</v>
      </c>
      <c r="K599">
        <f>Consulta2[[#This Row],[DIA_UTIL_CORRENTE]]</f>
        <v>14</v>
      </c>
    </row>
    <row r="600" spans="1:11" x14ac:dyDescent="0.25">
      <c r="A600">
        <v>202508</v>
      </c>
      <c r="B600">
        <v>15</v>
      </c>
      <c r="C600" s="148">
        <v>45890</v>
      </c>
      <c r="D600">
        <v>21</v>
      </c>
      <c r="E600">
        <v>21</v>
      </c>
      <c r="F600">
        <v>413</v>
      </c>
      <c r="G600">
        <f>Consulta2[[#This Row],[DIA_UTIL_CORRENTE]]</f>
        <v>15</v>
      </c>
      <c r="H600" s="6">
        <f>DAY(Consulta2[[#This Row],[DATA]])</f>
        <v>21</v>
      </c>
      <c r="I600" s="6">
        <f>MONTH(Consulta2[[#This Row],[DATA]])</f>
        <v>8</v>
      </c>
      <c r="J600" t="str">
        <f>CONCATENATE(Consulta2[[#This Row],[SAFRA]],Consulta2[[#This Row],[dia]])</f>
        <v>20250821</v>
      </c>
      <c r="K600">
        <f>Consulta2[[#This Row],[DIA_UTIL_CORRENTE]]</f>
        <v>15</v>
      </c>
    </row>
    <row r="601" spans="1:11" x14ac:dyDescent="0.25">
      <c r="A601">
        <v>202508</v>
      </c>
      <c r="B601">
        <v>16</v>
      </c>
      <c r="C601" s="148">
        <v>45891</v>
      </c>
      <c r="D601">
        <v>21</v>
      </c>
      <c r="E601">
        <v>21</v>
      </c>
      <c r="F601">
        <v>414</v>
      </c>
      <c r="G601">
        <f>Consulta2[[#This Row],[DIA_UTIL_CORRENTE]]</f>
        <v>16</v>
      </c>
      <c r="H601" s="6">
        <f>DAY(Consulta2[[#This Row],[DATA]])</f>
        <v>22</v>
      </c>
      <c r="I601" s="6">
        <f>MONTH(Consulta2[[#This Row],[DATA]])</f>
        <v>8</v>
      </c>
      <c r="J601" t="str">
        <f>CONCATENATE(Consulta2[[#This Row],[SAFRA]],Consulta2[[#This Row],[dia]])</f>
        <v>20250822</v>
      </c>
      <c r="K601">
        <f>Consulta2[[#This Row],[DIA_UTIL_CORRENTE]]</f>
        <v>16</v>
      </c>
    </row>
    <row r="602" spans="1:11" x14ac:dyDescent="0.25">
      <c r="A602">
        <v>202508</v>
      </c>
      <c r="B602">
        <v>16</v>
      </c>
      <c r="C602" s="148">
        <v>45892</v>
      </c>
      <c r="D602">
        <v>21</v>
      </c>
      <c r="E602">
        <v>21</v>
      </c>
      <c r="F602">
        <v>414</v>
      </c>
      <c r="G602">
        <f>Consulta2[[#This Row],[DIA_UTIL_CORRENTE]]</f>
        <v>16</v>
      </c>
      <c r="H602" s="6">
        <f>DAY(Consulta2[[#This Row],[DATA]])</f>
        <v>23</v>
      </c>
      <c r="I602" s="6">
        <f>MONTH(Consulta2[[#This Row],[DATA]])</f>
        <v>8</v>
      </c>
      <c r="J602" t="str">
        <f>CONCATENATE(Consulta2[[#This Row],[SAFRA]],Consulta2[[#This Row],[dia]])</f>
        <v>20250823</v>
      </c>
      <c r="K602">
        <f>Consulta2[[#This Row],[DIA_UTIL_CORRENTE]]</f>
        <v>16</v>
      </c>
    </row>
    <row r="603" spans="1:11" x14ac:dyDescent="0.25">
      <c r="A603">
        <v>202508</v>
      </c>
      <c r="B603">
        <v>16</v>
      </c>
      <c r="C603" s="148">
        <v>45893</v>
      </c>
      <c r="D603">
        <v>21</v>
      </c>
      <c r="E603">
        <v>21</v>
      </c>
      <c r="F603">
        <v>414</v>
      </c>
      <c r="G603">
        <f>Consulta2[[#This Row],[DIA_UTIL_CORRENTE]]</f>
        <v>16</v>
      </c>
      <c r="H603" s="6">
        <f>DAY(Consulta2[[#This Row],[DATA]])</f>
        <v>24</v>
      </c>
      <c r="I603" s="6">
        <f>MONTH(Consulta2[[#This Row],[DATA]])</f>
        <v>8</v>
      </c>
      <c r="J603" t="str">
        <f>CONCATENATE(Consulta2[[#This Row],[SAFRA]],Consulta2[[#This Row],[dia]])</f>
        <v>20250824</v>
      </c>
      <c r="K603">
        <f>Consulta2[[#This Row],[DIA_UTIL_CORRENTE]]</f>
        <v>16</v>
      </c>
    </row>
    <row r="604" spans="1:11" x14ac:dyDescent="0.25">
      <c r="A604">
        <v>202508</v>
      </c>
      <c r="B604">
        <v>17</v>
      </c>
      <c r="C604" s="148">
        <v>45894</v>
      </c>
      <c r="D604">
        <v>21</v>
      </c>
      <c r="E604">
        <v>21</v>
      </c>
      <c r="F604">
        <v>415</v>
      </c>
      <c r="G604">
        <f>Consulta2[[#This Row],[DIA_UTIL_CORRENTE]]</f>
        <v>17</v>
      </c>
      <c r="H604" s="6">
        <f>DAY(Consulta2[[#This Row],[DATA]])</f>
        <v>25</v>
      </c>
      <c r="I604" s="6">
        <f>MONTH(Consulta2[[#This Row],[DATA]])</f>
        <v>8</v>
      </c>
      <c r="J604" t="str">
        <f>CONCATENATE(Consulta2[[#This Row],[SAFRA]],Consulta2[[#This Row],[dia]])</f>
        <v>20250825</v>
      </c>
      <c r="K604">
        <f>Consulta2[[#This Row],[DIA_UTIL_CORRENTE]]</f>
        <v>17</v>
      </c>
    </row>
    <row r="605" spans="1:11" x14ac:dyDescent="0.25">
      <c r="A605">
        <v>202508</v>
      </c>
      <c r="B605">
        <v>18</v>
      </c>
      <c r="C605" s="148">
        <v>45895</v>
      </c>
      <c r="D605">
        <v>21</v>
      </c>
      <c r="E605">
        <v>21</v>
      </c>
      <c r="F605">
        <v>416</v>
      </c>
      <c r="G605">
        <f>Consulta2[[#This Row],[DIA_UTIL_CORRENTE]]</f>
        <v>18</v>
      </c>
      <c r="H605" s="6">
        <f>DAY(Consulta2[[#This Row],[DATA]])</f>
        <v>26</v>
      </c>
      <c r="I605" s="6">
        <f>MONTH(Consulta2[[#This Row],[DATA]])</f>
        <v>8</v>
      </c>
      <c r="J605" t="str">
        <f>CONCATENATE(Consulta2[[#This Row],[SAFRA]],Consulta2[[#This Row],[dia]])</f>
        <v>20250826</v>
      </c>
      <c r="K605">
        <f>Consulta2[[#This Row],[DIA_UTIL_CORRENTE]]</f>
        <v>18</v>
      </c>
    </row>
    <row r="606" spans="1:11" x14ac:dyDescent="0.25">
      <c r="A606">
        <v>202508</v>
      </c>
      <c r="B606">
        <v>19</v>
      </c>
      <c r="C606" s="148">
        <v>45896</v>
      </c>
      <c r="D606">
        <v>21</v>
      </c>
      <c r="E606">
        <v>21</v>
      </c>
      <c r="F606">
        <v>417</v>
      </c>
      <c r="G606">
        <f>Consulta2[[#This Row],[DIA_UTIL_CORRENTE]]</f>
        <v>19</v>
      </c>
      <c r="H606" s="6">
        <f>DAY(Consulta2[[#This Row],[DATA]])</f>
        <v>27</v>
      </c>
      <c r="I606" s="6">
        <f>MONTH(Consulta2[[#This Row],[DATA]])</f>
        <v>8</v>
      </c>
      <c r="J606" t="str">
        <f>CONCATENATE(Consulta2[[#This Row],[SAFRA]],Consulta2[[#This Row],[dia]])</f>
        <v>20250827</v>
      </c>
      <c r="K606">
        <f>Consulta2[[#This Row],[DIA_UTIL_CORRENTE]]</f>
        <v>19</v>
      </c>
    </row>
    <row r="607" spans="1:11" x14ac:dyDescent="0.25">
      <c r="A607">
        <v>202508</v>
      </c>
      <c r="B607">
        <v>20</v>
      </c>
      <c r="C607" s="148">
        <v>45897</v>
      </c>
      <c r="D607">
        <v>21</v>
      </c>
      <c r="E607">
        <v>21</v>
      </c>
      <c r="F607">
        <v>418</v>
      </c>
      <c r="G607">
        <f>Consulta2[[#This Row],[DIA_UTIL_CORRENTE]]</f>
        <v>20</v>
      </c>
      <c r="H607" s="6">
        <f>DAY(Consulta2[[#This Row],[DATA]])</f>
        <v>28</v>
      </c>
      <c r="I607" s="6">
        <f>MONTH(Consulta2[[#This Row],[DATA]])</f>
        <v>8</v>
      </c>
      <c r="J607" t="str">
        <f>CONCATENATE(Consulta2[[#This Row],[SAFRA]],Consulta2[[#This Row],[dia]])</f>
        <v>20250828</v>
      </c>
      <c r="K607">
        <f>Consulta2[[#This Row],[DIA_UTIL_CORRENTE]]</f>
        <v>20</v>
      </c>
    </row>
    <row r="608" spans="1:11" x14ac:dyDescent="0.25">
      <c r="A608">
        <v>202508</v>
      </c>
      <c r="B608">
        <v>21</v>
      </c>
      <c r="C608" s="148">
        <v>45898</v>
      </c>
      <c r="D608">
        <v>21</v>
      </c>
      <c r="E608">
        <v>21</v>
      </c>
      <c r="F608">
        <v>419</v>
      </c>
      <c r="G608">
        <f>Consulta2[[#This Row],[DIA_UTIL_CORRENTE]]</f>
        <v>21</v>
      </c>
      <c r="H608" s="6">
        <f>DAY(Consulta2[[#This Row],[DATA]])</f>
        <v>29</v>
      </c>
      <c r="I608" s="6">
        <f>MONTH(Consulta2[[#This Row],[DATA]])</f>
        <v>8</v>
      </c>
      <c r="J608" t="str">
        <f>CONCATENATE(Consulta2[[#This Row],[SAFRA]],Consulta2[[#This Row],[dia]])</f>
        <v>20250829</v>
      </c>
      <c r="K608">
        <f>Consulta2[[#This Row],[DIA_UTIL_CORRENTE]]</f>
        <v>21</v>
      </c>
    </row>
    <row r="609" spans="1:11" x14ac:dyDescent="0.25">
      <c r="A609">
        <v>202508</v>
      </c>
      <c r="B609">
        <v>21</v>
      </c>
      <c r="C609" s="148">
        <v>45899</v>
      </c>
      <c r="D609">
        <v>21</v>
      </c>
      <c r="E609">
        <v>21</v>
      </c>
      <c r="F609">
        <v>419</v>
      </c>
      <c r="G609">
        <f>Consulta2[[#This Row],[DIA_UTIL_CORRENTE]]</f>
        <v>21</v>
      </c>
      <c r="H609" s="6">
        <f>DAY(Consulta2[[#This Row],[DATA]])</f>
        <v>30</v>
      </c>
      <c r="I609" s="6">
        <f>MONTH(Consulta2[[#This Row],[DATA]])</f>
        <v>8</v>
      </c>
      <c r="J609" t="str">
        <f>CONCATENATE(Consulta2[[#This Row],[SAFRA]],Consulta2[[#This Row],[dia]])</f>
        <v>20250830</v>
      </c>
      <c r="K609">
        <f>Consulta2[[#This Row],[DIA_UTIL_CORRENTE]]</f>
        <v>21</v>
      </c>
    </row>
    <row r="610" spans="1:11" x14ac:dyDescent="0.25">
      <c r="A610">
        <v>202508</v>
      </c>
      <c r="B610">
        <v>21</v>
      </c>
      <c r="C610" s="148">
        <v>45900</v>
      </c>
      <c r="D610">
        <v>21</v>
      </c>
      <c r="E610">
        <v>21</v>
      </c>
      <c r="F610">
        <v>419</v>
      </c>
      <c r="G610">
        <f>Consulta2[[#This Row],[DIA_UTIL_CORRENTE]]</f>
        <v>21</v>
      </c>
      <c r="H610" s="6">
        <f>DAY(Consulta2[[#This Row],[DATA]])</f>
        <v>31</v>
      </c>
      <c r="I610" s="6">
        <f>MONTH(Consulta2[[#This Row],[DATA]])</f>
        <v>8</v>
      </c>
      <c r="J610" t="str">
        <f>CONCATENATE(Consulta2[[#This Row],[SAFRA]],Consulta2[[#This Row],[dia]])</f>
        <v>20250831</v>
      </c>
      <c r="K610">
        <f>Consulta2[[#This Row],[DIA_UTIL_CORRENTE]]</f>
        <v>21</v>
      </c>
    </row>
    <row r="611" spans="1:11" x14ac:dyDescent="0.25">
      <c r="A611">
        <v>202509</v>
      </c>
      <c r="B611">
        <v>1</v>
      </c>
      <c r="C611" s="148">
        <v>45901</v>
      </c>
      <c r="D611">
        <v>22</v>
      </c>
      <c r="E611">
        <v>22</v>
      </c>
      <c r="F611">
        <v>420</v>
      </c>
      <c r="G611">
        <f>Consulta2[[#This Row],[DIA_UTIL_CORRENTE]]</f>
        <v>1</v>
      </c>
      <c r="H611" s="6">
        <f>DAY(Consulta2[[#This Row],[DATA]])</f>
        <v>1</v>
      </c>
      <c r="I611" s="6">
        <f>MONTH(Consulta2[[#This Row],[DATA]])</f>
        <v>9</v>
      </c>
      <c r="J611" t="str">
        <f>CONCATENATE(Consulta2[[#This Row],[SAFRA]],Consulta2[[#This Row],[dia]])</f>
        <v>2025091</v>
      </c>
      <c r="K611">
        <f>Consulta2[[#This Row],[DIA_UTIL_CORRENTE]]</f>
        <v>1</v>
      </c>
    </row>
    <row r="612" spans="1:11" x14ac:dyDescent="0.25">
      <c r="A612">
        <v>202509</v>
      </c>
      <c r="B612">
        <v>2</v>
      </c>
      <c r="C612" s="148">
        <v>45902</v>
      </c>
      <c r="D612">
        <v>22</v>
      </c>
      <c r="E612">
        <v>22</v>
      </c>
      <c r="F612">
        <v>421</v>
      </c>
      <c r="G612">
        <f>Consulta2[[#This Row],[DIA_UTIL_CORRENTE]]</f>
        <v>2</v>
      </c>
      <c r="H612" s="6">
        <f>DAY(Consulta2[[#This Row],[DATA]])</f>
        <v>2</v>
      </c>
      <c r="I612" s="6">
        <f>MONTH(Consulta2[[#This Row],[DATA]])</f>
        <v>9</v>
      </c>
      <c r="J612" t="str">
        <f>CONCATENATE(Consulta2[[#This Row],[SAFRA]],Consulta2[[#This Row],[dia]])</f>
        <v>2025092</v>
      </c>
      <c r="K612">
        <f>Consulta2[[#This Row],[DIA_UTIL_CORRENTE]]</f>
        <v>2</v>
      </c>
    </row>
    <row r="613" spans="1:11" x14ac:dyDescent="0.25">
      <c r="A613">
        <v>202509</v>
      </c>
      <c r="B613">
        <v>3</v>
      </c>
      <c r="C613" s="148">
        <v>45903</v>
      </c>
      <c r="D613">
        <v>22</v>
      </c>
      <c r="E613">
        <v>22</v>
      </c>
      <c r="F613">
        <v>422</v>
      </c>
      <c r="G613">
        <f>Consulta2[[#This Row],[DIA_UTIL_CORRENTE]]</f>
        <v>3</v>
      </c>
      <c r="H613" s="6">
        <f>DAY(Consulta2[[#This Row],[DATA]])</f>
        <v>3</v>
      </c>
      <c r="I613" s="6">
        <f>MONTH(Consulta2[[#This Row],[DATA]])</f>
        <v>9</v>
      </c>
      <c r="J613" t="str">
        <f>CONCATENATE(Consulta2[[#This Row],[SAFRA]],Consulta2[[#This Row],[dia]])</f>
        <v>2025093</v>
      </c>
      <c r="K613">
        <f>Consulta2[[#This Row],[DIA_UTIL_CORRENTE]]</f>
        <v>3</v>
      </c>
    </row>
    <row r="614" spans="1:11" x14ac:dyDescent="0.25">
      <c r="A614">
        <v>202509</v>
      </c>
      <c r="B614">
        <v>4</v>
      </c>
      <c r="C614" s="148">
        <v>45904</v>
      </c>
      <c r="D614">
        <v>22</v>
      </c>
      <c r="E614">
        <v>22</v>
      </c>
      <c r="F614">
        <v>423</v>
      </c>
      <c r="G614">
        <f>Consulta2[[#This Row],[DIA_UTIL_CORRENTE]]</f>
        <v>4</v>
      </c>
      <c r="H614" s="6">
        <f>DAY(Consulta2[[#This Row],[DATA]])</f>
        <v>4</v>
      </c>
      <c r="I614" s="6">
        <f>MONTH(Consulta2[[#This Row],[DATA]])</f>
        <v>9</v>
      </c>
      <c r="J614" t="str">
        <f>CONCATENATE(Consulta2[[#This Row],[SAFRA]],Consulta2[[#This Row],[dia]])</f>
        <v>2025094</v>
      </c>
      <c r="K614">
        <f>Consulta2[[#This Row],[DIA_UTIL_CORRENTE]]</f>
        <v>4</v>
      </c>
    </row>
    <row r="615" spans="1:11" x14ac:dyDescent="0.25">
      <c r="A615">
        <v>202509</v>
      </c>
      <c r="B615">
        <v>5</v>
      </c>
      <c r="C615" s="148">
        <v>45905</v>
      </c>
      <c r="D615">
        <v>22</v>
      </c>
      <c r="E615">
        <v>22</v>
      </c>
      <c r="F615">
        <v>424</v>
      </c>
      <c r="G615">
        <f>Consulta2[[#This Row],[DIA_UTIL_CORRENTE]]</f>
        <v>5</v>
      </c>
      <c r="H615" s="6">
        <f>DAY(Consulta2[[#This Row],[DATA]])</f>
        <v>5</v>
      </c>
      <c r="I615" s="6">
        <f>MONTH(Consulta2[[#This Row],[DATA]])</f>
        <v>9</v>
      </c>
      <c r="J615" t="str">
        <f>CONCATENATE(Consulta2[[#This Row],[SAFRA]],Consulta2[[#This Row],[dia]])</f>
        <v>2025095</v>
      </c>
      <c r="K615">
        <f>Consulta2[[#This Row],[DIA_UTIL_CORRENTE]]</f>
        <v>5</v>
      </c>
    </row>
    <row r="616" spans="1:11" x14ac:dyDescent="0.25">
      <c r="A616">
        <v>202509</v>
      </c>
      <c r="B616">
        <v>5</v>
      </c>
      <c r="C616" s="148">
        <v>45906</v>
      </c>
      <c r="D616">
        <v>22</v>
      </c>
      <c r="E616">
        <v>22</v>
      </c>
      <c r="F616">
        <v>424</v>
      </c>
      <c r="G616">
        <f>Consulta2[[#This Row],[DIA_UTIL_CORRENTE]]</f>
        <v>5</v>
      </c>
      <c r="H616" s="6">
        <f>DAY(Consulta2[[#This Row],[DATA]])</f>
        <v>6</v>
      </c>
      <c r="I616" s="6">
        <f>MONTH(Consulta2[[#This Row],[DATA]])</f>
        <v>9</v>
      </c>
      <c r="J616" t="str">
        <f>CONCATENATE(Consulta2[[#This Row],[SAFRA]],Consulta2[[#This Row],[dia]])</f>
        <v>2025096</v>
      </c>
      <c r="K616">
        <f>Consulta2[[#This Row],[DIA_UTIL_CORRENTE]]</f>
        <v>5</v>
      </c>
    </row>
    <row r="617" spans="1:11" x14ac:dyDescent="0.25">
      <c r="A617">
        <v>202509</v>
      </c>
      <c r="B617">
        <v>5</v>
      </c>
      <c r="C617" s="148">
        <v>45907</v>
      </c>
      <c r="D617">
        <v>22</v>
      </c>
      <c r="E617">
        <v>22</v>
      </c>
      <c r="F617">
        <v>424</v>
      </c>
      <c r="G617">
        <f>Consulta2[[#This Row],[DIA_UTIL_CORRENTE]]</f>
        <v>5</v>
      </c>
      <c r="H617" s="6">
        <f>DAY(Consulta2[[#This Row],[DATA]])</f>
        <v>7</v>
      </c>
      <c r="I617" s="6">
        <f>MONTH(Consulta2[[#This Row],[DATA]])</f>
        <v>9</v>
      </c>
      <c r="J617" t="str">
        <f>CONCATENATE(Consulta2[[#This Row],[SAFRA]],Consulta2[[#This Row],[dia]])</f>
        <v>2025097</v>
      </c>
      <c r="K617">
        <f>Consulta2[[#This Row],[DIA_UTIL_CORRENTE]]</f>
        <v>5</v>
      </c>
    </row>
    <row r="618" spans="1:11" x14ac:dyDescent="0.25">
      <c r="A618">
        <v>202509</v>
      </c>
      <c r="B618">
        <v>6</v>
      </c>
      <c r="C618" s="148">
        <v>45908</v>
      </c>
      <c r="D618">
        <v>22</v>
      </c>
      <c r="E618">
        <v>22</v>
      </c>
      <c r="F618">
        <v>425</v>
      </c>
      <c r="G618">
        <f>Consulta2[[#This Row],[DIA_UTIL_CORRENTE]]</f>
        <v>6</v>
      </c>
      <c r="H618" s="6">
        <f>DAY(Consulta2[[#This Row],[DATA]])</f>
        <v>8</v>
      </c>
      <c r="I618" s="6">
        <f>MONTH(Consulta2[[#This Row],[DATA]])</f>
        <v>9</v>
      </c>
      <c r="J618" t="str">
        <f>CONCATENATE(Consulta2[[#This Row],[SAFRA]],Consulta2[[#This Row],[dia]])</f>
        <v>2025098</v>
      </c>
      <c r="K618">
        <f>Consulta2[[#This Row],[DIA_UTIL_CORRENTE]]</f>
        <v>6</v>
      </c>
    </row>
    <row r="619" spans="1:11" x14ac:dyDescent="0.25">
      <c r="A619">
        <v>202509</v>
      </c>
      <c r="B619">
        <v>7</v>
      </c>
      <c r="C619" s="148">
        <v>45909</v>
      </c>
      <c r="D619">
        <v>22</v>
      </c>
      <c r="E619">
        <v>22</v>
      </c>
      <c r="F619">
        <v>426</v>
      </c>
      <c r="G619">
        <f>Consulta2[[#This Row],[DIA_UTIL_CORRENTE]]</f>
        <v>7</v>
      </c>
      <c r="H619" s="6">
        <f>DAY(Consulta2[[#This Row],[DATA]])</f>
        <v>9</v>
      </c>
      <c r="I619" s="6">
        <f>MONTH(Consulta2[[#This Row],[DATA]])</f>
        <v>9</v>
      </c>
      <c r="J619" t="str">
        <f>CONCATENATE(Consulta2[[#This Row],[SAFRA]],Consulta2[[#This Row],[dia]])</f>
        <v>2025099</v>
      </c>
      <c r="K619">
        <f>Consulta2[[#This Row],[DIA_UTIL_CORRENTE]]</f>
        <v>7</v>
      </c>
    </row>
    <row r="620" spans="1:11" x14ac:dyDescent="0.25">
      <c r="A620">
        <v>202509</v>
      </c>
      <c r="B620">
        <v>8</v>
      </c>
      <c r="C620" s="148">
        <v>45910</v>
      </c>
      <c r="D620">
        <v>22</v>
      </c>
      <c r="E620">
        <v>22</v>
      </c>
      <c r="F620">
        <v>427</v>
      </c>
      <c r="G620">
        <f>Consulta2[[#This Row],[DIA_UTIL_CORRENTE]]</f>
        <v>8</v>
      </c>
      <c r="H620" s="6">
        <f>DAY(Consulta2[[#This Row],[DATA]])</f>
        <v>10</v>
      </c>
      <c r="I620" s="6">
        <f>MONTH(Consulta2[[#This Row],[DATA]])</f>
        <v>9</v>
      </c>
      <c r="J620" t="str">
        <f>CONCATENATE(Consulta2[[#This Row],[SAFRA]],Consulta2[[#This Row],[dia]])</f>
        <v>20250910</v>
      </c>
      <c r="K620">
        <f>Consulta2[[#This Row],[DIA_UTIL_CORRENTE]]</f>
        <v>8</v>
      </c>
    </row>
    <row r="621" spans="1:11" x14ac:dyDescent="0.25">
      <c r="A621">
        <v>202509</v>
      </c>
      <c r="B621">
        <v>9</v>
      </c>
      <c r="C621" s="148">
        <v>45911</v>
      </c>
      <c r="D621">
        <v>22</v>
      </c>
      <c r="E621">
        <v>22</v>
      </c>
      <c r="F621">
        <v>428</v>
      </c>
      <c r="G621">
        <f>Consulta2[[#This Row],[DIA_UTIL_CORRENTE]]</f>
        <v>9</v>
      </c>
      <c r="H621" s="6">
        <f>DAY(Consulta2[[#This Row],[DATA]])</f>
        <v>11</v>
      </c>
      <c r="I621" s="6">
        <f>MONTH(Consulta2[[#This Row],[DATA]])</f>
        <v>9</v>
      </c>
      <c r="J621" t="str">
        <f>CONCATENATE(Consulta2[[#This Row],[SAFRA]],Consulta2[[#This Row],[dia]])</f>
        <v>20250911</v>
      </c>
      <c r="K621">
        <f>Consulta2[[#This Row],[DIA_UTIL_CORRENTE]]</f>
        <v>9</v>
      </c>
    </row>
    <row r="622" spans="1:11" x14ac:dyDescent="0.25">
      <c r="A622">
        <v>202509</v>
      </c>
      <c r="B622">
        <v>10</v>
      </c>
      <c r="C622" s="148">
        <v>45912</v>
      </c>
      <c r="D622">
        <v>22</v>
      </c>
      <c r="E622">
        <v>22</v>
      </c>
      <c r="F622">
        <v>429</v>
      </c>
      <c r="G622">
        <f>Consulta2[[#This Row],[DIA_UTIL_CORRENTE]]</f>
        <v>10</v>
      </c>
      <c r="H622" s="6">
        <f>DAY(Consulta2[[#This Row],[DATA]])</f>
        <v>12</v>
      </c>
      <c r="I622" s="6">
        <f>MONTH(Consulta2[[#This Row],[DATA]])</f>
        <v>9</v>
      </c>
      <c r="J622" t="str">
        <f>CONCATENATE(Consulta2[[#This Row],[SAFRA]],Consulta2[[#This Row],[dia]])</f>
        <v>20250912</v>
      </c>
      <c r="K622">
        <f>Consulta2[[#This Row],[DIA_UTIL_CORRENTE]]</f>
        <v>10</v>
      </c>
    </row>
    <row r="623" spans="1:11" x14ac:dyDescent="0.25">
      <c r="A623">
        <v>202509</v>
      </c>
      <c r="B623">
        <v>10</v>
      </c>
      <c r="C623" s="148">
        <v>45913</v>
      </c>
      <c r="D623">
        <v>22</v>
      </c>
      <c r="E623">
        <v>22</v>
      </c>
      <c r="F623">
        <v>429</v>
      </c>
      <c r="G623">
        <f>Consulta2[[#This Row],[DIA_UTIL_CORRENTE]]</f>
        <v>10</v>
      </c>
      <c r="H623" s="6">
        <f>DAY(Consulta2[[#This Row],[DATA]])</f>
        <v>13</v>
      </c>
      <c r="I623" s="6">
        <f>MONTH(Consulta2[[#This Row],[DATA]])</f>
        <v>9</v>
      </c>
      <c r="J623" t="str">
        <f>CONCATENATE(Consulta2[[#This Row],[SAFRA]],Consulta2[[#This Row],[dia]])</f>
        <v>20250913</v>
      </c>
      <c r="K623">
        <f>Consulta2[[#This Row],[DIA_UTIL_CORRENTE]]</f>
        <v>10</v>
      </c>
    </row>
    <row r="624" spans="1:11" x14ac:dyDescent="0.25">
      <c r="A624">
        <v>202509</v>
      </c>
      <c r="B624">
        <v>10</v>
      </c>
      <c r="C624" s="148">
        <v>45914</v>
      </c>
      <c r="D624">
        <v>22</v>
      </c>
      <c r="E624">
        <v>22</v>
      </c>
      <c r="F624">
        <v>429</v>
      </c>
      <c r="G624">
        <f>Consulta2[[#This Row],[DIA_UTIL_CORRENTE]]</f>
        <v>10</v>
      </c>
      <c r="H624" s="6">
        <f>DAY(Consulta2[[#This Row],[DATA]])</f>
        <v>14</v>
      </c>
      <c r="I624" s="6">
        <f>MONTH(Consulta2[[#This Row],[DATA]])</f>
        <v>9</v>
      </c>
      <c r="J624" t="str">
        <f>CONCATENATE(Consulta2[[#This Row],[SAFRA]],Consulta2[[#This Row],[dia]])</f>
        <v>20250914</v>
      </c>
      <c r="K624">
        <f>Consulta2[[#This Row],[DIA_UTIL_CORRENTE]]</f>
        <v>10</v>
      </c>
    </row>
    <row r="625" spans="1:11" x14ac:dyDescent="0.25">
      <c r="A625">
        <v>202509</v>
      </c>
      <c r="B625">
        <v>11</v>
      </c>
      <c r="C625" s="148">
        <v>45915</v>
      </c>
      <c r="D625">
        <v>22</v>
      </c>
      <c r="E625">
        <v>22</v>
      </c>
      <c r="F625">
        <v>430</v>
      </c>
      <c r="G625">
        <f>Consulta2[[#This Row],[DIA_UTIL_CORRENTE]]</f>
        <v>11</v>
      </c>
      <c r="H625" s="6">
        <f>DAY(Consulta2[[#This Row],[DATA]])</f>
        <v>15</v>
      </c>
      <c r="I625" s="6">
        <f>MONTH(Consulta2[[#This Row],[DATA]])</f>
        <v>9</v>
      </c>
      <c r="J625" t="str">
        <f>CONCATENATE(Consulta2[[#This Row],[SAFRA]],Consulta2[[#This Row],[dia]])</f>
        <v>20250915</v>
      </c>
      <c r="K625">
        <f>Consulta2[[#This Row],[DIA_UTIL_CORRENTE]]</f>
        <v>11</v>
      </c>
    </row>
    <row r="626" spans="1:11" x14ac:dyDescent="0.25">
      <c r="A626">
        <v>202509</v>
      </c>
      <c r="B626">
        <v>12</v>
      </c>
      <c r="C626" s="148">
        <v>45916</v>
      </c>
      <c r="D626">
        <v>22</v>
      </c>
      <c r="E626">
        <v>22</v>
      </c>
      <c r="F626">
        <v>431</v>
      </c>
      <c r="G626">
        <f>Consulta2[[#This Row],[DIA_UTIL_CORRENTE]]</f>
        <v>12</v>
      </c>
      <c r="H626" s="6">
        <f>DAY(Consulta2[[#This Row],[DATA]])</f>
        <v>16</v>
      </c>
      <c r="I626" s="6">
        <f>MONTH(Consulta2[[#This Row],[DATA]])</f>
        <v>9</v>
      </c>
      <c r="J626" t="str">
        <f>CONCATENATE(Consulta2[[#This Row],[SAFRA]],Consulta2[[#This Row],[dia]])</f>
        <v>20250916</v>
      </c>
      <c r="K626">
        <f>Consulta2[[#This Row],[DIA_UTIL_CORRENTE]]</f>
        <v>12</v>
      </c>
    </row>
    <row r="627" spans="1:11" x14ac:dyDescent="0.25">
      <c r="A627">
        <v>202509</v>
      </c>
      <c r="B627">
        <v>13</v>
      </c>
      <c r="C627" s="148">
        <v>45917</v>
      </c>
      <c r="D627">
        <v>22</v>
      </c>
      <c r="E627">
        <v>22</v>
      </c>
      <c r="F627">
        <v>432</v>
      </c>
      <c r="G627">
        <f>Consulta2[[#This Row],[DIA_UTIL_CORRENTE]]</f>
        <v>13</v>
      </c>
      <c r="H627" s="6">
        <f>DAY(Consulta2[[#This Row],[DATA]])</f>
        <v>17</v>
      </c>
      <c r="I627" s="6">
        <f>MONTH(Consulta2[[#This Row],[DATA]])</f>
        <v>9</v>
      </c>
      <c r="J627" t="str">
        <f>CONCATENATE(Consulta2[[#This Row],[SAFRA]],Consulta2[[#This Row],[dia]])</f>
        <v>20250917</v>
      </c>
      <c r="K627">
        <f>Consulta2[[#This Row],[DIA_UTIL_CORRENTE]]</f>
        <v>13</v>
      </c>
    </row>
    <row r="628" spans="1:11" x14ac:dyDescent="0.25">
      <c r="A628">
        <v>202509</v>
      </c>
      <c r="B628">
        <v>14</v>
      </c>
      <c r="C628" s="148">
        <v>45918</v>
      </c>
      <c r="D628">
        <v>22</v>
      </c>
      <c r="E628">
        <v>22</v>
      </c>
      <c r="F628">
        <v>433</v>
      </c>
      <c r="G628">
        <f>Consulta2[[#This Row],[DIA_UTIL_CORRENTE]]</f>
        <v>14</v>
      </c>
      <c r="H628" s="6">
        <f>DAY(Consulta2[[#This Row],[DATA]])</f>
        <v>18</v>
      </c>
      <c r="I628" s="6">
        <f>MONTH(Consulta2[[#This Row],[DATA]])</f>
        <v>9</v>
      </c>
      <c r="J628" t="str">
        <f>CONCATENATE(Consulta2[[#This Row],[SAFRA]],Consulta2[[#This Row],[dia]])</f>
        <v>20250918</v>
      </c>
      <c r="K628">
        <f>Consulta2[[#This Row],[DIA_UTIL_CORRENTE]]</f>
        <v>14</v>
      </c>
    </row>
    <row r="629" spans="1:11" x14ac:dyDescent="0.25">
      <c r="A629">
        <v>202509</v>
      </c>
      <c r="B629">
        <v>15</v>
      </c>
      <c r="C629" s="148">
        <v>45919</v>
      </c>
      <c r="D629">
        <v>22</v>
      </c>
      <c r="E629">
        <v>22</v>
      </c>
      <c r="F629">
        <v>434</v>
      </c>
      <c r="G629">
        <f>Consulta2[[#This Row],[DIA_UTIL_CORRENTE]]</f>
        <v>15</v>
      </c>
      <c r="H629" s="6">
        <f>DAY(Consulta2[[#This Row],[DATA]])</f>
        <v>19</v>
      </c>
      <c r="I629" s="6">
        <f>MONTH(Consulta2[[#This Row],[DATA]])</f>
        <v>9</v>
      </c>
      <c r="J629" t="str">
        <f>CONCATENATE(Consulta2[[#This Row],[SAFRA]],Consulta2[[#This Row],[dia]])</f>
        <v>20250919</v>
      </c>
      <c r="K629">
        <f>Consulta2[[#This Row],[DIA_UTIL_CORRENTE]]</f>
        <v>15</v>
      </c>
    </row>
    <row r="630" spans="1:11" x14ac:dyDescent="0.25">
      <c r="A630">
        <v>202509</v>
      </c>
      <c r="B630">
        <v>15</v>
      </c>
      <c r="C630" s="148">
        <v>45920</v>
      </c>
      <c r="D630">
        <v>22</v>
      </c>
      <c r="E630">
        <v>22</v>
      </c>
      <c r="F630">
        <v>434</v>
      </c>
      <c r="G630">
        <f>Consulta2[[#This Row],[DIA_UTIL_CORRENTE]]</f>
        <v>15</v>
      </c>
      <c r="H630" s="6">
        <f>DAY(Consulta2[[#This Row],[DATA]])</f>
        <v>20</v>
      </c>
      <c r="I630" s="6">
        <f>MONTH(Consulta2[[#This Row],[DATA]])</f>
        <v>9</v>
      </c>
      <c r="J630" t="str">
        <f>CONCATENATE(Consulta2[[#This Row],[SAFRA]],Consulta2[[#This Row],[dia]])</f>
        <v>20250920</v>
      </c>
      <c r="K630">
        <f>Consulta2[[#This Row],[DIA_UTIL_CORRENTE]]</f>
        <v>15</v>
      </c>
    </row>
    <row r="631" spans="1:11" x14ac:dyDescent="0.25">
      <c r="A631">
        <v>202509</v>
      </c>
      <c r="B631">
        <v>15</v>
      </c>
      <c r="C631" s="148">
        <v>45921</v>
      </c>
      <c r="D631">
        <v>22</v>
      </c>
      <c r="E631">
        <v>22</v>
      </c>
      <c r="F631">
        <v>434</v>
      </c>
      <c r="G631">
        <f>Consulta2[[#This Row],[DIA_UTIL_CORRENTE]]</f>
        <v>15</v>
      </c>
      <c r="H631" s="6">
        <f>DAY(Consulta2[[#This Row],[DATA]])</f>
        <v>21</v>
      </c>
      <c r="I631" s="6">
        <f>MONTH(Consulta2[[#This Row],[DATA]])</f>
        <v>9</v>
      </c>
      <c r="J631" t="str">
        <f>CONCATENATE(Consulta2[[#This Row],[SAFRA]],Consulta2[[#This Row],[dia]])</f>
        <v>20250921</v>
      </c>
      <c r="K631">
        <f>Consulta2[[#This Row],[DIA_UTIL_CORRENTE]]</f>
        <v>15</v>
      </c>
    </row>
    <row r="632" spans="1:11" x14ac:dyDescent="0.25">
      <c r="A632">
        <v>202509</v>
      </c>
      <c r="B632">
        <v>16</v>
      </c>
      <c r="C632" s="148">
        <v>45922</v>
      </c>
      <c r="D632">
        <v>22</v>
      </c>
      <c r="E632">
        <v>22</v>
      </c>
      <c r="F632">
        <v>435</v>
      </c>
      <c r="G632">
        <f>Consulta2[[#This Row],[DIA_UTIL_CORRENTE]]</f>
        <v>16</v>
      </c>
      <c r="H632" s="6">
        <f>DAY(Consulta2[[#This Row],[DATA]])</f>
        <v>22</v>
      </c>
      <c r="I632" s="6">
        <f>MONTH(Consulta2[[#This Row],[DATA]])</f>
        <v>9</v>
      </c>
      <c r="J632" t="str">
        <f>CONCATENATE(Consulta2[[#This Row],[SAFRA]],Consulta2[[#This Row],[dia]])</f>
        <v>20250922</v>
      </c>
      <c r="K632">
        <f>Consulta2[[#This Row],[DIA_UTIL_CORRENTE]]</f>
        <v>16</v>
      </c>
    </row>
    <row r="633" spans="1:11" x14ac:dyDescent="0.25">
      <c r="A633">
        <v>202509</v>
      </c>
      <c r="B633">
        <v>17</v>
      </c>
      <c r="C633" s="148">
        <v>45923</v>
      </c>
      <c r="D633">
        <v>22</v>
      </c>
      <c r="E633">
        <v>22</v>
      </c>
      <c r="F633">
        <v>436</v>
      </c>
      <c r="G633">
        <f>Consulta2[[#This Row],[DIA_UTIL_CORRENTE]]</f>
        <v>17</v>
      </c>
      <c r="H633" s="6">
        <f>DAY(Consulta2[[#This Row],[DATA]])</f>
        <v>23</v>
      </c>
      <c r="I633" s="6">
        <f>MONTH(Consulta2[[#This Row],[DATA]])</f>
        <v>9</v>
      </c>
      <c r="J633" t="str">
        <f>CONCATENATE(Consulta2[[#This Row],[SAFRA]],Consulta2[[#This Row],[dia]])</f>
        <v>20250923</v>
      </c>
      <c r="K633">
        <f>Consulta2[[#This Row],[DIA_UTIL_CORRENTE]]</f>
        <v>17</v>
      </c>
    </row>
    <row r="634" spans="1:11" x14ac:dyDescent="0.25">
      <c r="A634">
        <v>202509</v>
      </c>
      <c r="B634">
        <v>18</v>
      </c>
      <c r="C634" s="148">
        <v>45924</v>
      </c>
      <c r="D634">
        <v>22</v>
      </c>
      <c r="E634">
        <v>22</v>
      </c>
      <c r="F634">
        <v>437</v>
      </c>
      <c r="G634">
        <f>Consulta2[[#This Row],[DIA_UTIL_CORRENTE]]</f>
        <v>18</v>
      </c>
      <c r="H634" s="6">
        <f>DAY(Consulta2[[#This Row],[DATA]])</f>
        <v>24</v>
      </c>
      <c r="I634" s="6">
        <f>MONTH(Consulta2[[#This Row],[DATA]])</f>
        <v>9</v>
      </c>
      <c r="J634" t="str">
        <f>CONCATENATE(Consulta2[[#This Row],[SAFRA]],Consulta2[[#This Row],[dia]])</f>
        <v>20250924</v>
      </c>
      <c r="K634">
        <f>Consulta2[[#This Row],[DIA_UTIL_CORRENTE]]</f>
        <v>18</v>
      </c>
    </row>
    <row r="635" spans="1:11" x14ac:dyDescent="0.25">
      <c r="A635">
        <v>202509</v>
      </c>
      <c r="B635">
        <v>19</v>
      </c>
      <c r="C635" s="148">
        <v>45925</v>
      </c>
      <c r="D635">
        <v>22</v>
      </c>
      <c r="E635">
        <v>22</v>
      </c>
      <c r="F635">
        <v>438</v>
      </c>
      <c r="G635">
        <f>Consulta2[[#This Row],[DIA_UTIL_CORRENTE]]</f>
        <v>19</v>
      </c>
      <c r="H635" s="6">
        <f>DAY(Consulta2[[#This Row],[DATA]])</f>
        <v>25</v>
      </c>
      <c r="I635" s="6">
        <f>MONTH(Consulta2[[#This Row],[DATA]])</f>
        <v>9</v>
      </c>
      <c r="J635" t="str">
        <f>CONCATENATE(Consulta2[[#This Row],[SAFRA]],Consulta2[[#This Row],[dia]])</f>
        <v>20250925</v>
      </c>
      <c r="K635">
        <f>Consulta2[[#This Row],[DIA_UTIL_CORRENTE]]</f>
        <v>19</v>
      </c>
    </row>
    <row r="636" spans="1:11" x14ac:dyDescent="0.25">
      <c r="A636">
        <v>202509</v>
      </c>
      <c r="B636">
        <v>20</v>
      </c>
      <c r="C636" s="148">
        <v>45926</v>
      </c>
      <c r="D636">
        <v>22</v>
      </c>
      <c r="E636">
        <v>22</v>
      </c>
      <c r="F636">
        <v>439</v>
      </c>
      <c r="G636">
        <f>Consulta2[[#This Row],[DIA_UTIL_CORRENTE]]</f>
        <v>20</v>
      </c>
      <c r="H636" s="6">
        <f>DAY(Consulta2[[#This Row],[DATA]])</f>
        <v>26</v>
      </c>
      <c r="I636" s="6">
        <f>MONTH(Consulta2[[#This Row],[DATA]])</f>
        <v>9</v>
      </c>
      <c r="J636" t="str">
        <f>CONCATENATE(Consulta2[[#This Row],[SAFRA]],Consulta2[[#This Row],[dia]])</f>
        <v>20250926</v>
      </c>
      <c r="K636">
        <f>Consulta2[[#This Row],[DIA_UTIL_CORRENTE]]</f>
        <v>20</v>
      </c>
    </row>
    <row r="637" spans="1:11" x14ac:dyDescent="0.25">
      <c r="A637">
        <v>202509</v>
      </c>
      <c r="B637">
        <v>20</v>
      </c>
      <c r="C637" s="148">
        <v>45927</v>
      </c>
      <c r="D637">
        <v>22</v>
      </c>
      <c r="E637">
        <v>22</v>
      </c>
      <c r="F637">
        <v>439</v>
      </c>
      <c r="G637">
        <f>Consulta2[[#This Row],[DIA_UTIL_CORRENTE]]</f>
        <v>20</v>
      </c>
      <c r="H637" s="6">
        <f>DAY(Consulta2[[#This Row],[DATA]])</f>
        <v>27</v>
      </c>
      <c r="I637" s="6">
        <f>MONTH(Consulta2[[#This Row],[DATA]])</f>
        <v>9</v>
      </c>
      <c r="J637" t="str">
        <f>CONCATENATE(Consulta2[[#This Row],[SAFRA]],Consulta2[[#This Row],[dia]])</f>
        <v>20250927</v>
      </c>
      <c r="K637">
        <f>Consulta2[[#This Row],[DIA_UTIL_CORRENTE]]</f>
        <v>20</v>
      </c>
    </row>
    <row r="638" spans="1:11" x14ac:dyDescent="0.25">
      <c r="A638">
        <v>202509</v>
      </c>
      <c r="B638">
        <v>20</v>
      </c>
      <c r="C638" s="148">
        <v>45928</v>
      </c>
      <c r="D638">
        <v>22</v>
      </c>
      <c r="E638">
        <v>22</v>
      </c>
      <c r="F638">
        <v>439</v>
      </c>
      <c r="G638">
        <f>Consulta2[[#This Row],[DIA_UTIL_CORRENTE]]</f>
        <v>20</v>
      </c>
      <c r="H638" s="6">
        <f>DAY(Consulta2[[#This Row],[DATA]])</f>
        <v>28</v>
      </c>
      <c r="I638" s="6">
        <f>MONTH(Consulta2[[#This Row],[DATA]])</f>
        <v>9</v>
      </c>
      <c r="J638" t="str">
        <f>CONCATENATE(Consulta2[[#This Row],[SAFRA]],Consulta2[[#This Row],[dia]])</f>
        <v>20250928</v>
      </c>
      <c r="K638">
        <f>Consulta2[[#This Row],[DIA_UTIL_CORRENTE]]</f>
        <v>20</v>
      </c>
    </row>
    <row r="639" spans="1:11" x14ac:dyDescent="0.25">
      <c r="A639">
        <v>202509</v>
      </c>
      <c r="B639">
        <v>21</v>
      </c>
      <c r="C639" s="148">
        <v>45929</v>
      </c>
      <c r="D639">
        <v>22</v>
      </c>
      <c r="E639">
        <v>22</v>
      </c>
      <c r="F639">
        <v>440</v>
      </c>
      <c r="G639">
        <f>Consulta2[[#This Row],[DIA_UTIL_CORRENTE]]</f>
        <v>21</v>
      </c>
      <c r="H639" s="6">
        <f>DAY(Consulta2[[#This Row],[DATA]])</f>
        <v>29</v>
      </c>
      <c r="I639" s="6">
        <f>MONTH(Consulta2[[#This Row],[DATA]])</f>
        <v>9</v>
      </c>
      <c r="J639" t="str">
        <f>CONCATENATE(Consulta2[[#This Row],[SAFRA]],Consulta2[[#This Row],[dia]])</f>
        <v>20250929</v>
      </c>
      <c r="K639">
        <f>Consulta2[[#This Row],[DIA_UTIL_CORRENTE]]</f>
        <v>21</v>
      </c>
    </row>
    <row r="640" spans="1:11" x14ac:dyDescent="0.25">
      <c r="A640">
        <v>202509</v>
      </c>
      <c r="B640">
        <v>22</v>
      </c>
      <c r="C640" s="148">
        <v>45930</v>
      </c>
      <c r="D640">
        <v>22</v>
      </c>
      <c r="E640">
        <v>22</v>
      </c>
      <c r="F640">
        <v>441</v>
      </c>
      <c r="G640">
        <f>Consulta2[[#This Row],[DIA_UTIL_CORRENTE]]</f>
        <v>22</v>
      </c>
      <c r="H640" s="6">
        <f>DAY(Consulta2[[#This Row],[DATA]])</f>
        <v>30</v>
      </c>
      <c r="I640" s="6">
        <f>MONTH(Consulta2[[#This Row],[DATA]])</f>
        <v>9</v>
      </c>
      <c r="J640" t="str">
        <f>CONCATENATE(Consulta2[[#This Row],[SAFRA]],Consulta2[[#This Row],[dia]])</f>
        <v>20250930</v>
      </c>
      <c r="K640">
        <f>Consulta2[[#This Row],[DIA_UTIL_CORRENTE]]</f>
        <v>22</v>
      </c>
    </row>
    <row r="641" spans="1:11" x14ac:dyDescent="0.25">
      <c r="A641">
        <v>202510</v>
      </c>
      <c r="B641">
        <v>1</v>
      </c>
      <c r="C641" s="148">
        <v>45931</v>
      </c>
      <c r="D641">
        <v>23</v>
      </c>
      <c r="E641">
        <v>23</v>
      </c>
      <c r="F641">
        <v>442</v>
      </c>
      <c r="G641">
        <f>Consulta2[[#This Row],[DIA_UTIL_CORRENTE]]</f>
        <v>1</v>
      </c>
      <c r="H641" s="6">
        <f>DAY(Consulta2[[#This Row],[DATA]])</f>
        <v>1</v>
      </c>
      <c r="I641" s="6">
        <f>MONTH(Consulta2[[#This Row],[DATA]])</f>
        <v>10</v>
      </c>
      <c r="J641" t="str">
        <f>CONCATENATE(Consulta2[[#This Row],[SAFRA]],Consulta2[[#This Row],[dia]])</f>
        <v>2025101</v>
      </c>
      <c r="K641">
        <f>Consulta2[[#This Row],[DIA_UTIL_CORRENTE]]</f>
        <v>1</v>
      </c>
    </row>
    <row r="642" spans="1:11" x14ac:dyDescent="0.25">
      <c r="A642">
        <v>202510</v>
      </c>
      <c r="B642">
        <v>2</v>
      </c>
      <c r="C642" s="148">
        <v>45932</v>
      </c>
      <c r="D642">
        <v>23</v>
      </c>
      <c r="E642">
        <v>23</v>
      </c>
      <c r="F642">
        <v>443</v>
      </c>
      <c r="G642">
        <f>Consulta2[[#This Row],[DIA_UTIL_CORRENTE]]</f>
        <v>2</v>
      </c>
      <c r="H642" s="6">
        <f>DAY(Consulta2[[#This Row],[DATA]])</f>
        <v>2</v>
      </c>
      <c r="I642" s="6">
        <f>MONTH(Consulta2[[#This Row],[DATA]])</f>
        <v>10</v>
      </c>
      <c r="J642" t="str">
        <f>CONCATENATE(Consulta2[[#This Row],[SAFRA]],Consulta2[[#This Row],[dia]])</f>
        <v>2025102</v>
      </c>
      <c r="K642">
        <f>Consulta2[[#This Row],[DIA_UTIL_CORRENTE]]</f>
        <v>2</v>
      </c>
    </row>
    <row r="643" spans="1:11" x14ac:dyDescent="0.25">
      <c r="A643">
        <v>202510</v>
      </c>
      <c r="B643">
        <v>3</v>
      </c>
      <c r="C643" s="148">
        <v>45933</v>
      </c>
      <c r="D643">
        <v>23</v>
      </c>
      <c r="E643">
        <v>23</v>
      </c>
      <c r="F643">
        <v>444</v>
      </c>
      <c r="G643">
        <f>Consulta2[[#This Row],[DIA_UTIL_CORRENTE]]</f>
        <v>3</v>
      </c>
      <c r="H643" s="6">
        <f>DAY(Consulta2[[#This Row],[DATA]])</f>
        <v>3</v>
      </c>
      <c r="I643" s="6">
        <f>MONTH(Consulta2[[#This Row],[DATA]])</f>
        <v>10</v>
      </c>
      <c r="J643" t="str">
        <f>CONCATENATE(Consulta2[[#This Row],[SAFRA]],Consulta2[[#This Row],[dia]])</f>
        <v>2025103</v>
      </c>
      <c r="K643">
        <f>Consulta2[[#This Row],[DIA_UTIL_CORRENTE]]</f>
        <v>3</v>
      </c>
    </row>
    <row r="644" spans="1:11" x14ac:dyDescent="0.25">
      <c r="A644">
        <v>202510</v>
      </c>
      <c r="B644">
        <v>3</v>
      </c>
      <c r="C644" s="148">
        <v>45934</v>
      </c>
      <c r="D644">
        <v>23</v>
      </c>
      <c r="E644">
        <v>23</v>
      </c>
      <c r="F644">
        <v>444</v>
      </c>
      <c r="G644">
        <f>Consulta2[[#This Row],[DIA_UTIL_CORRENTE]]</f>
        <v>3</v>
      </c>
      <c r="H644" s="6">
        <f>DAY(Consulta2[[#This Row],[DATA]])</f>
        <v>4</v>
      </c>
      <c r="I644" s="6">
        <f>MONTH(Consulta2[[#This Row],[DATA]])</f>
        <v>10</v>
      </c>
      <c r="J644" t="str">
        <f>CONCATENATE(Consulta2[[#This Row],[SAFRA]],Consulta2[[#This Row],[dia]])</f>
        <v>2025104</v>
      </c>
      <c r="K644">
        <f>Consulta2[[#This Row],[DIA_UTIL_CORRENTE]]</f>
        <v>3</v>
      </c>
    </row>
    <row r="645" spans="1:11" x14ac:dyDescent="0.25">
      <c r="A645">
        <v>202510</v>
      </c>
      <c r="B645">
        <v>3</v>
      </c>
      <c r="C645" s="148">
        <v>45935</v>
      </c>
      <c r="D645">
        <v>23</v>
      </c>
      <c r="E645">
        <v>23</v>
      </c>
      <c r="F645">
        <v>444</v>
      </c>
      <c r="G645">
        <f>Consulta2[[#This Row],[DIA_UTIL_CORRENTE]]</f>
        <v>3</v>
      </c>
      <c r="H645" s="6">
        <f>DAY(Consulta2[[#This Row],[DATA]])</f>
        <v>5</v>
      </c>
      <c r="I645" s="6">
        <f>MONTH(Consulta2[[#This Row],[DATA]])</f>
        <v>10</v>
      </c>
      <c r="J645" t="str">
        <f>CONCATENATE(Consulta2[[#This Row],[SAFRA]],Consulta2[[#This Row],[dia]])</f>
        <v>2025105</v>
      </c>
      <c r="K645">
        <f>Consulta2[[#This Row],[DIA_UTIL_CORRENTE]]</f>
        <v>3</v>
      </c>
    </row>
    <row r="646" spans="1:11" x14ac:dyDescent="0.25">
      <c r="A646">
        <v>202510</v>
      </c>
      <c r="B646">
        <v>4</v>
      </c>
      <c r="C646" s="148">
        <v>45936</v>
      </c>
      <c r="D646">
        <v>23</v>
      </c>
      <c r="E646">
        <v>23</v>
      </c>
      <c r="F646">
        <v>445</v>
      </c>
      <c r="G646">
        <f>Consulta2[[#This Row],[DIA_UTIL_CORRENTE]]</f>
        <v>4</v>
      </c>
      <c r="H646" s="6">
        <f>DAY(Consulta2[[#This Row],[DATA]])</f>
        <v>6</v>
      </c>
      <c r="I646" s="6">
        <f>MONTH(Consulta2[[#This Row],[DATA]])</f>
        <v>10</v>
      </c>
      <c r="J646" t="str">
        <f>CONCATENATE(Consulta2[[#This Row],[SAFRA]],Consulta2[[#This Row],[dia]])</f>
        <v>2025106</v>
      </c>
      <c r="K646">
        <f>Consulta2[[#This Row],[DIA_UTIL_CORRENTE]]</f>
        <v>4</v>
      </c>
    </row>
    <row r="647" spans="1:11" x14ac:dyDescent="0.25">
      <c r="A647">
        <v>202510</v>
      </c>
      <c r="B647">
        <v>5</v>
      </c>
      <c r="C647" s="148">
        <v>45937</v>
      </c>
      <c r="D647">
        <v>23</v>
      </c>
      <c r="E647">
        <v>23</v>
      </c>
      <c r="F647">
        <v>446</v>
      </c>
      <c r="G647">
        <f>Consulta2[[#This Row],[DIA_UTIL_CORRENTE]]</f>
        <v>5</v>
      </c>
      <c r="H647" s="6">
        <f>DAY(Consulta2[[#This Row],[DATA]])</f>
        <v>7</v>
      </c>
      <c r="I647" s="6">
        <f>MONTH(Consulta2[[#This Row],[DATA]])</f>
        <v>10</v>
      </c>
      <c r="J647" t="str">
        <f>CONCATENATE(Consulta2[[#This Row],[SAFRA]],Consulta2[[#This Row],[dia]])</f>
        <v>2025107</v>
      </c>
      <c r="K647">
        <f>Consulta2[[#This Row],[DIA_UTIL_CORRENTE]]</f>
        <v>5</v>
      </c>
    </row>
    <row r="648" spans="1:11" x14ac:dyDescent="0.25">
      <c r="A648">
        <v>202510</v>
      </c>
      <c r="B648">
        <v>6</v>
      </c>
      <c r="C648" s="148">
        <v>45938</v>
      </c>
      <c r="D648">
        <v>23</v>
      </c>
      <c r="E648">
        <v>23</v>
      </c>
      <c r="F648">
        <v>447</v>
      </c>
      <c r="G648">
        <f>Consulta2[[#This Row],[DIA_UTIL_CORRENTE]]</f>
        <v>6</v>
      </c>
      <c r="H648" s="6">
        <f>DAY(Consulta2[[#This Row],[DATA]])</f>
        <v>8</v>
      </c>
      <c r="I648" s="6">
        <f>MONTH(Consulta2[[#This Row],[DATA]])</f>
        <v>10</v>
      </c>
      <c r="J648" t="str">
        <f>CONCATENATE(Consulta2[[#This Row],[SAFRA]],Consulta2[[#This Row],[dia]])</f>
        <v>2025108</v>
      </c>
      <c r="K648">
        <f>Consulta2[[#This Row],[DIA_UTIL_CORRENTE]]</f>
        <v>6</v>
      </c>
    </row>
    <row r="649" spans="1:11" x14ac:dyDescent="0.25">
      <c r="A649">
        <v>202510</v>
      </c>
      <c r="B649">
        <v>7</v>
      </c>
      <c r="C649" s="148">
        <v>45939</v>
      </c>
      <c r="D649">
        <v>23</v>
      </c>
      <c r="E649">
        <v>23</v>
      </c>
      <c r="F649">
        <v>448</v>
      </c>
      <c r="G649">
        <f>Consulta2[[#This Row],[DIA_UTIL_CORRENTE]]</f>
        <v>7</v>
      </c>
      <c r="H649" s="6">
        <f>DAY(Consulta2[[#This Row],[DATA]])</f>
        <v>9</v>
      </c>
      <c r="I649" s="6">
        <f>MONTH(Consulta2[[#This Row],[DATA]])</f>
        <v>10</v>
      </c>
      <c r="J649" t="str">
        <f>CONCATENATE(Consulta2[[#This Row],[SAFRA]],Consulta2[[#This Row],[dia]])</f>
        <v>2025109</v>
      </c>
      <c r="K649">
        <f>Consulta2[[#This Row],[DIA_UTIL_CORRENTE]]</f>
        <v>7</v>
      </c>
    </row>
    <row r="650" spans="1:11" x14ac:dyDescent="0.25">
      <c r="A650">
        <v>202510</v>
      </c>
      <c r="B650">
        <v>8</v>
      </c>
      <c r="C650" s="148">
        <v>45940</v>
      </c>
      <c r="D650">
        <v>23</v>
      </c>
      <c r="E650">
        <v>23</v>
      </c>
      <c r="F650">
        <v>449</v>
      </c>
      <c r="G650">
        <f>Consulta2[[#This Row],[DIA_UTIL_CORRENTE]]</f>
        <v>8</v>
      </c>
      <c r="H650" s="6">
        <f>DAY(Consulta2[[#This Row],[DATA]])</f>
        <v>10</v>
      </c>
      <c r="I650" s="6">
        <f>MONTH(Consulta2[[#This Row],[DATA]])</f>
        <v>10</v>
      </c>
      <c r="J650" t="str">
        <f>CONCATENATE(Consulta2[[#This Row],[SAFRA]],Consulta2[[#This Row],[dia]])</f>
        <v>20251010</v>
      </c>
      <c r="K650">
        <f>Consulta2[[#This Row],[DIA_UTIL_CORRENTE]]</f>
        <v>8</v>
      </c>
    </row>
    <row r="651" spans="1:11" x14ac:dyDescent="0.25">
      <c r="A651">
        <v>202510</v>
      </c>
      <c r="B651">
        <v>8</v>
      </c>
      <c r="C651" s="148">
        <v>45941</v>
      </c>
      <c r="D651">
        <v>23</v>
      </c>
      <c r="E651">
        <v>23</v>
      </c>
      <c r="F651">
        <v>449</v>
      </c>
      <c r="G651">
        <f>Consulta2[[#This Row],[DIA_UTIL_CORRENTE]]</f>
        <v>8</v>
      </c>
      <c r="H651" s="6">
        <f>DAY(Consulta2[[#This Row],[DATA]])</f>
        <v>11</v>
      </c>
      <c r="I651" s="6">
        <f>MONTH(Consulta2[[#This Row],[DATA]])</f>
        <v>10</v>
      </c>
      <c r="J651" t="str">
        <f>CONCATENATE(Consulta2[[#This Row],[SAFRA]],Consulta2[[#This Row],[dia]])</f>
        <v>20251011</v>
      </c>
      <c r="K651">
        <f>Consulta2[[#This Row],[DIA_UTIL_CORRENTE]]</f>
        <v>8</v>
      </c>
    </row>
    <row r="652" spans="1:11" x14ac:dyDescent="0.25">
      <c r="A652">
        <v>202510</v>
      </c>
      <c r="B652">
        <v>8</v>
      </c>
      <c r="C652" s="148">
        <v>45942</v>
      </c>
      <c r="D652">
        <v>23</v>
      </c>
      <c r="E652">
        <v>23</v>
      </c>
      <c r="F652">
        <v>449</v>
      </c>
      <c r="G652">
        <f>Consulta2[[#This Row],[DIA_UTIL_CORRENTE]]</f>
        <v>8</v>
      </c>
      <c r="H652" s="6">
        <f>DAY(Consulta2[[#This Row],[DATA]])</f>
        <v>12</v>
      </c>
      <c r="I652" s="6">
        <f>MONTH(Consulta2[[#This Row],[DATA]])</f>
        <v>10</v>
      </c>
      <c r="J652" t="str">
        <f>CONCATENATE(Consulta2[[#This Row],[SAFRA]],Consulta2[[#This Row],[dia]])</f>
        <v>20251012</v>
      </c>
      <c r="K652">
        <f>Consulta2[[#This Row],[DIA_UTIL_CORRENTE]]</f>
        <v>8</v>
      </c>
    </row>
    <row r="653" spans="1:11" x14ac:dyDescent="0.25">
      <c r="A653">
        <v>202510</v>
      </c>
      <c r="B653">
        <v>9</v>
      </c>
      <c r="C653" s="148">
        <v>45943</v>
      </c>
      <c r="D653">
        <v>23</v>
      </c>
      <c r="E653">
        <v>23</v>
      </c>
      <c r="F653">
        <v>450</v>
      </c>
      <c r="G653">
        <f>Consulta2[[#This Row],[DIA_UTIL_CORRENTE]]</f>
        <v>9</v>
      </c>
      <c r="H653" s="6">
        <f>DAY(Consulta2[[#This Row],[DATA]])</f>
        <v>13</v>
      </c>
      <c r="I653" s="6">
        <f>MONTH(Consulta2[[#This Row],[DATA]])</f>
        <v>10</v>
      </c>
      <c r="J653" t="str">
        <f>CONCATENATE(Consulta2[[#This Row],[SAFRA]],Consulta2[[#This Row],[dia]])</f>
        <v>20251013</v>
      </c>
      <c r="K653">
        <f>Consulta2[[#This Row],[DIA_UTIL_CORRENTE]]</f>
        <v>9</v>
      </c>
    </row>
    <row r="654" spans="1:11" x14ac:dyDescent="0.25">
      <c r="A654">
        <v>202510</v>
      </c>
      <c r="B654">
        <v>10</v>
      </c>
      <c r="C654" s="148">
        <v>45944</v>
      </c>
      <c r="D654">
        <v>23</v>
      </c>
      <c r="E654">
        <v>23</v>
      </c>
      <c r="F654">
        <v>451</v>
      </c>
      <c r="G654">
        <f>Consulta2[[#This Row],[DIA_UTIL_CORRENTE]]</f>
        <v>10</v>
      </c>
      <c r="H654" s="6">
        <f>DAY(Consulta2[[#This Row],[DATA]])</f>
        <v>14</v>
      </c>
      <c r="I654" s="6">
        <f>MONTH(Consulta2[[#This Row],[DATA]])</f>
        <v>10</v>
      </c>
      <c r="J654" t="str">
        <f>CONCATENATE(Consulta2[[#This Row],[SAFRA]],Consulta2[[#This Row],[dia]])</f>
        <v>20251014</v>
      </c>
      <c r="K654">
        <f>Consulta2[[#This Row],[DIA_UTIL_CORRENTE]]</f>
        <v>10</v>
      </c>
    </row>
    <row r="655" spans="1:11" x14ac:dyDescent="0.25">
      <c r="A655">
        <v>202510</v>
      </c>
      <c r="B655">
        <v>11</v>
      </c>
      <c r="C655" s="148">
        <v>45945</v>
      </c>
      <c r="D655">
        <v>23</v>
      </c>
      <c r="E655">
        <v>23</v>
      </c>
      <c r="F655">
        <v>452</v>
      </c>
      <c r="G655">
        <f>Consulta2[[#This Row],[DIA_UTIL_CORRENTE]]</f>
        <v>11</v>
      </c>
      <c r="H655" s="6">
        <f>DAY(Consulta2[[#This Row],[DATA]])</f>
        <v>15</v>
      </c>
      <c r="I655" s="6">
        <f>MONTH(Consulta2[[#This Row],[DATA]])</f>
        <v>10</v>
      </c>
      <c r="J655" t="str">
        <f>CONCATENATE(Consulta2[[#This Row],[SAFRA]],Consulta2[[#This Row],[dia]])</f>
        <v>20251015</v>
      </c>
      <c r="K655">
        <f>Consulta2[[#This Row],[DIA_UTIL_CORRENTE]]</f>
        <v>11</v>
      </c>
    </row>
    <row r="656" spans="1:11" x14ac:dyDescent="0.25">
      <c r="A656">
        <v>202510</v>
      </c>
      <c r="B656">
        <v>12</v>
      </c>
      <c r="C656" s="148">
        <v>45946</v>
      </c>
      <c r="D656">
        <v>23</v>
      </c>
      <c r="E656">
        <v>23</v>
      </c>
      <c r="F656">
        <v>453</v>
      </c>
      <c r="G656">
        <f>Consulta2[[#This Row],[DIA_UTIL_CORRENTE]]</f>
        <v>12</v>
      </c>
      <c r="H656" s="6">
        <f>DAY(Consulta2[[#This Row],[DATA]])</f>
        <v>16</v>
      </c>
      <c r="I656" s="6">
        <f>MONTH(Consulta2[[#This Row],[DATA]])</f>
        <v>10</v>
      </c>
      <c r="J656" t="str">
        <f>CONCATENATE(Consulta2[[#This Row],[SAFRA]],Consulta2[[#This Row],[dia]])</f>
        <v>20251016</v>
      </c>
      <c r="K656">
        <f>Consulta2[[#This Row],[DIA_UTIL_CORRENTE]]</f>
        <v>12</v>
      </c>
    </row>
    <row r="657" spans="1:11" x14ac:dyDescent="0.25">
      <c r="A657">
        <v>202510</v>
      </c>
      <c r="B657">
        <v>13</v>
      </c>
      <c r="C657" s="148">
        <v>45947</v>
      </c>
      <c r="D657">
        <v>23</v>
      </c>
      <c r="E657">
        <v>23</v>
      </c>
      <c r="F657">
        <v>454</v>
      </c>
      <c r="G657">
        <f>Consulta2[[#This Row],[DIA_UTIL_CORRENTE]]</f>
        <v>13</v>
      </c>
      <c r="H657" s="6">
        <f>DAY(Consulta2[[#This Row],[DATA]])</f>
        <v>17</v>
      </c>
      <c r="I657" s="6">
        <f>MONTH(Consulta2[[#This Row],[DATA]])</f>
        <v>10</v>
      </c>
      <c r="J657" t="str">
        <f>CONCATENATE(Consulta2[[#This Row],[SAFRA]],Consulta2[[#This Row],[dia]])</f>
        <v>20251017</v>
      </c>
      <c r="K657">
        <f>Consulta2[[#This Row],[DIA_UTIL_CORRENTE]]</f>
        <v>13</v>
      </c>
    </row>
    <row r="658" spans="1:11" x14ac:dyDescent="0.25">
      <c r="A658">
        <v>202510</v>
      </c>
      <c r="B658">
        <v>13</v>
      </c>
      <c r="C658" s="148">
        <v>45948</v>
      </c>
      <c r="D658">
        <v>23</v>
      </c>
      <c r="E658">
        <v>23</v>
      </c>
      <c r="F658">
        <v>454</v>
      </c>
      <c r="G658">
        <f>Consulta2[[#This Row],[DIA_UTIL_CORRENTE]]</f>
        <v>13</v>
      </c>
      <c r="H658" s="6">
        <f>DAY(Consulta2[[#This Row],[DATA]])</f>
        <v>18</v>
      </c>
      <c r="I658" s="6">
        <f>MONTH(Consulta2[[#This Row],[DATA]])</f>
        <v>10</v>
      </c>
      <c r="J658" t="str">
        <f>CONCATENATE(Consulta2[[#This Row],[SAFRA]],Consulta2[[#This Row],[dia]])</f>
        <v>20251018</v>
      </c>
      <c r="K658">
        <f>Consulta2[[#This Row],[DIA_UTIL_CORRENTE]]</f>
        <v>13</v>
      </c>
    </row>
    <row r="659" spans="1:11" x14ac:dyDescent="0.25">
      <c r="A659">
        <v>202510</v>
      </c>
      <c r="B659">
        <v>13</v>
      </c>
      <c r="C659" s="148">
        <v>45949</v>
      </c>
      <c r="D659">
        <v>23</v>
      </c>
      <c r="E659">
        <v>23</v>
      </c>
      <c r="F659">
        <v>454</v>
      </c>
      <c r="G659">
        <f>Consulta2[[#This Row],[DIA_UTIL_CORRENTE]]</f>
        <v>13</v>
      </c>
      <c r="H659" s="6">
        <f>DAY(Consulta2[[#This Row],[DATA]])</f>
        <v>19</v>
      </c>
      <c r="I659" s="6">
        <f>MONTH(Consulta2[[#This Row],[DATA]])</f>
        <v>10</v>
      </c>
      <c r="J659" t="str">
        <f>CONCATENATE(Consulta2[[#This Row],[SAFRA]],Consulta2[[#This Row],[dia]])</f>
        <v>20251019</v>
      </c>
      <c r="K659">
        <f>Consulta2[[#This Row],[DIA_UTIL_CORRENTE]]</f>
        <v>13</v>
      </c>
    </row>
    <row r="660" spans="1:11" x14ac:dyDescent="0.25">
      <c r="A660">
        <v>202510</v>
      </c>
      <c r="B660">
        <v>14</v>
      </c>
      <c r="C660" s="148">
        <v>45950</v>
      </c>
      <c r="D660">
        <v>23</v>
      </c>
      <c r="E660">
        <v>23</v>
      </c>
      <c r="F660">
        <v>455</v>
      </c>
      <c r="G660">
        <f>Consulta2[[#This Row],[DIA_UTIL_CORRENTE]]</f>
        <v>14</v>
      </c>
      <c r="H660" s="6">
        <f>DAY(Consulta2[[#This Row],[DATA]])</f>
        <v>20</v>
      </c>
      <c r="I660" s="6">
        <f>MONTH(Consulta2[[#This Row],[DATA]])</f>
        <v>10</v>
      </c>
      <c r="J660" t="str">
        <f>CONCATENATE(Consulta2[[#This Row],[SAFRA]],Consulta2[[#This Row],[dia]])</f>
        <v>20251020</v>
      </c>
      <c r="K660">
        <f>Consulta2[[#This Row],[DIA_UTIL_CORRENTE]]</f>
        <v>14</v>
      </c>
    </row>
    <row r="661" spans="1:11" x14ac:dyDescent="0.25">
      <c r="A661">
        <v>202510</v>
      </c>
      <c r="B661">
        <v>15</v>
      </c>
      <c r="C661" s="148">
        <v>45951</v>
      </c>
      <c r="D661">
        <v>23</v>
      </c>
      <c r="E661">
        <v>23</v>
      </c>
      <c r="F661">
        <v>456</v>
      </c>
      <c r="G661">
        <f>Consulta2[[#This Row],[DIA_UTIL_CORRENTE]]</f>
        <v>15</v>
      </c>
      <c r="H661" s="6">
        <f>DAY(Consulta2[[#This Row],[DATA]])</f>
        <v>21</v>
      </c>
      <c r="I661" s="6">
        <f>MONTH(Consulta2[[#This Row],[DATA]])</f>
        <v>10</v>
      </c>
      <c r="J661" t="str">
        <f>CONCATENATE(Consulta2[[#This Row],[SAFRA]],Consulta2[[#This Row],[dia]])</f>
        <v>20251021</v>
      </c>
      <c r="K661">
        <f>Consulta2[[#This Row],[DIA_UTIL_CORRENTE]]</f>
        <v>15</v>
      </c>
    </row>
    <row r="662" spans="1:11" x14ac:dyDescent="0.25">
      <c r="A662">
        <v>202510</v>
      </c>
      <c r="B662">
        <v>16</v>
      </c>
      <c r="C662" s="148">
        <v>45952</v>
      </c>
      <c r="D662">
        <v>23</v>
      </c>
      <c r="E662">
        <v>23</v>
      </c>
      <c r="F662">
        <v>457</v>
      </c>
      <c r="G662">
        <f>Consulta2[[#This Row],[DIA_UTIL_CORRENTE]]</f>
        <v>16</v>
      </c>
      <c r="H662" s="6">
        <f>DAY(Consulta2[[#This Row],[DATA]])</f>
        <v>22</v>
      </c>
      <c r="I662" s="6">
        <f>MONTH(Consulta2[[#This Row],[DATA]])</f>
        <v>10</v>
      </c>
      <c r="J662" t="str">
        <f>CONCATENATE(Consulta2[[#This Row],[SAFRA]],Consulta2[[#This Row],[dia]])</f>
        <v>20251022</v>
      </c>
      <c r="K662">
        <f>Consulta2[[#This Row],[DIA_UTIL_CORRENTE]]</f>
        <v>16</v>
      </c>
    </row>
    <row r="663" spans="1:11" x14ac:dyDescent="0.25">
      <c r="A663">
        <v>202510</v>
      </c>
      <c r="B663">
        <v>17</v>
      </c>
      <c r="C663" s="148">
        <v>45953</v>
      </c>
      <c r="D663">
        <v>23</v>
      </c>
      <c r="E663">
        <v>23</v>
      </c>
      <c r="F663">
        <v>458</v>
      </c>
      <c r="G663">
        <f>Consulta2[[#This Row],[DIA_UTIL_CORRENTE]]</f>
        <v>17</v>
      </c>
      <c r="H663" s="6">
        <f>DAY(Consulta2[[#This Row],[DATA]])</f>
        <v>23</v>
      </c>
      <c r="I663" s="6">
        <f>MONTH(Consulta2[[#This Row],[DATA]])</f>
        <v>10</v>
      </c>
      <c r="J663" t="str">
        <f>CONCATENATE(Consulta2[[#This Row],[SAFRA]],Consulta2[[#This Row],[dia]])</f>
        <v>20251023</v>
      </c>
      <c r="K663">
        <f>Consulta2[[#This Row],[DIA_UTIL_CORRENTE]]</f>
        <v>17</v>
      </c>
    </row>
    <row r="664" spans="1:11" x14ac:dyDescent="0.25">
      <c r="A664">
        <v>202510</v>
      </c>
      <c r="B664">
        <v>18</v>
      </c>
      <c r="C664" s="148">
        <v>45954</v>
      </c>
      <c r="D664">
        <v>23</v>
      </c>
      <c r="E664">
        <v>23</v>
      </c>
      <c r="F664">
        <v>459</v>
      </c>
      <c r="G664">
        <f>Consulta2[[#This Row],[DIA_UTIL_CORRENTE]]</f>
        <v>18</v>
      </c>
      <c r="H664" s="6">
        <f>DAY(Consulta2[[#This Row],[DATA]])</f>
        <v>24</v>
      </c>
      <c r="I664" s="6">
        <f>MONTH(Consulta2[[#This Row],[DATA]])</f>
        <v>10</v>
      </c>
      <c r="J664" t="str">
        <f>CONCATENATE(Consulta2[[#This Row],[SAFRA]],Consulta2[[#This Row],[dia]])</f>
        <v>20251024</v>
      </c>
      <c r="K664">
        <f>Consulta2[[#This Row],[DIA_UTIL_CORRENTE]]</f>
        <v>18</v>
      </c>
    </row>
    <row r="665" spans="1:11" x14ac:dyDescent="0.25">
      <c r="A665">
        <v>202510</v>
      </c>
      <c r="B665">
        <v>18</v>
      </c>
      <c r="C665" s="148">
        <v>45955</v>
      </c>
      <c r="D665">
        <v>23</v>
      </c>
      <c r="E665">
        <v>23</v>
      </c>
      <c r="F665">
        <v>459</v>
      </c>
      <c r="G665">
        <f>Consulta2[[#This Row],[DIA_UTIL_CORRENTE]]</f>
        <v>18</v>
      </c>
      <c r="H665" s="6">
        <f>DAY(Consulta2[[#This Row],[DATA]])</f>
        <v>25</v>
      </c>
      <c r="I665" s="6">
        <f>MONTH(Consulta2[[#This Row],[DATA]])</f>
        <v>10</v>
      </c>
      <c r="J665" t="str">
        <f>CONCATENATE(Consulta2[[#This Row],[SAFRA]],Consulta2[[#This Row],[dia]])</f>
        <v>20251025</v>
      </c>
      <c r="K665">
        <f>Consulta2[[#This Row],[DIA_UTIL_CORRENTE]]</f>
        <v>18</v>
      </c>
    </row>
    <row r="666" spans="1:11" x14ac:dyDescent="0.25">
      <c r="A666">
        <v>202510</v>
      </c>
      <c r="B666">
        <v>18</v>
      </c>
      <c r="C666" s="148">
        <v>45956</v>
      </c>
      <c r="D666">
        <v>23</v>
      </c>
      <c r="E666">
        <v>23</v>
      </c>
      <c r="F666">
        <v>459</v>
      </c>
      <c r="G666">
        <f>Consulta2[[#This Row],[DIA_UTIL_CORRENTE]]</f>
        <v>18</v>
      </c>
      <c r="H666" s="6">
        <f>DAY(Consulta2[[#This Row],[DATA]])</f>
        <v>26</v>
      </c>
      <c r="I666" s="6">
        <f>MONTH(Consulta2[[#This Row],[DATA]])</f>
        <v>10</v>
      </c>
      <c r="J666" t="str">
        <f>CONCATENATE(Consulta2[[#This Row],[SAFRA]],Consulta2[[#This Row],[dia]])</f>
        <v>20251026</v>
      </c>
      <c r="K666">
        <f>Consulta2[[#This Row],[DIA_UTIL_CORRENTE]]</f>
        <v>18</v>
      </c>
    </row>
    <row r="667" spans="1:11" x14ac:dyDescent="0.25">
      <c r="A667">
        <v>202510</v>
      </c>
      <c r="B667">
        <v>19</v>
      </c>
      <c r="C667" s="148">
        <v>45957</v>
      </c>
      <c r="D667">
        <v>23</v>
      </c>
      <c r="E667">
        <v>23</v>
      </c>
      <c r="F667">
        <v>460</v>
      </c>
      <c r="G667">
        <f>Consulta2[[#This Row],[DIA_UTIL_CORRENTE]]</f>
        <v>19</v>
      </c>
      <c r="H667" s="6">
        <f>DAY(Consulta2[[#This Row],[DATA]])</f>
        <v>27</v>
      </c>
      <c r="I667" s="6">
        <f>MONTH(Consulta2[[#This Row],[DATA]])</f>
        <v>10</v>
      </c>
      <c r="J667" t="str">
        <f>CONCATENATE(Consulta2[[#This Row],[SAFRA]],Consulta2[[#This Row],[dia]])</f>
        <v>20251027</v>
      </c>
      <c r="K667">
        <f>Consulta2[[#This Row],[DIA_UTIL_CORRENTE]]</f>
        <v>19</v>
      </c>
    </row>
    <row r="668" spans="1:11" x14ac:dyDescent="0.25">
      <c r="A668">
        <v>202510</v>
      </c>
      <c r="B668">
        <v>20</v>
      </c>
      <c r="C668" s="148">
        <v>45958</v>
      </c>
      <c r="D668">
        <v>23</v>
      </c>
      <c r="E668">
        <v>23</v>
      </c>
      <c r="F668">
        <v>461</v>
      </c>
      <c r="G668">
        <f>Consulta2[[#This Row],[DIA_UTIL_CORRENTE]]</f>
        <v>20</v>
      </c>
      <c r="H668" s="6">
        <f>DAY(Consulta2[[#This Row],[DATA]])</f>
        <v>28</v>
      </c>
      <c r="I668" s="6">
        <f>MONTH(Consulta2[[#This Row],[DATA]])</f>
        <v>10</v>
      </c>
      <c r="J668" t="str">
        <f>CONCATENATE(Consulta2[[#This Row],[SAFRA]],Consulta2[[#This Row],[dia]])</f>
        <v>20251028</v>
      </c>
      <c r="K668">
        <f>Consulta2[[#This Row],[DIA_UTIL_CORRENTE]]</f>
        <v>20</v>
      </c>
    </row>
    <row r="669" spans="1:11" x14ac:dyDescent="0.25">
      <c r="A669">
        <v>202510</v>
      </c>
      <c r="B669">
        <v>21</v>
      </c>
      <c r="C669" s="148">
        <v>45959</v>
      </c>
      <c r="D669">
        <v>23</v>
      </c>
      <c r="E669">
        <v>23</v>
      </c>
      <c r="F669">
        <v>462</v>
      </c>
      <c r="G669">
        <f>Consulta2[[#This Row],[DIA_UTIL_CORRENTE]]</f>
        <v>21</v>
      </c>
      <c r="H669" s="6">
        <f>DAY(Consulta2[[#This Row],[DATA]])</f>
        <v>29</v>
      </c>
      <c r="I669" s="6">
        <f>MONTH(Consulta2[[#This Row],[DATA]])</f>
        <v>10</v>
      </c>
      <c r="J669" t="str">
        <f>CONCATENATE(Consulta2[[#This Row],[SAFRA]],Consulta2[[#This Row],[dia]])</f>
        <v>20251029</v>
      </c>
      <c r="K669">
        <f>Consulta2[[#This Row],[DIA_UTIL_CORRENTE]]</f>
        <v>21</v>
      </c>
    </row>
    <row r="670" spans="1:11" x14ac:dyDescent="0.25">
      <c r="A670">
        <v>202510</v>
      </c>
      <c r="B670">
        <v>22</v>
      </c>
      <c r="C670" s="148">
        <v>45960</v>
      </c>
      <c r="D670">
        <v>23</v>
      </c>
      <c r="E670">
        <v>23</v>
      </c>
      <c r="F670">
        <v>463</v>
      </c>
      <c r="G670">
        <f>Consulta2[[#This Row],[DIA_UTIL_CORRENTE]]</f>
        <v>22</v>
      </c>
      <c r="H670" s="6">
        <f>DAY(Consulta2[[#This Row],[DATA]])</f>
        <v>30</v>
      </c>
      <c r="I670" s="6">
        <f>MONTH(Consulta2[[#This Row],[DATA]])</f>
        <v>10</v>
      </c>
      <c r="J670" t="str">
        <f>CONCATENATE(Consulta2[[#This Row],[SAFRA]],Consulta2[[#This Row],[dia]])</f>
        <v>20251030</v>
      </c>
      <c r="K670">
        <f>Consulta2[[#This Row],[DIA_UTIL_CORRENTE]]</f>
        <v>22</v>
      </c>
    </row>
    <row r="671" spans="1:11" x14ac:dyDescent="0.25">
      <c r="A671">
        <v>202510</v>
      </c>
      <c r="B671">
        <v>23</v>
      </c>
      <c r="C671" s="148">
        <v>45961</v>
      </c>
      <c r="D671">
        <v>23</v>
      </c>
      <c r="E671">
        <v>23</v>
      </c>
      <c r="F671">
        <v>464</v>
      </c>
      <c r="G671">
        <f>Consulta2[[#This Row],[DIA_UTIL_CORRENTE]]</f>
        <v>23</v>
      </c>
      <c r="H671" s="6">
        <f>DAY(Consulta2[[#This Row],[DATA]])</f>
        <v>31</v>
      </c>
      <c r="I671" s="6">
        <f>MONTH(Consulta2[[#This Row],[DATA]])</f>
        <v>10</v>
      </c>
      <c r="J671" t="str">
        <f>CONCATENATE(Consulta2[[#This Row],[SAFRA]],Consulta2[[#This Row],[dia]])</f>
        <v>20251031</v>
      </c>
      <c r="K671">
        <f>Consulta2[[#This Row],[DIA_UTIL_CORRENTE]]</f>
        <v>23</v>
      </c>
    </row>
    <row r="672" spans="1:11" x14ac:dyDescent="0.25">
      <c r="A672">
        <v>202511</v>
      </c>
      <c r="B672">
        <v>0</v>
      </c>
      <c r="C672" s="148">
        <v>45962</v>
      </c>
      <c r="D672">
        <v>20</v>
      </c>
      <c r="E672">
        <v>20</v>
      </c>
      <c r="F672">
        <v>464</v>
      </c>
      <c r="G672">
        <f>Consulta2[[#This Row],[DIA_UTIL_CORRENTE]]</f>
        <v>0</v>
      </c>
      <c r="H672" s="6">
        <f>DAY(Consulta2[[#This Row],[DATA]])</f>
        <v>1</v>
      </c>
      <c r="I672" s="6">
        <f>MONTH(Consulta2[[#This Row],[DATA]])</f>
        <v>11</v>
      </c>
      <c r="J672" t="str">
        <f>CONCATENATE(Consulta2[[#This Row],[SAFRA]],Consulta2[[#This Row],[dia]])</f>
        <v>2025111</v>
      </c>
      <c r="K672">
        <f>Consulta2[[#This Row],[DIA_UTIL_CORRENTE]]</f>
        <v>0</v>
      </c>
    </row>
    <row r="673" spans="1:11" x14ac:dyDescent="0.25">
      <c r="A673">
        <v>202511</v>
      </c>
      <c r="B673">
        <v>0</v>
      </c>
      <c r="C673" s="148">
        <v>45963</v>
      </c>
      <c r="D673">
        <v>20</v>
      </c>
      <c r="E673">
        <v>20</v>
      </c>
      <c r="F673">
        <v>464</v>
      </c>
      <c r="G673">
        <f>Consulta2[[#This Row],[DIA_UTIL_CORRENTE]]</f>
        <v>0</v>
      </c>
      <c r="H673" s="6">
        <f>DAY(Consulta2[[#This Row],[DATA]])</f>
        <v>2</v>
      </c>
      <c r="I673" s="6">
        <f>MONTH(Consulta2[[#This Row],[DATA]])</f>
        <v>11</v>
      </c>
      <c r="J673" t="str">
        <f>CONCATENATE(Consulta2[[#This Row],[SAFRA]],Consulta2[[#This Row],[dia]])</f>
        <v>2025112</v>
      </c>
      <c r="K673">
        <f>Consulta2[[#This Row],[DIA_UTIL_CORRENTE]]</f>
        <v>0</v>
      </c>
    </row>
    <row r="674" spans="1:11" x14ac:dyDescent="0.25">
      <c r="A674">
        <v>202511</v>
      </c>
      <c r="B674">
        <v>1</v>
      </c>
      <c r="C674" s="148">
        <v>45964</v>
      </c>
      <c r="D674">
        <v>20</v>
      </c>
      <c r="E674">
        <v>20</v>
      </c>
      <c r="F674">
        <v>465</v>
      </c>
      <c r="G674">
        <f>Consulta2[[#This Row],[DIA_UTIL_CORRENTE]]</f>
        <v>1</v>
      </c>
      <c r="H674" s="6">
        <f>DAY(Consulta2[[#This Row],[DATA]])</f>
        <v>3</v>
      </c>
      <c r="I674" s="6">
        <f>MONTH(Consulta2[[#This Row],[DATA]])</f>
        <v>11</v>
      </c>
      <c r="J674" t="str">
        <f>CONCATENATE(Consulta2[[#This Row],[SAFRA]],Consulta2[[#This Row],[dia]])</f>
        <v>2025113</v>
      </c>
      <c r="K674">
        <f>Consulta2[[#This Row],[DIA_UTIL_CORRENTE]]</f>
        <v>1</v>
      </c>
    </row>
    <row r="675" spans="1:11" x14ac:dyDescent="0.25">
      <c r="A675">
        <v>202511</v>
      </c>
      <c r="B675">
        <v>2</v>
      </c>
      <c r="C675" s="148">
        <v>45965</v>
      </c>
      <c r="D675">
        <v>20</v>
      </c>
      <c r="E675">
        <v>20</v>
      </c>
      <c r="F675">
        <v>466</v>
      </c>
      <c r="G675">
        <f>Consulta2[[#This Row],[DIA_UTIL_CORRENTE]]</f>
        <v>2</v>
      </c>
      <c r="H675" s="6">
        <f>DAY(Consulta2[[#This Row],[DATA]])</f>
        <v>4</v>
      </c>
      <c r="I675" s="6">
        <f>MONTH(Consulta2[[#This Row],[DATA]])</f>
        <v>11</v>
      </c>
      <c r="J675" t="str">
        <f>CONCATENATE(Consulta2[[#This Row],[SAFRA]],Consulta2[[#This Row],[dia]])</f>
        <v>2025114</v>
      </c>
      <c r="K675">
        <f>Consulta2[[#This Row],[DIA_UTIL_CORRENTE]]</f>
        <v>2</v>
      </c>
    </row>
    <row r="676" spans="1:11" x14ac:dyDescent="0.25">
      <c r="A676">
        <v>202511</v>
      </c>
      <c r="B676">
        <v>3</v>
      </c>
      <c r="C676" s="148">
        <v>45966</v>
      </c>
      <c r="D676">
        <v>20</v>
      </c>
      <c r="E676">
        <v>20</v>
      </c>
      <c r="F676">
        <v>467</v>
      </c>
      <c r="G676">
        <f>Consulta2[[#This Row],[DIA_UTIL_CORRENTE]]</f>
        <v>3</v>
      </c>
      <c r="H676" s="6">
        <f>DAY(Consulta2[[#This Row],[DATA]])</f>
        <v>5</v>
      </c>
      <c r="I676" s="6">
        <f>MONTH(Consulta2[[#This Row],[DATA]])</f>
        <v>11</v>
      </c>
      <c r="J676" t="str">
        <f>CONCATENATE(Consulta2[[#This Row],[SAFRA]],Consulta2[[#This Row],[dia]])</f>
        <v>2025115</v>
      </c>
      <c r="K676">
        <f>Consulta2[[#This Row],[DIA_UTIL_CORRENTE]]</f>
        <v>3</v>
      </c>
    </row>
    <row r="677" spans="1:11" x14ac:dyDescent="0.25">
      <c r="A677">
        <v>202511</v>
      </c>
      <c r="B677">
        <v>4</v>
      </c>
      <c r="C677" s="148">
        <v>45967</v>
      </c>
      <c r="D677">
        <v>20</v>
      </c>
      <c r="E677">
        <v>20</v>
      </c>
      <c r="F677">
        <v>468</v>
      </c>
      <c r="G677">
        <f>Consulta2[[#This Row],[DIA_UTIL_CORRENTE]]</f>
        <v>4</v>
      </c>
      <c r="H677" s="6">
        <f>DAY(Consulta2[[#This Row],[DATA]])</f>
        <v>6</v>
      </c>
      <c r="I677" s="6">
        <f>MONTH(Consulta2[[#This Row],[DATA]])</f>
        <v>11</v>
      </c>
      <c r="J677" t="str">
        <f>CONCATENATE(Consulta2[[#This Row],[SAFRA]],Consulta2[[#This Row],[dia]])</f>
        <v>2025116</v>
      </c>
      <c r="K677">
        <f>Consulta2[[#This Row],[DIA_UTIL_CORRENTE]]</f>
        <v>4</v>
      </c>
    </row>
    <row r="678" spans="1:11" x14ac:dyDescent="0.25">
      <c r="A678">
        <v>202511</v>
      </c>
      <c r="B678">
        <v>5</v>
      </c>
      <c r="C678" s="148">
        <v>45968</v>
      </c>
      <c r="D678">
        <v>20</v>
      </c>
      <c r="E678">
        <v>20</v>
      </c>
      <c r="F678">
        <v>469</v>
      </c>
      <c r="G678">
        <f>Consulta2[[#This Row],[DIA_UTIL_CORRENTE]]</f>
        <v>5</v>
      </c>
      <c r="H678" s="6">
        <f>DAY(Consulta2[[#This Row],[DATA]])</f>
        <v>7</v>
      </c>
      <c r="I678" s="6">
        <f>MONTH(Consulta2[[#This Row],[DATA]])</f>
        <v>11</v>
      </c>
      <c r="J678" t="str">
        <f>CONCATENATE(Consulta2[[#This Row],[SAFRA]],Consulta2[[#This Row],[dia]])</f>
        <v>2025117</v>
      </c>
      <c r="K678">
        <f>Consulta2[[#This Row],[DIA_UTIL_CORRENTE]]</f>
        <v>5</v>
      </c>
    </row>
    <row r="679" spans="1:11" x14ac:dyDescent="0.25">
      <c r="A679">
        <v>202511</v>
      </c>
      <c r="B679">
        <v>5</v>
      </c>
      <c r="C679" s="148">
        <v>45969</v>
      </c>
      <c r="D679">
        <v>20</v>
      </c>
      <c r="E679">
        <v>20</v>
      </c>
      <c r="F679">
        <v>469</v>
      </c>
      <c r="G679">
        <f>Consulta2[[#This Row],[DIA_UTIL_CORRENTE]]</f>
        <v>5</v>
      </c>
      <c r="H679" s="6">
        <f>DAY(Consulta2[[#This Row],[DATA]])</f>
        <v>8</v>
      </c>
      <c r="I679" s="6">
        <f>MONTH(Consulta2[[#This Row],[DATA]])</f>
        <v>11</v>
      </c>
      <c r="J679" t="str">
        <f>CONCATENATE(Consulta2[[#This Row],[SAFRA]],Consulta2[[#This Row],[dia]])</f>
        <v>2025118</v>
      </c>
      <c r="K679">
        <f>Consulta2[[#This Row],[DIA_UTIL_CORRENTE]]</f>
        <v>5</v>
      </c>
    </row>
    <row r="680" spans="1:11" x14ac:dyDescent="0.25">
      <c r="A680">
        <v>202511</v>
      </c>
      <c r="B680">
        <v>5</v>
      </c>
      <c r="C680" s="148">
        <v>45970</v>
      </c>
      <c r="D680">
        <v>20</v>
      </c>
      <c r="E680">
        <v>20</v>
      </c>
      <c r="F680">
        <v>469</v>
      </c>
      <c r="G680">
        <f>Consulta2[[#This Row],[DIA_UTIL_CORRENTE]]</f>
        <v>5</v>
      </c>
      <c r="H680" s="6">
        <f>DAY(Consulta2[[#This Row],[DATA]])</f>
        <v>9</v>
      </c>
      <c r="I680" s="6">
        <f>MONTH(Consulta2[[#This Row],[DATA]])</f>
        <v>11</v>
      </c>
      <c r="J680" t="str">
        <f>CONCATENATE(Consulta2[[#This Row],[SAFRA]],Consulta2[[#This Row],[dia]])</f>
        <v>2025119</v>
      </c>
      <c r="K680">
        <f>Consulta2[[#This Row],[DIA_UTIL_CORRENTE]]</f>
        <v>5</v>
      </c>
    </row>
    <row r="681" spans="1:11" x14ac:dyDescent="0.25">
      <c r="A681">
        <v>202511</v>
      </c>
      <c r="B681">
        <v>6</v>
      </c>
      <c r="C681" s="148">
        <v>45971</v>
      </c>
      <c r="D681">
        <v>20</v>
      </c>
      <c r="E681">
        <v>20</v>
      </c>
      <c r="F681">
        <v>470</v>
      </c>
      <c r="G681">
        <f>Consulta2[[#This Row],[DIA_UTIL_CORRENTE]]</f>
        <v>6</v>
      </c>
      <c r="H681" s="6">
        <f>DAY(Consulta2[[#This Row],[DATA]])</f>
        <v>10</v>
      </c>
      <c r="I681" s="6">
        <f>MONTH(Consulta2[[#This Row],[DATA]])</f>
        <v>11</v>
      </c>
      <c r="J681" t="str">
        <f>CONCATENATE(Consulta2[[#This Row],[SAFRA]],Consulta2[[#This Row],[dia]])</f>
        <v>20251110</v>
      </c>
      <c r="K681">
        <f>Consulta2[[#This Row],[DIA_UTIL_CORRENTE]]</f>
        <v>6</v>
      </c>
    </row>
    <row r="682" spans="1:11" x14ac:dyDescent="0.25">
      <c r="A682">
        <v>202511</v>
      </c>
      <c r="B682">
        <v>7</v>
      </c>
      <c r="C682" s="148">
        <v>45972</v>
      </c>
      <c r="D682">
        <v>20</v>
      </c>
      <c r="E682">
        <v>20</v>
      </c>
      <c r="F682">
        <v>471</v>
      </c>
      <c r="G682">
        <f>Consulta2[[#This Row],[DIA_UTIL_CORRENTE]]</f>
        <v>7</v>
      </c>
      <c r="H682" s="6">
        <f>DAY(Consulta2[[#This Row],[DATA]])</f>
        <v>11</v>
      </c>
      <c r="I682" s="6">
        <f>MONTH(Consulta2[[#This Row],[DATA]])</f>
        <v>11</v>
      </c>
      <c r="J682" t="str">
        <f>CONCATENATE(Consulta2[[#This Row],[SAFRA]],Consulta2[[#This Row],[dia]])</f>
        <v>20251111</v>
      </c>
      <c r="K682">
        <f>Consulta2[[#This Row],[DIA_UTIL_CORRENTE]]</f>
        <v>7</v>
      </c>
    </row>
    <row r="683" spans="1:11" x14ac:dyDescent="0.25">
      <c r="A683">
        <v>202511</v>
      </c>
      <c r="B683">
        <v>8</v>
      </c>
      <c r="C683" s="148">
        <v>45973</v>
      </c>
      <c r="D683">
        <v>20</v>
      </c>
      <c r="E683">
        <v>20</v>
      </c>
      <c r="F683">
        <v>472</v>
      </c>
      <c r="G683">
        <f>Consulta2[[#This Row],[DIA_UTIL_CORRENTE]]</f>
        <v>8</v>
      </c>
      <c r="H683" s="6">
        <f>DAY(Consulta2[[#This Row],[DATA]])</f>
        <v>12</v>
      </c>
      <c r="I683" s="6">
        <f>MONTH(Consulta2[[#This Row],[DATA]])</f>
        <v>11</v>
      </c>
      <c r="J683" t="str">
        <f>CONCATENATE(Consulta2[[#This Row],[SAFRA]],Consulta2[[#This Row],[dia]])</f>
        <v>20251112</v>
      </c>
      <c r="K683">
        <f>Consulta2[[#This Row],[DIA_UTIL_CORRENTE]]</f>
        <v>8</v>
      </c>
    </row>
    <row r="684" spans="1:11" x14ac:dyDescent="0.25">
      <c r="A684">
        <v>202511</v>
      </c>
      <c r="B684">
        <v>9</v>
      </c>
      <c r="C684" s="148">
        <v>45974</v>
      </c>
      <c r="D684">
        <v>20</v>
      </c>
      <c r="E684">
        <v>20</v>
      </c>
      <c r="F684">
        <v>473</v>
      </c>
      <c r="G684">
        <f>Consulta2[[#This Row],[DIA_UTIL_CORRENTE]]</f>
        <v>9</v>
      </c>
      <c r="H684" s="6">
        <f>DAY(Consulta2[[#This Row],[DATA]])</f>
        <v>13</v>
      </c>
      <c r="I684" s="6">
        <f>MONTH(Consulta2[[#This Row],[DATA]])</f>
        <v>11</v>
      </c>
      <c r="J684" t="str">
        <f>CONCATENATE(Consulta2[[#This Row],[SAFRA]],Consulta2[[#This Row],[dia]])</f>
        <v>20251113</v>
      </c>
      <c r="K684">
        <f>Consulta2[[#This Row],[DIA_UTIL_CORRENTE]]</f>
        <v>9</v>
      </c>
    </row>
    <row r="685" spans="1:11" x14ac:dyDescent="0.25">
      <c r="A685">
        <v>202511</v>
      </c>
      <c r="B685">
        <v>10</v>
      </c>
      <c r="C685" s="148">
        <v>45975</v>
      </c>
      <c r="D685">
        <v>20</v>
      </c>
      <c r="E685">
        <v>20</v>
      </c>
      <c r="F685">
        <v>474</v>
      </c>
      <c r="G685">
        <f>Consulta2[[#This Row],[DIA_UTIL_CORRENTE]]</f>
        <v>10</v>
      </c>
      <c r="H685" s="6">
        <f>DAY(Consulta2[[#This Row],[DATA]])</f>
        <v>14</v>
      </c>
      <c r="I685" s="6">
        <f>MONTH(Consulta2[[#This Row],[DATA]])</f>
        <v>11</v>
      </c>
      <c r="J685" t="str">
        <f>CONCATENATE(Consulta2[[#This Row],[SAFRA]],Consulta2[[#This Row],[dia]])</f>
        <v>20251114</v>
      </c>
      <c r="K685">
        <f>Consulta2[[#This Row],[DIA_UTIL_CORRENTE]]</f>
        <v>10</v>
      </c>
    </row>
    <row r="686" spans="1:11" x14ac:dyDescent="0.25">
      <c r="A686">
        <v>202511</v>
      </c>
      <c r="B686">
        <v>10</v>
      </c>
      <c r="C686" s="148">
        <v>45976</v>
      </c>
      <c r="D686">
        <v>20</v>
      </c>
      <c r="E686">
        <v>20</v>
      </c>
      <c r="F686">
        <v>474</v>
      </c>
      <c r="G686">
        <f>Consulta2[[#This Row],[DIA_UTIL_CORRENTE]]</f>
        <v>10</v>
      </c>
      <c r="H686" s="6">
        <f>DAY(Consulta2[[#This Row],[DATA]])</f>
        <v>15</v>
      </c>
      <c r="I686" s="6">
        <f>MONTH(Consulta2[[#This Row],[DATA]])</f>
        <v>11</v>
      </c>
      <c r="J686" t="str">
        <f>CONCATENATE(Consulta2[[#This Row],[SAFRA]],Consulta2[[#This Row],[dia]])</f>
        <v>20251115</v>
      </c>
      <c r="K686">
        <f>Consulta2[[#This Row],[DIA_UTIL_CORRENTE]]</f>
        <v>10</v>
      </c>
    </row>
    <row r="687" spans="1:11" x14ac:dyDescent="0.25">
      <c r="A687">
        <v>202511</v>
      </c>
      <c r="B687">
        <v>10</v>
      </c>
      <c r="C687" s="148">
        <v>45977</v>
      </c>
      <c r="D687">
        <v>20</v>
      </c>
      <c r="E687">
        <v>20</v>
      </c>
      <c r="F687">
        <v>474</v>
      </c>
      <c r="G687">
        <f>Consulta2[[#This Row],[DIA_UTIL_CORRENTE]]</f>
        <v>10</v>
      </c>
      <c r="H687" s="6">
        <f>DAY(Consulta2[[#This Row],[DATA]])</f>
        <v>16</v>
      </c>
      <c r="I687" s="6">
        <f>MONTH(Consulta2[[#This Row],[DATA]])</f>
        <v>11</v>
      </c>
      <c r="J687" t="str">
        <f>CONCATENATE(Consulta2[[#This Row],[SAFRA]],Consulta2[[#This Row],[dia]])</f>
        <v>20251116</v>
      </c>
      <c r="K687">
        <f>Consulta2[[#This Row],[DIA_UTIL_CORRENTE]]</f>
        <v>10</v>
      </c>
    </row>
    <row r="688" spans="1:11" x14ac:dyDescent="0.25">
      <c r="A688">
        <v>202511</v>
      </c>
      <c r="B688">
        <v>11</v>
      </c>
      <c r="C688" s="148">
        <v>45978</v>
      </c>
      <c r="D688">
        <v>20</v>
      </c>
      <c r="E688">
        <v>20</v>
      </c>
      <c r="F688">
        <v>475</v>
      </c>
      <c r="G688">
        <f>Consulta2[[#This Row],[DIA_UTIL_CORRENTE]]</f>
        <v>11</v>
      </c>
      <c r="H688" s="6">
        <f>DAY(Consulta2[[#This Row],[DATA]])</f>
        <v>17</v>
      </c>
      <c r="I688" s="6">
        <f>MONTH(Consulta2[[#This Row],[DATA]])</f>
        <v>11</v>
      </c>
      <c r="J688" t="str">
        <f>CONCATENATE(Consulta2[[#This Row],[SAFRA]],Consulta2[[#This Row],[dia]])</f>
        <v>20251117</v>
      </c>
      <c r="K688">
        <f>Consulta2[[#This Row],[DIA_UTIL_CORRENTE]]</f>
        <v>11</v>
      </c>
    </row>
    <row r="689" spans="1:11" x14ac:dyDescent="0.25">
      <c r="A689">
        <v>202511</v>
      </c>
      <c r="B689">
        <v>12</v>
      </c>
      <c r="C689" s="148">
        <v>45979</v>
      </c>
      <c r="D689">
        <v>20</v>
      </c>
      <c r="E689">
        <v>20</v>
      </c>
      <c r="F689">
        <v>476</v>
      </c>
      <c r="G689">
        <f>Consulta2[[#This Row],[DIA_UTIL_CORRENTE]]</f>
        <v>12</v>
      </c>
      <c r="H689" s="6">
        <f>DAY(Consulta2[[#This Row],[DATA]])</f>
        <v>18</v>
      </c>
      <c r="I689" s="6">
        <f>MONTH(Consulta2[[#This Row],[DATA]])</f>
        <v>11</v>
      </c>
      <c r="J689" t="str">
        <f>CONCATENATE(Consulta2[[#This Row],[SAFRA]],Consulta2[[#This Row],[dia]])</f>
        <v>20251118</v>
      </c>
      <c r="K689">
        <f>Consulta2[[#This Row],[DIA_UTIL_CORRENTE]]</f>
        <v>12</v>
      </c>
    </row>
    <row r="690" spans="1:11" x14ac:dyDescent="0.25">
      <c r="A690">
        <v>202511</v>
      </c>
      <c r="B690">
        <v>13</v>
      </c>
      <c r="C690" s="148">
        <v>45980</v>
      </c>
      <c r="D690">
        <v>20</v>
      </c>
      <c r="E690">
        <v>20</v>
      </c>
      <c r="F690">
        <v>477</v>
      </c>
      <c r="G690">
        <f>Consulta2[[#This Row],[DIA_UTIL_CORRENTE]]</f>
        <v>13</v>
      </c>
      <c r="H690" s="6">
        <f>DAY(Consulta2[[#This Row],[DATA]])</f>
        <v>19</v>
      </c>
      <c r="I690" s="6">
        <f>MONTH(Consulta2[[#This Row],[DATA]])</f>
        <v>11</v>
      </c>
      <c r="J690" t="str">
        <f>CONCATENATE(Consulta2[[#This Row],[SAFRA]],Consulta2[[#This Row],[dia]])</f>
        <v>20251119</v>
      </c>
      <c r="K690">
        <f>Consulta2[[#This Row],[DIA_UTIL_CORRENTE]]</f>
        <v>13</v>
      </c>
    </row>
    <row r="691" spans="1:11" x14ac:dyDescent="0.25">
      <c r="A691">
        <v>202511</v>
      </c>
      <c r="B691">
        <v>14</v>
      </c>
      <c r="C691" s="148">
        <v>45981</v>
      </c>
      <c r="D691">
        <v>20</v>
      </c>
      <c r="E691">
        <v>20</v>
      </c>
      <c r="F691">
        <v>478</v>
      </c>
      <c r="G691">
        <f>Consulta2[[#This Row],[DIA_UTIL_CORRENTE]]</f>
        <v>14</v>
      </c>
      <c r="H691" s="6">
        <f>DAY(Consulta2[[#This Row],[DATA]])</f>
        <v>20</v>
      </c>
      <c r="I691" s="6">
        <f>MONTH(Consulta2[[#This Row],[DATA]])</f>
        <v>11</v>
      </c>
      <c r="J691" t="str">
        <f>CONCATENATE(Consulta2[[#This Row],[SAFRA]],Consulta2[[#This Row],[dia]])</f>
        <v>20251120</v>
      </c>
      <c r="K691">
        <f>Consulta2[[#This Row],[DIA_UTIL_CORRENTE]]</f>
        <v>14</v>
      </c>
    </row>
    <row r="692" spans="1:11" x14ac:dyDescent="0.25">
      <c r="A692">
        <v>202511</v>
      </c>
      <c r="B692">
        <v>15</v>
      </c>
      <c r="C692" s="148">
        <v>45982</v>
      </c>
      <c r="D692">
        <v>20</v>
      </c>
      <c r="E692">
        <v>20</v>
      </c>
      <c r="F692">
        <v>479</v>
      </c>
      <c r="G692">
        <f>Consulta2[[#This Row],[DIA_UTIL_CORRENTE]]</f>
        <v>15</v>
      </c>
      <c r="H692" s="6">
        <f>DAY(Consulta2[[#This Row],[DATA]])</f>
        <v>21</v>
      </c>
      <c r="I692" s="6">
        <f>MONTH(Consulta2[[#This Row],[DATA]])</f>
        <v>11</v>
      </c>
      <c r="J692" t="str">
        <f>CONCATENATE(Consulta2[[#This Row],[SAFRA]],Consulta2[[#This Row],[dia]])</f>
        <v>20251121</v>
      </c>
      <c r="K692">
        <f>Consulta2[[#This Row],[DIA_UTIL_CORRENTE]]</f>
        <v>15</v>
      </c>
    </row>
    <row r="693" spans="1:11" x14ac:dyDescent="0.25">
      <c r="A693">
        <v>202511</v>
      </c>
      <c r="B693">
        <v>15</v>
      </c>
      <c r="C693" s="148">
        <v>45983</v>
      </c>
      <c r="D693">
        <v>20</v>
      </c>
      <c r="E693">
        <v>20</v>
      </c>
      <c r="F693">
        <v>479</v>
      </c>
      <c r="G693">
        <f>Consulta2[[#This Row],[DIA_UTIL_CORRENTE]]</f>
        <v>15</v>
      </c>
      <c r="H693" s="6">
        <f>DAY(Consulta2[[#This Row],[DATA]])</f>
        <v>22</v>
      </c>
      <c r="I693" s="6">
        <f>MONTH(Consulta2[[#This Row],[DATA]])</f>
        <v>11</v>
      </c>
      <c r="J693" t="str">
        <f>CONCATENATE(Consulta2[[#This Row],[SAFRA]],Consulta2[[#This Row],[dia]])</f>
        <v>20251122</v>
      </c>
      <c r="K693">
        <f>Consulta2[[#This Row],[DIA_UTIL_CORRENTE]]</f>
        <v>15</v>
      </c>
    </row>
    <row r="694" spans="1:11" x14ac:dyDescent="0.25">
      <c r="A694">
        <v>202511</v>
      </c>
      <c r="B694">
        <v>15</v>
      </c>
      <c r="C694" s="148">
        <v>45984</v>
      </c>
      <c r="D694">
        <v>20</v>
      </c>
      <c r="E694">
        <v>20</v>
      </c>
      <c r="F694">
        <v>479</v>
      </c>
      <c r="G694">
        <f>Consulta2[[#This Row],[DIA_UTIL_CORRENTE]]</f>
        <v>15</v>
      </c>
      <c r="H694" s="6">
        <f>DAY(Consulta2[[#This Row],[DATA]])</f>
        <v>23</v>
      </c>
      <c r="I694" s="6">
        <f>MONTH(Consulta2[[#This Row],[DATA]])</f>
        <v>11</v>
      </c>
      <c r="J694" t="str">
        <f>CONCATENATE(Consulta2[[#This Row],[SAFRA]],Consulta2[[#This Row],[dia]])</f>
        <v>20251123</v>
      </c>
      <c r="K694">
        <f>Consulta2[[#This Row],[DIA_UTIL_CORRENTE]]</f>
        <v>15</v>
      </c>
    </row>
    <row r="695" spans="1:11" x14ac:dyDescent="0.25">
      <c r="A695">
        <v>202511</v>
      </c>
      <c r="B695">
        <v>16</v>
      </c>
      <c r="C695" s="148">
        <v>45985</v>
      </c>
      <c r="D695">
        <v>20</v>
      </c>
      <c r="E695">
        <v>20</v>
      </c>
      <c r="F695">
        <v>480</v>
      </c>
      <c r="G695">
        <f>Consulta2[[#This Row],[DIA_UTIL_CORRENTE]]</f>
        <v>16</v>
      </c>
      <c r="H695" s="6">
        <f>DAY(Consulta2[[#This Row],[DATA]])</f>
        <v>24</v>
      </c>
      <c r="I695" s="6">
        <f>MONTH(Consulta2[[#This Row],[DATA]])</f>
        <v>11</v>
      </c>
      <c r="J695" t="str">
        <f>CONCATENATE(Consulta2[[#This Row],[SAFRA]],Consulta2[[#This Row],[dia]])</f>
        <v>20251124</v>
      </c>
      <c r="K695">
        <f>Consulta2[[#This Row],[DIA_UTIL_CORRENTE]]</f>
        <v>16</v>
      </c>
    </row>
    <row r="696" spans="1:11" x14ac:dyDescent="0.25">
      <c r="A696">
        <v>202511</v>
      </c>
      <c r="B696">
        <v>17</v>
      </c>
      <c r="C696" s="148">
        <v>45986</v>
      </c>
      <c r="D696">
        <v>20</v>
      </c>
      <c r="E696">
        <v>20</v>
      </c>
      <c r="F696">
        <v>481</v>
      </c>
      <c r="G696">
        <f>Consulta2[[#This Row],[DIA_UTIL_CORRENTE]]</f>
        <v>17</v>
      </c>
      <c r="H696" s="6">
        <f>DAY(Consulta2[[#This Row],[DATA]])</f>
        <v>25</v>
      </c>
      <c r="I696" s="6">
        <f>MONTH(Consulta2[[#This Row],[DATA]])</f>
        <v>11</v>
      </c>
      <c r="J696" t="str">
        <f>CONCATENATE(Consulta2[[#This Row],[SAFRA]],Consulta2[[#This Row],[dia]])</f>
        <v>20251125</v>
      </c>
      <c r="K696">
        <f>Consulta2[[#This Row],[DIA_UTIL_CORRENTE]]</f>
        <v>17</v>
      </c>
    </row>
    <row r="697" spans="1:11" x14ac:dyDescent="0.25">
      <c r="A697">
        <v>202511</v>
      </c>
      <c r="B697">
        <v>18</v>
      </c>
      <c r="C697" s="148">
        <v>45987</v>
      </c>
      <c r="D697">
        <v>20</v>
      </c>
      <c r="E697">
        <v>20</v>
      </c>
      <c r="F697">
        <v>482</v>
      </c>
      <c r="G697">
        <f>Consulta2[[#This Row],[DIA_UTIL_CORRENTE]]</f>
        <v>18</v>
      </c>
      <c r="H697" s="6">
        <f>DAY(Consulta2[[#This Row],[DATA]])</f>
        <v>26</v>
      </c>
      <c r="I697" s="6">
        <f>MONTH(Consulta2[[#This Row],[DATA]])</f>
        <v>11</v>
      </c>
      <c r="J697" t="str">
        <f>CONCATENATE(Consulta2[[#This Row],[SAFRA]],Consulta2[[#This Row],[dia]])</f>
        <v>20251126</v>
      </c>
      <c r="K697">
        <f>Consulta2[[#This Row],[DIA_UTIL_CORRENTE]]</f>
        <v>18</v>
      </c>
    </row>
    <row r="698" spans="1:11" x14ac:dyDescent="0.25">
      <c r="A698">
        <v>202511</v>
      </c>
      <c r="B698">
        <v>19</v>
      </c>
      <c r="C698" s="148">
        <v>45988</v>
      </c>
      <c r="D698">
        <v>20</v>
      </c>
      <c r="E698">
        <v>20</v>
      </c>
      <c r="F698">
        <v>483</v>
      </c>
      <c r="G698">
        <f>Consulta2[[#This Row],[DIA_UTIL_CORRENTE]]</f>
        <v>19</v>
      </c>
      <c r="H698" s="6">
        <f>DAY(Consulta2[[#This Row],[DATA]])</f>
        <v>27</v>
      </c>
      <c r="I698" s="6">
        <f>MONTH(Consulta2[[#This Row],[DATA]])</f>
        <v>11</v>
      </c>
      <c r="J698" t="str">
        <f>CONCATENATE(Consulta2[[#This Row],[SAFRA]],Consulta2[[#This Row],[dia]])</f>
        <v>20251127</v>
      </c>
      <c r="K698">
        <f>Consulta2[[#This Row],[DIA_UTIL_CORRENTE]]</f>
        <v>19</v>
      </c>
    </row>
    <row r="699" spans="1:11" x14ac:dyDescent="0.25">
      <c r="A699">
        <v>202511</v>
      </c>
      <c r="B699">
        <v>20</v>
      </c>
      <c r="C699" s="148">
        <v>45989</v>
      </c>
      <c r="D699">
        <v>20</v>
      </c>
      <c r="E699">
        <v>20</v>
      </c>
      <c r="F699">
        <v>484</v>
      </c>
      <c r="G699">
        <f>Consulta2[[#This Row],[DIA_UTIL_CORRENTE]]</f>
        <v>20</v>
      </c>
      <c r="H699" s="6">
        <f>DAY(Consulta2[[#This Row],[DATA]])</f>
        <v>28</v>
      </c>
      <c r="I699" s="6">
        <f>MONTH(Consulta2[[#This Row],[DATA]])</f>
        <v>11</v>
      </c>
      <c r="J699" t="str">
        <f>CONCATENATE(Consulta2[[#This Row],[SAFRA]],Consulta2[[#This Row],[dia]])</f>
        <v>20251128</v>
      </c>
      <c r="K699">
        <f>Consulta2[[#This Row],[DIA_UTIL_CORRENTE]]</f>
        <v>20</v>
      </c>
    </row>
    <row r="700" spans="1:11" x14ac:dyDescent="0.25">
      <c r="A700">
        <v>202511</v>
      </c>
      <c r="B700">
        <v>20</v>
      </c>
      <c r="C700" s="148">
        <v>45990</v>
      </c>
      <c r="D700">
        <v>20</v>
      </c>
      <c r="E700">
        <v>20</v>
      </c>
      <c r="F700">
        <v>484</v>
      </c>
      <c r="G700">
        <f>Consulta2[[#This Row],[DIA_UTIL_CORRENTE]]</f>
        <v>20</v>
      </c>
      <c r="H700" s="6">
        <f>DAY(Consulta2[[#This Row],[DATA]])</f>
        <v>29</v>
      </c>
      <c r="I700" s="6">
        <f>MONTH(Consulta2[[#This Row],[DATA]])</f>
        <v>11</v>
      </c>
      <c r="J700" t="str">
        <f>CONCATENATE(Consulta2[[#This Row],[SAFRA]],Consulta2[[#This Row],[dia]])</f>
        <v>20251129</v>
      </c>
      <c r="K700">
        <f>Consulta2[[#This Row],[DIA_UTIL_CORRENTE]]</f>
        <v>20</v>
      </c>
    </row>
    <row r="701" spans="1:11" x14ac:dyDescent="0.25">
      <c r="A701">
        <v>202511</v>
      </c>
      <c r="B701">
        <v>20</v>
      </c>
      <c r="C701" s="148">
        <v>45991</v>
      </c>
      <c r="D701">
        <v>20</v>
      </c>
      <c r="E701">
        <v>20</v>
      </c>
      <c r="F701">
        <v>484</v>
      </c>
      <c r="G701">
        <f>Consulta2[[#This Row],[DIA_UTIL_CORRENTE]]</f>
        <v>20</v>
      </c>
      <c r="H701" s="6">
        <f>DAY(Consulta2[[#This Row],[DATA]])</f>
        <v>30</v>
      </c>
      <c r="I701" s="6">
        <f>MONTH(Consulta2[[#This Row],[DATA]])</f>
        <v>11</v>
      </c>
      <c r="J701" t="str">
        <f>CONCATENATE(Consulta2[[#This Row],[SAFRA]],Consulta2[[#This Row],[dia]])</f>
        <v>20251130</v>
      </c>
      <c r="K701">
        <f>Consulta2[[#This Row],[DIA_UTIL_CORRENTE]]</f>
        <v>20</v>
      </c>
    </row>
    <row r="702" spans="1:11" x14ac:dyDescent="0.25">
      <c r="A702">
        <v>202512</v>
      </c>
      <c r="B702">
        <v>1</v>
      </c>
      <c r="C702" s="148">
        <v>45992</v>
      </c>
      <c r="D702">
        <v>22</v>
      </c>
      <c r="E702">
        <v>22</v>
      </c>
      <c r="F702">
        <v>485</v>
      </c>
      <c r="G702">
        <f>Consulta2[[#This Row],[DIA_UTIL_CORRENTE]]</f>
        <v>1</v>
      </c>
      <c r="H702" s="6">
        <f>DAY(Consulta2[[#This Row],[DATA]])</f>
        <v>1</v>
      </c>
      <c r="I702" s="6">
        <f>MONTH(Consulta2[[#This Row],[DATA]])</f>
        <v>12</v>
      </c>
      <c r="J702" t="str">
        <f>CONCATENATE(Consulta2[[#This Row],[SAFRA]],Consulta2[[#This Row],[dia]])</f>
        <v>2025121</v>
      </c>
      <c r="K702">
        <f>Consulta2[[#This Row],[DIA_UTIL_CORRENTE]]</f>
        <v>1</v>
      </c>
    </row>
    <row r="703" spans="1:11" x14ac:dyDescent="0.25">
      <c r="A703">
        <v>202512</v>
      </c>
      <c r="B703">
        <v>2</v>
      </c>
      <c r="C703" s="148">
        <v>45993</v>
      </c>
      <c r="D703">
        <v>22</v>
      </c>
      <c r="E703">
        <v>22</v>
      </c>
      <c r="F703">
        <v>486</v>
      </c>
      <c r="G703">
        <f>Consulta2[[#This Row],[DIA_UTIL_CORRENTE]]</f>
        <v>2</v>
      </c>
      <c r="H703" s="6">
        <f>DAY(Consulta2[[#This Row],[DATA]])</f>
        <v>2</v>
      </c>
      <c r="I703" s="6">
        <f>MONTH(Consulta2[[#This Row],[DATA]])</f>
        <v>12</v>
      </c>
      <c r="J703" t="str">
        <f>CONCATENATE(Consulta2[[#This Row],[SAFRA]],Consulta2[[#This Row],[dia]])</f>
        <v>2025122</v>
      </c>
      <c r="K703">
        <f>Consulta2[[#This Row],[DIA_UTIL_CORRENTE]]</f>
        <v>2</v>
      </c>
    </row>
    <row r="704" spans="1:11" x14ac:dyDescent="0.25">
      <c r="A704">
        <v>202512</v>
      </c>
      <c r="B704">
        <v>3</v>
      </c>
      <c r="C704" s="148">
        <v>45994</v>
      </c>
      <c r="D704">
        <v>22</v>
      </c>
      <c r="E704">
        <v>22</v>
      </c>
      <c r="F704">
        <v>487</v>
      </c>
      <c r="G704">
        <f>Consulta2[[#This Row],[DIA_UTIL_CORRENTE]]</f>
        <v>3</v>
      </c>
      <c r="H704" s="6">
        <f>DAY(Consulta2[[#This Row],[DATA]])</f>
        <v>3</v>
      </c>
      <c r="I704" s="6">
        <f>MONTH(Consulta2[[#This Row],[DATA]])</f>
        <v>12</v>
      </c>
      <c r="J704" t="str">
        <f>CONCATENATE(Consulta2[[#This Row],[SAFRA]],Consulta2[[#This Row],[dia]])</f>
        <v>2025123</v>
      </c>
      <c r="K704">
        <f>Consulta2[[#This Row],[DIA_UTIL_CORRENTE]]</f>
        <v>3</v>
      </c>
    </row>
    <row r="705" spans="1:11" x14ac:dyDescent="0.25">
      <c r="A705">
        <v>202512</v>
      </c>
      <c r="B705">
        <v>4</v>
      </c>
      <c r="C705" s="148">
        <v>45995</v>
      </c>
      <c r="D705">
        <v>22</v>
      </c>
      <c r="E705">
        <v>22</v>
      </c>
      <c r="F705">
        <v>488</v>
      </c>
      <c r="G705">
        <f>Consulta2[[#This Row],[DIA_UTIL_CORRENTE]]</f>
        <v>4</v>
      </c>
      <c r="H705" s="6">
        <f>DAY(Consulta2[[#This Row],[DATA]])</f>
        <v>4</v>
      </c>
      <c r="I705" s="6">
        <f>MONTH(Consulta2[[#This Row],[DATA]])</f>
        <v>12</v>
      </c>
      <c r="J705" t="str">
        <f>CONCATENATE(Consulta2[[#This Row],[SAFRA]],Consulta2[[#This Row],[dia]])</f>
        <v>2025124</v>
      </c>
      <c r="K705">
        <f>Consulta2[[#This Row],[DIA_UTIL_CORRENTE]]</f>
        <v>4</v>
      </c>
    </row>
    <row r="706" spans="1:11" x14ac:dyDescent="0.25">
      <c r="A706">
        <v>202512</v>
      </c>
      <c r="B706">
        <v>5</v>
      </c>
      <c r="C706" s="148">
        <v>45996</v>
      </c>
      <c r="D706">
        <v>22</v>
      </c>
      <c r="E706">
        <v>22</v>
      </c>
      <c r="F706">
        <v>489</v>
      </c>
      <c r="G706">
        <f>Consulta2[[#This Row],[DIA_UTIL_CORRENTE]]</f>
        <v>5</v>
      </c>
      <c r="H706" s="6">
        <f>DAY(Consulta2[[#This Row],[DATA]])</f>
        <v>5</v>
      </c>
      <c r="I706" s="6">
        <f>MONTH(Consulta2[[#This Row],[DATA]])</f>
        <v>12</v>
      </c>
      <c r="J706" t="str">
        <f>CONCATENATE(Consulta2[[#This Row],[SAFRA]],Consulta2[[#This Row],[dia]])</f>
        <v>2025125</v>
      </c>
      <c r="K706">
        <f>Consulta2[[#This Row],[DIA_UTIL_CORRENTE]]</f>
        <v>5</v>
      </c>
    </row>
    <row r="707" spans="1:11" x14ac:dyDescent="0.25">
      <c r="A707">
        <v>202512</v>
      </c>
      <c r="B707">
        <v>5</v>
      </c>
      <c r="C707" s="148">
        <v>45997</v>
      </c>
      <c r="D707">
        <v>22</v>
      </c>
      <c r="E707">
        <v>22</v>
      </c>
      <c r="F707">
        <v>489</v>
      </c>
      <c r="G707">
        <f>Consulta2[[#This Row],[DIA_UTIL_CORRENTE]]</f>
        <v>5</v>
      </c>
      <c r="H707" s="6">
        <f>DAY(Consulta2[[#This Row],[DATA]])</f>
        <v>6</v>
      </c>
      <c r="I707" s="6">
        <f>MONTH(Consulta2[[#This Row],[DATA]])</f>
        <v>12</v>
      </c>
      <c r="J707" t="str">
        <f>CONCATENATE(Consulta2[[#This Row],[SAFRA]],Consulta2[[#This Row],[dia]])</f>
        <v>2025126</v>
      </c>
      <c r="K707">
        <f>Consulta2[[#This Row],[DIA_UTIL_CORRENTE]]</f>
        <v>5</v>
      </c>
    </row>
    <row r="708" spans="1:11" x14ac:dyDescent="0.25">
      <c r="A708">
        <v>202512</v>
      </c>
      <c r="B708">
        <v>5</v>
      </c>
      <c r="C708" s="148">
        <v>45998</v>
      </c>
      <c r="D708">
        <v>22</v>
      </c>
      <c r="E708">
        <v>22</v>
      </c>
      <c r="F708">
        <v>489</v>
      </c>
      <c r="G708">
        <f>Consulta2[[#This Row],[DIA_UTIL_CORRENTE]]</f>
        <v>5</v>
      </c>
      <c r="H708" s="6">
        <f>DAY(Consulta2[[#This Row],[DATA]])</f>
        <v>7</v>
      </c>
      <c r="I708" s="6">
        <f>MONTH(Consulta2[[#This Row],[DATA]])</f>
        <v>12</v>
      </c>
      <c r="J708" t="str">
        <f>CONCATENATE(Consulta2[[#This Row],[SAFRA]],Consulta2[[#This Row],[dia]])</f>
        <v>2025127</v>
      </c>
      <c r="K708">
        <f>Consulta2[[#This Row],[DIA_UTIL_CORRENTE]]</f>
        <v>5</v>
      </c>
    </row>
    <row r="709" spans="1:11" x14ac:dyDescent="0.25">
      <c r="A709">
        <v>202512</v>
      </c>
      <c r="B709">
        <v>6</v>
      </c>
      <c r="C709" s="148">
        <v>45999</v>
      </c>
      <c r="D709">
        <v>22</v>
      </c>
      <c r="E709">
        <v>22</v>
      </c>
      <c r="F709">
        <v>490</v>
      </c>
      <c r="G709">
        <f>Consulta2[[#This Row],[DIA_UTIL_CORRENTE]]</f>
        <v>6</v>
      </c>
      <c r="H709" s="6">
        <f>DAY(Consulta2[[#This Row],[DATA]])</f>
        <v>8</v>
      </c>
      <c r="I709" s="6">
        <f>MONTH(Consulta2[[#This Row],[DATA]])</f>
        <v>12</v>
      </c>
      <c r="J709" t="str">
        <f>CONCATENATE(Consulta2[[#This Row],[SAFRA]],Consulta2[[#This Row],[dia]])</f>
        <v>2025128</v>
      </c>
      <c r="K709">
        <f>Consulta2[[#This Row],[DIA_UTIL_CORRENTE]]</f>
        <v>6</v>
      </c>
    </row>
    <row r="710" spans="1:11" x14ac:dyDescent="0.25">
      <c r="A710">
        <v>202512</v>
      </c>
      <c r="B710">
        <v>7</v>
      </c>
      <c r="C710" s="148">
        <v>46000</v>
      </c>
      <c r="D710">
        <v>22</v>
      </c>
      <c r="E710">
        <v>22</v>
      </c>
      <c r="F710">
        <v>491</v>
      </c>
      <c r="G710">
        <f>Consulta2[[#This Row],[DIA_UTIL_CORRENTE]]</f>
        <v>7</v>
      </c>
      <c r="H710" s="6">
        <f>DAY(Consulta2[[#This Row],[DATA]])</f>
        <v>9</v>
      </c>
      <c r="I710" s="6">
        <f>MONTH(Consulta2[[#This Row],[DATA]])</f>
        <v>12</v>
      </c>
      <c r="J710" t="str">
        <f>CONCATENATE(Consulta2[[#This Row],[SAFRA]],Consulta2[[#This Row],[dia]])</f>
        <v>2025129</v>
      </c>
      <c r="K710">
        <f>Consulta2[[#This Row],[DIA_UTIL_CORRENTE]]</f>
        <v>7</v>
      </c>
    </row>
    <row r="711" spans="1:11" x14ac:dyDescent="0.25">
      <c r="A711">
        <v>202512</v>
      </c>
      <c r="B711">
        <v>8</v>
      </c>
      <c r="C711" s="148">
        <v>46001</v>
      </c>
      <c r="D711">
        <v>22</v>
      </c>
      <c r="E711">
        <v>22</v>
      </c>
      <c r="F711">
        <v>492</v>
      </c>
      <c r="G711">
        <f>Consulta2[[#This Row],[DIA_UTIL_CORRENTE]]</f>
        <v>8</v>
      </c>
      <c r="H711" s="6">
        <f>DAY(Consulta2[[#This Row],[DATA]])</f>
        <v>10</v>
      </c>
      <c r="I711" s="6">
        <f>MONTH(Consulta2[[#This Row],[DATA]])</f>
        <v>12</v>
      </c>
      <c r="J711" t="str">
        <f>CONCATENATE(Consulta2[[#This Row],[SAFRA]],Consulta2[[#This Row],[dia]])</f>
        <v>20251210</v>
      </c>
      <c r="K711">
        <f>Consulta2[[#This Row],[DIA_UTIL_CORRENTE]]</f>
        <v>8</v>
      </c>
    </row>
    <row r="712" spans="1:11" x14ac:dyDescent="0.25">
      <c r="A712">
        <v>202512</v>
      </c>
      <c r="B712">
        <v>9</v>
      </c>
      <c r="C712" s="148">
        <v>46002</v>
      </c>
      <c r="D712">
        <v>22</v>
      </c>
      <c r="E712">
        <v>22</v>
      </c>
      <c r="F712">
        <v>493</v>
      </c>
      <c r="G712">
        <f>Consulta2[[#This Row],[DIA_UTIL_CORRENTE]]</f>
        <v>9</v>
      </c>
      <c r="H712" s="6">
        <f>DAY(Consulta2[[#This Row],[DATA]])</f>
        <v>11</v>
      </c>
      <c r="I712" s="6">
        <f>MONTH(Consulta2[[#This Row],[DATA]])</f>
        <v>12</v>
      </c>
      <c r="J712" t="str">
        <f>CONCATENATE(Consulta2[[#This Row],[SAFRA]],Consulta2[[#This Row],[dia]])</f>
        <v>20251211</v>
      </c>
      <c r="K712">
        <f>Consulta2[[#This Row],[DIA_UTIL_CORRENTE]]</f>
        <v>9</v>
      </c>
    </row>
    <row r="713" spans="1:11" x14ac:dyDescent="0.25">
      <c r="A713">
        <v>202512</v>
      </c>
      <c r="B713">
        <v>10</v>
      </c>
      <c r="C713" s="148">
        <v>46003</v>
      </c>
      <c r="D713">
        <v>22</v>
      </c>
      <c r="E713">
        <v>22</v>
      </c>
      <c r="F713">
        <v>494</v>
      </c>
      <c r="G713">
        <f>Consulta2[[#This Row],[DIA_UTIL_CORRENTE]]</f>
        <v>10</v>
      </c>
      <c r="H713" s="6">
        <f>DAY(Consulta2[[#This Row],[DATA]])</f>
        <v>12</v>
      </c>
      <c r="I713" s="6">
        <f>MONTH(Consulta2[[#This Row],[DATA]])</f>
        <v>12</v>
      </c>
      <c r="J713" t="str">
        <f>CONCATENATE(Consulta2[[#This Row],[SAFRA]],Consulta2[[#This Row],[dia]])</f>
        <v>20251212</v>
      </c>
      <c r="K713">
        <f>Consulta2[[#This Row],[DIA_UTIL_CORRENTE]]</f>
        <v>10</v>
      </c>
    </row>
    <row r="714" spans="1:11" x14ac:dyDescent="0.25">
      <c r="A714">
        <v>202512</v>
      </c>
      <c r="B714">
        <v>10</v>
      </c>
      <c r="C714" s="148">
        <v>46004</v>
      </c>
      <c r="D714">
        <v>22</v>
      </c>
      <c r="E714">
        <v>22</v>
      </c>
      <c r="F714">
        <v>494</v>
      </c>
      <c r="G714">
        <f>Consulta2[[#This Row],[DIA_UTIL_CORRENTE]]</f>
        <v>10</v>
      </c>
      <c r="H714" s="6">
        <f>DAY(Consulta2[[#This Row],[DATA]])</f>
        <v>13</v>
      </c>
      <c r="I714" s="6">
        <f>MONTH(Consulta2[[#This Row],[DATA]])</f>
        <v>12</v>
      </c>
      <c r="J714" t="str">
        <f>CONCATENATE(Consulta2[[#This Row],[SAFRA]],Consulta2[[#This Row],[dia]])</f>
        <v>20251213</v>
      </c>
      <c r="K714">
        <f>Consulta2[[#This Row],[DIA_UTIL_CORRENTE]]</f>
        <v>10</v>
      </c>
    </row>
    <row r="715" spans="1:11" x14ac:dyDescent="0.25">
      <c r="A715">
        <v>202512</v>
      </c>
      <c r="B715">
        <v>10</v>
      </c>
      <c r="C715" s="148">
        <v>46005</v>
      </c>
      <c r="D715">
        <v>22</v>
      </c>
      <c r="E715">
        <v>22</v>
      </c>
      <c r="F715">
        <v>494</v>
      </c>
      <c r="G715">
        <f>Consulta2[[#This Row],[DIA_UTIL_CORRENTE]]</f>
        <v>10</v>
      </c>
      <c r="H715" s="6">
        <f>DAY(Consulta2[[#This Row],[DATA]])</f>
        <v>14</v>
      </c>
      <c r="I715" s="6">
        <f>MONTH(Consulta2[[#This Row],[DATA]])</f>
        <v>12</v>
      </c>
      <c r="J715" t="str">
        <f>CONCATENATE(Consulta2[[#This Row],[SAFRA]],Consulta2[[#This Row],[dia]])</f>
        <v>20251214</v>
      </c>
      <c r="K715">
        <f>Consulta2[[#This Row],[DIA_UTIL_CORRENTE]]</f>
        <v>10</v>
      </c>
    </row>
    <row r="716" spans="1:11" x14ac:dyDescent="0.25">
      <c r="A716">
        <v>202512</v>
      </c>
      <c r="B716">
        <v>11</v>
      </c>
      <c r="C716" s="148">
        <v>46006</v>
      </c>
      <c r="D716">
        <v>22</v>
      </c>
      <c r="E716">
        <v>22</v>
      </c>
      <c r="F716">
        <v>495</v>
      </c>
      <c r="G716">
        <f>Consulta2[[#This Row],[DIA_UTIL_CORRENTE]]</f>
        <v>11</v>
      </c>
      <c r="H716" s="6">
        <f>DAY(Consulta2[[#This Row],[DATA]])</f>
        <v>15</v>
      </c>
      <c r="I716" s="6">
        <f>MONTH(Consulta2[[#This Row],[DATA]])</f>
        <v>12</v>
      </c>
      <c r="J716" t="str">
        <f>CONCATENATE(Consulta2[[#This Row],[SAFRA]],Consulta2[[#This Row],[dia]])</f>
        <v>20251215</v>
      </c>
      <c r="K716">
        <f>Consulta2[[#This Row],[DIA_UTIL_CORRENTE]]</f>
        <v>11</v>
      </c>
    </row>
    <row r="717" spans="1:11" x14ac:dyDescent="0.25">
      <c r="A717">
        <v>202512</v>
      </c>
      <c r="B717">
        <v>12</v>
      </c>
      <c r="C717" s="148">
        <v>46007</v>
      </c>
      <c r="D717">
        <v>22</v>
      </c>
      <c r="E717">
        <v>22</v>
      </c>
      <c r="F717">
        <v>496</v>
      </c>
      <c r="G717">
        <f>Consulta2[[#This Row],[DIA_UTIL_CORRENTE]]</f>
        <v>12</v>
      </c>
      <c r="H717" s="6">
        <f>DAY(Consulta2[[#This Row],[DATA]])</f>
        <v>16</v>
      </c>
      <c r="I717" s="6">
        <f>MONTH(Consulta2[[#This Row],[DATA]])</f>
        <v>12</v>
      </c>
      <c r="J717" t="str">
        <f>CONCATENATE(Consulta2[[#This Row],[SAFRA]],Consulta2[[#This Row],[dia]])</f>
        <v>20251216</v>
      </c>
      <c r="K717">
        <f>Consulta2[[#This Row],[DIA_UTIL_CORRENTE]]</f>
        <v>12</v>
      </c>
    </row>
    <row r="718" spans="1:11" x14ac:dyDescent="0.25">
      <c r="A718">
        <v>202512</v>
      </c>
      <c r="B718">
        <v>13</v>
      </c>
      <c r="C718" s="148">
        <v>46008</v>
      </c>
      <c r="D718">
        <v>22</v>
      </c>
      <c r="E718">
        <v>22</v>
      </c>
      <c r="F718">
        <v>497</v>
      </c>
      <c r="G718">
        <f>Consulta2[[#This Row],[DIA_UTIL_CORRENTE]]</f>
        <v>13</v>
      </c>
      <c r="H718" s="6">
        <f>DAY(Consulta2[[#This Row],[DATA]])</f>
        <v>17</v>
      </c>
      <c r="I718" s="6">
        <f>MONTH(Consulta2[[#This Row],[DATA]])</f>
        <v>12</v>
      </c>
      <c r="J718" t="str">
        <f>CONCATENATE(Consulta2[[#This Row],[SAFRA]],Consulta2[[#This Row],[dia]])</f>
        <v>20251217</v>
      </c>
      <c r="K718">
        <f>Consulta2[[#This Row],[DIA_UTIL_CORRENTE]]</f>
        <v>13</v>
      </c>
    </row>
    <row r="719" spans="1:11" x14ac:dyDescent="0.25">
      <c r="A719">
        <v>202512</v>
      </c>
      <c r="B719">
        <v>14</v>
      </c>
      <c r="C719" s="148">
        <v>46009</v>
      </c>
      <c r="D719">
        <v>22</v>
      </c>
      <c r="E719">
        <v>22</v>
      </c>
      <c r="F719">
        <v>498</v>
      </c>
      <c r="G719">
        <f>Consulta2[[#This Row],[DIA_UTIL_CORRENTE]]</f>
        <v>14</v>
      </c>
      <c r="H719" s="6">
        <f>DAY(Consulta2[[#This Row],[DATA]])</f>
        <v>18</v>
      </c>
      <c r="I719" s="6">
        <f>MONTH(Consulta2[[#This Row],[DATA]])</f>
        <v>12</v>
      </c>
      <c r="J719" t="str">
        <f>CONCATENATE(Consulta2[[#This Row],[SAFRA]],Consulta2[[#This Row],[dia]])</f>
        <v>20251218</v>
      </c>
      <c r="K719">
        <f>Consulta2[[#This Row],[DIA_UTIL_CORRENTE]]</f>
        <v>14</v>
      </c>
    </row>
    <row r="720" spans="1:11" x14ac:dyDescent="0.25">
      <c r="A720">
        <v>202512</v>
      </c>
      <c r="B720">
        <v>15</v>
      </c>
      <c r="C720" s="148">
        <v>46010</v>
      </c>
      <c r="D720">
        <v>22</v>
      </c>
      <c r="E720">
        <v>22</v>
      </c>
      <c r="F720">
        <v>499</v>
      </c>
      <c r="G720">
        <f>Consulta2[[#This Row],[DIA_UTIL_CORRENTE]]</f>
        <v>15</v>
      </c>
      <c r="H720" s="6">
        <f>DAY(Consulta2[[#This Row],[DATA]])</f>
        <v>19</v>
      </c>
      <c r="I720" s="6">
        <f>MONTH(Consulta2[[#This Row],[DATA]])</f>
        <v>12</v>
      </c>
      <c r="J720" t="str">
        <f>CONCATENATE(Consulta2[[#This Row],[SAFRA]],Consulta2[[#This Row],[dia]])</f>
        <v>20251219</v>
      </c>
      <c r="K720">
        <f>Consulta2[[#This Row],[DIA_UTIL_CORRENTE]]</f>
        <v>15</v>
      </c>
    </row>
    <row r="721" spans="1:11" x14ac:dyDescent="0.25">
      <c r="A721">
        <v>202512</v>
      </c>
      <c r="B721">
        <v>15</v>
      </c>
      <c r="C721" s="148">
        <v>46011</v>
      </c>
      <c r="D721">
        <v>22</v>
      </c>
      <c r="E721">
        <v>22</v>
      </c>
      <c r="F721">
        <v>499</v>
      </c>
      <c r="G721">
        <f>Consulta2[[#This Row],[DIA_UTIL_CORRENTE]]</f>
        <v>15</v>
      </c>
      <c r="H721" s="6">
        <f>DAY(Consulta2[[#This Row],[DATA]])</f>
        <v>20</v>
      </c>
      <c r="I721" s="6">
        <f>MONTH(Consulta2[[#This Row],[DATA]])</f>
        <v>12</v>
      </c>
      <c r="J721" t="str">
        <f>CONCATENATE(Consulta2[[#This Row],[SAFRA]],Consulta2[[#This Row],[dia]])</f>
        <v>20251220</v>
      </c>
      <c r="K721">
        <f>Consulta2[[#This Row],[DIA_UTIL_CORRENTE]]</f>
        <v>15</v>
      </c>
    </row>
    <row r="722" spans="1:11" x14ac:dyDescent="0.25">
      <c r="A722">
        <v>202512</v>
      </c>
      <c r="B722">
        <v>15</v>
      </c>
      <c r="C722" s="148">
        <v>46012</v>
      </c>
      <c r="D722">
        <v>22</v>
      </c>
      <c r="E722">
        <v>22</v>
      </c>
      <c r="F722">
        <v>499</v>
      </c>
      <c r="G722">
        <f>Consulta2[[#This Row],[DIA_UTIL_CORRENTE]]</f>
        <v>15</v>
      </c>
      <c r="H722" s="6">
        <f>DAY(Consulta2[[#This Row],[DATA]])</f>
        <v>21</v>
      </c>
      <c r="I722" s="6">
        <f>MONTH(Consulta2[[#This Row],[DATA]])</f>
        <v>12</v>
      </c>
      <c r="J722" t="str">
        <f>CONCATENATE(Consulta2[[#This Row],[SAFRA]],Consulta2[[#This Row],[dia]])</f>
        <v>20251221</v>
      </c>
      <c r="K722">
        <f>Consulta2[[#This Row],[DIA_UTIL_CORRENTE]]</f>
        <v>15</v>
      </c>
    </row>
    <row r="723" spans="1:11" x14ac:dyDescent="0.25">
      <c r="A723">
        <v>202512</v>
      </c>
      <c r="B723">
        <v>16</v>
      </c>
      <c r="C723" s="148">
        <v>46013</v>
      </c>
      <c r="D723">
        <v>22</v>
      </c>
      <c r="E723">
        <v>22</v>
      </c>
      <c r="F723">
        <v>500</v>
      </c>
      <c r="G723">
        <f>Consulta2[[#This Row],[DIA_UTIL_CORRENTE]]</f>
        <v>16</v>
      </c>
      <c r="H723" s="6">
        <f>DAY(Consulta2[[#This Row],[DATA]])</f>
        <v>22</v>
      </c>
      <c r="I723" s="6">
        <f>MONTH(Consulta2[[#This Row],[DATA]])</f>
        <v>12</v>
      </c>
      <c r="J723" t="str">
        <f>CONCATENATE(Consulta2[[#This Row],[SAFRA]],Consulta2[[#This Row],[dia]])</f>
        <v>20251222</v>
      </c>
      <c r="K723">
        <f>Consulta2[[#This Row],[DIA_UTIL_CORRENTE]]</f>
        <v>16</v>
      </c>
    </row>
    <row r="724" spans="1:11" x14ac:dyDescent="0.25">
      <c r="A724">
        <v>202512</v>
      </c>
      <c r="B724">
        <v>17</v>
      </c>
      <c r="C724" s="148">
        <v>46014</v>
      </c>
      <c r="D724">
        <v>22</v>
      </c>
      <c r="E724">
        <v>22</v>
      </c>
      <c r="F724">
        <v>501</v>
      </c>
      <c r="G724">
        <f>Consulta2[[#This Row],[DIA_UTIL_CORRENTE]]</f>
        <v>17</v>
      </c>
      <c r="H724" s="6">
        <f>DAY(Consulta2[[#This Row],[DATA]])</f>
        <v>23</v>
      </c>
      <c r="I724" s="6">
        <f>MONTH(Consulta2[[#This Row],[DATA]])</f>
        <v>12</v>
      </c>
      <c r="J724" t="str">
        <f>CONCATENATE(Consulta2[[#This Row],[SAFRA]],Consulta2[[#This Row],[dia]])</f>
        <v>20251223</v>
      </c>
      <c r="K724">
        <f>Consulta2[[#This Row],[DIA_UTIL_CORRENTE]]</f>
        <v>17</v>
      </c>
    </row>
    <row r="725" spans="1:11" x14ac:dyDescent="0.25">
      <c r="A725">
        <v>202512</v>
      </c>
      <c r="B725">
        <v>18</v>
      </c>
      <c r="C725" s="148">
        <v>46015</v>
      </c>
      <c r="D725">
        <v>22</v>
      </c>
      <c r="E725">
        <v>22</v>
      </c>
      <c r="F725">
        <v>502</v>
      </c>
      <c r="G725">
        <f>Consulta2[[#This Row],[DIA_UTIL_CORRENTE]]</f>
        <v>18</v>
      </c>
      <c r="H725" s="6">
        <f>DAY(Consulta2[[#This Row],[DATA]])</f>
        <v>24</v>
      </c>
      <c r="I725" s="6">
        <f>MONTH(Consulta2[[#This Row],[DATA]])</f>
        <v>12</v>
      </c>
      <c r="J725" t="str">
        <f>CONCATENATE(Consulta2[[#This Row],[SAFRA]],Consulta2[[#This Row],[dia]])</f>
        <v>20251224</v>
      </c>
      <c r="K725">
        <f>Consulta2[[#This Row],[DIA_UTIL_CORRENTE]]</f>
        <v>18</v>
      </c>
    </row>
    <row r="726" spans="1:11" x14ac:dyDescent="0.25">
      <c r="A726">
        <v>202512</v>
      </c>
      <c r="B726">
        <v>18</v>
      </c>
      <c r="C726" s="148">
        <v>46016</v>
      </c>
      <c r="D726">
        <v>22</v>
      </c>
      <c r="E726">
        <v>22</v>
      </c>
      <c r="F726">
        <v>502</v>
      </c>
      <c r="G726">
        <f>Consulta2[[#This Row],[DIA_UTIL_CORRENTE]]</f>
        <v>18</v>
      </c>
      <c r="H726" s="6">
        <f>DAY(Consulta2[[#This Row],[DATA]])</f>
        <v>25</v>
      </c>
      <c r="I726" s="6">
        <f>MONTH(Consulta2[[#This Row],[DATA]])</f>
        <v>12</v>
      </c>
      <c r="J726" t="str">
        <f>CONCATENATE(Consulta2[[#This Row],[SAFRA]],Consulta2[[#This Row],[dia]])</f>
        <v>20251225</v>
      </c>
      <c r="K726">
        <f>Consulta2[[#This Row],[DIA_UTIL_CORRENTE]]</f>
        <v>18</v>
      </c>
    </row>
    <row r="727" spans="1:11" x14ac:dyDescent="0.25">
      <c r="A727">
        <v>202512</v>
      </c>
      <c r="B727">
        <v>19</v>
      </c>
      <c r="C727" s="148">
        <v>46017</v>
      </c>
      <c r="D727">
        <v>22</v>
      </c>
      <c r="E727">
        <v>22</v>
      </c>
      <c r="F727">
        <v>503</v>
      </c>
      <c r="G727">
        <f>Consulta2[[#This Row],[DIA_UTIL_CORRENTE]]</f>
        <v>19</v>
      </c>
      <c r="H727" s="6">
        <f>DAY(Consulta2[[#This Row],[DATA]])</f>
        <v>26</v>
      </c>
      <c r="I727" s="6">
        <f>MONTH(Consulta2[[#This Row],[DATA]])</f>
        <v>12</v>
      </c>
      <c r="J727" t="str">
        <f>CONCATENATE(Consulta2[[#This Row],[SAFRA]],Consulta2[[#This Row],[dia]])</f>
        <v>20251226</v>
      </c>
      <c r="K727">
        <f>Consulta2[[#This Row],[DIA_UTIL_CORRENTE]]</f>
        <v>19</v>
      </c>
    </row>
    <row r="728" spans="1:11" x14ac:dyDescent="0.25">
      <c r="A728">
        <v>202512</v>
      </c>
      <c r="B728">
        <v>19</v>
      </c>
      <c r="C728" s="148">
        <v>46018</v>
      </c>
      <c r="D728">
        <v>22</v>
      </c>
      <c r="E728">
        <v>22</v>
      </c>
      <c r="F728">
        <v>503</v>
      </c>
      <c r="G728">
        <f>Consulta2[[#This Row],[DIA_UTIL_CORRENTE]]</f>
        <v>19</v>
      </c>
      <c r="H728" s="6">
        <f>DAY(Consulta2[[#This Row],[DATA]])</f>
        <v>27</v>
      </c>
      <c r="I728" s="6">
        <f>MONTH(Consulta2[[#This Row],[DATA]])</f>
        <v>12</v>
      </c>
      <c r="J728" t="str">
        <f>CONCATENATE(Consulta2[[#This Row],[SAFRA]],Consulta2[[#This Row],[dia]])</f>
        <v>20251227</v>
      </c>
      <c r="K728">
        <f>Consulta2[[#This Row],[DIA_UTIL_CORRENTE]]</f>
        <v>19</v>
      </c>
    </row>
    <row r="729" spans="1:11" x14ac:dyDescent="0.25">
      <c r="A729">
        <v>202512</v>
      </c>
      <c r="B729">
        <v>19</v>
      </c>
      <c r="C729" s="148">
        <v>46019</v>
      </c>
      <c r="D729">
        <v>22</v>
      </c>
      <c r="E729">
        <v>22</v>
      </c>
      <c r="F729">
        <v>503</v>
      </c>
      <c r="G729">
        <f>Consulta2[[#This Row],[DIA_UTIL_CORRENTE]]</f>
        <v>19</v>
      </c>
      <c r="H729" s="6">
        <f>DAY(Consulta2[[#This Row],[DATA]])</f>
        <v>28</v>
      </c>
      <c r="I729" s="6">
        <f>MONTH(Consulta2[[#This Row],[DATA]])</f>
        <v>12</v>
      </c>
      <c r="J729" t="str">
        <f>CONCATENATE(Consulta2[[#This Row],[SAFRA]],Consulta2[[#This Row],[dia]])</f>
        <v>20251228</v>
      </c>
      <c r="K729">
        <f>Consulta2[[#This Row],[DIA_UTIL_CORRENTE]]</f>
        <v>19</v>
      </c>
    </row>
    <row r="730" spans="1:11" x14ac:dyDescent="0.25">
      <c r="A730">
        <v>202512</v>
      </c>
      <c r="B730">
        <v>20</v>
      </c>
      <c r="C730" s="148">
        <v>46020</v>
      </c>
      <c r="D730">
        <v>22</v>
      </c>
      <c r="E730">
        <v>22</v>
      </c>
      <c r="F730">
        <v>504</v>
      </c>
      <c r="G730">
        <f>Consulta2[[#This Row],[DIA_UTIL_CORRENTE]]</f>
        <v>20</v>
      </c>
      <c r="H730" s="6">
        <f>DAY(Consulta2[[#This Row],[DATA]])</f>
        <v>29</v>
      </c>
      <c r="I730" s="6">
        <f>MONTH(Consulta2[[#This Row],[DATA]])</f>
        <v>12</v>
      </c>
      <c r="J730" t="str">
        <f>CONCATENATE(Consulta2[[#This Row],[SAFRA]],Consulta2[[#This Row],[dia]])</f>
        <v>20251229</v>
      </c>
      <c r="K730">
        <f>Consulta2[[#This Row],[DIA_UTIL_CORRENTE]]</f>
        <v>20</v>
      </c>
    </row>
    <row r="731" spans="1:11" x14ac:dyDescent="0.25">
      <c r="A731">
        <v>202512</v>
      </c>
      <c r="B731">
        <v>21</v>
      </c>
      <c r="C731" s="148">
        <v>46021</v>
      </c>
      <c r="D731">
        <v>22</v>
      </c>
      <c r="E731">
        <v>22</v>
      </c>
      <c r="F731">
        <v>505</v>
      </c>
      <c r="G731">
        <f>Consulta2[[#This Row],[DIA_UTIL_CORRENTE]]</f>
        <v>21</v>
      </c>
      <c r="H731" s="6">
        <f>DAY(Consulta2[[#This Row],[DATA]])</f>
        <v>30</v>
      </c>
      <c r="I731" s="6">
        <f>MONTH(Consulta2[[#This Row],[DATA]])</f>
        <v>12</v>
      </c>
      <c r="J731" t="str">
        <f>CONCATENATE(Consulta2[[#This Row],[SAFRA]],Consulta2[[#This Row],[dia]])</f>
        <v>20251230</v>
      </c>
      <c r="K731">
        <f>Consulta2[[#This Row],[DIA_UTIL_CORRENTE]]</f>
        <v>21</v>
      </c>
    </row>
    <row r="732" spans="1:11" x14ac:dyDescent="0.25">
      <c r="A732">
        <v>202512</v>
      </c>
      <c r="B732">
        <v>22</v>
      </c>
      <c r="C732" s="148">
        <v>46022</v>
      </c>
      <c r="D732">
        <v>22</v>
      </c>
      <c r="E732">
        <v>22</v>
      </c>
      <c r="F732">
        <v>506</v>
      </c>
      <c r="G732">
        <f>Consulta2[[#This Row],[DIA_UTIL_CORRENTE]]</f>
        <v>22</v>
      </c>
      <c r="H732" s="6">
        <f>DAY(Consulta2[[#This Row],[DATA]])</f>
        <v>31</v>
      </c>
      <c r="I732" s="6">
        <f>MONTH(Consulta2[[#This Row],[DATA]])</f>
        <v>12</v>
      </c>
      <c r="J732" t="str">
        <f>CONCATENATE(Consulta2[[#This Row],[SAFRA]],Consulta2[[#This Row],[dia]])</f>
        <v>20251231</v>
      </c>
      <c r="K732">
        <f>Consulta2[[#This Row],[DIA_UTIL_CORRENTE]]</f>
        <v>22</v>
      </c>
    </row>
    <row r="733" spans="1:11" x14ac:dyDescent="0.25">
      <c r="A733">
        <v>202601</v>
      </c>
      <c r="B733">
        <v>0</v>
      </c>
      <c r="C733" s="148">
        <v>46023</v>
      </c>
      <c r="D733">
        <v>21</v>
      </c>
      <c r="E733">
        <v>21</v>
      </c>
      <c r="F733">
        <v>506</v>
      </c>
      <c r="G733">
        <f>Consulta2[[#This Row],[DIA_UTIL_CORRENTE]]</f>
        <v>0</v>
      </c>
      <c r="H733" s="6">
        <f>DAY(Consulta2[[#This Row],[DATA]])</f>
        <v>1</v>
      </c>
      <c r="I733" s="6">
        <f>MONTH(Consulta2[[#This Row],[DATA]])</f>
        <v>1</v>
      </c>
      <c r="J733" t="str">
        <f>CONCATENATE(Consulta2[[#This Row],[SAFRA]],Consulta2[[#This Row],[dia]])</f>
        <v>2026011</v>
      </c>
      <c r="K733">
        <f>Consulta2[[#This Row],[DIA_UTIL_CORRENTE]]</f>
        <v>0</v>
      </c>
    </row>
    <row r="734" spans="1:11" x14ac:dyDescent="0.25">
      <c r="A734">
        <v>202601</v>
      </c>
      <c r="B734">
        <v>1</v>
      </c>
      <c r="C734" s="148">
        <v>46024</v>
      </c>
      <c r="D734">
        <v>21</v>
      </c>
      <c r="E734">
        <v>21</v>
      </c>
      <c r="F734">
        <v>507</v>
      </c>
      <c r="G734">
        <f>Consulta2[[#This Row],[DIA_UTIL_CORRENTE]]</f>
        <v>1</v>
      </c>
      <c r="H734" s="6">
        <f>DAY(Consulta2[[#This Row],[DATA]])</f>
        <v>2</v>
      </c>
      <c r="I734" s="6">
        <f>MONTH(Consulta2[[#This Row],[DATA]])</f>
        <v>1</v>
      </c>
      <c r="J734" t="str">
        <f>CONCATENATE(Consulta2[[#This Row],[SAFRA]],Consulta2[[#This Row],[dia]])</f>
        <v>2026012</v>
      </c>
      <c r="K734">
        <f>Consulta2[[#This Row],[DIA_UTIL_CORRENTE]]</f>
        <v>1</v>
      </c>
    </row>
    <row r="735" spans="1:11" x14ac:dyDescent="0.25">
      <c r="A735">
        <v>202601</v>
      </c>
      <c r="B735">
        <v>1</v>
      </c>
      <c r="C735" s="148">
        <v>46025</v>
      </c>
      <c r="D735">
        <v>21</v>
      </c>
      <c r="E735">
        <v>21</v>
      </c>
      <c r="F735">
        <v>507</v>
      </c>
      <c r="G735">
        <f>Consulta2[[#This Row],[DIA_UTIL_CORRENTE]]</f>
        <v>1</v>
      </c>
      <c r="H735" s="6">
        <f>DAY(Consulta2[[#This Row],[DATA]])</f>
        <v>3</v>
      </c>
      <c r="I735" s="6">
        <f>MONTH(Consulta2[[#This Row],[DATA]])</f>
        <v>1</v>
      </c>
      <c r="J735" t="str">
        <f>CONCATENATE(Consulta2[[#This Row],[SAFRA]],Consulta2[[#This Row],[dia]])</f>
        <v>2026013</v>
      </c>
      <c r="K735">
        <f>Consulta2[[#This Row],[DIA_UTIL_CORRENTE]]</f>
        <v>1</v>
      </c>
    </row>
    <row r="736" spans="1:11" x14ac:dyDescent="0.25">
      <c r="A736">
        <v>202601</v>
      </c>
      <c r="B736">
        <v>1</v>
      </c>
      <c r="C736" s="148">
        <v>46026</v>
      </c>
      <c r="D736">
        <v>21</v>
      </c>
      <c r="E736">
        <v>21</v>
      </c>
      <c r="F736">
        <v>507</v>
      </c>
      <c r="G736">
        <f>Consulta2[[#This Row],[DIA_UTIL_CORRENTE]]</f>
        <v>1</v>
      </c>
      <c r="H736" s="6">
        <f>DAY(Consulta2[[#This Row],[DATA]])</f>
        <v>4</v>
      </c>
      <c r="I736" s="6">
        <f>MONTH(Consulta2[[#This Row],[DATA]])</f>
        <v>1</v>
      </c>
      <c r="J736" t="str">
        <f>CONCATENATE(Consulta2[[#This Row],[SAFRA]],Consulta2[[#This Row],[dia]])</f>
        <v>2026014</v>
      </c>
      <c r="K736">
        <f>Consulta2[[#This Row],[DIA_UTIL_CORRENTE]]</f>
        <v>1</v>
      </c>
    </row>
    <row r="737" spans="1:11" x14ac:dyDescent="0.25">
      <c r="A737">
        <v>202601</v>
      </c>
      <c r="B737">
        <v>2</v>
      </c>
      <c r="C737" s="148">
        <v>46027</v>
      </c>
      <c r="D737">
        <v>21</v>
      </c>
      <c r="E737">
        <v>21</v>
      </c>
      <c r="F737">
        <v>508</v>
      </c>
      <c r="G737">
        <f>Consulta2[[#This Row],[DIA_UTIL_CORRENTE]]</f>
        <v>2</v>
      </c>
      <c r="H737" s="6">
        <f>DAY(Consulta2[[#This Row],[DATA]])</f>
        <v>5</v>
      </c>
      <c r="I737" s="6">
        <f>MONTH(Consulta2[[#This Row],[DATA]])</f>
        <v>1</v>
      </c>
      <c r="J737" t="str">
        <f>CONCATENATE(Consulta2[[#This Row],[SAFRA]],Consulta2[[#This Row],[dia]])</f>
        <v>2026015</v>
      </c>
      <c r="K737">
        <f>Consulta2[[#This Row],[DIA_UTIL_CORRENTE]]</f>
        <v>2</v>
      </c>
    </row>
    <row r="738" spans="1:11" x14ac:dyDescent="0.25">
      <c r="A738">
        <v>202601</v>
      </c>
      <c r="B738">
        <v>3</v>
      </c>
      <c r="C738" s="148">
        <v>46028</v>
      </c>
      <c r="D738">
        <v>21</v>
      </c>
      <c r="E738">
        <v>21</v>
      </c>
      <c r="F738">
        <v>509</v>
      </c>
      <c r="G738">
        <f>Consulta2[[#This Row],[DIA_UTIL_CORRENTE]]</f>
        <v>3</v>
      </c>
      <c r="H738" s="6">
        <f>DAY(Consulta2[[#This Row],[DATA]])</f>
        <v>6</v>
      </c>
      <c r="I738" s="6">
        <f>MONTH(Consulta2[[#This Row],[DATA]])</f>
        <v>1</v>
      </c>
      <c r="J738" t="str">
        <f>CONCATENATE(Consulta2[[#This Row],[SAFRA]],Consulta2[[#This Row],[dia]])</f>
        <v>2026016</v>
      </c>
      <c r="K738">
        <f>Consulta2[[#This Row],[DIA_UTIL_CORRENTE]]</f>
        <v>3</v>
      </c>
    </row>
    <row r="739" spans="1:11" x14ac:dyDescent="0.25">
      <c r="A739">
        <v>202601</v>
      </c>
      <c r="B739">
        <v>4</v>
      </c>
      <c r="C739" s="148">
        <v>46029</v>
      </c>
      <c r="D739">
        <v>21</v>
      </c>
      <c r="E739">
        <v>21</v>
      </c>
      <c r="F739">
        <v>510</v>
      </c>
      <c r="G739">
        <f>Consulta2[[#This Row],[DIA_UTIL_CORRENTE]]</f>
        <v>4</v>
      </c>
      <c r="H739" s="6">
        <f>DAY(Consulta2[[#This Row],[DATA]])</f>
        <v>7</v>
      </c>
      <c r="I739" s="6">
        <f>MONTH(Consulta2[[#This Row],[DATA]])</f>
        <v>1</v>
      </c>
      <c r="J739" t="str">
        <f>CONCATENATE(Consulta2[[#This Row],[SAFRA]],Consulta2[[#This Row],[dia]])</f>
        <v>2026017</v>
      </c>
      <c r="K739">
        <f>Consulta2[[#This Row],[DIA_UTIL_CORRENTE]]</f>
        <v>4</v>
      </c>
    </row>
    <row r="740" spans="1:11" x14ac:dyDescent="0.25">
      <c r="A740">
        <v>202601</v>
      </c>
      <c r="B740">
        <v>5</v>
      </c>
      <c r="C740" s="148">
        <v>46030</v>
      </c>
      <c r="D740">
        <v>21</v>
      </c>
      <c r="E740">
        <v>21</v>
      </c>
      <c r="F740">
        <v>511</v>
      </c>
      <c r="G740">
        <f>Consulta2[[#This Row],[DIA_UTIL_CORRENTE]]</f>
        <v>5</v>
      </c>
      <c r="H740" s="6">
        <f>DAY(Consulta2[[#This Row],[DATA]])</f>
        <v>8</v>
      </c>
      <c r="I740" s="6">
        <f>MONTH(Consulta2[[#This Row],[DATA]])</f>
        <v>1</v>
      </c>
      <c r="J740" t="str">
        <f>CONCATENATE(Consulta2[[#This Row],[SAFRA]],Consulta2[[#This Row],[dia]])</f>
        <v>2026018</v>
      </c>
      <c r="K740">
        <f>Consulta2[[#This Row],[DIA_UTIL_CORRENTE]]</f>
        <v>5</v>
      </c>
    </row>
    <row r="741" spans="1:11" x14ac:dyDescent="0.25">
      <c r="A741">
        <v>202601</v>
      </c>
      <c r="B741">
        <v>6</v>
      </c>
      <c r="C741" s="148">
        <v>46031</v>
      </c>
      <c r="D741">
        <v>21</v>
      </c>
      <c r="E741">
        <v>21</v>
      </c>
      <c r="F741">
        <v>512</v>
      </c>
      <c r="G741">
        <f>Consulta2[[#This Row],[DIA_UTIL_CORRENTE]]</f>
        <v>6</v>
      </c>
      <c r="H741" s="6">
        <f>DAY(Consulta2[[#This Row],[DATA]])</f>
        <v>9</v>
      </c>
      <c r="I741" s="6">
        <f>MONTH(Consulta2[[#This Row],[DATA]])</f>
        <v>1</v>
      </c>
      <c r="J741" t="str">
        <f>CONCATENATE(Consulta2[[#This Row],[SAFRA]],Consulta2[[#This Row],[dia]])</f>
        <v>2026019</v>
      </c>
      <c r="K741">
        <f>Consulta2[[#This Row],[DIA_UTIL_CORRENTE]]</f>
        <v>6</v>
      </c>
    </row>
    <row r="742" spans="1:11" x14ac:dyDescent="0.25">
      <c r="A742">
        <v>202601</v>
      </c>
      <c r="B742">
        <v>6</v>
      </c>
      <c r="C742" s="148">
        <v>46032</v>
      </c>
      <c r="D742">
        <v>21</v>
      </c>
      <c r="E742">
        <v>21</v>
      </c>
      <c r="F742">
        <v>512</v>
      </c>
      <c r="G742">
        <f>Consulta2[[#This Row],[DIA_UTIL_CORRENTE]]</f>
        <v>6</v>
      </c>
      <c r="H742" s="6">
        <f>DAY(Consulta2[[#This Row],[DATA]])</f>
        <v>10</v>
      </c>
      <c r="I742" s="6">
        <f>MONTH(Consulta2[[#This Row],[DATA]])</f>
        <v>1</v>
      </c>
      <c r="J742" t="str">
        <f>CONCATENATE(Consulta2[[#This Row],[SAFRA]],Consulta2[[#This Row],[dia]])</f>
        <v>20260110</v>
      </c>
      <c r="K742">
        <f>Consulta2[[#This Row],[DIA_UTIL_CORRENTE]]</f>
        <v>6</v>
      </c>
    </row>
    <row r="743" spans="1:11" x14ac:dyDescent="0.25">
      <c r="A743">
        <v>202601</v>
      </c>
      <c r="B743">
        <v>6</v>
      </c>
      <c r="C743" s="148">
        <v>46033</v>
      </c>
      <c r="D743">
        <v>21</v>
      </c>
      <c r="E743">
        <v>21</v>
      </c>
      <c r="F743">
        <v>512</v>
      </c>
      <c r="G743">
        <f>Consulta2[[#This Row],[DIA_UTIL_CORRENTE]]</f>
        <v>6</v>
      </c>
      <c r="H743" s="6">
        <f>DAY(Consulta2[[#This Row],[DATA]])</f>
        <v>11</v>
      </c>
      <c r="I743" s="6">
        <f>MONTH(Consulta2[[#This Row],[DATA]])</f>
        <v>1</v>
      </c>
      <c r="J743" t="str">
        <f>CONCATENATE(Consulta2[[#This Row],[SAFRA]],Consulta2[[#This Row],[dia]])</f>
        <v>20260111</v>
      </c>
      <c r="K743">
        <f>Consulta2[[#This Row],[DIA_UTIL_CORRENTE]]</f>
        <v>6</v>
      </c>
    </row>
    <row r="744" spans="1:11" x14ac:dyDescent="0.25">
      <c r="A744">
        <v>202601</v>
      </c>
      <c r="B744">
        <v>7</v>
      </c>
      <c r="C744" s="148">
        <v>46034</v>
      </c>
      <c r="D744">
        <v>21</v>
      </c>
      <c r="E744">
        <v>21</v>
      </c>
      <c r="F744">
        <v>513</v>
      </c>
      <c r="G744">
        <f>Consulta2[[#This Row],[DIA_UTIL_CORRENTE]]</f>
        <v>7</v>
      </c>
      <c r="H744" s="6">
        <f>DAY(Consulta2[[#This Row],[DATA]])</f>
        <v>12</v>
      </c>
      <c r="I744" s="6">
        <f>MONTH(Consulta2[[#This Row],[DATA]])</f>
        <v>1</v>
      </c>
      <c r="J744" t="str">
        <f>CONCATENATE(Consulta2[[#This Row],[SAFRA]],Consulta2[[#This Row],[dia]])</f>
        <v>20260112</v>
      </c>
      <c r="K744">
        <f>Consulta2[[#This Row],[DIA_UTIL_CORRENTE]]</f>
        <v>7</v>
      </c>
    </row>
    <row r="745" spans="1:11" x14ac:dyDescent="0.25">
      <c r="A745">
        <v>202601</v>
      </c>
      <c r="B745">
        <v>8</v>
      </c>
      <c r="C745" s="148">
        <v>46035</v>
      </c>
      <c r="D745">
        <v>21</v>
      </c>
      <c r="E745">
        <v>21</v>
      </c>
      <c r="F745">
        <v>514</v>
      </c>
      <c r="G745">
        <f>Consulta2[[#This Row],[DIA_UTIL_CORRENTE]]</f>
        <v>8</v>
      </c>
      <c r="H745" s="6">
        <f>DAY(Consulta2[[#This Row],[DATA]])</f>
        <v>13</v>
      </c>
      <c r="I745" s="6">
        <f>MONTH(Consulta2[[#This Row],[DATA]])</f>
        <v>1</v>
      </c>
      <c r="J745" t="str">
        <f>CONCATENATE(Consulta2[[#This Row],[SAFRA]],Consulta2[[#This Row],[dia]])</f>
        <v>20260113</v>
      </c>
      <c r="K745">
        <f>Consulta2[[#This Row],[DIA_UTIL_CORRENTE]]</f>
        <v>8</v>
      </c>
    </row>
    <row r="746" spans="1:11" x14ac:dyDescent="0.25">
      <c r="A746">
        <v>202601</v>
      </c>
      <c r="B746">
        <v>9</v>
      </c>
      <c r="C746" s="148">
        <v>46036</v>
      </c>
      <c r="D746">
        <v>21</v>
      </c>
      <c r="E746">
        <v>21</v>
      </c>
      <c r="F746">
        <v>515</v>
      </c>
      <c r="G746">
        <f>Consulta2[[#This Row],[DIA_UTIL_CORRENTE]]</f>
        <v>9</v>
      </c>
      <c r="H746" s="6">
        <f>DAY(Consulta2[[#This Row],[DATA]])</f>
        <v>14</v>
      </c>
      <c r="I746" s="6">
        <f>MONTH(Consulta2[[#This Row],[DATA]])</f>
        <v>1</v>
      </c>
      <c r="J746" t="str">
        <f>CONCATENATE(Consulta2[[#This Row],[SAFRA]],Consulta2[[#This Row],[dia]])</f>
        <v>20260114</v>
      </c>
      <c r="K746">
        <f>Consulta2[[#This Row],[DIA_UTIL_CORRENTE]]</f>
        <v>9</v>
      </c>
    </row>
    <row r="747" spans="1:11" x14ac:dyDescent="0.25">
      <c r="A747">
        <v>202601</v>
      </c>
      <c r="B747">
        <v>10</v>
      </c>
      <c r="C747" s="148">
        <v>46037</v>
      </c>
      <c r="D747">
        <v>21</v>
      </c>
      <c r="E747">
        <v>21</v>
      </c>
      <c r="F747">
        <v>516</v>
      </c>
      <c r="G747">
        <f>Consulta2[[#This Row],[DIA_UTIL_CORRENTE]]</f>
        <v>10</v>
      </c>
      <c r="H747" s="6">
        <f>DAY(Consulta2[[#This Row],[DATA]])</f>
        <v>15</v>
      </c>
      <c r="I747" s="6">
        <f>MONTH(Consulta2[[#This Row],[DATA]])</f>
        <v>1</v>
      </c>
      <c r="J747" t="str">
        <f>CONCATENATE(Consulta2[[#This Row],[SAFRA]],Consulta2[[#This Row],[dia]])</f>
        <v>20260115</v>
      </c>
      <c r="K747">
        <f>Consulta2[[#This Row],[DIA_UTIL_CORRENTE]]</f>
        <v>10</v>
      </c>
    </row>
    <row r="748" spans="1:11" x14ac:dyDescent="0.25">
      <c r="A748">
        <v>202601</v>
      </c>
      <c r="B748">
        <v>11</v>
      </c>
      <c r="C748" s="148">
        <v>46038</v>
      </c>
      <c r="D748">
        <v>21</v>
      </c>
      <c r="E748">
        <v>21</v>
      </c>
      <c r="F748">
        <v>517</v>
      </c>
      <c r="G748">
        <f>Consulta2[[#This Row],[DIA_UTIL_CORRENTE]]</f>
        <v>11</v>
      </c>
      <c r="H748" s="6">
        <f>DAY(Consulta2[[#This Row],[DATA]])</f>
        <v>16</v>
      </c>
      <c r="I748" s="6">
        <f>MONTH(Consulta2[[#This Row],[DATA]])</f>
        <v>1</v>
      </c>
      <c r="J748" t="str">
        <f>CONCATENATE(Consulta2[[#This Row],[SAFRA]],Consulta2[[#This Row],[dia]])</f>
        <v>20260116</v>
      </c>
      <c r="K748">
        <f>Consulta2[[#This Row],[DIA_UTIL_CORRENTE]]</f>
        <v>11</v>
      </c>
    </row>
    <row r="749" spans="1:11" x14ac:dyDescent="0.25">
      <c r="A749">
        <v>202601</v>
      </c>
      <c r="B749">
        <v>11</v>
      </c>
      <c r="C749" s="148">
        <v>46039</v>
      </c>
      <c r="D749">
        <v>21</v>
      </c>
      <c r="E749">
        <v>21</v>
      </c>
      <c r="F749">
        <v>517</v>
      </c>
      <c r="G749">
        <f>Consulta2[[#This Row],[DIA_UTIL_CORRENTE]]</f>
        <v>11</v>
      </c>
      <c r="H749" s="6">
        <f>DAY(Consulta2[[#This Row],[DATA]])</f>
        <v>17</v>
      </c>
      <c r="I749" s="6">
        <f>MONTH(Consulta2[[#This Row],[DATA]])</f>
        <v>1</v>
      </c>
      <c r="J749" t="str">
        <f>CONCATENATE(Consulta2[[#This Row],[SAFRA]],Consulta2[[#This Row],[dia]])</f>
        <v>20260117</v>
      </c>
      <c r="K749">
        <f>Consulta2[[#This Row],[DIA_UTIL_CORRENTE]]</f>
        <v>11</v>
      </c>
    </row>
    <row r="750" spans="1:11" x14ac:dyDescent="0.25">
      <c r="A750">
        <v>202601</v>
      </c>
      <c r="B750">
        <v>11</v>
      </c>
      <c r="C750" s="148">
        <v>46040</v>
      </c>
      <c r="D750">
        <v>21</v>
      </c>
      <c r="E750">
        <v>21</v>
      </c>
      <c r="F750">
        <v>517</v>
      </c>
      <c r="G750">
        <f>Consulta2[[#This Row],[DIA_UTIL_CORRENTE]]</f>
        <v>11</v>
      </c>
      <c r="H750" s="6">
        <f>DAY(Consulta2[[#This Row],[DATA]])</f>
        <v>18</v>
      </c>
      <c r="I750" s="6">
        <f>MONTH(Consulta2[[#This Row],[DATA]])</f>
        <v>1</v>
      </c>
      <c r="J750" t="str">
        <f>CONCATENATE(Consulta2[[#This Row],[SAFRA]],Consulta2[[#This Row],[dia]])</f>
        <v>20260118</v>
      </c>
      <c r="K750">
        <f>Consulta2[[#This Row],[DIA_UTIL_CORRENTE]]</f>
        <v>11</v>
      </c>
    </row>
    <row r="751" spans="1:11" x14ac:dyDescent="0.25">
      <c r="A751">
        <v>202601</v>
      </c>
      <c r="B751">
        <v>12</v>
      </c>
      <c r="C751" s="148">
        <v>46041</v>
      </c>
      <c r="D751">
        <v>21</v>
      </c>
      <c r="E751">
        <v>21</v>
      </c>
      <c r="F751">
        <v>518</v>
      </c>
      <c r="G751">
        <f>Consulta2[[#This Row],[DIA_UTIL_CORRENTE]]</f>
        <v>12</v>
      </c>
      <c r="H751" s="6">
        <f>DAY(Consulta2[[#This Row],[DATA]])</f>
        <v>19</v>
      </c>
      <c r="I751" s="6">
        <f>MONTH(Consulta2[[#This Row],[DATA]])</f>
        <v>1</v>
      </c>
      <c r="J751" t="str">
        <f>CONCATENATE(Consulta2[[#This Row],[SAFRA]],Consulta2[[#This Row],[dia]])</f>
        <v>20260119</v>
      </c>
      <c r="K751">
        <f>Consulta2[[#This Row],[DIA_UTIL_CORRENTE]]</f>
        <v>12</v>
      </c>
    </row>
    <row r="752" spans="1:11" x14ac:dyDescent="0.25">
      <c r="A752">
        <v>202601</v>
      </c>
      <c r="B752">
        <v>13</v>
      </c>
      <c r="C752" s="148">
        <v>46042</v>
      </c>
      <c r="D752">
        <v>21</v>
      </c>
      <c r="E752">
        <v>21</v>
      </c>
      <c r="F752">
        <v>519</v>
      </c>
      <c r="G752">
        <f>Consulta2[[#This Row],[DIA_UTIL_CORRENTE]]</f>
        <v>13</v>
      </c>
      <c r="H752" s="6">
        <f>DAY(Consulta2[[#This Row],[DATA]])</f>
        <v>20</v>
      </c>
      <c r="I752" s="6">
        <f>MONTH(Consulta2[[#This Row],[DATA]])</f>
        <v>1</v>
      </c>
      <c r="J752" t="str">
        <f>CONCATENATE(Consulta2[[#This Row],[SAFRA]],Consulta2[[#This Row],[dia]])</f>
        <v>20260120</v>
      </c>
      <c r="K752">
        <f>Consulta2[[#This Row],[DIA_UTIL_CORRENTE]]</f>
        <v>13</v>
      </c>
    </row>
    <row r="753" spans="1:11" x14ac:dyDescent="0.25">
      <c r="A753">
        <v>202601</v>
      </c>
      <c r="B753">
        <v>14</v>
      </c>
      <c r="C753" s="148">
        <v>46043</v>
      </c>
      <c r="D753">
        <v>21</v>
      </c>
      <c r="E753">
        <v>21</v>
      </c>
      <c r="F753">
        <v>520</v>
      </c>
      <c r="G753">
        <f>Consulta2[[#This Row],[DIA_UTIL_CORRENTE]]</f>
        <v>14</v>
      </c>
      <c r="H753" s="6">
        <f>DAY(Consulta2[[#This Row],[DATA]])</f>
        <v>21</v>
      </c>
      <c r="I753" s="6">
        <f>MONTH(Consulta2[[#This Row],[DATA]])</f>
        <v>1</v>
      </c>
      <c r="J753" t="str">
        <f>CONCATENATE(Consulta2[[#This Row],[SAFRA]],Consulta2[[#This Row],[dia]])</f>
        <v>20260121</v>
      </c>
      <c r="K753">
        <f>Consulta2[[#This Row],[DIA_UTIL_CORRENTE]]</f>
        <v>14</v>
      </c>
    </row>
    <row r="754" spans="1:11" x14ac:dyDescent="0.25">
      <c r="A754">
        <v>202601</v>
      </c>
      <c r="B754">
        <v>15</v>
      </c>
      <c r="C754" s="148">
        <v>46044</v>
      </c>
      <c r="D754">
        <v>21</v>
      </c>
      <c r="E754">
        <v>21</v>
      </c>
      <c r="F754">
        <v>521</v>
      </c>
      <c r="G754">
        <f>Consulta2[[#This Row],[DIA_UTIL_CORRENTE]]</f>
        <v>15</v>
      </c>
      <c r="H754" s="6">
        <f>DAY(Consulta2[[#This Row],[DATA]])</f>
        <v>22</v>
      </c>
      <c r="I754" s="6">
        <f>MONTH(Consulta2[[#This Row],[DATA]])</f>
        <v>1</v>
      </c>
      <c r="J754" t="str">
        <f>CONCATENATE(Consulta2[[#This Row],[SAFRA]],Consulta2[[#This Row],[dia]])</f>
        <v>20260122</v>
      </c>
      <c r="K754">
        <f>Consulta2[[#This Row],[DIA_UTIL_CORRENTE]]</f>
        <v>15</v>
      </c>
    </row>
    <row r="755" spans="1:11" x14ac:dyDescent="0.25">
      <c r="A755">
        <v>202601</v>
      </c>
      <c r="B755">
        <v>16</v>
      </c>
      <c r="C755" s="148">
        <v>46045</v>
      </c>
      <c r="D755">
        <v>21</v>
      </c>
      <c r="E755">
        <v>21</v>
      </c>
      <c r="F755">
        <v>522</v>
      </c>
      <c r="G755">
        <f>Consulta2[[#This Row],[DIA_UTIL_CORRENTE]]</f>
        <v>16</v>
      </c>
      <c r="H755" s="6">
        <f>DAY(Consulta2[[#This Row],[DATA]])</f>
        <v>23</v>
      </c>
      <c r="I755" s="6">
        <f>MONTH(Consulta2[[#This Row],[DATA]])</f>
        <v>1</v>
      </c>
      <c r="J755" t="str">
        <f>CONCATENATE(Consulta2[[#This Row],[SAFRA]],Consulta2[[#This Row],[dia]])</f>
        <v>20260123</v>
      </c>
      <c r="K755">
        <f>Consulta2[[#This Row],[DIA_UTIL_CORRENTE]]</f>
        <v>16</v>
      </c>
    </row>
    <row r="756" spans="1:11" x14ac:dyDescent="0.25">
      <c r="A756">
        <v>202601</v>
      </c>
      <c r="B756">
        <v>16</v>
      </c>
      <c r="C756" s="148">
        <v>46046</v>
      </c>
      <c r="D756">
        <v>21</v>
      </c>
      <c r="E756">
        <v>21</v>
      </c>
      <c r="F756">
        <v>522</v>
      </c>
      <c r="G756">
        <f>Consulta2[[#This Row],[DIA_UTIL_CORRENTE]]</f>
        <v>16</v>
      </c>
      <c r="H756" s="6">
        <f>DAY(Consulta2[[#This Row],[DATA]])</f>
        <v>24</v>
      </c>
      <c r="I756" s="6">
        <f>MONTH(Consulta2[[#This Row],[DATA]])</f>
        <v>1</v>
      </c>
      <c r="J756" t="str">
        <f>CONCATENATE(Consulta2[[#This Row],[SAFRA]],Consulta2[[#This Row],[dia]])</f>
        <v>20260124</v>
      </c>
      <c r="K756">
        <f>Consulta2[[#This Row],[DIA_UTIL_CORRENTE]]</f>
        <v>16</v>
      </c>
    </row>
    <row r="757" spans="1:11" x14ac:dyDescent="0.25">
      <c r="A757">
        <v>202601</v>
      </c>
      <c r="B757">
        <v>16</v>
      </c>
      <c r="C757" s="148">
        <v>46047</v>
      </c>
      <c r="D757">
        <v>21</v>
      </c>
      <c r="E757">
        <v>21</v>
      </c>
      <c r="F757">
        <v>522</v>
      </c>
      <c r="G757">
        <f>Consulta2[[#This Row],[DIA_UTIL_CORRENTE]]</f>
        <v>16</v>
      </c>
      <c r="H757" s="6">
        <f>DAY(Consulta2[[#This Row],[DATA]])</f>
        <v>25</v>
      </c>
      <c r="I757" s="6">
        <f>MONTH(Consulta2[[#This Row],[DATA]])</f>
        <v>1</v>
      </c>
      <c r="J757" t="str">
        <f>CONCATENATE(Consulta2[[#This Row],[SAFRA]],Consulta2[[#This Row],[dia]])</f>
        <v>20260125</v>
      </c>
      <c r="K757">
        <f>Consulta2[[#This Row],[DIA_UTIL_CORRENTE]]</f>
        <v>16</v>
      </c>
    </row>
    <row r="758" spans="1:11" x14ac:dyDescent="0.25">
      <c r="A758">
        <v>202601</v>
      </c>
      <c r="B758">
        <v>17</v>
      </c>
      <c r="C758" s="148">
        <v>46048</v>
      </c>
      <c r="D758">
        <v>21</v>
      </c>
      <c r="E758">
        <v>21</v>
      </c>
      <c r="F758">
        <v>523</v>
      </c>
      <c r="G758">
        <f>Consulta2[[#This Row],[DIA_UTIL_CORRENTE]]</f>
        <v>17</v>
      </c>
      <c r="H758" s="6">
        <f>DAY(Consulta2[[#This Row],[DATA]])</f>
        <v>26</v>
      </c>
      <c r="I758" s="6">
        <f>MONTH(Consulta2[[#This Row],[DATA]])</f>
        <v>1</v>
      </c>
      <c r="J758" t="str">
        <f>CONCATENATE(Consulta2[[#This Row],[SAFRA]],Consulta2[[#This Row],[dia]])</f>
        <v>20260126</v>
      </c>
      <c r="K758">
        <f>Consulta2[[#This Row],[DIA_UTIL_CORRENTE]]</f>
        <v>17</v>
      </c>
    </row>
    <row r="759" spans="1:11" x14ac:dyDescent="0.25">
      <c r="A759">
        <v>202601</v>
      </c>
      <c r="B759">
        <v>18</v>
      </c>
      <c r="C759" s="148">
        <v>46049</v>
      </c>
      <c r="D759">
        <v>21</v>
      </c>
      <c r="E759">
        <v>21</v>
      </c>
      <c r="F759">
        <v>524</v>
      </c>
      <c r="G759">
        <f>Consulta2[[#This Row],[DIA_UTIL_CORRENTE]]</f>
        <v>18</v>
      </c>
      <c r="H759" s="6">
        <f>DAY(Consulta2[[#This Row],[DATA]])</f>
        <v>27</v>
      </c>
      <c r="I759" s="6">
        <f>MONTH(Consulta2[[#This Row],[DATA]])</f>
        <v>1</v>
      </c>
      <c r="J759" t="str">
        <f>CONCATENATE(Consulta2[[#This Row],[SAFRA]],Consulta2[[#This Row],[dia]])</f>
        <v>20260127</v>
      </c>
      <c r="K759">
        <f>Consulta2[[#This Row],[DIA_UTIL_CORRENTE]]</f>
        <v>18</v>
      </c>
    </row>
    <row r="760" spans="1:11" x14ac:dyDescent="0.25">
      <c r="A760">
        <v>202601</v>
      </c>
      <c r="B760">
        <v>19</v>
      </c>
      <c r="C760" s="148">
        <v>46050</v>
      </c>
      <c r="D760">
        <v>21</v>
      </c>
      <c r="E760">
        <v>21</v>
      </c>
      <c r="F760">
        <v>525</v>
      </c>
      <c r="G760">
        <f>Consulta2[[#This Row],[DIA_UTIL_CORRENTE]]</f>
        <v>19</v>
      </c>
      <c r="H760" s="6">
        <f>DAY(Consulta2[[#This Row],[DATA]])</f>
        <v>28</v>
      </c>
      <c r="I760" s="6">
        <f>MONTH(Consulta2[[#This Row],[DATA]])</f>
        <v>1</v>
      </c>
      <c r="J760" t="str">
        <f>CONCATENATE(Consulta2[[#This Row],[SAFRA]],Consulta2[[#This Row],[dia]])</f>
        <v>20260128</v>
      </c>
      <c r="K760">
        <f>Consulta2[[#This Row],[DIA_UTIL_CORRENTE]]</f>
        <v>19</v>
      </c>
    </row>
    <row r="761" spans="1:11" x14ac:dyDescent="0.25">
      <c r="A761">
        <v>202601</v>
      </c>
      <c r="B761">
        <v>20</v>
      </c>
      <c r="C761" s="148">
        <v>46051</v>
      </c>
      <c r="D761">
        <v>21</v>
      </c>
      <c r="E761">
        <v>21</v>
      </c>
      <c r="F761">
        <v>526</v>
      </c>
      <c r="G761">
        <f>Consulta2[[#This Row],[DIA_UTIL_CORRENTE]]</f>
        <v>20</v>
      </c>
      <c r="H761" s="6">
        <f>DAY(Consulta2[[#This Row],[DATA]])</f>
        <v>29</v>
      </c>
      <c r="I761" s="6">
        <f>MONTH(Consulta2[[#This Row],[DATA]])</f>
        <v>1</v>
      </c>
      <c r="J761" t="str">
        <f>CONCATENATE(Consulta2[[#This Row],[SAFRA]],Consulta2[[#This Row],[dia]])</f>
        <v>20260129</v>
      </c>
      <c r="K761">
        <f>Consulta2[[#This Row],[DIA_UTIL_CORRENTE]]</f>
        <v>20</v>
      </c>
    </row>
    <row r="762" spans="1:11" x14ac:dyDescent="0.25">
      <c r="A762">
        <v>202601</v>
      </c>
      <c r="B762">
        <v>21</v>
      </c>
      <c r="C762" s="148">
        <v>46052</v>
      </c>
      <c r="D762">
        <v>21</v>
      </c>
      <c r="E762">
        <v>21</v>
      </c>
      <c r="F762">
        <v>527</v>
      </c>
      <c r="G762">
        <f>Consulta2[[#This Row],[DIA_UTIL_CORRENTE]]</f>
        <v>21</v>
      </c>
      <c r="H762" s="6">
        <f>DAY(Consulta2[[#This Row],[DATA]])</f>
        <v>30</v>
      </c>
      <c r="I762" s="6">
        <f>MONTH(Consulta2[[#This Row],[DATA]])</f>
        <v>1</v>
      </c>
      <c r="J762" t="str">
        <f>CONCATENATE(Consulta2[[#This Row],[SAFRA]],Consulta2[[#This Row],[dia]])</f>
        <v>20260130</v>
      </c>
      <c r="K762">
        <f>Consulta2[[#This Row],[DIA_UTIL_CORRENTE]]</f>
        <v>21</v>
      </c>
    </row>
    <row r="763" spans="1:11" x14ac:dyDescent="0.25">
      <c r="A763">
        <v>202601</v>
      </c>
      <c r="B763">
        <v>21</v>
      </c>
      <c r="C763" s="148">
        <v>46053</v>
      </c>
      <c r="D763">
        <v>21</v>
      </c>
      <c r="E763">
        <v>21</v>
      </c>
      <c r="F763">
        <v>527</v>
      </c>
      <c r="G763">
        <f>Consulta2[[#This Row],[DIA_UTIL_CORRENTE]]</f>
        <v>21</v>
      </c>
      <c r="H763" s="6">
        <f>DAY(Consulta2[[#This Row],[DATA]])</f>
        <v>31</v>
      </c>
      <c r="I763" s="6">
        <f>MONTH(Consulta2[[#This Row],[DATA]])</f>
        <v>1</v>
      </c>
      <c r="J763" t="str">
        <f>CONCATENATE(Consulta2[[#This Row],[SAFRA]],Consulta2[[#This Row],[dia]])</f>
        <v>20260131</v>
      </c>
      <c r="K763">
        <f>Consulta2[[#This Row],[DIA_UTIL_CORRENTE]]</f>
        <v>21</v>
      </c>
    </row>
    <row r="764" spans="1:11" x14ac:dyDescent="0.25">
      <c r="A764">
        <v>202602</v>
      </c>
      <c r="B764">
        <v>0</v>
      </c>
      <c r="C764" s="148">
        <v>46054</v>
      </c>
      <c r="D764">
        <v>18</v>
      </c>
      <c r="E764">
        <v>18</v>
      </c>
      <c r="F764">
        <v>527</v>
      </c>
      <c r="G764">
        <f>Consulta2[[#This Row],[DIA_UTIL_CORRENTE]]</f>
        <v>0</v>
      </c>
      <c r="H764" s="6">
        <f>DAY(Consulta2[[#This Row],[DATA]])</f>
        <v>1</v>
      </c>
      <c r="I764" s="6">
        <f>MONTH(Consulta2[[#This Row],[DATA]])</f>
        <v>2</v>
      </c>
      <c r="J764" t="str">
        <f>CONCATENATE(Consulta2[[#This Row],[SAFRA]],Consulta2[[#This Row],[dia]])</f>
        <v>2026021</v>
      </c>
      <c r="K764">
        <f>Consulta2[[#This Row],[DIA_UTIL_CORRENTE]]</f>
        <v>0</v>
      </c>
    </row>
    <row r="765" spans="1:11" x14ac:dyDescent="0.25">
      <c r="A765">
        <v>202602</v>
      </c>
      <c r="B765">
        <v>1</v>
      </c>
      <c r="C765" s="148">
        <v>46055</v>
      </c>
      <c r="D765">
        <v>18</v>
      </c>
      <c r="E765">
        <v>18</v>
      </c>
      <c r="F765">
        <v>528</v>
      </c>
      <c r="G765">
        <f>Consulta2[[#This Row],[DIA_UTIL_CORRENTE]]</f>
        <v>1</v>
      </c>
      <c r="H765" s="6">
        <f>DAY(Consulta2[[#This Row],[DATA]])</f>
        <v>2</v>
      </c>
      <c r="I765" s="6">
        <f>MONTH(Consulta2[[#This Row],[DATA]])</f>
        <v>2</v>
      </c>
      <c r="J765" t="str">
        <f>CONCATENATE(Consulta2[[#This Row],[SAFRA]],Consulta2[[#This Row],[dia]])</f>
        <v>2026022</v>
      </c>
      <c r="K765">
        <f>Consulta2[[#This Row],[DIA_UTIL_CORRENTE]]</f>
        <v>1</v>
      </c>
    </row>
    <row r="766" spans="1:11" x14ac:dyDescent="0.25">
      <c r="A766">
        <v>202602</v>
      </c>
      <c r="B766">
        <v>2</v>
      </c>
      <c r="C766" s="148">
        <v>46056</v>
      </c>
      <c r="D766">
        <v>18</v>
      </c>
      <c r="E766">
        <v>18</v>
      </c>
      <c r="F766">
        <v>529</v>
      </c>
      <c r="G766">
        <f>Consulta2[[#This Row],[DIA_UTIL_CORRENTE]]</f>
        <v>2</v>
      </c>
      <c r="H766" s="6">
        <f>DAY(Consulta2[[#This Row],[DATA]])</f>
        <v>3</v>
      </c>
      <c r="I766" s="6">
        <f>MONTH(Consulta2[[#This Row],[DATA]])</f>
        <v>2</v>
      </c>
      <c r="J766" t="str">
        <f>CONCATENATE(Consulta2[[#This Row],[SAFRA]],Consulta2[[#This Row],[dia]])</f>
        <v>2026023</v>
      </c>
      <c r="K766">
        <f>Consulta2[[#This Row],[DIA_UTIL_CORRENTE]]</f>
        <v>2</v>
      </c>
    </row>
    <row r="767" spans="1:11" x14ac:dyDescent="0.25">
      <c r="A767">
        <v>202602</v>
      </c>
      <c r="B767">
        <v>3</v>
      </c>
      <c r="C767" s="148">
        <v>46057</v>
      </c>
      <c r="D767">
        <v>18</v>
      </c>
      <c r="E767">
        <v>18</v>
      </c>
      <c r="F767">
        <v>530</v>
      </c>
      <c r="G767">
        <f>Consulta2[[#This Row],[DIA_UTIL_CORRENTE]]</f>
        <v>3</v>
      </c>
      <c r="H767" s="6">
        <f>DAY(Consulta2[[#This Row],[DATA]])</f>
        <v>4</v>
      </c>
      <c r="I767" s="6">
        <f>MONTH(Consulta2[[#This Row],[DATA]])</f>
        <v>2</v>
      </c>
      <c r="J767" t="str">
        <f>CONCATENATE(Consulta2[[#This Row],[SAFRA]],Consulta2[[#This Row],[dia]])</f>
        <v>2026024</v>
      </c>
      <c r="K767">
        <f>Consulta2[[#This Row],[DIA_UTIL_CORRENTE]]</f>
        <v>3</v>
      </c>
    </row>
    <row r="768" spans="1:11" x14ac:dyDescent="0.25">
      <c r="A768">
        <v>202602</v>
      </c>
      <c r="B768">
        <v>4</v>
      </c>
      <c r="C768" s="148">
        <v>46058</v>
      </c>
      <c r="D768">
        <v>18</v>
      </c>
      <c r="E768">
        <v>18</v>
      </c>
      <c r="F768">
        <v>531</v>
      </c>
      <c r="G768">
        <f>Consulta2[[#This Row],[DIA_UTIL_CORRENTE]]</f>
        <v>4</v>
      </c>
      <c r="H768" s="6">
        <f>DAY(Consulta2[[#This Row],[DATA]])</f>
        <v>5</v>
      </c>
      <c r="I768" s="6">
        <f>MONTH(Consulta2[[#This Row],[DATA]])</f>
        <v>2</v>
      </c>
      <c r="J768" t="str">
        <f>CONCATENATE(Consulta2[[#This Row],[SAFRA]],Consulta2[[#This Row],[dia]])</f>
        <v>2026025</v>
      </c>
      <c r="K768">
        <f>Consulta2[[#This Row],[DIA_UTIL_CORRENTE]]</f>
        <v>4</v>
      </c>
    </row>
    <row r="769" spans="1:11" x14ac:dyDescent="0.25">
      <c r="A769">
        <v>202602</v>
      </c>
      <c r="B769">
        <v>5</v>
      </c>
      <c r="C769" s="148">
        <v>46059</v>
      </c>
      <c r="D769">
        <v>18</v>
      </c>
      <c r="E769">
        <v>18</v>
      </c>
      <c r="F769">
        <v>532</v>
      </c>
      <c r="G769">
        <f>Consulta2[[#This Row],[DIA_UTIL_CORRENTE]]</f>
        <v>5</v>
      </c>
      <c r="H769" s="6">
        <f>DAY(Consulta2[[#This Row],[DATA]])</f>
        <v>6</v>
      </c>
      <c r="I769" s="6">
        <f>MONTH(Consulta2[[#This Row],[DATA]])</f>
        <v>2</v>
      </c>
      <c r="J769" t="str">
        <f>CONCATENATE(Consulta2[[#This Row],[SAFRA]],Consulta2[[#This Row],[dia]])</f>
        <v>2026026</v>
      </c>
      <c r="K769">
        <f>Consulta2[[#This Row],[DIA_UTIL_CORRENTE]]</f>
        <v>5</v>
      </c>
    </row>
    <row r="770" spans="1:11" x14ac:dyDescent="0.25">
      <c r="A770">
        <v>202602</v>
      </c>
      <c r="B770">
        <v>5</v>
      </c>
      <c r="C770" s="148">
        <v>46060</v>
      </c>
      <c r="D770">
        <v>18</v>
      </c>
      <c r="E770">
        <v>18</v>
      </c>
      <c r="F770">
        <v>532</v>
      </c>
      <c r="G770">
        <f>Consulta2[[#This Row],[DIA_UTIL_CORRENTE]]</f>
        <v>5</v>
      </c>
      <c r="H770" s="6">
        <f>DAY(Consulta2[[#This Row],[DATA]])</f>
        <v>7</v>
      </c>
      <c r="I770" s="6">
        <f>MONTH(Consulta2[[#This Row],[DATA]])</f>
        <v>2</v>
      </c>
      <c r="J770" t="str">
        <f>CONCATENATE(Consulta2[[#This Row],[SAFRA]],Consulta2[[#This Row],[dia]])</f>
        <v>2026027</v>
      </c>
      <c r="K770">
        <f>Consulta2[[#This Row],[DIA_UTIL_CORRENTE]]</f>
        <v>5</v>
      </c>
    </row>
    <row r="771" spans="1:11" x14ac:dyDescent="0.25">
      <c r="A771">
        <v>202602</v>
      </c>
      <c r="B771">
        <v>5</v>
      </c>
      <c r="C771" s="148">
        <v>46061</v>
      </c>
      <c r="D771">
        <v>18</v>
      </c>
      <c r="E771">
        <v>18</v>
      </c>
      <c r="F771">
        <v>532</v>
      </c>
      <c r="G771">
        <f>Consulta2[[#This Row],[DIA_UTIL_CORRENTE]]</f>
        <v>5</v>
      </c>
      <c r="H771" s="6">
        <f>DAY(Consulta2[[#This Row],[DATA]])</f>
        <v>8</v>
      </c>
      <c r="I771" s="6">
        <f>MONTH(Consulta2[[#This Row],[DATA]])</f>
        <v>2</v>
      </c>
      <c r="J771" t="str">
        <f>CONCATENATE(Consulta2[[#This Row],[SAFRA]],Consulta2[[#This Row],[dia]])</f>
        <v>2026028</v>
      </c>
      <c r="K771">
        <f>Consulta2[[#This Row],[DIA_UTIL_CORRENTE]]</f>
        <v>5</v>
      </c>
    </row>
    <row r="772" spans="1:11" x14ac:dyDescent="0.25">
      <c r="A772">
        <v>202602</v>
      </c>
      <c r="B772">
        <v>6</v>
      </c>
      <c r="C772" s="148">
        <v>46062</v>
      </c>
      <c r="D772">
        <v>18</v>
      </c>
      <c r="E772">
        <v>18</v>
      </c>
      <c r="F772">
        <v>533</v>
      </c>
      <c r="G772">
        <f>Consulta2[[#This Row],[DIA_UTIL_CORRENTE]]</f>
        <v>6</v>
      </c>
      <c r="H772" s="6">
        <f>DAY(Consulta2[[#This Row],[DATA]])</f>
        <v>9</v>
      </c>
      <c r="I772" s="6">
        <f>MONTH(Consulta2[[#This Row],[DATA]])</f>
        <v>2</v>
      </c>
      <c r="J772" t="str">
        <f>CONCATENATE(Consulta2[[#This Row],[SAFRA]],Consulta2[[#This Row],[dia]])</f>
        <v>2026029</v>
      </c>
      <c r="K772">
        <f>Consulta2[[#This Row],[DIA_UTIL_CORRENTE]]</f>
        <v>6</v>
      </c>
    </row>
    <row r="773" spans="1:11" x14ac:dyDescent="0.25">
      <c r="A773">
        <v>202602</v>
      </c>
      <c r="B773">
        <v>7</v>
      </c>
      <c r="C773" s="148">
        <v>46063</v>
      </c>
      <c r="D773">
        <v>18</v>
      </c>
      <c r="E773">
        <v>18</v>
      </c>
      <c r="F773">
        <v>534</v>
      </c>
      <c r="G773">
        <f>Consulta2[[#This Row],[DIA_UTIL_CORRENTE]]</f>
        <v>7</v>
      </c>
      <c r="H773" s="6">
        <f>DAY(Consulta2[[#This Row],[DATA]])</f>
        <v>10</v>
      </c>
      <c r="I773" s="6">
        <f>MONTH(Consulta2[[#This Row],[DATA]])</f>
        <v>2</v>
      </c>
      <c r="J773" t="str">
        <f>CONCATENATE(Consulta2[[#This Row],[SAFRA]],Consulta2[[#This Row],[dia]])</f>
        <v>20260210</v>
      </c>
      <c r="K773">
        <f>Consulta2[[#This Row],[DIA_UTIL_CORRENTE]]</f>
        <v>7</v>
      </c>
    </row>
    <row r="774" spans="1:11" x14ac:dyDescent="0.25">
      <c r="A774">
        <v>202602</v>
      </c>
      <c r="B774">
        <v>8</v>
      </c>
      <c r="C774" s="148">
        <v>46064</v>
      </c>
      <c r="D774">
        <v>18</v>
      </c>
      <c r="E774">
        <v>18</v>
      </c>
      <c r="F774">
        <v>535</v>
      </c>
      <c r="G774">
        <f>Consulta2[[#This Row],[DIA_UTIL_CORRENTE]]</f>
        <v>8</v>
      </c>
      <c r="H774" s="6">
        <f>DAY(Consulta2[[#This Row],[DATA]])</f>
        <v>11</v>
      </c>
      <c r="I774" s="6">
        <f>MONTH(Consulta2[[#This Row],[DATA]])</f>
        <v>2</v>
      </c>
      <c r="J774" t="str">
        <f>CONCATENATE(Consulta2[[#This Row],[SAFRA]],Consulta2[[#This Row],[dia]])</f>
        <v>20260211</v>
      </c>
      <c r="K774">
        <f>Consulta2[[#This Row],[DIA_UTIL_CORRENTE]]</f>
        <v>8</v>
      </c>
    </row>
    <row r="775" spans="1:11" x14ac:dyDescent="0.25">
      <c r="A775">
        <v>202602</v>
      </c>
      <c r="B775">
        <v>9</v>
      </c>
      <c r="C775" s="148">
        <v>46065</v>
      </c>
      <c r="D775">
        <v>18</v>
      </c>
      <c r="E775">
        <v>18</v>
      </c>
      <c r="F775">
        <v>536</v>
      </c>
      <c r="G775">
        <f>Consulta2[[#This Row],[DIA_UTIL_CORRENTE]]</f>
        <v>9</v>
      </c>
      <c r="H775" s="6">
        <f>DAY(Consulta2[[#This Row],[DATA]])</f>
        <v>12</v>
      </c>
      <c r="I775" s="6">
        <f>MONTH(Consulta2[[#This Row],[DATA]])</f>
        <v>2</v>
      </c>
      <c r="J775" t="str">
        <f>CONCATENATE(Consulta2[[#This Row],[SAFRA]],Consulta2[[#This Row],[dia]])</f>
        <v>20260212</v>
      </c>
      <c r="K775">
        <f>Consulta2[[#This Row],[DIA_UTIL_CORRENTE]]</f>
        <v>9</v>
      </c>
    </row>
    <row r="776" spans="1:11" x14ac:dyDescent="0.25">
      <c r="A776">
        <v>202602</v>
      </c>
      <c r="B776">
        <v>10</v>
      </c>
      <c r="C776" s="148">
        <v>46066</v>
      </c>
      <c r="D776">
        <v>18</v>
      </c>
      <c r="E776">
        <v>18</v>
      </c>
      <c r="F776">
        <v>537</v>
      </c>
      <c r="G776">
        <f>Consulta2[[#This Row],[DIA_UTIL_CORRENTE]]</f>
        <v>10</v>
      </c>
      <c r="H776" s="6">
        <f>DAY(Consulta2[[#This Row],[DATA]])</f>
        <v>13</v>
      </c>
      <c r="I776" s="6">
        <f>MONTH(Consulta2[[#This Row],[DATA]])</f>
        <v>2</v>
      </c>
      <c r="J776" t="str">
        <f>CONCATENATE(Consulta2[[#This Row],[SAFRA]],Consulta2[[#This Row],[dia]])</f>
        <v>20260213</v>
      </c>
      <c r="K776">
        <f>Consulta2[[#This Row],[DIA_UTIL_CORRENTE]]</f>
        <v>10</v>
      </c>
    </row>
    <row r="777" spans="1:11" x14ac:dyDescent="0.25">
      <c r="A777">
        <v>202602</v>
      </c>
      <c r="B777">
        <v>10</v>
      </c>
      <c r="C777" s="148">
        <v>46067</v>
      </c>
      <c r="D777">
        <v>18</v>
      </c>
      <c r="E777">
        <v>18</v>
      </c>
      <c r="F777">
        <v>537</v>
      </c>
      <c r="G777">
        <f>Consulta2[[#This Row],[DIA_UTIL_CORRENTE]]</f>
        <v>10</v>
      </c>
      <c r="H777" s="6">
        <f>DAY(Consulta2[[#This Row],[DATA]])</f>
        <v>14</v>
      </c>
      <c r="I777" s="6">
        <f>MONTH(Consulta2[[#This Row],[DATA]])</f>
        <v>2</v>
      </c>
      <c r="J777" t="str">
        <f>CONCATENATE(Consulta2[[#This Row],[SAFRA]],Consulta2[[#This Row],[dia]])</f>
        <v>20260214</v>
      </c>
      <c r="K777">
        <f>Consulta2[[#This Row],[DIA_UTIL_CORRENTE]]</f>
        <v>10</v>
      </c>
    </row>
    <row r="778" spans="1:11" x14ac:dyDescent="0.25">
      <c r="A778">
        <v>202602</v>
      </c>
      <c r="B778">
        <v>10</v>
      </c>
      <c r="C778" s="148">
        <v>46068</v>
      </c>
      <c r="D778">
        <v>18</v>
      </c>
      <c r="E778">
        <v>18</v>
      </c>
      <c r="F778">
        <v>537</v>
      </c>
      <c r="G778">
        <f>Consulta2[[#This Row],[DIA_UTIL_CORRENTE]]</f>
        <v>10</v>
      </c>
      <c r="H778" s="6">
        <f>DAY(Consulta2[[#This Row],[DATA]])</f>
        <v>15</v>
      </c>
      <c r="I778" s="6">
        <f>MONTH(Consulta2[[#This Row],[DATA]])</f>
        <v>2</v>
      </c>
      <c r="J778" t="str">
        <f>CONCATENATE(Consulta2[[#This Row],[SAFRA]],Consulta2[[#This Row],[dia]])</f>
        <v>20260215</v>
      </c>
      <c r="K778">
        <f>Consulta2[[#This Row],[DIA_UTIL_CORRENTE]]</f>
        <v>10</v>
      </c>
    </row>
    <row r="779" spans="1:11" x14ac:dyDescent="0.25">
      <c r="A779">
        <v>202602</v>
      </c>
      <c r="B779">
        <v>10</v>
      </c>
      <c r="C779" s="148">
        <v>46069</v>
      </c>
      <c r="D779">
        <v>18</v>
      </c>
      <c r="E779">
        <v>18</v>
      </c>
      <c r="F779">
        <v>537</v>
      </c>
      <c r="G779">
        <f>Consulta2[[#This Row],[DIA_UTIL_CORRENTE]]</f>
        <v>10</v>
      </c>
      <c r="H779" s="6">
        <f>DAY(Consulta2[[#This Row],[DATA]])</f>
        <v>16</v>
      </c>
      <c r="I779" s="6">
        <f>MONTH(Consulta2[[#This Row],[DATA]])</f>
        <v>2</v>
      </c>
      <c r="J779" t="str">
        <f>CONCATENATE(Consulta2[[#This Row],[SAFRA]],Consulta2[[#This Row],[dia]])</f>
        <v>20260216</v>
      </c>
      <c r="K779">
        <f>Consulta2[[#This Row],[DIA_UTIL_CORRENTE]]</f>
        <v>10</v>
      </c>
    </row>
    <row r="780" spans="1:11" x14ac:dyDescent="0.25">
      <c r="A780">
        <v>202602</v>
      </c>
      <c r="B780">
        <v>10</v>
      </c>
      <c r="C780" s="148">
        <v>46070</v>
      </c>
      <c r="D780">
        <v>18</v>
      </c>
      <c r="E780">
        <v>18</v>
      </c>
      <c r="F780">
        <v>537</v>
      </c>
      <c r="G780">
        <f>Consulta2[[#This Row],[DIA_UTIL_CORRENTE]]</f>
        <v>10</v>
      </c>
      <c r="H780" s="6">
        <f>DAY(Consulta2[[#This Row],[DATA]])</f>
        <v>17</v>
      </c>
      <c r="I780" s="6">
        <f>MONTH(Consulta2[[#This Row],[DATA]])</f>
        <v>2</v>
      </c>
      <c r="J780" t="str">
        <f>CONCATENATE(Consulta2[[#This Row],[SAFRA]],Consulta2[[#This Row],[dia]])</f>
        <v>20260217</v>
      </c>
      <c r="K780">
        <f>Consulta2[[#This Row],[DIA_UTIL_CORRENTE]]</f>
        <v>10</v>
      </c>
    </row>
    <row r="781" spans="1:11" x14ac:dyDescent="0.25">
      <c r="A781">
        <v>202602</v>
      </c>
      <c r="B781">
        <v>11</v>
      </c>
      <c r="C781" s="148">
        <v>46071</v>
      </c>
      <c r="D781">
        <v>18</v>
      </c>
      <c r="E781">
        <v>18</v>
      </c>
      <c r="F781">
        <v>538</v>
      </c>
      <c r="G781">
        <f>Consulta2[[#This Row],[DIA_UTIL_CORRENTE]]</f>
        <v>11</v>
      </c>
      <c r="H781" s="6">
        <f>DAY(Consulta2[[#This Row],[DATA]])</f>
        <v>18</v>
      </c>
      <c r="I781" s="6">
        <f>MONTH(Consulta2[[#This Row],[DATA]])</f>
        <v>2</v>
      </c>
      <c r="J781" t="str">
        <f>CONCATENATE(Consulta2[[#This Row],[SAFRA]],Consulta2[[#This Row],[dia]])</f>
        <v>20260218</v>
      </c>
      <c r="K781">
        <f>Consulta2[[#This Row],[DIA_UTIL_CORRENTE]]</f>
        <v>11</v>
      </c>
    </row>
    <row r="782" spans="1:11" x14ac:dyDescent="0.25">
      <c r="A782">
        <v>202602</v>
      </c>
      <c r="B782">
        <v>12</v>
      </c>
      <c r="C782" s="148">
        <v>46072</v>
      </c>
      <c r="D782">
        <v>18</v>
      </c>
      <c r="E782">
        <v>18</v>
      </c>
      <c r="F782">
        <v>539</v>
      </c>
      <c r="G782">
        <f>Consulta2[[#This Row],[DIA_UTIL_CORRENTE]]</f>
        <v>12</v>
      </c>
      <c r="H782" s="6">
        <f>DAY(Consulta2[[#This Row],[DATA]])</f>
        <v>19</v>
      </c>
      <c r="I782" s="6">
        <f>MONTH(Consulta2[[#This Row],[DATA]])</f>
        <v>2</v>
      </c>
      <c r="J782" t="str">
        <f>CONCATENATE(Consulta2[[#This Row],[SAFRA]],Consulta2[[#This Row],[dia]])</f>
        <v>20260219</v>
      </c>
      <c r="K782">
        <f>Consulta2[[#This Row],[DIA_UTIL_CORRENTE]]</f>
        <v>12</v>
      </c>
    </row>
    <row r="783" spans="1:11" x14ac:dyDescent="0.25">
      <c r="A783">
        <v>202602</v>
      </c>
      <c r="B783">
        <v>13</v>
      </c>
      <c r="C783" s="148">
        <v>46073</v>
      </c>
      <c r="D783">
        <v>18</v>
      </c>
      <c r="E783">
        <v>18</v>
      </c>
      <c r="F783">
        <v>540</v>
      </c>
      <c r="G783">
        <f>Consulta2[[#This Row],[DIA_UTIL_CORRENTE]]</f>
        <v>13</v>
      </c>
      <c r="H783" s="6">
        <f>DAY(Consulta2[[#This Row],[DATA]])</f>
        <v>20</v>
      </c>
      <c r="I783" s="6">
        <f>MONTH(Consulta2[[#This Row],[DATA]])</f>
        <v>2</v>
      </c>
      <c r="J783" t="str">
        <f>CONCATENATE(Consulta2[[#This Row],[SAFRA]],Consulta2[[#This Row],[dia]])</f>
        <v>20260220</v>
      </c>
      <c r="K783">
        <f>Consulta2[[#This Row],[DIA_UTIL_CORRENTE]]</f>
        <v>13</v>
      </c>
    </row>
    <row r="784" spans="1:11" x14ac:dyDescent="0.25">
      <c r="A784">
        <v>202602</v>
      </c>
      <c r="B784">
        <v>13</v>
      </c>
      <c r="C784" s="148">
        <v>46074</v>
      </c>
      <c r="D784">
        <v>18</v>
      </c>
      <c r="E784">
        <v>18</v>
      </c>
      <c r="F784">
        <v>540</v>
      </c>
      <c r="G784">
        <f>Consulta2[[#This Row],[DIA_UTIL_CORRENTE]]</f>
        <v>13</v>
      </c>
      <c r="H784" s="6">
        <f>DAY(Consulta2[[#This Row],[DATA]])</f>
        <v>21</v>
      </c>
      <c r="I784" s="6">
        <f>MONTH(Consulta2[[#This Row],[DATA]])</f>
        <v>2</v>
      </c>
      <c r="J784" t="str">
        <f>CONCATENATE(Consulta2[[#This Row],[SAFRA]],Consulta2[[#This Row],[dia]])</f>
        <v>20260221</v>
      </c>
      <c r="K784">
        <f>Consulta2[[#This Row],[DIA_UTIL_CORRENTE]]</f>
        <v>13</v>
      </c>
    </row>
    <row r="785" spans="1:11" x14ac:dyDescent="0.25">
      <c r="A785">
        <v>202602</v>
      </c>
      <c r="B785">
        <v>13</v>
      </c>
      <c r="C785" s="148">
        <v>46075</v>
      </c>
      <c r="D785">
        <v>18</v>
      </c>
      <c r="E785">
        <v>18</v>
      </c>
      <c r="F785">
        <v>540</v>
      </c>
      <c r="G785">
        <f>Consulta2[[#This Row],[DIA_UTIL_CORRENTE]]</f>
        <v>13</v>
      </c>
      <c r="H785" s="6">
        <f>DAY(Consulta2[[#This Row],[DATA]])</f>
        <v>22</v>
      </c>
      <c r="I785" s="6">
        <f>MONTH(Consulta2[[#This Row],[DATA]])</f>
        <v>2</v>
      </c>
      <c r="J785" t="str">
        <f>CONCATENATE(Consulta2[[#This Row],[SAFRA]],Consulta2[[#This Row],[dia]])</f>
        <v>20260222</v>
      </c>
      <c r="K785">
        <f>Consulta2[[#This Row],[DIA_UTIL_CORRENTE]]</f>
        <v>13</v>
      </c>
    </row>
    <row r="786" spans="1:11" x14ac:dyDescent="0.25">
      <c r="A786">
        <v>202602</v>
      </c>
      <c r="B786">
        <v>14</v>
      </c>
      <c r="C786" s="148">
        <v>46076</v>
      </c>
      <c r="D786">
        <v>18</v>
      </c>
      <c r="E786">
        <v>18</v>
      </c>
      <c r="F786">
        <v>541</v>
      </c>
      <c r="G786">
        <f>Consulta2[[#This Row],[DIA_UTIL_CORRENTE]]</f>
        <v>14</v>
      </c>
      <c r="H786" s="6">
        <f>DAY(Consulta2[[#This Row],[DATA]])</f>
        <v>23</v>
      </c>
      <c r="I786" s="6">
        <f>MONTH(Consulta2[[#This Row],[DATA]])</f>
        <v>2</v>
      </c>
      <c r="J786" t="str">
        <f>CONCATENATE(Consulta2[[#This Row],[SAFRA]],Consulta2[[#This Row],[dia]])</f>
        <v>20260223</v>
      </c>
      <c r="K786">
        <f>Consulta2[[#This Row],[DIA_UTIL_CORRENTE]]</f>
        <v>14</v>
      </c>
    </row>
    <row r="787" spans="1:11" x14ac:dyDescent="0.25">
      <c r="A787">
        <v>202602</v>
      </c>
      <c r="B787">
        <v>15</v>
      </c>
      <c r="C787" s="148">
        <v>46077</v>
      </c>
      <c r="D787">
        <v>18</v>
      </c>
      <c r="E787">
        <v>18</v>
      </c>
      <c r="F787">
        <v>542</v>
      </c>
      <c r="G787">
        <f>Consulta2[[#This Row],[DIA_UTIL_CORRENTE]]</f>
        <v>15</v>
      </c>
      <c r="H787" s="6">
        <f>DAY(Consulta2[[#This Row],[DATA]])</f>
        <v>24</v>
      </c>
      <c r="I787" s="6">
        <f>MONTH(Consulta2[[#This Row],[DATA]])</f>
        <v>2</v>
      </c>
      <c r="J787" t="str">
        <f>CONCATENATE(Consulta2[[#This Row],[SAFRA]],Consulta2[[#This Row],[dia]])</f>
        <v>20260224</v>
      </c>
      <c r="K787">
        <f>Consulta2[[#This Row],[DIA_UTIL_CORRENTE]]</f>
        <v>15</v>
      </c>
    </row>
    <row r="788" spans="1:11" x14ac:dyDescent="0.25">
      <c r="A788">
        <v>202602</v>
      </c>
      <c r="B788">
        <v>16</v>
      </c>
      <c r="C788" s="148">
        <v>46078</v>
      </c>
      <c r="D788">
        <v>18</v>
      </c>
      <c r="E788">
        <v>18</v>
      </c>
      <c r="F788">
        <v>543</v>
      </c>
      <c r="G788">
        <f>Consulta2[[#This Row],[DIA_UTIL_CORRENTE]]</f>
        <v>16</v>
      </c>
      <c r="H788" s="6">
        <f>DAY(Consulta2[[#This Row],[DATA]])</f>
        <v>25</v>
      </c>
      <c r="I788" s="6">
        <f>MONTH(Consulta2[[#This Row],[DATA]])</f>
        <v>2</v>
      </c>
      <c r="J788" t="str">
        <f>CONCATENATE(Consulta2[[#This Row],[SAFRA]],Consulta2[[#This Row],[dia]])</f>
        <v>20260225</v>
      </c>
      <c r="K788">
        <f>Consulta2[[#This Row],[DIA_UTIL_CORRENTE]]</f>
        <v>16</v>
      </c>
    </row>
    <row r="789" spans="1:11" x14ac:dyDescent="0.25">
      <c r="A789">
        <v>202602</v>
      </c>
      <c r="B789">
        <v>17</v>
      </c>
      <c r="C789" s="148">
        <v>46079</v>
      </c>
      <c r="D789">
        <v>18</v>
      </c>
      <c r="E789">
        <v>18</v>
      </c>
      <c r="F789">
        <v>544</v>
      </c>
      <c r="G789">
        <f>Consulta2[[#This Row],[DIA_UTIL_CORRENTE]]</f>
        <v>17</v>
      </c>
      <c r="H789" s="6">
        <f>DAY(Consulta2[[#This Row],[DATA]])</f>
        <v>26</v>
      </c>
      <c r="I789" s="6">
        <f>MONTH(Consulta2[[#This Row],[DATA]])</f>
        <v>2</v>
      </c>
      <c r="J789" t="str">
        <f>CONCATENATE(Consulta2[[#This Row],[SAFRA]],Consulta2[[#This Row],[dia]])</f>
        <v>20260226</v>
      </c>
      <c r="K789">
        <f>Consulta2[[#This Row],[DIA_UTIL_CORRENTE]]</f>
        <v>17</v>
      </c>
    </row>
    <row r="790" spans="1:11" x14ac:dyDescent="0.25">
      <c r="A790">
        <v>202602</v>
      </c>
      <c r="B790">
        <v>18</v>
      </c>
      <c r="C790" s="148">
        <v>46080</v>
      </c>
      <c r="D790">
        <v>18</v>
      </c>
      <c r="E790">
        <v>18</v>
      </c>
      <c r="F790">
        <v>545</v>
      </c>
      <c r="G790">
        <f>Consulta2[[#This Row],[DIA_UTIL_CORRENTE]]</f>
        <v>18</v>
      </c>
      <c r="H790" s="6">
        <f>DAY(Consulta2[[#This Row],[DATA]])</f>
        <v>27</v>
      </c>
      <c r="I790" s="6">
        <f>MONTH(Consulta2[[#This Row],[DATA]])</f>
        <v>2</v>
      </c>
      <c r="J790" t="str">
        <f>CONCATENATE(Consulta2[[#This Row],[SAFRA]],Consulta2[[#This Row],[dia]])</f>
        <v>20260227</v>
      </c>
      <c r="K790">
        <f>Consulta2[[#This Row],[DIA_UTIL_CORRENTE]]</f>
        <v>18</v>
      </c>
    </row>
    <row r="791" spans="1:11" x14ac:dyDescent="0.25">
      <c r="A791">
        <v>202602</v>
      </c>
      <c r="B791">
        <v>18</v>
      </c>
      <c r="C791" s="148">
        <v>46081</v>
      </c>
      <c r="D791">
        <v>18</v>
      </c>
      <c r="E791">
        <v>18</v>
      </c>
      <c r="F791">
        <v>545</v>
      </c>
      <c r="G791">
        <f>Consulta2[[#This Row],[DIA_UTIL_CORRENTE]]</f>
        <v>18</v>
      </c>
      <c r="H791" s="6">
        <f>DAY(Consulta2[[#This Row],[DATA]])</f>
        <v>28</v>
      </c>
      <c r="I791" s="6">
        <f>MONTH(Consulta2[[#This Row],[DATA]])</f>
        <v>2</v>
      </c>
      <c r="J791" t="str">
        <f>CONCATENATE(Consulta2[[#This Row],[SAFRA]],Consulta2[[#This Row],[dia]])</f>
        <v>20260228</v>
      </c>
      <c r="K791">
        <f>Consulta2[[#This Row],[DIA_UTIL_CORRENTE]]</f>
        <v>18</v>
      </c>
    </row>
    <row r="792" spans="1:11" x14ac:dyDescent="0.25">
      <c r="A792">
        <v>202603</v>
      </c>
      <c r="B792">
        <v>0</v>
      </c>
      <c r="C792" s="148">
        <v>46082</v>
      </c>
      <c r="D792">
        <v>22</v>
      </c>
      <c r="E792">
        <v>22</v>
      </c>
      <c r="F792">
        <v>545</v>
      </c>
      <c r="G792">
        <f>Consulta2[[#This Row],[DIA_UTIL_CORRENTE]]</f>
        <v>0</v>
      </c>
      <c r="H792" s="6">
        <f>DAY(Consulta2[[#This Row],[DATA]])</f>
        <v>1</v>
      </c>
      <c r="I792" s="6">
        <f>MONTH(Consulta2[[#This Row],[DATA]])</f>
        <v>3</v>
      </c>
      <c r="J792" t="str">
        <f>CONCATENATE(Consulta2[[#This Row],[SAFRA]],Consulta2[[#This Row],[dia]])</f>
        <v>2026031</v>
      </c>
      <c r="K792">
        <f>Consulta2[[#This Row],[DIA_UTIL_CORRENTE]]</f>
        <v>0</v>
      </c>
    </row>
    <row r="793" spans="1:11" x14ac:dyDescent="0.25">
      <c r="A793">
        <v>202603</v>
      </c>
      <c r="B793">
        <v>1</v>
      </c>
      <c r="C793" s="148">
        <v>46083</v>
      </c>
      <c r="D793">
        <v>22</v>
      </c>
      <c r="E793">
        <v>22</v>
      </c>
      <c r="F793">
        <v>546</v>
      </c>
      <c r="G793">
        <f>Consulta2[[#This Row],[DIA_UTIL_CORRENTE]]</f>
        <v>1</v>
      </c>
      <c r="H793" s="6">
        <f>DAY(Consulta2[[#This Row],[DATA]])</f>
        <v>2</v>
      </c>
      <c r="I793" s="6">
        <f>MONTH(Consulta2[[#This Row],[DATA]])</f>
        <v>3</v>
      </c>
      <c r="J793" t="str">
        <f>CONCATENATE(Consulta2[[#This Row],[SAFRA]],Consulta2[[#This Row],[dia]])</f>
        <v>2026032</v>
      </c>
      <c r="K793">
        <f>Consulta2[[#This Row],[DIA_UTIL_CORRENTE]]</f>
        <v>1</v>
      </c>
    </row>
    <row r="794" spans="1:11" x14ac:dyDescent="0.25">
      <c r="A794">
        <v>202603</v>
      </c>
      <c r="B794">
        <v>2</v>
      </c>
      <c r="C794" s="148">
        <v>46084</v>
      </c>
      <c r="D794">
        <v>22</v>
      </c>
      <c r="E794">
        <v>22</v>
      </c>
      <c r="F794">
        <v>547</v>
      </c>
      <c r="G794">
        <f>Consulta2[[#This Row],[DIA_UTIL_CORRENTE]]</f>
        <v>2</v>
      </c>
      <c r="H794" s="6">
        <f>DAY(Consulta2[[#This Row],[DATA]])</f>
        <v>3</v>
      </c>
      <c r="I794" s="6">
        <f>MONTH(Consulta2[[#This Row],[DATA]])</f>
        <v>3</v>
      </c>
      <c r="J794" t="str">
        <f>CONCATENATE(Consulta2[[#This Row],[SAFRA]],Consulta2[[#This Row],[dia]])</f>
        <v>2026033</v>
      </c>
      <c r="K794">
        <f>Consulta2[[#This Row],[DIA_UTIL_CORRENTE]]</f>
        <v>2</v>
      </c>
    </row>
    <row r="795" spans="1:11" x14ac:dyDescent="0.25">
      <c r="A795">
        <v>202603</v>
      </c>
      <c r="B795">
        <v>3</v>
      </c>
      <c r="C795" s="148">
        <v>46085</v>
      </c>
      <c r="D795">
        <v>22</v>
      </c>
      <c r="E795">
        <v>22</v>
      </c>
      <c r="F795">
        <v>548</v>
      </c>
      <c r="G795">
        <f>Consulta2[[#This Row],[DIA_UTIL_CORRENTE]]</f>
        <v>3</v>
      </c>
      <c r="H795" s="6">
        <f>DAY(Consulta2[[#This Row],[DATA]])</f>
        <v>4</v>
      </c>
      <c r="I795" s="6">
        <f>MONTH(Consulta2[[#This Row],[DATA]])</f>
        <v>3</v>
      </c>
      <c r="J795" t="str">
        <f>CONCATENATE(Consulta2[[#This Row],[SAFRA]],Consulta2[[#This Row],[dia]])</f>
        <v>2026034</v>
      </c>
      <c r="K795">
        <f>Consulta2[[#This Row],[DIA_UTIL_CORRENTE]]</f>
        <v>3</v>
      </c>
    </row>
    <row r="796" spans="1:11" x14ac:dyDescent="0.25">
      <c r="A796">
        <v>202603</v>
      </c>
      <c r="B796">
        <v>4</v>
      </c>
      <c r="C796" s="148">
        <v>46086</v>
      </c>
      <c r="D796">
        <v>22</v>
      </c>
      <c r="E796">
        <v>22</v>
      </c>
      <c r="F796">
        <v>549</v>
      </c>
      <c r="G796">
        <f>Consulta2[[#This Row],[DIA_UTIL_CORRENTE]]</f>
        <v>4</v>
      </c>
      <c r="H796" s="6">
        <f>DAY(Consulta2[[#This Row],[DATA]])</f>
        <v>5</v>
      </c>
      <c r="I796" s="6">
        <f>MONTH(Consulta2[[#This Row],[DATA]])</f>
        <v>3</v>
      </c>
      <c r="J796" t="str">
        <f>CONCATENATE(Consulta2[[#This Row],[SAFRA]],Consulta2[[#This Row],[dia]])</f>
        <v>2026035</v>
      </c>
      <c r="K796">
        <f>Consulta2[[#This Row],[DIA_UTIL_CORRENTE]]</f>
        <v>4</v>
      </c>
    </row>
    <row r="797" spans="1:11" x14ac:dyDescent="0.25">
      <c r="A797">
        <v>202603</v>
      </c>
      <c r="B797">
        <v>5</v>
      </c>
      <c r="C797" s="148">
        <v>46087</v>
      </c>
      <c r="D797">
        <v>22</v>
      </c>
      <c r="E797">
        <v>22</v>
      </c>
      <c r="F797">
        <v>550</v>
      </c>
      <c r="G797">
        <f>Consulta2[[#This Row],[DIA_UTIL_CORRENTE]]</f>
        <v>5</v>
      </c>
      <c r="H797" s="6">
        <f>DAY(Consulta2[[#This Row],[DATA]])</f>
        <v>6</v>
      </c>
      <c r="I797" s="6">
        <f>MONTH(Consulta2[[#This Row],[DATA]])</f>
        <v>3</v>
      </c>
      <c r="J797" t="str">
        <f>CONCATENATE(Consulta2[[#This Row],[SAFRA]],Consulta2[[#This Row],[dia]])</f>
        <v>2026036</v>
      </c>
      <c r="K797">
        <f>Consulta2[[#This Row],[DIA_UTIL_CORRENTE]]</f>
        <v>5</v>
      </c>
    </row>
    <row r="798" spans="1:11" x14ac:dyDescent="0.25">
      <c r="A798">
        <v>202603</v>
      </c>
      <c r="B798">
        <v>5</v>
      </c>
      <c r="C798" s="148">
        <v>46088</v>
      </c>
      <c r="D798">
        <v>22</v>
      </c>
      <c r="E798">
        <v>22</v>
      </c>
      <c r="F798">
        <v>550</v>
      </c>
      <c r="G798">
        <f>Consulta2[[#This Row],[DIA_UTIL_CORRENTE]]</f>
        <v>5</v>
      </c>
      <c r="H798" s="6">
        <f>DAY(Consulta2[[#This Row],[DATA]])</f>
        <v>7</v>
      </c>
      <c r="I798" s="6">
        <f>MONTH(Consulta2[[#This Row],[DATA]])</f>
        <v>3</v>
      </c>
      <c r="J798" t="str">
        <f>CONCATENATE(Consulta2[[#This Row],[SAFRA]],Consulta2[[#This Row],[dia]])</f>
        <v>2026037</v>
      </c>
      <c r="K798">
        <f>Consulta2[[#This Row],[DIA_UTIL_CORRENTE]]</f>
        <v>5</v>
      </c>
    </row>
    <row r="799" spans="1:11" x14ac:dyDescent="0.25">
      <c r="A799">
        <v>202603</v>
      </c>
      <c r="B799">
        <v>5</v>
      </c>
      <c r="C799" s="148">
        <v>46089</v>
      </c>
      <c r="D799">
        <v>22</v>
      </c>
      <c r="E799">
        <v>22</v>
      </c>
      <c r="F799">
        <v>550</v>
      </c>
      <c r="G799">
        <f>Consulta2[[#This Row],[DIA_UTIL_CORRENTE]]</f>
        <v>5</v>
      </c>
      <c r="H799" s="6">
        <f>DAY(Consulta2[[#This Row],[DATA]])</f>
        <v>8</v>
      </c>
      <c r="I799" s="6">
        <f>MONTH(Consulta2[[#This Row],[DATA]])</f>
        <v>3</v>
      </c>
      <c r="J799" t="str">
        <f>CONCATENATE(Consulta2[[#This Row],[SAFRA]],Consulta2[[#This Row],[dia]])</f>
        <v>2026038</v>
      </c>
      <c r="K799">
        <f>Consulta2[[#This Row],[DIA_UTIL_CORRENTE]]</f>
        <v>5</v>
      </c>
    </row>
    <row r="800" spans="1:11" x14ac:dyDescent="0.25">
      <c r="A800">
        <v>202603</v>
      </c>
      <c r="B800">
        <v>6</v>
      </c>
      <c r="C800" s="148">
        <v>46090</v>
      </c>
      <c r="D800">
        <v>22</v>
      </c>
      <c r="E800">
        <v>22</v>
      </c>
      <c r="F800">
        <v>551</v>
      </c>
      <c r="G800">
        <f>Consulta2[[#This Row],[DIA_UTIL_CORRENTE]]</f>
        <v>6</v>
      </c>
      <c r="H800" s="6">
        <f>DAY(Consulta2[[#This Row],[DATA]])</f>
        <v>9</v>
      </c>
      <c r="I800" s="6">
        <f>MONTH(Consulta2[[#This Row],[DATA]])</f>
        <v>3</v>
      </c>
      <c r="J800" t="str">
        <f>CONCATENATE(Consulta2[[#This Row],[SAFRA]],Consulta2[[#This Row],[dia]])</f>
        <v>2026039</v>
      </c>
      <c r="K800">
        <f>Consulta2[[#This Row],[DIA_UTIL_CORRENTE]]</f>
        <v>6</v>
      </c>
    </row>
    <row r="801" spans="1:11" x14ac:dyDescent="0.25">
      <c r="A801">
        <v>202603</v>
      </c>
      <c r="B801">
        <v>7</v>
      </c>
      <c r="C801" s="148">
        <v>46091</v>
      </c>
      <c r="D801">
        <v>22</v>
      </c>
      <c r="E801">
        <v>22</v>
      </c>
      <c r="F801">
        <v>552</v>
      </c>
      <c r="G801">
        <f>Consulta2[[#This Row],[DIA_UTIL_CORRENTE]]</f>
        <v>7</v>
      </c>
      <c r="H801" s="6">
        <f>DAY(Consulta2[[#This Row],[DATA]])</f>
        <v>10</v>
      </c>
      <c r="I801" s="6">
        <f>MONTH(Consulta2[[#This Row],[DATA]])</f>
        <v>3</v>
      </c>
      <c r="J801" t="str">
        <f>CONCATENATE(Consulta2[[#This Row],[SAFRA]],Consulta2[[#This Row],[dia]])</f>
        <v>20260310</v>
      </c>
      <c r="K801">
        <f>Consulta2[[#This Row],[DIA_UTIL_CORRENTE]]</f>
        <v>7</v>
      </c>
    </row>
    <row r="802" spans="1:11" x14ac:dyDescent="0.25">
      <c r="A802">
        <v>202603</v>
      </c>
      <c r="B802">
        <v>8</v>
      </c>
      <c r="C802" s="148">
        <v>46092</v>
      </c>
      <c r="D802">
        <v>22</v>
      </c>
      <c r="E802">
        <v>22</v>
      </c>
      <c r="F802">
        <v>553</v>
      </c>
      <c r="G802">
        <f>Consulta2[[#This Row],[DIA_UTIL_CORRENTE]]</f>
        <v>8</v>
      </c>
      <c r="H802" s="6">
        <f>DAY(Consulta2[[#This Row],[DATA]])</f>
        <v>11</v>
      </c>
      <c r="I802" s="6">
        <f>MONTH(Consulta2[[#This Row],[DATA]])</f>
        <v>3</v>
      </c>
      <c r="J802" t="str">
        <f>CONCATENATE(Consulta2[[#This Row],[SAFRA]],Consulta2[[#This Row],[dia]])</f>
        <v>20260311</v>
      </c>
      <c r="K802">
        <f>Consulta2[[#This Row],[DIA_UTIL_CORRENTE]]</f>
        <v>8</v>
      </c>
    </row>
    <row r="803" spans="1:11" x14ac:dyDescent="0.25">
      <c r="A803">
        <v>202603</v>
      </c>
      <c r="B803">
        <v>9</v>
      </c>
      <c r="C803" s="148">
        <v>46093</v>
      </c>
      <c r="D803">
        <v>22</v>
      </c>
      <c r="E803">
        <v>22</v>
      </c>
      <c r="F803">
        <v>554</v>
      </c>
      <c r="G803">
        <f>Consulta2[[#This Row],[DIA_UTIL_CORRENTE]]</f>
        <v>9</v>
      </c>
      <c r="H803" s="6">
        <f>DAY(Consulta2[[#This Row],[DATA]])</f>
        <v>12</v>
      </c>
      <c r="I803" s="6">
        <f>MONTH(Consulta2[[#This Row],[DATA]])</f>
        <v>3</v>
      </c>
      <c r="J803" t="str">
        <f>CONCATENATE(Consulta2[[#This Row],[SAFRA]],Consulta2[[#This Row],[dia]])</f>
        <v>20260312</v>
      </c>
      <c r="K803">
        <f>Consulta2[[#This Row],[DIA_UTIL_CORRENTE]]</f>
        <v>9</v>
      </c>
    </row>
    <row r="804" spans="1:11" x14ac:dyDescent="0.25">
      <c r="A804">
        <v>202603</v>
      </c>
      <c r="B804">
        <v>10</v>
      </c>
      <c r="C804" s="148">
        <v>46094</v>
      </c>
      <c r="D804">
        <v>22</v>
      </c>
      <c r="E804">
        <v>22</v>
      </c>
      <c r="F804">
        <v>555</v>
      </c>
      <c r="G804">
        <f>Consulta2[[#This Row],[DIA_UTIL_CORRENTE]]</f>
        <v>10</v>
      </c>
      <c r="H804" s="6">
        <f>DAY(Consulta2[[#This Row],[DATA]])</f>
        <v>13</v>
      </c>
      <c r="I804" s="6">
        <f>MONTH(Consulta2[[#This Row],[DATA]])</f>
        <v>3</v>
      </c>
      <c r="J804" t="str">
        <f>CONCATENATE(Consulta2[[#This Row],[SAFRA]],Consulta2[[#This Row],[dia]])</f>
        <v>20260313</v>
      </c>
      <c r="K804">
        <f>Consulta2[[#This Row],[DIA_UTIL_CORRENTE]]</f>
        <v>10</v>
      </c>
    </row>
    <row r="805" spans="1:11" x14ac:dyDescent="0.25">
      <c r="A805">
        <v>202603</v>
      </c>
      <c r="B805">
        <v>10</v>
      </c>
      <c r="C805" s="148">
        <v>46095</v>
      </c>
      <c r="D805">
        <v>22</v>
      </c>
      <c r="E805">
        <v>22</v>
      </c>
      <c r="F805">
        <v>555</v>
      </c>
      <c r="G805">
        <f>Consulta2[[#This Row],[DIA_UTIL_CORRENTE]]</f>
        <v>10</v>
      </c>
      <c r="H805" s="6">
        <f>DAY(Consulta2[[#This Row],[DATA]])</f>
        <v>14</v>
      </c>
      <c r="I805" s="6">
        <f>MONTH(Consulta2[[#This Row],[DATA]])</f>
        <v>3</v>
      </c>
      <c r="J805" t="str">
        <f>CONCATENATE(Consulta2[[#This Row],[SAFRA]],Consulta2[[#This Row],[dia]])</f>
        <v>20260314</v>
      </c>
      <c r="K805">
        <f>Consulta2[[#This Row],[DIA_UTIL_CORRENTE]]</f>
        <v>10</v>
      </c>
    </row>
    <row r="806" spans="1:11" x14ac:dyDescent="0.25">
      <c r="A806">
        <v>202603</v>
      </c>
      <c r="B806">
        <v>10</v>
      </c>
      <c r="C806" s="148">
        <v>46096</v>
      </c>
      <c r="D806">
        <v>22</v>
      </c>
      <c r="E806">
        <v>22</v>
      </c>
      <c r="F806">
        <v>555</v>
      </c>
      <c r="G806">
        <f>Consulta2[[#This Row],[DIA_UTIL_CORRENTE]]</f>
        <v>10</v>
      </c>
      <c r="H806" s="6">
        <f>DAY(Consulta2[[#This Row],[DATA]])</f>
        <v>15</v>
      </c>
      <c r="I806" s="6">
        <f>MONTH(Consulta2[[#This Row],[DATA]])</f>
        <v>3</v>
      </c>
      <c r="J806" t="str">
        <f>CONCATENATE(Consulta2[[#This Row],[SAFRA]],Consulta2[[#This Row],[dia]])</f>
        <v>20260315</v>
      </c>
      <c r="K806">
        <f>Consulta2[[#This Row],[DIA_UTIL_CORRENTE]]</f>
        <v>10</v>
      </c>
    </row>
    <row r="807" spans="1:11" x14ac:dyDescent="0.25">
      <c r="A807">
        <v>202603</v>
      </c>
      <c r="B807">
        <v>11</v>
      </c>
      <c r="C807" s="148">
        <v>46097</v>
      </c>
      <c r="D807">
        <v>22</v>
      </c>
      <c r="E807">
        <v>22</v>
      </c>
      <c r="F807">
        <v>556</v>
      </c>
      <c r="G807">
        <f>Consulta2[[#This Row],[DIA_UTIL_CORRENTE]]</f>
        <v>11</v>
      </c>
      <c r="H807" s="6">
        <f>DAY(Consulta2[[#This Row],[DATA]])</f>
        <v>16</v>
      </c>
      <c r="I807" s="6">
        <f>MONTH(Consulta2[[#This Row],[DATA]])</f>
        <v>3</v>
      </c>
      <c r="J807" t="str">
        <f>CONCATENATE(Consulta2[[#This Row],[SAFRA]],Consulta2[[#This Row],[dia]])</f>
        <v>20260316</v>
      </c>
      <c r="K807">
        <f>Consulta2[[#This Row],[DIA_UTIL_CORRENTE]]</f>
        <v>11</v>
      </c>
    </row>
    <row r="808" spans="1:11" x14ac:dyDescent="0.25">
      <c r="A808">
        <v>202603</v>
      </c>
      <c r="B808">
        <v>12</v>
      </c>
      <c r="C808" s="148">
        <v>46098</v>
      </c>
      <c r="D808">
        <v>22</v>
      </c>
      <c r="E808">
        <v>22</v>
      </c>
      <c r="F808">
        <v>557</v>
      </c>
      <c r="G808">
        <f>Consulta2[[#This Row],[DIA_UTIL_CORRENTE]]</f>
        <v>12</v>
      </c>
      <c r="H808" s="6">
        <f>DAY(Consulta2[[#This Row],[DATA]])</f>
        <v>17</v>
      </c>
      <c r="I808" s="6">
        <f>MONTH(Consulta2[[#This Row],[DATA]])</f>
        <v>3</v>
      </c>
      <c r="J808" t="str">
        <f>CONCATENATE(Consulta2[[#This Row],[SAFRA]],Consulta2[[#This Row],[dia]])</f>
        <v>20260317</v>
      </c>
      <c r="K808">
        <f>Consulta2[[#This Row],[DIA_UTIL_CORRENTE]]</f>
        <v>12</v>
      </c>
    </row>
    <row r="809" spans="1:11" x14ac:dyDescent="0.25">
      <c r="A809">
        <v>202603</v>
      </c>
      <c r="B809">
        <v>13</v>
      </c>
      <c r="C809" s="148">
        <v>46099</v>
      </c>
      <c r="D809">
        <v>22</v>
      </c>
      <c r="E809">
        <v>22</v>
      </c>
      <c r="F809">
        <v>558</v>
      </c>
      <c r="G809">
        <f>Consulta2[[#This Row],[DIA_UTIL_CORRENTE]]</f>
        <v>13</v>
      </c>
      <c r="H809" s="6">
        <f>DAY(Consulta2[[#This Row],[DATA]])</f>
        <v>18</v>
      </c>
      <c r="I809" s="6">
        <f>MONTH(Consulta2[[#This Row],[DATA]])</f>
        <v>3</v>
      </c>
      <c r="J809" t="str">
        <f>CONCATENATE(Consulta2[[#This Row],[SAFRA]],Consulta2[[#This Row],[dia]])</f>
        <v>20260318</v>
      </c>
      <c r="K809">
        <f>Consulta2[[#This Row],[DIA_UTIL_CORRENTE]]</f>
        <v>13</v>
      </c>
    </row>
    <row r="810" spans="1:11" x14ac:dyDescent="0.25">
      <c r="A810">
        <v>202603</v>
      </c>
      <c r="B810">
        <v>14</v>
      </c>
      <c r="C810" s="148">
        <v>46100</v>
      </c>
      <c r="D810">
        <v>22</v>
      </c>
      <c r="E810">
        <v>22</v>
      </c>
      <c r="F810">
        <v>559</v>
      </c>
      <c r="G810">
        <f>Consulta2[[#This Row],[DIA_UTIL_CORRENTE]]</f>
        <v>14</v>
      </c>
      <c r="H810" s="6">
        <f>DAY(Consulta2[[#This Row],[DATA]])</f>
        <v>19</v>
      </c>
      <c r="I810" s="6">
        <f>MONTH(Consulta2[[#This Row],[DATA]])</f>
        <v>3</v>
      </c>
      <c r="J810" t="str">
        <f>CONCATENATE(Consulta2[[#This Row],[SAFRA]],Consulta2[[#This Row],[dia]])</f>
        <v>20260319</v>
      </c>
      <c r="K810">
        <f>Consulta2[[#This Row],[DIA_UTIL_CORRENTE]]</f>
        <v>14</v>
      </c>
    </row>
    <row r="811" spans="1:11" x14ac:dyDescent="0.25">
      <c r="A811">
        <v>202603</v>
      </c>
      <c r="B811">
        <v>15</v>
      </c>
      <c r="C811" s="148">
        <v>46101</v>
      </c>
      <c r="D811">
        <v>22</v>
      </c>
      <c r="E811">
        <v>22</v>
      </c>
      <c r="F811">
        <v>560</v>
      </c>
      <c r="G811">
        <f>Consulta2[[#This Row],[DIA_UTIL_CORRENTE]]</f>
        <v>15</v>
      </c>
      <c r="H811" s="6">
        <f>DAY(Consulta2[[#This Row],[DATA]])</f>
        <v>20</v>
      </c>
      <c r="I811" s="6">
        <f>MONTH(Consulta2[[#This Row],[DATA]])</f>
        <v>3</v>
      </c>
      <c r="J811" t="str">
        <f>CONCATENATE(Consulta2[[#This Row],[SAFRA]],Consulta2[[#This Row],[dia]])</f>
        <v>20260320</v>
      </c>
      <c r="K811">
        <f>Consulta2[[#This Row],[DIA_UTIL_CORRENTE]]</f>
        <v>15</v>
      </c>
    </row>
    <row r="812" spans="1:11" x14ac:dyDescent="0.25">
      <c r="A812">
        <v>202603</v>
      </c>
      <c r="B812">
        <v>15</v>
      </c>
      <c r="C812" s="148">
        <v>46102</v>
      </c>
      <c r="D812">
        <v>22</v>
      </c>
      <c r="E812">
        <v>22</v>
      </c>
      <c r="F812">
        <v>560</v>
      </c>
      <c r="G812">
        <f>Consulta2[[#This Row],[DIA_UTIL_CORRENTE]]</f>
        <v>15</v>
      </c>
      <c r="H812" s="6">
        <f>DAY(Consulta2[[#This Row],[DATA]])</f>
        <v>21</v>
      </c>
      <c r="I812" s="6">
        <f>MONTH(Consulta2[[#This Row],[DATA]])</f>
        <v>3</v>
      </c>
      <c r="J812" t="str">
        <f>CONCATENATE(Consulta2[[#This Row],[SAFRA]],Consulta2[[#This Row],[dia]])</f>
        <v>20260321</v>
      </c>
      <c r="K812">
        <f>Consulta2[[#This Row],[DIA_UTIL_CORRENTE]]</f>
        <v>15</v>
      </c>
    </row>
    <row r="813" spans="1:11" x14ac:dyDescent="0.25">
      <c r="A813">
        <v>202603</v>
      </c>
      <c r="B813">
        <v>15</v>
      </c>
      <c r="C813" s="148">
        <v>46103</v>
      </c>
      <c r="D813">
        <v>22</v>
      </c>
      <c r="E813">
        <v>22</v>
      </c>
      <c r="F813">
        <v>560</v>
      </c>
      <c r="G813">
        <f>Consulta2[[#This Row],[DIA_UTIL_CORRENTE]]</f>
        <v>15</v>
      </c>
      <c r="H813" s="6">
        <f>DAY(Consulta2[[#This Row],[DATA]])</f>
        <v>22</v>
      </c>
      <c r="I813" s="6">
        <f>MONTH(Consulta2[[#This Row],[DATA]])</f>
        <v>3</v>
      </c>
      <c r="J813" t="str">
        <f>CONCATENATE(Consulta2[[#This Row],[SAFRA]],Consulta2[[#This Row],[dia]])</f>
        <v>20260322</v>
      </c>
      <c r="K813">
        <f>Consulta2[[#This Row],[DIA_UTIL_CORRENTE]]</f>
        <v>15</v>
      </c>
    </row>
    <row r="814" spans="1:11" x14ac:dyDescent="0.25">
      <c r="A814">
        <v>202603</v>
      </c>
      <c r="B814">
        <v>16</v>
      </c>
      <c r="C814" s="148">
        <v>46104</v>
      </c>
      <c r="D814">
        <v>22</v>
      </c>
      <c r="E814">
        <v>22</v>
      </c>
      <c r="F814">
        <v>561</v>
      </c>
      <c r="G814">
        <f>Consulta2[[#This Row],[DIA_UTIL_CORRENTE]]</f>
        <v>16</v>
      </c>
      <c r="H814" s="6">
        <f>DAY(Consulta2[[#This Row],[DATA]])</f>
        <v>23</v>
      </c>
      <c r="I814" s="6">
        <f>MONTH(Consulta2[[#This Row],[DATA]])</f>
        <v>3</v>
      </c>
      <c r="J814" t="str">
        <f>CONCATENATE(Consulta2[[#This Row],[SAFRA]],Consulta2[[#This Row],[dia]])</f>
        <v>20260323</v>
      </c>
      <c r="K814">
        <f>Consulta2[[#This Row],[DIA_UTIL_CORRENTE]]</f>
        <v>16</v>
      </c>
    </row>
    <row r="815" spans="1:11" x14ac:dyDescent="0.25">
      <c r="A815">
        <v>202603</v>
      </c>
      <c r="B815">
        <v>17</v>
      </c>
      <c r="C815" s="148">
        <v>46105</v>
      </c>
      <c r="D815">
        <v>22</v>
      </c>
      <c r="E815">
        <v>22</v>
      </c>
      <c r="F815">
        <v>562</v>
      </c>
      <c r="G815">
        <f>Consulta2[[#This Row],[DIA_UTIL_CORRENTE]]</f>
        <v>17</v>
      </c>
      <c r="H815" s="6">
        <f>DAY(Consulta2[[#This Row],[DATA]])</f>
        <v>24</v>
      </c>
      <c r="I815" s="6">
        <f>MONTH(Consulta2[[#This Row],[DATA]])</f>
        <v>3</v>
      </c>
      <c r="J815" t="str">
        <f>CONCATENATE(Consulta2[[#This Row],[SAFRA]],Consulta2[[#This Row],[dia]])</f>
        <v>20260324</v>
      </c>
      <c r="K815">
        <f>Consulta2[[#This Row],[DIA_UTIL_CORRENTE]]</f>
        <v>17</v>
      </c>
    </row>
    <row r="816" spans="1:11" x14ac:dyDescent="0.25">
      <c r="A816">
        <v>202603</v>
      </c>
      <c r="B816">
        <v>18</v>
      </c>
      <c r="C816" s="148">
        <v>46106</v>
      </c>
      <c r="D816">
        <v>22</v>
      </c>
      <c r="E816">
        <v>22</v>
      </c>
      <c r="F816">
        <v>563</v>
      </c>
      <c r="G816">
        <f>Consulta2[[#This Row],[DIA_UTIL_CORRENTE]]</f>
        <v>18</v>
      </c>
      <c r="H816" s="6">
        <f>DAY(Consulta2[[#This Row],[DATA]])</f>
        <v>25</v>
      </c>
      <c r="I816" s="6">
        <f>MONTH(Consulta2[[#This Row],[DATA]])</f>
        <v>3</v>
      </c>
      <c r="J816" t="str">
        <f>CONCATENATE(Consulta2[[#This Row],[SAFRA]],Consulta2[[#This Row],[dia]])</f>
        <v>20260325</v>
      </c>
      <c r="K816">
        <f>Consulta2[[#This Row],[DIA_UTIL_CORRENTE]]</f>
        <v>18</v>
      </c>
    </row>
    <row r="817" spans="1:11" x14ac:dyDescent="0.25">
      <c r="A817">
        <v>202603</v>
      </c>
      <c r="B817">
        <v>19</v>
      </c>
      <c r="C817" s="148">
        <v>46107</v>
      </c>
      <c r="D817">
        <v>22</v>
      </c>
      <c r="E817">
        <v>22</v>
      </c>
      <c r="F817">
        <v>564</v>
      </c>
      <c r="G817">
        <f>Consulta2[[#This Row],[DIA_UTIL_CORRENTE]]</f>
        <v>19</v>
      </c>
      <c r="H817" s="6">
        <f>DAY(Consulta2[[#This Row],[DATA]])</f>
        <v>26</v>
      </c>
      <c r="I817" s="6">
        <f>MONTH(Consulta2[[#This Row],[DATA]])</f>
        <v>3</v>
      </c>
      <c r="J817" t="str">
        <f>CONCATENATE(Consulta2[[#This Row],[SAFRA]],Consulta2[[#This Row],[dia]])</f>
        <v>20260326</v>
      </c>
      <c r="K817">
        <f>Consulta2[[#This Row],[DIA_UTIL_CORRENTE]]</f>
        <v>19</v>
      </c>
    </row>
    <row r="818" spans="1:11" x14ac:dyDescent="0.25">
      <c r="A818">
        <v>202603</v>
      </c>
      <c r="B818">
        <v>20</v>
      </c>
      <c r="C818" s="148">
        <v>46108</v>
      </c>
      <c r="D818">
        <v>22</v>
      </c>
      <c r="E818">
        <v>22</v>
      </c>
      <c r="F818">
        <v>565</v>
      </c>
      <c r="G818">
        <f>Consulta2[[#This Row],[DIA_UTIL_CORRENTE]]</f>
        <v>20</v>
      </c>
      <c r="H818" s="6">
        <f>DAY(Consulta2[[#This Row],[DATA]])</f>
        <v>27</v>
      </c>
      <c r="I818" s="6">
        <f>MONTH(Consulta2[[#This Row],[DATA]])</f>
        <v>3</v>
      </c>
      <c r="J818" t="str">
        <f>CONCATENATE(Consulta2[[#This Row],[SAFRA]],Consulta2[[#This Row],[dia]])</f>
        <v>20260327</v>
      </c>
      <c r="K818">
        <f>Consulta2[[#This Row],[DIA_UTIL_CORRENTE]]</f>
        <v>20</v>
      </c>
    </row>
    <row r="819" spans="1:11" x14ac:dyDescent="0.25">
      <c r="A819">
        <v>202603</v>
      </c>
      <c r="B819">
        <v>20</v>
      </c>
      <c r="C819" s="148">
        <v>46109</v>
      </c>
      <c r="D819">
        <v>22</v>
      </c>
      <c r="E819">
        <v>22</v>
      </c>
      <c r="F819">
        <v>565</v>
      </c>
      <c r="G819">
        <f>Consulta2[[#This Row],[DIA_UTIL_CORRENTE]]</f>
        <v>20</v>
      </c>
      <c r="H819" s="6">
        <f>DAY(Consulta2[[#This Row],[DATA]])</f>
        <v>28</v>
      </c>
      <c r="I819" s="6">
        <f>MONTH(Consulta2[[#This Row],[DATA]])</f>
        <v>3</v>
      </c>
      <c r="J819" t="str">
        <f>CONCATENATE(Consulta2[[#This Row],[SAFRA]],Consulta2[[#This Row],[dia]])</f>
        <v>20260328</v>
      </c>
      <c r="K819">
        <f>Consulta2[[#This Row],[DIA_UTIL_CORRENTE]]</f>
        <v>20</v>
      </c>
    </row>
    <row r="820" spans="1:11" x14ac:dyDescent="0.25">
      <c r="A820">
        <v>202603</v>
      </c>
      <c r="B820">
        <v>20</v>
      </c>
      <c r="C820" s="148">
        <v>46110</v>
      </c>
      <c r="D820">
        <v>22</v>
      </c>
      <c r="E820">
        <v>22</v>
      </c>
      <c r="F820">
        <v>565</v>
      </c>
      <c r="G820">
        <f>Consulta2[[#This Row],[DIA_UTIL_CORRENTE]]</f>
        <v>20</v>
      </c>
      <c r="H820" s="6">
        <f>DAY(Consulta2[[#This Row],[DATA]])</f>
        <v>29</v>
      </c>
      <c r="I820" s="6">
        <f>MONTH(Consulta2[[#This Row],[DATA]])</f>
        <v>3</v>
      </c>
      <c r="J820" t="str">
        <f>CONCATENATE(Consulta2[[#This Row],[SAFRA]],Consulta2[[#This Row],[dia]])</f>
        <v>20260329</v>
      </c>
      <c r="K820">
        <f>Consulta2[[#This Row],[DIA_UTIL_CORRENTE]]</f>
        <v>20</v>
      </c>
    </row>
    <row r="821" spans="1:11" x14ac:dyDescent="0.25">
      <c r="A821">
        <v>202603</v>
      </c>
      <c r="B821">
        <v>21</v>
      </c>
      <c r="C821" s="148">
        <v>46111</v>
      </c>
      <c r="D821">
        <v>22</v>
      </c>
      <c r="E821">
        <v>22</v>
      </c>
      <c r="F821">
        <v>566</v>
      </c>
      <c r="G821">
        <f>Consulta2[[#This Row],[DIA_UTIL_CORRENTE]]</f>
        <v>21</v>
      </c>
      <c r="H821" s="6">
        <f>DAY(Consulta2[[#This Row],[DATA]])</f>
        <v>30</v>
      </c>
      <c r="I821" s="6">
        <f>MONTH(Consulta2[[#This Row],[DATA]])</f>
        <v>3</v>
      </c>
      <c r="J821" t="str">
        <f>CONCATENATE(Consulta2[[#This Row],[SAFRA]],Consulta2[[#This Row],[dia]])</f>
        <v>20260330</v>
      </c>
      <c r="K821">
        <f>Consulta2[[#This Row],[DIA_UTIL_CORRENTE]]</f>
        <v>21</v>
      </c>
    </row>
    <row r="822" spans="1:11" x14ac:dyDescent="0.25">
      <c r="A822">
        <v>202603</v>
      </c>
      <c r="B822">
        <v>22</v>
      </c>
      <c r="C822" s="148">
        <v>46112</v>
      </c>
      <c r="D822">
        <v>22</v>
      </c>
      <c r="E822">
        <v>22</v>
      </c>
      <c r="F822">
        <v>567</v>
      </c>
      <c r="G822">
        <f>Consulta2[[#This Row],[DIA_UTIL_CORRENTE]]</f>
        <v>22</v>
      </c>
      <c r="H822" s="6">
        <f>DAY(Consulta2[[#This Row],[DATA]])</f>
        <v>31</v>
      </c>
      <c r="I822" s="6">
        <f>MONTH(Consulta2[[#This Row],[DATA]])</f>
        <v>3</v>
      </c>
      <c r="J822" t="str">
        <f>CONCATENATE(Consulta2[[#This Row],[SAFRA]],Consulta2[[#This Row],[dia]])</f>
        <v>20260331</v>
      </c>
      <c r="K822">
        <f>Consulta2[[#This Row],[DIA_UTIL_CORRENTE]]</f>
        <v>22</v>
      </c>
    </row>
    <row r="823" spans="1:11" x14ac:dyDescent="0.25">
      <c r="A823">
        <v>202604</v>
      </c>
      <c r="B823">
        <v>1</v>
      </c>
      <c r="C823" s="148">
        <v>46113</v>
      </c>
      <c r="D823">
        <v>20</v>
      </c>
      <c r="E823">
        <v>20</v>
      </c>
      <c r="F823">
        <v>568</v>
      </c>
      <c r="G823">
        <f>Consulta2[[#This Row],[DIA_UTIL_CORRENTE]]</f>
        <v>1</v>
      </c>
      <c r="H823" s="6">
        <f>DAY(Consulta2[[#This Row],[DATA]])</f>
        <v>1</v>
      </c>
      <c r="I823" s="6">
        <f>MONTH(Consulta2[[#This Row],[DATA]])</f>
        <v>4</v>
      </c>
      <c r="J823" t="str">
        <f>CONCATENATE(Consulta2[[#This Row],[SAFRA]],Consulta2[[#This Row],[dia]])</f>
        <v>2026041</v>
      </c>
      <c r="K823">
        <f>Consulta2[[#This Row],[DIA_UTIL_CORRENTE]]</f>
        <v>1</v>
      </c>
    </row>
    <row r="824" spans="1:11" x14ac:dyDescent="0.25">
      <c r="A824">
        <v>202604</v>
      </c>
      <c r="B824">
        <v>2</v>
      </c>
      <c r="C824" s="148">
        <v>46114</v>
      </c>
      <c r="D824">
        <v>20</v>
      </c>
      <c r="E824">
        <v>20</v>
      </c>
      <c r="F824">
        <v>569</v>
      </c>
      <c r="G824">
        <f>Consulta2[[#This Row],[DIA_UTIL_CORRENTE]]</f>
        <v>2</v>
      </c>
      <c r="H824" s="6">
        <f>DAY(Consulta2[[#This Row],[DATA]])</f>
        <v>2</v>
      </c>
      <c r="I824" s="6">
        <f>MONTH(Consulta2[[#This Row],[DATA]])</f>
        <v>4</v>
      </c>
      <c r="J824" t="str">
        <f>CONCATENATE(Consulta2[[#This Row],[SAFRA]],Consulta2[[#This Row],[dia]])</f>
        <v>2026042</v>
      </c>
      <c r="K824">
        <f>Consulta2[[#This Row],[DIA_UTIL_CORRENTE]]</f>
        <v>2</v>
      </c>
    </row>
    <row r="825" spans="1:11" x14ac:dyDescent="0.25">
      <c r="A825">
        <v>202604</v>
      </c>
      <c r="B825">
        <v>2</v>
      </c>
      <c r="C825" s="148">
        <v>46115</v>
      </c>
      <c r="D825">
        <v>20</v>
      </c>
      <c r="E825">
        <v>20</v>
      </c>
      <c r="F825">
        <v>569</v>
      </c>
      <c r="G825">
        <f>Consulta2[[#This Row],[DIA_UTIL_CORRENTE]]</f>
        <v>2</v>
      </c>
      <c r="H825" s="6">
        <f>DAY(Consulta2[[#This Row],[DATA]])</f>
        <v>3</v>
      </c>
      <c r="I825" s="6">
        <f>MONTH(Consulta2[[#This Row],[DATA]])</f>
        <v>4</v>
      </c>
      <c r="J825" t="str">
        <f>CONCATENATE(Consulta2[[#This Row],[SAFRA]],Consulta2[[#This Row],[dia]])</f>
        <v>2026043</v>
      </c>
      <c r="K825">
        <f>Consulta2[[#This Row],[DIA_UTIL_CORRENTE]]</f>
        <v>2</v>
      </c>
    </row>
    <row r="826" spans="1:11" x14ac:dyDescent="0.25">
      <c r="A826">
        <v>202604</v>
      </c>
      <c r="B826">
        <v>2</v>
      </c>
      <c r="C826" s="148">
        <v>46116</v>
      </c>
      <c r="D826">
        <v>20</v>
      </c>
      <c r="E826">
        <v>20</v>
      </c>
      <c r="F826">
        <v>569</v>
      </c>
      <c r="G826">
        <f>Consulta2[[#This Row],[DIA_UTIL_CORRENTE]]</f>
        <v>2</v>
      </c>
      <c r="H826" s="6">
        <f>DAY(Consulta2[[#This Row],[DATA]])</f>
        <v>4</v>
      </c>
      <c r="I826" s="6">
        <f>MONTH(Consulta2[[#This Row],[DATA]])</f>
        <v>4</v>
      </c>
      <c r="J826" t="str">
        <f>CONCATENATE(Consulta2[[#This Row],[SAFRA]],Consulta2[[#This Row],[dia]])</f>
        <v>2026044</v>
      </c>
      <c r="K826">
        <f>Consulta2[[#This Row],[DIA_UTIL_CORRENTE]]</f>
        <v>2</v>
      </c>
    </row>
    <row r="827" spans="1:11" x14ac:dyDescent="0.25">
      <c r="A827">
        <v>202604</v>
      </c>
      <c r="B827">
        <v>2</v>
      </c>
      <c r="C827" s="148">
        <v>46117</v>
      </c>
      <c r="D827">
        <v>20</v>
      </c>
      <c r="E827">
        <v>20</v>
      </c>
      <c r="F827">
        <v>569</v>
      </c>
      <c r="G827">
        <f>Consulta2[[#This Row],[DIA_UTIL_CORRENTE]]</f>
        <v>2</v>
      </c>
      <c r="H827" s="6">
        <f>DAY(Consulta2[[#This Row],[DATA]])</f>
        <v>5</v>
      </c>
      <c r="I827" s="6">
        <f>MONTH(Consulta2[[#This Row],[DATA]])</f>
        <v>4</v>
      </c>
      <c r="J827" t="str">
        <f>CONCATENATE(Consulta2[[#This Row],[SAFRA]],Consulta2[[#This Row],[dia]])</f>
        <v>2026045</v>
      </c>
      <c r="K827">
        <f>Consulta2[[#This Row],[DIA_UTIL_CORRENTE]]</f>
        <v>2</v>
      </c>
    </row>
    <row r="828" spans="1:11" x14ac:dyDescent="0.25">
      <c r="A828">
        <v>202604</v>
      </c>
      <c r="B828">
        <v>3</v>
      </c>
      <c r="C828" s="148">
        <v>46118</v>
      </c>
      <c r="D828">
        <v>20</v>
      </c>
      <c r="E828">
        <v>20</v>
      </c>
      <c r="F828">
        <v>570</v>
      </c>
      <c r="G828">
        <f>Consulta2[[#This Row],[DIA_UTIL_CORRENTE]]</f>
        <v>3</v>
      </c>
      <c r="H828" s="6">
        <f>DAY(Consulta2[[#This Row],[DATA]])</f>
        <v>6</v>
      </c>
      <c r="I828" s="6">
        <f>MONTH(Consulta2[[#This Row],[DATA]])</f>
        <v>4</v>
      </c>
      <c r="J828" t="str">
        <f>CONCATENATE(Consulta2[[#This Row],[SAFRA]],Consulta2[[#This Row],[dia]])</f>
        <v>2026046</v>
      </c>
      <c r="K828">
        <f>Consulta2[[#This Row],[DIA_UTIL_CORRENTE]]</f>
        <v>3</v>
      </c>
    </row>
    <row r="829" spans="1:11" x14ac:dyDescent="0.25">
      <c r="A829">
        <v>202604</v>
      </c>
      <c r="B829">
        <v>4</v>
      </c>
      <c r="C829" s="148">
        <v>46119</v>
      </c>
      <c r="D829">
        <v>20</v>
      </c>
      <c r="E829">
        <v>20</v>
      </c>
      <c r="F829">
        <v>571</v>
      </c>
      <c r="G829">
        <f>Consulta2[[#This Row],[DIA_UTIL_CORRENTE]]</f>
        <v>4</v>
      </c>
      <c r="H829" s="6">
        <f>DAY(Consulta2[[#This Row],[DATA]])</f>
        <v>7</v>
      </c>
      <c r="I829" s="6">
        <f>MONTH(Consulta2[[#This Row],[DATA]])</f>
        <v>4</v>
      </c>
      <c r="J829" t="str">
        <f>CONCATENATE(Consulta2[[#This Row],[SAFRA]],Consulta2[[#This Row],[dia]])</f>
        <v>2026047</v>
      </c>
      <c r="K829">
        <f>Consulta2[[#This Row],[DIA_UTIL_CORRENTE]]</f>
        <v>4</v>
      </c>
    </row>
    <row r="830" spans="1:11" x14ac:dyDescent="0.25">
      <c r="A830">
        <v>202604</v>
      </c>
      <c r="B830">
        <v>5</v>
      </c>
      <c r="C830" s="148">
        <v>46120</v>
      </c>
      <c r="D830">
        <v>20</v>
      </c>
      <c r="E830">
        <v>20</v>
      </c>
      <c r="F830">
        <v>572</v>
      </c>
      <c r="G830">
        <f>Consulta2[[#This Row],[DIA_UTIL_CORRENTE]]</f>
        <v>5</v>
      </c>
      <c r="H830" s="6">
        <f>DAY(Consulta2[[#This Row],[DATA]])</f>
        <v>8</v>
      </c>
      <c r="I830" s="6">
        <f>MONTH(Consulta2[[#This Row],[DATA]])</f>
        <v>4</v>
      </c>
      <c r="J830" t="str">
        <f>CONCATENATE(Consulta2[[#This Row],[SAFRA]],Consulta2[[#This Row],[dia]])</f>
        <v>2026048</v>
      </c>
      <c r="K830">
        <f>Consulta2[[#This Row],[DIA_UTIL_CORRENTE]]</f>
        <v>5</v>
      </c>
    </row>
    <row r="831" spans="1:11" x14ac:dyDescent="0.25">
      <c r="A831">
        <v>202604</v>
      </c>
      <c r="B831">
        <v>6</v>
      </c>
      <c r="C831" s="148">
        <v>46121</v>
      </c>
      <c r="D831">
        <v>20</v>
      </c>
      <c r="E831">
        <v>20</v>
      </c>
      <c r="F831">
        <v>573</v>
      </c>
      <c r="G831">
        <f>Consulta2[[#This Row],[DIA_UTIL_CORRENTE]]</f>
        <v>6</v>
      </c>
      <c r="H831" s="6">
        <f>DAY(Consulta2[[#This Row],[DATA]])</f>
        <v>9</v>
      </c>
      <c r="I831" s="6">
        <f>MONTH(Consulta2[[#This Row],[DATA]])</f>
        <v>4</v>
      </c>
      <c r="J831" t="str">
        <f>CONCATENATE(Consulta2[[#This Row],[SAFRA]],Consulta2[[#This Row],[dia]])</f>
        <v>2026049</v>
      </c>
      <c r="K831">
        <f>Consulta2[[#This Row],[DIA_UTIL_CORRENTE]]</f>
        <v>6</v>
      </c>
    </row>
    <row r="832" spans="1:11" x14ac:dyDescent="0.25">
      <c r="A832">
        <v>202604</v>
      </c>
      <c r="B832">
        <v>7</v>
      </c>
      <c r="C832" s="148">
        <v>46122</v>
      </c>
      <c r="D832">
        <v>20</v>
      </c>
      <c r="E832">
        <v>20</v>
      </c>
      <c r="F832">
        <v>574</v>
      </c>
      <c r="G832">
        <f>Consulta2[[#This Row],[DIA_UTIL_CORRENTE]]</f>
        <v>7</v>
      </c>
      <c r="H832" s="6">
        <f>DAY(Consulta2[[#This Row],[DATA]])</f>
        <v>10</v>
      </c>
      <c r="I832" s="6">
        <f>MONTH(Consulta2[[#This Row],[DATA]])</f>
        <v>4</v>
      </c>
      <c r="J832" t="str">
        <f>CONCATENATE(Consulta2[[#This Row],[SAFRA]],Consulta2[[#This Row],[dia]])</f>
        <v>20260410</v>
      </c>
      <c r="K832">
        <f>Consulta2[[#This Row],[DIA_UTIL_CORRENTE]]</f>
        <v>7</v>
      </c>
    </row>
    <row r="833" spans="1:11" x14ac:dyDescent="0.25">
      <c r="A833">
        <v>202604</v>
      </c>
      <c r="B833">
        <v>7</v>
      </c>
      <c r="C833" s="148">
        <v>46123</v>
      </c>
      <c r="D833">
        <v>20</v>
      </c>
      <c r="E833">
        <v>20</v>
      </c>
      <c r="F833">
        <v>574</v>
      </c>
      <c r="G833">
        <f>Consulta2[[#This Row],[DIA_UTIL_CORRENTE]]</f>
        <v>7</v>
      </c>
      <c r="H833" s="6">
        <f>DAY(Consulta2[[#This Row],[DATA]])</f>
        <v>11</v>
      </c>
      <c r="I833" s="6">
        <f>MONTH(Consulta2[[#This Row],[DATA]])</f>
        <v>4</v>
      </c>
      <c r="J833" t="str">
        <f>CONCATENATE(Consulta2[[#This Row],[SAFRA]],Consulta2[[#This Row],[dia]])</f>
        <v>20260411</v>
      </c>
      <c r="K833">
        <f>Consulta2[[#This Row],[DIA_UTIL_CORRENTE]]</f>
        <v>7</v>
      </c>
    </row>
    <row r="834" spans="1:11" x14ac:dyDescent="0.25">
      <c r="A834">
        <v>202604</v>
      </c>
      <c r="B834">
        <v>7</v>
      </c>
      <c r="C834" s="148">
        <v>46124</v>
      </c>
      <c r="D834">
        <v>20</v>
      </c>
      <c r="E834">
        <v>20</v>
      </c>
      <c r="F834">
        <v>574</v>
      </c>
      <c r="G834">
        <f>Consulta2[[#This Row],[DIA_UTIL_CORRENTE]]</f>
        <v>7</v>
      </c>
      <c r="H834" s="6">
        <f>DAY(Consulta2[[#This Row],[DATA]])</f>
        <v>12</v>
      </c>
      <c r="I834" s="6">
        <f>MONTH(Consulta2[[#This Row],[DATA]])</f>
        <v>4</v>
      </c>
      <c r="J834" t="str">
        <f>CONCATENATE(Consulta2[[#This Row],[SAFRA]],Consulta2[[#This Row],[dia]])</f>
        <v>20260412</v>
      </c>
      <c r="K834">
        <f>Consulta2[[#This Row],[DIA_UTIL_CORRENTE]]</f>
        <v>7</v>
      </c>
    </row>
    <row r="835" spans="1:11" x14ac:dyDescent="0.25">
      <c r="A835">
        <v>202604</v>
      </c>
      <c r="B835">
        <v>8</v>
      </c>
      <c r="C835" s="148">
        <v>46125</v>
      </c>
      <c r="D835">
        <v>20</v>
      </c>
      <c r="E835">
        <v>20</v>
      </c>
      <c r="F835">
        <v>575</v>
      </c>
      <c r="G835">
        <f>Consulta2[[#This Row],[DIA_UTIL_CORRENTE]]</f>
        <v>8</v>
      </c>
      <c r="H835" s="6">
        <f>DAY(Consulta2[[#This Row],[DATA]])</f>
        <v>13</v>
      </c>
      <c r="I835" s="6">
        <f>MONTH(Consulta2[[#This Row],[DATA]])</f>
        <v>4</v>
      </c>
      <c r="J835" t="str">
        <f>CONCATENATE(Consulta2[[#This Row],[SAFRA]],Consulta2[[#This Row],[dia]])</f>
        <v>20260413</v>
      </c>
      <c r="K835">
        <f>Consulta2[[#This Row],[DIA_UTIL_CORRENTE]]</f>
        <v>8</v>
      </c>
    </row>
    <row r="836" spans="1:11" x14ac:dyDescent="0.25">
      <c r="A836">
        <v>202604</v>
      </c>
      <c r="B836">
        <v>9</v>
      </c>
      <c r="C836" s="148">
        <v>46126</v>
      </c>
      <c r="D836">
        <v>20</v>
      </c>
      <c r="E836">
        <v>20</v>
      </c>
      <c r="F836">
        <v>576</v>
      </c>
      <c r="G836">
        <f>Consulta2[[#This Row],[DIA_UTIL_CORRENTE]]</f>
        <v>9</v>
      </c>
      <c r="H836" s="6">
        <f>DAY(Consulta2[[#This Row],[DATA]])</f>
        <v>14</v>
      </c>
      <c r="I836" s="6">
        <f>MONTH(Consulta2[[#This Row],[DATA]])</f>
        <v>4</v>
      </c>
      <c r="J836" t="str">
        <f>CONCATENATE(Consulta2[[#This Row],[SAFRA]],Consulta2[[#This Row],[dia]])</f>
        <v>20260414</v>
      </c>
      <c r="K836">
        <f>Consulta2[[#This Row],[DIA_UTIL_CORRENTE]]</f>
        <v>9</v>
      </c>
    </row>
    <row r="837" spans="1:11" x14ac:dyDescent="0.25">
      <c r="A837">
        <v>202604</v>
      </c>
      <c r="B837">
        <v>10</v>
      </c>
      <c r="C837" s="148">
        <v>46127</v>
      </c>
      <c r="D837">
        <v>20</v>
      </c>
      <c r="E837">
        <v>20</v>
      </c>
      <c r="F837">
        <v>577</v>
      </c>
      <c r="G837">
        <f>Consulta2[[#This Row],[DIA_UTIL_CORRENTE]]</f>
        <v>10</v>
      </c>
      <c r="H837" s="6">
        <f>DAY(Consulta2[[#This Row],[DATA]])</f>
        <v>15</v>
      </c>
      <c r="I837" s="6">
        <f>MONTH(Consulta2[[#This Row],[DATA]])</f>
        <v>4</v>
      </c>
      <c r="J837" t="str">
        <f>CONCATENATE(Consulta2[[#This Row],[SAFRA]],Consulta2[[#This Row],[dia]])</f>
        <v>20260415</v>
      </c>
      <c r="K837">
        <f>Consulta2[[#This Row],[DIA_UTIL_CORRENTE]]</f>
        <v>10</v>
      </c>
    </row>
    <row r="838" spans="1:11" x14ac:dyDescent="0.25">
      <c r="A838">
        <v>202604</v>
      </c>
      <c r="B838">
        <v>11</v>
      </c>
      <c r="C838" s="148">
        <v>46128</v>
      </c>
      <c r="D838">
        <v>20</v>
      </c>
      <c r="E838">
        <v>20</v>
      </c>
      <c r="F838">
        <v>578</v>
      </c>
      <c r="G838">
        <f>Consulta2[[#This Row],[DIA_UTIL_CORRENTE]]</f>
        <v>11</v>
      </c>
      <c r="H838" s="6">
        <f>DAY(Consulta2[[#This Row],[DATA]])</f>
        <v>16</v>
      </c>
      <c r="I838" s="6">
        <f>MONTH(Consulta2[[#This Row],[DATA]])</f>
        <v>4</v>
      </c>
      <c r="J838" t="str">
        <f>CONCATENATE(Consulta2[[#This Row],[SAFRA]],Consulta2[[#This Row],[dia]])</f>
        <v>20260416</v>
      </c>
      <c r="K838">
        <f>Consulta2[[#This Row],[DIA_UTIL_CORRENTE]]</f>
        <v>11</v>
      </c>
    </row>
    <row r="839" spans="1:11" x14ac:dyDescent="0.25">
      <c r="A839">
        <v>202604</v>
      </c>
      <c r="B839">
        <v>12</v>
      </c>
      <c r="C839" s="148">
        <v>46129</v>
      </c>
      <c r="D839">
        <v>20</v>
      </c>
      <c r="E839">
        <v>20</v>
      </c>
      <c r="F839">
        <v>579</v>
      </c>
      <c r="G839">
        <f>Consulta2[[#This Row],[DIA_UTIL_CORRENTE]]</f>
        <v>12</v>
      </c>
      <c r="H839" s="6">
        <f>DAY(Consulta2[[#This Row],[DATA]])</f>
        <v>17</v>
      </c>
      <c r="I839" s="6">
        <f>MONTH(Consulta2[[#This Row],[DATA]])</f>
        <v>4</v>
      </c>
      <c r="J839" t="str">
        <f>CONCATENATE(Consulta2[[#This Row],[SAFRA]],Consulta2[[#This Row],[dia]])</f>
        <v>20260417</v>
      </c>
      <c r="K839">
        <f>Consulta2[[#This Row],[DIA_UTIL_CORRENTE]]</f>
        <v>12</v>
      </c>
    </row>
    <row r="840" spans="1:11" x14ac:dyDescent="0.25">
      <c r="A840">
        <v>202604</v>
      </c>
      <c r="B840">
        <v>12</v>
      </c>
      <c r="C840" s="148">
        <v>46130</v>
      </c>
      <c r="D840">
        <v>20</v>
      </c>
      <c r="E840">
        <v>20</v>
      </c>
      <c r="F840">
        <v>579</v>
      </c>
      <c r="G840">
        <f>Consulta2[[#This Row],[DIA_UTIL_CORRENTE]]</f>
        <v>12</v>
      </c>
      <c r="H840" s="6">
        <f>DAY(Consulta2[[#This Row],[DATA]])</f>
        <v>18</v>
      </c>
      <c r="I840" s="6">
        <f>MONTH(Consulta2[[#This Row],[DATA]])</f>
        <v>4</v>
      </c>
      <c r="J840" t="str">
        <f>CONCATENATE(Consulta2[[#This Row],[SAFRA]],Consulta2[[#This Row],[dia]])</f>
        <v>20260418</v>
      </c>
      <c r="K840">
        <f>Consulta2[[#This Row],[DIA_UTIL_CORRENTE]]</f>
        <v>12</v>
      </c>
    </row>
    <row r="841" spans="1:11" x14ac:dyDescent="0.25">
      <c r="A841">
        <v>202604</v>
      </c>
      <c r="B841">
        <v>12</v>
      </c>
      <c r="C841" s="148">
        <v>46131</v>
      </c>
      <c r="D841">
        <v>20</v>
      </c>
      <c r="E841">
        <v>20</v>
      </c>
      <c r="F841">
        <v>579</v>
      </c>
      <c r="G841">
        <f>Consulta2[[#This Row],[DIA_UTIL_CORRENTE]]</f>
        <v>12</v>
      </c>
      <c r="H841" s="6">
        <f>DAY(Consulta2[[#This Row],[DATA]])</f>
        <v>19</v>
      </c>
      <c r="I841" s="6">
        <f>MONTH(Consulta2[[#This Row],[DATA]])</f>
        <v>4</v>
      </c>
      <c r="J841" t="str">
        <f>CONCATENATE(Consulta2[[#This Row],[SAFRA]],Consulta2[[#This Row],[dia]])</f>
        <v>20260419</v>
      </c>
      <c r="K841">
        <f>Consulta2[[#This Row],[DIA_UTIL_CORRENTE]]</f>
        <v>12</v>
      </c>
    </row>
    <row r="842" spans="1:11" x14ac:dyDescent="0.25">
      <c r="A842">
        <v>202604</v>
      </c>
      <c r="B842">
        <v>13</v>
      </c>
      <c r="C842" s="148">
        <v>46132</v>
      </c>
      <c r="D842">
        <v>20</v>
      </c>
      <c r="E842">
        <v>20</v>
      </c>
      <c r="F842">
        <v>580</v>
      </c>
      <c r="G842">
        <f>Consulta2[[#This Row],[DIA_UTIL_CORRENTE]]</f>
        <v>13</v>
      </c>
      <c r="H842" s="6">
        <f>DAY(Consulta2[[#This Row],[DATA]])</f>
        <v>20</v>
      </c>
      <c r="I842" s="6">
        <f>MONTH(Consulta2[[#This Row],[DATA]])</f>
        <v>4</v>
      </c>
      <c r="J842" t="str">
        <f>CONCATENATE(Consulta2[[#This Row],[SAFRA]],Consulta2[[#This Row],[dia]])</f>
        <v>20260420</v>
      </c>
      <c r="K842">
        <f>Consulta2[[#This Row],[DIA_UTIL_CORRENTE]]</f>
        <v>13</v>
      </c>
    </row>
    <row r="843" spans="1:11" x14ac:dyDescent="0.25">
      <c r="A843">
        <v>202604</v>
      </c>
      <c r="B843">
        <v>13</v>
      </c>
      <c r="C843" s="148">
        <v>46133</v>
      </c>
      <c r="D843">
        <v>20</v>
      </c>
      <c r="E843">
        <v>20</v>
      </c>
      <c r="F843">
        <v>580</v>
      </c>
      <c r="G843">
        <f>Consulta2[[#This Row],[DIA_UTIL_CORRENTE]]</f>
        <v>13</v>
      </c>
      <c r="H843" s="6">
        <f>DAY(Consulta2[[#This Row],[DATA]])</f>
        <v>21</v>
      </c>
      <c r="I843" s="6">
        <f>MONTH(Consulta2[[#This Row],[DATA]])</f>
        <v>4</v>
      </c>
      <c r="J843" t="str">
        <f>CONCATENATE(Consulta2[[#This Row],[SAFRA]],Consulta2[[#This Row],[dia]])</f>
        <v>20260421</v>
      </c>
      <c r="K843">
        <f>Consulta2[[#This Row],[DIA_UTIL_CORRENTE]]</f>
        <v>13</v>
      </c>
    </row>
    <row r="844" spans="1:11" x14ac:dyDescent="0.25">
      <c r="A844">
        <v>202604</v>
      </c>
      <c r="B844">
        <v>14</v>
      </c>
      <c r="C844" s="148">
        <v>46134</v>
      </c>
      <c r="D844">
        <v>20</v>
      </c>
      <c r="E844">
        <v>20</v>
      </c>
      <c r="F844">
        <v>581</v>
      </c>
      <c r="G844">
        <f>Consulta2[[#This Row],[DIA_UTIL_CORRENTE]]</f>
        <v>14</v>
      </c>
      <c r="H844" s="6">
        <f>DAY(Consulta2[[#This Row],[DATA]])</f>
        <v>22</v>
      </c>
      <c r="I844" s="6">
        <f>MONTH(Consulta2[[#This Row],[DATA]])</f>
        <v>4</v>
      </c>
      <c r="J844" t="str">
        <f>CONCATENATE(Consulta2[[#This Row],[SAFRA]],Consulta2[[#This Row],[dia]])</f>
        <v>20260422</v>
      </c>
      <c r="K844">
        <f>Consulta2[[#This Row],[DIA_UTIL_CORRENTE]]</f>
        <v>14</v>
      </c>
    </row>
    <row r="845" spans="1:11" x14ac:dyDescent="0.25">
      <c r="A845">
        <v>202604</v>
      </c>
      <c r="B845">
        <v>15</v>
      </c>
      <c r="C845" s="148">
        <v>46135</v>
      </c>
      <c r="D845">
        <v>20</v>
      </c>
      <c r="E845">
        <v>20</v>
      </c>
      <c r="F845">
        <v>582</v>
      </c>
      <c r="G845">
        <f>Consulta2[[#This Row],[DIA_UTIL_CORRENTE]]</f>
        <v>15</v>
      </c>
      <c r="H845" s="6">
        <f>DAY(Consulta2[[#This Row],[DATA]])</f>
        <v>23</v>
      </c>
      <c r="I845" s="6">
        <f>MONTH(Consulta2[[#This Row],[DATA]])</f>
        <v>4</v>
      </c>
      <c r="J845" t="str">
        <f>CONCATENATE(Consulta2[[#This Row],[SAFRA]],Consulta2[[#This Row],[dia]])</f>
        <v>20260423</v>
      </c>
      <c r="K845">
        <f>Consulta2[[#This Row],[DIA_UTIL_CORRENTE]]</f>
        <v>15</v>
      </c>
    </row>
    <row r="846" spans="1:11" x14ac:dyDescent="0.25">
      <c r="A846">
        <v>202604</v>
      </c>
      <c r="B846">
        <v>16</v>
      </c>
      <c r="C846" s="148">
        <v>46136</v>
      </c>
      <c r="D846">
        <v>20</v>
      </c>
      <c r="E846">
        <v>20</v>
      </c>
      <c r="F846">
        <v>583</v>
      </c>
      <c r="G846">
        <f>Consulta2[[#This Row],[DIA_UTIL_CORRENTE]]</f>
        <v>16</v>
      </c>
      <c r="H846" s="6">
        <f>DAY(Consulta2[[#This Row],[DATA]])</f>
        <v>24</v>
      </c>
      <c r="I846" s="6">
        <f>MONTH(Consulta2[[#This Row],[DATA]])</f>
        <v>4</v>
      </c>
      <c r="J846" t="str">
        <f>CONCATENATE(Consulta2[[#This Row],[SAFRA]],Consulta2[[#This Row],[dia]])</f>
        <v>20260424</v>
      </c>
      <c r="K846">
        <f>Consulta2[[#This Row],[DIA_UTIL_CORRENTE]]</f>
        <v>16</v>
      </c>
    </row>
    <row r="847" spans="1:11" x14ac:dyDescent="0.25">
      <c r="A847">
        <v>202604</v>
      </c>
      <c r="B847">
        <v>16</v>
      </c>
      <c r="C847" s="148">
        <v>46137</v>
      </c>
      <c r="D847">
        <v>20</v>
      </c>
      <c r="E847">
        <v>20</v>
      </c>
      <c r="F847">
        <v>583</v>
      </c>
      <c r="G847">
        <f>Consulta2[[#This Row],[DIA_UTIL_CORRENTE]]</f>
        <v>16</v>
      </c>
      <c r="H847" s="6">
        <f>DAY(Consulta2[[#This Row],[DATA]])</f>
        <v>25</v>
      </c>
      <c r="I847" s="6">
        <f>MONTH(Consulta2[[#This Row],[DATA]])</f>
        <v>4</v>
      </c>
      <c r="J847" t="str">
        <f>CONCATENATE(Consulta2[[#This Row],[SAFRA]],Consulta2[[#This Row],[dia]])</f>
        <v>20260425</v>
      </c>
      <c r="K847">
        <f>Consulta2[[#This Row],[DIA_UTIL_CORRENTE]]</f>
        <v>16</v>
      </c>
    </row>
    <row r="848" spans="1:11" x14ac:dyDescent="0.25">
      <c r="A848">
        <v>202604</v>
      </c>
      <c r="B848">
        <v>16</v>
      </c>
      <c r="C848" s="148">
        <v>46138</v>
      </c>
      <c r="D848">
        <v>20</v>
      </c>
      <c r="E848">
        <v>20</v>
      </c>
      <c r="F848">
        <v>583</v>
      </c>
      <c r="G848">
        <f>Consulta2[[#This Row],[DIA_UTIL_CORRENTE]]</f>
        <v>16</v>
      </c>
      <c r="H848" s="6">
        <f>DAY(Consulta2[[#This Row],[DATA]])</f>
        <v>26</v>
      </c>
      <c r="I848" s="6">
        <f>MONTH(Consulta2[[#This Row],[DATA]])</f>
        <v>4</v>
      </c>
      <c r="J848" t="str">
        <f>CONCATENATE(Consulta2[[#This Row],[SAFRA]],Consulta2[[#This Row],[dia]])</f>
        <v>20260426</v>
      </c>
      <c r="K848">
        <f>Consulta2[[#This Row],[DIA_UTIL_CORRENTE]]</f>
        <v>16</v>
      </c>
    </row>
    <row r="849" spans="1:11" x14ac:dyDescent="0.25">
      <c r="A849">
        <v>202604</v>
      </c>
      <c r="B849">
        <v>17</v>
      </c>
      <c r="C849" s="148">
        <v>46139</v>
      </c>
      <c r="D849">
        <v>20</v>
      </c>
      <c r="E849">
        <v>20</v>
      </c>
      <c r="F849">
        <v>584</v>
      </c>
      <c r="G849">
        <f>Consulta2[[#This Row],[DIA_UTIL_CORRENTE]]</f>
        <v>17</v>
      </c>
      <c r="H849" s="6">
        <f>DAY(Consulta2[[#This Row],[DATA]])</f>
        <v>27</v>
      </c>
      <c r="I849" s="6">
        <f>MONTH(Consulta2[[#This Row],[DATA]])</f>
        <v>4</v>
      </c>
      <c r="J849" t="str">
        <f>CONCATENATE(Consulta2[[#This Row],[SAFRA]],Consulta2[[#This Row],[dia]])</f>
        <v>20260427</v>
      </c>
      <c r="K849">
        <f>Consulta2[[#This Row],[DIA_UTIL_CORRENTE]]</f>
        <v>17</v>
      </c>
    </row>
    <row r="850" spans="1:11" x14ac:dyDescent="0.25">
      <c r="A850">
        <v>202604</v>
      </c>
      <c r="B850">
        <v>18</v>
      </c>
      <c r="C850" s="148">
        <v>46140</v>
      </c>
      <c r="D850">
        <v>20</v>
      </c>
      <c r="E850">
        <v>20</v>
      </c>
      <c r="F850">
        <v>585</v>
      </c>
      <c r="G850">
        <f>Consulta2[[#This Row],[DIA_UTIL_CORRENTE]]</f>
        <v>18</v>
      </c>
      <c r="H850" s="6">
        <f>DAY(Consulta2[[#This Row],[DATA]])</f>
        <v>28</v>
      </c>
      <c r="I850" s="6">
        <f>MONTH(Consulta2[[#This Row],[DATA]])</f>
        <v>4</v>
      </c>
      <c r="J850" t="str">
        <f>CONCATENATE(Consulta2[[#This Row],[SAFRA]],Consulta2[[#This Row],[dia]])</f>
        <v>20260428</v>
      </c>
      <c r="K850">
        <f>Consulta2[[#This Row],[DIA_UTIL_CORRENTE]]</f>
        <v>18</v>
      </c>
    </row>
    <row r="851" spans="1:11" x14ac:dyDescent="0.25">
      <c r="A851">
        <v>202604</v>
      </c>
      <c r="B851">
        <v>19</v>
      </c>
      <c r="C851" s="148">
        <v>46141</v>
      </c>
      <c r="D851">
        <v>20</v>
      </c>
      <c r="E851">
        <v>20</v>
      </c>
      <c r="F851">
        <v>586</v>
      </c>
      <c r="G851">
        <f>Consulta2[[#This Row],[DIA_UTIL_CORRENTE]]</f>
        <v>19</v>
      </c>
      <c r="H851" s="6">
        <f>DAY(Consulta2[[#This Row],[DATA]])</f>
        <v>29</v>
      </c>
      <c r="I851" s="6">
        <f>MONTH(Consulta2[[#This Row],[DATA]])</f>
        <v>4</v>
      </c>
      <c r="J851" t="str">
        <f>CONCATENATE(Consulta2[[#This Row],[SAFRA]],Consulta2[[#This Row],[dia]])</f>
        <v>20260429</v>
      </c>
      <c r="K851">
        <f>Consulta2[[#This Row],[DIA_UTIL_CORRENTE]]</f>
        <v>19</v>
      </c>
    </row>
    <row r="852" spans="1:11" x14ac:dyDescent="0.25">
      <c r="A852">
        <v>202604</v>
      </c>
      <c r="B852">
        <v>20</v>
      </c>
      <c r="C852" s="148">
        <v>46142</v>
      </c>
      <c r="D852">
        <v>20</v>
      </c>
      <c r="E852">
        <v>20</v>
      </c>
      <c r="F852">
        <v>587</v>
      </c>
      <c r="G852">
        <f>Consulta2[[#This Row],[DIA_UTIL_CORRENTE]]</f>
        <v>20</v>
      </c>
      <c r="H852" s="6">
        <f>DAY(Consulta2[[#This Row],[DATA]])</f>
        <v>30</v>
      </c>
      <c r="I852" s="6">
        <f>MONTH(Consulta2[[#This Row],[DATA]])</f>
        <v>4</v>
      </c>
      <c r="J852" t="str">
        <f>CONCATENATE(Consulta2[[#This Row],[SAFRA]],Consulta2[[#This Row],[dia]])</f>
        <v>20260430</v>
      </c>
      <c r="K852">
        <f>Consulta2[[#This Row],[DIA_UTIL_CORRENTE]]</f>
        <v>20</v>
      </c>
    </row>
    <row r="853" spans="1:11" x14ac:dyDescent="0.25">
      <c r="A853">
        <v>202605</v>
      </c>
      <c r="B853">
        <v>0</v>
      </c>
      <c r="C853" s="148">
        <v>46143</v>
      </c>
      <c r="D853">
        <v>20</v>
      </c>
      <c r="E853">
        <v>20</v>
      </c>
      <c r="F853">
        <v>587</v>
      </c>
      <c r="G853">
        <f>Consulta2[[#This Row],[DIA_UTIL_CORRENTE]]</f>
        <v>0</v>
      </c>
      <c r="H853" s="6">
        <f>DAY(Consulta2[[#This Row],[DATA]])</f>
        <v>1</v>
      </c>
      <c r="I853" s="6">
        <f>MONTH(Consulta2[[#This Row],[DATA]])</f>
        <v>5</v>
      </c>
      <c r="J853" t="str">
        <f>CONCATENATE(Consulta2[[#This Row],[SAFRA]],Consulta2[[#This Row],[dia]])</f>
        <v>2026051</v>
      </c>
      <c r="K853">
        <f>Consulta2[[#This Row],[DIA_UTIL_CORRENTE]]</f>
        <v>0</v>
      </c>
    </row>
    <row r="854" spans="1:11" x14ac:dyDescent="0.25">
      <c r="A854">
        <v>202605</v>
      </c>
      <c r="B854">
        <v>0</v>
      </c>
      <c r="C854" s="148">
        <v>46144</v>
      </c>
      <c r="D854">
        <v>20</v>
      </c>
      <c r="E854">
        <v>20</v>
      </c>
      <c r="F854">
        <v>587</v>
      </c>
      <c r="G854">
        <f>Consulta2[[#This Row],[DIA_UTIL_CORRENTE]]</f>
        <v>0</v>
      </c>
      <c r="H854" s="6">
        <f>DAY(Consulta2[[#This Row],[DATA]])</f>
        <v>2</v>
      </c>
      <c r="I854" s="6">
        <f>MONTH(Consulta2[[#This Row],[DATA]])</f>
        <v>5</v>
      </c>
      <c r="J854" t="str">
        <f>CONCATENATE(Consulta2[[#This Row],[SAFRA]],Consulta2[[#This Row],[dia]])</f>
        <v>2026052</v>
      </c>
      <c r="K854">
        <f>Consulta2[[#This Row],[DIA_UTIL_CORRENTE]]</f>
        <v>0</v>
      </c>
    </row>
    <row r="855" spans="1:11" x14ac:dyDescent="0.25">
      <c r="A855">
        <v>202605</v>
      </c>
      <c r="B855">
        <v>0</v>
      </c>
      <c r="C855" s="148">
        <v>46145</v>
      </c>
      <c r="D855">
        <v>20</v>
      </c>
      <c r="E855">
        <v>20</v>
      </c>
      <c r="F855">
        <v>587</v>
      </c>
      <c r="G855">
        <f>Consulta2[[#This Row],[DIA_UTIL_CORRENTE]]</f>
        <v>0</v>
      </c>
      <c r="H855" s="6">
        <f>DAY(Consulta2[[#This Row],[DATA]])</f>
        <v>3</v>
      </c>
      <c r="I855" s="6">
        <f>MONTH(Consulta2[[#This Row],[DATA]])</f>
        <v>5</v>
      </c>
      <c r="J855" t="str">
        <f>CONCATENATE(Consulta2[[#This Row],[SAFRA]],Consulta2[[#This Row],[dia]])</f>
        <v>2026053</v>
      </c>
      <c r="K855">
        <f>Consulta2[[#This Row],[DIA_UTIL_CORRENTE]]</f>
        <v>0</v>
      </c>
    </row>
    <row r="856" spans="1:11" x14ac:dyDescent="0.25">
      <c r="A856">
        <v>202605</v>
      </c>
      <c r="B856">
        <v>1</v>
      </c>
      <c r="C856" s="148">
        <v>46146</v>
      </c>
      <c r="D856">
        <v>20</v>
      </c>
      <c r="E856">
        <v>20</v>
      </c>
      <c r="F856">
        <v>588</v>
      </c>
      <c r="G856">
        <f>Consulta2[[#This Row],[DIA_UTIL_CORRENTE]]</f>
        <v>1</v>
      </c>
      <c r="H856" s="6">
        <f>DAY(Consulta2[[#This Row],[DATA]])</f>
        <v>4</v>
      </c>
      <c r="I856" s="6">
        <f>MONTH(Consulta2[[#This Row],[DATA]])</f>
        <v>5</v>
      </c>
      <c r="J856" t="str">
        <f>CONCATENATE(Consulta2[[#This Row],[SAFRA]],Consulta2[[#This Row],[dia]])</f>
        <v>2026054</v>
      </c>
      <c r="K856">
        <f>Consulta2[[#This Row],[DIA_UTIL_CORRENTE]]</f>
        <v>1</v>
      </c>
    </row>
    <row r="857" spans="1:11" x14ac:dyDescent="0.25">
      <c r="A857">
        <v>202605</v>
      </c>
      <c r="B857">
        <v>2</v>
      </c>
      <c r="C857" s="148">
        <v>46147</v>
      </c>
      <c r="D857">
        <v>20</v>
      </c>
      <c r="E857">
        <v>20</v>
      </c>
      <c r="F857">
        <v>589</v>
      </c>
      <c r="G857">
        <f>Consulta2[[#This Row],[DIA_UTIL_CORRENTE]]</f>
        <v>2</v>
      </c>
      <c r="H857" s="6">
        <f>DAY(Consulta2[[#This Row],[DATA]])</f>
        <v>5</v>
      </c>
      <c r="I857" s="6">
        <f>MONTH(Consulta2[[#This Row],[DATA]])</f>
        <v>5</v>
      </c>
      <c r="J857" t="str">
        <f>CONCATENATE(Consulta2[[#This Row],[SAFRA]],Consulta2[[#This Row],[dia]])</f>
        <v>2026055</v>
      </c>
      <c r="K857">
        <f>Consulta2[[#This Row],[DIA_UTIL_CORRENTE]]</f>
        <v>2</v>
      </c>
    </row>
    <row r="858" spans="1:11" x14ac:dyDescent="0.25">
      <c r="A858">
        <v>202605</v>
      </c>
      <c r="B858">
        <v>3</v>
      </c>
      <c r="C858" s="148">
        <v>46148</v>
      </c>
      <c r="D858">
        <v>20</v>
      </c>
      <c r="E858">
        <v>20</v>
      </c>
      <c r="F858">
        <v>590</v>
      </c>
      <c r="G858">
        <f>Consulta2[[#This Row],[DIA_UTIL_CORRENTE]]</f>
        <v>3</v>
      </c>
      <c r="H858" s="6">
        <f>DAY(Consulta2[[#This Row],[DATA]])</f>
        <v>6</v>
      </c>
      <c r="I858" s="6">
        <f>MONTH(Consulta2[[#This Row],[DATA]])</f>
        <v>5</v>
      </c>
      <c r="J858" t="str">
        <f>CONCATENATE(Consulta2[[#This Row],[SAFRA]],Consulta2[[#This Row],[dia]])</f>
        <v>2026056</v>
      </c>
      <c r="K858">
        <f>Consulta2[[#This Row],[DIA_UTIL_CORRENTE]]</f>
        <v>3</v>
      </c>
    </row>
    <row r="859" spans="1:11" x14ac:dyDescent="0.25">
      <c r="A859">
        <v>202605</v>
      </c>
      <c r="B859">
        <v>4</v>
      </c>
      <c r="C859" s="148">
        <v>46149</v>
      </c>
      <c r="D859">
        <v>20</v>
      </c>
      <c r="E859">
        <v>20</v>
      </c>
      <c r="F859">
        <v>591</v>
      </c>
      <c r="G859">
        <f>Consulta2[[#This Row],[DIA_UTIL_CORRENTE]]</f>
        <v>4</v>
      </c>
      <c r="H859" s="6">
        <f>DAY(Consulta2[[#This Row],[DATA]])</f>
        <v>7</v>
      </c>
      <c r="I859" s="6">
        <f>MONTH(Consulta2[[#This Row],[DATA]])</f>
        <v>5</v>
      </c>
      <c r="J859" t="str">
        <f>CONCATENATE(Consulta2[[#This Row],[SAFRA]],Consulta2[[#This Row],[dia]])</f>
        <v>2026057</v>
      </c>
      <c r="K859">
        <f>Consulta2[[#This Row],[DIA_UTIL_CORRENTE]]</f>
        <v>4</v>
      </c>
    </row>
    <row r="860" spans="1:11" x14ac:dyDescent="0.25">
      <c r="A860">
        <v>202605</v>
      </c>
      <c r="B860">
        <v>5</v>
      </c>
      <c r="C860" s="148">
        <v>46150</v>
      </c>
      <c r="D860">
        <v>20</v>
      </c>
      <c r="E860">
        <v>20</v>
      </c>
      <c r="F860">
        <v>592</v>
      </c>
      <c r="G860">
        <f>Consulta2[[#This Row],[DIA_UTIL_CORRENTE]]</f>
        <v>5</v>
      </c>
      <c r="H860" s="6">
        <f>DAY(Consulta2[[#This Row],[DATA]])</f>
        <v>8</v>
      </c>
      <c r="I860" s="6">
        <f>MONTH(Consulta2[[#This Row],[DATA]])</f>
        <v>5</v>
      </c>
      <c r="J860" t="str">
        <f>CONCATENATE(Consulta2[[#This Row],[SAFRA]],Consulta2[[#This Row],[dia]])</f>
        <v>2026058</v>
      </c>
      <c r="K860">
        <f>Consulta2[[#This Row],[DIA_UTIL_CORRENTE]]</f>
        <v>5</v>
      </c>
    </row>
    <row r="861" spans="1:11" x14ac:dyDescent="0.25">
      <c r="A861">
        <v>202605</v>
      </c>
      <c r="B861">
        <v>5</v>
      </c>
      <c r="C861" s="148">
        <v>46151</v>
      </c>
      <c r="D861">
        <v>20</v>
      </c>
      <c r="E861">
        <v>20</v>
      </c>
      <c r="F861">
        <v>592</v>
      </c>
      <c r="G861">
        <f>Consulta2[[#This Row],[DIA_UTIL_CORRENTE]]</f>
        <v>5</v>
      </c>
      <c r="H861" s="6">
        <f>DAY(Consulta2[[#This Row],[DATA]])</f>
        <v>9</v>
      </c>
      <c r="I861" s="6">
        <f>MONTH(Consulta2[[#This Row],[DATA]])</f>
        <v>5</v>
      </c>
      <c r="J861" t="str">
        <f>CONCATENATE(Consulta2[[#This Row],[SAFRA]],Consulta2[[#This Row],[dia]])</f>
        <v>2026059</v>
      </c>
      <c r="K861">
        <f>Consulta2[[#This Row],[DIA_UTIL_CORRENTE]]</f>
        <v>5</v>
      </c>
    </row>
    <row r="862" spans="1:11" x14ac:dyDescent="0.25">
      <c r="A862">
        <v>202605</v>
      </c>
      <c r="B862">
        <v>5</v>
      </c>
      <c r="C862" s="148">
        <v>46152</v>
      </c>
      <c r="D862">
        <v>20</v>
      </c>
      <c r="E862">
        <v>20</v>
      </c>
      <c r="F862">
        <v>592</v>
      </c>
      <c r="G862">
        <f>Consulta2[[#This Row],[DIA_UTIL_CORRENTE]]</f>
        <v>5</v>
      </c>
      <c r="H862" s="6">
        <f>DAY(Consulta2[[#This Row],[DATA]])</f>
        <v>10</v>
      </c>
      <c r="I862" s="6">
        <f>MONTH(Consulta2[[#This Row],[DATA]])</f>
        <v>5</v>
      </c>
      <c r="J862" t="str">
        <f>CONCATENATE(Consulta2[[#This Row],[SAFRA]],Consulta2[[#This Row],[dia]])</f>
        <v>20260510</v>
      </c>
      <c r="K862">
        <f>Consulta2[[#This Row],[DIA_UTIL_CORRENTE]]</f>
        <v>5</v>
      </c>
    </row>
    <row r="863" spans="1:11" x14ac:dyDescent="0.25">
      <c r="A863">
        <v>202605</v>
      </c>
      <c r="B863">
        <v>6</v>
      </c>
      <c r="C863" s="148">
        <v>46153</v>
      </c>
      <c r="D863">
        <v>20</v>
      </c>
      <c r="E863">
        <v>20</v>
      </c>
      <c r="F863">
        <v>593</v>
      </c>
      <c r="G863">
        <f>Consulta2[[#This Row],[DIA_UTIL_CORRENTE]]</f>
        <v>6</v>
      </c>
      <c r="H863" s="6">
        <f>DAY(Consulta2[[#This Row],[DATA]])</f>
        <v>11</v>
      </c>
      <c r="I863" s="6">
        <f>MONTH(Consulta2[[#This Row],[DATA]])</f>
        <v>5</v>
      </c>
      <c r="J863" t="str">
        <f>CONCATENATE(Consulta2[[#This Row],[SAFRA]],Consulta2[[#This Row],[dia]])</f>
        <v>20260511</v>
      </c>
      <c r="K863">
        <f>Consulta2[[#This Row],[DIA_UTIL_CORRENTE]]</f>
        <v>6</v>
      </c>
    </row>
    <row r="864" spans="1:11" x14ac:dyDescent="0.25">
      <c r="A864">
        <v>202605</v>
      </c>
      <c r="B864">
        <v>7</v>
      </c>
      <c r="C864" s="148">
        <v>46154</v>
      </c>
      <c r="D864">
        <v>20</v>
      </c>
      <c r="E864">
        <v>20</v>
      </c>
      <c r="F864">
        <v>594</v>
      </c>
      <c r="G864">
        <f>Consulta2[[#This Row],[DIA_UTIL_CORRENTE]]</f>
        <v>7</v>
      </c>
      <c r="H864" s="6">
        <f>DAY(Consulta2[[#This Row],[DATA]])</f>
        <v>12</v>
      </c>
      <c r="I864" s="6">
        <f>MONTH(Consulta2[[#This Row],[DATA]])</f>
        <v>5</v>
      </c>
      <c r="J864" t="str">
        <f>CONCATENATE(Consulta2[[#This Row],[SAFRA]],Consulta2[[#This Row],[dia]])</f>
        <v>20260512</v>
      </c>
      <c r="K864">
        <f>Consulta2[[#This Row],[DIA_UTIL_CORRENTE]]</f>
        <v>7</v>
      </c>
    </row>
    <row r="865" spans="1:11" x14ac:dyDescent="0.25">
      <c r="A865">
        <v>202605</v>
      </c>
      <c r="B865">
        <v>8</v>
      </c>
      <c r="C865" s="148">
        <v>46155</v>
      </c>
      <c r="D865">
        <v>20</v>
      </c>
      <c r="E865">
        <v>20</v>
      </c>
      <c r="F865">
        <v>595</v>
      </c>
      <c r="G865">
        <f>Consulta2[[#This Row],[DIA_UTIL_CORRENTE]]</f>
        <v>8</v>
      </c>
      <c r="H865" s="6">
        <f>DAY(Consulta2[[#This Row],[DATA]])</f>
        <v>13</v>
      </c>
      <c r="I865" s="6">
        <f>MONTH(Consulta2[[#This Row],[DATA]])</f>
        <v>5</v>
      </c>
      <c r="J865" t="str">
        <f>CONCATENATE(Consulta2[[#This Row],[SAFRA]],Consulta2[[#This Row],[dia]])</f>
        <v>20260513</v>
      </c>
      <c r="K865">
        <f>Consulta2[[#This Row],[DIA_UTIL_CORRENTE]]</f>
        <v>8</v>
      </c>
    </row>
    <row r="866" spans="1:11" x14ac:dyDescent="0.25">
      <c r="A866">
        <v>202605</v>
      </c>
      <c r="B866">
        <v>9</v>
      </c>
      <c r="C866" s="148">
        <v>46156</v>
      </c>
      <c r="D866">
        <v>20</v>
      </c>
      <c r="E866">
        <v>20</v>
      </c>
      <c r="F866">
        <v>596</v>
      </c>
      <c r="G866">
        <f>Consulta2[[#This Row],[DIA_UTIL_CORRENTE]]</f>
        <v>9</v>
      </c>
      <c r="H866" s="6">
        <f>DAY(Consulta2[[#This Row],[DATA]])</f>
        <v>14</v>
      </c>
      <c r="I866" s="6">
        <f>MONTH(Consulta2[[#This Row],[DATA]])</f>
        <v>5</v>
      </c>
      <c r="J866" t="str">
        <f>CONCATENATE(Consulta2[[#This Row],[SAFRA]],Consulta2[[#This Row],[dia]])</f>
        <v>20260514</v>
      </c>
      <c r="K866">
        <f>Consulta2[[#This Row],[DIA_UTIL_CORRENTE]]</f>
        <v>9</v>
      </c>
    </row>
    <row r="867" spans="1:11" x14ac:dyDescent="0.25">
      <c r="A867">
        <v>202605</v>
      </c>
      <c r="B867">
        <v>10</v>
      </c>
      <c r="C867" s="148">
        <v>46157</v>
      </c>
      <c r="D867">
        <v>20</v>
      </c>
      <c r="E867">
        <v>20</v>
      </c>
      <c r="F867">
        <v>597</v>
      </c>
      <c r="G867">
        <f>Consulta2[[#This Row],[DIA_UTIL_CORRENTE]]</f>
        <v>10</v>
      </c>
      <c r="H867" s="6">
        <f>DAY(Consulta2[[#This Row],[DATA]])</f>
        <v>15</v>
      </c>
      <c r="I867" s="6">
        <f>MONTH(Consulta2[[#This Row],[DATA]])</f>
        <v>5</v>
      </c>
      <c r="J867" t="str">
        <f>CONCATENATE(Consulta2[[#This Row],[SAFRA]],Consulta2[[#This Row],[dia]])</f>
        <v>20260515</v>
      </c>
      <c r="K867">
        <f>Consulta2[[#This Row],[DIA_UTIL_CORRENTE]]</f>
        <v>10</v>
      </c>
    </row>
    <row r="868" spans="1:11" x14ac:dyDescent="0.25">
      <c r="A868">
        <v>202605</v>
      </c>
      <c r="B868">
        <v>10</v>
      </c>
      <c r="C868" s="148">
        <v>46158</v>
      </c>
      <c r="D868">
        <v>20</v>
      </c>
      <c r="E868">
        <v>20</v>
      </c>
      <c r="F868">
        <v>597</v>
      </c>
      <c r="G868">
        <f>Consulta2[[#This Row],[DIA_UTIL_CORRENTE]]</f>
        <v>10</v>
      </c>
      <c r="H868" s="6">
        <f>DAY(Consulta2[[#This Row],[DATA]])</f>
        <v>16</v>
      </c>
      <c r="I868" s="6">
        <f>MONTH(Consulta2[[#This Row],[DATA]])</f>
        <v>5</v>
      </c>
      <c r="J868" t="str">
        <f>CONCATENATE(Consulta2[[#This Row],[SAFRA]],Consulta2[[#This Row],[dia]])</f>
        <v>20260516</v>
      </c>
      <c r="K868">
        <f>Consulta2[[#This Row],[DIA_UTIL_CORRENTE]]</f>
        <v>10</v>
      </c>
    </row>
    <row r="869" spans="1:11" x14ac:dyDescent="0.25">
      <c r="A869">
        <v>202605</v>
      </c>
      <c r="B869">
        <v>10</v>
      </c>
      <c r="C869" s="148">
        <v>46159</v>
      </c>
      <c r="D869">
        <v>20</v>
      </c>
      <c r="E869">
        <v>20</v>
      </c>
      <c r="F869">
        <v>597</v>
      </c>
      <c r="G869">
        <f>Consulta2[[#This Row],[DIA_UTIL_CORRENTE]]</f>
        <v>10</v>
      </c>
      <c r="H869" s="6">
        <f>DAY(Consulta2[[#This Row],[DATA]])</f>
        <v>17</v>
      </c>
      <c r="I869" s="6">
        <f>MONTH(Consulta2[[#This Row],[DATA]])</f>
        <v>5</v>
      </c>
      <c r="J869" t="str">
        <f>CONCATENATE(Consulta2[[#This Row],[SAFRA]],Consulta2[[#This Row],[dia]])</f>
        <v>20260517</v>
      </c>
      <c r="K869">
        <f>Consulta2[[#This Row],[DIA_UTIL_CORRENTE]]</f>
        <v>10</v>
      </c>
    </row>
    <row r="870" spans="1:11" x14ac:dyDescent="0.25">
      <c r="A870">
        <v>202605</v>
      </c>
      <c r="B870">
        <v>11</v>
      </c>
      <c r="C870" s="148">
        <v>46160</v>
      </c>
      <c r="D870">
        <v>20</v>
      </c>
      <c r="E870">
        <v>20</v>
      </c>
      <c r="F870">
        <v>598</v>
      </c>
      <c r="G870">
        <f>Consulta2[[#This Row],[DIA_UTIL_CORRENTE]]</f>
        <v>11</v>
      </c>
      <c r="H870" s="6">
        <f>DAY(Consulta2[[#This Row],[DATA]])</f>
        <v>18</v>
      </c>
      <c r="I870" s="6">
        <f>MONTH(Consulta2[[#This Row],[DATA]])</f>
        <v>5</v>
      </c>
      <c r="J870" t="str">
        <f>CONCATENATE(Consulta2[[#This Row],[SAFRA]],Consulta2[[#This Row],[dia]])</f>
        <v>20260518</v>
      </c>
      <c r="K870">
        <f>Consulta2[[#This Row],[DIA_UTIL_CORRENTE]]</f>
        <v>11</v>
      </c>
    </row>
    <row r="871" spans="1:11" x14ac:dyDescent="0.25">
      <c r="A871">
        <v>202605</v>
      </c>
      <c r="B871">
        <v>12</v>
      </c>
      <c r="C871" s="148">
        <v>46161</v>
      </c>
      <c r="D871">
        <v>20</v>
      </c>
      <c r="E871">
        <v>20</v>
      </c>
      <c r="F871">
        <v>599</v>
      </c>
      <c r="G871">
        <f>Consulta2[[#This Row],[DIA_UTIL_CORRENTE]]</f>
        <v>12</v>
      </c>
      <c r="H871" s="6">
        <f>DAY(Consulta2[[#This Row],[DATA]])</f>
        <v>19</v>
      </c>
      <c r="I871" s="6">
        <f>MONTH(Consulta2[[#This Row],[DATA]])</f>
        <v>5</v>
      </c>
      <c r="J871" t="str">
        <f>CONCATENATE(Consulta2[[#This Row],[SAFRA]],Consulta2[[#This Row],[dia]])</f>
        <v>20260519</v>
      </c>
      <c r="K871">
        <f>Consulta2[[#This Row],[DIA_UTIL_CORRENTE]]</f>
        <v>12</v>
      </c>
    </row>
    <row r="872" spans="1:11" x14ac:dyDescent="0.25">
      <c r="A872">
        <v>202605</v>
      </c>
      <c r="B872">
        <v>13</v>
      </c>
      <c r="C872" s="148">
        <v>46162</v>
      </c>
      <c r="D872">
        <v>20</v>
      </c>
      <c r="E872">
        <v>20</v>
      </c>
      <c r="F872">
        <v>600</v>
      </c>
      <c r="G872">
        <f>Consulta2[[#This Row],[DIA_UTIL_CORRENTE]]</f>
        <v>13</v>
      </c>
      <c r="H872" s="6">
        <f>DAY(Consulta2[[#This Row],[DATA]])</f>
        <v>20</v>
      </c>
      <c r="I872" s="6">
        <f>MONTH(Consulta2[[#This Row],[DATA]])</f>
        <v>5</v>
      </c>
      <c r="J872" t="str">
        <f>CONCATENATE(Consulta2[[#This Row],[SAFRA]],Consulta2[[#This Row],[dia]])</f>
        <v>20260520</v>
      </c>
      <c r="K872">
        <f>Consulta2[[#This Row],[DIA_UTIL_CORRENTE]]</f>
        <v>13</v>
      </c>
    </row>
    <row r="873" spans="1:11" x14ac:dyDescent="0.25">
      <c r="A873">
        <v>202605</v>
      </c>
      <c r="B873">
        <v>14</v>
      </c>
      <c r="C873" s="148">
        <v>46163</v>
      </c>
      <c r="D873">
        <v>20</v>
      </c>
      <c r="E873">
        <v>20</v>
      </c>
      <c r="F873">
        <v>601</v>
      </c>
      <c r="G873">
        <f>Consulta2[[#This Row],[DIA_UTIL_CORRENTE]]</f>
        <v>14</v>
      </c>
      <c r="H873" s="6">
        <f>DAY(Consulta2[[#This Row],[DATA]])</f>
        <v>21</v>
      </c>
      <c r="I873" s="6">
        <f>MONTH(Consulta2[[#This Row],[DATA]])</f>
        <v>5</v>
      </c>
      <c r="J873" t="str">
        <f>CONCATENATE(Consulta2[[#This Row],[SAFRA]],Consulta2[[#This Row],[dia]])</f>
        <v>20260521</v>
      </c>
      <c r="K873">
        <f>Consulta2[[#This Row],[DIA_UTIL_CORRENTE]]</f>
        <v>14</v>
      </c>
    </row>
    <row r="874" spans="1:11" x14ac:dyDescent="0.25">
      <c r="A874">
        <v>202605</v>
      </c>
      <c r="B874">
        <v>15</v>
      </c>
      <c r="C874" s="148">
        <v>46164</v>
      </c>
      <c r="D874">
        <v>20</v>
      </c>
      <c r="E874">
        <v>20</v>
      </c>
      <c r="F874">
        <v>602</v>
      </c>
      <c r="G874">
        <f>Consulta2[[#This Row],[DIA_UTIL_CORRENTE]]</f>
        <v>15</v>
      </c>
      <c r="H874" s="6">
        <f>DAY(Consulta2[[#This Row],[DATA]])</f>
        <v>22</v>
      </c>
      <c r="I874" s="6">
        <f>MONTH(Consulta2[[#This Row],[DATA]])</f>
        <v>5</v>
      </c>
      <c r="J874" t="str">
        <f>CONCATENATE(Consulta2[[#This Row],[SAFRA]],Consulta2[[#This Row],[dia]])</f>
        <v>20260522</v>
      </c>
      <c r="K874">
        <f>Consulta2[[#This Row],[DIA_UTIL_CORRENTE]]</f>
        <v>15</v>
      </c>
    </row>
    <row r="875" spans="1:11" x14ac:dyDescent="0.25">
      <c r="A875">
        <v>202605</v>
      </c>
      <c r="B875">
        <v>15</v>
      </c>
      <c r="C875" s="148">
        <v>46165</v>
      </c>
      <c r="D875">
        <v>20</v>
      </c>
      <c r="E875">
        <v>20</v>
      </c>
      <c r="F875">
        <v>602</v>
      </c>
      <c r="G875">
        <f>Consulta2[[#This Row],[DIA_UTIL_CORRENTE]]</f>
        <v>15</v>
      </c>
      <c r="H875" s="6">
        <f>DAY(Consulta2[[#This Row],[DATA]])</f>
        <v>23</v>
      </c>
      <c r="I875" s="6">
        <f>MONTH(Consulta2[[#This Row],[DATA]])</f>
        <v>5</v>
      </c>
      <c r="J875" t="str">
        <f>CONCATENATE(Consulta2[[#This Row],[SAFRA]],Consulta2[[#This Row],[dia]])</f>
        <v>20260523</v>
      </c>
      <c r="K875">
        <f>Consulta2[[#This Row],[DIA_UTIL_CORRENTE]]</f>
        <v>15</v>
      </c>
    </row>
    <row r="876" spans="1:11" x14ac:dyDescent="0.25">
      <c r="A876">
        <v>202605</v>
      </c>
      <c r="B876">
        <v>15</v>
      </c>
      <c r="C876" s="148">
        <v>46166</v>
      </c>
      <c r="D876">
        <v>20</v>
      </c>
      <c r="E876">
        <v>20</v>
      </c>
      <c r="F876">
        <v>602</v>
      </c>
      <c r="G876">
        <f>Consulta2[[#This Row],[DIA_UTIL_CORRENTE]]</f>
        <v>15</v>
      </c>
      <c r="H876" s="6">
        <f>DAY(Consulta2[[#This Row],[DATA]])</f>
        <v>24</v>
      </c>
      <c r="I876" s="6">
        <f>MONTH(Consulta2[[#This Row],[DATA]])</f>
        <v>5</v>
      </c>
      <c r="J876" t="str">
        <f>CONCATENATE(Consulta2[[#This Row],[SAFRA]],Consulta2[[#This Row],[dia]])</f>
        <v>20260524</v>
      </c>
      <c r="K876">
        <f>Consulta2[[#This Row],[DIA_UTIL_CORRENTE]]</f>
        <v>15</v>
      </c>
    </row>
    <row r="877" spans="1:11" x14ac:dyDescent="0.25">
      <c r="A877">
        <v>202605</v>
      </c>
      <c r="B877">
        <v>16</v>
      </c>
      <c r="C877" s="148">
        <v>46167</v>
      </c>
      <c r="D877">
        <v>20</v>
      </c>
      <c r="E877">
        <v>20</v>
      </c>
      <c r="F877">
        <v>603</v>
      </c>
      <c r="G877">
        <f>Consulta2[[#This Row],[DIA_UTIL_CORRENTE]]</f>
        <v>16</v>
      </c>
      <c r="H877" s="6">
        <f>DAY(Consulta2[[#This Row],[DATA]])</f>
        <v>25</v>
      </c>
      <c r="I877" s="6">
        <f>MONTH(Consulta2[[#This Row],[DATA]])</f>
        <v>5</v>
      </c>
      <c r="J877" t="str">
        <f>CONCATENATE(Consulta2[[#This Row],[SAFRA]],Consulta2[[#This Row],[dia]])</f>
        <v>20260525</v>
      </c>
      <c r="K877">
        <f>Consulta2[[#This Row],[DIA_UTIL_CORRENTE]]</f>
        <v>16</v>
      </c>
    </row>
    <row r="878" spans="1:11" x14ac:dyDescent="0.25">
      <c r="A878">
        <v>202605</v>
      </c>
      <c r="B878">
        <v>17</v>
      </c>
      <c r="C878" s="148">
        <v>46168</v>
      </c>
      <c r="D878">
        <v>20</v>
      </c>
      <c r="E878">
        <v>20</v>
      </c>
      <c r="F878">
        <v>604</v>
      </c>
      <c r="G878">
        <f>Consulta2[[#This Row],[DIA_UTIL_CORRENTE]]</f>
        <v>17</v>
      </c>
      <c r="H878" s="6">
        <f>DAY(Consulta2[[#This Row],[DATA]])</f>
        <v>26</v>
      </c>
      <c r="I878" s="6">
        <f>MONTH(Consulta2[[#This Row],[DATA]])</f>
        <v>5</v>
      </c>
      <c r="J878" t="str">
        <f>CONCATENATE(Consulta2[[#This Row],[SAFRA]],Consulta2[[#This Row],[dia]])</f>
        <v>20260526</v>
      </c>
      <c r="K878">
        <f>Consulta2[[#This Row],[DIA_UTIL_CORRENTE]]</f>
        <v>17</v>
      </c>
    </row>
    <row r="879" spans="1:11" x14ac:dyDescent="0.25">
      <c r="A879">
        <v>202605</v>
      </c>
      <c r="B879">
        <v>18</v>
      </c>
      <c r="C879" s="148">
        <v>46169</v>
      </c>
      <c r="D879">
        <v>20</v>
      </c>
      <c r="E879">
        <v>20</v>
      </c>
      <c r="F879">
        <v>605</v>
      </c>
      <c r="G879">
        <f>Consulta2[[#This Row],[DIA_UTIL_CORRENTE]]</f>
        <v>18</v>
      </c>
      <c r="H879" s="6">
        <f>DAY(Consulta2[[#This Row],[DATA]])</f>
        <v>27</v>
      </c>
      <c r="I879" s="6">
        <f>MONTH(Consulta2[[#This Row],[DATA]])</f>
        <v>5</v>
      </c>
      <c r="J879" t="str">
        <f>CONCATENATE(Consulta2[[#This Row],[SAFRA]],Consulta2[[#This Row],[dia]])</f>
        <v>20260527</v>
      </c>
      <c r="K879">
        <f>Consulta2[[#This Row],[DIA_UTIL_CORRENTE]]</f>
        <v>18</v>
      </c>
    </row>
    <row r="880" spans="1:11" x14ac:dyDescent="0.25">
      <c r="A880">
        <v>202605</v>
      </c>
      <c r="B880">
        <v>19</v>
      </c>
      <c r="C880" s="148">
        <v>46170</v>
      </c>
      <c r="D880">
        <v>20</v>
      </c>
      <c r="E880">
        <v>20</v>
      </c>
      <c r="F880">
        <v>606</v>
      </c>
      <c r="G880">
        <f>Consulta2[[#This Row],[DIA_UTIL_CORRENTE]]</f>
        <v>19</v>
      </c>
      <c r="H880" s="6">
        <f>DAY(Consulta2[[#This Row],[DATA]])</f>
        <v>28</v>
      </c>
      <c r="I880" s="6">
        <f>MONTH(Consulta2[[#This Row],[DATA]])</f>
        <v>5</v>
      </c>
      <c r="J880" t="str">
        <f>CONCATENATE(Consulta2[[#This Row],[SAFRA]],Consulta2[[#This Row],[dia]])</f>
        <v>20260528</v>
      </c>
      <c r="K880">
        <f>Consulta2[[#This Row],[DIA_UTIL_CORRENTE]]</f>
        <v>19</v>
      </c>
    </row>
    <row r="881" spans="1:11" x14ac:dyDescent="0.25">
      <c r="A881">
        <v>202605</v>
      </c>
      <c r="B881">
        <v>20</v>
      </c>
      <c r="C881" s="148">
        <v>46171</v>
      </c>
      <c r="D881">
        <v>20</v>
      </c>
      <c r="E881">
        <v>20</v>
      </c>
      <c r="F881">
        <v>607</v>
      </c>
      <c r="G881">
        <f>Consulta2[[#This Row],[DIA_UTIL_CORRENTE]]</f>
        <v>20</v>
      </c>
      <c r="H881" s="6">
        <f>DAY(Consulta2[[#This Row],[DATA]])</f>
        <v>29</v>
      </c>
      <c r="I881" s="6">
        <f>MONTH(Consulta2[[#This Row],[DATA]])</f>
        <v>5</v>
      </c>
      <c r="J881" t="str">
        <f>CONCATENATE(Consulta2[[#This Row],[SAFRA]],Consulta2[[#This Row],[dia]])</f>
        <v>20260529</v>
      </c>
      <c r="K881">
        <f>Consulta2[[#This Row],[DIA_UTIL_CORRENTE]]</f>
        <v>20</v>
      </c>
    </row>
    <row r="882" spans="1:11" x14ac:dyDescent="0.25">
      <c r="A882">
        <v>202605</v>
      </c>
      <c r="B882">
        <v>20</v>
      </c>
      <c r="C882" s="148">
        <v>46172</v>
      </c>
      <c r="D882">
        <v>20</v>
      </c>
      <c r="E882">
        <v>20</v>
      </c>
      <c r="F882">
        <v>607</v>
      </c>
      <c r="G882">
        <f>Consulta2[[#This Row],[DIA_UTIL_CORRENTE]]</f>
        <v>20</v>
      </c>
      <c r="H882" s="6">
        <f>DAY(Consulta2[[#This Row],[DATA]])</f>
        <v>30</v>
      </c>
      <c r="I882" s="6">
        <f>MONTH(Consulta2[[#This Row],[DATA]])</f>
        <v>5</v>
      </c>
      <c r="J882" t="str">
        <f>CONCATENATE(Consulta2[[#This Row],[SAFRA]],Consulta2[[#This Row],[dia]])</f>
        <v>20260530</v>
      </c>
      <c r="K882">
        <f>Consulta2[[#This Row],[DIA_UTIL_CORRENTE]]</f>
        <v>20</v>
      </c>
    </row>
    <row r="883" spans="1:11" x14ac:dyDescent="0.25">
      <c r="A883">
        <v>202605</v>
      </c>
      <c r="B883">
        <v>20</v>
      </c>
      <c r="C883" s="148">
        <v>46173</v>
      </c>
      <c r="D883">
        <v>20</v>
      </c>
      <c r="E883">
        <v>20</v>
      </c>
      <c r="F883">
        <v>607</v>
      </c>
      <c r="G883">
        <f>Consulta2[[#This Row],[DIA_UTIL_CORRENTE]]</f>
        <v>20</v>
      </c>
      <c r="H883" s="6">
        <f>DAY(Consulta2[[#This Row],[DATA]])</f>
        <v>31</v>
      </c>
      <c r="I883" s="6">
        <f>MONTH(Consulta2[[#This Row],[DATA]])</f>
        <v>5</v>
      </c>
      <c r="J883" t="str">
        <f>CONCATENATE(Consulta2[[#This Row],[SAFRA]],Consulta2[[#This Row],[dia]])</f>
        <v>20260531</v>
      </c>
      <c r="K883">
        <f>Consulta2[[#This Row],[DIA_UTIL_CORRENTE]]</f>
        <v>20</v>
      </c>
    </row>
    <row r="884" spans="1:11" x14ac:dyDescent="0.25">
      <c r="A884">
        <v>202606</v>
      </c>
      <c r="B884">
        <v>1</v>
      </c>
      <c r="C884" s="148">
        <v>46174</v>
      </c>
      <c r="D884">
        <v>21</v>
      </c>
      <c r="E884">
        <v>21</v>
      </c>
      <c r="F884">
        <v>608</v>
      </c>
      <c r="G884">
        <f>Consulta2[[#This Row],[DIA_UTIL_CORRENTE]]</f>
        <v>1</v>
      </c>
      <c r="H884" s="6">
        <f>DAY(Consulta2[[#This Row],[DATA]])</f>
        <v>1</v>
      </c>
      <c r="I884" s="6">
        <f>MONTH(Consulta2[[#This Row],[DATA]])</f>
        <v>6</v>
      </c>
      <c r="J884" t="str">
        <f>CONCATENATE(Consulta2[[#This Row],[SAFRA]],Consulta2[[#This Row],[dia]])</f>
        <v>2026061</v>
      </c>
      <c r="K884">
        <f>Consulta2[[#This Row],[DIA_UTIL_CORRENTE]]</f>
        <v>1</v>
      </c>
    </row>
    <row r="885" spans="1:11" x14ac:dyDescent="0.25">
      <c r="A885">
        <v>202606</v>
      </c>
      <c r="B885">
        <v>2</v>
      </c>
      <c r="C885" s="148">
        <v>46175</v>
      </c>
      <c r="D885">
        <v>21</v>
      </c>
      <c r="E885">
        <v>21</v>
      </c>
      <c r="F885">
        <v>609</v>
      </c>
      <c r="G885">
        <f>Consulta2[[#This Row],[DIA_UTIL_CORRENTE]]</f>
        <v>2</v>
      </c>
      <c r="H885" s="6">
        <f>DAY(Consulta2[[#This Row],[DATA]])</f>
        <v>2</v>
      </c>
      <c r="I885" s="6">
        <f>MONTH(Consulta2[[#This Row],[DATA]])</f>
        <v>6</v>
      </c>
      <c r="J885" t="str">
        <f>CONCATENATE(Consulta2[[#This Row],[SAFRA]],Consulta2[[#This Row],[dia]])</f>
        <v>2026062</v>
      </c>
      <c r="K885">
        <f>Consulta2[[#This Row],[DIA_UTIL_CORRENTE]]</f>
        <v>2</v>
      </c>
    </row>
    <row r="886" spans="1:11" x14ac:dyDescent="0.25">
      <c r="A886">
        <v>202606</v>
      </c>
      <c r="B886">
        <v>3</v>
      </c>
      <c r="C886" s="148">
        <v>46176</v>
      </c>
      <c r="D886">
        <v>21</v>
      </c>
      <c r="E886">
        <v>21</v>
      </c>
      <c r="F886">
        <v>610</v>
      </c>
      <c r="G886">
        <f>Consulta2[[#This Row],[DIA_UTIL_CORRENTE]]</f>
        <v>3</v>
      </c>
      <c r="H886" s="6">
        <f>DAY(Consulta2[[#This Row],[DATA]])</f>
        <v>3</v>
      </c>
      <c r="I886" s="6">
        <f>MONTH(Consulta2[[#This Row],[DATA]])</f>
        <v>6</v>
      </c>
      <c r="J886" t="str">
        <f>CONCATENATE(Consulta2[[#This Row],[SAFRA]],Consulta2[[#This Row],[dia]])</f>
        <v>2026063</v>
      </c>
      <c r="K886">
        <f>Consulta2[[#This Row],[DIA_UTIL_CORRENTE]]</f>
        <v>3</v>
      </c>
    </row>
    <row r="887" spans="1:11" x14ac:dyDescent="0.25">
      <c r="A887">
        <v>202606</v>
      </c>
      <c r="B887">
        <v>3</v>
      </c>
      <c r="C887" s="148">
        <v>46177</v>
      </c>
      <c r="D887">
        <v>21</v>
      </c>
      <c r="E887">
        <v>21</v>
      </c>
      <c r="F887">
        <v>610</v>
      </c>
      <c r="G887">
        <f>Consulta2[[#This Row],[DIA_UTIL_CORRENTE]]</f>
        <v>3</v>
      </c>
      <c r="H887" s="6">
        <f>DAY(Consulta2[[#This Row],[DATA]])</f>
        <v>4</v>
      </c>
      <c r="I887" s="6">
        <f>MONTH(Consulta2[[#This Row],[DATA]])</f>
        <v>6</v>
      </c>
      <c r="J887" t="str">
        <f>CONCATENATE(Consulta2[[#This Row],[SAFRA]],Consulta2[[#This Row],[dia]])</f>
        <v>2026064</v>
      </c>
      <c r="K887">
        <f>Consulta2[[#This Row],[DIA_UTIL_CORRENTE]]</f>
        <v>3</v>
      </c>
    </row>
    <row r="888" spans="1:11" x14ac:dyDescent="0.25">
      <c r="A888">
        <v>202606</v>
      </c>
      <c r="B888">
        <v>4</v>
      </c>
      <c r="C888" s="148">
        <v>46178</v>
      </c>
      <c r="D888">
        <v>21</v>
      </c>
      <c r="E888">
        <v>21</v>
      </c>
      <c r="F888">
        <v>611</v>
      </c>
      <c r="G888">
        <f>Consulta2[[#This Row],[DIA_UTIL_CORRENTE]]</f>
        <v>4</v>
      </c>
      <c r="H888" s="6">
        <f>DAY(Consulta2[[#This Row],[DATA]])</f>
        <v>5</v>
      </c>
      <c r="I888" s="6">
        <f>MONTH(Consulta2[[#This Row],[DATA]])</f>
        <v>6</v>
      </c>
      <c r="J888" t="str">
        <f>CONCATENATE(Consulta2[[#This Row],[SAFRA]],Consulta2[[#This Row],[dia]])</f>
        <v>2026065</v>
      </c>
      <c r="K888">
        <f>Consulta2[[#This Row],[DIA_UTIL_CORRENTE]]</f>
        <v>4</v>
      </c>
    </row>
    <row r="889" spans="1:11" x14ac:dyDescent="0.25">
      <c r="A889">
        <v>202606</v>
      </c>
      <c r="B889">
        <v>4</v>
      </c>
      <c r="C889" s="148">
        <v>46179</v>
      </c>
      <c r="D889">
        <v>21</v>
      </c>
      <c r="E889">
        <v>21</v>
      </c>
      <c r="F889">
        <v>611</v>
      </c>
      <c r="G889">
        <f>Consulta2[[#This Row],[DIA_UTIL_CORRENTE]]</f>
        <v>4</v>
      </c>
      <c r="H889" s="6">
        <f>DAY(Consulta2[[#This Row],[DATA]])</f>
        <v>6</v>
      </c>
      <c r="I889" s="6">
        <f>MONTH(Consulta2[[#This Row],[DATA]])</f>
        <v>6</v>
      </c>
      <c r="J889" t="str">
        <f>CONCATENATE(Consulta2[[#This Row],[SAFRA]],Consulta2[[#This Row],[dia]])</f>
        <v>2026066</v>
      </c>
      <c r="K889">
        <f>Consulta2[[#This Row],[DIA_UTIL_CORRENTE]]</f>
        <v>4</v>
      </c>
    </row>
    <row r="890" spans="1:11" x14ac:dyDescent="0.25">
      <c r="A890">
        <v>202606</v>
      </c>
      <c r="B890">
        <v>4</v>
      </c>
      <c r="C890" s="148">
        <v>46180</v>
      </c>
      <c r="D890">
        <v>21</v>
      </c>
      <c r="E890">
        <v>21</v>
      </c>
      <c r="F890">
        <v>611</v>
      </c>
      <c r="G890">
        <f>Consulta2[[#This Row],[DIA_UTIL_CORRENTE]]</f>
        <v>4</v>
      </c>
      <c r="H890" s="6">
        <f>DAY(Consulta2[[#This Row],[DATA]])</f>
        <v>7</v>
      </c>
      <c r="I890" s="6">
        <f>MONTH(Consulta2[[#This Row],[DATA]])</f>
        <v>6</v>
      </c>
      <c r="J890" t="str">
        <f>CONCATENATE(Consulta2[[#This Row],[SAFRA]],Consulta2[[#This Row],[dia]])</f>
        <v>2026067</v>
      </c>
      <c r="K890">
        <f>Consulta2[[#This Row],[DIA_UTIL_CORRENTE]]</f>
        <v>4</v>
      </c>
    </row>
    <row r="891" spans="1:11" x14ac:dyDescent="0.25">
      <c r="A891">
        <v>202606</v>
      </c>
      <c r="B891">
        <v>5</v>
      </c>
      <c r="C891" s="148">
        <v>46181</v>
      </c>
      <c r="D891">
        <v>21</v>
      </c>
      <c r="E891">
        <v>21</v>
      </c>
      <c r="F891">
        <v>612</v>
      </c>
      <c r="G891">
        <f>Consulta2[[#This Row],[DIA_UTIL_CORRENTE]]</f>
        <v>5</v>
      </c>
      <c r="H891" s="6">
        <f>DAY(Consulta2[[#This Row],[DATA]])</f>
        <v>8</v>
      </c>
      <c r="I891" s="6">
        <f>MONTH(Consulta2[[#This Row],[DATA]])</f>
        <v>6</v>
      </c>
      <c r="J891" t="str">
        <f>CONCATENATE(Consulta2[[#This Row],[SAFRA]],Consulta2[[#This Row],[dia]])</f>
        <v>2026068</v>
      </c>
      <c r="K891">
        <f>Consulta2[[#This Row],[DIA_UTIL_CORRENTE]]</f>
        <v>5</v>
      </c>
    </row>
    <row r="892" spans="1:11" x14ac:dyDescent="0.25">
      <c r="A892">
        <v>202606</v>
      </c>
      <c r="B892">
        <v>6</v>
      </c>
      <c r="C892" s="148">
        <v>46182</v>
      </c>
      <c r="D892">
        <v>21</v>
      </c>
      <c r="E892">
        <v>21</v>
      </c>
      <c r="F892">
        <v>613</v>
      </c>
      <c r="G892">
        <f>Consulta2[[#This Row],[DIA_UTIL_CORRENTE]]</f>
        <v>6</v>
      </c>
      <c r="H892" s="6">
        <f>DAY(Consulta2[[#This Row],[DATA]])</f>
        <v>9</v>
      </c>
      <c r="I892" s="6">
        <f>MONTH(Consulta2[[#This Row],[DATA]])</f>
        <v>6</v>
      </c>
      <c r="J892" t="str">
        <f>CONCATENATE(Consulta2[[#This Row],[SAFRA]],Consulta2[[#This Row],[dia]])</f>
        <v>2026069</v>
      </c>
      <c r="K892">
        <f>Consulta2[[#This Row],[DIA_UTIL_CORRENTE]]</f>
        <v>6</v>
      </c>
    </row>
    <row r="893" spans="1:11" x14ac:dyDescent="0.25">
      <c r="A893">
        <v>202606</v>
      </c>
      <c r="B893">
        <v>7</v>
      </c>
      <c r="C893" s="148">
        <v>46183</v>
      </c>
      <c r="D893">
        <v>21</v>
      </c>
      <c r="E893">
        <v>21</v>
      </c>
      <c r="F893">
        <v>614</v>
      </c>
      <c r="G893">
        <f>Consulta2[[#This Row],[DIA_UTIL_CORRENTE]]</f>
        <v>7</v>
      </c>
      <c r="H893" s="6">
        <f>DAY(Consulta2[[#This Row],[DATA]])</f>
        <v>10</v>
      </c>
      <c r="I893" s="6">
        <f>MONTH(Consulta2[[#This Row],[DATA]])</f>
        <v>6</v>
      </c>
      <c r="J893" t="str">
        <f>CONCATENATE(Consulta2[[#This Row],[SAFRA]],Consulta2[[#This Row],[dia]])</f>
        <v>20260610</v>
      </c>
      <c r="K893">
        <f>Consulta2[[#This Row],[DIA_UTIL_CORRENTE]]</f>
        <v>7</v>
      </c>
    </row>
    <row r="894" spans="1:11" x14ac:dyDescent="0.25">
      <c r="A894">
        <v>202606</v>
      </c>
      <c r="B894">
        <v>8</v>
      </c>
      <c r="C894" s="148">
        <v>46184</v>
      </c>
      <c r="D894">
        <v>21</v>
      </c>
      <c r="E894">
        <v>21</v>
      </c>
      <c r="F894">
        <v>615</v>
      </c>
      <c r="G894">
        <f>Consulta2[[#This Row],[DIA_UTIL_CORRENTE]]</f>
        <v>8</v>
      </c>
      <c r="H894" s="6">
        <f>DAY(Consulta2[[#This Row],[DATA]])</f>
        <v>11</v>
      </c>
      <c r="I894" s="6">
        <f>MONTH(Consulta2[[#This Row],[DATA]])</f>
        <v>6</v>
      </c>
      <c r="J894" t="str">
        <f>CONCATENATE(Consulta2[[#This Row],[SAFRA]],Consulta2[[#This Row],[dia]])</f>
        <v>20260611</v>
      </c>
      <c r="K894">
        <f>Consulta2[[#This Row],[DIA_UTIL_CORRENTE]]</f>
        <v>8</v>
      </c>
    </row>
    <row r="895" spans="1:11" x14ac:dyDescent="0.25">
      <c r="A895">
        <v>202606</v>
      </c>
      <c r="B895">
        <v>9</v>
      </c>
      <c r="C895" s="148">
        <v>46185</v>
      </c>
      <c r="D895">
        <v>21</v>
      </c>
      <c r="E895">
        <v>21</v>
      </c>
      <c r="F895">
        <v>616</v>
      </c>
      <c r="G895">
        <f>Consulta2[[#This Row],[DIA_UTIL_CORRENTE]]</f>
        <v>9</v>
      </c>
      <c r="H895" s="6">
        <f>DAY(Consulta2[[#This Row],[DATA]])</f>
        <v>12</v>
      </c>
      <c r="I895" s="6">
        <f>MONTH(Consulta2[[#This Row],[DATA]])</f>
        <v>6</v>
      </c>
      <c r="J895" t="str">
        <f>CONCATENATE(Consulta2[[#This Row],[SAFRA]],Consulta2[[#This Row],[dia]])</f>
        <v>20260612</v>
      </c>
      <c r="K895">
        <f>Consulta2[[#This Row],[DIA_UTIL_CORRENTE]]</f>
        <v>9</v>
      </c>
    </row>
    <row r="896" spans="1:11" x14ac:dyDescent="0.25">
      <c r="A896">
        <v>202606</v>
      </c>
      <c r="B896">
        <v>9</v>
      </c>
      <c r="C896" s="148">
        <v>46186</v>
      </c>
      <c r="D896">
        <v>21</v>
      </c>
      <c r="E896">
        <v>21</v>
      </c>
      <c r="F896">
        <v>616</v>
      </c>
      <c r="G896">
        <f>Consulta2[[#This Row],[DIA_UTIL_CORRENTE]]</f>
        <v>9</v>
      </c>
      <c r="H896" s="6">
        <f>DAY(Consulta2[[#This Row],[DATA]])</f>
        <v>13</v>
      </c>
      <c r="I896" s="6">
        <f>MONTH(Consulta2[[#This Row],[DATA]])</f>
        <v>6</v>
      </c>
      <c r="J896" t="str">
        <f>CONCATENATE(Consulta2[[#This Row],[SAFRA]],Consulta2[[#This Row],[dia]])</f>
        <v>20260613</v>
      </c>
      <c r="K896">
        <f>Consulta2[[#This Row],[DIA_UTIL_CORRENTE]]</f>
        <v>9</v>
      </c>
    </row>
    <row r="897" spans="1:11" x14ac:dyDescent="0.25">
      <c r="A897">
        <v>202606</v>
      </c>
      <c r="B897">
        <v>9</v>
      </c>
      <c r="C897" s="148">
        <v>46187</v>
      </c>
      <c r="D897">
        <v>21</v>
      </c>
      <c r="E897">
        <v>21</v>
      </c>
      <c r="F897">
        <v>616</v>
      </c>
      <c r="G897">
        <f>Consulta2[[#This Row],[DIA_UTIL_CORRENTE]]</f>
        <v>9</v>
      </c>
      <c r="H897" s="6">
        <f>DAY(Consulta2[[#This Row],[DATA]])</f>
        <v>14</v>
      </c>
      <c r="I897" s="6">
        <f>MONTH(Consulta2[[#This Row],[DATA]])</f>
        <v>6</v>
      </c>
      <c r="J897" t="str">
        <f>CONCATENATE(Consulta2[[#This Row],[SAFRA]],Consulta2[[#This Row],[dia]])</f>
        <v>20260614</v>
      </c>
      <c r="K897">
        <f>Consulta2[[#This Row],[DIA_UTIL_CORRENTE]]</f>
        <v>9</v>
      </c>
    </row>
    <row r="898" spans="1:11" x14ac:dyDescent="0.25">
      <c r="A898">
        <v>202606</v>
      </c>
      <c r="B898">
        <v>10</v>
      </c>
      <c r="C898" s="148">
        <v>46188</v>
      </c>
      <c r="D898">
        <v>21</v>
      </c>
      <c r="E898">
        <v>21</v>
      </c>
      <c r="F898">
        <v>617</v>
      </c>
      <c r="G898">
        <f>Consulta2[[#This Row],[DIA_UTIL_CORRENTE]]</f>
        <v>10</v>
      </c>
      <c r="H898" s="6">
        <f>DAY(Consulta2[[#This Row],[DATA]])</f>
        <v>15</v>
      </c>
      <c r="I898" s="6">
        <f>MONTH(Consulta2[[#This Row],[DATA]])</f>
        <v>6</v>
      </c>
      <c r="J898" t="str">
        <f>CONCATENATE(Consulta2[[#This Row],[SAFRA]],Consulta2[[#This Row],[dia]])</f>
        <v>20260615</v>
      </c>
      <c r="K898">
        <f>Consulta2[[#This Row],[DIA_UTIL_CORRENTE]]</f>
        <v>10</v>
      </c>
    </row>
    <row r="899" spans="1:11" x14ac:dyDescent="0.25">
      <c r="A899">
        <v>202606</v>
      </c>
      <c r="B899">
        <v>11</v>
      </c>
      <c r="C899" s="148">
        <v>46189</v>
      </c>
      <c r="D899">
        <v>21</v>
      </c>
      <c r="E899">
        <v>21</v>
      </c>
      <c r="F899">
        <v>618</v>
      </c>
      <c r="G899">
        <f>Consulta2[[#This Row],[DIA_UTIL_CORRENTE]]</f>
        <v>11</v>
      </c>
      <c r="H899" s="6">
        <f>DAY(Consulta2[[#This Row],[DATA]])</f>
        <v>16</v>
      </c>
      <c r="I899" s="6">
        <f>MONTH(Consulta2[[#This Row],[DATA]])</f>
        <v>6</v>
      </c>
      <c r="J899" t="str">
        <f>CONCATENATE(Consulta2[[#This Row],[SAFRA]],Consulta2[[#This Row],[dia]])</f>
        <v>20260616</v>
      </c>
      <c r="K899">
        <f>Consulta2[[#This Row],[DIA_UTIL_CORRENTE]]</f>
        <v>11</v>
      </c>
    </row>
    <row r="900" spans="1:11" x14ac:dyDescent="0.25">
      <c r="A900">
        <v>202606</v>
      </c>
      <c r="B900">
        <v>12</v>
      </c>
      <c r="C900" s="148">
        <v>46190</v>
      </c>
      <c r="D900">
        <v>21</v>
      </c>
      <c r="E900">
        <v>21</v>
      </c>
      <c r="F900">
        <v>619</v>
      </c>
      <c r="G900">
        <f>Consulta2[[#This Row],[DIA_UTIL_CORRENTE]]</f>
        <v>12</v>
      </c>
      <c r="H900" s="6">
        <f>DAY(Consulta2[[#This Row],[DATA]])</f>
        <v>17</v>
      </c>
      <c r="I900" s="6">
        <f>MONTH(Consulta2[[#This Row],[DATA]])</f>
        <v>6</v>
      </c>
      <c r="J900" t="str">
        <f>CONCATENATE(Consulta2[[#This Row],[SAFRA]],Consulta2[[#This Row],[dia]])</f>
        <v>20260617</v>
      </c>
      <c r="K900">
        <f>Consulta2[[#This Row],[DIA_UTIL_CORRENTE]]</f>
        <v>12</v>
      </c>
    </row>
    <row r="901" spans="1:11" x14ac:dyDescent="0.25">
      <c r="A901">
        <v>202606</v>
      </c>
      <c r="B901">
        <v>13</v>
      </c>
      <c r="C901" s="148">
        <v>46191</v>
      </c>
      <c r="D901">
        <v>21</v>
      </c>
      <c r="E901">
        <v>21</v>
      </c>
      <c r="F901">
        <v>620</v>
      </c>
      <c r="G901">
        <f>Consulta2[[#This Row],[DIA_UTIL_CORRENTE]]</f>
        <v>13</v>
      </c>
      <c r="H901" s="6">
        <f>DAY(Consulta2[[#This Row],[DATA]])</f>
        <v>18</v>
      </c>
      <c r="I901" s="6">
        <f>MONTH(Consulta2[[#This Row],[DATA]])</f>
        <v>6</v>
      </c>
      <c r="J901" t="str">
        <f>CONCATENATE(Consulta2[[#This Row],[SAFRA]],Consulta2[[#This Row],[dia]])</f>
        <v>20260618</v>
      </c>
      <c r="K901">
        <f>Consulta2[[#This Row],[DIA_UTIL_CORRENTE]]</f>
        <v>13</v>
      </c>
    </row>
    <row r="902" spans="1:11" x14ac:dyDescent="0.25">
      <c r="A902">
        <v>202606</v>
      </c>
      <c r="B902">
        <v>14</v>
      </c>
      <c r="C902" s="148">
        <v>46192</v>
      </c>
      <c r="D902">
        <v>21</v>
      </c>
      <c r="E902">
        <v>21</v>
      </c>
      <c r="F902">
        <v>621</v>
      </c>
      <c r="G902">
        <f>Consulta2[[#This Row],[DIA_UTIL_CORRENTE]]</f>
        <v>14</v>
      </c>
      <c r="H902" s="6">
        <f>DAY(Consulta2[[#This Row],[DATA]])</f>
        <v>19</v>
      </c>
      <c r="I902" s="6">
        <f>MONTH(Consulta2[[#This Row],[DATA]])</f>
        <v>6</v>
      </c>
      <c r="J902" t="str">
        <f>CONCATENATE(Consulta2[[#This Row],[SAFRA]],Consulta2[[#This Row],[dia]])</f>
        <v>20260619</v>
      </c>
      <c r="K902">
        <f>Consulta2[[#This Row],[DIA_UTIL_CORRENTE]]</f>
        <v>14</v>
      </c>
    </row>
    <row r="903" spans="1:11" x14ac:dyDescent="0.25">
      <c r="A903">
        <v>202606</v>
      </c>
      <c r="B903">
        <v>14</v>
      </c>
      <c r="C903" s="148">
        <v>46193</v>
      </c>
      <c r="D903">
        <v>21</v>
      </c>
      <c r="E903">
        <v>21</v>
      </c>
      <c r="F903">
        <v>621</v>
      </c>
      <c r="G903">
        <f>Consulta2[[#This Row],[DIA_UTIL_CORRENTE]]</f>
        <v>14</v>
      </c>
      <c r="H903" s="6">
        <f>DAY(Consulta2[[#This Row],[DATA]])</f>
        <v>20</v>
      </c>
      <c r="I903" s="6">
        <f>MONTH(Consulta2[[#This Row],[DATA]])</f>
        <v>6</v>
      </c>
      <c r="J903" t="str">
        <f>CONCATENATE(Consulta2[[#This Row],[SAFRA]],Consulta2[[#This Row],[dia]])</f>
        <v>20260620</v>
      </c>
      <c r="K903">
        <f>Consulta2[[#This Row],[DIA_UTIL_CORRENTE]]</f>
        <v>14</v>
      </c>
    </row>
    <row r="904" spans="1:11" x14ac:dyDescent="0.25">
      <c r="A904">
        <v>202606</v>
      </c>
      <c r="B904">
        <v>14</v>
      </c>
      <c r="C904" s="148">
        <v>46194</v>
      </c>
      <c r="D904">
        <v>21</v>
      </c>
      <c r="E904">
        <v>21</v>
      </c>
      <c r="F904">
        <v>621</v>
      </c>
      <c r="G904">
        <f>Consulta2[[#This Row],[DIA_UTIL_CORRENTE]]</f>
        <v>14</v>
      </c>
      <c r="H904" s="6">
        <f>DAY(Consulta2[[#This Row],[DATA]])</f>
        <v>21</v>
      </c>
      <c r="I904" s="6">
        <f>MONTH(Consulta2[[#This Row],[DATA]])</f>
        <v>6</v>
      </c>
      <c r="J904" t="str">
        <f>CONCATENATE(Consulta2[[#This Row],[SAFRA]],Consulta2[[#This Row],[dia]])</f>
        <v>20260621</v>
      </c>
      <c r="K904">
        <f>Consulta2[[#This Row],[DIA_UTIL_CORRENTE]]</f>
        <v>14</v>
      </c>
    </row>
    <row r="905" spans="1:11" x14ac:dyDescent="0.25">
      <c r="A905">
        <v>202606</v>
      </c>
      <c r="B905">
        <v>15</v>
      </c>
      <c r="C905" s="148">
        <v>46195</v>
      </c>
      <c r="D905">
        <v>21</v>
      </c>
      <c r="E905">
        <v>21</v>
      </c>
      <c r="F905">
        <v>622</v>
      </c>
      <c r="G905">
        <f>Consulta2[[#This Row],[DIA_UTIL_CORRENTE]]</f>
        <v>15</v>
      </c>
      <c r="H905" s="6">
        <f>DAY(Consulta2[[#This Row],[DATA]])</f>
        <v>22</v>
      </c>
      <c r="I905" s="6">
        <f>MONTH(Consulta2[[#This Row],[DATA]])</f>
        <v>6</v>
      </c>
      <c r="J905" t="str">
        <f>CONCATENATE(Consulta2[[#This Row],[SAFRA]],Consulta2[[#This Row],[dia]])</f>
        <v>20260622</v>
      </c>
      <c r="K905">
        <f>Consulta2[[#This Row],[DIA_UTIL_CORRENTE]]</f>
        <v>15</v>
      </c>
    </row>
    <row r="906" spans="1:11" x14ac:dyDescent="0.25">
      <c r="A906">
        <v>202606</v>
      </c>
      <c r="B906">
        <v>16</v>
      </c>
      <c r="C906" s="148">
        <v>46196</v>
      </c>
      <c r="D906">
        <v>21</v>
      </c>
      <c r="E906">
        <v>21</v>
      </c>
      <c r="F906">
        <v>623</v>
      </c>
      <c r="G906">
        <f>Consulta2[[#This Row],[DIA_UTIL_CORRENTE]]</f>
        <v>16</v>
      </c>
      <c r="H906" s="6">
        <f>DAY(Consulta2[[#This Row],[DATA]])</f>
        <v>23</v>
      </c>
      <c r="I906" s="6">
        <f>MONTH(Consulta2[[#This Row],[DATA]])</f>
        <v>6</v>
      </c>
      <c r="J906" t="str">
        <f>CONCATENATE(Consulta2[[#This Row],[SAFRA]],Consulta2[[#This Row],[dia]])</f>
        <v>20260623</v>
      </c>
      <c r="K906">
        <f>Consulta2[[#This Row],[DIA_UTIL_CORRENTE]]</f>
        <v>16</v>
      </c>
    </row>
    <row r="907" spans="1:11" x14ac:dyDescent="0.25">
      <c r="A907">
        <v>202606</v>
      </c>
      <c r="B907">
        <v>17</v>
      </c>
      <c r="C907" s="148">
        <v>46197</v>
      </c>
      <c r="D907">
        <v>21</v>
      </c>
      <c r="E907">
        <v>21</v>
      </c>
      <c r="F907">
        <v>624</v>
      </c>
      <c r="G907">
        <f>Consulta2[[#This Row],[DIA_UTIL_CORRENTE]]</f>
        <v>17</v>
      </c>
      <c r="H907" s="6">
        <f>DAY(Consulta2[[#This Row],[DATA]])</f>
        <v>24</v>
      </c>
      <c r="I907" s="6">
        <f>MONTH(Consulta2[[#This Row],[DATA]])</f>
        <v>6</v>
      </c>
      <c r="J907" t="str">
        <f>CONCATENATE(Consulta2[[#This Row],[SAFRA]],Consulta2[[#This Row],[dia]])</f>
        <v>20260624</v>
      </c>
      <c r="K907">
        <f>Consulta2[[#This Row],[DIA_UTIL_CORRENTE]]</f>
        <v>17</v>
      </c>
    </row>
    <row r="908" spans="1:11" x14ac:dyDescent="0.25">
      <c r="A908">
        <v>202606</v>
      </c>
      <c r="B908">
        <v>18</v>
      </c>
      <c r="C908" s="148">
        <v>46198</v>
      </c>
      <c r="D908">
        <v>21</v>
      </c>
      <c r="E908">
        <v>21</v>
      </c>
      <c r="F908">
        <v>625</v>
      </c>
      <c r="G908">
        <f>Consulta2[[#This Row],[DIA_UTIL_CORRENTE]]</f>
        <v>18</v>
      </c>
      <c r="H908" s="6">
        <f>DAY(Consulta2[[#This Row],[DATA]])</f>
        <v>25</v>
      </c>
      <c r="I908" s="6">
        <f>MONTH(Consulta2[[#This Row],[DATA]])</f>
        <v>6</v>
      </c>
      <c r="J908" t="str">
        <f>CONCATENATE(Consulta2[[#This Row],[SAFRA]],Consulta2[[#This Row],[dia]])</f>
        <v>20260625</v>
      </c>
      <c r="K908">
        <f>Consulta2[[#This Row],[DIA_UTIL_CORRENTE]]</f>
        <v>18</v>
      </c>
    </row>
    <row r="909" spans="1:11" x14ac:dyDescent="0.25">
      <c r="A909">
        <v>202606</v>
      </c>
      <c r="B909">
        <v>19</v>
      </c>
      <c r="C909" s="148">
        <v>46199</v>
      </c>
      <c r="D909">
        <v>21</v>
      </c>
      <c r="E909">
        <v>21</v>
      </c>
      <c r="F909">
        <v>626</v>
      </c>
      <c r="G909">
        <f>Consulta2[[#This Row],[DIA_UTIL_CORRENTE]]</f>
        <v>19</v>
      </c>
      <c r="H909" s="6">
        <f>DAY(Consulta2[[#This Row],[DATA]])</f>
        <v>26</v>
      </c>
      <c r="I909" s="6">
        <f>MONTH(Consulta2[[#This Row],[DATA]])</f>
        <v>6</v>
      </c>
      <c r="J909" t="str">
        <f>CONCATENATE(Consulta2[[#This Row],[SAFRA]],Consulta2[[#This Row],[dia]])</f>
        <v>20260626</v>
      </c>
      <c r="K909">
        <f>Consulta2[[#This Row],[DIA_UTIL_CORRENTE]]</f>
        <v>19</v>
      </c>
    </row>
    <row r="910" spans="1:11" x14ac:dyDescent="0.25">
      <c r="A910">
        <v>202606</v>
      </c>
      <c r="B910">
        <v>19</v>
      </c>
      <c r="C910" s="148">
        <v>46200</v>
      </c>
      <c r="D910">
        <v>21</v>
      </c>
      <c r="E910">
        <v>21</v>
      </c>
      <c r="F910">
        <v>626</v>
      </c>
      <c r="G910">
        <f>Consulta2[[#This Row],[DIA_UTIL_CORRENTE]]</f>
        <v>19</v>
      </c>
      <c r="H910" s="6">
        <f>DAY(Consulta2[[#This Row],[DATA]])</f>
        <v>27</v>
      </c>
      <c r="I910" s="6">
        <f>MONTH(Consulta2[[#This Row],[DATA]])</f>
        <v>6</v>
      </c>
      <c r="J910" t="str">
        <f>CONCATENATE(Consulta2[[#This Row],[SAFRA]],Consulta2[[#This Row],[dia]])</f>
        <v>20260627</v>
      </c>
      <c r="K910">
        <f>Consulta2[[#This Row],[DIA_UTIL_CORRENTE]]</f>
        <v>19</v>
      </c>
    </row>
    <row r="911" spans="1:11" x14ac:dyDescent="0.25">
      <c r="A911">
        <v>202606</v>
      </c>
      <c r="B911">
        <v>19</v>
      </c>
      <c r="C911" s="148">
        <v>46201</v>
      </c>
      <c r="D911">
        <v>21</v>
      </c>
      <c r="E911">
        <v>21</v>
      </c>
      <c r="F911">
        <v>626</v>
      </c>
      <c r="G911">
        <f>Consulta2[[#This Row],[DIA_UTIL_CORRENTE]]</f>
        <v>19</v>
      </c>
      <c r="H911" s="6">
        <f>DAY(Consulta2[[#This Row],[DATA]])</f>
        <v>28</v>
      </c>
      <c r="I911" s="6">
        <f>MONTH(Consulta2[[#This Row],[DATA]])</f>
        <v>6</v>
      </c>
      <c r="J911" t="str">
        <f>CONCATENATE(Consulta2[[#This Row],[SAFRA]],Consulta2[[#This Row],[dia]])</f>
        <v>20260628</v>
      </c>
      <c r="K911">
        <f>Consulta2[[#This Row],[DIA_UTIL_CORRENTE]]</f>
        <v>19</v>
      </c>
    </row>
    <row r="912" spans="1:11" x14ac:dyDescent="0.25">
      <c r="A912">
        <v>202606</v>
      </c>
      <c r="B912">
        <v>20</v>
      </c>
      <c r="C912" s="148">
        <v>46202</v>
      </c>
      <c r="D912">
        <v>21</v>
      </c>
      <c r="E912">
        <v>21</v>
      </c>
      <c r="F912">
        <v>627</v>
      </c>
      <c r="G912">
        <f>Consulta2[[#This Row],[DIA_UTIL_CORRENTE]]</f>
        <v>20</v>
      </c>
      <c r="H912" s="6">
        <f>DAY(Consulta2[[#This Row],[DATA]])</f>
        <v>29</v>
      </c>
      <c r="I912" s="6">
        <f>MONTH(Consulta2[[#This Row],[DATA]])</f>
        <v>6</v>
      </c>
      <c r="J912" t="str">
        <f>CONCATENATE(Consulta2[[#This Row],[SAFRA]],Consulta2[[#This Row],[dia]])</f>
        <v>20260629</v>
      </c>
      <c r="K912">
        <f>Consulta2[[#This Row],[DIA_UTIL_CORRENTE]]</f>
        <v>20</v>
      </c>
    </row>
    <row r="913" spans="1:11" x14ac:dyDescent="0.25">
      <c r="A913">
        <v>202606</v>
      </c>
      <c r="B913">
        <v>21</v>
      </c>
      <c r="C913" s="148">
        <v>46203</v>
      </c>
      <c r="D913">
        <v>21</v>
      </c>
      <c r="E913">
        <v>21</v>
      </c>
      <c r="F913">
        <v>628</v>
      </c>
      <c r="G913">
        <f>Consulta2[[#This Row],[DIA_UTIL_CORRENTE]]</f>
        <v>21</v>
      </c>
      <c r="H913" s="6">
        <f>DAY(Consulta2[[#This Row],[DATA]])</f>
        <v>30</v>
      </c>
      <c r="I913" s="6">
        <f>MONTH(Consulta2[[#This Row],[DATA]])</f>
        <v>6</v>
      </c>
      <c r="J913" t="str">
        <f>CONCATENATE(Consulta2[[#This Row],[SAFRA]],Consulta2[[#This Row],[dia]])</f>
        <v>20260630</v>
      </c>
      <c r="K913">
        <f>Consulta2[[#This Row],[DIA_UTIL_CORRENTE]]</f>
        <v>21</v>
      </c>
    </row>
    <row r="914" spans="1:11" x14ac:dyDescent="0.25">
      <c r="A914">
        <v>202607</v>
      </c>
      <c r="B914">
        <v>1</v>
      </c>
      <c r="C914" s="148">
        <v>46204</v>
      </c>
      <c r="D914">
        <v>23</v>
      </c>
      <c r="E914">
        <v>23</v>
      </c>
      <c r="F914">
        <v>629</v>
      </c>
      <c r="G914">
        <f>Consulta2[[#This Row],[DIA_UTIL_CORRENTE]]</f>
        <v>1</v>
      </c>
      <c r="H914" s="6">
        <f>DAY(Consulta2[[#This Row],[DATA]])</f>
        <v>1</v>
      </c>
      <c r="I914" s="6">
        <f>MONTH(Consulta2[[#This Row],[DATA]])</f>
        <v>7</v>
      </c>
      <c r="J914" t="str">
        <f>CONCATENATE(Consulta2[[#This Row],[SAFRA]],Consulta2[[#This Row],[dia]])</f>
        <v>2026071</v>
      </c>
      <c r="K914">
        <f>Consulta2[[#This Row],[DIA_UTIL_CORRENTE]]</f>
        <v>1</v>
      </c>
    </row>
    <row r="915" spans="1:11" x14ac:dyDescent="0.25">
      <c r="A915">
        <v>202607</v>
      </c>
      <c r="B915">
        <v>2</v>
      </c>
      <c r="C915" s="148">
        <v>46205</v>
      </c>
      <c r="D915">
        <v>23</v>
      </c>
      <c r="E915">
        <v>23</v>
      </c>
      <c r="F915">
        <v>630</v>
      </c>
      <c r="G915">
        <f>Consulta2[[#This Row],[DIA_UTIL_CORRENTE]]</f>
        <v>2</v>
      </c>
      <c r="H915" s="6">
        <f>DAY(Consulta2[[#This Row],[DATA]])</f>
        <v>2</v>
      </c>
      <c r="I915" s="6">
        <f>MONTH(Consulta2[[#This Row],[DATA]])</f>
        <v>7</v>
      </c>
      <c r="J915" t="str">
        <f>CONCATENATE(Consulta2[[#This Row],[SAFRA]],Consulta2[[#This Row],[dia]])</f>
        <v>2026072</v>
      </c>
      <c r="K915">
        <f>Consulta2[[#This Row],[DIA_UTIL_CORRENTE]]</f>
        <v>2</v>
      </c>
    </row>
    <row r="916" spans="1:11" x14ac:dyDescent="0.25">
      <c r="A916">
        <v>202607</v>
      </c>
      <c r="B916">
        <v>3</v>
      </c>
      <c r="C916" s="148">
        <v>46206</v>
      </c>
      <c r="D916">
        <v>23</v>
      </c>
      <c r="E916">
        <v>23</v>
      </c>
      <c r="F916">
        <v>631</v>
      </c>
      <c r="G916">
        <f>Consulta2[[#This Row],[DIA_UTIL_CORRENTE]]</f>
        <v>3</v>
      </c>
      <c r="H916" s="6">
        <f>DAY(Consulta2[[#This Row],[DATA]])</f>
        <v>3</v>
      </c>
      <c r="I916" s="6">
        <f>MONTH(Consulta2[[#This Row],[DATA]])</f>
        <v>7</v>
      </c>
      <c r="J916" t="str">
        <f>CONCATENATE(Consulta2[[#This Row],[SAFRA]],Consulta2[[#This Row],[dia]])</f>
        <v>2026073</v>
      </c>
      <c r="K916">
        <f>Consulta2[[#This Row],[DIA_UTIL_CORRENTE]]</f>
        <v>3</v>
      </c>
    </row>
    <row r="917" spans="1:11" x14ac:dyDescent="0.25">
      <c r="A917">
        <v>202607</v>
      </c>
      <c r="B917">
        <v>3</v>
      </c>
      <c r="C917" s="148">
        <v>46207</v>
      </c>
      <c r="D917">
        <v>23</v>
      </c>
      <c r="E917">
        <v>23</v>
      </c>
      <c r="F917">
        <v>631</v>
      </c>
      <c r="G917">
        <f>Consulta2[[#This Row],[DIA_UTIL_CORRENTE]]</f>
        <v>3</v>
      </c>
      <c r="H917" s="6">
        <f>DAY(Consulta2[[#This Row],[DATA]])</f>
        <v>4</v>
      </c>
      <c r="I917" s="6">
        <f>MONTH(Consulta2[[#This Row],[DATA]])</f>
        <v>7</v>
      </c>
      <c r="J917" t="str">
        <f>CONCATENATE(Consulta2[[#This Row],[SAFRA]],Consulta2[[#This Row],[dia]])</f>
        <v>2026074</v>
      </c>
      <c r="K917">
        <f>Consulta2[[#This Row],[DIA_UTIL_CORRENTE]]</f>
        <v>3</v>
      </c>
    </row>
    <row r="918" spans="1:11" x14ac:dyDescent="0.25">
      <c r="A918">
        <v>202607</v>
      </c>
      <c r="B918">
        <v>3</v>
      </c>
      <c r="C918" s="148">
        <v>46208</v>
      </c>
      <c r="D918">
        <v>23</v>
      </c>
      <c r="E918">
        <v>23</v>
      </c>
      <c r="F918">
        <v>631</v>
      </c>
      <c r="G918">
        <f>Consulta2[[#This Row],[DIA_UTIL_CORRENTE]]</f>
        <v>3</v>
      </c>
      <c r="H918" s="6">
        <f>DAY(Consulta2[[#This Row],[DATA]])</f>
        <v>5</v>
      </c>
      <c r="I918" s="6">
        <f>MONTH(Consulta2[[#This Row],[DATA]])</f>
        <v>7</v>
      </c>
      <c r="J918" t="str">
        <f>CONCATENATE(Consulta2[[#This Row],[SAFRA]],Consulta2[[#This Row],[dia]])</f>
        <v>2026075</v>
      </c>
      <c r="K918">
        <f>Consulta2[[#This Row],[DIA_UTIL_CORRENTE]]</f>
        <v>3</v>
      </c>
    </row>
    <row r="919" spans="1:11" x14ac:dyDescent="0.25">
      <c r="A919">
        <v>202607</v>
      </c>
      <c r="B919">
        <v>4</v>
      </c>
      <c r="C919" s="148">
        <v>46209</v>
      </c>
      <c r="D919">
        <v>23</v>
      </c>
      <c r="E919">
        <v>23</v>
      </c>
      <c r="F919">
        <v>632</v>
      </c>
      <c r="G919">
        <f>Consulta2[[#This Row],[DIA_UTIL_CORRENTE]]</f>
        <v>4</v>
      </c>
      <c r="H919" s="6">
        <f>DAY(Consulta2[[#This Row],[DATA]])</f>
        <v>6</v>
      </c>
      <c r="I919" s="6">
        <f>MONTH(Consulta2[[#This Row],[DATA]])</f>
        <v>7</v>
      </c>
      <c r="J919" t="str">
        <f>CONCATENATE(Consulta2[[#This Row],[SAFRA]],Consulta2[[#This Row],[dia]])</f>
        <v>2026076</v>
      </c>
      <c r="K919">
        <f>Consulta2[[#This Row],[DIA_UTIL_CORRENTE]]</f>
        <v>4</v>
      </c>
    </row>
    <row r="920" spans="1:11" x14ac:dyDescent="0.25">
      <c r="A920">
        <v>202607</v>
      </c>
      <c r="B920">
        <v>5</v>
      </c>
      <c r="C920" s="148">
        <v>46210</v>
      </c>
      <c r="D920">
        <v>23</v>
      </c>
      <c r="E920">
        <v>23</v>
      </c>
      <c r="F920">
        <v>633</v>
      </c>
      <c r="G920">
        <f>Consulta2[[#This Row],[DIA_UTIL_CORRENTE]]</f>
        <v>5</v>
      </c>
      <c r="H920" s="6">
        <f>DAY(Consulta2[[#This Row],[DATA]])</f>
        <v>7</v>
      </c>
      <c r="I920" s="6">
        <f>MONTH(Consulta2[[#This Row],[DATA]])</f>
        <v>7</v>
      </c>
      <c r="J920" t="str">
        <f>CONCATENATE(Consulta2[[#This Row],[SAFRA]],Consulta2[[#This Row],[dia]])</f>
        <v>2026077</v>
      </c>
      <c r="K920">
        <f>Consulta2[[#This Row],[DIA_UTIL_CORRENTE]]</f>
        <v>5</v>
      </c>
    </row>
    <row r="921" spans="1:11" x14ac:dyDescent="0.25">
      <c r="A921">
        <v>202607</v>
      </c>
      <c r="B921">
        <v>6</v>
      </c>
      <c r="C921" s="148">
        <v>46211</v>
      </c>
      <c r="D921">
        <v>23</v>
      </c>
      <c r="E921">
        <v>23</v>
      </c>
      <c r="F921">
        <v>634</v>
      </c>
      <c r="G921">
        <f>Consulta2[[#This Row],[DIA_UTIL_CORRENTE]]</f>
        <v>6</v>
      </c>
      <c r="H921" s="6">
        <f>DAY(Consulta2[[#This Row],[DATA]])</f>
        <v>8</v>
      </c>
      <c r="I921" s="6">
        <f>MONTH(Consulta2[[#This Row],[DATA]])</f>
        <v>7</v>
      </c>
      <c r="J921" t="str">
        <f>CONCATENATE(Consulta2[[#This Row],[SAFRA]],Consulta2[[#This Row],[dia]])</f>
        <v>2026078</v>
      </c>
      <c r="K921">
        <f>Consulta2[[#This Row],[DIA_UTIL_CORRENTE]]</f>
        <v>6</v>
      </c>
    </row>
    <row r="922" spans="1:11" x14ac:dyDescent="0.25">
      <c r="A922">
        <v>202607</v>
      </c>
      <c r="B922">
        <v>7</v>
      </c>
      <c r="C922" s="148">
        <v>46212</v>
      </c>
      <c r="D922">
        <v>23</v>
      </c>
      <c r="E922">
        <v>23</v>
      </c>
      <c r="F922">
        <v>635</v>
      </c>
      <c r="G922">
        <f>Consulta2[[#This Row],[DIA_UTIL_CORRENTE]]</f>
        <v>7</v>
      </c>
      <c r="H922" s="6">
        <f>DAY(Consulta2[[#This Row],[DATA]])</f>
        <v>9</v>
      </c>
      <c r="I922" s="6">
        <f>MONTH(Consulta2[[#This Row],[DATA]])</f>
        <v>7</v>
      </c>
      <c r="J922" t="str">
        <f>CONCATENATE(Consulta2[[#This Row],[SAFRA]],Consulta2[[#This Row],[dia]])</f>
        <v>2026079</v>
      </c>
      <c r="K922">
        <f>Consulta2[[#This Row],[DIA_UTIL_CORRENTE]]</f>
        <v>7</v>
      </c>
    </row>
    <row r="923" spans="1:11" x14ac:dyDescent="0.25">
      <c r="A923">
        <v>202607</v>
      </c>
      <c r="B923">
        <v>8</v>
      </c>
      <c r="C923" s="148">
        <v>46213</v>
      </c>
      <c r="D923">
        <v>23</v>
      </c>
      <c r="E923">
        <v>23</v>
      </c>
      <c r="F923">
        <v>636</v>
      </c>
      <c r="G923">
        <f>Consulta2[[#This Row],[DIA_UTIL_CORRENTE]]</f>
        <v>8</v>
      </c>
      <c r="H923" s="6">
        <f>DAY(Consulta2[[#This Row],[DATA]])</f>
        <v>10</v>
      </c>
      <c r="I923" s="6">
        <f>MONTH(Consulta2[[#This Row],[DATA]])</f>
        <v>7</v>
      </c>
      <c r="J923" t="str">
        <f>CONCATENATE(Consulta2[[#This Row],[SAFRA]],Consulta2[[#This Row],[dia]])</f>
        <v>20260710</v>
      </c>
      <c r="K923">
        <f>Consulta2[[#This Row],[DIA_UTIL_CORRENTE]]</f>
        <v>8</v>
      </c>
    </row>
    <row r="924" spans="1:11" x14ac:dyDescent="0.25">
      <c r="A924">
        <v>202607</v>
      </c>
      <c r="B924">
        <v>8</v>
      </c>
      <c r="C924" s="148">
        <v>46214</v>
      </c>
      <c r="D924">
        <v>23</v>
      </c>
      <c r="E924">
        <v>23</v>
      </c>
      <c r="F924">
        <v>636</v>
      </c>
      <c r="G924">
        <f>Consulta2[[#This Row],[DIA_UTIL_CORRENTE]]</f>
        <v>8</v>
      </c>
      <c r="H924" s="6">
        <f>DAY(Consulta2[[#This Row],[DATA]])</f>
        <v>11</v>
      </c>
      <c r="I924" s="6">
        <f>MONTH(Consulta2[[#This Row],[DATA]])</f>
        <v>7</v>
      </c>
      <c r="J924" t="str">
        <f>CONCATENATE(Consulta2[[#This Row],[SAFRA]],Consulta2[[#This Row],[dia]])</f>
        <v>20260711</v>
      </c>
      <c r="K924">
        <f>Consulta2[[#This Row],[DIA_UTIL_CORRENTE]]</f>
        <v>8</v>
      </c>
    </row>
    <row r="925" spans="1:11" x14ac:dyDescent="0.25">
      <c r="A925">
        <v>202607</v>
      </c>
      <c r="B925">
        <v>8</v>
      </c>
      <c r="C925" s="148">
        <v>46215</v>
      </c>
      <c r="D925">
        <v>23</v>
      </c>
      <c r="E925">
        <v>23</v>
      </c>
      <c r="F925">
        <v>636</v>
      </c>
      <c r="G925">
        <f>Consulta2[[#This Row],[DIA_UTIL_CORRENTE]]</f>
        <v>8</v>
      </c>
      <c r="H925" s="6">
        <f>DAY(Consulta2[[#This Row],[DATA]])</f>
        <v>12</v>
      </c>
      <c r="I925" s="6">
        <f>MONTH(Consulta2[[#This Row],[DATA]])</f>
        <v>7</v>
      </c>
      <c r="J925" t="str">
        <f>CONCATENATE(Consulta2[[#This Row],[SAFRA]],Consulta2[[#This Row],[dia]])</f>
        <v>20260712</v>
      </c>
      <c r="K925">
        <f>Consulta2[[#This Row],[DIA_UTIL_CORRENTE]]</f>
        <v>8</v>
      </c>
    </row>
    <row r="926" spans="1:11" x14ac:dyDescent="0.25">
      <c r="A926">
        <v>202607</v>
      </c>
      <c r="B926">
        <v>9</v>
      </c>
      <c r="C926" s="148">
        <v>46216</v>
      </c>
      <c r="D926">
        <v>23</v>
      </c>
      <c r="E926">
        <v>23</v>
      </c>
      <c r="F926">
        <v>637</v>
      </c>
      <c r="G926">
        <f>Consulta2[[#This Row],[DIA_UTIL_CORRENTE]]</f>
        <v>9</v>
      </c>
      <c r="H926" s="6">
        <f>DAY(Consulta2[[#This Row],[DATA]])</f>
        <v>13</v>
      </c>
      <c r="I926" s="6">
        <f>MONTH(Consulta2[[#This Row],[DATA]])</f>
        <v>7</v>
      </c>
      <c r="J926" t="str">
        <f>CONCATENATE(Consulta2[[#This Row],[SAFRA]],Consulta2[[#This Row],[dia]])</f>
        <v>20260713</v>
      </c>
      <c r="K926">
        <f>Consulta2[[#This Row],[DIA_UTIL_CORRENTE]]</f>
        <v>9</v>
      </c>
    </row>
    <row r="927" spans="1:11" x14ac:dyDescent="0.25">
      <c r="A927">
        <v>202607</v>
      </c>
      <c r="B927">
        <v>10</v>
      </c>
      <c r="C927" s="148">
        <v>46217</v>
      </c>
      <c r="D927">
        <v>23</v>
      </c>
      <c r="E927">
        <v>23</v>
      </c>
      <c r="F927">
        <v>638</v>
      </c>
      <c r="G927">
        <f>Consulta2[[#This Row],[DIA_UTIL_CORRENTE]]</f>
        <v>10</v>
      </c>
      <c r="H927" s="6">
        <f>DAY(Consulta2[[#This Row],[DATA]])</f>
        <v>14</v>
      </c>
      <c r="I927" s="6">
        <f>MONTH(Consulta2[[#This Row],[DATA]])</f>
        <v>7</v>
      </c>
      <c r="J927" t="str">
        <f>CONCATENATE(Consulta2[[#This Row],[SAFRA]],Consulta2[[#This Row],[dia]])</f>
        <v>20260714</v>
      </c>
      <c r="K927">
        <f>Consulta2[[#This Row],[DIA_UTIL_CORRENTE]]</f>
        <v>10</v>
      </c>
    </row>
    <row r="928" spans="1:11" x14ac:dyDescent="0.25">
      <c r="A928">
        <v>202607</v>
      </c>
      <c r="B928">
        <v>11</v>
      </c>
      <c r="C928" s="148">
        <v>46218</v>
      </c>
      <c r="D928">
        <v>23</v>
      </c>
      <c r="E928">
        <v>23</v>
      </c>
      <c r="F928">
        <v>639</v>
      </c>
      <c r="G928">
        <f>Consulta2[[#This Row],[DIA_UTIL_CORRENTE]]</f>
        <v>11</v>
      </c>
      <c r="H928" s="6">
        <f>DAY(Consulta2[[#This Row],[DATA]])</f>
        <v>15</v>
      </c>
      <c r="I928" s="6">
        <f>MONTH(Consulta2[[#This Row],[DATA]])</f>
        <v>7</v>
      </c>
      <c r="J928" t="str">
        <f>CONCATENATE(Consulta2[[#This Row],[SAFRA]],Consulta2[[#This Row],[dia]])</f>
        <v>20260715</v>
      </c>
      <c r="K928">
        <f>Consulta2[[#This Row],[DIA_UTIL_CORRENTE]]</f>
        <v>11</v>
      </c>
    </row>
    <row r="929" spans="1:11" x14ac:dyDescent="0.25">
      <c r="A929">
        <v>202607</v>
      </c>
      <c r="B929">
        <v>12</v>
      </c>
      <c r="C929" s="148">
        <v>46219</v>
      </c>
      <c r="D929">
        <v>23</v>
      </c>
      <c r="E929">
        <v>23</v>
      </c>
      <c r="F929">
        <v>640</v>
      </c>
      <c r="G929">
        <f>Consulta2[[#This Row],[DIA_UTIL_CORRENTE]]</f>
        <v>12</v>
      </c>
      <c r="H929" s="6">
        <f>DAY(Consulta2[[#This Row],[DATA]])</f>
        <v>16</v>
      </c>
      <c r="I929" s="6">
        <f>MONTH(Consulta2[[#This Row],[DATA]])</f>
        <v>7</v>
      </c>
      <c r="J929" t="str">
        <f>CONCATENATE(Consulta2[[#This Row],[SAFRA]],Consulta2[[#This Row],[dia]])</f>
        <v>20260716</v>
      </c>
      <c r="K929">
        <f>Consulta2[[#This Row],[DIA_UTIL_CORRENTE]]</f>
        <v>12</v>
      </c>
    </row>
    <row r="930" spans="1:11" x14ac:dyDescent="0.25">
      <c r="A930">
        <v>202607</v>
      </c>
      <c r="B930">
        <v>13</v>
      </c>
      <c r="C930" s="148">
        <v>46220</v>
      </c>
      <c r="D930">
        <v>23</v>
      </c>
      <c r="E930">
        <v>23</v>
      </c>
      <c r="F930">
        <v>641</v>
      </c>
      <c r="G930">
        <f>Consulta2[[#This Row],[DIA_UTIL_CORRENTE]]</f>
        <v>13</v>
      </c>
      <c r="H930" s="6">
        <f>DAY(Consulta2[[#This Row],[DATA]])</f>
        <v>17</v>
      </c>
      <c r="I930" s="6">
        <f>MONTH(Consulta2[[#This Row],[DATA]])</f>
        <v>7</v>
      </c>
      <c r="J930" t="str">
        <f>CONCATENATE(Consulta2[[#This Row],[SAFRA]],Consulta2[[#This Row],[dia]])</f>
        <v>20260717</v>
      </c>
      <c r="K930">
        <f>Consulta2[[#This Row],[DIA_UTIL_CORRENTE]]</f>
        <v>13</v>
      </c>
    </row>
    <row r="931" spans="1:11" x14ac:dyDescent="0.25">
      <c r="A931">
        <v>202607</v>
      </c>
      <c r="B931">
        <v>13</v>
      </c>
      <c r="C931" s="148">
        <v>46221</v>
      </c>
      <c r="D931">
        <v>23</v>
      </c>
      <c r="E931">
        <v>23</v>
      </c>
      <c r="F931">
        <v>641</v>
      </c>
      <c r="G931">
        <f>Consulta2[[#This Row],[DIA_UTIL_CORRENTE]]</f>
        <v>13</v>
      </c>
      <c r="H931" s="6">
        <f>DAY(Consulta2[[#This Row],[DATA]])</f>
        <v>18</v>
      </c>
      <c r="I931" s="6">
        <f>MONTH(Consulta2[[#This Row],[DATA]])</f>
        <v>7</v>
      </c>
      <c r="J931" t="str">
        <f>CONCATENATE(Consulta2[[#This Row],[SAFRA]],Consulta2[[#This Row],[dia]])</f>
        <v>20260718</v>
      </c>
      <c r="K931">
        <f>Consulta2[[#This Row],[DIA_UTIL_CORRENTE]]</f>
        <v>13</v>
      </c>
    </row>
    <row r="932" spans="1:11" x14ac:dyDescent="0.25">
      <c r="A932">
        <v>202607</v>
      </c>
      <c r="B932">
        <v>13</v>
      </c>
      <c r="C932" s="148">
        <v>46222</v>
      </c>
      <c r="D932">
        <v>23</v>
      </c>
      <c r="E932">
        <v>23</v>
      </c>
      <c r="F932">
        <v>641</v>
      </c>
      <c r="G932">
        <f>Consulta2[[#This Row],[DIA_UTIL_CORRENTE]]</f>
        <v>13</v>
      </c>
      <c r="H932" s="6">
        <f>DAY(Consulta2[[#This Row],[DATA]])</f>
        <v>19</v>
      </c>
      <c r="I932" s="6">
        <f>MONTH(Consulta2[[#This Row],[DATA]])</f>
        <v>7</v>
      </c>
      <c r="J932" t="str">
        <f>CONCATENATE(Consulta2[[#This Row],[SAFRA]],Consulta2[[#This Row],[dia]])</f>
        <v>20260719</v>
      </c>
      <c r="K932">
        <f>Consulta2[[#This Row],[DIA_UTIL_CORRENTE]]</f>
        <v>13</v>
      </c>
    </row>
    <row r="933" spans="1:11" x14ac:dyDescent="0.25">
      <c r="A933">
        <v>202607</v>
      </c>
      <c r="B933">
        <v>14</v>
      </c>
      <c r="C933" s="148">
        <v>46223</v>
      </c>
      <c r="D933">
        <v>23</v>
      </c>
      <c r="E933">
        <v>23</v>
      </c>
      <c r="F933">
        <v>642</v>
      </c>
      <c r="G933">
        <f>Consulta2[[#This Row],[DIA_UTIL_CORRENTE]]</f>
        <v>14</v>
      </c>
      <c r="H933" s="6">
        <f>DAY(Consulta2[[#This Row],[DATA]])</f>
        <v>20</v>
      </c>
      <c r="I933" s="6">
        <f>MONTH(Consulta2[[#This Row],[DATA]])</f>
        <v>7</v>
      </c>
      <c r="J933" t="str">
        <f>CONCATENATE(Consulta2[[#This Row],[SAFRA]],Consulta2[[#This Row],[dia]])</f>
        <v>20260720</v>
      </c>
      <c r="K933">
        <f>Consulta2[[#This Row],[DIA_UTIL_CORRENTE]]</f>
        <v>14</v>
      </c>
    </row>
    <row r="934" spans="1:11" x14ac:dyDescent="0.25">
      <c r="A934">
        <v>202607</v>
      </c>
      <c r="B934">
        <v>15</v>
      </c>
      <c r="C934" s="148">
        <v>46224</v>
      </c>
      <c r="D934">
        <v>23</v>
      </c>
      <c r="E934">
        <v>23</v>
      </c>
      <c r="F934">
        <v>643</v>
      </c>
      <c r="G934">
        <f>Consulta2[[#This Row],[DIA_UTIL_CORRENTE]]</f>
        <v>15</v>
      </c>
      <c r="H934" s="6">
        <f>DAY(Consulta2[[#This Row],[DATA]])</f>
        <v>21</v>
      </c>
      <c r="I934" s="6">
        <f>MONTH(Consulta2[[#This Row],[DATA]])</f>
        <v>7</v>
      </c>
      <c r="J934" t="str">
        <f>CONCATENATE(Consulta2[[#This Row],[SAFRA]],Consulta2[[#This Row],[dia]])</f>
        <v>20260721</v>
      </c>
      <c r="K934">
        <f>Consulta2[[#This Row],[DIA_UTIL_CORRENTE]]</f>
        <v>15</v>
      </c>
    </row>
    <row r="935" spans="1:11" x14ac:dyDescent="0.25">
      <c r="A935">
        <v>202607</v>
      </c>
      <c r="B935">
        <v>16</v>
      </c>
      <c r="C935" s="148">
        <v>46225</v>
      </c>
      <c r="D935">
        <v>23</v>
      </c>
      <c r="E935">
        <v>23</v>
      </c>
      <c r="F935">
        <v>644</v>
      </c>
      <c r="G935">
        <f>Consulta2[[#This Row],[DIA_UTIL_CORRENTE]]</f>
        <v>16</v>
      </c>
      <c r="H935" s="6">
        <f>DAY(Consulta2[[#This Row],[DATA]])</f>
        <v>22</v>
      </c>
      <c r="I935" s="6">
        <f>MONTH(Consulta2[[#This Row],[DATA]])</f>
        <v>7</v>
      </c>
      <c r="J935" t="str">
        <f>CONCATENATE(Consulta2[[#This Row],[SAFRA]],Consulta2[[#This Row],[dia]])</f>
        <v>20260722</v>
      </c>
      <c r="K935">
        <f>Consulta2[[#This Row],[DIA_UTIL_CORRENTE]]</f>
        <v>16</v>
      </c>
    </row>
    <row r="936" spans="1:11" x14ac:dyDescent="0.25">
      <c r="A936">
        <v>202607</v>
      </c>
      <c r="B936">
        <v>17</v>
      </c>
      <c r="C936" s="148">
        <v>46226</v>
      </c>
      <c r="D936">
        <v>23</v>
      </c>
      <c r="E936">
        <v>23</v>
      </c>
      <c r="F936">
        <v>645</v>
      </c>
      <c r="G936">
        <f>Consulta2[[#This Row],[DIA_UTIL_CORRENTE]]</f>
        <v>17</v>
      </c>
      <c r="H936" s="6">
        <f>DAY(Consulta2[[#This Row],[DATA]])</f>
        <v>23</v>
      </c>
      <c r="I936" s="6">
        <f>MONTH(Consulta2[[#This Row],[DATA]])</f>
        <v>7</v>
      </c>
      <c r="J936" t="str">
        <f>CONCATENATE(Consulta2[[#This Row],[SAFRA]],Consulta2[[#This Row],[dia]])</f>
        <v>20260723</v>
      </c>
      <c r="K936">
        <f>Consulta2[[#This Row],[DIA_UTIL_CORRENTE]]</f>
        <v>17</v>
      </c>
    </row>
    <row r="937" spans="1:11" x14ac:dyDescent="0.25">
      <c r="A937">
        <v>202607</v>
      </c>
      <c r="B937">
        <v>18</v>
      </c>
      <c r="C937" s="148">
        <v>46227</v>
      </c>
      <c r="D937">
        <v>23</v>
      </c>
      <c r="E937">
        <v>23</v>
      </c>
      <c r="F937">
        <v>646</v>
      </c>
      <c r="G937">
        <f>Consulta2[[#This Row],[DIA_UTIL_CORRENTE]]</f>
        <v>18</v>
      </c>
      <c r="H937" s="6">
        <f>DAY(Consulta2[[#This Row],[DATA]])</f>
        <v>24</v>
      </c>
      <c r="I937" s="6">
        <f>MONTH(Consulta2[[#This Row],[DATA]])</f>
        <v>7</v>
      </c>
      <c r="J937" t="str">
        <f>CONCATENATE(Consulta2[[#This Row],[SAFRA]],Consulta2[[#This Row],[dia]])</f>
        <v>20260724</v>
      </c>
      <c r="K937">
        <f>Consulta2[[#This Row],[DIA_UTIL_CORRENTE]]</f>
        <v>18</v>
      </c>
    </row>
    <row r="938" spans="1:11" x14ac:dyDescent="0.25">
      <c r="A938">
        <v>202607</v>
      </c>
      <c r="B938">
        <v>18</v>
      </c>
      <c r="C938" s="148">
        <v>46228</v>
      </c>
      <c r="D938">
        <v>23</v>
      </c>
      <c r="E938">
        <v>23</v>
      </c>
      <c r="F938">
        <v>646</v>
      </c>
      <c r="G938">
        <f>Consulta2[[#This Row],[DIA_UTIL_CORRENTE]]</f>
        <v>18</v>
      </c>
      <c r="H938" s="6">
        <f>DAY(Consulta2[[#This Row],[DATA]])</f>
        <v>25</v>
      </c>
      <c r="I938" s="6">
        <f>MONTH(Consulta2[[#This Row],[DATA]])</f>
        <v>7</v>
      </c>
      <c r="J938" t="str">
        <f>CONCATENATE(Consulta2[[#This Row],[SAFRA]],Consulta2[[#This Row],[dia]])</f>
        <v>20260725</v>
      </c>
      <c r="K938">
        <f>Consulta2[[#This Row],[DIA_UTIL_CORRENTE]]</f>
        <v>18</v>
      </c>
    </row>
    <row r="939" spans="1:11" x14ac:dyDescent="0.25">
      <c r="A939">
        <v>202607</v>
      </c>
      <c r="B939">
        <v>18</v>
      </c>
      <c r="C939" s="148">
        <v>46229</v>
      </c>
      <c r="D939">
        <v>23</v>
      </c>
      <c r="E939">
        <v>23</v>
      </c>
      <c r="F939">
        <v>646</v>
      </c>
      <c r="G939">
        <f>Consulta2[[#This Row],[DIA_UTIL_CORRENTE]]</f>
        <v>18</v>
      </c>
      <c r="H939" s="6">
        <f>DAY(Consulta2[[#This Row],[DATA]])</f>
        <v>26</v>
      </c>
      <c r="I939" s="6">
        <f>MONTH(Consulta2[[#This Row],[DATA]])</f>
        <v>7</v>
      </c>
      <c r="J939" t="str">
        <f>CONCATENATE(Consulta2[[#This Row],[SAFRA]],Consulta2[[#This Row],[dia]])</f>
        <v>20260726</v>
      </c>
      <c r="K939">
        <f>Consulta2[[#This Row],[DIA_UTIL_CORRENTE]]</f>
        <v>18</v>
      </c>
    </row>
    <row r="940" spans="1:11" x14ac:dyDescent="0.25">
      <c r="A940">
        <v>202607</v>
      </c>
      <c r="B940">
        <v>19</v>
      </c>
      <c r="C940" s="148">
        <v>46230</v>
      </c>
      <c r="D940">
        <v>23</v>
      </c>
      <c r="E940">
        <v>23</v>
      </c>
      <c r="F940">
        <v>647</v>
      </c>
      <c r="G940">
        <f>Consulta2[[#This Row],[DIA_UTIL_CORRENTE]]</f>
        <v>19</v>
      </c>
      <c r="H940" s="6">
        <f>DAY(Consulta2[[#This Row],[DATA]])</f>
        <v>27</v>
      </c>
      <c r="I940" s="6">
        <f>MONTH(Consulta2[[#This Row],[DATA]])</f>
        <v>7</v>
      </c>
      <c r="J940" t="str">
        <f>CONCATENATE(Consulta2[[#This Row],[SAFRA]],Consulta2[[#This Row],[dia]])</f>
        <v>20260727</v>
      </c>
      <c r="K940">
        <f>Consulta2[[#This Row],[DIA_UTIL_CORRENTE]]</f>
        <v>19</v>
      </c>
    </row>
    <row r="941" spans="1:11" x14ac:dyDescent="0.25">
      <c r="A941">
        <v>202607</v>
      </c>
      <c r="B941">
        <v>20</v>
      </c>
      <c r="C941" s="148">
        <v>46231</v>
      </c>
      <c r="D941">
        <v>23</v>
      </c>
      <c r="E941">
        <v>23</v>
      </c>
      <c r="F941">
        <v>648</v>
      </c>
      <c r="G941">
        <f>Consulta2[[#This Row],[DIA_UTIL_CORRENTE]]</f>
        <v>20</v>
      </c>
      <c r="H941" s="6">
        <f>DAY(Consulta2[[#This Row],[DATA]])</f>
        <v>28</v>
      </c>
      <c r="I941" s="6">
        <f>MONTH(Consulta2[[#This Row],[DATA]])</f>
        <v>7</v>
      </c>
      <c r="J941" t="str">
        <f>CONCATENATE(Consulta2[[#This Row],[SAFRA]],Consulta2[[#This Row],[dia]])</f>
        <v>20260728</v>
      </c>
      <c r="K941">
        <f>Consulta2[[#This Row],[DIA_UTIL_CORRENTE]]</f>
        <v>20</v>
      </c>
    </row>
    <row r="942" spans="1:11" x14ac:dyDescent="0.25">
      <c r="A942">
        <v>202607</v>
      </c>
      <c r="B942">
        <v>21</v>
      </c>
      <c r="C942" s="148">
        <v>46232</v>
      </c>
      <c r="D942">
        <v>23</v>
      </c>
      <c r="E942">
        <v>23</v>
      </c>
      <c r="F942">
        <v>649</v>
      </c>
      <c r="G942">
        <f>Consulta2[[#This Row],[DIA_UTIL_CORRENTE]]</f>
        <v>21</v>
      </c>
      <c r="H942" s="6">
        <f>DAY(Consulta2[[#This Row],[DATA]])</f>
        <v>29</v>
      </c>
      <c r="I942" s="6">
        <f>MONTH(Consulta2[[#This Row],[DATA]])</f>
        <v>7</v>
      </c>
      <c r="J942" t="str">
        <f>CONCATENATE(Consulta2[[#This Row],[SAFRA]],Consulta2[[#This Row],[dia]])</f>
        <v>20260729</v>
      </c>
      <c r="K942">
        <f>Consulta2[[#This Row],[DIA_UTIL_CORRENTE]]</f>
        <v>21</v>
      </c>
    </row>
    <row r="943" spans="1:11" x14ac:dyDescent="0.25">
      <c r="A943">
        <v>202607</v>
      </c>
      <c r="B943">
        <v>22</v>
      </c>
      <c r="C943" s="148">
        <v>46233</v>
      </c>
      <c r="D943">
        <v>23</v>
      </c>
      <c r="E943">
        <v>23</v>
      </c>
      <c r="F943">
        <v>650</v>
      </c>
      <c r="G943">
        <f>Consulta2[[#This Row],[DIA_UTIL_CORRENTE]]</f>
        <v>22</v>
      </c>
      <c r="H943" s="6">
        <f>DAY(Consulta2[[#This Row],[DATA]])</f>
        <v>30</v>
      </c>
      <c r="I943" s="6">
        <f>MONTH(Consulta2[[#This Row],[DATA]])</f>
        <v>7</v>
      </c>
      <c r="J943" t="str">
        <f>CONCATENATE(Consulta2[[#This Row],[SAFRA]],Consulta2[[#This Row],[dia]])</f>
        <v>20260730</v>
      </c>
      <c r="K943">
        <f>Consulta2[[#This Row],[DIA_UTIL_CORRENTE]]</f>
        <v>22</v>
      </c>
    </row>
    <row r="944" spans="1:11" x14ac:dyDescent="0.25">
      <c r="A944">
        <v>202607</v>
      </c>
      <c r="B944">
        <v>23</v>
      </c>
      <c r="C944" s="148">
        <v>46234</v>
      </c>
      <c r="D944">
        <v>23</v>
      </c>
      <c r="E944">
        <v>23</v>
      </c>
      <c r="F944">
        <v>651</v>
      </c>
      <c r="G944">
        <f>Consulta2[[#This Row],[DIA_UTIL_CORRENTE]]</f>
        <v>23</v>
      </c>
      <c r="H944" s="6">
        <f>DAY(Consulta2[[#This Row],[DATA]])</f>
        <v>31</v>
      </c>
      <c r="I944" s="6">
        <f>MONTH(Consulta2[[#This Row],[DATA]])</f>
        <v>7</v>
      </c>
      <c r="J944" t="str">
        <f>CONCATENATE(Consulta2[[#This Row],[SAFRA]],Consulta2[[#This Row],[dia]])</f>
        <v>20260731</v>
      </c>
      <c r="K944">
        <f>Consulta2[[#This Row],[DIA_UTIL_CORRENTE]]</f>
        <v>23</v>
      </c>
    </row>
    <row r="945" spans="1:11" x14ac:dyDescent="0.25">
      <c r="A945">
        <v>202608</v>
      </c>
      <c r="B945">
        <v>0</v>
      </c>
      <c r="C945" s="148">
        <v>46235</v>
      </c>
      <c r="D945">
        <v>21</v>
      </c>
      <c r="E945">
        <v>21</v>
      </c>
      <c r="F945">
        <v>651</v>
      </c>
      <c r="G945">
        <f>Consulta2[[#This Row],[DIA_UTIL_CORRENTE]]</f>
        <v>0</v>
      </c>
      <c r="H945" s="6">
        <f>DAY(Consulta2[[#This Row],[DATA]])</f>
        <v>1</v>
      </c>
      <c r="I945" s="6">
        <f>MONTH(Consulta2[[#This Row],[DATA]])</f>
        <v>8</v>
      </c>
      <c r="J945" t="str">
        <f>CONCATENATE(Consulta2[[#This Row],[SAFRA]],Consulta2[[#This Row],[dia]])</f>
        <v>2026081</v>
      </c>
      <c r="K945">
        <f>Consulta2[[#This Row],[DIA_UTIL_CORRENTE]]</f>
        <v>0</v>
      </c>
    </row>
    <row r="946" spans="1:11" x14ac:dyDescent="0.25">
      <c r="A946">
        <v>202608</v>
      </c>
      <c r="B946">
        <v>0</v>
      </c>
      <c r="C946" s="148">
        <v>46236</v>
      </c>
      <c r="D946">
        <v>21</v>
      </c>
      <c r="E946">
        <v>21</v>
      </c>
      <c r="F946">
        <v>651</v>
      </c>
      <c r="G946">
        <f>Consulta2[[#This Row],[DIA_UTIL_CORRENTE]]</f>
        <v>0</v>
      </c>
      <c r="H946" s="6">
        <f>DAY(Consulta2[[#This Row],[DATA]])</f>
        <v>2</v>
      </c>
      <c r="I946" s="6">
        <f>MONTH(Consulta2[[#This Row],[DATA]])</f>
        <v>8</v>
      </c>
      <c r="J946" t="str">
        <f>CONCATENATE(Consulta2[[#This Row],[SAFRA]],Consulta2[[#This Row],[dia]])</f>
        <v>2026082</v>
      </c>
      <c r="K946">
        <f>Consulta2[[#This Row],[DIA_UTIL_CORRENTE]]</f>
        <v>0</v>
      </c>
    </row>
    <row r="947" spans="1:11" x14ac:dyDescent="0.25">
      <c r="A947">
        <v>202608</v>
      </c>
      <c r="B947">
        <v>1</v>
      </c>
      <c r="C947" s="148">
        <v>46237</v>
      </c>
      <c r="D947">
        <v>21</v>
      </c>
      <c r="E947">
        <v>21</v>
      </c>
      <c r="F947">
        <v>652</v>
      </c>
      <c r="G947">
        <f>Consulta2[[#This Row],[DIA_UTIL_CORRENTE]]</f>
        <v>1</v>
      </c>
      <c r="H947" s="6">
        <f>DAY(Consulta2[[#This Row],[DATA]])</f>
        <v>3</v>
      </c>
      <c r="I947" s="6">
        <f>MONTH(Consulta2[[#This Row],[DATA]])</f>
        <v>8</v>
      </c>
      <c r="J947" t="str">
        <f>CONCATENATE(Consulta2[[#This Row],[SAFRA]],Consulta2[[#This Row],[dia]])</f>
        <v>2026083</v>
      </c>
      <c r="K947">
        <f>Consulta2[[#This Row],[DIA_UTIL_CORRENTE]]</f>
        <v>1</v>
      </c>
    </row>
    <row r="948" spans="1:11" x14ac:dyDescent="0.25">
      <c r="A948">
        <v>202608</v>
      </c>
      <c r="B948">
        <v>2</v>
      </c>
      <c r="C948" s="148">
        <v>46238</v>
      </c>
      <c r="D948">
        <v>21</v>
      </c>
      <c r="E948">
        <v>21</v>
      </c>
      <c r="F948">
        <v>653</v>
      </c>
      <c r="G948">
        <f>Consulta2[[#This Row],[DIA_UTIL_CORRENTE]]</f>
        <v>2</v>
      </c>
      <c r="H948" s="6">
        <f>DAY(Consulta2[[#This Row],[DATA]])</f>
        <v>4</v>
      </c>
      <c r="I948" s="6">
        <f>MONTH(Consulta2[[#This Row],[DATA]])</f>
        <v>8</v>
      </c>
      <c r="J948" t="str">
        <f>CONCATENATE(Consulta2[[#This Row],[SAFRA]],Consulta2[[#This Row],[dia]])</f>
        <v>2026084</v>
      </c>
      <c r="K948">
        <f>Consulta2[[#This Row],[DIA_UTIL_CORRENTE]]</f>
        <v>2</v>
      </c>
    </row>
    <row r="949" spans="1:11" x14ac:dyDescent="0.25">
      <c r="A949">
        <v>202608</v>
      </c>
      <c r="B949">
        <v>3</v>
      </c>
      <c r="C949" s="148">
        <v>46239</v>
      </c>
      <c r="D949">
        <v>21</v>
      </c>
      <c r="E949">
        <v>21</v>
      </c>
      <c r="F949">
        <v>654</v>
      </c>
      <c r="G949">
        <f>Consulta2[[#This Row],[DIA_UTIL_CORRENTE]]</f>
        <v>3</v>
      </c>
      <c r="H949" s="6">
        <f>DAY(Consulta2[[#This Row],[DATA]])</f>
        <v>5</v>
      </c>
      <c r="I949" s="6">
        <f>MONTH(Consulta2[[#This Row],[DATA]])</f>
        <v>8</v>
      </c>
      <c r="J949" t="str">
        <f>CONCATENATE(Consulta2[[#This Row],[SAFRA]],Consulta2[[#This Row],[dia]])</f>
        <v>2026085</v>
      </c>
      <c r="K949">
        <f>Consulta2[[#This Row],[DIA_UTIL_CORRENTE]]</f>
        <v>3</v>
      </c>
    </row>
    <row r="950" spans="1:11" x14ac:dyDescent="0.25">
      <c r="A950">
        <v>202608</v>
      </c>
      <c r="B950">
        <v>4</v>
      </c>
      <c r="C950" s="148">
        <v>46240</v>
      </c>
      <c r="D950">
        <v>21</v>
      </c>
      <c r="E950">
        <v>21</v>
      </c>
      <c r="F950">
        <v>655</v>
      </c>
      <c r="G950">
        <f>Consulta2[[#This Row],[DIA_UTIL_CORRENTE]]</f>
        <v>4</v>
      </c>
      <c r="H950" s="6">
        <f>DAY(Consulta2[[#This Row],[DATA]])</f>
        <v>6</v>
      </c>
      <c r="I950" s="6">
        <f>MONTH(Consulta2[[#This Row],[DATA]])</f>
        <v>8</v>
      </c>
      <c r="J950" t="str">
        <f>CONCATENATE(Consulta2[[#This Row],[SAFRA]],Consulta2[[#This Row],[dia]])</f>
        <v>2026086</v>
      </c>
      <c r="K950">
        <f>Consulta2[[#This Row],[DIA_UTIL_CORRENTE]]</f>
        <v>4</v>
      </c>
    </row>
    <row r="951" spans="1:11" x14ac:dyDescent="0.25">
      <c r="A951">
        <v>202608</v>
      </c>
      <c r="B951">
        <v>5</v>
      </c>
      <c r="C951" s="148">
        <v>46241</v>
      </c>
      <c r="D951">
        <v>21</v>
      </c>
      <c r="E951">
        <v>21</v>
      </c>
      <c r="F951">
        <v>656</v>
      </c>
      <c r="G951">
        <f>Consulta2[[#This Row],[DIA_UTIL_CORRENTE]]</f>
        <v>5</v>
      </c>
      <c r="H951" s="6">
        <f>DAY(Consulta2[[#This Row],[DATA]])</f>
        <v>7</v>
      </c>
      <c r="I951" s="6">
        <f>MONTH(Consulta2[[#This Row],[DATA]])</f>
        <v>8</v>
      </c>
      <c r="J951" t="str">
        <f>CONCATENATE(Consulta2[[#This Row],[SAFRA]],Consulta2[[#This Row],[dia]])</f>
        <v>2026087</v>
      </c>
      <c r="K951">
        <f>Consulta2[[#This Row],[DIA_UTIL_CORRENTE]]</f>
        <v>5</v>
      </c>
    </row>
    <row r="952" spans="1:11" x14ac:dyDescent="0.25">
      <c r="A952">
        <v>202608</v>
      </c>
      <c r="B952">
        <v>5</v>
      </c>
      <c r="C952" s="148">
        <v>46242</v>
      </c>
      <c r="D952">
        <v>21</v>
      </c>
      <c r="E952">
        <v>21</v>
      </c>
      <c r="F952">
        <v>656</v>
      </c>
      <c r="G952">
        <f>Consulta2[[#This Row],[DIA_UTIL_CORRENTE]]</f>
        <v>5</v>
      </c>
      <c r="H952" s="6">
        <f>DAY(Consulta2[[#This Row],[DATA]])</f>
        <v>8</v>
      </c>
      <c r="I952" s="6">
        <f>MONTH(Consulta2[[#This Row],[DATA]])</f>
        <v>8</v>
      </c>
      <c r="J952" t="str">
        <f>CONCATENATE(Consulta2[[#This Row],[SAFRA]],Consulta2[[#This Row],[dia]])</f>
        <v>2026088</v>
      </c>
      <c r="K952">
        <f>Consulta2[[#This Row],[DIA_UTIL_CORRENTE]]</f>
        <v>5</v>
      </c>
    </row>
    <row r="953" spans="1:11" x14ac:dyDescent="0.25">
      <c r="A953">
        <v>202608</v>
      </c>
      <c r="B953">
        <v>5</v>
      </c>
      <c r="C953" s="148">
        <v>46243</v>
      </c>
      <c r="D953">
        <v>21</v>
      </c>
      <c r="E953">
        <v>21</v>
      </c>
      <c r="F953">
        <v>656</v>
      </c>
      <c r="G953">
        <f>Consulta2[[#This Row],[DIA_UTIL_CORRENTE]]</f>
        <v>5</v>
      </c>
      <c r="H953" s="6">
        <f>DAY(Consulta2[[#This Row],[DATA]])</f>
        <v>9</v>
      </c>
      <c r="I953" s="6">
        <f>MONTH(Consulta2[[#This Row],[DATA]])</f>
        <v>8</v>
      </c>
      <c r="J953" t="str">
        <f>CONCATENATE(Consulta2[[#This Row],[SAFRA]],Consulta2[[#This Row],[dia]])</f>
        <v>2026089</v>
      </c>
      <c r="K953">
        <f>Consulta2[[#This Row],[DIA_UTIL_CORRENTE]]</f>
        <v>5</v>
      </c>
    </row>
    <row r="954" spans="1:11" x14ac:dyDescent="0.25">
      <c r="A954">
        <v>202608</v>
      </c>
      <c r="B954">
        <v>6</v>
      </c>
      <c r="C954" s="148">
        <v>46244</v>
      </c>
      <c r="D954">
        <v>21</v>
      </c>
      <c r="E954">
        <v>21</v>
      </c>
      <c r="F954">
        <v>657</v>
      </c>
      <c r="G954">
        <f>Consulta2[[#This Row],[DIA_UTIL_CORRENTE]]</f>
        <v>6</v>
      </c>
      <c r="H954" s="6">
        <f>DAY(Consulta2[[#This Row],[DATA]])</f>
        <v>10</v>
      </c>
      <c r="I954" s="6">
        <f>MONTH(Consulta2[[#This Row],[DATA]])</f>
        <v>8</v>
      </c>
      <c r="J954" t="str">
        <f>CONCATENATE(Consulta2[[#This Row],[SAFRA]],Consulta2[[#This Row],[dia]])</f>
        <v>20260810</v>
      </c>
      <c r="K954">
        <f>Consulta2[[#This Row],[DIA_UTIL_CORRENTE]]</f>
        <v>6</v>
      </c>
    </row>
    <row r="955" spans="1:11" x14ac:dyDescent="0.25">
      <c r="A955">
        <v>202608</v>
      </c>
      <c r="B955">
        <v>7</v>
      </c>
      <c r="C955" s="148">
        <v>46245</v>
      </c>
      <c r="D955">
        <v>21</v>
      </c>
      <c r="E955">
        <v>21</v>
      </c>
      <c r="F955">
        <v>658</v>
      </c>
      <c r="G955">
        <f>Consulta2[[#This Row],[DIA_UTIL_CORRENTE]]</f>
        <v>7</v>
      </c>
      <c r="H955" s="6">
        <f>DAY(Consulta2[[#This Row],[DATA]])</f>
        <v>11</v>
      </c>
      <c r="I955" s="6">
        <f>MONTH(Consulta2[[#This Row],[DATA]])</f>
        <v>8</v>
      </c>
      <c r="J955" t="str">
        <f>CONCATENATE(Consulta2[[#This Row],[SAFRA]],Consulta2[[#This Row],[dia]])</f>
        <v>20260811</v>
      </c>
      <c r="K955">
        <f>Consulta2[[#This Row],[DIA_UTIL_CORRENTE]]</f>
        <v>7</v>
      </c>
    </row>
    <row r="956" spans="1:11" x14ac:dyDescent="0.25">
      <c r="A956">
        <v>202608</v>
      </c>
      <c r="B956">
        <v>8</v>
      </c>
      <c r="C956" s="148">
        <v>46246</v>
      </c>
      <c r="D956">
        <v>21</v>
      </c>
      <c r="E956">
        <v>21</v>
      </c>
      <c r="F956">
        <v>659</v>
      </c>
      <c r="G956">
        <f>Consulta2[[#This Row],[DIA_UTIL_CORRENTE]]</f>
        <v>8</v>
      </c>
      <c r="H956" s="6">
        <f>DAY(Consulta2[[#This Row],[DATA]])</f>
        <v>12</v>
      </c>
      <c r="I956" s="6">
        <f>MONTH(Consulta2[[#This Row],[DATA]])</f>
        <v>8</v>
      </c>
      <c r="J956" t="str">
        <f>CONCATENATE(Consulta2[[#This Row],[SAFRA]],Consulta2[[#This Row],[dia]])</f>
        <v>20260812</v>
      </c>
      <c r="K956">
        <f>Consulta2[[#This Row],[DIA_UTIL_CORRENTE]]</f>
        <v>8</v>
      </c>
    </row>
    <row r="957" spans="1:11" x14ac:dyDescent="0.25">
      <c r="A957">
        <v>202608</v>
      </c>
      <c r="B957">
        <v>9</v>
      </c>
      <c r="C957" s="148">
        <v>46247</v>
      </c>
      <c r="D957">
        <v>21</v>
      </c>
      <c r="E957">
        <v>21</v>
      </c>
      <c r="F957">
        <v>660</v>
      </c>
      <c r="G957">
        <f>Consulta2[[#This Row],[DIA_UTIL_CORRENTE]]</f>
        <v>9</v>
      </c>
      <c r="H957" s="6">
        <f>DAY(Consulta2[[#This Row],[DATA]])</f>
        <v>13</v>
      </c>
      <c r="I957" s="6">
        <f>MONTH(Consulta2[[#This Row],[DATA]])</f>
        <v>8</v>
      </c>
      <c r="J957" t="str">
        <f>CONCATENATE(Consulta2[[#This Row],[SAFRA]],Consulta2[[#This Row],[dia]])</f>
        <v>20260813</v>
      </c>
      <c r="K957">
        <f>Consulta2[[#This Row],[DIA_UTIL_CORRENTE]]</f>
        <v>9</v>
      </c>
    </row>
    <row r="958" spans="1:11" x14ac:dyDescent="0.25">
      <c r="A958">
        <v>202608</v>
      </c>
      <c r="B958">
        <v>10</v>
      </c>
      <c r="C958" s="148">
        <v>46248</v>
      </c>
      <c r="D958">
        <v>21</v>
      </c>
      <c r="E958">
        <v>21</v>
      </c>
      <c r="F958">
        <v>661</v>
      </c>
      <c r="G958">
        <f>Consulta2[[#This Row],[DIA_UTIL_CORRENTE]]</f>
        <v>10</v>
      </c>
      <c r="H958" s="6">
        <f>DAY(Consulta2[[#This Row],[DATA]])</f>
        <v>14</v>
      </c>
      <c r="I958" s="6">
        <f>MONTH(Consulta2[[#This Row],[DATA]])</f>
        <v>8</v>
      </c>
      <c r="J958" t="str">
        <f>CONCATENATE(Consulta2[[#This Row],[SAFRA]],Consulta2[[#This Row],[dia]])</f>
        <v>20260814</v>
      </c>
      <c r="K958">
        <f>Consulta2[[#This Row],[DIA_UTIL_CORRENTE]]</f>
        <v>10</v>
      </c>
    </row>
    <row r="959" spans="1:11" x14ac:dyDescent="0.25">
      <c r="A959">
        <v>202608</v>
      </c>
      <c r="B959">
        <v>10</v>
      </c>
      <c r="C959" s="148">
        <v>46249</v>
      </c>
      <c r="D959">
        <v>21</v>
      </c>
      <c r="E959">
        <v>21</v>
      </c>
      <c r="F959">
        <v>661</v>
      </c>
      <c r="G959">
        <f>Consulta2[[#This Row],[DIA_UTIL_CORRENTE]]</f>
        <v>10</v>
      </c>
      <c r="H959" s="6">
        <f>DAY(Consulta2[[#This Row],[DATA]])</f>
        <v>15</v>
      </c>
      <c r="I959" s="6">
        <f>MONTH(Consulta2[[#This Row],[DATA]])</f>
        <v>8</v>
      </c>
      <c r="J959" t="str">
        <f>CONCATENATE(Consulta2[[#This Row],[SAFRA]],Consulta2[[#This Row],[dia]])</f>
        <v>20260815</v>
      </c>
      <c r="K959">
        <f>Consulta2[[#This Row],[DIA_UTIL_CORRENTE]]</f>
        <v>10</v>
      </c>
    </row>
    <row r="960" spans="1:11" x14ac:dyDescent="0.25">
      <c r="A960">
        <v>202608</v>
      </c>
      <c r="B960">
        <v>10</v>
      </c>
      <c r="C960" s="148">
        <v>46250</v>
      </c>
      <c r="D960">
        <v>21</v>
      </c>
      <c r="E960">
        <v>21</v>
      </c>
      <c r="F960">
        <v>661</v>
      </c>
      <c r="G960">
        <f>Consulta2[[#This Row],[DIA_UTIL_CORRENTE]]</f>
        <v>10</v>
      </c>
      <c r="H960" s="6">
        <f>DAY(Consulta2[[#This Row],[DATA]])</f>
        <v>16</v>
      </c>
      <c r="I960" s="6">
        <f>MONTH(Consulta2[[#This Row],[DATA]])</f>
        <v>8</v>
      </c>
      <c r="J960" t="str">
        <f>CONCATENATE(Consulta2[[#This Row],[SAFRA]],Consulta2[[#This Row],[dia]])</f>
        <v>20260816</v>
      </c>
      <c r="K960">
        <f>Consulta2[[#This Row],[DIA_UTIL_CORRENTE]]</f>
        <v>10</v>
      </c>
    </row>
    <row r="961" spans="1:11" x14ac:dyDescent="0.25">
      <c r="A961">
        <v>202608</v>
      </c>
      <c r="B961">
        <v>11</v>
      </c>
      <c r="C961" s="148">
        <v>46251</v>
      </c>
      <c r="D961">
        <v>21</v>
      </c>
      <c r="E961">
        <v>21</v>
      </c>
      <c r="F961">
        <v>662</v>
      </c>
      <c r="G961">
        <f>Consulta2[[#This Row],[DIA_UTIL_CORRENTE]]</f>
        <v>11</v>
      </c>
      <c r="H961" s="6">
        <f>DAY(Consulta2[[#This Row],[DATA]])</f>
        <v>17</v>
      </c>
      <c r="I961" s="6">
        <f>MONTH(Consulta2[[#This Row],[DATA]])</f>
        <v>8</v>
      </c>
      <c r="J961" t="str">
        <f>CONCATENATE(Consulta2[[#This Row],[SAFRA]],Consulta2[[#This Row],[dia]])</f>
        <v>20260817</v>
      </c>
      <c r="K961">
        <f>Consulta2[[#This Row],[DIA_UTIL_CORRENTE]]</f>
        <v>11</v>
      </c>
    </row>
    <row r="962" spans="1:11" x14ac:dyDescent="0.25">
      <c r="A962">
        <v>202608</v>
      </c>
      <c r="B962">
        <v>12</v>
      </c>
      <c r="C962" s="148">
        <v>46252</v>
      </c>
      <c r="D962">
        <v>21</v>
      </c>
      <c r="E962">
        <v>21</v>
      </c>
      <c r="F962">
        <v>663</v>
      </c>
      <c r="G962">
        <f>Consulta2[[#This Row],[DIA_UTIL_CORRENTE]]</f>
        <v>12</v>
      </c>
      <c r="H962" s="6">
        <f>DAY(Consulta2[[#This Row],[DATA]])</f>
        <v>18</v>
      </c>
      <c r="I962" s="6">
        <f>MONTH(Consulta2[[#This Row],[DATA]])</f>
        <v>8</v>
      </c>
      <c r="J962" t="str">
        <f>CONCATENATE(Consulta2[[#This Row],[SAFRA]],Consulta2[[#This Row],[dia]])</f>
        <v>20260818</v>
      </c>
      <c r="K962">
        <f>Consulta2[[#This Row],[DIA_UTIL_CORRENTE]]</f>
        <v>12</v>
      </c>
    </row>
    <row r="963" spans="1:11" x14ac:dyDescent="0.25">
      <c r="A963">
        <v>202608</v>
      </c>
      <c r="B963">
        <v>13</v>
      </c>
      <c r="C963" s="148">
        <v>46253</v>
      </c>
      <c r="D963">
        <v>21</v>
      </c>
      <c r="E963">
        <v>21</v>
      </c>
      <c r="F963">
        <v>664</v>
      </c>
      <c r="G963">
        <f>Consulta2[[#This Row],[DIA_UTIL_CORRENTE]]</f>
        <v>13</v>
      </c>
      <c r="H963" s="6">
        <f>DAY(Consulta2[[#This Row],[DATA]])</f>
        <v>19</v>
      </c>
      <c r="I963" s="6">
        <f>MONTH(Consulta2[[#This Row],[DATA]])</f>
        <v>8</v>
      </c>
      <c r="J963" t="str">
        <f>CONCATENATE(Consulta2[[#This Row],[SAFRA]],Consulta2[[#This Row],[dia]])</f>
        <v>20260819</v>
      </c>
      <c r="K963">
        <f>Consulta2[[#This Row],[DIA_UTIL_CORRENTE]]</f>
        <v>13</v>
      </c>
    </row>
    <row r="964" spans="1:11" x14ac:dyDescent="0.25">
      <c r="A964">
        <v>202608</v>
      </c>
      <c r="B964">
        <v>14</v>
      </c>
      <c r="C964" s="148">
        <v>46254</v>
      </c>
      <c r="D964">
        <v>21</v>
      </c>
      <c r="E964">
        <v>21</v>
      </c>
      <c r="F964">
        <v>665</v>
      </c>
      <c r="G964">
        <f>Consulta2[[#This Row],[DIA_UTIL_CORRENTE]]</f>
        <v>14</v>
      </c>
      <c r="H964" s="6">
        <f>DAY(Consulta2[[#This Row],[DATA]])</f>
        <v>20</v>
      </c>
      <c r="I964" s="6">
        <f>MONTH(Consulta2[[#This Row],[DATA]])</f>
        <v>8</v>
      </c>
      <c r="J964" t="str">
        <f>CONCATENATE(Consulta2[[#This Row],[SAFRA]],Consulta2[[#This Row],[dia]])</f>
        <v>20260820</v>
      </c>
      <c r="K964">
        <f>Consulta2[[#This Row],[DIA_UTIL_CORRENTE]]</f>
        <v>14</v>
      </c>
    </row>
    <row r="965" spans="1:11" x14ac:dyDescent="0.25">
      <c r="A965">
        <v>202608</v>
      </c>
      <c r="B965">
        <v>15</v>
      </c>
      <c r="C965" s="148">
        <v>46255</v>
      </c>
      <c r="D965">
        <v>21</v>
      </c>
      <c r="E965">
        <v>21</v>
      </c>
      <c r="F965">
        <v>666</v>
      </c>
      <c r="G965">
        <f>Consulta2[[#This Row],[DIA_UTIL_CORRENTE]]</f>
        <v>15</v>
      </c>
      <c r="H965" s="6">
        <f>DAY(Consulta2[[#This Row],[DATA]])</f>
        <v>21</v>
      </c>
      <c r="I965" s="6">
        <f>MONTH(Consulta2[[#This Row],[DATA]])</f>
        <v>8</v>
      </c>
      <c r="J965" t="str">
        <f>CONCATENATE(Consulta2[[#This Row],[SAFRA]],Consulta2[[#This Row],[dia]])</f>
        <v>20260821</v>
      </c>
      <c r="K965">
        <f>Consulta2[[#This Row],[DIA_UTIL_CORRENTE]]</f>
        <v>15</v>
      </c>
    </row>
    <row r="966" spans="1:11" x14ac:dyDescent="0.25">
      <c r="A966">
        <v>202608</v>
      </c>
      <c r="B966">
        <v>15</v>
      </c>
      <c r="C966" s="148">
        <v>46256</v>
      </c>
      <c r="D966">
        <v>21</v>
      </c>
      <c r="E966">
        <v>21</v>
      </c>
      <c r="F966">
        <v>666</v>
      </c>
      <c r="G966">
        <f>Consulta2[[#This Row],[DIA_UTIL_CORRENTE]]</f>
        <v>15</v>
      </c>
      <c r="H966" s="6">
        <f>DAY(Consulta2[[#This Row],[DATA]])</f>
        <v>22</v>
      </c>
      <c r="I966" s="6">
        <f>MONTH(Consulta2[[#This Row],[DATA]])</f>
        <v>8</v>
      </c>
      <c r="J966" t="str">
        <f>CONCATENATE(Consulta2[[#This Row],[SAFRA]],Consulta2[[#This Row],[dia]])</f>
        <v>20260822</v>
      </c>
      <c r="K966">
        <f>Consulta2[[#This Row],[DIA_UTIL_CORRENTE]]</f>
        <v>15</v>
      </c>
    </row>
    <row r="967" spans="1:11" x14ac:dyDescent="0.25">
      <c r="A967">
        <v>202608</v>
      </c>
      <c r="B967">
        <v>15</v>
      </c>
      <c r="C967" s="148">
        <v>46257</v>
      </c>
      <c r="D967">
        <v>21</v>
      </c>
      <c r="E967">
        <v>21</v>
      </c>
      <c r="F967">
        <v>666</v>
      </c>
      <c r="G967">
        <f>Consulta2[[#This Row],[DIA_UTIL_CORRENTE]]</f>
        <v>15</v>
      </c>
      <c r="H967" s="6">
        <f>DAY(Consulta2[[#This Row],[DATA]])</f>
        <v>23</v>
      </c>
      <c r="I967" s="6">
        <f>MONTH(Consulta2[[#This Row],[DATA]])</f>
        <v>8</v>
      </c>
      <c r="J967" t="str">
        <f>CONCATENATE(Consulta2[[#This Row],[SAFRA]],Consulta2[[#This Row],[dia]])</f>
        <v>20260823</v>
      </c>
      <c r="K967">
        <f>Consulta2[[#This Row],[DIA_UTIL_CORRENTE]]</f>
        <v>15</v>
      </c>
    </row>
    <row r="968" spans="1:11" x14ac:dyDescent="0.25">
      <c r="A968">
        <v>202608</v>
      </c>
      <c r="B968">
        <v>16</v>
      </c>
      <c r="C968" s="148">
        <v>46258</v>
      </c>
      <c r="D968">
        <v>21</v>
      </c>
      <c r="E968">
        <v>21</v>
      </c>
      <c r="F968">
        <v>667</v>
      </c>
      <c r="G968">
        <f>Consulta2[[#This Row],[DIA_UTIL_CORRENTE]]</f>
        <v>16</v>
      </c>
      <c r="H968" s="6">
        <f>DAY(Consulta2[[#This Row],[DATA]])</f>
        <v>24</v>
      </c>
      <c r="I968" s="6">
        <f>MONTH(Consulta2[[#This Row],[DATA]])</f>
        <v>8</v>
      </c>
      <c r="J968" t="str">
        <f>CONCATENATE(Consulta2[[#This Row],[SAFRA]],Consulta2[[#This Row],[dia]])</f>
        <v>20260824</v>
      </c>
      <c r="K968">
        <f>Consulta2[[#This Row],[DIA_UTIL_CORRENTE]]</f>
        <v>16</v>
      </c>
    </row>
    <row r="969" spans="1:11" x14ac:dyDescent="0.25">
      <c r="A969">
        <v>202608</v>
      </c>
      <c r="B969">
        <v>17</v>
      </c>
      <c r="C969" s="148">
        <v>46259</v>
      </c>
      <c r="D969">
        <v>21</v>
      </c>
      <c r="E969">
        <v>21</v>
      </c>
      <c r="F969">
        <v>668</v>
      </c>
      <c r="G969">
        <f>Consulta2[[#This Row],[DIA_UTIL_CORRENTE]]</f>
        <v>17</v>
      </c>
      <c r="H969" s="6">
        <f>DAY(Consulta2[[#This Row],[DATA]])</f>
        <v>25</v>
      </c>
      <c r="I969" s="6">
        <f>MONTH(Consulta2[[#This Row],[DATA]])</f>
        <v>8</v>
      </c>
      <c r="J969" t="str">
        <f>CONCATENATE(Consulta2[[#This Row],[SAFRA]],Consulta2[[#This Row],[dia]])</f>
        <v>20260825</v>
      </c>
      <c r="K969">
        <f>Consulta2[[#This Row],[DIA_UTIL_CORRENTE]]</f>
        <v>17</v>
      </c>
    </row>
    <row r="970" spans="1:11" x14ac:dyDescent="0.25">
      <c r="A970">
        <v>202608</v>
      </c>
      <c r="B970">
        <v>18</v>
      </c>
      <c r="C970" s="148">
        <v>46260</v>
      </c>
      <c r="D970">
        <v>21</v>
      </c>
      <c r="E970">
        <v>21</v>
      </c>
      <c r="F970">
        <v>669</v>
      </c>
      <c r="G970">
        <f>Consulta2[[#This Row],[DIA_UTIL_CORRENTE]]</f>
        <v>18</v>
      </c>
      <c r="H970" s="6">
        <f>DAY(Consulta2[[#This Row],[DATA]])</f>
        <v>26</v>
      </c>
      <c r="I970" s="6">
        <f>MONTH(Consulta2[[#This Row],[DATA]])</f>
        <v>8</v>
      </c>
      <c r="J970" t="str">
        <f>CONCATENATE(Consulta2[[#This Row],[SAFRA]],Consulta2[[#This Row],[dia]])</f>
        <v>20260826</v>
      </c>
      <c r="K970">
        <f>Consulta2[[#This Row],[DIA_UTIL_CORRENTE]]</f>
        <v>18</v>
      </c>
    </row>
    <row r="971" spans="1:11" x14ac:dyDescent="0.25">
      <c r="A971">
        <v>202608</v>
      </c>
      <c r="B971">
        <v>19</v>
      </c>
      <c r="C971" s="148">
        <v>46261</v>
      </c>
      <c r="D971">
        <v>21</v>
      </c>
      <c r="E971">
        <v>21</v>
      </c>
      <c r="F971">
        <v>670</v>
      </c>
      <c r="G971">
        <f>Consulta2[[#This Row],[DIA_UTIL_CORRENTE]]</f>
        <v>19</v>
      </c>
      <c r="H971" s="6">
        <f>DAY(Consulta2[[#This Row],[DATA]])</f>
        <v>27</v>
      </c>
      <c r="I971" s="6">
        <f>MONTH(Consulta2[[#This Row],[DATA]])</f>
        <v>8</v>
      </c>
      <c r="J971" t="str">
        <f>CONCATENATE(Consulta2[[#This Row],[SAFRA]],Consulta2[[#This Row],[dia]])</f>
        <v>20260827</v>
      </c>
      <c r="K971">
        <f>Consulta2[[#This Row],[DIA_UTIL_CORRENTE]]</f>
        <v>19</v>
      </c>
    </row>
    <row r="972" spans="1:11" x14ac:dyDescent="0.25">
      <c r="A972">
        <v>202608</v>
      </c>
      <c r="B972">
        <v>20</v>
      </c>
      <c r="C972" s="148">
        <v>46262</v>
      </c>
      <c r="D972">
        <v>21</v>
      </c>
      <c r="E972">
        <v>21</v>
      </c>
      <c r="F972">
        <v>671</v>
      </c>
      <c r="G972">
        <f>Consulta2[[#This Row],[DIA_UTIL_CORRENTE]]</f>
        <v>20</v>
      </c>
      <c r="H972" s="6">
        <f>DAY(Consulta2[[#This Row],[DATA]])</f>
        <v>28</v>
      </c>
      <c r="I972" s="6">
        <f>MONTH(Consulta2[[#This Row],[DATA]])</f>
        <v>8</v>
      </c>
      <c r="J972" t="str">
        <f>CONCATENATE(Consulta2[[#This Row],[SAFRA]],Consulta2[[#This Row],[dia]])</f>
        <v>20260828</v>
      </c>
      <c r="K972">
        <f>Consulta2[[#This Row],[DIA_UTIL_CORRENTE]]</f>
        <v>20</v>
      </c>
    </row>
    <row r="973" spans="1:11" x14ac:dyDescent="0.25">
      <c r="A973">
        <v>202608</v>
      </c>
      <c r="B973">
        <v>20</v>
      </c>
      <c r="C973" s="148">
        <v>46263</v>
      </c>
      <c r="D973">
        <v>21</v>
      </c>
      <c r="E973">
        <v>21</v>
      </c>
      <c r="F973">
        <v>671</v>
      </c>
      <c r="G973">
        <f>Consulta2[[#This Row],[DIA_UTIL_CORRENTE]]</f>
        <v>20</v>
      </c>
      <c r="H973" s="6">
        <f>DAY(Consulta2[[#This Row],[DATA]])</f>
        <v>29</v>
      </c>
      <c r="I973" s="6">
        <f>MONTH(Consulta2[[#This Row],[DATA]])</f>
        <v>8</v>
      </c>
      <c r="J973" t="str">
        <f>CONCATENATE(Consulta2[[#This Row],[SAFRA]],Consulta2[[#This Row],[dia]])</f>
        <v>20260829</v>
      </c>
      <c r="K973">
        <f>Consulta2[[#This Row],[DIA_UTIL_CORRENTE]]</f>
        <v>20</v>
      </c>
    </row>
    <row r="974" spans="1:11" x14ac:dyDescent="0.25">
      <c r="A974">
        <v>202608</v>
      </c>
      <c r="B974">
        <v>20</v>
      </c>
      <c r="C974" s="148">
        <v>46264</v>
      </c>
      <c r="D974">
        <v>21</v>
      </c>
      <c r="E974">
        <v>21</v>
      </c>
      <c r="F974">
        <v>671</v>
      </c>
      <c r="G974">
        <f>Consulta2[[#This Row],[DIA_UTIL_CORRENTE]]</f>
        <v>20</v>
      </c>
      <c r="H974" s="6">
        <f>DAY(Consulta2[[#This Row],[DATA]])</f>
        <v>30</v>
      </c>
      <c r="I974" s="6">
        <f>MONTH(Consulta2[[#This Row],[DATA]])</f>
        <v>8</v>
      </c>
      <c r="J974" t="str">
        <f>CONCATENATE(Consulta2[[#This Row],[SAFRA]],Consulta2[[#This Row],[dia]])</f>
        <v>20260830</v>
      </c>
      <c r="K974">
        <f>Consulta2[[#This Row],[DIA_UTIL_CORRENTE]]</f>
        <v>20</v>
      </c>
    </row>
    <row r="975" spans="1:11" x14ac:dyDescent="0.25">
      <c r="A975">
        <v>202608</v>
      </c>
      <c r="B975">
        <v>21</v>
      </c>
      <c r="C975" s="148">
        <v>46265</v>
      </c>
      <c r="D975">
        <v>21</v>
      </c>
      <c r="E975">
        <v>21</v>
      </c>
      <c r="F975">
        <v>672</v>
      </c>
      <c r="G975">
        <f>Consulta2[[#This Row],[DIA_UTIL_CORRENTE]]</f>
        <v>21</v>
      </c>
      <c r="H975" s="6">
        <f>DAY(Consulta2[[#This Row],[DATA]])</f>
        <v>31</v>
      </c>
      <c r="I975" s="6">
        <f>MONTH(Consulta2[[#This Row],[DATA]])</f>
        <v>8</v>
      </c>
      <c r="J975" t="str">
        <f>CONCATENATE(Consulta2[[#This Row],[SAFRA]],Consulta2[[#This Row],[dia]])</f>
        <v>20260831</v>
      </c>
      <c r="K975">
        <f>Consulta2[[#This Row],[DIA_UTIL_CORRENTE]]</f>
        <v>21</v>
      </c>
    </row>
    <row r="976" spans="1:11" x14ac:dyDescent="0.25">
      <c r="A976">
        <v>202609</v>
      </c>
      <c r="B976">
        <v>1</v>
      </c>
      <c r="C976" s="148">
        <v>46266</v>
      </c>
      <c r="D976">
        <v>21</v>
      </c>
      <c r="E976">
        <v>21</v>
      </c>
      <c r="F976">
        <v>673</v>
      </c>
      <c r="G976">
        <f>Consulta2[[#This Row],[DIA_UTIL_CORRENTE]]</f>
        <v>1</v>
      </c>
      <c r="H976" s="6">
        <f>DAY(Consulta2[[#This Row],[DATA]])</f>
        <v>1</v>
      </c>
      <c r="I976" s="6">
        <f>MONTH(Consulta2[[#This Row],[DATA]])</f>
        <v>9</v>
      </c>
      <c r="J976" t="str">
        <f>CONCATENATE(Consulta2[[#This Row],[SAFRA]],Consulta2[[#This Row],[dia]])</f>
        <v>2026091</v>
      </c>
      <c r="K976">
        <f>Consulta2[[#This Row],[DIA_UTIL_CORRENTE]]</f>
        <v>1</v>
      </c>
    </row>
    <row r="977" spans="1:11" x14ac:dyDescent="0.25">
      <c r="A977">
        <v>202609</v>
      </c>
      <c r="B977">
        <v>2</v>
      </c>
      <c r="C977" s="148">
        <v>46267</v>
      </c>
      <c r="D977">
        <v>21</v>
      </c>
      <c r="E977">
        <v>21</v>
      </c>
      <c r="F977">
        <v>674</v>
      </c>
      <c r="G977">
        <f>Consulta2[[#This Row],[DIA_UTIL_CORRENTE]]</f>
        <v>2</v>
      </c>
      <c r="H977" s="6">
        <f>DAY(Consulta2[[#This Row],[DATA]])</f>
        <v>2</v>
      </c>
      <c r="I977" s="6">
        <f>MONTH(Consulta2[[#This Row],[DATA]])</f>
        <v>9</v>
      </c>
      <c r="J977" t="str">
        <f>CONCATENATE(Consulta2[[#This Row],[SAFRA]],Consulta2[[#This Row],[dia]])</f>
        <v>2026092</v>
      </c>
      <c r="K977">
        <f>Consulta2[[#This Row],[DIA_UTIL_CORRENTE]]</f>
        <v>2</v>
      </c>
    </row>
    <row r="978" spans="1:11" x14ac:dyDescent="0.25">
      <c r="A978">
        <v>202609</v>
      </c>
      <c r="B978">
        <v>3</v>
      </c>
      <c r="C978" s="148">
        <v>46268</v>
      </c>
      <c r="D978">
        <v>21</v>
      </c>
      <c r="E978">
        <v>21</v>
      </c>
      <c r="F978">
        <v>675</v>
      </c>
      <c r="G978">
        <f>Consulta2[[#This Row],[DIA_UTIL_CORRENTE]]</f>
        <v>3</v>
      </c>
      <c r="H978" s="6">
        <f>DAY(Consulta2[[#This Row],[DATA]])</f>
        <v>3</v>
      </c>
      <c r="I978" s="6">
        <f>MONTH(Consulta2[[#This Row],[DATA]])</f>
        <v>9</v>
      </c>
      <c r="J978" t="str">
        <f>CONCATENATE(Consulta2[[#This Row],[SAFRA]],Consulta2[[#This Row],[dia]])</f>
        <v>2026093</v>
      </c>
      <c r="K978">
        <f>Consulta2[[#This Row],[DIA_UTIL_CORRENTE]]</f>
        <v>3</v>
      </c>
    </row>
    <row r="979" spans="1:11" x14ac:dyDescent="0.25">
      <c r="A979">
        <v>202609</v>
      </c>
      <c r="B979">
        <v>4</v>
      </c>
      <c r="C979" s="148">
        <v>46269</v>
      </c>
      <c r="D979">
        <v>21</v>
      </c>
      <c r="E979">
        <v>21</v>
      </c>
      <c r="F979">
        <v>676</v>
      </c>
      <c r="G979">
        <f>Consulta2[[#This Row],[DIA_UTIL_CORRENTE]]</f>
        <v>4</v>
      </c>
      <c r="H979" s="6">
        <f>DAY(Consulta2[[#This Row],[DATA]])</f>
        <v>4</v>
      </c>
      <c r="I979" s="6">
        <f>MONTH(Consulta2[[#This Row],[DATA]])</f>
        <v>9</v>
      </c>
      <c r="J979" t="str">
        <f>CONCATENATE(Consulta2[[#This Row],[SAFRA]],Consulta2[[#This Row],[dia]])</f>
        <v>2026094</v>
      </c>
      <c r="K979">
        <f>Consulta2[[#This Row],[DIA_UTIL_CORRENTE]]</f>
        <v>4</v>
      </c>
    </row>
    <row r="980" spans="1:11" x14ac:dyDescent="0.25">
      <c r="A980">
        <v>202609</v>
      </c>
      <c r="B980">
        <v>4</v>
      </c>
      <c r="C980" s="148">
        <v>46270</v>
      </c>
      <c r="D980">
        <v>21</v>
      </c>
      <c r="E980">
        <v>21</v>
      </c>
      <c r="F980">
        <v>676</v>
      </c>
      <c r="G980">
        <f>Consulta2[[#This Row],[DIA_UTIL_CORRENTE]]</f>
        <v>4</v>
      </c>
      <c r="H980" s="6">
        <f>DAY(Consulta2[[#This Row],[DATA]])</f>
        <v>5</v>
      </c>
      <c r="I980" s="6">
        <f>MONTH(Consulta2[[#This Row],[DATA]])</f>
        <v>9</v>
      </c>
      <c r="J980" t="str">
        <f>CONCATENATE(Consulta2[[#This Row],[SAFRA]],Consulta2[[#This Row],[dia]])</f>
        <v>2026095</v>
      </c>
      <c r="K980">
        <f>Consulta2[[#This Row],[DIA_UTIL_CORRENTE]]</f>
        <v>4</v>
      </c>
    </row>
    <row r="981" spans="1:11" x14ac:dyDescent="0.25">
      <c r="A981">
        <v>202609</v>
      </c>
      <c r="B981">
        <v>4</v>
      </c>
      <c r="C981" s="148">
        <v>46271</v>
      </c>
      <c r="D981">
        <v>21</v>
      </c>
      <c r="E981">
        <v>21</v>
      </c>
      <c r="F981">
        <v>676</v>
      </c>
      <c r="G981">
        <f>Consulta2[[#This Row],[DIA_UTIL_CORRENTE]]</f>
        <v>4</v>
      </c>
      <c r="H981" s="6">
        <f>DAY(Consulta2[[#This Row],[DATA]])</f>
        <v>6</v>
      </c>
      <c r="I981" s="6">
        <f>MONTH(Consulta2[[#This Row],[DATA]])</f>
        <v>9</v>
      </c>
      <c r="J981" t="str">
        <f>CONCATENATE(Consulta2[[#This Row],[SAFRA]],Consulta2[[#This Row],[dia]])</f>
        <v>2026096</v>
      </c>
      <c r="K981">
        <f>Consulta2[[#This Row],[DIA_UTIL_CORRENTE]]</f>
        <v>4</v>
      </c>
    </row>
    <row r="982" spans="1:11" x14ac:dyDescent="0.25">
      <c r="A982">
        <v>202609</v>
      </c>
      <c r="B982">
        <v>4</v>
      </c>
      <c r="C982" s="148">
        <v>46272</v>
      </c>
      <c r="D982">
        <v>21</v>
      </c>
      <c r="E982">
        <v>21</v>
      </c>
      <c r="F982">
        <v>676</v>
      </c>
      <c r="G982">
        <f>Consulta2[[#This Row],[DIA_UTIL_CORRENTE]]</f>
        <v>4</v>
      </c>
      <c r="H982" s="6">
        <f>DAY(Consulta2[[#This Row],[DATA]])</f>
        <v>7</v>
      </c>
      <c r="I982" s="6">
        <f>MONTH(Consulta2[[#This Row],[DATA]])</f>
        <v>9</v>
      </c>
      <c r="J982" t="str">
        <f>CONCATENATE(Consulta2[[#This Row],[SAFRA]],Consulta2[[#This Row],[dia]])</f>
        <v>2026097</v>
      </c>
      <c r="K982">
        <f>Consulta2[[#This Row],[DIA_UTIL_CORRENTE]]</f>
        <v>4</v>
      </c>
    </row>
    <row r="983" spans="1:11" x14ac:dyDescent="0.25">
      <c r="A983">
        <v>202609</v>
      </c>
      <c r="B983">
        <v>5</v>
      </c>
      <c r="C983" s="148">
        <v>46273</v>
      </c>
      <c r="D983">
        <v>21</v>
      </c>
      <c r="E983">
        <v>21</v>
      </c>
      <c r="F983">
        <v>677</v>
      </c>
      <c r="G983">
        <f>Consulta2[[#This Row],[DIA_UTIL_CORRENTE]]</f>
        <v>5</v>
      </c>
      <c r="H983" s="6">
        <f>DAY(Consulta2[[#This Row],[DATA]])</f>
        <v>8</v>
      </c>
      <c r="I983" s="6">
        <f>MONTH(Consulta2[[#This Row],[DATA]])</f>
        <v>9</v>
      </c>
      <c r="J983" t="str">
        <f>CONCATENATE(Consulta2[[#This Row],[SAFRA]],Consulta2[[#This Row],[dia]])</f>
        <v>2026098</v>
      </c>
      <c r="K983">
        <f>Consulta2[[#This Row],[DIA_UTIL_CORRENTE]]</f>
        <v>5</v>
      </c>
    </row>
    <row r="984" spans="1:11" x14ac:dyDescent="0.25">
      <c r="A984">
        <v>202609</v>
      </c>
      <c r="B984">
        <v>6</v>
      </c>
      <c r="C984" s="148">
        <v>46274</v>
      </c>
      <c r="D984">
        <v>21</v>
      </c>
      <c r="E984">
        <v>21</v>
      </c>
      <c r="F984">
        <v>678</v>
      </c>
      <c r="G984">
        <f>Consulta2[[#This Row],[DIA_UTIL_CORRENTE]]</f>
        <v>6</v>
      </c>
      <c r="H984" s="6">
        <f>DAY(Consulta2[[#This Row],[DATA]])</f>
        <v>9</v>
      </c>
      <c r="I984" s="6">
        <f>MONTH(Consulta2[[#This Row],[DATA]])</f>
        <v>9</v>
      </c>
      <c r="J984" t="str">
        <f>CONCATENATE(Consulta2[[#This Row],[SAFRA]],Consulta2[[#This Row],[dia]])</f>
        <v>2026099</v>
      </c>
      <c r="K984">
        <f>Consulta2[[#This Row],[DIA_UTIL_CORRENTE]]</f>
        <v>6</v>
      </c>
    </row>
    <row r="985" spans="1:11" x14ac:dyDescent="0.25">
      <c r="A985">
        <v>202609</v>
      </c>
      <c r="B985">
        <v>7</v>
      </c>
      <c r="C985" s="148">
        <v>46275</v>
      </c>
      <c r="D985">
        <v>21</v>
      </c>
      <c r="E985">
        <v>21</v>
      </c>
      <c r="F985">
        <v>679</v>
      </c>
      <c r="G985">
        <f>Consulta2[[#This Row],[DIA_UTIL_CORRENTE]]</f>
        <v>7</v>
      </c>
      <c r="H985" s="6">
        <f>DAY(Consulta2[[#This Row],[DATA]])</f>
        <v>10</v>
      </c>
      <c r="I985" s="6">
        <f>MONTH(Consulta2[[#This Row],[DATA]])</f>
        <v>9</v>
      </c>
      <c r="J985" t="str">
        <f>CONCATENATE(Consulta2[[#This Row],[SAFRA]],Consulta2[[#This Row],[dia]])</f>
        <v>20260910</v>
      </c>
      <c r="K985">
        <f>Consulta2[[#This Row],[DIA_UTIL_CORRENTE]]</f>
        <v>7</v>
      </c>
    </row>
    <row r="986" spans="1:11" x14ac:dyDescent="0.25">
      <c r="A986">
        <v>202609</v>
      </c>
      <c r="B986">
        <v>8</v>
      </c>
      <c r="C986" s="148">
        <v>46276</v>
      </c>
      <c r="D986">
        <v>21</v>
      </c>
      <c r="E986">
        <v>21</v>
      </c>
      <c r="F986">
        <v>680</v>
      </c>
      <c r="G986">
        <f>Consulta2[[#This Row],[DIA_UTIL_CORRENTE]]</f>
        <v>8</v>
      </c>
      <c r="H986" s="6">
        <f>DAY(Consulta2[[#This Row],[DATA]])</f>
        <v>11</v>
      </c>
      <c r="I986" s="6">
        <f>MONTH(Consulta2[[#This Row],[DATA]])</f>
        <v>9</v>
      </c>
      <c r="J986" t="str">
        <f>CONCATENATE(Consulta2[[#This Row],[SAFRA]],Consulta2[[#This Row],[dia]])</f>
        <v>20260911</v>
      </c>
      <c r="K986">
        <f>Consulta2[[#This Row],[DIA_UTIL_CORRENTE]]</f>
        <v>8</v>
      </c>
    </row>
    <row r="987" spans="1:11" x14ac:dyDescent="0.25">
      <c r="A987">
        <v>202609</v>
      </c>
      <c r="B987">
        <v>8</v>
      </c>
      <c r="C987" s="148">
        <v>46277</v>
      </c>
      <c r="D987">
        <v>21</v>
      </c>
      <c r="E987">
        <v>21</v>
      </c>
      <c r="F987">
        <v>680</v>
      </c>
      <c r="G987">
        <f>Consulta2[[#This Row],[DIA_UTIL_CORRENTE]]</f>
        <v>8</v>
      </c>
      <c r="H987" s="6">
        <f>DAY(Consulta2[[#This Row],[DATA]])</f>
        <v>12</v>
      </c>
      <c r="I987" s="6">
        <f>MONTH(Consulta2[[#This Row],[DATA]])</f>
        <v>9</v>
      </c>
      <c r="J987" t="str">
        <f>CONCATENATE(Consulta2[[#This Row],[SAFRA]],Consulta2[[#This Row],[dia]])</f>
        <v>20260912</v>
      </c>
      <c r="K987">
        <f>Consulta2[[#This Row],[DIA_UTIL_CORRENTE]]</f>
        <v>8</v>
      </c>
    </row>
    <row r="988" spans="1:11" x14ac:dyDescent="0.25">
      <c r="A988">
        <v>202609</v>
      </c>
      <c r="B988">
        <v>8</v>
      </c>
      <c r="C988" s="148">
        <v>46278</v>
      </c>
      <c r="D988">
        <v>21</v>
      </c>
      <c r="E988">
        <v>21</v>
      </c>
      <c r="F988">
        <v>680</v>
      </c>
      <c r="G988">
        <f>Consulta2[[#This Row],[DIA_UTIL_CORRENTE]]</f>
        <v>8</v>
      </c>
      <c r="H988" s="6">
        <f>DAY(Consulta2[[#This Row],[DATA]])</f>
        <v>13</v>
      </c>
      <c r="I988" s="6">
        <f>MONTH(Consulta2[[#This Row],[DATA]])</f>
        <v>9</v>
      </c>
      <c r="J988" t="str">
        <f>CONCATENATE(Consulta2[[#This Row],[SAFRA]],Consulta2[[#This Row],[dia]])</f>
        <v>20260913</v>
      </c>
      <c r="K988">
        <f>Consulta2[[#This Row],[DIA_UTIL_CORRENTE]]</f>
        <v>8</v>
      </c>
    </row>
    <row r="989" spans="1:11" x14ac:dyDescent="0.25">
      <c r="A989">
        <v>202609</v>
      </c>
      <c r="B989">
        <v>9</v>
      </c>
      <c r="C989" s="148">
        <v>46279</v>
      </c>
      <c r="D989">
        <v>21</v>
      </c>
      <c r="E989">
        <v>21</v>
      </c>
      <c r="F989">
        <v>681</v>
      </c>
      <c r="G989">
        <f>Consulta2[[#This Row],[DIA_UTIL_CORRENTE]]</f>
        <v>9</v>
      </c>
      <c r="H989" s="6">
        <f>DAY(Consulta2[[#This Row],[DATA]])</f>
        <v>14</v>
      </c>
      <c r="I989" s="6">
        <f>MONTH(Consulta2[[#This Row],[DATA]])</f>
        <v>9</v>
      </c>
      <c r="J989" t="str">
        <f>CONCATENATE(Consulta2[[#This Row],[SAFRA]],Consulta2[[#This Row],[dia]])</f>
        <v>20260914</v>
      </c>
      <c r="K989">
        <f>Consulta2[[#This Row],[DIA_UTIL_CORRENTE]]</f>
        <v>9</v>
      </c>
    </row>
    <row r="990" spans="1:11" x14ac:dyDescent="0.25">
      <c r="A990">
        <v>202609</v>
      </c>
      <c r="B990">
        <v>10</v>
      </c>
      <c r="C990" s="148">
        <v>46280</v>
      </c>
      <c r="D990">
        <v>21</v>
      </c>
      <c r="E990">
        <v>21</v>
      </c>
      <c r="F990">
        <v>682</v>
      </c>
      <c r="G990">
        <f>Consulta2[[#This Row],[DIA_UTIL_CORRENTE]]</f>
        <v>10</v>
      </c>
      <c r="H990" s="6">
        <f>DAY(Consulta2[[#This Row],[DATA]])</f>
        <v>15</v>
      </c>
      <c r="I990" s="6">
        <f>MONTH(Consulta2[[#This Row],[DATA]])</f>
        <v>9</v>
      </c>
      <c r="J990" t="str">
        <f>CONCATENATE(Consulta2[[#This Row],[SAFRA]],Consulta2[[#This Row],[dia]])</f>
        <v>20260915</v>
      </c>
      <c r="K990">
        <f>Consulta2[[#This Row],[DIA_UTIL_CORRENTE]]</f>
        <v>10</v>
      </c>
    </row>
    <row r="991" spans="1:11" x14ac:dyDescent="0.25">
      <c r="A991">
        <v>202609</v>
      </c>
      <c r="B991">
        <v>11</v>
      </c>
      <c r="C991" s="148">
        <v>46281</v>
      </c>
      <c r="D991">
        <v>21</v>
      </c>
      <c r="E991">
        <v>21</v>
      </c>
      <c r="F991">
        <v>683</v>
      </c>
      <c r="G991">
        <f>Consulta2[[#This Row],[DIA_UTIL_CORRENTE]]</f>
        <v>11</v>
      </c>
      <c r="H991" s="6">
        <f>DAY(Consulta2[[#This Row],[DATA]])</f>
        <v>16</v>
      </c>
      <c r="I991" s="6">
        <f>MONTH(Consulta2[[#This Row],[DATA]])</f>
        <v>9</v>
      </c>
      <c r="J991" t="str">
        <f>CONCATENATE(Consulta2[[#This Row],[SAFRA]],Consulta2[[#This Row],[dia]])</f>
        <v>20260916</v>
      </c>
      <c r="K991">
        <f>Consulta2[[#This Row],[DIA_UTIL_CORRENTE]]</f>
        <v>11</v>
      </c>
    </row>
    <row r="992" spans="1:11" x14ac:dyDescent="0.25">
      <c r="A992">
        <v>202609</v>
      </c>
      <c r="B992">
        <v>12</v>
      </c>
      <c r="C992" s="148">
        <v>46282</v>
      </c>
      <c r="D992">
        <v>21</v>
      </c>
      <c r="E992">
        <v>21</v>
      </c>
      <c r="F992">
        <v>684</v>
      </c>
      <c r="G992">
        <f>Consulta2[[#This Row],[DIA_UTIL_CORRENTE]]</f>
        <v>12</v>
      </c>
      <c r="H992" s="6">
        <f>DAY(Consulta2[[#This Row],[DATA]])</f>
        <v>17</v>
      </c>
      <c r="I992" s="6">
        <f>MONTH(Consulta2[[#This Row],[DATA]])</f>
        <v>9</v>
      </c>
      <c r="J992" t="str">
        <f>CONCATENATE(Consulta2[[#This Row],[SAFRA]],Consulta2[[#This Row],[dia]])</f>
        <v>20260917</v>
      </c>
      <c r="K992">
        <f>Consulta2[[#This Row],[DIA_UTIL_CORRENTE]]</f>
        <v>12</v>
      </c>
    </row>
    <row r="993" spans="1:11" x14ac:dyDescent="0.25">
      <c r="A993">
        <v>202609</v>
      </c>
      <c r="B993">
        <v>13</v>
      </c>
      <c r="C993" s="148">
        <v>46283</v>
      </c>
      <c r="D993">
        <v>21</v>
      </c>
      <c r="E993">
        <v>21</v>
      </c>
      <c r="F993">
        <v>685</v>
      </c>
      <c r="G993">
        <f>Consulta2[[#This Row],[DIA_UTIL_CORRENTE]]</f>
        <v>13</v>
      </c>
      <c r="H993" s="6">
        <f>DAY(Consulta2[[#This Row],[DATA]])</f>
        <v>18</v>
      </c>
      <c r="I993" s="6">
        <f>MONTH(Consulta2[[#This Row],[DATA]])</f>
        <v>9</v>
      </c>
      <c r="J993" t="str">
        <f>CONCATENATE(Consulta2[[#This Row],[SAFRA]],Consulta2[[#This Row],[dia]])</f>
        <v>20260918</v>
      </c>
      <c r="K993">
        <f>Consulta2[[#This Row],[DIA_UTIL_CORRENTE]]</f>
        <v>13</v>
      </c>
    </row>
    <row r="994" spans="1:11" x14ac:dyDescent="0.25">
      <c r="A994">
        <v>202609</v>
      </c>
      <c r="B994">
        <v>13</v>
      </c>
      <c r="C994" s="148">
        <v>46284</v>
      </c>
      <c r="D994">
        <v>21</v>
      </c>
      <c r="E994">
        <v>21</v>
      </c>
      <c r="F994">
        <v>685</v>
      </c>
      <c r="G994">
        <f>Consulta2[[#This Row],[DIA_UTIL_CORRENTE]]</f>
        <v>13</v>
      </c>
      <c r="H994" s="6">
        <f>DAY(Consulta2[[#This Row],[DATA]])</f>
        <v>19</v>
      </c>
      <c r="I994" s="6">
        <f>MONTH(Consulta2[[#This Row],[DATA]])</f>
        <v>9</v>
      </c>
      <c r="J994" t="str">
        <f>CONCATENATE(Consulta2[[#This Row],[SAFRA]],Consulta2[[#This Row],[dia]])</f>
        <v>20260919</v>
      </c>
      <c r="K994">
        <f>Consulta2[[#This Row],[DIA_UTIL_CORRENTE]]</f>
        <v>13</v>
      </c>
    </row>
    <row r="995" spans="1:11" x14ac:dyDescent="0.25">
      <c r="A995">
        <v>202609</v>
      </c>
      <c r="B995">
        <v>13</v>
      </c>
      <c r="C995" s="148">
        <v>46285</v>
      </c>
      <c r="D995">
        <v>21</v>
      </c>
      <c r="E995">
        <v>21</v>
      </c>
      <c r="F995">
        <v>685</v>
      </c>
      <c r="G995">
        <f>Consulta2[[#This Row],[DIA_UTIL_CORRENTE]]</f>
        <v>13</v>
      </c>
      <c r="H995" s="6">
        <f>DAY(Consulta2[[#This Row],[DATA]])</f>
        <v>20</v>
      </c>
      <c r="I995" s="6">
        <f>MONTH(Consulta2[[#This Row],[DATA]])</f>
        <v>9</v>
      </c>
      <c r="J995" t="str">
        <f>CONCATENATE(Consulta2[[#This Row],[SAFRA]],Consulta2[[#This Row],[dia]])</f>
        <v>20260920</v>
      </c>
      <c r="K995">
        <f>Consulta2[[#This Row],[DIA_UTIL_CORRENTE]]</f>
        <v>13</v>
      </c>
    </row>
    <row r="996" spans="1:11" x14ac:dyDescent="0.25">
      <c r="A996">
        <v>202609</v>
      </c>
      <c r="B996">
        <v>14</v>
      </c>
      <c r="C996" s="148">
        <v>46286</v>
      </c>
      <c r="D996">
        <v>21</v>
      </c>
      <c r="E996">
        <v>21</v>
      </c>
      <c r="F996">
        <v>686</v>
      </c>
      <c r="G996">
        <f>Consulta2[[#This Row],[DIA_UTIL_CORRENTE]]</f>
        <v>14</v>
      </c>
      <c r="H996" s="6">
        <f>DAY(Consulta2[[#This Row],[DATA]])</f>
        <v>21</v>
      </c>
      <c r="I996" s="6">
        <f>MONTH(Consulta2[[#This Row],[DATA]])</f>
        <v>9</v>
      </c>
      <c r="J996" t="str">
        <f>CONCATENATE(Consulta2[[#This Row],[SAFRA]],Consulta2[[#This Row],[dia]])</f>
        <v>20260921</v>
      </c>
      <c r="K996">
        <f>Consulta2[[#This Row],[DIA_UTIL_CORRENTE]]</f>
        <v>14</v>
      </c>
    </row>
    <row r="997" spans="1:11" x14ac:dyDescent="0.25">
      <c r="A997">
        <v>202609</v>
      </c>
      <c r="B997">
        <v>15</v>
      </c>
      <c r="C997" s="148">
        <v>46287</v>
      </c>
      <c r="D997">
        <v>21</v>
      </c>
      <c r="E997">
        <v>21</v>
      </c>
      <c r="F997">
        <v>687</v>
      </c>
      <c r="G997">
        <f>Consulta2[[#This Row],[DIA_UTIL_CORRENTE]]</f>
        <v>15</v>
      </c>
      <c r="H997" s="6">
        <f>DAY(Consulta2[[#This Row],[DATA]])</f>
        <v>22</v>
      </c>
      <c r="I997" s="6">
        <f>MONTH(Consulta2[[#This Row],[DATA]])</f>
        <v>9</v>
      </c>
      <c r="J997" t="str">
        <f>CONCATENATE(Consulta2[[#This Row],[SAFRA]],Consulta2[[#This Row],[dia]])</f>
        <v>20260922</v>
      </c>
      <c r="K997">
        <f>Consulta2[[#This Row],[DIA_UTIL_CORRENTE]]</f>
        <v>15</v>
      </c>
    </row>
    <row r="998" spans="1:11" x14ac:dyDescent="0.25">
      <c r="A998">
        <v>202609</v>
      </c>
      <c r="B998">
        <v>16</v>
      </c>
      <c r="C998" s="148">
        <v>46288</v>
      </c>
      <c r="D998">
        <v>21</v>
      </c>
      <c r="E998">
        <v>21</v>
      </c>
      <c r="F998">
        <v>688</v>
      </c>
      <c r="G998">
        <f>Consulta2[[#This Row],[DIA_UTIL_CORRENTE]]</f>
        <v>16</v>
      </c>
      <c r="H998" s="6">
        <f>DAY(Consulta2[[#This Row],[DATA]])</f>
        <v>23</v>
      </c>
      <c r="I998" s="6">
        <f>MONTH(Consulta2[[#This Row],[DATA]])</f>
        <v>9</v>
      </c>
      <c r="J998" t="str">
        <f>CONCATENATE(Consulta2[[#This Row],[SAFRA]],Consulta2[[#This Row],[dia]])</f>
        <v>20260923</v>
      </c>
      <c r="K998">
        <f>Consulta2[[#This Row],[DIA_UTIL_CORRENTE]]</f>
        <v>16</v>
      </c>
    </row>
    <row r="999" spans="1:11" x14ac:dyDescent="0.25">
      <c r="A999">
        <v>202609</v>
      </c>
      <c r="B999">
        <v>17</v>
      </c>
      <c r="C999" s="148">
        <v>46289</v>
      </c>
      <c r="D999">
        <v>21</v>
      </c>
      <c r="E999">
        <v>21</v>
      </c>
      <c r="F999">
        <v>689</v>
      </c>
      <c r="G999">
        <f>Consulta2[[#This Row],[DIA_UTIL_CORRENTE]]</f>
        <v>17</v>
      </c>
      <c r="H999" s="6">
        <f>DAY(Consulta2[[#This Row],[DATA]])</f>
        <v>24</v>
      </c>
      <c r="I999" s="6">
        <f>MONTH(Consulta2[[#This Row],[DATA]])</f>
        <v>9</v>
      </c>
      <c r="J999" t="str">
        <f>CONCATENATE(Consulta2[[#This Row],[SAFRA]],Consulta2[[#This Row],[dia]])</f>
        <v>20260924</v>
      </c>
      <c r="K999">
        <f>Consulta2[[#This Row],[DIA_UTIL_CORRENTE]]</f>
        <v>17</v>
      </c>
    </row>
    <row r="1000" spans="1:11" x14ac:dyDescent="0.25">
      <c r="A1000">
        <v>202609</v>
      </c>
      <c r="B1000">
        <v>18</v>
      </c>
      <c r="C1000" s="148">
        <v>46290</v>
      </c>
      <c r="D1000">
        <v>21</v>
      </c>
      <c r="E1000">
        <v>21</v>
      </c>
      <c r="F1000">
        <v>690</v>
      </c>
      <c r="G1000">
        <f>Consulta2[[#This Row],[DIA_UTIL_CORRENTE]]</f>
        <v>18</v>
      </c>
      <c r="H1000" s="6">
        <f>DAY(Consulta2[[#This Row],[DATA]])</f>
        <v>25</v>
      </c>
      <c r="I1000" s="6">
        <f>MONTH(Consulta2[[#This Row],[DATA]])</f>
        <v>9</v>
      </c>
      <c r="J1000" t="str">
        <f>CONCATENATE(Consulta2[[#This Row],[SAFRA]],Consulta2[[#This Row],[dia]])</f>
        <v>20260925</v>
      </c>
      <c r="K1000">
        <f>Consulta2[[#This Row],[DIA_UTIL_CORRENTE]]</f>
        <v>18</v>
      </c>
    </row>
    <row r="1001" spans="1:11" x14ac:dyDescent="0.25">
      <c r="A1001">
        <v>202609</v>
      </c>
      <c r="B1001">
        <v>18</v>
      </c>
      <c r="C1001" s="148">
        <v>46291</v>
      </c>
      <c r="D1001">
        <v>21</v>
      </c>
      <c r="E1001">
        <v>21</v>
      </c>
      <c r="F1001">
        <v>690</v>
      </c>
      <c r="G1001">
        <f>Consulta2[[#This Row],[DIA_UTIL_CORRENTE]]</f>
        <v>18</v>
      </c>
      <c r="H1001" s="6">
        <f>DAY(Consulta2[[#This Row],[DATA]])</f>
        <v>26</v>
      </c>
      <c r="I1001" s="6">
        <f>MONTH(Consulta2[[#This Row],[DATA]])</f>
        <v>9</v>
      </c>
      <c r="J1001" t="str">
        <f>CONCATENATE(Consulta2[[#This Row],[SAFRA]],Consulta2[[#This Row],[dia]])</f>
        <v>20260926</v>
      </c>
      <c r="K1001">
        <f>Consulta2[[#This Row],[DIA_UTIL_CORRENTE]]</f>
        <v>18</v>
      </c>
    </row>
    <row r="1002" spans="1:11" x14ac:dyDescent="0.25">
      <c r="A1002">
        <v>202609</v>
      </c>
      <c r="B1002">
        <v>18</v>
      </c>
      <c r="C1002" s="148">
        <v>46292</v>
      </c>
      <c r="D1002">
        <v>21</v>
      </c>
      <c r="E1002">
        <v>21</v>
      </c>
      <c r="F1002">
        <v>690</v>
      </c>
      <c r="G1002">
        <f>Consulta2[[#This Row],[DIA_UTIL_CORRENTE]]</f>
        <v>18</v>
      </c>
      <c r="H1002" s="6">
        <f>DAY(Consulta2[[#This Row],[DATA]])</f>
        <v>27</v>
      </c>
      <c r="I1002" s="6">
        <f>MONTH(Consulta2[[#This Row],[DATA]])</f>
        <v>9</v>
      </c>
      <c r="J1002" t="str">
        <f>CONCATENATE(Consulta2[[#This Row],[SAFRA]],Consulta2[[#This Row],[dia]])</f>
        <v>20260927</v>
      </c>
      <c r="K1002">
        <f>Consulta2[[#This Row],[DIA_UTIL_CORRENTE]]</f>
        <v>18</v>
      </c>
    </row>
    <row r="1003" spans="1:11" x14ac:dyDescent="0.25">
      <c r="A1003">
        <v>202609</v>
      </c>
      <c r="B1003">
        <v>19</v>
      </c>
      <c r="C1003" s="148">
        <v>46293</v>
      </c>
      <c r="D1003">
        <v>21</v>
      </c>
      <c r="E1003">
        <v>21</v>
      </c>
      <c r="F1003">
        <v>691</v>
      </c>
      <c r="G1003">
        <f>Consulta2[[#This Row],[DIA_UTIL_CORRENTE]]</f>
        <v>19</v>
      </c>
      <c r="H1003" s="6">
        <f>DAY(Consulta2[[#This Row],[DATA]])</f>
        <v>28</v>
      </c>
      <c r="I1003" s="6">
        <f>MONTH(Consulta2[[#This Row],[DATA]])</f>
        <v>9</v>
      </c>
      <c r="J1003" t="str">
        <f>CONCATENATE(Consulta2[[#This Row],[SAFRA]],Consulta2[[#This Row],[dia]])</f>
        <v>20260928</v>
      </c>
      <c r="K1003">
        <f>Consulta2[[#This Row],[DIA_UTIL_CORRENTE]]</f>
        <v>19</v>
      </c>
    </row>
    <row r="1004" spans="1:11" x14ac:dyDescent="0.25">
      <c r="A1004">
        <v>202609</v>
      </c>
      <c r="B1004">
        <v>20</v>
      </c>
      <c r="C1004" s="148">
        <v>46294</v>
      </c>
      <c r="D1004">
        <v>21</v>
      </c>
      <c r="E1004">
        <v>21</v>
      </c>
      <c r="F1004">
        <v>692</v>
      </c>
      <c r="G1004">
        <f>Consulta2[[#This Row],[DIA_UTIL_CORRENTE]]</f>
        <v>20</v>
      </c>
      <c r="H1004" s="6">
        <f>DAY(Consulta2[[#This Row],[DATA]])</f>
        <v>29</v>
      </c>
      <c r="I1004" s="6">
        <f>MONTH(Consulta2[[#This Row],[DATA]])</f>
        <v>9</v>
      </c>
      <c r="J1004" t="str">
        <f>CONCATENATE(Consulta2[[#This Row],[SAFRA]],Consulta2[[#This Row],[dia]])</f>
        <v>20260929</v>
      </c>
      <c r="K1004">
        <f>Consulta2[[#This Row],[DIA_UTIL_CORRENTE]]</f>
        <v>20</v>
      </c>
    </row>
    <row r="1005" spans="1:11" x14ac:dyDescent="0.25">
      <c r="A1005">
        <v>202609</v>
      </c>
      <c r="B1005">
        <v>21</v>
      </c>
      <c r="C1005" s="148">
        <v>46295</v>
      </c>
      <c r="D1005">
        <v>21</v>
      </c>
      <c r="E1005">
        <v>21</v>
      </c>
      <c r="F1005">
        <v>693</v>
      </c>
      <c r="G1005">
        <f>Consulta2[[#This Row],[DIA_UTIL_CORRENTE]]</f>
        <v>21</v>
      </c>
      <c r="H1005" s="6">
        <f>DAY(Consulta2[[#This Row],[DATA]])</f>
        <v>30</v>
      </c>
      <c r="I1005" s="6">
        <f>MONTH(Consulta2[[#This Row],[DATA]])</f>
        <v>9</v>
      </c>
      <c r="J1005" t="str">
        <f>CONCATENATE(Consulta2[[#This Row],[SAFRA]],Consulta2[[#This Row],[dia]])</f>
        <v>20260930</v>
      </c>
      <c r="K1005">
        <f>Consulta2[[#This Row],[DIA_UTIL_CORRENTE]]</f>
        <v>21</v>
      </c>
    </row>
    <row r="1006" spans="1:11" x14ac:dyDescent="0.25">
      <c r="A1006">
        <v>202610</v>
      </c>
      <c r="B1006">
        <v>1</v>
      </c>
      <c r="C1006" s="148">
        <v>46296</v>
      </c>
      <c r="D1006">
        <v>21</v>
      </c>
      <c r="E1006">
        <v>21</v>
      </c>
      <c r="F1006">
        <v>694</v>
      </c>
      <c r="G1006">
        <f>Consulta2[[#This Row],[DIA_UTIL_CORRENTE]]</f>
        <v>1</v>
      </c>
      <c r="H1006" s="6">
        <f>DAY(Consulta2[[#This Row],[DATA]])</f>
        <v>1</v>
      </c>
      <c r="I1006" s="6">
        <f>MONTH(Consulta2[[#This Row],[DATA]])</f>
        <v>10</v>
      </c>
      <c r="J1006" t="str">
        <f>CONCATENATE(Consulta2[[#This Row],[SAFRA]],Consulta2[[#This Row],[dia]])</f>
        <v>2026101</v>
      </c>
      <c r="K1006">
        <f>Consulta2[[#This Row],[DIA_UTIL_CORRENTE]]</f>
        <v>1</v>
      </c>
    </row>
    <row r="1007" spans="1:11" x14ac:dyDescent="0.25">
      <c r="A1007">
        <v>202610</v>
      </c>
      <c r="B1007">
        <v>2</v>
      </c>
      <c r="C1007" s="148">
        <v>46297</v>
      </c>
      <c r="D1007">
        <v>21</v>
      </c>
      <c r="E1007">
        <v>21</v>
      </c>
      <c r="F1007">
        <v>695</v>
      </c>
      <c r="G1007">
        <f>Consulta2[[#This Row],[DIA_UTIL_CORRENTE]]</f>
        <v>2</v>
      </c>
      <c r="H1007" s="6">
        <f>DAY(Consulta2[[#This Row],[DATA]])</f>
        <v>2</v>
      </c>
      <c r="I1007" s="6">
        <f>MONTH(Consulta2[[#This Row],[DATA]])</f>
        <v>10</v>
      </c>
      <c r="J1007" t="str">
        <f>CONCATENATE(Consulta2[[#This Row],[SAFRA]],Consulta2[[#This Row],[dia]])</f>
        <v>2026102</v>
      </c>
      <c r="K1007">
        <f>Consulta2[[#This Row],[DIA_UTIL_CORRENTE]]</f>
        <v>2</v>
      </c>
    </row>
    <row r="1008" spans="1:11" x14ac:dyDescent="0.25">
      <c r="A1008">
        <v>202610</v>
      </c>
      <c r="B1008">
        <v>2</v>
      </c>
      <c r="C1008" s="148">
        <v>46298</v>
      </c>
      <c r="D1008">
        <v>21</v>
      </c>
      <c r="E1008">
        <v>21</v>
      </c>
      <c r="F1008">
        <v>695</v>
      </c>
      <c r="G1008">
        <f>Consulta2[[#This Row],[DIA_UTIL_CORRENTE]]</f>
        <v>2</v>
      </c>
      <c r="H1008" s="6">
        <f>DAY(Consulta2[[#This Row],[DATA]])</f>
        <v>3</v>
      </c>
      <c r="I1008" s="6">
        <f>MONTH(Consulta2[[#This Row],[DATA]])</f>
        <v>10</v>
      </c>
      <c r="J1008" t="str">
        <f>CONCATENATE(Consulta2[[#This Row],[SAFRA]],Consulta2[[#This Row],[dia]])</f>
        <v>2026103</v>
      </c>
      <c r="K1008">
        <f>Consulta2[[#This Row],[DIA_UTIL_CORRENTE]]</f>
        <v>2</v>
      </c>
    </row>
    <row r="1009" spans="1:11" x14ac:dyDescent="0.25">
      <c r="A1009">
        <v>202610</v>
      </c>
      <c r="B1009">
        <v>2</v>
      </c>
      <c r="C1009" s="148">
        <v>46299</v>
      </c>
      <c r="D1009">
        <v>21</v>
      </c>
      <c r="E1009">
        <v>21</v>
      </c>
      <c r="F1009">
        <v>695</v>
      </c>
      <c r="G1009">
        <f>Consulta2[[#This Row],[DIA_UTIL_CORRENTE]]</f>
        <v>2</v>
      </c>
      <c r="H1009" s="6">
        <f>DAY(Consulta2[[#This Row],[DATA]])</f>
        <v>4</v>
      </c>
      <c r="I1009" s="6">
        <f>MONTH(Consulta2[[#This Row],[DATA]])</f>
        <v>10</v>
      </c>
      <c r="J1009" t="str">
        <f>CONCATENATE(Consulta2[[#This Row],[SAFRA]],Consulta2[[#This Row],[dia]])</f>
        <v>2026104</v>
      </c>
      <c r="K1009">
        <f>Consulta2[[#This Row],[DIA_UTIL_CORRENTE]]</f>
        <v>2</v>
      </c>
    </row>
    <row r="1010" spans="1:11" x14ac:dyDescent="0.25">
      <c r="A1010">
        <v>202610</v>
      </c>
      <c r="B1010">
        <v>3</v>
      </c>
      <c r="C1010" s="148">
        <v>46300</v>
      </c>
      <c r="D1010">
        <v>21</v>
      </c>
      <c r="E1010">
        <v>21</v>
      </c>
      <c r="F1010">
        <v>696</v>
      </c>
      <c r="G1010">
        <f>Consulta2[[#This Row],[DIA_UTIL_CORRENTE]]</f>
        <v>3</v>
      </c>
      <c r="H1010" s="6">
        <f>DAY(Consulta2[[#This Row],[DATA]])</f>
        <v>5</v>
      </c>
      <c r="I1010" s="6">
        <f>MONTH(Consulta2[[#This Row],[DATA]])</f>
        <v>10</v>
      </c>
      <c r="J1010" t="str">
        <f>CONCATENATE(Consulta2[[#This Row],[SAFRA]],Consulta2[[#This Row],[dia]])</f>
        <v>2026105</v>
      </c>
      <c r="K1010">
        <f>Consulta2[[#This Row],[DIA_UTIL_CORRENTE]]</f>
        <v>3</v>
      </c>
    </row>
    <row r="1011" spans="1:11" x14ac:dyDescent="0.25">
      <c r="A1011">
        <v>202610</v>
      </c>
      <c r="B1011">
        <v>4</v>
      </c>
      <c r="C1011" s="148">
        <v>46301</v>
      </c>
      <c r="D1011">
        <v>21</v>
      </c>
      <c r="E1011">
        <v>21</v>
      </c>
      <c r="F1011">
        <v>697</v>
      </c>
      <c r="G1011">
        <f>Consulta2[[#This Row],[DIA_UTIL_CORRENTE]]</f>
        <v>4</v>
      </c>
      <c r="H1011" s="6">
        <f>DAY(Consulta2[[#This Row],[DATA]])</f>
        <v>6</v>
      </c>
      <c r="I1011" s="6">
        <f>MONTH(Consulta2[[#This Row],[DATA]])</f>
        <v>10</v>
      </c>
      <c r="J1011" t="str">
        <f>CONCATENATE(Consulta2[[#This Row],[SAFRA]],Consulta2[[#This Row],[dia]])</f>
        <v>2026106</v>
      </c>
      <c r="K1011">
        <f>Consulta2[[#This Row],[DIA_UTIL_CORRENTE]]</f>
        <v>4</v>
      </c>
    </row>
    <row r="1012" spans="1:11" x14ac:dyDescent="0.25">
      <c r="A1012">
        <v>202610</v>
      </c>
      <c r="B1012">
        <v>5</v>
      </c>
      <c r="C1012" s="148">
        <v>46302</v>
      </c>
      <c r="D1012">
        <v>21</v>
      </c>
      <c r="E1012">
        <v>21</v>
      </c>
      <c r="F1012">
        <v>698</v>
      </c>
      <c r="G1012">
        <f>Consulta2[[#This Row],[DIA_UTIL_CORRENTE]]</f>
        <v>5</v>
      </c>
      <c r="H1012" s="6">
        <f>DAY(Consulta2[[#This Row],[DATA]])</f>
        <v>7</v>
      </c>
      <c r="I1012" s="6">
        <f>MONTH(Consulta2[[#This Row],[DATA]])</f>
        <v>10</v>
      </c>
      <c r="J1012" t="str">
        <f>CONCATENATE(Consulta2[[#This Row],[SAFRA]],Consulta2[[#This Row],[dia]])</f>
        <v>2026107</v>
      </c>
      <c r="K1012">
        <f>Consulta2[[#This Row],[DIA_UTIL_CORRENTE]]</f>
        <v>5</v>
      </c>
    </row>
    <row r="1013" spans="1:11" x14ac:dyDescent="0.25">
      <c r="A1013">
        <v>202610</v>
      </c>
      <c r="B1013">
        <v>6</v>
      </c>
      <c r="C1013" s="148">
        <v>46303</v>
      </c>
      <c r="D1013">
        <v>21</v>
      </c>
      <c r="E1013">
        <v>21</v>
      </c>
      <c r="F1013">
        <v>699</v>
      </c>
      <c r="G1013">
        <f>Consulta2[[#This Row],[DIA_UTIL_CORRENTE]]</f>
        <v>6</v>
      </c>
      <c r="H1013" s="6">
        <f>DAY(Consulta2[[#This Row],[DATA]])</f>
        <v>8</v>
      </c>
      <c r="I1013" s="6">
        <f>MONTH(Consulta2[[#This Row],[DATA]])</f>
        <v>10</v>
      </c>
      <c r="J1013" t="str">
        <f>CONCATENATE(Consulta2[[#This Row],[SAFRA]],Consulta2[[#This Row],[dia]])</f>
        <v>2026108</v>
      </c>
      <c r="K1013">
        <f>Consulta2[[#This Row],[DIA_UTIL_CORRENTE]]</f>
        <v>6</v>
      </c>
    </row>
    <row r="1014" spans="1:11" x14ac:dyDescent="0.25">
      <c r="A1014">
        <v>202610</v>
      </c>
      <c r="B1014">
        <v>7</v>
      </c>
      <c r="C1014" s="148">
        <v>46304</v>
      </c>
      <c r="D1014">
        <v>21</v>
      </c>
      <c r="E1014">
        <v>21</v>
      </c>
      <c r="F1014">
        <v>700</v>
      </c>
      <c r="G1014">
        <f>Consulta2[[#This Row],[DIA_UTIL_CORRENTE]]</f>
        <v>7</v>
      </c>
      <c r="H1014" s="6">
        <f>DAY(Consulta2[[#This Row],[DATA]])</f>
        <v>9</v>
      </c>
      <c r="I1014" s="6">
        <f>MONTH(Consulta2[[#This Row],[DATA]])</f>
        <v>10</v>
      </c>
      <c r="J1014" t="str">
        <f>CONCATENATE(Consulta2[[#This Row],[SAFRA]],Consulta2[[#This Row],[dia]])</f>
        <v>2026109</v>
      </c>
      <c r="K1014">
        <f>Consulta2[[#This Row],[DIA_UTIL_CORRENTE]]</f>
        <v>7</v>
      </c>
    </row>
    <row r="1015" spans="1:11" x14ac:dyDescent="0.25">
      <c r="A1015">
        <v>202610</v>
      </c>
      <c r="B1015">
        <v>7</v>
      </c>
      <c r="C1015" s="148">
        <v>46305</v>
      </c>
      <c r="D1015">
        <v>21</v>
      </c>
      <c r="E1015">
        <v>21</v>
      </c>
      <c r="F1015">
        <v>700</v>
      </c>
      <c r="G1015">
        <f>Consulta2[[#This Row],[DIA_UTIL_CORRENTE]]</f>
        <v>7</v>
      </c>
      <c r="H1015" s="6">
        <f>DAY(Consulta2[[#This Row],[DATA]])</f>
        <v>10</v>
      </c>
      <c r="I1015" s="6">
        <f>MONTH(Consulta2[[#This Row],[DATA]])</f>
        <v>10</v>
      </c>
      <c r="J1015" t="str">
        <f>CONCATENATE(Consulta2[[#This Row],[SAFRA]],Consulta2[[#This Row],[dia]])</f>
        <v>20261010</v>
      </c>
      <c r="K1015">
        <f>Consulta2[[#This Row],[DIA_UTIL_CORRENTE]]</f>
        <v>7</v>
      </c>
    </row>
    <row r="1016" spans="1:11" x14ac:dyDescent="0.25">
      <c r="A1016">
        <v>202610</v>
      </c>
      <c r="B1016">
        <v>7</v>
      </c>
      <c r="C1016" s="148">
        <v>46306</v>
      </c>
      <c r="D1016">
        <v>21</v>
      </c>
      <c r="E1016">
        <v>21</v>
      </c>
      <c r="F1016">
        <v>700</v>
      </c>
      <c r="G1016">
        <f>Consulta2[[#This Row],[DIA_UTIL_CORRENTE]]</f>
        <v>7</v>
      </c>
      <c r="H1016" s="6">
        <f>DAY(Consulta2[[#This Row],[DATA]])</f>
        <v>11</v>
      </c>
      <c r="I1016" s="6">
        <f>MONTH(Consulta2[[#This Row],[DATA]])</f>
        <v>10</v>
      </c>
      <c r="J1016" t="str">
        <f>CONCATENATE(Consulta2[[#This Row],[SAFRA]],Consulta2[[#This Row],[dia]])</f>
        <v>20261011</v>
      </c>
      <c r="K1016">
        <f>Consulta2[[#This Row],[DIA_UTIL_CORRENTE]]</f>
        <v>7</v>
      </c>
    </row>
    <row r="1017" spans="1:11" x14ac:dyDescent="0.25">
      <c r="A1017">
        <v>202610</v>
      </c>
      <c r="B1017">
        <v>7</v>
      </c>
      <c r="C1017" s="148">
        <v>46307</v>
      </c>
      <c r="D1017">
        <v>21</v>
      </c>
      <c r="E1017">
        <v>21</v>
      </c>
      <c r="F1017">
        <v>700</v>
      </c>
      <c r="G1017">
        <f>Consulta2[[#This Row],[DIA_UTIL_CORRENTE]]</f>
        <v>7</v>
      </c>
      <c r="H1017" s="6">
        <f>DAY(Consulta2[[#This Row],[DATA]])</f>
        <v>12</v>
      </c>
      <c r="I1017" s="6">
        <f>MONTH(Consulta2[[#This Row],[DATA]])</f>
        <v>10</v>
      </c>
      <c r="J1017" t="str">
        <f>CONCATENATE(Consulta2[[#This Row],[SAFRA]],Consulta2[[#This Row],[dia]])</f>
        <v>20261012</v>
      </c>
      <c r="K1017">
        <f>Consulta2[[#This Row],[DIA_UTIL_CORRENTE]]</f>
        <v>7</v>
      </c>
    </row>
    <row r="1018" spans="1:11" x14ac:dyDescent="0.25">
      <c r="A1018">
        <v>202610</v>
      </c>
      <c r="B1018">
        <v>8</v>
      </c>
      <c r="C1018" s="148">
        <v>46308</v>
      </c>
      <c r="D1018">
        <v>21</v>
      </c>
      <c r="E1018">
        <v>21</v>
      </c>
      <c r="F1018">
        <v>701</v>
      </c>
      <c r="G1018">
        <f>Consulta2[[#This Row],[DIA_UTIL_CORRENTE]]</f>
        <v>8</v>
      </c>
      <c r="H1018" s="6">
        <f>DAY(Consulta2[[#This Row],[DATA]])</f>
        <v>13</v>
      </c>
      <c r="I1018" s="6">
        <f>MONTH(Consulta2[[#This Row],[DATA]])</f>
        <v>10</v>
      </c>
      <c r="J1018" t="str">
        <f>CONCATENATE(Consulta2[[#This Row],[SAFRA]],Consulta2[[#This Row],[dia]])</f>
        <v>20261013</v>
      </c>
      <c r="K1018">
        <f>Consulta2[[#This Row],[DIA_UTIL_CORRENTE]]</f>
        <v>8</v>
      </c>
    </row>
    <row r="1019" spans="1:11" x14ac:dyDescent="0.25">
      <c r="A1019">
        <v>202610</v>
      </c>
      <c r="B1019">
        <v>9</v>
      </c>
      <c r="C1019" s="148">
        <v>46309</v>
      </c>
      <c r="D1019">
        <v>21</v>
      </c>
      <c r="E1019">
        <v>21</v>
      </c>
      <c r="F1019">
        <v>702</v>
      </c>
      <c r="G1019">
        <f>Consulta2[[#This Row],[DIA_UTIL_CORRENTE]]</f>
        <v>9</v>
      </c>
      <c r="H1019" s="6">
        <f>DAY(Consulta2[[#This Row],[DATA]])</f>
        <v>14</v>
      </c>
      <c r="I1019" s="6">
        <f>MONTH(Consulta2[[#This Row],[DATA]])</f>
        <v>10</v>
      </c>
      <c r="J1019" t="str">
        <f>CONCATENATE(Consulta2[[#This Row],[SAFRA]],Consulta2[[#This Row],[dia]])</f>
        <v>20261014</v>
      </c>
      <c r="K1019">
        <f>Consulta2[[#This Row],[DIA_UTIL_CORRENTE]]</f>
        <v>9</v>
      </c>
    </row>
    <row r="1020" spans="1:11" x14ac:dyDescent="0.25">
      <c r="A1020">
        <v>202610</v>
      </c>
      <c r="B1020">
        <v>10</v>
      </c>
      <c r="C1020" s="148">
        <v>46310</v>
      </c>
      <c r="D1020">
        <v>21</v>
      </c>
      <c r="E1020">
        <v>21</v>
      </c>
      <c r="F1020">
        <v>703</v>
      </c>
      <c r="G1020">
        <f>Consulta2[[#This Row],[DIA_UTIL_CORRENTE]]</f>
        <v>10</v>
      </c>
      <c r="H1020" s="6">
        <f>DAY(Consulta2[[#This Row],[DATA]])</f>
        <v>15</v>
      </c>
      <c r="I1020" s="6">
        <f>MONTH(Consulta2[[#This Row],[DATA]])</f>
        <v>10</v>
      </c>
      <c r="J1020" t="str">
        <f>CONCATENATE(Consulta2[[#This Row],[SAFRA]],Consulta2[[#This Row],[dia]])</f>
        <v>20261015</v>
      </c>
      <c r="K1020">
        <f>Consulta2[[#This Row],[DIA_UTIL_CORRENTE]]</f>
        <v>10</v>
      </c>
    </row>
    <row r="1021" spans="1:11" x14ac:dyDescent="0.25">
      <c r="A1021">
        <v>202610</v>
      </c>
      <c r="B1021">
        <v>11</v>
      </c>
      <c r="C1021" s="148">
        <v>46311</v>
      </c>
      <c r="D1021">
        <v>21</v>
      </c>
      <c r="E1021">
        <v>21</v>
      </c>
      <c r="F1021">
        <v>704</v>
      </c>
      <c r="G1021">
        <f>Consulta2[[#This Row],[DIA_UTIL_CORRENTE]]</f>
        <v>11</v>
      </c>
      <c r="H1021" s="6">
        <f>DAY(Consulta2[[#This Row],[DATA]])</f>
        <v>16</v>
      </c>
      <c r="I1021" s="6">
        <f>MONTH(Consulta2[[#This Row],[DATA]])</f>
        <v>10</v>
      </c>
      <c r="J1021" t="str">
        <f>CONCATENATE(Consulta2[[#This Row],[SAFRA]],Consulta2[[#This Row],[dia]])</f>
        <v>20261016</v>
      </c>
      <c r="K1021">
        <f>Consulta2[[#This Row],[DIA_UTIL_CORRENTE]]</f>
        <v>11</v>
      </c>
    </row>
    <row r="1022" spans="1:11" x14ac:dyDescent="0.25">
      <c r="A1022">
        <v>202610</v>
      </c>
      <c r="B1022">
        <v>11</v>
      </c>
      <c r="C1022" s="148">
        <v>46312</v>
      </c>
      <c r="D1022">
        <v>21</v>
      </c>
      <c r="E1022">
        <v>21</v>
      </c>
      <c r="F1022">
        <v>704</v>
      </c>
      <c r="G1022">
        <f>Consulta2[[#This Row],[DIA_UTIL_CORRENTE]]</f>
        <v>11</v>
      </c>
      <c r="H1022" s="6">
        <f>DAY(Consulta2[[#This Row],[DATA]])</f>
        <v>17</v>
      </c>
      <c r="I1022" s="6">
        <f>MONTH(Consulta2[[#This Row],[DATA]])</f>
        <v>10</v>
      </c>
      <c r="J1022" t="str">
        <f>CONCATENATE(Consulta2[[#This Row],[SAFRA]],Consulta2[[#This Row],[dia]])</f>
        <v>20261017</v>
      </c>
      <c r="K1022">
        <f>Consulta2[[#This Row],[DIA_UTIL_CORRENTE]]</f>
        <v>11</v>
      </c>
    </row>
    <row r="1023" spans="1:11" x14ac:dyDescent="0.25">
      <c r="A1023">
        <v>202610</v>
      </c>
      <c r="B1023">
        <v>11</v>
      </c>
      <c r="C1023" s="148">
        <v>46313</v>
      </c>
      <c r="D1023">
        <v>21</v>
      </c>
      <c r="E1023">
        <v>21</v>
      </c>
      <c r="F1023">
        <v>704</v>
      </c>
      <c r="G1023">
        <f>Consulta2[[#This Row],[DIA_UTIL_CORRENTE]]</f>
        <v>11</v>
      </c>
      <c r="H1023" s="6">
        <f>DAY(Consulta2[[#This Row],[DATA]])</f>
        <v>18</v>
      </c>
      <c r="I1023" s="6">
        <f>MONTH(Consulta2[[#This Row],[DATA]])</f>
        <v>10</v>
      </c>
      <c r="J1023" t="str">
        <f>CONCATENATE(Consulta2[[#This Row],[SAFRA]],Consulta2[[#This Row],[dia]])</f>
        <v>20261018</v>
      </c>
      <c r="K1023">
        <f>Consulta2[[#This Row],[DIA_UTIL_CORRENTE]]</f>
        <v>11</v>
      </c>
    </row>
    <row r="1024" spans="1:11" x14ac:dyDescent="0.25">
      <c r="A1024">
        <v>202610</v>
      </c>
      <c r="B1024">
        <v>12</v>
      </c>
      <c r="C1024" s="148">
        <v>46314</v>
      </c>
      <c r="D1024">
        <v>21</v>
      </c>
      <c r="E1024">
        <v>21</v>
      </c>
      <c r="F1024">
        <v>705</v>
      </c>
      <c r="G1024">
        <f>Consulta2[[#This Row],[DIA_UTIL_CORRENTE]]</f>
        <v>12</v>
      </c>
      <c r="H1024" s="6">
        <f>DAY(Consulta2[[#This Row],[DATA]])</f>
        <v>19</v>
      </c>
      <c r="I1024" s="6">
        <f>MONTH(Consulta2[[#This Row],[DATA]])</f>
        <v>10</v>
      </c>
      <c r="J1024" t="str">
        <f>CONCATENATE(Consulta2[[#This Row],[SAFRA]],Consulta2[[#This Row],[dia]])</f>
        <v>20261019</v>
      </c>
      <c r="K1024">
        <f>Consulta2[[#This Row],[DIA_UTIL_CORRENTE]]</f>
        <v>12</v>
      </c>
    </row>
    <row r="1025" spans="1:11" x14ac:dyDescent="0.25">
      <c r="A1025">
        <v>202610</v>
      </c>
      <c r="B1025">
        <v>13</v>
      </c>
      <c r="C1025" s="148">
        <v>46315</v>
      </c>
      <c r="D1025">
        <v>21</v>
      </c>
      <c r="E1025">
        <v>21</v>
      </c>
      <c r="F1025">
        <v>706</v>
      </c>
      <c r="G1025">
        <f>Consulta2[[#This Row],[DIA_UTIL_CORRENTE]]</f>
        <v>13</v>
      </c>
      <c r="H1025" s="6">
        <f>DAY(Consulta2[[#This Row],[DATA]])</f>
        <v>20</v>
      </c>
      <c r="I1025" s="6">
        <f>MONTH(Consulta2[[#This Row],[DATA]])</f>
        <v>10</v>
      </c>
      <c r="J1025" t="str">
        <f>CONCATENATE(Consulta2[[#This Row],[SAFRA]],Consulta2[[#This Row],[dia]])</f>
        <v>20261020</v>
      </c>
      <c r="K1025">
        <f>Consulta2[[#This Row],[DIA_UTIL_CORRENTE]]</f>
        <v>13</v>
      </c>
    </row>
    <row r="1026" spans="1:11" x14ac:dyDescent="0.25">
      <c r="A1026">
        <v>202610</v>
      </c>
      <c r="B1026">
        <v>14</v>
      </c>
      <c r="C1026" s="148">
        <v>46316</v>
      </c>
      <c r="D1026">
        <v>21</v>
      </c>
      <c r="E1026">
        <v>21</v>
      </c>
      <c r="F1026">
        <v>707</v>
      </c>
      <c r="G1026">
        <f>Consulta2[[#This Row],[DIA_UTIL_CORRENTE]]</f>
        <v>14</v>
      </c>
      <c r="H1026" s="6">
        <f>DAY(Consulta2[[#This Row],[DATA]])</f>
        <v>21</v>
      </c>
      <c r="I1026" s="6">
        <f>MONTH(Consulta2[[#This Row],[DATA]])</f>
        <v>10</v>
      </c>
      <c r="J1026" t="str">
        <f>CONCATENATE(Consulta2[[#This Row],[SAFRA]],Consulta2[[#This Row],[dia]])</f>
        <v>20261021</v>
      </c>
      <c r="K1026">
        <f>Consulta2[[#This Row],[DIA_UTIL_CORRENTE]]</f>
        <v>14</v>
      </c>
    </row>
    <row r="1027" spans="1:11" x14ac:dyDescent="0.25">
      <c r="A1027">
        <v>202610</v>
      </c>
      <c r="B1027">
        <v>15</v>
      </c>
      <c r="C1027" s="148">
        <v>46317</v>
      </c>
      <c r="D1027">
        <v>21</v>
      </c>
      <c r="E1027">
        <v>21</v>
      </c>
      <c r="F1027">
        <v>708</v>
      </c>
      <c r="G1027">
        <f>Consulta2[[#This Row],[DIA_UTIL_CORRENTE]]</f>
        <v>15</v>
      </c>
      <c r="H1027" s="6">
        <f>DAY(Consulta2[[#This Row],[DATA]])</f>
        <v>22</v>
      </c>
      <c r="I1027" s="6">
        <f>MONTH(Consulta2[[#This Row],[DATA]])</f>
        <v>10</v>
      </c>
      <c r="J1027" t="str">
        <f>CONCATENATE(Consulta2[[#This Row],[SAFRA]],Consulta2[[#This Row],[dia]])</f>
        <v>20261022</v>
      </c>
      <c r="K1027">
        <f>Consulta2[[#This Row],[DIA_UTIL_CORRENTE]]</f>
        <v>15</v>
      </c>
    </row>
    <row r="1028" spans="1:11" x14ac:dyDescent="0.25">
      <c r="A1028">
        <v>202610</v>
      </c>
      <c r="B1028">
        <v>16</v>
      </c>
      <c r="C1028" s="148">
        <v>46318</v>
      </c>
      <c r="D1028">
        <v>21</v>
      </c>
      <c r="E1028">
        <v>21</v>
      </c>
      <c r="F1028">
        <v>709</v>
      </c>
      <c r="G1028">
        <f>Consulta2[[#This Row],[DIA_UTIL_CORRENTE]]</f>
        <v>16</v>
      </c>
      <c r="H1028" s="6">
        <f>DAY(Consulta2[[#This Row],[DATA]])</f>
        <v>23</v>
      </c>
      <c r="I1028" s="6">
        <f>MONTH(Consulta2[[#This Row],[DATA]])</f>
        <v>10</v>
      </c>
      <c r="J1028" t="str">
        <f>CONCATENATE(Consulta2[[#This Row],[SAFRA]],Consulta2[[#This Row],[dia]])</f>
        <v>20261023</v>
      </c>
      <c r="K1028">
        <f>Consulta2[[#This Row],[DIA_UTIL_CORRENTE]]</f>
        <v>16</v>
      </c>
    </row>
    <row r="1029" spans="1:11" x14ac:dyDescent="0.25">
      <c r="A1029">
        <v>202610</v>
      </c>
      <c r="B1029">
        <v>16</v>
      </c>
      <c r="C1029" s="148">
        <v>46319</v>
      </c>
      <c r="D1029">
        <v>21</v>
      </c>
      <c r="E1029">
        <v>21</v>
      </c>
      <c r="F1029">
        <v>709</v>
      </c>
      <c r="G1029">
        <f>Consulta2[[#This Row],[DIA_UTIL_CORRENTE]]</f>
        <v>16</v>
      </c>
      <c r="H1029" s="6">
        <f>DAY(Consulta2[[#This Row],[DATA]])</f>
        <v>24</v>
      </c>
      <c r="I1029" s="6">
        <f>MONTH(Consulta2[[#This Row],[DATA]])</f>
        <v>10</v>
      </c>
      <c r="J1029" t="str">
        <f>CONCATENATE(Consulta2[[#This Row],[SAFRA]],Consulta2[[#This Row],[dia]])</f>
        <v>20261024</v>
      </c>
      <c r="K1029">
        <f>Consulta2[[#This Row],[DIA_UTIL_CORRENTE]]</f>
        <v>16</v>
      </c>
    </row>
    <row r="1030" spans="1:11" x14ac:dyDescent="0.25">
      <c r="A1030">
        <v>202610</v>
      </c>
      <c r="B1030">
        <v>16</v>
      </c>
      <c r="C1030" s="148">
        <v>46320</v>
      </c>
      <c r="D1030">
        <v>21</v>
      </c>
      <c r="E1030">
        <v>21</v>
      </c>
      <c r="F1030">
        <v>709</v>
      </c>
      <c r="G1030">
        <f>Consulta2[[#This Row],[DIA_UTIL_CORRENTE]]</f>
        <v>16</v>
      </c>
      <c r="H1030" s="6">
        <f>DAY(Consulta2[[#This Row],[DATA]])</f>
        <v>25</v>
      </c>
      <c r="I1030" s="6">
        <f>MONTH(Consulta2[[#This Row],[DATA]])</f>
        <v>10</v>
      </c>
      <c r="J1030" t="str">
        <f>CONCATENATE(Consulta2[[#This Row],[SAFRA]],Consulta2[[#This Row],[dia]])</f>
        <v>20261025</v>
      </c>
      <c r="K1030">
        <f>Consulta2[[#This Row],[DIA_UTIL_CORRENTE]]</f>
        <v>16</v>
      </c>
    </row>
    <row r="1031" spans="1:11" x14ac:dyDescent="0.25">
      <c r="A1031">
        <v>202610</v>
      </c>
      <c r="B1031">
        <v>17</v>
      </c>
      <c r="C1031" s="148">
        <v>46321</v>
      </c>
      <c r="D1031">
        <v>21</v>
      </c>
      <c r="E1031">
        <v>21</v>
      </c>
      <c r="F1031">
        <v>710</v>
      </c>
      <c r="G1031">
        <f>Consulta2[[#This Row],[DIA_UTIL_CORRENTE]]</f>
        <v>17</v>
      </c>
      <c r="H1031" s="6">
        <f>DAY(Consulta2[[#This Row],[DATA]])</f>
        <v>26</v>
      </c>
      <c r="I1031" s="6">
        <f>MONTH(Consulta2[[#This Row],[DATA]])</f>
        <v>10</v>
      </c>
      <c r="J1031" t="str">
        <f>CONCATENATE(Consulta2[[#This Row],[SAFRA]],Consulta2[[#This Row],[dia]])</f>
        <v>20261026</v>
      </c>
      <c r="K1031">
        <f>Consulta2[[#This Row],[DIA_UTIL_CORRENTE]]</f>
        <v>17</v>
      </c>
    </row>
    <row r="1032" spans="1:11" x14ac:dyDescent="0.25">
      <c r="A1032">
        <v>202610</v>
      </c>
      <c r="B1032">
        <v>18</v>
      </c>
      <c r="C1032" s="148">
        <v>46322</v>
      </c>
      <c r="D1032">
        <v>21</v>
      </c>
      <c r="E1032">
        <v>21</v>
      </c>
      <c r="F1032">
        <v>711</v>
      </c>
      <c r="G1032">
        <f>Consulta2[[#This Row],[DIA_UTIL_CORRENTE]]</f>
        <v>18</v>
      </c>
      <c r="H1032" s="6">
        <f>DAY(Consulta2[[#This Row],[DATA]])</f>
        <v>27</v>
      </c>
      <c r="I1032" s="6">
        <f>MONTH(Consulta2[[#This Row],[DATA]])</f>
        <v>10</v>
      </c>
      <c r="J1032" t="str">
        <f>CONCATENATE(Consulta2[[#This Row],[SAFRA]],Consulta2[[#This Row],[dia]])</f>
        <v>20261027</v>
      </c>
      <c r="K1032">
        <f>Consulta2[[#This Row],[DIA_UTIL_CORRENTE]]</f>
        <v>18</v>
      </c>
    </row>
    <row r="1033" spans="1:11" x14ac:dyDescent="0.25">
      <c r="A1033">
        <v>202610</v>
      </c>
      <c r="B1033">
        <v>19</v>
      </c>
      <c r="C1033" s="148">
        <v>46323</v>
      </c>
      <c r="D1033">
        <v>21</v>
      </c>
      <c r="E1033">
        <v>21</v>
      </c>
      <c r="F1033">
        <v>712</v>
      </c>
      <c r="G1033">
        <f>Consulta2[[#This Row],[DIA_UTIL_CORRENTE]]</f>
        <v>19</v>
      </c>
      <c r="H1033" s="6">
        <f>DAY(Consulta2[[#This Row],[DATA]])</f>
        <v>28</v>
      </c>
      <c r="I1033" s="6">
        <f>MONTH(Consulta2[[#This Row],[DATA]])</f>
        <v>10</v>
      </c>
      <c r="J1033" t="str">
        <f>CONCATENATE(Consulta2[[#This Row],[SAFRA]],Consulta2[[#This Row],[dia]])</f>
        <v>20261028</v>
      </c>
      <c r="K1033">
        <f>Consulta2[[#This Row],[DIA_UTIL_CORRENTE]]</f>
        <v>19</v>
      </c>
    </row>
    <row r="1034" spans="1:11" x14ac:dyDescent="0.25">
      <c r="A1034">
        <v>202610</v>
      </c>
      <c r="B1034">
        <v>20</v>
      </c>
      <c r="C1034" s="148">
        <v>46324</v>
      </c>
      <c r="D1034">
        <v>21</v>
      </c>
      <c r="E1034">
        <v>21</v>
      </c>
      <c r="F1034">
        <v>713</v>
      </c>
      <c r="G1034">
        <f>Consulta2[[#This Row],[DIA_UTIL_CORRENTE]]</f>
        <v>20</v>
      </c>
      <c r="H1034" s="6">
        <f>DAY(Consulta2[[#This Row],[DATA]])</f>
        <v>29</v>
      </c>
      <c r="I1034" s="6">
        <f>MONTH(Consulta2[[#This Row],[DATA]])</f>
        <v>10</v>
      </c>
      <c r="J1034" t="str">
        <f>CONCATENATE(Consulta2[[#This Row],[SAFRA]],Consulta2[[#This Row],[dia]])</f>
        <v>20261029</v>
      </c>
      <c r="K1034">
        <f>Consulta2[[#This Row],[DIA_UTIL_CORRENTE]]</f>
        <v>20</v>
      </c>
    </row>
    <row r="1035" spans="1:11" x14ac:dyDescent="0.25">
      <c r="A1035">
        <v>202610</v>
      </c>
      <c r="B1035">
        <v>21</v>
      </c>
      <c r="C1035" s="148">
        <v>46325</v>
      </c>
      <c r="D1035">
        <v>21</v>
      </c>
      <c r="E1035">
        <v>21</v>
      </c>
      <c r="F1035">
        <v>714</v>
      </c>
      <c r="G1035">
        <f>Consulta2[[#This Row],[DIA_UTIL_CORRENTE]]</f>
        <v>21</v>
      </c>
      <c r="H1035" s="6">
        <f>DAY(Consulta2[[#This Row],[DATA]])</f>
        <v>30</v>
      </c>
      <c r="I1035" s="6">
        <f>MONTH(Consulta2[[#This Row],[DATA]])</f>
        <v>10</v>
      </c>
      <c r="J1035" t="str">
        <f>CONCATENATE(Consulta2[[#This Row],[SAFRA]],Consulta2[[#This Row],[dia]])</f>
        <v>20261030</v>
      </c>
      <c r="K1035">
        <f>Consulta2[[#This Row],[DIA_UTIL_CORRENTE]]</f>
        <v>21</v>
      </c>
    </row>
    <row r="1036" spans="1:11" x14ac:dyDescent="0.25">
      <c r="A1036">
        <v>202610</v>
      </c>
      <c r="B1036">
        <v>21</v>
      </c>
      <c r="C1036" s="148">
        <v>46326</v>
      </c>
      <c r="D1036">
        <v>21</v>
      </c>
      <c r="E1036">
        <v>21</v>
      </c>
      <c r="F1036">
        <v>714</v>
      </c>
      <c r="G1036">
        <f>Consulta2[[#This Row],[DIA_UTIL_CORRENTE]]</f>
        <v>21</v>
      </c>
      <c r="H1036" s="6">
        <f>DAY(Consulta2[[#This Row],[DATA]])</f>
        <v>31</v>
      </c>
      <c r="I1036" s="6">
        <f>MONTH(Consulta2[[#This Row],[DATA]])</f>
        <v>10</v>
      </c>
      <c r="J1036" t="str">
        <f>CONCATENATE(Consulta2[[#This Row],[SAFRA]],Consulta2[[#This Row],[dia]])</f>
        <v>20261031</v>
      </c>
      <c r="K1036">
        <f>Consulta2[[#This Row],[DIA_UTIL_CORRENTE]]</f>
        <v>21</v>
      </c>
    </row>
    <row r="1037" spans="1:11" x14ac:dyDescent="0.25">
      <c r="A1037">
        <v>202611</v>
      </c>
      <c r="B1037">
        <v>0</v>
      </c>
      <c r="C1037" s="148">
        <v>46327</v>
      </c>
      <c r="D1037">
        <v>20</v>
      </c>
      <c r="E1037">
        <v>20</v>
      </c>
      <c r="F1037">
        <v>714</v>
      </c>
      <c r="G1037">
        <f>Consulta2[[#This Row],[DIA_UTIL_CORRENTE]]</f>
        <v>0</v>
      </c>
      <c r="H1037" s="6">
        <f>DAY(Consulta2[[#This Row],[DATA]])</f>
        <v>1</v>
      </c>
      <c r="I1037" s="6">
        <f>MONTH(Consulta2[[#This Row],[DATA]])</f>
        <v>11</v>
      </c>
      <c r="J1037" t="str">
        <f>CONCATENATE(Consulta2[[#This Row],[SAFRA]],Consulta2[[#This Row],[dia]])</f>
        <v>2026111</v>
      </c>
      <c r="K1037">
        <f>Consulta2[[#This Row],[DIA_UTIL_CORRENTE]]</f>
        <v>0</v>
      </c>
    </row>
    <row r="1038" spans="1:11" x14ac:dyDescent="0.25">
      <c r="A1038">
        <v>202611</v>
      </c>
      <c r="B1038">
        <v>0</v>
      </c>
      <c r="C1038" s="148">
        <v>46328</v>
      </c>
      <c r="D1038">
        <v>20</v>
      </c>
      <c r="E1038">
        <v>20</v>
      </c>
      <c r="F1038">
        <v>714</v>
      </c>
      <c r="G1038">
        <f>Consulta2[[#This Row],[DIA_UTIL_CORRENTE]]</f>
        <v>0</v>
      </c>
      <c r="H1038" s="6">
        <f>DAY(Consulta2[[#This Row],[DATA]])</f>
        <v>2</v>
      </c>
      <c r="I1038" s="6">
        <f>MONTH(Consulta2[[#This Row],[DATA]])</f>
        <v>11</v>
      </c>
      <c r="J1038" t="str">
        <f>CONCATENATE(Consulta2[[#This Row],[SAFRA]],Consulta2[[#This Row],[dia]])</f>
        <v>2026112</v>
      </c>
      <c r="K1038">
        <f>Consulta2[[#This Row],[DIA_UTIL_CORRENTE]]</f>
        <v>0</v>
      </c>
    </row>
    <row r="1039" spans="1:11" x14ac:dyDescent="0.25">
      <c r="A1039">
        <v>202611</v>
      </c>
      <c r="B1039">
        <v>1</v>
      </c>
      <c r="C1039" s="148">
        <v>46329</v>
      </c>
      <c r="D1039">
        <v>20</v>
      </c>
      <c r="E1039">
        <v>20</v>
      </c>
      <c r="F1039">
        <v>715</v>
      </c>
      <c r="G1039">
        <f>Consulta2[[#This Row],[DIA_UTIL_CORRENTE]]</f>
        <v>1</v>
      </c>
      <c r="H1039" s="6">
        <f>DAY(Consulta2[[#This Row],[DATA]])</f>
        <v>3</v>
      </c>
      <c r="I1039" s="6">
        <f>MONTH(Consulta2[[#This Row],[DATA]])</f>
        <v>11</v>
      </c>
      <c r="J1039" t="str">
        <f>CONCATENATE(Consulta2[[#This Row],[SAFRA]],Consulta2[[#This Row],[dia]])</f>
        <v>2026113</v>
      </c>
      <c r="K1039">
        <f>Consulta2[[#This Row],[DIA_UTIL_CORRENTE]]</f>
        <v>1</v>
      </c>
    </row>
    <row r="1040" spans="1:11" x14ac:dyDescent="0.25">
      <c r="A1040">
        <v>202611</v>
      </c>
      <c r="B1040">
        <v>2</v>
      </c>
      <c r="C1040" s="148">
        <v>46330</v>
      </c>
      <c r="D1040">
        <v>20</v>
      </c>
      <c r="E1040">
        <v>20</v>
      </c>
      <c r="F1040">
        <v>716</v>
      </c>
      <c r="G1040">
        <f>Consulta2[[#This Row],[DIA_UTIL_CORRENTE]]</f>
        <v>2</v>
      </c>
      <c r="H1040" s="6">
        <f>DAY(Consulta2[[#This Row],[DATA]])</f>
        <v>4</v>
      </c>
      <c r="I1040" s="6">
        <f>MONTH(Consulta2[[#This Row],[DATA]])</f>
        <v>11</v>
      </c>
      <c r="J1040" t="str">
        <f>CONCATENATE(Consulta2[[#This Row],[SAFRA]],Consulta2[[#This Row],[dia]])</f>
        <v>2026114</v>
      </c>
      <c r="K1040">
        <f>Consulta2[[#This Row],[DIA_UTIL_CORRENTE]]</f>
        <v>2</v>
      </c>
    </row>
    <row r="1041" spans="1:11" x14ac:dyDescent="0.25">
      <c r="A1041">
        <v>202611</v>
      </c>
      <c r="B1041">
        <v>3</v>
      </c>
      <c r="C1041" s="148">
        <v>46331</v>
      </c>
      <c r="D1041">
        <v>20</v>
      </c>
      <c r="E1041">
        <v>20</v>
      </c>
      <c r="F1041">
        <v>717</v>
      </c>
      <c r="G1041">
        <f>Consulta2[[#This Row],[DIA_UTIL_CORRENTE]]</f>
        <v>3</v>
      </c>
      <c r="H1041" s="6">
        <f>DAY(Consulta2[[#This Row],[DATA]])</f>
        <v>5</v>
      </c>
      <c r="I1041" s="6">
        <f>MONTH(Consulta2[[#This Row],[DATA]])</f>
        <v>11</v>
      </c>
      <c r="J1041" t="str">
        <f>CONCATENATE(Consulta2[[#This Row],[SAFRA]],Consulta2[[#This Row],[dia]])</f>
        <v>2026115</v>
      </c>
      <c r="K1041">
        <f>Consulta2[[#This Row],[DIA_UTIL_CORRENTE]]</f>
        <v>3</v>
      </c>
    </row>
    <row r="1042" spans="1:11" x14ac:dyDescent="0.25">
      <c r="A1042">
        <v>202611</v>
      </c>
      <c r="B1042">
        <v>4</v>
      </c>
      <c r="C1042" s="148">
        <v>46332</v>
      </c>
      <c r="D1042">
        <v>20</v>
      </c>
      <c r="E1042">
        <v>20</v>
      </c>
      <c r="F1042">
        <v>718</v>
      </c>
      <c r="G1042">
        <f>Consulta2[[#This Row],[DIA_UTIL_CORRENTE]]</f>
        <v>4</v>
      </c>
      <c r="H1042" s="6">
        <f>DAY(Consulta2[[#This Row],[DATA]])</f>
        <v>6</v>
      </c>
      <c r="I1042" s="6">
        <f>MONTH(Consulta2[[#This Row],[DATA]])</f>
        <v>11</v>
      </c>
      <c r="J1042" t="str">
        <f>CONCATENATE(Consulta2[[#This Row],[SAFRA]],Consulta2[[#This Row],[dia]])</f>
        <v>2026116</v>
      </c>
      <c r="K1042">
        <f>Consulta2[[#This Row],[DIA_UTIL_CORRENTE]]</f>
        <v>4</v>
      </c>
    </row>
    <row r="1043" spans="1:11" x14ac:dyDescent="0.25">
      <c r="A1043">
        <v>202611</v>
      </c>
      <c r="B1043">
        <v>4</v>
      </c>
      <c r="C1043" s="148">
        <v>46333</v>
      </c>
      <c r="D1043">
        <v>20</v>
      </c>
      <c r="E1043">
        <v>20</v>
      </c>
      <c r="F1043">
        <v>718</v>
      </c>
      <c r="G1043">
        <f>Consulta2[[#This Row],[DIA_UTIL_CORRENTE]]</f>
        <v>4</v>
      </c>
      <c r="H1043" s="6">
        <f>DAY(Consulta2[[#This Row],[DATA]])</f>
        <v>7</v>
      </c>
      <c r="I1043" s="6">
        <f>MONTH(Consulta2[[#This Row],[DATA]])</f>
        <v>11</v>
      </c>
      <c r="J1043" t="str">
        <f>CONCATENATE(Consulta2[[#This Row],[SAFRA]],Consulta2[[#This Row],[dia]])</f>
        <v>2026117</v>
      </c>
      <c r="K1043">
        <f>Consulta2[[#This Row],[DIA_UTIL_CORRENTE]]</f>
        <v>4</v>
      </c>
    </row>
    <row r="1044" spans="1:11" x14ac:dyDescent="0.25">
      <c r="A1044">
        <v>202611</v>
      </c>
      <c r="B1044">
        <v>4</v>
      </c>
      <c r="C1044" s="148">
        <v>46334</v>
      </c>
      <c r="D1044">
        <v>20</v>
      </c>
      <c r="E1044">
        <v>20</v>
      </c>
      <c r="F1044">
        <v>718</v>
      </c>
      <c r="G1044">
        <f>Consulta2[[#This Row],[DIA_UTIL_CORRENTE]]</f>
        <v>4</v>
      </c>
      <c r="H1044" s="6">
        <f>DAY(Consulta2[[#This Row],[DATA]])</f>
        <v>8</v>
      </c>
      <c r="I1044" s="6">
        <f>MONTH(Consulta2[[#This Row],[DATA]])</f>
        <v>11</v>
      </c>
      <c r="J1044" t="str">
        <f>CONCATENATE(Consulta2[[#This Row],[SAFRA]],Consulta2[[#This Row],[dia]])</f>
        <v>2026118</v>
      </c>
      <c r="K1044">
        <f>Consulta2[[#This Row],[DIA_UTIL_CORRENTE]]</f>
        <v>4</v>
      </c>
    </row>
    <row r="1045" spans="1:11" x14ac:dyDescent="0.25">
      <c r="A1045">
        <v>202611</v>
      </c>
      <c r="B1045">
        <v>5</v>
      </c>
      <c r="C1045" s="148">
        <v>46335</v>
      </c>
      <c r="D1045">
        <v>20</v>
      </c>
      <c r="E1045">
        <v>20</v>
      </c>
      <c r="F1045">
        <v>719</v>
      </c>
      <c r="G1045">
        <f>Consulta2[[#This Row],[DIA_UTIL_CORRENTE]]</f>
        <v>5</v>
      </c>
      <c r="H1045" s="6">
        <f>DAY(Consulta2[[#This Row],[DATA]])</f>
        <v>9</v>
      </c>
      <c r="I1045" s="6">
        <f>MONTH(Consulta2[[#This Row],[DATA]])</f>
        <v>11</v>
      </c>
      <c r="J1045" t="str">
        <f>CONCATENATE(Consulta2[[#This Row],[SAFRA]],Consulta2[[#This Row],[dia]])</f>
        <v>2026119</v>
      </c>
      <c r="K1045">
        <f>Consulta2[[#This Row],[DIA_UTIL_CORRENTE]]</f>
        <v>5</v>
      </c>
    </row>
    <row r="1046" spans="1:11" x14ac:dyDescent="0.25">
      <c r="A1046">
        <v>202611</v>
      </c>
      <c r="B1046">
        <v>6</v>
      </c>
      <c r="C1046" s="148">
        <v>46336</v>
      </c>
      <c r="D1046">
        <v>20</v>
      </c>
      <c r="E1046">
        <v>20</v>
      </c>
      <c r="F1046">
        <v>720</v>
      </c>
      <c r="G1046">
        <f>Consulta2[[#This Row],[DIA_UTIL_CORRENTE]]</f>
        <v>6</v>
      </c>
      <c r="H1046" s="6">
        <f>DAY(Consulta2[[#This Row],[DATA]])</f>
        <v>10</v>
      </c>
      <c r="I1046" s="6">
        <f>MONTH(Consulta2[[#This Row],[DATA]])</f>
        <v>11</v>
      </c>
      <c r="J1046" t="str">
        <f>CONCATENATE(Consulta2[[#This Row],[SAFRA]],Consulta2[[#This Row],[dia]])</f>
        <v>20261110</v>
      </c>
      <c r="K1046">
        <f>Consulta2[[#This Row],[DIA_UTIL_CORRENTE]]</f>
        <v>6</v>
      </c>
    </row>
    <row r="1047" spans="1:11" x14ac:dyDescent="0.25">
      <c r="A1047">
        <v>202611</v>
      </c>
      <c r="B1047">
        <v>7</v>
      </c>
      <c r="C1047" s="148">
        <v>46337</v>
      </c>
      <c r="D1047">
        <v>20</v>
      </c>
      <c r="E1047">
        <v>20</v>
      </c>
      <c r="F1047">
        <v>721</v>
      </c>
      <c r="G1047">
        <f>Consulta2[[#This Row],[DIA_UTIL_CORRENTE]]</f>
        <v>7</v>
      </c>
      <c r="H1047" s="6">
        <f>DAY(Consulta2[[#This Row],[DATA]])</f>
        <v>11</v>
      </c>
      <c r="I1047" s="6">
        <f>MONTH(Consulta2[[#This Row],[DATA]])</f>
        <v>11</v>
      </c>
      <c r="J1047" t="str">
        <f>CONCATENATE(Consulta2[[#This Row],[SAFRA]],Consulta2[[#This Row],[dia]])</f>
        <v>20261111</v>
      </c>
      <c r="K1047">
        <f>Consulta2[[#This Row],[DIA_UTIL_CORRENTE]]</f>
        <v>7</v>
      </c>
    </row>
    <row r="1048" spans="1:11" x14ac:dyDescent="0.25">
      <c r="A1048">
        <v>202611</v>
      </c>
      <c r="B1048">
        <v>8</v>
      </c>
      <c r="C1048" s="148">
        <v>46338</v>
      </c>
      <c r="D1048">
        <v>20</v>
      </c>
      <c r="E1048">
        <v>20</v>
      </c>
      <c r="F1048">
        <v>722</v>
      </c>
      <c r="G1048">
        <f>Consulta2[[#This Row],[DIA_UTIL_CORRENTE]]</f>
        <v>8</v>
      </c>
      <c r="H1048" s="6">
        <f>DAY(Consulta2[[#This Row],[DATA]])</f>
        <v>12</v>
      </c>
      <c r="I1048" s="6">
        <f>MONTH(Consulta2[[#This Row],[DATA]])</f>
        <v>11</v>
      </c>
      <c r="J1048" t="str">
        <f>CONCATENATE(Consulta2[[#This Row],[SAFRA]],Consulta2[[#This Row],[dia]])</f>
        <v>20261112</v>
      </c>
      <c r="K1048">
        <f>Consulta2[[#This Row],[DIA_UTIL_CORRENTE]]</f>
        <v>8</v>
      </c>
    </row>
    <row r="1049" spans="1:11" x14ac:dyDescent="0.25">
      <c r="A1049">
        <v>202611</v>
      </c>
      <c r="B1049">
        <v>9</v>
      </c>
      <c r="C1049" s="148">
        <v>46339</v>
      </c>
      <c r="D1049">
        <v>20</v>
      </c>
      <c r="E1049">
        <v>20</v>
      </c>
      <c r="F1049">
        <v>723</v>
      </c>
      <c r="G1049">
        <f>Consulta2[[#This Row],[DIA_UTIL_CORRENTE]]</f>
        <v>9</v>
      </c>
      <c r="H1049" s="6">
        <f>DAY(Consulta2[[#This Row],[DATA]])</f>
        <v>13</v>
      </c>
      <c r="I1049" s="6">
        <f>MONTH(Consulta2[[#This Row],[DATA]])</f>
        <v>11</v>
      </c>
      <c r="J1049" t="str">
        <f>CONCATENATE(Consulta2[[#This Row],[SAFRA]],Consulta2[[#This Row],[dia]])</f>
        <v>20261113</v>
      </c>
      <c r="K1049">
        <f>Consulta2[[#This Row],[DIA_UTIL_CORRENTE]]</f>
        <v>9</v>
      </c>
    </row>
    <row r="1050" spans="1:11" x14ac:dyDescent="0.25">
      <c r="A1050">
        <v>202611</v>
      </c>
      <c r="B1050">
        <v>9</v>
      </c>
      <c r="C1050" s="148">
        <v>46340</v>
      </c>
      <c r="D1050">
        <v>20</v>
      </c>
      <c r="E1050">
        <v>20</v>
      </c>
      <c r="F1050">
        <v>723</v>
      </c>
      <c r="G1050">
        <f>Consulta2[[#This Row],[DIA_UTIL_CORRENTE]]</f>
        <v>9</v>
      </c>
      <c r="H1050" s="6">
        <f>DAY(Consulta2[[#This Row],[DATA]])</f>
        <v>14</v>
      </c>
      <c r="I1050" s="6">
        <f>MONTH(Consulta2[[#This Row],[DATA]])</f>
        <v>11</v>
      </c>
      <c r="J1050" t="str">
        <f>CONCATENATE(Consulta2[[#This Row],[SAFRA]],Consulta2[[#This Row],[dia]])</f>
        <v>20261114</v>
      </c>
      <c r="K1050">
        <f>Consulta2[[#This Row],[DIA_UTIL_CORRENTE]]</f>
        <v>9</v>
      </c>
    </row>
    <row r="1051" spans="1:11" x14ac:dyDescent="0.25">
      <c r="A1051">
        <v>202611</v>
      </c>
      <c r="B1051">
        <v>9</v>
      </c>
      <c r="C1051" s="148">
        <v>46341</v>
      </c>
      <c r="D1051">
        <v>20</v>
      </c>
      <c r="E1051">
        <v>20</v>
      </c>
      <c r="F1051">
        <v>723</v>
      </c>
      <c r="G1051">
        <f>Consulta2[[#This Row],[DIA_UTIL_CORRENTE]]</f>
        <v>9</v>
      </c>
      <c r="H1051" s="6">
        <f>DAY(Consulta2[[#This Row],[DATA]])</f>
        <v>15</v>
      </c>
      <c r="I1051" s="6">
        <f>MONTH(Consulta2[[#This Row],[DATA]])</f>
        <v>11</v>
      </c>
      <c r="J1051" t="str">
        <f>CONCATENATE(Consulta2[[#This Row],[SAFRA]],Consulta2[[#This Row],[dia]])</f>
        <v>20261115</v>
      </c>
      <c r="K1051">
        <f>Consulta2[[#This Row],[DIA_UTIL_CORRENTE]]</f>
        <v>9</v>
      </c>
    </row>
    <row r="1052" spans="1:11" x14ac:dyDescent="0.25">
      <c r="A1052">
        <v>202611</v>
      </c>
      <c r="B1052">
        <v>10</v>
      </c>
      <c r="C1052" s="148">
        <v>46342</v>
      </c>
      <c r="D1052">
        <v>20</v>
      </c>
      <c r="E1052">
        <v>20</v>
      </c>
      <c r="F1052">
        <v>724</v>
      </c>
      <c r="G1052">
        <f>Consulta2[[#This Row],[DIA_UTIL_CORRENTE]]</f>
        <v>10</v>
      </c>
      <c r="H1052" s="6">
        <f>DAY(Consulta2[[#This Row],[DATA]])</f>
        <v>16</v>
      </c>
      <c r="I1052" s="6">
        <f>MONTH(Consulta2[[#This Row],[DATA]])</f>
        <v>11</v>
      </c>
      <c r="J1052" t="str">
        <f>CONCATENATE(Consulta2[[#This Row],[SAFRA]],Consulta2[[#This Row],[dia]])</f>
        <v>20261116</v>
      </c>
      <c r="K1052">
        <f>Consulta2[[#This Row],[DIA_UTIL_CORRENTE]]</f>
        <v>10</v>
      </c>
    </row>
    <row r="1053" spans="1:11" x14ac:dyDescent="0.25">
      <c r="A1053">
        <v>202611</v>
      </c>
      <c r="B1053">
        <v>11</v>
      </c>
      <c r="C1053" s="148">
        <v>46343</v>
      </c>
      <c r="D1053">
        <v>20</v>
      </c>
      <c r="E1053">
        <v>20</v>
      </c>
      <c r="F1053">
        <v>725</v>
      </c>
      <c r="G1053">
        <f>Consulta2[[#This Row],[DIA_UTIL_CORRENTE]]</f>
        <v>11</v>
      </c>
      <c r="H1053" s="6">
        <f>DAY(Consulta2[[#This Row],[DATA]])</f>
        <v>17</v>
      </c>
      <c r="I1053" s="6">
        <f>MONTH(Consulta2[[#This Row],[DATA]])</f>
        <v>11</v>
      </c>
      <c r="J1053" t="str">
        <f>CONCATENATE(Consulta2[[#This Row],[SAFRA]],Consulta2[[#This Row],[dia]])</f>
        <v>20261117</v>
      </c>
      <c r="K1053">
        <f>Consulta2[[#This Row],[DIA_UTIL_CORRENTE]]</f>
        <v>11</v>
      </c>
    </row>
    <row r="1054" spans="1:11" x14ac:dyDescent="0.25">
      <c r="A1054">
        <v>202611</v>
      </c>
      <c r="B1054">
        <v>12</v>
      </c>
      <c r="C1054" s="148">
        <v>46344</v>
      </c>
      <c r="D1054">
        <v>20</v>
      </c>
      <c r="E1054">
        <v>20</v>
      </c>
      <c r="F1054">
        <v>726</v>
      </c>
      <c r="G1054">
        <f>Consulta2[[#This Row],[DIA_UTIL_CORRENTE]]</f>
        <v>12</v>
      </c>
      <c r="H1054" s="6">
        <f>DAY(Consulta2[[#This Row],[DATA]])</f>
        <v>18</v>
      </c>
      <c r="I1054" s="6">
        <f>MONTH(Consulta2[[#This Row],[DATA]])</f>
        <v>11</v>
      </c>
      <c r="J1054" t="str">
        <f>CONCATENATE(Consulta2[[#This Row],[SAFRA]],Consulta2[[#This Row],[dia]])</f>
        <v>20261118</v>
      </c>
      <c r="K1054">
        <f>Consulta2[[#This Row],[DIA_UTIL_CORRENTE]]</f>
        <v>12</v>
      </c>
    </row>
    <row r="1055" spans="1:11" x14ac:dyDescent="0.25">
      <c r="A1055">
        <v>202611</v>
      </c>
      <c r="B1055">
        <v>13</v>
      </c>
      <c r="C1055" s="148">
        <v>46345</v>
      </c>
      <c r="D1055">
        <v>20</v>
      </c>
      <c r="E1055">
        <v>20</v>
      </c>
      <c r="F1055">
        <v>727</v>
      </c>
      <c r="G1055">
        <f>Consulta2[[#This Row],[DIA_UTIL_CORRENTE]]</f>
        <v>13</v>
      </c>
      <c r="H1055" s="6">
        <f>DAY(Consulta2[[#This Row],[DATA]])</f>
        <v>19</v>
      </c>
      <c r="I1055" s="6">
        <f>MONTH(Consulta2[[#This Row],[DATA]])</f>
        <v>11</v>
      </c>
      <c r="J1055" t="str">
        <f>CONCATENATE(Consulta2[[#This Row],[SAFRA]],Consulta2[[#This Row],[dia]])</f>
        <v>20261119</v>
      </c>
      <c r="K1055">
        <f>Consulta2[[#This Row],[DIA_UTIL_CORRENTE]]</f>
        <v>13</v>
      </c>
    </row>
    <row r="1056" spans="1:11" x14ac:dyDescent="0.25">
      <c r="A1056">
        <v>202611</v>
      </c>
      <c r="B1056">
        <v>14</v>
      </c>
      <c r="C1056" s="148">
        <v>46346</v>
      </c>
      <c r="D1056">
        <v>20</v>
      </c>
      <c r="E1056">
        <v>20</v>
      </c>
      <c r="F1056">
        <v>728</v>
      </c>
      <c r="G1056">
        <f>Consulta2[[#This Row],[DIA_UTIL_CORRENTE]]</f>
        <v>14</v>
      </c>
      <c r="H1056" s="6">
        <f>DAY(Consulta2[[#This Row],[DATA]])</f>
        <v>20</v>
      </c>
      <c r="I1056" s="6">
        <f>MONTH(Consulta2[[#This Row],[DATA]])</f>
        <v>11</v>
      </c>
      <c r="J1056" t="str">
        <f>CONCATENATE(Consulta2[[#This Row],[SAFRA]],Consulta2[[#This Row],[dia]])</f>
        <v>20261120</v>
      </c>
      <c r="K1056">
        <f>Consulta2[[#This Row],[DIA_UTIL_CORRENTE]]</f>
        <v>14</v>
      </c>
    </row>
    <row r="1057" spans="1:11" x14ac:dyDescent="0.25">
      <c r="A1057">
        <v>202611</v>
      </c>
      <c r="B1057">
        <v>14</v>
      </c>
      <c r="C1057" s="148">
        <v>46347</v>
      </c>
      <c r="D1057">
        <v>20</v>
      </c>
      <c r="E1057">
        <v>20</v>
      </c>
      <c r="F1057">
        <v>728</v>
      </c>
      <c r="G1057">
        <f>Consulta2[[#This Row],[DIA_UTIL_CORRENTE]]</f>
        <v>14</v>
      </c>
      <c r="H1057" s="6">
        <f>DAY(Consulta2[[#This Row],[DATA]])</f>
        <v>21</v>
      </c>
      <c r="I1057" s="6">
        <f>MONTH(Consulta2[[#This Row],[DATA]])</f>
        <v>11</v>
      </c>
      <c r="J1057" t="str">
        <f>CONCATENATE(Consulta2[[#This Row],[SAFRA]],Consulta2[[#This Row],[dia]])</f>
        <v>20261121</v>
      </c>
      <c r="K1057">
        <f>Consulta2[[#This Row],[DIA_UTIL_CORRENTE]]</f>
        <v>14</v>
      </c>
    </row>
    <row r="1058" spans="1:11" x14ac:dyDescent="0.25">
      <c r="A1058">
        <v>202611</v>
      </c>
      <c r="B1058">
        <v>14</v>
      </c>
      <c r="C1058" s="148">
        <v>46348</v>
      </c>
      <c r="D1058">
        <v>20</v>
      </c>
      <c r="E1058">
        <v>20</v>
      </c>
      <c r="F1058">
        <v>728</v>
      </c>
      <c r="G1058">
        <f>Consulta2[[#This Row],[DIA_UTIL_CORRENTE]]</f>
        <v>14</v>
      </c>
      <c r="H1058" s="6">
        <f>DAY(Consulta2[[#This Row],[DATA]])</f>
        <v>22</v>
      </c>
      <c r="I1058" s="6">
        <f>MONTH(Consulta2[[#This Row],[DATA]])</f>
        <v>11</v>
      </c>
      <c r="J1058" t="str">
        <f>CONCATENATE(Consulta2[[#This Row],[SAFRA]],Consulta2[[#This Row],[dia]])</f>
        <v>20261122</v>
      </c>
      <c r="K1058">
        <f>Consulta2[[#This Row],[DIA_UTIL_CORRENTE]]</f>
        <v>14</v>
      </c>
    </row>
    <row r="1059" spans="1:11" x14ac:dyDescent="0.25">
      <c r="A1059">
        <v>202611</v>
      </c>
      <c r="B1059">
        <v>15</v>
      </c>
      <c r="C1059" s="148">
        <v>46349</v>
      </c>
      <c r="D1059">
        <v>20</v>
      </c>
      <c r="E1059">
        <v>20</v>
      </c>
      <c r="F1059">
        <v>729</v>
      </c>
      <c r="G1059">
        <f>Consulta2[[#This Row],[DIA_UTIL_CORRENTE]]</f>
        <v>15</v>
      </c>
      <c r="H1059" s="6">
        <f>DAY(Consulta2[[#This Row],[DATA]])</f>
        <v>23</v>
      </c>
      <c r="I1059" s="6">
        <f>MONTH(Consulta2[[#This Row],[DATA]])</f>
        <v>11</v>
      </c>
      <c r="J1059" t="str">
        <f>CONCATENATE(Consulta2[[#This Row],[SAFRA]],Consulta2[[#This Row],[dia]])</f>
        <v>20261123</v>
      </c>
      <c r="K1059">
        <f>Consulta2[[#This Row],[DIA_UTIL_CORRENTE]]</f>
        <v>15</v>
      </c>
    </row>
    <row r="1060" spans="1:11" x14ac:dyDescent="0.25">
      <c r="A1060">
        <v>202611</v>
      </c>
      <c r="B1060">
        <v>16</v>
      </c>
      <c r="C1060" s="148">
        <v>46350</v>
      </c>
      <c r="D1060">
        <v>20</v>
      </c>
      <c r="E1060">
        <v>20</v>
      </c>
      <c r="F1060">
        <v>730</v>
      </c>
      <c r="G1060">
        <f>Consulta2[[#This Row],[DIA_UTIL_CORRENTE]]</f>
        <v>16</v>
      </c>
      <c r="H1060" s="6">
        <f>DAY(Consulta2[[#This Row],[DATA]])</f>
        <v>24</v>
      </c>
      <c r="I1060" s="6">
        <f>MONTH(Consulta2[[#This Row],[DATA]])</f>
        <v>11</v>
      </c>
      <c r="J1060" t="str">
        <f>CONCATENATE(Consulta2[[#This Row],[SAFRA]],Consulta2[[#This Row],[dia]])</f>
        <v>20261124</v>
      </c>
      <c r="K1060">
        <f>Consulta2[[#This Row],[DIA_UTIL_CORRENTE]]</f>
        <v>16</v>
      </c>
    </row>
    <row r="1061" spans="1:11" x14ac:dyDescent="0.25">
      <c r="A1061">
        <v>202611</v>
      </c>
      <c r="B1061">
        <v>17</v>
      </c>
      <c r="C1061" s="148">
        <v>46351</v>
      </c>
      <c r="D1061">
        <v>20</v>
      </c>
      <c r="E1061">
        <v>20</v>
      </c>
      <c r="F1061">
        <v>731</v>
      </c>
      <c r="G1061">
        <f>Consulta2[[#This Row],[DIA_UTIL_CORRENTE]]</f>
        <v>17</v>
      </c>
      <c r="H1061" s="6">
        <f>DAY(Consulta2[[#This Row],[DATA]])</f>
        <v>25</v>
      </c>
      <c r="I1061" s="6">
        <f>MONTH(Consulta2[[#This Row],[DATA]])</f>
        <v>11</v>
      </c>
      <c r="J1061" t="str">
        <f>CONCATENATE(Consulta2[[#This Row],[SAFRA]],Consulta2[[#This Row],[dia]])</f>
        <v>20261125</v>
      </c>
      <c r="K1061">
        <f>Consulta2[[#This Row],[DIA_UTIL_CORRENTE]]</f>
        <v>17</v>
      </c>
    </row>
    <row r="1062" spans="1:11" x14ac:dyDescent="0.25">
      <c r="A1062">
        <v>202611</v>
      </c>
      <c r="B1062">
        <v>18</v>
      </c>
      <c r="C1062" s="148">
        <v>46352</v>
      </c>
      <c r="D1062">
        <v>20</v>
      </c>
      <c r="E1062">
        <v>20</v>
      </c>
      <c r="F1062">
        <v>732</v>
      </c>
      <c r="G1062">
        <f>Consulta2[[#This Row],[DIA_UTIL_CORRENTE]]</f>
        <v>18</v>
      </c>
      <c r="H1062" s="6">
        <f>DAY(Consulta2[[#This Row],[DATA]])</f>
        <v>26</v>
      </c>
      <c r="I1062" s="6">
        <f>MONTH(Consulta2[[#This Row],[DATA]])</f>
        <v>11</v>
      </c>
      <c r="J1062" t="str">
        <f>CONCATENATE(Consulta2[[#This Row],[SAFRA]],Consulta2[[#This Row],[dia]])</f>
        <v>20261126</v>
      </c>
      <c r="K1062">
        <f>Consulta2[[#This Row],[DIA_UTIL_CORRENTE]]</f>
        <v>18</v>
      </c>
    </row>
    <row r="1063" spans="1:11" x14ac:dyDescent="0.25">
      <c r="A1063">
        <v>202611</v>
      </c>
      <c r="B1063">
        <v>19</v>
      </c>
      <c r="C1063" s="148">
        <v>46353</v>
      </c>
      <c r="D1063">
        <v>20</v>
      </c>
      <c r="E1063">
        <v>20</v>
      </c>
      <c r="F1063">
        <v>733</v>
      </c>
      <c r="G1063">
        <f>Consulta2[[#This Row],[DIA_UTIL_CORRENTE]]</f>
        <v>19</v>
      </c>
      <c r="H1063" s="6">
        <f>DAY(Consulta2[[#This Row],[DATA]])</f>
        <v>27</v>
      </c>
      <c r="I1063" s="6">
        <f>MONTH(Consulta2[[#This Row],[DATA]])</f>
        <v>11</v>
      </c>
      <c r="J1063" t="str">
        <f>CONCATENATE(Consulta2[[#This Row],[SAFRA]],Consulta2[[#This Row],[dia]])</f>
        <v>20261127</v>
      </c>
      <c r="K1063">
        <f>Consulta2[[#This Row],[DIA_UTIL_CORRENTE]]</f>
        <v>19</v>
      </c>
    </row>
    <row r="1064" spans="1:11" x14ac:dyDescent="0.25">
      <c r="A1064">
        <v>202611</v>
      </c>
      <c r="B1064">
        <v>19</v>
      </c>
      <c r="C1064" s="148">
        <v>46354</v>
      </c>
      <c r="D1064">
        <v>20</v>
      </c>
      <c r="E1064">
        <v>20</v>
      </c>
      <c r="F1064">
        <v>733</v>
      </c>
      <c r="G1064">
        <f>Consulta2[[#This Row],[DIA_UTIL_CORRENTE]]</f>
        <v>19</v>
      </c>
      <c r="H1064" s="6">
        <f>DAY(Consulta2[[#This Row],[DATA]])</f>
        <v>28</v>
      </c>
      <c r="I1064" s="6">
        <f>MONTH(Consulta2[[#This Row],[DATA]])</f>
        <v>11</v>
      </c>
      <c r="J1064" t="str">
        <f>CONCATENATE(Consulta2[[#This Row],[SAFRA]],Consulta2[[#This Row],[dia]])</f>
        <v>20261128</v>
      </c>
      <c r="K1064">
        <f>Consulta2[[#This Row],[DIA_UTIL_CORRENTE]]</f>
        <v>19</v>
      </c>
    </row>
    <row r="1065" spans="1:11" x14ac:dyDescent="0.25">
      <c r="A1065">
        <v>202611</v>
      </c>
      <c r="B1065">
        <v>19</v>
      </c>
      <c r="C1065" s="148">
        <v>46355</v>
      </c>
      <c r="D1065">
        <v>20</v>
      </c>
      <c r="E1065">
        <v>20</v>
      </c>
      <c r="F1065">
        <v>733</v>
      </c>
      <c r="G1065">
        <f>Consulta2[[#This Row],[DIA_UTIL_CORRENTE]]</f>
        <v>19</v>
      </c>
      <c r="H1065" s="6">
        <f>DAY(Consulta2[[#This Row],[DATA]])</f>
        <v>29</v>
      </c>
      <c r="I1065" s="6">
        <f>MONTH(Consulta2[[#This Row],[DATA]])</f>
        <v>11</v>
      </c>
      <c r="J1065" t="str">
        <f>CONCATENATE(Consulta2[[#This Row],[SAFRA]],Consulta2[[#This Row],[dia]])</f>
        <v>20261129</v>
      </c>
      <c r="K1065">
        <f>Consulta2[[#This Row],[DIA_UTIL_CORRENTE]]</f>
        <v>19</v>
      </c>
    </row>
    <row r="1066" spans="1:11" x14ac:dyDescent="0.25">
      <c r="A1066">
        <v>202611</v>
      </c>
      <c r="B1066">
        <v>20</v>
      </c>
      <c r="C1066" s="148">
        <v>46356</v>
      </c>
      <c r="D1066">
        <v>20</v>
      </c>
      <c r="E1066">
        <v>20</v>
      </c>
      <c r="F1066">
        <v>734</v>
      </c>
      <c r="G1066">
        <f>Consulta2[[#This Row],[DIA_UTIL_CORRENTE]]</f>
        <v>20</v>
      </c>
      <c r="H1066" s="6">
        <f>DAY(Consulta2[[#This Row],[DATA]])</f>
        <v>30</v>
      </c>
      <c r="I1066" s="6">
        <f>MONTH(Consulta2[[#This Row],[DATA]])</f>
        <v>11</v>
      </c>
      <c r="J1066" t="str">
        <f>CONCATENATE(Consulta2[[#This Row],[SAFRA]],Consulta2[[#This Row],[dia]])</f>
        <v>20261130</v>
      </c>
      <c r="K1066">
        <f>Consulta2[[#This Row],[DIA_UTIL_CORRENTE]]</f>
        <v>20</v>
      </c>
    </row>
    <row r="1067" spans="1:11" x14ac:dyDescent="0.25">
      <c r="A1067">
        <v>202612</v>
      </c>
      <c r="B1067">
        <v>1</v>
      </c>
      <c r="C1067" s="148">
        <v>46357</v>
      </c>
      <c r="D1067">
        <v>22</v>
      </c>
      <c r="E1067">
        <v>22</v>
      </c>
      <c r="F1067">
        <v>735</v>
      </c>
      <c r="G1067">
        <f>Consulta2[[#This Row],[DIA_UTIL_CORRENTE]]</f>
        <v>1</v>
      </c>
      <c r="H1067" s="6">
        <f>DAY(Consulta2[[#This Row],[DATA]])</f>
        <v>1</v>
      </c>
      <c r="I1067" s="6">
        <f>MONTH(Consulta2[[#This Row],[DATA]])</f>
        <v>12</v>
      </c>
      <c r="J1067" t="str">
        <f>CONCATENATE(Consulta2[[#This Row],[SAFRA]],Consulta2[[#This Row],[dia]])</f>
        <v>2026121</v>
      </c>
      <c r="K1067">
        <f>Consulta2[[#This Row],[DIA_UTIL_CORRENTE]]</f>
        <v>1</v>
      </c>
    </row>
    <row r="1068" spans="1:11" x14ac:dyDescent="0.25">
      <c r="A1068">
        <v>202612</v>
      </c>
      <c r="B1068">
        <v>2</v>
      </c>
      <c r="C1068" s="148">
        <v>46358</v>
      </c>
      <c r="D1068">
        <v>22</v>
      </c>
      <c r="E1068">
        <v>22</v>
      </c>
      <c r="F1068">
        <v>736</v>
      </c>
      <c r="G1068">
        <f>Consulta2[[#This Row],[DIA_UTIL_CORRENTE]]</f>
        <v>2</v>
      </c>
      <c r="H1068" s="6">
        <f>DAY(Consulta2[[#This Row],[DATA]])</f>
        <v>2</v>
      </c>
      <c r="I1068" s="6">
        <f>MONTH(Consulta2[[#This Row],[DATA]])</f>
        <v>12</v>
      </c>
      <c r="J1068" t="str">
        <f>CONCATENATE(Consulta2[[#This Row],[SAFRA]],Consulta2[[#This Row],[dia]])</f>
        <v>2026122</v>
      </c>
      <c r="K1068">
        <f>Consulta2[[#This Row],[DIA_UTIL_CORRENTE]]</f>
        <v>2</v>
      </c>
    </row>
    <row r="1069" spans="1:11" x14ac:dyDescent="0.25">
      <c r="A1069">
        <v>202612</v>
      </c>
      <c r="B1069">
        <v>3</v>
      </c>
      <c r="C1069" s="148">
        <v>46359</v>
      </c>
      <c r="D1069">
        <v>22</v>
      </c>
      <c r="E1069">
        <v>22</v>
      </c>
      <c r="F1069">
        <v>737</v>
      </c>
      <c r="G1069">
        <f>Consulta2[[#This Row],[DIA_UTIL_CORRENTE]]</f>
        <v>3</v>
      </c>
      <c r="H1069" s="6">
        <f>DAY(Consulta2[[#This Row],[DATA]])</f>
        <v>3</v>
      </c>
      <c r="I1069" s="6">
        <f>MONTH(Consulta2[[#This Row],[DATA]])</f>
        <v>12</v>
      </c>
      <c r="J1069" t="str">
        <f>CONCATENATE(Consulta2[[#This Row],[SAFRA]],Consulta2[[#This Row],[dia]])</f>
        <v>2026123</v>
      </c>
      <c r="K1069">
        <f>Consulta2[[#This Row],[DIA_UTIL_CORRENTE]]</f>
        <v>3</v>
      </c>
    </row>
    <row r="1070" spans="1:11" x14ac:dyDescent="0.25">
      <c r="A1070">
        <v>202612</v>
      </c>
      <c r="B1070">
        <v>4</v>
      </c>
      <c r="C1070" s="148">
        <v>46360</v>
      </c>
      <c r="D1070">
        <v>22</v>
      </c>
      <c r="E1070">
        <v>22</v>
      </c>
      <c r="F1070">
        <v>738</v>
      </c>
      <c r="G1070">
        <f>Consulta2[[#This Row],[DIA_UTIL_CORRENTE]]</f>
        <v>4</v>
      </c>
      <c r="H1070" s="6">
        <f>DAY(Consulta2[[#This Row],[DATA]])</f>
        <v>4</v>
      </c>
      <c r="I1070" s="6">
        <f>MONTH(Consulta2[[#This Row],[DATA]])</f>
        <v>12</v>
      </c>
      <c r="J1070" t="str">
        <f>CONCATENATE(Consulta2[[#This Row],[SAFRA]],Consulta2[[#This Row],[dia]])</f>
        <v>2026124</v>
      </c>
      <c r="K1070">
        <f>Consulta2[[#This Row],[DIA_UTIL_CORRENTE]]</f>
        <v>4</v>
      </c>
    </row>
    <row r="1071" spans="1:11" x14ac:dyDescent="0.25">
      <c r="A1071">
        <v>202612</v>
      </c>
      <c r="B1071">
        <v>4</v>
      </c>
      <c r="C1071" s="148">
        <v>46361</v>
      </c>
      <c r="D1071">
        <v>22</v>
      </c>
      <c r="E1071">
        <v>22</v>
      </c>
      <c r="F1071">
        <v>738</v>
      </c>
      <c r="G1071">
        <f>Consulta2[[#This Row],[DIA_UTIL_CORRENTE]]</f>
        <v>4</v>
      </c>
      <c r="H1071" s="6">
        <f>DAY(Consulta2[[#This Row],[DATA]])</f>
        <v>5</v>
      </c>
      <c r="I1071" s="6">
        <f>MONTH(Consulta2[[#This Row],[DATA]])</f>
        <v>12</v>
      </c>
      <c r="J1071" t="str">
        <f>CONCATENATE(Consulta2[[#This Row],[SAFRA]],Consulta2[[#This Row],[dia]])</f>
        <v>2026125</v>
      </c>
      <c r="K1071">
        <f>Consulta2[[#This Row],[DIA_UTIL_CORRENTE]]</f>
        <v>4</v>
      </c>
    </row>
    <row r="1072" spans="1:11" x14ac:dyDescent="0.25">
      <c r="A1072">
        <v>202612</v>
      </c>
      <c r="B1072">
        <v>4</v>
      </c>
      <c r="C1072" s="148">
        <v>46362</v>
      </c>
      <c r="D1072">
        <v>22</v>
      </c>
      <c r="E1072">
        <v>22</v>
      </c>
      <c r="F1072">
        <v>738</v>
      </c>
      <c r="G1072">
        <f>Consulta2[[#This Row],[DIA_UTIL_CORRENTE]]</f>
        <v>4</v>
      </c>
      <c r="H1072" s="6">
        <f>DAY(Consulta2[[#This Row],[DATA]])</f>
        <v>6</v>
      </c>
      <c r="I1072" s="6">
        <f>MONTH(Consulta2[[#This Row],[DATA]])</f>
        <v>12</v>
      </c>
      <c r="J1072" t="str">
        <f>CONCATENATE(Consulta2[[#This Row],[SAFRA]],Consulta2[[#This Row],[dia]])</f>
        <v>2026126</v>
      </c>
      <c r="K1072">
        <f>Consulta2[[#This Row],[DIA_UTIL_CORRENTE]]</f>
        <v>4</v>
      </c>
    </row>
    <row r="1073" spans="1:11" x14ac:dyDescent="0.25">
      <c r="A1073">
        <v>202612</v>
      </c>
      <c r="B1073">
        <v>5</v>
      </c>
      <c r="C1073" s="148">
        <v>46363</v>
      </c>
      <c r="D1073">
        <v>22</v>
      </c>
      <c r="E1073">
        <v>22</v>
      </c>
      <c r="F1073">
        <v>739</v>
      </c>
      <c r="G1073">
        <f>Consulta2[[#This Row],[DIA_UTIL_CORRENTE]]</f>
        <v>5</v>
      </c>
      <c r="H1073" s="6">
        <f>DAY(Consulta2[[#This Row],[DATA]])</f>
        <v>7</v>
      </c>
      <c r="I1073" s="6">
        <f>MONTH(Consulta2[[#This Row],[DATA]])</f>
        <v>12</v>
      </c>
      <c r="J1073" t="str">
        <f>CONCATENATE(Consulta2[[#This Row],[SAFRA]],Consulta2[[#This Row],[dia]])</f>
        <v>2026127</v>
      </c>
      <c r="K1073">
        <f>Consulta2[[#This Row],[DIA_UTIL_CORRENTE]]</f>
        <v>5</v>
      </c>
    </row>
    <row r="1074" spans="1:11" x14ac:dyDescent="0.25">
      <c r="A1074">
        <v>202612</v>
      </c>
      <c r="B1074">
        <v>6</v>
      </c>
      <c r="C1074" s="148">
        <v>46364</v>
      </c>
      <c r="D1074">
        <v>22</v>
      </c>
      <c r="E1074">
        <v>22</v>
      </c>
      <c r="F1074">
        <v>740</v>
      </c>
      <c r="G1074">
        <f>Consulta2[[#This Row],[DIA_UTIL_CORRENTE]]</f>
        <v>6</v>
      </c>
      <c r="H1074" s="6">
        <f>DAY(Consulta2[[#This Row],[DATA]])</f>
        <v>8</v>
      </c>
      <c r="I1074" s="6">
        <f>MONTH(Consulta2[[#This Row],[DATA]])</f>
        <v>12</v>
      </c>
      <c r="J1074" t="str">
        <f>CONCATENATE(Consulta2[[#This Row],[SAFRA]],Consulta2[[#This Row],[dia]])</f>
        <v>2026128</v>
      </c>
      <c r="K1074">
        <f>Consulta2[[#This Row],[DIA_UTIL_CORRENTE]]</f>
        <v>6</v>
      </c>
    </row>
    <row r="1075" spans="1:11" x14ac:dyDescent="0.25">
      <c r="A1075">
        <v>202612</v>
      </c>
      <c r="B1075">
        <v>7</v>
      </c>
      <c r="C1075" s="148">
        <v>46365</v>
      </c>
      <c r="D1075">
        <v>22</v>
      </c>
      <c r="E1075">
        <v>22</v>
      </c>
      <c r="F1075">
        <v>741</v>
      </c>
      <c r="G1075">
        <f>Consulta2[[#This Row],[DIA_UTIL_CORRENTE]]</f>
        <v>7</v>
      </c>
      <c r="H1075" s="6">
        <f>DAY(Consulta2[[#This Row],[DATA]])</f>
        <v>9</v>
      </c>
      <c r="I1075" s="6">
        <f>MONTH(Consulta2[[#This Row],[DATA]])</f>
        <v>12</v>
      </c>
      <c r="J1075" t="str">
        <f>CONCATENATE(Consulta2[[#This Row],[SAFRA]],Consulta2[[#This Row],[dia]])</f>
        <v>2026129</v>
      </c>
      <c r="K1075">
        <f>Consulta2[[#This Row],[DIA_UTIL_CORRENTE]]</f>
        <v>7</v>
      </c>
    </row>
    <row r="1076" spans="1:11" x14ac:dyDescent="0.25">
      <c r="A1076">
        <v>202612</v>
      </c>
      <c r="B1076">
        <v>8</v>
      </c>
      <c r="C1076" s="148">
        <v>46366</v>
      </c>
      <c r="D1076">
        <v>22</v>
      </c>
      <c r="E1076">
        <v>22</v>
      </c>
      <c r="F1076">
        <v>742</v>
      </c>
      <c r="G1076">
        <f>Consulta2[[#This Row],[DIA_UTIL_CORRENTE]]</f>
        <v>8</v>
      </c>
      <c r="H1076" s="6">
        <f>DAY(Consulta2[[#This Row],[DATA]])</f>
        <v>10</v>
      </c>
      <c r="I1076" s="6">
        <f>MONTH(Consulta2[[#This Row],[DATA]])</f>
        <v>12</v>
      </c>
      <c r="J1076" t="str">
        <f>CONCATENATE(Consulta2[[#This Row],[SAFRA]],Consulta2[[#This Row],[dia]])</f>
        <v>20261210</v>
      </c>
      <c r="K1076">
        <f>Consulta2[[#This Row],[DIA_UTIL_CORRENTE]]</f>
        <v>8</v>
      </c>
    </row>
    <row r="1077" spans="1:11" x14ac:dyDescent="0.25">
      <c r="A1077">
        <v>202612</v>
      </c>
      <c r="B1077">
        <v>9</v>
      </c>
      <c r="C1077" s="148">
        <v>46367</v>
      </c>
      <c r="D1077">
        <v>22</v>
      </c>
      <c r="E1077">
        <v>22</v>
      </c>
      <c r="F1077">
        <v>743</v>
      </c>
      <c r="G1077">
        <f>Consulta2[[#This Row],[DIA_UTIL_CORRENTE]]</f>
        <v>9</v>
      </c>
      <c r="H1077" s="6">
        <f>DAY(Consulta2[[#This Row],[DATA]])</f>
        <v>11</v>
      </c>
      <c r="I1077" s="6">
        <f>MONTH(Consulta2[[#This Row],[DATA]])</f>
        <v>12</v>
      </c>
      <c r="J1077" t="str">
        <f>CONCATENATE(Consulta2[[#This Row],[SAFRA]],Consulta2[[#This Row],[dia]])</f>
        <v>20261211</v>
      </c>
      <c r="K1077">
        <f>Consulta2[[#This Row],[DIA_UTIL_CORRENTE]]</f>
        <v>9</v>
      </c>
    </row>
    <row r="1078" spans="1:11" x14ac:dyDescent="0.25">
      <c r="A1078">
        <v>202612</v>
      </c>
      <c r="B1078">
        <v>9</v>
      </c>
      <c r="C1078" s="148">
        <v>46368</v>
      </c>
      <c r="D1078">
        <v>22</v>
      </c>
      <c r="E1078">
        <v>22</v>
      </c>
      <c r="F1078">
        <v>743</v>
      </c>
      <c r="G1078">
        <f>Consulta2[[#This Row],[DIA_UTIL_CORRENTE]]</f>
        <v>9</v>
      </c>
      <c r="H1078" s="6">
        <f>DAY(Consulta2[[#This Row],[DATA]])</f>
        <v>12</v>
      </c>
      <c r="I1078" s="6">
        <f>MONTH(Consulta2[[#This Row],[DATA]])</f>
        <v>12</v>
      </c>
      <c r="J1078" t="str">
        <f>CONCATENATE(Consulta2[[#This Row],[SAFRA]],Consulta2[[#This Row],[dia]])</f>
        <v>20261212</v>
      </c>
      <c r="K1078">
        <f>Consulta2[[#This Row],[DIA_UTIL_CORRENTE]]</f>
        <v>9</v>
      </c>
    </row>
    <row r="1079" spans="1:11" x14ac:dyDescent="0.25">
      <c r="A1079">
        <v>202612</v>
      </c>
      <c r="B1079">
        <v>9</v>
      </c>
      <c r="C1079" s="148">
        <v>46369</v>
      </c>
      <c r="D1079">
        <v>22</v>
      </c>
      <c r="E1079">
        <v>22</v>
      </c>
      <c r="F1079">
        <v>743</v>
      </c>
      <c r="G1079">
        <f>Consulta2[[#This Row],[DIA_UTIL_CORRENTE]]</f>
        <v>9</v>
      </c>
      <c r="H1079" s="6">
        <f>DAY(Consulta2[[#This Row],[DATA]])</f>
        <v>13</v>
      </c>
      <c r="I1079" s="6">
        <f>MONTH(Consulta2[[#This Row],[DATA]])</f>
        <v>12</v>
      </c>
      <c r="J1079" t="str">
        <f>CONCATENATE(Consulta2[[#This Row],[SAFRA]],Consulta2[[#This Row],[dia]])</f>
        <v>20261213</v>
      </c>
      <c r="K1079">
        <f>Consulta2[[#This Row],[DIA_UTIL_CORRENTE]]</f>
        <v>9</v>
      </c>
    </row>
    <row r="1080" spans="1:11" x14ac:dyDescent="0.25">
      <c r="A1080">
        <v>202612</v>
      </c>
      <c r="B1080">
        <v>10</v>
      </c>
      <c r="C1080" s="148">
        <v>46370</v>
      </c>
      <c r="D1080">
        <v>22</v>
      </c>
      <c r="E1080">
        <v>22</v>
      </c>
      <c r="F1080">
        <v>744</v>
      </c>
      <c r="G1080">
        <f>Consulta2[[#This Row],[DIA_UTIL_CORRENTE]]</f>
        <v>10</v>
      </c>
      <c r="H1080" s="6">
        <f>DAY(Consulta2[[#This Row],[DATA]])</f>
        <v>14</v>
      </c>
      <c r="I1080" s="6">
        <f>MONTH(Consulta2[[#This Row],[DATA]])</f>
        <v>12</v>
      </c>
      <c r="J1080" t="str">
        <f>CONCATENATE(Consulta2[[#This Row],[SAFRA]],Consulta2[[#This Row],[dia]])</f>
        <v>20261214</v>
      </c>
      <c r="K1080">
        <f>Consulta2[[#This Row],[DIA_UTIL_CORRENTE]]</f>
        <v>10</v>
      </c>
    </row>
    <row r="1081" spans="1:11" x14ac:dyDescent="0.25">
      <c r="A1081">
        <v>202612</v>
      </c>
      <c r="B1081">
        <v>11</v>
      </c>
      <c r="C1081" s="148">
        <v>46371</v>
      </c>
      <c r="D1081">
        <v>22</v>
      </c>
      <c r="E1081">
        <v>22</v>
      </c>
      <c r="F1081">
        <v>745</v>
      </c>
      <c r="G1081">
        <f>Consulta2[[#This Row],[DIA_UTIL_CORRENTE]]</f>
        <v>11</v>
      </c>
      <c r="H1081" s="6">
        <f>DAY(Consulta2[[#This Row],[DATA]])</f>
        <v>15</v>
      </c>
      <c r="I1081" s="6">
        <f>MONTH(Consulta2[[#This Row],[DATA]])</f>
        <v>12</v>
      </c>
      <c r="J1081" t="str">
        <f>CONCATENATE(Consulta2[[#This Row],[SAFRA]],Consulta2[[#This Row],[dia]])</f>
        <v>20261215</v>
      </c>
      <c r="K1081">
        <f>Consulta2[[#This Row],[DIA_UTIL_CORRENTE]]</f>
        <v>11</v>
      </c>
    </row>
    <row r="1082" spans="1:11" x14ac:dyDescent="0.25">
      <c r="A1082">
        <v>202612</v>
      </c>
      <c r="B1082">
        <v>12</v>
      </c>
      <c r="C1082" s="148">
        <v>46372</v>
      </c>
      <c r="D1082">
        <v>22</v>
      </c>
      <c r="E1082">
        <v>22</v>
      </c>
      <c r="F1082">
        <v>746</v>
      </c>
      <c r="G1082">
        <f>Consulta2[[#This Row],[DIA_UTIL_CORRENTE]]</f>
        <v>12</v>
      </c>
      <c r="H1082" s="6">
        <f>DAY(Consulta2[[#This Row],[DATA]])</f>
        <v>16</v>
      </c>
      <c r="I1082" s="6">
        <f>MONTH(Consulta2[[#This Row],[DATA]])</f>
        <v>12</v>
      </c>
      <c r="J1082" t="str">
        <f>CONCATENATE(Consulta2[[#This Row],[SAFRA]],Consulta2[[#This Row],[dia]])</f>
        <v>20261216</v>
      </c>
      <c r="K1082">
        <f>Consulta2[[#This Row],[DIA_UTIL_CORRENTE]]</f>
        <v>12</v>
      </c>
    </row>
    <row r="1083" spans="1:11" x14ac:dyDescent="0.25">
      <c r="A1083">
        <v>202612</v>
      </c>
      <c r="B1083">
        <v>13</v>
      </c>
      <c r="C1083" s="148">
        <v>46373</v>
      </c>
      <c r="D1083">
        <v>22</v>
      </c>
      <c r="E1083">
        <v>22</v>
      </c>
      <c r="F1083">
        <v>747</v>
      </c>
      <c r="G1083">
        <f>Consulta2[[#This Row],[DIA_UTIL_CORRENTE]]</f>
        <v>13</v>
      </c>
      <c r="H1083" s="6">
        <f>DAY(Consulta2[[#This Row],[DATA]])</f>
        <v>17</v>
      </c>
      <c r="I1083" s="6">
        <f>MONTH(Consulta2[[#This Row],[DATA]])</f>
        <v>12</v>
      </c>
      <c r="J1083" t="str">
        <f>CONCATENATE(Consulta2[[#This Row],[SAFRA]],Consulta2[[#This Row],[dia]])</f>
        <v>20261217</v>
      </c>
      <c r="K1083">
        <f>Consulta2[[#This Row],[DIA_UTIL_CORRENTE]]</f>
        <v>13</v>
      </c>
    </row>
    <row r="1084" spans="1:11" x14ac:dyDescent="0.25">
      <c r="A1084">
        <v>202612</v>
      </c>
      <c r="B1084">
        <v>14</v>
      </c>
      <c r="C1084" s="148">
        <v>46374</v>
      </c>
      <c r="D1084">
        <v>22</v>
      </c>
      <c r="E1084">
        <v>22</v>
      </c>
      <c r="F1084">
        <v>748</v>
      </c>
      <c r="G1084">
        <f>Consulta2[[#This Row],[DIA_UTIL_CORRENTE]]</f>
        <v>14</v>
      </c>
      <c r="H1084" s="6">
        <f>DAY(Consulta2[[#This Row],[DATA]])</f>
        <v>18</v>
      </c>
      <c r="I1084" s="6">
        <f>MONTH(Consulta2[[#This Row],[DATA]])</f>
        <v>12</v>
      </c>
      <c r="J1084" t="str">
        <f>CONCATENATE(Consulta2[[#This Row],[SAFRA]],Consulta2[[#This Row],[dia]])</f>
        <v>20261218</v>
      </c>
      <c r="K1084">
        <f>Consulta2[[#This Row],[DIA_UTIL_CORRENTE]]</f>
        <v>14</v>
      </c>
    </row>
    <row r="1085" spans="1:11" x14ac:dyDescent="0.25">
      <c r="A1085">
        <v>202612</v>
      </c>
      <c r="B1085">
        <v>14</v>
      </c>
      <c r="C1085" s="148">
        <v>46375</v>
      </c>
      <c r="D1085">
        <v>22</v>
      </c>
      <c r="E1085">
        <v>22</v>
      </c>
      <c r="F1085">
        <v>748</v>
      </c>
      <c r="G1085">
        <f>Consulta2[[#This Row],[DIA_UTIL_CORRENTE]]</f>
        <v>14</v>
      </c>
      <c r="H1085" s="6">
        <f>DAY(Consulta2[[#This Row],[DATA]])</f>
        <v>19</v>
      </c>
      <c r="I1085" s="6">
        <f>MONTH(Consulta2[[#This Row],[DATA]])</f>
        <v>12</v>
      </c>
      <c r="J1085" t="str">
        <f>CONCATENATE(Consulta2[[#This Row],[SAFRA]],Consulta2[[#This Row],[dia]])</f>
        <v>20261219</v>
      </c>
      <c r="K1085">
        <f>Consulta2[[#This Row],[DIA_UTIL_CORRENTE]]</f>
        <v>14</v>
      </c>
    </row>
    <row r="1086" spans="1:11" x14ac:dyDescent="0.25">
      <c r="A1086">
        <v>202612</v>
      </c>
      <c r="B1086">
        <v>14</v>
      </c>
      <c r="C1086" s="148">
        <v>46376</v>
      </c>
      <c r="D1086">
        <v>22</v>
      </c>
      <c r="E1086">
        <v>22</v>
      </c>
      <c r="F1086">
        <v>748</v>
      </c>
      <c r="G1086">
        <f>Consulta2[[#This Row],[DIA_UTIL_CORRENTE]]</f>
        <v>14</v>
      </c>
      <c r="H1086" s="6">
        <f>DAY(Consulta2[[#This Row],[DATA]])</f>
        <v>20</v>
      </c>
      <c r="I1086" s="6">
        <f>MONTH(Consulta2[[#This Row],[DATA]])</f>
        <v>12</v>
      </c>
      <c r="J1086" t="str">
        <f>CONCATENATE(Consulta2[[#This Row],[SAFRA]],Consulta2[[#This Row],[dia]])</f>
        <v>20261220</v>
      </c>
      <c r="K1086">
        <f>Consulta2[[#This Row],[DIA_UTIL_CORRENTE]]</f>
        <v>14</v>
      </c>
    </row>
    <row r="1087" spans="1:11" x14ac:dyDescent="0.25">
      <c r="A1087">
        <v>202612</v>
      </c>
      <c r="B1087">
        <v>15</v>
      </c>
      <c r="C1087" s="148">
        <v>46377</v>
      </c>
      <c r="D1087">
        <v>22</v>
      </c>
      <c r="E1087">
        <v>22</v>
      </c>
      <c r="F1087">
        <v>749</v>
      </c>
      <c r="G1087">
        <f>Consulta2[[#This Row],[DIA_UTIL_CORRENTE]]</f>
        <v>15</v>
      </c>
      <c r="H1087" s="6">
        <f>DAY(Consulta2[[#This Row],[DATA]])</f>
        <v>21</v>
      </c>
      <c r="I1087" s="6">
        <f>MONTH(Consulta2[[#This Row],[DATA]])</f>
        <v>12</v>
      </c>
      <c r="J1087" t="str">
        <f>CONCATENATE(Consulta2[[#This Row],[SAFRA]],Consulta2[[#This Row],[dia]])</f>
        <v>20261221</v>
      </c>
      <c r="K1087">
        <f>Consulta2[[#This Row],[DIA_UTIL_CORRENTE]]</f>
        <v>15</v>
      </c>
    </row>
    <row r="1088" spans="1:11" x14ac:dyDescent="0.25">
      <c r="A1088">
        <v>202612</v>
      </c>
      <c r="B1088">
        <v>16</v>
      </c>
      <c r="C1088" s="148">
        <v>46378</v>
      </c>
      <c r="D1088">
        <v>22</v>
      </c>
      <c r="E1088">
        <v>22</v>
      </c>
      <c r="F1088">
        <v>750</v>
      </c>
      <c r="G1088">
        <f>Consulta2[[#This Row],[DIA_UTIL_CORRENTE]]</f>
        <v>16</v>
      </c>
      <c r="H1088" s="6">
        <f>DAY(Consulta2[[#This Row],[DATA]])</f>
        <v>22</v>
      </c>
      <c r="I1088" s="6">
        <f>MONTH(Consulta2[[#This Row],[DATA]])</f>
        <v>12</v>
      </c>
      <c r="J1088" t="str">
        <f>CONCATENATE(Consulta2[[#This Row],[SAFRA]],Consulta2[[#This Row],[dia]])</f>
        <v>20261222</v>
      </c>
      <c r="K1088">
        <f>Consulta2[[#This Row],[DIA_UTIL_CORRENTE]]</f>
        <v>16</v>
      </c>
    </row>
    <row r="1089" spans="1:11" x14ac:dyDescent="0.25">
      <c r="A1089">
        <v>202612</v>
      </c>
      <c r="B1089">
        <v>17</v>
      </c>
      <c r="C1089" s="148">
        <v>46379</v>
      </c>
      <c r="D1089">
        <v>22</v>
      </c>
      <c r="E1089">
        <v>22</v>
      </c>
      <c r="F1089">
        <v>751</v>
      </c>
      <c r="G1089">
        <f>Consulta2[[#This Row],[DIA_UTIL_CORRENTE]]</f>
        <v>17</v>
      </c>
      <c r="H1089" s="6">
        <f>DAY(Consulta2[[#This Row],[DATA]])</f>
        <v>23</v>
      </c>
      <c r="I1089" s="6">
        <f>MONTH(Consulta2[[#This Row],[DATA]])</f>
        <v>12</v>
      </c>
      <c r="J1089" t="str">
        <f>CONCATENATE(Consulta2[[#This Row],[SAFRA]],Consulta2[[#This Row],[dia]])</f>
        <v>20261223</v>
      </c>
      <c r="K1089">
        <f>Consulta2[[#This Row],[DIA_UTIL_CORRENTE]]</f>
        <v>17</v>
      </c>
    </row>
    <row r="1090" spans="1:11" x14ac:dyDescent="0.25">
      <c r="A1090">
        <v>202612</v>
      </c>
      <c r="B1090">
        <v>18</v>
      </c>
      <c r="C1090" s="148">
        <v>46380</v>
      </c>
      <c r="D1090">
        <v>22</v>
      </c>
      <c r="E1090">
        <v>22</v>
      </c>
      <c r="F1090">
        <v>752</v>
      </c>
      <c r="G1090">
        <f>Consulta2[[#This Row],[DIA_UTIL_CORRENTE]]</f>
        <v>18</v>
      </c>
      <c r="H1090" s="6">
        <f>DAY(Consulta2[[#This Row],[DATA]])</f>
        <v>24</v>
      </c>
      <c r="I1090" s="6">
        <f>MONTH(Consulta2[[#This Row],[DATA]])</f>
        <v>12</v>
      </c>
      <c r="J1090" t="str">
        <f>CONCATENATE(Consulta2[[#This Row],[SAFRA]],Consulta2[[#This Row],[dia]])</f>
        <v>20261224</v>
      </c>
      <c r="K1090">
        <f>Consulta2[[#This Row],[DIA_UTIL_CORRENTE]]</f>
        <v>18</v>
      </c>
    </row>
    <row r="1091" spans="1:11" x14ac:dyDescent="0.25">
      <c r="A1091">
        <v>202612</v>
      </c>
      <c r="B1091">
        <v>18</v>
      </c>
      <c r="C1091" s="148">
        <v>46381</v>
      </c>
      <c r="D1091">
        <v>22</v>
      </c>
      <c r="E1091">
        <v>22</v>
      </c>
      <c r="F1091">
        <v>752</v>
      </c>
      <c r="G1091">
        <f>Consulta2[[#This Row],[DIA_UTIL_CORRENTE]]</f>
        <v>18</v>
      </c>
      <c r="H1091" s="6">
        <f>DAY(Consulta2[[#This Row],[DATA]])</f>
        <v>25</v>
      </c>
      <c r="I1091" s="6">
        <f>MONTH(Consulta2[[#This Row],[DATA]])</f>
        <v>12</v>
      </c>
      <c r="J1091" t="str">
        <f>CONCATENATE(Consulta2[[#This Row],[SAFRA]],Consulta2[[#This Row],[dia]])</f>
        <v>20261225</v>
      </c>
      <c r="K1091">
        <f>Consulta2[[#This Row],[DIA_UTIL_CORRENTE]]</f>
        <v>18</v>
      </c>
    </row>
    <row r="1092" spans="1:11" x14ac:dyDescent="0.25">
      <c r="A1092">
        <v>202612</v>
      </c>
      <c r="B1092">
        <v>18</v>
      </c>
      <c r="C1092" s="148">
        <v>46382</v>
      </c>
      <c r="D1092">
        <v>22</v>
      </c>
      <c r="E1092">
        <v>22</v>
      </c>
      <c r="F1092">
        <v>752</v>
      </c>
      <c r="G1092">
        <f>Consulta2[[#This Row],[DIA_UTIL_CORRENTE]]</f>
        <v>18</v>
      </c>
      <c r="H1092" s="6">
        <f>DAY(Consulta2[[#This Row],[DATA]])</f>
        <v>26</v>
      </c>
      <c r="I1092" s="6">
        <f>MONTH(Consulta2[[#This Row],[DATA]])</f>
        <v>12</v>
      </c>
      <c r="J1092" t="str">
        <f>CONCATENATE(Consulta2[[#This Row],[SAFRA]],Consulta2[[#This Row],[dia]])</f>
        <v>20261226</v>
      </c>
      <c r="K1092">
        <f>Consulta2[[#This Row],[DIA_UTIL_CORRENTE]]</f>
        <v>18</v>
      </c>
    </row>
    <row r="1093" spans="1:11" x14ac:dyDescent="0.25">
      <c r="A1093">
        <v>202612</v>
      </c>
      <c r="B1093">
        <v>18</v>
      </c>
      <c r="C1093" s="148">
        <v>46383</v>
      </c>
      <c r="D1093">
        <v>22</v>
      </c>
      <c r="E1093">
        <v>22</v>
      </c>
      <c r="F1093">
        <v>752</v>
      </c>
      <c r="G1093">
        <f>Consulta2[[#This Row],[DIA_UTIL_CORRENTE]]</f>
        <v>18</v>
      </c>
      <c r="H1093" s="6">
        <f>DAY(Consulta2[[#This Row],[DATA]])</f>
        <v>27</v>
      </c>
      <c r="I1093" s="6">
        <f>MONTH(Consulta2[[#This Row],[DATA]])</f>
        <v>12</v>
      </c>
      <c r="J1093" t="str">
        <f>CONCATENATE(Consulta2[[#This Row],[SAFRA]],Consulta2[[#This Row],[dia]])</f>
        <v>20261227</v>
      </c>
      <c r="K1093">
        <f>Consulta2[[#This Row],[DIA_UTIL_CORRENTE]]</f>
        <v>18</v>
      </c>
    </row>
    <row r="1094" spans="1:11" x14ac:dyDescent="0.25">
      <c r="A1094">
        <v>202612</v>
      </c>
      <c r="B1094">
        <v>19</v>
      </c>
      <c r="C1094" s="148">
        <v>46384</v>
      </c>
      <c r="D1094">
        <v>22</v>
      </c>
      <c r="E1094">
        <v>22</v>
      </c>
      <c r="F1094">
        <v>753</v>
      </c>
      <c r="G1094">
        <f>Consulta2[[#This Row],[DIA_UTIL_CORRENTE]]</f>
        <v>19</v>
      </c>
      <c r="H1094" s="6">
        <f>DAY(Consulta2[[#This Row],[DATA]])</f>
        <v>28</v>
      </c>
      <c r="I1094" s="6">
        <f>MONTH(Consulta2[[#This Row],[DATA]])</f>
        <v>12</v>
      </c>
      <c r="J1094" t="str">
        <f>CONCATENATE(Consulta2[[#This Row],[SAFRA]],Consulta2[[#This Row],[dia]])</f>
        <v>20261228</v>
      </c>
      <c r="K1094">
        <f>Consulta2[[#This Row],[DIA_UTIL_CORRENTE]]</f>
        <v>19</v>
      </c>
    </row>
    <row r="1095" spans="1:11" x14ac:dyDescent="0.25">
      <c r="A1095">
        <v>202612</v>
      </c>
      <c r="B1095">
        <v>20</v>
      </c>
      <c r="C1095" s="148">
        <v>46385</v>
      </c>
      <c r="D1095">
        <v>22</v>
      </c>
      <c r="E1095">
        <v>22</v>
      </c>
      <c r="F1095">
        <v>754</v>
      </c>
      <c r="G1095">
        <f>Consulta2[[#This Row],[DIA_UTIL_CORRENTE]]</f>
        <v>20</v>
      </c>
      <c r="H1095" s="6">
        <f>DAY(Consulta2[[#This Row],[DATA]])</f>
        <v>29</v>
      </c>
      <c r="I1095" s="6">
        <f>MONTH(Consulta2[[#This Row],[DATA]])</f>
        <v>12</v>
      </c>
      <c r="J1095" t="str">
        <f>CONCATENATE(Consulta2[[#This Row],[SAFRA]],Consulta2[[#This Row],[dia]])</f>
        <v>20261229</v>
      </c>
      <c r="K1095">
        <f>Consulta2[[#This Row],[DIA_UTIL_CORRENTE]]</f>
        <v>20</v>
      </c>
    </row>
    <row r="1096" spans="1:11" x14ac:dyDescent="0.25">
      <c r="A1096">
        <v>202612</v>
      </c>
      <c r="B1096">
        <v>21</v>
      </c>
      <c r="C1096" s="148">
        <v>46386</v>
      </c>
      <c r="D1096">
        <v>22</v>
      </c>
      <c r="E1096">
        <v>22</v>
      </c>
      <c r="F1096">
        <v>755</v>
      </c>
      <c r="G1096">
        <f>Consulta2[[#This Row],[DIA_UTIL_CORRENTE]]</f>
        <v>21</v>
      </c>
      <c r="H1096" s="6">
        <f>DAY(Consulta2[[#This Row],[DATA]])</f>
        <v>30</v>
      </c>
      <c r="I1096" s="6">
        <f>MONTH(Consulta2[[#This Row],[DATA]])</f>
        <v>12</v>
      </c>
      <c r="J1096" t="str">
        <f>CONCATENATE(Consulta2[[#This Row],[SAFRA]],Consulta2[[#This Row],[dia]])</f>
        <v>20261230</v>
      </c>
      <c r="K1096">
        <f>Consulta2[[#This Row],[DIA_UTIL_CORRENTE]]</f>
        <v>21</v>
      </c>
    </row>
    <row r="1097" spans="1:11" x14ac:dyDescent="0.25">
      <c r="A1097">
        <v>202612</v>
      </c>
      <c r="B1097">
        <v>22</v>
      </c>
      <c r="C1097" s="148">
        <v>46387</v>
      </c>
      <c r="D1097">
        <v>22</v>
      </c>
      <c r="E1097">
        <v>22</v>
      </c>
      <c r="F1097">
        <v>756</v>
      </c>
      <c r="G1097">
        <f>Consulta2[[#This Row],[DIA_UTIL_CORRENTE]]</f>
        <v>22</v>
      </c>
      <c r="H1097" s="6">
        <f>DAY(Consulta2[[#This Row],[DATA]])</f>
        <v>31</v>
      </c>
      <c r="I1097" s="6">
        <f>MONTH(Consulta2[[#This Row],[DATA]])</f>
        <v>12</v>
      </c>
      <c r="J1097" t="str">
        <f>CONCATENATE(Consulta2[[#This Row],[SAFRA]],Consulta2[[#This Row],[dia]])</f>
        <v>20261231</v>
      </c>
      <c r="K1097">
        <f>Consulta2[[#This Row],[DIA_UTIL_CORRENTE]]</f>
        <v>22</v>
      </c>
    </row>
    <row r="1098" spans="1:11" x14ac:dyDescent="0.25">
      <c r="A1098">
        <v>202701</v>
      </c>
      <c r="B1098">
        <v>0</v>
      </c>
      <c r="C1098" s="148">
        <v>46388</v>
      </c>
      <c r="D1098">
        <v>20</v>
      </c>
      <c r="E1098">
        <v>20</v>
      </c>
      <c r="F1098">
        <v>756</v>
      </c>
      <c r="G1098">
        <f>Consulta2[[#This Row],[DIA_UTIL_CORRENTE]]</f>
        <v>0</v>
      </c>
      <c r="H1098" s="6">
        <f>DAY(Consulta2[[#This Row],[DATA]])</f>
        <v>1</v>
      </c>
      <c r="I1098" s="6">
        <f>MONTH(Consulta2[[#This Row],[DATA]])</f>
        <v>1</v>
      </c>
      <c r="J1098" t="str">
        <f>CONCATENATE(Consulta2[[#This Row],[SAFRA]],Consulta2[[#This Row],[dia]])</f>
        <v>2027011</v>
      </c>
      <c r="K1098">
        <f>Consulta2[[#This Row],[DIA_UTIL_CORRENTE]]</f>
        <v>0</v>
      </c>
    </row>
    <row r="1099" spans="1:11" x14ac:dyDescent="0.25">
      <c r="A1099">
        <v>202701</v>
      </c>
      <c r="B1099">
        <v>0</v>
      </c>
      <c r="C1099" s="148">
        <v>46389</v>
      </c>
      <c r="D1099">
        <v>20</v>
      </c>
      <c r="E1099">
        <v>20</v>
      </c>
      <c r="F1099">
        <v>756</v>
      </c>
      <c r="G1099">
        <f>Consulta2[[#This Row],[DIA_UTIL_CORRENTE]]</f>
        <v>0</v>
      </c>
      <c r="H1099" s="6">
        <f>DAY(Consulta2[[#This Row],[DATA]])</f>
        <v>2</v>
      </c>
      <c r="I1099" s="6">
        <f>MONTH(Consulta2[[#This Row],[DATA]])</f>
        <v>1</v>
      </c>
      <c r="J1099" t="str">
        <f>CONCATENATE(Consulta2[[#This Row],[SAFRA]],Consulta2[[#This Row],[dia]])</f>
        <v>2027012</v>
      </c>
      <c r="K1099">
        <f>Consulta2[[#This Row],[DIA_UTIL_CORRENTE]]</f>
        <v>0</v>
      </c>
    </row>
    <row r="1100" spans="1:11" x14ac:dyDescent="0.25">
      <c r="A1100">
        <v>202701</v>
      </c>
      <c r="B1100">
        <v>0</v>
      </c>
      <c r="C1100" s="148">
        <v>46390</v>
      </c>
      <c r="D1100">
        <v>20</v>
      </c>
      <c r="E1100">
        <v>20</v>
      </c>
      <c r="F1100">
        <v>756</v>
      </c>
      <c r="G1100">
        <f>Consulta2[[#This Row],[DIA_UTIL_CORRENTE]]</f>
        <v>0</v>
      </c>
      <c r="H1100" s="6">
        <f>DAY(Consulta2[[#This Row],[DATA]])</f>
        <v>3</v>
      </c>
      <c r="I1100" s="6">
        <f>MONTH(Consulta2[[#This Row],[DATA]])</f>
        <v>1</v>
      </c>
      <c r="J1100" t="str">
        <f>CONCATENATE(Consulta2[[#This Row],[SAFRA]],Consulta2[[#This Row],[dia]])</f>
        <v>2027013</v>
      </c>
      <c r="K1100">
        <f>Consulta2[[#This Row],[DIA_UTIL_CORRENTE]]</f>
        <v>0</v>
      </c>
    </row>
    <row r="1101" spans="1:11" x14ac:dyDescent="0.25">
      <c r="A1101">
        <v>202701</v>
      </c>
      <c r="B1101">
        <v>1</v>
      </c>
      <c r="C1101" s="148">
        <v>46391</v>
      </c>
      <c r="D1101">
        <v>20</v>
      </c>
      <c r="E1101">
        <v>20</v>
      </c>
      <c r="F1101">
        <v>757</v>
      </c>
      <c r="G1101">
        <f>Consulta2[[#This Row],[DIA_UTIL_CORRENTE]]</f>
        <v>1</v>
      </c>
      <c r="H1101" s="6">
        <f>DAY(Consulta2[[#This Row],[DATA]])</f>
        <v>4</v>
      </c>
      <c r="I1101" s="6">
        <f>MONTH(Consulta2[[#This Row],[DATA]])</f>
        <v>1</v>
      </c>
      <c r="J1101" t="str">
        <f>CONCATENATE(Consulta2[[#This Row],[SAFRA]],Consulta2[[#This Row],[dia]])</f>
        <v>2027014</v>
      </c>
      <c r="K1101">
        <f>Consulta2[[#This Row],[DIA_UTIL_CORRENTE]]</f>
        <v>1</v>
      </c>
    </row>
    <row r="1102" spans="1:11" x14ac:dyDescent="0.25">
      <c r="A1102">
        <v>202701</v>
      </c>
      <c r="B1102">
        <v>2</v>
      </c>
      <c r="C1102" s="148">
        <v>46392</v>
      </c>
      <c r="D1102">
        <v>20</v>
      </c>
      <c r="E1102">
        <v>20</v>
      </c>
      <c r="F1102">
        <v>758</v>
      </c>
      <c r="G1102">
        <f>Consulta2[[#This Row],[DIA_UTIL_CORRENTE]]</f>
        <v>2</v>
      </c>
      <c r="H1102" s="6">
        <f>DAY(Consulta2[[#This Row],[DATA]])</f>
        <v>5</v>
      </c>
      <c r="I1102" s="6">
        <f>MONTH(Consulta2[[#This Row],[DATA]])</f>
        <v>1</v>
      </c>
      <c r="J1102" t="str">
        <f>CONCATENATE(Consulta2[[#This Row],[SAFRA]],Consulta2[[#This Row],[dia]])</f>
        <v>2027015</v>
      </c>
      <c r="K1102">
        <f>Consulta2[[#This Row],[DIA_UTIL_CORRENTE]]</f>
        <v>2</v>
      </c>
    </row>
    <row r="1103" spans="1:11" x14ac:dyDescent="0.25">
      <c r="A1103">
        <v>202701</v>
      </c>
      <c r="B1103">
        <v>3</v>
      </c>
      <c r="C1103" s="148">
        <v>46393</v>
      </c>
      <c r="D1103">
        <v>20</v>
      </c>
      <c r="E1103">
        <v>20</v>
      </c>
      <c r="F1103">
        <v>759</v>
      </c>
      <c r="G1103">
        <f>Consulta2[[#This Row],[DIA_UTIL_CORRENTE]]</f>
        <v>3</v>
      </c>
      <c r="H1103" s="6">
        <f>DAY(Consulta2[[#This Row],[DATA]])</f>
        <v>6</v>
      </c>
      <c r="I1103" s="6">
        <f>MONTH(Consulta2[[#This Row],[DATA]])</f>
        <v>1</v>
      </c>
      <c r="J1103" t="str">
        <f>CONCATENATE(Consulta2[[#This Row],[SAFRA]],Consulta2[[#This Row],[dia]])</f>
        <v>2027016</v>
      </c>
      <c r="K1103">
        <f>Consulta2[[#This Row],[DIA_UTIL_CORRENTE]]</f>
        <v>3</v>
      </c>
    </row>
    <row r="1104" spans="1:11" x14ac:dyDescent="0.25">
      <c r="A1104">
        <v>202701</v>
      </c>
      <c r="B1104">
        <v>4</v>
      </c>
      <c r="C1104" s="148">
        <v>46394</v>
      </c>
      <c r="D1104">
        <v>20</v>
      </c>
      <c r="E1104">
        <v>20</v>
      </c>
      <c r="F1104">
        <v>760</v>
      </c>
      <c r="G1104">
        <f>Consulta2[[#This Row],[DIA_UTIL_CORRENTE]]</f>
        <v>4</v>
      </c>
      <c r="H1104" s="6">
        <f>DAY(Consulta2[[#This Row],[DATA]])</f>
        <v>7</v>
      </c>
      <c r="I1104" s="6">
        <f>MONTH(Consulta2[[#This Row],[DATA]])</f>
        <v>1</v>
      </c>
      <c r="J1104" t="str">
        <f>CONCATENATE(Consulta2[[#This Row],[SAFRA]],Consulta2[[#This Row],[dia]])</f>
        <v>2027017</v>
      </c>
      <c r="K1104">
        <f>Consulta2[[#This Row],[DIA_UTIL_CORRENTE]]</f>
        <v>4</v>
      </c>
    </row>
    <row r="1105" spans="1:11" x14ac:dyDescent="0.25">
      <c r="A1105">
        <v>202701</v>
      </c>
      <c r="B1105">
        <v>5</v>
      </c>
      <c r="C1105" s="148">
        <v>46395</v>
      </c>
      <c r="D1105">
        <v>20</v>
      </c>
      <c r="E1105">
        <v>20</v>
      </c>
      <c r="F1105">
        <v>761</v>
      </c>
      <c r="G1105">
        <f>Consulta2[[#This Row],[DIA_UTIL_CORRENTE]]</f>
        <v>5</v>
      </c>
      <c r="H1105" s="6">
        <f>DAY(Consulta2[[#This Row],[DATA]])</f>
        <v>8</v>
      </c>
      <c r="I1105" s="6">
        <f>MONTH(Consulta2[[#This Row],[DATA]])</f>
        <v>1</v>
      </c>
      <c r="J1105" t="str">
        <f>CONCATENATE(Consulta2[[#This Row],[SAFRA]],Consulta2[[#This Row],[dia]])</f>
        <v>2027018</v>
      </c>
      <c r="K1105">
        <f>Consulta2[[#This Row],[DIA_UTIL_CORRENTE]]</f>
        <v>5</v>
      </c>
    </row>
    <row r="1106" spans="1:11" x14ac:dyDescent="0.25">
      <c r="A1106">
        <v>202701</v>
      </c>
      <c r="B1106">
        <v>5</v>
      </c>
      <c r="C1106" s="148">
        <v>46396</v>
      </c>
      <c r="D1106">
        <v>20</v>
      </c>
      <c r="E1106">
        <v>20</v>
      </c>
      <c r="F1106">
        <v>761</v>
      </c>
      <c r="G1106">
        <f>Consulta2[[#This Row],[DIA_UTIL_CORRENTE]]</f>
        <v>5</v>
      </c>
      <c r="H1106" s="6">
        <f>DAY(Consulta2[[#This Row],[DATA]])</f>
        <v>9</v>
      </c>
      <c r="I1106" s="6">
        <f>MONTH(Consulta2[[#This Row],[DATA]])</f>
        <v>1</v>
      </c>
      <c r="J1106" t="str">
        <f>CONCATENATE(Consulta2[[#This Row],[SAFRA]],Consulta2[[#This Row],[dia]])</f>
        <v>2027019</v>
      </c>
      <c r="K1106">
        <f>Consulta2[[#This Row],[DIA_UTIL_CORRENTE]]</f>
        <v>5</v>
      </c>
    </row>
    <row r="1107" spans="1:11" x14ac:dyDescent="0.25">
      <c r="A1107">
        <v>202701</v>
      </c>
      <c r="B1107">
        <v>5</v>
      </c>
      <c r="C1107" s="148">
        <v>46397</v>
      </c>
      <c r="D1107">
        <v>20</v>
      </c>
      <c r="E1107">
        <v>20</v>
      </c>
      <c r="F1107">
        <v>761</v>
      </c>
      <c r="G1107">
        <f>Consulta2[[#This Row],[DIA_UTIL_CORRENTE]]</f>
        <v>5</v>
      </c>
      <c r="H1107" s="6">
        <f>DAY(Consulta2[[#This Row],[DATA]])</f>
        <v>10</v>
      </c>
      <c r="I1107" s="6">
        <f>MONTH(Consulta2[[#This Row],[DATA]])</f>
        <v>1</v>
      </c>
      <c r="J1107" t="str">
        <f>CONCATENATE(Consulta2[[#This Row],[SAFRA]],Consulta2[[#This Row],[dia]])</f>
        <v>20270110</v>
      </c>
      <c r="K1107">
        <f>Consulta2[[#This Row],[DIA_UTIL_CORRENTE]]</f>
        <v>5</v>
      </c>
    </row>
    <row r="1108" spans="1:11" x14ac:dyDescent="0.25">
      <c r="A1108">
        <v>202701</v>
      </c>
      <c r="B1108">
        <v>6</v>
      </c>
      <c r="C1108" s="148">
        <v>46398</v>
      </c>
      <c r="D1108">
        <v>20</v>
      </c>
      <c r="E1108">
        <v>20</v>
      </c>
      <c r="F1108">
        <v>762</v>
      </c>
      <c r="G1108">
        <f>Consulta2[[#This Row],[DIA_UTIL_CORRENTE]]</f>
        <v>6</v>
      </c>
      <c r="H1108" s="6">
        <f>DAY(Consulta2[[#This Row],[DATA]])</f>
        <v>11</v>
      </c>
      <c r="I1108" s="6">
        <f>MONTH(Consulta2[[#This Row],[DATA]])</f>
        <v>1</v>
      </c>
      <c r="J1108" t="str">
        <f>CONCATENATE(Consulta2[[#This Row],[SAFRA]],Consulta2[[#This Row],[dia]])</f>
        <v>20270111</v>
      </c>
      <c r="K1108">
        <f>Consulta2[[#This Row],[DIA_UTIL_CORRENTE]]</f>
        <v>6</v>
      </c>
    </row>
    <row r="1109" spans="1:11" x14ac:dyDescent="0.25">
      <c r="A1109">
        <v>202701</v>
      </c>
      <c r="B1109">
        <v>7</v>
      </c>
      <c r="C1109" s="148">
        <v>46399</v>
      </c>
      <c r="D1109">
        <v>20</v>
      </c>
      <c r="E1109">
        <v>20</v>
      </c>
      <c r="F1109">
        <v>763</v>
      </c>
      <c r="G1109">
        <f>Consulta2[[#This Row],[DIA_UTIL_CORRENTE]]</f>
        <v>7</v>
      </c>
      <c r="H1109" s="6">
        <f>DAY(Consulta2[[#This Row],[DATA]])</f>
        <v>12</v>
      </c>
      <c r="I1109" s="6">
        <f>MONTH(Consulta2[[#This Row],[DATA]])</f>
        <v>1</v>
      </c>
      <c r="J1109" t="str">
        <f>CONCATENATE(Consulta2[[#This Row],[SAFRA]],Consulta2[[#This Row],[dia]])</f>
        <v>20270112</v>
      </c>
      <c r="K1109">
        <f>Consulta2[[#This Row],[DIA_UTIL_CORRENTE]]</f>
        <v>7</v>
      </c>
    </row>
    <row r="1110" spans="1:11" x14ac:dyDescent="0.25">
      <c r="A1110">
        <v>202701</v>
      </c>
      <c r="B1110">
        <v>8</v>
      </c>
      <c r="C1110" s="148">
        <v>46400</v>
      </c>
      <c r="D1110">
        <v>20</v>
      </c>
      <c r="E1110">
        <v>20</v>
      </c>
      <c r="F1110">
        <v>764</v>
      </c>
      <c r="G1110">
        <f>Consulta2[[#This Row],[DIA_UTIL_CORRENTE]]</f>
        <v>8</v>
      </c>
      <c r="H1110" s="6">
        <f>DAY(Consulta2[[#This Row],[DATA]])</f>
        <v>13</v>
      </c>
      <c r="I1110" s="6">
        <f>MONTH(Consulta2[[#This Row],[DATA]])</f>
        <v>1</v>
      </c>
      <c r="J1110" t="str">
        <f>CONCATENATE(Consulta2[[#This Row],[SAFRA]],Consulta2[[#This Row],[dia]])</f>
        <v>20270113</v>
      </c>
      <c r="K1110">
        <f>Consulta2[[#This Row],[DIA_UTIL_CORRENTE]]</f>
        <v>8</v>
      </c>
    </row>
    <row r="1111" spans="1:11" x14ac:dyDescent="0.25">
      <c r="A1111">
        <v>202701</v>
      </c>
      <c r="B1111">
        <v>9</v>
      </c>
      <c r="C1111" s="148">
        <v>46401</v>
      </c>
      <c r="D1111">
        <v>20</v>
      </c>
      <c r="E1111">
        <v>20</v>
      </c>
      <c r="F1111">
        <v>765</v>
      </c>
      <c r="G1111">
        <f>Consulta2[[#This Row],[DIA_UTIL_CORRENTE]]</f>
        <v>9</v>
      </c>
      <c r="H1111" s="6">
        <f>DAY(Consulta2[[#This Row],[DATA]])</f>
        <v>14</v>
      </c>
      <c r="I1111" s="6">
        <f>MONTH(Consulta2[[#This Row],[DATA]])</f>
        <v>1</v>
      </c>
      <c r="J1111" t="str">
        <f>CONCATENATE(Consulta2[[#This Row],[SAFRA]],Consulta2[[#This Row],[dia]])</f>
        <v>20270114</v>
      </c>
      <c r="K1111">
        <f>Consulta2[[#This Row],[DIA_UTIL_CORRENTE]]</f>
        <v>9</v>
      </c>
    </row>
    <row r="1112" spans="1:11" x14ac:dyDescent="0.25">
      <c r="A1112">
        <v>202701</v>
      </c>
      <c r="B1112">
        <v>10</v>
      </c>
      <c r="C1112" s="148">
        <v>46402</v>
      </c>
      <c r="D1112">
        <v>20</v>
      </c>
      <c r="E1112">
        <v>20</v>
      </c>
      <c r="F1112">
        <v>766</v>
      </c>
      <c r="G1112">
        <f>Consulta2[[#This Row],[DIA_UTIL_CORRENTE]]</f>
        <v>10</v>
      </c>
      <c r="H1112" s="6">
        <f>DAY(Consulta2[[#This Row],[DATA]])</f>
        <v>15</v>
      </c>
      <c r="I1112" s="6">
        <f>MONTH(Consulta2[[#This Row],[DATA]])</f>
        <v>1</v>
      </c>
      <c r="J1112" t="str">
        <f>CONCATENATE(Consulta2[[#This Row],[SAFRA]],Consulta2[[#This Row],[dia]])</f>
        <v>20270115</v>
      </c>
      <c r="K1112">
        <f>Consulta2[[#This Row],[DIA_UTIL_CORRENTE]]</f>
        <v>10</v>
      </c>
    </row>
    <row r="1113" spans="1:11" x14ac:dyDescent="0.25">
      <c r="A1113">
        <v>202701</v>
      </c>
      <c r="B1113">
        <v>10</v>
      </c>
      <c r="C1113" s="148">
        <v>46403</v>
      </c>
      <c r="D1113">
        <v>20</v>
      </c>
      <c r="E1113">
        <v>20</v>
      </c>
      <c r="F1113">
        <v>766</v>
      </c>
      <c r="G1113">
        <f>Consulta2[[#This Row],[DIA_UTIL_CORRENTE]]</f>
        <v>10</v>
      </c>
      <c r="H1113" s="6">
        <f>DAY(Consulta2[[#This Row],[DATA]])</f>
        <v>16</v>
      </c>
      <c r="I1113" s="6">
        <f>MONTH(Consulta2[[#This Row],[DATA]])</f>
        <v>1</v>
      </c>
      <c r="J1113" t="str">
        <f>CONCATENATE(Consulta2[[#This Row],[SAFRA]],Consulta2[[#This Row],[dia]])</f>
        <v>20270116</v>
      </c>
      <c r="K1113">
        <f>Consulta2[[#This Row],[DIA_UTIL_CORRENTE]]</f>
        <v>10</v>
      </c>
    </row>
    <row r="1114" spans="1:11" x14ac:dyDescent="0.25">
      <c r="A1114">
        <v>202701</v>
      </c>
      <c r="B1114">
        <v>10</v>
      </c>
      <c r="C1114" s="148">
        <v>46404</v>
      </c>
      <c r="D1114">
        <v>20</v>
      </c>
      <c r="E1114">
        <v>20</v>
      </c>
      <c r="F1114">
        <v>766</v>
      </c>
      <c r="G1114">
        <f>Consulta2[[#This Row],[DIA_UTIL_CORRENTE]]</f>
        <v>10</v>
      </c>
      <c r="H1114" s="6">
        <f>DAY(Consulta2[[#This Row],[DATA]])</f>
        <v>17</v>
      </c>
      <c r="I1114" s="6">
        <f>MONTH(Consulta2[[#This Row],[DATA]])</f>
        <v>1</v>
      </c>
      <c r="J1114" t="str">
        <f>CONCATENATE(Consulta2[[#This Row],[SAFRA]],Consulta2[[#This Row],[dia]])</f>
        <v>20270117</v>
      </c>
      <c r="K1114">
        <f>Consulta2[[#This Row],[DIA_UTIL_CORRENTE]]</f>
        <v>10</v>
      </c>
    </row>
    <row r="1115" spans="1:11" x14ac:dyDescent="0.25">
      <c r="A1115">
        <v>202701</v>
      </c>
      <c r="B1115">
        <v>11</v>
      </c>
      <c r="C1115" s="148">
        <v>46405</v>
      </c>
      <c r="D1115">
        <v>20</v>
      </c>
      <c r="E1115">
        <v>20</v>
      </c>
      <c r="F1115">
        <v>767</v>
      </c>
      <c r="G1115">
        <f>Consulta2[[#This Row],[DIA_UTIL_CORRENTE]]</f>
        <v>11</v>
      </c>
      <c r="H1115" s="6">
        <f>DAY(Consulta2[[#This Row],[DATA]])</f>
        <v>18</v>
      </c>
      <c r="I1115" s="6">
        <f>MONTH(Consulta2[[#This Row],[DATA]])</f>
        <v>1</v>
      </c>
      <c r="J1115" t="str">
        <f>CONCATENATE(Consulta2[[#This Row],[SAFRA]],Consulta2[[#This Row],[dia]])</f>
        <v>20270118</v>
      </c>
      <c r="K1115">
        <f>Consulta2[[#This Row],[DIA_UTIL_CORRENTE]]</f>
        <v>11</v>
      </c>
    </row>
    <row r="1116" spans="1:11" x14ac:dyDescent="0.25">
      <c r="A1116">
        <v>202701</v>
      </c>
      <c r="B1116">
        <v>12</v>
      </c>
      <c r="C1116" s="148">
        <v>46406</v>
      </c>
      <c r="D1116">
        <v>20</v>
      </c>
      <c r="E1116">
        <v>20</v>
      </c>
      <c r="F1116">
        <v>768</v>
      </c>
      <c r="G1116">
        <f>Consulta2[[#This Row],[DIA_UTIL_CORRENTE]]</f>
        <v>12</v>
      </c>
      <c r="H1116" s="6">
        <f>DAY(Consulta2[[#This Row],[DATA]])</f>
        <v>19</v>
      </c>
      <c r="I1116" s="6">
        <f>MONTH(Consulta2[[#This Row],[DATA]])</f>
        <v>1</v>
      </c>
      <c r="J1116" t="str">
        <f>CONCATENATE(Consulta2[[#This Row],[SAFRA]],Consulta2[[#This Row],[dia]])</f>
        <v>20270119</v>
      </c>
      <c r="K1116">
        <f>Consulta2[[#This Row],[DIA_UTIL_CORRENTE]]</f>
        <v>12</v>
      </c>
    </row>
    <row r="1117" spans="1:11" x14ac:dyDescent="0.25">
      <c r="A1117">
        <v>202701</v>
      </c>
      <c r="B1117">
        <v>13</v>
      </c>
      <c r="C1117" s="148">
        <v>46407</v>
      </c>
      <c r="D1117">
        <v>20</v>
      </c>
      <c r="E1117">
        <v>20</v>
      </c>
      <c r="F1117">
        <v>769</v>
      </c>
      <c r="G1117">
        <f>Consulta2[[#This Row],[DIA_UTIL_CORRENTE]]</f>
        <v>13</v>
      </c>
      <c r="H1117" s="6">
        <f>DAY(Consulta2[[#This Row],[DATA]])</f>
        <v>20</v>
      </c>
      <c r="I1117" s="6">
        <f>MONTH(Consulta2[[#This Row],[DATA]])</f>
        <v>1</v>
      </c>
      <c r="J1117" t="str">
        <f>CONCATENATE(Consulta2[[#This Row],[SAFRA]],Consulta2[[#This Row],[dia]])</f>
        <v>20270120</v>
      </c>
      <c r="K1117">
        <f>Consulta2[[#This Row],[DIA_UTIL_CORRENTE]]</f>
        <v>13</v>
      </c>
    </row>
    <row r="1118" spans="1:11" x14ac:dyDescent="0.25">
      <c r="A1118">
        <v>202701</v>
      </c>
      <c r="B1118">
        <v>14</v>
      </c>
      <c r="C1118" s="148">
        <v>46408</v>
      </c>
      <c r="D1118">
        <v>20</v>
      </c>
      <c r="E1118">
        <v>20</v>
      </c>
      <c r="F1118">
        <v>770</v>
      </c>
      <c r="G1118">
        <f>Consulta2[[#This Row],[DIA_UTIL_CORRENTE]]</f>
        <v>14</v>
      </c>
      <c r="H1118" s="6">
        <f>DAY(Consulta2[[#This Row],[DATA]])</f>
        <v>21</v>
      </c>
      <c r="I1118" s="6">
        <f>MONTH(Consulta2[[#This Row],[DATA]])</f>
        <v>1</v>
      </c>
      <c r="J1118" t="str">
        <f>CONCATENATE(Consulta2[[#This Row],[SAFRA]],Consulta2[[#This Row],[dia]])</f>
        <v>20270121</v>
      </c>
      <c r="K1118">
        <f>Consulta2[[#This Row],[DIA_UTIL_CORRENTE]]</f>
        <v>14</v>
      </c>
    </row>
    <row r="1119" spans="1:11" x14ac:dyDescent="0.25">
      <c r="A1119">
        <v>202701</v>
      </c>
      <c r="B1119">
        <v>15</v>
      </c>
      <c r="C1119" s="148">
        <v>46409</v>
      </c>
      <c r="D1119">
        <v>20</v>
      </c>
      <c r="E1119">
        <v>20</v>
      </c>
      <c r="F1119">
        <v>771</v>
      </c>
      <c r="G1119">
        <f>Consulta2[[#This Row],[DIA_UTIL_CORRENTE]]</f>
        <v>15</v>
      </c>
      <c r="H1119" s="6">
        <f>DAY(Consulta2[[#This Row],[DATA]])</f>
        <v>22</v>
      </c>
      <c r="I1119" s="6">
        <f>MONTH(Consulta2[[#This Row],[DATA]])</f>
        <v>1</v>
      </c>
      <c r="J1119" t="str">
        <f>CONCATENATE(Consulta2[[#This Row],[SAFRA]],Consulta2[[#This Row],[dia]])</f>
        <v>20270122</v>
      </c>
      <c r="K1119">
        <f>Consulta2[[#This Row],[DIA_UTIL_CORRENTE]]</f>
        <v>15</v>
      </c>
    </row>
    <row r="1120" spans="1:11" x14ac:dyDescent="0.25">
      <c r="A1120">
        <v>202701</v>
      </c>
      <c r="B1120">
        <v>15</v>
      </c>
      <c r="C1120" s="148">
        <v>46410</v>
      </c>
      <c r="D1120">
        <v>20</v>
      </c>
      <c r="E1120">
        <v>20</v>
      </c>
      <c r="F1120">
        <v>771</v>
      </c>
      <c r="G1120">
        <f>Consulta2[[#This Row],[DIA_UTIL_CORRENTE]]</f>
        <v>15</v>
      </c>
      <c r="H1120" s="6">
        <f>DAY(Consulta2[[#This Row],[DATA]])</f>
        <v>23</v>
      </c>
      <c r="I1120" s="6">
        <f>MONTH(Consulta2[[#This Row],[DATA]])</f>
        <v>1</v>
      </c>
      <c r="J1120" t="str">
        <f>CONCATENATE(Consulta2[[#This Row],[SAFRA]],Consulta2[[#This Row],[dia]])</f>
        <v>20270123</v>
      </c>
      <c r="K1120">
        <f>Consulta2[[#This Row],[DIA_UTIL_CORRENTE]]</f>
        <v>15</v>
      </c>
    </row>
    <row r="1121" spans="1:11" x14ac:dyDescent="0.25">
      <c r="A1121">
        <v>202701</v>
      </c>
      <c r="B1121">
        <v>15</v>
      </c>
      <c r="C1121" s="148">
        <v>46411</v>
      </c>
      <c r="D1121">
        <v>20</v>
      </c>
      <c r="E1121">
        <v>20</v>
      </c>
      <c r="F1121">
        <v>771</v>
      </c>
      <c r="G1121">
        <f>Consulta2[[#This Row],[DIA_UTIL_CORRENTE]]</f>
        <v>15</v>
      </c>
      <c r="H1121" s="6">
        <f>DAY(Consulta2[[#This Row],[DATA]])</f>
        <v>24</v>
      </c>
      <c r="I1121" s="6">
        <f>MONTH(Consulta2[[#This Row],[DATA]])</f>
        <v>1</v>
      </c>
      <c r="J1121" t="str">
        <f>CONCATENATE(Consulta2[[#This Row],[SAFRA]],Consulta2[[#This Row],[dia]])</f>
        <v>20270124</v>
      </c>
      <c r="K1121">
        <f>Consulta2[[#This Row],[DIA_UTIL_CORRENTE]]</f>
        <v>15</v>
      </c>
    </row>
    <row r="1122" spans="1:11" x14ac:dyDescent="0.25">
      <c r="A1122">
        <v>202701</v>
      </c>
      <c r="B1122">
        <v>16</v>
      </c>
      <c r="C1122" s="148">
        <v>46412</v>
      </c>
      <c r="D1122">
        <v>20</v>
      </c>
      <c r="E1122">
        <v>20</v>
      </c>
      <c r="F1122">
        <v>772</v>
      </c>
      <c r="G1122">
        <f>Consulta2[[#This Row],[DIA_UTIL_CORRENTE]]</f>
        <v>16</v>
      </c>
      <c r="H1122" s="6">
        <f>DAY(Consulta2[[#This Row],[DATA]])</f>
        <v>25</v>
      </c>
      <c r="I1122" s="6">
        <f>MONTH(Consulta2[[#This Row],[DATA]])</f>
        <v>1</v>
      </c>
      <c r="J1122" t="str">
        <f>CONCATENATE(Consulta2[[#This Row],[SAFRA]],Consulta2[[#This Row],[dia]])</f>
        <v>20270125</v>
      </c>
      <c r="K1122">
        <f>Consulta2[[#This Row],[DIA_UTIL_CORRENTE]]</f>
        <v>16</v>
      </c>
    </row>
    <row r="1123" spans="1:11" x14ac:dyDescent="0.25">
      <c r="A1123">
        <v>202701</v>
      </c>
      <c r="B1123">
        <v>17</v>
      </c>
      <c r="C1123" s="148">
        <v>46413</v>
      </c>
      <c r="D1123">
        <v>20</v>
      </c>
      <c r="E1123">
        <v>20</v>
      </c>
      <c r="F1123">
        <v>773</v>
      </c>
      <c r="G1123">
        <f>Consulta2[[#This Row],[DIA_UTIL_CORRENTE]]</f>
        <v>17</v>
      </c>
      <c r="H1123" s="6">
        <f>DAY(Consulta2[[#This Row],[DATA]])</f>
        <v>26</v>
      </c>
      <c r="I1123" s="6">
        <f>MONTH(Consulta2[[#This Row],[DATA]])</f>
        <v>1</v>
      </c>
      <c r="J1123" t="str">
        <f>CONCATENATE(Consulta2[[#This Row],[SAFRA]],Consulta2[[#This Row],[dia]])</f>
        <v>20270126</v>
      </c>
      <c r="K1123">
        <f>Consulta2[[#This Row],[DIA_UTIL_CORRENTE]]</f>
        <v>17</v>
      </c>
    </row>
    <row r="1124" spans="1:11" x14ac:dyDescent="0.25">
      <c r="A1124">
        <v>202701</v>
      </c>
      <c r="B1124">
        <v>18</v>
      </c>
      <c r="C1124" s="148">
        <v>46414</v>
      </c>
      <c r="D1124">
        <v>20</v>
      </c>
      <c r="E1124">
        <v>20</v>
      </c>
      <c r="F1124">
        <v>774</v>
      </c>
      <c r="G1124">
        <f>Consulta2[[#This Row],[DIA_UTIL_CORRENTE]]</f>
        <v>18</v>
      </c>
      <c r="H1124" s="6">
        <f>DAY(Consulta2[[#This Row],[DATA]])</f>
        <v>27</v>
      </c>
      <c r="I1124" s="6">
        <f>MONTH(Consulta2[[#This Row],[DATA]])</f>
        <v>1</v>
      </c>
      <c r="J1124" t="str">
        <f>CONCATENATE(Consulta2[[#This Row],[SAFRA]],Consulta2[[#This Row],[dia]])</f>
        <v>20270127</v>
      </c>
      <c r="K1124">
        <f>Consulta2[[#This Row],[DIA_UTIL_CORRENTE]]</f>
        <v>18</v>
      </c>
    </row>
    <row r="1125" spans="1:11" x14ac:dyDescent="0.25">
      <c r="A1125">
        <v>202701</v>
      </c>
      <c r="B1125">
        <v>19</v>
      </c>
      <c r="C1125" s="148">
        <v>46415</v>
      </c>
      <c r="D1125">
        <v>20</v>
      </c>
      <c r="E1125">
        <v>20</v>
      </c>
      <c r="F1125">
        <v>775</v>
      </c>
      <c r="G1125">
        <f>Consulta2[[#This Row],[DIA_UTIL_CORRENTE]]</f>
        <v>19</v>
      </c>
      <c r="H1125" s="6">
        <f>DAY(Consulta2[[#This Row],[DATA]])</f>
        <v>28</v>
      </c>
      <c r="I1125" s="6">
        <f>MONTH(Consulta2[[#This Row],[DATA]])</f>
        <v>1</v>
      </c>
      <c r="J1125" t="str">
        <f>CONCATENATE(Consulta2[[#This Row],[SAFRA]],Consulta2[[#This Row],[dia]])</f>
        <v>20270128</v>
      </c>
      <c r="K1125">
        <f>Consulta2[[#This Row],[DIA_UTIL_CORRENTE]]</f>
        <v>19</v>
      </c>
    </row>
    <row r="1126" spans="1:11" x14ac:dyDescent="0.25">
      <c r="A1126">
        <v>202701</v>
      </c>
      <c r="B1126">
        <v>20</v>
      </c>
      <c r="C1126" s="148">
        <v>46416</v>
      </c>
      <c r="D1126">
        <v>20</v>
      </c>
      <c r="E1126">
        <v>20</v>
      </c>
      <c r="F1126">
        <v>776</v>
      </c>
      <c r="G1126">
        <f>Consulta2[[#This Row],[DIA_UTIL_CORRENTE]]</f>
        <v>20</v>
      </c>
      <c r="H1126" s="6">
        <f>DAY(Consulta2[[#This Row],[DATA]])</f>
        <v>29</v>
      </c>
      <c r="I1126" s="6">
        <f>MONTH(Consulta2[[#This Row],[DATA]])</f>
        <v>1</v>
      </c>
      <c r="J1126" t="str">
        <f>CONCATENATE(Consulta2[[#This Row],[SAFRA]],Consulta2[[#This Row],[dia]])</f>
        <v>20270129</v>
      </c>
      <c r="K1126">
        <f>Consulta2[[#This Row],[DIA_UTIL_CORRENTE]]</f>
        <v>20</v>
      </c>
    </row>
    <row r="1127" spans="1:11" x14ac:dyDescent="0.25">
      <c r="A1127">
        <v>202701</v>
      </c>
      <c r="B1127">
        <v>20</v>
      </c>
      <c r="C1127" s="148">
        <v>46417</v>
      </c>
      <c r="D1127">
        <v>20</v>
      </c>
      <c r="E1127">
        <v>20</v>
      </c>
      <c r="F1127">
        <v>776</v>
      </c>
      <c r="G1127">
        <f>Consulta2[[#This Row],[DIA_UTIL_CORRENTE]]</f>
        <v>20</v>
      </c>
      <c r="H1127" s="6">
        <f>DAY(Consulta2[[#This Row],[DATA]])</f>
        <v>30</v>
      </c>
      <c r="I1127" s="6">
        <f>MONTH(Consulta2[[#This Row],[DATA]])</f>
        <v>1</v>
      </c>
      <c r="J1127" t="str">
        <f>CONCATENATE(Consulta2[[#This Row],[SAFRA]],Consulta2[[#This Row],[dia]])</f>
        <v>20270130</v>
      </c>
      <c r="K1127">
        <f>Consulta2[[#This Row],[DIA_UTIL_CORRENTE]]</f>
        <v>20</v>
      </c>
    </row>
    <row r="1128" spans="1:11" x14ac:dyDescent="0.25">
      <c r="A1128">
        <v>202701</v>
      </c>
      <c r="B1128">
        <v>20</v>
      </c>
      <c r="C1128" s="148">
        <v>46418</v>
      </c>
      <c r="D1128">
        <v>20</v>
      </c>
      <c r="E1128">
        <v>20</v>
      </c>
      <c r="F1128">
        <v>776</v>
      </c>
      <c r="G1128">
        <f>Consulta2[[#This Row],[DIA_UTIL_CORRENTE]]</f>
        <v>20</v>
      </c>
      <c r="H1128" s="6">
        <f>DAY(Consulta2[[#This Row],[DATA]])</f>
        <v>31</v>
      </c>
      <c r="I1128" s="6">
        <f>MONTH(Consulta2[[#This Row],[DATA]])</f>
        <v>1</v>
      </c>
      <c r="J1128" t="str">
        <f>CONCATENATE(Consulta2[[#This Row],[SAFRA]],Consulta2[[#This Row],[dia]])</f>
        <v>20270131</v>
      </c>
      <c r="K1128">
        <f>Consulta2[[#This Row],[DIA_UTIL_CORRENTE]]</f>
        <v>20</v>
      </c>
    </row>
    <row r="1129" spans="1:11" x14ac:dyDescent="0.25">
      <c r="A1129">
        <v>202702</v>
      </c>
      <c r="B1129">
        <v>1</v>
      </c>
      <c r="C1129" s="148">
        <v>46419</v>
      </c>
      <c r="D1129">
        <v>18</v>
      </c>
      <c r="E1129">
        <v>18</v>
      </c>
      <c r="F1129">
        <v>777</v>
      </c>
      <c r="G1129">
        <f>Consulta2[[#This Row],[DIA_UTIL_CORRENTE]]</f>
        <v>1</v>
      </c>
      <c r="H1129" s="6">
        <f>DAY(Consulta2[[#This Row],[DATA]])</f>
        <v>1</v>
      </c>
      <c r="I1129" s="6">
        <f>MONTH(Consulta2[[#This Row],[DATA]])</f>
        <v>2</v>
      </c>
      <c r="J1129" t="str">
        <f>CONCATENATE(Consulta2[[#This Row],[SAFRA]],Consulta2[[#This Row],[dia]])</f>
        <v>2027021</v>
      </c>
      <c r="K1129">
        <f>Consulta2[[#This Row],[DIA_UTIL_CORRENTE]]</f>
        <v>1</v>
      </c>
    </row>
    <row r="1130" spans="1:11" x14ac:dyDescent="0.25">
      <c r="A1130">
        <v>202702</v>
      </c>
      <c r="B1130">
        <v>2</v>
      </c>
      <c r="C1130" s="148">
        <v>46420</v>
      </c>
      <c r="D1130">
        <v>18</v>
      </c>
      <c r="E1130">
        <v>18</v>
      </c>
      <c r="F1130">
        <v>778</v>
      </c>
      <c r="G1130">
        <f>Consulta2[[#This Row],[DIA_UTIL_CORRENTE]]</f>
        <v>2</v>
      </c>
      <c r="H1130" s="6">
        <f>DAY(Consulta2[[#This Row],[DATA]])</f>
        <v>2</v>
      </c>
      <c r="I1130" s="6">
        <f>MONTH(Consulta2[[#This Row],[DATA]])</f>
        <v>2</v>
      </c>
      <c r="J1130" t="str">
        <f>CONCATENATE(Consulta2[[#This Row],[SAFRA]],Consulta2[[#This Row],[dia]])</f>
        <v>2027022</v>
      </c>
      <c r="K1130">
        <f>Consulta2[[#This Row],[DIA_UTIL_CORRENTE]]</f>
        <v>2</v>
      </c>
    </row>
    <row r="1131" spans="1:11" x14ac:dyDescent="0.25">
      <c r="A1131">
        <v>202702</v>
      </c>
      <c r="B1131">
        <v>3</v>
      </c>
      <c r="C1131" s="148">
        <v>46421</v>
      </c>
      <c r="D1131">
        <v>18</v>
      </c>
      <c r="E1131">
        <v>18</v>
      </c>
      <c r="F1131">
        <v>779</v>
      </c>
      <c r="G1131">
        <f>Consulta2[[#This Row],[DIA_UTIL_CORRENTE]]</f>
        <v>3</v>
      </c>
      <c r="H1131" s="6">
        <f>DAY(Consulta2[[#This Row],[DATA]])</f>
        <v>3</v>
      </c>
      <c r="I1131" s="6">
        <f>MONTH(Consulta2[[#This Row],[DATA]])</f>
        <v>2</v>
      </c>
      <c r="J1131" t="str">
        <f>CONCATENATE(Consulta2[[#This Row],[SAFRA]],Consulta2[[#This Row],[dia]])</f>
        <v>2027023</v>
      </c>
      <c r="K1131">
        <f>Consulta2[[#This Row],[DIA_UTIL_CORRENTE]]</f>
        <v>3</v>
      </c>
    </row>
    <row r="1132" spans="1:11" x14ac:dyDescent="0.25">
      <c r="A1132">
        <v>202702</v>
      </c>
      <c r="B1132">
        <v>4</v>
      </c>
      <c r="C1132" s="148">
        <v>46422</v>
      </c>
      <c r="D1132">
        <v>18</v>
      </c>
      <c r="E1132">
        <v>18</v>
      </c>
      <c r="F1132">
        <v>780</v>
      </c>
      <c r="G1132">
        <f>Consulta2[[#This Row],[DIA_UTIL_CORRENTE]]</f>
        <v>4</v>
      </c>
      <c r="H1132" s="6">
        <f>DAY(Consulta2[[#This Row],[DATA]])</f>
        <v>4</v>
      </c>
      <c r="I1132" s="6">
        <f>MONTH(Consulta2[[#This Row],[DATA]])</f>
        <v>2</v>
      </c>
      <c r="J1132" t="str">
        <f>CONCATENATE(Consulta2[[#This Row],[SAFRA]],Consulta2[[#This Row],[dia]])</f>
        <v>2027024</v>
      </c>
      <c r="K1132">
        <f>Consulta2[[#This Row],[DIA_UTIL_CORRENTE]]</f>
        <v>4</v>
      </c>
    </row>
    <row r="1133" spans="1:11" x14ac:dyDescent="0.25">
      <c r="A1133">
        <v>202702</v>
      </c>
      <c r="B1133">
        <v>5</v>
      </c>
      <c r="C1133" s="148">
        <v>46423</v>
      </c>
      <c r="D1133">
        <v>18</v>
      </c>
      <c r="E1133">
        <v>18</v>
      </c>
      <c r="F1133">
        <v>781</v>
      </c>
      <c r="G1133">
        <f>Consulta2[[#This Row],[DIA_UTIL_CORRENTE]]</f>
        <v>5</v>
      </c>
      <c r="H1133" s="6">
        <f>DAY(Consulta2[[#This Row],[DATA]])</f>
        <v>5</v>
      </c>
      <c r="I1133" s="6">
        <f>MONTH(Consulta2[[#This Row],[DATA]])</f>
        <v>2</v>
      </c>
      <c r="J1133" t="str">
        <f>CONCATENATE(Consulta2[[#This Row],[SAFRA]],Consulta2[[#This Row],[dia]])</f>
        <v>2027025</v>
      </c>
      <c r="K1133">
        <f>Consulta2[[#This Row],[DIA_UTIL_CORRENTE]]</f>
        <v>5</v>
      </c>
    </row>
    <row r="1134" spans="1:11" x14ac:dyDescent="0.25">
      <c r="A1134">
        <v>202702</v>
      </c>
      <c r="B1134">
        <v>5</v>
      </c>
      <c r="C1134" s="148">
        <v>46424</v>
      </c>
      <c r="D1134">
        <v>18</v>
      </c>
      <c r="E1134">
        <v>18</v>
      </c>
      <c r="F1134">
        <v>781</v>
      </c>
      <c r="G1134">
        <f>Consulta2[[#This Row],[DIA_UTIL_CORRENTE]]</f>
        <v>5</v>
      </c>
      <c r="H1134" s="6">
        <f>DAY(Consulta2[[#This Row],[DATA]])</f>
        <v>6</v>
      </c>
      <c r="I1134" s="6">
        <f>MONTH(Consulta2[[#This Row],[DATA]])</f>
        <v>2</v>
      </c>
      <c r="J1134" t="str">
        <f>CONCATENATE(Consulta2[[#This Row],[SAFRA]],Consulta2[[#This Row],[dia]])</f>
        <v>2027026</v>
      </c>
      <c r="K1134">
        <f>Consulta2[[#This Row],[DIA_UTIL_CORRENTE]]</f>
        <v>5</v>
      </c>
    </row>
    <row r="1135" spans="1:11" x14ac:dyDescent="0.25">
      <c r="A1135">
        <v>202702</v>
      </c>
      <c r="B1135">
        <v>5</v>
      </c>
      <c r="C1135" s="148">
        <v>46425</v>
      </c>
      <c r="D1135">
        <v>18</v>
      </c>
      <c r="E1135">
        <v>18</v>
      </c>
      <c r="F1135">
        <v>781</v>
      </c>
      <c r="G1135">
        <f>Consulta2[[#This Row],[DIA_UTIL_CORRENTE]]</f>
        <v>5</v>
      </c>
      <c r="H1135" s="6">
        <f>DAY(Consulta2[[#This Row],[DATA]])</f>
        <v>7</v>
      </c>
      <c r="I1135" s="6">
        <f>MONTH(Consulta2[[#This Row],[DATA]])</f>
        <v>2</v>
      </c>
      <c r="J1135" t="str">
        <f>CONCATENATE(Consulta2[[#This Row],[SAFRA]],Consulta2[[#This Row],[dia]])</f>
        <v>2027027</v>
      </c>
      <c r="K1135">
        <f>Consulta2[[#This Row],[DIA_UTIL_CORRENTE]]</f>
        <v>5</v>
      </c>
    </row>
    <row r="1136" spans="1:11" x14ac:dyDescent="0.25">
      <c r="A1136">
        <v>202702</v>
      </c>
      <c r="B1136">
        <v>5</v>
      </c>
      <c r="C1136" s="148">
        <v>46426</v>
      </c>
      <c r="D1136">
        <v>18</v>
      </c>
      <c r="E1136">
        <v>18</v>
      </c>
      <c r="F1136">
        <v>781</v>
      </c>
      <c r="G1136">
        <f>Consulta2[[#This Row],[DIA_UTIL_CORRENTE]]</f>
        <v>5</v>
      </c>
      <c r="H1136" s="6">
        <f>DAY(Consulta2[[#This Row],[DATA]])</f>
        <v>8</v>
      </c>
      <c r="I1136" s="6">
        <f>MONTH(Consulta2[[#This Row],[DATA]])</f>
        <v>2</v>
      </c>
      <c r="J1136" t="str">
        <f>CONCATENATE(Consulta2[[#This Row],[SAFRA]],Consulta2[[#This Row],[dia]])</f>
        <v>2027028</v>
      </c>
      <c r="K1136">
        <f>Consulta2[[#This Row],[DIA_UTIL_CORRENTE]]</f>
        <v>5</v>
      </c>
    </row>
    <row r="1137" spans="1:11" x14ac:dyDescent="0.25">
      <c r="A1137">
        <v>202702</v>
      </c>
      <c r="B1137">
        <v>5</v>
      </c>
      <c r="C1137" s="148">
        <v>46427</v>
      </c>
      <c r="D1137">
        <v>18</v>
      </c>
      <c r="E1137">
        <v>18</v>
      </c>
      <c r="F1137">
        <v>781</v>
      </c>
      <c r="G1137">
        <f>Consulta2[[#This Row],[DIA_UTIL_CORRENTE]]</f>
        <v>5</v>
      </c>
      <c r="H1137" s="6">
        <f>DAY(Consulta2[[#This Row],[DATA]])</f>
        <v>9</v>
      </c>
      <c r="I1137" s="6">
        <f>MONTH(Consulta2[[#This Row],[DATA]])</f>
        <v>2</v>
      </c>
      <c r="J1137" t="str">
        <f>CONCATENATE(Consulta2[[#This Row],[SAFRA]],Consulta2[[#This Row],[dia]])</f>
        <v>2027029</v>
      </c>
      <c r="K1137">
        <f>Consulta2[[#This Row],[DIA_UTIL_CORRENTE]]</f>
        <v>5</v>
      </c>
    </row>
    <row r="1138" spans="1:11" x14ac:dyDescent="0.25">
      <c r="A1138">
        <v>202702</v>
      </c>
      <c r="B1138">
        <v>6</v>
      </c>
      <c r="C1138" s="148">
        <v>46428</v>
      </c>
      <c r="D1138">
        <v>18</v>
      </c>
      <c r="E1138">
        <v>18</v>
      </c>
      <c r="F1138">
        <v>782</v>
      </c>
      <c r="G1138">
        <f>Consulta2[[#This Row],[DIA_UTIL_CORRENTE]]</f>
        <v>6</v>
      </c>
      <c r="H1138" s="6">
        <f>DAY(Consulta2[[#This Row],[DATA]])</f>
        <v>10</v>
      </c>
      <c r="I1138" s="6">
        <f>MONTH(Consulta2[[#This Row],[DATA]])</f>
        <v>2</v>
      </c>
      <c r="J1138" t="str">
        <f>CONCATENATE(Consulta2[[#This Row],[SAFRA]],Consulta2[[#This Row],[dia]])</f>
        <v>20270210</v>
      </c>
      <c r="K1138">
        <f>Consulta2[[#This Row],[DIA_UTIL_CORRENTE]]</f>
        <v>6</v>
      </c>
    </row>
    <row r="1139" spans="1:11" x14ac:dyDescent="0.25">
      <c r="A1139">
        <v>202702</v>
      </c>
      <c r="B1139">
        <v>7</v>
      </c>
      <c r="C1139" s="148">
        <v>46429</v>
      </c>
      <c r="D1139">
        <v>18</v>
      </c>
      <c r="E1139">
        <v>18</v>
      </c>
      <c r="F1139">
        <v>783</v>
      </c>
      <c r="G1139">
        <f>Consulta2[[#This Row],[DIA_UTIL_CORRENTE]]</f>
        <v>7</v>
      </c>
      <c r="H1139" s="6">
        <f>DAY(Consulta2[[#This Row],[DATA]])</f>
        <v>11</v>
      </c>
      <c r="I1139" s="6">
        <f>MONTH(Consulta2[[#This Row],[DATA]])</f>
        <v>2</v>
      </c>
      <c r="J1139" t="str">
        <f>CONCATENATE(Consulta2[[#This Row],[SAFRA]],Consulta2[[#This Row],[dia]])</f>
        <v>20270211</v>
      </c>
      <c r="K1139">
        <f>Consulta2[[#This Row],[DIA_UTIL_CORRENTE]]</f>
        <v>7</v>
      </c>
    </row>
    <row r="1140" spans="1:11" x14ac:dyDescent="0.25">
      <c r="A1140">
        <v>202702</v>
      </c>
      <c r="B1140">
        <v>8</v>
      </c>
      <c r="C1140" s="148">
        <v>46430</v>
      </c>
      <c r="D1140">
        <v>18</v>
      </c>
      <c r="E1140">
        <v>18</v>
      </c>
      <c r="F1140">
        <v>784</v>
      </c>
      <c r="G1140">
        <f>Consulta2[[#This Row],[DIA_UTIL_CORRENTE]]</f>
        <v>8</v>
      </c>
      <c r="H1140" s="6">
        <f>DAY(Consulta2[[#This Row],[DATA]])</f>
        <v>12</v>
      </c>
      <c r="I1140" s="6">
        <f>MONTH(Consulta2[[#This Row],[DATA]])</f>
        <v>2</v>
      </c>
      <c r="J1140" t="str">
        <f>CONCATENATE(Consulta2[[#This Row],[SAFRA]],Consulta2[[#This Row],[dia]])</f>
        <v>20270212</v>
      </c>
      <c r="K1140">
        <f>Consulta2[[#This Row],[DIA_UTIL_CORRENTE]]</f>
        <v>8</v>
      </c>
    </row>
    <row r="1141" spans="1:11" x14ac:dyDescent="0.25">
      <c r="A1141">
        <v>202702</v>
      </c>
      <c r="B1141">
        <v>8</v>
      </c>
      <c r="C1141" s="148">
        <v>46431</v>
      </c>
      <c r="D1141">
        <v>18</v>
      </c>
      <c r="E1141">
        <v>18</v>
      </c>
      <c r="F1141">
        <v>784</v>
      </c>
      <c r="G1141">
        <f>Consulta2[[#This Row],[DIA_UTIL_CORRENTE]]</f>
        <v>8</v>
      </c>
      <c r="H1141" s="6">
        <f>DAY(Consulta2[[#This Row],[DATA]])</f>
        <v>13</v>
      </c>
      <c r="I1141" s="6">
        <f>MONTH(Consulta2[[#This Row],[DATA]])</f>
        <v>2</v>
      </c>
      <c r="J1141" t="str">
        <f>CONCATENATE(Consulta2[[#This Row],[SAFRA]],Consulta2[[#This Row],[dia]])</f>
        <v>20270213</v>
      </c>
      <c r="K1141">
        <f>Consulta2[[#This Row],[DIA_UTIL_CORRENTE]]</f>
        <v>8</v>
      </c>
    </row>
    <row r="1142" spans="1:11" x14ac:dyDescent="0.25">
      <c r="A1142">
        <v>202702</v>
      </c>
      <c r="B1142">
        <v>8</v>
      </c>
      <c r="C1142" s="148">
        <v>46432</v>
      </c>
      <c r="D1142">
        <v>18</v>
      </c>
      <c r="E1142">
        <v>18</v>
      </c>
      <c r="F1142">
        <v>784</v>
      </c>
      <c r="G1142">
        <f>Consulta2[[#This Row],[DIA_UTIL_CORRENTE]]</f>
        <v>8</v>
      </c>
      <c r="H1142" s="6">
        <f>DAY(Consulta2[[#This Row],[DATA]])</f>
        <v>14</v>
      </c>
      <c r="I1142" s="6">
        <f>MONTH(Consulta2[[#This Row],[DATA]])</f>
        <v>2</v>
      </c>
      <c r="J1142" t="str">
        <f>CONCATENATE(Consulta2[[#This Row],[SAFRA]],Consulta2[[#This Row],[dia]])</f>
        <v>20270214</v>
      </c>
      <c r="K1142">
        <f>Consulta2[[#This Row],[DIA_UTIL_CORRENTE]]</f>
        <v>8</v>
      </c>
    </row>
    <row r="1143" spans="1:11" x14ac:dyDescent="0.25">
      <c r="A1143">
        <v>202702</v>
      </c>
      <c r="B1143">
        <v>9</v>
      </c>
      <c r="C1143" s="148">
        <v>46433</v>
      </c>
      <c r="D1143">
        <v>18</v>
      </c>
      <c r="E1143">
        <v>18</v>
      </c>
      <c r="F1143">
        <v>785</v>
      </c>
      <c r="G1143">
        <f>Consulta2[[#This Row],[DIA_UTIL_CORRENTE]]</f>
        <v>9</v>
      </c>
      <c r="H1143" s="6">
        <f>DAY(Consulta2[[#This Row],[DATA]])</f>
        <v>15</v>
      </c>
      <c r="I1143" s="6">
        <f>MONTH(Consulta2[[#This Row],[DATA]])</f>
        <v>2</v>
      </c>
      <c r="J1143" t="str">
        <f>CONCATENATE(Consulta2[[#This Row],[SAFRA]],Consulta2[[#This Row],[dia]])</f>
        <v>20270215</v>
      </c>
      <c r="K1143">
        <f>Consulta2[[#This Row],[DIA_UTIL_CORRENTE]]</f>
        <v>9</v>
      </c>
    </row>
    <row r="1144" spans="1:11" x14ac:dyDescent="0.25">
      <c r="A1144">
        <v>202702</v>
      </c>
      <c r="B1144">
        <v>10</v>
      </c>
      <c r="C1144" s="148">
        <v>46434</v>
      </c>
      <c r="D1144">
        <v>18</v>
      </c>
      <c r="E1144">
        <v>18</v>
      </c>
      <c r="F1144">
        <v>786</v>
      </c>
      <c r="G1144">
        <f>Consulta2[[#This Row],[DIA_UTIL_CORRENTE]]</f>
        <v>10</v>
      </c>
      <c r="H1144" s="6">
        <f>DAY(Consulta2[[#This Row],[DATA]])</f>
        <v>16</v>
      </c>
      <c r="I1144" s="6">
        <f>MONTH(Consulta2[[#This Row],[DATA]])</f>
        <v>2</v>
      </c>
      <c r="J1144" t="str">
        <f>CONCATENATE(Consulta2[[#This Row],[SAFRA]],Consulta2[[#This Row],[dia]])</f>
        <v>20270216</v>
      </c>
      <c r="K1144">
        <f>Consulta2[[#This Row],[DIA_UTIL_CORRENTE]]</f>
        <v>10</v>
      </c>
    </row>
    <row r="1145" spans="1:11" x14ac:dyDescent="0.25">
      <c r="A1145">
        <v>202702</v>
      </c>
      <c r="B1145">
        <v>11</v>
      </c>
      <c r="C1145" s="148">
        <v>46435</v>
      </c>
      <c r="D1145">
        <v>18</v>
      </c>
      <c r="E1145">
        <v>18</v>
      </c>
      <c r="F1145">
        <v>787</v>
      </c>
      <c r="G1145">
        <f>Consulta2[[#This Row],[DIA_UTIL_CORRENTE]]</f>
        <v>11</v>
      </c>
      <c r="H1145" s="6">
        <f>DAY(Consulta2[[#This Row],[DATA]])</f>
        <v>17</v>
      </c>
      <c r="I1145" s="6">
        <f>MONTH(Consulta2[[#This Row],[DATA]])</f>
        <v>2</v>
      </c>
      <c r="J1145" t="str">
        <f>CONCATENATE(Consulta2[[#This Row],[SAFRA]],Consulta2[[#This Row],[dia]])</f>
        <v>20270217</v>
      </c>
      <c r="K1145">
        <f>Consulta2[[#This Row],[DIA_UTIL_CORRENTE]]</f>
        <v>11</v>
      </c>
    </row>
    <row r="1146" spans="1:11" x14ac:dyDescent="0.25">
      <c r="A1146">
        <v>202702</v>
      </c>
      <c r="B1146">
        <v>12</v>
      </c>
      <c r="C1146" s="148">
        <v>46436</v>
      </c>
      <c r="D1146">
        <v>18</v>
      </c>
      <c r="E1146">
        <v>18</v>
      </c>
      <c r="F1146">
        <v>788</v>
      </c>
      <c r="G1146">
        <f>Consulta2[[#This Row],[DIA_UTIL_CORRENTE]]</f>
        <v>12</v>
      </c>
      <c r="H1146" s="6">
        <f>DAY(Consulta2[[#This Row],[DATA]])</f>
        <v>18</v>
      </c>
      <c r="I1146" s="6">
        <f>MONTH(Consulta2[[#This Row],[DATA]])</f>
        <v>2</v>
      </c>
      <c r="J1146" t="str">
        <f>CONCATENATE(Consulta2[[#This Row],[SAFRA]],Consulta2[[#This Row],[dia]])</f>
        <v>20270218</v>
      </c>
      <c r="K1146">
        <f>Consulta2[[#This Row],[DIA_UTIL_CORRENTE]]</f>
        <v>12</v>
      </c>
    </row>
    <row r="1147" spans="1:11" x14ac:dyDescent="0.25">
      <c r="A1147">
        <v>202702</v>
      </c>
      <c r="B1147">
        <v>13</v>
      </c>
      <c r="C1147" s="148">
        <v>46437</v>
      </c>
      <c r="D1147">
        <v>18</v>
      </c>
      <c r="E1147">
        <v>18</v>
      </c>
      <c r="F1147">
        <v>789</v>
      </c>
      <c r="G1147">
        <f>Consulta2[[#This Row],[DIA_UTIL_CORRENTE]]</f>
        <v>13</v>
      </c>
      <c r="H1147" s="6">
        <f>DAY(Consulta2[[#This Row],[DATA]])</f>
        <v>19</v>
      </c>
      <c r="I1147" s="6">
        <f>MONTH(Consulta2[[#This Row],[DATA]])</f>
        <v>2</v>
      </c>
      <c r="J1147" t="str">
        <f>CONCATENATE(Consulta2[[#This Row],[SAFRA]],Consulta2[[#This Row],[dia]])</f>
        <v>20270219</v>
      </c>
      <c r="K1147">
        <f>Consulta2[[#This Row],[DIA_UTIL_CORRENTE]]</f>
        <v>13</v>
      </c>
    </row>
    <row r="1148" spans="1:11" x14ac:dyDescent="0.25">
      <c r="A1148">
        <v>202702</v>
      </c>
      <c r="B1148">
        <v>13</v>
      </c>
      <c r="C1148" s="148">
        <v>46438</v>
      </c>
      <c r="D1148">
        <v>18</v>
      </c>
      <c r="E1148">
        <v>18</v>
      </c>
      <c r="F1148">
        <v>789</v>
      </c>
      <c r="G1148">
        <f>Consulta2[[#This Row],[DIA_UTIL_CORRENTE]]</f>
        <v>13</v>
      </c>
      <c r="H1148" s="6">
        <f>DAY(Consulta2[[#This Row],[DATA]])</f>
        <v>20</v>
      </c>
      <c r="I1148" s="6">
        <f>MONTH(Consulta2[[#This Row],[DATA]])</f>
        <v>2</v>
      </c>
      <c r="J1148" t="str">
        <f>CONCATENATE(Consulta2[[#This Row],[SAFRA]],Consulta2[[#This Row],[dia]])</f>
        <v>20270220</v>
      </c>
      <c r="K1148">
        <f>Consulta2[[#This Row],[DIA_UTIL_CORRENTE]]</f>
        <v>13</v>
      </c>
    </row>
    <row r="1149" spans="1:11" x14ac:dyDescent="0.25">
      <c r="A1149">
        <v>202702</v>
      </c>
      <c r="B1149">
        <v>13</v>
      </c>
      <c r="C1149" s="148">
        <v>46439</v>
      </c>
      <c r="D1149">
        <v>18</v>
      </c>
      <c r="E1149">
        <v>18</v>
      </c>
      <c r="F1149">
        <v>789</v>
      </c>
      <c r="G1149">
        <f>Consulta2[[#This Row],[DIA_UTIL_CORRENTE]]</f>
        <v>13</v>
      </c>
      <c r="H1149" s="6">
        <f>DAY(Consulta2[[#This Row],[DATA]])</f>
        <v>21</v>
      </c>
      <c r="I1149" s="6">
        <f>MONTH(Consulta2[[#This Row],[DATA]])</f>
        <v>2</v>
      </c>
      <c r="J1149" t="str">
        <f>CONCATENATE(Consulta2[[#This Row],[SAFRA]],Consulta2[[#This Row],[dia]])</f>
        <v>20270221</v>
      </c>
      <c r="K1149">
        <f>Consulta2[[#This Row],[DIA_UTIL_CORRENTE]]</f>
        <v>13</v>
      </c>
    </row>
    <row r="1150" spans="1:11" x14ac:dyDescent="0.25">
      <c r="A1150">
        <v>202702</v>
      </c>
      <c r="B1150">
        <v>14</v>
      </c>
      <c r="C1150" s="148">
        <v>46440</v>
      </c>
      <c r="D1150">
        <v>18</v>
      </c>
      <c r="E1150">
        <v>18</v>
      </c>
      <c r="F1150">
        <v>790</v>
      </c>
      <c r="G1150">
        <f>Consulta2[[#This Row],[DIA_UTIL_CORRENTE]]</f>
        <v>14</v>
      </c>
      <c r="H1150" s="6">
        <f>DAY(Consulta2[[#This Row],[DATA]])</f>
        <v>22</v>
      </c>
      <c r="I1150" s="6">
        <f>MONTH(Consulta2[[#This Row],[DATA]])</f>
        <v>2</v>
      </c>
      <c r="J1150" t="str">
        <f>CONCATENATE(Consulta2[[#This Row],[SAFRA]],Consulta2[[#This Row],[dia]])</f>
        <v>20270222</v>
      </c>
      <c r="K1150">
        <f>Consulta2[[#This Row],[DIA_UTIL_CORRENTE]]</f>
        <v>14</v>
      </c>
    </row>
    <row r="1151" spans="1:11" x14ac:dyDescent="0.25">
      <c r="A1151">
        <v>202702</v>
      </c>
      <c r="B1151">
        <v>15</v>
      </c>
      <c r="C1151" s="148">
        <v>46441</v>
      </c>
      <c r="D1151">
        <v>18</v>
      </c>
      <c r="E1151">
        <v>18</v>
      </c>
      <c r="F1151">
        <v>791</v>
      </c>
      <c r="G1151">
        <f>Consulta2[[#This Row],[DIA_UTIL_CORRENTE]]</f>
        <v>15</v>
      </c>
      <c r="H1151" s="6">
        <f>DAY(Consulta2[[#This Row],[DATA]])</f>
        <v>23</v>
      </c>
      <c r="I1151" s="6">
        <f>MONTH(Consulta2[[#This Row],[DATA]])</f>
        <v>2</v>
      </c>
      <c r="J1151" t="str">
        <f>CONCATENATE(Consulta2[[#This Row],[SAFRA]],Consulta2[[#This Row],[dia]])</f>
        <v>20270223</v>
      </c>
      <c r="K1151">
        <f>Consulta2[[#This Row],[DIA_UTIL_CORRENTE]]</f>
        <v>15</v>
      </c>
    </row>
    <row r="1152" spans="1:11" x14ac:dyDescent="0.25">
      <c r="A1152">
        <v>202702</v>
      </c>
      <c r="B1152">
        <v>16</v>
      </c>
      <c r="C1152" s="148">
        <v>46442</v>
      </c>
      <c r="D1152">
        <v>18</v>
      </c>
      <c r="E1152">
        <v>18</v>
      </c>
      <c r="F1152">
        <v>792</v>
      </c>
      <c r="G1152">
        <f>Consulta2[[#This Row],[DIA_UTIL_CORRENTE]]</f>
        <v>16</v>
      </c>
      <c r="H1152" s="6">
        <f>DAY(Consulta2[[#This Row],[DATA]])</f>
        <v>24</v>
      </c>
      <c r="I1152" s="6">
        <f>MONTH(Consulta2[[#This Row],[DATA]])</f>
        <v>2</v>
      </c>
      <c r="J1152" t="str">
        <f>CONCATENATE(Consulta2[[#This Row],[SAFRA]],Consulta2[[#This Row],[dia]])</f>
        <v>20270224</v>
      </c>
      <c r="K1152">
        <f>Consulta2[[#This Row],[DIA_UTIL_CORRENTE]]</f>
        <v>16</v>
      </c>
    </row>
    <row r="1153" spans="1:11" x14ac:dyDescent="0.25">
      <c r="A1153">
        <v>202702</v>
      </c>
      <c r="B1153">
        <v>17</v>
      </c>
      <c r="C1153" s="148">
        <v>46443</v>
      </c>
      <c r="D1153">
        <v>18</v>
      </c>
      <c r="E1153">
        <v>18</v>
      </c>
      <c r="F1153">
        <v>793</v>
      </c>
      <c r="G1153">
        <f>Consulta2[[#This Row],[DIA_UTIL_CORRENTE]]</f>
        <v>17</v>
      </c>
      <c r="H1153" s="6">
        <f>DAY(Consulta2[[#This Row],[DATA]])</f>
        <v>25</v>
      </c>
      <c r="I1153" s="6">
        <f>MONTH(Consulta2[[#This Row],[DATA]])</f>
        <v>2</v>
      </c>
      <c r="J1153" t="str">
        <f>CONCATENATE(Consulta2[[#This Row],[SAFRA]],Consulta2[[#This Row],[dia]])</f>
        <v>20270225</v>
      </c>
      <c r="K1153">
        <f>Consulta2[[#This Row],[DIA_UTIL_CORRENTE]]</f>
        <v>17</v>
      </c>
    </row>
    <row r="1154" spans="1:11" x14ac:dyDescent="0.25">
      <c r="A1154">
        <v>202702</v>
      </c>
      <c r="B1154">
        <v>18</v>
      </c>
      <c r="C1154" s="148">
        <v>46444</v>
      </c>
      <c r="D1154">
        <v>18</v>
      </c>
      <c r="E1154">
        <v>18</v>
      </c>
      <c r="F1154">
        <v>794</v>
      </c>
      <c r="G1154">
        <f>Consulta2[[#This Row],[DIA_UTIL_CORRENTE]]</f>
        <v>18</v>
      </c>
      <c r="H1154" s="6">
        <f>DAY(Consulta2[[#This Row],[DATA]])</f>
        <v>26</v>
      </c>
      <c r="I1154" s="6">
        <f>MONTH(Consulta2[[#This Row],[DATA]])</f>
        <v>2</v>
      </c>
      <c r="J1154" t="str">
        <f>CONCATENATE(Consulta2[[#This Row],[SAFRA]],Consulta2[[#This Row],[dia]])</f>
        <v>20270226</v>
      </c>
      <c r="K1154">
        <f>Consulta2[[#This Row],[DIA_UTIL_CORRENTE]]</f>
        <v>18</v>
      </c>
    </row>
    <row r="1155" spans="1:11" x14ac:dyDescent="0.25">
      <c r="A1155">
        <v>202702</v>
      </c>
      <c r="B1155">
        <v>18</v>
      </c>
      <c r="C1155" s="148">
        <v>46445</v>
      </c>
      <c r="D1155">
        <v>18</v>
      </c>
      <c r="E1155">
        <v>18</v>
      </c>
      <c r="F1155">
        <v>794</v>
      </c>
      <c r="G1155">
        <f>Consulta2[[#This Row],[DIA_UTIL_CORRENTE]]</f>
        <v>18</v>
      </c>
      <c r="H1155" s="6">
        <f>DAY(Consulta2[[#This Row],[DATA]])</f>
        <v>27</v>
      </c>
      <c r="I1155" s="6">
        <f>MONTH(Consulta2[[#This Row],[DATA]])</f>
        <v>2</v>
      </c>
      <c r="J1155" t="str">
        <f>CONCATENATE(Consulta2[[#This Row],[SAFRA]],Consulta2[[#This Row],[dia]])</f>
        <v>20270227</v>
      </c>
      <c r="K1155">
        <f>Consulta2[[#This Row],[DIA_UTIL_CORRENTE]]</f>
        <v>18</v>
      </c>
    </row>
    <row r="1156" spans="1:11" x14ac:dyDescent="0.25">
      <c r="A1156">
        <v>202702</v>
      </c>
      <c r="B1156">
        <v>18</v>
      </c>
      <c r="C1156" s="148">
        <v>46446</v>
      </c>
      <c r="D1156">
        <v>18</v>
      </c>
      <c r="E1156">
        <v>18</v>
      </c>
      <c r="F1156">
        <v>794</v>
      </c>
      <c r="G1156">
        <f>Consulta2[[#This Row],[DIA_UTIL_CORRENTE]]</f>
        <v>18</v>
      </c>
      <c r="H1156" s="6">
        <f>DAY(Consulta2[[#This Row],[DATA]])</f>
        <v>28</v>
      </c>
      <c r="I1156" s="6">
        <f>MONTH(Consulta2[[#This Row],[DATA]])</f>
        <v>2</v>
      </c>
      <c r="J1156" t="str">
        <f>CONCATENATE(Consulta2[[#This Row],[SAFRA]],Consulta2[[#This Row],[dia]])</f>
        <v>20270228</v>
      </c>
      <c r="K1156">
        <f>Consulta2[[#This Row],[DIA_UTIL_CORRENTE]]</f>
        <v>18</v>
      </c>
    </row>
    <row r="1157" spans="1:11" x14ac:dyDescent="0.25">
      <c r="A1157">
        <v>202703</v>
      </c>
      <c r="B1157">
        <v>1</v>
      </c>
      <c r="C1157" s="148">
        <v>46447</v>
      </c>
      <c r="D1157">
        <v>22</v>
      </c>
      <c r="E1157">
        <v>22</v>
      </c>
      <c r="F1157">
        <v>795</v>
      </c>
      <c r="G1157">
        <f>Consulta2[[#This Row],[DIA_UTIL_CORRENTE]]</f>
        <v>1</v>
      </c>
      <c r="H1157" s="6">
        <f>DAY(Consulta2[[#This Row],[DATA]])</f>
        <v>1</v>
      </c>
      <c r="I1157" s="6">
        <f>MONTH(Consulta2[[#This Row],[DATA]])</f>
        <v>3</v>
      </c>
      <c r="J1157" t="str">
        <f>CONCATENATE(Consulta2[[#This Row],[SAFRA]],Consulta2[[#This Row],[dia]])</f>
        <v>2027031</v>
      </c>
      <c r="K1157">
        <f>Consulta2[[#This Row],[DIA_UTIL_CORRENTE]]</f>
        <v>1</v>
      </c>
    </row>
    <row r="1158" spans="1:11" x14ac:dyDescent="0.25">
      <c r="A1158">
        <v>202703</v>
      </c>
      <c r="B1158">
        <v>2</v>
      </c>
      <c r="C1158" s="148">
        <v>46448</v>
      </c>
      <c r="D1158">
        <v>22</v>
      </c>
      <c r="E1158">
        <v>22</v>
      </c>
      <c r="F1158">
        <v>796</v>
      </c>
      <c r="G1158">
        <f>Consulta2[[#This Row],[DIA_UTIL_CORRENTE]]</f>
        <v>2</v>
      </c>
      <c r="H1158" s="6">
        <f>DAY(Consulta2[[#This Row],[DATA]])</f>
        <v>2</v>
      </c>
      <c r="I1158" s="6">
        <f>MONTH(Consulta2[[#This Row],[DATA]])</f>
        <v>3</v>
      </c>
      <c r="J1158" t="str">
        <f>CONCATENATE(Consulta2[[#This Row],[SAFRA]],Consulta2[[#This Row],[dia]])</f>
        <v>2027032</v>
      </c>
      <c r="K1158">
        <f>Consulta2[[#This Row],[DIA_UTIL_CORRENTE]]</f>
        <v>2</v>
      </c>
    </row>
    <row r="1159" spans="1:11" x14ac:dyDescent="0.25">
      <c r="A1159">
        <v>202703</v>
      </c>
      <c r="B1159">
        <v>3</v>
      </c>
      <c r="C1159" s="148">
        <v>46449</v>
      </c>
      <c r="D1159">
        <v>22</v>
      </c>
      <c r="E1159">
        <v>22</v>
      </c>
      <c r="F1159">
        <v>797</v>
      </c>
      <c r="G1159">
        <f>Consulta2[[#This Row],[DIA_UTIL_CORRENTE]]</f>
        <v>3</v>
      </c>
      <c r="H1159" s="6">
        <f>DAY(Consulta2[[#This Row],[DATA]])</f>
        <v>3</v>
      </c>
      <c r="I1159" s="6">
        <f>MONTH(Consulta2[[#This Row],[DATA]])</f>
        <v>3</v>
      </c>
      <c r="J1159" t="str">
        <f>CONCATENATE(Consulta2[[#This Row],[SAFRA]],Consulta2[[#This Row],[dia]])</f>
        <v>2027033</v>
      </c>
      <c r="K1159">
        <f>Consulta2[[#This Row],[DIA_UTIL_CORRENTE]]</f>
        <v>3</v>
      </c>
    </row>
    <row r="1160" spans="1:11" x14ac:dyDescent="0.25">
      <c r="A1160">
        <v>202703</v>
      </c>
      <c r="B1160">
        <v>4</v>
      </c>
      <c r="C1160" s="148">
        <v>46450</v>
      </c>
      <c r="D1160">
        <v>22</v>
      </c>
      <c r="E1160">
        <v>22</v>
      </c>
      <c r="F1160">
        <v>798</v>
      </c>
      <c r="G1160">
        <f>Consulta2[[#This Row],[DIA_UTIL_CORRENTE]]</f>
        <v>4</v>
      </c>
      <c r="H1160" s="6">
        <f>DAY(Consulta2[[#This Row],[DATA]])</f>
        <v>4</v>
      </c>
      <c r="I1160" s="6">
        <f>MONTH(Consulta2[[#This Row],[DATA]])</f>
        <v>3</v>
      </c>
      <c r="J1160" t="str">
        <f>CONCATENATE(Consulta2[[#This Row],[SAFRA]],Consulta2[[#This Row],[dia]])</f>
        <v>2027034</v>
      </c>
      <c r="K1160">
        <f>Consulta2[[#This Row],[DIA_UTIL_CORRENTE]]</f>
        <v>4</v>
      </c>
    </row>
    <row r="1161" spans="1:11" x14ac:dyDescent="0.25">
      <c r="A1161">
        <v>202703</v>
      </c>
      <c r="B1161">
        <v>5</v>
      </c>
      <c r="C1161" s="148">
        <v>46451</v>
      </c>
      <c r="D1161">
        <v>22</v>
      </c>
      <c r="E1161">
        <v>22</v>
      </c>
      <c r="F1161">
        <v>799</v>
      </c>
      <c r="G1161">
        <f>Consulta2[[#This Row],[DIA_UTIL_CORRENTE]]</f>
        <v>5</v>
      </c>
      <c r="H1161" s="6">
        <f>DAY(Consulta2[[#This Row],[DATA]])</f>
        <v>5</v>
      </c>
      <c r="I1161" s="6">
        <f>MONTH(Consulta2[[#This Row],[DATA]])</f>
        <v>3</v>
      </c>
      <c r="J1161" t="str">
        <f>CONCATENATE(Consulta2[[#This Row],[SAFRA]],Consulta2[[#This Row],[dia]])</f>
        <v>2027035</v>
      </c>
      <c r="K1161">
        <f>Consulta2[[#This Row],[DIA_UTIL_CORRENTE]]</f>
        <v>5</v>
      </c>
    </row>
    <row r="1162" spans="1:11" x14ac:dyDescent="0.25">
      <c r="A1162">
        <v>202703</v>
      </c>
      <c r="B1162">
        <v>5</v>
      </c>
      <c r="C1162" s="148">
        <v>46452</v>
      </c>
      <c r="D1162">
        <v>22</v>
      </c>
      <c r="E1162">
        <v>22</v>
      </c>
      <c r="F1162">
        <v>799</v>
      </c>
      <c r="G1162">
        <f>Consulta2[[#This Row],[DIA_UTIL_CORRENTE]]</f>
        <v>5</v>
      </c>
      <c r="H1162" s="6">
        <f>DAY(Consulta2[[#This Row],[DATA]])</f>
        <v>6</v>
      </c>
      <c r="I1162" s="6">
        <f>MONTH(Consulta2[[#This Row],[DATA]])</f>
        <v>3</v>
      </c>
      <c r="J1162" t="str">
        <f>CONCATENATE(Consulta2[[#This Row],[SAFRA]],Consulta2[[#This Row],[dia]])</f>
        <v>2027036</v>
      </c>
      <c r="K1162">
        <f>Consulta2[[#This Row],[DIA_UTIL_CORRENTE]]</f>
        <v>5</v>
      </c>
    </row>
    <row r="1163" spans="1:11" x14ac:dyDescent="0.25">
      <c r="A1163">
        <v>202703</v>
      </c>
      <c r="B1163">
        <v>5</v>
      </c>
      <c r="C1163" s="148">
        <v>46453</v>
      </c>
      <c r="D1163">
        <v>22</v>
      </c>
      <c r="E1163">
        <v>22</v>
      </c>
      <c r="F1163">
        <v>799</v>
      </c>
      <c r="G1163">
        <f>Consulta2[[#This Row],[DIA_UTIL_CORRENTE]]</f>
        <v>5</v>
      </c>
      <c r="H1163" s="6">
        <f>DAY(Consulta2[[#This Row],[DATA]])</f>
        <v>7</v>
      </c>
      <c r="I1163" s="6">
        <f>MONTH(Consulta2[[#This Row],[DATA]])</f>
        <v>3</v>
      </c>
      <c r="J1163" t="str">
        <f>CONCATENATE(Consulta2[[#This Row],[SAFRA]],Consulta2[[#This Row],[dia]])</f>
        <v>2027037</v>
      </c>
      <c r="K1163">
        <f>Consulta2[[#This Row],[DIA_UTIL_CORRENTE]]</f>
        <v>5</v>
      </c>
    </row>
    <row r="1164" spans="1:11" x14ac:dyDescent="0.25">
      <c r="A1164">
        <v>202703</v>
      </c>
      <c r="B1164">
        <v>6</v>
      </c>
      <c r="C1164" s="148">
        <v>46454</v>
      </c>
      <c r="D1164">
        <v>22</v>
      </c>
      <c r="E1164">
        <v>22</v>
      </c>
      <c r="F1164">
        <v>800</v>
      </c>
      <c r="G1164">
        <f>Consulta2[[#This Row],[DIA_UTIL_CORRENTE]]</f>
        <v>6</v>
      </c>
      <c r="H1164" s="6">
        <f>DAY(Consulta2[[#This Row],[DATA]])</f>
        <v>8</v>
      </c>
      <c r="I1164" s="6">
        <f>MONTH(Consulta2[[#This Row],[DATA]])</f>
        <v>3</v>
      </c>
      <c r="J1164" t="str">
        <f>CONCATENATE(Consulta2[[#This Row],[SAFRA]],Consulta2[[#This Row],[dia]])</f>
        <v>2027038</v>
      </c>
      <c r="K1164">
        <f>Consulta2[[#This Row],[DIA_UTIL_CORRENTE]]</f>
        <v>6</v>
      </c>
    </row>
    <row r="1165" spans="1:11" x14ac:dyDescent="0.25">
      <c r="A1165">
        <v>202703</v>
      </c>
      <c r="B1165">
        <v>7</v>
      </c>
      <c r="C1165" s="148">
        <v>46455</v>
      </c>
      <c r="D1165">
        <v>22</v>
      </c>
      <c r="E1165">
        <v>22</v>
      </c>
      <c r="F1165">
        <v>801</v>
      </c>
      <c r="G1165">
        <f>Consulta2[[#This Row],[DIA_UTIL_CORRENTE]]</f>
        <v>7</v>
      </c>
      <c r="H1165" s="6">
        <f>DAY(Consulta2[[#This Row],[DATA]])</f>
        <v>9</v>
      </c>
      <c r="I1165" s="6">
        <f>MONTH(Consulta2[[#This Row],[DATA]])</f>
        <v>3</v>
      </c>
      <c r="J1165" t="str">
        <f>CONCATENATE(Consulta2[[#This Row],[SAFRA]],Consulta2[[#This Row],[dia]])</f>
        <v>2027039</v>
      </c>
      <c r="K1165">
        <f>Consulta2[[#This Row],[DIA_UTIL_CORRENTE]]</f>
        <v>7</v>
      </c>
    </row>
    <row r="1166" spans="1:11" x14ac:dyDescent="0.25">
      <c r="A1166">
        <v>202703</v>
      </c>
      <c r="B1166">
        <v>8</v>
      </c>
      <c r="C1166" s="148">
        <v>46456</v>
      </c>
      <c r="D1166">
        <v>22</v>
      </c>
      <c r="E1166">
        <v>22</v>
      </c>
      <c r="F1166">
        <v>802</v>
      </c>
      <c r="G1166">
        <f>Consulta2[[#This Row],[DIA_UTIL_CORRENTE]]</f>
        <v>8</v>
      </c>
      <c r="H1166" s="6">
        <f>DAY(Consulta2[[#This Row],[DATA]])</f>
        <v>10</v>
      </c>
      <c r="I1166" s="6">
        <f>MONTH(Consulta2[[#This Row],[DATA]])</f>
        <v>3</v>
      </c>
      <c r="J1166" t="str">
        <f>CONCATENATE(Consulta2[[#This Row],[SAFRA]],Consulta2[[#This Row],[dia]])</f>
        <v>20270310</v>
      </c>
      <c r="K1166">
        <f>Consulta2[[#This Row],[DIA_UTIL_CORRENTE]]</f>
        <v>8</v>
      </c>
    </row>
    <row r="1167" spans="1:11" x14ac:dyDescent="0.25">
      <c r="A1167">
        <v>202703</v>
      </c>
      <c r="B1167">
        <v>9</v>
      </c>
      <c r="C1167" s="148">
        <v>46457</v>
      </c>
      <c r="D1167">
        <v>22</v>
      </c>
      <c r="E1167">
        <v>22</v>
      </c>
      <c r="F1167">
        <v>803</v>
      </c>
      <c r="G1167">
        <f>Consulta2[[#This Row],[DIA_UTIL_CORRENTE]]</f>
        <v>9</v>
      </c>
      <c r="H1167" s="6">
        <f>DAY(Consulta2[[#This Row],[DATA]])</f>
        <v>11</v>
      </c>
      <c r="I1167" s="6">
        <f>MONTH(Consulta2[[#This Row],[DATA]])</f>
        <v>3</v>
      </c>
      <c r="J1167" t="str">
        <f>CONCATENATE(Consulta2[[#This Row],[SAFRA]],Consulta2[[#This Row],[dia]])</f>
        <v>20270311</v>
      </c>
      <c r="K1167">
        <f>Consulta2[[#This Row],[DIA_UTIL_CORRENTE]]</f>
        <v>9</v>
      </c>
    </row>
    <row r="1168" spans="1:11" x14ac:dyDescent="0.25">
      <c r="A1168">
        <v>202703</v>
      </c>
      <c r="B1168">
        <v>10</v>
      </c>
      <c r="C1168" s="148">
        <v>46458</v>
      </c>
      <c r="D1168">
        <v>22</v>
      </c>
      <c r="E1168">
        <v>22</v>
      </c>
      <c r="F1168">
        <v>804</v>
      </c>
      <c r="G1168">
        <f>Consulta2[[#This Row],[DIA_UTIL_CORRENTE]]</f>
        <v>10</v>
      </c>
      <c r="H1168" s="6">
        <f>DAY(Consulta2[[#This Row],[DATA]])</f>
        <v>12</v>
      </c>
      <c r="I1168" s="6">
        <f>MONTH(Consulta2[[#This Row],[DATA]])</f>
        <v>3</v>
      </c>
      <c r="J1168" t="str">
        <f>CONCATENATE(Consulta2[[#This Row],[SAFRA]],Consulta2[[#This Row],[dia]])</f>
        <v>20270312</v>
      </c>
      <c r="K1168">
        <f>Consulta2[[#This Row],[DIA_UTIL_CORRENTE]]</f>
        <v>10</v>
      </c>
    </row>
    <row r="1169" spans="1:11" x14ac:dyDescent="0.25">
      <c r="A1169">
        <v>202703</v>
      </c>
      <c r="B1169">
        <v>10</v>
      </c>
      <c r="C1169" s="148">
        <v>46459</v>
      </c>
      <c r="D1169">
        <v>22</v>
      </c>
      <c r="E1169">
        <v>22</v>
      </c>
      <c r="F1169">
        <v>804</v>
      </c>
      <c r="G1169">
        <f>Consulta2[[#This Row],[DIA_UTIL_CORRENTE]]</f>
        <v>10</v>
      </c>
      <c r="H1169" s="6">
        <f>DAY(Consulta2[[#This Row],[DATA]])</f>
        <v>13</v>
      </c>
      <c r="I1169" s="6">
        <f>MONTH(Consulta2[[#This Row],[DATA]])</f>
        <v>3</v>
      </c>
      <c r="J1169" t="str">
        <f>CONCATENATE(Consulta2[[#This Row],[SAFRA]],Consulta2[[#This Row],[dia]])</f>
        <v>20270313</v>
      </c>
      <c r="K1169">
        <f>Consulta2[[#This Row],[DIA_UTIL_CORRENTE]]</f>
        <v>10</v>
      </c>
    </row>
    <row r="1170" spans="1:11" x14ac:dyDescent="0.25">
      <c r="A1170">
        <v>202703</v>
      </c>
      <c r="B1170">
        <v>10</v>
      </c>
      <c r="C1170" s="148">
        <v>46460</v>
      </c>
      <c r="D1170">
        <v>22</v>
      </c>
      <c r="E1170">
        <v>22</v>
      </c>
      <c r="F1170">
        <v>804</v>
      </c>
      <c r="G1170">
        <f>Consulta2[[#This Row],[DIA_UTIL_CORRENTE]]</f>
        <v>10</v>
      </c>
      <c r="H1170" s="6">
        <f>DAY(Consulta2[[#This Row],[DATA]])</f>
        <v>14</v>
      </c>
      <c r="I1170" s="6">
        <f>MONTH(Consulta2[[#This Row],[DATA]])</f>
        <v>3</v>
      </c>
      <c r="J1170" t="str">
        <f>CONCATENATE(Consulta2[[#This Row],[SAFRA]],Consulta2[[#This Row],[dia]])</f>
        <v>20270314</v>
      </c>
      <c r="K1170">
        <f>Consulta2[[#This Row],[DIA_UTIL_CORRENTE]]</f>
        <v>10</v>
      </c>
    </row>
    <row r="1171" spans="1:11" x14ac:dyDescent="0.25">
      <c r="A1171">
        <v>202703</v>
      </c>
      <c r="B1171">
        <v>11</v>
      </c>
      <c r="C1171" s="148">
        <v>46461</v>
      </c>
      <c r="D1171">
        <v>22</v>
      </c>
      <c r="E1171">
        <v>22</v>
      </c>
      <c r="F1171">
        <v>805</v>
      </c>
      <c r="G1171">
        <f>Consulta2[[#This Row],[DIA_UTIL_CORRENTE]]</f>
        <v>11</v>
      </c>
      <c r="H1171" s="6">
        <f>DAY(Consulta2[[#This Row],[DATA]])</f>
        <v>15</v>
      </c>
      <c r="I1171" s="6">
        <f>MONTH(Consulta2[[#This Row],[DATA]])</f>
        <v>3</v>
      </c>
      <c r="J1171" t="str">
        <f>CONCATENATE(Consulta2[[#This Row],[SAFRA]],Consulta2[[#This Row],[dia]])</f>
        <v>20270315</v>
      </c>
      <c r="K1171">
        <f>Consulta2[[#This Row],[DIA_UTIL_CORRENTE]]</f>
        <v>11</v>
      </c>
    </row>
    <row r="1172" spans="1:11" x14ac:dyDescent="0.25">
      <c r="A1172">
        <v>202703</v>
      </c>
      <c r="B1172">
        <v>12</v>
      </c>
      <c r="C1172" s="148">
        <v>46462</v>
      </c>
      <c r="D1172">
        <v>22</v>
      </c>
      <c r="E1172">
        <v>22</v>
      </c>
      <c r="F1172">
        <v>806</v>
      </c>
      <c r="G1172">
        <f>Consulta2[[#This Row],[DIA_UTIL_CORRENTE]]</f>
        <v>12</v>
      </c>
      <c r="H1172" s="6">
        <f>DAY(Consulta2[[#This Row],[DATA]])</f>
        <v>16</v>
      </c>
      <c r="I1172" s="6">
        <f>MONTH(Consulta2[[#This Row],[DATA]])</f>
        <v>3</v>
      </c>
      <c r="J1172" t="str">
        <f>CONCATENATE(Consulta2[[#This Row],[SAFRA]],Consulta2[[#This Row],[dia]])</f>
        <v>20270316</v>
      </c>
      <c r="K1172">
        <f>Consulta2[[#This Row],[DIA_UTIL_CORRENTE]]</f>
        <v>12</v>
      </c>
    </row>
    <row r="1173" spans="1:11" x14ac:dyDescent="0.25">
      <c r="A1173">
        <v>202703</v>
      </c>
      <c r="B1173">
        <v>13</v>
      </c>
      <c r="C1173" s="148">
        <v>46463</v>
      </c>
      <c r="D1173">
        <v>22</v>
      </c>
      <c r="E1173">
        <v>22</v>
      </c>
      <c r="F1173">
        <v>807</v>
      </c>
      <c r="G1173">
        <f>Consulta2[[#This Row],[DIA_UTIL_CORRENTE]]</f>
        <v>13</v>
      </c>
      <c r="H1173" s="6">
        <f>DAY(Consulta2[[#This Row],[DATA]])</f>
        <v>17</v>
      </c>
      <c r="I1173" s="6">
        <f>MONTH(Consulta2[[#This Row],[DATA]])</f>
        <v>3</v>
      </c>
      <c r="J1173" t="str">
        <f>CONCATENATE(Consulta2[[#This Row],[SAFRA]],Consulta2[[#This Row],[dia]])</f>
        <v>20270317</v>
      </c>
      <c r="K1173">
        <f>Consulta2[[#This Row],[DIA_UTIL_CORRENTE]]</f>
        <v>13</v>
      </c>
    </row>
    <row r="1174" spans="1:11" x14ac:dyDescent="0.25">
      <c r="A1174">
        <v>202703</v>
      </c>
      <c r="B1174">
        <v>14</v>
      </c>
      <c r="C1174" s="148">
        <v>46464</v>
      </c>
      <c r="D1174">
        <v>22</v>
      </c>
      <c r="E1174">
        <v>22</v>
      </c>
      <c r="F1174">
        <v>808</v>
      </c>
      <c r="G1174">
        <f>Consulta2[[#This Row],[DIA_UTIL_CORRENTE]]</f>
        <v>14</v>
      </c>
      <c r="H1174" s="6">
        <f>DAY(Consulta2[[#This Row],[DATA]])</f>
        <v>18</v>
      </c>
      <c r="I1174" s="6">
        <f>MONTH(Consulta2[[#This Row],[DATA]])</f>
        <v>3</v>
      </c>
      <c r="J1174" t="str">
        <f>CONCATENATE(Consulta2[[#This Row],[SAFRA]],Consulta2[[#This Row],[dia]])</f>
        <v>20270318</v>
      </c>
      <c r="K1174">
        <f>Consulta2[[#This Row],[DIA_UTIL_CORRENTE]]</f>
        <v>14</v>
      </c>
    </row>
    <row r="1175" spans="1:11" x14ac:dyDescent="0.25">
      <c r="A1175">
        <v>202703</v>
      </c>
      <c r="B1175">
        <v>15</v>
      </c>
      <c r="C1175" s="148">
        <v>46465</v>
      </c>
      <c r="D1175">
        <v>22</v>
      </c>
      <c r="E1175">
        <v>22</v>
      </c>
      <c r="F1175">
        <v>809</v>
      </c>
      <c r="G1175">
        <f>Consulta2[[#This Row],[DIA_UTIL_CORRENTE]]</f>
        <v>15</v>
      </c>
      <c r="H1175" s="6">
        <f>DAY(Consulta2[[#This Row],[DATA]])</f>
        <v>19</v>
      </c>
      <c r="I1175" s="6">
        <f>MONTH(Consulta2[[#This Row],[DATA]])</f>
        <v>3</v>
      </c>
      <c r="J1175" t="str">
        <f>CONCATENATE(Consulta2[[#This Row],[SAFRA]],Consulta2[[#This Row],[dia]])</f>
        <v>20270319</v>
      </c>
      <c r="K1175">
        <f>Consulta2[[#This Row],[DIA_UTIL_CORRENTE]]</f>
        <v>15</v>
      </c>
    </row>
    <row r="1176" spans="1:11" x14ac:dyDescent="0.25">
      <c r="A1176">
        <v>202703</v>
      </c>
      <c r="B1176">
        <v>15</v>
      </c>
      <c r="C1176" s="148">
        <v>46466</v>
      </c>
      <c r="D1176">
        <v>22</v>
      </c>
      <c r="E1176">
        <v>22</v>
      </c>
      <c r="F1176">
        <v>809</v>
      </c>
      <c r="G1176">
        <f>Consulta2[[#This Row],[DIA_UTIL_CORRENTE]]</f>
        <v>15</v>
      </c>
      <c r="H1176" s="6">
        <f>DAY(Consulta2[[#This Row],[DATA]])</f>
        <v>20</v>
      </c>
      <c r="I1176" s="6">
        <f>MONTH(Consulta2[[#This Row],[DATA]])</f>
        <v>3</v>
      </c>
      <c r="J1176" t="str">
        <f>CONCATENATE(Consulta2[[#This Row],[SAFRA]],Consulta2[[#This Row],[dia]])</f>
        <v>20270320</v>
      </c>
      <c r="K1176">
        <f>Consulta2[[#This Row],[DIA_UTIL_CORRENTE]]</f>
        <v>15</v>
      </c>
    </row>
    <row r="1177" spans="1:11" x14ac:dyDescent="0.25">
      <c r="A1177">
        <v>202703</v>
      </c>
      <c r="B1177">
        <v>15</v>
      </c>
      <c r="C1177" s="148">
        <v>46467</v>
      </c>
      <c r="D1177">
        <v>22</v>
      </c>
      <c r="E1177">
        <v>22</v>
      </c>
      <c r="F1177">
        <v>809</v>
      </c>
      <c r="G1177">
        <f>Consulta2[[#This Row],[DIA_UTIL_CORRENTE]]</f>
        <v>15</v>
      </c>
      <c r="H1177" s="6">
        <f>DAY(Consulta2[[#This Row],[DATA]])</f>
        <v>21</v>
      </c>
      <c r="I1177" s="6">
        <f>MONTH(Consulta2[[#This Row],[DATA]])</f>
        <v>3</v>
      </c>
      <c r="J1177" t="str">
        <f>CONCATENATE(Consulta2[[#This Row],[SAFRA]],Consulta2[[#This Row],[dia]])</f>
        <v>20270321</v>
      </c>
      <c r="K1177">
        <f>Consulta2[[#This Row],[DIA_UTIL_CORRENTE]]</f>
        <v>15</v>
      </c>
    </row>
    <row r="1178" spans="1:11" x14ac:dyDescent="0.25">
      <c r="A1178">
        <v>202703</v>
      </c>
      <c r="B1178">
        <v>16</v>
      </c>
      <c r="C1178" s="148">
        <v>46468</v>
      </c>
      <c r="D1178">
        <v>22</v>
      </c>
      <c r="E1178">
        <v>22</v>
      </c>
      <c r="F1178">
        <v>810</v>
      </c>
      <c r="G1178">
        <f>Consulta2[[#This Row],[DIA_UTIL_CORRENTE]]</f>
        <v>16</v>
      </c>
      <c r="H1178" s="6">
        <f>DAY(Consulta2[[#This Row],[DATA]])</f>
        <v>22</v>
      </c>
      <c r="I1178" s="6">
        <f>MONTH(Consulta2[[#This Row],[DATA]])</f>
        <v>3</v>
      </c>
      <c r="J1178" t="str">
        <f>CONCATENATE(Consulta2[[#This Row],[SAFRA]],Consulta2[[#This Row],[dia]])</f>
        <v>20270322</v>
      </c>
      <c r="K1178">
        <f>Consulta2[[#This Row],[DIA_UTIL_CORRENTE]]</f>
        <v>16</v>
      </c>
    </row>
    <row r="1179" spans="1:11" x14ac:dyDescent="0.25">
      <c r="A1179">
        <v>202703</v>
      </c>
      <c r="B1179">
        <v>17</v>
      </c>
      <c r="C1179" s="148">
        <v>46469</v>
      </c>
      <c r="D1179">
        <v>22</v>
      </c>
      <c r="E1179">
        <v>22</v>
      </c>
      <c r="F1179">
        <v>811</v>
      </c>
      <c r="G1179">
        <f>Consulta2[[#This Row],[DIA_UTIL_CORRENTE]]</f>
        <v>17</v>
      </c>
      <c r="H1179" s="6">
        <f>DAY(Consulta2[[#This Row],[DATA]])</f>
        <v>23</v>
      </c>
      <c r="I1179" s="6">
        <f>MONTH(Consulta2[[#This Row],[DATA]])</f>
        <v>3</v>
      </c>
      <c r="J1179" t="str">
        <f>CONCATENATE(Consulta2[[#This Row],[SAFRA]],Consulta2[[#This Row],[dia]])</f>
        <v>20270323</v>
      </c>
      <c r="K1179">
        <f>Consulta2[[#This Row],[DIA_UTIL_CORRENTE]]</f>
        <v>17</v>
      </c>
    </row>
    <row r="1180" spans="1:11" x14ac:dyDescent="0.25">
      <c r="A1180">
        <v>202703</v>
      </c>
      <c r="B1180">
        <v>18</v>
      </c>
      <c r="C1180" s="148">
        <v>46470</v>
      </c>
      <c r="D1180">
        <v>22</v>
      </c>
      <c r="E1180">
        <v>22</v>
      </c>
      <c r="F1180">
        <v>812</v>
      </c>
      <c r="G1180">
        <f>Consulta2[[#This Row],[DIA_UTIL_CORRENTE]]</f>
        <v>18</v>
      </c>
      <c r="H1180" s="6">
        <f>DAY(Consulta2[[#This Row],[DATA]])</f>
        <v>24</v>
      </c>
      <c r="I1180" s="6">
        <f>MONTH(Consulta2[[#This Row],[DATA]])</f>
        <v>3</v>
      </c>
      <c r="J1180" t="str">
        <f>CONCATENATE(Consulta2[[#This Row],[SAFRA]],Consulta2[[#This Row],[dia]])</f>
        <v>20270324</v>
      </c>
      <c r="K1180">
        <f>Consulta2[[#This Row],[DIA_UTIL_CORRENTE]]</f>
        <v>18</v>
      </c>
    </row>
    <row r="1181" spans="1:11" x14ac:dyDescent="0.25">
      <c r="A1181">
        <v>202703</v>
      </c>
      <c r="B1181">
        <v>19</v>
      </c>
      <c r="C1181" s="148">
        <v>46471</v>
      </c>
      <c r="D1181">
        <v>22</v>
      </c>
      <c r="E1181">
        <v>22</v>
      </c>
      <c r="F1181">
        <v>813</v>
      </c>
      <c r="G1181">
        <f>Consulta2[[#This Row],[DIA_UTIL_CORRENTE]]</f>
        <v>19</v>
      </c>
      <c r="H1181" s="6">
        <f>DAY(Consulta2[[#This Row],[DATA]])</f>
        <v>25</v>
      </c>
      <c r="I1181" s="6">
        <f>MONTH(Consulta2[[#This Row],[DATA]])</f>
        <v>3</v>
      </c>
      <c r="J1181" t="str">
        <f>CONCATENATE(Consulta2[[#This Row],[SAFRA]],Consulta2[[#This Row],[dia]])</f>
        <v>20270325</v>
      </c>
      <c r="K1181">
        <f>Consulta2[[#This Row],[DIA_UTIL_CORRENTE]]</f>
        <v>19</v>
      </c>
    </row>
    <row r="1182" spans="1:11" x14ac:dyDescent="0.25">
      <c r="A1182">
        <v>202703</v>
      </c>
      <c r="B1182">
        <v>19</v>
      </c>
      <c r="C1182" s="148">
        <v>46472</v>
      </c>
      <c r="D1182">
        <v>22</v>
      </c>
      <c r="E1182">
        <v>22</v>
      </c>
      <c r="F1182">
        <v>813</v>
      </c>
      <c r="G1182">
        <f>Consulta2[[#This Row],[DIA_UTIL_CORRENTE]]</f>
        <v>19</v>
      </c>
      <c r="H1182" s="6">
        <f>DAY(Consulta2[[#This Row],[DATA]])</f>
        <v>26</v>
      </c>
      <c r="I1182" s="6">
        <f>MONTH(Consulta2[[#This Row],[DATA]])</f>
        <v>3</v>
      </c>
      <c r="J1182" t="str">
        <f>CONCATENATE(Consulta2[[#This Row],[SAFRA]],Consulta2[[#This Row],[dia]])</f>
        <v>20270326</v>
      </c>
      <c r="K1182">
        <f>Consulta2[[#This Row],[DIA_UTIL_CORRENTE]]</f>
        <v>19</v>
      </c>
    </row>
    <row r="1183" spans="1:11" x14ac:dyDescent="0.25">
      <c r="A1183">
        <v>202703</v>
      </c>
      <c r="B1183">
        <v>19</v>
      </c>
      <c r="C1183" s="148">
        <v>46473</v>
      </c>
      <c r="D1183">
        <v>22</v>
      </c>
      <c r="E1183">
        <v>22</v>
      </c>
      <c r="F1183">
        <v>813</v>
      </c>
      <c r="G1183">
        <f>Consulta2[[#This Row],[DIA_UTIL_CORRENTE]]</f>
        <v>19</v>
      </c>
      <c r="H1183" s="6">
        <f>DAY(Consulta2[[#This Row],[DATA]])</f>
        <v>27</v>
      </c>
      <c r="I1183" s="6">
        <f>MONTH(Consulta2[[#This Row],[DATA]])</f>
        <v>3</v>
      </c>
      <c r="J1183" t="str">
        <f>CONCATENATE(Consulta2[[#This Row],[SAFRA]],Consulta2[[#This Row],[dia]])</f>
        <v>20270327</v>
      </c>
      <c r="K1183">
        <f>Consulta2[[#This Row],[DIA_UTIL_CORRENTE]]</f>
        <v>19</v>
      </c>
    </row>
    <row r="1184" spans="1:11" x14ac:dyDescent="0.25">
      <c r="A1184">
        <v>202703</v>
      </c>
      <c r="B1184">
        <v>19</v>
      </c>
      <c r="C1184" s="148">
        <v>46474</v>
      </c>
      <c r="D1184">
        <v>22</v>
      </c>
      <c r="E1184">
        <v>22</v>
      </c>
      <c r="F1184">
        <v>813</v>
      </c>
      <c r="G1184">
        <f>Consulta2[[#This Row],[DIA_UTIL_CORRENTE]]</f>
        <v>19</v>
      </c>
      <c r="H1184" s="6">
        <f>DAY(Consulta2[[#This Row],[DATA]])</f>
        <v>28</v>
      </c>
      <c r="I1184" s="6">
        <f>MONTH(Consulta2[[#This Row],[DATA]])</f>
        <v>3</v>
      </c>
      <c r="J1184" t="str">
        <f>CONCATENATE(Consulta2[[#This Row],[SAFRA]],Consulta2[[#This Row],[dia]])</f>
        <v>20270328</v>
      </c>
      <c r="K1184">
        <f>Consulta2[[#This Row],[DIA_UTIL_CORRENTE]]</f>
        <v>19</v>
      </c>
    </row>
    <row r="1185" spans="1:11" x14ac:dyDescent="0.25">
      <c r="A1185">
        <v>202703</v>
      </c>
      <c r="B1185">
        <v>20</v>
      </c>
      <c r="C1185" s="148">
        <v>46475</v>
      </c>
      <c r="D1185">
        <v>22</v>
      </c>
      <c r="E1185">
        <v>22</v>
      </c>
      <c r="F1185">
        <v>814</v>
      </c>
      <c r="G1185">
        <f>Consulta2[[#This Row],[DIA_UTIL_CORRENTE]]</f>
        <v>20</v>
      </c>
      <c r="H1185" s="6">
        <f>DAY(Consulta2[[#This Row],[DATA]])</f>
        <v>29</v>
      </c>
      <c r="I1185" s="6">
        <f>MONTH(Consulta2[[#This Row],[DATA]])</f>
        <v>3</v>
      </c>
      <c r="J1185" t="str">
        <f>CONCATENATE(Consulta2[[#This Row],[SAFRA]],Consulta2[[#This Row],[dia]])</f>
        <v>20270329</v>
      </c>
      <c r="K1185">
        <f>Consulta2[[#This Row],[DIA_UTIL_CORRENTE]]</f>
        <v>20</v>
      </c>
    </row>
    <row r="1186" spans="1:11" x14ac:dyDescent="0.25">
      <c r="A1186">
        <v>202703</v>
      </c>
      <c r="B1186">
        <v>21</v>
      </c>
      <c r="C1186" s="148">
        <v>46476</v>
      </c>
      <c r="D1186">
        <v>22</v>
      </c>
      <c r="E1186">
        <v>22</v>
      </c>
      <c r="F1186">
        <v>815</v>
      </c>
      <c r="G1186">
        <f>Consulta2[[#This Row],[DIA_UTIL_CORRENTE]]</f>
        <v>21</v>
      </c>
      <c r="H1186" s="6">
        <f>DAY(Consulta2[[#This Row],[DATA]])</f>
        <v>30</v>
      </c>
      <c r="I1186" s="6">
        <f>MONTH(Consulta2[[#This Row],[DATA]])</f>
        <v>3</v>
      </c>
      <c r="J1186" t="str">
        <f>CONCATENATE(Consulta2[[#This Row],[SAFRA]],Consulta2[[#This Row],[dia]])</f>
        <v>20270330</v>
      </c>
      <c r="K1186">
        <f>Consulta2[[#This Row],[DIA_UTIL_CORRENTE]]</f>
        <v>21</v>
      </c>
    </row>
    <row r="1187" spans="1:11" x14ac:dyDescent="0.25">
      <c r="A1187">
        <v>202703</v>
      </c>
      <c r="B1187">
        <v>22</v>
      </c>
      <c r="C1187" s="148">
        <v>46477</v>
      </c>
      <c r="D1187">
        <v>22</v>
      </c>
      <c r="E1187">
        <v>22</v>
      </c>
      <c r="F1187">
        <v>816</v>
      </c>
      <c r="G1187">
        <f>Consulta2[[#This Row],[DIA_UTIL_CORRENTE]]</f>
        <v>22</v>
      </c>
      <c r="H1187" s="6">
        <f>DAY(Consulta2[[#This Row],[DATA]])</f>
        <v>31</v>
      </c>
      <c r="I1187" s="6">
        <f>MONTH(Consulta2[[#This Row],[DATA]])</f>
        <v>3</v>
      </c>
      <c r="J1187" t="str">
        <f>CONCATENATE(Consulta2[[#This Row],[SAFRA]],Consulta2[[#This Row],[dia]])</f>
        <v>20270331</v>
      </c>
      <c r="K1187">
        <f>Consulta2[[#This Row],[DIA_UTIL_CORRENTE]]</f>
        <v>22</v>
      </c>
    </row>
    <row r="1188" spans="1:11" x14ac:dyDescent="0.25">
      <c r="A1188">
        <v>202704</v>
      </c>
      <c r="B1188">
        <v>1</v>
      </c>
      <c r="C1188" s="148">
        <v>46478</v>
      </c>
      <c r="D1188">
        <v>21</v>
      </c>
      <c r="E1188">
        <v>21</v>
      </c>
      <c r="F1188">
        <v>817</v>
      </c>
      <c r="G1188">
        <f>Consulta2[[#This Row],[DIA_UTIL_CORRENTE]]</f>
        <v>1</v>
      </c>
      <c r="H1188" s="6">
        <f>DAY(Consulta2[[#This Row],[DATA]])</f>
        <v>1</v>
      </c>
      <c r="I1188" s="6">
        <f>MONTH(Consulta2[[#This Row],[DATA]])</f>
        <v>4</v>
      </c>
      <c r="J1188" t="str">
        <f>CONCATENATE(Consulta2[[#This Row],[SAFRA]],Consulta2[[#This Row],[dia]])</f>
        <v>2027041</v>
      </c>
      <c r="K1188">
        <f>Consulta2[[#This Row],[DIA_UTIL_CORRENTE]]</f>
        <v>1</v>
      </c>
    </row>
    <row r="1189" spans="1:11" x14ac:dyDescent="0.25">
      <c r="A1189">
        <v>202704</v>
      </c>
      <c r="B1189">
        <v>2</v>
      </c>
      <c r="C1189" s="148">
        <v>46479</v>
      </c>
      <c r="D1189">
        <v>21</v>
      </c>
      <c r="E1189">
        <v>21</v>
      </c>
      <c r="F1189">
        <v>818</v>
      </c>
      <c r="G1189">
        <f>Consulta2[[#This Row],[DIA_UTIL_CORRENTE]]</f>
        <v>2</v>
      </c>
      <c r="H1189" s="6">
        <f>DAY(Consulta2[[#This Row],[DATA]])</f>
        <v>2</v>
      </c>
      <c r="I1189" s="6">
        <f>MONTH(Consulta2[[#This Row],[DATA]])</f>
        <v>4</v>
      </c>
      <c r="J1189" t="str">
        <f>CONCATENATE(Consulta2[[#This Row],[SAFRA]],Consulta2[[#This Row],[dia]])</f>
        <v>2027042</v>
      </c>
      <c r="K1189">
        <f>Consulta2[[#This Row],[DIA_UTIL_CORRENTE]]</f>
        <v>2</v>
      </c>
    </row>
    <row r="1190" spans="1:11" x14ac:dyDescent="0.25">
      <c r="A1190">
        <v>202704</v>
      </c>
      <c r="B1190">
        <v>2</v>
      </c>
      <c r="C1190" s="148">
        <v>46480</v>
      </c>
      <c r="D1190">
        <v>21</v>
      </c>
      <c r="E1190">
        <v>21</v>
      </c>
      <c r="F1190">
        <v>818</v>
      </c>
      <c r="G1190">
        <f>Consulta2[[#This Row],[DIA_UTIL_CORRENTE]]</f>
        <v>2</v>
      </c>
      <c r="H1190" s="6">
        <f>DAY(Consulta2[[#This Row],[DATA]])</f>
        <v>3</v>
      </c>
      <c r="I1190" s="6">
        <f>MONTH(Consulta2[[#This Row],[DATA]])</f>
        <v>4</v>
      </c>
      <c r="J1190" t="str">
        <f>CONCATENATE(Consulta2[[#This Row],[SAFRA]],Consulta2[[#This Row],[dia]])</f>
        <v>2027043</v>
      </c>
      <c r="K1190">
        <f>Consulta2[[#This Row],[DIA_UTIL_CORRENTE]]</f>
        <v>2</v>
      </c>
    </row>
    <row r="1191" spans="1:11" x14ac:dyDescent="0.25">
      <c r="A1191">
        <v>202704</v>
      </c>
      <c r="B1191">
        <v>2</v>
      </c>
      <c r="C1191" s="148">
        <v>46481</v>
      </c>
      <c r="D1191">
        <v>21</v>
      </c>
      <c r="E1191">
        <v>21</v>
      </c>
      <c r="F1191">
        <v>818</v>
      </c>
      <c r="G1191">
        <f>Consulta2[[#This Row],[DIA_UTIL_CORRENTE]]</f>
        <v>2</v>
      </c>
      <c r="H1191" s="6">
        <f>DAY(Consulta2[[#This Row],[DATA]])</f>
        <v>4</v>
      </c>
      <c r="I1191" s="6">
        <f>MONTH(Consulta2[[#This Row],[DATA]])</f>
        <v>4</v>
      </c>
      <c r="J1191" t="str">
        <f>CONCATENATE(Consulta2[[#This Row],[SAFRA]],Consulta2[[#This Row],[dia]])</f>
        <v>2027044</v>
      </c>
      <c r="K1191">
        <f>Consulta2[[#This Row],[DIA_UTIL_CORRENTE]]</f>
        <v>2</v>
      </c>
    </row>
    <row r="1192" spans="1:11" x14ac:dyDescent="0.25">
      <c r="A1192">
        <v>202704</v>
      </c>
      <c r="B1192">
        <v>3</v>
      </c>
      <c r="C1192" s="148">
        <v>46482</v>
      </c>
      <c r="D1192">
        <v>21</v>
      </c>
      <c r="E1192">
        <v>21</v>
      </c>
      <c r="F1192">
        <v>819</v>
      </c>
      <c r="G1192">
        <f>Consulta2[[#This Row],[DIA_UTIL_CORRENTE]]</f>
        <v>3</v>
      </c>
      <c r="H1192" s="6">
        <f>DAY(Consulta2[[#This Row],[DATA]])</f>
        <v>5</v>
      </c>
      <c r="I1192" s="6">
        <f>MONTH(Consulta2[[#This Row],[DATA]])</f>
        <v>4</v>
      </c>
      <c r="J1192" t="str">
        <f>CONCATENATE(Consulta2[[#This Row],[SAFRA]],Consulta2[[#This Row],[dia]])</f>
        <v>2027045</v>
      </c>
      <c r="K1192">
        <f>Consulta2[[#This Row],[DIA_UTIL_CORRENTE]]</f>
        <v>3</v>
      </c>
    </row>
    <row r="1193" spans="1:11" x14ac:dyDescent="0.25">
      <c r="A1193">
        <v>202704</v>
      </c>
      <c r="B1193">
        <v>4</v>
      </c>
      <c r="C1193" s="148">
        <v>46483</v>
      </c>
      <c r="D1193">
        <v>21</v>
      </c>
      <c r="E1193">
        <v>21</v>
      </c>
      <c r="F1193">
        <v>820</v>
      </c>
      <c r="G1193">
        <f>Consulta2[[#This Row],[DIA_UTIL_CORRENTE]]</f>
        <v>4</v>
      </c>
      <c r="H1193" s="6">
        <f>DAY(Consulta2[[#This Row],[DATA]])</f>
        <v>6</v>
      </c>
      <c r="I1193" s="6">
        <f>MONTH(Consulta2[[#This Row],[DATA]])</f>
        <v>4</v>
      </c>
      <c r="J1193" t="str">
        <f>CONCATENATE(Consulta2[[#This Row],[SAFRA]],Consulta2[[#This Row],[dia]])</f>
        <v>2027046</v>
      </c>
      <c r="K1193">
        <f>Consulta2[[#This Row],[DIA_UTIL_CORRENTE]]</f>
        <v>4</v>
      </c>
    </row>
    <row r="1194" spans="1:11" x14ac:dyDescent="0.25">
      <c r="A1194">
        <v>202704</v>
      </c>
      <c r="B1194">
        <v>5</v>
      </c>
      <c r="C1194" s="148">
        <v>46484</v>
      </c>
      <c r="D1194">
        <v>21</v>
      </c>
      <c r="E1194">
        <v>21</v>
      </c>
      <c r="F1194">
        <v>821</v>
      </c>
      <c r="G1194">
        <f>Consulta2[[#This Row],[DIA_UTIL_CORRENTE]]</f>
        <v>5</v>
      </c>
      <c r="H1194" s="6">
        <f>DAY(Consulta2[[#This Row],[DATA]])</f>
        <v>7</v>
      </c>
      <c r="I1194" s="6">
        <f>MONTH(Consulta2[[#This Row],[DATA]])</f>
        <v>4</v>
      </c>
      <c r="J1194" t="str">
        <f>CONCATENATE(Consulta2[[#This Row],[SAFRA]],Consulta2[[#This Row],[dia]])</f>
        <v>2027047</v>
      </c>
      <c r="K1194">
        <f>Consulta2[[#This Row],[DIA_UTIL_CORRENTE]]</f>
        <v>5</v>
      </c>
    </row>
    <row r="1195" spans="1:11" x14ac:dyDescent="0.25">
      <c r="A1195">
        <v>202704</v>
      </c>
      <c r="B1195">
        <v>6</v>
      </c>
      <c r="C1195" s="148">
        <v>46485</v>
      </c>
      <c r="D1195">
        <v>21</v>
      </c>
      <c r="E1195">
        <v>21</v>
      </c>
      <c r="F1195">
        <v>822</v>
      </c>
      <c r="G1195">
        <f>Consulta2[[#This Row],[DIA_UTIL_CORRENTE]]</f>
        <v>6</v>
      </c>
      <c r="H1195" s="6">
        <f>DAY(Consulta2[[#This Row],[DATA]])</f>
        <v>8</v>
      </c>
      <c r="I1195" s="6">
        <f>MONTH(Consulta2[[#This Row],[DATA]])</f>
        <v>4</v>
      </c>
      <c r="J1195" t="str">
        <f>CONCATENATE(Consulta2[[#This Row],[SAFRA]],Consulta2[[#This Row],[dia]])</f>
        <v>2027048</v>
      </c>
      <c r="K1195">
        <f>Consulta2[[#This Row],[DIA_UTIL_CORRENTE]]</f>
        <v>6</v>
      </c>
    </row>
    <row r="1196" spans="1:11" x14ac:dyDescent="0.25">
      <c r="A1196">
        <v>202704</v>
      </c>
      <c r="B1196">
        <v>7</v>
      </c>
      <c r="C1196" s="148">
        <v>46486</v>
      </c>
      <c r="D1196">
        <v>21</v>
      </c>
      <c r="E1196">
        <v>21</v>
      </c>
      <c r="F1196">
        <v>823</v>
      </c>
      <c r="G1196">
        <f>Consulta2[[#This Row],[DIA_UTIL_CORRENTE]]</f>
        <v>7</v>
      </c>
      <c r="H1196" s="6">
        <f>DAY(Consulta2[[#This Row],[DATA]])</f>
        <v>9</v>
      </c>
      <c r="I1196" s="6">
        <f>MONTH(Consulta2[[#This Row],[DATA]])</f>
        <v>4</v>
      </c>
      <c r="J1196" t="str">
        <f>CONCATENATE(Consulta2[[#This Row],[SAFRA]],Consulta2[[#This Row],[dia]])</f>
        <v>2027049</v>
      </c>
      <c r="K1196">
        <f>Consulta2[[#This Row],[DIA_UTIL_CORRENTE]]</f>
        <v>7</v>
      </c>
    </row>
    <row r="1197" spans="1:11" x14ac:dyDescent="0.25">
      <c r="A1197">
        <v>202704</v>
      </c>
      <c r="B1197">
        <v>7</v>
      </c>
      <c r="C1197" s="148">
        <v>46487</v>
      </c>
      <c r="D1197">
        <v>21</v>
      </c>
      <c r="E1197">
        <v>21</v>
      </c>
      <c r="F1197">
        <v>823</v>
      </c>
      <c r="G1197">
        <f>Consulta2[[#This Row],[DIA_UTIL_CORRENTE]]</f>
        <v>7</v>
      </c>
      <c r="H1197" s="6">
        <f>DAY(Consulta2[[#This Row],[DATA]])</f>
        <v>10</v>
      </c>
      <c r="I1197" s="6">
        <f>MONTH(Consulta2[[#This Row],[DATA]])</f>
        <v>4</v>
      </c>
      <c r="J1197" t="str">
        <f>CONCATENATE(Consulta2[[#This Row],[SAFRA]],Consulta2[[#This Row],[dia]])</f>
        <v>20270410</v>
      </c>
      <c r="K1197">
        <f>Consulta2[[#This Row],[DIA_UTIL_CORRENTE]]</f>
        <v>7</v>
      </c>
    </row>
    <row r="1198" spans="1:11" x14ac:dyDescent="0.25">
      <c r="A1198">
        <v>202704</v>
      </c>
      <c r="B1198">
        <v>7</v>
      </c>
      <c r="C1198" s="148">
        <v>46488</v>
      </c>
      <c r="D1198">
        <v>21</v>
      </c>
      <c r="E1198">
        <v>21</v>
      </c>
      <c r="F1198">
        <v>823</v>
      </c>
      <c r="G1198">
        <f>Consulta2[[#This Row],[DIA_UTIL_CORRENTE]]</f>
        <v>7</v>
      </c>
      <c r="H1198" s="6">
        <f>DAY(Consulta2[[#This Row],[DATA]])</f>
        <v>11</v>
      </c>
      <c r="I1198" s="6">
        <f>MONTH(Consulta2[[#This Row],[DATA]])</f>
        <v>4</v>
      </c>
      <c r="J1198" t="str">
        <f>CONCATENATE(Consulta2[[#This Row],[SAFRA]],Consulta2[[#This Row],[dia]])</f>
        <v>20270411</v>
      </c>
      <c r="K1198">
        <f>Consulta2[[#This Row],[DIA_UTIL_CORRENTE]]</f>
        <v>7</v>
      </c>
    </row>
    <row r="1199" spans="1:11" x14ac:dyDescent="0.25">
      <c r="A1199">
        <v>202704</v>
      </c>
      <c r="B1199">
        <v>8</v>
      </c>
      <c r="C1199" s="148">
        <v>46489</v>
      </c>
      <c r="D1199">
        <v>21</v>
      </c>
      <c r="E1199">
        <v>21</v>
      </c>
      <c r="F1199">
        <v>824</v>
      </c>
      <c r="G1199">
        <f>Consulta2[[#This Row],[DIA_UTIL_CORRENTE]]</f>
        <v>8</v>
      </c>
      <c r="H1199" s="6">
        <f>DAY(Consulta2[[#This Row],[DATA]])</f>
        <v>12</v>
      </c>
      <c r="I1199" s="6">
        <f>MONTH(Consulta2[[#This Row],[DATA]])</f>
        <v>4</v>
      </c>
      <c r="J1199" t="str">
        <f>CONCATENATE(Consulta2[[#This Row],[SAFRA]],Consulta2[[#This Row],[dia]])</f>
        <v>20270412</v>
      </c>
      <c r="K1199">
        <f>Consulta2[[#This Row],[DIA_UTIL_CORRENTE]]</f>
        <v>8</v>
      </c>
    </row>
    <row r="1200" spans="1:11" x14ac:dyDescent="0.25">
      <c r="A1200">
        <v>202704</v>
      </c>
      <c r="B1200">
        <v>9</v>
      </c>
      <c r="C1200" s="148">
        <v>46490</v>
      </c>
      <c r="D1200">
        <v>21</v>
      </c>
      <c r="E1200">
        <v>21</v>
      </c>
      <c r="F1200">
        <v>825</v>
      </c>
      <c r="G1200">
        <f>Consulta2[[#This Row],[DIA_UTIL_CORRENTE]]</f>
        <v>9</v>
      </c>
      <c r="H1200" s="6">
        <f>DAY(Consulta2[[#This Row],[DATA]])</f>
        <v>13</v>
      </c>
      <c r="I1200" s="6">
        <f>MONTH(Consulta2[[#This Row],[DATA]])</f>
        <v>4</v>
      </c>
      <c r="J1200" t="str">
        <f>CONCATENATE(Consulta2[[#This Row],[SAFRA]],Consulta2[[#This Row],[dia]])</f>
        <v>20270413</v>
      </c>
      <c r="K1200">
        <f>Consulta2[[#This Row],[DIA_UTIL_CORRENTE]]</f>
        <v>9</v>
      </c>
    </row>
    <row r="1201" spans="1:11" x14ac:dyDescent="0.25">
      <c r="A1201">
        <v>202704</v>
      </c>
      <c r="B1201">
        <v>10</v>
      </c>
      <c r="C1201" s="148">
        <v>46491</v>
      </c>
      <c r="D1201">
        <v>21</v>
      </c>
      <c r="E1201">
        <v>21</v>
      </c>
      <c r="F1201">
        <v>826</v>
      </c>
      <c r="G1201">
        <f>Consulta2[[#This Row],[DIA_UTIL_CORRENTE]]</f>
        <v>10</v>
      </c>
      <c r="H1201" s="6">
        <f>DAY(Consulta2[[#This Row],[DATA]])</f>
        <v>14</v>
      </c>
      <c r="I1201" s="6">
        <f>MONTH(Consulta2[[#This Row],[DATA]])</f>
        <v>4</v>
      </c>
      <c r="J1201" t="str">
        <f>CONCATENATE(Consulta2[[#This Row],[SAFRA]],Consulta2[[#This Row],[dia]])</f>
        <v>20270414</v>
      </c>
      <c r="K1201">
        <f>Consulta2[[#This Row],[DIA_UTIL_CORRENTE]]</f>
        <v>10</v>
      </c>
    </row>
    <row r="1202" spans="1:11" x14ac:dyDescent="0.25">
      <c r="A1202">
        <v>202704</v>
      </c>
      <c r="B1202">
        <v>11</v>
      </c>
      <c r="C1202" s="148">
        <v>46492</v>
      </c>
      <c r="D1202">
        <v>21</v>
      </c>
      <c r="E1202">
        <v>21</v>
      </c>
      <c r="F1202">
        <v>827</v>
      </c>
      <c r="G1202">
        <f>Consulta2[[#This Row],[DIA_UTIL_CORRENTE]]</f>
        <v>11</v>
      </c>
      <c r="H1202" s="6">
        <f>DAY(Consulta2[[#This Row],[DATA]])</f>
        <v>15</v>
      </c>
      <c r="I1202" s="6">
        <f>MONTH(Consulta2[[#This Row],[DATA]])</f>
        <v>4</v>
      </c>
      <c r="J1202" t="str">
        <f>CONCATENATE(Consulta2[[#This Row],[SAFRA]],Consulta2[[#This Row],[dia]])</f>
        <v>20270415</v>
      </c>
      <c r="K1202">
        <f>Consulta2[[#This Row],[DIA_UTIL_CORRENTE]]</f>
        <v>11</v>
      </c>
    </row>
    <row r="1203" spans="1:11" x14ac:dyDescent="0.25">
      <c r="A1203">
        <v>202704</v>
      </c>
      <c r="B1203">
        <v>12</v>
      </c>
      <c r="C1203" s="148">
        <v>46493</v>
      </c>
      <c r="D1203">
        <v>21</v>
      </c>
      <c r="E1203">
        <v>21</v>
      </c>
      <c r="F1203">
        <v>828</v>
      </c>
      <c r="G1203">
        <f>Consulta2[[#This Row],[DIA_UTIL_CORRENTE]]</f>
        <v>12</v>
      </c>
      <c r="H1203" s="6">
        <f>DAY(Consulta2[[#This Row],[DATA]])</f>
        <v>16</v>
      </c>
      <c r="I1203" s="6">
        <f>MONTH(Consulta2[[#This Row],[DATA]])</f>
        <v>4</v>
      </c>
      <c r="J1203" t="str">
        <f>CONCATENATE(Consulta2[[#This Row],[SAFRA]],Consulta2[[#This Row],[dia]])</f>
        <v>20270416</v>
      </c>
      <c r="K1203">
        <f>Consulta2[[#This Row],[DIA_UTIL_CORRENTE]]</f>
        <v>12</v>
      </c>
    </row>
    <row r="1204" spans="1:11" x14ac:dyDescent="0.25">
      <c r="A1204">
        <v>202704</v>
      </c>
      <c r="B1204">
        <v>12</v>
      </c>
      <c r="C1204" s="148">
        <v>46494</v>
      </c>
      <c r="D1204">
        <v>21</v>
      </c>
      <c r="E1204">
        <v>21</v>
      </c>
      <c r="F1204">
        <v>828</v>
      </c>
      <c r="G1204">
        <f>Consulta2[[#This Row],[DIA_UTIL_CORRENTE]]</f>
        <v>12</v>
      </c>
      <c r="H1204" s="6">
        <f>DAY(Consulta2[[#This Row],[DATA]])</f>
        <v>17</v>
      </c>
      <c r="I1204" s="6">
        <f>MONTH(Consulta2[[#This Row],[DATA]])</f>
        <v>4</v>
      </c>
      <c r="J1204" t="str">
        <f>CONCATENATE(Consulta2[[#This Row],[SAFRA]],Consulta2[[#This Row],[dia]])</f>
        <v>20270417</v>
      </c>
      <c r="K1204">
        <f>Consulta2[[#This Row],[DIA_UTIL_CORRENTE]]</f>
        <v>12</v>
      </c>
    </row>
    <row r="1205" spans="1:11" x14ac:dyDescent="0.25">
      <c r="A1205">
        <v>202704</v>
      </c>
      <c r="B1205">
        <v>12</v>
      </c>
      <c r="C1205" s="148">
        <v>46495</v>
      </c>
      <c r="D1205">
        <v>21</v>
      </c>
      <c r="E1205">
        <v>21</v>
      </c>
      <c r="F1205">
        <v>828</v>
      </c>
      <c r="G1205">
        <f>Consulta2[[#This Row],[DIA_UTIL_CORRENTE]]</f>
        <v>12</v>
      </c>
      <c r="H1205" s="6">
        <f>DAY(Consulta2[[#This Row],[DATA]])</f>
        <v>18</v>
      </c>
      <c r="I1205" s="6">
        <f>MONTH(Consulta2[[#This Row],[DATA]])</f>
        <v>4</v>
      </c>
      <c r="J1205" t="str">
        <f>CONCATENATE(Consulta2[[#This Row],[SAFRA]],Consulta2[[#This Row],[dia]])</f>
        <v>20270418</v>
      </c>
      <c r="K1205">
        <f>Consulta2[[#This Row],[DIA_UTIL_CORRENTE]]</f>
        <v>12</v>
      </c>
    </row>
    <row r="1206" spans="1:11" x14ac:dyDescent="0.25">
      <c r="A1206">
        <v>202704</v>
      </c>
      <c r="B1206">
        <v>13</v>
      </c>
      <c r="C1206" s="148">
        <v>46496</v>
      </c>
      <c r="D1206">
        <v>21</v>
      </c>
      <c r="E1206">
        <v>21</v>
      </c>
      <c r="F1206">
        <v>829</v>
      </c>
      <c r="G1206">
        <f>Consulta2[[#This Row],[DIA_UTIL_CORRENTE]]</f>
        <v>13</v>
      </c>
      <c r="H1206" s="6">
        <f>DAY(Consulta2[[#This Row],[DATA]])</f>
        <v>19</v>
      </c>
      <c r="I1206" s="6">
        <f>MONTH(Consulta2[[#This Row],[DATA]])</f>
        <v>4</v>
      </c>
      <c r="J1206" t="str">
        <f>CONCATENATE(Consulta2[[#This Row],[SAFRA]],Consulta2[[#This Row],[dia]])</f>
        <v>20270419</v>
      </c>
      <c r="K1206">
        <f>Consulta2[[#This Row],[DIA_UTIL_CORRENTE]]</f>
        <v>13</v>
      </c>
    </row>
    <row r="1207" spans="1:11" x14ac:dyDescent="0.25">
      <c r="A1207">
        <v>202704</v>
      </c>
      <c r="B1207">
        <v>14</v>
      </c>
      <c r="C1207" s="148">
        <v>46497</v>
      </c>
      <c r="D1207">
        <v>21</v>
      </c>
      <c r="E1207">
        <v>21</v>
      </c>
      <c r="F1207">
        <v>830</v>
      </c>
      <c r="G1207">
        <f>Consulta2[[#This Row],[DIA_UTIL_CORRENTE]]</f>
        <v>14</v>
      </c>
      <c r="H1207" s="6">
        <f>DAY(Consulta2[[#This Row],[DATA]])</f>
        <v>20</v>
      </c>
      <c r="I1207" s="6">
        <f>MONTH(Consulta2[[#This Row],[DATA]])</f>
        <v>4</v>
      </c>
      <c r="J1207" t="str">
        <f>CONCATENATE(Consulta2[[#This Row],[SAFRA]],Consulta2[[#This Row],[dia]])</f>
        <v>20270420</v>
      </c>
      <c r="K1207">
        <f>Consulta2[[#This Row],[DIA_UTIL_CORRENTE]]</f>
        <v>14</v>
      </c>
    </row>
    <row r="1208" spans="1:11" x14ac:dyDescent="0.25">
      <c r="A1208">
        <v>202704</v>
      </c>
      <c r="B1208">
        <v>14</v>
      </c>
      <c r="C1208" s="148">
        <v>46498</v>
      </c>
      <c r="D1208">
        <v>21</v>
      </c>
      <c r="E1208">
        <v>21</v>
      </c>
      <c r="F1208">
        <v>830</v>
      </c>
      <c r="G1208">
        <f>Consulta2[[#This Row],[DIA_UTIL_CORRENTE]]</f>
        <v>14</v>
      </c>
      <c r="H1208" s="6">
        <f>DAY(Consulta2[[#This Row],[DATA]])</f>
        <v>21</v>
      </c>
      <c r="I1208" s="6">
        <f>MONTH(Consulta2[[#This Row],[DATA]])</f>
        <v>4</v>
      </c>
      <c r="J1208" t="str">
        <f>CONCATENATE(Consulta2[[#This Row],[SAFRA]],Consulta2[[#This Row],[dia]])</f>
        <v>20270421</v>
      </c>
      <c r="K1208">
        <f>Consulta2[[#This Row],[DIA_UTIL_CORRENTE]]</f>
        <v>14</v>
      </c>
    </row>
    <row r="1209" spans="1:11" x14ac:dyDescent="0.25">
      <c r="A1209">
        <v>202704</v>
      </c>
      <c r="B1209">
        <v>15</v>
      </c>
      <c r="C1209" s="148">
        <v>46499</v>
      </c>
      <c r="D1209">
        <v>21</v>
      </c>
      <c r="E1209">
        <v>21</v>
      </c>
      <c r="F1209">
        <v>831</v>
      </c>
      <c r="G1209">
        <f>Consulta2[[#This Row],[DIA_UTIL_CORRENTE]]</f>
        <v>15</v>
      </c>
      <c r="H1209" s="6">
        <f>DAY(Consulta2[[#This Row],[DATA]])</f>
        <v>22</v>
      </c>
      <c r="I1209" s="6">
        <f>MONTH(Consulta2[[#This Row],[DATA]])</f>
        <v>4</v>
      </c>
      <c r="J1209" t="str">
        <f>CONCATENATE(Consulta2[[#This Row],[SAFRA]],Consulta2[[#This Row],[dia]])</f>
        <v>20270422</v>
      </c>
      <c r="K1209">
        <f>Consulta2[[#This Row],[DIA_UTIL_CORRENTE]]</f>
        <v>15</v>
      </c>
    </row>
    <row r="1210" spans="1:11" x14ac:dyDescent="0.25">
      <c r="A1210">
        <v>202704</v>
      </c>
      <c r="B1210">
        <v>16</v>
      </c>
      <c r="C1210" s="148">
        <v>46500</v>
      </c>
      <c r="D1210">
        <v>21</v>
      </c>
      <c r="E1210">
        <v>21</v>
      </c>
      <c r="F1210">
        <v>832</v>
      </c>
      <c r="G1210">
        <f>Consulta2[[#This Row],[DIA_UTIL_CORRENTE]]</f>
        <v>16</v>
      </c>
      <c r="H1210" s="6">
        <f>DAY(Consulta2[[#This Row],[DATA]])</f>
        <v>23</v>
      </c>
      <c r="I1210" s="6">
        <f>MONTH(Consulta2[[#This Row],[DATA]])</f>
        <v>4</v>
      </c>
      <c r="J1210" t="str">
        <f>CONCATENATE(Consulta2[[#This Row],[SAFRA]],Consulta2[[#This Row],[dia]])</f>
        <v>20270423</v>
      </c>
      <c r="K1210">
        <f>Consulta2[[#This Row],[DIA_UTIL_CORRENTE]]</f>
        <v>16</v>
      </c>
    </row>
    <row r="1211" spans="1:11" x14ac:dyDescent="0.25">
      <c r="A1211">
        <v>202704</v>
      </c>
      <c r="B1211">
        <v>16</v>
      </c>
      <c r="C1211" s="148">
        <v>46501</v>
      </c>
      <c r="D1211">
        <v>21</v>
      </c>
      <c r="E1211">
        <v>21</v>
      </c>
      <c r="F1211">
        <v>832</v>
      </c>
      <c r="G1211">
        <f>Consulta2[[#This Row],[DIA_UTIL_CORRENTE]]</f>
        <v>16</v>
      </c>
      <c r="H1211" s="6">
        <f>DAY(Consulta2[[#This Row],[DATA]])</f>
        <v>24</v>
      </c>
      <c r="I1211" s="6">
        <f>MONTH(Consulta2[[#This Row],[DATA]])</f>
        <v>4</v>
      </c>
      <c r="J1211" t="str">
        <f>CONCATENATE(Consulta2[[#This Row],[SAFRA]],Consulta2[[#This Row],[dia]])</f>
        <v>20270424</v>
      </c>
      <c r="K1211">
        <f>Consulta2[[#This Row],[DIA_UTIL_CORRENTE]]</f>
        <v>16</v>
      </c>
    </row>
    <row r="1212" spans="1:11" x14ac:dyDescent="0.25">
      <c r="A1212">
        <v>202704</v>
      </c>
      <c r="B1212">
        <v>16</v>
      </c>
      <c r="C1212" s="148">
        <v>46502</v>
      </c>
      <c r="D1212">
        <v>21</v>
      </c>
      <c r="E1212">
        <v>21</v>
      </c>
      <c r="F1212">
        <v>832</v>
      </c>
      <c r="G1212">
        <f>Consulta2[[#This Row],[DIA_UTIL_CORRENTE]]</f>
        <v>16</v>
      </c>
      <c r="H1212" s="6">
        <f>DAY(Consulta2[[#This Row],[DATA]])</f>
        <v>25</v>
      </c>
      <c r="I1212" s="6">
        <f>MONTH(Consulta2[[#This Row],[DATA]])</f>
        <v>4</v>
      </c>
      <c r="J1212" t="str">
        <f>CONCATENATE(Consulta2[[#This Row],[SAFRA]],Consulta2[[#This Row],[dia]])</f>
        <v>20270425</v>
      </c>
      <c r="K1212">
        <f>Consulta2[[#This Row],[DIA_UTIL_CORRENTE]]</f>
        <v>16</v>
      </c>
    </row>
    <row r="1213" spans="1:11" x14ac:dyDescent="0.25">
      <c r="A1213">
        <v>202704</v>
      </c>
      <c r="B1213">
        <v>17</v>
      </c>
      <c r="C1213" s="148">
        <v>46503</v>
      </c>
      <c r="D1213">
        <v>21</v>
      </c>
      <c r="E1213">
        <v>21</v>
      </c>
      <c r="F1213">
        <v>833</v>
      </c>
      <c r="G1213">
        <f>Consulta2[[#This Row],[DIA_UTIL_CORRENTE]]</f>
        <v>17</v>
      </c>
      <c r="H1213" s="6">
        <f>DAY(Consulta2[[#This Row],[DATA]])</f>
        <v>26</v>
      </c>
      <c r="I1213" s="6">
        <f>MONTH(Consulta2[[#This Row],[DATA]])</f>
        <v>4</v>
      </c>
      <c r="J1213" t="str">
        <f>CONCATENATE(Consulta2[[#This Row],[SAFRA]],Consulta2[[#This Row],[dia]])</f>
        <v>20270426</v>
      </c>
      <c r="K1213">
        <f>Consulta2[[#This Row],[DIA_UTIL_CORRENTE]]</f>
        <v>17</v>
      </c>
    </row>
    <row r="1214" spans="1:11" x14ac:dyDescent="0.25">
      <c r="A1214">
        <v>202704</v>
      </c>
      <c r="B1214">
        <v>18</v>
      </c>
      <c r="C1214" s="148">
        <v>46504</v>
      </c>
      <c r="D1214">
        <v>21</v>
      </c>
      <c r="E1214">
        <v>21</v>
      </c>
      <c r="F1214">
        <v>834</v>
      </c>
      <c r="G1214">
        <f>Consulta2[[#This Row],[DIA_UTIL_CORRENTE]]</f>
        <v>18</v>
      </c>
      <c r="H1214" s="6">
        <f>DAY(Consulta2[[#This Row],[DATA]])</f>
        <v>27</v>
      </c>
      <c r="I1214" s="6">
        <f>MONTH(Consulta2[[#This Row],[DATA]])</f>
        <v>4</v>
      </c>
      <c r="J1214" t="str">
        <f>CONCATENATE(Consulta2[[#This Row],[SAFRA]],Consulta2[[#This Row],[dia]])</f>
        <v>20270427</v>
      </c>
      <c r="K1214">
        <f>Consulta2[[#This Row],[DIA_UTIL_CORRENTE]]</f>
        <v>18</v>
      </c>
    </row>
    <row r="1215" spans="1:11" x14ac:dyDescent="0.25">
      <c r="A1215">
        <v>202704</v>
      </c>
      <c r="B1215">
        <v>19</v>
      </c>
      <c r="C1215" s="148">
        <v>46505</v>
      </c>
      <c r="D1215">
        <v>21</v>
      </c>
      <c r="E1215">
        <v>21</v>
      </c>
      <c r="F1215">
        <v>835</v>
      </c>
      <c r="G1215">
        <f>Consulta2[[#This Row],[DIA_UTIL_CORRENTE]]</f>
        <v>19</v>
      </c>
      <c r="H1215" s="6">
        <f>DAY(Consulta2[[#This Row],[DATA]])</f>
        <v>28</v>
      </c>
      <c r="I1215" s="6">
        <f>MONTH(Consulta2[[#This Row],[DATA]])</f>
        <v>4</v>
      </c>
      <c r="J1215" t="str">
        <f>CONCATENATE(Consulta2[[#This Row],[SAFRA]],Consulta2[[#This Row],[dia]])</f>
        <v>20270428</v>
      </c>
      <c r="K1215">
        <f>Consulta2[[#This Row],[DIA_UTIL_CORRENTE]]</f>
        <v>19</v>
      </c>
    </row>
    <row r="1216" spans="1:11" x14ac:dyDescent="0.25">
      <c r="A1216">
        <v>202704</v>
      </c>
      <c r="B1216">
        <v>20</v>
      </c>
      <c r="C1216" s="148">
        <v>46506</v>
      </c>
      <c r="D1216">
        <v>21</v>
      </c>
      <c r="E1216">
        <v>21</v>
      </c>
      <c r="F1216">
        <v>836</v>
      </c>
      <c r="G1216">
        <f>Consulta2[[#This Row],[DIA_UTIL_CORRENTE]]</f>
        <v>20</v>
      </c>
      <c r="H1216" s="6">
        <f>DAY(Consulta2[[#This Row],[DATA]])</f>
        <v>29</v>
      </c>
      <c r="I1216" s="6">
        <f>MONTH(Consulta2[[#This Row],[DATA]])</f>
        <v>4</v>
      </c>
      <c r="J1216" t="str">
        <f>CONCATENATE(Consulta2[[#This Row],[SAFRA]],Consulta2[[#This Row],[dia]])</f>
        <v>20270429</v>
      </c>
      <c r="K1216">
        <f>Consulta2[[#This Row],[DIA_UTIL_CORRENTE]]</f>
        <v>20</v>
      </c>
    </row>
    <row r="1217" spans="1:11" x14ac:dyDescent="0.25">
      <c r="A1217">
        <v>202704</v>
      </c>
      <c r="B1217">
        <v>21</v>
      </c>
      <c r="C1217" s="148">
        <v>46507</v>
      </c>
      <c r="D1217">
        <v>21</v>
      </c>
      <c r="E1217">
        <v>21</v>
      </c>
      <c r="F1217">
        <v>837</v>
      </c>
      <c r="G1217">
        <f>Consulta2[[#This Row],[DIA_UTIL_CORRENTE]]</f>
        <v>21</v>
      </c>
      <c r="H1217" s="6">
        <f>DAY(Consulta2[[#This Row],[DATA]])</f>
        <v>30</v>
      </c>
      <c r="I1217" s="6">
        <f>MONTH(Consulta2[[#This Row],[DATA]])</f>
        <v>4</v>
      </c>
      <c r="J1217" t="str">
        <f>CONCATENATE(Consulta2[[#This Row],[SAFRA]],Consulta2[[#This Row],[dia]])</f>
        <v>20270430</v>
      </c>
      <c r="K1217">
        <f>Consulta2[[#This Row],[DIA_UTIL_CORRENTE]]</f>
        <v>21</v>
      </c>
    </row>
    <row r="1218" spans="1:11" x14ac:dyDescent="0.25">
      <c r="A1218">
        <v>202705</v>
      </c>
      <c r="B1218">
        <v>0</v>
      </c>
      <c r="C1218" s="148">
        <v>46508</v>
      </c>
      <c r="D1218">
        <v>20</v>
      </c>
      <c r="E1218">
        <v>20</v>
      </c>
      <c r="F1218">
        <v>837</v>
      </c>
      <c r="G1218">
        <f>Consulta2[[#This Row],[DIA_UTIL_CORRENTE]]</f>
        <v>0</v>
      </c>
      <c r="H1218" s="6">
        <f>DAY(Consulta2[[#This Row],[DATA]])</f>
        <v>1</v>
      </c>
      <c r="I1218" s="6">
        <f>MONTH(Consulta2[[#This Row],[DATA]])</f>
        <v>5</v>
      </c>
      <c r="J1218" t="str">
        <f>CONCATENATE(Consulta2[[#This Row],[SAFRA]],Consulta2[[#This Row],[dia]])</f>
        <v>2027051</v>
      </c>
      <c r="K1218">
        <f>Consulta2[[#This Row],[DIA_UTIL_CORRENTE]]</f>
        <v>0</v>
      </c>
    </row>
    <row r="1219" spans="1:11" x14ac:dyDescent="0.25">
      <c r="A1219">
        <v>202705</v>
      </c>
      <c r="B1219">
        <v>0</v>
      </c>
      <c r="C1219" s="148">
        <v>46509</v>
      </c>
      <c r="D1219">
        <v>20</v>
      </c>
      <c r="E1219">
        <v>20</v>
      </c>
      <c r="F1219">
        <v>837</v>
      </c>
      <c r="G1219">
        <f>Consulta2[[#This Row],[DIA_UTIL_CORRENTE]]</f>
        <v>0</v>
      </c>
      <c r="H1219" s="6">
        <f>DAY(Consulta2[[#This Row],[DATA]])</f>
        <v>2</v>
      </c>
      <c r="I1219" s="6">
        <f>MONTH(Consulta2[[#This Row],[DATA]])</f>
        <v>5</v>
      </c>
      <c r="J1219" t="str">
        <f>CONCATENATE(Consulta2[[#This Row],[SAFRA]],Consulta2[[#This Row],[dia]])</f>
        <v>2027052</v>
      </c>
      <c r="K1219">
        <f>Consulta2[[#This Row],[DIA_UTIL_CORRENTE]]</f>
        <v>0</v>
      </c>
    </row>
    <row r="1220" spans="1:11" x14ac:dyDescent="0.25">
      <c r="A1220">
        <v>202705</v>
      </c>
      <c r="B1220">
        <v>1</v>
      </c>
      <c r="C1220" s="148">
        <v>46510</v>
      </c>
      <c r="D1220">
        <v>20</v>
      </c>
      <c r="E1220">
        <v>20</v>
      </c>
      <c r="F1220">
        <v>838</v>
      </c>
      <c r="G1220">
        <f>Consulta2[[#This Row],[DIA_UTIL_CORRENTE]]</f>
        <v>1</v>
      </c>
      <c r="H1220" s="6">
        <f>DAY(Consulta2[[#This Row],[DATA]])</f>
        <v>3</v>
      </c>
      <c r="I1220" s="6">
        <f>MONTH(Consulta2[[#This Row],[DATA]])</f>
        <v>5</v>
      </c>
      <c r="J1220" t="str">
        <f>CONCATENATE(Consulta2[[#This Row],[SAFRA]],Consulta2[[#This Row],[dia]])</f>
        <v>2027053</v>
      </c>
      <c r="K1220">
        <f>Consulta2[[#This Row],[DIA_UTIL_CORRENTE]]</f>
        <v>1</v>
      </c>
    </row>
    <row r="1221" spans="1:11" x14ac:dyDescent="0.25">
      <c r="A1221">
        <v>202705</v>
      </c>
      <c r="B1221">
        <v>2</v>
      </c>
      <c r="C1221" s="148">
        <v>46511</v>
      </c>
      <c r="D1221">
        <v>20</v>
      </c>
      <c r="E1221">
        <v>20</v>
      </c>
      <c r="F1221">
        <v>839</v>
      </c>
      <c r="G1221">
        <f>Consulta2[[#This Row],[DIA_UTIL_CORRENTE]]</f>
        <v>2</v>
      </c>
      <c r="H1221" s="6">
        <f>DAY(Consulta2[[#This Row],[DATA]])</f>
        <v>4</v>
      </c>
      <c r="I1221" s="6">
        <f>MONTH(Consulta2[[#This Row],[DATA]])</f>
        <v>5</v>
      </c>
      <c r="J1221" t="str">
        <f>CONCATENATE(Consulta2[[#This Row],[SAFRA]],Consulta2[[#This Row],[dia]])</f>
        <v>2027054</v>
      </c>
      <c r="K1221">
        <f>Consulta2[[#This Row],[DIA_UTIL_CORRENTE]]</f>
        <v>2</v>
      </c>
    </row>
    <row r="1222" spans="1:11" x14ac:dyDescent="0.25">
      <c r="A1222">
        <v>202705</v>
      </c>
      <c r="B1222">
        <v>3</v>
      </c>
      <c r="C1222" s="148">
        <v>46512</v>
      </c>
      <c r="D1222">
        <v>20</v>
      </c>
      <c r="E1222">
        <v>20</v>
      </c>
      <c r="F1222">
        <v>840</v>
      </c>
      <c r="G1222">
        <f>Consulta2[[#This Row],[DIA_UTIL_CORRENTE]]</f>
        <v>3</v>
      </c>
      <c r="H1222" s="6">
        <f>DAY(Consulta2[[#This Row],[DATA]])</f>
        <v>5</v>
      </c>
      <c r="I1222" s="6">
        <f>MONTH(Consulta2[[#This Row],[DATA]])</f>
        <v>5</v>
      </c>
      <c r="J1222" t="str">
        <f>CONCATENATE(Consulta2[[#This Row],[SAFRA]],Consulta2[[#This Row],[dia]])</f>
        <v>2027055</v>
      </c>
      <c r="K1222">
        <f>Consulta2[[#This Row],[DIA_UTIL_CORRENTE]]</f>
        <v>3</v>
      </c>
    </row>
    <row r="1223" spans="1:11" x14ac:dyDescent="0.25">
      <c r="A1223">
        <v>202705</v>
      </c>
      <c r="B1223">
        <v>4</v>
      </c>
      <c r="C1223" s="148">
        <v>46513</v>
      </c>
      <c r="D1223">
        <v>20</v>
      </c>
      <c r="E1223">
        <v>20</v>
      </c>
      <c r="F1223">
        <v>841</v>
      </c>
      <c r="G1223">
        <f>Consulta2[[#This Row],[DIA_UTIL_CORRENTE]]</f>
        <v>4</v>
      </c>
      <c r="H1223" s="6">
        <f>DAY(Consulta2[[#This Row],[DATA]])</f>
        <v>6</v>
      </c>
      <c r="I1223" s="6">
        <f>MONTH(Consulta2[[#This Row],[DATA]])</f>
        <v>5</v>
      </c>
      <c r="J1223" t="str">
        <f>CONCATENATE(Consulta2[[#This Row],[SAFRA]],Consulta2[[#This Row],[dia]])</f>
        <v>2027056</v>
      </c>
      <c r="K1223">
        <f>Consulta2[[#This Row],[DIA_UTIL_CORRENTE]]</f>
        <v>4</v>
      </c>
    </row>
    <row r="1224" spans="1:11" x14ac:dyDescent="0.25">
      <c r="A1224">
        <v>202705</v>
      </c>
      <c r="B1224">
        <v>5</v>
      </c>
      <c r="C1224" s="148">
        <v>46514</v>
      </c>
      <c r="D1224">
        <v>20</v>
      </c>
      <c r="E1224">
        <v>20</v>
      </c>
      <c r="F1224">
        <v>842</v>
      </c>
      <c r="G1224">
        <f>Consulta2[[#This Row],[DIA_UTIL_CORRENTE]]</f>
        <v>5</v>
      </c>
      <c r="H1224" s="6">
        <f>DAY(Consulta2[[#This Row],[DATA]])</f>
        <v>7</v>
      </c>
      <c r="I1224" s="6">
        <f>MONTH(Consulta2[[#This Row],[DATA]])</f>
        <v>5</v>
      </c>
      <c r="J1224" t="str">
        <f>CONCATENATE(Consulta2[[#This Row],[SAFRA]],Consulta2[[#This Row],[dia]])</f>
        <v>2027057</v>
      </c>
      <c r="K1224">
        <f>Consulta2[[#This Row],[DIA_UTIL_CORRENTE]]</f>
        <v>5</v>
      </c>
    </row>
    <row r="1225" spans="1:11" x14ac:dyDescent="0.25">
      <c r="A1225">
        <v>202705</v>
      </c>
      <c r="B1225">
        <v>5</v>
      </c>
      <c r="C1225" s="148">
        <v>46515</v>
      </c>
      <c r="D1225">
        <v>20</v>
      </c>
      <c r="E1225">
        <v>20</v>
      </c>
      <c r="F1225">
        <v>842</v>
      </c>
      <c r="G1225">
        <f>Consulta2[[#This Row],[DIA_UTIL_CORRENTE]]</f>
        <v>5</v>
      </c>
      <c r="H1225" s="6">
        <f>DAY(Consulta2[[#This Row],[DATA]])</f>
        <v>8</v>
      </c>
      <c r="I1225" s="6">
        <f>MONTH(Consulta2[[#This Row],[DATA]])</f>
        <v>5</v>
      </c>
      <c r="J1225" t="str">
        <f>CONCATENATE(Consulta2[[#This Row],[SAFRA]],Consulta2[[#This Row],[dia]])</f>
        <v>2027058</v>
      </c>
      <c r="K1225">
        <f>Consulta2[[#This Row],[DIA_UTIL_CORRENTE]]</f>
        <v>5</v>
      </c>
    </row>
    <row r="1226" spans="1:11" x14ac:dyDescent="0.25">
      <c r="A1226">
        <v>202705</v>
      </c>
      <c r="B1226">
        <v>5</v>
      </c>
      <c r="C1226" s="148">
        <v>46516</v>
      </c>
      <c r="D1226">
        <v>20</v>
      </c>
      <c r="E1226">
        <v>20</v>
      </c>
      <c r="F1226">
        <v>842</v>
      </c>
      <c r="G1226">
        <f>Consulta2[[#This Row],[DIA_UTIL_CORRENTE]]</f>
        <v>5</v>
      </c>
      <c r="H1226" s="6">
        <f>DAY(Consulta2[[#This Row],[DATA]])</f>
        <v>9</v>
      </c>
      <c r="I1226" s="6">
        <f>MONTH(Consulta2[[#This Row],[DATA]])</f>
        <v>5</v>
      </c>
      <c r="J1226" t="str">
        <f>CONCATENATE(Consulta2[[#This Row],[SAFRA]],Consulta2[[#This Row],[dia]])</f>
        <v>2027059</v>
      </c>
      <c r="K1226">
        <f>Consulta2[[#This Row],[DIA_UTIL_CORRENTE]]</f>
        <v>5</v>
      </c>
    </row>
    <row r="1227" spans="1:11" x14ac:dyDescent="0.25">
      <c r="A1227">
        <v>202705</v>
      </c>
      <c r="B1227">
        <v>6</v>
      </c>
      <c r="C1227" s="148">
        <v>46517</v>
      </c>
      <c r="D1227">
        <v>20</v>
      </c>
      <c r="E1227">
        <v>20</v>
      </c>
      <c r="F1227">
        <v>843</v>
      </c>
      <c r="G1227">
        <f>Consulta2[[#This Row],[DIA_UTIL_CORRENTE]]</f>
        <v>6</v>
      </c>
      <c r="H1227" s="6">
        <f>DAY(Consulta2[[#This Row],[DATA]])</f>
        <v>10</v>
      </c>
      <c r="I1227" s="6">
        <f>MONTH(Consulta2[[#This Row],[DATA]])</f>
        <v>5</v>
      </c>
      <c r="J1227" t="str">
        <f>CONCATENATE(Consulta2[[#This Row],[SAFRA]],Consulta2[[#This Row],[dia]])</f>
        <v>20270510</v>
      </c>
      <c r="K1227">
        <f>Consulta2[[#This Row],[DIA_UTIL_CORRENTE]]</f>
        <v>6</v>
      </c>
    </row>
    <row r="1228" spans="1:11" x14ac:dyDescent="0.25">
      <c r="A1228">
        <v>202705</v>
      </c>
      <c r="B1228">
        <v>7</v>
      </c>
      <c r="C1228" s="148">
        <v>46518</v>
      </c>
      <c r="D1228">
        <v>20</v>
      </c>
      <c r="E1228">
        <v>20</v>
      </c>
      <c r="F1228">
        <v>844</v>
      </c>
      <c r="G1228">
        <f>Consulta2[[#This Row],[DIA_UTIL_CORRENTE]]</f>
        <v>7</v>
      </c>
      <c r="H1228" s="6">
        <f>DAY(Consulta2[[#This Row],[DATA]])</f>
        <v>11</v>
      </c>
      <c r="I1228" s="6">
        <f>MONTH(Consulta2[[#This Row],[DATA]])</f>
        <v>5</v>
      </c>
      <c r="J1228" t="str">
        <f>CONCATENATE(Consulta2[[#This Row],[SAFRA]],Consulta2[[#This Row],[dia]])</f>
        <v>20270511</v>
      </c>
      <c r="K1228">
        <f>Consulta2[[#This Row],[DIA_UTIL_CORRENTE]]</f>
        <v>7</v>
      </c>
    </row>
    <row r="1229" spans="1:11" x14ac:dyDescent="0.25">
      <c r="A1229">
        <v>202705</v>
      </c>
      <c r="B1229">
        <v>8</v>
      </c>
      <c r="C1229" s="148">
        <v>46519</v>
      </c>
      <c r="D1229">
        <v>20</v>
      </c>
      <c r="E1229">
        <v>20</v>
      </c>
      <c r="F1229">
        <v>845</v>
      </c>
      <c r="G1229">
        <f>Consulta2[[#This Row],[DIA_UTIL_CORRENTE]]</f>
        <v>8</v>
      </c>
      <c r="H1229" s="6">
        <f>DAY(Consulta2[[#This Row],[DATA]])</f>
        <v>12</v>
      </c>
      <c r="I1229" s="6">
        <f>MONTH(Consulta2[[#This Row],[DATA]])</f>
        <v>5</v>
      </c>
      <c r="J1229" t="str">
        <f>CONCATENATE(Consulta2[[#This Row],[SAFRA]],Consulta2[[#This Row],[dia]])</f>
        <v>20270512</v>
      </c>
      <c r="K1229">
        <f>Consulta2[[#This Row],[DIA_UTIL_CORRENTE]]</f>
        <v>8</v>
      </c>
    </row>
    <row r="1230" spans="1:11" x14ac:dyDescent="0.25">
      <c r="A1230">
        <v>202705</v>
      </c>
      <c r="B1230">
        <v>9</v>
      </c>
      <c r="C1230" s="148">
        <v>46520</v>
      </c>
      <c r="D1230">
        <v>20</v>
      </c>
      <c r="E1230">
        <v>20</v>
      </c>
      <c r="F1230">
        <v>846</v>
      </c>
      <c r="G1230">
        <f>Consulta2[[#This Row],[DIA_UTIL_CORRENTE]]</f>
        <v>9</v>
      </c>
      <c r="H1230" s="6">
        <f>DAY(Consulta2[[#This Row],[DATA]])</f>
        <v>13</v>
      </c>
      <c r="I1230" s="6">
        <f>MONTH(Consulta2[[#This Row],[DATA]])</f>
        <v>5</v>
      </c>
      <c r="J1230" t="str">
        <f>CONCATENATE(Consulta2[[#This Row],[SAFRA]],Consulta2[[#This Row],[dia]])</f>
        <v>20270513</v>
      </c>
      <c r="K1230">
        <f>Consulta2[[#This Row],[DIA_UTIL_CORRENTE]]</f>
        <v>9</v>
      </c>
    </row>
    <row r="1231" spans="1:11" x14ac:dyDescent="0.25">
      <c r="A1231">
        <v>202705</v>
      </c>
      <c r="B1231">
        <v>10</v>
      </c>
      <c r="C1231" s="148">
        <v>46521</v>
      </c>
      <c r="D1231">
        <v>20</v>
      </c>
      <c r="E1231">
        <v>20</v>
      </c>
      <c r="F1231">
        <v>847</v>
      </c>
      <c r="G1231">
        <f>Consulta2[[#This Row],[DIA_UTIL_CORRENTE]]</f>
        <v>10</v>
      </c>
      <c r="H1231" s="6">
        <f>DAY(Consulta2[[#This Row],[DATA]])</f>
        <v>14</v>
      </c>
      <c r="I1231" s="6">
        <f>MONTH(Consulta2[[#This Row],[DATA]])</f>
        <v>5</v>
      </c>
      <c r="J1231" t="str">
        <f>CONCATENATE(Consulta2[[#This Row],[SAFRA]],Consulta2[[#This Row],[dia]])</f>
        <v>20270514</v>
      </c>
      <c r="K1231">
        <f>Consulta2[[#This Row],[DIA_UTIL_CORRENTE]]</f>
        <v>10</v>
      </c>
    </row>
    <row r="1232" spans="1:11" x14ac:dyDescent="0.25">
      <c r="A1232">
        <v>202705</v>
      </c>
      <c r="B1232">
        <v>10</v>
      </c>
      <c r="C1232" s="148">
        <v>46522</v>
      </c>
      <c r="D1232">
        <v>20</v>
      </c>
      <c r="E1232">
        <v>20</v>
      </c>
      <c r="F1232">
        <v>847</v>
      </c>
      <c r="G1232">
        <f>Consulta2[[#This Row],[DIA_UTIL_CORRENTE]]</f>
        <v>10</v>
      </c>
      <c r="H1232" s="6">
        <f>DAY(Consulta2[[#This Row],[DATA]])</f>
        <v>15</v>
      </c>
      <c r="I1232" s="6">
        <f>MONTH(Consulta2[[#This Row],[DATA]])</f>
        <v>5</v>
      </c>
      <c r="J1232" t="str">
        <f>CONCATENATE(Consulta2[[#This Row],[SAFRA]],Consulta2[[#This Row],[dia]])</f>
        <v>20270515</v>
      </c>
      <c r="K1232">
        <f>Consulta2[[#This Row],[DIA_UTIL_CORRENTE]]</f>
        <v>10</v>
      </c>
    </row>
    <row r="1233" spans="1:11" x14ac:dyDescent="0.25">
      <c r="A1233">
        <v>202705</v>
      </c>
      <c r="B1233">
        <v>10</v>
      </c>
      <c r="C1233" s="148">
        <v>46523</v>
      </c>
      <c r="D1233">
        <v>20</v>
      </c>
      <c r="E1233">
        <v>20</v>
      </c>
      <c r="F1233">
        <v>847</v>
      </c>
      <c r="G1233">
        <f>Consulta2[[#This Row],[DIA_UTIL_CORRENTE]]</f>
        <v>10</v>
      </c>
      <c r="H1233" s="6">
        <f>DAY(Consulta2[[#This Row],[DATA]])</f>
        <v>16</v>
      </c>
      <c r="I1233" s="6">
        <f>MONTH(Consulta2[[#This Row],[DATA]])</f>
        <v>5</v>
      </c>
      <c r="J1233" t="str">
        <f>CONCATENATE(Consulta2[[#This Row],[SAFRA]],Consulta2[[#This Row],[dia]])</f>
        <v>20270516</v>
      </c>
      <c r="K1233">
        <f>Consulta2[[#This Row],[DIA_UTIL_CORRENTE]]</f>
        <v>10</v>
      </c>
    </row>
    <row r="1234" spans="1:11" x14ac:dyDescent="0.25">
      <c r="A1234">
        <v>202705</v>
      </c>
      <c r="B1234">
        <v>11</v>
      </c>
      <c r="C1234" s="148">
        <v>46524</v>
      </c>
      <c r="D1234">
        <v>20</v>
      </c>
      <c r="E1234">
        <v>20</v>
      </c>
      <c r="F1234">
        <v>848</v>
      </c>
      <c r="G1234">
        <f>Consulta2[[#This Row],[DIA_UTIL_CORRENTE]]</f>
        <v>11</v>
      </c>
      <c r="H1234" s="6">
        <f>DAY(Consulta2[[#This Row],[DATA]])</f>
        <v>17</v>
      </c>
      <c r="I1234" s="6">
        <f>MONTH(Consulta2[[#This Row],[DATA]])</f>
        <v>5</v>
      </c>
      <c r="J1234" t="str">
        <f>CONCATENATE(Consulta2[[#This Row],[SAFRA]],Consulta2[[#This Row],[dia]])</f>
        <v>20270517</v>
      </c>
      <c r="K1234">
        <f>Consulta2[[#This Row],[DIA_UTIL_CORRENTE]]</f>
        <v>11</v>
      </c>
    </row>
    <row r="1235" spans="1:11" x14ac:dyDescent="0.25">
      <c r="A1235">
        <v>202705</v>
      </c>
      <c r="B1235">
        <v>12</v>
      </c>
      <c r="C1235" s="148">
        <v>46525</v>
      </c>
      <c r="D1235">
        <v>20</v>
      </c>
      <c r="E1235">
        <v>20</v>
      </c>
      <c r="F1235">
        <v>849</v>
      </c>
      <c r="G1235">
        <f>Consulta2[[#This Row],[DIA_UTIL_CORRENTE]]</f>
        <v>12</v>
      </c>
      <c r="H1235" s="6">
        <f>DAY(Consulta2[[#This Row],[DATA]])</f>
        <v>18</v>
      </c>
      <c r="I1235" s="6">
        <f>MONTH(Consulta2[[#This Row],[DATA]])</f>
        <v>5</v>
      </c>
      <c r="J1235" t="str">
        <f>CONCATENATE(Consulta2[[#This Row],[SAFRA]],Consulta2[[#This Row],[dia]])</f>
        <v>20270518</v>
      </c>
      <c r="K1235">
        <f>Consulta2[[#This Row],[DIA_UTIL_CORRENTE]]</f>
        <v>12</v>
      </c>
    </row>
    <row r="1236" spans="1:11" x14ac:dyDescent="0.25">
      <c r="A1236">
        <v>202705</v>
      </c>
      <c r="B1236">
        <v>13</v>
      </c>
      <c r="C1236" s="148">
        <v>46526</v>
      </c>
      <c r="D1236">
        <v>20</v>
      </c>
      <c r="E1236">
        <v>20</v>
      </c>
      <c r="F1236">
        <v>850</v>
      </c>
      <c r="G1236">
        <f>Consulta2[[#This Row],[DIA_UTIL_CORRENTE]]</f>
        <v>13</v>
      </c>
      <c r="H1236" s="6">
        <f>DAY(Consulta2[[#This Row],[DATA]])</f>
        <v>19</v>
      </c>
      <c r="I1236" s="6">
        <f>MONTH(Consulta2[[#This Row],[DATA]])</f>
        <v>5</v>
      </c>
      <c r="J1236" t="str">
        <f>CONCATENATE(Consulta2[[#This Row],[SAFRA]],Consulta2[[#This Row],[dia]])</f>
        <v>20270519</v>
      </c>
      <c r="K1236">
        <f>Consulta2[[#This Row],[DIA_UTIL_CORRENTE]]</f>
        <v>13</v>
      </c>
    </row>
    <row r="1237" spans="1:11" x14ac:dyDescent="0.25">
      <c r="A1237">
        <v>202705</v>
      </c>
      <c r="B1237">
        <v>14</v>
      </c>
      <c r="C1237" s="148">
        <v>46527</v>
      </c>
      <c r="D1237">
        <v>20</v>
      </c>
      <c r="E1237">
        <v>20</v>
      </c>
      <c r="F1237">
        <v>851</v>
      </c>
      <c r="G1237">
        <f>Consulta2[[#This Row],[DIA_UTIL_CORRENTE]]</f>
        <v>14</v>
      </c>
      <c r="H1237" s="6">
        <f>DAY(Consulta2[[#This Row],[DATA]])</f>
        <v>20</v>
      </c>
      <c r="I1237" s="6">
        <f>MONTH(Consulta2[[#This Row],[DATA]])</f>
        <v>5</v>
      </c>
      <c r="J1237" t="str">
        <f>CONCATENATE(Consulta2[[#This Row],[SAFRA]],Consulta2[[#This Row],[dia]])</f>
        <v>20270520</v>
      </c>
      <c r="K1237">
        <f>Consulta2[[#This Row],[DIA_UTIL_CORRENTE]]</f>
        <v>14</v>
      </c>
    </row>
    <row r="1238" spans="1:11" x14ac:dyDescent="0.25">
      <c r="A1238">
        <v>202705</v>
      </c>
      <c r="B1238">
        <v>15</v>
      </c>
      <c r="C1238" s="148">
        <v>46528</v>
      </c>
      <c r="D1238">
        <v>20</v>
      </c>
      <c r="E1238">
        <v>20</v>
      </c>
      <c r="F1238">
        <v>852</v>
      </c>
      <c r="G1238">
        <f>Consulta2[[#This Row],[DIA_UTIL_CORRENTE]]</f>
        <v>15</v>
      </c>
      <c r="H1238" s="6">
        <f>DAY(Consulta2[[#This Row],[DATA]])</f>
        <v>21</v>
      </c>
      <c r="I1238" s="6">
        <f>MONTH(Consulta2[[#This Row],[DATA]])</f>
        <v>5</v>
      </c>
      <c r="J1238" t="str">
        <f>CONCATENATE(Consulta2[[#This Row],[SAFRA]],Consulta2[[#This Row],[dia]])</f>
        <v>20270521</v>
      </c>
      <c r="K1238">
        <f>Consulta2[[#This Row],[DIA_UTIL_CORRENTE]]</f>
        <v>15</v>
      </c>
    </row>
    <row r="1239" spans="1:11" x14ac:dyDescent="0.25">
      <c r="A1239">
        <v>202705</v>
      </c>
      <c r="B1239">
        <v>15</v>
      </c>
      <c r="C1239" s="148">
        <v>46529</v>
      </c>
      <c r="D1239">
        <v>20</v>
      </c>
      <c r="E1239">
        <v>20</v>
      </c>
      <c r="F1239">
        <v>852</v>
      </c>
      <c r="G1239">
        <f>Consulta2[[#This Row],[DIA_UTIL_CORRENTE]]</f>
        <v>15</v>
      </c>
      <c r="H1239" s="6">
        <f>DAY(Consulta2[[#This Row],[DATA]])</f>
        <v>22</v>
      </c>
      <c r="I1239" s="6">
        <f>MONTH(Consulta2[[#This Row],[DATA]])</f>
        <v>5</v>
      </c>
      <c r="J1239" t="str">
        <f>CONCATENATE(Consulta2[[#This Row],[SAFRA]],Consulta2[[#This Row],[dia]])</f>
        <v>20270522</v>
      </c>
      <c r="K1239">
        <f>Consulta2[[#This Row],[DIA_UTIL_CORRENTE]]</f>
        <v>15</v>
      </c>
    </row>
    <row r="1240" spans="1:11" x14ac:dyDescent="0.25">
      <c r="A1240">
        <v>202705</v>
      </c>
      <c r="B1240">
        <v>15</v>
      </c>
      <c r="C1240" s="148">
        <v>46530</v>
      </c>
      <c r="D1240">
        <v>20</v>
      </c>
      <c r="E1240">
        <v>20</v>
      </c>
      <c r="F1240">
        <v>852</v>
      </c>
      <c r="G1240">
        <f>Consulta2[[#This Row],[DIA_UTIL_CORRENTE]]</f>
        <v>15</v>
      </c>
      <c r="H1240" s="6">
        <f>DAY(Consulta2[[#This Row],[DATA]])</f>
        <v>23</v>
      </c>
      <c r="I1240" s="6">
        <f>MONTH(Consulta2[[#This Row],[DATA]])</f>
        <v>5</v>
      </c>
      <c r="J1240" t="str">
        <f>CONCATENATE(Consulta2[[#This Row],[SAFRA]],Consulta2[[#This Row],[dia]])</f>
        <v>20270523</v>
      </c>
      <c r="K1240">
        <f>Consulta2[[#This Row],[DIA_UTIL_CORRENTE]]</f>
        <v>15</v>
      </c>
    </row>
    <row r="1241" spans="1:11" x14ac:dyDescent="0.25">
      <c r="A1241">
        <v>202705</v>
      </c>
      <c r="B1241">
        <v>16</v>
      </c>
      <c r="C1241" s="148">
        <v>46531</v>
      </c>
      <c r="D1241">
        <v>20</v>
      </c>
      <c r="E1241">
        <v>20</v>
      </c>
      <c r="F1241">
        <v>853</v>
      </c>
      <c r="G1241">
        <f>Consulta2[[#This Row],[DIA_UTIL_CORRENTE]]</f>
        <v>16</v>
      </c>
      <c r="H1241" s="6">
        <f>DAY(Consulta2[[#This Row],[DATA]])</f>
        <v>24</v>
      </c>
      <c r="I1241" s="6">
        <f>MONTH(Consulta2[[#This Row],[DATA]])</f>
        <v>5</v>
      </c>
      <c r="J1241" t="str">
        <f>CONCATENATE(Consulta2[[#This Row],[SAFRA]],Consulta2[[#This Row],[dia]])</f>
        <v>20270524</v>
      </c>
      <c r="K1241">
        <f>Consulta2[[#This Row],[DIA_UTIL_CORRENTE]]</f>
        <v>16</v>
      </c>
    </row>
    <row r="1242" spans="1:11" x14ac:dyDescent="0.25">
      <c r="A1242">
        <v>202705</v>
      </c>
      <c r="B1242">
        <v>17</v>
      </c>
      <c r="C1242" s="148">
        <v>46532</v>
      </c>
      <c r="D1242">
        <v>20</v>
      </c>
      <c r="E1242">
        <v>20</v>
      </c>
      <c r="F1242">
        <v>854</v>
      </c>
      <c r="G1242">
        <f>Consulta2[[#This Row],[DIA_UTIL_CORRENTE]]</f>
        <v>17</v>
      </c>
      <c r="H1242" s="6">
        <f>DAY(Consulta2[[#This Row],[DATA]])</f>
        <v>25</v>
      </c>
      <c r="I1242" s="6">
        <f>MONTH(Consulta2[[#This Row],[DATA]])</f>
        <v>5</v>
      </c>
      <c r="J1242" t="str">
        <f>CONCATENATE(Consulta2[[#This Row],[SAFRA]],Consulta2[[#This Row],[dia]])</f>
        <v>20270525</v>
      </c>
      <c r="K1242">
        <f>Consulta2[[#This Row],[DIA_UTIL_CORRENTE]]</f>
        <v>17</v>
      </c>
    </row>
    <row r="1243" spans="1:11" x14ac:dyDescent="0.25">
      <c r="A1243">
        <v>202705</v>
      </c>
      <c r="B1243">
        <v>18</v>
      </c>
      <c r="C1243" s="148">
        <v>46533</v>
      </c>
      <c r="D1243">
        <v>20</v>
      </c>
      <c r="E1243">
        <v>20</v>
      </c>
      <c r="F1243">
        <v>855</v>
      </c>
      <c r="G1243">
        <f>Consulta2[[#This Row],[DIA_UTIL_CORRENTE]]</f>
        <v>18</v>
      </c>
      <c r="H1243" s="6">
        <f>DAY(Consulta2[[#This Row],[DATA]])</f>
        <v>26</v>
      </c>
      <c r="I1243" s="6">
        <f>MONTH(Consulta2[[#This Row],[DATA]])</f>
        <v>5</v>
      </c>
      <c r="J1243" t="str">
        <f>CONCATENATE(Consulta2[[#This Row],[SAFRA]],Consulta2[[#This Row],[dia]])</f>
        <v>20270526</v>
      </c>
      <c r="K1243">
        <f>Consulta2[[#This Row],[DIA_UTIL_CORRENTE]]</f>
        <v>18</v>
      </c>
    </row>
    <row r="1244" spans="1:11" x14ac:dyDescent="0.25">
      <c r="A1244">
        <v>202705</v>
      </c>
      <c r="B1244">
        <v>18</v>
      </c>
      <c r="C1244" s="148">
        <v>46534</v>
      </c>
      <c r="D1244">
        <v>20</v>
      </c>
      <c r="E1244">
        <v>20</v>
      </c>
      <c r="F1244">
        <v>855</v>
      </c>
      <c r="G1244">
        <f>Consulta2[[#This Row],[DIA_UTIL_CORRENTE]]</f>
        <v>18</v>
      </c>
      <c r="H1244" s="6">
        <f>DAY(Consulta2[[#This Row],[DATA]])</f>
        <v>27</v>
      </c>
      <c r="I1244" s="6">
        <f>MONTH(Consulta2[[#This Row],[DATA]])</f>
        <v>5</v>
      </c>
      <c r="J1244" t="str">
        <f>CONCATENATE(Consulta2[[#This Row],[SAFRA]],Consulta2[[#This Row],[dia]])</f>
        <v>20270527</v>
      </c>
      <c r="K1244">
        <f>Consulta2[[#This Row],[DIA_UTIL_CORRENTE]]</f>
        <v>18</v>
      </c>
    </row>
    <row r="1245" spans="1:11" x14ac:dyDescent="0.25">
      <c r="A1245">
        <v>202705</v>
      </c>
      <c r="B1245">
        <v>19</v>
      </c>
      <c r="C1245" s="148">
        <v>46535</v>
      </c>
      <c r="D1245">
        <v>20</v>
      </c>
      <c r="E1245">
        <v>20</v>
      </c>
      <c r="F1245">
        <v>856</v>
      </c>
      <c r="G1245">
        <f>Consulta2[[#This Row],[DIA_UTIL_CORRENTE]]</f>
        <v>19</v>
      </c>
      <c r="H1245" s="6">
        <f>DAY(Consulta2[[#This Row],[DATA]])</f>
        <v>28</v>
      </c>
      <c r="I1245" s="6">
        <f>MONTH(Consulta2[[#This Row],[DATA]])</f>
        <v>5</v>
      </c>
      <c r="J1245" t="str">
        <f>CONCATENATE(Consulta2[[#This Row],[SAFRA]],Consulta2[[#This Row],[dia]])</f>
        <v>20270528</v>
      </c>
      <c r="K1245">
        <f>Consulta2[[#This Row],[DIA_UTIL_CORRENTE]]</f>
        <v>19</v>
      </c>
    </row>
    <row r="1246" spans="1:11" x14ac:dyDescent="0.25">
      <c r="A1246">
        <v>202705</v>
      </c>
      <c r="B1246">
        <v>19</v>
      </c>
      <c r="C1246" s="148">
        <v>46536</v>
      </c>
      <c r="D1246">
        <v>20</v>
      </c>
      <c r="E1246">
        <v>20</v>
      </c>
      <c r="F1246">
        <v>856</v>
      </c>
      <c r="G1246">
        <f>Consulta2[[#This Row],[DIA_UTIL_CORRENTE]]</f>
        <v>19</v>
      </c>
      <c r="H1246" s="6">
        <f>DAY(Consulta2[[#This Row],[DATA]])</f>
        <v>29</v>
      </c>
      <c r="I1246" s="6">
        <f>MONTH(Consulta2[[#This Row],[DATA]])</f>
        <v>5</v>
      </c>
      <c r="J1246" t="str">
        <f>CONCATENATE(Consulta2[[#This Row],[SAFRA]],Consulta2[[#This Row],[dia]])</f>
        <v>20270529</v>
      </c>
      <c r="K1246">
        <f>Consulta2[[#This Row],[DIA_UTIL_CORRENTE]]</f>
        <v>19</v>
      </c>
    </row>
    <row r="1247" spans="1:11" x14ac:dyDescent="0.25">
      <c r="A1247">
        <v>202705</v>
      </c>
      <c r="B1247">
        <v>19</v>
      </c>
      <c r="C1247" s="148">
        <v>46537</v>
      </c>
      <c r="D1247">
        <v>20</v>
      </c>
      <c r="E1247">
        <v>20</v>
      </c>
      <c r="F1247">
        <v>856</v>
      </c>
      <c r="G1247">
        <f>Consulta2[[#This Row],[DIA_UTIL_CORRENTE]]</f>
        <v>19</v>
      </c>
      <c r="H1247" s="6">
        <f>DAY(Consulta2[[#This Row],[DATA]])</f>
        <v>30</v>
      </c>
      <c r="I1247" s="6">
        <f>MONTH(Consulta2[[#This Row],[DATA]])</f>
        <v>5</v>
      </c>
      <c r="J1247" t="str">
        <f>CONCATENATE(Consulta2[[#This Row],[SAFRA]],Consulta2[[#This Row],[dia]])</f>
        <v>20270530</v>
      </c>
      <c r="K1247">
        <f>Consulta2[[#This Row],[DIA_UTIL_CORRENTE]]</f>
        <v>19</v>
      </c>
    </row>
    <row r="1248" spans="1:11" x14ac:dyDescent="0.25">
      <c r="A1248">
        <v>202705</v>
      </c>
      <c r="B1248">
        <v>20</v>
      </c>
      <c r="C1248" s="148">
        <v>46538</v>
      </c>
      <c r="D1248">
        <v>20</v>
      </c>
      <c r="E1248">
        <v>20</v>
      </c>
      <c r="F1248">
        <v>857</v>
      </c>
      <c r="G1248">
        <f>Consulta2[[#This Row],[DIA_UTIL_CORRENTE]]</f>
        <v>20</v>
      </c>
      <c r="H1248" s="6">
        <f>DAY(Consulta2[[#This Row],[DATA]])</f>
        <v>31</v>
      </c>
      <c r="I1248" s="6">
        <f>MONTH(Consulta2[[#This Row],[DATA]])</f>
        <v>5</v>
      </c>
      <c r="J1248" t="str">
        <f>CONCATENATE(Consulta2[[#This Row],[SAFRA]],Consulta2[[#This Row],[dia]])</f>
        <v>20270531</v>
      </c>
      <c r="K1248">
        <f>Consulta2[[#This Row],[DIA_UTIL_CORRENTE]]</f>
        <v>20</v>
      </c>
    </row>
    <row r="1249" spans="1:11" x14ac:dyDescent="0.25">
      <c r="A1249">
        <v>202706</v>
      </c>
      <c r="B1249">
        <v>1</v>
      </c>
      <c r="C1249" s="148">
        <v>46539</v>
      </c>
      <c r="D1249">
        <v>22</v>
      </c>
      <c r="E1249">
        <v>22</v>
      </c>
      <c r="F1249">
        <v>858</v>
      </c>
      <c r="G1249">
        <f>Consulta2[[#This Row],[DIA_UTIL_CORRENTE]]</f>
        <v>1</v>
      </c>
      <c r="H1249" s="6">
        <f>DAY(Consulta2[[#This Row],[DATA]])</f>
        <v>1</v>
      </c>
      <c r="I1249" s="6">
        <f>MONTH(Consulta2[[#This Row],[DATA]])</f>
        <v>6</v>
      </c>
      <c r="J1249" t="str">
        <f>CONCATENATE(Consulta2[[#This Row],[SAFRA]],Consulta2[[#This Row],[dia]])</f>
        <v>2027061</v>
      </c>
      <c r="K1249">
        <f>Consulta2[[#This Row],[DIA_UTIL_CORRENTE]]</f>
        <v>1</v>
      </c>
    </row>
    <row r="1250" spans="1:11" x14ac:dyDescent="0.25">
      <c r="A1250">
        <v>202706</v>
      </c>
      <c r="B1250">
        <v>2</v>
      </c>
      <c r="C1250" s="148">
        <v>46540</v>
      </c>
      <c r="D1250">
        <v>22</v>
      </c>
      <c r="E1250">
        <v>22</v>
      </c>
      <c r="F1250">
        <v>859</v>
      </c>
      <c r="G1250">
        <f>Consulta2[[#This Row],[DIA_UTIL_CORRENTE]]</f>
        <v>2</v>
      </c>
      <c r="H1250" s="6">
        <f>DAY(Consulta2[[#This Row],[DATA]])</f>
        <v>2</v>
      </c>
      <c r="I1250" s="6">
        <f>MONTH(Consulta2[[#This Row],[DATA]])</f>
        <v>6</v>
      </c>
      <c r="J1250" t="str">
        <f>CONCATENATE(Consulta2[[#This Row],[SAFRA]],Consulta2[[#This Row],[dia]])</f>
        <v>2027062</v>
      </c>
      <c r="K1250">
        <f>Consulta2[[#This Row],[DIA_UTIL_CORRENTE]]</f>
        <v>2</v>
      </c>
    </row>
    <row r="1251" spans="1:11" x14ac:dyDescent="0.25">
      <c r="A1251">
        <v>202706</v>
      </c>
      <c r="B1251">
        <v>3</v>
      </c>
      <c r="C1251" s="148">
        <v>46541</v>
      </c>
      <c r="D1251">
        <v>22</v>
      </c>
      <c r="E1251">
        <v>22</v>
      </c>
      <c r="F1251">
        <v>860</v>
      </c>
      <c r="G1251">
        <f>Consulta2[[#This Row],[DIA_UTIL_CORRENTE]]</f>
        <v>3</v>
      </c>
      <c r="H1251" s="6">
        <f>DAY(Consulta2[[#This Row],[DATA]])</f>
        <v>3</v>
      </c>
      <c r="I1251" s="6">
        <f>MONTH(Consulta2[[#This Row],[DATA]])</f>
        <v>6</v>
      </c>
      <c r="J1251" t="str">
        <f>CONCATENATE(Consulta2[[#This Row],[SAFRA]],Consulta2[[#This Row],[dia]])</f>
        <v>2027063</v>
      </c>
      <c r="K1251">
        <f>Consulta2[[#This Row],[DIA_UTIL_CORRENTE]]</f>
        <v>3</v>
      </c>
    </row>
    <row r="1252" spans="1:11" x14ac:dyDescent="0.25">
      <c r="A1252">
        <v>202706</v>
      </c>
      <c r="B1252">
        <v>4</v>
      </c>
      <c r="C1252" s="148">
        <v>46542</v>
      </c>
      <c r="D1252">
        <v>22</v>
      </c>
      <c r="E1252">
        <v>22</v>
      </c>
      <c r="F1252">
        <v>861</v>
      </c>
      <c r="G1252">
        <f>Consulta2[[#This Row],[DIA_UTIL_CORRENTE]]</f>
        <v>4</v>
      </c>
      <c r="H1252" s="6">
        <f>DAY(Consulta2[[#This Row],[DATA]])</f>
        <v>4</v>
      </c>
      <c r="I1252" s="6">
        <f>MONTH(Consulta2[[#This Row],[DATA]])</f>
        <v>6</v>
      </c>
      <c r="J1252" t="str">
        <f>CONCATENATE(Consulta2[[#This Row],[SAFRA]],Consulta2[[#This Row],[dia]])</f>
        <v>2027064</v>
      </c>
      <c r="K1252">
        <f>Consulta2[[#This Row],[DIA_UTIL_CORRENTE]]</f>
        <v>4</v>
      </c>
    </row>
    <row r="1253" spans="1:11" x14ac:dyDescent="0.25">
      <c r="A1253">
        <v>202706</v>
      </c>
      <c r="B1253">
        <v>4</v>
      </c>
      <c r="C1253" s="148">
        <v>46543</v>
      </c>
      <c r="D1253">
        <v>22</v>
      </c>
      <c r="E1253">
        <v>22</v>
      </c>
      <c r="F1253">
        <v>861</v>
      </c>
      <c r="G1253">
        <f>Consulta2[[#This Row],[DIA_UTIL_CORRENTE]]</f>
        <v>4</v>
      </c>
      <c r="H1253" s="6">
        <f>DAY(Consulta2[[#This Row],[DATA]])</f>
        <v>5</v>
      </c>
      <c r="I1253" s="6">
        <f>MONTH(Consulta2[[#This Row],[DATA]])</f>
        <v>6</v>
      </c>
      <c r="J1253" t="str">
        <f>CONCATENATE(Consulta2[[#This Row],[SAFRA]],Consulta2[[#This Row],[dia]])</f>
        <v>2027065</v>
      </c>
      <c r="K1253">
        <f>Consulta2[[#This Row],[DIA_UTIL_CORRENTE]]</f>
        <v>4</v>
      </c>
    </row>
    <row r="1254" spans="1:11" x14ac:dyDescent="0.25">
      <c r="A1254">
        <v>202706</v>
      </c>
      <c r="B1254">
        <v>4</v>
      </c>
      <c r="C1254" s="148">
        <v>46544</v>
      </c>
      <c r="D1254">
        <v>22</v>
      </c>
      <c r="E1254">
        <v>22</v>
      </c>
      <c r="F1254">
        <v>861</v>
      </c>
      <c r="G1254">
        <f>Consulta2[[#This Row],[DIA_UTIL_CORRENTE]]</f>
        <v>4</v>
      </c>
      <c r="H1254" s="6">
        <f>DAY(Consulta2[[#This Row],[DATA]])</f>
        <v>6</v>
      </c>
      <c r="I1254" s="6">
        <f>MONTH(Consulta2[[#This Row],[DATA]])</f>
        <v>6</v>
      </c>
      <c r="J1254" t="str">
        <f>CONCATENATE(Consulta2[[#This Row],[SAFRA]],Consulta2[[#This Row],[dia]])</f>
        <v>2027066</v>
      </c>
      <c r="K1254">
        <f>Consulta2[[#This Row],[DIA_UTIL_CORRENTE]]</f>
        <v>4</v>
      </c>
    </row>
    <row r="1255" spans="1:11" x14ac:dyDescent="0.25">
      <c r="A1255">
        <v>202706</v>
      </c>
      <c r="B1255">
        <v>5</v>
      </c>
      <c r="C1255" s="148">
        <v>46545</v>
      </c>
      <c r="D1255">
        <v>22</v>
      </c>
      <c r="E1255">
        <v>22</v>
      </c>
      <c r="F1255">
        <v>862</v>
      </c>
      <c r="G1255">
        <f>Consulta2[[#This Row],[DIA_UTIL_CORRENTE]]</f>
        <v>5</v>
      </c>
      <c r="H1255" s="6">
        <f>DAY(Consulta2[[#This Row],[DATA]])</f>
        <v>7</v>
      </c>
      <c r="I1255" s="6">
        <f>MONTH(Consulta2[[#This Row],[DATA]])</f>
        <v>6</v>
      </c>
      <c r="J1255" t="str">
        <f>CONCATENATE(Consulta2[[#This Row],[SAFRA]],Consulta2[[#This Row],[dia]])</f>
        <v>2027067</v>
      </c>
      <c r="K1255">
        <f>Consulta2[[#This Row],[DIA_UTIL_CORRENTE]]</f>
        <v>5</v>
      </c>
    </row>
    <row r="1256" spans="1:11" x14ac:dyDescent="0.25">
      <c r="A1256">
        <v>202706</v>
      </c>
      <c r="B1256">
        <v>6</v>
      </c>
      <c r="C1256" s="148">
        <v>46546</v>
      </c>
      <c r="D1256">
        <v>22</v>
      </c>
      <c r="E1256">
        <v>22</v>
      </c>
      <c r="F1256">
        <v>863</v>
      </c>
      <c r="G1256">
        <f>Consulta2[[#This Row],[DIA_UTIL_CORRENTE]]</f>
        <v>6</v>
      </c>
      <c r="H1256" s="6">
        <f>DAY(Consulta2[[#This Row],[DATA]])</f>
        <v>8</v>
      </c>
      <c r="I1256" s="6">
        <f>MONTH(Consulta2[[#This Row],[DATA]])</f>
        <v>6</v>
      </c>
      <c r="J1256" t="str">
        <f>CONCATENATE(Consulta2[[#This Row],[SAFRA]],Consulta2[[#This Row],[dia]])</f>
        <v>2027068</v>
      </c>
      <c r="K1256">
        <f>Consulta2[[#This Row],[DIA_UTIL_CORRENTE]]</f>
        <v>6</v>
      </c>
    </row>
    <row r="1257" spans="1:11" x14ac:dyDescent="0.25">
      <c r="A1257">
        <v>202706</v>
      </c>
      <c r="B1257">
        <v>7</v>
      </c>
      <c r="C1257" s="148">
        <v>46547</v>
      </c>
      <c r="D1257">
        <v>22</v>
      </c>
      <c r="E1257">
        <v>22</v>
      </c>
      <c r="F1257">
        <v>864</v>
      </c>
      <c r="G1257">
        <f>Consulta2[[#This Row],[DIA_UTIL_CORRENTE]]</f>
        <v>7</v>
      </c>
      <c r="H1257" s="6">
        <f>DAY(Consulta2[[#This Row],[DATA]])</f>
        <v>9</v>
      </c>
      <c r="I1257" s="6">
        <f>MONTH(Consulta2[[#This Row],[DATA]])</f>
        <v>6</v>
      </c>
      <c r="J1257" t="str">
        <f>CONCATENATE(Consulta2[[#This Row],[SAFRA]],Consulta2[[#This Row],[dia]])</f>
        <v>2027069</v>
      </c>
      <c r="K1257">
        <f>Consulta2[[#This Row],[DIA_UTIL_CORRENTE]]</f>
        <v>7</v>
      </c>
    </row>
    <row r="1258" spans="1:11" x14ac:dyDescent="0.25">
      <c r="A1258">
        <v>202706</v>
      </c>
      <c r="B1258">
        <v>8</v>
      </c>
      <c r="C1258" s="148">
        <v>46548</v>
      </c>
      <c r="D1258">
        <v>22</v>
      </c>
      <c r="E1258">
        <v>22</v>
      </c>
      <c r="F1258">
        <v>865</v>
      </c>
      <c r="G1258">
        <f>Consulta2[[#This Row],[DIA_UTIL_CORRENTE]]</f>
        <v>8</v>
      </c>
      <c r="H1258" s="6">
        <f>DAY(Consulta2[[#This Row],[DATA]])</f>
        <v>10</v>
      </c>
      <c r="I1258" s="6">
        <f>MONTH(Consulta2[[#This Row],[DATA]])</f>
        <v>6</v>
      </c>
      <c r="J1258" t="str">
        <f>CONCATENATE(Consulta2[[#This Row],[SAFRA]],Consulta2[[#This Row],[dia]])</f>
        <v>20270610</v>
      </c>
      <c r="K1258">
        <f>Consulta2[[#This Row],[DIA_UTIL_CORRENTE]]</f>
        <v>8</v>
      </c>
    </row>
    <row r="1259" spans="1:11" x14ac:dyDescent="0.25">
      <c r="A1259">
        <v>202706</v>
      </c>
      <c r="B1259">
        <v>9</v>
      </c>
      <c r="C1259" s="148">
        <v>46549</v>
      </c>
      <c r="D1259">
        <v>22</v>
      </c>
      <c r="E1259">
        <v>22</v>
      </c>
      <c r="F1259">
        <v>866</v>
      </c>
      <c r="G1259">
        <f>Consulta2[[#This Row],[DIA_UTIL_CORRENTE]]</f>
        <v>9</v>
      </c>
      <c r="H1259" s="6">
        <f>DAY(Consulta2[[#This Row],[DATA]])</f>
        <v>11</v>
      </c>
      <c r="I1259" s="6">
        <f>MONTH(Consulta2[[#This Row],[DATA]])</f>
        <v>6</v>
      </c>
      <c r="J1259" t="str">
        <f>CONCATENATE(Consulta2[[#This Row],[SAFRA]],Consulta2[[#This Row],[dia]])</f>
        <v>20270611</v>
      </c>
      <c r="K1259">
        <f>Consulta2[[#This Row],[DIA_UTIL_CORRENTE]]</f>
        <v>9</v>
      </c>
    </row>
    <row r="1260" spans="1:11" x14ac:dyDescent="0.25">
      <c r="A1260">
        <v>202706</v>
      </c>
      <c r="B1260">
        <v>9</v>
      </c>
      <c r="C1260" s="148">
        <v>46550</v>
      </c>
      <c r="D1260">
        <v>22</v>
      </c>
      <c r="E1260">
        <v>22</v>
      </c>
      <c r="F1260">
        <v>866</v>
      </c>
      <c r="G1260">
        <f>Consulta2[[#This Row],[DIA_UTIL_CORRENTE]]</f>
        <v>9</v>
      </c>
      <c r="H1260" s="6">
        <f>DAY(Consulta2[[#This Row],[DATA]])</f>
        <v>12</v>
      </c>
      <c r="I1260" s="6">
        <f>MONTH(Consulta2[[#This Row],[DATA]])</f>
        <v>6</v>
      </c>
      <c r="J1260" t="str">
        <f>CONCATENATE(Consulta2[[#This Row],[SAFRA]],Consulta2[[#This Row],[dia]])</f>
        <v>20270612</v>
      </c>
      <c r="K1260">
        <f>Consulta2[[#This Row],[DIA_UTIL_CORRENTE]]</f>
        <v>9</v>
      </c>
    </row>
    <row r="1261" spans="1:11" x14ac:dyDescent="0.25">
      <c r="A1261">
        <v>202706</v>
      </c>
      <c r="B1261">
        <v>9</v>
      </c>
      <c r="C1261" s="148">
        <v>46551</v>
      </c>
      <c r="D1261">
        <v>22</v>
      </c>
      <c r="E1261">
        <v>22</v>
      </c>
      <c r="F1261">
        <v>866</v>
      </c>
      <c r="G1261">
        <f>Consulta2[[#This Row],[DIA_UTIL_CORRENTE]]</f>
        <v>9</v>
      </c>
      <c r="H1261" s="6">
        <f>DAY(Consulta2[[#This Row],[DATA]])</f>
        <v>13</v>
      </c>
      <c r="I1261" s="6">
        <f>MONTH(Consulta2[[#This Row],[DATA]])</f>
        <v>6</v>
      </c>
      <c r="J1261" t="str">
        <f>CONCATENATE(Consulta2[[#This Row],[SAFRA]],Consulta2[[#This Row],[dia]])</f>
        <v>20270613</v>
      </c>
      <c r="K1261">
        <f>Consulta2[[#This Row],[DIA_UTIL_CORRENTE]]</f>
        <v>9</v>
      </c>
    </row>
    <row r="1262" spans="1:11" x14ac:dyDescent="0.25">
      <c r="A1262">
        <v>202706</v>
      </c>
      <c r="B1262">
        <v>10</v>
      </c>
      <c r="C1262" s="148">
        <v>46552</v>
      </c>
      <c r="D1262">
        <v>22</v>
      </c>
      <c r="E1262">
        <v>22</v>
      </c>
      <c r="F1262">
        <v>867</v>
      </c>
      <c r="G1262">
        <f>Consulta2[[#This Row],[DIA_UTIL_CORRENTE]]</f>
        <v>10</v>
      </c>
      <c r="H1262" s="6">
        <f>DAY(Consulta2[[#This Row],[DATA]])</f>
        <v>14</v>
      </c>
      <c r="I1262" s="6">
        <f>MONTH(Consulta2[[#This Row],[DATA]])</f>
        <v>6</v>
      </c>
      <c r="J1262" t="str">
        <f>CONCATENATE(Consulta2[[#This Row],[SAFRA]],Consulta2[[#This Row],[dia]])</f>
        <v>20270614</v>
      </c>
      <c r="K1262">
        <f>Consulta2[[#This Row],[DIA_UTIL_CORRENTE]]</f>
        <v>10</v>
      </c>
    </row>
    <row r="1263" spans="1:11" x14ac:dyDescent="0.25">
      <c r="A1263">
        <v>202706</v>
      </c>
      <c r="B1263">
        <v>11</v>
      </c>
      <c r="C1263" s="148">
        <v>46553</v>
      </c>
      <c r="D1263">
        <v>22</v>
      </c>
      <c r="E1263">
        <v>22</v>
      </c>
      <c r="F1263">
        <v>868</v>
      </c>
      <c r="G1263">
        <f>Consulta2[[#This Row],[DIA_UTIL_CORRENTE]]</f>
        <v>11</v>
      </c>
      <c r="H1263" s="6">
        <f>DAY(Consulta2[[#This Row],[DATA]])</f>
        <v>15</v>
      </c>
      <c r="I1263" s="6">
        <f>MONTH(Consulta2[[#This Row],[DATA]])</f>
        <v>6</v>
      </c>
      <c r="J1263" t="str">
        <f>CONCATENATE(Consulta2[[#This Row],[SAFRA]],Consulta2[[#This Row],[dia]])</f>
        <v>20270615</v>
      </c>
      <c r="K1263">
        <f>Consulta2[[#This Row],[DIA_UTIL_CORRENTE]]</f>
        <v>11</v>
      </c>
    </row>
    <row r="1264" spans="1:11" x14ac:dyDescent="0.25">
      <c r="A1264">
        <v>202706</v>
      </c>
      <c r="B1264">
        <v>12</v>
      </c>
      <c r="C1264" s="148">
        <v>46554</v>
      </c>
      <c r="D1264">
        <v>22</v>
      </c>
      <c r="E1264">
        <v>22</v>
      </c>
      <c r="F1264">
        <v>869</v>
      </c>
      <c r="G1264">
        <f>Consulta2[[#This Row],[DIA_UTIL_CORRENTE]]</f>
        <v>12</v>
      </c>
      <c r="H1264" s="6">
        <f>DAY(Consulta2[[#This Row],[DATA]])</f>
        <v>16</v>
      </c>
      <c r="I1264" s="6">
        <f>MONTH(Consulta2[[#This Row],[DATA]])</f>
        <v>6</v>
      </c>
      <c r="J1264" t="str">
        <f>CONCATENATE(Consulta2[[#This Row],[SAFRA]],Consulta2[[#This Row],[dia]])</f>
        <v>20270616</v>
      </c>
      <c r="K1264">
        <f>Consulta2[[#This Row],[DIA_UTIL_CORRENTE]]</f>
        <v>12</v>
      </c>
    </row>
    <row r="1265" spans="1:11" x14ac:dyDescent="0.25">
      <c r="A1265">
        <v>202706</v>
      </c>
      <c r="B1265">
        <v>13</v>
      </c>
      <c r="C1265" s="148">
        <v>46555</v>
      </c>
      <c r="D1265">
        <v>22</v>
      </c>
      <c r="E1265">
        <v>22</v>
      </c>
      <c r="F1265">
        <v>870</v>
      </c>
      <c r="G1265">
        <f>Consulta2[[#This Row],[DIA_UTIL_CORRENTE]]</f>
        <v>13</v>
      </c>
      <c r="H1265" s="6">
        <f>DAY(Consulta2[[#This Row],[DATA]])</f>
        <v>17</v>
      </c>
      <c r="I1265" s="6">
        <f>MONTH(Consulta2[[#This Row],[DATA]])</f>
        <v>6</v>
      </c>
      <c r="J1265" t="str">
        <f>CONCATENATE(Consulta2[[#This Row],[SAFRA]],Consulta2[[#This Row],[dia]])</f>
        <v>20270617</v>
      </c>
      <c r="K1265">
        <f>Consulta2[[#This Row],[DIA_UTIL_CORRENTE]]</f>
        <v>13</v>
      </c>
    </row>
    <row r="1266" spans="1:11" x14ac:dyDescent="0.25">
      <c r="A1266">
        <v>202706</v>
      </c>
      <c r="B1266">
        <v>14</v>
      </c>
      <c r="C1266" s="148">
        <v>46556</v>
      </c>
      <c r="D1266">
        <v>22</v>
      </c>
      <c r="E1266">
        <v>22</v>
      </c>
      <c r="F1266">
        <v>871</v>
      </c>
      <c r="G1266">
        <f>Consulta2[[#This Row],[DIA_UTIL_CORRENTE]]</f>
        <v>14</v>
      </c>
      <c r="H1266" s="6">
        <f>DAY(Consulta2[[#This Row],[DATA]])</f>
        <v>18</v>
      </c>
      <c r="I1266" s="6">
        <f>MONTH(Consulta2[[#This Row],[DATA]])</f>
        <v>6</v>
      </c>
      <c r="J1266" t="str">
        <f>CONCATENATE(Consulta2[[#This Row],[SAFRA]],Consulta2[[#This Row],[dia]])</f>
        <v>20270618</v>
      </c>
      <c r="K1266">
        <f>Consulta2[[#This Row],[DIA_UTIL_CORRENTE]]</f>
        <v>14</v>
      </c>
    </row>
    <row r="1267" spans="1:11" x14ac:dyDescent="0.25">
      <c r="A1267">
        <v>202706</v>
      </c>
      <c r="B1267">
        <v>14</v>
      </c>
      <c r="C1267" s="148">
        <v>46557</v>
      </c>
      <c r="D1267">
        <v>22</v>
      </c>
      <c r="E1267">
        <v>22</v>
      </c>
      <c r="F1267">
        <v>871</v>
      </c>
      <c r="G1267">
        <f>Consulta2[[#This Row],[DIA_UTIL_CORRENTE]]</f>
        <v>14</v>
      </c>
      <c r="H1267" s="6">
        <f>DAY(Consulta2[[#This Row],[DATA]])</f>
        <v>19</v>
      </c>
      <c r="I1267" s="6">
        <f>MONTH(Consulta2[[#This Row],[DATA]])</f>
        <v>6</v>
      </c>
      <c r="J1267" t="str">
        <f>CONCATENATE(Consulta2[[#This Row],[SAFRA]],Consulta2[[#This Row],[dia]])</f>
        <v>20270619</v>
      </c>
      <c r="K1267">
        <f>Consulta2[[#This Row],[DIA_UTIL_CORRENTE]]</f>
        <v>14</v>
      </c>
    </row>
    <row r="1268" spans="1:11" x14ac:dyDescent="0.25">
      <c r="A1268">
        <v>202706</v>
      </c>
      <c r="B1268">
        <v>14</v>
      </c>
      <c r="C1268" s="148">
        <v>46558</v>
      </c>
      <c r="D1268">
        <v>22</v>
      </c>
      <c r="E1268">
        <v>22</v>
      </c>
      <c r="F1268">
        <v>871</v>
      </c>
      <c r="G1268">
        <f>Consulta2[[#This Row],[DIA_UTIL_CORRENTE]]</f>
        <v>14</v>
      </c>
      <c r="H1268" s="6">
        <f>DAY(Consulta2[[#This Row],[DATA]])</f>
        <v>20</v>
      </c>
      <c r="I1268" s="6">
        <f>MONTH(Consulta2[[#This Row],[DATA]])</f>
        <v>6</v>
      </c>
      <c r="J1268" t="str">
        <f>CONCATENATE(Consulta2[[#This Row],[SAFRA]],Consulta2[[#This Row],[dia]])</f>
        <v>20270620</v>
      </c>
      <c r="K1268">
        <f>Consulta2[[#This Row],[DIA_UTIL_CORRENTE]]</f>
        <v>14</v>
      </c>
    </row>
    <row r="1269" spans="1:11" x14ac:dyDescent="0.25">
      <c r="A1269">
        <v>202706</v>
      </c>
      <c r="B1269">
        <v>15</v>
      </c>
      <c r="C1269" s="148">
        <v>46559</v>
      </c>
      <c r="D1269">
        <v>22</v>
      </c>
      <c r="E1269">
        <v>22</v>
      </c>
      <c r="F1269">
        <v>872</v>
      </c>
      <c r="G1269">
        <f>Consulta2[[#This Row],[DIA_UTIL_CORRENTE]]</f>
        <v>15</v>
      </c>
      <c r="H1269" s="6">
        <f>DAY(Consulta2[[#This Row],[DATA]])</f>
        <v>21</v>
      </c>
      <c r="I1269" s="6">
        <f>MONTH(Consulta2[[#This Row],[DATA]])</f>
        <v>6</v>
      </c>
      <c r="J1269" t="str">
        <f>CONCATENATE(Consulta2[[#This Row],[SAFRA]],Consulta2[[#This Row],[dia]])</f>
        <v>20270621</v>
      </c>
      <c r="K1269">
        <f>Consulta2[[#This Row],[DIA_UTIL_CORRENTE]]</f>
        <v>15</v>
      </c>
    </row>
    <row r="1270" spans="1:11" x14ac:dyDescent="0.25">
      <c r="A1270">
        <v>202706</v>
      </c>
      <c r="B1270">
        <v>16</v>
      </c>
      <c r="C1270" s="148">
        <v>46560</v>
      </c>
      <c r="D1270">
        <v>22</v>
      </c>
      <c r="E1270">
        <v>22</v>
      </c>
      <c r="F1270">
        <v>873</v>
      </c>
      <c r="G1270">
        <f>Consulta2[[#This Row],[DIA_UTIL_CORRENTE]]</f>
        <v>16</v>
      </c>
      <c r="H1270" s="6">
        <f>DAY(Consulta2[[#This Row],[DATA]])</f>
        <v>22</v>
      </c>
      <c r="I1270" s="6">
        <f>MONTH(Consulta2[[#This Row],[DATA]])</f>
        <v>6</v>
      </c>
      <c r="J1270" t="str">
        <f>CONCATENATE(Consulta2[[#This Row],[SAFRA]],Consulta2[[#This Row],[dia]])</f>
        <v>20270622</v>
      </c>
      <c r="K1270">
        <f>Consulta2[[#This Row],[DIA_UTIL_CORRENTE]]</f>
        <v>16</v>
      </c>
    </row>
    <row r="1271" spans="1:11" x14ac:dyDescent="0.25">
      <c r="A1271">
        <v>202706</v>
      </c>
      <c r="B1271">
        <v>17</v>
      </c>
      <c r="C1271" s="148">
        <v>46561</v>
      </c>
      <c r="D1271">
        <v>22</v>
      </c>
      <c r="E1271">
        <v>22</v>
      </c>
      <c r="F1271">
        <v>874</v>
      </c>
      <c r="G1271">
        <f>Consulta2[[#This Row],[DIA_UTIL_CORRENTE]]</f>
        <v>17</v>
      </c>
      <c r="H1271" s="6">
        <f>DAY(Consulta2[[#This Row],[DATA]])</f>
        <v>23</v>
      </c>
      <c r="I1271" s="6">
        <f>MONTH(Consulta2[[#This Row],[DATA]])</f>
        <v>6</v>
      </c>
      <c r="J1271" t="str">
        <f>CONCATENATE(Consulta2[[#This Row],[SAFRA]],Consulta2[[#This Row],[dia]])</f>
        <v>20270623</v>
      </c>
      <c r="K1271">
        <f>Consulta2[[#This Row],[DIA_UTIL_CORRENTE]]</f>
        <v>17</v>
      </c>
    </row>
    <row r="1272" spans="1:11" x14ac:dyDescent="0.25">
      <c r="A1272">
        <v>202706</v>
      </c>
      <c r="B1272">
        <v>18</v>
      </c>
      <c r="C1272" s="148">
        <v>46562</v>
      </c>
      <c r="D1272">
        <v>22</v>
      </c>
      <c r="E1272">
        <v>22</v>
      </c>
      <c r="F1272">
        <v>875</v>
      </c>
      <c r="G1272">
        <f>Consulta2[[#This Row],[DIA_UTIL_CORRENTE]]</f>
        <v>18</v>
      </c>
      <c r="H1272" s="6">
        <f>DAY(Consulta2[[#This Row],[DATA]])</f>
        <v>24</v>
      </c>
      <c r="I1272" s="6">
        <f>MONTH(Consulta2[[#This Row],[DATA]])</f>
        <v>6</v>
      </c>
      <c r="J1272" t="str">
        <f>CONCATENATE(Consulta2[[#This Row],[SAFRA]],Consulta2[[#This Row],[dia]])</f>
        <v>20270624</v>
      </c>
      <c r="K1272">
        <f>Consulta2[[#This Row],[DIA_UTIL_CORRENTE]]</f>
        <v>18</v>
      </c>
    </row>
    <row r="1273" spans="1:11" x14ac:dyDescent="0.25">
      <c r="A1273">
        <v>202706</v>
      </c>
      <c r="B1273">
        <v>19</v>
      </c>
      <c r="C1273" s="148">
        <v>46563</v>
      </c>
      <c r="D1273">
        <v>22</v>
      </c>
      <c r="E1273">
        <v>22</v>
      </c>
      <c r="F1273">
        <v>876</v>
      </c>
      <c r="G1273">
        <f>Consulta2[[#This Row],[DIA_UTIL_CORRENTE]]</f>
        <v>19</v>
      </c>
      <c r="H1273" s="6">
        <f>DAY(Consulta2[[#This Row],[DATA]])</f>
        <v>25</v>
      </c>
      <c r="I1273" s="6">
        <f>MONTH(Consulta2[[#This Row],[DATA]])</f>
        <v>6</v>
      </c>
      <c r="J1273" t="str">
        <f>CONCATENATE(Consulta2[[#This Row],[SAFRA]],Consulta2[[#This Row],[dia]])</f>
        <v>20270625</v>
      </c>
      <c r="K1273">
        <f>Consulta2[[#This Row],[DIA_UTIL_CORRENTE]]</f>
        <v>19</v>
      </c>
    </row>
    <row r="1274" spans="1:11" x14ac:dyDescent="0.25">
      <c r="A1274">
        <v>202706</v>
      </c>
      <c r="B1274">
        <v>19</v>
      </c>
      <c r="C1274" s="148">
        <v>46564</v>
      </c>
      <c r="D1274">
        <v>22</v>
      </c>
      <c r="E1274">
        <v>22</v>
      </c>
      <c r="F1274">
        <v>876</v>
      </c>
      <c r="G1274">
        <f>Consulta2[[#This Row],[DIA_UTIL_CORRENTE]]</f>
        <v>19</v>
      </c>
      <c r="H1274" s="6">
        <f>DAY(Consulta2[[#This Row],[DATA]])</f>
        <v>26</v>
      </c>
      <c r="I1274" s="6">
        <f>MONTH(Consulta2[[#This Row],[DATA]])</f>
        <v>6</v>
      </c>
      <c r="J1274" t="str">
        <f>CONCATENATE(Consulta2[[#This Row],[SAFRA]],Consulta2[[#This Row],[dia]])</f>
        <v>20270626</v>
      </c>
      <c r="K1274">
        <f>Consulta2[[#This Row],[DIA_UTIL_CORRENTE]]</f>
        <v>19</v>
      </c>
    </row>
    <row r="1275" spans="1:11" x14ac:dyDescent="0.25">
      <c r="A1275">
        <v>202706</v>
      </c>
      <c r="B1275">
        <v>19</v>
      </c>
      <c r="C1275" s="148">
        <v>46565</v>
      </c>
      <c r="D1275">
        <v>22</v>
      </c>
      <c r="E1275">
        <v>22</v>
      </c>
      <c r="F1275">
        <v>876</v>
      </c>
      <c r="G1275">
        <f>Consulta2[[#This Row],[DIA_UTIL_CORRENTE]]</f>
        <v>19</v>
      </c>
      <c r="H1275" s="6">
        <f>DAY(Consulta2[[#This Row],[DATA]])</f>
        <v>27</v>
      </c>
      <c r="I1275" s="6">
        <f>MONTH(Consulta2[[#This Row],[DATA]])</f>
        <v>6</v>
      </c>
      <c r="J1275" t="str">
        <f>CONCATENATE(Consulta2[[#This Row],[SAFRA]],Consulta2[[#This Row],[dia]])</f>
        <v>20270627</v>
      </c>
      <c r="K1275">
        <f>Consulta2[[#This Row],[DIA_UTIL_CORRENTE]]</f>
        <v>19</v>
      </c>
    </row>
    <row r="1276" spans="1:11" x14ac:dyDescent="0.25">
      <c r="A1276">
        <v>202706</v>
      </c>
      <c r="B1276">
        <v>20</v>
      </c>
      <c r="C1276" s="148">
        <v>46566</v>
      </c>
      <c r="D1276">
        <v>22</v>
      </c>
      <c r="E1276">
        <v>22</v>
      </c>
      <c r="F1276">
        <v>877</v>
      </c>
      <c r="G1276">
        <f>Consulta2[[#This Row],[DIA_UTIL_CORRENTE]]</f>
        <v>20</v>
      </c>
      <c r="H1276" s="6">
        <f>DAY(Consulta2[[#This Row],[DATA]])</f>
        <v>28</v>
      </c>
      <c r="I1276" s="6">
        <f>MONTH(Consulta2[[#This Row],[DATA]])</f>
        <v>6</v>
      </c>
      <c r="J1276" t="str">
        <f>CONCATENATE(Consulta2[[#This Row],[SAFRA]],Consulta2[[#This Row],[dia]])</f>
        <v>20270628</v>
      </c>
      <c r="K1276">
        <f>Consulta2[[#This Row],[DIA_UTIL_CORRENTE]]</f>
        <v>20</v>
      </c>
    </row>
    <row r="1277" spans="1:11" x14ac:dyDescent="0.25">
      <c r="A1277">
        <v>202706</v>
      </c>
      <c r="B1277">
        <v>21</v>
      </c>
      <c r="C1277" s="148">
        <v>46567</v>
      </c>
      <c r="D1277">
        <v>22</v>
      </c>
      <c r="E1277">
        <v>22</v>
      </c>
      <c r="F1277">
        <v>878</v>
      </c>
      <c r="G1277">
        <f>Consulta2[[#This Row],[DIA_UTIL_CORRENTE]]</f>
        <v>21</v>
      </c>
      <c r="H1277" s="6">
        <f>DAY(Consulta2[[#This Row],[DATA]])</f>
        <v>29</v>
      </c>
      <c r="I1277" s="6">
        <f>MONTH(Consulta2[[#This Row],[DATA]])</f>
        <v>6</v>
      </c>
      <c r="J1277" t="str">
        <f>CONCATENATE(Consulta2[[#This Row],[SAFRA]],Consulta2[[#This Row],[dia]])</f>
        <v>20270629</v>
      </c>
      <c r="K1277">
        <f>Consulta2[[#This Row],[DIA_UTIL_CORRENTE]]</f>
        <v>21</v>
      </c>
    </row>
    <row r="1278" spans="1:11" x14ac:dyDescent="0.25">
      <c r="A1278">
        <v>202706</v>
      </c>
      <c r="B1278">
        <v>22</v>
      </c>
      <c r="C1278" s="148">
        <v>46568</v>
      </c>
      <c r="D1278">
        <v>22</v>
      </c>
      <c r="E1278">
        <v>22</v>
      </c>
      <c r="F1278">
        <v>879</v>
      </c>
      <c r="G1278">
        <f>Consulta2[[#This Row],[DIA_UTIL_CORRENTE]]</f>
        <v>22</v>
      </c>
      <c r="H1278" s="6">
        <f>DAY(Consulta2[[#This Row],[DATA]])</f>
        <v>30</v>
      </c>
      <c r="I1278" s="6">
        <f>MONTH(Consulta2[[#This Row],[DATA]])</f>
        <v>6</v>
      </c>
      <c r="J1278" t="str">
        <f>CONCATENATE(Consulta2[[#This Row],[SAFRA]],Consulta2[[#This Row],[dia]])</f>
        <v>20270630</v>
      </c>
      <c r="K1278">
        <f>Consulta2[[#This Row],[DIA_UTIL_CORRENTE]]</f>
        <v>22</v>
      </c>
    </row>
    <row r="1279" spans="1:11" x14ac:dyDescent="0.25">
      <c r="A1279">
        <v>202707</v>
      </c>
      <c r="B1279">
        <v>1</v>
      </c>
      <c r="C1279" s="148">
        <v>46569</v>
      </c>
      <c r="D1279">
        <v>22</v>
      </c>
      <c r="E1279">
        <v>22</v>
      </c>
      <c r="F1279">
        <v>880</v>
      </c>
      <c r="G1279">
        <f>Consulta2[[#This Row],[DIA_UTIL_CORRENTE]]</f>
        <v>1</v>
      </c>
      <c r="H1279" s="6">
        <f>DAY(Consulta2[[#This Row],[DATA]])</f>
        <v>1</v>
      </c>
      <c r="I1279" s="6">
        <f>MONTH(Consulta2[[#This Row],[DATA]])</f>
        <v>7</v>
      </c>
      <c r="J1279" t="str">
        <f>CONCATENATE(Consulta2[[#This Row],[SAFRA]],Consulta2[[#This Row],[dia]])</f>
        <v>2027071</v>
      </c>
      <c r="K1279">
        <f>Consulta2[[#This Row],[DIA_UTIL_CORRENTE]]</f>
        <v>1</v>
      </c>
    </row>
    <row r="1280" spans="1:11" x14ac:dyDescent="0.25">
      <c r="A1280">
        <v>202707</v>
      </c>
      <c r="B1280">
        <v>2</v>
      </c>
      <c r="C1280" s="148">
        <v>46570</v>
      </c>
      <c r="D1280">
        <v>22</v>
      </c>
      <c r="E1280">
        <v>22</v>
      </c>
      <c r="F1280">
        <v>881</v>
      </c>
      <c r="G1280">
        <f>Consulta2[[#This Row],[DIA_UTIL_CORRENTE]]</f>
        <v>2</v>
      </c>
      <c r="H1280" s="6">
        <f>DAY(Consulta2[[#This Row],[DATA]])</f>
        <v>2</v>
      </c>
      <c r="I1280" s="6">
        <f>MONTH(Consulta2[[#This Row],[DATA]])</f>
        <v>7</v>
      </c>
      <c r="J1280" t="str">
        <f>CONCATENATE(Consulta2[[#This Row],[SAFRA]],Consulta2[[#This Row],[dia]])</f>
        <v>2027072</v>
      </c>
      <c r="K1280">
        <f>Consulta2[[#This Row],[DIA_UTIL_CORRENTE]]</f>
        <v>2</v>
      </c>
    </row>
    <row r="1281" spans="1:11" x14ac:dyDescent="0.25">
      <c r="A1281">
        <v>202707</v>
      </c>
      <c r="B1281">
        <v>2</v>
      </c>
      <c r="C1281" s="148">
        <v>46571</v>
      </c>
      <c r="D1281">
        <v>22</v>
      </c>
      <c r="E1281">
        <v>22</v>
      </c>
      <c r="F1281">
        <v>881</v>
      </c>
      <c r="G1281">
        <f>Consulta2[[#This Row],[DIA_UTIL_CORRENTE]]</f>
        <v>2</v>
      </c>
      <c r="H1281" s="6">
        <f>DAY(Consulta2[[#This Row],[DATA]])</f>
        <v>3</v>
      </c>
      <c r="I1281" s="6">
        <f>MONTH(Consulta2[[#This Row],[DATA]])</f>
        <v>7</v>
      </c>
      <c r="J1281" t="str">
        <f>CONCATENATE(Consulta2[[#This Row],[SAFRA]],Consulta2[[#This Row],[dia]])</f>
        <v>2027073</v>
      </c>
      <c r="K1281">
        <f>Consulta2[[#This Row],[DIA_UTIL_CORRENTE]]</f>
        <v>2</v>
      </c>
    </row>
    <row r="1282" spans="1:11" x14ac:dyDescent="0.25">
      <c r="A1282">
        <v>202707</v>
      </c>
      <c r="B1282">
        <v>2</v>
      </c>
      <c r="C1282" s="148">
        <v>46572</v>
      </c>
      <c r="D1282">
        <v>22</v>
      </c>
      <c r="E1282">
        <v>22</v>
      </c>
      <c r="F1282">
        <v>881</v>
      </c>
      <c r="G1282">
        <f>Consulta2[[#This Row],[DIA_UTIL_CORRENTE]]</f>
        <v>2</v>
      </c>
      <c r="H1282" s="6">
        <f>DAY(Consulta2[[#This Row],[DATA]])</f>
        <v>4</v>
      </c>
      <c r="I1282" s="6">
        <f>MONTH(Consulta2[[#This Row],[DATA]])</f>
        <v>7</v>
      </c>
      <c r="J1282" t="str">
        <f>CONCATENATE(Consulta2[[#This Row],[SAFRA]],Consulta2[[#This Row],[dia]])</f>
        <v>2027074</v>
      </c>
      <c r="K1282">
        <f>Consulta2[[#This Row],[DIA_UTIL_CORRENTE]]</f>
        <v>2</v>
      </c>
    </row>
    <row r="1283" spans="1:11" x14ac:dyDescent="0.25">
      <c r="A1283">
        <v>202707</v>
      </c>
      <c r="B1283">
        <v>3</v>
      </c>
      <c r="C1283" s="148">
        <v>46573</v>
      </c>
      <c r="D1283">
        <v>22</v>
      </c>
      <c r="E1283">
        <v>22</v>
      </c>
      <c r="F1283">
        <v>882</v>
      </c>
      <c r="G1283">
        <f>Consulta2[[#This Row],[DIA_UTIL_CORRENTE]]</f>
        <v>3</v>
      </c>
      <c r="H1283" s="6">
        <f>DAY(Consulta2[[#This Row],[DATA]])</f>
        <v>5</v>
      </c>
      <c r="I1283" s="6">
        <f>MONTH(Consulta2[[#This Row],[DATA]])</f>
        <v>7</v>
      </c>
      <c r="J1283" t="str">
        <f>CONCATENATE(Consulta2[[#This Row],[SAFRA]],Consulta2[[#This Row],[dia]])</f>
        <v>2027075</v>
      </c>
      <c r="K1283">
        <f>Consulta2[[#This Row],[DIA_UTIL_CORRENTE]]</f>
        <v>3</v>
      </c>
    </row>
    <row r="1284" spans="1:11" x14ac:dyDescent="0.25">
      <c r="A1284">
        <v>202707</v>
      </c>
      <c r="B1284">
        <v>4</v>
      </c>
      <c r="C1284" s="148">
        <v>46574</v>
      </c>
      <c r="D1284">
        <v>22</v>
      </c>
      <c r="E1284">
        <v>22</v>
      </c>
      <c r="F1284">
        <v>883</v>
      </c>
      <c r="G1284">
        <f>Consulta2[[#This Row],[DIA_UTIL_CORRENTE]]</f>
        <v>4</v>
      </c>
      <c r="H1284" s="6">
        <f>DAY(Consulta2[[#This Row],[DATA]])</f>
        <v>6</v>
      </c>
      <c r="I1284" s="6">
        <f>MONTH(Consulta2[[#This Row],[DATA]])</f>
        <v>7</v>
      </c>
      <c r="J1284" t="str">
        <f>CONCATENATE(Consulta2[[#This Row],[SAFRA]],Consulta2[[#This Row],[dia]])</f>
        <v>2027076</v>
      </c>
      <c r="K1284">
        <f>Consulta2[[#This Row],[DIA_UTIL_CORRENTE]]</f>
        <v>4</v>
      </c>
    </row>
    <row r="1285" spans="1:11" x14ac:dyDescent="0.25">
      <c r="A1285">
        <v>202707</v>
      </c>
      <c r="B1285">
        <v>5</v>
      </c>
      <c r="C1285" s="148">
        <v>46575</v>
      </c>
      <c r="D1285">
        <v>22</v>
      </c>
      <c r="E1285">
        <v>22</v>
      </c>
      <c r="F1285">
        <v>884</v>
      </c>
      <c r="G1285">
        <f>Consulta2[[#This Row],[DIA_UTIL_CORRENTE]]</f>
        <v>5</v>
      </c>
      <c r="H1285" s="6">
        <f>DAY(Consulta2[[#This Row],[DATA]])</f>
        <v>7</v>
      </c>
      <c r="I1285" s="6">
        <f>MONTH(Consulta2[[#This Row],[DATA]])</f>
        <v>7</v>
      </c>
      <c r="J1285" t="str">
        <f>CONCATENATE(Consulta2[[#This Row],[SAFRA]],Consulta2[[#This Row],[dia]])</f>
        <v>2027077</v>
      </c>
      <c r="K1285">
        <f>Consulta2[[#This Row],[DIA_UTIL_CORRENTE]]</f>
        <v>5</v>
      </c>
    </row>
    <row r="1286" spans="1:11" x14ac:dyDescent="0.25">
      <c r="A1286">
        <v>202707</v>
      </c>
      <c r="B1286">
        <v>6</v>
      </c>
      <c r="C1286" s="148">
        <v>46576</v>
      </c>
      <c r="D1286">
        <v>22</v>
      </c>
      <c r="E1286">
        <v>22</v>
      </c>
      <c r="F1286">
        <v>885</v>
      </c>
      <c r="G1286">
        <f>Consulta2[[#This Row],[DIA_UTIL_CORRENTE]]</f>
        <v>6</v>
      </c>
      <c r="H1286" s="6">
        <f>DAY(Consulta2[[#This Row],[DATA]])</f>
        <v>8</v>
      </c>
      <c r="I1286" s="6">
        <f>MONTH(Consulta2[[#This Row],[DATA]])</f>
        <v>7</v>
      </c>
      <c r="J1286" t="str">
        <f>CONCATENATE(Consulta2[[#This Row],[SAFRA]],Consulta2[[#This Row],[dia]])</f>
        <v>2027078</v>
      </c>
      <c r="K1286">
        <f>Consulta2[[#This Row],[DIA_UTIL_CORRENTE]]</f>
        <v>6</v>
      </c>
    </row>
    <row r="1287" spans="1:11" x14ac:dyDescent="0.25">
      <c r="A1287">
        <v>202707</v>
      </c>
      <c r="B1287">
        <v>7</v>
      </c>
      <c r="C1287" s="148">
        <v>46577</v>
      </c>
      <c r="D1287">
        <v>22</v>
      </c>
      <c r="E1287">
        <v>22</v>
      </c>
      <c r="F1287">
        <v>886</v>
      </c>
      <c r="G1287">
        <f>Consulta2[[#This Row],[DIA_UTIL_CORRENTE]]</f>
        <v>7</v>
      </c>
      <c r="H1287" s="6">
        <f>DAY(Consulta2[[#This Row],[DATA]])</f>
        <v>9</v>
      </c>
      <c r="I1287" s="6">
        <f>MONTH(Consulta2[[#This Row],[DATA]])</f>
        <v>7</v>
      </c>
      <c r="J1287" t="str">
        <f>CONCATENATE(Consulta2[[#This Row],[SAFRA]],Consulta2[[#This Row],[dia]])</f>
        <v>2027079</v>
      </c>
      <c r="K1287">
        <f>Consulta2[[#This Row],[DIA_UTIL_CORRENTE]]</f>
        <v>7</v>
      </c>
    </row>
    <row r="1288" spans="1:11" x14ac:dyDescent="0.25">
      <c r="A1288">
        <v>202707</v>
      </c>
      <c r="B1288">
        <v>7</v>
      </c>
      <c r="C1288" s="148">
        <v>46578</v>
      </c>
      <c r="D1288">
        <v>22</v>
      </c>
      <c r="E1288">
        <v>22</v>
      </c>
      <c r="F1288">
        <v>886</v>
      </c>
      <c r="G1288">
        <f>Consulta2[[#This Row],[DIA_UTIL_CORRENTE]]</f>
        <v>7</v>
      </c>
      <c r="H1288" s="6">
        <f>DAY(Consulta2[[#This Row],[DATA]])</f>
        <v>10</v>
      </c>
      <c r="I1288" s="6">
        <f>MONTH(Consulta2[[#This Row],[DATA]])</f>
        <v>7</v>
      </c>
      <c r="J1288" t="str">
        <f>CONCATENATE(Consulta2[[#This Row],[SAFRA]],Consulta2[[#This Row],[dia]])</f>
        <v>20270710</v>
      </c>
      <c r="K1288">
        <f>Consulta2[[#This Row],[DIA_UTIL_CORRENTE]]</f>
        <v>7</v>
      </c>
    </row>
    <row r="1289" spans="1:11" x14ac:dyDescent="0.25">
      <c r="A1289">
        <v>202707</v>
      </c>
      <c r="B1289">
        <v>7</v>
      </c>
      <c r="C1289" s="148">
        <v>46579</v>
      </c>
      <c r="D1289">
        <v>22</v>
      </c>
      <c r="E1289">
        <v>22</v>
      </c>
      <c r="F1289">
        <v>886</v>
      </c>
      <c r="G1289">
        <f>Consulta2[[#This Row],[DIA_UTIL_CORRENTE]]</f>
        <v>7</v>
      </c>
      <c r="H1289" s="6">
        <f>DAY(Consulta2[[#This Row],[DATA]])</f>
        <v>11</v>
      </c>
      <c r="I1289" s="6">
        <f>MONTH(Consulta2[[#This Row],[DATA]])</f>
        <v>7</v>
      </c>
      <c r="J1289" t="str">
        <f>CONCATENATE(Consulta2[[#This Row],[SAFRA]],Consulta2[[#This Row],[dia]])</f>
        <v>20270711</v>
      </c>
      <c r="K1289">
        <f>Consulta2[[#This Row],[DIA_UTIL_CORRENTE]]</f>
        <v>7</v>
      </c>
    </row>
    <row r="1290" spans="1:11" x14ac:dyDescent="0.25">
      <c r="A1290">
        <v>202707</v>
      </c>
      <c r="B1290">
        <v>8</v>
      </c>
      <c r="C1290" s="148">
        <v>46580</v>
      </c>
      <c r="D1290">
        <v>22</v>
      </c>
      <c r="E1290">
        <v>22</v>
      </c>
      <c r="F1290">
        <v>887</v>
      </c>
      <c r="G1290">
        <f>Consulta2[[#This Row],[DIA_UTIL_CORRENTE]]</f>
        <v>8</v>
      </c>
      <c r="H1290" s="6">
        <f>DAY(Consulta2[[#This Row],[DATA]])</f>
        <v>12</v>
      </c>
      <c r="I1290" s="6">
        <f>MONTH(Consulta2[[#This Row],[DATA]])</f>
        <v>7</v>
      </c>
      <c r="J1290" t="str">
        <f>CONCATENATE(Consulta2[[#This Row],[SAFRA]],Consulta2[[#This Row],[dia]])</f>
        <v>20270712</v>
      </c>
      <c r="K1290">
        <f>Consulta2[[#This Row],[DIA_UTIL_CORRENTE]]</f>
        <v>8</v>
      </c>
    </row>
    <row r="1291" spans="1:11" x14ac:dyDescent="0.25">
      <c r="A1291">
        <v>202707</v>
      </c>
      <c r="B1291">
        <v>9</v>
      </c>
      <c r="C1291" s="148">
        <v>46581</v>
      </c>
      <c r="D1291">
        <v>22</v>
      </c>
      <c r="E1291">
        <v>22</v>
      </c>
      <c r="F1291">
        <v>888</v>
      </c>
      <c r="G1291">
        <f>Consulta2[[#This Row],[DIA_UTIL_CORRENTE]]</f>
        <v>9</v>
      </c>
      <c r="H1291" s="6">
        <f>DAY(Consulta2[[#This Row],[DATA]])</f>
        <v>13</v>
      </c>
      <c r="I1291" s="6">
        <f>MONTH(Consulta2[[#This Row],[DATA]])</f>
        <v>7</v>
      </c>
      <c r="J1291" t="str">
        <f>CONCATENATE(Consulta2[[#This Row],[SAFRA]],Consulta2[[#This Row],[dia]])</f>
        <v>20270713</v>
      </c>
      <c r="K1291">
        <f>Consulta2[[#This Row],[DIA_UTIL_CORRENTE]]</f>
        <v>9</v>
      </c>
    </row>
    <row r="1292" spans="1:11" x14ac:dyDescent="0.25">
      <c r="A1292">
        <v>202707</v>
      </c>
      <c r="B1292">
        <v>10</v>
      </c>
      <c r="C1292" s="148">
        <v>46582</v>
      </c>
      <c r="D1292">
        <v>22</v>
      </c>
      <c r="E1292">
        <v>22</v>
      </c>
      <c r="F1292">
        <v>889</v>
      </c>
      <c r="G1292">
        <f>Consulta2[[#This Row],[DIA_UTIL_CORRENTE]]</f>
        <v>10</v>
      </c>
      <c r="H1292" s="6">
        <f>DAY(Consulta2[[#This Row],[DATA]])</f>
        <v>14</v>
      </c>
      <c r="I1292" s="6">
        <f>MONTH(Consulta2[[#This Row],[DATA]])</f>
        <v>7</v>
      </c>
      <c r="J1292" t="str">
        <f>CONCATENATE(Consulta2[[#This Row],[SAFRA]],Consulta2[[#This Row],[dia]])</f>
        <v>20270714</v>
      </c>
      <c r="K1292">
        <f>Consulta2[[#This Row],[DIA_UTIL_CORRENTE]]</f>
        <v>10</v>
      </c>
    </row>
    <row r="1293" spans="1:11" x14ac:dyDescent="0.25">
      <c r="A1293">
        <v>202707</v>
      </c>
      <c r="B1293">
        <v>11</v>
      </c>
      <c r="C1293" s="148">
        <v>46583</v>
      </c>
      <c r="D1293">
        <v>22</v>
      </c>
      <c r="E1293">
        <v>22</v>
      </c>
      <c r="F1293">
        <v>890</v>
      </c>
      <c r="G1293">
        <f>Consulta2[[#This Row],[DIA_UTIL_CORRENTE]]</f>
        <v>11</v>
      </c>
      <c r="H1293" s="6">
        <f>DAY(Consulta2[[#This Row],[DATA]])</f>
        <v>15</v>
      </c>
      <c r="I1293" s="6">
        <f>MONTH(Consulta2[[#This Row],[DATA]])</f>
        <v>7</v>
      </c>
      <c r="J1293" t="str">
        <f>CONCATENATE(Consulta2[[#This Row],[SAFRA]],Consulta2[[#This Row],[dia]])</f>
        <v>20270715</v>
      </c>
      <c r="K1293">
        <f>Consulta2[[#This Row],[DIA_UTIL_CORRENTE]]</f>
        <v>11</v>
      </c>
    </row>
    <row r="1294" spans="1:11" x14ac:dyDescent="0.25">
      <c r="A1294">
        <v>202707</v>
      </c>
      <c r="B1294">
        <v>12</v>
      </c>
      <c r="C1294" s="148">
        <v>46584</v>
      </c>
      <c r="D1294">
        <v>22</v>
      </c>
      <c r="E1294">
        <v>22</v>
      </c>
      <c r="F1294">
        <v>891</v>
      </c>
      <c r="G1294">
        <f>Consulta2[[#This Row],[DIA_UTIL_CORRENTE]]</f>
        <v>12</v>
      </c>
      <c r="H1294" s="6">
        <f>DAY(Consulta2[[#This Row],[DATA]])</f>
        <v>16</v>
      </c>
      <c r="I1294" s="6">
        <f>MONTH(Consulta2[[#This Row],[DATA]])</f>
        <v>7</v>
      </c>
      <c r="J1294" t="str">
        <f>CONCATENATE(Consulta2[[#This Row],[SAFRA]],Consulta2[[#This Row],[dia]])</f>
        <v>20270716</v>
      </c>
      <c r="K1294">
        <f>Consulta2[[#This Row],[DIA_UTIL_CORRENTE]]</f>
        <v>12</v>
      </c>
    </row>
    <row r="1295" spans="1:11" x14ac:dyDescent="0.25">
      <c r="A1295">
        <v>202707</v>
      </c>
      <c r="B1295">
        <v>12</v>
      </c>
      <c r="C1295" s="148">
        <v>46585</v>
      </c>
      <c r="D1295">
        <v>22</v>
      </c>
      <c r="E1295">
        <v>22</v>
      </c>
      <c r="F1295">
        <v>891</v>
      </c>
      <c r="G1295">
        <f>Consulta2[[#This Row],[DIA_UTIL_CORRENTE]]</f>
        <v>12</v>
      </c>
      <c r="H1295" s="6">
        <f>DAY(Consulta2[[#This Row],[DATA]])</f>
        <v>17</v>
      </c>
      <c r="I1295" s="6">
        <f>MONTH(Consulta2[[#This Row],[DATA]])</f>
        <v>7</v>
      </c>
      <c r="J1295" t="str">
        <f>CONCATENATE(Consulta2[[#This Row],[SAFRA]],Consulta2[[#This Row],[dia]])</f>
        <v>20270717</v>
      </c>
      <c r="K1295">
        <f>Consulta2[[#This Row],[DIA_UTIL_CORRENTE]]</f>
        <v>12</v>
      </c>
    </row>
    <row r="1296" spans="1:11" x14ac:dyDescent="0.25">
      <c r="A1296">
        <v>202707</v>
      </c>
      <c r="B1296">
        <v>12</v>
      </c>
      <c r="C1296" s="148">
        <v>46586</v>
      </c>
      <c r="D1296">
        <v>22</v>
      </c>
      <c r="E1296">
        <v>22</v>
      </c>
      <c r="F1296">
        <v>891</v>
      </c>
      <c r="G1296">
        <f>Consulta2[[#This Row],[DIA_UTIL_CORRENTE]]</f>
        <v>12</v>
      </c>
      <c r="H1296" s="6">
        <f>DAY(Consulta2[[#This Row],[DATA]])</f>
        <v>18</v>
      </c>
      <c r="I1296" s="6">
        <f>MONTH(Consulta2[[#This Row],[DATA]])</f>
        <v>7</v>
      </c>
      <c r="J1296" t="str">
        <f>CONCATENATE(Consulta2[[#This Row],[SAFRA]],Consulta2[[#This Row],[dia]])</f>
        <v>20270718</v>
      </c>
      <c r="K1296">
        <f>Consulta2[[#This Row],[DIA_UTIL_CORRENTE]]</f>
        <v>12</v>
      </c>
    </row>
    <row r="1297" spans="1:11" x14ac:dyDescent="0.25">
      <c r="A1297">
        <v>202707</v>
      </c>
      <c r="B1297">
        <v>13</v>
      </c>
      <c r="C1297" s="148">
        <v>46587</v>
      </c>
      <c r="D1297">
        <v>22</v>
      </c>
      <c r="E1297">
        <v>22</v>
      </c>
      <c r="F1297">
        <v>892</v>
      </c>
      <c r="G1297">
        <f>Consulta2[[#This Row],[DIA_UTIL_CORRENTE]]</f>
        <v>13</v>
      </c>
      <c r="H1297" s="6">
        <f>DAY(Consulta2[[#This Row],[DATA]])</f>
        <v>19</v>
      </c>
      <c r="I1297" s="6">
        <f>MONTH(Consulta2[[#This Row],[DATA]])</f>
        <v>7</v>
      </c>
      <c r="J1297" t="str">
        <f>CONCATENATE(Consulta2[[#This Row],[SAFRA]],Consulta2[[#This Row],[dia]])</f>
        <v>20270719</v>
      </c>
      <c r="K1297">
        <f>Consulta2[[#This Row],[DIA_UTIL_CORRENTE]]</f>
        <v>13</v>
      </c>
    </row>
    <row r="1298" spans="1:11" x14ac:dyDescent="0.25">
      <c r="A1298">
        <v>202707</v>
      </c>
      <c r="B1298">
        <v>14</v>
      </c>
      <c r="C1298" s="148">
        <v>46588</v>
      </c>
      <c r="D1298">
        <v>22</v>
      </c>
      <c r="E1298">
        <v>22</v>
      </c>
      <c r="F1298">
        <v>893</v>
      </c>
      <c r="G1298">
        <f>Consulta2[[#This Row],[DIA_UTIL_CORRENTE]]</f>
        <v>14</v>
      </c>
      <c r="H1298" s="6">
        <f>DAY(Consulta2[[#This Row],[DATA]])</f>
        <v>20</v>
      </c>
      <c r="I1298" s="6">
        <f>MONTH(Consulta2[[#This Row],[DATA]])</f>
        <v>7</v>
      </c>
      <c r="J1298" t="str">
        <f>CONCATENATE(Consulta2[[#This Row],[SAFRA]],Consulta2[[#This Row],[dia]])</f>
        <v>20270720</v>
      </c>
      <c r="K1298">
        <f>Consulta2[[#This Row],[DIA_UTIL_CORRENTE]]</f>
        <v>14</v>
      </c>
    </row>
    <row r="1299" spans="1:11" x14ac:dyDescent="0.25">
      <c r="A1299">
        <v>202707</v>
      </c>
      <c r="B1299">
        <v>15</v>
      </c>
      <c r="C1299" s="148">
        <v>46589</v>
      </c>
      <c r="D1299">
        <v>22</v>
      </c>
      <c r="E1299">
        <v>22</v>
      </c>
      <c r="F1299">
        <v>894</v>
      </c>
      <c r="G1299">
        <f>Consulta2[[#This Row],[DIA_UTIL_CORRENTE]]</f>
        <v>15</v>
      </c>
      <c r="H1299" s="6">
        <f>DAY(Consulta2[[#This Row],[DATA]])</f>
        <v>21</v>
      </c>
      <c r="I1299" s="6">
        <f>MONTH(Consulta2[[#This Row],[DATA]])</f>
        <v>7</v>
      </c>
      <c r="J1299" t="str">
        <f>CONCATENATE(Consulta2[[#This Row],[SAFRA]],Consulta2[[#This Row],[dia]])</f>
        <v>20270721</v>
      </c>
      <c r="K1299">
        <f>Consulta2[[#This Row],[DIA_UTIL_CORRENTE]]</f>
        <v>15</v>
      </c>
    </row>
    <row r="1300" spans="1:11" x14ac:dyDescent="0.25">
      <c r="A1300">
        <v>202707</v>
      </c>
      <c r="B1300">
        <v>16</v>
      </c>
      <c r="C1300" s="148">
        <v>46590</v>
      </c>
      <c r="D1300">
        <v>22</v>
      </c>
      <c r="E1300">
        <v>22</v>
      </c>
      <c r="F1300">
        <v>895</v>
      </c>
      <c r="G1300">
        <f>Consulta2[[#This Row],[DIA_UTIL_CORRENTE]]</f>
        <v>16</v>
      </c>
      <c r="H1300" s="6">
        <f>DAY(Consulta2[[#This Row],[DATA]])</f>
        <v>22</v>
      </c>
      <c r="I1300" s="6">
        <f>MONTH(Consulta2[[#This Row],[DATA]])</f>
        <v>7</v>
      </c>
      <c r="J1300" t="str">
        <f>CONCATENATE(Consulta2[[#This Row],[SAFRA]],Consulta2[[#This Row],[dia]])</f>
        <v>20270722</v>
      </c>
      <c r="K1300">
        <f>Consulta2[[#This Row],[DIA_UTIL_CORRENTE]]</f>
        <v>16</v>
      </c>
    </row>
    <row r="1301" spans="1:11" x14ac:dyDescent="0.25">
      <c r="A1301">
        <v>202707</v>
      </c>
      <c r="B1301">
        <v>17</v>
      </c>
      <c r="C1301" s="148">
        <v>46591</v>
      </c>
      <c r="D1301">
        <v>22</v>
      </c>
      <c r="E1301">
        <v>22</v>
      </c>
      <c r="F1301">
        <v>896</v>
      </c>
      <c r="G1301">
        <f>Consulta2[[#This Row],[DIA_UTIL_CORRENTE]]</f>
        <v>17</v>
      </c>
      <c r="H1301" s="6">
        <f>DAY(Consulta2[[#This Row],[DATA]])</f>
        <v>23</v>
      </c>
      <c r="I1301" s="6">
        <f>MONTH(Consulta2[[#This Row],[DATA]])</f>
        <v>7</v>
      </c>
      <c r="J1301" t="str">
        <f>CONCATENATE(Consulta2[[#This Row],[SAFRA]],Consulta2[[#This Row],[dia]])</f>
        <v>20270723</v>
      </c>
      <c r="K1301">
        <f>Consulta2[[#This Row],[DIA_UTIL_CORRENTE]]</f>
        <v>17</v>
      </c>
    </row>
    <row r="1302" spans="1:11" x14ac:dyDescent="0.25">
      <c r="A1302">
        <v>202707</v>
      </c>
      <c r="B1302">
        <v>17</v>
      </c>
      <c r="C1302" s="148">
        <v>46592</v>
      </c>
      <c r="D1302">
        <v>22</v>
      </c>
      <c r="E1302">
        <v>22</v>
      </c>
      <c r="F1302">
        <v>896</v>
      </c>
      <c r="G1302">
        <f>Consulta2[[#This Row],[DIA_UTIL_CORRENTE]]</f>
        <v>17</v>
      </c>
      <c r="H1302" s="6">
        <f>DAY(Consulta2[[#This Row],[DATA]])</f>
        <v>24</v>
      </c>
      <c r="I1302" s="6">
        <f>MONTH(Consulta2[[#This Row],[DATA]])</f>
        <v>7</v>
      </c>
      <c r="J1302" t="str">
        <f>CONCATENATE(Consulta2[[#This Row],[SAFRA]],Consulta2[[#This Row],[dia]])</f>
        <v>20270724</v>
      </c>
      <c r="K1302">
        <f>Consulta2[[#This Row],[DIA_UTIL_CORRENTE]]</f>
        <v>17</v>
      </c>
    </row>
    <row r="1303" spans="1:11" x14ac:dyDescent="0.25">
      <c r="A1303">
        <v>202707</v>
      </c>
      <c r="B1303">
        <v>17</v>
      </c>
      <c r="C1303" s="148">
        <v>46593</v>
      </c>
      <c r="D1303">
        <v>22</v>
      </c>
      <c r="E1303">
        <v>22</v>
      </c>
      <c r="F1303">
        <v>896</v>
      </c>
      <c r="G1303">
        <f>Consulta2[[#This Row],[DIA_UTIL_CORRENTE]]</f>
        <v>17</v>
      </c>
      <c r="H1303" s="6">
        <f>DAY(Consulta2[[#This Row],[DATA]])</f>
        <v>25</v>
      </c>
      <c r="I1303" s="6">
        <f>MONTH(Consulta2[[#This Row],[DATA]])</f>
        <v>7</v>
      </c>
      <c r="J1303" t="str">
        <f>CONCATENATE(Consulta2[[#This Row],[SAFRA]],Consulta2[[#This Row],[dia]])</f>
        <v>20270725</v>
      </c>
      <c r="K1303">
        <f>Consulta2[[#This Row],[DIA_UTIL_CORRENTE]]</f>
        <v>17</v>
      </c>
    </row>
    <row r="1304" spans="1:11" x14ac:dyDescent="0.25">
      <c r="A1304">
        <v>202707</v>
      </c>
      <c r="B1304">
        <v>18</v>
      </c>
      <c r="C1304" s="148">
        <v>46594</v>
      </c>
      <c r="D1304">
        <v>22</v>
      </c>
      <c r="E1304">
        <v>22</v>
      </c>
      <c r="F1304">
        <v>897</v>
      </c>
      <c r="G1304">
        <f>Consulta2[[#This Row],[DIA_UTIL_CORRENTE]]</f>
        <v>18</v>
      </c>
      <c r="H1304" s="6">
        <f>DAY(Consulta2[[#This Row],[DATA]])</f>
        <v>26</v>
      </c>
      <c r="I1304" s="6">
        <f>MONTH(Consulta2[[#This Row],[DATA]])</f>
        <v>7</v>
      </c>
      <c r="J1304" t="str">
        <f>CONCATENATE(Consulta2[[#This Row],[SAFRA]],Consulta2[[#This Row],[dia]])</f>
        <v>20270726</v>
      </c>
      <c r="K1304">
        <f>Consulta2[[#This Row],[DIA_UTIL_CORRENTE]]</f>
        <v>18</v>
      </c>
    </row>
    <row r="1305" spans="1:11" x14ac:dyDescent="0.25">
      <c r="A1305">
        <v>202707</v>
      </c>
      <c r="B1305">
        <v>19</v>
      </c>
      <c r="C1305" s="148">
        <v>46595</v>
      </c>
      <c r="D1305">
        <v>22</v>
      </c>
      <c r="E1305">
        <v>22</v>
      </c>
      <c r="F1305">
        <v>898</v>
      </c>
      <c r="G1305">
        <f>Consulta2[[#This Row],[DIA_UTIL_CORRENTE]]</f>
        <v>19</v>
      </c>
      <c r="H1305" s="6">
        <f>DAY(Consulta2[[#This Row],[DATA]])</f>
        <v>27</v>
      </c>
      <c r="I1305" s="6">
        <f>MONTH(Consulta2[[#This Row],[DATA]])</f>
        <v>7</v>
      </c>
      <c r="J1305" t="str">
        <f>CONCATENATE(Consulta2[[#This Row],[SAFRA]],Consulta2[[#This Row],[dia]])</f>
        <v>20270727</v>
      </c>
      <c r="K1305">
        <f>Consulta2[[#This Row],[DIA_UTIL_CORRENTE]]</f>
        <v>19</v>
      </c>
    </row>
    <row r="1306" spans="1:11" x14ac:dyDescent="0.25">
      <c r="A1306">
        <v>202707</v>
      </c>
      <c r="B1306">
        <v>20</v>
      </c>
      <c r="C1306" s="148">
        <v>46596</v>
      </c>
      <c r="D1306">
        <v>22</v>
      </c>
      <c r="E1306">
        <v>22</v>
      </c>
      <c r="F1306">
        <v>899</v>
      </c>
      <c r="G1306">
        <f>Consulta2[[#This Row],[DIA_UTIL_CORRENTE]]</f>
        <v>20</v>
      </c>
      <c r="H1306" s="6">
        <f>DAY(Consulta2[[#This Row],[DATA]])</f>
        <v>28</v>
      </c>
      <c r="I1306" s="6">
        <f>MONTH(Consulta2[[#This Row],[DATA]])</f>
        <v>7</v>
      </c>
      <c r="J1306" t="str">
        <f>CONCATENATE(Consulta2[[#This Row],[SAFRA]],Consulta2[[#This Row],[dia]])</f>
        <v>20270728</v>
      </c>
      <c r="K1306">
        <f>Consulta2[[#This Row],[DIA_UTIL_CORRENTE]]</f>
        <v>20</v>
      </c>
    </row>
    <row r="1307" spans="1:11" x14ac:dyDescent="0.25">
      <c r="A1307">
        <v>202707</v>
      </c>
      <c r="B1307">
        <v>21</v>
      </c>
      <c r="C1307" s="148">
        <v>46597</v>
      </c>
      <c r="D1307">
        <v>22</v>
      </c>
      <c r="E1307">
        <v>22</v>
      </c>
      <c r="F1307">
        <v>900</v>
      </c>
      <c r="G1307">
        <f>Consulta2[[#This Row],[DIA_UTIL_CORRENTE]]</f>
        <v>21</v>
      </c>
      <c r="H1307" s="6">
        <f>DAY(Consulta2[[#This Row],[DATA]])</f>
        <v>29</v>
      </c>
      <c r="I1307" s="6">
        <f>MONTH(Consulta2[[#This Row],[DATA]])</f>
        <v>7</v>
      </c>
      <c r="J1307" t="str">
        <f>CONCATENATE(Consulta2[[#This Row],[SAFRA]],Consulta2[[#This Row],[dia]])</f>
        <v>20270729</v>
      </c>
      <c r="K1307">
        <f>Consulta2[[#This Row],[DIA_UTIL_CORRENTE]]</f>
        <v>21</v>
      </c>
    </row>
    <row r="1308" spans="1:11" x14ac:dyDescent="0.25">
      <c r="A1308">
        <v>202707</v>
      </c>
      <c r="B1308">
        <v>22</v>
      </c>
      <c r="C1308" s="148">
        <v>46598</v>
      </c>
      <c r="D1308">
        <v>22</v>
      </c>
      <c r="E1308">
        <v>22</v>
      </c>
      <c r="F1308">
        <v>901</v>
      </c>
      <c r="G1308">
        <f>Consulta2[[#This Row],[DIA_UTIL_CORRENTE]]</f>
        <v>22</v>
      </c>
      <c r="H1308" s="6">
        <f>DAY(Consulta2[[#This Row],[DATA]])</f>
        <v>30</v>
      </c>
      <c r="I1308" s="6">
        <f>MONTH(Consulta2[[#This Row],[DATA]])</f>
        <v>7</v>
      </c>
      <c r="J1308" t="str">
        <f>CONCATENATE(Consulta2[[#This Row],[SAFRA]],Consulta2[[#This Row],[dia]])</f>
        <v>20270730</v>
      </c>
      <c r="K1308">
        <f>Consulta2[[#This Row],[DIA_UTIL_CORRENTE]]</f>
        <v>22</v>
      </c>
    </row>
    <row r="1309" spans="1:11" x14ac:dyDescent="0.25">
      <c r="A1309">
        <v>202707</v>
      </c>
      <c r="B1309">
        <v>22</v>
      </c>
      <c r="C1309" s="148">
        <v>46599</v>
      </c>
      <c r="D1309">
        <v>22</v>
      </c>
      <c r="E1309">
        <v>22</v>
      </c>
      <c r="F1309">
        <v>901</v>
      </c>
      <c r="G1309">
        <f>Consulta2[[#This Row],[DIA_UTIL_CORRENTE]]</f>
        <v>22</v>
      </c>
      <c r="H1309" s="6">
        <f>DAY(Consulta2[[#This Row],[DATA]])</f>
        <v>31</v>
      </c>
      <c r="I1309" s="6">
        <f>MONTH(Consulta2[[#This Row],[DATA]])</f>
        <v>7</v>
      </c>
      <c r="J1309" t="str">
        <f>CONCATENATE(Consulta2[[#This Row],[SAFRA]],Consulta2[[#This Row],[dia]])</f>
        <v>20270731</v>
      </c>
      <c r="K1309">
        <f>Consulta2[[#This Row],[DIA_UTIL_CORRENTE]]</f>
        <v>22</v>
      </c>
    </row>
    <row r="1310" spans="1:11" x14ac:dyDescent="0.25">
      <c r="A1310">
        <v>202708</v>
      </c>
      <c r="B1310">
        <v>0</v>
      </c>
      <c r="C1310" s="148">
        <v>46600</v>
      </c>
      <c r="D1310">
        <v>22</v>
      </c>
      <c r="E1310">
        <v>22</v>
      </c>
      <c r="F1310">
        <v>901</v>
      </c>
      <c r="G1310">
        <f>Consulta2[[#This Row],[DIA_UTIL_CORRENTE]]</f>
        <v>0</v>
      </c>
      <c r="H1310" s="6">
        <f>DAY(Consulta2[[#This Row],[DATA]])</f>
        <v>1</v>
      </c>
      <c r="I1310" s="6">
        <f>MONTH(Consulta2[[#This Row],[DATA]])</f>
        <v>8</v>
      </c>
      <c r="J1310" t="str">
        <f>CONCATENATE(Consulta2[[#This Row],[SAFRA]],Consulta2[[#This Row],[dia]])</f>
        <v>2027081</v>
      </c>
      <c r="K1310">
        <f>Consulta2[[#This Row],[DIA_UTIL_CORRENTE]]</f>
        <v>0</v>
      </c>
    </row>
    <row r="1311" spans="1:11" x14ac:dyDescent="0.25">
      <c r="A1311">
        <v>202708</v>
      </c>
      <c r="B1311">
        <v>1</v>
      </c>
      <c r="C1311" s="148">
        <v>46601</v>
      </c>
      <c r="D1311">
        <v>22</v>
      </c>
      <c r="E1311">
        <v>22</v>
      </c>
      <c r="F1311">
        <v>902</v>
      </c>
      <c r="G1311">
        <f>Consulta2[[#This Row],[DIA_UTIL_CORRENTE]]</f>
        <v>1</v>
      </c>
      <c r="H1311" s="6">
        <f>DAY(Consulta2[[#This Row],[DATA]])</f>
        <v>2</v>
      </c>
      <c r="I1311" s="6">
        <f>MONTH(Consulta2[[#This Row],[DATA]])</f>
        <v>8</v>
      </c>
      <c r="J1311" t="str">
        <f>CONCATENATE(Consulta2[[#This Row],[SAFRA]],Consulta2[[#This Row],[dia]])</f>
        <v>2027082</v>
      </c>
      <c r="K1311">
        <f>Consulta2[[#This Row],[DIA_UTIL_CORRENTE]]</f>
        <v>1</v>
      </c>
    </row>
    <row r="1312" spans="1:11" x14ac:dyDescent="0.25">
      <c r="A1312">
        <v>202708</v>
      </c>
      <c r="B1312">
        <v>2</v>
      </c>
      <c r="C1312" s="148">
        <v>46602</v>
      </c>
      <c r="D1312">
        <v>22</v>
      </c>
      <c r="E1312">
        <v>22</v>
      </c>
      <c r="F1312">
        <v>903</v>
      </c>
      <c r="G1312">
        <f>Consulta2[[#This Row],[DIA_UTIL_CORRENTE]]</f>
        <v>2</v>
      </c>
      <c r="H1312" s="6">
        <f>DAY(Consulta2[[#This Row],[DATA]])</f>
        <v>3</v>
      </c>
      <c r="I1312" s="6">
        <f>MONTH(Consulta2[[#This Row],[DATA]])</f>
        <v>8</v>
      </c>
      <c r="J1312" t="str">
        <f>CONCATENATE(Consulta2[[#This Row],[SAFRA]],Consulta2[[#This Row],[dia]])</f>
        <v>2027083</v>
      </c>
      <c r="K1312">
        <f>Consulta2[[#This Row],[DIA_UTIL_CORRENTE]]</f>
        <v>2</v>
      </c>
    </row>
    <row r="1313" spans="1:11" x14ac:dyDescent="0.25">
      <c r="A1313">
        <v>202708</v>
      </c>
      <c r="B1313">
        <v>3</v>
      </c>
      <c r="C1313" s="148">
        <v>46603</v>
      </c>
      <c r="D1313">
        <v>22</v>
      </c>
      <c r="E1313">
        <v>22</v>
      </c>
      <c r="F1313">
        <v>904</v>
      </c>
      <c r="G1313">
        <f>Consulta2[[#This Row],[DIA_UTIL_CORRENTE]]</f>
        <v>3</v>
      </c>
      <c r="H1313" s="6">
        <f>DAY(Consulta2[[#This Row],[DATA]])</f>
        <v>4</v>
      </c>
      <c r="I1313" s="6">
        <f>MONTH(Consulta2[[#This Row],[DATA]])</f>
        <v>8</v>
      </c>
      <c r="J1313" t="str">
        <f>CONCATENATE(Consulta2[[#This Row],[SAFRA]],Consulta2[[#This Row],[dia]])</f>
        <v>2027084</v>
      </c>
      <c r="K1313">
        <f>Consulta2[[#This Row],[DIA_UTIL_CORRENTE]]</f>
        <v>3</v>
      </c>
    </row>
    <row r="1314" spans="1:11" x14ac:dyDescent="0.25">
      <c r="A1314">
        <v>202708</v>
      </c>
      <c r="B1314">
        <v>4</v>
      </c>
      <c r="C1314" s="148">
        <v>46604</v>
      </c>
      <c r="D1314">
        <v>22</v>
      </c>
      <c r="E1314">
        <v>22</v>
      </c>
      <c r="F1314">
        <v>905</v>
      </c>
      <c r="G1314">
        <f>Consulta2[[#This Row],[DIA_UTIL_CORRENTE]]</f>
        <v>4</v>
      </c>
      <c r="H1314" s="6">
        <f>DAY(Consulta2[[#This Row],[DATA]])</f>
        <v>5</v>
      </c>
      <c r="I1314" s="6">
        <f>MONTH(Consulta2[[#This Row],[DATA]])</f>
        <v>8</v>
      </c>
      <c r="J1314" t="str">
        <f>CONCATENATE(Consulta2[[#This Row],[SAFRA]],Consulta2[[#This Row],[dia]])</f>
        <v>2027085</v>
      </c>
      <c r="K1314">
        <f>Consulta2[[#This Row],[DIA_UTIL_CORRENTE]]</f>
        <v>4</v>
      </c>
    </row>
    <row r="1315" spans="1:11" x14ac:dyDescent="0.25">
      <c r="A1315">
        <v>202708</v>
      </c>
      <c r="B1315">
        <v>5</v>
      </c>
      <c r="C1315" s="148">
        <v>46605</v>
      </c>
      <c r="D1315">
        <v>22</v>
      </c>
      <c r="E1315">
        <v>22</v>
      </c>
      <c r="F1315">
        <v>906</v>
      </c>
      <c r="G1315">
        <f>Consulta2[[#This Row],[DIA_UTIL_CORRENTE]]</f>
        <v>5</v>
      </c>
      <c r="H1315" s="6">
        <f>DAY(Consulta2[[#This Row],[DATA]])</f>
        <v>6</v>
      </c>
      <c r="I1315" s="6">
        <f>MONTH(Consulta2[[#This Row],[DATA]])</f>
        <v>8</v>
      </c>
      <c r="J1315" t="str">
        <f>CONCATENATE(Consulta2[[#This Row],[SAFRA]],Consulta2[[#This Row],[dia]])</f>
        <v>2027086</v>
      </c>
      <c r="K1315">
        <f>Consulta2[[#This Row],[DIA_UTIL_CORRENTE]]</f>
        <v>5</v>
      </c>
    </row>
    <row r="1316" spans="1:11" x14ac:dyDescent="0.25">
      <c r="A1316">
        <v>202708</v>
      </c>
      <c r="B1316">
        <v>5</v>
      </c>
      <c r="C1316" s="148">
        <v>46606</v>
      </c>
      <c r="D1316">
        <v>22</v>
      </c>
      <c r="E1316">
        <v>22</v>
      </c>
      <c r="F1316">
        <v>906</v>
      </c>
      <c r="G1316">
        <f>Consulta2[[#This Row],[DIA_UTIL_CORRENTE]]</f>
        <v>5</v>
      </c>
      <c r="H1316" s="6">
        <f>DAY(Consulta2[[#This Row],[DATA]])</f>
        <v>7</v>
      </c>
      <c r="I1316" s="6">
        <f>MONTH(Consulta2[[#This Row],[DATA]])</f>
        <v>8</v>
      </c>
      <c r="J1316" t="str">
        <f>CONCATENATE(Consulta2[[#This Row],[SAFRA]],Consulta2[[#This Row],[dia]])</f>
        <v>2027087</v>
      </c>
      <c r="K1316">
        <f>Consulta2[[#This Row],[DIA_UTIL_CORRENTE]]</f>
        <v>5</v>
      </c>
    </row>
    <row r="1317" spans="1:11" x14ac:dyDescent="0.25">
      <c r="A1317">
        <v>202708</v>
      </c>
      <c r="B1317">
        <v>5</v>
      </c>
      <c r="C1317" s="148">
        <v>46607</v>
      </c>
      <c r="D1317">
        <v>22</v>
      </c>
      <c r="E1317">
        <v>22</v>
      </c>
      <c r="F1317">
        <v>906</v>
      </c>
      <c r="G1317">
        <f>Consulta2[[#This Row],[DIA_UTIL_CORRENTE]]</f>
        <v>5</v>
      </c>
      <c r="H1317" s="6">
        <f>DAY(Consulta2[[#This Row],[DATA]])</f>
        <v>8</v>
      </c>
      <c r="I1317" s="6">
        <f>MONTH(Consulta2[[#This Row],[DATA]])</f>
        <v>8</v>
      </c>
      <c r="J1317" t="str">
        <f>CONCATENATE(Consulta2[[#This Row],[SAFRA]],Consulta2[[#This Row],[dia]])</f>
        <v>2027088</v>
      </c>
      <c r="K1317">
        <f>Consulta2[[#This Row],[DIA_UTIL_CORRENTE]]</f>
        <v>5</v>
      </c>
    </row>
    <row r="1318" spans="1:11" x14ac:dyDescent="0.25">
      <c r="A1318">
        <v>202708</v>
      </c>
      <c r="B1318">
        <v>6</v>
      </c>
      <c r="C1318" s="148">
        <v>46608</v>
      </c>
      <c r="D1318">
        <v>22</v>
      </c>
      <c r="E1318">
        <v>22</v>
      </c>
      <c r="F1318">
        <v>907</v>
      </c>
      <c r="G1318">
        <f>Consulta2[[#This Row],[DIA_UTIL_CORRENTE]]</f>
        <v>6</v>
      </c>
      <c r="H1318" s="6">
        <f>DAY(Consulta2[[#This Row],[DATA]])</f>
        <v>9</v>
      </c>
      <c r="I1318" s="6">
        <f>MONTH(Consulta2[[#This Row],[DATA]])</f>
        <v>8</v>
      </c>
      <c r="J1318" t="str">
        <f>CONCATENATE(Consulta2[[#This Row],[SAFRA]],Consulta2[[#This Row],[dia]])</f>
        <v>2027089</v>
      </c>
      <c r="K1318">
        <f>Consulta2[[#This Row],[DIA_UTIL_CORRENTE]]</f>
        <v>6</v>
      </c>
    </row>
    <row r="1319" spans="1:11" x14ac:dyDescent="0.25">
      <c r="A1319">
        <v>202708</v>
      </c>
      <c r="B1319">
        <v>7</v>
      </c>
      <c r="C1319" s="148">
        <v>46609</v>
      </c>
      <c r="D1319">
        <v>22</v>
      </c>
      <c r="E1319">
        <v>22</v>
      </c>
      <c r="F1319">
        <v>908</v>
      </c>
      <c r="G1319">
        <f>Consulta2[[#This Row],[DIA_UTIL_CORRENTE]]</f>
        <v>7</v>
      </c>
      <c r="H1319" s="6">
        <f>DAY(Consulta2[[#This Row],[DATA]])</f>
        <v>10</v>
      </c>
      <c r="I1319" s="6">
        <f>MONTH(Consulta2[[#This Row],[DATA]])</f>
        <v>8</v>
      </c>
      <c r="J1319" t="str">
        <f>CONCATENATE(Consulta2[[#This Row],[SAFRA]],Consulta2[[#This Row],[dia]])</f>
        <v>20270810</v>
      </c>
      <c r="K1319">
        <f>Consulta2[[#This Row],[DIA_UTIL_CORRENTE]]</f>
        <v>7</v>
      </c>
    </row>
    <row r="1320" spans="1:11" x14ac:dyDescent="0.25">
      <c r="A1320">
        <v>202708</v>
      </c>
      <c r="B1320">
        <v>8</v>
      </c>
      <c r="C1320" s="148">
        <v>46610</v>
      </c>
      <c r="D1320">
        <v>22</v>
      </c>
      <c r="E1320">
        <v>22</v>
      </c>
      <c r="F1320">
        <v>909</v>
      </c>
      <c r="G1320">
        <f>Consulta2[[#This Row],[DIA_UTIL_CORRENTE]]</f>
        <v>8</v>
      </c>
      <c r="H1320" s="6">
        <f>DAY(Consulta2[[#This Row],[DATA]])</f>
        <v>11</v>
      </c>
      <c r="I1320" s="6">
        <f>MONTH(Consulta2[[#This Row],[DATA]])</f>
        <v>8</v>
      </c>
      <c r="J1320" t="str">
        <f>CONCATENATE(Consulta2[[#This Row],[SAFRA]],Consulta2[[#This Row],[dia]])</f>
        <v>20270811</v>
      </c>
      <c r="K1320">
        <f>Consulta2[[#This Row],[DIA_UTIL_CORRENTE]]</f>
        <v>8</v>
      </c>
    </row>
    <row r="1321" spans="1:11" x14ac:dyDescent="0.25">
      <c r="A1321">
        <v>202708</v>
      </c>
      <c r="B1321">
        <v>9</v>
      </c>
      <c r="C1321" s="148">
        <v>46611</v>
      </c>
      <c r="D1321">
        <v>22</v>
      </c>
      <c r="E1321">
        <v>22</v>
      </c>
      <c r="F1321">
        <v>910</v>
      </c>
      <c r="G1321">
        <f>Consulta2[[#This Row],[DIA_UTIL_CORRENTE]]</f>
        <v>9</v>
      </c>
      <c r="H1321" s="6">
        <f>DAY(Consulta2[[#This Row],[DATA]])</f>
        <v>12</v>
      </c>
      <c r="I1321" s="6">
        <f>MONTH(Consulta2[[#This Row],[DATA]])</f>
        <v>8</v>
      </c>
      <c r="J1321" t="str">
        <f>CONCATENATE(Consulta2[[#This Row],[SAFRA]],Consulta2[[#This Row],[dia]])</f>
        <v>20270812</v>
      </c>
      <c r="K1321">
        <f>Consulta2[[#This Row],[DIA_UTIL_CORRENTE]]</f>
        <v>9</v>
      </c>
    </row>
    <row r="1322" spans="1:11" x14ac:dyDescent="0.25">
      <c r="A1322">
        <v>202708</v>
      </c>
      <c r="B1322">
        <v>10</v>
      </c>
      <c r="C1322" s="148">
        <v>46612</v>
      </c>
      <c r="D1322">
        <v>22</v>
      </c>
      <c r="E1322">
        <v>22</v>
      </c>
      <c r="F1322">
        <v>911</v>
      </c>
      <c r="G1322">
        <f>Consulta2[[#This Row],[DIA_UTIL_CORRENTE]]</f>
        <v>10</v>
      </c>
      <c r="H1322" s="6">
        <f>DAY(Consulta2[[#This Row],[DATA]])</f>
        <v>13</v>
      </c>
      <c r="I1322" s="6">
        <f>MONTH(Consulta2[[#This Row],[DATA]])</f>
        <v>8</v>
      </c>
      <c r="J1322" t="str">
        <f>CONCATENATE(Consulta2[[#This Row],[SAFRA]],Consulta2[[#This Row],[dia]])</f>
        <v>20270813</v>
      </c>
      <c r="K1322">
        <f>Consulta2[[#This Row],[DIA_UTIL_CORRENTE]]</f>
        <v>10</v>
      </c>
    </row>
    <row r="1323" spans="1:11" x14ac:dyDescent="0.25">
      <c r="A1323">
        <v>202708</v>
      </c>
      <c r="B1323">
        <v>10</v>
      </c>
      <c r="C1323" s="148">
        <v>46613</v>
      </c>
      <c r="D1323">
        <v>22</v>
      </c>
      <c r="E1323">
        <v>22</v>
      </c>
      <c r="F1323">
        <v>911</v>
      </c>
      <c r="G1323">
        <f>Consulta2[[#This Row],[DIA_UTIL_CORRENTE]]</f>
        <v>10</v>
      </c>
      <c r="H1323" s="6">
        <f>DAY(Consulta2[[#This Row],[DATA]])</f>
        <v>14</v>
      </c>
      <c r="I1323" s="6">
        <f>MONTH(Consulta2[[#This Row],[DATA]])</f>
        <v>8</v>
      </c>
      <c r="J1323" t="str">
        <f>CONCATENATE(Consulta2[[#This Row],[SAFRA]],Consulta2[[#This Row],[dia]])</f>
        <v>20270814</v>
      </c>
      <c r="K1323">
        <f>Consulta2[[#This Row],[DIA_UTIL_CORRENTE]]</f>
        <v>10</v>
      </c>
    </row>
    <row r="1324" spans="1:11" x14ac:dyDescent="0.25">
      <c r="A1324">
        <v>202708</v>
      </c>
      <c r="B1324">
        <v>10</v>
      </c>
      <c r="C1324" s="148">
        <v>46614</v>
      </c>
      <c r="D1324">
        <v>22</v>
      </c>
      <c r="E1324">
        <v>22</v>
      </c>
      <c r="F1324">
        <v>911</v>
      </c>
      <c r="G1324">
        <f>Consulta2[[#This Row],[DIA_UTIL_CORRENTE]]</f>
        <v>10</v>
      </c>
      <c r="H1324" s="6">
        <f>DAY(Consulta2[[#This Row],[DATA]])</f>
        <v>15</v>
      </c>
      <c r="I1324" s="6">
        <f>MONTH(Consulta2[[#This Row],[DATA]])</f>
        <v>8</v>
      </c>
      <c r="J1324" t="str">
        <f>CONCATENATE(Consulta2[[#This Row],[SAFRA]],Consulta2[[#This Row],[dia]])</f>
        <v>20270815</v>
      </c>
      <c r="K1324">
        <f>Consulta2[[#This Row],[DIA_UTIL_CORRENTE]]</f>
        <v>10</v>
      </c>
    </row>
    <row r="1325" spans="1:11" x14ac:dyDescent="0.25">
      <c r="A1325">
        <v>202708</v>
      </c>
      <c r="B1325">
        <v>11</v>
      </c>
      <c r="C1325" s="148">
        <v>46615</v>
      </c>
      <c r="D1325">
        <v>22</v>
      </c>
      <c r="E1325">
        <v>22</v>
      </c>
      <c r="F1325">
        <v>912</v>
      </c>
      <c r="G1325">
        <f>Consulta2[[#This Row],[DIA_UTIL_CORRENTE]]</f>
        <v>11</v>
      </c>
      <c r="H1325" s="6">
        <f>DAY(Consulta2[[#This Row],[DATA]])</f>
        <v>16</v>
      </c>
      <c r="I1325" s="6">
        <f>MONTH(Consulta2[[#This Row],[DATA]])</f>
        <v>8</v>
      </c>
      <c r="J1325" t="str">
        <f>CONCATENATE(Consulta2[[#This Row],[SAFRA]],Consulta2[[#This Row],[dia]])</f>
        <v>20270816</v>
      </c>
      <c r="K1325">
        <f>Consulta2[[#This Row],[DIA_UTIL_CORRENTE]]</f>
        <v>11</v>
      </c>
    </row>
    <row r="1326" spans="1:11" x14ac:dyDescent="0.25">
      <c r="A1326">
        <v>202708</v>
      </c>
      <c r="B1326">
        <v>12</v>
      </c>
      <c r="C1326" s="148">
        <v>46616</v>
      </c>
      <c r="D1326">
        <v>22</v>
      </c>
      <c r="E1326">
        <v>22</v>
      </c>
      <c r="F1326">
        <v>913</v>
      </c>
      <c r="G1326">
        <f>Consulta2[[#This Row],[DIA_UTIL_CORRENTE]]</f>
        <v>12</v>
      </c>
      <c r="H1326" s="6">
        <f>DAY(Consulta2[[#This Row],[DATA]])</f>
        <v>17</v>
      </c>
      <c r="I1326" s="6">
        <f>MONTH(Consulta2[[#This Row],[DATA]])</f>
        <v>8</v>
      </c>
      <c r="J1326" t="str">
        <f>CONCATENATE(Consulta2[[#This Row],[SAFRA]],Consulta2[[#This Row],[dia]])</f>
        <v>20270817</v>
      </c>
      <c r="K1326">
        <f>Consulta2[[#This Row],[DIA_UTIL_CORRENTE]]</f>
        <v>12</v>
      </c>
    </row>
    <row r="1327" spans="1:11" x14ac:dyDescent="0.25">
      <c r="A1327">
        <v>202708</v>
      </c>
      <c r="B1327">
        <v>13</v>
      </c>
      <c r="C1327" s="148">
        <v>46617</v>
      </c>
      <c r="D1327">
        <v>22</v>
      </c>
      <c r="E1327">
        <v>22</v>
      </c>
      <c r="F1327">
        <v>914</v>
      </c>
      <c r="G1327">
        <f>Consulta2[[#This Row],[DIA_UTIL_CORRENTE]]</f>
        <v>13</v>
      </c>
      <c r="H1327" s="6">
        <f>DAY(Consulta2[[#This Row],[DATA]])</f>
        <v>18</v>
      </c>
      <c r="I1327" s="6">
        <f>MONTH(Consulta2[[#This Row],[DATA]])</f>
        <v>8</v>
      </c>
      <c r="J1327" t="str">
        <f>CONCATENATE(Consulta2[[#This Row],[SAFRA]],Consulta2[[#This Row],[dia]])</f>
        <v>20270818</v>
      </c>
      <c r="K1327">
        <f>Consulta2[[#This Row],[DIA_UTIL_CORRENTE]]</f>
        <v>13</v>
      </c>
    </row>
    <row r="1328" spans="1:11" x14ac:dyDescent="0.25">
      <c r="A1328">
        <v>202708</v>
      </c>
      <c r="B1328">
        <v>14</v>
      </c>
      <c r="C1328" s="148">
        <v>46618</v>
      </c>
      <c r="D1328">
        <v>22</v>
      </c>
      <c r="E1328">
        <v>22</v>
      </c>
      <c r="F1328">
        <v>915</v>
      </c>
      <c r="G1328">
        <f>Consulta2[[#This Row],[DIA_UTIL_CORRENTE]]</f>
        <v>14</v>
      </c>
      <c r="H1328" s="6">
        <f>DAY(Consulta2[[#This Row],[DATA]])</f>
        <v>19</v>
      </c>
      <c r="I1328" s="6">
        <f>MONTH(Consulta2[[#This Row],[DATA]])</f>
        <v>8</v>
      </c>
      <c r="J1328" t="str">
        <f>CONCATENATE(Consulta2[[#This Row],[SAFRA]],Consulta2[[#This Row],[dia]])</f>
        <v>20270819</v>
      </c>
      <c r="K1328">
        <f>Consulta2[[#This Row],[DIA_UTIL_CORRENTE]]</f>
        <v>14</v>
      </c>
    </row>
    <row r="1329" spans="1:11" x14ac:dyDescent="0.25">
      <c r="A1329">
        <v>202708</v>
      </c>
      <c r="B1329">
        <v>15</v>
      </c>
      <c r="C1329" s="148">
        <v>46619</v>
      </c>
      <c r="D1329">
        <v>22</v>
      </c>
      <c r="E1329">
        <v>22</v>
      </c>
      <c r="F1329">
        <v>916</v>
      </c>
      <c r="G1329">
        <f>Consulta2[[#This Row],[DIA_UTIL_CORRENTE]]</f>
        <v>15</v>
      </c>
      <c r="H1329" s="6">
        <f>DAY(Consulta2[[#This Row],[DATA]])</f>
        <v>20</v>
      </c>
      <c r="I1329" s="6">
        <f>MONTH(Consulta2[[#This Row],[DATA]])</f>
        <v>8</v>
      </c>
      <c r="J1329" t="str">
        <f>CONCATENATE(Consulta2[[#This Row],[SAFRA]],Consulta2[[#This Row],[dia]])</f>
        <v>20270820</v>
      </c>
      <c r="K1329">
        <f>Consulta2[[#This Row],[DIA_UTIL_CORRENTE]]</f>
        <v>15</v>
      </c>
    </row>
    <row r="1330" spans="1:11" x14ac:dyDescent="0.25">
      <c r="A1330">
        <v>202708</v>
      </c>
      <c r="B1330">
        <v>15</v>
      </c>
      <c r="C1330" s="148">
        <v>46620</v>
      </c>
      <c r="D1330">
        <v>22</v>
      </c>
      <c r="E1330">
        <v>22</v>
      </c>
      <c r="F1330">
        <v>916</v>
      </c>
      <c r="G1330">
        <f>Consulta2[[#This Row],[DIA_UTIL_CORRENTE]]</f>
        <v>15</v>
      </c>
      <c r="H1330" s="6">
        <f>DAY(Consulta2[[#This Row],[DATA]])</f>
        <v>21</v>
      </c>
      <c r="I1330" s="6">
        <f>MONTH(Consulta2[[#This Row],[DATA]])</f>
        <v>8</v>
      </c>
      <c r="J1330" t="str">
        <f>CONCATENATE(Consulta2[[#This Row],[SAFRA]],Consulta2[[#This Row],[dia]])</f>
        <v>20270821</v>
      </c>
      <c r="K1330">
        <f>Consulta2[[#This Row],[DIA_UTIL_CORRENTE]]</f>
        <v>15</v>
      </c>
    </row>
    <row r="1331" spans="1:11" x14ac:dyDescent="0.25">
      <c r="A1331">
        <v>202708</v>
      </c>
      <c r="B1331">
        <v>15</v>
      </c>
      <c r="C1331" s="148">
        <v>46621</v>
      </c>
      <c r="D1331">
        <v>22</v>
      </c>
      <c r="E1331">
        <v>22</v>
      </c>
      <c r="F1331">
        <v>916</v>
      </c>
      <c r="G1331">
        <f>Consulta2[[#This Row],[DIA_UTIL_CORRENTE]]</f>
        <v>15</v>
      </c>
      <c r="H1331" s="6">
        <f>DAY(Consulta2[[#This Row],[DATA]])</f>
        <v>22</v>
      </c>
      <c r="I1331" s="6">
        <f>MONTH(Consulta2[[#This Row],[DATA]])</f>
        <v>8</v>
      </c>
      <c r="J1331" t="str">
        <f>CONCATENATE(Consulta2[[#This Row],[SAFRA]],Consulta2[[#This Row],[dia]])</f>
        <v>20270822</v>
      </c>
      <c r="K1331">
        <f>Consulta2[[#This Row],[DIA_UTIL_CORRENTE]]</f>
        <v>15</v>
      </c>
    </row>
    <row r="1332" spans="1:11" x14ac:dyDescent="0.25">
      <c r="A1332">
        <v>202708</v>
      </c>
      <c r="B1332">
        <v>16</v>
      </c>
      <c r="C1332" s="148">
        <v>46622</v>
      </c>
      <c r="D1332">
        <v>22</v>
      </c>
      <c r="E1332">
        <v>22</v>
      </c>
      <c r="F1332">
        <v>917</v>
      </c>
      <c r="G1332">
        <f>Consulta2[[#This Row],[DIA_UTIL_CORRENTE]]</f>
        <v>16</v>
      </c>
      <c r="H1332" s="6">
        <f>DAY(Consulta2[[#This Row],[DATA]])</f>
        <v>23</v>
      </c>
      <c r="I1332" s="6">
        <f>MONTH(Consulta2[[#This Row],[DATA]])</f>
        <v>8</v>
      </c>
      <c r="J1332" t="str">
        <f>CONCATENATE(Consulta2[[#This Row],[SAFRA]],Consulta2[[#This Row],[dia]])</f>
        <v>20270823</v>
      </c>
      <c r="K1332">
        <f>Consulta2[[#This Row],[DIA_UTIL_CORRENTE]]</f>
        <v>16</v>
      </c>
    </row>
    <row r="1333" spans="1:11" x14ac:dyDescent="0.25">
      <c r="A1333">
        <v>202708</v>
      </c>
      <c r="B1333">
        <v>17</v>
      </c>
      <c r="C1333" s="148">
        <v>46623</v>
      </c>
      <c r="D1333">
        <v>22</v>
      </c>
      <c r="E1333">
        <v>22</v>
      </c>
      <c r="F1333">
        <v>918</v>
      </c>
      <c r="G1333">
        <f>Consulta2[[#This Row],[DIA_UTIL_CORRENTE]]</f>
        <v>17</v>
      </c>
      <c r="H1333" s="6">
        <f>DAY(Consulta2[[#This Row],[DATA]])</f>
        <v>24</v>
      </c>
      <c r="I1333" s="6">
        <f>MONTH(Consulta2[[#This Row],[DATA]])</f>
        <v>8</v>
      </c>
      <c r="J1333" t="str">
        <f>CONCATENATE(Consulta2[[#This Row],[SAFRA]],Consulta2[[#This Row],[dia]])</f>
        <v>20270824</v>
      </c>
      <c r="K1333">
        <f>Consulta2[[#This Row],[DIA_UTIL_CORRENTE]]</f>
        <v>17</v>
      </c>
    </row>
    <row r="1334" spans="1:11" x14ac:dyDescent="0.25">
      <c r="A1334">
        <v>202708</v>
      </c>
      <c r="B1334">
        <v>18</v>
      </c>
      <c r="C1334" s="148">
        <v>46624</v>
      </c>
      <c r="D1334">
        <v>22</v>
      </c>
      <c r="E1334">
        <v>22</v>
      </c>
      <c r="F1334">
        <v>919</v>
      </c>
      <c r="G1334">
        <f>Consulta2[[#This Row],[DIA_UTIL_CORRENTE]]</f>
        <v>18</v>
      </c>
      <c r="H1334" s="6">
        <f>DAY(Consulta2[[#This Row],[DATA]])</f>
        <v>25</v>
      </c>
      <c r="I1334" s="6">
        <f>MONTH(Consulta2[[#This Row],[DATA]])</f>
        <v>8</v>
      </c>
      <c r="J1334" t="str">
        <f>CONCATENATE(Consulta2[[#This Row],[SAFRA]],Consulta2[[#This Row],[dia]])</f>
        <v>20270825</v>
      </c>
      <c r="K1334">
        <f>Consulta2[[#This Row],[DIA_UTIL_CORRENTE]]</f>
        <v>18</v>
      </c>
    </row>
    <row r="1335" spans="1:11" x14ac:dyDescent="0.25">
      <c r="A1335">
        <v>202708</v>
      </c>
      <c r="B1335">
        <v>19</v>
      </c>
      <c r="C1335" s="148">
        <v>46625</v>
      </c>
      <c r="D1335">
        <v>22</v>
      </c>
      <c r="E1335">
        <v>22</v>
      </c>
      <c r="F1335">
        <v>920</v>
      </c>
      <c r="G1335">
        <f>Consulta2[[#This Row],[DIA_UTIL_CORRENTE]]</f>
        <v>19</v>
      </c>
      <c r="H1335" s="6">
        <f>DAY(Consulta2[[#This Row],[DATA]])</f>
        <v>26</v>
      </c>
      <c r="I1335" s="6">
        <f>MONTH(Consulta2[[#This Row],[DATA]])</f>
        <v>8</v>
      </c>
      <c r="J1335" t="str">
        <f>CONCATENATE(Consulta2[[#This Row],[SAFRA]],Consulta2[[#This Row],[dia]])</f>
        <v>20270826</v>
      </c>
      <c r="K1335">
        <f>Consulta2[[#This Row],[DIA_UTIL_CORRENTE]]</f>
        <v>19</v>
      </c>
    </row>
    <row r="1336" spans="1:11" x14ac:dyDescent="0.25">
      <c r="A1336">
        <v>202708</v>
      </c>
      <c r="B1336">
        <v>20</v>
      </c>
      <c r="C1336" s="148">
        <v>46626</v>
      </c>
      <c r="D1336">
        <v>22</v>
      </c>
      <c r="E1336">
        <v>22</v>
      </c>
      <c r="F1336">
        <v>921</v>
      </c>
      <c r="G1336">
        <f>Consulta2[[#This Row],[DIA_UTIL_CORRENTE]]</f>
        <v>20</v>
      </c>
      <c r="H1336" s="6">
        <f>DAY(Consulta2[[#This Row],[DATA]])</f>
        <v>27</v>
      </c>
      <c r="I1336" s="6">
        <f>MONTH(Consulta2[[#This Row],[DATA]])</f>
        <v>8</v>
      </c>
      <c r="J1336" t="str">
        <f>CONCATENATE(Consulta2[[#This Row],[SAFRA]],Consulta2[[#This Row],[dia]])</f>
        <v>20270827</v>
      </c>
      <c r="K1336">
        <f>Consulta2[[#This Row],[DIA_UTIL_CORRENTE]]</f>
        <v>20</v>
      </c>
    </row>
    <row r="1337" spans="1:11" x14ac:dyDescent="0.25">
      <c r="A1337">
        <v>202708</v>
      </c>
      <c r="B1337">
        <v>20</v>
      </c>
      <c r="C1337" s="148">
        <v>46627</v>
      </c>
      <c r="D1337">
        <v>22</v>
      </c>
      <c r="E1337">
        <v>22</v>
      </c>
      <c r="F1337">
        <v>921</v>
      </c>
      <c r="G1337">
        <f>Consulta2[[#This Row],[DIA_UTIL_CORRENTE]]</f>
        <v>20</v>
      </c>
      <c r="H1337" s="6">
        <f>DAY(Consulta2[[#This Row],[DATA]])</f>
        <v>28</v>
      </c>
      <c r="I1337" s="6">
        <f>MONTH(Consulta2[[#This Row],[DATA]])</f>
        <v>8</v>
      </c>
      <c r="J1337" t="str">
        <f>CONCATENATE(Consulta2[[#This Row],[SAFRA]],Consulta2[[#This Row],[dia]])</f>
        <v>20270828</v>
      </c>
      <c r="K1337">
        <f>Consulta2[[#This Row],[DIA_UTIL_CORRENTE]]</f>
        <v>20</v>
      </c>
    </row>
    <row r="1338" spans="1:11" x14ac:dyDescent="0.25">
      <c r="A1338">
        <v>202708</v>
      </c>
      <c r="B1338">
        <v>20</v>
      </c>
      <c r="C1338" s="148">
        <v>46628</v>
      </c>
      <c r="D1338">
        <v>22</v>
      </c>
      <c r="E1338">
        <v>22</v>
      </c>
      <c r="F1338">
        <v>921</v>
      </c>
      <c r="G1338">
        <f>Consulta2[[#This Row],[DIA_UTIL_CORRENTE]]</f>
        <v>20</v>
      </c>
      <c r="H1338" s="6">
        <f>DAY(Consulta2[[#This Row],[DATA]])</f>
        <v>29</v>
      </c>
      <c r="I1338" s="6">
        <f>MONTH(Consulta2[[#This Row],[DATA]])</f>
        <v>8</v>
      </c>
      <c r="J1338" t="str">
        <f>CONCATENATE(Consulta2[[#This Row],[SAFRA]],Consulta2[[#This Row],[dia]])</f>
        <v>20270829</v>
      </c>
      <c r="K1338">
        <f>Consulta2[[#This Row],[DIA_UTIL_CORRENTE]]</f>
        <v>20</v>
      </c>
    </row>
    <row r="1339" spans="1:11" x14ac:dyDescent="0.25">
      <c r="A1339">
        <v>202708</v>
      </c>
      <c r="B1339">
        <v>21</v>
      </c>
      <c r="C1339" s="148">
        <v>46629</v>
      </c>
      <c r="D1339">
        <v>22</v>
      </c>
      <c r="E1339">
        <v>22</v>
      </c>
      <c r="F1339">
        <v>922</v>
      </c>
      <c r="G1339">
        <f>Consulta2[[#This Row],[DIA_UTIL_CORRENTE]]</f>
        <v>21</v>
      </c>
      <c r="H1339" s="6">
        <f>DAY(Consulta2[[#This Row],[DATA]])</f>
        <v>30</v>
      </c>
      <c r="I1339" s="6">
        <f>MONTH(Consulta2[[#This Row],[DATA]])</f>
        <v>8</v>
      </c>
      <c r="J1339" t="str">
        <f>CONCATENATE(Consulta2[[#This Row],[SAFRA]],Consulta2[[#This Row],[dia]])</f>
        <v>20270830</v>
      </c>
      <c r="K1339">
        <f>Consulta2[[#This Row],[DIA_UTIL_CORRENTE]]</f>
        <v>21</v>
      </c>
    </row>
    <row r="1340" spans="1:11" x14ac:dyDescent="0.25">
      <c r="A1340">
        <v>202708</v>
      </c>
      <c r="B1340">
        <v>22</v>
      </c>
      <c r="C1340" s="148">
        <v>46630</v>
      </c>
      <c r="D1340">
        <v>22</v>
      </c>
      <c r="E1340">
        <v>22</v>
      </c>
      <c r="F1340">
        <v>923</v>
      </c>
      <c r="G1340">
        <f>Consulta2[[#This Row],[DIA_UTIL_CORRENTE]]</f>
        <v>22</v>
      </c>
      <c r="H1340" s="6">
        <f>DAY(Consulta2[[#This Row],[DATA]])</f>
        <v>31</v>
      </c>
      <c r="I1340" s="6">
        <f>MONTH(Consulta2[[#This Row],[DATA]])</f>
        <v>8</v>
      </c>
      <c r="J1340" t="str">
        <f>CONCATENATE(Consulta2[[#This Row],[SAFRA]],Consulta2[[#This Row],[dia]])</f>
        <v>20270831</v>
      </c>
      <c r="K1340">
        <f>Consulta2[[#This Row],[DIA_UTIL_CORRENTE]]</f>
        <v>22</v>
      </c>
    </row>
    <row r="1341" spans="1:11" x14ac:dyDescent="0.25">
      <c r="A1341">
        <v>202709</v>
      </c>
      <c r="B1341">
        <v>1</v>
      </c>
      <c r="C1341" s="148">
        <v>46631</v>
      </c>
      <c r="D1341">
        <v>21</v>
      </c>
      <c r="E1341">
        <v>21</v>
      </c>
      <c r="F1341">
        <v>924</v>
      </c>
      <c r="G1341">
        <f>Consulta2[[#This Row],[DIA_UTIL_CORRENTE]]</f>
        <v>1</v>
      </c>
      <c r="H1341" s="6">
        <f>DAY(Consulta2[[#This Row],[DATA]])</f>
        <v>1</v>
      </c>
      <c r="I1341" s="6">
        <f>MONTH(Consulta2[[#This Row],[DATA]])</f>
        <v>9</v>
      </c>
      <c r="J1341" t="str">
        <f>CONCATENATE(Consulta2[[#This Row],[SAFRA]],Consulta2[[#This Row],[dia]])</f>
        <v>2027091</v>
      </c>
      <c r="K1341">
        <f>Consulta2[[#This Row],[DIA_UTIL_CORRENTE]]</f>
        <v>1</v>
      </c>
    </row>
    <row r="1342" spans="1:11" x14ac:dyDescent="0.25">
      <c r="A1342">
        <v>202709</v>
      </c>
      <c r="B1342">
        <v>2</v>
      </c>
      <c r="C1342" s="148">
        <v>46632</v>
      </c>
      <c r="D1342">
        <v>21</v>
      </c>
      <c r="E1342">
        <v>21</v>
      </c>
      <c r="F1342">
        <v>925</v>
      </c>
      <c r="G1342">
        <f>Consulta2[[#This Row],[DIA_UTIL_CORRENTE]]</f>
        <v>2</v>
      </c>
      <c r="H1342" s="6">
        <f>DAY(Consulta2[[#This Row],[DATA]])</f>
        <v>2</v>
      </c>
      <c r="I1342" s="6">
        <f>MONTH(Consulta2[[#This Row],[DATA]])</f>
        <v>9</v>
      </c>
      <c r="J1342" t="str">
        <f>CONCATENATE(Consulta2[[#This Row],[SAFRA]],Consulta2[[#This Row],[dia]])</f>
        <v>2027092</v>
      </c>
      <c r="K1342">
        <f>Consulta2[[#This Row],[DIA_UTIL_CORRENTE]]</f>
        <v>2</v>
      </c>
    </row>
    <row r="1343" spans="1:11" x14ac:dyDescent="0.25">
      <c r="A1343">
        <v>202709</v>
      </c>
      <c r="B1343">
        <v>3</v>
      </c>
      <c r="C1343" s="148">
        <v>46633</v>
      </c>
      <c r="D1343">
        <v>21</v>
      </c>
      <c r="E1343">
        <v>21</v>
      </c>
      <c r="F1343">
        <v>926</v>
      </c>
      <c r="G1343">
        <f>Consulta2[[#This Row],[DIA_UTIL_CORRENTE]]</f>
        <v>3</v>
      </c>
      <c r="H1343" s="6">
        <f>DAY(Consulta2[[#This Row],[DATA]])</f>
        <v>3</v>
      </c>
      <c r="I1343" s="6">
        <f>MONTH(Consulta2[[#This Row],[DATA]])</f>
        <v>9</v>
      </c>
      <c r="J1343" t="str">
        <f>CONCATENATE(Consulta2[[#This Row],[SAFRA]],Consulta2[[#This Row],[dia]])</f>
        <v>2027093</v>
      </c>
      <c r="K1343">
        <f>Consulta2[[#This Row],[DIA_UTIL_CORRENTE]]</f>
        <v>3</v>
      </c>
    </row>
    <row r="1344" spans="1:11" x14ac:dyDescent="0.25">
      <c r="A1344">
        <v>202709</v>
      </c>
      <c r="B1344">
        <v>3</v>
      </c>
      <c r="C1344" s="148">
        <v>46634</v>
      </c>
      <c r="D1344">
        <v>21</v>
      </c>
      <c r="E1344">
        <v>21</v>
      </c>
      <c r="F1344">
        <v>926</v>
      </c>
      <c r="G1344">
        <f>Consulta2[[#This Row],[DIA_UTIL_CORRENTE]]</f>
        <v>3</v>
      </c>
      <c r="H1344" s="6">
        <f>DAY(Consulta2[[#This Row],[DATA]])</f>
        <v>4</v>
      </c>
      <c r="I1344" s="6">
        <f>MONTH(Consulta2[[#This Row],[DATA]])</f>
        <v>9</v>
      </c>
      <c r="J1344" t="str">
        <f>CONCATENATE(Consulta2[[#This Row],[SAFRA]],Consulta2[[#This Row],[dia]])</f>
        <v>2027094</v>
      </c>
      <c r="K1344">
        <f>Consulta2[[#This Row],[DIA_UTIL_CORRENTE]]</f>
        <v>3</v>
      </c>
    </row>
    <row r="1345" spans="1:11" x14ac:dyDescent="0.25">
      <c r="A1345">
        <v>202709</v>
      </c>
      <c r="B1345">
        <v>3</v>
      </c>
      <c r="C1345" s="148">
        <v>46635</v>
      </c>
      <c r="D1345">
        <v>21</v>
      </c>
      <c r="E1345">
        <v>21</v>
      </c>
      <c r="F1345">
        <v>926</v>
      </c>
      <c r="G1345">
        <f>Consulta2[[#This Row],[DIA_UTIL_CORRENTE]]</f>
        <v>3</v>
      </c>
      <c r="H1345" s="6">
        <f>DAY(Consulta2[[#This Row],[DATA]])</f>
        <v>5</v>
      </c>
      <c r="I1345" s="6">
        <f>MONTH(Consulta2[[#This Row],[DATA]])</f>
        <v>9</v>
      </c>
      <c r="J1345" t="str">
        <f>CONCATENATE(Consulta2[[#This Row],[SAFRA]],Consulta2[[#This Row],[dia]])</f>
        <v>2027095</v>
      </c>
      <c r="K1345">
        <f>Consulta2[[#This Row],[DIA_UTIL_CORRENTE]]</f>
        <v>3</v>
      </c>
    </row>
    <row r="1346" spans="1:11" x14ac:dyDescent="0.25">
      <c r="A1346">
        <v>202709</v>
      </c>
      <c r="B1346">
        <v>4</v>
      </c>
      <c r="C1346" s="148">
        <v>46636</v>
      </c>
      <c r="D1346">
        <v>21</v>
      </c>
      <c r="E1346">
        <v>21</v>
      </c>
      <c r="F1346">
        <v>927</v>
      </c>
      <c r="G1346">
        <f>Consulta2[[#This Row],[DIA_UTIL_CORRENTE]]</f>
        <v>4</v>
      </c>
      <c r="H1346" s="6">
        <f>DAY(Consulta2[[#This Row],[DATA]])</f>
        <v>6</v>
      </c>
      <c r="I1346" s="6">
        <f>MONTH(Consulta2[[#This Row],[DATA]])</f>
        <v>9</v>
      </c>
      <c r="J1346" t="str">
        <f>CONCATENATE(Consulta2[[#This Row],[SAFRA]],Consulta2[[#This Row],[dia]])</f>
        <v>2027096</v>
      </c>
      <c r="K1346">
        <f>Consulta2[[#This Row],[DIA_UTIL_CORRENTE]]</f>
        <v>4</v>
      </c>
    </row>
    <row r="1347" spans="1:11" x14ac:dyDescent="0.25">
      <c r="A1347">
        <v>202709</v>
      </c>
      <c r="B1347">
        <v>4</v>
      </c>
      <c r="C1347" s="148">
        <v>46637</v>
      </c>
      <c r="D1347">
        <v>21</v>
      </c>
      <c r="E1347">
        <v>21</v>
      </c>
      <c r="F1347">
        <v>927</v>
      </c>
      <c r="G1347">
        <f>Consulta2[[#This Row],[DIA_UTIL_CORRENTE]]</f>
        <v>4</v>
      </c>
      <c r="H1347" s="6">
        <f>DAY(Consulta2[[#This Row],[DATA]])</f>
        <v>7</v>
      </c>
      <c r="I1347" s="6">
        <f>MONTH(Consulta2[[#This Row],[DATA]])</f>
        <v>9</v>
      </c>
      <c r="J1347" t="str">
        <f>CONCATENATE(Consulta2[[#This Row],[SAFRA]],Consulta2[[#This Row],[dia]])</f>
        <v>2027097</v>
      </c>
      <c r="K1347">
        <f>Consulta2[[#This Row],[DIA_UTIL_CORRENTE]]</f>
        <v>4</v>
      </c>
    </row>
    <row r="1348" spans="1:11" x14ac:dyDescent="0.25">
      <c r="A1348">
        <v>202709</v>
      </c>
      <c r="B1348">
        <v>5</v>
      </c>
      <c r="C1348" s="148">
        <v>46638</v>
      </c>
      <c r="D1348">
        <v>21</v>
      </c>
      <c r="E1348">
        <v>21</v>
      </c>
      <c r="F1348">
        <v>928</v>
      </c>
      <c r="G1348">
        <f>Consulta2[[#This Row],[DIA_UTIL_CORRENTE]]</f>
        <v>5</v>
      </c>
      <c r="H1348" s="6">
        <f>DAY(Consulta2[[#This Row],[DATA]])</f>
        <v>8</v>
      </c>
      <c r="I1348" s="6">
        <f>MONTH(Consulta2[[#This Row],[DATA]])</f>
        <v>9</v>
      </c>
      <c r="J1348" t="str">
        <f>CONCATENATE(Consulta2[[#This Row],[SAFRA]],Consulta2[[#This Row],[dia]])</f>
        <v>2027098</v>
      </c>
      <c r="K1348">
        <f>Consulta2[[#This Row],[DIA_UTIL_CORRENTE]]</f>
        <v>5</v>
      </c>
    </row>
    <row r="1349" spans="1:11" x14ac:dyDescent="0.25">
      <c r="A1349">
        <v>202709</v>
      </c>
      <c r="B1349">
        <v>6</v>
      </c>
      <c r="C1349" s="148">
        <v>46639</v>
      </c>
      <c r="D1349">
        <v>21</v>
      </c>
      <c r="E1349">
        <v>21</v>
      </c>
      <c r="F1349">
        <v>929</v>
      </c>
      <c r="G1349">
        <f>Consulta2[[#This Row],[DIA_UTIL_CORRENTE]]</f>
        <v>6</v>
      </c>
      <c r="H1349" s="6">
        <f>DAY(Consulta2[[#This Row],[DATA]])</f>
        <v>9</v>
      </c>
      <c r="I1349" s="6">
        <f>MONTH(Consulta2[[#This Row],[DATA]])</f>
        <v>9</v>
      </c>
      <c r="J1349" t="str">
        <f>CONCATENATE(Consulta2[[#This Row],[SAFRA]],Consulta2[[#This Row],[dia]])</f>
        <v>2027099</v>
      </c>
      <c r="K1349">
        <f>Consulta2[[#This Row],[DIA_UTIL_CORRENTE]]</f>
        <v>6</v>
      </c>
    </row>
    <row r="1350" spans="1:11" x14ac:dyDescent="0.25">
      <c r="A1350">
        <v>202709</v>
      </c>
      <c r="B1350">
        <v>7</v>
      </c>
      <c r="C1350" s="148">
        <v>46640</v>
      </c>
      <c r="D1350">
        <v>21</v>
      </c>
      <c r="E1350">
        <v>21</v>
      </c>
      <c r="F1350">
        <v>930</v>
      </c>
      <c r="G1350">
        <f>Consulta2[[#This Row],[DIA_UTIL_CORRENTE]]</f>
        <v>7</v>
      </c>
      <c r="H1350" s="6">
        <f>DAY(Consulta2[[#This Row],[DATA]])</f>
        <v>10</v>
      </c>
      <c r="I1350" s="6">
        <f>MONTH(Consulta2[[#This Row],[DATA]])</f>
        <v>9</v>
      </c>
      <c r="J1350" t="str">
        <f>CONCATENATE(Consulta2[[#This Row],[SAFRA]],Consulta2[[#This Row],[dia]])</f>
        <v>20270910</v>
      </c>
      <c r="K1350">
        <f>Consulta2[[#This Row],[DIA_UTIL_CORRENTE]]</f>
        <v>7</v>
      </c>
    </row>
    <row r="1351" spans="1:11" x14ac:dyDescent="0.25">
      <c r="A1351">
        <v>202709</v>
      </c>
      <c r="B1351">
        <v>7</v>
      </c>
      <c r="C1351" s="148">
        <v>46641</v>
      </c>
      <c r="D1351">
        <v>21</v>
      </c>
      <c r="E1351">
        <v>21</v>
      </c>
      <c r="F1351">
        <v>930</v>
      </c>
      <c r="G1351">
        <f>Consulta2[[#This Row],[DIA_UTIL_CORRENTE]]</f>
        <v>7</v>
      </c>
      <c r="H1351" s="6">
        <f>DAY(Consulta2[[#This Row],[DATA]])</f>
        <v>11</v>
      </c>
      <c r="I1351" s="6">
        <f>MONTH(Consulta2[[#This Row],[DATA]])</f>
        <v>9</v>
      </c>
      <c r="J1351" t="str">
        <f>CONCATENATE(Consulta2[[#This Row],[SAFRA]],Consulta2[[#This Row],[dia]])</f>
        <v>20270911</v>
      </c>
      <c r="K1351">
        <f>Consulta2[[#This Row],[DIA_UTIL_CORRENTE]]</f>
        <v>7</v>
      </c>
    </row>
    <row r="1352" spans="1:11" x14ac:dyDescent="0.25">
      <c r="A1352">
        <v>202709</v>
      </c>
      <c r="B1352">
        <v>7</v>
      </c>
      <c r="C1352" s="148">
        <v>46642</v>
      </c>
      <c r="D1352">
        <v>21</v>
      </c>
      <c r="E1352">
        <v>21</v>
      </c>
      <c r="F1352">
        <v>930</v>
      </c>
      <c r="G1352">
        <f>Consulta2[[#This Row],[DIA_UTIL_CORRENTE]]</f>
        <v>7</v>
      </c>
      <c r="H1352" s="6">
        <f>DAY(Consulta2[[#This Row],[DATA]])</f>
        <v>12</v>
      </c>
      <c r="I1352" s="6">
        <f>MONTH(Consulta2[[#This Row],[DATA]])</f>
        <v>9</v>
      </c>
      <c r="J1352" t="str">
        <f>CONCATENATE(Consulta2[[#This Row],[SAFRA]],Consulta2[[#This Row],[dia]])</f>
        <v>20270912</v>
      </c>
      <c r="K1352">
        <f>Consulta2[[#This Row],[DIA_UTIL_CORRENTE]]</f>
        <v>7</v>
      </c>
    </row>
    <row r="1353" spans="1:11" x14ac:dyDescent="0.25">
      <c r="A1353">
        <v>202709</v>
      </c>
      <c r="B1353">
        <v>8</v>
      </c>
      <c r="C1353" s="148">
        <v>46643</v>
      </c>
      <c r="D1353">
        <v>21</v>
      </c>
      <c r="E1353">
        <v>21</v>
      </c>
      <c r="F1353">
        <v>931</v>
      </c>
      <c r="G1353">
        <f>Consulta2[[#This Row],[DIA_UTIL_CORRENTE]]</f>
        <v>8</v>
      </c>
      <c r="H1353" s="6">
        <f>DAY(Consulta2[[#This Row],[DATA]])</f>
        <v>13</v>
      </c>
      <c r="I1353" s="6">
        <f>MONTH(Consulta2[[#This Row],[DATA]])</f>
        <v>9</v>
      </c>
      <c r="J1353" t="str">
        <f>CONCATENATE(Consulta2[[#This Row],[SAFRA]],Consulta2[[#This Row],[dia]])</f>
        <v>20270913</v>
      </c>
      <c r="K1353">
        <f>Consulta2[[#This Row],[DIA_UTIL_CORRENTE]]</f>
        <v>8</v>
      </c>
    </row>
    <row r="1354" spans="1:11" x14ac:dyDescent="0.25">
      <c r="A1354">
        <v>202709</v>
      </c>
      <c r="B1354">
        <v>9</v>
      </c>
      <c r="C1354" s="148">
        <v>46644</v>
      </c>
      <c r="D1354">
        <v>21</v>
      </c>
      <c r="E1354">
        <v>21</v>
      </c>
      <c r="F1354">
        <v>932</v>
      </c>
      <c r="G1354">
        <f>Consulta2[[#This Row],[DIA_UTIL_CORRENTE]]</f>
        <v>9</v>
      </c>
      <c r="H1354" s="6">
        <f>DAY(Consulta2[[#This Row],[DATA]])</f>
        <v>14</v>
      </c>
      <c r="I1354" s="6">
        <f>MONTH(Consulta2[[#This Row],[DATA]])</f>
        <v>9</v>
      </c>
      <c r="J1354" t="str">
        <f>CONCATENATE(Consulta2[[#This Row],[SAFRA]],Consulta2[[#This Row],[dia]])</f>
        <v>20270914</v>
      </c>
      <c r="K1354">
        <f>Consulta2[[#This Row],[DIA_UTIL_CORRENTE]]</f>
        <v>9</v>
      </c>
    </row>
    <row r="1355" spans="1:11" x14ac:dyDescent="0.25">
      <c r="A1355">
        <v>202709</v>
      </c>
      <c r="B1355">
        <v>10</v>
      </c>
      <c r="C1355" s="148">
        <v>46645</v>
      </c>
      <c r="D1355">
        <v>21</v>
      </c>
      <c r="E1355">
        <v>21</v>
      </c>
      <c r="F1355">
        <v>933</v>
      </c>
      <c r="G1355">
        <f>Consulta2[[#This Row],[DIA_UTIL_CORRENTE]]</f>
        <v>10</v>
      </c>
      <c r="H1355" s="6">
        <f>DAY(Consulta2[[#This Row],[DATA]])</f>
        <v>15</v>
      </c>
      <c r="I1355" s="6">
        <f>MONTH(Consulta2[[#This Row],[DATA]])</f>
        <v>9</v>
      </c>
      <c r="J1355" t="str">
        <f>CONCATENATE(Consulta2[[#This Row],[SAFRA]],Consulta2[[#This Row],[dia]])</f>
        <v>20270915</v>
      </c>
      <c r="K1355">
        <f>Consulta2[[#This Row],[DIA_UTIL_CORRENTE]]</f>
        <v>10</v>
      </c>
    </row>
    <row r="1356" spans="1:11" x14ac:dyDescent="0.25">
      <c r="A1356">
        <v>202709</v>
      </c>
      <c r="B1356">
        <v>11</v>
      </c>
      <c r="C1356" s="148">
        <v>46646</v>
      </c>
      <c r="D1356">
        <v>21</v>
      </c>
      <c r="E1356">
        <v>21</v>
      </c>
      <c r="F1356">
        <v>934</v>
      </c>
      <c r="G1356">
        <f>Consulta2[[#This Row],[DIA_UTIL_CORRENTE]]</f>
        <v>11</v>
      </c>
      <c r="H1356" s="6">
        <f>DAY(Consulta2[[#This Row],[DATA]])</f>
        <v>16</v>
      </c>
      <c r="I1356" s="6">
        <f>MONTH(Consulta2[[#This Row],[DATA]])</f>
        <v>9</v>
      </c>
      <c r="J1356" t="str">
        <f>CONCATENATE(Consulta2[[#This Row],[SAFRA]],Consulta2[[#This Row],[dia]])</f>
        <v>20270916</v>
      </c>
      <c r="K1356">
        <f>Consulta2[[#This Row],[DIA_UTIL_CORRENTE]]</f>
        <v>11</v>
      </c>
    </row>
    <row r="1357" spans="1:11" x14ac:dyDescent="0.25">
      <c r="A1357">
        <v>202709</v>
      </c>
      <c r="B1357">
        <v>12</v>
      </c>
      <c r="C1357" s="148">
        <v>46647</v>
      </c>
      <c r="D1357">
        <v>21</v>
      </c>
      <c r="E1357">
        <v>21</v>
      </c>
      <c r="F1357">
        <v>935</v>
      </c>
      <c r="G1357">
        <f>Consulta2[[#This Row],[DIA_UTIL_CORRENTE]]</f>
        <v>12</v>
      </c>
      <c r="H1357" s="6">
        <f>DAY(Consulta2[[#This Row],[DATA]])</f>
        <v>17</v>
      </c>
      <c r="I1357" s="6">
        <f>MONTH(Consulta2[[#This Row],[DATA]])</f>
        <v>9</v>
      </c>
      <c r="J1357" t="str">
        <f>CONCATENATE(Consulta2[[#This Row],[SAFRA]],Consulta2[[#This Row],[dia]])</f>
        <v>20270917</v>
      </c>
      <c r="K1357">
        <f>Consulta2[[#This Row],[DIA_UTIL_CORRENTE]]</f>
        <v>12</v>
      </c>
    </row>
    <row r="1358" spans="1:11" x14ac:dyDescent="0.25">
      <c r="A1358">
        <v>202709</v>
      </c>
      <c r="B1358">
        <v>12</v>
      </c>
      <c r="C1358" s="148">
        <v>46648</v>
      </c>
      <c r="D1358">
        <v>21</v>
      </c>
      <c r="E1358">
        <v>21</v>
      </c>
      <c r="F1358">
        <v>935</v>
      </c>
      <c r="G1358">
        <f>Consulta2[[#This Row],[DIA_UTIL_CORRENTE]]</f>
        <v>12</v>
      </c>
      <c r="H1358" s="6">
        <f>DAY(Consulta2[[#This Row],[DATA]])</f>
        <v>18</v>
      </c>
      <c r="I1358" s="6">
        <f>MONTH(Consulta2[[#This Row],[DATA]])</f>
        <v>9</v>
      </c>
      <c r="J1358" t="str">
        <f>CONCATENATE(Consulta2[[#This Row],[SAFRA]],Consulta2[[#This Row],[dia]])</f>
        <v>20270918</v>
      </c>
      <c r="K1358">
        <f>Consulta2[[#This Row],[DIA_UTIL_CORRENTE]]</f>
        <v>12</v>
      </c>
    </row>
    <row r="1359" spans="1:11" x14ac:dyDescent="0.25">
      <c r="A1359">
        <v>202709</v>
      </c>
      <c r="B1359">
        <v>12</v>
      </c>
      <c r="C1359" s="148">
        <v>46649</v>
      </c>
      <c r="D1359">
        <v>21</v>
      </c>
      <c r="E1359">
        <v>21</v>
      </c>
      <c r="F1359">
        <v>935</v>
      </c>
      <c r="G1359">
        <f>Consulta2[[#This Row],[DIA_UTIL_CORRENTE]]</f>
        <v>12</v>
      </c>
      <c r="H1359" s="6">
        <f>DAY(Consulta2[[#This Row],[DATA]])</f>
        <v>19</v>
      </c>
      <c r="I1359" s="6">
        <f>MONTH(Consulta2[[#This Row],[DATA]])</f>
        <v>9</v>
      </c>
      <c r="J1359" t="str">
        <f>CONCATENATE(Consulta2[[#This Row],[SAFRA]],Consulta2[[#This Row],[dia]])</f>
        <v>20270919</v>
      </c>
      <c r="K1359">
        <f>Consulta2[[#This Row],[DIA_UTIL_CORRENTE]]</f>
        <v>12</v>
      </c>
    </row>
    <row r="1360" spans="1:11" x14ac:dyDescent="0.25">
      <c r="A1360">
        <v>202709</v>
      </c>
      <c r="B1360">
        <v>13</v>
      </c>
      <c r="C1360" s="148">
        <v>46650</v>
      </c>
      <c r="D1360">
        <v>21</v>
      </c>
      <c r="E1360">
        <v>21</v>
      </c>
      <c r="F1360">
        <v>936</v>
      </c>
      <c r="G1360">
        <f>Consulta2[[#This Row],[DIA_UTIL_CORRENTE]]</f>
        <v>13</v>
      </c>
      <c r="H1360" s="6">
        <f>DAY(Consulta2[[#This Row],[DATA]])</f>
        <v>20</v>
      </c>
      <c r="I1360" s="6">
        <f>MONTH(Consulta2[[#This Row],[DATA]])</f>
        <v>9</v>
      </c>
      <c r="J1360" t="str">
        <f>CONCATENATE(Consulta2[[#This Row],[SAFRA]],Consulta2[[#This Row],[dia]])</f>
        <v>20270920</v>
      </c>
      <c r="K1360">
        <f>Consulta2[[#This Row],[DIA_UTIL_CORRENTE]]</f>
        <v>13</v>
      </c>
    </row>
    <row r="1361" spans="1:11" x14ac:dyDescent="0.25">
      <c r="A1361">
        <v>202709</v>
      </c>
      <c r="B1361">
        <v>14</v>
      </c>
      <c r="C1361" s="148">
        <v>46651</v>
      </c>
      <c r="D1361">
        <v>21</v>
      </c>
      <c r="E1361">
        <v>21</v>
      </c>
      <c r="F1361">
        <v>937</v>
      </c>
      <c r="G1361">
        <f>Consulta2[[#This Row],[DIA_UTIL_CORRENTE]]</f>
        <v>14</v>
      </c>
      <c r="H1361" s="6">
        <f>DAY(Consulta2[[#This Row],[DATA]])</f>
        <v>21</v>
      </c>
      <c r="I1361" s="6">
        <f>MONTH(Consulta2[[#This Row],[DATA]])</f>
        <v>9</v>
      </c>
      <c r="J1361" t="str">
        <f>CONCATENATE(Consulta2[[#This Row],[SAFRA]],Consulta2[[#This Row],[dia]])</f>
        <v>20270921</v>
      </c>
      <c r="K1361">
        <f>Consulta2[[#This Row],[DIA_UTIL_CORRENTE]]</f>
        <v>14</v>
      </c>
    </row>
    <row r="1362" spans="1:11" x14ac:dyDescent="0.25">
      <c r="A1362">
        <v>202709</v>
      </c>
      <c r="B1362">
        <v>15</v>
      </c>
      <c r="C1362" s="148">
        <v>46652</v>
      </c>
      <c r="D1362">
        <v>21</v>
      </c>
      <c r="E1362">
        <v>21</v>
      </c>
      <c r="F1362">
        <v>938</v>
      </c>
      <c r="G1362">
        <f>Consulta2[[#This Row],[DIA_UTIL_CORRENTE]]</f>
        <v>15</v>
      </c>
      <c r="H1362" s="6">
        <f>DAY(Consulta2[[#This Row],[DATA]])</f>
        <v>22</v>
      </c>
      <c r="I1362" s="6">
        <f>MONTH(Consulta2[[#This Row],[DATA]])</f>
        <v>9</v>
      </c>
      <c r="J1362" t="str">
        <f>CONCATENATE(Consulta2[[#This Row],[SAFRA]],Consulta2[[#This Row],[dia]])</f>
        <v>20270922</v>
      </c>
      <c r="K1362">
        <f>Consulta2[[#This Row],[DIA_UTIL_CORRENTE]]</f>
        <v>15</v>
      </c>
    </row>
    <row r="1363" spans="1:11" x14ac:dyDescent="0.25">
      <c r="A1363">
        <v>202709</v>
      </c>
      <c r="B1363">
        <v>16</v>
      </c>
      <c r="C1363" s="148">
        <v>46653</v>
      </c>
      <c r="D1363">
        <v>21</v>
      </c>
      <c r="E1363">
        <v>21</v>
      </c>
      <c r="F1363">
        <v>939</v>
      </c>
      <c r="G1363">
        <f>Consulta2[[#This Row],[DIA_UTIL_CORRENTE]]</f>
        <v>16</v>
      </c>
      <c r="H1363" s="6">
        <f>DAY(Consulta2[[#This Row],[DATA]])</f>
        <v>23</v>
      </c>
      <c r="I1363" s="6">
        <f>MONTH(Consulta2[[#This Row],[DATA]])</f>
        <v>9</v>
      </c>
      <c r="J1363" t="str">
        <f>CONCATENATE(Consulta2[[#This Row],[SAFRA]],Consulta2[[#This Row],[dia]])</f>
        <v>20270923</v>
      </c>
      <c r="K1363">
        <f>Consulta2[[#This Row],[DIA_UTIL_CORRENTE]]</f>
        <v>16</v>
      </c>
    </row>
    <row r="1364" spans="1:11" x14ac:dyDescent="0.25">
      <c r="A1364">
        <v>202709</v>
      </c>
      <c r="B1364">
        <v>17</v>
      </c>
      <c r="C1364" s="148">
        <v>46654</v>
      </c>
      <c r="D1364">
        <v>21</v>
      </c>
      <c r="E1364">
        <v>21</v>
      </c>
      <c r="F1364">
        <v>940</v>
      </c>
      <c r="G1364">
        <f>Consulta2[[#This Row],[DIA_UTIL_CORRENTE]]</f>
        <v>17</v>
      </c>
      <c r="H1364" s="6">
        <f>DAY(Consulta2[[#This Row],[DATA]])</f>
        <v>24</v>
      </c>
      <c r="I1364" s="6">
        <f>MONTH(Consulta2[[#This Row],[DATA]])</f>
        <v>9</v>
      </c>
      <c r="J1364" t="str">
        <f>CONCATENATE(Consulta2[[#This Row],[SAFRA]],Consulta2[[#This Row],[dia]])</f>
        <v>20270924</v>
      </c>
      <c r="K1364">
        <f>Consulta2[[#This Row],[DIA_UTIL_CORRENTE]]</f>
        <v>17</v>
      </c>
    </row>
    <row r="1365" spans="1:11" x14ac:dyDescent="0.25">
      <c r="A1365">
        <v>202709</v>
      </c>
      <c r="B1365">
        <v>17</v>
      </c>
      <c r="C1365" s="148">
        <v>46655</v>
      </c>
      <c r="D1365">
        <v>21</v>
      </c>
      <c r="E1365">
        <v>21</v>
      </c>
      <c r="F1365">
        <v>940</v>
      </c>
      <c r="G1365">
        <f>Consulta2[[#This Row],[DIA_UTIL_CORRENTE]]</f>
        <v>17</v>
      </c>
      <c r="H1365" s="6">
        <f>DAY(Consulta2[[#This Row],[DATA]])</f>
        <v>25</v>
      </c>
      <c r="I1365" s="6">
        <f>MONTH(Consulta2[[#This Row],[DATA]])</f>
        <v>9</v>
      </c>
      <c r="J1365" t="str">
        <f>CONCATENATE(Consulta2[[#This Row],[SAFRA]],Consulta2[[#This Row],[dia]])</f>
        <v>20270925</v>
      </c>
      <c r="K1365">
        <f>Consulta2[[#This Row],[DIA_UTIL_CORRENTE]]</f>
        <v>17</v>
      </c>
    </row>
    <row r="1366" spans="1:11" x14ac:dyDescent="0.25">
      <c r="A1366">
        <v>202709</v>
      </c>
      <c r="B1366">
        <v>17</v>
      </c>
      <c r="C1366" s="148">
        <v>46656</v>
      </c>
      <c r="D1366">
        <v>21</v>
      </c>
      <c r="E1366">
        <v>21</v>
      </c>
      <c r="F1366">
        <v>940</v>
      </c>
      <c r="G1366">
        <f>Consulta2[[#This Row],[DIA_UTIL_CORRENTE]]</f>
        <v>17</v>
      </c>
      <c r="H1366" s="6">
        <f>DAY(Consulta2[[#This Row],[DATA]])</f>
        <v>26</v>
      </c>
      <c r="I1366" s="6">
        <f>MONTH(Consulta2[[#This Row],[DATA]])</f>
        <v>9</v>
      </c>
      <c r="J1366" t="str">
        <f>CONCATENATE(Consulta2[[#This Row],[SAFRA]],Consulta2[[#This Row],[dia]])</f>
        <v>20270926</v>
      </c>
      <c r="K1366">
        <f>Consulta2[[#This Row],[DIA_UTIL_CORRENTE]]</f>
        <v>17</v>
      </c>
    </row>
    <row r="1367" spans="1:11" x14ac:dyDescent="0.25">
      <c r="A1367">
        <v>202709</v>
      </c>
      <c r="B1367">
        <v>18</v>
      </c>
      <c r="C1367" s="148">
        <v>46657</v>
      </c>
      <c r="D1367">
        <v>21</v>
      </c>
      <c r="E1367">
        <v>21</v>
      </c>
      <c r="F1367">
        <v>941</v>
      </c>
      <c r="G1367">
        <f>Consulta2[[#This Row],[DIA_UTIL_CORRENTE]]</f>
        <v>18</v>
      </c>
      <c r="H1367" s="6">
        <f>DAY(Consulta2[[#This Row],[DATA]])</f>
        <v>27</v>
      </c>
      <c r="I1367" s="6">
        <f>MONTH(Consulta2[[#This Row],[DATA]])</f>
        <v>9</v>
      </c>
      <c r="J1367" t="str">
        <f>CONCATENATE(Consulta2[[#This Row],[SAFRA]],Consulta2[[#This Row],[dia]])</f>
        <v>20270927</v>
      </c>
      <c r="K1367">
        <f>Consulta2[[#This Row],[DIA_UTIL_CORRENTE]]</f>
        <v>18</v>
      </c>
    </row>
    <row r="1368" spans="1:11" x14ac:dyDescent="0.25">
      <c r="A1368">
        <v>202709</v>
      </c>
      <c r="B1368">
        <v>19</v>
      </c>
      <c r="C1368" s="148">
        <v>46658</v>
      </c>
      <c r="D1368">
        <v>21</v>
      </c>
      <c r="E1368">
        <v>21</v>
      </c>
      <c r="F1368">
        <v>942</v>
      </c>
      <c r="G1368">
        <f>Consulta2[[#This Row],[DIA_UTIL_CORRENTE]]</f>
        <v>19</v>
      </c>
      <c r="H1368" s="6">
        <f>DAY(Consulta2[[#This Row],[DATA]])</f>
        <v>28</v>
      </c>
      <c r="I1368" s="6">
        <f>MONTH(Consulta2[[#This Row],[DATA]])</f>
        <v>9</v>
      </c>
      <c r="J1368" t="str">
        <f>CONCATENATE(Consulta2[[#This Row],[SAFRA]],Consulta2[[#This Row],[dia]])</f>
        <v>20270928</v>
      </c>
      <c r="K1368">
        <f>Consulta2[[#This Row],[DIA_UTIL_CORRENTE]]</f>
        <v>19</v>
      </c>
    </row>
    <row r="1369" spans="1:11" x14ac:dyDescent="0.25">
      <c r="A1369">
        <v>202709</v>
      </c>
      <c r="B1369">
        <v>20</v>
      </c>
      <c r="C1369" s="148">
        <v>46659</v>
      </c>
      <c r="D1369">
        <v>21</v>
      </c>
      <c r="E1369">
        <v>21</v>
      </c>
      <c r="F1369">
        <v>943</v>
      </c>
      <c r="G1369">
        <f>Consulta2[[#This Row],[DIA_UTIL_CORRENTE]]</f>
        <v>20</v>
      </c>
      <c r="H1369" s="6">
        <f>DAY(Consulta2[[#This Row],[DATA]])</f>
        <v>29</v>
      </c>
      <c r="I1369" s="6">
        <f>MONTH(Consulta2[[#This Row],[DATA]])</f>
        <v>9</v>
      </c>
      <c r="J1369" t="str">
        <f>CONCATENATE(Consulta2[[#This Row],[SAFRA]],Consulta2[[#This Row],[dia]])</f>
        <v>20270929</v>
      </c>
      <c r="K1369">
        <f>Consulta2[[#This Row],[DIA_UTIL_CORRENTE]]</f>
        <v>20</v>
      </c>
    </row>
    <row r="1370" spans="1:11" x14ac:dyDescent="0.25">
      <c r="A1370">
        <v>202709</v>
      </c>
      <c r="B1370">
        <v>21</v>
      </c>
      <c r="C1370" s="148">
        <v>46660</v>
      </c>
      <c r="D1370">
        <v>21</v>
      </c>
      <c r="E1370">
        <v>21</v>
      </c>
      <c r="F1370">
        <v>944</v>
      </c>
      <c r="G1370">
        <f>Consulta2[[#This Row],[DIA_UTIL_CORRENTE]]</f>
        <v>21</v>
      </c>
      <c r="H1370" s="6">
        <f>DAY(Consulta2[[#This Row],[DATA]])</f>
        <v>30</v>
      </c>
      <c r="I1370" s="6">
        <f>MONTH(Consulta2[[#This Row],[DATA]])</f>
        <v>9</v>
      </c>
      <c r="J1370" t="str">
        <f>CONCATENATE(Consulta2[[#This Row],[SAFRA]],Consulta2[[#This Row],[dia]])</f>
        <v>20270930</v>
      </c>
      <c r="K1370">
        <f>Consulta2[[#This Row],[DIA_UTIL_CORRENTE]]</f>
        <v>21</v>
      </c>
    </row>
    <row r="1371" spans="1:11" x14ac:dyDescent="0.25">
      <c r="A1371">
        <v>202710</v>
      </c>
      <c r="B1371">
        <v>1</v>
      </c>
      <c r="C1371" s="148">
        <v>46661</v>
      </c>
      <c r="D1371">
        <v>20</v>
      </c>
      <c r="E1371">
        <v>20</v>
      </c>
      <c r="F1371">
        <v>945</v>
      </c>
      <c r="G1371">
        <f>Consulta2[[#This Row],[DIA_UTIL_CORRENTE]]</f>
        <v>1</v>
      </c>
      <c r="H1371" s="6">
        <f>DAY(Consulta2[[#This Row],[DATA]])</f>
        <v>1</v>
      </c>
      <c r="I1371" s="6">
        <f>MONTH(Consulta2[[#This Row],[DATA]])</f>
        <v>10</v>
      </c>
      <c r="J1371" t="str">
        <f>CONCATENATE(Consulta2[[#This Row],[SAFRA]],Consulta2[[#This Row],[dia]])</f>
        <v>2027101</v>
      </c>
      <c r="K1371">
        <f>Consulta2[[#This Row],[DIA_UTIL_CORRENTE]]</f>
        <v>1</v>
      </c>
    </row>
    <row r="1372" spans="1:11" x14ac:dyDescent="0.25">
      <c r="A1372">
        <v>202710</v>
      </c>
      <c r="B1372">
        <v>1</v>
      </c>
      <c r="C1372" s="148">
        <v>46662</v>
      </c>
      <c r="D1372">
        <v>20</v>
      </c>
      <c r="E1372">
        <v>20</v>
      </c>
      <c r="F1372">
        <v>945</v>
      </c>
      <c r="G1372">
        <f>Consulta2[[#This Row],[DIA_UTIL_CORRENTE]]</f>
        <v>1</v>
      </c>
      <c r="H1372" s="6">
        <f>DAY(Consulta2[[#This Row],[DATA]])</f>
        <v>2</v>
      </c>
      <c r="I1372" s="6">
        <f>MONTH(Consulta2[[#This Row],[DATA]])</f>
        <v>10</v>
      </c>
      <c r="J1372" t="str">
        <f>CONCATENATE(Consulta2[[#This Row],[SAFRA]],Consulta2[[#This Row],[dia]])</f>
        <v>2027102</v>
      </c>
      <c r="K1372">
        <f>Consulta2[[#This Row],[DIA_UTIL_CORRENTE]]</f>
        <v>1</v>
      </c>
    </row>
    <row r="1373" spans="1:11" x14ac:dyDescent="0.25">
      <c r="A1373">
        <v>202710</v>
      </c>
      <c r="B1373">
        <v>1</v>
      </c>
      <c r="C1373" s="148">
        <v>46663</v>
      </c>
      <c r="D1373">
        <v>20</v>
      </c>
      <c r="E1373">
        <v>20</v>
      </c>
      <c r="F1373">
        <v>945</v>
      </c>
      <c r="G1373">
        <f>Consulta2[[#This Row],[DIA_UTIL_CORRENTE]]</f>
        <v>1</v>
      </c>
      <c r="H1373" s="6">
        <f>DAY(Consulta2[[#This Row],[DATA]])</f>
        <v>3</v>
      </c>
      <c r="I1373" s="6">
        <f>MONTH(Consulta2[[#This Row],[DATA]])</f>
        <v>10</v>
      </c>
      <c r="J1373" t="str">
        <f>CONCATENATE(Consulta2[[#This Row],[SAFRA]],Consulta2[[#This Row],[dia]])</f>
        <v>2027103</v>
      </c>
      <c r="K1373">
        <f>Consulta2[[#This Row],[DIA_UTIL_CORRENTE]]</f>
        <v>1</v>
      </c>
    </row>
    <row r="1374" spans="1:11" x14ac:dyDescent="0.25">
      <c r="A1374">
        <v>202710</v>
      </c>
      <c r="B1374">
        <v>2</v>
      </c>
      <c r="C1374" s="148">
        <v>46664</v>
      </c>
      <c r="D1374">
        <v>20</v>
      </c>
      <c r="E1374">
        <v>20</v>
      </c>
      <c r="F1374">
        <v>946</v>
      </c>
      <c r="G1374">
        <f>Consulta2[[#This Row],[DIA_UTIL_CORRENTE]]</f>
        <v>2</v>
      </c>
      <c r="H1374" s="6">
        <f>DAY(Consulta2[[#This Row],[DATA]])</f>
        <v>4</v>
      </c>
      <c r="I1374" s="6">
        <f>MONTH(Consulta2[[#This Row],[DATA]])</f>
        <v>10</v>
      </c>
      <c r="J1374" t="str">
        <f>CONCATENATE(Consulta2[[#This Row],[SAFRA]],Consulta2[[#This Row],[dia]])</f>
        <v>2027104</v>
      </c>
      <c r="K1374">
        <f>Consulta2[[#This Row],[DIA_UTIL_CORRENTE]]</f>
        <v>2</v>
      </c>
    </row>
    <row r="1375" spans="1:11" x14ac:dyDescent="0.25">
      <c r="A1375">
        <v>202710</v>
      </c>
      <c r="B1375">
        <v>3</v>
      </c>
      <c r="C1375" s="148">
        <v>46665</v>
      </c>
      <c r="D1375">
        <v>20</v>
      </c>
      <c r="E1375">
        <v>20</v>
      </c>
      <c r="F1375">
        <v>947</v>
      </c>
      <c r="G1375">
        <f>Consulta2[[#This Row],[DIA_UTIL_CORRENTE]]</f>
        <v>3</v>
      </c>
      <c r="H1375" s="6">
        <f>DAY(Consulta2[[#This Row],[DATA]])</f>
        <v>5</v>
      </c>
      <c r="I1375" s="6">
        <f>MONTH(Consulta2[[#This Row],[DATA]])</f>
        <v>10</v>
      </c>
      <c r="J1375" t="str">
        <f>CONCATENATE(Consulta2[[#This Row],[SAFRA]],Consulta2[[#This Row],[dia]])</f>
        <v>2027105</v>
      </c>
      <c r="K1375">
        <f>Consulta2[[#This Row],[DIA_UTIL_CORRENTE]]</f>
        <v>3</v>
      </c>
    </row>
    <row r="1376" spans="1:11" x14ac:dyDescent="0.25">
      <c r="A1376">
        <v>202710</v>
      </c>
      <c r="B1376">
        <v>4</v>
      </c>
      <c r="C1376" s="148">
        <v>46666</v>
      </c>
      <c r="D1376">
        <v>20</v>
      </c>
      <c r="E1376">
        <v>20</v>
      </c>
      <c r="F1376">
        <v>948</v>
      </c>
      <c r="G1376">
        <f>Consulta2[[#This Row],[DIA_UTIL_CORRENTE]]</f>
        <v>4</v>
      </c>
      <c r="H1376" s="6">
        <f>DAY(Consulta2[[#This Row],[DATA]])</f>
        <v>6</v>
      </c>
      <c r="I1376" s="6">
        <f>MONTH(Consulta2[[#This Row],[DATA]])</f>
        <v>10</v>
      </c>
      <c r="J1376" t="str">
        <f>CONCATENATE(Consulta2[[#This Row],[SAFRA]],Consulta2[[#This Row],[dia]])</f>
        <v>2027106</v>
      </c>
      <c r="K1376">
        <f>Consulta2[[#This Row],[DIA_UTIL_CORRENTE]]</f>
        <v>4</v>
      </c>
    </row>
    <row r="1377" spans="1:11" x14ac:dyDescent="0.25">
      <c r="A1377">
        <v>202710</v>
      </c>
      <c r="B1377">
        <v>5</v>
      </c>
      <c r="C1377" s="148">
        <v>46667</v>
      </c>
      <c r="D1377">
        <v>20</v>
      </c>
      <c r="E1377">
        <v>20</v>
      </c>
      <c r="F1377">
        <v>949</v>
      </c>
      <c r="G1377">
        <f>Consulta2[[#This Row],[DIA_UTIL_CORRENTE]]</f>
        <v>5</v>
      </c>
      <c r="H1377" s="6">
        <f>DAY(Consulta2[[#This Row],[DATA]])</f>
        <v>7</v>
      </c>
      <c r="I1377" s="6">
        <f>MONTH(Consulta2[[#This Row],[DATA]])</f>
        <v>10</v>
      </c>
      <c r="J1377" t="str">
        <f>CONCATENATE(Consulta2[[#This Row],[SAFRA]],Consulta2[[#This Row],[dia]])</f>
        <v>2027107</v>
      </c>
      <c r="K1377">
        <f>Consulta2[[#This Row],[DIA_UTIL_CORRENTE]]</f>
        <v>5</v>
      </c>
    </row>
    <row r="1378" spans="1:11" x14ac:dyDescent="0.25">
      <c r="A1378">
        <v>202710</v>
      </c>
      <c r="B1378">
        <v>6</v>
      </c>
      <c r="C1378" s="148">
        <v>46668</v>
      </c>
      <c r="D1378">
        <v>20</v>
      </c>
      <c r="E1378">
        <v>20</v>
      </c>
      <c r="F1378">
        <v>950</v>
      </c>
      <c r="G1378">
        <f>Consulta2[[#This Row],[DIA_UTIL_CORRENTE]]</f>
        <v>6</v>
      </c>
      <c r="H1378" s="6">
        <f>DAY(Consulta2[[#This Row],[DATA]])</f>
        <v>8</v>
      </c>
      <c r="I1378" s="6">
        <f>MONTH(Consulta2[[#This Row],[DATA]])</f>
        <v>10</v>
      </c>
      <c r="J1378" t="str">
        <f>CONCATENATE(Consulta2[[#This Row],[SAFRA]],Consulta2[[#This Row],[dia]])</f>
        <v>2027108</v>
      </c>
      <c r="K1378">
        <f>Consulta2[[#This Row],[DIA_UTIL_CORRENTE]]</f>
        <v>6</v>
      </c>
    </row>
    <row r="1379" spans="1:11" x14ac:dyDescent="0.25">
      <c r="A1379">
        <v>202710</v>
      </c>
      <c r="B1379">
        <v>6</v>
      </c>
      <c r="C1379" s="148">
        <v>46669</v>
      </c>
      <c r="D1379">
        <v>20</v>
      </c>
      <c r="E1379">
        <v>20</v>
      </c>
      <c r="F1379">
        <v>950</v>
      </c>
      <c r="G1379">
        <f>Consulta2[[#This Row],[DIA_UTIL_CORRENTE]]</f>
        <v>6</v>
      </c>
      <c r="H1379" s="6">
        <f>DAY(Consulta2[[#This Row],[DATA]])</f>
        <v>9</v>
      </c>
      <c r="I1379" s="6">
        <f>MONTH(Consulta2[[#This Row],[DATA]])</f>
        <v>10</v>
      </c>
      <c r="J1379" t="str">
        <f>CONCATENATE(Consulta2[[#This Row],[SAFRA]],Consulta2[[#This Row],[dia]])</f>
        <v>2027109</v>
      </c>
      <c r="K1379">
        <f>Consulta2[[#This Row],[DIA_UTIL_CORRENTE]]</f>
        <v>6</v>
      </c>
    </row>
    <row r="1380" spans="1:11" x14ac:dyDescent="0.25">
      <c r="A1380">
        <v>202710</v>
      </c>
      <c r="B1380">
        <v>6</v>
      </c>
      <c r="C1380" s="148">
        <v>46670</v>
      </c>
      <c r="D1380">
        <v>20</v>
      </c>
      <c r="E1380">
        <v>20</v>
      </c>
      <c r="F1380">
        <v>950</v>
      </c>
      <c r="G1380">
        <f>Consulta2[[#This Row],[DIA_UTIL_CORRENTE]]</f>
        <v>6</v>
      </c>
      <c r="H1380" s="6">
        <f>DAY(Consulta2[[#This Row],[DATA]])</f>
        <v>10</v>
      </c>
      <c r="I1380" s="6">
        <f>MONTH(Consulta2[[#This Row],[DATA]])</f>
        <v>10</v>
      </c>
      <c r="J1380" t="str">
        <f>CONCATENATE(Consulta2[[#This Row],[SAFRA]],Consulta2[[#This Row],[dia]])</f>
        <v>20271010</v>
      </c>
      <c r="K1380">
        <f>Consulta2[[#This Row],[DIA_UTIL_CORRENTE]]</f>
        <v>6</v>
      </c>
    </row>
    <row r="1381" spans="1:11" x14ac:dyDescent="0.25">
      <c r="A1381">
        <v>202710</v>
      </c>
      <c r="B1381">
        <v>7</v>
      </c>
      <c r="C1381" s="148">
        <v>46671</v>
      </c>
      <c r="D1381">
        <v>20</v>
      </c>
      <c r="E1381">
        <v>20</v>
      </c>
      <c r="F1381">
        <v>951</v>
      </c>
      <c r="G1381">
        <f>Consulta2[[#This Row],[DIA_UTIL_CORRENTE]]</f>
        <v>7</v>
      </c>
      <c r="H1381" s="6">
        <f>DAY(Consulta2[[#This Row],[DATA]])</f>
        <v>11</v>
      </c>
      <c r="I1381" s="6">
        <f>MONTH(Consulta2[[#This Row],[DATA]])</f>
        <v>10</v>
      </c>
      <c r="J1381" t="str">
        <f>CONCATENATE(Consulta2[[#This Row],[SAFRA]],Consulta2[[#This Row],[dia]])</f>
        <v>20271011</v>
      </c>
      <c r="K1381">
        <f>Consulta2[[#This Row],[DIA_UTIL_CORRENTE]]</f>
        <v>7</v>
      </c>
    </row>
    <row r="1382" spans="1:11" x14ac:dyDescent="0.25">
      <c r="A1382">
        <v>202710</v>
      </c>
      <c r="B1382">
        <v>7</v>
      </c>
      <c r="C1382" s="148">
        <v>46672</v>
      </c>
      <c r="D1382">
        <v>20</v>
      </c>
      <c r="E1382">
        <v>20</v>
      </c>
      <c r="F1382">
        <v>951</v>
      </c>
      <c r="G1382">
        <f>Consulta2[[#This Row],[DIA_UTIL_CORRENTE]]</f>
        <v>7</v>
      </c>
      <c r="H1382" s="6">
        <f>DAY(Consulta2[[#This Row],[DATA]])</f>
        <v>12</v>
      </c>
      <c r="I1382" s="6">
        <f>MONTH(Consulta2[[#This Row],[DATA]])</f>
        <v>10</v>
      </c>
      <c r="J1382" t="str">
        <f>CONCATENATE(Consulta2[[#This Row],[SAFRA]],Consulta2[[#This Row],[dia]])</f>
        <v>20271012</v>
      </c>
      <c r="K1382">
        <f>Consulta2[[#This Row],[DIA_UTIL_CORRENTE]]</f>
        <v>7</v>
      </c>
    </row>
    <row r="1383" spans="1:11" x14ac:dyDescent="0.25">
      <c r="A1383">
        <v>202710</v>
      </c>
      <c r="B1383">
        <v>8</v>
      </c>
      <c r="C1383" s="148">
        <v>46673</v>
      </c>
      <c r="D1383">
        <v>20</v>
      </c>
      <c r="E1383">
        <v>20</v>
      </c>
      <c r="F1383">
        <v>952</v>
      </c>
      <c r="G1383">
        <f>Consulta2[[#This Row],[DIA_UTIL_CORRENTE]]</f>
        <v>8</v>
      </c>
      <c r="H1383" s="6">
        <f>DAY(Consulta2[[#This Row],[DATA]])</f>
        <v>13</v>
      </c>
      <c r="I1383" s="6">
        <f>MONTH(Consulta2[[#This Row],[DATA]])</f>
        <v>10</v>
      </c>
      <c r="J1383" t="str">
        <f>CONCATENATE(Consulta2[[#This Row],[SAFRA]],Consulta2[[#This Row],[dia]])</f>
        <v>20271013</v>
      </c>
      <c r="K1383">
        <f>Consulta2[[#This Row],[DIA_UTIL_CORRENTE]]</f>
        <v>8</v>
      </c>
    </row>
    <row r="1384" spans="1:11" x14ac:dyDescent="0.25">
      <c r="A1384">
        <v>202710</v>
      </c>
      <c r="B1384">
        <v>9</v>
      </c>
      <c r="C1384" s="148">
        <v>46674</v>
      </c>
      <c r="D1384">
        <v>20</v>
      </c>
      <c r="E1384">
        <v>20</v>
      </c>
      <c r="F1384">
        <v>953</v>
      </c>
      <c r="G1384">
        <f>Consulta2[[#This Row],[DIA_UTIL_CORRENTE]]</f>
        <v>9</v>
      </c>
      <c r="H1384" s="6">
        <f>DAY(Consulta2[[#This Row],[DATA]])</f>
        <v>14</v>
      </c>
      <c r="I1384" s="6">
        <f>MONTH(Consulta2[[#This Row],[DATA]])</f>
        <v>10</v>
      </c>
      <c r="J1384" t="str">
        <f>CONCATENATE(Consulta2[[#This Row],[SAFRA]],Consulta2[[#This Row],[dia]])</f>
        <v>20271014</v>
      </c>
      <c r="K1384">
        <f>Consulta2[[#This Row],[DIA_UTIL_CORRENTE]]</f>
        <v>9</v>
      </c>
    </row>
    <row r="1385" spans="1:11" x14ac:dyDescent="0.25">
      <c r="A1385">
        <v>202710</v>
      </c>
      <c r="B1385">
        <v>10</v>
      </c>
      <c r="C1385" s="148">
        <v>46675</v>
      </c>
      <c r="D1385">
        <v>20</v>
      </c>
      <c r="E1385">
        <v>20</v>
      </c>
      <c r="F1385">
        <v>954</v>
      </c>
      <c r="G1385">
        <f>Consulta2[[#This Row],[DIA_UTIL_CORRENTE]]</f>
        <v>10</v>
      </c>
      <c r="H1385" s="6">
        <f>DAY(Consulta2[[#This Row],[DATA]])</f>
        <v>15</v>
      </c>
      <c r="I1385" s="6">
        <f>MONTH(Consulta2[[#This Row],[DATA]])</f>
        <v>10</v>
      </c>
      <c r="J1385" t="str">
        <f>CONCATENATE(Consulta2[[#This Row],[SAFRA]],Consulta2[[#This Row],[dia]])</f>
        <v>20271015</v>
      </c>
      <c r="K1385">
        <f>Consulta2[[#This Row],[DIA_UTIL_CORRENTE]]</f>
        <v>10</v>
      </c>
    </row>
    <row r="1386" spans="1:11" x14ac:dyDescent="0.25">
      <c r="A1386">
        <v>202710</v>
      </c>
      <c r="B1386">
        <v>10</v>
      </c>
      <c r="C1386" s="148">
        <v>46676</v>
      </c>
      <c r="D1386">
        <v>20</v>
      </c>
      <c r="E1386">
        <v>20</v>
      </c>
      <c r="F1386">
        <v>954</v>
      </c>
      <c r="G1386">
        <f>Consulta2[[#This Row],[DIA_UTIL_CORRENTE]]</f>
        <v>10</v>
      </c>
      <c r="H1386" s="6">
        <f>DAY(Consulta2[[#This Row],[DATA]])</f>
        <v>16</v>
      </c>
      <c r="I1386" s="6">
        <f>MONTH(Consulta2[[#This Row],[DATA]])</f>
        <v>10</v>
      </c>
      <c r="J1386" t="str">
        <f>CONCATENATE(Consulta2[[#This Row],[SAFRA]],Consulta2[[#This Row],[dia]])</f>
        <v>20271016</v>
      </c>
      <c r="K1386">
        <f>Consulta2[[#This Row],[DIA_UTIL_CORRENTE]]</f>
        <v>10</v>
      </c>
    </row>
    <row r="1387" spans="1:11" x14ac:dyDescent="0.25">
      <c r="A1387">
        <v>202710</v>
      </c>
      <c r="B1387">
        <v>10</v>
      </c>
      <c r="C1387" s="148">
        <v>46677</v>
      </c>
      <c r="D1387">
        <v>20</v>
      </c>
      <c r="E1387">
        <v>20</v>
      </c>
      <c r="F1387">
        <v>954</v>
      </c>
      <c r="G1387">
        <f>Consulta2[[#This Row],[DIA_UTIL_CORRENTE]]</f>
        <v>10</v>
      </c>
      <c r="H1387" s="6">
        <f>DAY(Consulta2[[#This Row],[DATA]])</f>
        <v>17</v>
      </c>
      <c r="I1387" s="6">
        <f>MONTH(Consulta2[[#This Row],[DATA]])</f>
        <v>10</v>
      </c>
      <c r="J1387" t="str">
        <f>CONCATENATE(Consulta2[[#This Row],[SAFRA]],Consulta2[[#This Row],[dia]])</f>
        <v>20271017</v>
      </c>
      <c r="K1387">
        <f>Consulta2[[#This Row],[DIA_UTIL_CORRENTE]]</f>
        <v>10</v>
      </c>
    </row>
    <row r="1388" spans="1:11" x14ac:dyDescent="0.25">
      <c r="A1388">
        <v>202710</v>
      </c>
      <c r="B1388">
        <v>11</v>
      </c>
      <c r="C1388" s="148">
        <v>46678</v>
      </c>
      <c r="D1388">
        <v>20</v>
      </c>
      <c r="E1388">
        <v>20</v>
      </c>
      <c r="F1388">
        <v>955</v>
      </c>
      <c r="G1388">
        <f>Consulta2[[#This Row],[DIA_UTIL_CORRENTE]]</f>
        <v>11</v>
      </c>
      <c r="H1388" s="6">
        <f>DAY(Consulta2[[#This Row],[DATA]])</f>
        <v>18</v>
      </c>
      <c r="I1388" s="6">
        <f>MONTH(Consulta2[[#This Row],[DATA]])</f>
        <v>10</v>
      </c>
      <c r="J1388" t="str">
        <f>CONCATENATE(Consulta2[[#This Row],[SAFRA]],Consulta2[[#This Row],[dia]])</f>
        <v>20271018</v>
      </c>
      <c r="K1388">
        <f>Consulta2[[#This Row],[DIA_UTIL_CORRENTE]]</f>
        <v>11</v>
      </c>
    </row>
    <row r="1389" spans="1:11" x14ac:dyDescent="0.25">
      <c r="A1389">
        <v>202710</v>
      </c>
      <c r="B1389">
        <v>12</v>
      </c>
      <c r="C1389" s="148">
        <v>46679</v>
      </c>
      <c r="D1389">
        <v>20</v>
      </c>
      <c r="E1389">
        <v>20</v>
      </c>
      <c r="F1389">
        <v>956</v>
      </c>
      <c r="G1389">
        <f>Consulta2[[#This Row],[DIA_UTIL_CORRENTE]]</f>
        <v>12</v>
      </c>
      <c r="H1389" s="6">
        <f>DAY(Consulta2[[#This Row],[DATA]])</f>
        <v>19</v>
      </c>
      <c r="I1389" s="6">
        <f>MONTH(Consulta2[[#This Row],[DATA]])</f>
        <v>10</v>
      </c>
      <c r="J1389" t="str">
        <f>CONCATENATE(Consulta2[[#This Row],[SAFRA]],Consulta2[[#This Row],[dia]])</f>
        <v>20271019</v>
      </c>
      <c r="K1389">
        <f>Consulta2[[#This Row],[DIA_UTIL_CORRENTE]]</f>
        <v>12</v>
      </c>
    </row>
    <row r="1390" spans="1:11" x14ac:dyDescent="0.25">
      <c r="A1390">
        <v>202710</v>
      </c>
      <c r="B1390">
        <v>13</v>
      </c>
      <c r="C1390" s="148">
        <v>46680</v>
      </c>
      <c r="D1390">
        <v>20</v>
      </c>
      <c r="E1390">
        <v>20</v>
      </c>
      <c r="F1390">
        <v>957</v>
      </c>
      <c r="G1390">
        <f>Consulta2[[#This Row],[DIA_UTIL_CORRENTE]]</f>
        <v>13</v>
      </c>
      <c r="H1390" s="6">
        <f>DAY(Consulta2[[#This Row],[DATA]])</f>
        <v>20</v>
      </c>
      <c r="I1390" s="6">
        <f>MONTH(Consulta2[[#This Row],[DATA]])</f>
        <v>10</v>
      </c>
      <c r="J1390" t="str">
        <f>CONCATENATE(Consulta2[[#This Row],[SAFRA]],Consulta2[[#This Row],[dia]])</f>
        <v>20271020</v>
      </c>
      <c r="K1390">
        <f>Consulta2[[#This Row],[DIA_UTIL_CORRENTE]]</f>
        <v>13</v>
      </c>
    </row>
    <row r="1391" spans="1:11" x14ac:dyDescent="0.25">
      <c r="A1391">
        <v>202710</v>
      </c>
      <c r="B1391">
        <v>14</v>
      </c>
      <c r="C1391" s="148">
        <v>46681</v>
      </c>
      <c r="D1391">
        <v>20</v>
      </c>
      <c r="E1391">
        <v>20</v>
      </c>
      <c r="F1391">
        <v>958</v>
      </c>
      <c r="G1391">
        <f>Consulta2[[#This Row],[DIA_UTIL_CORRENTE]]</f>
        <v>14</v>
      </c>
      <c r="H1391" s="6">
        <f>DAY(Consulta2[[#This Row],[DATA]])</f>
        <v>21</v>
      </c>
      <c r="I1391" s="6">
        <f>MONTH(Consulta2[[#This Row],[DATA]])</f>
        <v>10</v>
      </c>
      <c r="J1391" t="str">
        <f>CONCATENATE(Consulta2[[#This Row],[SAFRA]],Consulta2[[#This Row],[dia]])</f>
        <v>20271021</v>
      </c>
      <c r="K1391">
        <f>Consulta2[[#This Row],[DIA_UTIL_CORRENTE]]</f>
        <v>14</v>
      </c>
    </row>
    <row r="1392" spans="1:11" x14ac:dyDescent="0.25">
      <c r="A1392">
        <v>202710</v>
      </c>
      <c r="B1392">
        <v>15</v>
      </c>
      <c r="C1392" s="148">
        <v>46682</v>
      </c>
      <c r="D1392">
        <v>20</v>
      </c>
      <c r="E1392">
        <v>20</v>
      </c>
      <c r="F1392">
        <v>959</v>
      </c>
      <c r="G1392">
        <f>Consulta2[[#This Row],[DIA_UTIL_CORRENTE]]</f>
        <v>15</v>
      </c>
      <c r="H1392" s="6">
        <f>DAY(Consulta2[[#This Row],[DATA]])</f>
        <v>22</v>
      </c>
      <c r="I1392" s="6">
        <f>MONTH(Consulta2[[#This Row],[DATA]])</f>
        <v>10</v>
      </c>
      <c r="J1392" t="str">
        <f>CONCATENATE(Consulta2[[#This Row],[SAFRA]],Consulta2[[#This Row],[dia]])</f>
        <v>20271022</v>
      </c>
      <c r="K1392">
        <f>Consulta2[[#This Row],[DIA_UTIL_CORRENTE]]</f>
        <v>15</v>
      </c>
    </row>
    <row r="1393" spans="1:11" x14ac:dyDescent="0.25">
      <c r="A1393">
        <v>202710</v>
      </c>
      <c r="B1393">
        <v>15</v>
      </c>
      <c r="C1393" s="148">
        <v>46683</v>
      </c>
      <c r="D1393">
        <v>20</v>
      </c>
      <c r="E1393">
        <v>20</v>
      </c>
      <c r="F1393">
        <v>959</v>
      </c>
      <c r="G1393">
        <f>Consulta2[[#This Row],[DIA_UTIL_CORRENTE]]</f>
        <v>15</v>
      </c>
      <c r="H1393" s="6">
        <f>DAY(Consulta2[[#This Row],[DATA]])</f>
        <v>23</v>
      </c>
      <c r="I1393" s="6">
        <f>MONTH(Consulta2[[#This Row],[DATA]])</f>
        <v>10</v>
      </c>
      <c r="J1393" t="str">
        <f>CONCATENATE(Consulta2[[#This Row],[SAFRA]],Consulta2[[#This Row],[dia]])</f>
        <v>20271023</v>
      </c>
      <c r="K1393">
        <f>Consulta2[[#This Row],[DIA_UTIL_CORRENTE]]</f>
        <v>15</v>
      </c>
    </row>
    <row r="1394" spans="1:11" x14ac:dyDescent="0.25">
      <c r="A1394">
        <v>202710</v>
      </c>
      <c r="B1394">
        <v>15</v>
      </c>
      <c r="C1394" s="148">
        <v>46684</v>
      </c>
      <c r="D1394">
        <v>20</v>
      </c>
      <c r="E1394">
        <v>20</v>
      </c>
      <c r="F1394">
        <v>959</v>
      </c>
      <c r="G1394">
        <f>Consulta2[[#This Row],[DIA_UTIL_CORRENTE]]</f>
        <v>15</v>
      </c>
      <c r="H1394" s="6">
        <f>DAY(Consulta2[[#This Row],[DATA]])</f>
        <v>24</v>
      </c>
      <c r="I1394" s="6">
        <f>MONTH(Consulta2[[#This Row],[DATA]])</f>
        <v>10</v>
      </c>
      <c r="J1394" t="str">
        <f>CONCATENATE(Consulta2[[#This Row],[SAFRA]],Consulta2[[#This Row],[dia]])</f>
        <v>20271024</v>
      </c>
      <c r="K1394">
        <f>Consulta2[[#This Row],[DIA_UTIL_CORRENTE]]</f>
        <v>15</v>
      </c>
    </row>
    <row r="1395" spans="1:11" x14ac:dyDescent="0.25">
      <c r="A1395">
        <v>202710</v>
      </c>
      <c r="B1395">
        <v>16</v>
      </c>
      <c r="C1395" s="148">
        <v>46685</v>
      </c>
      <c r="D1395">
        <v>20</v>
      </c>
      <c r="E1395">
        <v>20</v>
      </c>
      <c r="F1395">
        <v>960</v>
      </c>
      <c r="G1395">
        <f>Consulta2[[#This Row],[DIA_UTIL_CORRENTE]]</f>
        <v>16</v>
      </c>
      <c r="H1395" s="6">
        <f>DAY(Consulta2[[#This Row],[DATA]])</f>
        <v>25</v>
      </c>
      <c r="I1395" s="6">
        <f>MONTH(Consulta2[[#This Row],[DATA]])</f>
        <v>10</v>
      </c>
      <c r="J1395" t="str">
        <f>CONCATENATE(Consulta2[[#This Row],[SAFRA]],Consulta2[[#This Row],[dia]])</f>
        <v>20271025</v>
      </c>
      <c r="K1395">
        <f>Consulta2[[#This Row],[DIA_UTIL_CORRENTE]]</f>
        <v>16</v>
      </c>
    </row>
    <row r="1396" spans="1:11" x14ac:dyDescent="0.25">
      <c r="A1396">
        <v>202710</v>
      </c>
      <c r="B1396">
        <v>17</v>
      </c>
      <c r="C1396" s="148">
        <v>46686</v>
      </c>
      <c r="D1396">
        <v>20</v>
      </c>
      <c r="E1396">
        <v>20</v>
      </c>
      <c r="F1396">
        <v>961</v>
      </c>
      <c r="G1396">
        <f>Consulta2[[#This Row],[DIA_UTIL_CORRENTE]]</f>
        <v>17</v>
      </c>
      <c r="H1396" s="6">
        <f>DAY(Consulta2[[#This Row],[DATA]])</f>
        <v>26</v>
      </c>
      <c r="I1396" s="6">
        <f>MONTH(Consulta2[[#This Row],[DATA]])</f>
        <v>10</v>
      </c>
      <c r="J1396" t="str">
        <f>CONCATENATE(Consulta2[[#This Row],[SAFRA]],Consulta2[[#This Row],[dia]])</f>
        <v>20271026</v>
      </c>
      <c r="K1396">
        <f>Consulta2[[#This Row],[DIA_UTIL_CORRENTE]]</f>
        <v>17</v>
      </c>
    </row>
    <row r="1397" spans="1:11" x14ac:dyDescent="0.25">
      <c r="A1397">
        <v>202710</v>
      </c>
      <c r="B1397">
        <v>18</v>
      </c>
      <c r="C1397" s="148">
        <v>46687</v>
      </c>
      <c r="D1397">
        <v>20</v>
      </c>
      <c r="E1397">
        <v>20</v>
      </c>
      <c r="F1397">
        <v>962</v>
      </c>
      <c r="G1397">
        <f>Consulta2[[#This Row],[DIA_UTIL_CORRENTE]]</f>
        <v>18</v>
      </c>
      <c r="H1397" s="6">
        <f>DAY(Consulta2[[#This Row],[DATA]])</f>
        <v>27</v>
      </c>
      <c r="I1397" s="6">
        <f>MONTH(Consulta2[[#This Row],[DATA]])</f>
        <v>10</v>
      </c>
      <c r="J1397" t="str">
        <f>CONCATENATE(Consulta2[[#This Row],[SAFRA]],Consulta2[[#This Row],[dia]])</f>
        <v>20271027</v>
      </c>
      <c r="K1397">
        <f>Consulta2[[#This Row],[DIA_UTIL_CORRENTE]]</f>
        <v>18</v>
      </c>
    </row>
    <row r="1398" spans="1:11" x14ac:dyDescent="0.25">
      <c r="A1398">
        <v>202710</v>
      </c>
      <c r="B1398">
        <v>19</v>
      </c>
      <c r="C1398" s="148">
        <v>46688</v>
      </c>
      <c r="D1398">
        <v>20</v>
      </c>
      <c r="E1398">
        <v>20</v>
      </c>
      <c r="F1398">
        <v>963</v>
      </c>
      <c r="G1398">
        <f>Consulta2[[#This Row],[DIA_UTIL_CORRENTE]]</f>
        <v>19</v>
      </c>
      <c r="H1398" s="6">
        <f>DAY(Consulta2[[#This Row],[DATA]])</f>
        <v>28</v>
      </c>
      <c r="I1398" s="6">
        <f>MONTH(Consulta2[[#This Row],[DATA]])</f>
        <v>10</v>
      </c>
      <c r="J1398" t="str">
        <f>CONCATENATE(Consulta2[[#This Row],[SAFRA]],Consulta2[[#This Row],[dia]])</f>
        <v>20271028</v>
      </c>
      <c r="K1398">
        <f>Consulta2[[#This Row],[DIA_UTIL_CORRENTE]]</f>
        <v>19</v>
      </c>
    </row>
    <row r="1399" spans="1:11" x14ac:dyDescent="0.25">
      <c r="A1399">
        <v>202710</v>
      </c>
      <c r="B1399">
        <v>20</v>
      </c>
      <c r="C1399" s="148">
        <v>46689</v>
      </c>
      <c r="D1399">
        <v>20</v>
      </c>
      <c r="E1399">
        <v>20</v>
      </c>
      <c r="F1399">
        <v>964</v>
      </c>
      <c r="G1399">
        <f>Consulta2[[#This Row],[DIA_UTIL_CORRENTE]]</f>
        <v>20</v>
      </c>
      <c r="H1399" s="6">
        <f>DAY(Consulta2[[#This Row],[DATA]])</f>
        <v>29</v>
      </c>
      <c r="I1399" s="6">
        <f>MONTH(Consulta2[[#This Row],[DATA]])</f>
        <v>10</v>
      </c>
      <c r="J1399" t="str">
        <f>CONCATENATE(Consulta2[[#This Row],[SAFRA]],Consulta2[[#This Row],[dia]])</f>
        <v>20271029</v>
      </c>
      <c r="K1399">
        <f>Consulta2[[#This Row],[DIA_UTIL_CORRENTE]]</f>
        <v>20</v>
      </c>
    </row>
    <row r="1400" spans="1:11" x14ac:dyDescent="0.25">
      <c r="A1400">
        <v>202710</v>
      </c>
      <c r="B1400">
        <v>20</v>
      </c>
      <c r="C1400" s="148">
        <v>46690</v>
      </c>
      <c r="D1400">
        <v>20</v>
      </c>
      <c r="E1400">
        <v>20</v>
      </c>
      <c r="F1400">
        <v>964</v>
      </c>
      <c r="G1400">
        <f>Consulta2[[#This Row],[DIA_UTIL_CORRENTE]]</f>
        <v>20</v>
      </c>
      <c r="H1400" s="6">
        <f>DAY(Consulta2[[#This Row],[DATA]])</f>
        <v>30</v>
      </c>
      <c r="I1400" s="6">
        <f>MONTH(Consulta2[[#This Row],[DATA]])</f>
        <v>10</v>
      </c>
      <c r="J1400" t="str">
        <f>CONCATENATE(Consulta2[[#This Row],[SAFRA]],Consulta2[[#This Row],[dia]])</f>
        <v>20271030</v>
      </c>
      <c r="K1400">
        <f>Consulta2[[#This Row],[DIA_UTIL_CORRENTE]]</f>
        <v>20</v>
      </c>
    </row>
    <row r="1401" spans="1:11" x14ac:dyDescent="0.25">
      <c r="A1401">
        <v>202710</v>
      </c>
      <c r="B1401">
        <v>20</v>
      </c>
      <c r="C1401" s="148">
        <v>46691</v>
      </c>
      <c r="D1401">
        <v>20</v>
      </c>
      <c r="E1401">
        <v>20</v>
      </c>
      <c r="F1401">
        <v>964</v>
      </c>
      <c r="G1401">
        <f>Consulta2[[#This Row],[DIA_UTIL_CORRENTE]]</f>
        <v>20</v>
      </c>
      <c r="H1401" s="6">
        <f>DAY(Consulta2[[#This Row],[DATA]])</f>
        <v>31</v>
      </c>
      <c r="I1401" s="6">
        <f>MONTH(Consulta2[[#This Row],[DATA]])</f>
        <v>10</v>
      </c>
      <c r="J1401" t="str">
        <f>CONCATENATE(Consulta2[[#This Row],[SAFRA]],Consulta2[[#This Row],[dia]])</f>
        <v>20271031</v>
      </c>
      <c r="K1401">
        <f>Consulta2[[#This Row],[DIA_UTIL_CORRENTE]]</f>
        <v>20</v>
      </c>
    </row>
    <row r="1402" spans="1:11" x14ac:dyDescent="0.25">
      <c r="A1402">
        <v>202711</v>
      </c>
      <c r="B1402">
        <v>1</v>
      </c>
      <c r="C1402" s="148">
        <v>46692</v>
      </c>
      <c r="D1402">
        <v>20</v>
      </c>
      <c r="E1402">
        <v>20</v>
      </c>
      <c r="F1402">
        <v>965</v>
      </c>
      <c r="G1402">
        <f>Consulta2[[#This Row],[DIA_UTIL_CORRENTE]]</f>
        <v>1</v>
      </c>
      <c r="H1402" s="6">
        <f>DAY(Consulta2[[#This Row],[DATA]])</f>
        <v>1</v>
      </c>
      <c r="I1402" s="6">
        <f>MONTH(Consulta2[[#This Row],[DATA]])</f>
        <v>11</v>
      </c>
      <c r="J1402" t="str">
        <f>CONCATENATE(Consulta2[[#This Row],[SAFRA]],Consulta2[[#This Row],[dia]])</f>
        <v>2027111</v>
      </c>
      <c r="K1402">
        <f>Consulta2[[#This Row],[DIA_UTIL_CORRENTE]]</f>
        <v>1</v>
      </c>
    </row>
    <row r="1403" spans="1:11" x14ac:dyDescent="0.25">
      <c r="A1403">
        <v>202711</v>
      </c>
      <c r="B1403">
        <v>1</v>
      </c>
      <c r="C1403" s="148">
        <v>46693</v>
      </c>
      <c r="D1403">
        <v>20</v>
      </c>
      <c r="E1403">
        <v>20</v>
      </c>
      <c r="F1403">
        <v>965</v>
      </c>
      <c r="G1403">
        <f>Consulta2[[#This Row],[DIA_UTIL_CORRENTE]]</f>
        <v>1</v>
      </c>
      <c r="H1403" s="6">
        <f>DAY(Consulta2[[#This Row],[DATA]])</f>
        <v>2</v>
      </c>
      <c r="I1403" s="6">
        <f>MONTH(Consulta2[[#This Row],[DATA]])</f>
        <v>11</v>
      </c>
      <c r="J1403" t="str">
        <f>CONCATENATE(Consulta2[[#This Row],[SAFRA]],Consulta2[[#This Row],[dia]])</f>
        <v>2027112</v>
      </c>
      <c r="K1403">
        <f>Consulta2[[#This Row],[DIA_UTIL_CORRENTE]]</f>
        <v>1</v>
      </c>
    </row>
    <row r="1404" spans="1:11" x14ac:dyDescent="0.25">
      <c r="A1404">
        <v>202711</v>
      </c>
      <c r="B1404">
        <v>2</v>
      </c>
      <c r="C1404" s="148">
        <v>46694</v>
      </c>
      <c r="D1404">
        <v>20</v>
      </c>
      <c r="E1404">
        <v>20</v>
      </c>
      <c r="F1404">
        <v>966</v>
      </c>
      <c r="G1404">
        <f>Consulta2[[#This Row],[DIA_UTIL_CORRENTE]]</f>
        <v>2</v>
      </c>
      <c r="H1404" s="6">
        <f>DAY(Consulta2[[#This Row],[DATA]])</f>
        <v>3</v>
      </c>
      <c r="I1404" s="6">
        <f>MONTH(Consulta2[[#This Row],[DATA]])</f>
        <v>11</v>
      </c>
      <c r="J1404" t="str">
        <f>CONCATENATE(Consulta2[[#This Row],[SAFRA]],Consulta2[[#This Row],[dia]])</f>
        <v>2027113</v>
      </c>
      <c r="K1404">
        <f>Consulta2[[#This Row],[DIA_UTIL_CORRENTE]]</f>
        <v>2</v>
      </c>
    </row>
    <row r="1405" spans="1:11" x14ac:dyDescent="0.25">
      <c r="A1405">
        <v>202711</v>
      </c>
      <c r="B1405">
        <v>3</v>
      </c>
      <c r="C1405" s="148">
        <v>46695</v>
      </c>
      <c r="D1405">
        <v>20</v>
      </c>
      <c r="E1405">
        <v>20</v>
      </c>
      <c r="F1405">
        <v>967</v>
      </c>
      <c r="G1405">
        <f>Consulta2[[#This Row],[DIA_UTIL_CORRENTE]]</f>
        <v>3</v>
      </c>
      <c r="H1405" s="6">
        <f>DAY(Consulta2[[#This Row],[DATA]])</f>
        <v>4</v>
      </c>
      <c r="I1405" s="6">
        <f>MONTH(Consulta2[[#This Row],[DATA]])</f>
        <v>11</v>
      </c>
      <c r="J1405" t="str">
        <f>CONCATENATE(Consulta2[[#This Row],[SAFRA]],Consulta2[[#This Row],[dia]])</f>
        <v>2027114</v>
      </c>
      <c r="K1405">
        <f>Consulta2[[#This Row],[DIA_UTIL_CORRENTE]]</f>
        <v>3</v>
      </c>
    </row>
    <row r="1406" spans="1:11" x14ac:dyDescent="0.25">
      <c r="A1406">
        <v>202711</v>
      </c>
      <c r="B1406">
        <v>4</v>
      </c>
      <c r="C1406" s="148">
        <v>46696</v>
      </c>
      <c r="D1406">
        <v>20</v>
      </c>
      <c r="E1406">
        <v>20</v>
      </c>
      <c r="F1406">
        <v>968</v>
      </c>
      <c r="G1406">
        <f>Consulta2[[#This Row],[DIA_UTIL_CORRENTE]]</f>
        <v>4</v>
      </c>
      <c r="H1406" s="6">
        <f>DAY(Consulta2[[#This Row],[DATA]])</f>
        <v>5</v>
      </c>
      <c r="I1406" s="6">
        <f>MONTH(Consulta2[[#This Row],[DATA]])</f>
        <v>11</v>
      </c>
      <c r="J1406" t="str">
        <f>CONCATENATE(Consulta2[[#This Row],[SAFRA]],Consulta2[[#This Row],[dia]])</f>
        <v>2027115</v>
      </c>
      <c r="K1406">
        <f>Consulta2[[#This Row],[DIA_UTIL_CORRENTE]]</f>
        <v>4</v>
      </c>
    </row>
    <row r="1407" spans="1:11" x14ac:dyDescent="0.25">
      <c r="A1407">
        <v>202711</v>
      </c>
      <c r="B1407">
        <v>4</v>
      </c>
      <c r="C1407" s="148">
        <v>46697</v>
      </c>
      <c r="D1407">
        <v>20</v>
      </c>
      <c r="E1407">
        <v>20</v>
      </c>
      <c r="F1407">
        <v>968</v>
      </c>
      <c r="G1407">
        <f>Consulta2[[#This Row],[DIA_UTIL_CORRENTE]]</f>
        <v>4</v>
      </c>
      <c r="H1407" s="6">
        <f>DAY(Consulta2[[#This Row],[DATA]])</f>
        <v>6</v>
      </c>
      <c r="I1407" s="6">
        <f>MONTH(Consulta2[[#This Row],[DATA]])</f>
        <v>11</v>
      </c>
      <c r="J1407" t="str">
        <f>CONCATENATE(Consulta2[[#This Row],[SAFRA]],Consulta2[[#This Row],[dia]])</f>
        <v>2027116</v>
      </c>
      <c r="K1407">
        <f>Consulta2[[#This Row],[DIA_UTIL_CORRENTE]]</f>
        <v>4</v>
      </c>
    </row>
    <row r="1408" spans="1:11" x14ac:dyDescent="0.25">
      <c r="A1408">
        <v>202711</v>
      </c>
      <c r="B1408">
        <v>4</v>
      </c>
      <c r="C1408" s="148">
        <v>46698</v>
      </c>
      <c r="D1408">
        <v>20</v>
      </c>
      <c r="E1408">
        <v>20</v>
      </c>
      <c r="F1408">
        <v>968</v>
      </c>
      <c r="G1408">
        <f>Consulta2[[#This Row],[DIA_UTIL_CORRENTE]]</f>
        <v>4</v>
      </c>
      <c r="H1408" s="6">
        <f>DAY(Consulta2[[#This Row],[DATA]])</f>
        <v>7</v>
      </c>
      <c r="I1408" s="6">
        <f>MONTH(Consulta2[[#This Row],[DATA]])</f>
        <v>11</v>
      </c>
      <c r="J1408" t="str">
        <f>CONCATENATE(Consulta2[[#This Row],[SAFRA]],Consulta2[[#This Row],[dia]])</f>
        <v>2027117</v>
      </c>
      <c r="K1408">
        <f>Consulta2[[#This Row],[DIA_UTIL_CORRENTE]]</f>
        <v>4</v>
      </c>
    </row>
    <row r="1409" spans="1:11" x14ac:dyDescent="0.25">
      <c r="A1409">
        <v>202711</v>
      </c>
      <c r="B1409">
        <v>5</v>
      </c>
      <c r="C1409" s="148">
        <v>46699</v>
      </c>
      <c r="D1409">
        <v>20</v>
      </c>
      <c r="E1409">
        <v>20</v>
      </c>
      <c r="F1409">
        <v>969</v>
      </c>
      <c r="G1409">
        <f>Consulta2[[#This Row],[DIA_UTIL_CORRENTE]]</f>
        <v>5</v>
      </c>
      <c r="H1409" s="6">
        <f>DAY(Consulta2[[#This Row],[DATA]])</f>
        <v>8</v>
      </c>
      <c r="I1409" s="6">
        <f>MONTH(Consulta2[[#This Row],[DATA]])</f>
        <v>11</v>
      </c>
      <c r="J1409" t="str">
        <f>CONCATENATE(Consulta2[[#This Row],[SAFRA]],Consulta2[[#This Row],[dia]])</f>
        <v>2027118</v>
      </c>
      <c r="K1409">
        <f>Consulta2[[#This Row],[DIA_UTIL_CORRENTE]]</f>
        <v>5</v>
      </c>
    </row>
    <row r="1410" spans="1:11" x14ac:dyDescent="0.25">
      <c r="A1410">
        <v>202711</v>
      </c>
      <c r="B1410">
        <v>6</v>
      </c>
      <c r="C1410" s="148">
        <v>46700</v>
      </c>
      <c r="D1410">
        <v>20</v>
      </c>
      <c r="E1410">
        <v>20</v>
      </c>
      <c r="F1410">
        <v>970</v>
      </c>
      <c r="G1410">
        <f>Consulta2[[#This Row],[DIA_UTIL_CORRENTE]]</f>
        <v>6</v>
      </c>
      <c r="H1410" s="6">
        <f>DAY(Consulta2[[#This Row],[DATA]])</f>
        <v>9</v>
      </c>
      <c r="I1410" s="6">
        <f>MONTH(Consulta2[[#This Row],[DATA]])</f>
        <v>11</v>
      </c>
      <c r="J1410" t="str">
        <f>CONCATENATE(Consulta2[[#This Row],[SAFRA]],Consulta2[[#This Row],[dia]])</f>
        <v>2027119</v>
      </c>
      <c r="K1410">
        <f>Consulta2[[#This Row],[DIA_UTIL_CORRENTE]]</f>
        <v>6</v>
      </c>
    </row>
    <row r="1411" spans="1:11" x14ac:dyDescent="0.25">
      <c r="A1411">
        <v>202711</v>
      </c>
      <c r="B1411">
        <v>7</v>
      </c>
      <c r="C1411" s="148">
        <v>46701</v>
      </c>
      <c r="D1411">
        <v>20</v>
      </c>
      <c r="E1411">
        <v>20</v>
      </c>
      <c r="F1411">
        <v>971</v>
      </c>
      <c r="G1411">
        <f>Consulta2[[#This Row],[DIA_UTIL_CORRENTE]]</f>
        <v>7</v>
      </c>
      <c r="H1411" s="6">
        <f>DAY(Consulta2[[#This Row],[DATA]])</f>
        <v>10</v>
      </c>
      <c r="I1411" s="6">
        <f>MONTH(Consulta2[[#This Row],[DATA]])</f>
        <v>11</v>
      </c>
      <c r="J1411" t="str">
        <f>CONCATENATE(Consulta2[[#This Row],[SAFRA]],Consulta2[[#This Row],[dia]])</f>
        <v>20271110</v>
      </c>
      <c r="K1411">
        <f>Consulta2[[#This Row],[DIA_UTIL_CORRENTE]]</f>
        <v>7</v>
      </c>
    </row>
    <row r="1412" spans="1:11" x14ac:dyDescent="0.25">
      <c r="A1412">
        <v>202711</v>
      </c>
      <c r="B1412">
        <v>8</v>
      </c>
      <c r="C1412" s="148">
        <v>46702</v>
      </c>
      <c r="D1412">
        <v>20</v>
      </c>
      <c r="E1412">
        <v>20</v>
      </c>
      <c r="F1412">
        <v>972</v>
      </c>
      <c r="G1412">
        <f>Consulta2[[#This Row],[DIA_UTIL_CORRENTE]]</f>
        <v>8</v>
      </c>
      <c r="H1412" s="6">
        <f>DAY(Consulta2[[#This Row],[DATA]])</f>
        <v>11</v>
      </c>
      <c r="I1412" s="6">
        <f>MONTH(Consulta2[[#This Row],[DATA]])</f>
        <v>11</v>
      </c>
      <c r="J1412" t="str">
        <f>CONCATENATE(Consulta2[[#This Row],[SAFRA]],Consulta2[[#This Row],[dia]])</f>
        <v>20271111</v>
      </c>
      <c r="K1412">
        <f>Consulta2[[#This Row],[DIA_UTIL_CORRENTE]]</f>
        <v>8</v>
      </c>
    </row>
    <row r="1413" spans="1:11" x14ac:dyDescent="0.25">
      <c r="A1413">
        <v>202711</v>
      </c>
      <c r="B1413">
        <v>9</v>
      </c>
      <c r="C1413" s="148">
        <v>46703</v>
      </c>
      <c r="D1413">
        <v>20</v>
      </c>
      <c r="E1413">
        <v>20</v>
      </c>
      <c r="F1413">
        <v>973</v>
      </c>
      <c r="G1413">
        <f>Consulta2[[#This Row],[DIA_UTIL_CORRENTE]]</f>
        <v>9</v>
      </c>
      <c r="H1413" s="6">
        <f>DAY(Consulta2[[#This Row],[DATA]])</f>
        <v>12</v>
      </c>
      <c r="I1413" s="6">
        <f>MONTH(Consulta2[[#This Row],[DATA]])</f>
        <v>11</v>
      </c>
      <c r="J1413" t="str">
        <f>CONCATENATE(Consulta2[[#This Row],[SAFRA]],Consulta2[[#This Row],[dia]])</f>
        <v>20271112</v>
      </c>
      <c r="K1413">
        <f>Consulta2[[#This Row],[DIA_UTIL_CORRENTE]]</f>
        <v>9</v>
      </c>
    </row>
    <row r="1414" spans="1:11" x14ac:dyDescent="0.25">
      <c r="A1414">
        <v>202711</v>
      </c>
      <c r="B1414">
        <v>9</v>
      </c>
      <c r="C1414" s="148">
        <v>46704</v>
      </c>
      <c r="D1414">
        <v>20</v>
      </c>
      <c r="E1414">
        <v>20</v>
      </c>
      <c r="F1414">
        <v>973</v>
      </c>
      <c r="G1414">
        <f>Consulta2[[#This Row],[DIA_UTIL_CORRENTE]]</f>
        <v>9</v>
      </c>
      <c r="H1414" s="6">
        <f>DAY(Consulta2[[#This Row],[DATA]])</f>
        <v>13</v>
      </c>
      <c r="I1414" s="6">
        <f>MONTH(Consulta2[[#This Row],[DATA]])</f>
        <v>11</v>
      </c>
      <c r="J1414" t="str">
        <f>CONCATENATE(Consulta2[[#This Row],[SAFRA]],Consulta2[[#This Row],[dia]])</f>
        <v>20271113</v>
      </c>
      <c r="K1414">
        <f>Consulta2[[#This Row],[DIA_UTIL_CORRENTE]]</f>
        <v>9</v>
      </c>
    </row>
    <row r="1415" spans="1:11" x14ac:dyDescent="0.25">
      <c r="A1415">
        <v>202711</v>
      </c>
      <c r="B1415">
        <v>9</v>
      </c>
      <c r="C1415" s="148">
        <v>46705</v>
      </c>
      <c r="D1415">
        <v>20</v>
      </c>
      <c r="E1415">
        <v>20</v>
      </c>
      <c r="F1415">
        <v>973</v>
      </c>
      <c r="G1415">
        <f>Consulta2[[#This Row],[DIA_UTIL_CORRENTE]]</f>
        <v>9</v>
      </c>
      <c r="H1415" s="6">
        <f>DAY(Consulta2[[#This Row],[DATA]])</f>
        <v>14</v>
      </c>
      <c r="I1415" s="6">
        <f>MONTH(Consulta2[[#This Row],[DATA]])</f>
        <v>11</v>
      </c>
      <c r="J1415" t="str">
        <f>CONCATENATE(Consulta2[[#This Row],[SAFRA]],Consulta2[[#This Row],[dia]])</f>
        <v>20271114</v>
      </c>
      <c r="K1415">
        <f>Consulta2[[#This Row],[DIA_UTIL_CORRENTE]]</f>
        <v>9</v>
      </c>
    </row>
    <row r="1416" spans="1:11" x14ac:dyDescent="0.25">
      <c r="A1416">
        <v>202711</v>
      </c>
      <c r="B1416">
        <v>9</v>
      </c>
      <c r="C1416" s="148">
        <v>46706</v>
      </c>
      <c r="D1416">
        <v>20</v>
      </c>
      <c r="E1416">
        <v>20</v>
      </c>
      <c r="F1416">
        <v>973</v>
      </c>
      <c r="G1416">
        <f>Consulta2[[#This Row],[DIA_UTIL_CORRENTE]]</f>
        <v>9</v>
      </c>
      <c r="H1416" s="6">
        <f>DAY(Consulta2[[#This Row],[DATA]])</f>
        <v>15</v>
      </c>
      <c r="I1416" s="6">
        <f>MONTH(Consulta2[[#This Row],[DATA]])</f>
        <v>11</v>
      </c>
      <c r="J1416" t="str">
        <f>CONCATENATE(Consulta2[[#This Row],[SAFRA]],Consulta2[[#This Row],[dia]])</f>
        <v>20271115</v>
      </c>
      <c r="K1416">
        <f>Consulta2[[#This Row],[DIA_UTIL_CORRENTE]]</f>
        <v>9</v>
      </c>
    </row>
    <row r="1417" spans="1:11" x14ac:dyDescent="0.25">
      <c r="A1417">
        <v>202711</v>
      </c>
      <c r="B1417">
        <v>10</v>
      </c>
      <c r="C1417" s="148">
        <v>46707</v>
      </c>
      <c r="D1417">
        <v>20</v>
      </c>
      <c r="E1417">
        <v>20</v>
      </c>
      <c r="F1417">
        <v>974</v>
      </c>
      <c r="G1417">
        <f>Consulta2[[#This Row],[DIA_UTIL_CORRENTE]]</f>
        <v>10</v>
      </c>
      <c r="H1417" s="6">
        <f>DAY(Consulta2[[#This Row],[DATA]])</f>
        <v>16</v>
      </c>
      <c r="I1417" s="6">
        <f>MONTH(Consulta2[[#This Row],[DATA]])</f>
        <v>11</v>
      </c>
      <c r="J1417" t="str">
        <f>CONCATENATE(Consulta2[[#This Row],[SAFRA]],Consulta2[[#This Row],[dia]])</f>
        <v>20271116</v>
      </c>
      <c r="K1417">
        <f>Consulta2[[#This Row],[DIA_UTIL_CORRENTE]]</f>
        <v>10</v>
      </c>
    </row>
    <row r="1418" spans="1:11" x14ac:dyDescent="0.25">
      <c r="A1418">
        <v>202711</v>
      </c>
      <c r="B1418">
        <v>11</v>
      </c>
      <c r="C1418" s="148">
        <v>46708</v>
      </c>
      <c r="D1418">
        <v>20</v>
      </c>
      <c r="E1418">
        <v>20</v>
      </c>
      <c r="F1418">
        <v>975</v>
      </c>
      <c r="G1418">
        <f>Consulta2[[#This Row],[DIA_UTIL_CORRENTE]]</f>
        <v>11</v>
      </c>
      <c r="H1418" s="6">
        <f>DAY(Consulta2[[#This Row],[DATA]])</f>
        <v>17</v>
      </c>
      <c r="I1418" s="6">
        <f>MONTH(Consulta2[[#This Row],[DATA]])</f>
        <v>11</v>
      </c>
      <c r="J1418" t="str">
        <f>CONCATENATE(Consulta2[[#This Row],[SAFRA]],Consulta2[[#This Row],[dia]])</f>
        <v>20271117</v>
      </c>
      <c r="K1418">
        <f>Consulta2[[#This Row],[DIA_UTIL_CORRENTE]]</f>
        <v>11</v>
      </c>
    </row>
    <row r="1419" spans="1:11" x14ac:dyDescent="0.25">
      <c r="A1419">
        <v>202711</v>
      </c>
      <c r="B1419">
        <v>12</v>
      </c>
      <c r="C1419" s="148">
        <v>46709</v>
      </c>
      <c r="D1419">
        <v>20</v>
      </c>
      <c r="E1419">
        <v>20</v>
      </c>
      <c r="F1419">
        <v>976</v>
      </c>
      <c r="G1419">
        <f>Consulta2[[#This Row],[DIA_UTIL_CORRENTE]]</f>
        <v>12</v>
      </c>
      <c r="H1419" s="6">
        <f>DAY(Consulta2[[#This Row],[DATA]])</f>
        <v>18</v>
      </c>
      <c r="I1419" s="6">
        <f>MONTH(Consulta2[[#This Row],[DATA]])</f>
        <v>11</v>
      </c>
      <c r="J1419" t="str">
        <f>CONCATENATE(Consulta2[[#This Row],[SAFRA]],Consulta2[[#This Row],[dia]])</f>
        <v>20271118</v>
      </c>
      <c r="K1419">
        <f>Consulta2[[#This Row],[DIA_UTIL_CORRENTE]]</f>
        <v>12</v>
      </c>
    </row>
    <row r="1420" spans="1:11" x14ac:dyDescent="0.25">
      <c r="A1420">
        <v>202711</v>
      </c>
      <c r="B1420">
        <v>13</v>
      </c>
      <c r="C1420" s="148">
        <v>46710</v>
      </c>
      <c r="D1420">
        <v>20</v>
      </c>
      <c r="E1420">
        <v>20</v>
      </c>
      <c r="F1420">
        <v>977</v>
      </c>
      <c r="G1420">
        <f>Consulta2[[#This Row],[DIA_UTIL_CORRENTE]]</f>
        <v>13</v>
      </c>
      <c r="H1420" s="6">
        <f>DAY(Consulta2[[#This Row],[DATA]])</f>
        <v>19</v>
      </c>
      <c r="I1420" s="6">
        <f>MONTH(Consulta2[[#This Row],[DATA]])</f>
        <v>11</v>
      </c>
      <c r="J1420" t="str">
        <f>CONCATENATE(Consulta2[[#This Row],[SAFRA]],Consulta2[[#This Row],[dia]])</f>
        <v>20271119</v>
      </c>
      <c r="K1420">
        <f>Consulta2[[#This Row],[DIA_UTIL_CORRENTE]]</f>
        <v>13</v>
      </c>
    </row>
    <row r="1421" spans="1:11" x14ac:dyDescent="0.25">
      <c r="A1421">
        <v>202711</v>
      </c>
      <c r="B1421">
        <v>13</v>
      </c>
      <c r="C1421" s="148">
        <v>46711</v>
      </c>
      <c r="D1421">
        <v>20</v>
      </c>
      <c r="E1421">
        <v>20</v>
      </c>
      <c r="F1421">
        <v>977</v>
      </c>
      <c r="G1421">
        <f>Consulta2[[#This Row],[DIA_UTIL_CORRENTE]]</f>
        <v>13</v>
      </c>
      <c r="H1421" s="6">
        <f>DAY(Consulta2[[#This Row],[DATA]])</f>
        <v>20</v>
      </c>
      <c r="I1421" s="6">
        <f>MONTH(Consulta2[[#This Row],[DATA]])</f>
        <v>11</v>
      </c>
      <c r="J1421" t="str">
        <f>CONCATENATE(Consulta2[[#This Row],[SAFRA]],Consulta2[[#This Row],[dia]])</f>
        <v>20271120</v>
      </c>
      <c r="K1421">
        <f>Consulta2[[#This Row],[DIA_UTIL_CORRENTE]]</f>
        <v>13</v>
      </c>
    </row>
    <row r="1422" spans="1:11" x14ac:dyDescent="0.25">
      <c r="A1422">
        <v>202711</v>
      </c>
      <c r="B1422">
        <v>13</v>
      </c>
      <c r="C1422" s="148">
        <v>46712</v>
      </c>
      <c r="D1422">
        <v>20</v>
      </c>
      <c r="E1422">
        <v>20</v>
      </c>
      <c r="F1422">
        <v>977</v>
      </c>
      <c r="G1422">
        <f>Consulta2[[#This Row],[DIA_UTIL_CORRENTE]]</f>
        <v>13</v>
      </c>
      <c r="H1422" s="6">
        <f>DAY(Consulta2[[#This Row],[DATA]])</f>
        <v>21</v>
      </c>
      <c r="I1422" s="6">
        <f>MONTH(Consulta2[[#This Row],[DATA]])</f>
        <v>11</v>
      </c>
      <c r="J1422" t="str">
        <f>CONCATENATE(Consulta2[[#This Row],[SAFRA]],Consulta2[[#This Row],[dia]])</f>
        <v>20271121</v>
      </c>
      <c r="K1422">
        <f>Consulta2[[#This Row],[DIA_UTIL_CORRENTE]]</f>
        <v>13</v>
      </c>
    </row>
    <row r="1423" spans="1:11" x14ac:dyDescent="0.25">
      <c r="A1423">
        <v>202711</v>
      </c>
      <c r="B1423">
        <v>14</v>
      </c>
      <c r="C1423" s="148">
        <v>46713</v>
      </c>
      <c r="D1423">
        <v>20</v>
      </c>
      <c r="E1423">
        <v>20</v>
      </c>
      <c r="F1423">
        <v>978</v>
      </c>
      <c r="G1423">
        <f>Consulta2[[#This Row],[DIA_UTIL_CORRENTE]]</f>
        <v>14</v>
      </c>
      <c r="H1423" s="6">
        <f>DAY(Consulta2[[#This Row],[DATA]])</f>
        <v>22</v>
      </c>
      <c r="I1423" s="6">
        <f>MONTH(Consulta2[[#This Row],[DATA]])</f>
        <v>11</v>
      </c>
      <c r="J1423" t="str">
        <f>CONCATENATE(Consulta2[[#This Row],[SAFRA]],Consulta2[[#This Row],[dia]])</f>
        <v>20271122</v>
      </c>
      <c r="K1423">
        <f>Consulta2[[#This Row],[DIA_UTIL_CORRENTE]]</f>
        <v>14</v>
      </c>
    </row>
    <row r="1424" spans="1:11" x14ac:dyDescent="0.25">
      <c r="A1424">
        <v>202711</v>
      </c>
      <c r="B1424">
        <v>15</v>
      </c>
      <c r="C1424" s="148">
        <v>46714</v>
      </c>
      <c r="D1424">
        <v>20</v>
      </c>
      <c r="E1424">
        <v>20</v>
      </c>
      <c r="F1424">
        <v>979</v>
      </c>
      <c r="G1424">
        <f>Consulta2[[#This Row],[DIA_UTIL_CORRENTE]]</f>
        <v>15</v>
      </c>
      <c r="H1424" s="6">
        <f>DAY(Consulta2[[#This Row],[DATA]])</f>
        <v>23</v>
      </c>
      <c r="I1424" s="6">
        <f>MONTH(Consulta2[[#This Row],[DATA]])</f>
        <v>11</v>
      </c>
      <c r="J1424" t="str">
        <f>CONCATENATE(Consulta2[[#This Row],[SAFRA]],Consulta2[[#This Row],[dia]])</f>
        <v>20271123</v>
      </c>
      <c r="K1424">
        <f>Consulta2[[#This Row],[DIA_UTIL_CORRENTE]]</f>
        <v>15</v>
      </c>
    </row>
    <row r="1425" spans="1:11" x14ac:dyDescent="0.25">
      <c r="A1425">
        <v>202711</v>
      </c>
      <c r="B1425">
        <v>16</v>
      </c>
      <c r="C1425" s="148">
        <v>46715</v>
      </c>
      <c r="D1425">
        <v>20</v>
      </c>
      <c r="E1425">
        <v>20</v>
      </c>
      <c r="F1425">
        <v>980</v>
      </c>
      <c r="G1425">
        <f>Consulta2[[#This Row],[DIA_UTIL_CORRENTE]]</f>
        <v>16</v>
      </c>
      <c r="H1425" s="6">
        <f>DAY(Consulta2[[#This Row],[DATA]])</f>
        <v>24</v>
      </c>
      <c r="I1425" s="6">
        <f>MONTH(Consulta2[[#This Row],[DATA]])</f>
        <v>11</v>
      </c>
      <c r="J1425" t="str">
        <f>CONCATENATE(Consulta2[[#This Row],[SAFRA]],Consulta2[[#This Row],[dia]])</f>
        <v>20271124</v>
      </c>
      <c r="K1425">
        <f>Consulta2[[#This Row],[DIA_UTIL_CORRENTE]]</f>
        <v>16</v>
      </c>
    </row>
    <row r="1426" spans="1:11" x14ac:dyDescent="0.25">
      <c r="A1426">
        <v>202711</v>
      </c>
      <c r="B1426">
        <v>17</v>
      </c>
      <c r="C1426" s="148">
        <v>46716</v>
      </c>
      <c r="D1426">
        <v>20</v>
      </c>
      <c r="E1426">
        <v>20</v>
      </c>
      <c r="F1426">
        <v>981</v>
      </c>
      <c r="G1426">
        <f>Consulta2[[#This Row],[DIA_UTIL_CORRENTE]]</f>
        <v>17</v>
      </c>
      <c r="H1426" s="6">
        <f>DAY(Consulta2[[#This Row],[DATA]])</f>
        <v>25</v>
      </c>
      <c r="I1426" s="6">
        <f>MONTH(Consulta2[[#This Row],[DATA]])</f>
        <v>11</v>
      </c>
      <c r="J1426" t="str">
        <f>CONCATENATE(Consulta2[[#This Row],[SAFRA]],Consulta2[[#This Row],[dia]])</f>
        <v>20271125</v>
      </c>
      <c r="K1426">
        <f>Consulta2[[#This Row],[DIA_UTIL_CORRENTE]]</f>
        <v>17</v>
      </c>
    </row>
    <row r="1427" spans="1:11" x14ac:dyDescent="0.25">
      <c r="A1427">
        <v>202711</v>
      </c>
      <c r="B1427">
        <v>18</v>
      </c>
      <c r="C1427" s="148">
        <v>46717</v>
      </c>
      <c r="D1427">
        <v>20</v>
      </c>
      <c r="E1427">
        <v>20</v>
      </c>
      <c r="F1427">
        <v>982</v>
      </c>
      <c r="G1427">
        <f>Consulta2[[#This Row],[DIA_UTIL_CORRENTE]]</f>
        <v>18</v>
      </c>
      <c r="H1427" s="6">
        <f>DAY(Consulta2[[#This Row],[DATA]])</f>
        <v>26</v>
      </c>
      <c r="I1427" s="6">
        <f>MONTH(Consulta2[[#This Row],[DATA]])</f>
        <v>11</v>
      </c>
      <c r="J1427" t="str">
        <f>CONCATENATE(Consulta2[[#This Row],[SAFRA]],Consulta2[[#This Row],[dia]])</f>
        <v>20271126</v>
      </c>
      <c r="K1427">
        <f>Consulta2[[#This Row],[DIA_UTIL_CORRENTE]]</f>
        <v>18</v>
      </c>
    </row>
    <row r="1428" spans="1:11" x14ac:dyDescent="0.25">
      <c r="A1428">
        <v>202711</v>
      </c>
      <c r="B1428">
        <v>18</v>
      </c>
      <c r="C1428" s="148">
        <v>46718</v>
      </c>
      <c r="D1428">
        <v>20</v>
      </c>
      <c r="E1428">
        <v>20</v>
      </c>
      <c r="F1428">
        <v>982</v>
      </c>
      <c r="G1428">
        <f>Consulta2[[#This Row],[DIA_UTIL_CORRENTE]]</f>
        <v>18</v>
      </c>
      <c r="H1428" s="6">
        <f>DAY(Consulta2[[#This Row],[DATA]])</f>
        <v>27</v>
      </c>
      <c r="I1428" s="6">
        <f>MONTH(Consulta2[[#This Row],[DATA]])</f>
        <v>11</v>
      </c>
      <c r="J1428" t="str">
        <f>CONCATENATE(Consulta2[[#This Row],[SAFRA]],Consulta2[[#This Row],[dia]])</f>
        <v>20271127</v>
      </c>
      <c r="K1428">
        <f>Consulta2[[#This Row],[DIA_UTIL_CORRENTE]]</f>
        <v>18</v>
      </c>
    </row>
    <row r="1429" spans="1:11" x14ac:dyDescent="0.25">
      <c r="A1429">
        <v>202711</v>
      </c>
      <c r="B1429">
        <v>18</v>
      </c>
      <c r="C1429" s="148">
        <v>46719</v>
      </c>
      <c r="D1429">
        <v>20</v>
      </c>
      <c r="E1429">
        <v>20</v>
      </c>
      <c r="F1429">
        <v>982</v>
      </c>
      <c r="G1429">
        <f>Consulta2[[#This Row],[DIA_UTIL_CORRENTE]]</f>
        <v>18</v>
      </c>
      <c r="H1429" s="6">
        <f>DAY(Consulta2[[#This Row],[DATA]])</f>
        <v>28</v>
      </c>
      <c r="I1429" s="6">
        <f>MONTH(Consulta2[[#This Row],[DATA]])</f>
        <v>11</v>
      </c>
      <c r="J1429" t="str">
        <f>CONCATENATE(Consulta2[[#This Row],[SAFRA]],Consulta2[[#This Row],[dia]])</f>
        <v>20271128</v>
      </c>
      <c r="K1429">
        <f>Consulta2[[#This Row],[DIA_UTIL_CORRENTE]]</f>
        <v>18</v>
      </c>
    </row>
    <row r="1430" spans="1:11" x14ac:dyDescent="0.25">
      <c r="A1430">
        <v>202711</v>
      </c>
      <c r="B1430">
        <v>19</v>
      </c>
      <c r="C1430" s="148">
        <v>46720</v>
      </c>
      <c r="D1430">
        <v>20</v>
      </c>
      <c r="E1430">
        <v>20</v>
      </c>
      <c r="F1430">
        <v>983</v>
      </c>
      <c r="G1430">
        <f>Consulta2[[#This Row],[DIA_UTIL_CORRENTE]]</f>
        <v>19</v>
      </c>
      <c r="H1430" s="6">
        <f>DAY(Consulta2[[#This Row],[DATA]])</f>
        <v>29</v>
      </c>
      <c r="I1430" s="6">
        <f>MONTH(Consulta2[[#This Row],[DATA]])</f>
        <v>11</v>
      </c>
      <c r="J1430" t="str">
        <f>CONCATENATE(Consulta2[[#This Row],[SAFRA]],Consulta2[[#This Row],[dia]])</f>
        <v>20271129</v>
      </c>
      <c r="K1430">
        <f>Consulta2[[#This Row],[DIA_UTIL_CORRENTE]]</f>
        <v>19</v>
      </c>
    </row>
    <row r="1431" spans="1:11" x14ac:dyDescent="0.25">
      <c r="A1431">
        <v>202711</v>
      </c>
      <c r="B1431">
        <v>20</v>
      </c>
      <c r="C1431" s="148">
        <v>46721</v>
      </c>
      <c r="D1431">
        <v>20</v>
      </c>
      <c r="E1431">
        <v>20</v>
      </c>
      <c r="F1431">
        <v>984</v>
      </c>
      <c r="G1431">
        <f>Consulta2[[#This Row],[DIA_UTIL_CORRENTE]]</f>
        <v>20</v>
      </c>
      <c r="H1431" s="6">
        <f>DAY(Consulta2[[#This Row],[DATA]])</f>
        <v>30</v>
      </c>
      <c r="I1431" s="6">
        <f>MONTH(Consulta2[[#This Row],[DATA]])</f>
        <v>11</v>
      </c>
      <c r="J1431" t="str">
        <f>CONCATENATE(Consulta2[[#This Row],[SAFRA]],Consulta2[[#This Row],[dia]])</f>
        <v>20271130</v>
      </c>
      <c r="K1431">
        <f>Consulta2[[#This Row],[DIA_UTIL_CORRENTE]]</f>
        <v>20</v>
      </c>
    </row>
    <row r="1432" spans="1:11" x14ac:dyDescent="0.25">
      <c r="A1432">
        <v>202712</v>
      </c>
      <c r="B1432">
        <v>1</v>
      </c>
      <c r="C1432" s="148">
        <v>46722</v>
      </c>
      <c r="D1432">
        <v>23</v>
      </c>
      <c r="E1432">
        <v>23</v>
      </c>
      <c r="F1432">
        <v>985</v>
      </c>
      <c r="G1432">
        <f>Consulta2[[#This Row],[DIA_UTIL_CORRENTE]]</f>
        <v>1</v>
      </c>
      <c r="H1432" s="6">
        <f>DAY(Consulta2[[#This Row],[DATA]])</f>
        <v>1</v>
      </c>
      <c r="I1432" s="6">
        <f>MONTH(Consulta2[[#This Row],[DATA]])</f>
        <v>12</v>
      </c>
      <c r="J1432" t="str">
        <f>CONCATENATE(Consulta2[[#This Row],[SAFRA]],Consulta2[[#This Row],[dia]])</f>
        <v>2027121</v>
      </c>
      <c r="K1432">
        <f>Consulta2[[#This Row],[DIA_UTIL_CORRENTE]]</f>
        <v>1</v>
      </c>
    </row>
    <row r="1433" spans="1:11" x14ac:dyDescent="0.25">
      <c r="A1433">
        <v>202712</v>
      </c>
      <c r="B1433">
        <v>2</v>
      </c>
      <c r="C1433" s="148">
        <v>46723</v>
      </c>
      <c r="D1433">
        <v>23</v>
      </c>
      <c r="E1433">
        <v>23</v>
      </c>
      <c r="F1433">
        <v>986</v>
      </c>
      <c r="G1433">
        <f>Consulta2[[#This Row],[DIA_UTIL_CORRENTE]]</f>
        <v>2</v>
      </c>
      <c r="H1433" s="6">
        <f>DAY(Consulta2[[#This Row],[DATA]])</f>
        <v>2</v>
      </c>
      <c r="I1433" s="6">
        <f>MONTH(Consulta2[[#This Row],[DATA]])</f>
        <v>12</v>
      </c>
      <c r="J1433" t="str">
        <f>CONCATENATE(Consulta2[[#This Row],[SAFRA]],Consulta2[[#This Row],[dia]])</f>
        <v>2027122</v>
      </c>
      <c r="K1433">
        <f>Consulta2[[#This Row],[DIA_UTIL_CORRENTE]]</f>
        <v>2</v>
      </c>
    </row>
    <row r="1434" spans="1:11" x14ac:dyDescent="0.25">
      <c r="A1434">
        <v>202712</v>
      </c>
      <c r="B1434">
        <v>3</v>
      </c>
      <c r="C1434" s="148">
        <v>46724</v>
      </c>
      <c r="D1434">
        <v>23</v>
      </c>
      <c r="E1434">
        <v>23</v>
      </c>
      <c r="F1434">
        <v>987</v>
      </c>
      <c r="G1434">
        <f>Consulta2[[#This Row],[DIA_UTIL_CORRENTE]]</f>
        <v>3</v>
      </c>
      <c r="H1434" s="6">
        <f>DAY(Consulta2[[#This Row],[DATA]])</f>
        <v>3</v>
      </c>
      <c r="I1434" s="6">
        <f>MONTH(Consulta2[[#This Row],[DATA]])</f>
        <v>12</v>
      </c>
      <c r="J1434" t="str">
        <f>CONCATENATE(Consulta2[[#This Row],[SAFRA]],Consulta2[[#This Row],[dia]])</f>
        <v>2027123</v>
      </c>
      <c r="K1434">
        <f>Consulta2[[#This Row],[DIA_UTIL_CORRENTE]]</f>
        <v>3</v>
      </c>
    </row>
    <row r="1435" spans="1:11" x14ac:dyDescent="0.25">
      <c r="A1435">
        <v>202712</v>
      </c>
      <c r="B1435">
        <v>3</v>
      </c>
      <c r="C1435" s="148">
        <v>46725</v>
      </c>
      <c r="D1435">
        <v>23</v>
      </c>
      <c r="E1435">
        <v>23</v>
      </c>
      <c r="F1435">
        <v>987</v>
      </c>
      <c r="G1435">
        <f>Consulta2[[#This Row],[DIA_UTIL_CORRENTE]]</f>
        <v>3</v>
      </c>
      <c r="H1435" s="6">
        <f>DAY(Consulta2[[#This Row],[DATA]])</f>
        <v>4</v>
      </c>
      <c r="I1435" s="6">
        <f>MONTH(Consulta2[[#This Row],[DATA]])</f>
        <v>12</v>
      </c>
      <c r="J1435" t="str">
        <f>CONCATENATE(Consulta2[[#This Row],[SAFRA]],Consulta2[[#This Row],[dia]])</f>
        <v>2027124</v>
      </c>
      <c r="K1435">
        <f>Consulta2[[#This Row],[DIA_UTIL_CORRENTE]]</f>
        <v>3</v>
      </c>
    </row>
    <row r="1436" spans="1:11" x14ac:dyDescent="0.25">
      <c r="A1436">
        <v>202712</v>
      </c>
      <c r="B1436">
        <v>3</v>
      </c>
      <c r="C1436" s="148">
        <v>46726</v>
      </c>
      <c r="D1436">
        <v>23</v>
      </c>
      <c r="E1436">
        <v>23</v>
      </c>
      <c r="F1436">
        <v>987</v>
      </c>
      <c r="G1436">
        <f>Consulta2[[#This Row],[DIA_UTIL_CORRENTE]]</f>
        <v>3</v>
      </c>
      <c r="H1436" s="6">
        <f>DAY(Consulta2[[#This Row],[DATA]])</f>
        <v>5</v>
      </c>
      <c r="I1436" s="6">
        <f>MONTH(Consulta2[[#This Row],[DATA]])</f>
        <v>12</v>
      </c>
      <c r="J1436" t="str">
        <f>CONCATENATE(Consulta2[[#This Row],[SAFRA]],Consulta2[[#This Row],[dia]])</f>
        <v>2027125</v>
      </c>
      <c r="K1436">
        <f>Consulta2[[#This Row],[DIA_UTIL_CORRENTE]]</f>
        <v>3</v>
      </c>
    </row>
    <row r="1437" spans="1:11" x14ac:dyDescent="0.25">
      <c r="A1437">
        <v>202712</v>
      </c>
      <c r="B1437">
        <v>4</v>
      </c>
      <c r="C1437" s="148">
        <v>46727</v>
      </c>
      <c r="D1437">
        <v>23</v>
      </c>
      <c r="E1437">
        <v>23</v>
      </c>
      <c r="F1437">
        <v>988</v>
      </c>
      <c r="G1437">
        <f>Consulta2[[#This Row],[DIA_UTIL_CORRENTE]]</f>
        <v>4</v>
      </c>
      <c r="H1437" s="6">
        <f>DAY(Consulta2[[#This Row],[DATA]])</f>
        <v>6</v>
      </c>
      <c r="I1437" s="6">
        <f>MONTH(Consulta2[[#This Row],[DATA]])</f>
        <v>12</v>
      </c>
      <c r="J1437" t="str">
        <f>CONCATENATE(Consulta2[[#This Row],[SAFRA]],Consulta2[[#This Row],[dia]])</f>
        <v>2027126</v>
      </c>
      <c r="K1437">
        <f>Consulta2[[#This Row],[DIA_UTIL_CORRENTE]]</f>
        <v>4</v>
      </c>
    </row>
    <row r="1438" spans="1:11" x14ac:dyDescent="0.25">
      <c r="A1438">
        <v>202712</v>
      </c>
      <c r="B1438">
        <v>5</v>
      </c>
      <c r="C1438" s="148">
        <v>46728</v>
      </c>
      <c r="D1438">
        <v>23</v>
      </c>
      <c r="E1438">
        <v>23</v>
      </c>
      <c r="F1438">
        <v>989</v>
      </c>
      <c r="G1438">
        <f>Consulta2[[#This Row],[DIA_UTIL_CORRENTE]]</f>
        <v>5</v>
      </c>
      <c r="H1438" s="6">
        <f>DAY(Consulta2[[#This Row],[DATA]])</f>
        <v>7</v>
      </c>
      <c r="I1438" s="6">
        <f>MONTH(Consulta2[[#This Row],[DATA]])</f>
        <v>12</v>
      </c>
      <c r="J1438" t="str">
        <f>CONCATENATE(Consulta2[[#This Row],[SAFRA]],Consulta2[[#This Row],[dia]])</f>
        <v>2027127</v>
      </c>
      <c r="K1438">
        <f>Consulta2[[#This Row],[DIA_UTIL_CORRENTE]]</f>
        <v>5</v>
      </c>
    </row>
    <row r="1439" spans="1:11" x14ac:dyDescent="0.25">
      <c r="A1439">
        <v>202712</v>
      </c>
      <c r="B1439">
        <v>6</v>
      </c>
      <c r="C1439" s="148">
        <v>46729</v>
      </c>
      <c r="D1439">
        <v>23</v>
      </c>
      <c r="E1439">
        <v>23</v>
      </c>
      <c r="F1439">
        <v>990</v>
      </c>
      <c r="G1439">
        <f>Consulta2[[#This Row],[DIA_UTIL_CORRENTE]]</f>
        <v>6</v>
      </c>
      <c r="H1439" s="6">
        <f>DAY(Consulta2[[#This Row],[DATA]])</f>
        <v>8</v>
      </c>
      <c r="I1439" s="6">
        <f>MONTH(Consulta2[[#This Row],[DATA]])</f>
        <v>12</v>
      </c>
      <c r="J1439" t="str">
        <f>CONCATENATE(Consulta2[[#This Row],[SAFRA]],Consulta2[[#This Row],[dia]])</f>
        <v>2027128</v>
      </c>
      <c r="K1439">
        <f>Consulta2[[#This Row],[DIA_UTIL_CORRENTE]]</f>
        <v>6</v>
      </c>
    </row>
    <row r="1440" spans="1:11" x14ac:dyDescent="0.25">
      <c r="A1440">
        <v>202712</v>
      </c>
      <c r="B1440">
        <v>7</v>
      </c>
      <c r="C1440" s="148">
        <v>46730</v>
      </c>
      <c r="D1440">
        <v>23</v>
      </c>
      <c r="E1440">
        <v>23</v>
      </c>
      <c r="F1440">
        <v>991</v>
      </c>
      <c r="G1440">
        <f>Consulta2[[#This Row],[DIA_UTIL_CORRENTE]]</f>
        <v>7</v>
      </c>
      <c r="H1440" s="6">
        <f>DAY(Consulta2[[#This Row],[DATA]])</f>
        <v>9</v>
      </c>
      <c r="I1440" s="6">
        <f>MONTH(Consulta2[[#This Row],[DATA]])</f>
        <v>12</v>
      </c>
      <c r="J1440" t="str">
        <f>CONCATENATE(Consulta2[[#This Row],[SAFRA]],Consulta2[[#This Row],[dia]])</f>
        <v>2027129</v>
      </c>
      <c r="K1440">
        <f>Consulta2[[#This Row],[DIA_UTIL_CORRENTE]]</f>
        <v>7</v>
      </c>
    </row>
    <row r="1441" spans="1:11" x14ac:dyDescent="0.25">
      <c r="A1441">
        <v>202712</v>
      </c>
      <c r="B1441">
        <v>8</v>
      </c>
      <c r="C1441" s="148">
        <v>46731</v>
      </c>
      <c r="D1441">
        <v>23</v>
      </c>
      <c r="E1441">
        <v>23</v>
      </c>
      <c r="F1441">
        <v>992</v>
      </c>
      <c r="G1441">
        <f>Consulta2[[#This Row],[DIA_UTIL_CORRENTE]]</f>
        <v>8</v>
      </c>
      <c r="H1441" s="6">
        <f>DAY(Consulta2[[#This Row],[DATA]])</f>
        <v>10</v>
      </c>
      <c r="I1441" s="6">
        <f>MONTH(Consulta2[[#This Row],[DATA]])</f>
        <v>12</v>
      </c>
      <c r="J1441" t="str">
        <f>CONCATENATE(Consulta2[[#This Row],[SAFRA]],Consulta2[[#This Row],[dia]])</f>
        <v>20271210</v>
      </c>
      <c r="K1441">
        <f>Consulta2[[#This Row],[DIA_UTIL_CORRENTE]]</f>
        <v>8</v>
      </c>
    </row>
    <row r="1442" spans="1:11" x14ac:dyDescent="0.25">
      <c r="A1442">
        <v>202712</v>
      </c>
      <c r="B1442">
        <v>8</v>
      </c>
      <c r="C1442" s="148">
        <v>46732</v>
      </c>
      <c r="D1442">
        <v>23</v>
      </c>
      <c r="E1442">
        <v>23</v>
      </c>
      <c r="F1442">
        <v>992</v>
      </c>
      <c r="G1442">
        <f>Consulta2[[#This Row],[DIA_UTIL_CORRENTE]]</f>
        <v>8</v>
      </c>
      <c r="H1442" s="6">
        <f>DAY(Consulta2[[#This Row],[DATA]])</f>
        <v>11</v>
      </c>
      <c r="I1442" s="6">
        <f>MONTH(Consulta2[[#This Row],[DATA]])</f>
        <v>12</v>
      </c>
      <c r="J1442" t="str">
        <f>CONCATENATE(Consulta2[[#This Row],[SAFRA]],Consulta2[[#This Row],[dia]])</f>
        <v>20271211</v>
      </c>
      <c r="K1442">
        <f>Consulta2[[#This Row],[DIA_UTIL_CORRENTE]]</f>
        <v>8</v>
      </c>
    </row>
    <row r="1443" spans="1:11" x14ac:dyDescent="0.25">
      <c r="A1443">
        <v>202712</v>
      </c>
      <c r="B1443">
        <v>8</v>
      </c>
      <c r="C1443" s="148">
        <v>46733</v>
      </c>
      <c r="D1443">
        <v>23</v>
      </c>
      <c r="E1443">
        <v>23</v>
      </c>
      <c r="F1443">
        <v>992</v>
      </c>
      <c r="G1443">
        <f>Consulta2[[#This Row],[DIA_UTIL_CORRENTE]]</f>
        <v>8</v>
      </c>
      <c r="H1443" s="6">
        <f>DAY(Consulta2[[#This Row],[DATA]])</f>
        <v>12</v>
      </c>
      <c r="I1443" s="6">
        <f>MONTH(Consulta2[[#This Row],[DATA]])</f>
        <v>12</v>
      </c>
      <c r="J1443" t="str">
        <f>CONCATENATE(Consulta2[[#This Row],[SAFRA]],Consulta2[[#This Row],[dia]])</f>
        <v>20271212</v>
      </c>
      <c r="K1443">
        <f>Consulta2[[#This Row],[DIA_UTIL_CORRENTE]]</f>
        <v>8</v>
      </c>
    </row>
    <row r="1444" spans="1:11" x14ac:dyDescent="0.25">
      <c r="A1444">
        <v>202712</v>
      </c>
      <c r="B1444">
        <v>9</v>
      </c>
      <c r="C1444" s="148">
        <v>46734</v>
      </c>
      <c r="D1444">
        <v>23</v>
      </c>
      <c r="E1444">
        <v>23</v>
      </c>
      <c r="F1444">
        <v>993</v>
      </c>
      <c r="G1444">
        <f>Consulta2[[#This Row],[DIA_UTIL_CORRENTE]]</f>
        <v>9</v>
      </c>
      <c r="H1444" s="6">
        <f>DAY(Consulta2[[#This Row],[DATA]])</f>
        <v>13</v>
      </c>
      <c r="I1444" s="6">
        <f>MONTH(Consulta2[[#This Row],[DATA]])</f>
        <v>12</v>
      </c>
      <c r="J1444" t="str">
        <f>CONCATENATE(Consulta2[[#This Row],[SAFRA]],Consulta2[[#This Row],[dia]])</f>
        <v>20271213</v>
      </c>
      <c r="K1444">
        <f>Consulta2[[#This Row],[DIA_UTIL_CORRENTE]]</f>
        <v>9</v>
      </c>
    </row>
    <row r="1445" spans="1:11" x14ac:dyDescent="0.25">
      <c r="A1445">
        <v>202712</v>
      </c>
      <c r="B1445">
        <v>10</v>
      </c>
      <c r="C1445" s="148">
        <v>46735</v>
      </c>
      <c r="D1445">
        <v>23</v>
      </c>
      <c r="E1445">
        <v>23</v>
      </c>
      <c r="F1445">
        <v>994</v>
      </c>
      <c r="G1445">
        <f>Consulta2[[#This Row],[DIA_UTIL_CORRENTE]]</f>
        <v>10</v>
      </c>
      <c r="H1445" s="6">
        <f>DAY(Consulta2[[#This Row],[DATA]])</f>
        <v>14</v>
      </c>
      <c r="I1445" s="6">
        <f>MONTH(Consulta2[[#This Row],[DATA]])</f>
        <v>12</v>
      </c>
      <c r="J1445" t="str">
        <f>CONCATENATE(Consulta2[[#This Row],[SAFRA]],Consulta2[[#This Row],[dia]])</f>
        <v>20271214</v>
      </c>
      <c r="K1445">
        <f>Consulta2[[#This Row],[DIA_UTIL_CORRENTE]]</f>
        <v>10</v>
      </c>
    </row>
    <row r="1446" spans="1:11" x14ac:dyDescent="0.25">
      <c r="A1446">
        <v>202712</v>
      </c>
      <c r="B1446">
        <v>11</v>
      </c>
      <c r="C1446" s="148">
        <v>46736</v>
      </c>
      <c r="D1446">
        <v>23</v>
      </c>
      <c r="E1446">
        <v>23</v>
      </c>
      <c r="F1446">
        <v>995</v>
      </c>
      <c r="G1446">
        <f>Consulta2[[#This Row],[DIA_UTIL_CORRENTE]]</f>
        <v>11</v>
      </c>
      <c r="H1446" s="6">
        <f>DAY(Consulta2[[#This Row],[DATA]])</f>
        <v>15</v>
      </c>
      <c r="I1446" s="6">
        <f>MONTH(Consulta2[[#This Row],[DATA]])</f>
        <v>12</v>
      </c>
      <c r="J1446" t="str">
        <f>CONCATENATE(Consulta2[[#This Row],[SAFRA]],Consulta2[[#This Row],[dia]])</f>
        <v>20271215</v>
      </c>
      <c r="K1446">
        <f>Consulta2[[#This Row],[DIA_UTIL_CORRENTE]]</f>
        <v>11</v>
      </c>
    </row>
    <row r="1447" spans="1:11" x14ac:dyDescent="0.25">
      <c r="A1447">
        <v>202712</v>
      </c>
      <c r="B1447">
        <v>12</v>
      </c>
      <c r="C1447" s="148">
        <v>46737</v>
      </c>
      <c r="D1447">
        <v>23</v>
      </c>
      <c r="E1447">
        <v>23</v>
      </c>
      <c r="F1447">
        <v>996</v>
      </c>
      <c r="G1447">
        <f>Consulta2[[#This Row],[DIA_UTIL_CORRENTE]]</f>
        <v>12</v>
      </c>
      <c r="H1447" s="6">
        <f>DAY(Consulta2[[#This Row],[DATA]])</f>
        <v>16</v>
      </c>
      <c r="I1447" s="6">
        <f>MONTH(Consulta2[[#This Row],[DATA]])</f>
        <v>12</v>
      </c>
      <c r="J1447" t="str">
        <f>CONCATENATE(Consulta2[[#This Row],[SAFRA]],Consulta2[[#This Row],[dia]])</f>
        <v>20271216</v>
      </c>
      <c r="K1447">
        <f>Consulta2[[#This Row],[DIA_UTIL_CORRENTE]]</f>
        <v>12</v>
      </c>
    </row>
    <row r="1448" spans="1:11" x14ac:dyDescent="0.25">
      <c r="A1448">
        <v>202712</v>
      </c>
      <c r="B1448">
        <v>13</v>
      </c>
      <c r="C1448" s="148">
        <v>46738</v>
      </c>
      <c r="D1448">
        <v>23</v>
      </c>
      <c r="E1448">
        <v>23</v>
      </c>
      <c r="F1448">
        <v>997</v>
      </c>
      <c r="G1448">
        <f>Consulta2[[#This Row],[DIA_UTIL_CORRENTE]]</f>
        <v>13</v>
      </c>
      <c r="H1448" s="6">
        <f>DAY(Consulta2[[#This Row],[DATA]])</f>
        <v>17</v>
      </c>
      <c r="I1448" s="6">
        <f>MONTH(Consulta2[[#This Row],[DATA]])</f>
        <v>12</v>
      </c>
      <c r="J1448" t="str">
        <f>CONCATENATE(Consulta2[[#This Row],[SAFRA]],Consulta2[[#This Row],[dia]])</f>
        <v>20271217</v>
      </c>
      <c r="K1448">
        <f>Consulta2[[#This Row],[DIA_UTIL_CORRENTE]]</f>
        <v>13</v>
      </c>
    </row>
    <row r="1449" spans="1:11" x14ac:dyDescent="0.25">
      <c r="A1449">
        <v>202712</v>
      </c>
      <c r="B1449">
        <v>13</v>
      </c>
      <c r="C1449" s="148">
        <v>46739</v>
      </c>
      <c r="D1449">
        <v>23</v>
      </c>
      <c r="E1449">
        <v>23</v>
      </c>
      <c r="F1449">
        <v>997</v>
      </c>
      <c r="G1449">
        <f>Consulta2[[#This Row],[DIA_UTIL_CORRENTE]]</f>
        <v>13</v>
      </c>
      <c r="H1449" s="6">
        <f>DAY(Consulta2[[#This Row],[DATA]])</f>
        <v>18</v>
      </c>
      <c r="I1449" s="6">
        <f>MONTH(Consulta2[[#This Row],[DATA]])</f>
        <v>12</v>
      </c>
      <c r="J1449" t="str">
        <f>CONCATENATE(Consulta2[[#This Row],[SAFRA]],Consulta2[[#This Row],[dia]])</f>
        <v>20271218</v>
      </c>
      <c r="K1449">
        <f>Consulta2[[#This Row],[DIA_UTIL_CORRENTE]]</f>
        <v>13</v>
      </c>
    </row>
    <row r="1450" spans="1:11" x14ac:dyDescent="0.25">
      <c r="A1450">
        <v>202712</v>
      </c>
      <c r="B1450">
        <v>13</v>
      </c>
      <c r="C1450" s="148">
        <v>46740</v>
      </c>
      <c r="D1450">
        <v>23</v>
      </c>
      <c r="E1450">
        <v>23</v>
      </c>
      <c r="F1450">
        <v>997</v>
      </c>
      <c r="G1450">
        <f>Consulta2[[#This Row],[DIA_UTIL_CORRENTE]]</f>
        <v>13</v>
      </c>
      <c r="H1450" s="6">
        <f>DAY(Consulta2[[#This Row],[DATA]])</f>
        <v>19</v>
      </c>
      <c r="I1450" s="6">
        <f>MONTH(Consulta2[[#This Row],[DATA]])</f>
        <v>12</v>
      </c>
      <c r="J1450" t="str">
        <f>CONCATENATE(Consulta2[[#This Row],[SAFRA]],Consulta2[[#This Row],[dia]])</f>
        <v>20271219</v>
      </c>
      <c r="K1450">
        <f>Consulta2[[#This Row],[DIA_UTIL_CORRENTE]]</f>
        <v>13</v>
      </c>
    </row>
    <row r="1451" spans="1:11" x14ac:dyDescent="0.25">
      <c r="A1451">
        <v>202712</v>
      </c>
      <c r="B1451">
        <v>14</v>
      </c>
      <c r="C1451" s="148">
        <v>46741</v>
      </c>
      <c r="D1451">
        <v>23</v>
      </c>
      <c r="E1451">
        <v>23</v>
      </c>
      <c r="F1451">
        <v>998</v>
      </c>
      <c r="G1451">
        <f>Consulta2[[#This Row],[DIA_UTIL_CORRENTE]]</f>
        <v>14</v>
      </c>
      <c r="H1451" s="6">
        <f>DAY(Consulta2[[#This Row],[DATA]])</f>
        <v>20</v>
      </c>
      <c r="I1451" s="6">
        <f>MONTH(Consulta2[[#This Row],[DATA]])</f>
        <v>12</v>
      </c>
      <c r="J1451" t="str">
        <f>CONCATENATE(Consulta2[[#This Row],[SAFRA]],Consulta2[[#This Row],[dia]])</f>
        <v>20271220</v>
      </c>
      <c r="K1451">
        <f>Consulta2[[#This Row],[DIA_UTIL_CORRENTE]]</f>
        <v>14</v>
      </c>
    </row>
    <row r="1452" spans="1:11" x14ac:dyDescent="0.25">
      <c r="A1452">
        <v>202712</v>
      </c>
      <c r="B1452">
        <v>15</v>
      </c>
      <c r="C1452" s="148">
        <v>46742</v>
      </c>
      <c r="D1452">
        <v>23</v>
      </c>
      <c r="E1452">
        <v>23</v>
      </c>
      <c r="F1452">
        <v>999</v>
      </c>
      <c r="G1452">
        <f>Consulta2[[#This Row],[DIA_UTIL_CORRENTE]]</f>
        <v>15</v>
      </c>
      <c r="H1452" s="6">
        <f>DAY(Consulta2[[#This Row],[DATA]])</f>
        <v>21</v>
      </c>
      <c r="I1452" s="6">
        <f>MONTH(Consulta2[[#This Row],[DATA]])</f>
        <v>12</v>
      </c>
      <c r="J1452" t="str">
        <f>CONCATENATE(Consulta2[[#This Row],[SAFRA]],Consulta2[[#This Row],[dia]])</f>
        <v>20271221</v>
      </c>
      <c r="K1452">
        <f>Consulta2[[#This Row],[DIA_UTIL_CORRENTE]]</f>
        <v>15</v>
      </c>
    </row>
    <row r="1453" spans="1:11" x14ac:dyDescent="0.25">
      <c r="A1453">
        <v>202712</v>
      </c>
      <c r="B1453">
        <v>16</v>
      </c>
      <c r="C1453" s="148">
        <v>46743</v>
      </c>
      <c r="D1453">
        <v>23</v>
      </c>
      <c r="E1453">
        <v>23</v>
      </c>
      <c r="F1453">
        <v>1000</v>
      </c>
      <c r="G1453">
        <f>Consulta2[[#This Row],[DIA_UTIL_CORRENTE]]</f>
        <v>16</v>
      </c>
      <c r="H1453" s="6">
        <f>DAY(Consulta2[[#This Row],[DATA]])</f>
        <v>22</v>
      </c>
      <c r="I1453" s="6">
        <f>MONTH(Consulta2[[#This Row],[DATA]])</f>
        <v>12</v>
      </c>
      <c r="J1453" t="str">
        <f>CONCATENATE(Consulta2[[#This Row],[SAFRA]],Consulta2[[#This Row],[dia]])</f>
        <v>20271222</v>
      </c>
      <c r="K1453">
        <f>Consulta2[[#This Row],[DIA_UTIL_CORRENTE]]</f>
        <v>16</v>
      </c>
    </row>
    <row r="1454" spans="1:11" x14ac:dyDescent="0.25">
      <c r="A1454">
        <v>202712</v>
      </c>
      <c r="B1454">
        <v>17</v>
      </c>
      <c r="C1454" s="148">
        <v>46744</v>
      </c>
      <c r="D1454">
        <v>23</v>
      </c>
      <c r="E1454">
        <v>23</v>
      </c>
      <c r="F1454">
        <v>1001</v>
      </c>
      <c r="G1454">
        <f>Consulta2[[#This Row],[DIA_UTIL_CORRENTE]]</f>
        <v>17</v>
      </c>
      <c r="H1454" s="6">
        <f>DAY(Consulta2[[#This Row],[DATA]])</f>
        <v>23</v>
      </c>
      <c r="I1454" s="6">
        <f>MONTH(Consulta2[[#This Row],[DATA]])</f>
        <v>12</v>
      </c>
      <c r="J1454" t="str">
        <f>CONCATENATE(Consulta2[[#This Row],[SAFRA]],Consulta2[[#This Row],[dia]])</f>
        <v>20271223</v>
      </c>
      <c r="K1454">
        <f>Consulta2[[#This Row],[DIA_UTIL_CORRENTE]]</f>
        <v>17</v>
      </c>
    </row>
    <row r="1455" spans="1:11" x14ac:dyDescent="0.25">
      <c r="A1455">
        <v>202712</v>
      </c>
      <c r="B1455">
        <v>18</v>
      </c>
      <c r="C1455" s="148">
        <v>46745</v>
      </c>
      <c r="D1455">
        <v>23</v>
      </c>
      <c r="E1455">
        <v>23</v>
      </c>
      <c r="F1455">
        <v>1002</v>
      </c>
      <c r="G1455">
        <f>Consulta2[[#This Row],[DIA_UTIL_CORRENTE]]</f>
        <v>18</v>
      </c>
      <c r="H1455" s="6">
        <f>DAY(Consulta2[[#This Row],[DATA]])</f>
        <v>24</v>
      </c>
      <c r="I1455" s="6">
        <f>MONTH(Consulta2[[#This Row],[DATA]])</f>
        <v>12</v>
      </c>
      <c r="J1455" t="str">
        <f>CONCATENATE(Consulta2[[#This Row],[SAFRA]],Consulta2[[#This Row],[dia]])</f>
        <v>20271224</v>
      </c>
      <c r="K1455">
        <f>Consulta2[[#This Row],[DIA_UTIL_CORRENTE]]</f>
        <v>18</v>
      </c>
    </row>
    <row r="1456" spans="1:11" x14ac:dyDescent="0.25">
      <c r="A1456">
        <v>202712</v>
      </c>
      <c r="B1456">
        <v>18</v>
      </c>
      <c r="C1456" s="148">
        <v>46746</v>
      </c>
      <c r="D1456">
        <v>23</v>
      </c>
      <c r="E1456">
        <v>23</v>
      </c>
      <c r="F1456">
        <v>1002</v>
      </c>
      <c r="G1456">
        <f>Consulta2[[#This Row],[DIA_UTIL_CORRENTE]]</f>
        <v>18</v>
      </c>
      <c r="H1456" s="6">
        <f>DAY(Consulta2[[#This Row],[DATA]])</f>
        <v>25</v>
      </c>
      <c r="I1456" s="6">
        <f>MONTH(Consulta2[[#This Row],[DATA]])</f>
        <v>12</v>
      </c>
      <c r="J1456" t="str">
        <f>CONCATENATE(Consulta2[[#This Row],[SAFRA]],Consulta2[[#This Row],[dia]])</f>
        <v>20271225</v>
      </c>
      <c r="K1456">
        <f>Consulta2[[#This Row],[DIA_UTIL_CORRENTE]]</f>
        <v>18</v>
      </c>
    </row>
    <row r="1457" spans="1:11" x14ac:dyDescent="0.25">
      <c r="A1457">
        <v>202712</v>
      </c>
      <c r="B1457">
        <v>18</v>
      </c>
      <c r="C1457" s="148">
        <v>46747</v>
      </c>
      <c r="D1457">
        <v>23</v>
      </c>
      <c r="E1457">
        <v>23</v>
      </c>
      <c r="F1457">
        <v>1002</v>
      </c>
      <c r="G1457">
        <f>Consulta2[[#This Row],[DIA_UTIL_CORRENTE]]</f>
        <v>18</v>
      </c>
      <c r="H1457" s="6">
        <f>DAY(Consulta2[[#This Row],[DATA]])</f>
        <v>26</v>
      </c>
      <c r="I1457" s="6">
        <f>MONTH(Consulta2[[#This Row],[DATA]])</f>
        <v>12</v>
      </c>
      <c r="J1457" t="str">
        <f>CONCATENATE(Consulta2[[#This Row],[SAFRA]],Consulta2[[#This Row],[dia]])</f>
        <v>20271226</v>
      </c>
      <c r="K1457">
        <f>Consulta2[[#This Row],[DIA_UTIL_CORRENTE]]</f>
        <v>18</v>
      </c>
    </row>
    <row r="1458" spans="1:11" x14ac:dyDescent="0.25">
      <c r="A1458">
        <v>202712</v>
      </c>
      <c r="B1458">
        <v>19</v>
      </c>
      <c r="C1458" s="148">
        <v>46748</v>
      </c>
      <c r="D1458">
        <v>23</v>
      </c>
      <c r="E1458">
        <v>23</v>
      </c>
      <c r="F1458">
        <v>1003</v>
      </c>
      <c r="G1458">
        <f>Consulta2[[#This Row],[DIA_UTIL_CORRENTE]]</f>
        <v>19</v>
      </c>
      <c r="H1458" s="6">
        <f>DAY(Consulta2[[#This Row],[DATA]])</f>
        <v>27</v>
      </c>
      <c r="I1458" s="6">
        <f>MONTH(Consulta2[[#This Row],[DATA]])</f>
        <v>12</v>
      </c>
      <c r="J1458" t="str">
        <f>CONCATENATE(Consulta2[[#This Row],[SAFRA]],Consulta2[[#This Row],[dia]])</f>
        <v>20271227</v>
      </c>
      <c r="K1458">
        <f>Consulta2[[#This Row],[DIA_UTIL_CORRENTE]]</f>
        <v>19</v>
      </c>
    </row>
    <row r="1459" spans="1:11" x14ac:dyDescent="0.25">
      <c r="A1459">
        <v>202712</v>
      </c>
      <c r="B1459">
        <v>20</v>
      </c>
      <c r="C1459" s="148">
        <v>46749</v>
      </c>
      <c r="D1459">
        <v>23</v>
      </c>
      <c r="E1459">
        <v>23</v>
      </c>
      <c r="F1459">
        <v>1004</v>
      </c>
      <c r="G1459">
        <f>Consulta2[[#This Row],[DIA_UTIL_CORRENTE]]</f>
        <v>20</v>
      </c>
      <c r="H1459" s="6">
        <f>DAY(Consulta2[[#This Row],[DATA]])</f>
        <v>28</v>
      </c>
      <c r="I1459" s="6">
        <f>MONTH(Consulta2[[#This Row],[DATA]])</f>
        <v>12</v>
      </c>
      <c r="J1459" t="str">
        <f>CONCATENATE(Consulta2[[#This Row],[SAFRA]],Consulta2[[#This Row],[dia]])</f>
        <v>20271228</v>
      </c>
      <c r="K1459">
        <f>Consulta2[[#This Row],[DIA_UTIL_CORRENTE]]</f>
        <v>20</v>
      </c>
    </row>
    <row r="1460" spans="1:11" x14ac:dyDescent="0.25">
      <c r="A1460">
        <v>202712</v>
      </c>
      <c r="B1460">
        <v>21</v>
      </c>
      <c r="C1460" s="148">
        <v>46750</v>
      </c>
      <c r="D1460">
        <v>23</v>
      </c>
      <c r="E1460">
        <v>23</v>
      </c>
      <c r="F1460">
        <v>1005</v>
      </c>
      <c r="G1460">
        <f>Consulta2[[#This Row],[DIA_UTIL_CORRENTE]]</f>
        <v>21</v>
      </c>
      <c r="H1460" s="6">
        <f>DAY(Consulta2[[#This Row],[DATA]])</f>
        <v>29</v>
      </c>
      <c r="I1460" s="6">
        <f>MONTH(Consulta2[[#This Row],[DATA]])</f>
        <v>12</v>
      </c>
      <c r="J1460" t="str">
        <f>CONCATENATE(Consulta2[[#This Row],[SAFRA]],Consulta2[[#This Row],[dia]])</f>
        <v>20271229</v>
      </c>
      <c r="K1460">
        <f>Consulta2[[#This Row],[DIA_UTIL_CORRENTE]]</f>
        <v>21</v>
      </c>
    </row>
    <row r="1461" spans="1:11" x14ac:dyDescent="0.25">
      <c r="A1461">
        <v>202712</v>
      </c>
      <c r="B1461">
        <v>22</v>
      </c>
      <c r="C1461" s="148">
        <v>46751</v>
      </c>
      <c r="D1461">
        <v>23</v>
      </c>
      <c r="E1461">
        <v>23</v>
      </c>
      <c r="F1461">
        <v>1006</v>
      </c>
      <c r="G1461">
        <f>Consulta2[[#This Row],[DIA_UTIL_CORRENTE]]</f>
        <v>22</v>
      </c>
      <c r="H1461" s="6">
        <f>DAY(Consulta2[[#This Row],[DATA]])</f>
        <v>30</v>
      </c>
      <c r="I1461" s="6">
        <f>MONTH(Consulta2[[#This Row],[DATA]])</f>
        <v>12</v>
      </c>
      <c r="J1461" t="str">
        <f>CONCATENATE(Consulta2[[#This Row],[SAFRA]],Consulta2[[#This Row],[dia]])</f>
        <v>20271230</v>
      </c>
      <c r="K1461">
        <f>Consulta2[[#This Row],[DIA_UTIL_CORRENTE]]</f>
        <v>22</v>
      </c>
    </row>
    <row r="1462" spans="1:11" x14ac:dyDescent="0.25">
      <c r="A1462">
        <v>202712</v>
      </c>
      <c r="B1462">
        <v>23</v>
      </c>
      <c r="C1462" s="148">
        <v>46752</v>
      </c>
      <c r="D1462">
        <v>23</v>
      </c>
      <c r="E1462">
        <v>23</v>
      </c>
      <c r="F1462">
        <v>1007</v>
      </c>
      <c r="G1462">
        <f>Consulta2[[#This Row],[DIA_UTIL_CORRENTE]]</f>
        <v>23</v>
      </c>
      <c r="H1462" s="6">
        <f>DAY(Consulta2[[#This Row],[DATA]])</f>
        <v>31</v>
      </c>
      <c r="I1462" s="6">
        <f>MONTH(Consulta2[[#This Row],[DATA]])</f>
        <v>12</v>
      </c>
      <c r="J1462" t="str">
        <f>CONCATENATE(Consulta2[[#This Row],[SAFRA]],Consulta2[[#This Row],[dia]])</f>
        <v>20271231</v>
      </c>
      <c r="K1462">
        <f>Consulta2[[#This Row],[DIA_UTIL_CORRENTE]]</f>
        <v>23</v>
      </c>
    </row>
    <row r="1463" spans="1:11" x14ac:dyDescent="0.25">
      <c r="A1463">
        <v>202801</v>
      </c>
      <c r="B1463">
        <v>0</v>
      </c>
      <c r="C1463" s="148">
        <v>46753</v>
      </c>
      <c r="D1463">
        <v>21</v>
      </c>
      <c r="E1463">
        <v>21</v>
      </c>
      <c r="F1463">
        <v>1007</v>
      </c>
      <c r="G1463">
        <f>Consulta2[[#This Row],[DIA_UTIL_CORRENTE]]</f>
        <v>0</v>
      </c>
      <c r="H1463" s="6">
        <f>DAY(Consulta2[[#This Row],[DATA]])</f>
        <v>1</v>
      </c>
      <c r="I1463" s="6">
        <f>MONTH(Consulta2[[#This Row],[DATA]])</f>
        <v>1</v>
      </c>
      <c r="J1463" t="str">
        <f>CONCATENATE(Consulta2[[#This Row],[SAFRA]],Consulta2[[#This Row],[dia]])</f>
        <v>2028011</v>
      </c>
      <c r="K1463">
        <f>Consulta2[[#This Row],[DIA_UTIL_CORRENTE]]</f>
        <v>0</v>
      </c>
    </row>
    <row r="1464" spans="1:11" x14ac:dyDescent="0.25">
      <c r="A1464">
        <v>202801</v>
      </c>
      <c r="B1464">
        <v>0</v>
      </c>
      <c r="C1464" s="148">
        <v>46754</v>
      </c>
      <c r="D1464">
        <v>21</v>
      </c>
      <c r="E1464">
        <v>21</v>
      </c>
      <c r="F1464">
        <v>1007</v>
      </c>
      <c r="G1464">
        <f>Consulta2[[#This Row],[DIA_UTIL_CORRENTE]]</f>
        <v>0</v>
      </c>
      <c r="H1464" s="6">
        <f>DAY(Consulta2[[#This Row],[DATA]])</f>
        <v>2</v>
      </c>
      <c r="I1464" s="6">
        <f>MONTH(Consulta2[[#This Row],[DATA]])</f>
        <v>1</v>
      </c>
      <c r="J1464" t="str">
        <f>CONCATENATE(Consulta2[[#This Row],[SAFRA]],Consulta2[[#This Row],[dia]])</f>
        <v>2028012</v>
      </c>
      <c r="K1464">
        <f>Consulta2[[#This Row],[DIA_UTIL_CORRENTE]]</f>
        <v>0</v>
      </c>
    </row>
    <row r="1465" spans="1:11" x14ac:dyDescent="0.25">
      <c r="A1465">
        <v>202801</v>
      </c>
      <c r="B1465">
        <v>1</v>
      </c>
      <c r="C1465" s="148">
        <v>46755</v>
      </c>
      <c r="D1465">
        <v>21</v>
      </c>
      <c r="E1465">
        <v>21</v>
      </c>
      <c r="F1465">
        <v>1008</v>
      </c>
      <c r="G1465">
        <f>Consulta2[[#This Row],[DIA_UTIL_CORRENTE]]</f>
        <v>1</v>
      </c>
      <c r="H1465" s="6">
        <f>DAY(Consulta2[[#This Row],[DATA]])</f>
        <v>3</v>
      </c>
      <c r="I1465" s="6">
        <f>MONTH(Consulta2[[#This Row],[DATA]])</f>
        <v>1</v>
      </c>
      <c r="J1465" t="str">
        <f>CONCATENATE(Consulta2[[#This Row],[SAFRA]],Consulta2[[#This Row],[dia]])</f>
        <v>2028013</v>
      </c>
      <c r="K1465">
        <f>Consulta2[[#This Row],[DIA_UTIL_CORRENTE]]</f>
        <v>1</v>
      </c>
    </row>
    <row r="1466" spans="1:11" x14ac:dyDescent="0.25">
      <c r="A1466">
        <v>202801</v>
      </c>
      <c r="B1466">
        <v>2</v>
      </c>
      <c r="C1466" s="148">
        <v>46756</v>
      </c>
      <c r="D1466">
        <v>21</v>
      </c>
      <c r="E1466">
        <v>21</v>
      </c>
      <c r="F1466">
        <v>1009</v>
      </c>
      <c r="G1466">
        <f>Consulta2[[#This Row],[DIA_UTIL_CORRENTE]]</f>
        <v>2</v>
      </c>
      <c r="H1466" s="6">
        <f>DAY(Consulta2[[#This Row],[DATA]])</f>
        <v>4</v>
      </c>
      <c r="I1466" s="6">
        <f>MONTH(Consulta2[[#This Row],[DATA]])</f>
        <v>1</v>
      </c>
      <c r="J1466" t="str">
        <f>CONCATENATE(Consulta2[[#This Row],[SAFRA]],Consulta2[[#This Row],[dia]])</f>
        <v>2028014</v>
      </c>
      <c r="K1466">
        <f>Consulta2[[#This Row],[DIA_UTIL_CORRENTE]]</f>
        <v>2</v>
      </c>
    </row>
    <row r="1467" spans="1:11" x14ac:dyDescent="0.25">
      <c r="A1467">
        <v>202801</v>
      </c>
      <c r="B1467">
        <v>3</v>
      </c>
      <c r="C1467" s="148">
        <v>46757</v>
      </c>
      <c r="D1467">
        <v>21</v>
      </c>
      <c r="E1467">
        <v>21</v>
      </c>
      <c r="F1467">
        <v>1010</v>
      </c>
      <c r="G1467">
        <f>Consulta2[[#This Row],[DIA_UTIL_CORRENTE]]</f>
        <v>3</v>
      </c>
      <c r="H1467" s="6">
        <f>DAY(Consulta2[[#This Row],[DATA]])</f>
        <v>5</v>
      </c>
      <c r="I1467" s="6">
        <f>MONTH(Consulta2[[#This Row],[DATA]])</f>
        <v>1</v>
      </c>
      <c r="J1467" t="str">
        <f>CONCATENATE(Consulta2[[#This Row],[SAFRA]],Consulta2[[#This Row],[dia]])</f>
        <v>2028015</v>
      </c>
      <c r="K1467">
        <f>Consulta2[[#This Row],[DIA_UTIL_CORRENTE]]</f>
        <v>3</v>
      </c>
    </row>
    <row r="1468" spans="1:11" x14ac:dyDescent="0.25">
      <c r="A1468">
        <v>202801</v>
      </c>
      <c r="B1468">
        <v>4</v>
      </c>
      <c r="C1468" s="148">
        <v>46758</v>
      </c>
      <c r="D1468">
        <v>21</v>
      </c>
      <c r="E1468">
        <v>21</v>
      </c>
      <c r="F1468">
        <v>1011</v>
      </c>
      <c r="G1468">
        <f>Consulta2[[#This Row],[DIA_UTIL_CORRENTE]]</f>
        <v>4</v>
      </c>
      <c r="H1468" s="6">
        <f>DAY(Consulta2[[#This Row],[DATA]])</f>
        <v>6</v>
      </c>
      <c r="I1468" s="6">
        <f>MONTH(Consulta2[[#This Row],[DATA]])</f>
        <v>1</v>
      </c>
      <c r="J1468" t="str">
        <f>CONCATENATE(Consulta2[[#This Row],[SAFRA]],Consulta2[[#This Row],[dia]])</f>
        <v>2028016</v>
      </c>
      <c r="K1468">
        <f>Consulta2[[#This Row],[DIA_UTIL_CORRENTE]]</f>
        <v>4</v>
      </c>
    </row>
    <row r="1469" spans="1:11" x14ac:dyDescent="0.25">
      <c r="A1469">
        <v>202801</v>
      </c>
      <c r="B1469">
        <v>5</v>
      </c>
      <c r="C1469" s="148">
        <v>46759</v>
      </c>
      <c r="D1469">
        <v>21</v>
      </c>
      <c r="E1469">
        <v>21</v>
      </c>
      <c r="F1469">
        <v>1012</v>
      </c>
      <c r="G1469">
        <f>Consulta2[[#This Row],[DIA_UTIL_CORRENTE]]</f>
        <v>5</v>
      </c>
      <c r="H1469" s="6">
        <f>DAY(Consulta2[[#This Row],[DATA]])</f>
        <v>7</v>
      </c>
      <c r="I1469" s="6">
        <f>MONTH(Consulta2[[#This Row],[DATA]])</f>
        <v>1</v>
      </c>
      <c r="J1469" t="str">
        <f>CONCATENATE(Consulta2[[#This Row],[SAFRA]],Consulta2[[#This Row],[dia]])</f>
        <v>2028017</v>
      </c>
      <c r="K1469">
        <f>Consulta2[[#This Row],[DIA_UTIL_CORRENTE]]</f>
        <v>5</v>
      </c>
    </row>
    <row r="1470" spans="1:11" x14ac:dyDescent="0.25">
      <c r="A1470">
        <v>202801</v>
      </c>
      <c r="B1470">
        <v>5</v>
      </c>
      <c r="C1470" s="148">
        <v>46760</v>
      </c>
      <c r="D1470">
        <v>21</v>
      </c>
      <c r="E1470">
        <v>21</v>
      </c>
      <c r="F1470">
        <v>1012</v>
      </c>
      <c r="G1470">
        <f>Consulta2[[#This Row],[DIA_UTIL_CORRENTE]]</f>
        <v>5</v>
      </c>
      <c r="H1470" s="6">
        <f>DAY(Consulta2[[#This Row],[DATA]])</f>
        <v>8</v>
      </c>
      <c r="I1470" s="6">
        <f>MONTH(Consulta2[[#This Row],[DATA]])</f>
        <v>1</v>
      </c>
      <c r="J1470" t="str">
        <f>CONCATENATE(Consulta2[[#This Row],[SAFRA]],Consulta2[[#This Row],[dia]])</f>
        <v>2028018</v>
      </c>
      <c r="K1470">
        <f>Consulta2[[#This Row],[DIA_UTIL_CORRENTE]]</f>
        <v>5</v>
      </c>
    </row>
    <row r="1471" spans="1:11" x14ac:dyDescent="0.25">
      <c r="A1471">
        <v>202801</v>
      </c>
      <c r="B1471">
        <v>5</v>
      </c>
      <c r="C1471" s="148">
        <v>46761</v>
      </c>
      <c r="D1471">
        <v>21</v>
      </c>
      <c r="E1471">
        <v>21</v>
      </c>
      <c r="F1471">
        <v>1012</v>
      </c>
      <c r="G1471">
        <f>Consulta2[[#This Row],[DIA_UTIL_CORRENTE]]</f>
        <v>5</v>
      </c>
      <c r="H1471" s="6">
        <f>DAY(Consulta2[[#This Row],[DATA]])</f>
        <v>9</v>
      </c>
      <c r="I1471" s="6">
        <f>MONTH(Consulta2[[#This Row],[DATA]])</f>
        <v>1</v>
      </c>
      <c r="J1471" t="str">
        <f>CONCATENATE(Consulta2[[#This Row],[SAFRA]],Consulta2[[#This Row],[dia]])</f>
        <v>2028019</v>
      </c>
      <c r="K1471">
        <f>Consulta2[[#This Row],[DIA_UTIL_CORRENTE]]</f>
        <v>5</v>
      </c>
    </row>
    <row r="1472" spans="1:11" x14ac:dyDescent="0.25">
      <c r="A1472">
        <v>202801</v>
      </c>
      <c r="B1472">
        <v>6</v>
      </c>
      <c r="C1472" s="148">
        <v>46762</v>
      </c>
      <c r="D1472">
        <v>21</v>
      </c>
      <c r="E1472">
        <v>21</v>
      </c>
      <c r="F1472">
        <v>1013</v>
      </c>
      <c r="G1472">
        <f>Consulta2[[#This Row],[DIA_UTIL_CORRENTE]]</f>
        <v>6</v>
      </c>
      <c r="H1472" s="6">
        <f>DAY(Consulta2[[#This Row],[DATA]])</f>
        <v>10</v>
      </c>
      <c r="I1472" s="6">
        <f>MONTH(Consulta2[[#This Row],[DATA]])</f>
        <v>1</v>
      </c>
      <c r="J1472" t="str">
        <f>CONCATENATE(Consulta2[[#This Row],[SAFRA]],Consulta2[[#This Row],[dia]])</f>
        <v>20280110</v>
      </c>
      <c r="K1472">
        <f>Consulta2[[#This Row],[DIA_UTIL_CORRENTE]]</f>
        <v>6</v>
      </c>
    </row>
    <row r="1473" spans="1:11" x14ac:dyDescent="0.25">
      <c r="A1473">
        <v>202801</v>
      </c>
      <c r="B1473">
        <v>7</v>
      </c>
      <c r="C1473" s="148">
        <v>46763</v>
      </c>
      <c r="D1473">
        <v>21</v>
      </c>
      <c r="E1473">
        <v>21</v>
      </c>
      <c r="F1473">
        <v>1014</v>
      </c>
      <c r="G1473">
        <f>Consulta2[[#This Row],[DIA_UTIL_CORRENTE]]</f>
        <v>7</v>
      </c>
      <c r="H1473" s="6">
        <f>DAY(Consulta2[[#This Row],[DATA]])</f>
        <v>11</v>
      </c>
      <c r="I1473" s="6">
        <f>MONTH(Consulta2[[#This Row],[DATA]])</f>
        <v>1</v>
      </c>
      <c r="J1473" t="str">
        <f>CONCATENATE(Consulta2[[#This Row],[SAFRA]],Consulta2[[#This Row],[dia]])</f>
        <v>20280111</v>
      </c>
      <c r="K1473">
        <f>Consulta2[[#This Row],[DIA_UTIL_CORRENTE]]</f>
        <v>7</v>
      </c>
    </row>
    <row r="1474" spans="1:11" x14ac:dyDescent="0.25">
      <c r="A1474">
        <v>202801</v>
      </c>
      <c r="B1474">
        <v>8</v>
      </c>
      <c r="C1474" s="148">
        <v>46764</v>
      </c>
      <c r="D1474">
        <v>21</v>
      </c>
      <c r="E1474">
        <v>21</v>
      </c>
      <c r="F1474">
        <v>1015</v>
      </c>
      <c r="G1474">
        <f>Consulta2[[#This Row],[DIA_UTIL_CORRENTE]]</f>
        <v>8</v>
      </c>
      <c r="H1474" s="6">
        <f>DAY(Consulta2[[#This Row],[DATA]])</f>
        <v>12</v>
      </c>
      <c r="I1474" s="6">
        <f>MONTH(Consulta2[[#This Row],[DATA]])</f>
        <v>1</v>
      </c>
      <c r="J1474" t="str">
        <f>CONCATENATE(Consulta2[[#This Row],[SAFRA]],Consulta2[[#This Row],[dia]])</f>
        <v>20280112</v>
      </c>
      <c r="K1474">
        <f>Consulta2[[#This Row],[DIA_UTIL_CORRENTE]]</f>
        <v>8</v>
      </c>
    </row>
    <row r="1475" spans="1:11" x14ac:dyDescent="0.25">
      <c r="A1475">
        <v>202801</v>
      </c>
      <c r="B1475">
        <v>9</v>
      </c>
      <c r="C1475" s="148">
        <v>46765</v>
      </c>
      <c r="D1475">
        <v>21</v>
      </c>
      <c r="E1475">
        <v>21</v>
      </c>
      <c r="F1475">
        <v>1016</v>
      </c>
      <c r="G1475">
        <f>Consulta2[[#This Row],[DIA_UTIL_CORRENTE]]</f>
        <v>9</v>
      </c>
      <c r="H1475" s="6">
        <f>DAY(Consulta2[[#This Row],[DATA]])</f>
        <v>13</v>
      </c>
      <c r="I1475" s="6">
        <f>MONTH(Consulta2[[#This Row],[DATA]])</f>
        <v>1</v>
      </c>
      <c r="J1475" t="str">
        <f>CONCATENATE(Consulta2[[#This Row],[SAFRA]],Consulta2[[#This Row],[dia]])</f>
        <v>20280113</v>
      </c>
      <c r="K1475">
        <f>Consulta2[[#This Row],[DIA_UTIL_CORRENTE]]</f>
        <v>9</v>
      </c>
    </row>
    <row r="1476" spans="1:11" x14ac:dyDescent="0.25">
      <c r="A1476">
        <v>202801</v>
      </c>
      <c r="B1476">
        <v>10</v>
      </c>
      <c r="C1476" s="148">
        <v>46766</v>
      </c>
      <c r="D1476">
        <v>21</v>
      </c>
      <c r="E1476">
        <v>21</v>
      </c>
      <c r="F1476">
        <v>1017</v>
      </c>
      <c r="G1476">
        <f>Consulta2[[#This Row],[DIA_UTIL_CORRENTE]]</f>
        <v>10</v>
      </c>
      <c r="H1476" s="6">
        <f>DAY(Consulta2[[#This Row],[DATA]])</f>
        <v>14</v>
      </c>
      <c r="I1476" s="6">
        <f>MONTH(Consulta2[[#This Row],[DATA]])</f>
        <v>1</v>
      </c>
      <c r="J1476" t="str">
        <f>CONCATENATE(Consulta2[[#This Row],[SAFRA]],Consulta2[[#This Row],[dia]])</f>
        <v>20280114</v>
      </c>
      <c r="K1476">
        <f>Consulta2[[#This Row],[DIA_UTIL_CORRENTE]]</f>
        <v>10</v>
      </c>
    </row>
    <row r="1477" spans="1:11" x14ac:dyDescent="0.25">
      <c r="A1477">
        <v>202801</v>
      </c>
      <c r="B1477">
        <v>10</v>
      </c>
      <c r="C1477" s="148">
        <v>46767</v>
      </c>
      <c r="D1477">
        <v>21</v>
      </c>
      <c r="E1477">
        <v>21</v>
      </c>
      <c r="F1477">
        <v>1017</v>
      </c>
      <c r="G1477">
        <f>Consulta2[[#This Row],[DIA_UTIL_CORRENTE]]</f>
        <v>10</v>
      </c>
      <c r="H1477" s="6">
        <f>DAY(Consulta2[[#This Row],[DATA]])</f>
        <v>15</v>
      </c>
      <c r="I1477" s="6">
        <f>MONTH(Consulta2[[#This Row],[DATA]])</f>
        <v>1</v>
      </c>
      <c r="J1477" t="str">
        <f>CONCATENATE(Consulta2[[#This Row],[SAFRA]],Consulta2[[#This Row],[dia]])</f>
        <v>20280115</v>
      </c>
      <c r="K1477">
        <f>Consulta2[[#This Row],[DIA_UTIL_CORRENTE]]</f>
        <v>10</v>
      </c>
    </row>
    <row r="1478" spans="1:11" x14ac:dyDescent="0.25">
      <c r="A1478">
        <v>202801</v>
      </c>
      <c r="B1478">
        <v>10</v>
      </c>
      <c r="C1478" s="148">
        <v>46768</v>
      </c>
      <c r="D1478">
        <v>21</v>
      </c>
      <c r="E1478">
        <v>21</v>
      </c>
      <c r="F1478">
        <v>1017</v>
      </c>
      <c r="G1478">
        <f>Consulta2[[#This Row],[DIA_UTIL_CORRENTE]]</f>
        <v>10</v>
      </c>
      <c r="H1478" s="6">
        <f>DAY(Consulta2[[#This Row],[DATA]])</f>
        <v>16</v>
      </c>
      <c r="I1478" s="6">
        <f>MONTH(Consulta2[[#This Row],[DATA]])</f>
        <v>1</v>
      </c>
      <c r="J1478" t="str">
        <f>CONCATENATE(Consulta2[[#This Row],[SAFRA]],Consulta2[[#This Row],[dia]])</f>
        <v>20280116</v>
      </c>
      <c r="K1478">
        <f>Consulta2[[#This Row],[DIA_UTIL_CORRENTE]]</f>
        <v>10</v>
      </c>
    </row>
    <row r="1479" spans="1:11" x14ac:dyDescent="0.25">
      <c r="A1479">
        <v>202801</v>
      </c>
      <c r="B1479">
        <v>11</v>
      </c>
      <c r="C1479" s="148">
        <v>46769</v>
      </c>
      <c r="D1479">
        <v>21</v>
      </c>
      <c r="E1479">
        <v>21</v>
      </c>
      <c r="F1479">
        <v>1018</v>
      </c>
      <c r="G1479">
        <f>Consulta2[[#This Row],[DIA_UTIL_CORRENTE]]</f>
        <v>11</v>
      </c>
      <c r="H1479" s="6">
        <f>DAY(Consulta2[[#This Row],[DATA]])</f>
        <v>17</v>
      </c>
      <c r="I1479" s="6">
        <f>MONTH(Consulta2[[#This Row],[DATA]])</f>
        <v>1</v>
      </c>
      <c r="J1479" t="str">
        <f>CONCATENATE(Consulta2[[#This Row],[SAFRA]],Consulta2[[#This Row],[dia]])</f>
        <v>20280117</v>
      </c>
      <c r="K1479">
        <f>Consulta2[[#This Row],[DIA_UTIL_CORRENTE]]</f>
        <v>11</v>
      </c>
    </row>
    <row r="1480" spans="1:11" x14ac:dyDescent="0.25">
      <c r="A1480">
        <v>202801</v>
      </c>
      <c r="B1480">
        <v>12</v>
      </c>
      <c r="C1480" s="148">
        <v>46770</v>
      </c>
      <c r="D1480">
        <v>21</v>
      </c>
      <c r="E1480">
        <v>21</v>
      </c>
      <c r="F1480">
        <v>1019</v>
      </c>
      <c r="G1480">
        <f>Consulta2[[#This Row],[DIA_UTIL_CORRENTE]]</f>
        <v>12</v>
      </c>
      <c r="H1480" s="6">
        <f>DAY(Consulta2[[#This Row],[DATA]])</f>
        <v>18</v>
      </c>
      <c r="I1480" s="6">
        <f>MONTH(Consulta2[[#This Row],[DATA]])</f>
        <v>1</v>
      </c>
      <c r="J1480" t="str">
        <f>CONCATENATE(Consulta2[[#This Row],[SAFRA]],Consulta2[[#This Row],[dia]])</f>
        <v>20280118</v>
      </c>
      <c r="K1480">
        <f>Consulta2[[#This Row],[DIA_UTIL_CORRENTE]]</f>
        <v>12</v>
      </c>
    </row>
    <row r="1481" spans="1:11" x14ac:dyDescent="0.25">
      <c r="A1481">
        <v>202801</v>
      </c>
      <c r="B1481">
        <v>13</v>
      </c>
      <c r="C1481" s="148">
        <v>46771</v>
      </c>
      <c r="D1481">
        <v>21</v>
      </c>
      <c r="E1481">
        <v>21</v>
      </c>
      <c r="F1481">
        <v>1020</v>
      </c>
      <c r="G1481">
        <f>Consulta2[[#This Row],[DIA_UTIL_CORRENTE]]</f>
        <v>13</v>
      </c>
      <c r="H1481" s="6">
        <f>DAY(Consulta2[[#This Row],[DATA]])</f>
        <v>19</v>
      </c>
      <c r="I1481" s="6">
        <f>MONTH(Consulta2[[#This Row],[DATA]])</f>
        <v>1</v>
      </c>
      <c r="J1481" t="str">
        <f>CONCATENATE(Consulta2[[#This Row],[SAFRA]],Consulta2[[#This Row],[dia]])</f>
        <v>20280119</v>
      </c>
      <c r="K1481">
        <f>Consulta2[[#This Row],[DIA_UTIL_CORRENTE]]</f>
        <v>13</v>
      </c>
    </row>
    <row r="1482" spans="1:11" x14ac:dyDescent="0.25">
      <c r="A1482">
        <v>202801</v>
      </c>
      <c r="B1482">
        <v>14</v>
      </c>
      <c r="C1482" s="148">
        <v>46772</v>
      </c>
      <c r="D1482">
        <v>21</v>
      </c>
      <c r="E1482">
        <v>21</v>
      </c>
      <c r="F1482">
        <v>1021</v>
      </c>
      <c r="G1482">
        <f>Consulta2[[#This Row],[DIA_UTIL_CORRENTE]]</f>
        <v>14</v>
      </c>
      <c r="H1482" s="6">
        <f>DAY(Consulta2[[#This Row],[DATA]])</f>
        <v>20</v>
      </c>
      <c r="I1482" s="6">
        <f>MONTH(Consulta2[[#This Row],[DATA]])</f>
        <v>1</v>
      </c>
      <c r="J1482" t="str">
        <f>CONCATENATE(Consulta2[[#This Row],[SAFRA]],Consulta2[[#This Row],[dia]])</f>
        <v>20280120</v>
      </c>
      <c r="K1482">
        <f>Consulta2[[#This Row],[DIA_UTIL_CORRENTE]]</f>
        <v>14</v>
      </c>
    </row>
    <row r="1483" spans="1:11" x14ac:dyDescent="0.25">
      <c r="A1483">
        <v>202801</v>
      </c>
      <c r="B1483">
        <v>15</v>
      </c>
      <c r="C1483" s="148">
        <v>46773</v>
      </c>
      <c r="D1483">
        <v>21</v>
      </c>
      <c r="E1483">
        <v>21</v>
      </c>
      <c r="F1483">
        <v>1022</v>
      </c>
      <c r="G1483">
        <f>Consulta2[[#This Row],[DIA_UTIL_CORRENTE]]</f>
        <v>15</v>
      </c>
      <c r="H1483" s="6">
        <f>DAY(Consulta2[[#This Row],[DATA]])</f>
        <v>21</v>
      </c>
      <c r="I1483" s="6">
        <f>MONTH(Consulta2[[#This Row],[DATA]])</f>
        <v>1</v>
      </c>
      <c r="J1483" t="str">
        <f>CONCATENATE(Consulta2[[#This Row],[SAFRA]],Consulta2[[#This Row],[dia]])</f>
        <v>20280121</v>
      </c>
      <c r="K1483">
        <f>Consulta2[[#This Row],[DIA_UTIL_CORRENTE]]</f>
        <v>15</v>
      </c>
    </row>
    <row r="1484" spans="1:11" x14ac:dyDescent="0.25">
      <c r="A1484">
        <v>202801</v>
      </c>
      <c r="B1484">
        <v>15</v>
      </c>
      <c r="C1484" s="148">
        <v>46774</v>
      </c>
      <c r="D1484">
        <v>21</v>
      </c>
      <c r="E1484">
        <v>21</v>
      </c>
      <c r="F1484">
        <v>1022</v>
      </c>
      <c r="G1484">
        <f>Consulta2[[#This Row],[DIA_UTIL_CORRENTE]]</f>
        <v>15</v>
      </c>
      <c r="H1484" s="6">
        <f>DAY(Consulta2[[#This Row],[DATA]])</f>
        <v>22</v>
      </c>
      <c r="I1484" s="6">
        <f>MONTH(Consulta2[[#This Row],[DATA]])</f>
        <v>1</v>
      </c>
      <c r="J1484" t="str">
        <f>CONCATENATE(Consulta2[[#This Row],[SAFRA]],Consulta2[[#This Row],[dia]])</f>
        <v>20280122</v>
      </c>
      <c r="K1484">
        <f>Consulta2[[#This Row],[DIA_UTIL_CORRENTE]]</f>
        <v>15</v>
      </c>
    </row>
    <row r="1485" spans="1:11" x14ac:dyDescent="0.25">
      <c r="A1485">
        <v>202801</v>
      </c>
      <c r="B1485">
        <v>15</v>
      </c>
      <c r="C1485" s="148">
        <v>46775</v>
      </c>
      <c r="D1485">
        <v>21</v>
      </c>
      <c r="E1485">
        <v>21</v>
      </c>
      <c r="F1485">
        <v>1022</v>
      </c>
      <c r="G1485">
        <f>Consulta2[[#This Row],[DIA_UTIL_CORRENTE]]</f>
        <v>15</v>
      </c>
      <c r="H1485" s="6">
        <f>DAY(Consulta2[[#This Row],[DATA]])</f>
        <v>23</v>
      </c>
      <c r="I1485" s="6">
        <f>MONTH(Consulta2[[#This Row],[DATA]])</f>
        <v>1</v>
      </c>
      <c r="J1485" t="str">
        <f>CONCATENATE(Consulta2[[#This Row],[SAFRA]],Consulta2[[#This Row],[dia]])</f>
        <v>20280123</v>
      </c>
      <c r="K1485">
        <f>Consulta2[[#This Row],[DIA_UTIL_CORRENTE]]</f>
        <v>15</v>
      </c>
    </row>
    <row r="1486" spans="1:11" x14ac:dyDescent="0.25">
      <c r="A1486">
        <v>202801</v>
      </c>
      <c r="B1486">
        <v>16</v>
      </c>
      <c r="C1486" s="148">
        <v>46776</v>
      </c>
      <c r="D1486">
        <v>21</v>
      </c>
      <c r="E1486">
        <v>21</v>
      </c>
      <c r="F1486">
        <v>1023</v>
      </c>
      <c r="G1486">
        <f>Consulta2[[#This Row],[DIA_UTIL_CORRENTE]]</f>
        <v>16</v>
      </c>
      <c r="H1486" s="6">
        <f>DAY(Consulta2[[#This Row],[DATA]])</f>
        <v>24</v>
      </c>
      <c r="I1486" s="6">
        <f>MONTH(Consulta2[[#This Row],[DATA]])</f>
        <v>1</v>
      </c>
      <c r="J1486" t="str">
        <f>CONCATENATE(Consulta2[[#This Row],[SAFRA]],Consulta2[[#This Row],[dia]])</f>
        <v>20280124</v>
      </c>
      <c r="K1486">
        <f>Consulta2[[#This Row],[DIA_UTIL_CORRENTE]]</f>
        <v>16</v>
      </c>
    </row>
    <row r="1487" spans="1:11" x14ac:dyDescent="0.25">
      <c r="A1487">
        <v>202801</v>
      </c>
      <c r="B1487">
        <v>17</v>
      </c>
      <c r="C1487" s="148">
        <v>46777</v>
      </c>
      <c r="D1487">
        <v>21</v>
      </c>
      <c r="E1487">
        <v>21</v>
      </c>
      <c r="F1487">
        <v>1024</v>
      </c>
      <c r="G1487">
        <f>Consulta2[[#This Row],[DIA_UTIL_CORRENTE]]</f>
        <v>17</v>
      </c>
      <c r="H1487" s="6">
        <f>DAY(Consulta2[[#This Row],[DATA]])</f>
        <v>25</v>
      </c>
      <c r="I1487" s="6">
        <f>MONTH(Consulta2[[#This Row],[DATA]])</f>
        <v>1</v>
      </c>
      <c r="J1487" t="str">
        <f>CONCATENATE(Consulta2[[#This Row],[SAFRA]],Consulta2[[#This Row],[dia]])</f>
        <v>20280125</v>
      </c>
      <c r="K1487">
        <f>Consulta2[[#This Row],[DIA_UTIL_CORRENTE]]</f>
        <v>17</v>
      </c>
    </row>
    <row r="1488" spans="1:11" x14ac:dyDescent="0.25">
      <c r="A1488">
        <v>202801</v>
      </c>
      <c r="B1488">
        <v>18</v>
      </c>
      <c r="C1488" s="148">
        <v>46778</v>
      </c>
      <c r="D1488">
        <v>21</v>
      </c>
      <c r="E1488">
        <v>21</v>
      </c>
      <c r="F1488">
        <v>1025</v>
      </c>
      <c r="G1488">
        <f>Consulta2[[#This Row],[DIA_UTIL_CORRENTE]]</f>
        <v>18</v>
      </c>
      <c r="H1488" s="6">
        <f>DAY(Consulta2[[#This Row],[DATA]])</f>
        <v>26</v>
      </c>
      <c r="I1488" s="6">
        <f>MONTH(Consulta2[[#This Row],[DATA]])</f>
        <v>1</v>
      </c>
      <c r="J1488" t="str">
        <f>CONCATENATE(Consulta2[[#This Row],[SAFRA]],Consulta2[[#This Row],[dia]])</f>
        <v>20280126</v>
      </c>
      <c r="K1488">
        <f>Consulta2[[#This Row],[DIA_UTIL_CORRENTE]]</f>
        <v>18</v>
      </c>
    </row>
    <row r="1489" spans="1:11" x14ac:dyDescent="0.25">
      <c r="A1489">
        <v>202801</v>
      </c>
      <c r="B1489">
        <v>19</v>
      </c>
      <c r="C1489" s="148">
        <v>46779</v>
      </c>
      <c r="D1489">
        <v>21</v>
      </c>
      <c r="E1489">
        <v>21</v>
      </c>
      <c r="F1489">
        <v>1026</v>
      </c>
      <c r="G1489">
        <f>Consulta2[[#This Row],[DIA_UTIL_CORRENTE]]</f>
        <v>19</v>
      </c>
      <c r="H1489" s="6">
        <f>DAY(Consulta2[[#This Row],[DATA]])</f>
        <v>27</v>
      </c>
      <c r="I1489" s="6">
        <f>MONTH(Consulta2[[#This Row],[DATA]])</f>
        <v>1</v>
      </c>
      <c r="J1489" t="str">
        <f>CONCATENATE(Consulta2[[#This Row],[SAFRA]],Consulta2[[#This Row],[dia]])</f>
        <v>20280127</v>
      </c>
      <c r="K1489">
        <f>Consulta2[[#This Row],[DIA_UTIL_CORRENTE]]</f>
        <v>19</v>
      </c>
    </row>
    <row r="1490" spans="1:11" x14ac:dyDescent="0.25">
      <c r="A1490">
        <v>202801</v>
      </c>
      <c r="B1490">
        <v>20</v>
      </c>
      <c r="C1490" s="148">
        <v>46780</v>
      </c>
      <c r="D1490">
        <v>21</v>
      </c>
      <c r="E1490">
        <v>21</v>
      </c>
      <c r="F1490">
        <v>1027</v>
      </c>
      <c r="G1490">
        <f>Consulta2[[#This Row],[DIA_UTIL_CORRENTE]]</f>
        <v>20</v>
      </c>
      <c r="H1490" s="6">
        <f>DAY(Consulta2[[#This Row],[DATA]])</f>
        <v>28</v>
      </c>
      <c r="I1490" s="6">
        <f>MONTH(Consulta2[[#This Row],[DATA]])</f>
        <v>1</v>
      </c>
      <c r="J1490" t="str">
        <f>CONCATENATE(Consulta2[[#This Row],[SAFRA]],Consulta2[[#This Row],[dia]])</f>
        <v>20280128</v>
      </c>
      <c r="K1490">
        <f>Consulta2[[#This Row],[DIA_UTIL_CORRENTE]]</f>
        <v>20</v>
      </c>
    </row>
    <row r="1491" spans="1:11" x14ac:dyDescent="0.25">
      <c r="A1491">
        <v>202801</v>
      </c>
      <c r="B1491">
        <v>20</v>
      </c>
      <c r="C1491" s="148">
        <v>46781</v>
      </c>
      <c r="D1491">
        <v>21</v>
      </c>
      <c r="E1491">
        <v>21</v>
      </c>
      <c r="F1491">
        <v>1027</v>
      </c>
      <c r="G1491">
        <f>Consulta2[[#This Row],[DIA_UTIL_CORRENTE]]</f>
        <v>20</v>
      </c>
      <c r="H1491" s="6">
        <f>DAY(Consulta2[[#This Row],[DATA]])</f>
        <v>29</v>
      </c>
      <c r="I1491" s="6">
        <f>MONTH(Consulta2[[#This Row],[DATA]])</f>
        <v>1</v>
      </c>
      <c r="J1491" t="str">
        <f>CONCATENATE(Consulta2[[#This Row],[SAFRA]],Consulta2[[#This Row],[dia]])</f>
        <v>20280129</v>
      </c>
      <c r="K1491">
        <f>Consulta2[[#This Row],[DIA_UTIL_CORRENTE]]</f>
        <v>20</v>
      </c>
    </row>
    <row r="1492" spans="1:11" x14ac:dyDescent="0.25">
      <c r="A1492">
        <v>202801</v>
      </c>
      <c r="B1492">
        <v>20</v>
      </c>
      <c r="C1492" s="148">
        <v>46782</v>
      </c>
      <c r="D1492">
        <v>21</v>
      </c>
      <c r="E1492">
        <v>21</v>
      </c>
      <c r="F1492">
        <v>1027</v>
      </c>
      <c r="G1492">
        <f>Consulta2[[#This Row],[DIA_UTIL_CORRENTE]]</f>
        <v>20</v>
      </c>
      <c r="H1492" s="6">
        <f>DAY(Consulta2[[#This Row],[DATA]])</f>
        <v>30</v>
      </c>
      <c r="I1492" s="6">
        <f>MONTH(Consulta2[[#This Row],[DATA]])</f>
        <v>1</v>
      </c>
      <c r="J1492" t="str">
        <f>CONCATENATE(Consulta2[[#This Row],[SAFRA]],Consulta2[[#This Row],[dia]])</f>
        <v>20280130</v>
      </c>
      <c r="K1492">
        <f>Consulta2[[#This Row],[DIA_UTIL_CORRENTE]]</f>
        <v>20</v>
      </c>
    </row>
    <row r="1493" spans="1:11" x14ac:dyDescent="0.25">
      <c r="A1493">
        <v>202801</v>
      </c>
      <c r="B1493">
        <v>21</v>
      </c>
      <c r="C1493" s="148">
        <v>46783</v>
      </c>
      <c r="D1493">
        <v>21</v>
      </c>
      <c r="E1493">
        <v>21</v>
      </c>
      <c r="F1493">
        <v>1028</v>
      </c>
      <c r="G1493">
        <f>Consulta2[[#This Row],[DIA_UTIL_CORRENTE]]</f>
        <v>21</v>
      </c>
      <c r="H1493" s="6">
        <f>DAY(Consulta2[[#This Row],[DATA]])</f>
        <v>31</v>
      </c>
      <c r="I1493" s="6">
        <f>MONTH(Consulta2[[#This Row],[DATA]])</f>
        <v>1</v>
      </c>
      <c r="J1493" t="str">
        <f>CONCATENATE(Consulta2[[#This Row],[SAFRA]],Consulta2[[#This Row],[dia]])</f>
        <v>20280131</v>
      </c>
      <c r="K1493">
        <f>Consulta2[[#This Row],[DIA_UTIL_CORRENTE]]</f>
        <v>21</v>
      </c>
    </row>
    <row r="1494" spans="1:11" x14ac:dyDescent="0.25">
      <c r="A1494">
        <v>202802</v>
      </c>
      <c r="B1494">
        <v>1</v>
      </c>
      <c r="C1494" s="148">
        <v>46784</v>
      </c>
      <c r="D1494">
        <v>19</v>
      </c>
      <c r="E1494">
        <v>19</v>
      </c>
      <c r="F1494">
        <v>1029</v>
      </c>
      <c r="G1494">
        <f>Consulta2[[#This Row],[DIA_UTIL_CORRENTE]]</f>
        <v>1</v>
      </c>
      <c r="H1494" s="6">
        <f>DAY(Consulta2[[#This Row],[DATA]])</f>
        <v>1</v>
      </c>
      <c r="I1494" s="6">
        <f>MONTH(Consulta2[[#This Row],[DATA]])</f>
        <v>2</v>
      </c>
      <c r="J1494" t="str">
        <f>CONCATENATE(Consulta2[[#This Row],[SAFRA]],Consulta2[[#This Row],[dia]])</f>
        <v>2028021</v>
      </c>
      <c r="K1494">
        <f>Consulta2[[#This Row],[DIA_UTIL_CORRENTE]]</f>
        <v>1</v>
      </c>
    </row>
    <row r="1495" spans="1:11" x14ac:dyDescent="0.25">
      <c r="A1495">
        <v>202802</v>
      </c>
      <c r="B1495">
        <v>2</v>
      </c>
      <c r="C1495" s="148">
        <v>46785</v>
      </c>
      <c r="D1495">
        <v>19</v>
      </c>
      <c r="E1495">
        <v>19</v>
      </c>
      <c r="F1495">
        <v>1030</v>
      </c>
      <c r="G1495">
        <f>Consulta2[[#This Row],[DIA_UTIL_CORRENTE]]</f>
        <v>2</v>
      </c>
      <c r="H1495" s="6">
        <f>DAY(Consulta2[[#This Row],[DATA]])</f>
        <v>2</v>
      </c>
      <c r="I1495" s="6">
        <f>MONTH(Consulta2[[#This Row],[DATA]])</f>
        <v>2</v>
      </c>
      <c r="J1495" t="str">
        <f>CONCATENATE(Consulta2[[#This Row],[SAFRA]],Consulta2[[#This Row],[dia]])</f>
        <v>2028022</v>
      </c>
      <c r="K1495">
        <f>Consulta2[[#This Row],[DIA_UTIL_CORRENTE]]</f>
        <v>2</v>
      </c>
    </row>
    <row r="1496" spans="1:11" x14ac:dyDescent="0.25">
      <c r="A1496">
        <v>202802</v>
      </c>
      <c r="B1496">
        <v>3</v>
      </c>
      <c r="C1496" s="148">
        <v>46786</v>
      </c>
      <c r="D1496">
        <v>19</v>
      </c>
      <c r="E1496">
        <v>19</v>
      </c>
      <c r="F1496">
        <v>1031</v>
      </c>
      <c r="G1496">
        <f>Consulta2[[#This Row],[DIA_UTIL_CORRENTE]]</f>
        <v>3</v>
      </c>
      <c r="H1496" s="6">
        <f>DAY(Consulta2[[#This Row],[DATA]])</f>
        <v>3</v>
      </c>
      <c r="I1496" s="6">
        <f>MONTH(Consulta2[[#This Row],[DATA]])</f>
        <v>2</v>
      </c>
      <c r="J1496" t="str">
        <f>CONCATENATE(Consulta2[[#This Row],[SAFRA]],Consulta2[[#This Row],[dia]])</f>
        <v>2028023</v>
      </c>
      <c r="K1496">
        <f>Consulta2[[#This Row],[DIA_UTIL_CORRENTE]]</f>
        <v>3</v>
      </c>
    </row>
    <row r="1497" spans="1:11" x14ac:dyDescent="0.25">
      <c r="A1497">
        <v>202802</v>
      </c>
      <c r="B1497">
        <v>4</v>
      </c>
      <c r="C1497" s="148">
        <v>46787</v>
      </c>
      <c r="D1497">
        <v>19</v>
      </c>
      <c r="E1497">
        <v>19</v>
      </c>
      <c r="F1497">
        <v>1032</v>
      </c>
      <c r="G1497">
        <f>Consulta2[[#This Row],[DIA_UTIL_CORRENTE]]</f>
        <v>4</v>
      </c>
      <c r="H1497" s="6">
        <f>DAY(Consulta2[[#This Row],[DATA]])</f>
        <v>4</v>
      </c>
      <c r="I1497" s="6">
        <f>MONTH(Consulta2[[#This Row],[DATA]])</f>
        <v>2</v>
      </c>
      <c r="J1497" t="str">
        <f>CONCATENATE(Consulta2[[#This Row],[SAFRA]],Consulta2[[#This Row],[dia]])</f>
        <v>2028024</v>
      </c>
      <c r="K1497">
        <f>Consulta2[[#This Row],[DIA_UTIL_CORRENTE]]</f>
        <v>4</v>
      </c>
    </row>
    <row r="1498" spans="1:11" x14ac:dyDescent="0.25">
      <c r="A1498">
        <v>202802</v>
      </c>
      <c r="B1498">
        <v>4</v>
      </c>
      <c r="C1498" s="148">
        <v>46788</v>
      </c>
      <c r="D1498">
        <v>19</v>
      </c>
      <c r="E1498">
        <v>19</v>
      </c>
      <c r="F1498">
        <v>1032</v>
      </c>
      <c r="G1498">
        <f>Consulta2[[#This Row],[DIA_UTIL_CORRENTE]]</f>
        <v>4</v>
      </c>
      <c r="H1498" s="6">
        <f>DAY(Consulta2[[#This Row],[DATA]])</f>
        <v>5</v>
      </c>
      <c r="I1498" s="6">
        <f>MONTH(Consulta2[[#This Row],[DATA]])</f>
        <v>2</v>
      </c>
      <c r="J1498" t="str">
        <f>CONCATENATE(Consulta2[[#This Row],[SAFRA]],Consulta2[[#This Row],[dia]])</f>
        <v>2028025</v>
      </c>
      <c r="K1498">
        <f>Consulta2[[#This Row],[DIA_UTIL_CORRENTE]]</f>
        <v>4</v>
      </c>
    </row>
    <row r="1499" spans="1:11" x14ac:dyDescent="0.25">
      <c r="A1499">
        <v>202802</v>
      </c>
      <c r="B1499">
        <v>4</v>
      </c>
      <c r="C1499" s="148">
        <v>46789</v>
      </c>
      <c r="D1499">
        <v>19</v>
      </c>
      <c r="E1499">
        <v>19</v>
      </c>
      <c r="F1499">
        <v>1032</v>
      </c>
      <c r="G1499">
        <f>Consulta2[[#This Row],[DIA_UTIL_CORRENTE]]</f>
        <v>4</v>
      </c>
      <c r="H1499" s="6">
        <f>DAY(Consulta2[[#This Row],[DATA]])</f>
        <v>6</v>
      </c>
      <c r="I1499" s="6">
        <f>MONTH(Consulta2[[#This Row],[DATA]])</f>
        <v>2</v>
      </c>
      <c r="J1499" t="str">
        <f>CONCATENATE(Consulta2[[#This Row],[SAFRA]],Consulta2[[#This Row],[dia]])</f>
        <v>2028026</v>
      </c>
      <c r="K1499">
        <f>Consulta2[[#This Row],[DIA_UTIL_CORRENTE]]</f>
        <v>4</v>
      </c>
    </row>
    <row r="1500" spans="1:11" x14ac:dyDescent="0.25">
      <c r="A1500">
        <v>202802</v>
      </c>
      <c r="B1500">
        <v>5</v>
      </c>
      <c r="C1500" s="148">
        <v>46790</v>
      </c>
      <c r="D1500">
        <v>19</v>
      </c>
      <c r="E1500">
        <v>19</v>
      </c>
      <c r="F1500">
        <v>1033</v>
      </c>
      <c r="G1500">
        <f>Consulta2[[#This Row],[DIA_UTIL_CORRENTE]]</f>
        <v>5</v>
      </c>
      <c r="H1500" s="6">
        <f>DAY(Consulta2[[#This Row],[DATA]])</f>
        <v>7</v>
      </c>
      <c r="I1500" s="6">
        <f>MONTH(Consulta2[[#This Row],[DATA]])</f>
        <v>2</v>
      </c>
      <c r="J1500" t="str">
        <f>CONCATENATE(Consulta2[[#This Row],[SAFRA]],Consulta2[[#This Row],[dia]])</f>
        <v>2028027</v>
      </c>
      <c r="K1500">
        <f>Consulta2[[#This Row],[DIA_UTIL_CORRENTE]]</f>
        <v>5</v>
      </c>
    </row>
    <row r="1501" spans="1:11" x14ac:dyDescent="0.25">
      <c r="A1501">
        <v>202802</v>
      </c>
      <c r="B1501">
        <v>6</v>
      </c>
      <c r="C1501" s="148">
        <v>46791</v>
      </c>
      <c r="D1501">
        <v>19</v>
      </c>
      <c r="E1501">
        <v>19</v>
      </c>
      <c r="F1501">
        <v>1034</v>
      </c>
      <c r="G1501">
        <f>Consulta2[[#This Row],[DIA_UTIL_CORRENTE]]</f>
        <v>6</v>
      </c>
      <c r="H1501" s="6">
        <f>DAY(Consulta2[[#This Row],[DATA]])</f>
        <v>8</v>
      </c>
      <c r="I1501" s="6">
        <f>MONTH(Consulta2[[#This Row],[DATA]])</f>
        <v>2</v>
      </c>
      <c r="J1501" t="str">
        <f>CONCATENATE(Consulta2[[#This Row],[SAFRA]],Consulta2[[#This Row],[dia]])</f>
        <v>2028028</v>
      </c>
      <c r="K1501">
        <f>Consulta2[[#This Row],[DIA_UTIL_CORRENTE]]</f>
        <v>6</v>
      </c>
    </row>
    <row r="1502" spans="1:11" x14ac:dyDescent="0.25">
      <c r="A1502">
        <v>202802</v>
      </c>
      <c r="B1502">
        <v>7</v>
      </c>
      <c r="C1502" s="148">
        <v>46792</v>
      </c>
      <c r="D1502">
        <v>19</v>
      </c>
      <c r="E1502">
        <v>19</v>
      </c>
      <c r="F1502">
        <v>1035</v>
      </c>
      <c r="G1502">
        <f>Consulta2[[#This Row],[DIA_UTIL_CORRENTE]]</f>
        <v>7</v>
      </c>
      <c r="H1502" s="6">
        <f>DAY(Consulta2[[#This Row],[DATA]])</f>
        <v>9</v>
      </c>
      <c r="I1502" s="6">
        <f>MONTH(Consulta2[[#This Row],[DATA]])</f>
        <v>2</v>
      </c>
      <c r="J1502" t="str">
        <f>CONCATENATE(Consulta2[[#This Row],[SAFRA]],Consulta2[[#This Row],[dia]])</f>
        <v>2028029</v>
      </c>
      <c r="K1502">
        <f>Consulta2[[#This Row],[DIA_UTIL_CORRENTE]]</f>
        <v>7</v>
      </c>
    </row>
    <row r="1503" spans="1:11" x14ac:dyDescent="0.25">
      <c r="A1503">
        <v>202802</v>
      </c>
      <c r="B1503">
        <v>8</v>
      </c>
      <c r="C1503" s="148">
        <v>46793</v>
      </c>
      <c r="D1503">
        <v>19</v>
      </c>
      <c r="E1503">
        <v>19</v>
      </c>
      <c r="F1503">
        <v>1036</v>
      </c>
      <c r="G1503">
        <f>Consulta2[[#This Row],[DIA_UTIL_CORRENTE]]</f>
        <v>8</v>
      </c>
      <c r="H1503" s="6">
        <f>DAY(Consulta2[[#This Row],[DATA]])</f>
        <v>10</v>
      </c>
      <c r="I1503" s="6">
        <f>MONTH(Consulta2[[#This Row],[DATA]])</f>
        <v>2</v>
      </c>
      <c r="J1503" t="str">
        <f>CONCATENATE(Consulta2[[#This Row],[SAFRA]],Consulta2[[#This Row],[dia]])</f>
        <v>20280210</v>
      </c>
      <c r="K1503">
        <f>Consulta2[[#This Row],[DIA_UTIL_CORRENTE]]</f>
        <v>8</v>
      </c>
    </row>
    <row r="1504" spans="1:11" x14ac:dyDescent="0.25">
      <c r="A1504">
        <v>202802</v>
      </c>
      <c r="B1504">
        <v>9</v>
      </c>
      <c r="C1504" s="148">
        <v>46794</v>
      </c>
      <c r="D1504">
        <v>19</v>
      </c>
      <c r="E1504">
        <v>19</v>
      </c>
      <c r="F1504">
        <v>1037</v>
      </c>
      <c r="G1504">
        <f>Consulta2[[#This Row],[DIA_UTIL_CORRENTE]]</f>
        <v>9</v>
      </c>
      <c r="H1504" s="6">
        <f>DAY(Consulta2[[#This Row],[DATA]])</f>
        <v>11</v>
      </c>
      <c r="I1504" s="6">
        <f>MONTH(Consulta2[[#This Row],[DATA]])</f>
        <v>2</v>
      </c>
      <c r="J1504" t="str">
        <f>CONCATENATE(Consulta2[[#This Row],[SAFRA]],Consulta2[[#This Row],[dia]])</f>
        <v>20280211</v>
      </c>
      <c r="K1504">
        <f>Consulta2[[#This Row],[DIA_UTIL_CORRENTE]]</f>
        <v>9</v>
      </c>
    </row>
    <row r="1505" spans="1:11" x14ac:dyDescent="0.25">
      <c r="A1505">
        <v>202802</v>
      </c>
      <c r="B1505">
        <v>9</v>
      </c>
      <c r="C1505" s="148">
        <v>46795</v>
      </c>
      <c r="D1505">
        <v>19</v>
      </c>
      <c r="E1505">
        <v>19</v>
      </c>
      <c r="F1505">
        <v>1037</v>
      </c>
      <c r="G1505">
        <f>Consulta2[[#This Row],[DIA_UTIL_CORRENTE]]</f>
        <v>9</v>
      </c>
      <c r="H1505" s="6">
        <f>DAY(Consulta2[[#This Row],[DATA]])</f>
        <v>12</v>
      </c>
      <c r="I1505" s="6">
        <f>MONTH(Consulta2[[#This Row],[DATA]])</f>
        <v>2</v>
      </c>
      <c r="J1505" t="str">
        <f>CONCATENATE(Consulta2[[#This Row],[SAFRA]],Consulta2[[#This Row],[dia]])</f>
        <v>20280212</v>
      </c>
      <c r="K1505">
        <f>Consulta2[[#This Row],[DIA_UTIL_CORRENTE]]</f>
        <v>9</v>
      </c>
    </row>
    <row r="1506" spans="1:11" x14ac:dyDescent="0.25">
      <c r="A1506">
        <v>202802</v>
      </c>
      <c r="B1506">
        <v>9</v>
      </c>
      <c r="C1506" s="148">
        <v>46796</v>
      </c>
      <c r="D1506">
        <v>19</v>
      </c>
      <c r="E1506">
        <v>19</v>
      </c>
      <c r="F1506">
        <v>1037</v>
      </c>
      <c r="G1506">
        <f>Consulta2[[#This Row],[DIA_UTIL_CORRENTE]]</f>
        <v>9</v>
      </c>
      <c r="H1506" s="6">
        <f>DAY(Consulta2[[#This Row],[DATA]])</f>
        <v>13</v>
      </c>
      <c r="I1506" s="6">
        <f>MONTH(Consulta2[[#This Row],[DATA]])</f>
        <v>2</v>
      </c>
      <c r="J1506" t="str">
        <f>CONCATENATE(Consulta2[[#This Row],[SAFRA]],Consulta2[[#This Row],[dia]])</f>
        <v>20280213</v>
      </c>
      <c r="K1506">
        <f>Consulta2[[#This Row],[DIA_UTIL_CORRENTE]]</f>
        <v>9</v>
      </c>
    </row>
    <row r="1507" spans="1:11" x14ac:dyDescent="0.25">
      <c r="A1507">
        <v>202802</v>
      </c>
      <c r="B1507">
        <v>10</v>
      </c>
      <c r="C1507" s="148">
        <v>46797</v>
      </c>
      <c r="D1507">
        <v>19</v>
      </c>
      <c r="E1507">
        <v>19</v>
      </c>
      <c r="F1507">
        <v>1038</v>
      </c>
      <c r="G1507">
        <f>Consulta2[[#This Row],[DIA_UTIL_CORRENTE]]</f>
        <v>10</v>
      </c>
      <c r="H1507" s="6">
        <f>DAY(Consulta2[[#This Row],[DATA]])</f>
        <v>14</v>
      </c>
      <c r="I1507" s="6">
        <f>MONTH(Consulta2[[#This Row],[DATA]])</f>
        <v>2</v>
      </c>
      <c r="J1507" t="str">
        <f>CONCATENATE(Consulta2[[#This Row],[SAFRA]],Consulta2[[#This Row],[dia]])</f>
        <v>20280214</v>
      </c>
      <c r="K1507">
        <f>Consulta2[[#This Row],[DIA_UTIL_CORRENTE]]</f>
        <v>10</v>
      </c>
    </row>
    <row r="1508" spans="1:11" x14ac:dyDescent="0.25">
      <c r="A1508">
        <v>202802</v>
      </c>
      <c r="B1508">
        <v>11</v>
      </c>
      <c r="C1508" s="148">
        <v>46798</v>
      </c>
      <c r="D1508">
        <v>19</v>
      </c>
      <c r="E1508">
        <v>19</v>
      </c>
      <c r="F1508">
        <v>1039</v>
      </c>
      <c r="G1508">
        <f>Consulta2[[#This Row],[DIA_UTIL_CORRENTE]]</f>
        <v>11</v>
      </c>
      <c r="H1508" s="6">
        <f>DAY(Consulta2[[#This Row],[DATA]])</f>
        <v>15</v>
      </c>
      <c r="I1508" s="6">
        <f>MONTH(Consulta2[[#This Row],[DATA]])</f>
        <v>2</v>
      </c>
      <c r="J1508" t="str">
        <f>CONCATENATE(Consulta2[[#This Row],[SAFRA]],Consulta2[[#This Row],[dia]])</f>
        <v>20280215</v>
      </c>
      <c r="K1508">
        <f>Consulta2[[#This Row],[DIA_UTIL_CORRENTE]]</f>
        <v>11</v>
      </c>
    </row>
    <row r="1509" spans="1:11" x14ac:dyDescent="0.25">
      <c r="A1509">
        <v>202802</v>
      </c>
      <c r="B1509">
        <v>12</v>
      </c>
      <c r="C1509" s="148">
        <v>46799</v>
      </c>
      <c r="D1509">
        <v>19</v>
      </c>
      <c r="E1509">
        <v>19</v>
      </c>
      <c r="F1509">
        <v>1040</v>
      </c>
      <c r="G1509">
        <f>Consulta2[[#This Row],[DIA_UTIL_CORRENTE]]</f>
        <v>12</v>
      </c>
      <c r="H1509" s="6">
        <f>DAY(Consulta2[[#This Row],[DATA]])</f>
        <v>16</v>
      </c>
      <c r="I1509" s="6">
        <f>MONTH(Consulta2[[#This Row],[DATA]])</f>
        <v>2</v>
      </c>
      <c r="J1509" t="str">
        <f>CONCATENATE(Consulta2[[#This Row],[SAFRA]],Consulta2[[#This Row],[dia]])</f>
        <v>20280216</v>
      </c>
      <c r="K1509">
        <f>Consulta2[[#This Row],[DIA_UTIL_CORRENTE]]</f>
        <v>12</v>
      </c>
    </row>
    <row r="1510" spans="1:11" x14ac:dyDescent="0.25">
      <c r="A1510">
        <v>202802</v>
      </c>
      <c r="B1510">
        <v>13</v>
      </c>
      <c r="C1510" s="148">
        <v>46800</v>
      </c>
      <c r="D1510">
        <v>19</v>
      </c>
      <c r="E1510">
        <v>19</v>
      </c>
      <c r="F1510">
        <v>1041</v>
      </c>
      <c r="G1510">
        <f>Consulta2[[#This Row],[DIA_UTIL_CORRENTE]]</f>
        <v>13</v>
      </c>
      <c r="H1510" s="6">
        <f>DAY(Consulta2[[#This Row],[DATA]])</f>
        <v>17</v>
      </c>
      <c r="I1510" s="6">
        <f>MONTH(Consulta2[[#This Row],[DATA]])</f>
        <v>2</v>
      </c>
      <c r="J1510" t="str">
        <f>CONCATENATE(Consulta2[[#This Row],[SAFRA]],Consulta2[[#This Row],[dia]])</f>
        <v>20280217</v>
      </c>
      <c r="K1510">
        <f>Consulta2[[#This Row],[DIA_UTIL_CORRENTE]]</f>
        <v>13</v>
      </c>
    </row>
    <row r="1511" spans="1:11" x14ac:dyDescent="0.25">
      <c r="A1511">
        <v>202802</v>
      </c>
      <c r="B1511">
        <v>14</v>
      </c>
      <c r="C1511" s="148">
        <v>46801</v>
      </c>
      <c r="D1511">
        <v>19</v>
      </c>
      <c r="E1511">
        <v>19</v>
      </c>
      <c r="F1511">
        <v>1042</v>
      </c>
      <c r="G1511">
        <f>Consulta2[[#This Row],[DIA_UTIL_CORRENTE]]</f>
        <v>14</v>
      </c>
      <c r="H1511" s="6">
        <f>DAY(Consulta2[[#This Row],[DATA]])</f>
        <v>18</v>
      </c>
      <c r="I1511" s="6">
        <f>MONTH(Consulta2[[#This Row],[DATA]])</f>
        <v>2</v>
      </c>
      <c r="J1511" t="str">
        <f>CONCATENATE(Consulta2[[#This Row],[SAFRA]],Consulta2[[#This Row],[dia]])</f>
        <v>20280218</v>
      </c>
      <c r="K1511">
        <f>Consulta2[[#This Row],[DIA_UTIL_CORRENTE]]</f>
        <v>14</v>
      </c>
    </row>
    <row r="1512" spans="1:11" x14ac:dyDescent="0.25">
      <c r="A1512">
        <v>202802</v>
      </c>
      <c r="B1512">
        <v>14</v>
      </c>
      <c r="C1512" s="148">
        <v>46802</v>
      </c>
      <c r="D1512">
        <v>19</v>
      </c>
      <c r="E1512">
        <v>19</v>
      </c>
      <c r="F1512">
        <v>1042</v>
      </c>
      <c r="G1512">
        <f>Consulta2[[#This Row],[DIA_UTIL_CORRENTE]]</f>
        <v>14</v>
      </c>
      <c r="H1512" s="6">
        <f>DAY(Consulta2[[#This Row],[DATA]])</f>
        <v>19</v>
      </c>
      <c r="I1512" s="6">
        <f>MONTH(Consulta2[[#This Row],[DATA]])</f>
        <v>2</v>
      </c>
      <c r="J1512" t="str">
        <f>CONCATENATE(Consulta2[[#This Row],[SAFRA]],Consulta2[[#This Row],[dia]])</f>
        <v>20280219</v>
      </c>
      <c r="K1512">
        <f>Consulta2[[#This Row],[DIA_UTIL_CORRENTE]]</f>
        <v>14</v>
      </c>
    </row>
    <row r="1513" spans="1:11" x14ac:dyDescent="0.25">
      <c r="A1513">
        <v>202802</v>
      </c>
      <c r="B1513">
        <v>14</v>
      </c>
      <c r="C1513" s="148">
        <v>46803</v>
      </c>
      <c r="D1513">
        <v>19</v>
      </c>
      <c r="E1513">
        <v>19</v>
      </c>
      <c r="F1513">
        <v>1042</v>
      </c>
      <c r="G1513">
        <f>Consulta2[[#This Row],[DIA_UTIL_CORRENTE]]</f>
        <v>14</v>
      </c>
      <c r="H1513" s="6">
        <f>DAY(Consulta2[[#This Row],[DATA]])</f>
        <v>20</v>
      </c>
      <c r="I1513" s="6">
        <f>MONTH(Consulta2[[#This Row],[DATA]])</f>
        <v>2</v>
      </c>
      <c r="J1513" t="str">
        <f>CONCATENATE(Consulta2[[#This Row],[SAFRA]],Consulta2[[#This Row],[dia]])</f>
        <v>20280220</v>
      </c>
      <c r="K1513">
        <f>Consulta2[[#This Row],[DIA_UTIL_CORRENTE]]</f>
        <v>14</v>
      </c>
    </row>
    <row r="1514" spans="1:11" x14ac:dyDescent="0.25">
      <c r="A1514">
        <v>202802</v>
      </c>
      <c r="B1514">
        <v>15</v>
      </c>
      <c r="C1514" s="148">
        <v>46804</v>
      </c>
      <c r="D1514">
        <v>19</v>
      </c>
      <c r="E1514">
        <v>19</v>
      </c>
      <c r="F1514">
        <v>1043</v>
      </c>
      <c r="G1514">
        <f>Consulta2[[#This Row],[DIA_UTIL_CORRENTE]]</f>
        <v>15</v>
      </c>
      <c r="H1514" s="6">
        <f>DAY(Consulta2[[#This Row],[DATA]])</f>
        <v>21</v>
      </c>
      <c r="I1514" s="6">
        <f>MONTH(Consulta2[[#This Row],[DATA]])</f>
        <v>2</v>
      </c>
      <c r="J1514" t="str">
        <f>CONCATENATE(Consulta2[[#This Row],[SAFRA]],Consulta2[[#This Row],[dia]])</f>
        <v>20280221</v>
      </c>
      <c r="K1514">
        <f>Consulta2[[#This Row],[DIA_UTIL_CORRENTE]]</f>
        <v>15</v>
      </c>
    </row>
    <row r="1515" spans="1:11" x14ac:dyDescent="0.25">
      <c r="A1515">
        <v>202802</v>
      </c>
      <c r="B1515">
        <v>16</v>
      </c>
      <c r="C1515" s="148">
        <v>46805</v>
      </c>
      <c r="D1515">
        <v>19</v>
      </c>
      <c r="E1515">
        <v>19</v>
      </c>
      <c r="F1515">
        <v>1044</v>
      </c>
      <c r="G1515">
        <f>Consulta2[[#This Row],[DIA_UTIL_CORRENTE]]</f>
        <v>16</v>
      </c>
      <c r="H1515" s="6">
        <f>DAY(Consulta2[[#This Row],[DATA]])</f>
        <v>22</v>
      </c>
      <c r="I1515" s="6">
        <f>MONTH(Consulta2[[#This Row],[DATA]])</f>
        <v>2</v>
      </c>
      <c r="J1515" t="str">
        <f>CONCATENATE(Consulta2[[#This Row],[SAFRA]],Consulta2[[#This Row],[dia]])</f>
        <v>20280222</v>
      </c>
      <c r="K1515">
        <f>Consulta2[[#This Row],[DIA_UTIL_CORRENTE]]</f>
        <v>16</v>
      </c>
    </row>
    <row r="1516" spans="1:11" x14ac:dyDescent="0.25">
      <c r="A1516">
        <v>202802</v>
      </c>
      <c r="B1516">
        <v>17</v>
      </c>
      <c r="C1516" s="148">
        <v>46806</v>
      </c>
      <c r="D1516">
        <v>19</v>
      </c>
      <c r="E1516">
        <v>19</v>
      </c>
      <c r="F1516">
        <v>1045</v>
      </c>
      <c r="G1516">
        <f>Consulta2[[#This Row],[DIA_UTIL_CORRENTE]]</f>
        <v>17</v>
      </c>
      <c r="H1516" s="6">
        <f>DAY(Consulta2[[#This Row],[DATA]])</f>
        <v>23</v>
      </c>
      <c r="I1516" s="6">
        <f>MONTH(Consulta2[[#This Row],[DATA]])</f>
        <v>2</v>
      </c>
      <c r="J1516" t="str">
        <f>CONCATENATE(Consulta2[[#This Row],[SAFRA]],Consulta2[[#This Row],[dia]])</f>
        <v>20280223</v>
      </c>
      <c r="K1516">
        <f>Consulta2[[#This Row],[DIA_UTIL_CORRENTE]]</f>
        <v>17</v>
      </c>
    </row>
    <row r="1517" spans="1:11" x14ac:dyDescent="0.25">
      <c r="A1517">
        <v>202802</v>
      </c>
      <c r="B1517">
        <v>18</v>
      </c>
      <c r="C1517" s="148">
        <v>46807</v>
      </c>
      <c r="D1517">
        <v>19</v>
      </c>
      <c r="E1517">
        <v>19</v>
      </c>
      <c r="F1517">
        <v>1046</v>
      </c>
      <c r="G1517">
        <f>Consulta2[[#This Row],[DIA_UTIL_CORRENTE]]</f>
        <v>18</v>
      </c>
      <c r="H1517" s="6">
        <f>DAY(Consulta2[[#This Row],[DATA]])</f>
        <v>24</v>
      </c>
      <c r="I1517" s="6">
        <f>MONTH(Consulta2[[#This Row],[DATA]])</f>
        <v>2</v>
      </c>
      <c r="J1517" t="str">
        <f>CONCATENATE(Consulta2[[#This Row],[SAFRA]],Consulta2[[#This Row],[dia]])</f>
        <v>20280224</v>
      </c>
      <c r="K1517">
        <f>Consulta2[[#This Row],[DIA_UTIL_CORRENTE]]</f>
        <v>18</v>
      </c>
    </row>
    <row r="1518" spans="1:11" x14ac:dyDescent="0.25">
      <c r="A1518">
        <v>202802</v>
      </c>
      <c r="B1518">
        <v>19</v>
      </c>
      <c r="C1518" s="148">
        <v>46808</v>
      </c>
      <c r="D1518">
        <v>19</v>
      </c>
      <c r="E1518">
        <v>19</v>
      </c>
      <c r="F1518">
        <v>1047</v>
      </c>
      <c r="G1518">
        <f>Consulta2[[#This Row],[DIA_UTIL_CORRENTE]]</f>
        <v>19</v>
      </c>
      <c r="H1518" s="6">
        <f>DAY(Consulta2[[#This Row],[DATA]])</f>
        <v>25</v>
      </c>
      <c r="I1518" s="6">
        <f>MONTH(Consulta2[[#This Row],[DATA]])</f>
        <v>2</v>
      </c>
      <c r="J1518" t="str">
        <f>CONCATENATE(Consulta2[[#This Row],[SAFRA]],Consulta2[[#This Row],[dia]])</f>
        <v>20280225</v>
      </c>
      <c r="K1518">
        <f>Consulta2[[#This Row],[DIA_UTIL_CORRENTE]]</f>
        <v>19</v>
      </c>
    </row>
    <row r="1519" spans="1:11" x14ac:dyDescent="0.25">
      <c r="A1519">
        <v>202802</v>
      </c>
      <c r="B1519">
        <v>19</v>
      </c>
      <c r="C1519" s="148">
        <v>46809</v>
      </c>
      <c r="D1519">
        <v>19</v>
      </c>
      <c r="E1519">
        <v>19</v>
      </c>
      <c r="F1519">
        <v>1047</v>
      </c>
      <c r="G1519">
        <f>Consulta2[[#This Row],[DIA_UTIL_CORRENTE]]</f>
        <v>19</v>
      </c>
      <c r="H1519" s="6">
        <f>DAY(Consulta2[[#This Row],[DATA]])</f>
        <v>26</v>
      </c>
      <c r="I1519" s="6">
        <f>MONTH(Consulta2[[#This Row],[DATA]])</f>
        <v>2</v>
      </c>
      <c r="J1519" t="str">
        <f>CONCATENATE(Consulta2[[#This Row],[SAFRA]],Consulta2[[#This Row],[dia]])</f>
        <v>20280226</v>
      </c>
      <c r="K1519">
        <f>Consulta2[[#This Row],[DIA_UTIL_CORRENTE]]</f>
        <v>19</v>
      </c>
    </row>
    <row r="1520" spans="1:11" x14ac:dyDescent="0.25">
      <c r="A1520">
        <v>202802</v>
      </c>
      <c r="B1520">
        <v>19</v>
      </c>
      <c r="C1520" s="148">
        <v>46810</v>
      </c>
      <c r="D1520">
        <v>19</v>
      </c>
      <c r="E1520">
        <v>19</v>
      </c>
      <c r="F1520">
        <v>1047</v>
      </c>
      <c r="G1520">
        <f>Consulta2[[#This Row],[DIA_UTIL_CORRENTE]]</f>
        <v>19</v>
      </c>
      <c r="H1520" s="6">
        <f>DAY(Consulta2[[#This Row],[DATA]])</f>
        <v>27</v>
      </c>
      <c r="I1520" s="6">
        <f>MONTH(Consulta2[[#This Row],[DATA]])</f>
        <v>2</v>
      </c>
      <c r="J1520" t="str">
        <f>CONCATENATE(Consulta2[[#This Row],[SAFRA]],Consulta2[[#This Row],[dia]])</f>
        <v>20280227</v>
      </c>
      <c r="K1520">
        <f>Consulta2[[#This Row],[DIA_UTIL_CORRENTE]]</f>
        <v>19</v>
      </c>
    </row>
    <row r="1521" spans="1:11" x14ac:dyDescent="0.25">
      <c r="A1521">
        <v>202802</v>
      </c>
      <c r="B1521">
        <v>19</v>
      </c>
      <c r="C1521" s="148">
        <v>46811</v>
      </c>
      <c r="D1521">
        <v>19</v>
      </c>
      <c r="E1521">
        <v>19</v>
      </c>
      <c r="F1521">
        <v>1047</v>
      </c>
      <c r="G1521">
        <f>Consulta2[[#This Row],[DIA_UTIL_CORRENTE]]</f>
        <v>19</v>
      </c>
      <c r="H1521" s="6">
        <f>DAY(Consulta2[[#This Row],[DATA]])</f>
        <v>28</v>
      </c>
      <c r="I1521" s="6">
        <f>MONTH(Consulta2[[#This Row],[DATA]])</f>
        <v>2</v>
      </c>
      <c r="J1521" t="str">
        <f>CONCATENATE(Consulta2[[#This Row],[SAFRA]],Consulta2[[#This Row],[dia]])</f>
        <v>20280228</v>
      </c>
      <c r="K1521">
        <f>Consulta2[[#This Row],[DIA_UTIL_CORRENTE]]</f>
        <v>19</v>
      </c>
    </row>
    <row r="1522" spans="1:11" x14ac:dyDescent="0.25">
      <c r="A1522">
        <v>202802</v>
      </c>
      <c r="B1522">
        <v>19</v>
      </c>
      <c r="C1522" s="148">
        <v>46812</v>
      </c>
      <c r="D1522">
        <v>19</v>
      </c>
      <c r="E1522">
        <v>19</v>
      </c>
      <c r="F1522">
        <v>1047</v>
      </c>
      <c r="G1522">
        <f>Consulta2[[#This Row],[DIA_UTIL_CORRENTE]]</f>
        <v>19</v>
      </c>
      <c r="H1522" s="6">
        <f>DAY(Consulta2[[#This Row],[DATA]])</f>
        <v>29</v>
      </c>
      <c r="I1522" s="6">
        <f>MONTH(Consulta2[[#This Row],[DATA]])</f>
        <v>2</v>
      </c>
      <c r="J1522" t="str">
        <f>CONCATENATE(Consulta2[[#This Row],[SAFRA]],Consulta2[[#This Row],[dia]])</f>
        <v>20280229</v>
      </c>
      <c r="K1522">
        <f>Consulta2[[#This Row],[DIA_UTIL_CORRENTE]]</f>
        <v>19</v>
      </c>
    </row>
    <row r="1523" spans="1:11" x14ac:dyDescent="0.25">
      <c r="A1523">
        <v>202803</v>
      </c>
      <c r="B1523">
        <v>1</v>
      </c>
      <c r="C1523" s="148">
        <v>46813</v>
      </c>
      <c r="D1523">
        <v>23</v>
      </c>
      <c r="E1523">
        <v>23</v>
      </c>
      <c r="F1523">
        <v>1048</v>
      </c>
      <c r="G1523">
        <f>Consulta2[[#This Row],[DIA_UTIL_CORRENTE]]</f>
        <v>1</v>
      </c>
      <c r="H1523" s="6">
        <f>DAY(Consulta2[[#This Row],[DATA]])</f>
        <v>1</v>
      </c>
      <c r="I1523" s="6">
        <f>MONTH(Consulta2[[#This Row],[DATA]])</f>
        <v>3</v>
      </c>
      <c r="J1523" t="str">
        <f>CONCATENATE(Consulta2[[#This Row],[SAFRA]],Consulta2[[#This Row],[dia]])</f>
        <v>2028031</v>
      </c>
      <c r="K1523">
        <f>Consulta2[[#This Row],[DIA_UTIL_CORRENTE]]</f>
        <v>1</v>
      </c>
    </row>
    <row r="1524" spans="1:11" x14ac:dyDescent="0.25">
      <c r="A1524">
        <v>202803</v>
      </c>
      <c r="B1524">
        <v>2</v>
      </c>
      <c r="C1524" s="148">
        <v>46814</v>
      </c>
      <c r="D1524">
        <v>23</v>
      </c>
      <c r="E1524">
        <v>23</v>
      </c>
      <c r="F1524">
        <v>1049</v>
      </c>
      <c r="G1524">
        <f>Consulta2[[#This Row],[DIA_UTIL_CORRENTE]]</f>
        <v>2</v>
      </c>
      <c r="H1524" s="6">
        <f>DAY(Consulta2[[#This Row],[DATA]])</f>
        <v>2</v>
      </c>
      <c r="I1524" s="6">
        <f>MONTH(Consulta2[[#This Row],[DATA]])</f>
        <v>3</v>
      </c>
      <c r="J1524" t="str">
        <f>CONCATENATE(Consulta2[[#This Row],[SAFRA]],Consulta2[[#This Row],[dia]])</f>
        <v>2028032</v>
      </c>
      <c r="K1524">
        <f>Consulta2[[#This Row],[DIA_UTIL_CORRENTE]]</f>
        <v>2</v>
      </c>
    </row>
    <row r="1525" spans="1:11" x14ac:dyDescent="0.25">
      <c r="A1525">
        <v>202803</v>
      </c>
      <c r="B1525">
        <v>3</v>
      </c>
      <c r="C1525" s="148">
        <v>46815</v>
      </c>
      <c r="D1525">
        <v>23</v>
      </c>
      <c r="E1525">
        <v>23</v>
      </c>
      <c r="F1525">
        <v>1050</v>
      </c>
      <c r="G1525">
        <f>Consulta2[[#This Row],[DIA_UTIL_CORRENTE]]</f>
        <v>3</v>
      </c>
      <c r="H1525" s="6">
        <f>DAY(Consulta2[[#This Row],[DATA]])</f>
        <v>3</v>
      </c>
      <c r="I1525" s="6">
        <f>MONTH(Consulta2[[#This Row],[DATA]])</f>
        <v>3</v>
      </c>
      <c r="J1525" t="str">
        <f>CONCATENATE(Consulta2[[#This Row],[SAFRA]],Consulta2[[#This Row],[dia]])</f>
        <v>2028033</v>
      </c>
      <c r="K1525">
        <f>Consulta2[[#This Row],[DIA_UTIL_CORRENTE]]</f>
        <v>3</v>
      </c>
    </row>
    <row r="1526" spans="1:11" x14ac:dyDescent="0.25">
      <c r="A1526">
        <v>202803</v>
      </c>
      <c r="B1526">
        <v>3</v>
      </c>
      <c r="C1526" s="148">
        <v>46816</v>
      </c>
      <c r="D1526">
        <v>23</v>
      </c>
      <c r="E1526">
        <v>23</v>
      </c>
      <c r="F1526">
        <v>1050</v>
      </c>
      <c r="G1526">
        <f>Consulta2[[#This Row],[DIA_UTIL_CORRENTE]]</f>
        <v>3</v>
      </c>
      <c r="H1526" s="6">
        <f>DAY(Consulta2[[#This Row],[DATA]])</f>
        <v>4</v>
      </c>
      <c r="I1526" s="6">
        <f>MONTH(Consulta2[[#This Row],[DATA]])</f>
        <v>3</v>
      </c>
      <c r="J1526" t="str">
        <f>CONCATENATE(Consulta2[[#This Row],[SAFRA]],Consulta2[[#This Row],[dia]])</f>
        <v>2028034</v>
      </c>
      <c r="K1526">
        <f>Consulta2[[#This Row],[DIA_UTIL_CORRENTE]]</f>
        <v>3</v>
      </c>
    </row>
    <row r="1527" spans="1:11" x14ac:dyDescent="0.25">
      <c r="A1527">
        <v>202803</v>
      </c>
      <c r="B1527">
        <v>3</v>
      </c>
      <c r="C1527" s="148">
        <v>46817</v>
      </c>
      <c r="D1527">
        <v>23</v>
      </c>
      <c r="E1527">
        <v>23</v>
      </c>
      <c r="F1527">
        <v>1050</v>
      </c>
      <c r="G1527">
        <f>Consulta2[[#This Row],[DIA_UTIL_CORRENTE]]</f>
        <v>3</v>
      </c>
      <c r="H1527" s="6">
        <f>DAY(Consulta2[[#This Row],[DATA]])</f>
        <v>5</v>
      </c>
      <c r="I1527" s="6">
        <f>MONTH(Consulta2[[#This Row],[DATA]])</f>
        <v>3</v>
      </c>
      <c r="J1527" t="str">
        <f>CONCATENATE(Consulta2[[#This Row],[SAFRA]],Consulta2[[#This Row],[dia]])</f>
        <v>2028035</v>
      </c>
      <c r="K1527">
        <f>Consulta2[[#This Row],[DIA_UTIL_CORRENTE]]</f>
        <v>3</v>
      </c>
    </row>
    <row r="1528" spans="1:11" x14ac:dyDescent="0.25">
      <c r="A1528">
        <v>202803</v>
      </c>
      <c r="B1528">
        <v>4</v>
      </c>
      <c r="C1528" s="148">
        <v>46818</v>
      </c>
      <c r="D1528">
        <v>23</v>
      </c>
      <c r="E1528">
        <v>23</v>
      </c>
      <c r="F1528">
        <v>1051</v>
      </c>
      <c r="G1528">
        <f>Consulta2[[#This Row],[DIA_UTIL_CORRENTE]]</f>
        <v>4</v>
      </c>
      <c r="H1528" s="6">
        <f>DAY(Consulta2[[#This Row],[DATA]])</f>
        <v>6</v>
      </c>
      <c r="I1528" s="6">
        <f>MONTH(Consulta2[[#This Row],[DATA]])</f>
        <v>3</v>
      </c>
      <c r="J1528" t="str">
        <f>CONCATENATE(Consulta2[[#This Row],[SAFRA]],Consulta2[[#This Row],[dia]])</f>
        <v>2028036</v>
      </c>
      <c r="K1528">
        <f>Consulta2[[#This Row],[DIA_UTIL_CORRENTE]]</f>
        <v>4</v>
      </c>
    </row>
    <row r="1529" spans="1:11" x14ac:dyDescent="0.25">
      <c r="A1529">
        <v>202803</v>
      </c>
      <c r="B1529">
        <v>5</v>
      </c>
      <c r="C1529" s="148">
        <v>46819</v>
      </c>
      <c r="D1529">
        <v>23</v>
      </c>
      <c r="E1529">
        <v>23</v>
      </c>
      <c r="F1529">
        <v>1052</v>
      </c>
      <c r="G1529">
        <f>Consulta2[[#This Row],[DIA_UTIL_CORRENTE]]</f>
        <v>5</v>
      </c>
      <c r="H1529" s="6">
        <f>DAY(Consulta2[[#This Row],[DATA]])</f>
        <v>7</v>
      </c>
      <c r="I1529" s="6">
        <f>MONTH(Consulta2[[#This Row],[DATA]])</f>
        <v>3</v>
      </c>
      <c r="J1529" t="str">
        <f>CONCATENATE(Consulta2[[#This Row],[SAFRA]],Consulta2[[#This Row],[dia]])</f>
        <v>2028037</v>
      </c>
      <c r="K1529">
        <f>Consulta2[[#This Row],[DIA_UTIL_CORRENTE]]</f>
        <v>5</v>
      </c>
    </row>
    <row r="1530" spans="1:11" x14ac:dyDescent="0.25">
      <c r="A1530">
        <v>202803</v>
      </c>
      <c r="B1530">
        <v>6</v>
      </c>
      <c r="C1530" s="148">
        <v>46820</v>
      </c>
      <c r="D1530">
        <v>23</v>
      </c>
      <c r="E1530">
        <v>23</v>
      </c>
      <c r="F1530">
        <v>1053</v>
      </c>
      <c r="G1530">
        <f>Consulta2[[#This Row],[DIA_UTIL_CORRENTE]]</f>
        <v>6</v>
      </c>
      <c r="H1530" s="6">
        <f>DAY(Consulta2[[#This Row],[DATA]])</f>
        <v>8</v>
      </c>
      <c r="I1530" s="6">
        <f>MONTH(Consulta2[[#This Row],[DATA]])</f>
        <v>3</v>
      </c>
      <c r="J1530" t="str">
        <f>CONCATENATE(Consulta2[[#This Row],[SAFRA]],Consulta2[[#This Row],[dia]])</f>
        <v>2028038</v>
      </c>
      <c r="K1530">
        <f>Consulta2[[#This Row],[DIA_UTIL_CORRENTE]]</f>
        <v>6</v>
      </c>
    </row>
    <row r="1531" spans="1:11" x14ac:dyDescent="0.25">
      <c r="A1531">
        <v>202803</v>
      </c>
      <c r="B1531">
        <v>7</v>
      </c>
      <c r="C1531" s="148">
        <v>46821</v>
      </c>
      <c r="D1531">
        <v>23</v>
      </c>
      <c r="E1531">
        <v>23</v>
      </c>
      <c r="F1531">
        <v>1054</v>
      </c>
      <c r="G1531">
        <f>Consulta2[[#This Row],[DIA_UTIL_CORRENTE]]</f>
        <v>7</v>
      </c>
      <c r="H1531" s="6">
        <f>DAY(Consulta2[[#This Row],[DATA]])</f>
        <v>9</v>
      </c>
      <c r="I1531" s="6">
        <f>MONTH(Consulta2[[#This Row],[DATA]])</f>
        <v>3</v>
      </c>
      <c r="J1531" t="str">
        <f>CONCATENATE(Consulta2[[#This Row],[SAFRA]],Consulta2[[#This Row],[dia]])</f>
        <v>2028039</v>
      </c>
      <c r="K1531">
        <f>Consulta2[[#This Row],[DIA_UTIL_CORRENTE]]</f>
        <v>7</v>
      </c>
    </row>
    <row r="1532" spans="1:11" x14ac:dyDescent="0.25">
      <c r="A1532">
        <v>202803</v>
      </c>
      <c r="B1532">
        <v>8</v>
      </c>
      <c r="C1532" s="148">
        <v>46822</v>
      </c>
      <c r="D1532">
        <v>23</v>
      </c>
      <c r="E1532">
        <v>23</v>
      </c>
      <c r="F1532">
        <v>1055</v>
      </c>
      <c r="G1532">
        <f>Consulta2[[#This Row],[DIA_UTIL_CORRENTE]]</f>
        <v>8</v>
      </c>
      <c r="H1532" s="6">
        <f>DAY(Consulta2[[#This Row],[DATA]])</f>
        <v>10</v>
      </c>
      <c r="I1532" s="6">
        <f>MONTH(Consulta2[[#This Row],[DATA]])</f>
        <v>3</v>
      </c>
      <c r="J1532" t="str">
        <f>CONCATENATE(Consulta2[[#This Row],[SAFRA]],Consulta2[[#This Row],[dia]])</f>
        <v>20280310</v>
      </c>
      <c r="K1532">
        <f>Consulta2[[#This Row],[DIA_UTIL_CORRENTE]]</f>
        <v>8</v>
      </c>
    </row>
    <row r="1533" spans="1:11" x14ac:dyDescent="0.25">
      <c r="A1533">
        <v>202803</v>
      </c>
      <c r="B1533">
        <v>8</v>
      </c>
      <c r="C1533" s="148">
        <v>46823</v>
      </c>
      <c r="D1533">
        <v>23</v>
      </c>
      <c r="E1533">
        <v>23</v>
      </c>
      <c r="F1533">
        <v>1055</v>
      </c>
      <c r="G1533">
        <f>Consulta2[[#This Row],[DIA_UTIL_CORRENTE]]</f>
        <v>8</v>
      </c>
      <c r="H1533" s="6">
        <f>DAY(Consulta2[[#This Row],[DATA]])</f>
        <v>11</v>
      </c>
      <c r="I1533" s="6">
        <f>MONTH(Consulta2[[#This Row],[DATA]])</f>
        <v>3</v>
      </c>
      <c r="J1533" t="str">
        <f>CONCATENATE(Consulta2[[#This Row],[SAFRA]],Consulta2[[#This Row],[dia]])</f>
        <v>20280311</v>
      </c>
      <c r="K1533">
        <f>Consulta2[[#This Row],[DIA_UTIL_CORRENTE]]</f>
        <v>8</v>
      </c>
    </row>
    <row r="1534" spans="1:11" x14ac:dyDescent="0.25">
      <c r="A1534">
        <v>202803</v>
      </c>
      <c r="B1534">
        <v>8</v>
      </c>
      <c r="C1534" s="148">
        <v>46824</v>
      </c>
      <c r="D1534">
        <v>23</v>
      </c>
      <c r="E1534">
        <v>23</v>
      </c>
      <c r="F1534">
        <v>1055</v>
      </c>
      <c r="G1534">
        <f>Consulta2[[#This Row],[DIA_UTIL_CORRENTE]]</f>
        <v>8</v>
      </c>
      <c r="H1534" s="6">
        <f>DAY(Consulta2[[#This Row],[DATA]])</f>
        <v>12</v>
      </c>
      <c r="I1534" s="6">
        <f>MONTH(Consulta2[[#This Row],[DATA]])</f>
        <v>3</v>
      </c>
      <c r="J1534" t="str">
        <f>CONCATENATE(Consulta2[[#This Row],[SAFRA]],Consulta2[[#This Row],[dia]])</f>
        <v>20280312</v>
      </c>
      <c r="K1534">
        <f>Consulta2[[#This Row],[DIA_UTIL_CORRENTE]]</f>
        <v>8</v>
      </c>
    </row>
    <row r="1535" spans="1:11" x14ac:dyDescent="0.25">
      <c r="A1535">
        <v>202803</v>
      </c>
      <c r="B1535">
        <v>9</v>
      </c>
      <c r="C1535" s="148">
        <v>46825</v>
      </c>
      <c r="D1535">
        <v>23</v>
      </c>
      <c r="E1535">
        <v>23</v>
      </c>
      <c r="F1535">
        <v>1056</v>
      </c>
      <c r="G1535">
        <f>Consulta2[[#This Row],[DIA_UTIL_CORRENTE]]</f>
        <v>9</v>
      </c>
      <c r="H1535" s="6">
        <f>DAY(Consulta2[[#This Row],[DATA]])</f>
        <v>13</v>
      </c>
      <c r="I1535" s="6">
        <f>MONTH(Consulta2[[#This Row],[DATA]])</f>
        <v>3</v>
      </c>
      <c r="J1535" t="str">
        <f>CONCATENATE(Consulta2[[#This Row],[SAFRA]],Consulta2[[#This Row],[dia]])</f>
        <v>20280313</v>
      </c>
      <c r="K1535">
        <f>Consulta2[[#This Row],[DIA_UTIL_CORRENTE]]</f>
        <v>9</v>
      </c>
    </row>
    <row r="1536" spans="1:11" x14ac:dyDescent="0.25">
      <c r="A1536">
        <v>202803</v>
      </c>
      <c r="B1536">
        <v>10</v>
      </c>
      <c r="C1536" s="148">
        <v>46826</v>
      </c>
      <c r="D1536">
        <v>23</v>
      </c>
      <c r="E1536">
        <v>23</v>
      </c>
      <c r="F1536">
        <v>1057</v>
      </c>
      <c r="G1536">
        <f>Consulta2[[#This Row],[DIA_UTIL_CORRENTE]]</f>
        <v>10</v>
      </c>
      <c r="H1536" s="6">
        <f>DAY(Consulta2[[#This Row],[DATA]])</f>
        <v>14</v>
      </c>
      <c r="I1536" s="6">
        <f>MONTH(Consulta2[[#This Row],[DATA]])</f>
        <v>3</v>
      </c>
      <c r="J1536" t="str">
        <f>CONCATENATE(Consulta2[[#This Row],[SAFRA]],Consulta2[[#This Row],[dia]])</f>
        <v>20280314</v>
      </c>
      <c r="K1536">
        <f>Consulta2[[#This Row],[DIA_UTIL_CORRENTE]]</f>
        <v>10</v>
      </c>
    </row>
    <row r="1537" spans="1:11" x14ac:dyDescent="0.25">
      <c r="A1537">
        <v>202803</v>
      </c>
      <c r="B1537">
        <v>11</v>
      </c>
      <c r="C1537" s="148">
        <v>46827</v>
      </c>
      <c r="D1537">
        <v>23</v>
      </c>
      <c r="E1537">
        <v>23</v>
      </c>
      <c r="F1537">
        <v>1058</v>
      </c>
      <c r="G1537">
        <f>Consulta2[[#This Row],[DIA_UTIL_CORRENTE]]</f>
        <v>11</v>
      </c>
      <c r="H1537" s="6">
        <f>DAY(Consulta2[[#This Row],[DATA]])</f>
        <v>15</v>
      </c>
      <c r="I1537" s="6">
        <f>MONTH(Consulta2[[#This Row],[DATA]])</f>
        <v>3</v>
      </c>
      <c r="J1537" t="str">
        <f>CONCATENATE(Consulta2[[#This Row],[SAFRA]],Consulta2[[#This Row],[dia]])</f>
        <v>20280315</v>
      </c>
      <c r="K1537">
        <f>Consulta2[[#This Row],[DIA_UTIL_CORRENTE]]</f>
        <v>11</v>
      </c>
    </row>
    <row r="1538" spans="1:11" x14ac:dyDescent="0.25">
      <c r="A1538">
        <v>202803</v>
      </c>
      <c r="B1538">
        <v>12</v>
      </c>
      <c r="C1538" s="148">
        <v>46828</v>
      </c>
      <c r="D1538">
        <v>23</v>
      </c>
      <c r="E1538">
        <v>23</v>
      </c>
      <c r="F1538">
        <v>1059</v>
      </c>
      <c r="G1538">
        <f>Consulta2[[#This Row],[DIA_UTIL_CORRENTE]]</f>
        <v>12</v>
      </c>
      <c r="H1538" s="6">
        <f>DAY(Consulta2[[#This Row],[DATA]])</f>
        <v>16</v>
      </c>
      <c r="I1538" s="6">
        <f>MONTH(Consulta2[[#This Row],[DATA]])</f>
        <v>3</v>
      </c>
      <c r="J1538" t="str">
        <f>CONCATENATE(Consulta2[[#This Row],[SAFRA]],Consulta2[[#This Row],[dia]])</f>
        <v>20280316</v>
      </c>
      <c r="K1538">
        <f>Consulta2[[#This Row],[DIA_UTIL_CORRENTE]]</f>
        <v>12</v>
      </c>
    </row>
    <row r="1539" spans="1:11" x14ac:dyDescent="0.25">
      <c r="A1539">
        <v>202803</v>
      </c>
      <c r="B1539">
        <v>13</v>
      </c>
      <c r="C1539" s="148">
        <v>46829</v>
      </c>
      <c r="D1539">
        <v>23</v>
      </c>
      <c r="E1539">
        <v>23</v>
      </c>
      <c r="F1539">
        <v>1060</v>
      </c>
      <c r="G1539">
        <f>Consulta2[[#This Row],[DIA_UTIL_CORRENTE]]</f>
        <v>13</v>
      </c>
      <c r="H1539" s="6">
        <f>DAY(Consulta2[[#This Row],[DATA]])</f>
        <v>17</v>
      </c>
      <c r="I1539" s="6">
        <f>MONTH(Consulta2[[#This Row],[DATA]])</f>
        <v>3</v>
      </c>
      <c r="J1539" t="str">
        <f>CONCATENATE(Consulta2[[#This Row],[SAFRA]],Consulta2[[#This Row],[dia]])</f>
        <v>20280317</v>
      </c>
      <c r="K1539">
        <f>Consulta2[[#This Row],[DIA_UTIL_CORRENTE]]</f>
        <v>13</v>
      </c>
    </row>
    <row r="1540" spans="1:11" x14ac:dyDescent="0.25">
      <c r="A1540">
        <v>202803</v>
      </c>
      <c r="B1540">
        <v>13</v>
      </c>
      <c r="C1540" s="148">
        <v>46830</v>
      </c>
      <c r="D1540">
        <v>23</v>
      </c>
      <c r="E1540">
        <v>23</v>
      </c>
      <c r="F1540">
        <v>1060</v>
      </c>
      <c r="G1540">
        <f>Consulta2[[#This Row],[DIA_UTIL_CORRENTE]]</f>
        <v>13</v>
      </c>
      <c r="H1540" s="6">
        <f>DAY(Consulta2[[#This Row],[DATA]])</f>
        <v>18</v>
      </c>
      <c r="I1540" s="6">
        <f>MONTH(Consulta2[[#This Row],[DATA]])</f>
        <v>3</v>
      </c>
      <c r="J1540" t="str">
        <f>CONCATENATE(Consulta2[[#This Row],[SAFRA]],Consulta2[[#This Row],[dia]])</f>
        <v>20280318</v>
      </c>
      <c r="K1540">
        <f>Consulta2[[#This Row],[DIA_UTIL_CORRENTE]]</f>
        <v>13</v>
      </c>
    </row>
    <row r="1541" spans="1:11" x14ac:dyDescent="0.25">
      <c r="A1541">
        <v>202803</v>
      </c>
      <c r="B1541">
        <v>13</v>
      </c>
      <c r="C1541" s="148">
        <v>46831</v>
      </c>
      <c r="D1541">
        <v>23</v>
      </c>
      <c r="E1541">
        <v>23</v>
      </c>
      <c r="F1541">
        <v>1060</v>
      </c>
      <c r="G1541">
        <f>Consulta2[[#This Row],[DIA_UTIL_CORRENTE]]</f>
        <v>13</v>
      </c>
      <c r="H1541" s="6">
        <f>DAY(Consulta2[[#This Row],[DATA]])</f>
        <v>19</v>
      </c>
      <c r="I1541" s="6">
        <f>MONTH(Consulta2[[#This Row],[DATA]])</f>
        <v>3</v>
      </c>
      <c r="J1541" t="str">
        <f>CONCATENATE(Consulta2[[#This Row],[SAFRA]],Consulta2[[#This Row],[dia]])</f>
        <v>20280319</v>
      </c>
      <c r="K1541">
        <f>Consulta2[[#This Row],[DIA_UTIL_CORRENTE]]</f>
        <v>13</v>
      </c>
    </row>
    <row r="1542" spans="1:11" x14ac:dyDescent="0.25">
      <c r="A1542">
        <v>202803</v>
      </c>
      <c r="B1542">
        <v>14</v>
      </c>
      <c r="C1542" s="148">
        <v>46832</v>
      </c>
      <c r="D1542">
        <v>23</v>
      </c>
      <c r="E1542">
        <v>23</v>
      </c>
      <c r="F1542">
        <v>1061</v>
      </c>
      <c r="G1542">
        <f>Consulta2[[#This Row],[DIA_UTIL_CORRENTE]]</f>
        <v>14</v>
      </c>
      <c r="H1542" s="6">
        <f>DAY(Consulta2[[#This Row],[DATA]])</f>
        <v>20</v>
      </c>
      <c r="I1542" s="6">
        <f>MONTH(Consulta2[[#This Row],[DATA]])</f>
        <v>3</v>
      </c>
      <c r="J1542" t="str">
        <f>CONCATENATE(Consulta2[[#This Row],[SAFRA]],Consulta2[[#This Row],[dia]])</f>
        <v>20280320</v>
      </c>
      <c r="K1542">
        <f>Consulta2[[#This Row],[DIA_UTIL_CORRENTE]]</f>
        <v>14</v>
      </c>
    </row>
    <row r="1543" spans="1:11" x14ac:dyDescent="0.25">
      <c r="A1543">
        <v>202803</v>
      </c>
      <c r="B1543">
        <v>15</v>
      </c>
      <c r="C1543" s="148">
        <v>46833</v>
      </c>
      <c r="D1543">
        <v>23</v>
      </c>
      <c r="E1543">
        <v>23</v>
      </c>
      <c r="F1543">
        <v>1062</v>
      </c>
      <c r="G1543">
        <f>Consulta2[[#This Row],[DIA_UTIL_CORRENTE]]</f>
        <v>15</v>
      </c>
      <c r="H1543" s="6">
        <f>DAY(Consulta2[[#This Row],[DATA]])</f>
        <v>21</v>
      </c>
      <c r="I1543" s="6">
        <f>MONTH(Consulta2[[#This Row],[DATA]])</f>
        <v>3</v>
      </c>
      <c r="J1543" t="str">
        <f>CONCATENATE(Consulta2[[#This Row],[SAFRA]],Consulta2[[#This Row],[dia]])</f>
        <v>20280321</v>
      </c>
      <c r="K1543">
        <f>Consulta2[[#This Row],[DIA_UTIL_CORRENTE]]</f>
        <v>15</v>
      </c>
    </row>
    <row r="1544" spans="1:11" x14ac:dyDescent="0.25">
      <c r="A1544">
        <v>202803</v>
      </c>
      <c r="B1544">
        <v>16</v>
      </c>
      <c r="C1544" s="148">
        <v>46834</v>
      </c>
      <c r="D1544">
        <v>23</v>
      </c>
      <c r="E1544">
        <v>23</v>
      </c>
      <c r="F1544">
        <v>1063</v>
      </c>
      <c r="G1544">
        <f>Consulta2[[#This Row],[DIA_UTIL_CORRENTE]]</f>
        <v>16</v>
      </c>
      <c r="H1544" s="6">
        <f>DAY(Consulta2[[#This Row],[DATA]])</f>
        <v>22</v>
      </c>
      <c r="I1544" s="6">
        <f>MONTH(Consulta2[[#This Row],[DATA]])</f>
        <v>3</v>
      </c>
      <c r="J1544" t="str">
        <f>CONCATENATE(Consulta2[[#This Row],[SAFRA]],Consulta2[[#This Row],[dia]])</f>
        <v>20280322</v>
      </c>
      <c r="K1544">
        <f>Consulta2[[#This Row],[DIA_UTIL_CORRENTE]]</f>
        <v>16</v>
      </c>
    </row>
    <row r="1545" spans="1:11" x14ac:dyDescent="0.25">
      <c r="A1545">
        <v>202803</v>
      </c>
      <c r="B1545">
        <v>17</v>
      </c>
      <c r="C1545" s="148">
        <v>46835</v>
      </c>
      <c r="D1545">
        <v>23</v>
      </c>
      <c r="E1545">
        <v>23</v>
      </c>
      <c r="F1545">
        <v>1064</v>
      </c>
      <c r="G1545">
        <f>Consulta2[[#This Row],[DIA_UTIL_CORRENTE]]</f>
        <v>17</v>
      </c>
      <c r="H1545" s="6">
        <f>DAY(Consulta2[[#This Row],[DATA]])</f>
        <v>23</v>
      </c>
      <c r="I1545" s="6">
        <f>MONTH(Consulta2[[#This Row],[DATA]])</f>
        <v>3</v>
      </c>
      <c r="J1545" t="str">
        <f>CONCATENATE(Consulta2[[#This Row],[SAFRA]],Consulta2[[#This Row],[dia]])</f>
        <v>20280323</v>
      </c>
      <c r="K1545">
        <f>Consulta2[[#This Row],[DIA_UTIL_CORRENTE]]</f>
        <v>17</v>
      </c>
    </row>
    <row r="1546" spans="1:11" x14ac:dyDescent="0.25">
      <c r="A1546">
        <v>202803</v>
      </c>
      <c r="B1546">
        <v>18</v>
      </c>
      <c r="C1546" s="148">
        <v>46836</v>
      </c>
      <c r="D1546">
        <v>23</v>
      </c>
      <c r="E1546">
        <v>23</v>
      </c>
      <c r="F1546">
        <v>1065</v>
      </c>
      <c r="G1546">
        <f>Consulta2[[#This Row],[DIA_UTIL_CORRENTE]]</f>
        <v>18</v>
      </c>
      <c r="H1546" s="6">
        <f>DAY(Consulta2[[#This Row],[DATA]])</f>
        <v>24</v>
      </c>
      <c r="I1546" s="6">
        <f>MONTH(Consulta2[[#This Row],[DATA]])</f>
        <v>3</v>
      </c>
      <c r="J1546" t="str">
        <f>CONCATENATE(Consulta2[[#This Row],[SAFRA]],Consulta2[[#This Row],[dia]])</f>
        <v>20280324</v>
      </c>
      <c r="K1546">
        <f>Consulta2[[#This Row],[DIA_UTIL_CORRENTE]]</f>
        <v>18</v>
      </c>
    </row>
    <row r="1547" spans="1:11" x14ac:dyDescent="0.25">
      <c r="A1547">
        <v>202803</v>
      </c>
      <c r="B1547">
        <v>18</v>
      </c>
      <c r="C1547" s="148">
        <v>46837</v>
      </c>
      <c r="D1547">
        <v>23</v>
      </c>
      <c r="E1547">
        <v>23</v>
      </c>
      <c r="F1547">
        <v>1065</v>
      </c>
      <c r="G1547">
        <f>Consulta2[[#This Row],[DIA_UTIL_CORRENTE]]</f>
        <v>18</v>
      </c>
      <c r="H1547" s="6">
        <f>DAY(Consulta2[[#This Row],[DATA]])</f>
        <v>25</v>
      </c>
      <c r="I1547" s="6">
        <f>MONTH(Consulta2[[#This Row],[DATA]])</f>
        <v>3</v>
      </c>
      <c r="J1547" t="str">
        <f>CONCATENATE(Consulta2[[#This Row],[SAFRA]],Consulta2[[#This Row],[dia]])</f>
        <v>20280325</v>
      </c>
      <c r="K1547">
        <f>Consulta2[[#This Row],[DIA_UTIL_CORRENTE]]</f>
        <v>18</v>
      </c>
    </row>
    <row r="1548" spans="1:11" x14ac:dyDescent="0.25">
      <c r="A1548">
        <v>202803</v>
      </c>
      <c r="B1548">
        <v>18</v>
      </c>
      <c r="C1548" s="148">
        <v>46838</v>
      </c>
      <c r="D1548">
        <v>23</v>
      </c>
      <c r="E1548">
        <v>23</v>
      </c>
      <c r="F1548">
        <v>1065</v>
      </c>
      <c r="G1548">
        <f>Consulta2[[#This Row],[DIA_UTIL_CORRENTE]]</f>
        <v>18</v>
      </c>
      <c r="H1548" s="6">
        <f>DAY(Consulta2[[#This Row],[DATA]])</f>
        <v>26</v>
      </c>
      <c r="I1548" s="6">
        <f>MONTH(Consulta2[[#This Row],[DATA]])</f>
        <v>3</v>
      </c>
      <c r="J1548" t="str">
        <f>CONCATENATE(Consulta2[[#This Row],[SAFRA]],Consulta2[[#This Row],[dia]])</f>
        <v>20280326</v>
      </c>
      <c r="K1548">
        <f>Consulta2[[#This Row],[DIA_UTIL_CORRENTE]]</f>
        <v>18</v>
      </c>
    </row>
    <row r="1549" spans="1:11" x14ac:dyDescent="0.25">
      <c r="A1549">
        <v>202803</v>
      </c>
      <c r="B1549">
        <v>19</v>
      </c>
      <c r="C1549" s="148">
        <v>46839</v>
      </c>
      <c r="D1549">
        <v>23</v>
      </c>
      <c r="E1549">
        <v>23</v>
      </c>
      <c r="F1549">
        <v>1066</v>
      </c>
      <c r="G1549">
        <f>Consulta2[[#This Row],[DIA_UTIL_CORRENTE]]</f>
        <v>19</v>
      </c>
      <c r="H1549" s="6">
        <f>DAY(Consulta2[[#This Row],[DATA]])</f>
        <v>27</v>
      </c>
      <c r="I1549" s="6">
        <f>MONTH(Consulta2[[#This Row],[DATA]])</f>
        <v>3</v>
      </c>
      <c r="J1549" t="str">
        <f>CONCATENATE(Consulta2[[#This Row],[SAFRA]],Consulta2[[#This Row],[dia]])</f>
        <v>20280327</v>
      </c>
      <c r="K1549">
        <f>Consulta2[[#This Row],[DIA_UTIL_CORRENTE]]</f>
        <v>19</v>
      </c>
    </row>
    <row r="1550" spans="1:11" x14ac:dyDescent="0.25">
      <c r="A1550">
        <v>202803</v>
      </c>
      <c r="B1550">
        <v>20</v>
      </c>
      <c r="C1550" s="148">
        <v>46840</v>
      </c>
      <c r="D1550">
        <v>23</v>
      </c>
      <c r="E1550">
        <v>23</v>
      </c>
      <c r="F1550">
        <v>1067</v>
      </c>
      <c r="G1550">
        <f>Consulta2[[#This Row],[DIA_UTIL_CORRENTE]]</f>
        <v>20</v>
      </c>
      <c r="H1550" s="6">
        <f>DAY(Consulta2[[#This Row],[DATA]])</f>
        <v>28</v>
      </c>
      <c r="I1550" s="6">
        <f>MONTH(Consulta2[[#This Row],[DATA]])</f>
        <v>3</v>
      </c>
      <c r="J1550" t="str">
        <f>CONCATENATE(Consulta2[[#This Row],[SAFRA]],Consulta2[[#This Row],[dia]])</f>
        <v>20280328</v>
      </c>
      <c r="K1550">
        <f>Consulta2[[#This Row],[DIA_UTIL_CORRENTE]]</f>
        <v>20</v>
      </c>
    </row>
    <row r="1551" spans="1:11" x14ac:dyDescent="0.25">
      <c r="A1551">
        <v>202803</v>
      </c>
      <c r="B1551">
        <v>21</v>
      </c>
      <c r="C1551" s="148">
        <v>46841</v>
      </c>
      <c r="D1551">
        <v>23</v>
      </c>
      <c r="E1551">
        <v>23</v>
      </c>
      <c r="F1551">
        <v>1068</v>
      </c>
      <c r="G1551">
        <f>Consulta2[[#This Row],[DIA_UTIL_CORRENTE]]</f>
        <v>21</v>
      </c>
      <c r="H1551" s="6">
        <f>DAY(Consulta2[[#This Row],[DATA]])</f>
        <v>29</v>
      </c>
      <c r="I1551" s="6">
        <f>MONTH(Consulta2[[#This Row],[DATA]])</f>
        <v>3</v>
      </c>
      <c r="J1551" t="str">
        <f>CONCATENATE(Consulta2[[#This Row],[SAFRA]],Consulta2[[#This Row],[dia]])</f>
        <v>20280329</v>
      </c>
      <c r="K1551">
        <f>Consulta2[[#This Row],[DIA_UTIL_CORRENTE]]</f>
        <v>21</v>
      </c>
    </row>
    <row r="1552" spans="1:11" x14ac:dyDescent="0.25">
      <c r="A1552">
        <v>202803</v>
      </c>
      <c r="B1552">
        <v>22</v>
      </c>
      <c r="C1552" s="148">
        <v>46842</v>
      </c>
      <c r="D1552">
        <v>23</v>
      </c>
      <c r="E1552">
        <v>23</v>
      </c>
      <c r="F1552">
        <v>1069</v>
      </c>
      <c r="G1552">
        <f>Consulta2[[#This Row],[DIA_UTIL_CORRENTE]]</f>
        <v>22</v>
      </c>
      <c r="H1552" s="6">
        <f>DAY(Consulta2[[#This Row],[DATA]])</f>
        <v>30</v>
      </c>
      <c r="I1552" s="6">
        <f>MONTH(Consulta2[[#This Row],[DATA]])</f>
        <v>3</v>
      </c>
      <c r="J1552" t="str">
        <f>CONCATENATE(Consulta2[[#This Row],[SAFRA]],Consulta2[[#This Row],[dia]])</f>
        <v>20280330</v>
      </c>
      <c r="K1552">
        <f>Consulta2[[#This Row],[DIA_UTIL_CORRENTE]]</f>
        <v>22</v>
      </c>
    </row>
    <row r="1553" spans="1:11" x14ac:dyDescent="0.25">
      <c r="A1553">
        <v>202803</v>
      </c>
      <c r="B1553">
        <v>23</v>
      </c>
      <c r="C1553" s="148">
        <v>46843</v>
      </c>
      <c r="D1553">
        <v>23</v>
      </c>
      <c r="E1553">
        <v>23</v>
      </c>
      <c r="F1553">
        <v>1070</v>
      </c>
      <c r="G1553">
        <f>Consulta2[[#This Row],[DIA_UTIL_CORRENTE]]</f>
        <v>23</v>
      </c>
      <c r="H1553" s="6">
        <f>DAY(Consulta2[[#This Row],[DATA]])</f>
        <v>31</v>
      </c>
      <c r="I1553" s="6">
        <f>MONTH(Consulta2[[#This Row],[DATA]])</f>
        <v>3</v>
      </c>
      <c r="J1553" t="str">
        <f>CONCATENATE(Consulta2[[#This Row],[SAFRA]],Consulta2[[#This Row],[dia]])</f>
        <v>20280331</v>
      </c>
      <c r="K1553">
        <f>Consulta2[[#This Row],[DIA_UTIL_CORRENTE]]</f>
        <v>23</v>
      </c>
    </row>
    <row r="1554" spans="1:11" x14ac:dyDescent="0.25">
      <c r="A1554">
        <v>202804</v>
      </c>
      <c r="B1554">
        <v>0</v>
      </c>
      <c r="C1554" s="148">
        <v>46844</v>
      </c>
      <c r="D1554">
        <v>18</v>
      </c>
      <c r="E1554">
        <v>18</v>
      </c>
      <c r="F1554">
        <v>1070</v>
      </c>
      <c r="G1554">
        <f>Consulta2[[#This Row],[DIA_UTIL_CORRENTE]]</f>
        <v>0</v>
      </c>
      <c r="H1554" s="6">
        <f>DAY(Consulta2[[#This Row],[DATA]])</f>
        <v>1</v>
      </c>
      <c r="I1554" s="6">
        <f>MONTH(Consulta2[[#This Row],[DATA]])</f>
        <v>4</v>
      </c>
      <c r="J1554" t="str">
        <f>CONCATENATE(Consulta2[[#This Row],[SAFRA]],Consulta2[[#This Row],[dia]])</f>
        <v>2028041</v>
      </c>
      <c r="K1554">
        <f>Consulta2[[#This Row],[DIA_UTIL_CORRENTE]]</f>
        <v>0</v>
      </c>
    </row>
    <row r="1555" spans="1:11" x14ac:dyDescent="0.25">
      <c r="A1555">
        <v>202804</v>
      </c>
      <c r="B1555">
        <v>0</v>
      </c>
      <c r="C1555" s="148">
        <v>46845</v>
      </c>
      <c r="D1555">
        <v>18</v>
      </c>
      <c r="E1555">
        <v>18</v>
      </c>
      <c r="F1555">
        <v>1070</v>
      </c>
      <c r="G1555">
        <f>Consulta2[[#This Row],[DIA_UTIL_CORRENTE]]</f>
        <v>0</v>
      </c>
      <c r="H1555" s="6">
        <f>DAY(Consulta2[[#This Row],[DATA]])</f>
        <v>2</v>
      </c>
      <c r="I1555" s="6">
        <f>MONTH(Consulta2[[#This Row],[DATA]])</f>
        <v>4</v>
      </c>
      <c r="J1555" t="str">
        <f>CONCATENATE(Consulta2[[#This Row],[SAFRA]],Consulta2[[#This Row],[dia]])</f>
        <v>2028042</v>
      </c>
      <c r="K1555">
        <f>Consulta2[[#This Row],[DIA_UTIL_CORRENTE]]</f>
        <v>0</v>
      </c>
    </row>
    <row r="1556" spans="1:11" x14ac:dyDescent="0.25">
      <c r="A1556">
        <v>202804</v>
      </c>
      <c r="B1556">
        <v>1</v>
      </c>
      <c r="C1556" s="148">
        <v>46846</v>
      </c>
      <c r="D1556">
        <v>18</v>
      </c>
      <c r="E1556">
        <v>18</v>
      </c>
      <c r="F1556">
        <v>1071</v>
      </c>
      <c r="G1556">
        <f>Consulta2[[#This Row],[DIA_UTIL_CORRENTE]]</f>
        <v>1</v>
      </c>
      <c r="H1556" s="6">
        <f>DAY(Consulta2[[#This Row],[DATA]])</f>
        <v>3</v>
      </c>
      <c r="I1556" s="6">
        <f>MONTH(Consulta2[[#This Row],[DATA]])</f>
        <v>4</v>
      </c>
      <c r="J1556" t="str">
        <f>CONCATENATE(Consulta2[[#This Row],[SAFRA]],Consulta2[[#This Row],[dia]])</f>
        <v>2028043</v>
      </c>
      <c r="K1556">
        <f>Consulta2[[#This Row],[DIA_UTIL_CORRENTE]]</f>
        <v>1</v>
      </c>
    </row>
    <row r="1557" spans="1:11" x14ac:dyDescent="0.25">
      <c r="A1557">
        <v>202804</v>
      </c>
      <c r="B1557">
        <v>2</v>
      </c>
      <c r="C1557" s="148">
        <v>46847</v>
      </c>
      <c r="D1557">
        <v>18</v>
      </c>
      <c r="E1557">
        <v>18</v>
      </c>
      <c r="F1557">
        <v>1072</v>
      </c>
      <c r="G1557">
        <f>Consulta2[[#This Row],[DIA_UTIL_CORRENTE]]</f>
        <v>2</v>
      </c>
      <c r="H1557" s="6">
        <f>DAY(Consulta2[[#This Row],[DATA]])</f>
        <v>4</v>
      </c>
      <c r="I1557" s="6">
        <f>MONTH(Consulta2[[#This Row],[DATA]])</f>
        <v>4</v>
      </c>
      <c r="J1557" t="str">
        <f>CONCATENATE(Consulta2[[#This Row],[SAFRA]],Consulta2[[#This Row],[dia]])</f>
        <v>2028044</v>
      </c>
      <c r="K1557">
        <f>Consulta2[[#This Row],[DIA_UTIL_CORRENTE]]</f>
        <v>2</v>
      </c>
    </row>
    <row r="1558" spans="1:11" x14ac:dyDescent="0.25">
      <c r="A1558">
        <v>202804</v>
      </c>
      <c r="B1558">
        <v>3</v>
      </c>
      <c r="C1558" s="148">
        <v>46848</v>
      </c>
      <c r="D1558">
        <v>18</v>
      </c>
      <c r="E1558">
        <v>18</v>
      </c>
      <c r="F1558">
        <v>1073</v>
      </c>
      <c r="G1558">
        <f>Consulta2[[#This Row],[DIA_UTIL_CORRENTE]]</f>
        <v>3</v>
      </c>
      <c r="H1558" s="6">
        <f>DAY(Consulta2[[#This Row],[DATA]])</f>
        <v>5</v>
      </c>
      <c r="I1558" s="6">
        <f>MONTH(Consulta2[[#This Row],[DATA]])</f>
        <v>4</v>
      </c>
      <c r="J1558" t="str">
        <f>CONCATENATE(Consulta2[[#This Row],[SAFRA]],Consulta2[[#This Row],[dia]])</f>
        <v>2028045</v>
      </c>
      <c r="K1558">
        <f>Consulta2[[#This Row],[DIA_UTIL_CORRENTE]]</f>
        <v>3</v>
      </c>
    </row>
    <row r="1559" spans="1:11" x14ac:dyDescent="0.25">
      <c r="A1559">
        <v>202804</v>
      </c>
      <c r="B1559">
        <v>4</v>
      </c>
      <c r="C1559" s="148">
        <v>46849</v>
      </c>
      <c r="D1559">
        <v>18</v>
      </c>
      <c r="E1559">
        <v>18</v>
      </c>
      <c r="F1559">
        <v>1074</v>
      </c>
      <c r="G1559">
        <f>Consulta2[[#This Row],[DIA_UTIL_CORRENTE]]</f>
        <v>4</v>
      </c>
      <c r="H1559" s="6">
        <f>DAY(Consulta2[[#This Row],[DATA]])</f>
        <v>6</v>
      </c>
      <c r="I1559" s="6">
        <f>MONTH(Consulta2[[#This Row],[DATA]])</f>
        <v>4</v>
      </c>
      <c r="J1559" t="str">
        <f>CONCATENATE(Consulta2[[#This Row],[SAFRA]],Consulta2[[#This Row],[dia]])</f>
        <v>2028046</v>
      </c>
      <c r="K1559">
        <f>Consulta2[[#This Row],[DIA_UTIL_CORRENTE]]</f>
        <v>4</v>
      </c>
    </row>
    <row r="1560" spans="1:11" x14ac:dyDescent="0.25">
      <c r="A1560">
        <v>202804</v>
      </c>
      <c r="B1560">
        <v>5</v>
      </c>
      <c r="C1560" s="148">
        <v>46850</v>
      </c>
      <c r="D1560">
        <v>18</v>
      </c>
      <c r="E1560">
        <v>18</v>
      </c>
      <c r="F1560">
        <v>1075</v>
      </c>
      <c r="G1560">
        <f>Consulta2[[#This Row],[DIA_UTIL_CORRENTE]]</f>
        <v>5</v>
      </c>
      <c r="H1560" s="6">
        <f>DAY(Consulta2[[#This Row],[DATA]])</f>
        <v>7</v>
      </c>
      <c r="I1560" s="6">
        <f>MONTH(Consulta2[[#This Row],[DATA]])</f>
        <v>4</v>
      </c>
      <c r="J1560" t="str">
        <f>CONCATENATE(Consulta2[[#This Row],[SAFRA]],Consulta2[[#This Row],[dia]])</f>
        <v>2028047</v>
      </c>
      <c r="K1560">
        <f>Consulta2[[#This Row],[DIA_UTIL_CORRENTE]]</f>
        <v>5</v>
      </c>
    </row>
    <row r="1561" spans="1:11" x14ac:dyDescent="0.25">
      <c r="A1561">
        <v>202804</v>
      </c>
      <c r="B1561">
        <v>5</v>
      </c>
      <c r="C1561" s="148">
        <v>46851</v>
      </c>
      <c r="D1561">
        <v>18</v>
      </c>
      <c r="E1561">
        <v>18</v>
      </c>
      <c r="F1561">
        <v>1075</v>
      </c>
      <c r="G1561">
        <f>Consulta2[[#This Row],[DIA_UTIL_CORRENTE]]</f>
        <v>5</v>
      </c>
      <c r="H1561" s="6">
        <f>DAY(Consulta2[[#This Row],[DATA]])</f>
        <v>8</v>
      </c>
      <c r="I1561" s="6">
        <f>MONTH(Consulta2[[#This Row],[DATA]])</f>
        <v>4</v>
      </c>
      <c r="J1561" t="str">
        <f>CONCATENATE(Consulta2[[#This Row],[SAFRA]],Consulta2[[#This Row],[dia]])</f>
        <v>2028048</v>
      </c>
      <c r="K1561">
        <f>Consulta2[[#This Row],[DIA_UTIL_CORRENTE]]</f>
        <v>5</v>
      </c>
    </row>
    <row r="1562" spans="1:11" x14ac:dyDescent="0.25">
      <c r="A1562">
        <v>202804</v>
      </c>
      <c r="B1562">
        <v>5</v>
      </c>
      <c r="C1562" s="148">
        <v>46852</v>
      </c>
      <c r="D1562">
        <v>18</v>
      </c>
      <c r="E1562">
        <v>18</v>
      </c>
      <c r="F1562">
        <v>1075</v>
      </c>
      <c r="G1562">
        <f>Consulta2[[#This Row],[DIA_UTIL_CORRENTE]]</f>
        <v>5</v>
      </c>
      <c r="H1562" s="6">
        <f>DAY(Consulta2[[#This Row],[DATA]])</f>
        <v>9</v>
      </c>
      <c r="I1562" s="6">
        <f>MONTH(Consulta2[[#This Row],[DATA]])</f>
        <v>4</v>
      </c>
      <c r="J1562" t="str">
        <f>CONCATENATE(Consulta2[[#This Row],[SAFRA]],Consulta2[[#This Row],[dia]])</f>
        <v>2028049</v>
      </c>
      <c r="K1562">
        <f>Consulta2[[#This Row],[DIA_UTIL_CORRENTE]]</f>
        <v>5</v>
      </c>
    </row>
    <row r="1563" spans="1:11" x14ac:dyDescent="0.25">
      <c r="A1563">
        <v>202804</v>
      </c>
      <c r="B1563">
        <v>6</v>
      </c>
      <c r="C1563" s="148">
        <v>46853</v>
      </c>
      <c r="D1563">
        <v>18</v>
      </c>
      <c r="E1563">
        <v>18</v>
      </c>
      <c r="F1563">
        <v>1076</v>
      </c>
      <c r="G1563">
        <f>Consulta2[[#This Row],[DIA_UTIL_CORRENTE]]</f>
        <v>6</v>
      </c>
      <c r="H1563" s="6">
        <f>DAY(Consulta2[[#This Row],[DATA]])</f>
        <v>10</v>
      </c>
      <c r="I1563" s="6">
        <f>MONTH(Consulta2[[#This Row],[DATA]])</f>
        <v>4</v>
      </c>
      <c r="J1563" t="str">
        <f>CONCATENATE(Consulta2[[#This Row],[SAFRA]],Consulta2[[#This Row],[dia]])</f>
        <v>20280410</v>
      </c>
      <c r="K1563">
        <f>Consulta2[[#This Row],[DIA_UTIL_CORRENTE]]</f>
        <v>6</v>
      </c>
    </row>
    <row r="1564" spans="1:11" x14ac:dyDescent="0.25">
      <c r="A1564">
        <v>202804</v>
      </c>
      <c r="B1564">
        <v>7</v>
      </c>
      <c r="C1564" s="148">
        <v>46854</v>
      </c>
      <c r="D1564">
        <v>18</v>
      </c>
      <c r="E1564">
        <v>18</v>
      </c>
      <c r="F1564">
        <v>1077</v>
      </c>
      <c r="G1564">
        <f>Consulta2[[#This Row],[DIA_UTIL_CORRENTE]]</f>
        <v>7</v>
      </c>
      <c r="H1564" s="6">
        <f>DAY(Consulta2[[#This Row],[DATA]])</f>
        <v>11</v>
      </c>
      <c r="I1564" s="6">
        <f>MONTH(Consulta2[[#This Row],[DATA]])</f>
        <v>4</v>
      </c>
      <c r="J1564" t="str">
        <f>CONCATENATE(Consulta2[[#This Row],[SAFRA]],Consulta2[[#This Row],[dia]])</f>
        <v>20280411</v>
      </c>
      <c r="K1564">
        <f>Consulta2[[#This Row],[DIA_UTIL_CORRENTE]]</f>
        <v>7</v>
      </c>
    </row>
    <row r="1565" spans="1:11" x14ac:dyDescent="0.25">
      <c r="A1565">
        <v>202804</v>
      </c>
      <c r="B1565">
        <v>8</v>
      </c>
      <c r="C1565" s="148">
        <v>46855</v>
      </c>
      <c r="D1565">
        <v>18</v>
      </c>
      <c r="E1565">
        <v>18</v>
      </c>
      <c r="F1565">
        <v>1078</v>
      </c>
      <c r="G1565">
        <f>Consulta2[[#This Row],[DIA_UTIL_CORRENTE]]</f>
        <v>8</v>
      </c>
      <c r="H1565" s="6">
        <f>DAY(Consulta2[[#This Row],[DATA]])</f>
        <v>12</v>
      </c>
      <c r="I1565" s="6">
        <f>MONTH(Consulta2[[#This Row],[DATA]])</f>
        <v>4</v>
      </c>
      <c r="J1565" t="str">
        <f>CONCATENATE(Consulta2[[#This Row],[SAFRA]],Consulta2[[#This Row],[dia]])</f>
        <v>20280412</v>
      </c>
      <c r="K1565">
        <f>Consulta2[[#This Row],[DIA_UTIL_CORRENTE]]</f>
        <v>8</v>
      </c>
    </row>
    <row r="1566" spans="1:11" x14ac:dyDescent="0.25">
      <c r="A1566">
        <v>202804</v>
      </c>
      <c r="B1566">
        <v>9</v>
      </c>
      <c r="C1566" s="148">
        <v>46856</v>
      </c>
      <c r="D1566">
        <v>18</v>
      </c>
      <c r="E1566">
        <v>18</v>
      </c>
      <c r="F1566">
        <v>1079</v>
      </c>
      <c r="G1566">
        <f>Consulta2[[#This Row],[DIA_UTIL_CORRENTE]]</f>
        <v>9</v>
      </c>
      <c r="H1566" s="6">
        <f>DAY(Consulta2[[#This Row],[DATA]])</f>
        <v>13</v>
      </c>
      <c r="I1566" s="6">
        <f>MONTH(Consulta2[[#This Row],[DATA]])</f>
        <v>4</v>
      </c>
      <c r="J1566" t="str">
        <f>CONCATENATE(Consulta2[[#This Row],[SAFRA]],Consulta2[[#This Row],[dia]])</f>
        <v>20280413</v>
      </c>
      <c r="K1566">
        <f>Consulta2[[#This Row],[DIA_UTIL_CORRENTE]]</f>
        <v>9</v>
      </c>
    </row>
    <row r="1567" spans="1:11" x14ac:dyDescent="0.25">
      <c r="A1567">
        <v>202804</v>
      </c>
      <c r="B1567">
        <v>9</v>
      </c>
      <c r="C1567" s="148">
        <v>46857</v>
      </c>
      <c r="D1567">
        <v>18</v>
      </c>
      <c r="E1567">
        <v>18</v>
      </c>
      <c r="F1567">
        <v>1079</v>
      </c>
      <c r="G1567">
        <f>Consulta2[[#This Row],[DIA_UTIL_CORRENTE]]</f>
        <v>9</v>
      </c>
      <c r="H1567" s="6">
        <f>DAY(Consulta2[[#This Row],[DATA]])</f>
        <v>14</v>
      </c>
      <c r="I1567" s="6">
        <f>MONTH(Consulta2[[#This Row],[DATA]])</f>
        <v>4</v>
      </c>
      <c r="J1567" t="str">
        <f>CONCATENATE(Consulta2[[#This Row],[SAFRA]],Consulta2[[#This Row],[dia]])</f>
        <v>20280414</v>
      </c>
      <c r="K1567">
        <f>Consulta2[[#This Row],[DIA_UTIL_CORRENTE]]</f>
        <v>9</v>
      </c>
    </row>
    <row r="1568" spans="1:11" x14ac:dyDescent="0.25">
      <c r="A1568">
        <v>202804</v>
      </c>
      <c r="B1568">
        <v>9</v>
      </c>
      <c r="C1568" s="148">
        <v>46858</v>
      </c>
      <c r="D1568">
        <v>18</v>
      </c>
      <c r="E1568">
        <v>18</v>
      </c>
      <c r="F1568">
        <v>1079</v>
      </c>
      <c r="G1568">
        <f>Consulta2[[#This Row],[DIA_UTIL_CORRENTE]]</f>
        <v>9</v>
      </c>
      <c r="H1568" s="6">
        <f>DAY(Consulta2[[#This Row],[DATA]])</f>
        <v>15</v>
      </c>
      <c r="I1568" s="6">
        <f>MONTH(Consulta2[[#This Row],[DATA]])</f>
        <v>4</v>
      </c>
      <c r="J1568" t="str">
        <f>CONCATENATE(Consulta2[[#This Row],[SAFRA]],Consulta2[[#This Row],[dia]])</f>
        <v>20280415</v>
      </c>
      <c r="K1568">
        <f>Consulta2[[#This Row],[DIA_UTIL_CORRENTE]]</f>
        <v>9</v>
      </c>
    </row>
    <row r="1569" spans="1:11" x14ac:dyDescent="0.25">
      <c r="A1569">
        <v>202804</v>
      </c>
      <c r="B1569">
        <v>9</v>
      </c>
      <c r="C1569" s="148">
        <v>46859</v>
      </c>
      <c r="D1569">
        <v>18</v>
      </c>
      <c r="E1569">
        <v>18</v>
      </c>
      <c r="F1569">
        <v>1079</v>
      </c>
      <c r="G1569">
        <f>Consulta2[[#This Row],[DIA_UTIL_CORRENTE]]</f>
        <v>9</v>
      </c>
      <c r="H1569" s="6">
        <f>DAY(Consulta2[[#This Row],[DATA]])</f>
        <v>16</v>
      </c>
      <c r="I1569" s="6">
        <f>MONTH(Consulta2[[#This Row],[DATA]])</f>
        <v>4</v>
      </c>
      <c r="J1569" t="str">
        <f>CONCATENATE(Consulta2[[#This Row],[SAFRA]],Consulta2[[#This Row],[dia]])</f>
        <v>20280416</v>
      </c>
      <c r="K1569">
        <f>Consulta2[[#This Row],[DIA_UTIL_CORRENTE]]</f>
        <v>9</v>
      </c>
    </row>
    <row r="1570" spans="1:11" x14ac:dyDescent="0.25">
      <c r="A1570">
        <v>202804</v>
      </c>
      <c r="B1570">
        <v>10</v>
      </c>
      <c r="C1570" s="148">
        <v>46860</v>
      </c>
      <c r="D1570">
        <v>18</v>
      </c>
      <c r="E1570">
        <v>18</v>
      </c>
      <c r="F1570">
        <v>1080</v>
      </c>
      <c r="G1570">
        <f>Consulta2[[#This Row],[DIA_UTIL_CORRENTE]]</f>
        <v>10</v>
      </c>
      <c r="H1570" s="6">
        <f>DAY(Consulta2[[#This Row],[DATA]])</f>
        <v>17</v>
      </c>
      <c r="I1570" s="6">
        <f>MONTH(Consulta2[[#This Row],[DATA]])</f>
        <v>4</v>
      </c>
      <c r="J1570" t="str">
        <f>CONCATENATE(Consulta2[[#This Row],[SAFRA]],Consulta2[[#This Row],[dia]])</f>
        <v>20280417</v>
      </c>
      <c r="K1570">
        <f>Consulta2[[#This Row],[DIA_UTIL_CORRENTE]]</f>
        <v>10</v>
      </c>
    </row>
    <row r="1571" spans="1:11" x14ac:dyDescent="0.25">
      <c r="A1571">
        <v>202804</v>
      </c>
      <c r="B1571">
        <v>11</v>
      </c>
      <c r="C1571" s="148">
        <v>46861</v>
      </c>
      <c r="D1571">
        <v>18</v>
      </c>
      <c r="E1571">
        <v>18</v>
      </c>
      <c r="F1571">
        <v>1081</v>
      </c>
      <c r="G1571">
        <f>Consulta2[[#This Row],[DIA_UTIL_CORRENTE]]</f>
        <v>11</v>
      </c>
      <c r="H1571" s="6">
        <f>DAY(Consulta2[[#This Row],[DATA]])</f>
        <v>18</v>
      </c>
      <c r="I1571" s="6">
        <f>MONTH(Consulta2[[#This Row],[DATA]])</f>
        <v>4</v>
      </c>
      <c r="J1571" t="str">
        <f>CONCATENATE(Consulta2[[#This Row],[SAFRA]],Consulta2[[#This Row],[dia]])</f>
        <v>20280418</v>
      </c>
      <c r="K1571">
        <f>Consulta2[[#This Row],[DIA_UTIL_CORRENTE]]</f>
        <v>11</v>
      </c>
    </row>
    <row r="1572" spans="1:11" x14ac:dyDescent="0.25">
      <c r="A1572">
        <v>202804</v>
      </c>
      <c r="B1572">
        <v>12</v>
      </c>
      <c r="C1572" s="148">
        <v>46862</v>
      </c>
      <c r="D1572">
        <v>18</v>
      </c>
      <c r="E1572">
        <v>18</v>
      </c>
      <c r="F1572">
        <v>1082</v>
      </c>
      <c r="G1572">
        <f>Consulta2[[#This Row],[DIA_UTIL_CORRENTE]]</f>
        <v>12</v>
      </c>
      <c r="H1572" s="6">
        <f>DAY(Consulta2[[#This Row],[DATA]])</f>
        <v>19</v>
      </c>
      <c r="I1572" s="6">
        <f>MONTH(Consulta2[[#This Row],[DATA]])</f>
        <v>4</v>
      </c>
      <c r="J1572" t="str">
        <f>CONCATENATE(Consulta2[[#This Row],[SAFRA]],Consulta2[[#This Row],[dia]])</f>
        <v>20280419</v>
      </c>
      <c r="K1572">
        <f>Consulta2[[#This Row],[DIA_UTIL_CORRENTE]]</f>
        <v>12</v>
      </c>
    </row>
    <row r="1573" spans="1:11" x14ac:dyDescent="0.25">
      <c r="A1573">
        <v>202804</v>
      </c>
      <c r="B1573">
        <v>13</v>
      </c>
      <c r="C1573" s="148">
        <v>46863</v>
      </c>
      <c r="D1573">
        <v>18</v>
      </c>
      <c r="E1573">
        <v>18</v>
      </c>
      <c r="F1573">
        <v>1083</v>
      </c>
      <c r="G1573">
        <f>Consulta2[[#This Row],[DIA_UTIL_CORRENTE]]</f>
        <v>13</v>
      </c>
      <c r="H1573" s="6">
        <f>DAY(Consulta2[[#This Row],[DATA]])</f>
        <v>20</v>
      </c>
      <c r="I1573" s="6">
        <f>MONTH(Consulta2[[#This Row],[DATA]])</f>
        <v>4</v>
      </c>
      <c r="J1573" t="str">
        <f>CONCATENATE(Consulta2[[#This Row],[SAFRA]],Consulta2[[#This Row],[dia]])</f>
        <v>20280420</v>
      </c>
      <c r="K1573">
        <f>Consulta2[[#This Row],[DIA_UTIL_CORRENTE]]</f>
        <v>13</v>
      </c>
    </row>
    <row r="1574" spans="1:11" x14ac:dyDescent="0.25">
      <c r="A1574">
        <v>202804</v>
      </c>
      <c r="B1574">
        <v>13</v>
      </c>
      <c r="C1574" s="148">
        <v>46864</v>
      </c>
      <c r="D1574">
        <v>18</v>
      </c>
      <c r="E1574">
        <v>18</v>
      </c>
      <c r="F1574">
        <v>1083</v>
      </c>
      <c r="G1574">
        <f>Consulta2[[#This Row],[DIA_UTIL_CORRENTE]]</f>
        <v>13</v>
      </c>
      <c r="H1574" s="6">
        <f>DAY(Consulta2[[#This Row],[DATA]])</f>
        <v>21</v>
      </c>
      <c r="I1574" s="6">
        <f>MONTH(Consulta2[[#This Row],[DATA]])</f>
        <v>4</v>
      </c>
      <c r="J1574" t="str">
        <f>CONCATENATE(Consulta2[[#This Row],[SAFRA]],Consulta2[[#This Row],[dia]])</f>
        <v>20280421</v>
      </c>
      <c r="K1574">
        <f>Consulta2[[#This Row],[DIA_UTIL_CORRENTE]]</f>
        <v>13</v>
      </c>
    </row>
    <row r="1575" spans="1:11" x14ac:dyDescent="0.25">
      <c r="A1575">
        <v>202804</v>
      </c>
      <c r="B1575">
        <v>13</v>
      </c>
      <c r="C1575" s="148">
        <v>46865</v>
      </c>
      <c r="D1575">
        <v>18</v>
      </c>
      <c r="E1575">
        <v>18</v>
      </c>
      <c r="F1575">
        <v>1083</v>
      </c>
      <c r="G1575">
        <f>Consulta2[[#This Row],[DIA_UTIL_CORRENTE]]</f>
        <v>13</v>
      </c>
      <c r="H1575" s="6">
        <f>DAY(Consulta2[[#This Row],[DATA]])</f>
        <v>22</v>
      </c>
      <c r="I1575" s="6">
        <f>MONTH(Consulta2[[#This Row],[DATA]])</f>
        <v>4</v>
      </c>
      <c r="J1575" t="str">
        <f>CONCATENATE(Consulta2[[#This Row],[SAFRA]],Consulta2[[#This Row],[dia]])</f>
        <v>20280422</v>
      </c>
      <c r="K1575">
        <f>Consulta2[[#This Row],[DIA_UTIL_CORRENTE]]</f>
        <v>13</v>
      </c>
    </row>
    <row r="1576" spans="1:11" x14ac:dyDescent="0.25">
      <c r="A1576">
        <v>202804</v>
      </c>
      <c r="B1576">
        <v>13</v>
      </c>
      <c r="C1576" s="148">
        <v>46866</v>
      </c>
      <c r="D1576">
        <v>18</v>
      </c>
      <c r="E1576">
        <v>18</v>
      </c>
      <c r="F1576">
        <v>1083</v>
      </c>
      <c r="G1576">
        <f>Consulta2[[#This Row],[DIA_UTIL_CORRENTE]]</f>
        <v>13</v>
      </c>
      <c r="H1576" s="6">
        <f>DAY(Consulta2[[#This Row],[DATA]])</f>
        <v>23</v>
      </c>
      <c r="I1576" s="6">
        <f>MONTH(Consulta2[[#This Row],[DATA]])</f>
        <v>4</v>
      </c>
      <c r="J1576" t="str">
        <f>CONCATENATE(Consulta2[[#This Row],[SAFRA]],Consulta2[[#This Row],[dia]])</f>
        <v>20280423</v>
      </c>
      <c r="K1576">
        <f>Consulta2[[#This Row],[DIA_UTIL_CORRENTE]]</f>
        <v>13</v>
      </c>
    </row>
    <row r="1577" spans="1:11" x14ac:dyDescent="0.25">
      <c r="A1577">
        <v>202804</v>
      </c>
      <c r="B1577">
        <v>14</v>
      </c>
      <c r="C1577" s="148">
        <v>46867</v>
      </c>
      <c r="D1577">
        <v>18</v>
      </c>
      <c r="E1577">
        <v>18</v>
      </c>
      <c r="F1577">
        <v>1084</v>
      </c>
      <c r="G1577">
        <f>Consulta2[[#This Row],[DIA_UTIL_CORRENTE]]</f>
        <v>14</v>
      </c>
      <c r="H1577" s="6">
        <f>DAY(Consulta2[[#This Row],[DATA]])</f>
        <v>24</v>
      </c>
      <c r="I1577" s="6">
        <f>MONTH(Consulta2[[#This Row],[DATA]])</f>
        <v>4</v>
      </c>
      <c r="J1577" t="str">
        <f>CONCATENATE(Consulta2[[#This Row],[SAFRA]],Consulta2[[#This Row],[dia]])</f>
        <v>20280424</v>
      </c>
      <c r="K1577">
        <f>Consulta2[[#This Row],[DIA_UTIL_CORRENTE]]</f>
        <v>14</v>
      </c>
    </row>
    <row r="1578" spans="1:11" x14ac:dyDescent="0.25">
      <c r="A1578">
        <v>202804</v>
      </c>
      <c r="B1578">
        <v>15</v>
      </c>
      <c r="C1578" s="148">
        <v>46868</v>
      </c>
      <c r="D1578">
        <v>18</v>
      </c>
      <c r="E1578">
        <v>18</v>
      </c>
      <c r="F1578">
        <v>1085</v>
      </c>
      <c r="G1578">
        <f>Consulta2[[#This Row],[DIA_UTIL_CORRENTE]]</f>
        <v>15</v>
      </c>
      <c r="H1578" s="6">
        <f>DAY(Consulta2[[#This Row],[DATA]])</f>
        <v>25</v>
      </c>
      <c r="I1578" s="6">
        <f>MONTH(Consulta2[[#This Row],[DATA]])</f>
        <v>4</v>
      </c>
      <c r="J1578" t="str">
        <f>CONCATENATE(Consulta2[[#This Row],[SAFRA]],Consulta2[[#This Row],[dia]])</f>
        <v>20280425</v>
      </c>
      <c r="K1578">
        <f>Consulta2[[#This Row],[DIA_UTIL_CORRENTE]]</f>
        <v>15</v>
      </c>
    </row>
    <row r="1579" spans="1:11" x14ac:dyDescent="0.25">
      <c r="A1579">
        <v>202804</v>
      </c>
      <c r="B1579">
        <v>16</v>
      </c>
      <c r="C1579" s="148">
        <v>46869</v>
      </c>
      <c r="D1579">
        <v>18</v>
      </c>
      <c r="E1579">
        <v>18</v>
      </c>
      <c r="F1579">
        <v>1086</v>
      </c>
      <c r="G1579">
        <f>Consulta2[[#This Row],[DIA_UTIL_CORRENTE]]</f>
        <v>16</v>
      </c>
      <c r="H1579" s="6">
        <f>DAY(Consulta2[[#This Row],[DATA]])</f>
        <v>26</v>
      </c>
      <c r="I1579" s="6">
        <f>MONTH(Consulta2[[#This Row],[DATA]])</f>
        <v>4</v>
      </c>
      <c r="J1579" t="str">
        <f>CONCATENATE(Consulta2[[#This Row],[SAFRA]],Consulta2[[#This Row],[dia]])</f>
        <v>20280426</v>
      </c>
      <c r="K1579">
        <f>Consulta2[[#This Row],[DIA_UTIL_CORRENTE]]</f>
        <v>16</v>
      </c>
    </row>
    <row r="1580" spans="1:11" x14ac:dyDescent="0.25">
      <c r="A1580">
        <v>202804</v>
      </c>
      <c r="B1580">
        <v>17</v>
      </c>
      <c r="C1580" s="148">
        <v>46870</v>
      </c>
      <c r="D1580">
        <v>18</v>
      </c>
      <c r="E1580">
        <v>18</v>
      </c>
      <c r="F1580">
        <v>1087</v>
      </c>
      <c r="G1580">
        <f>Consulta2[[#This Row],[DIA_UTIL_CORRENTE]]</f>
        <v>17</v>
      </c>
      <c r="H1580" s="6">
        <f>DAY(Consulta2[[#This Row],[DATA]])</f>
        <v>27</v>
      </c>
      <c r="I1580" s="6">
        <f>MONTH(Consulta2[[#This Row],[DATA]])</f>
        <v>4</v>
      </c>
      <c r="J1580" t="str">
        <f>CONCATENATE(Consulta2[[#This Row],[SAFRA]],Consulta2[[#This Row],[dia]])</f>
        <v>20280427</v>
      </c>
      <c r="K1580">
        <f>Consulta2[[#This Row],[DIA_UTIL_CORRENTE]]</f>
        <v>17</v>
      </c>
    </row>
    <row r="1581" spans="1:11" x14ac:dyDescent="0.25">
      <c r="A1581">
        <v>202804</v>
      </c>
      <c r="B1581">
        <v>18</v>
      </c>
      <c r="C1581" s="148">
        <v>46871</v>
      </c>
      <c r="D1581">
        <v>18</v>
      </c>
      <c r="E1581">
        <v>18</v>
      </c>
      <c r="F1581">
        <v>1088</v>
      </c>
      <c r="G1581">
        <f>Consulta2[[#This Row],[DIA_UTIL_CORRENTE]]</f>
        <v>18</v>
      </c>
      <c r="H1581" s="6">
        <f>DAY(Consulta2[[#This Row],[DATA]])</f>
        <v>28</v>
      </c>
      <c r="I1581" s="6">
        <f>MONTH(Consulta2[[#This Row],[DATA]])</f>
        <v>4</v>
      </c>
      <c r="J1581" t="str">
        <f>CONCATENATE(Consulta2[[#This Row],[SAFRA]],Consulta2[[#This Row],[dia]])</f>
        <v>20280428</v>
      </c>
      <c r="K1581">
        <f>Consulta2[[#This Row],[DIA_UTIL_CORRENTE]]</f>
        <v>18</v>
      </c>
    </row>
    <row r="1582" spans="1:11" x14ac:dyDescent="0.25">
      <c r="A1582">
        <v>202804</v>
      </c>
      <c r="B1582">
        <v>18</v>
      </c>
      <c r="C1582" s="148">
        <v>46872</v>
      </c>
      <c r="D1582">
        <v>18</v>
      </c>
      <c r="E1582">
        <v>18</v>
      </c>
      <c r="F1582">
        <v>1088</v>
      </c>
      <c r="G1582">
        <f>Consulta2[[#This Row],[DIA_UTIL_CORRENTE]]</f>
        <v>18</v>
      </c>
      <c r="H1582" s="6">
        <f>DAY(Consulta2[[#This Row],[DATA]])</f>
        <v>29</v>
      </c>
      <c r="I1582" s="6">
        <f>MONTH(Consulta2[[#This Row],[DATA]])</f>
        <v>4</v>
      </c>
      <c r="J1582" t="str">
        <f>CONCATENATE(Consulta2[[#This Row],[SAFRA]],Consulta2[[#This Row],[dia]])</f>
        <v>20280429</v>
      </c>
      <c r="K1582">
        <f>Consulta2[[#This Row],[DIA_UTIL_CORRENTE]]</f>
        <v>18</v>
      </c>
    </row>
    <row r="1583" spans="1:11" x14ac:dyDescent="0.25">
      <c r="A1583">
        <v>202804</v>
      </c>
      <c r="B1583">
        <v>18</v>
      </c>
      <c r="C1583" s="148">
        <v>46873</v>
      </c>
      <c r="D1583">
        <v>18</v>
      </c>
      <c r="E1583">
        <v>18</v>
      </c>
      <c r="F1583">
        <v>1088</v>
      </c>
      <c r="G1583">
        <f>Consulta2[[#This Row],[DIA_UTIL_CORRENTE]]</f>
        <v>18</v>
      </c>
      <c r="H1583" s="6">
        <f>DAY(Consulta2[[#This Row],[DATA]])</f>
        <v>30</v>
      </c>
      <c r="I1583" s="6">
        <f>MONTH(Consulta2[[#This Row],[DATA]])</f>
        <v>4</v>
      </c>
      <c r="J1583" t="str">
        <f>CONCATENATE(Consulta2[[#This Row],[SAFRA]],Consulta2[[#This Row],[dia]])</f>
        <v>20280430</v>
      </c>
      <c r="K1583">
        <f>Consulta2[[#This Row],[DIA_UTIL_CORRENTE]]</f>
        <v>18</v>
      </c>
    </row>
    <row r="1584" spans="1:11" x14ac:dyDescent="0.25">
      <c r="A1584">
        <v>202805</v>
      </c>
      <c r="B1584">
        <v>0</v>
      </c>
      <c r="C1584" s="148">
        <v>46874</v>
      </c>
      <c r="D1584">
        <v>22</v>
      </c>
      <c r="E1584">
        <v>22</v>
      </c>
      <c r="F1584">
        <v>1088</v>
      </c>
      <c r="G1584">
        <f>Consulta2[[#This Row],[DIA_UTIL_CORRENTE]]</f>
        <v>0</v>
      </c>
      <c r="H1584" s="6">
        <f>DAY(Consulta2[[#This Row],[DATA]])</f>
        <v>1</v>
      </c>
      <c r="I1584" s="6">
        <f>MONTH(Consulta2[[#This Row],[DATA]])</f>
        <v>5</v>
      </c>
      <c r="J1584" t="str">
        <f>CONCATENATE(Consulta2[[#This Row],[SAFRA]],Consulta2[[#This Row],[dia]])</f>
        <v>2028051</v>
      </c>
      <c r="K1584">
        <f>Consulta2[[#This Row],[DIA_UTIL_CORRENTE]]</f>
        <v>0</v>
      </c>
    </row>
    <row r="1585" spans="1:11" x14ac:dyDescent="0.25">
      <c r="A1585">
        <v>202805</v>
      </c>
      <c r="B1585">
        <v>1</v>
      </c>
      <c r="C1585" s="148">
        <v>46875</v>
      </c>
      <c r="D1585">
        <v>22</v>
      </c>
      <c r="E1585">
        <v>22</v>
      </c>
      <c r="F1585">
        <v>1089</v>
      </c>
      <c r="G1585">
        <f>Consulta2[[#This Row],[DIA_UTIL_CORRENTE]]</f>
        <v>1</v>
      </c>
      <c r="H1585" s="6">
        <f>DAY(Consulta2[[#This Row],[DATA]])</f>
        <v>2</v>
      </c>
      <c r="I1585" s="6">
        <f>MONTH(Consulta2[[#This Row],[DATA]])</f>
        <v>5</v>
      </c>
      <c r="J1585" t="str">
        <f>CONCATENATE(Consulta2[[#This Row],[SAFRA]],Consulta2[[#This Row],[dia]])</f>
        <v>2028052</v>
      </c>
      <c r="K1585">
        <f>Consulta2[[#This Row],[DIA_UTIL_CORRENTE]]</f>
        <v>1</v>
      </c>
    </row>
    <row r="1586" spans="1:11" x14ac:dyDescent="0.25">
      <c r="A1586">
        <v>202805</v>
      </c>
      <c r="B1586">
        <v>2</v>
      </c>
      <c r="C1586" s="148">
        <v>46876</v>
      </c>
      <c r="D1586">
        <v>22</v>
      </c>
      <c r="E1586">
        <v>22</v>
      </c>
      <c r="F1586">
        <v>1090</v>
      </c>
      <c r="G1586">
        <f>Consulta2[[#This Row],[DIA_UTIL_CORRENTE]]</f>
        <v>2</v>
      </c>
      <c r="H1586" s="6">
        <f>DAY(Consulta2[[#This Row],[DATA]])</f>
        <v>3</v>
      </c>
      <c r="I1586" s="6">
        <f>MONTH(Consulta2[[#This Row],[DATA]])</f>
        <v>5</v>
      </c>
      <c r="J1586" t="str">
        <f>CONCATENATE(Consulta2[[#This Row],[SAFRA]],Consulta2[[#This Row],[dia]])</f>
        <v>2028053</v>
      </c>
      <c r="K1586">
        <f>Consulta2[[#This Row],[DIA_UTIL_CORRENTE]]</f>
        <v>2</v>
      </c>
    </row>
    <row r="1587" spans="1:11" x14ac:dyDescent="0.25">
      <c r="A1587">
        <v>202805</v>
      </c>
      <c r="B1587">
        <v>3</v>
      </c>
      <c r="C1587" s="148">
        <v>46877</v>
      </c>
      <c r="D1587">
        <v>22</v>
      </c>
      <c r="E1587">
        <v>22</v>
      </c>
      <c r="F1587">
        <v>1091</v>
      </c>
      <c r="G1587">
        <f>Consulta2[[#This Row],[DIA_UTIL_CORRENTE]]</f>
        <v>3</v>
      </c>
      <c r="H1587" s="6">
        <f>DAY(Consulta2[[#This Row],[DATA]])</f>
        <v>4</v>
      </c>
      <c r="I1587" s="6">
        <f>MONTH(Consulta2[[#This Row],[DATA]])</f>
        <v>5</v>
      </c>
      <c r="J1587" t="str">
        <f>CONCATENATE(Consulta2[[#This Row],[SAFRA]],Consulta2[[#This Row],[dia]])</f>
        <v>2028054</v>
      </c>
      <c r="K1587">
        <f>Consulta2[[#This Row],[DIA_UTIL_CORRENTE]]</f>
        <v>3</v>
      </c>
    </row>
    <row r="1588" spans="1:11" x14ac:dyDescent="0.25">
      <c r="A1588">
        <v>202805</v>
      </c>
      <c r="B1588">
        <v>4</v>
      </c>
      <c r="C1588" s="148">
        <v>46878</v>
      </c>
      <c r="D1588">
        <v>22</v>
      </c>
      <c r="E1588">
        <v>22</v>
      </c>
      <c r="F1588">
        <v>1092</v>
      </c>
      <c r="G1588">
        <f>Consulta2[[#This Row],[DIA_UTIL_CORRENTE]]</f>
        <v>4</v>
      </c>
      <c r="H1588" s="6">
        <f>DAY(Consulta2[[#This Row],[DATA]])</f>
        <v>5</v>
      </c>
      <c r="I1588" s="6">
        <f>MONTH(Consulta2[[#This Row],[DATA]])</f>
        <v>5</v>
      </c>
      <c r="J1588" t="str">
        <f>CONCATENATE(Consulta2[[#This Row],[SAFRA]],Consulta2[[#This Row],[dia]])</f>
        <v>2028055</v>
      </c>
      <c r="K1588">
        <f>Consulta2[[#This Row],[DIA_UTIL_CORRENTE]]</f>
        <v>4</v>
      </c>
    </row>
    <row r="1589" spans="1:11" x14ac:dyDescent="0.25">
      <c r="A1589">
        <v>202805</v>
      </c>
      <c r="B1589">
        <v>4</v>
      </c>
      <c r="C1589" s="148">
        <v>46879</v>
      </c>
      <c r="D1589">
        <v>22</v>
      </c>
      <c r="E1589">
        <v>22</v>
      </c>
      <c r="F1589">
        <v>1092</v>
      </c>
      <c r="G1589">
        <f>Consulta2[[#This Row],[DIA_UTIL_CORRENTE]]</f>
        <v>4</v>
      </c>
      <c r="H1589" s="6">
        <f>DAY(Consulta2[[#This Row],[DATA]])</f>
        <v>6</v>
      </c>
      <c r="I1589" s="6">
        <f>MONTH(Consulta2[[#This Row],[DATA]])</f>
        <v>5</v>
      </c>
      <c r="J1589" t="str">
        <f>CONCATENATE(Consulta2[[#This Row],[SAFRA]],Consulta2[[#This Row],[dia]])</f>
        <v>2028056</v>
      </c>
      <c r="K1589">
        <f>Consulta2[[#This Row],[DIA_UTIL_CORRENTE]]</f>
        <v>4</v>
      </c>
    </row>
    <row r="1590" spans="1:11" x14ac:dyDescent="0.25">
      <c r="A1590">
        <v>202805</v>
      </c>
      <c r="B1590">
        <v>4</v>
      </c>
      <c r="C1590" s="148">
        <v>46880</v>
      </c>
      <c r="D1590">
        <v>22</v>
      </c>
      <c r="E1590">
        <v>22</v>
      </c>
      <c r="F1590">
        <v>1092</v>
      </c>
      <c r="G1590">
        <f>Consulta2[[#This Row],[DIA_UTIL_CORRENTE]]</f>
        <v>4</v>
      </c>
      <c r="H1590" s="6">
        <f>DAY(Consulta2[[#This Row],[DATA]])</f>
        <v>7</v>
      </c>
      <c r="I1590" s="6">
        <f>MONTH(Consulta2[[#This Row],[DATA]])</f>
        <v>5</v>
      </c>
      <c r="J1590" t="str">
        <f>CONCATENATE(Consulta2[[#This Row],[SAFRA]],Consulta2[[#This Row],[dia]])</f>
        <v>2028057</v>
      </c>
      <c r="K1590">
        <f>Consulta2[[#This Row],[DIA_UTIL_CORRENTE]]</f>
        <v>4</v>
      </c>
    </row>
    <row r="1591" spans="1:11" x14ac:dyDescent="0.25">
      <c r="A1591">
        <v>202805</v>
      </c>
      <c r="B1591">
        <v>5</v>
      </c>
      <c r="C1591" s="148">
        <v>46881</v>
      </c>
      <c r="D1591">
        <v>22</v>
      </c>
      <c r="E1591">
        <v>22</v>
      </c>
      <c r="F1591">
        <v>1093</v>
      </c>
      <c r="G1591">
        <f>Consulta2[[#This Row],[DIA_UTIL_CORRENTE]]</f>
        <v>5</v>
      </c>
      <c r="H1591" s="6">
        <f>DAY(Consulta2[[#This Row],[DATA]])</f>
        <v>8</v>
      </c>
      <c r="I1591" s="6">
        <f>MONTH(Consulta2[[#This Row],[DATA]])</f>
        <v>5</v>
      </c>
      <c r="J1591" t="str">
        <f>CONCATENATE(Consulta2[[#This Row],[SAFRA]],Consulta2[[#This Row],[dia]])</f>
        <v>2028058</v>
      </c>
      <c r="K1591">
        <f>Consulta2[[#This Row],[DIA_UTIL_CORRENTE]]</f>
        <v>5</v>
      </c>
    </row>
    <row r="1592" spans="1:11" x14ac:dyDescent="0.25">
      <c r="A1592">
        <v>202805</v>
      </c>
      <c r="B1592">
        <v>6</v>
      </c>
      <c r="C1592" s="148">
        <v>46882</v>
      </c>
      <c r="D1592">
        <v>22</v>
      </c>
      <c r="E1592">
        <v>22</v>
      </c>
      <c r="F1592">
        <v>1094</v>
      </c>
      <c r="G1592">
        <f>Consulta2[[#This Row],[DIA_UTIL_CORRENTE]]</f>
        <v>6</v>
      </c>
      <c r="H1592" s="6">
        <f>DAY(Consulta2[[#This Row],[DATA]])</f>
        <v>9</v>
      </c>
      <c r="I1592" s="6">
        <f>MONTH(Consulta2[[#This Row],[DATA]])</f>
        <v>5</v>
      </c>
      <c r="J1592" t="str">
        <f>CONCATENATE(Consulta2[[#This Row],[SAFRA]],Consulta2[[#This Row],[dia]])</f>
        <v>2028059</v>
      </c>
      <c r="K1592">
        <f>Consulta2[[#This Row],[DIA_UTIL_CORRENTE]]</f>
        <v>6</v>
      </c>
    </row>
    <row r="1593" spans="1:11" x14ac:dyDescent="0.25">
      <c r="A1593">
        <v>202805</v>
      </c>
      <c r="B1593">
        <v>7</v>
      </c>
      <c r="C1593" s="148">
        <v>46883</v>
      </c>
      <c r="D1593">
        <v>22</v>
      </c>
      <c r="E1593">
        <v>22</v>
      </c>
      <c r="F1593">
        <v>1095</v>
      </c>
      <c r="G1593">
        <f>Consulta2[[#This Row],[DIA_UTIL_CORRENTE]]</f>
        <v>7</v>
      </c>
      <c r="H1593" s="6">
        <f>DAY(Consulta2[[#This Row],[DATA]])</f>
        <v>10</v>
      </c>
      <c r="I1593" s="6">
        <f>MONTH(Consulta2[[#This Row],[DATA]])</f>
        <v>5</v>
      </c>
      <c r="J1593" t="str">
        <f>CONCATENATE(Consulta2[[#This Row],[SAFRA]],Consulta2[[#This Row],[dia]])</f>
        <v>20280510</v>
      </c>
      <c r="K1593">
        <f>Consulta2[[#This Row],[DIA_UTIL_CORRENTE]]</f>
        <v>7</v>
      </c>
    </row>
    <row r="1594" spans="1:11" x14ac:dyDescent="0.25">
      <c r="A1594">
        <v>202805</v>
      </c>
      <c r="B1594">
        <v>8</v>
      </c>
      <c r="C1594" s="148">
        <v>46884</v>
      </c>
      <c r="D1594">
        <v>22</v>
      </c>
      <c r="E1594">
        <v>22</v>
      </c>
      <c r="F1594">
        <v>1096</v>
      </c>
      <c r="G1594">
        <f>Consulta2[[#This Row],[DIA_UTIL_CORRENTE]]</f>
        <v>8</v>
      </c>
      <c r="H1594" s="6">
        <f>DAY(Consulta2[[#This Row],[DATA]])</f>
        <v>11</v>
      </c>
      <c r="I1594" s="6">
        <f>MONTH(Consulta2[[#This Row],[DATA]])</f>
        <v>5</v>
      </c>
      <c r="J1594" t="str">
        <f>CONCATENATE(Consulta2[[#This Row],[SAFRA]],Consulta2[[#This Row],[dia]])</f>
        <v>20280511</v>
      </c>
      <c r="K1594">
        <f>Consulta2[[#This Row],[DIA_UTIL_CORRENTE]]</f>
        <v>8</v>
      </c>
    </row>
    <row r="1595" spans="1:11" x14ac:dyDescent="0.25">
      <c r="A1595">
        <v>202805</v>
      </c>
      <c r="B1595">
        <v>9</v>
      </c>
      <c r="C1595" s="148">
        <v>46885</v>
      </c>
      <c r="D1595">
        <v>22</v>
      </c>
      <c r="E1595">
        <v>22</v>
      </c>
      <c r="F1595">
        <v>1097</v>
      </c>
      <c r="G1595">
        <f>Consulta2[[#This Row],[DIA_UTIL_CORRENTE]]</f>
        <v>9</v>
      </c>
      <c r="H1595" s="6">
        <f>DAY(Consulta2[[#This Row],[DATA]])</f>
        <v>12</v>
      </c>
      <c r="I1595" s="6">
        <f>MONTH(Consulta2[[#This Row],[DATA]])</f>
        <v>5</v>
      </c>
      <c r="J1595" t="str">
        <f>CONCATENATE(Consulta2[[#This Row],[SAFRA]],Consulta2[[#This Row],[dia]])</f>
        <v>20280512</v>
      </c>
      <c r="K1595">
        <f>Consulta2[[#This Row],[DIA_UTIL_CORRENTE]]</f>
        <v>9</v>
      </c>
    </row>
    <row r="1596" spans="1:11" x14ac:dyDescent="0.25">
      <c r="A1596">
        <v>202805</v>
      </c>
      <c r="B1596">
        <v>9</v>
      </c>
      <c r="C1596" s="148">
        <v>46886</v>
      </c>
      <c r="D1596">
        <v>22</v>
      </c>
      <c r="E1596">
        <v>22</v>
      </c>
      <c r="F1596">
        <v>1097</v>
      </c>
      <c r="G1596">
        <f>Consulta2[[#This Row],[DIA_UTIL_CORRENTE]]</f>
        <v>9</v>
      </c>
      <c r="H1596" s="6">
        <f>DAY(Consulta2[[#This Row],[DATA]])</f>
        <v>13</v>
      </c>
      <c r="I1596" s="6">
        <f>MONTH(Consulta2[[#This Row],[DATA]])</f>
        <v>5</v>
      </c>
      <c r="J1596" t="str">
        <f>CONCATENATE(Consulta2[[#This Row],[SAFRA]],Consulta2[[#This Row],[dia]])</f>
        <v>20280513</v>
      </c>
      <c r="K1596">
        <f>Consulta2[[#This Row],[DIA_UTIL_CORRENTE]]</f>
        <v>9</v>
      </c>
    </row>
    <row r="1597" spans="1:11" x14ac:dyDescent="0.25">
      <c r="A1597">
        <v>202805</v>
      </c>
      <c r="B1597">
        <v>9</v>
      </c>
      <c r="C1597" s="148">
        <v>46887</v>
      </c>
      <c r="D1597">
        <v>22</v>
      </c>
      <c r="E1597">
        <v>22</v>
      </c>
      <c r="F1597">
        <v>1097</v>
      </c>
      <c r="G1597">
        <f>Consulta2[[#This Row],[DIA_UTIL_CORRENTE]]</f>
        <v>9</v>
      </c>
      <c r="H1597" s="6">
        <f>DAY(Consulta2[[#This Row],[DATA]])</f>
        <v>14</v>
      </c>
      <c r="I1597" s="6">
        <f>MONTH(Consulta2[[#This Row],[DATA]])</f>
        <v>5</v>
      </c>
      <c r="J1597" t="str">
        <f>CONCATENATE(Consulta2[[#This Row],[SAFRA]],Consulta2[[#This Row],[dia]])</f>
        <v>20280514</v>
      </c>
      <c r="K1597">
        <f>Consulta2[[#This Row],[DIA_UTIL_CORRENTE]]</f>
        <v>9</v>
      </c>
    </row>
    <row r="1598" spans="1:11" x14ac:dyDescent="0.25">
      <c r="A1598">
        <v>202805</v>
      </c>
      <c r="B1598">
        <v>10</v>
      </c>
      <c r="C1598" s="148">
        <v>46888</v>
      </c>
      <c r="D1598">
        <v>22</v>
      </c>
      <c r="E1598">
        <v>22</v>
      </c>
      <c r="F1598">
        <v>1098</v>
      </c>
      <c r="G1598">
        <f>Consulta2[[#This Row],[DIA_UTIL_CORRENTE]]</f>
        <v>10</v>
      </c>
      <c r="H1598" s="6">
        <f>DAY(Consulta2[[#This Row],[DATA]])</f>
        <v>15</v>
      </c>
      <c r="I1598" s="6">
        <f>MONTH(Consulta2[[#This Row],[DATA]])</f>
        <v>5</v>
      </c>
      <c r="J1598" t="str">
        <f>CONCATENATE(Consulta2[[#This Row],[SAFRA]],Consulta2[[#This Row],[dia]])</f>
        <v>20280515</v>
      </c>
      <c r="K1598">
        <f>Consulta2[[#This Row],[DIA_UTIL_CORRENTE]]</f>
        <v>10</v>
      </c>
    </row>
    <row r="1599" spans="1:11" x14ac:dyDescent="0.25">
      <c r="A1599">
        <v>202805</v>
      </c>
      <c r="B1599">
        <v>11</v>
      </c>
      <c r="C1599" s="148">
        <v>46889</v>
      </c>
      <c r="D1599">
        <v>22</v>
      </c>
      <c r="E1599">
        <v>22</v>
      </c>
      <c r="F1599">
        <v>1099</v>
      </c>
      <c r="G1599">
        <f>Consulta2[[#This Row],[DIA_UTIL_CORRENTE]]</f>
        <v>11</v>
      </c>
      <c r="H1599" s="6">
        <f>DAY(Consulta2[[#This Row],[DATA]])</f>
        <v>16</v>
      </c>
      <c r="I1599" s="6">
        <f>MONTH(Consulta2[[#This Row],[DATA]])</f>
        <v>5</v>
      </c>
      <c r="J1599" t="str">
        <f>CONCATENATE(Consulta2[[#This Row],[SAFRA]],Consulta2[[#This Row],[dia]])</f>
        <v>20280516</v>
      </c>
      <c r="K1599">
        <f>Consulta2[[#This Row],[DIA_UTIL_CORRENTE]]</f>
        <v>11</v>
      </c>
    </row>
    <row r="1600" spans="1:11" x14ac:dyDescent="0.25">
      <c r="A1600">
        <v>202805</v>
      </c>
      <c r="B1600">
        <v>12</v>
      </c>
      <c r="C1600" s="148">
        <v>46890</v>
      </c>
      <c r="D1600">
        <v>22</v>
      </c>
      <c r="E1600">
        <v>22</v>
      </c>
      <c r="F1600">
        <v>1100</v>
      </c>
      <c r="G1600">
        <f>Consulta2[[#This Row],[DIA_UTIL_CORRENTE]]</f>
        <v>12</v>
      </c>
      <c r="H1600" s="6">
        <f>DAY(Consulta2[[#This Row],[DATA]])</f>
        <v>17</v>
      </c>
      <c r="I1600" s="6">
        <f>MONTH(Consulta2[[#This Row],[DATA]])</f>
        <v>5</v>
      </c>
      <c r="J1600" t="str">
        <f>CONCATENATE(Consulta2[[#This Row],[SAFRA]],Consulta2[[#This Row],[dia]])</f>
        <v>20280517</v>
      </c>
      <c r="K1600">
        <f>Consulta2[[#This Row],[DIA_UTIL_CORRENTE]]</f>
        <v>12</v>
      </c>
    </row>
    <row r="1601" spans="1:11" x14ac:dyDescent="0.25">
      <c r="A1601">
        <v>202805</v>
      </c>
      <c r="B1601">
        <v>13</v>
      </c>
      <c r="C1601" s="148">
        <v>46891</v>
      </c>
      <c r="D1601">
        <v>22</v>
      </c>
      <c r="E1601">
        <v>22</v>
      </c>
      <c r="F1601">
        <v>1101</v>
      </c>
      <c r="G1601">
        <f>Consulta2[[#This Row],[DIA_UTIL_CORRENTE]]</f>
        <v>13</v>
      </c>
      <c r="H1601" s="6">
        <f>DAY(Consulta2[[#This Row],[DATA]])</f>
        <v>18</v>
      </c>
      <c r="I1601" s="6">
        <f>MONTH(Consulta2[[#This Row],[DATA]])</f>
        <v>5</v>
      </c>
      <c r="J1601" t="str">
        <f>CONCATENATE(Consulta2[[#This Row],[SAFRA]],Consulta2[[#This Row],[dia]])</f>
        <v>20280518</v>
      </c>
      <c r="K1601">
        <f>Consulta2[[#This Row],[DIA_UTIL_CORRENTE]]</f>
        <v>13</v>
      </c>
    </row>
    <row r="1602" spans="1:11" x14ac:dyDescent="0.25">
      <c r="A1602">
        <v>202805</v>
      </c>
      <c r="B1602">
        <v>14</v>
      </c>
      <c r="C1602" s="148">
        <v>46892</v>
      </c>
      <c r="D1602">
        <v>22</v>
      </c>
      <c r="E1602">
        <v>22</v>
      </c>
      <c r="F1602">
        <v>1102</v>
      </c>
      <c r="G1602">
        <f>Consulta2[[#This Row],[DIA_UTIL_CORRENTE]]</f>
        <v>14</v>
      </c>
      <c r="H1602" s="6">
        <f>DAY(Consulta2[[#This Row],[DATA]])</f>
        <v>19</v>
      </c>
      <c r="I1602" s="6">
        <f>MONTH(Consulta2[[#This Row],[DATA]])</f>
        <v>5</v>
      </c>
      <c r="J1602" t="str">
        <f>CONCATENATE(Consulta2[[#This Row],[SAFRA]],Consulta2[[#This Row],[dia]])</f>
        <v>20280519</v>
      </c>
      <c r="K1602">
        <f>Consulta2[[#This Row],[DIA_UTIL_CORRENTE]]</f>
        <v>14</v>
      </c>
    </row>
    <row r="1603" spans="1:11" x14ac:dyDescent="0.25">
      <c r="A1603">
        <v>202805</v>
      </c>
      <c r="B1603">
        <v>14</v>
      </c>
      <c r="C1603" s="148">
        <v>46893</v>
      </c>
      <c r="D1603">
        <v>22</v>
      </c>
      <c r="E1603">
        <v>22</v>
      </c>
      <c r="F1603">
        <v>1102</v>
      </c>
      <c r="G1603">
        <f>Consulta2[[#This Row],[DIA_UTIL_CORRENTE]]</f>
        <v>14</v>
      </c>
      <c r="H1603" s="6">
        <f>DAY(Consulta2[[#This Row],[DATA]])</f>
        <v>20</v>
      </c>
      <c r="I1603" s="6">
        <f>MONTH(Consulta2[[#This Row],[DATA]])</f>
        <v>5</v>
      </c>
      <c r="J1603" t="str">
        <f>CONCATENATE(Consulta2[[#This Row],[SAFRA]],Consulta2[[#This Row],[dia]])</f>
        <v>20280520</v>
      </c>
      <c r="K1603">
        <f>Consulta2[[#This Row],[DIA_UTIL_CORRENTE]]</f>
        <v>14</v>
      </c>
    </row>
    <row r="1604" spans="1:11" x14ac:dyDescent="0.25">
      <c r="A1604">
        <v>202805</v>
      </c>
      <c r="B1604">
        <v>14</v>
      </c>
      <c r="C1604" s="148">
        <v>46894</v>
      </c>
      <c r="D1604">
        <v>22</v>
      </c>
      <c r="E1604">
        <v>22</v>
      </c>
      <c r="F1604">
        <v>1102</v>
      </c>
      <c r="G1604">
        <f>Consulta2[[#This Row],[DIA_UTIL_CORRENTE]]</f>
        <v>14</v>
      </c>
      <c r="H1604" s="6">
        <f>DAY(Consulta2[[#This Row],[DATA]])</f>
        <v>21</v>
      </c>
      <c r="I1604" s="6">
        <f>MONTH(Consulta2[[#This Row],[DATA]])</f>
        <v>5</v>
      </c>
      <c r="J1604" t="str">
        <f>CONCATENATE(Consulta2[[#This Row],[SAFRA]],Consulta2[[#This Row],[dia]])</f>
        <v>20280521</v>
      </c>
      <c r="K1604">
        <f>Consulta2[[#This Row],[DIA_UTIL_CORRENTE]]</f>
        <v>14</v>
      </c>
    </row>
    <row r="1605" spans="1:11" x14ac:dyDescent="0.25">
      <c r="A1605">
        <v>202805</v>
      </c>
      <c r="B1605">
        <v>15</v>
      </c>
      <c r="C1605" s="148">
        <v>46895</v>
      </c>
      <c r="D1605">
        <v>22</v>
      </c>
      <c r="E1605">
        <v>22</v>
      </c>
      <c r="F1605">
        <v>1103</v>
      </c>
      <c r="G1605">
        <f>Consulta2[[#This Row],[DIA_UTIL_CORRENTE]]</f>
        <v>15</v>
      </c>
      <c r="H1605" s="6">
        <f>DAY(Consulta2[[#This Row],[DATA]])</f>
        <v>22</v>
      </c>
      <c r="I1605" s="6">
        <f>MONTH(Consulta2[[#This Row],[DATA]])</f>
        <v>5</v>
      </c>
      <c r="J1605" t="str">
        <f>CONCATENATE(Consulta2[[#This Row],[SAFRA]],Consulta2[[#This Row],[dia]])</f>
        <v>20280522</v>
      </c>
      <c r="K1605">
        <f>Consulta2[[#This Row],[DIA_UTIL_CORRENTE]]</f>
        <v>15</v>
      </c>
    </row>
    <row r="1606" spans="1:11" x14ac:dyDescent="0.25">
      <c r="A1606">
        <v>202805</v>
      </c>
      <c r="B1606">
        <v>16</v>
      </c>
      <c r="C1606" s="148">
        <v>46896</v>
      </c>
      <c r="D1606">
        <v>22</v>
      </c>
      <c r="E1606">
        <v>22</v>
      </c>
      <c r="F1606">
        <v>1104</v>
      </c>
      <c r="G1606">
        <f>Consulta2[[#This Row],[DIA_UTIL_CORRENTE]]</f>
        <v>16</v>
      </c>
      <c r="H1606" s="6">
        <f>DAY(Consulta2[[#This Row],[DATA]])</f>
        <v>23</v>
      </c>
      <c r="I1606" s="6">
        <f>MONTH(Consulta2[[#This Row],[DATA]])</f>
        <v>5</v>
      </c>
      <c r="J1606" t="str">
        <f>CONCATENATE(Consulta2[[#This Row],[SAFRA]],Consulta2[[#This Row],[dia]])</f>
        <v>20280523</v>
      </c>
      <c r="K1606">
        <f>Consulta2[[#This Row],[DIA_UTIL_CORRENTE]]</f>
        <v>16</v>
      </c>
    </row>
    <row r="1607" spans="1:11" x14ac:dyDescent="0.25">
      <c r="A1607">
        <v>202805</v>
      </c>
      <c r="B1607">
        <v>17</v>
      </c>
      <c r="C1607" s="148">
        <v>46897</v>
      </c>
      <c r="D1607">
        <v>22</v>
      </c>
      <c r="E1607">
        <v>22</v>
      </c>
      <c r="F1607">
        <v>1105</v>
      </c>
      <c r="G1607">
        <f>Consulta2[[#This Row],[DIA_UTIL_CORRENTE]]</f>
        <v>17</v>
      </c>
      <c r="H1607" s="6">
        <f>DAY(Consulta2[[#This Row],[DATA]])</f>
        <v>24</v>
      </c>
      <c r="I1607" s="6">
        <f>MONTH(Consulta2[[#This Row],[DATA]])</f>
        <v>5</v>
      </c>
      <c r="J1607" t="str">
        <f>CONCATENATE(Consulta2[[#This Row],[SAFRA]],Consulta2[[#This Row],[dia]])</f>
        <v>20280524</v>
      </c>
      <c r="K1607">
        <f>Consulta2[[#This Row],[DIA_UTIL_CORRENTE]]</f>
        <v>17</v>
      </c>
    </row>
    <row r="1608" spans="1:11" x14ac:dyDescent="0.25">
      <c r="A1608">
        <v>202805</v>
      </c>
      <c r="B1608">
        <v>18</v>
      </c>
      <c r="C1608" s="148">
        <v>46898</v>
      </c>
      <c r="D1608">
        <v>22</v>
      </c>
      <c r="E1608">
        <v>22</v>
      </c>
      <c r="F1608">
        <v>1106</v>
      </c>
      <c r="G1608">
        <f>Consulta2[[#This Row],[DIA_UTIL_CORRENTE]]</f>
        <v>18</v>
      </c>
      <c r="H1608" s="6">
        <f>DAY(Consulta2[[#This Row],[DATA]])</f>
        <v>25</v>
      </c>
      <c r="I1608" s="6">
        <f>MONTH(Consulta2[[#This Row],[DATA]])</f>
        <v>5</v>
      </c>
      <c r="J1608" t="str">
        <f>CONCATENATE(Consulta2[[#This Row],[SAFRA]],Consulta2[[#This Row],[dia]])</f>
        <v>20280525</v>
      </c>
      <c r="K1608">
        <f>Consulta2[[#This Row],[DIA_UTIL_CORRENTE]]</f>
        <v>18</v>
      </c>
    </row>
    <row r="1609" spans="1:11" x14ac:dyDescent="0.25">
      <c r="A1609">
        <v>202805</v>
      </c>
      <c r="B1609">
        <v>19</v>
      </c>
      <c r="C1609" s="148">
        <v>46899</v>
      </c>
      <c r="D1609">
        <v>22</v>
      </c>
      <c r="E1609">
        <v>22</v>
      </c>
      <c r="F1609">
        <v>1107</v>
      </c>
      <c r="G1609">
        <f>Consulta2[[#This Row],[DIA_UTIL_CORRENTE]]</f>
        <v>19</v>
      </c>
      <c r="H1609" s="6">
        <f>DAY(Consulta2[[#This Row],[DATA]])</f>
        <v>26</v>
      </c>
      <c r="I1609" s="6">
        <f>MONTH(Consulta2[[#This Row],[DATA]])</f>
        <v>5</v>
      </c>
      <c r="J1609" t="str">
        <f>CONCATENATE(Consulta2[[#This Row],[SAFRA]],Consulta2[[#This Row],[dia]])</f>
        <v>20280526</v>
      </c>
      <c r="K1609">
        <f>Consulta2[[#This Row],[DIA_UTIL_CORRENTE]]</f>
        <v>19</v>
      </c>
    </row>
    <row r="1610" spans="1:11" x14ac:dyDescent="0.25">
      <c r="A1610">
        <v>202805</v>
      </c>
      <c r="B1610">
        <v>19</v>
      </c>
      <c r="C1610" s="148">
        <v>46900</v>
      </c>
      <c r="D1610">
        <v>22</v>
      </c>
      <c r="E1610">
        <v>22</v>
      </c>
      <c r="F1610">
        <v>1107</v>
      </c>
      <c r="G1610">
        <f>Consulta2[[#This Row],[DIA_UTIL_CORRENTE]]</f>
        <v>19</v>
      </c>
      <c r="H1610" s="6">
        <f>DAY(Consulta2[[#This Row],[DATA]])</f>
        <v>27</v>
      </c>
      <c r="I1610" s="6">
        <f>MONTH(Consulta2[[#This Row],[DATA]])</f>
        <v>5</v>
      </c>
      <c r="J1610" t="str">
        <f>CONCATENATE(Consulta2[[#This Row],[SAFRA]],Consulta2[[#This Row],[dia]])</f>
        <v>20280527</v>
      </c>
      <c r="K1610">
        <f>Consulta2[[#This Row],[DIA_UTIL_CORRENTE]]</f>
        <v>19</v>
      </c>
    </row>
    <row r="1611" spans="1:11" x14ac:dyDescent="0.25">
      <c r="A1611">
        <v>202805</v>
      </c>
      <c r="B1611">
        <v>19</v>
      </c>
      <c r="C1611" s="148">
        <v>46901</v>
      </c>
      <c r="D1611">
        <v>22</v>
      </c>
      <c r="E1611">
        <v>22</v>
      </c>
      <c r="F1611">
        <v>1107</v>
      </c>
      <c r="G1611">
        <f>Consulta2[[#This Row],[DIA_UTIL_CORRENTE]]</f>
        <v>19</v>
      </c>
      <c r="H1611" s="6">
        <f>DAY(Consulta2[[#This Row],[DATA]])</f>
        <v>28</v>
      </c>
      <c r="I1611" s="6">
        <f>MONTH(Consulta2[[#This Row],[DATA]])</f>
        <v>5</v>
      </c>
      <c r="J1611" t="str">
        <f>CONCATENATE(Consulta2[[#This Row],[SAFRA]],Consulta2[[#This Row],[dia]])</f>
        <v>20280528</v>
      </c>
      <c r="K1611">
        <f>Consulta2[[#This Row],[DIA_UTIL_CORRENTE]]</f>
        <v>19</v>
      </c>
    </row>
    <row r="1612" spans="1:11" x14ac:dyDescent="0.25">
      <c r="A1612">
        <v>202805</v>
      </c>
      <c r="B1612">
        <v>20</v>
      </c>
      <c r="C1612" s="148">
        <v>46902</v>
      </c>
      <c r="D1612">
        <v>22</v>
      </c>
      <c r="E1612">
        <v>22</v>
      </c>
      <c r="F1612">
        <v>1108</v>
      </c>
      <c r="G1612">
        <f>Consulta2[[#This Row],[DIA_UTIL_CORRENTE]]</f>
        <v>20</v>
      </c>
      <c r="H1612" s="6">
        <f>DAY(Consulta2[[#This Row],[DATA]])</f>
        <v>29</v>
      </c>
      <c r="I1612" s="6">
        <f>MONTH(Consulta2[[#This Row],[DATA]])</f>
        <v>5</v>
      </c>
      <c r="J1612" t="str">
        <f>CONCATENATE(Consulta2[[#This Row],[SAFRA]],Consulta2[[#This Row],[dia]])</f>
        <v>20280529</v>
      </c>
      <c r="K1612">
        <f>Consulta2[[#This Row],[DIA_UTIL_CORRENTE]]</f>
        <v>20</v>
      </c>
    </row>
    <row r="1613" spans="1:11" x14ac:dyDescent="0.25">
      <c r="A1613">
        <v>202805</v>
      </c>
      <c r="B1613">
        <v>21</v>
      </c>
      <c r="C1613" s="148">
        <v>46903</v>
      </c>
      <c r="D1613">
        <v>22</v>
      </c>
      <c r="E1613">
        <v>22</v>
      </c>
      <c r="F1613">
        <v>1109</v>
      </c>
      <c r="G1613">
        <f>Consulta2[[#This Row],[DIA_UTIL_CORRENTE]]</f>
        <v>21</v>
      </c>
      <c r="H1613" s="6">
        <f>DAY(Consulta2[[#This Row],[DATA]])</f>
        <v>30</v>
      </c>
      <c r="I1613" s="6">
        <f>MONTH(Consulta2[[#This Row],[DATA]])</f>
        <v>5</v>
      </c>
      <c r="J1613" t="str">
        <f>CONCATENATE(Consulta2[[#This Row],[SAFRA]],Consulta2[[#This Row],[dia]])</f>
        <v>20280530</v>
      </c>
      <c r="K1613">
        <f>Consulta2[[#This Row],[DIA_UTIL_CORRENTE]]</f>
        <v>21</v>
      </c>
    </row>
    <row r="1614" spans="1:11" x14ac:dyDescent="0.25">
      <c r="A1614">
        <v>202805</v>
      </c>
      <c r="B1614">
        <v>22</v>
      </c>
      <c r="C1614" s="148">
        <v>46904</v>
      </c>
      <c r="D1614">
        <v>22</v>
      </c>
      <c r="E1614">
        <v>22</v>
      </c>
      <c r="F1614">
        <v>1110</v>
      </c>
      <c r="G1614">
        <f>Consulta2[[#This Row],[DIA_UTIL_CORRENTE]]</f>
        <v>22</v>
      </c>
      <c r="H1614" s="6">
        <f>DAY(Consulta2[[#This Row],[DATA]])</f>
        <v>31</v>
      </c>
      <c r="I1614" s="6">
        <f>MONTH(Consulta2[[#This Row],[DATA]])</f>
        <v>5</v>
      </c>
      <c r="J1614" t="str">
        <f>CONCATENATE(Consulta2[[#This Row],[SAFRA]],Consulta2[[#This Row],[dia]])</f>
        <v>20280531</v>
      </c>
      <c r="K1614">
        <f>Consulta2[[#This Row],[DIA_UTIL_CORRENTE]]</f>
        <v>22</v>
      </c>
    </row>
    <row r="1615" spans="1:11" x14ac:dyDescent="0.25">
      <c r="A1615">
        <v>202806</v>
      </c>
      <c r="B1615">
        <v>1</v>
      </c>
      <c r="C1615" s="148">
        <v>46905</v>
      </c>
      <c r="D1615">
        <v>21</v>
      </c>
      <c r="E1615">
        <v>21</v>
      </c>
      <c r="F1615">
        <v>1111</v>
      </c>
      <c r="G1615">
        <f>Consulta2[[#This Row],[DIA_UTIL_CORRENTE]]</f>
        <v>1</v>
      </c>
      <c r="H1615" s="6">
        <f>DAY(Consulta2[[#This Row],[DATA]])</f>
        <v>1</v>
      </c>
      <c r="I1615" s="6">
        <f>MONTH(Consulta2[[#This Row],[DATA]])</f>
        <v>6</v>
      </c>
      <c r="J1615" t="str">
        <f>CONCATENATE(Consulta2[[#This Row],[SAFRA]],Consulta2[[#This Row],[dia]])</f>
        <v>2028061</v>
      </c>
      <c r="K1615">
        <f>Consulta2[[#This Row],[DIA_UTIL_CORRENTE]]</f>
        <v>1</v>
      </c>
    </row>
    <row r="1616" spans="1:11" x14ac:dyDescent="0.25">
      <c r="A1616">
        <v>202806</v>
      </c>
      <c r="B1616">
        <v>2</v>
      </c>
      <c r="C1616" s="148">
        <v>46906</v>
      </c>
      <c r="D1616">
        <v>21</v>
      </c>
      <c r="E1616">
        <v>21</v>
      </c>
      <c r="F1616">
        <v>1112</v>
      </c>
      <c r="G1616">
        <f>Consulta2[[#This Row],[DIA_UTIL_CORRENTE]]</f>
        <v>2</v>
      </c>
      <c r="H1616" s="6">
        <f>DAY(Consulta2[[#This Row],[DATA]])</f>
        <v>2</v>
      </c>
      <c r="I1616" s="6">
        <f>MONTH(Consulta2[[#This Row],[DATA]])</f>
        <v>6</v>
      </c>
      <c r="J1616" t="str">
        <f>CONCATENATE(Consulta2[[#This Row],[SAFRA]],Consulta2[[#This Row],[dia]])</f>
        <v>2028062</v>
      </c>
      <c r="K1616">
        <f>Consulta2[[#This Row],[DIA_UTIL_CORRENTE]]</f>
        <v>2</v>
      </c>
    </row>
    <row r="1617" spans="1:11" x14ac:dyDescent="0.25">
      <c r="A1617">
        <v>202806</v>
      </c>
      <c r="B1617">
        <v>2</v>
      </c>
      <c r="C1617" s="148">
        <v>46907</v>
      </c>
      <c r="D1617">
        <v>21</v>
      </c>
      <c r="E1617">
        <v>21</v>
      </c>
      <c r="F1617">
        <v>1112</v>
      </c>
      <c r="G1617">
        <f>Consulta2[[#This Row],[DIA_UTIL_CORRENTE]]</f>
        <v>2</v>
      </c>
      <c r="H1617" s="6">
        <f>DAY(Consulta2[[#This Row],[DATA]])</f>
        <v>3</v>
      </c>
      <c r="I1617" s="6">
        <f>MONTH(Consulta2[[#This Row],[DATA]])</f>
        <v>6</v>
      </c>
      <c r="J1617" t="str">
        <f>CONCATENATE(Consulta2[[#This Row],[SAFRA]],Consulta2[[#This Row],[dia]])</f>
        <v>2028063</v>
      </c>
      <c r="K1617">
        <f>Consulta2[[#This Row],[DIA_UTIL_CORRENTE]]</f>
        <v>2</v>
      </c>
    </row>
    <row r="1618" spans="1:11" x14ac:dyDescent="0.25">
      <c r="A1618">
        <v>202806</v>
      </c>
      <c r="B1618">
        <v>2</v>
      </c>
      <c r="C1618" s="148">
        <v>46908</v>
      </c>
      <c r="D1618">
        <v>21</v>
      </c>
      <c r="E1618">
        <v>21</v>
      </c>
      <c r="F1618">
        <v>1112</v>
      </c>
      <c r="G1618">
        <f>Consulta2[[#This Row],[DIA_UTIL_CORRENTE]]</f>
        <v>2</v>
      </c>
      <c r="H1618" s="6">
        <f>DAY(Consulta2[[#This Row],[DATA]])</f>
        <v>4</v>
      </c>
      <c r="I1618" s="6">
        <f>MONTH(Consulta2[[#This Row],[DATA]])</f>
        <v>6</v>
      </c>
      <c r="J1618" t="str">
        <f>CONCATENATE(Consulta2[[#This Row],[SAFRA]],Consulta2[[#This Row],[dia]])</f>
        <v>2028064</v>
      </c>
      <c r="K1618">
        <f>Consulta2[[#This Row],[DIA_UTIL_CORRENTE]]</f>
        <v>2</v>
      </c>
    </row>
    <row r="1619" spans="1:11" x14ac:dyDescent="0.25">
      <c r="A1619">
        <v>202806</v>
      </c>
      <c r="B1619">
        <v>3</v>
      </c>
      <c r="C1619" s="148">
        <v>46909</v>
      </c>
      <c r="D1619">
        <v>21</v>
      </c>
      <c r="E1619">
        <v>21</v>
      </c>
      <c r="F1619">
        <v>1113</v>
      </c>
      <c r="G1619">
        <f>Consulta2[[#This Row],[DIA_UTIL_CORRENTE]]</f>
        <v>3</v>
      </c>
      <c r="H1619" s="6">
        <f>DAY(Consulta2[[#This Row],[DATA]])</f>
        <v>5</v>
      </c>
      <c r="I1619" s="6">
        <f>MONTH(Consulta2[[#This Row],[DATA]])</f>
        <v>6</v>
      </c>
      <c r="J1619" t="str">
        <f>CONCATENATE(Consulta2[[#This Row],[SAFRA]],Consulta2[[#This Row],[dia]])</f>
        <v>2028065</v>
      </c>
      <c r="K1619">
        <f>Consulta2[[#This Row],[DIA_UTIL_CORRENTE]]</f>
        <v>3</v>
      </c>
    </row>
    <row r="1620" spans="1:11" x14ac:dyDescent="0.25">
      <c r="A1620">
        <v>202806</v>
      </c>
      <c r="B1620">
        <v>4</v>
      </c>
      <c r="C1620" s="148">
        <v>46910</v>
      </c>
      <c r="D1620">
        <v>21</v>
      </c>
      <c r="E1620">
        <v>21</v>
      </c>
      <c r="F1620">
        <v>1114</v>
      </c>
      <c r="G1620">
        <f>Consulta2[[#This Row],[DIA_UTIL_CORRENTE]]</f>
        <v>4</v>
      </c>
      <c r="H1620" s="6">
        <f>DAY(Consulta2[[#This Row],[DATA]])</f>
        <v>6</v>
      </c>
      <c r="I1620" s="6">
        <f>MONTH(Consulta2[[#This Row],[DATA]])</f>
        <v>6</v>
      </c>
      <c r="J1620" t="str">
        <f>CONCATENATE(Consulta2[[#This Row],[SAFRA]],Consulta2[[#This Row],[dia]])</f>
        <v>2028066</v>
      </c>
      <c r="K1620">
        <f>Consulta2[[#This Row],[DIA_UTIL_CORRENTE]]</f>
        <v>4</v>
      </c>
    </row>
    <row r="1621" spans="1:11" x14ac:dyDescent="0.25">
      <c r="A1621">
        <v>202806</v>
      </c>
      <c r="B1621">
        <v>5</v>
      </c>
      <c r="C1621" s="148">
        <v>46911</v>
      </c>
      <c r="D1621">
        <v>21</v>
      </c>
      <c r="E1621">
        <v>21</v>
      </c>
      <c r="F1621">
        <v>1115</v>
      </c>
      <c r="G1621">
        <f>Consulta2[[#This Row],[DIA_UTIL_CORRENTE]]</f>
        <v>5</v>
      </c>
      <c r="H1621" s="6">
        <f>DAY(Consulta2[[#This Row],[DATA]])</f>
        <v>7</v>
      </c>
      <c r="I1621" s="6">
        <f>MONTH(Consulta2[[#This Row],[DATA]])</f>
        <v>6</v>
      </c>
      <c r="J1621" t="str">
        <f>CONCATENATE(Consulta2[[#This Row],[SAFRA]],Consulta2[[#This Row],[dia]])</f>
        <v>2028067</v>
      </c>
      <c r="K1621">
        <f>Consulta2[[#This Row],[DIA_UTIL_CORRENTE]]</f>
        <v>5</v>
      </c>
    </row>
    <row r="1622" spans="1:11" x14ac:dyDescent="0.25">
      <c r="A1622">
        <v>202806</v>
      </c>
      <c r="B1622">
        <v>6</v>
      </c>
      <c r="C1622" s="148">
        <v>46912</v>
      </c>
      <c r="D1622">
        <v>21</v>
      </c>
      <c r="E1622">
        <v>21</v>
      </c>
      <c r="F1622">
        <v>1116</v>
      </c>
      <c r="G1622">
        <f>Consulta2[[#This Row],[DIA_UTIL_CORRENTE]]</f>
        <v>6</v>
      </c>
      <c r="H1622" s="6">
        <f>DAY(Consulta2[[#This Row],[DATA]])</f>
        <v>8</v>
      </c>
      <c r="I1622" s="6">
        <f>MONTH(Consulta2[[#This Row],[DATA]])</f>
        <v>6</v>
      </c>
      <c r="J1622" t="str">
        <f>CONCATENATE(Consulta2[[#This Row],[SAFRA]],Consulta2[[#This Row],[dia]])</f>
        <v>2028068</v>
      </c>
      <c r="K1622">
        <f>Consulta2[[#This Row],[DIA_UTIL_CORRENTE]]</f>
        <v>6</v>
      </c>
    </row>
    <row r="1623" spans="1:11" x14ac:dyDescent="0.25">
      <c r="A1623">
        <v>202806</v>
      </c>
      <c r="B1623">
        <v>7</v>
      </c>
      <c r="C1623" s="148">
        <v>46913</v>
      </c>
      <c r="D1623">
        <v>21</v>
      </c>
      <c r="E1623">
        <v>21</v>
      </c>
      <c r="F1623">
        <v>1117</v>
      </c>
      <c r="G1623">
        <f>Consulta2[[#This Row],[DIA_UTIL_CORRENTE]]</f>
        <v>7</v>
      </c>
      <c r="H1623" s="6">
        <f>DAY(Consulta2[[#This Row],[DATA]])</f>
        <v>9</v>
      </c>
      <c r="I1623" s="6">
        <f>MONTH(Consulta2[[#This Row],[DATA]])</f>
        <v>6</v>
      </c>
      <c r="J1623" t="str">
        <f>CONCATENATE(Consulta2[[#This Row],[SAFRA]],Consulta2[[#This Row],[dia]])</f>
        <v>2028069</v>
      </c>
      <c r="K1623">
        <f>Consulta2[[#This Row],[DIA_UTIL_CORRENTE]]</f>
        <v>7</v>
      </c>
    </row>
    <row r="1624" spans="1:11" x14ac:dyDescent="0.25">
      <c r="A1624">
        <v>202806</v>
      </c>
      <c r="B1624">
        <v>7</v>
      </c>
      <c r="C1624" s="148">
        <v>46914</v>
      </c>
      <c r="D1624">
        <v>21</v>
      </c>
      <c r="E1624">
        <v>21</v>
      </c>
      <c r="F1624">
        <v>1117</v>
      </c>
      <c r="G1624">
        <f>Consulta2[[#This Row],[DIA_UTIL_CORRENTE]]</f>
        <v>7</v>
      </c>
      <c r="H1624" s="6">
        <f>DAY(Consulta2[[#This Row],[DATA]])</f>
        <v>10</v>
      </c>
      <c r="I1624" s="6">
        <f>MONTH(Consulta2[[#This Row],[DATA]])</f>
        <v>6</v>
      </c>
      <c r="J1624" t="str">
        <f>CONCATENATE(Consulta2[[#This Row],[SAFRA]],Consulta2[[#This Row],[dia]])</f>
        <v>20280610</v>
      </c>
      <c r="K1624">
        <f>Consulta2[[#This Row],[DIA_UTIL_CORRENTE]]</f>
        <v>7</v>
      </c>
    </row>
    <row r="1625" spans="1:11" x14ac:dyDescent="0.25">
      <c r="A1625">
        <v>202806</v>
      </c>
      <c r="B1625">
        <v>7</v>
      </c>
      <c r="C1625" s="148">
        <v>46915</v>
      </c>
      <c r="D1625">
        <v>21</v>
      </c>
      <c r="E1625">
        <v>21</v>
      </c>
      <c r="F1625">
        <v>1117</v>
      </c>
      <c r="G1625">
        <f>Consulta2[[#This Row],[DIA_UTIL_CORRENTE]]</f>
        <v>7</v>
      </c>
      <c r="H1625" s="6">
        <f>DAY(Consulta2[[#This Row],[DATA]])</f>
        <v>11</v>
      </c>
      <c r="I1625" s="6">
        <f>MONTH(Consulta2[[#This Row],[DATA]])</f>
        <v>6</v>
      </c>
      <c r="J1625" t="str">
        <f>CONCATENATE(Consulta2[[#This Row],[SAFRA]],Consulta2[[#This Row],[dia]])</f>
        <v>20280611</v>
      </c>
      <c r="K1625">
        <f>Consulta2[[#This Row],[DIA_UTIL_CORRENTE]]</f>
        <v>7</v>
      </c>
    </row>
    <row r="1626" spans="1:11" x14ac:dyDescent="0.25">
      <c r="A1626">
        <v>202806</v>
      </c>
      <c r="B1626">
        <v>8</v>
      </c>
      <c r="C1626" s="148">
        <v>46916</v>
      </c>
      <c r="D1626">
        <v>21</v>
      </c>
      <c r="E1626">
        <v>21</v>
      </c>
      <c r="F1626">
        <v>1118</v>
      </c>
      <c r="G1626">
        <f>Consulta2[[#This Row],[DIA_UTIL_CORRENTE]]</f>
        <v>8</v>
      </c>
      <c r="H1626" s="6">
        <f>DAY(Consulta2[[#This Row],[DATA]])</f>
        <v>12</v>
      </c>
      <c r="I1626" s="6">
        <f>MONTH(Consulta2[[#This Row],[DATA]])</f>
        <v>6</v>
      </c>
      <c r="J1626" t="str">
        <f>CONCATENATE(Consulta2[[#This Row],[SAFRA]],Consulta2[[#This Row],[dia]])</f>
        <v>20280612</v>
      </c>
      <c r="K1626">
        <f>Consulta2[[#This Row],[DIA_UTIL_CORRENTE]]</f>
        <v>8</v>
      </c>
    </row>
    <row r="1627" spans="1:11" x14ac:dyDescent="0.25">
      <c r="A1627">
        <v>202806</v>
      </c>
      <c r="B1627">
        <v>9</v>
      </c>
      <c r="C1627" s="148">
        <v>46917</v>
      </c>
      <c r="D1627">
        <v>21</v>
      </c>
      <c r="E1627">
        <v>21</v>
      </c>
      <c r="F1627">
        <v>1119</v>
      </c>
      <c r="G1627">
        <f>Consulta2[[#This Row],[DIA_UTIL_CORRENTE]]</f>
        <v>9</v>
      </c>
      <c r="H1627" s="6">
        <f>DAY(Consulta2[[#This Row],[DATA]])</f>
        <v>13</v>
      </c>
      <c r="I1627" s="6">
        <f>MONTH(Consulta2[[#This Row],[DATA]])</f>
        <v>6</v>
      </c>
      <c r="J1627" t="str">
        <f>CONCATENATE(Consulta2[[#This Row],[SAFRA]],Consulta2[[#This Row],[dia]])</f>
        <v>20280613</v>
      </c>
      <c r="K1627">
        <f>Consulta2[[#This Row],[DIA_UTIL_CORRENTE]]</f>
        <v>9</v>
      </c>
    </row>
    <row r="1628" spans="1:11" x14ac:dyDescent="0.25">
      <c r="A1628">
        <v>202806</v>
      </c>
      <c r="B1628">
        <v>10</v>
      </c>
      <c r="C1628" s="148">
        <v>46918</v>
      </c>
      <c r="D1628">
        <v>21</v>
      </c>
      <c r="E1628">
        <v>21</v>
      </c>
      <c r="F1628">
        <v>1120</v>
      </c>
      <c r="G1628">
        <f>Consulta2[[#This Row],[DIA_UTIL_CORRENTE]]</f>
        <v>10</v>
      </c>
      <c r="H1628" s="6">
        <f>DAY(Consulta2[[#This Row],[DATA]])</f>
        <v>14</v>
      </c>
      <c r="I1628" s="6">
        <f>MONTH(Consulta2[[#This Row],[DATA]])</f>
        <v>6</v>
      </c>
      <c r="J1628" t="str">
        <f>CONCATENATE(Consulta2[[#This Row],[SAFRA]],Consulta2[[#This Row],[dia]])</f>
        <v>20280614</v>
      </c>
      <c r="K1628">
        <f>Consulta2[[#This Row],[DIA_UTIL_CORRENTE]]</f>
        <v>10</v>
      </c>
    </row>
    <row r="1629" spans="1:11" x14ac:dyDescent="0.25">
      <c r="A1629">
        <v>202806</v>
      </c>
      <c r="B1629">
        <v>10</v>
      </c>
      <c r="C1629" s="148">
        <v>46919</v>
      </c>
      <c r="D1629">
        <v>21</v>
      </c>
      <c r="E1629">
        <v>21</v>
      </c>
      <c r="F1629">
        <v>1120</v>
      </c>
      <c r="G1629">
        <f>Consulta2[[#This Row],[DIA_UTIL_CORRENTE]]</f>
        <v>10</v>
      </c>
      <c r="H1629" s="6">
        <f>DAY(Consulta2[[#This Row],[DATA]])</f>
        <v>15</v>
      </c>
      <c r="I1629" s="6">
        <f>MONTH(Consulta2[[#This Row],[DATA]])</f>
        <v>6</v>
      </c>
      <c r="J1629" t="str">
        <f>CONCATENATE(Consulta2[[#This Row],[SAFRA]],Consulta2[[#This Row],[dia]])</f>
        <v>20280615</v>
      </c>
      <c r="K1629">
        <f>Consulta2[[#This Row],[DIA_UTIL_CORRENTE]]</f>
        <v>10</v>
      </c>
    </row>
    <row r="1630" spans="1:11" x14ac:dyDescent="0.25">
      <c r="A1630">
        <v>202806</v>
      </c>
      <c r="B1630">
        <v>11</v>
      </c>
      <c r="C1630" s="148">
        <v>46920</v>
      </c>
      <c r="D1630">
        <v>21</v>
      </c>
      <c r="E1630">
        <v>21</v>
      </c>
      <c r="F1630">
        <v>1121</v>
      </c>
      <c r="G1630">
        <f>Consulta2[[#This Row],[DIA_UTIL_CORRENTE]]</f>
        <v>11</v>
      </c>
      <c r="H1630" s="6">
        <f>DAY(Consulta2[[#This Row],[DATA]])</f>
        <v>16</v>
      </c>
      <c r="I1630" s="6">
        <f>MONTH(Consulta2[[#This Row],[DATA]])</f>
        <v>6</v>
      </c>
      <c r="J1630" t="str">
        <f>CONCATENATE(Consulta2[[#This Row],[SAFRA]],Consulta2[[#This Row],[dia]])</f>
        <v>20280616</v>
      </c>
      <c r="K1630">
        <f>Consulta2[[#This Row],[DIA_UTIL_CORRENTE]]</f>
        <v>11</v>
      </c>
    </row>
    <row r="1631" spans="1:11" x14ac:dyDescent="0.25">
      <c r="A1631">
        <v>202806</v>
      </c>
      <c r="B1631">
        <v>11</v>
      </c>
      <c r="C1631" s="148">
        <v>46921</v>
      </c>
      <c r="D1631">
        <v>21</v>
      </c>
      <c r="E1631">
        <v>21</v>
      </c>
      <c r="F1631">
        <v>1121</v>
      </c>
      <c r="G1631">
        <f>Consulta2[[#This Row],[DIA_UTIL_CORRENTE]]</f>
        <v>11</v>
      </c>
      <c r="H1631" s="6">
        <f>DAY(Consulta2[[#This Row],[DATA]])</f>
        <v>17</v>
      </c>
      <c r="I1631" s="6">
        <f>MONTH(Consulta2[[#This Row],[DATA]])</f>
        <v>6</v>
      </c>
      <c r="J1631" t="str">
        <f>CONCATENATE(Consulta2[[#This Row],[SAFRA]],Consulta2[[#This Row],[dia]])</f>
        <v>20280617</v>
      </c>
      <c r="K1631">
        <f>Consulta2[[#This Row],[DIA_UTIL_CORRENTE]]</f>
        <v>11</v>
      </c>
    </row>
    <row r="1632" spans="1:11" x14ac:dyDescent="0.25">
      <c r="A1632">
        <v>202806</v>
      </c>
      <c r="B1632">
        <v>11</v>
      </c>
      <c r="C1632" s="148">
        <v>46922</v>
      </c>
      <c r="D1632">
        <v>21</v>
      </c>
      <c r="E1632">
        <v>21</v>
      </c>
      <c r="F1632">
        <v>1121</v>
      </c>
      <c r="G1632">
        <f>Consulta2[[#This Row],[DIA_UTIL_CORRENTE]]</f>
        <v>11</v>
      </c>
      <c r="H1632" s="6">
        <f>DAY(Consulta2[[#This Row],[DATA]])</f>
        <v>18</v>
      </c>
      <c r="I1632" s="6">
        <f>MONTH(Consulta2[[#This Row],[DATA]])</f>
        <v>6</v>
      </c>
      <c r="J1632" t="str">
        <f>CONCATENATE(Consulta2[[#This Row],[SAFRA]],Consulta2[[#This Row],[dia]])</f>
        <v>20280618</v>
      </c>
      <c r="K1632">
        <f>Consulta2[[#This Row],[DIA_UTIL_CORRENTE]]</f>
        <v>11</v>
      </c>
    </row>
    <row r="1633" spans="1:11" x14ac:dyDescent="0.25">
      <c r="A1633">
        <v>202806</v>
      </c>
      <c r="B1633">
        <v>12</v>
      </c>
      <c r="C1633" s="148">
        <v>46923</v>
      </c>
      <c r="D1633">
        <v>21</v>
      </c>
      <c r="E1633">
        <v>21</v>
      </c>
      <c r="F1633">
        <v>1122</v>
      </c>
      <c r="G1633">
        <f>Consulta2[[#This Row],[DIA_UTIL_CORRENTE]]</f>
        <v>12</v>
      </c>
      <c r="H1633" s="6">
        <f>DAY(Consulta2[[#This Row],[DATA]])</f>
        <v>19</v>
      </c>
      <c r="I1633" s="6">
        <f>MONTH(Consulta2[[#This Row],[DATA]])</f>
        <v>6</v>
      </c>
      <c r="J1633" t="str">
        <f>CONCATENATE(Consulta2[[#This Row],[SAFRA]],Consulta2[[#This Row],[dia]])</f>
        <v>20280619</v>
      </c>
      <c r="K1633">
        <f>Consulta2[[#This Row],[DIA_UTIL_CORRENTE]]</f>
        <v>12</v>
      </c>
    </row>
    <row r="1634" spans="1:11" x14ac:dyDescent="0.25">
      <c r="A1634">
        <v>202806</v>
      </c>
      <c r="B1634">
        <v>13</v>
      </c>
      <c r="C1634" s="148">
        <v>46924</v>
      </c>
      <c r="D1634">
        <v>21</v>
      </c>
      <c r="E1634">
        <v>21</v>
      </c>
      <c r="F1634">
        <v>1123</v>
      </c>
      <c r="G1634">
        <f>Consulta2[[#This Row],[DIA_UTIL_CORRENTE]]</f>
        <v>13</v>
      </c>
      <c r="H1634" s="6">
        <f>DAY(Consulta2[[#This Row],[DATA]])</f>
        <v>20</v>
      </c>
      <c r="I1634" s="6">
        <f>MONTH(Consulta2[[#This Row],[DATA]])</f>
        <v>6</v>
      </c>
      <c r="J1634" t="str">
        <f>CONCATENATE(Consulta2[[#This Row],[SAFRA]],Consulta2[[#This Row],[dia]])</f>
        <v>20280620</v>
      </c>
      <c r="K1634">
        <f>Consulta2[[#This Row],[DIA_UTIL_CORRENTE]]</f>
        <v>13</v>
      </c>
    </row>
    <row r="1635" spans="1:11" x14ac:dyDescent="0.25">
      <c r="A1635">
        <v>202806</v>
      </c>
      <c r="B1635">
        <v>14</v>
      </c>
      <c r="C1635" s="148">
        <v>46925</v>
      </c>
      <c r="D1635">
        <v>21</v>
      </c>
      <c r="E1635">
        <v>21</v>
      </c>
      <c r="F1635">
        <v>1124</v>
      </c>
      <c r="G1635">
        <f>Consulta2[[#This Row],[DIA_UTIL_CORRENTE]]</f>
        <v>14</v>
      </c>
      <c r="H1635" s="6">
        <f>DAY(Consulta2[[#This Row],[DATA]])</f>
        <v>21</v>
      </c>
      <c r="I1635" s="6">
        <f>MONTH(Consulta2[[#This Row],[DATA]])</f>
        <v>6</v>
      </c>
      <c r="J1635" t="str">
        <f>CONCATENATE(Consulta2[[#This Row],[SAFRA]],Consulta2[[#This Row],[dia]])</f>
        <v>20280621</v>
      </c>
      <c r="K1635">
        <f>Consulta2[[#This Row],[DIA_UTIL_CORRENTE]]</f>
        <v>14</v>
      </c>
    </row>
    <row r="1636" spans="1:11" x14ac:dyDescent="0.25">
      <c r="A1636">
        <v>202806</v>
      </c>
      <c r="B1636">
        <v>15</v>
      </c>
      <c r="C1636" s="148">
        <v>46926</v>
      </c>
      <c r="D1636">
        <v>21</v>
      </c>
      <c r="E1636">
        <v>21</v>
      </c>
      <c r="F1636">
        <v>1125</v>
      </c>
      <c r="G1636">
        <f>Consulta2[[#This Row],[DIA_UTIL_CORRENTE]]</f>
        <v>15</v>
      </c>
      <c r="H1636" s="6">
        <f>DAY(Consulta2[[#This Row],[DATA]])</f>
        <v>22</v>
      </c>
      <c r="I1636" s="6">
        <f>MONTH(Consulta2[[#This Row],[DATA]])</f>
        <v>6</v>
      </c>
      <c r="J1636" t="str">
        <f>CONCATENATE(Consulta2[[#This Row],[SAFRA]],Consulta2[[#This Row],[dia]])</f>
        <v>20280622</v>
      </c>
      <c r="K1636">
        <f>Consulta2[[#This Row],[DIA_UTIL_CORRENTE]]</f>
        <v>15</v>
      </c>
    </row>
    <row r="1637" spans="1:11" x14ac:dyDescent="0.25">
      <c r="A1637">
        <v>202806</v>
      </c>
      <c r="B1637">
        <v>16</v>
      </c>
      <c r="C1637" s="148">
        <v>46927</v>
      </c>
      <c r="D1637">
        <v>21</v>
      </c>
      <c r="E1637">
        <v>21</v>
      </c>
      <c r="F1637">
        <v>1126</v>
      </c>
      <c r="G1637">
        <f>Consulta2[[#This Row],[DIA_UTIL_CORRENTE]]</f>
        <v>16</v>
      </c>
      <c r="H1637" s="6">
        <f>DAY(Consulta2[[#This Row],[DATA]])</f>
        <v>23</v>
      </c>
      <c r="I1637" s="6">
        <f>MONTH(Consulta2[[#This Row],[DATA]])</f>
        <v>6</v>
      </c>
      <c r="J1637" t="str">
        <f>CONCATENATE(Consulta2[[#This Row],[SAFRA]],Consulta2[[#This Row],[dia]])</f>
        <v>20280623</v>
      </c>
      <c r="K1637">
        <f>Consulta2[[#This Row],[DIA_UTIL_CORRENTE]]</f>
        <v>16</v>
      </c>
    </row>
    <row r="1638" spans="1:11" x14ac:dyDescent="0.25">
      <c r="A1638">
        <v>202806</v>
      </c>
      <c r="B1638">
        <v>16</v>
      </c>
      <c r="C1638" s="148">
        <v>46928</v>
      </c>
      <c r="D1638">
        <v>21</v>
      </c>
      <c r="E1638">
        <v>21</v>
      </c>
      <c r="F1638">
        <v>1126</v>
      </c>
      <c r="G1638">
        <f>Consulta2[[#This Row],[DIA_UTIL_CORRENTE]]</f>
        <v>16</v>
      </c>
      <c r="H1638" s="6">
        <f>DAY(Consulta2[[#This Row],[DATA]])</f>
        <v>24</v>
      </c>
      <c r="I1638" s="6">
        <f>MONTH(Consulta2[[#This Row],[DATA]])</f>
        <v>6</v>
      </c>
      <c r="J1638" t="str">
        <f>CONCATENATE(Consulta2[[#This Row],[SAFRA]],Consulta2[[#This Row],[dia]])</f>
        <v>20280624</v>
      </c>
      <c r="K1638">
        <f>Consulta2[[#This Row],[DIA_UTIL_CORRENTE]]</f>
        <v>16</v>
      </c>
    </row>
    <row r="1639" spans="1:11" x14ac:dyDescent="0.25">
      <c r="A1639">
        <v>202806</v>
      </c>
      <c r="B1639">
        <v>16</v>
      </c>
      <c r="C1639" s="148">
        <v>46929</v>
      </c>
      <c r="D1639">
        <v>21</v>
      </c>
      <c r="E1639">
        <v>21</v>
      </c>
      <c r="F1639">
        <v>1126</v>
      </c>
      <c r="G1639">
        <f>Consulta2[[#This Row],[DIA_UTIL_CORRENTE]]</f>
        <v>16</v>
      </c>
      <c r="H1639" s="6">
        <f>DAY(Consulta2[[#This Row],[DATA]])</f>
        <v>25</v>
      </c>
      <c r="I1639" s="6">
        <f>MONTH(Consulta2[[#This Row],[DATA]])</f>
        <v>6</v>
      </c>
      <c r="J1639" t="str">
        <f>CONCATENATE(Consulta2[[#This Row],[SAFRA]],Consulta2[[#This Row],[dia]])</f>
        <v>20280625</v>
      </c>
      <c r="K1639">
        <f>Consulta2[[#This Row],[DIA_UTIL_CORRENTE]]</f>
        <v>16</v>
      </c>
    </row>
    <row r="1640" spans="1:11" x14ac:dyDescent="0.25">
      <c r="A1640">
        <v>202806</v>
      </c>
      <c r="B1640">
        <v>17</v>
      </c>
      <c r="C1640" s="148">
        <v>46930</v>
      </c>
      <c r="D1640">
        <v>21</v>
      </c>
      <c r="E1640">
        <v>21</v>
      </c>
      <c r="F1640">
        <v>1127</v>
      </c>
      <c r="G1640">
        <f>Consulta2[[#This Row],[DIA_UTIL_CORRENTE]]</f>
        <v>17</v>
      </c>
      <c r="H1640" s="6">
        <f>DAY(Consulta2[[#This Row],[DATA]])</f>
        <v>26</v>
      </c>
      <c r="I1640" s="6">
        <f>MONTH(Consulta2[[#This Row],[DATA]])</f>
        <v>6</v>
      </c>
      <c r="J1640" t="str">
        <f>CONCATENATE(Consulta2[[#This Row],[SAFRA]],Consulta2[[#This Row],[dia]])</f>
        <v>20280626</v>
      </c>
      <c r="K1640">
        <f>Consulta2[[#This Row],[DIA_UTIL_CORRENTE]]</f>
        <v>17</v>
      </c>
    </row>
    <row r="1641" spans="1:11" x14ac:dyDescent="0.25">
      <c r="A1641">
        <v>202806</v>
      </c>
      <c r="B1641">
        <v>18</v>
      </c>
      <c r="C1641" s="148">
        <v>46931</v>
      </c>
      <c r="D1641">
        <v>21</v>
      </c>
      <c r="E1641">
        <v>21</v>
      </c>
      <c r="F1641">
        <v>1128</v>
      </c>
      <c r="G1641">
        <f>Consulta2[[#This Row],[DIA_UTIL_CORRENTE]]</f>
        <v>18</v>
      </c>
      <c r="H1641" s="6">
        <f>DAY(Consulta2[[#This Row],[DATA]])</f>
        <v>27</v>
      </c>
      <c r="I1641" s="6">
        <f>MONTH(Consulta2[[#This Row],[DATA]])</f>
        <v>6</v>
      </c>
      <c r="J1641" t="str">
        <f>CONCATENATE(Consulta2[[#This Row],[SAFRA]],Consulta2[[#This Row],[dia]])</f>
        <v>20280627</v>
      </c>
      <c r="K1641">
        <f>Consulta2[[#This Row],[DIA_UTIL_CORRENTE]]</f>
        <v>18</v>
      </c>
    </row>
    <row r="1642" spans="1:11" x14ac:dyDescent="0.25">
      <c r="A1642">
        <v>202806</v>
      </c>
      <c r="B1642">
        <v>19</v>
      </c>
      <c r="C1642" s="148">
        <v>46932</v>
      </c>
      <c r="D1642">
        <v>21</v>
      </c>
      <c r="E1642">
        <v>21</v>
      </c>
      <c r="F1642">
        <v>1129</v>
      </c>
      <c r="G1642">
        <f>Consulta2[[#This Row],[DIA_UTIL_CORRENTE]]</f>
        <v>19</v>
      </c>
      <c r="H1642" s="6">
        <f>DAY(Consulta2[[#This Row],[DATA]])</f>
        <v>28</v>
      </c>
      <c r="I1642" s="6">
        <f>MONTH(Consulta2[[#This Row],[DATA]])</f>
        <v>6</v>
      </c>
      <c r="J1642" t="str">
        <f>CONCATENATE(Consulta2[[#This Row],[SAFRA]],Consulta2[[#This Row],[dia]])</f>
        <v>20280628</v>
      </c>
      <c r="K1642">
        <f>Consulta2[[#This Row],[DIA_UTIL_CORRENTE]]</f>
        <v>19</v>
      </c>
    </row>
    <row r="1643" spans="1:11" x14ac:dyDescent="0.25">
      <c r="A1643">
        <v>202806</v>
      </c>
      <c r="B1643">
        <v>20</v>
      </c>
      <c r="C1643" s="148">
        <v>46933</v>
      </c>
      <c r="D1643">
        <v>21</v>
      </c>
      <c r="E1643">
        <v>21</v>
      </c>
      <c r="F1643">
        <v>1130</v>
      </c>
      <c r="G1643">
        <f>Consulta2[[#This Row],[DIA_UTIL_CORRENTE]]</f>
        <v>20</v>
      </c>
      <c r="H1643" s="6">
        <f>DAY(Consulta2[[#This Row],[DATA]])</f>
        <v>29</v>
      </c>
      <c r="I1643" s="6">
        <f>MONTH(Consulta2[[#This Row],[DATA]])</f>
        <v>6</v>
      </c>
      <c r="J1643" t="str">
        <f>CONCATENATE(Consulta2[[#This Row],[SAFRA]],Consulta2[[#This Row],[dia]])</f>
        <v>20280629</v>
      </c>
      <c r="K1643">
        <f>Consulta2[[#This Row],[DIA_UTIL_CORRENTE]]</f>
        <v>20</v>
      </c>
    </row>
    <row r="1644" spans="1:11" x14ac:dyDescent="0.25">
      <c r="A1644">
        <v>202806</v>
      </c>
      <c r="B1644">
        <v>21</v>
      </c>
      <c r="C1644" s="148">
        <v>46934</v>
      </c>
      <c r="D1644">
        <v>21</v>
      </c>
      <c r="E1644">
        <v>21</v>
      </c>
      <c r="F1644">
        <v>1131</v>
      </c>
      <c r="G1644">
        <f>Consulta2[[#This Row],[DIA_UTIL_CORRENTE]]</f>
        <v>21</v>
      </c>
      <c r="H1644" s="6">
        <f>DAY(Consulta2[[#This Row],[DATA]])</f>
        <v>30</v>
      </c>
      <c r="I1644" s="6">
        <f>MONTH(Consulta2[[#This Row],[DATA]])</f>
        <v>6</v>
      </c>
      <c r="J1644" t="str">
        <f>CONCATENATE(Consulta2[[#This Row],[SAFRA]],Consulta2[[#This Row],[dia]])</f>
        <v>20280630</v>
      </c>
      <c r="K1644">
        <f>Consulta2[[#This Row],[DIA_UTIL_CORRENTE]]</f>
        <v>21</v>
      </c>
    </row>
    <row r="1645" spans="1:11" x14ac:dyDescent="0.25">
      <c r="A1645">
        <v>202807</v>
      </c>
      <c r="B1645">
        <v>0</v>
      </c>
      <c r="C1645" s="148">
        <v>46935</v>
      </c>
      <c r="D1645">
        <v>21</v>
      </c>
      <c r="E1645">
        <v>21</v>
      </c>
      <c r="F1645">
        <v>1131</v>
      </c>
      <c r="G1645">
        <f>Consulta2[[#This Row],[DIA_UTIL_CORRENTE]]</f>
        <v>0</v>
      </c>
      <c r="H1645" s="6">
        <f>DAY(Consulta2[[#This Row],[DATA]])</f>
        <v>1</v>
      </c>
      <c r="I1645" s="6">
        <f>MONTH(Consulta2[[#This Row],[DATA]])</f>
        <v>7</v>
      </c>
      <c r="J1645" t="str">
        <f>CONCATENATE(Consulta2[[#This Row],[SAFRA]],Consulta2[[#This Row],[dia]])</f>
        <v>2028071</v>
      </c>
      <c r="K1645">
        <f>Consulta2[[#This Row],[DIA_UTIL_CORRENTE]]</f>
        <v>0</v>
      </c>
    </row>
    <row r="1646" spans="1:11" x14ac:dyDescent="0.25">
      <c r="A1646">
        <v>202807</v>
      </c>
      <c r="B1646">
        <v>0</v>
      </c>
      <c r="C1646" s="148">
        <v>46936</v>
      </c>
      <c r="D1646">
        <v>21</v>
      </c>
      <c r="E1646">
        <v>21</v>
      </c>
      <c r="F1646">
        <v>1131</v>
      </c>
      <c r="G1646">
        <f>Consulta2[[#This Row],[DIA_UTIL_CORRENTE]]</f>
        <v>0</v>
      </c>
      <c r="H1646" s="6">
        <f>DAY(Consulta2[[#This Row],[DATA]])</f>
        <v>2</v>
      </c>
      <c r="I1646" s="6">
        <f>MONTH(Consulta2[[#This Row],[DATA]])</f>
        <v>7</v>
      </c>
      <c r="J1646" t="str">
        <f>CONCATENATE(Consulta2[[#This Row],[SAFRA]],Consulta2[[#This Row],[dia]])</f>
        <v>2028072</v>
      </c>
      <c r="K1646">
        <f>Consulta2[[#This Row],[DIA_UTIL_CORRENTE]]</f>
        <v>0</v>
      </c>
    </row>
    <row r="1647" spans="1:11" x14ac:dyDescent="0.25">
      <c r="A1647">
        <v>202807</v>
      </c>
      <c r="B1647">
        <v>1</v>
      </c>
      <c r="C1647" s="148">
        <v>46937</v>
      </c>
      <c r="D1647">
        <v>21</v>
      </c>
      <c r="E1647">
        <v>21</v>
      </c>
      <c r="F1647">
        <v>1132</v>
      </c>
      <c r="G1647">
        <f>Consulta2[[#This Row],[DIA_UTIL_CORRENTE]]</f>
        <v>1</v>
      </c>
      <c r="H1647" s="6">
        <f>DAY(Consulta2[[#This Row],[DATA]])</f>
        <v>3</v>
      </c>
      <c r="I1647" s="6">
        <f>MONTH(Consulta2[[#This Row],[DATA]])</f>
        <v>7</v>
      </c>
      <c r="J1647" t="str">
        <f>CONCATENATE(Consulta2[[#This Row],[SAFRA]],Consulta2[[#This Row],[dia]])</f>
        <v>2028073</v>
      </c>
      <c r="K1647">
        <f>Consulta2[[#This Row],[DIA_UTIL_CORRENTE]]</f>
        <v>1</v>
      </c>
    </row>
    <row r="1648" spans="1:11" x14ac:dyDescent="0.25">
      <c r="A1648">
        <v>202807</v>
      </c>
      <c r="B1648">
        <v>2</v>
      </c>
      <c r="C1648" s="148">
        <v>46938</v>
      </c>
      <c r="D1648">
        <v>21</v>
      </c>
      <c r="E1648">
        <v>21</v>
      </c>
      <c r="F1648">
        <v>1133</v>
      </c>
      <c r="G1648">
        <f>Consulta2[[#This Row],[DIA_UTIL_CORRENTE]]</f>
        <v>2</v>
      </c>
      <c r="H1648" s="6">
        <f>DAY(Consulta2[[#This Row],[DATA]])</f>
        <v>4</v>
      </c>
      <c r="I1648" s="6">
        <f>MONTH(Consulta2[[#This Row],[DATA]])</f>
        <v>7</v>
      </c>
      <c r="J1648" t="str">
        <f>CONCATENATE(Consulta2[[#This Row],[SAFRA]],Consulta2[[#This Row],[dia]])</f>
        <v>2028074</v>
      </c>
      <c r="K1648">
        <f>Consulta2[[#This Row],[DIA_UTIL_CORRENTE]]</f>
        <v>2</v>
      </c>
    </row>
    <row r="1649" spans="1:11" x14ac:dyDescent="0.25">
      <c r="A1649">
        <v>202807</v>
      </c>
      <c r="B1649">
        <v>3</v>
      </c>
      <c r="C1649" s="148">
        <v>46939</v>
      </c>
      <c r="D1649">
        <v>21</v>
      </c>
      <c r="E1649">
        <v>21</v>
      </c>
      <c r="F1649">
        <v>1134</v>
      </c>
      <c r="G1649">
        <f>Consulta2[[#This Row],[DIA_UTIL_CORRENTE]]</f>
        <v>3</v>
      </c>
      <c r="H1649" s="6">
        <f>DAY(Consulta2[[#This Row],[DATA]])</f>
        <v>5</v>
      </c>
      <c r="I1649" s="6">
        <f>MONTH(Consulta2[[#This Row],[DATA]])</f>
        <v>7</v>
      </c>
      <c r="J1649" t="str">
        <f>CONCATENATE(Consulta2[[#This Row],[SAFRA]],Consulta2[[#This Row],[dia]])</f>
        <v>2028075</v>
      </c>
      <c r="K1649">
        <f>Consulta2[[#This Row],[DIA_UTIL_CORRENTE]]</f>
        <v>3</v>
      </c>
    </row>
    <row r="1650" spans="1:11" x14ac:dyDescent="0.25">
      <c r="A1650">
        <v>202807</v>
      </c>
      <c r="B1650">
        <v>4</v>
      </c>
      <c r="C1650" s="148">
        <v>46940</v>
      </c>
      <c r="D1650">
        <v>21</v>
      </c>
      <c r="E1650">
        <v>21</v>
      </c>
      <c r="F1650">
        <v>1135</v>
      </c>
      <c r="G1650">
        <f>Consulta2[[#This Row],[DIA_UTIL_CORRENTE]]</f>
        <v>4</v>
      </c>
      <c r="H1650" s="6">
        <f>DAY(Consulta2[[#This Row],[DATA]])</f>
        <v>6</v>
      </c>
      <c r="I1650" s="6">
        <f>MONTH(Consulta2[[#This Row],[DATA]])</f>
        <v>7</v>
      </c>
      <c r="J1650" t="str">
        <f>CONCATENATE(Consulta2[[#This Row],[SAFRA]],Consulta2[[#This Row],[dia]])</f>
        <v>2028076</v>
      </c>
      <c r="K1650">
        <f>Consulta2[[#This Row],[DIA_UTIL_CORRENTE]]</f>
        <v>4</v>
      </c>
    </row>
    <row r="1651" spans="1:11" x14ac:dyDescent="0.25">
      <c r="A1651">
        <v>202807</v>
      </c>
      <c r="B1651">
        <v>5</v>
      </c>
      <c r="C1651" s="148">
        <v>46941</v>
      </c>
      <c r="D1651">
        <v>21</v>
      </c>
      <c r="E1651">
        <v>21</v>
      </c>
      <c r="F1651">
        <v>1136</v>
      </c>
      <c r="G1651">
        <f>Consulta2[[#This Row],[DIA_UTIL_CORRENTE]]</f>
        <v>5</v>
      </c>
      <c r="H1651" s="6">
        <f>DAY(Consulta2[[#This Row],[DATA]])</f>
        <v>7</v>
      </c>
      <c r="I1651" s="6">
        <f>MONTH(Consulta2[[#This Row],[DATA]])</f>
        <v>7</v>
      </c>
      <c r="J1651" t="str">
        <f>CONCATENATE(Consulta2[[#This Row],[SAFRA]],Consulta2[[#This Row],[dia]])</f>
        <v>2028077</v>
      </c>
      <c r="K1651">
        <f>Consulta2[[#This Row],[DIA_UTIL_CORRENTE]]</f>
        <v>5</v>
      </c>
    </row>
    <row r="1652" spans="1:11" x14ac:dyDescent="0.25">
      <c r="A1652">
        <v>202807</v>
      </c>
      <c r="B1652">
        <v>5</v>
      </c>
      <c r="C1652" s="148">
        <v>46942</v>
      </c>
      <c r="D1652">
        <v>21</v>
      </c>
      <c r="E1652">
        <v>21</v>
      </c>
      <c r="F1652">
        <v>1136</v>
      </c>
      <c r="G1652">
        <f>Consulta2[[#This Row],[DIA_UTIL_CORRENTE]]</f>
        <v>5</v>
      </c>
      <c r="H1652" s="6">
        <f>DAY(Consulta2[[#This Row],[DATA]])</f>
        <v>8</v>
      </c>
      <c r="I1652" s="6">
        <f>MONTH(Consulta2[[#This Row],[DATA]])</f>
        <v>7</v>
      </c>
      <c r="J1652" t="str">
        <f>CONCATENATE(Consulta2[[#This Row],[SAFRA]],Consulta2[[#This Row],[dia]])</f>
        <v>2028078</v>
      </c>
      <c r="K1652">
        <f>Consulta2[[#This Row],[DIA_UTIL_CORRENTE]]</f>
        <v>5</v>
      </c>
    </row>
    <row r="1653" spans="1:11" x14ac:dyDescent="0.25">
      <c r="A1653">
        <v>202807</v>
      </c>
      <c r="B1653">
        <v>5</v>
      </c>
      <c r="C1653" s="148">
        <v>46943</v>
      </c>
      <c r="D1653">
        <v>21</v>
      </c>
      <c r="E1653">
        <v>21</v>
      </c>
      <c r="F1653">
        <v>1136</v>
      </c>
      <c r="G1653">
        <f>Consulta2[[#This Row],[DIA_UTIL_CORRENTE]]</f>
        <v>5</v>
      </c>
      <c r="H1653" s="6">
        <f>DAY(Consulta2[[#This Row],[DATA]])</f>
        <v>9</v>
      </c>
      <c r="I1653" s="6">
        <f>MONTH(Consulta2[[#This Row],[DATA]])</f>
        <v>7</v>
      </c>
      <c r="J1653" t="str">
        <f>CONCATENATE(Consulta2[[#This Row],[SAFRA]],Consulta2[[#This Row],[dia]])</f>
        <v>2028079</v>
      </c>
      <c r="K1653">
        <f>Consulta2[[#This Row],[DIA_UTIL_CORRENTE]]</f>
        <v>5</v>
      </c>
    </row>
    <row r="1654" spans="1:11" x14ac:dyDescent="0.25">
      <c r="A1654">
        <v>202807</v>
      </c>
      <c r="B1654">
        <v>6</v>
      </c>
      <c r="C1654" s="148">
        <v>46944</v>
      </c>
      <c r="D1654">
        <v>21</v>
      </c>
      <c r="E1654">
        <v>21</v>
      </c>
      <c r="F1654">
        <v>1137</v>
      </c>
      <c r="G1654">
        <f>Consulta2[[#This Row],[DIA_UTIL_CORRENTE]]</f>
        <v>6</v>
      </c>
      <c r="H1654" s="6">
        <f>DAY(Consulta2[[#This Row],[DATA]])</f>
        <v>10</v>
      </c>
      <c r="I1654" s="6">
        <f>MONTH(Consulta2[[#This Row],[DATA]])</f>
        <v>7</v>
      </c>
      <c r="J1654" t="str">
        <f>CONCATENATE(Consulta2[[#This Row],[SAFRA]],Consulta2[[#This Row],[dia]])</f>
        <v>20280710</v>
      </c>
      <c r="K1654">
        <f>Consulta2[[#This Row],[DIA_UTIL_CORRENTE]]</f>
        <v>6</v>
      </c>
    </row>
    <row r="1655" spans="1:11" x14ac:dyDescent="0.25">
      <c r="A1655">
        <v>202807</v>
      </c>
      <c r="B1655">
        <v>7</v>
      </c>
      <c r="C1655" s="148">
        <v>46945</v>
      </c>
      <c r="D1655">
        <v>21</v>
      </c>
      <c r="E1655">
        <v>21</v>
      </c>
      <c r="F1655">
        <v>1138</v>
      </c>
      <c r="G1655">
        <f>Consulta2[[#This Row],[DIA_UTIL_CORRENTE]]</f>
        <v>7</v>
      </c>
      <c r="H1655" s="6">
        <f>DAY(Consulta2[[#This Row],[DATA]])</f>
        <v>11</v>
      </c>
      <c r="I1655" s="6">
        <f>MONTH(Consulta2[[#This Row],[DATA]])</f>
        <v>7</v>
      </c>
      <c r="J1655" t="str">
        <f>CONCATENATE(Consulta2[[#This Row],[SAFRA]],Consulta2[[#This Row],[dia]])</f>
        <v>20280711</v>
      </c>
      <c r="K1655">
        <f>Consulta2[[#This Row],[DIA_UTIL_CORRENTE]]</f>
        <v>7</v>
      </c>
    </row>
    <row r="1656" spans="1:11" x14ac:dyDescent="0.25">
      <c r="A1656">
        <v>202807</v>
      </c>
      <c r="B1656">
        <v>8</v>
      </c>
      <c r="C1656" s="148">
        <v>46946</v>
      </c>
      <c r="D1656">
        <v>21</v>
      </c>
      <c r="E1656">
        <v>21</v>
      </c>
      <c r="F1656">
        <v>1139</v>
      </c>
      <c r="G1656">
        <f>Consulta2[[#This Row],[DIA_UTIL_CORRENTE]]</f>
        <v>8</v>
      </c>
      <c r="H1656" s="6">
        <f>DAY(Consulta2[[#This Row],[DATA]])</f>
        <v>12</v>
      </c>
      <c r="I1656" s="6">
        <f>MONTH(Consulta2[[#This Row],[DATA]])</f>
        <v>7</v>
      </c>
      <c r="J1656" t="str">
        <f>CONCATENATE(Consulta2[[#This Row],[SAFRA]],Consulta2[[#This Row],[dia]])</f>
        <v>20280712</v>
      </c>
      <c r="K1656">
        <f>Consulta2[[#This Row],[DIA_UTIL_CORRENTE]]</f>
        <v>8</v>
      </c>
    </row>
    <row r="1657" spans="1:11" x14ac:dyDescent="0.25">
      <c r="A1657">
        <v>202807</v>
      </c>
      <c r="B1657">
        <v>9</v>
      </c>
      <c r="C1657" s="148">
        <v>46947</v>
      </c>
      <c r="D1657">
        <v>21</v>
      </c>
      <c r="E1657">
        <v>21</v>
      </c>
      <c r="F1657">
        <v>1140</v>
      </c>
      <c r="G1657">
        <f>Consulta2[[#This Row],[DIA_UTIL_CORRENTE]]</f>
        <v>9</v>
      </c>
      <c r="H1657" s="6">
        <f>DAY(Consulta2[[#This Row],[DATA]])</f>
        <v>13</v>
      </c>
      <c r="I1657" s="6">
        <f>MONTH(Consulta2[[#This Row],[DATA]])</f>
        <v>7</v>
      </c>
      <c r="J1657" t="str">
        <f>CONCATENATE(Consulta2[[#This Row],[SAFRA]],Consulta2[[#This Row],[dia]])</f>
        <v>20280713</v>
      </c>
      <c r="K1657">
        <f>Consulta2[[#This Row],[DIA_UTIL_CORRENTE]]</f>
        <v>9</v>
      </c>
    </row>
    <row r="1658" spans="1:11" x14ac:dyDescent="0.25">
      <c r="A1658">
        <v>202807</v>
      </c>
      <c r="B1658">
        <v>10</v>
      </c>
      <c r="C1658" s="148">
        <v>46948</v>
      </c>
      <c r="D1658">
        <v>21</v>
      </c>
      <c r="E1658">
        <v>21</v>
      </c>
      <c r="F1658">
        <v>1141</v>
      </c>
      <c r="G1658">
        <f>Consulta2[[#This Row],[DIA_UTIL_CORRENTE]]</f>
        <v>10</v>
      </c>
      <c r="H1658" s="6">
        <f>DAY(Consulta2[[#This Row],[DATA]])</f>
        <v>14</v>
      </c>
      <c r="I1658" s="6">
        <f>MONTH(Consulta2[[#This Row],[DATA]])</f>
        <v>7</v>
      </c>
      <c r="J1658" t="str">
        <f>CONCATENATE(Consulta2[[#This Row],[SAFRA]],Consulta2[[#This Row],[dia]])</f>
        <v>20280714</v>
      </c>
      <c r="K1658">
        <f>Consulta2[[#This Row],[DIA_UTIL_CORRENTE]]</f>
        <v>10</v>
      </c>
    </row>
    <row r="1659" spans="1:11" x14ac:dyDescent="0.25">
      <c r="A1659">
        <v>202807</v>
      </c>
      <c r="B1659">
        <v>10</v>
      </c>
      <c r="C1659" s="148">
        <v>46949</v>
      </c>
      <c r="D1659">
        <v>21</v>
      </c>
      <c r="E1659">
        <v>21</v>
      </c>
      <c r="F1659">
        <v>1141</v>
      </c>
      <c r="G1659">
        <f>Consulta2[[#This Row],[DIA_UTIL_CORRENTE]]</f>
        <v>10</v>
      </c>
      <c r="H1659" s="6">
        <f>DAY(Consulta2[[#This Row],[DATA]])</f>
        <v>15</v>
      </c>
      <c r="I1659" s="6">
        <f>MONTH(Consulta2[[#This Row],[DATA]])</f>
        <v>7</v>
      </c>
      <c r="J1659" t="str">
        <f>CONCATENATE(Consulta2[[#This Row],[SAFRA]],Consulta2[[#This Row],[dia]])</f>
        <v>20280715</v>
      </c>
      <c r="K1659">
        <f>Consulta2[[#This Row],[DIA_UTIL_CORRENTE]]</f>
        <v>10</v>
      </c>
    </row>
    <row r="1660" spans="1:11" x14ac:dyDescent="0.25">
      <c r="A1660">
        <v>202807</v>
      </c>
      <c r="B1660">
        <v>10</v>
      </c>
      <c r="C1660" s="148">
        <v>46950</v>
      </c>
      <c r="D1660">
        <v>21</v>
      </c>
      <c r="E1660">
        <v>21</v>
      </c>
      <c r="F1660">
        <v>1141</v>
      </c>
      <c r="G1660">
        <f>Consulta2[[#This Row],[DIA_UTIL_CORRENTE]]</f>
        <v>10</v>
      </c>
      <c r="H1660" s="6">
        <f>DAY(Consulta2[[#This Row],[DATA]])</f>
        <v>16</v>
      </c>
      <c r="I1660" s="6">
        <f>MONTH(Consulta2[[#This Row],[DATA]])</f>
        <v>7</v>
      </c>
      <c r="J1660" t="str">
        <f>CONCATENATE(Consulta2[[#This Row],[SAFRA]],Consulta2[[#This Row],[dia]])</f>
        <v>20280716</v>
      </c>
      <c r="K1660">
        <f>Consulta2[[#This Row],[DIA_UTIL_CORRENTE]]</f>
        <v>10</v>
      </c>
    </row>
    <row r="1661" spans="1:11" x14ac:dyDescent="0.25">
      <c r="A1661">
        <v>202807</v>
      </c>
      <c r="B1661">
        <v>11</v>
      </c>
      <c r="C1661" s="148">
        <v>46951</v>
      </c>
      <c r="D1661">
        <v>21</v>
      </c>
      <c r="E1661">
        <v>21</v>
      </c>
      <c r="F1661">
        <v>1142</v>
      </c>
      <c r="G1661">
        <f>Consulta2[[#This Row],[DIA_UTIL_CORRENTE]]</f>
        <v>11</v>
      </c>
      <c r="H1661" s="6">
        <f>DAY(Consulta2[[#This Row],[DATA]])</f>
        <v>17</v>
      </c>
      <c r="I1661" s="6">
        <f>MONTH(Consulta2[[#This Row],[DATA]])</f>
        <v>7</v>
      </c>
      <c r="J1661" t="str">
        <f>CONCATENATE(Consulta2[[#This Row],[SAFRA]],Consulta2[[#This Row],[dia]])</f>
        <v>20280717</v>
      </c>
      <c r="K1661">
        <f>Consulta2[[#This Row],[DIA_UTIL_CORRENTE]]</f>
        <v>11</v>
      </c>
    </row>
    <row r="1662" spans="1:11" x14ac:dyDescent="0.25">
      <c r="A1662">
        <v>202807</v>
      </c>
      <c r="B1662">
        <v>12</v>
      </c>
      <c r="C1662" s="148">
        <v>46952</v>
      </c>
      <c r="D1662">
        <v>21</v>
      </c>
      <c r="E1662">
        <v>21</v>
      </c>
      <c r="F1662">
        <v>1143</v>
      </c>
      <c r="G1662">
        <f>Consulta2[[#This Row],[DIA_UTIL_CORRENTE]]</f>
        <v>12</v>
      </c>
      <c r="H1662" s="6">
        <f>DAY(Consulta2[[#This Row],[DATA]])</f>
        <v>18</v>
      </c>
      <c r="I1662" s="6">
        <f>MONTH(Consulta2[[#This Row],[DATA]])</f>
        <v>7</v>
      </c>
      <c r="J1662" t="str">
        <f>CONCATENATE(Consulta2[[#This Row],[SAFRA]],Consulta2[[#This Row],[dia]])</f>
        <v>20280718</v>
      </c>
      <c r="K1662">
        <f>Consulta2[[#This Row],[DIA_UTIL_CORRENTE]]</f>
        <v>12</v>
      </c>
    </row>
    <row r="1663" spans="1:11" x14ac:dyDescent="0.25">
      <c r="A1663">
        <v>202807</v>
      </c>
      <c r="B1663">
        <v>13</v>
      </c>
      <c r="C1663" s="148">
        <v>46953</v>
      </c>
      <c r="D1663">
        <v>21</v>
      </c>
      <c r="E1663">
        <v>21</v>
      </c>
      <c r="F1663">
        <v>1144</v>
      </c>
      <c r="G1663">
        <f>Consulta2[[#This Row],[DIA_UTIL_CORRENTE]]</f>
        <v>13</v>
      </c>
      <c r="H1663" s="6">
        <f>DAY(Consulta2[[#This Row],[DATA]])</f>
        <v>19</v>
      </c>
      <c r="I1663" s="6">
        <f>MONTH(Consulta2[[#This Row],[DATA]])</f>
        <v>7</v>
      </c>
      <c r="J1663" t="str">
        <f>CONCATENATE(Consulta2[[#This Row],[SAFRA]],Consulta2[[#This Row],[dia]])</f>
        <v>20280719</v>
      </c>
      <c r="K1663">
        <f>Consulta2[[#This Row],[DIA_UTIL_CORRENTE]]</f>
        <v>13</v>
      </c>
    </row>
    <row r="1664" spans="1:11" x14ac:dyDescent="0.25">
      <c r="A1664">
        <v>202807</v>
      </c>
      <c r="B1664">
        <v>14</v>
      </c>
      <c r="C1664" s="148">
        <v>46954</v>
      </c>
      <c r="D1664">
        <v>21</v>
      </c>
      <c r="E1664">
        <v>21</v>
      </c>
      <c r="F1664">
        <v>1145</v>
      </c>
      <c r="G1664">
        <f>Consulta2[[#This Row],[DIA_UTIL_CORRENTE]]</f>
        <v>14</v>
      </c>
      <c r="H1664" s="6">
        <f>DAY(Consulta2[[#This Row],[DATA]])</f>
        <v>20</v>
      </c>
      <c r="I1664" s="6">
        <f>MONTH(Consulta2[[#This Row],[DATA]])</f>
        <v>7</v>
      </c>
      <c r="J1664" t="str">
        <f>CONCATENATE(Consulta2[[#This Row],[SAFRA]],Consulta2[[#This Row],[dia]])</f>
        <v>20280720</v>
      </c>
      <c r="K1664">
        <f>Consulta2[[#This Row],[DIA_UTIL_CORRENTE]]</f>
        <v>14</v>
      </c>
    </row>
    <row r="1665" spans="1:11" x14ac:dyDescent="0.25">
      <c r="A1665">
        <v>202807</v>
      </c>
      <c r="B1665">
        <v>15</v>
      </c>
      <c r="C1665" s="148">
        <v>46955</v>
      </c>
      <c r="D1665">
        <v>21</v>
      </c>
      <c r="E1665">
        <v>21</v>
      </c>
      <c r="F1665">
        <v>1146</v>
      </c>
      <c r="G1665">
        <f>Consulta2[[#This Row],[DIA_UTIL_CORRENTE]]</f>
        <v>15</v>
      </c>
      <c r="H1665" s="6">
        <f>DAY(Consulta2[[#This Row],[DATA]])</f>
        <v>21</v>
      </c>
      <c r="I1665" s="6">
        <f>MONTH(Consulta2[[#This Row],[DATA]])</f>
        <v>7</v>
      </c>
      <c r="J1665" t="str">
        <f>CONCATENATE(Consulta2[[#This Row],[SAFRA]],Consulta2[[#This Row],[dia]])</f>
        <v>20280721</v>
      </c>
      <c r="K1665">
        <f>Consulta2[[#This Row],[DIA_UTIL_CORRENTE]]</f>
        <v>15</v>
      </c>
    </row>
    <row r="1666" spans="1:11" x14ac:dyDescent="0.25">
      <c r="A1666">
        <v>202807</v>
      </c>
      <c r="B1666">
        <v>15</v>
      </c>
      <c r="C1666" s="148">
        <v>46956</v>
      </c>
      <c r="D1666">
        <v>21</v>
      </c>
      <c r="E1666">
        <v>21</v>
      </c>
      <c r="F1666">
        <v>1146</v>
      </c>
      <c r="G1666">
        <f>Consulta2[[#This Row],[DIA_UTIL_CORRENTE]]</f>
        <v>15</v>
      </c>
      <c r="H1666" s="6">
        <f>DAY(Consulta2[[#This Row],[DATA]])</f>
        <v>22</v>
      </c>
      <c r="I1666" s="6">
        <f>MONTH(Consulta2[[#This Row],[DATA]])</f>
        <v>7</v>
      </c>
      <c r="J1666" t="str">
        <f>CONCATENATE(Consulta2[[#This Row],[SAFRA]],Consulta2[[#This Row],[dia]])</f>
        <v>20280722</v>
      </c>
      <c r="K1666">
        <f>Consulta2[[#This Row],[DIA_UTIL_CORRENTE]]</f>
        <v>15</v>
      </c>
    </row>
    <row r="1667" spans="1:11" x14ac:dyDescent="0.25">
      <c r="A1667">
        <v>202807</v>
      </c>
      <c r="B1667">
        <v>15</v>
      </c>
      <c r="C1667" s="148">
        <v>46957</v>
      </c>
      <c r="D1667">
        <v>21</v>
      </c>
      <c r="E1667">
        <v>21</v>
      </c>
      <c r="F1667">
        <v>1146</v>
      </c>
      <c r="G1667">
        <f>Consulta2[[#This Row],[DIA_UTIL_CORRENTE]]</f>
        <v>15</v>
      </c>
      <c r="H1667" s="6">
        <f>DAY(Consulta2[[#This Row],[DATA]])</f>
        <v>23</v>
      </c>
      <c r="I1667" s="6">
        <f>MONTH(Consulta2[[#This Row],[DATA]])</f>
        <v>7</v>
      </c>
      <c r="J1667" t="str">
        <f>CONCATENATE(Consulta2[[#This Row],[SAFRA]],Consulta2[[#This Row],[dia]])</f>
        <v>20280723</v>
      </c>
      <c r="K1667">
        <f>Consulta2[[#This Row],[DIA_UTIL_CORRENTE]]</f>
        <v>15</v>
      </c>
    </row>
    <row r="1668" spans="1:11" x14ac:dyDescent="0.25">
      <c r="A1668">
        <v>202807</v>
      </c>
      <c r="B1668">
        <v>16</v>
      </c>
      <c r="C1668" s="148">
        <v>46958</v>
      </c>
      <c r="D1668">
        <v>21</v>
      </c>
      <c r="E1668">
        <v>21</v>
      </c>
      <c r="F1668">
        <v>1147</v>
      </c>
      <c r="G1668">
        <f>Consulta2[[#This Row],[DIA_UTIL_CORRENTE]]</f>
        <v>16</v>
      </c>
      <c r="H1668" s="6">
        <f>DAY(Consulta2[[#This Row],[DATA]])</f>
        <v>24</v>
      </c>
      <c r="I1668" s="6">
        <f>MONTH(Consulta2[[#This Row],[DATA]])</f>
        <v>7</v>
      </c>
      <c r="J1668" t="str">
        <f>CONCATENATE(Consulta2[[#This Row],[SAFRA]],Consulta2[[#This Row],[dia]])</f>
        <v>20280724</v>
      </c>
      <c r="K1668">
        <f>Consulta2[[#This Row],[DIA_UTIL_CORRENTE]]</f>
        <v>16</v>
      </c>
    </row>
    <row r="1669" spans="1:11" x14ac:dyDescent="0.25">
      <c r="A1669">
        <v>202807</v>
      </c>
      <c r="B1669">
        <v>17</v>
      </c>
      <c r="C1669" s="148">
        <v>46959</v>
      </c>
      <c r="D1669">
        <v>21</v>
      </c>
      <c r="E1669">
        <v>21</v>
      </c>
      <c r="F1669">
        <v>1148</v>
      </c>
      <c r="G1669">
        <f>Consulta2[[#This Row],[DIA_UTIL_CORRENTE]]</f>
        <v>17</v>
      </c>
      <c r="H1669" s="6">
        <f>DAY(Consulta2[[#This Row],[DATA]])</f>
        <v>25</v>
      </c>
      <c r="I1669" s="6">
        <f>MONTH(Consulta2[[#This Row],[DATA]])</f>
        <v>7</v>
      </c>
      <c r="J1669" t="str">
        <f>CONCATENATE(Consulta2[[#This Row],[SAFRA]],Consulta2[[#This Row],[dia]])</f>
        <v>20280725</v>
      </c>
      <c r="K1669">
        <f>Consulta2[[#This Row],[DIA_UTIL_CORRENTE]]</f>
        <v>17</v>
      </c>
    </row>
    <row r="1670" spans="1:11" x14ac:dyDescent="0.25">
      <c r="A1670">
        <v>202807</v>
      </c>
      <c r="B1670">
        <v>18</v>
      </c>
      <c r="C1670" s="148">
        <v>46960</v>
      </c>
      <c r="D1670">
        <v>21</v>
      </c>
      <c r="E1670">
        <v>21</v>
      </c>
      <c r="F1670">
        <v>1149</v>
      </c>
      <c r="G1670">
        <f>Consulta2[[#This Row],[DIA_UTIL_CORRENTE]]</f>
        <v>18</v>
      </c>
      <c r="H1670" s="6">
        <f>DAY(Consulta2[[#This Row],[DATA]])</f>
        <v>26</v>
      </c>
      <c r="I1670" s="6">
        <f>MONTH(Consulta2[[#This Row],[DATA]])</f>
        <v>7</v>
      </c>
      <c r="J1670" t="str">
        <f>CONCATENATE(Consulta2[[#This Row],[SAFRA]],Consulta2[[#This Row],[dia]])</f>
        <v>20280726</v>
      </c>
      <c r="K1670">
        <f>Consulta2[[#This Row],[DIA_UTIL_CORRENTE]]</f>
        <v>18</v>
      </c>
    </row>
    <row r="1671" spans="1:11" x14ac:dyDescent="0.25">
      <c r="A1671">
        <v>202807</v>
      </c>
      <c r="B1671">
        <v>19</v>
      </c>
      <c r="C1671" s="148">
        <v>46961</v>
      </c>
      <c r="D1671">
        <v>21</v>
      </c>
      <c r="E1671">
        <v>21</v>
      </c>
      <c r="F1671">
        <v>1150</v>
      </c>
      <c r="G1671">
        <f>Consulta2[[#This Row],[DIA_UTIL_CORRENTE]]</f>
        <v>19</v>
      </c>
      <c r="H1671" s="6">
        <f>DAY(Consulta2[[#This Row],[DATA]])</f>
        <v>27</v>
      </c>
      <c r="I1671" s="6">
        <f>MONTH(Consulta2[[#This Row],[DATA]])</f>
        <v>7</v>
      </c>
      <c r="J1671" t="str">
        <f>CONCATENATE(Consulta2[[#This Row],[SAFRA]],Consulta2[[#This Row],[dia]])</f>
        <v>20280727</v>
      </c>
      <c r="K1671">
        <f>Consulta2[[#This Row],[DIA_UTIL_CORRENTE]]</f>
        <v>19</v>
      </c>
    </row>
    <row r="1672" spans="1:11" x14ac:dyDescent="0.25">
      <c r="A1672">
        <v>202807</v>
      </c>
      <c r="B1672">
        <v>20</v>
      </c>
      <c r="C1672" s="148">
        <v>46962</v>
      </c>
      <c r="D1672">
        <v>21</v>
      </c>
      <c r="E1672">
        <v>21</v>
      </c>
      <c r="F1672">
        <v>1151</v>
      </c>
      <c r="G1672">
        <f>Consulta2[[#This Row],[DIA_UTIL_CORRENTE]]</f>
        <v>20</v>
      </c>
      <c r="H1672" s="6">
        <f>DAY(Consulta2[[#This Row],[DATA]])</f>
        <v>28</v>
      </c>
      <c r="I1672" s="6">
        <f>MONTH(Consulta2[[#This Row],[DATA]])</f>
        <v>7</v>
      </c>
      <c r="J1672" t="str">
        <f>CONCATENATE(Consulta2[[#This Row],[SAFRA]],Consulta2[[#This Row],[dia]])</f>
        <v>20280728</v>
      </c>
      <c r="K1672">
        <f>Consulta2[[#This Row],[DIA_UTIL_CORRENTE]]</f>
        <v>20</v>
      </c>
    </row>
    <row r="1673" spans="1:11" x14ac:dyDescent="0.25">
      <c r="A1673">
        <v>202807</v>
      </c>
      <c r="B1673">
        <v>20</v>
      </c>
      <c r="C1673" s="148">
        <v>46963</v>
      </c>
      <c r="D1673">
        <v>21</v>
      </c>
      <c r="E1673">
        <v>21</v>
      </c>
      <c r="F1673">
        <v>1151</v>
      </c>
      <c r="G1673">
        <f>Consulta2[[#This Row],[DIA_UTIL_CORRENTE]]</f>
        <v>20</v>
      </c>
      <c r="H1673" s="6">
        <f>DAY(Consulta2[[#This Row],[DATA]])</f>
        <v>29</v>
      </c>
      <c r="I1673" s="6">
        <f>MONTH(Consulta2[[#This Row],[DATA]])</f>
        <v>7</v>
      </c>
      <c r="J1673" t="str">
        <f>CONCATENATE(Consulta2[[#This Row],[SAFRA]],Consulta2[[#This Row],[dia]])</f>
        <v>20280729</v>
      </c>
      <c r="K1673">
        <f>Consulta2[[#This Row],[DIA_UTIL_CORRENTE]]</f>
        <v>20</v>
      </c>
    </row>
    <row r="1674" spans="1:11" x14ac:dyDescent="0.25">
      <c r="A1674">
        <v>202807</v>
      </c>
      <c r="B1674">
        <v>20</v>
      </c>
      <c r="C1674" s="148">
        <v>46964</v>
      </c>
      <c r="D1674">
        <v>21</v>
      </c>
      <c r="E1674">
        <v>21</v>
      </c>
      <c r="F1674">
        <v>1151</v>
      </c>
      <c r="G1674">
        <f>Consulta2[[#This Row],[DIA_UTIL_CORRENTE]]</f>
        <v>20</v>
      </c>
      <c r="H1674" s="6">
        <f>DAY(Consulta2[[#This Row],[DATA]])</f>
        <v>30</v>
      </c>
      <c r="I1674" s="6">
        <f>MONTH(Consulta2[[#This Row],[DATA]])</f>
        <v>7</v>
      </c>
      <c r="J1674" t="str">
        <f>CONCATENATE(Consulta2[[#This Row],[SAFRA]],Consulta2[[#This Row],[dia]])</f>
        <v>20280730</v>
      </c>
      <c r="K1674">
        <f>Consulta2[[#This Row],[DIA_UTIL_CORRENTE]]</f>
        <v>20</v>
      </c>
    </row>
    <row r="1675" spans="1:11" x14ac:dyDescent="0.25">
      <c r="A1675">
        <v>202807</v>
      </c>
      <c r="B1675">
        <v>21</v>
      </c>
      <c r="C1675" s="148">
        <v>46965</v>
      </c>
      <c r="D1675">
        <v>21</v>
      </c>
      <c r="E1675">
        <v>21</v>
      </c>
      <c r="F1675">
        <v>1152</v>
      </c>
      <c r="G1675">
        <f>Consulta2[[#This Row],[DIA_UTIL_CORRENTE]]</f>
        <v>21</v>
      </c>
      <c r="H1675" s="6">
        <f>DAY(Consulta2[[#This Row],[DATA]])</f>
        <v>31</v>
      </c>
      <c r="I1675" s="6">
        <f>MONTH(Consulta2[[#This Row],[DATA]])</f>
        <v>7</v>
      </c>
      <c r="J1675" t="str">
        <f>CONCATENATE(Consulta2[[#This Row],[SAFRA]],Consulta2[[#This Row],[dia]])</f>
        <v>20280731</v>
      </c>
      <c r="K1675">
        <f>Consulta2[[#This Row],[DIA_UTIL_CORRENTE]]</f>
        <v>21</v>
      </c>
    </row>
    <row r="1676" spans="1:11" x14ac:dyDescent="0.25">
      <c r="A1676">
        <v>202808</v>
      </c>
      <c r="B1676">
        <v>1</v>
      </c>
      <c r="C1676" s="148">
        <v>46966</v>
      </c>
      <c r="D1676">
        <v>23</v>
      </c>
      <c r="E1676">
        <v>23</v>
      </c>
      <c r="F1676">
        <v>1153</v>
      </c>
      <c r="G1676">
        <f>Consulta2[[#This Row],[DIA_UTIL_CORRENTE]]</f>
        <v>1</v>
      </c>
      <c r="H1676" s="6">
        <f>DAY(Consulta2[[#This Row],[DATA]])</f>
        <v>1</v>
      </c>
      <c r="I1676" s="6">
        <f>MONTH(Consulta2[[#This Row],[DATA]])</f>
        <v>8</v>
      </c>
      <c r="J1676" t="str">
        <f>CONCATENATE(Consulta2[[#This Row],[SAFRA]],Consulta2[[#This Row],[dia]])</f>
        <v>2028081</v>
      </c>
      <c r="K1676">
        <f>Consulta2[[#This Row],[DIA_UTIL_CORRENTE]]</f>
        <v>1</v>
      </c>
    </row>
    <row r="1677" spans="1:11" x14ac:dyDescent="0.25">
      <c r="A1677">
        <v>202808</v>
      </c>
      <c r="B1677">
        <v>2</v>
      </c>
      <c r="C1677" s="148">
        <v>46967</v>
      </c>
      <c r="D1677">
        <v>23</v>
      </c>
      <c r="E1677">
        <v>23</v>
      </c>
      <c r="F1677">
        <v>1154</v>
      </c>
      <c r="G1677">
        <f>Consulta2[[#This Row],[DIA_UTIL_CORRENTE]]</f>
        <v>2</v>
      </c>
      <c r="H1677" s="6">
        <f>DAY(Consulta2[[#This Row],[DATA]])</f>
        <v>2</v>
      </c>
      <c r="I1677" s="6">
        <f>MONTH(Consulta2[[#This Row],[DATA]])</f>
        <v>8</v>
      </c>
      <c r="J1677" t="str">
        <f>CONCATENATE(Consulta2[[#This Row],[SAFRA]],Consulta2[[#This Row],[dia]])</f>
        <v>2028082</v>
      </c>
      <c r="K1677">
        <f>Consulta2[[#This Row],[DIA_UTIL_CORRENTE]]</f>
        <v>2</v>
      </c>
    </row>
    <row r="1678" spans="1:11" x14ac:dyDescent="0.25">
      <c r="A1678">
        <v>202808</v>
      </c>
      <c r="B1678">
        <v>3</v>
      </c>
      <c r="C1678" s="148">
        <v>46968</v>
      </c>
      <c r="D1678">
        <v>23</v>
      </c>
      <c r="E1678">
        <v>23</v>
      </c>
      <c r="F1678">
        <v>1155</v>
      </c>
      <c r="G1678">
        <f>Consulta2[[#This Row],[DIA_UTIL_CORRENTE]]</f>
        <v>3</v>
      </c>
      <c r="H1678" s="6">
        <f>DAY(Consulta2[[#This Row],[DATA]])</f>
        <v>3</v>
      </c>
      <c r="I1678" s="6">
        <f>MONTH(Consulta2[[#This Row],[DATA]])</f>
        <v>8</v>
      </c>
      <c r="J1678" t="str">
        <f>CONCATENATE(Consulta2[[#This Row],[SAFRA]],Consulta2[[#This Row],[dia]])</f>
        <v>2028083</v>
      </c>
      <c r="K1678">
        <f>Consulta2[[#This Row],[DIA_UTIL_CORRENTE]]</f>
        <v>3</v>
      </c>
    </row>
    <row r="1679" spans="1:11" x14ac:dyDescent="0.25">
      <c r="A1679">
        <v>202808</v>
      </c>
      <c r="B1679">
        <v>4</v>
      </c>
      <c r="C1679" s="148">
        <v>46969</v>
      </c>
      <c r="D1679">
        <v>23</v>
      </c>
      <c r="E1679">
        <v>23</v>
      </c>
      <c r="F1679">
        <v>1156</v>
      </c>
      <c r="G1679">
        <f>Consulta2[[#This Row],[DIA_UTIL_CORRENTE]]</f>
        <v>4</v>
      </c>
      <c r="H1679" s="6">
        <f>DAY(Consulta2[[#This Row],[DATA]])</f>
        <v>4</v>
      </c>
      <c r="I1679" s="6">
        <f>MONTH(Consulta2[[#This Row],[DATA]])</f>
        <v>8</v>
      </c>
      <c r="J1679" t="str">
        <f>CONCATENATE(Consulta2[[#This Row],[SAFRA]],Consulta2[[#This Row],[dia]])</f>
        <v>2028084</v>
      </c>
      <c r="K1679">
        <f>Consulta2[[#This Row],[DIA_UTIL_CORRENTE]]</f>
        <v>4</v>
      </c>
    </row>
    <row r="1680" spans="1:11" x14ac:dyDescent="0.25">
      <c r="A1680">
        <v>202808</v>
      </c>
      <c r="B1680">
        <v>4</v>
      </c>
      <c r="C1680" s="148">
        <v>46970</v>
      </c>
      <c r="D1680">
        <v>23</v>
      </c>
      <c r="E1680">
        <v>23</v>
      </c>
      <c r="F1680">
        <v>1156</v>
      </c>
      <c r="G1680">
        <f>Consulta2[[#This Row],[DIA_UTIL_CORRENTE]]</f>
        <v>4</v>
      </c>
      <c r="H1680" s="6">
        <f>DAY(Consulta2[[#This Row],[DATA]])</f>
        <v>5</v>
      </c>
      <c r="I1680" s="6">
        <f>MONTH(Consulta2[[#This Row],[DATA]])</f>
        <v>8</v>
      </c>
      <c r="J1680" t="str">
        <f>CONCATENATE(Consulta2[[#This Row],[SAFRA]],Consulta2[[#This Row],[dia]])</f>
        <v>2028085</v>
      </c>
      <c r="K1680">
        <f>Consulta2[[#This Row],[DIA_UTIL_CORRENTE]]</f>
        <v>4</v>
      </c>
    </row>
    <row r="1681" spans="1:11" x14ac:dyDescent="0.25">
      <c r="A1681">
        <v>202808</v>
      </c>
      <c r="B1681">
        <v>4</v>
      </c>
      <c r="C1681" s="148">
        <v>46971</v>
      </c>
      <c r="D1681">
        <v>23</v>
      </c>
      <c r="E1681">
        <v>23</v>
      </c>
      <c r="F1681">
        <v>1156</v>
      </c>
      <c r="G1681">
        <f>Consulta2[[#This Row],[DIA_UTIL_CORRENTE]]</f>
        <v>4</v>
      </c>
      <c r="H1681" s="6">
        <f>DAY(Consulta2[[#This Row],[DATA]])</f>
        <v>6</v>
      </c>
      <c r="I1681" s="6">
        <f>MONTH(Consulta2[[#This Row],[DATA]])</f>
        <v>8</v>
      </c>
      <c r="J1681" t="str">
        <f>CONCATENATE(Consulta2[[#This Row],[SAFRA]],Consulta2[[#This Row],[dia]])</f>
        <v>2028086</v>
      </c>
      <c r="K1681">
        <f>Consulta2[[#This Row],[DIA_UTIL_CORRENTE]]</f>
        <v>4</v>
      </c>
    </row>
    <row r="1682" spans="1:11" x14ac:dyDescent="0.25">
      <c r="A1682">
        <v>202808</v>
      </c>
      <c r="B1682">
        <v>5</v>
      </c>
      <c r="C1682" s="148">
        <v>46972</v>
      </c>
      <c r="D1682">
        <v>23</v>
      </c>
      <c r="E1682">
        <v>23</v>
      </c>
      <c r="F1682">
        <v>1157</v>
      </c>
      <c r="G1682">
        <f>Consulta2[[#This Row],[DIA_UTIL_CORRENTE]]</f>
        <v>5</v>
      </c>
      <c r="H1682" s="6">
        <f>DAY(Consulta2[[#This Row],[DATA]])</f>
        <v>7</v>
      </c>
      <c r="I1682" s="6">
        <f>MONTH(Consulta2[[#This Row],[DATA]])</f>
        <v>8</v>
      </c>
      <c r="J1682" t="str">
        <f>CONCATENATE(Consulta2[[#This Row],[SAFRA]],Consulta2[[#This Row],[dia]])</f>
        <v>2028087</v>
      </c>
      <c r="K1682">
        <f>Consulta2[[#This Row],[DIA_UTIL_CORRENTE]]</f>
        <v>5</v>
      </c>
    </row>
    <row r="1683" spans="1:11" x14ac:dyDescent="0.25">
      <c r="A1683">
        <v>202808</v>
      </c>
      <c r="B1683">
        <v>6</v>
      </c>
      <c r="C1683" s="148">
        <v>46973</v>
      </c>
      <c r="D1683">
        <v>23</v>
      </c>
      <c r="E1683">
        <v>23</v>
      </c>
      <c r="F1683">
        <v>1158</v>
      </c>
      <c r="G1683">
        <f>Consulta2[[#This Row],[DIA_UTIL_CORRENTE]]</f>
        <v>6</v>
      </c>
      <c r="H1683" s="6">
        <f>DAY(Consulta2[[#This Row],[DATA]])</f>
        <v>8</v>
      </c>
      <c r="I1683" s="6">
        <f>MONTH(Consulta2[[#This Row],[DATA]])</f>
        <v>8</v>
      </c>
      <c r="J1683" t="str">
        <f>CONCATENATE(Consulta2[[#This Row],[SAFRA]],Consulta2[[#This Row],[dia]])</f>
        <v>2028088</v>
      </c>
      <c r="K1683">
        <f>Consulta2[[#This Row],[DIA_UTIL_CORRENTE]]</f>
        <v>6</v>
      </c>
    </row>
    <row r="1684" spans="1:11" x14ac:dyDescent="0.25">
      <c r="A1684">
        <v>202808</v>
      </c>
      <c r="B1684">
        <v>7</v>
      </c>
      <c r="C1684" s="148">
        <v>46974</v>
      </c>
      <c r="D1684">
        <v>23</v>
      </c>
      <c r="E1684">
        <v>23</v>
      </c>
      <c r="F1684">
        <v>1159</v>
      </c>
      <c r="G1684">
        <f>Consulta2[[#This Row],[DIA_UTIL_CORRENTE]]</f>
        <v>7</v>
      </c>
      <c r="H1684" s="6">
        <f>DAY(Consulta2[[#This Row],[DATA]])</f>
        <v>9</v>
      </c>
      <c r="I1684" s="6">
        <f>MONTH(Consulta2[[#This Row],[DATA]])</f>
        <v>8</v>
      </c>
      <c r="J1684" t="str">
        <f>CONCATENATE(Consulta2[[#This Row],[SAFRA]],Consulta2[[#This Row],[dia]])</f>
        <v>2028089</v>
      </c>
      <c r="K1684">
        <f>Consulta2[[#This Row],[DIA_UTIL_CORRENTE]]</f>
        <v>7</v>
      </c>
    </row>
    <row r="1685" spans="1:11" x14ac:dyDescent="0.25">
      <c r="A1685">
        <v>202808</v>
      </c>
      <c r="B1685">
        <v>8</v>
      </c>
      <c r="C1685" s="148">
        <v>46975</v>
      </c>
      <c r="D1685">
        <v>23</v>
      </c>
      <c r="E1685">
        <v>23</v>
      </c>
      <c r="F1685">
        <v>1160</v>
      </c>
      <c r="G1685">
        <f>Consulta2[[#This Row],[DIA_UTIL_CORRENTE]]</f>
        <v>8</v>
      </c>
      <c r="H1685" s="6">
        <f>DAY(Consulta2[[#This Row],[DATA]])</f>
        <v>10</v>
      </c>
      <c r="I1685" s="6">
        <f>MONTH(Consulta2[[#This Row],[DATA]])</f>
        <v>8</v>
      </c>
      <c r="J1685" t="str">
        <f>CONCATENATE(Consulta2[[#This Row],[SAFRA]],Consulta2[[#This Row],[dia]])</f>
        <v>20280810</v>
      </c>
      <c r="K1685">
        <f>Consulta2[[#This Row],[DIA_UTIL_CORRENTE]]</f>
        <v>8</v>
      </c>
    </row>
    <row r="1686" spans="1:11" x14ac:dyDescent="0.25">
      <c r="A1686">
        <v>202808</v>
      </c>
      <c r="B1686">
        <v>9</v>
      </c>
      <c r="C1686" s="148">
        <v>46976</v>
      </c>
      <c r="D1686">
        <v>23</v>
      </c>
      <c r="E1686">
        <v>23</v>
      </c>
      <c r="F1686">
        <v>1161</v>
      </c>
      <c r="G1686">
        <f>Consulta2[[#This Row],[DIA_UTIL_CORRENTE]]</f>
        <v>9</v>
      </c>
      <c r="H1686" s="6">
        <f>DAY(Consulta2[[#This Row],[DATA]])</f>
        <v>11</v>
      </c>
      <c r="I1686" s="6">
        <f>MONTH(Consulta2[[#This Row],[DATA]])</f>
        <v>8</v>
      </c>
      <c r="J1686" t="str">
        <f>CONCATENATE(Consulta2[[#This Row],[SAFRA]],Consulta2[[#This Row],[dia]])</f>
        <v>20280811</v>
      </c>
      <c r="K1686">
        <f>Consulta2[[#This Row],[DIA_UTIL_CORRENTE]]</f>
        <v>9</v>
      </c>
    </row>
    <row r="1687" spans="1:11" x14ac:dyDescent="0.25">
      <c r="A1687">
        <v>202808</v>
      </c>
      <c r="B1687">
        <v>9</v>
      </c>
      <c r="C1687" s="148">
        <v>46977</v>
      </c>
      <c r="D1687">
        <v>23</v>
      </c>
      <c r="E1687">
        <v>23</v>
      </c>
      <c r="F1687">
        <v>1161</v>
      </c>
      <c r="G1687">
        <f>Consulta2[[#This Row],[DIA_UTIL_CORRENTE]]</f>
        <v>9</v>
      </c>
      <c r="H1687" s="6">
        <f>DAY(Consulta2[[#This Row],[DATA]])</f>
        <v>12</v>
      </c>
      <c r="I1687" s="6">
        <f>MONTH(Consulta2[[#This Row],[DATA]])</f>
        <v>8</v>
      </c>
      <c r="J1687" t="str">
        <f>CONCATENATE(Consulta2[[#This Row],[SAFRA]],Consulta2[[#This Row],[dia]])</f>
        <v>20280812</v>
      </c>
      <c r="K1687">
        <f>Consulta2[[#This Row],[DIA_UTIL_CORRENTE]]</f>
        <v>9</v>
      </c>
    </row>
    <row r="1688" spans="1:11" x14ac:dyDescent="0.25">
      <c r="A1688">
        <v>202808</v>
      </c>
      <c r="B1688">
        <v>9</v>
      </c>
      <c r="C1688" s="148">
        <v>46978</v>
      </c>
      <c r="D1688">
        <v>23</v>
      </c>
      <c r="E1688">
        <v>23</v>
      </c>
      <c r="F1688">
        <v>1161</v>
      </c>
      <c r="G1688">
        <f>Consulta2[[#This Row],[DIA_UTIL_CORRENTE]]</f>
        <v>9</v>
      </c>
      <c r="H1688" s="6">
        <f>DAY(Consulta2[[#This Row],[DATA]])</f>
        <v>13</v>
      </c>
      <c r="I1688" s="6">
        <f>MONTH(Consulta2[[#This Row],[DATA]])</f>
        <v>8</v>
      </c>
      <c r="J1688" t="str">
        <f>CONCATENATE(Consulta2[[#This Row],[SAFRA]],Consulta2[[#This Row],[dia]])</f>
        <v>20280813</v>
      </c>
      <c r="K1688">
        <f>Consulta2[[#This Row],[DIA_UTIL_CORRENTE]]</f>
        <v>9</v>
      </c>
    </row>
    <row r="1689" spans="1:11" x14ac:dyDescent="0.25">
      <c r="A1689">
        <v>202808</v>
      </c>
      <c r="B1689">
        <v>10</v>
      </c>
      <c r="C1689" s="148">
        <v>46979</v>
      </c>
      <c r="D1689">
        <v>23</v>
      </c>
      <c r="E1689">
        <v>23</v>
      </c>
      <c r="F1689">
        <v>1162</v>
      </c>
      <c r="G1689">
        <f>Consulta2[[#This Row],[DIA_UTIL_CORRENTE]]</f>
        <v>10</v>
      </c>
      <c r="H1689" s="6">
        <f>DAY(Consulta2[[#This Row],[DATA]])</f>
        <v>14</v>
      </c>
      <c r="I1689" s="6">
        <f>MONTH(Consulta2[[#This Row],[DATA]])</f>
        <v>8</v>
      </c>
      <c r="J1689" t="str">
        <f>CONCATENATE(Consulta2[[#This Row],[SAFRA]],Consulta2[[#This Row],[dia]])</f>
        <v>20280814</v>
      </c>
      <c r="K1689">
        <f>Consulta2[[#This Row],[DIA_UTIL_CORRENTE]]</f>
        <v>10</v>
      </c>
    </row>
    <row r="1690" spans="1:11" x14ac:dyDescent="0.25">
      <c r="A1690">
        <v>202808</v>
      </c>
      <c r="B1690">
        <v>11</v>
      </c>
      <c r="C1690" s="148">
        <v>46980</v>
      </c>
      <c r="D1690">
        <v>23</v>
      </c>
      <c r="E1690">
        <v>23</v>
      </c>
      <c r="F1690">
        <v>1163</v>
      </c>
      <c r="G1690">
        <f>Consulta2[[#This Row],[DIA_UTIL_CORRENTE]]</f>
        <v>11</v>
      </c>
      <c r="H1690" s="6">
        <f>DAY(Consulta2[[#This Row],[DATA]])</f>
        <v>15</v>
      </c>
      <c r="I1690" s="6">
        <f>MONTH(Consulta2[[#This Row],[DATA]])</f>
        <v>8</v>
      </c>
      <c r="J1690" t="str">
        <f>CONCATENATE(Consulta2[[#This Row],[SAFRA]],Consulta2[[#This Row],[dia]])</f>
        <v>20280815</v>
      </c>
      <c r="K1690">
        <f>Consulta2[[#This Row],[DIA_UTIL_CORRENTE]]</f>
        <v>11</v>
      </c>
    </row>
    <row r="1691" spans="1:11" x14ac:dyDescent="0.25">
      <c r="A1691">
        <v>202808</v>
      </c>
      <c r="B1691">
        <v>12</v>
      </c>
      <c r="C1691" s="148">
        <v>46981</v>
      </c>
      <c r="D1691">
        <v>23</v>
      </c>
      <c r="E1691">
        <v>23</v>
      </c>
      <c r="F1691">
        <v>1164</v>
      </c>
      <c r="G1691">
        <f>Consulta2[[#This Row],[DIA_UTIL_CORRENTE]]</f>
        <v>12</v>
      </c>
      <c r="H1691" s="6">
        <f>DAY(Consulta2[[#This Row],[DATA]])</f>
        <v>16</v>
      </c>
      <c r="I1691" s="6">
        <f>MONTH(Consulta2[[#This Row],[DATA]])</f>
        <v>8</v>
      </c>
      <c r="J1691" t="str">
        <f>CONCATENATE(Consulta2[[#This Row],[SAFRA]],Consulta2[[#This Row],[dia]])</f>
        <v>20280816</v>
      </c>
      <c r="K1691">
        <f>Consulta2[[#This Row],[DIA_UTIL_CORRENTE]]</f>
        <v>12</v>
      </c>
    </row>
    <row r="1692" spans="1:11" x14ac:dyDescent="0.25">
      <c r="A1692">
        <v>202808</v>
      </c>
      <c r="B1692">
        <v>13</v>
      </c>
      <c r="C1692" s="148">
        <v>46982</v>
      </c>
      <c r="D1692">
        <v>23</v>
      </c>
      <c r="E1692">
        <v>23</v>
      </c>
      <c r="F1692">
        <v>1165</v>
      </c>
      <c r="G1692">
        <f>Consulta2[[#This Row],[DIA_UTIL_CORRENTE]]</f>
        <v>13</v>
      </c>
      <c r="H1692" s="6">
        <f>DAY(Consulta2[[#This Row],[DATA]])</f>
        <v>17</v>
      </c>
      <c r="I1692" s="6">
        <f>MONTH(Consulta2[[#This Row],[DATA]])</f>
        <v>8</v>
      </c>
      <c r="J1692" t="str">
        <f>CONCATENATE(Consulta2[[#This Row],[SAFRA]],Consulta2[[#This Row],[dia]])</f>
        <v>20280817</v>
      </c>
      <c r="K1692">
        <f>Consulta2[[#This Row],[DIA_UTIL_CORRENTE]]</f>
        <v>13</v>
      </c>
    </row>
    <row r="1693" spans="1:11" x14ac:dyDescent="0.25">
      <c r="A1693">
        <v>202808</v>
      </c>
      <c r="B1693">
        <v>14</v>
      </c>
      <c r="C1693" s="148">
        <v>46983</v>
      </c>
      <c r="D1693">
        <v>23</v>
      </c>
      <c r="E1693">
        <v>23</v>
      </c>
      <c r="F1693">
        <v>1166</v>
      </c>
      <c r="G1693">
        <f>Consulta2[[#This Row],[DIA_UTIL_CORRENTE]]</f>
        <v>14</v>
      </c>
      <c r="H1693" s="6">
        <f>DAY(Consulta2[[#This Row],[DATA]])</f>
        <v>18</v>
      </c>
      <c r="I1693" s="6">
        <f>MONTH(Consulta2[[#This Row],[DATA]])</f>
        <v>8</v>
      </c>
      <c r="J1693" t="str">
        <f>CONCATENATE(Consulta2[[#This Row],[SAFRA]],Consulta2[[#This Row],[dia]])</f>
        <v>20280818</v>
      </c>
      <c r="K1693">
        <f>Consulta2[[#This Row],[DIA_UTIL_CORRENTE]]</f>
        <v>14</v>
      </c>
    </row>
    <row r="1694" spans="1:11" x14ac:dyDescent="0.25">
      <c r="A1694">
        <v>202808</v>
      </c>
      <c r="B1694">
        <v>14</v>
      </c>
      <c r="C1694" s="148">
        <v>46984</v>
      </c>
      <c r="D1694">
        <v>23</v>
      </c>
      <c r="E1694">
        <v>23</v>
      </c>
      <c r="F1694">
        <v>1166</v>
      </c>
      <c r="G1694">
        <f>Consulta2[[#This Row],[DIA_UTIL_CORRENTE]]</f>
        <v>14</v>
      </c>
      <c r="H1694" s="6">
        <f>DAY(Consulta2[[#This Row],[DATA]])</f>
        <v>19</v>
      </c>
      <c r="I1694" s="6">
        <f>MONTH(Consulta2[[#This Row],[DATA]])</f>
        <v>8</v>
      </c>
      <c r="J1694" t="str">
        <f>CONCATENATE(Consulta2[[#This Row],[SAFRA]],Consulta2[[#This Row],[dia]])</f>
        <v>20280819</v>
      </c>
      <c r="K1694">
        <f>Consulta2[[#This Row],[DIA_UTIL_CORRENTE]]</f>
        <v>14</v>
      </c>
    </row>
    <row r="1695" spans="1:11" x14ac:dyDescent="0.25">
      <c r="A1695">
        <v>202808</v>
      </c>
      <c r="B1695">
        <v>14</v>
      </c>
      <c r="C1695" s="148">
        <v>46985</v>
      </c>
      <c r="D1695">
        <v>23</v>
      </c>
      <c r="E1695">
        <v>23</v>
      </c>
      <c r="F1695">
        <v>1166</v>
      </c>
      <c r="G1695">
        <f>Consulta2[[#This Row],[DIA_UTIL_CORRENTE]]</f>
        <v>14</v>
      </c>
      <c r="H1695" s="6">
        <f>DAY(Consulta2[[#This Row],[DATA]])</f>
        <v>20</v>
      </c>
      <c r="I1695" s="6">
        <f>MONTH(Consulta2[[#This Row],[DATA]])</f>
        <v>8</v>
      </c>
      <c r="J1695" t="str">
        <f>CONCATENATE(Consulta2[[#This Row],[SAFRA]],Consulta2[[#This Row],[dia]])</f>
        <v>20280820</v>
      </c>
      <c r="K1695">
        <f>Consulta2[[#This Row],[DIA_UTIL_CORRENTE]]</f>
        <v>14</v>
      </c>
    </row>
    <row r="1696" spans="1:11" x14ac:dyDescent="0.25">
      <c r="A1696">
        <v>202808</v>
      </c>
      <c r="B1696">
        <v>15</v>
      </c>
      <c r="C1696" s="148">
        <v>46986</v>
      </c>
      <c r="D1696">
        <v>23</v>
      </c>
      <c r="E1696">
        <v>23</v>
      </c>
      <c r="F1696">
        <v>1167</v>
      </c>
      <c r="G1696">
        <f>Consulta2[[#This Row],[DIA_UTIL_CORRENTE]]</f>
        <v>15</v>
      </c>
      <c r="H1696" s="6">
        <f>DAY(Consulta2[[#This Row],[DATA]])</f>
        <v>21</v>
      </c>
      <c r="I1696" s="6">
        <f>MONTH(Consulta2[[#This Row],[DATA]])</f>
        <v>8</v>
      </c>
      <c r="J1696" t="str">
        <f>CONCATENATE(Consulta2[[#This Row],[SAFRA]],Consulta2[[#This Row],[dia]])</f>
        <v>20280821</v>
      </c>
      <c r="K1696">
        <f>Consulta2[[#This Row],[DIA_UTIL_CORRENTE]]</f>
        <v>15</v>
      </c>
    </row>
    <row r="1697" spans="1:11" x14ac:dyDescent="0.25">
      <c r="A1697">
        <v>202808</v>
      </c>
      <c r="B1697">
        <v>16</v>
      </c>
      <c r="C1697" s="148">
        <v>46987</v>
      </c>
      <c r="D1697">
        <v>23</v>
      </c>
      <c r="E1697">
        <v>23</v>
      </c>
      <c r="F1697">
        <v>1168</v>
      </c>
      <c r="G1697">
        <f>Consulta2[[#This Row],[DIA_UTIL_CORRENTE]]</f>
        <v>16</v>
      </c>
      <c r="H1697" s="6">
        <f>DAY(Consulta2[[#This Row],[DATA]])</f>
        <v>22</v>
      </c>
      <c r="I1697" s="6">
        <f>MONTH(Consulta2[[#This Row],[DATA]])</f>
        <v>8</v>
      </c>
      <c r="J1697" t="str">
        <f>CONCATENATE(Consulta2[[#This Row],[SAFRA]],Consulta2[[#This Row],[dia]])</f>
        <v>20280822</v>
      </c>
      <c r="K1697">
        <f>Consulta2[[#This Row],[DIA_UTIL_CORRENTE]]</f>
        <v>16</v>
      </c>
    </row>
    <row r="1698" spans="1:11" x14ac:dyDescent="0.25">
      <c r="A1698">
        <v>202808</v>
      </c>
      <c r="B1698">
        <v>17</v>
      </c>
      <c r="C1698" s="148">
        <v>46988</v>
      </c>
      <c r="D1698">
        <v>23</v>
      </c>
      <c r="E1698">
        <v>23</v>
      </c>
      <c r="F1698">
        <v>1169</v>
      </c>
      <c r="G1698">
        <f>Consulta2[[#This Row],[DIA_UTIL_CORRENTE]]</f>
        <v>17</v>
      </c>
      <c r="H1698" s="6">
        <f>DAY(Consulta2[[#This Row],[DATA]])</f>
        <v>23</v>
      </c>
      <c r="I1698" s="6">
        <f>MONTH(Consulta2[[#This Row],[DATA]])</f>
        <v>8</v>
      </c>
      <c r="J1698" t="str">
        <f>CONCATENATE(Consulta2[[#This Row],[SAFRA]],Consulta2[[#This Row],[dia]])</f>
        <v>20280823</v>
      </c>
      <c r="K1698">
        <f>Consulta2[[#This Row],[DIA_UTIL_CORRENTE]]</f>
        <v>17</v>
      </c>
    </row>
    <row r="1699" spans="1:11" x14ac:dyDescent="0.25">
      <c r="A1699">
        <v>202808</v>
      </c>
      <c r="B1699">
        <v>18</v>
      </c>
      <c r="C1699" s="148">
        <v>46989</v>
      </c>
      <c r="D1699">
        <v>23</v>
      </c>
      <c r="E1699">
        <v>23</v>
      </c>
      <c r="F1699">
        <v>1170</v>
      </c>
      <c r="G1699">
        <f>Consulta2[[#This Row],[DIA_UTIL_CORRENTE]]</f>
        <v>18</v>
      </c>
      <c r="H1699" s="6">
        <f>DAY(Consulta2[[#This Row],[DATA]])</f>
        <v>24</v>
      </c>
      <c r="I1699" s="6">
        <f>MONTH(Consulta2[[#This Row],[DATA]])</f>
        <v>8</v>
      </c>
      <c r="J1699" t="str">
        <f>CONCATENATE(Consulta2[[#This Row],[SAFRA]],Consulta2[[#This Row],[dia]])</f>
        <v>20280824</v>
      </c>
      <c r="K1699">
        <f>Consulta2[[#This Row],[DIA_UTIL_CORRENTE]]</f>
        <v>18</v>
      </c>
    </row>
    <row r="1700" spans="1:11" x14ac:dyDescent="0.25">
      <c r="A1700">
        <v>202808</v>
      </c>
      <c r="B1700">
        <v>19</v>
      </c>
      <c r="C1700" s="148">
        <v>46990</v>
      </c>
      <c r="D1700">
        <v>23</v>
      </c>
      <c r="E1700">
        <v>23</v>
      </c>
      <c r="F1700">
        <v>1171</v>
      </c>
      <c r="G1700">
        <f>Consulta2[[#This Row],[DIA_UTIL_CORRENTE]]</f>
        <v>19</v>
      </c>
      <c r="H1700" s="6">
        <f>DAY(Consulta2[[#This Row],[DATA]])</f>
        <v>25</v>
      </c>
      <c r="I1700" s="6">
        <f>MONTH(Consulta2[[#This Row],[DATA]])</f>
        <v>8</v>
      </c>
      <c r="J1700" t="str">
        <f>CONCATENATE(Consulta2[[#This Row],[SAFRA]],Consulta2[[#This Row],[dia]])</f>
        <v>20280825</v>
      </c>
      <c r="K1700">
        <f>Consulta2[[#This Row],[DIA_UTIL_CORRENTE]]</f>
        <v>19</v>
      </c>
    </row>
    <row r="1701" spans="1:11" x14ac:dyDescent="0.25">
      <c r="A1701">
        <v>202808</v>
      </c>
      <c r="B1701">
        <v>19</v>
      </c>
      <c r="C1701" s="148">
        <v>46991</v>
      </c>
      <c r="D1701">
        <v>23</v>
      </c>
      <c r="E1701">
        <v>23</v>
      </c>
      <c r="F1701">
        <v>1171</v>
      </c>
      <c r="G1701">
        <f>Consulta2[[#This Row],[DIA_UTIL_CORRENTE]]</f>
        <v>19</v>
      </c>
      <c r="H1701" s="6">
        <f>DAY(Consulta2[[#This Row],[DATA]])</f>
        <v>26</v>
      </c>
      <c r="I1701" s="6">
        <f>MONTH(Consulta2[[#This Row],[DATA]])</f>
        <v>8</v>
      </c>
      <c r="J1701" t="str">
        <f>CONCATENATE(Consulta2[[#This Row],[SAFRA]],Consulta2[[#This Row],[dia]])</f>
        <v>20280826</v>
      </c>
      <c r="K1701">
        <f>Consulta2[[#This Row],[DIA_UTIL_CORRENTE]]</f>
        <v>19</v>
      </c>
    </row>
    <row r="1702" spans="1:11" x14ac:dyDescent="0.25">
      <c r="A1702">
        <v>202808</v>
      </c>
      <c r="B1702">
        <v>19</v>
      </c>
      <c r="C1702" s="148">
        <v>46992</v>
      </c>
      <c r="D1702">
        <v>23</v>
      </c>
      <c r="E1702">
        <v>23</v>
      </c>
      <c r="F1702">
        <v>1171</v>
      </c>
      <c r="G1702">
        <f>Consulta2[[#This Row],[DIA_UTIL_CORRENTE]]</f>
        <v>19</v>
      </c>
      <c r="H1702" s="6">
        <f>DAY(Consulta2[[#This Row],[DATA]])</f>
        <v>27</v>
      </c>
      <c r="I1702" s="6">
        <f>MONTH(Consulta2[[#This Row],[DATA]])</f>
        <v>8</v>
      </c>
      <c r="J1702" t="str">
        <f>CONCATENATE(Consulta2[[#This Row],[SAFRA]],Consulta2[[#This Row],[dia]])</f>
        <v>20280827</v>
      </c>
      <c r="K1702">
        <f>Consulta2[[#This Row],[DIA_UTIL_CORRENTE]]</f>
        <v>19</v>
      </c>
    </row>
    <row r="1703" spans="1:11" x14ac:dyDescent="0.25">
      <c r="A1703">
        <v>202808</v>
      </c>
      <c r="B1703">
        <v>20</v>
      </c>
      <c r="C1703" s="148">
        <v>46993</v>
      </c>
      <c r="D1703">
        <v>23</v>
      </c>
      <c r="E1703">
        <v>23</v>
      </c>
      <c r="F1703">
        <v>1172</v>
      </c>
      <c r="G1703">
        <f>Consulta2[[#This Row],[DIA_UTIL_CORRENTE]]</f>
        <v>20</v>
      </c>
      <c r="H1703" s="6">
        <f>DAY(Consulta2[[#This Row],[DATA]])</f>
        <v>28</v>
      </c>
      <c r="I1703" s="6">
        <f>MONTH(Consulta2[[#This Row],[DATA]])</f>
        <v>8</v>
      </c>
      <c r="J1703" t="str">
        <f>CONCATENATE(Consulta2[[#This Row],[SAFRA]],Consulta2[[#This Row],[dia]])</f>
        <v>20280828</v>
      </c>
      <c r="K1703">
        <f>Consulta2[[#This Row],[DIA_UTIL_CORRENTE]]</f>
        <v>20</v>
      </c>
    </row>
    <row r="1704" spans="1:11" x14ac:dyDescent="0.25">
      <c r="A1704">
        <v>202808</v>
      </c>
      <c r="B1704">
        <v>21</v>
      </c>
      <c r="C1704" s="148">
        <v>46994</v>
      </c>
      <c r="D1704">
        <v>23</v>
      </c>
      <c r="E1704">
        <v>23</v>
      </c>
      <c r="F1704">
        <v>1173</v>
      </c>
      <c r="G1704">
        <f>Consulta2[[#This Row],[DIA_UTIL_CORRENTE]]</f>
        <v>21</v>
      </c>
      <c r="H1704" s="6">
        <f>DAY(Consulta2[[#This Row],[DATA]])</f>
        <v>29</v>
      </c>
      <c r="I1704" s="6">
        <f>MONTH(Consulta2[[#This Row],[DATA]])</f>
        <v>8</v>
      </c>
      <c r="J1704" t="str">
        <f>CONCATENATE(Consulta2[[#This Row],[SAFRA]],Consulta2[[#This Row],[dia]])</f>
        <v>20280829</v>
      </c>
      <c r="K1704">
        <f>Consulta2[[#This Row],[DIA_UTIL_CORRENTE]]</f>
        <v>21</v>
      </c>
    </row>
    <row r="1705" spans="1:11" x14ac:dyDescent="0.25">
      <c r="A1705">
        <v>202808</v>
      </c>
      <c r="B1705">
        <v>22</v>
      </c>
      <c r="C1705" s="148">
        <v>46995</v>
      </c>
      <c r="D1705">
        <v>23</v>
      </c>
      <c r="E1705">
        <v>23</v>
      </c>
      <c r="F1705">
        <v>1174</v>
      </c>
      <c r="G1705">
        <f>Consulta2[[#This Row],[DIA_UTIL_CORRENTE]]</f>
        <v>22</v>
      </c>
      <c r="H1705" s="6">
        <f>DAY(Consulta2[[#This Row],[DATA]])</f>
        <v>30</v>
      </c>
      <c r="I1705" s="6">
        <f>MONTH(Consulta2[[#This Row],[DATA]])</f>
        <v>8</v>
      </c>
      <c r="J1705" t="str">
        <f>CONCATENATE(Consulta2[[#This Row],[SAFRA]],Consulta2[[#This Row],[dia]])</f>
        <v>20280830</v>
      </c>
      <c r="K1705">
        <f>Consulta2[[#This Row],[DIA_UTIL_CORRENTE]]</f>
        <v>22</v>
      </c>
    </row>
    <row r="1706" spans="1:11" x14ac:dyDescent="0.25">
      <c r="A1706">
        <v>202808</v>
      </c>
      <c r="B1706">
        <v>23</v>
      </c>
      <c r="C1706" s="148">
        <v>46996</v>
      </c>
      <c r="D1706">
        <v>23</v>
      </c>
      <c r="E1706">
        <v>23</v>
      </c>
      <c r="F1706">
        <v>1175</v>
      </c>
      <c r="G1706">
        <f>Consulta2[[#This Row],[DIA_UTIL_CORRENTE]]</f>
        <v>23</v>
      </c>
      <c r="H1706" s="6">
        <f>DAY(Consulta2[[#This Row],[DATA]])</f>
        <v>31</v>
      </c>
      <c r="I1706" s="6">
        <f>MONTH(Consulta2[[#This Row],[DATA]])</f>
        <v>8</v>
      </c>
      <c r="J1706" t="str">
        <f>CONCATENATE(Consulta2[[#This Row],[SAFRA]],Consulta2[[#This Row],[dia]])</f>
        <v>20280831</v>
      </c>
      <c r="K1706">
        <f>Consulta2[[#This Row],[DIA_UTIL_CORRENTE]]</f>
        <v>23</v>
      </c>
    </row>
    <row r="1707" spans="1:11" x14ac:dyDescent="0.25">
      <c r="A1707">
        <v>202809</v>
      </c>
      <c r="B1707">
        <v>1</v>
      </c>
      <c r="C1707" s="148">
        <v>46997</v>
      </c>
      <c r="D1707">
        <v>20</v>
      </c>
      <c r="E1707">
        <v>20</v>
      </c>
      <c r="F1707">
        <v>1176</v>
      </c>
      <c r="G1707">
        <f>Consulta2[[#This Row],[DIA_UTIL_CORRENTE]]</f>
        <v>1</v>
      </c>
      <c r="H1707" s="6">
        <f>DAY(Consulta2[[#This Row],[DATA]])</f>
        <v>1</v>
      </c>
      <c r="I1707" s="6">
        <f>MONTH(Consulta2[[#This Row],[DATA]])</f>
        <v>9</v>
      </c>
      <c r="J1707" t="str">
        <f>CONCATENATE(Consulta2[[#This Row],[SAFRA]],Consulta2[[#This Row],[dia]])</f>
        <v>2028091</v>
      </c>
      <c r="K1707">
        <f>Consulta2[[#This Row],[DIA_UTIL_CORRENTE]]</f>
        <v>1</v>
      </c>
    </row>
    <row r="1708" spans="1:11" x14ac:dyDescent="0.25">
      <c r="A1708">
        <v>202809</v>
      </c>
      <c r="B1708">
        <v>1</v>
      </c>
      <c r="C1708" s="148">
        <v>46998</v>
      </c>
      <c r="D1708">
        <v>20</v>
      </c>
      <c r="E1708">
        <v>20</v>
      </c>
      <c r="F1708">
        <v>1176</v>
      </c>
      <c r="G1708">
        <f>Consulta2[[#This Row],[DIA_UTIL_CORRENTE]]</f>
        <v>1</v>
      </c>
      <c r="H1708" s="6">
        <f>DAY(Consulta2[[#This Row],[DATA]])</f>
        <v>2</v>
      </c>
      <c r="I1708" s="6">
        <f>MONTH(Consulta2[[#This Row],[DATA]])</f>
        <v>9</v>
      </c>
      <c r="J1708" t="str">
        <f>CONCATENATE(Consulta2[[#This Row],[SAFRA]],Consulta2[[#This Row],[dia]])</f>
        <v>2028092</v>
      </c>
      <c r="K1708">
        <f>Consulta2[[#This Row],[DIA_UTIL_CORRENTE]]</f>
        <v>1</v>
      </c>
    </row>
    <row r="1709" spans="1:11" x14ac:dyDescent="0.25">
      <c r="A1709">
        <v>202809</v>
      </c>
      <c r="B1709">
        <v>1</v>
      </c>
      <c r="C1709" s="148">
        <v>46999</v>
      </c>
      <c r="D1709">
        <v>20</v>
      </c>
      <c r="E1709">
        <v>20</v>
      </c>
      <c r="F1709">
        <v>1176</v>
      </c>
      <c r="G1709">
        <f>Consulta2[[#This Row],[DIA_UTIL_CORRENTE]]</f>
        <v>1</v>
      </c>
      <c r="H1709" s="6">
        <f>DAY(Consulta2[[#This Row],[DATA]])</f>
        <v>3</v>
      </c>
      <c r="I1709" s="6">
        <f>MONTH(Consulta2[[#This Row],[DATA]])</f>
        <v>9</v>
      </c>
      <c r="J1709" t="str">
        <f>CONCATENATE(Consulta2[[#This Row],[SAFRA]],Consulta2[[#This Row],[dia]])</f>
        <v>2028093</v>
      </c>
      <c r="K1709">
        <f>Consulta2[[#This Row],[DIA_UTIL_CORRENTE]]</f>
        <v>1</v>
      </c>
    </row>
    <row r="1710" spans="1:11" x14ac:dyDescent="0.25">
      <c r="A1710">
        <v>202809</v>
      </c>
      <c r="B1710">
        <v>2</v>
      </c>
      <c r="C1710" s="148">
        <v>47000</v>
      </c>
      <c r="D1710">
        <v>20</v>
      </c>
      <c r="E1710">
        <v>20</v>
      </c>
      <c r="F1710">
        <v>1177</v>
      </c>
      <c r="G1710">
        <f>Consulta2[[#This Row],[DIA_UTIL_CORRENTE]]</f>
        <v>2</v>
      </c>
      <c r="H1710" s="6">
        <f>DAY(Consulta2[[#This Row],[DATA]])</f>
        <v>4</v>
      </c>
      <c r="I1710" s="6">
        <f>MONTH(Consulta2[[#This Row],[DATA]])</f>
        <v>9</v>
      </c>
      <c r="J1710" t="str">
        <f>CONCATENATE(Consulta2[[#This Row],[SAFRA]],Consulta2[[#This Row],[dia]])</f>
        <v>2028094</v>
      </c>
      <c r="K1710">
        <f>Consulta2[[#This Row],[DIA_UTIL_CORRENTE]]</f>
        <v>2</v>
      </c>
    </row>
    <row r="1711" spans="1:11" x14ac:dyDescent="0.25">
      <c r="A1711">
        <v>202809</v>
      </c>
      <c r="B1711">
        <v>3</v>
      </c>
      <c r="C1711" s="148">
        <v>47001</v>
      </c>
      <c r="D1711">
        <v>20</v>
      </c>
      <c r="E1711">
        <v>20</v>
      </c>
      <c r="F1711">
        <v>1178</v>
      </c>
      <c r="G1711">
        <f>Consulta2[[#This Row],[DIA_UTIL_CORRENTE]]</f>
        <v>3</v>
      </c>
      <c r="H1711" s="6">
        <f>DAY(Consulta2[[#This Row],[DATA]])</f>
        <v>5</v>
      </c>
      <c r="I1711" s="6">
        <f>MONTH(Consulta2[[#This Row],[DATA]])</f>
        <v>9</v>
      </c>
      <c r="J1711" t="str">
        <f>CONCATENATE(Consulta2[[#This Row],[SAFRA]],Consulta2[[#This Row],[dia]])</f>
        <v>2028095</v>
      </c>
      <c r="K1711">
        <f>Consulta2[[#This Row],[DIA_UTIL_CORRENTE]]</f>
        <v>3</v>
      </c>
    </row>
    <row r="1712" spans="1:11" x14ac:dyDescent="0.25">
      <c r="A1712">
        <v>202809</v>
      </c>
      <c r="B1712">
        <v>4</v>
      </c>
      <c r="C1712" s="148">
        <v>47002</v>
      </c>
      <c r="D1712">
        <v>20</v>
      </c>
      <c r="E1712">
        <v>20</v>
      </c>
      <c r="F1712">
        <v>1179</v>
      </c>
      <c r="G1712">
        <f>Consulta2[[#This Row],[DIA_UTIL_CORRENTE]]</f>
        <v>4</v>
      </c>
      <c r="H1712" s="6">
        <f>DAY(Consulta2[[#This Row],[DATA]])</f>
        <v>6</v>
      </c>
      <c r="I1712" s="6">
        <f>MONTH(Consulta2[[#This Row],[DATA]])</f>
        <v>9</v>
      </c>
      <c r="J1712" t="str">
        <f>CONCATENATE(Consulta2[[#This Row],[SAFRA]],Consulta2[[#This Row],[dia]])</f>
        <v>2028096</v>
      </c>
      <c r="K1712">
        <f>Consulta2[[#This Row],[DIA_UTIL_CORRENTE]]</f>
        <v>4</v>
      </c>
    </row>
    <row r="1713" spans="1:11" x14ac:dyDescent="0.25">
      <c r="A1713">
        <v>202809</v>
      </c>
      <c r="B1713">
        <v>4</v>
      </c>
      <c r="C1713" s="148">
        <v>47003</v>
      </c>
      <c r="D1713">
        <v>20</v>
      </c>
      <c r="E1713">
        <v>20</v>
      </c>
      <c r="F1713">
        <v>1179</v>
      </c>
      <c r="G1713">
        <f>Consulta2[[#This Row],[DIA_UTIL_CORRENTE]]</f>
        <v>4</v>
      </c>
      <c r="H1713" s="6">
        <f>DAY(Consulta2[[#This Row],[DATA]])</f>
        <v>7</v>
      </c>
      <c r="I1713" s="6">
        <f>MONTH(Consulta2[[#This Row],[DATA]])</f>
        <v>9</v>
      </c>
      <c r="J1713" t="str">
        <f>CONCATENATE(Consulta2[[#This Row],[SAFRA]],Consulta2[[#This Row],[dia]])</f>
        <v>2028097</v>
      </c>
      <c r="K1713">
        <f>Consulta2[[#This Row],[DIA_UTIL_CORRENTE]]</f>
        <v>4</v>
      </c>
    </row>
    <row r="1714" spans="1:11" x14ac:dyDescent="0.25">
      <c r="A1714">
        <v>202809</v>
      </c>
      <c r="B1714">
        <v>5</v>
      </c>
      <c r="C1714" s="148">
        <v>47004</v>
      </c>
      <c r="D1714">
        <v>20</v>
      </c>
      <c r="E1714">
        <v>20</v>
      </c>
      <c r="F1714">
        <v>1180</v>
      </c>
      <c r="G1714">
        <f>Consulta2[[#This Row],[DIA_UTIL_CORRENTE]]</f>
        <v>5</v>
      </c>
      <c r="H1714" s="6">
        <f>DAY(Consulta2[[#This Row],[DATA]])</f>
        <v>8</v>
      </c>
      <c r="I1714" s="6">
        <f>MONTH(Consulta2[[#This Row],[DATA]])</f>
        <v>9</v>
      </c>
      <c r="J1714" t="str">
        <f>CONCATENATE(Consulta2[[#This Row],[SAFRA]],Consulta2[[#This Row],[dia]])</f>
        <v>2028098</v>
      </c>
      <c r="K1714">
        <f>Consulta2[[#This Row],[DIA_UTIL_CORRENTE]]</f>
        <v>5</v>
      </c>
    </row>
    <row r="1715" spans="1:11" x14ac:dyDescent="0.25">
      <c r="A1715">
        <v>202809</v>
      </c>
      <c r="B1715">
        <v>5</v>
      </c>
      <c r="C1715" s="148">
        <v>47005</v>
      </c>
      <c r="D1715">
        <v>20</v>
      </c>
      <c r="E1715">
        <v>20</v>
      </c>
      <c r="F1715">
        <v>1180</v>
      </c>
      <c r="G1715">
        <f>Consulta2[[#This Row],[DIA_UTIL_CORRENTE]]</f>
        <v>5</v>
      </c>
      <c r="H1715" s="6">
        <f>DAY(Consulta2[[#This Row],[DATA]])</f>
        <v>9</v>
      </c>
      <c r="I1715" s="6">
        <f>MONTH(Consulta2[[#This Row],[DATA]])</f>
        <v>9</v>
      </c>
      <c r="J1715" t="str">
        <f>CONCATENATE(Consulta2[[#This Row],[SAFRA]],Consulta2[[#This Row],[dia]])</f>
        <v>2028099</v>
      </c>
      <c r="K1715">
        <f>Consulta2[[#This Row],[DIA_UTIL_CORRENTE]]</f>
        <v>5</v>
      </c>
    </row>
    <row r="1716" spans="1:11" x14ac:dyDescent="0.25">
      <c r="A1716">
        <v>202809</v>
      </c>
      <c r="B1716">
        <v>5</v>
      </c>
      <c r="C1716" s="148">
        <v>47006</v>
      </c>
      <c r="D1716">
        <v>20</v>
      </c>
      <c r="E1716">
        <v>20</v>
      </c>
      <c r="F1716">
        <v>1180</v>
      </c>
      <c r="G1716">
        <f>Consulta2[[#This Row],[DIA_UTIL_CORRENTE]]</f>
        <v>5</v>
      </c>
      <c r="H1716" s="6">
        <f>DAY(Consulta2[[#This Row],[DATA]])</f>
        <v>10</v>
      </c>
      <c r="I1716" s="6">
        <f>MONTH(Consulta2[[#This Row],[DATA]])</f>
        <v>9</v>
      </c>
      <c r="J1716" t="str">
        <f>CONCATENATE(Consulta2[[#This Row],[SAFRA]],Consulta2[[#This Row],[dia]])</f>
        <v>20280910</v>
      </c>
      <c r="K1716">
        <f>Consulta2[[#This Row],[DIA_UTIL_CORRENTE]]</f>
        <v>5</v>
      </c>
    </row>
    <row r="1717" spans="1:11" x14ac:dyDescent="0.25">
      <c r="A1717">
        <v>202809</v>
      </c>
      <c r="B1717">
        <v>6</v>
      </c>
      <c r="C1717" s="148">
        <v>47007</v>
      </c>
      <c r="D1717">
        <v>20</v>
      </c>
      <c r="E1717">
        <v>20</v>
      </c>
      <c r="F1717">
        <v>1181</v>
      </c>
      <c r="G1717">
        <f>Consulta2[[#This Row],[DIA_UTIL_CORRENTE]]</f>
        <v>6</v>
      </c>
      <c r="H1717" s="6">
        <f>DAY(Consulta2[[#This Row],[DATA]])</f>
        <v>11</v>
      </c>
      <c r="I1717" s="6">
        <f>MONTH(Consulta2[[#This Row],[DATA]])</f>
        <v>9</v>
      </c>
      <c r="J1717" t="str">
        <f>CONCATENATE(Consulta2[[#This Row],[SAFRA]],Consulta2[[#This Row],[dia]])</f>
        <v>20280911</v>
      </c>
      <c r="K1717">
        <f>Consulta2[[#This Row],[DIA_UTIL_CORRENTE]]</f>
        <v>6</v>
      </c>
    </row>
    <row r="1718" spans="1:11" x14ac:dyDescent="0.25">
      <c r="A1718">
        <v>202809</v>
      </c>
      <c r="B1718">
        <v>7</v>
      </c>
      <c r="C1718" s="148">
        <v>47008</v>
      </c>
      <c r="D1718">
        <v>20</v>
      </c>
      <c r="E1718">
        <v>20</v>
      </c>
      <c r="F1718">
        <v>1182</v>
      </c>
      <c r="G1718">
        <f>Consulta2[[#This Row],[DIA_UTIL_CORRENTE]]</f>
        <v>7</v>
      </c>
      <c r="H1718" s="6">
        <f>DAY(Consulta2[[#This Row],[DATA]])</f>
        <v>12</v>
      </c>
      <c r="I1718" s="6">
        <f>MONTH(Consulta2[[#This Row],[DATA]])</f>
        <v>9</v>
      </c>
      <c r="J1718" t="str">
        <f>CONCATENATE(Consulta2[[#This Row],[SAFRA]],Consulta2[[#This Row],[dia]])</f>
        <v>20280912</v>
      </c>
      <c r="K1718">
        <f>Consulta2[[#This Row],[DIA_UTIL_CORRENTE]]</f>
        <v>7</v>
      </c>
    </row>
    <row r="1719" spans="1:11" x14ac:dyDescent="0.25">
      <c r="A1719">
        <v>202809</v>
      </c>
      <c r="B1719">
        <v>8</v>
      </c>
      <c r="C1719" s="148">
        <v>47009</v>
      </c>
      <c r="D1719">
        <v>20</v>
      </c>
      <c r="E1719">
        <v>20</v>
      </c>
      <c r="F1719">
        <v>1183</v>
      </c>
      <c r="G1719">
        <f>Consulta2[[#This Row],[DIA_UTIL_CORRENTE]]</f>
        <v>8</v>
      </c>
      <c r="H1719" s="6">
        <f>DAY(Consulta2[[#This Row],[DATA]])</f>
        <v>13</v>
      </c>
      <c r="I1719" s="6">
        <f>MONTH(Consulta2[[#This Row],[DATA]])</f>
        <v>9</v>
      </c>
      <c r="J1719" t="str">
        <f>CONCATENATE(Consulta2[[#This Row],[SAFRA]],Consulta2[[#This Row],[dia]])</f>
        <v>20280913</v>
      </c>
      <c r="K1719">
        <f>Consulta2[[#This Row],[DIA_UTIL_CORRENTE]]</f>
        <v>8</v>
      </c>
    </row>
    <row r="1720" spans="1:11" x14ac:dyDescent="0.25">
      <c r="A1720">
        <v>202809</v>
      </c>
      <c r="B1720">
        <v>9</v>
      </c>
      <c r="C1720" s="148">
        <v>47010</v>
      </c>
      <c r="D1720">
        <v>20</v>
      </c>
      <c r="E1720">
        <v>20</v>
      </c>
      <c r="F1720">
        <v>1184</v>
      </c>
      <c r="G1720">
        <f>Consulta2[[#This Row],[DIA_UTIL_CORRENTE]]</f>
        <v>9</v>
      </c>
      <c r="H1720" s="6">
        <f>DAY(Consulta2[[#This Row],[DATA]])</f>
        <v>14</v>
      </c>
      <c r="I1720" s="6">
        <f>MONTH(Consulta2[[#This Row],[DATA]])</f>
        <v>9</v>
      </c>
      <c r="J1720" t="str">
        <f>CONCATENATE(Consulta2[[#This Row],[SAFRA]],Consulta2[[#This Row],[dia]])</f>
        <v>20280914</v>
      </c>
      <c r="K1720">
        <f>Consulta2[[#This Row],[DIA_UTIL_CORRENTE]]</f>
        <v>9</v>
      </c>
    </row>
    <row r="1721" spans="1:11" x14ac:dyDescent="0.25">
      <c r="A1721">
        <v>202809</v>
      </c>
      <c r="B1721">
        <v>10</v>
      </c>
      <c r="C1721" s="148">
        <v>47011</v>
      </c>
      <c r="D1721">
        <v>20</v>
      </c>
      <c r="E1721">
        <v>20</v>
      </c>
      <c r="F1721">
        <v>1185</v>
      </c>
      <c r="G1721">
        <f>Consulta2[[#This Row],[DIA_UTIL_CORRENTE]]</f>
        <v>10</v>
      </c>
      <c r="H1721" s="6">
        <f>DAY(Consulta2[[#This Row],[DATA]])</f>
        <v>15</v>
      </c>
      <c r="I1721" s="6">
        <f>MONTH(Consulta2[[#This Row],[DATA]])</f>
        <v>9</v>
      </c>
      <c r="J1721" t="str">
        <f>CONCATENATE(Consulta2[[#This Row],[SAFRA]],Consulta2[[#This Row],[dia]])</f>
        <v>20280915</v>
      </c>
      <c r="K1721">
        <f>Consulta2[[#This Row],[DIA_UTIL_CORRENTE]]</f>
        <v>10</v>
      </c>
    </row>
    <row r="1722" spans="1:11" x14ac:dyDescent="0.25">
      <c r="A1722">
        <v>202809</v>
      </c>
      <c r="B1722">
        <v>10</v>
      </c>
      <c r="C1722" s="148">
        <v>47012</v>
      </c>
      <c r="D1722">
        <v>20</v>
      </c>
      <c r="E1722">
        <v>20</v>
      </c>
      <c r="F1722">
        <v>1185</v>
      </c>
      <c r="G1722">
        <f>Consulta2[[#This Row],[DIA_UTIL_CORRENTE]]</f>
        <v>10</v>
      </c>
      <c r="H1722" s="6">
        <f>DAY(Consulta2[[#This Row],[DATA]])</f>
        <v>16</v>
      </c>
      <c r="I1722" s="6">
        <f>MONTH(Consulta2[[#This Row],[DATA]])</f>
        <v>9</v>
      </c>
      <c r="J1722" t="str">
        <f>CONCATENATE(Consulta2[[#This Row],[SAFRA]],Consulta2[[#This Row],[dia]])</f>
        <v>20280916</v>
      </c>
      <c r="K1722">
        <f>Consulta2[[#This Row],[DIA_UTIL_CORRENTE]]</f>
        <v>10</v>
      </c>
    </row>
    <row r="1723" spans="1:11" x14ac:dyDescent="0.25">
      <c r="A1723">
        <v>202809</v>
      </c>
      <c r="B1723">
        <v>10</v>
      </c>
      <c r="C1723" s="148">
        <v>47013</v>
      </c>
      <c r="D1723">
        <v>20</v>
      </c>
      <c r="E1723">
        <v>20</v>
      </c>
      <c r="F1723">
        <v>1185</v>
      </c>
      <c r="G1723">
        <f>Consulta2[[#This Row],[DIA_UTIL_CORRENTE]]</f>
        <v>10</v>
      </c>
      <c r="H1723" s="6">
        <f>DAY(Consulta2[[#This Row],[DATA]])</f>
        <v>17</v>
      </c>
      <c r="I1723" s="6">
        <f>MONTH(Consulta2[[#This Row],[DATA]])</f>
        <v>9</v>
      </c>
      <c r="J1723" t="str">
        <f>CONCATENATE(Consulta2[[#This Row],[SAFRA]],Consulta2[[#This Row],[dia]])</f>
        <v>20280917</v>
      </c>
      <c r="K1723">
        <f>Consulta2[[#This Row],[DIA_UTIL_CORRENTE]]</f>
        <v>10</v>
      </c>
    </row>
    <row r="1724" spans="1:11" x14ac:dyDescent="0.25">
      <c r="A1724">
        <v>202809</v>
      </c>
      <c r="B1724">
        <v>11</v>
      </c>
      <c r="C1724" s="148">
        <v>47014</v>
      </c>
      <c r="D1724">
        <v>20</v>
      </c>
      <c r="E1724">
        <v>20</v>
      </c>
      <c r="F1724">
        <v>1186</v>
      </c>
      <c r="G1724">
        <f>Consulta2[[#This Row],[DIA_UTIL_CORRENTE]]</f>
        <v>11</v>
      </c>
      <c r="H1724" s="6">
        <f>DAY(Consulta2[[#This Row],[DATA]])</f>
        <v>18</v>
      </c>
      <c r="I1724" s="6">
        <f>MONTH(Consulta2[[#This Row],[DATA]])</f>
        <v>9</v>
      </c>
      <c r="J1724" t="str">
        <f>CONCATENATE(Consulta2[[#This Row],[SAFRA]],Consulta2[[#This Row],[dia]])</f>
        <v>20280918</v>
      </c>
      <c r="K1724">
        <f>Consulta2[[#This Row],[DIA_UTIL_CORRENTE]]</f>
        <v>11</v>
      </c>
    </row>
    <row r="1725" spans="1:11" x14ac:dyDescent="0.25">
      <c r="A1725">
        <v>202809</v>
      </c>
      <c r="B1725">
        <v>12</v>
      </c>
      <c r="C1725" s="148">
        <v>47015</v>
      </c>
      <c r="D1725">
        <v>20</v>
      </c>
      <c r="E1725">
        <v>20</v>
      </c>
      <c r="F1725">
        <v>1187</v>
      </c>
      <c r="G1725">
        <f>Consulta2[[#This Row],[DIA_UTIL_CORRENTE]]</f>
        <v>12</v>
      </c>
      <c r="H1725" s="6">
        <f>DAY(Consulta2[[#This Row],[DATA]])</f>
        <v>19</v>
      </c>
      <c r="I1725" s="6">
        <f>MONTH(Consulta2[[#This Row],[DATA]])</f>
        <v>9</v>
      </c>
      <c r="J1725" t="str">
        <f>CONCATENATE(Consulta2[[#This Row],[SAFRA]],Consulta2[[#This Row],[dia]])</f>
        <v>20280919</v>
      </c>
      <c r="K1725">
        <f>Consulta2[[#This Row],[DIA_UTIL_CORRENTE]]</f>
        <v>12</v>
      </c>
    </row>
    <row r="1726" spans="1:11" x14ac:dyDescent="0.25">
      <c r="A1726">
        <v>202809</v>
      </c>
      <c r="B1726">
        <v>13</v>
      </c>
      <c r="C1726" s="148">
        <v>47016</v>
      </c>
      <c r="D1726">
        <v>20</v>
      </c>
      <c r="E1726">
        <v>20</v>
      </c>
      <c r="F1726">
        <v>1188</v>
      </c>
      <c r="G1726">
        <f>Consulta2[[#This Row],[DIA_UTIL_CORRENTE]]</f>
        <v>13</v>
      </c>
      <c r="H1726" s="6">
        <f>DAY(Consulta2[[#This Row],[DATA]])</f>
        <v>20</v>
      </c>
      <c r="I1726" s="6">
        <f>MONTH(Consulta2[[#This Row],[DATA]])</f>
        <v>9</v>
      </c>
      <c r="J1726" t="str">
        <f>CONCATENATE(Consulta2[[#This Row],[SAFRA]],Consulta2[[#This Row],[dia]])</f>
        <v>20280920</v>
      </c>
      <c r="K1726">
        <f>Consulta2[[#This Row],[DIA_UTIL_CORRENTE]]</f>
        <v>13</v>
      </c>
    </row>
    <row r="1727" spans="1:11" x14ac:dyDescent="0.25">
      <c r="A1727">
        <v>202809</v>
      </c>
      <c r="B1727">
        <v>14</v>
      </c>
      <c r="C1727" s="148">
        <v>47017</v>
      </c>
      <c r="D1727">
        <v>20</v>
      </c>
      <c r="E1727">
        <v>20</v>
      </c>
      <c r="F1727">
        <v>1189</v>
      </c>
      <c r="G1727">
        <f>Consulta2[[#This Row],[DIA_UTIL_CORRENTE]]</f>
        <v>14</v>
      </c>
      <c r="H1727" s="6">
        <f>DAY(Consulta2[[#This Row],[DATA]])</f>
        <v>21</v>
      </c>
      <c r="I1727" s="6">
        <f>MONTH(Consulta2[[#This Row],[DATA]])</f>
        <v>9</v>
      </c>
      <c r="J1727" t="str">
        <f>CONCATENATE(Consulta2[[#This Row],[SAFRA]],Consulta2[[#This Row],[dia]])</f>
        <v>20280921</v>
      </c>
      <c r="K1727">
        <f>Consulta2[[#This Row],[DIA_UTIL_CORRENTE]]</f>
        <v>14</v>
      </c>
    </row>
    <row r="1728" spans="1:11" x14ac:dyDescent="0.25">
      <c r="A1728">
        <v>202809</v>
      </c>
      <c r="B1728">
        <v>15</v>
      </c>
      <c r="C1728" s="148">
        <v>47018</v>
      </c>
      <c r="D1728">
        <v>20</v>
      </c>
      <c r="E1728">
        <v>20</v>
      </c>
      <c r="F1728">
        <v>1190</v>
      </c>
      <c r="G1728">
        <f>Consulta2[[#This Row],[DIA_UTIL_CORRENTE]]</f>
        <v>15</v>
      </c>
      <c r="H1728" s="6">
        <f>DAY(Consulta2[[#This Row],[DATA]])</f>
        <v>22</v>
      </c>
      <c r="I1728" s="6">
        <f>MONTH(Consulta2[[#This Row],[DATA]])</f>
        <v>9</v>
      </c>
      <c r="J1728" t="str">
        <f>CONCATENATE(Consulta2[[#This Row],[SAFRA]],Consulta2[[#This Row],[dia]])</f>
        <v>20280922</v>
      </c>
      <c r="K1728">
        <f>Consulta2[[#This Row],[DIA_UTIL_CORRENTE]]</f>
        <v>15</v>
      </c>
    </row>
    <row r="1729" spans="1:11" x14ac:dyDescent="0.25">
      <c r="A1729">
        <v>202809</v>
      </c>
      <c r="B1729">
        <v>15</v>
      </c>
      <c r="C1729" s="148">
        <v>47019</v>
      </c>
      <c r="D1729">
        <v>20</v>
      </c>
      <c r="E1729">
        <v>20</v>
      </c>
      <c r="F1729">
        <v>1190</v>
      </c>
      <c r="G1729">
        <f>Consulta2[[#This Row],[DIA_UTIL_CORRENTE]]</f>
        <v>15</v>
      </c>
      <c r="H1729" s="6">
        <f>DAY(Consulta2[[#This Row],[DATA]])</f>
        <v>23</v>
      </c>
      <c r="I1729" s="6">
        <f>MONTH(Consulta2[[#This Row],[DATA]])</f>
        <v>9</v>
      </c>
      <c r="J1729" t="str">
        <f>CONCATENATE(Consulta2[[#This Row],[SAFRA]],Consulta2[[#This Row],[dia]])</f>
        <v>20280923</v>
      </c>
      <c r="K1729">
        <f>Consulta2[[#This Row],[DIA_UTIL_CORRENTE]]</f>
        <v>15</v>
      </c>
    </row>
    <row r="1730" spans="1:11" x14ac:dyDescent="0.25">
      <c r="A1730">
        <v>202809</v>
      </c>
      <c r="B1730">
        <v>15</v>
      </c>
      <c r="C1730" s="148">
        <v>47020</v>
      </c>
      <c r="D1730">
        <v>20</v>
      </c>
      <c r="E1730">
        <v>20</v>
      </c>
      <c r="F1730">
        <v>1190</v>
      </c>
      <c r="G1730">
        <f>Consulta2[[#This Row],[DIA_UTIL_CORRENTE]]</f>
        <v>15</v>
      </c>
      <c r="H1730" s="6">
        <f>DAY(Consulta2[[#This Row],[DATA]])</f>
        <v>24</v>
      </c>
      <c r="I1730" s="6">
        <f>MONTH(Consulta2[[#This Row],[DATA]])</f>
        <v>9</v>
      </c>
      <c r="J1730" t="str">
        <f>CONCATENATE(Consulta2[[#This Row],[SAFRA]],Consulta2[[#This Row],[dia]])</f>
        <v>20280924</v>
      </c>
      <c r="K1730">
        <f>Consulta2[[#This Row],[DIA_UTIL_CORRENTE]]</f>
        <v>15</v>
      </c>
    </row>
    <row r="1731" spans="1:11" x14ac:dyDescent="0.25">
      <c r="A1731">
        <v>202809</v>
      </c>
      <c r="B1731">
        <v>16</v>
      </c>
      <c r="C1731" s="148">
        <v>47021</v>
      </c>
      <c r="D1731">
        <v>20</v>
      </c>
      <c r="E1731">
        <v>20</v>
      </c>
      <c r="F1731">
        <v>1191</v>
      </c>
      <c r="G1731">
        <f>Consulta2[[#This Row],[DIA_UTIL_CORRENTE]]</f>
        <v>16</v>
      </c>
      <c r="H1731" s="6">
        <f>DAY(Consulta2[[#This Row],[DATA]])</f>
        <v>25</v>
      </c>
      <c r="I1731" s="6">
        <f>MONTH(Consulta2[[#This Row],[DATA]])</f>
        <v>9</v>
      </c>
      <c r="J1731" t="str">
        <f>CONCATENATE(Consulta2[[#This Row],[SAFRA]],Consulta2[[#This Row],[dia]])</f>
        <v>20280925</v>
      </c>
      <c r="K1731">
        <f>Consulta2[[#This Row],[DIA_UTIL_CORRENTE]]</f>
        <v>16</v>
      </c>
    </row>
    <row r="1732" spans="1:11" x14ac:dyDescent="0.25">
      <c r="A1732">
        <v>202809</v>
      </c>
      <c r="B1732">
        <v>17</v>
      </c>
      <c r="C1732" s="148">
        <v>47022</v>
      </c>
      <c r="D1732">
        <v>20</v>
      </c>
      <c r="E1732">
        <v>20</v>
      </c>
      <c r="F1732">
        <v>1192</v>
      </c>
      <c r="G1732">
        <f>Consulta2[[#This Row],[DIA_UTIL_CORRENTE]]</f>
        <v>17</v>
      </c>
      <c r="H1732" s="6">
        <f>DAY(Consulta2[[#This Row],[DATA]])</f>
        <v>26</v>
      </c>
      <c r="I1732" s="6">
        <f>MONTH(Consulta2[[#This Row],[DATA]])</f>
        <v>9</v>
      </c>
      <c r="J1732" t="str">
        <f>CONCATENATE(Consulta2[[#This Row],[SAFRA]],Consulta2[[#This Row],[dia]])</f>
        <v>20280926</v>
      </c>
      <c r="K1732">
        <f>Consulta2[[#This Row],[DIA_UTIL_CORRENTE]]</f>
        <v>17</v>
      </c>
    </row>
    <row r="1733" spans="1:11" x14ac:dyDescent="0.25">
      <c r="A1733">
        <v>202809</v>
      </c>
      <c r="B1733">
        <v>18</v>
      </c>
      <c r="C1733" s="148">
        <v>47023</v>
      </c>
      <c r="D1733">
        <v>20</v>
      </c>
      <c r="E1733">
        <v>20</v>
      </c>
      <c r="F1733">
        <v>1193</v>
      </c>
      <c r="G1733">
        <f>Consulta2[[#This Row],[DIA_UTIL_CORRENTE]]</f>
        <v>18</v>
      </c>
      <c r="H1733" s="6">
        <f>DAY(Consulta2[[#This Row],[DATA]])</f>
        <v>27</v>
      </c>
      <c r="I1733" s="6">
        <f>MONTH(Consulta2[[#This Row],[DATA]])</f>
        <v>9</v>
      </c>
      <c r="J1733" t="str">
        <f>CONCATENATE(Consulta2[[#This Row],[SAFRA]],Consulta2[[#This Row],[dia]])</f>
        <v>20280927</v>
      </c>
      <c r="K1733">
        <f>Consulta2[[#This Row],[DIA_UTIL_CORRENTE]]</f>
        <v>18</v>
      </c>
    </row>
    <row r="1734" spans="1:11" x14ac:dyDescent="0.25">
      <c r="A1734">
        <v>202809</v>
      </c>
      <c r="B1734">
        <v>19</v>
      </c>
      <c r="C1734" s="148">
        <v>47024</v>
      </c>
      <c r="D1734">
        <v>20</v>
      </c>
      <c r="E1734">
        <v>20</v>
      </c>
      <c r="F1734">
        <v>1194</v>
      </c>
      <c r="G1734">
        <f>Consulta2[[#This Row],[DIA_UTIL_CORRENTE]]</f>
        <v>19</v>
      </c>
      <c r="H1734" s="6">
        <f>DAY(Consulta2[[#This Row],[DATA]])</f>
        <v>28</v>
      </c>
      <c r="I1734" s="6">
        <f>MONTH(Consulta2[[#This Row],[DATA]])</f>
        <v>9</v>
      </c>
      <c r="J1734" t="str">
        <f>CONCATENATE(Consulta2[[#This Row],[SAFRA]],Consulta2[[#This Row],[dia]])</f>
        <v>20280928</v>
      </c>
      <c r="K1734">
        <f>Consulta2[[#This Row],[DIA_UTIL_CORRENTE]]</f>
        <v>19</v>
      </c>
    </row>
    <row r="1735" spans="1:11" x14ac:dyDescent="0.25">
      <c r="A1735">
        <v>202809</v>
      </c>
      <c r="B1735">
        <v>20</v>
      </c>
      <c r="C1735" s="148">
        <v>47025</v>
      </c>
      <c r="D1735">
        <v>20</v>
      </c>
      <c r="E1735">
        <v>20</v>
      </c>
      <c r="F1735">
        <v>1195</v>
      </c>
      <c r="G1735">
        <f>Consulta2[[#This Row],[DIA_UTIL_CORRENTE]]</f>
        <v>20</v>
      </c>
      <c r="H1735" s="6">
        <f>DAY(Consulta2[[#This Row],[DATA]])</f>
        <v>29</v>
      </c>
      <c r="I1735" s="6">
        <f>MONTH(Consulta2[[#This Row],[DATA]])</f>
        <v>9</v>
      </c>
      <c r="J1735" t="str">
        <f>CONCATENATE(Consulta2[[#This Row],[SAFRA]],Consulta2[[#This Row],[dia]])</f>
        <v>20280929</v>
      </c>
      <c r="K1735">
        <f>Consulta2[[#This Row],[DIA_UTIL_CORRENTE]]</f>
        <v>20</v>
      </c>
    </row>
    <row r="1736" spans="1:11" x14ac:dyDescent="0.25">
      <c r="A1736">
        <v>202809</v>
      </c>
      <c r="B1736">
        <v>20</v>
      </c>
      <c r="C1736" s="148">
        <v>47026</v>
      </c>
      <c r="D1736">
        <v>20</v>
      </c>
      <c r="E1736">
        <v>20</v>
      </c>
      <c r="F1736">
        <v>1195</v>
      </c>
      <c r="G1736">
        <f>Consulta2[[#This Row],[DIA_UTIL_CORRENTE]]</f>
        <v>20</v>
      </c>
      <c r="H1736" s="6">
        <f>DAY(Consulta2[[#This Row],[DATA]])</f>
        <v>30</v>
      </c>
      <c r="I1736" s="6">
        <f>MONTH(Consulta2[[#This Row],[DATA]])</f>
        <v>9</v>
      </c>
      <c r="J1736" t="str">
        <f>CONCATENATE(Consulta2[[#This Row],[SAFRA]],Consulta2[[#This Row],[dia]])</f>
        <v>20280930</v>
      </c>
      <c r="K1736">
        <f>Consulta2[[#This Row],[DIA_UTIL_CORRENTE]]</f>
        <v>20</v>
      </c>
    </row>
    <row r="1737" spans="1:11" x14ac:dyDescent="0.25">
      <c r="A1737">
        <v>202810</v>
      </c>
      <c r="B1737">
        <v>0</v>
      </c>
      <c r="C1737" s="148">
        <v>47027</v>
      </c>
      <c r="D1737">
        <v>21</v>
      </c>
      <c r="E1737">
        <v>21</v>
      </c>
      <c r="F1737">
        <v>1195</v>
      </c>
      <c r="G1737">
        <f>Consulta2[[#This Row],[DIA_UTIL_CORRENTE]]</f>
        <v>0</v>
      </c>
      <c r="H1737" s="6">
        <f>DAY(Consulta2[[#This Row],[DATA]])</f>
        <v>1</v>
      </c>
      <c r="I1737" s="6">
        <f>MONTH(Consulta2[[#This Row],[DATA]])</f>
        <v>10</v>
      </c>
      <c r="J1737" t="str">
        <f>CONCATENATE(Consulta2[[#This Row],[SAFRA]],Consulta2[[#This Row],[dia]])</f>
        <v>2028101</v>
      </c>
      <c r="K1737">
        <f>Consulta2[[#This Row],[DIA_UTIL_CORRENTE]]</f>
        <v>0</v>
      </c>
    </row>
    <row r="1738" spans="1:11" x14ac:dyDescent="0.25">
      <c r="A1738">
        <v>202810</v>
      </c>
      <c r="B1738">
        <v>1</v>
      </c>
      <c r="C1738" s="148">
        <v>47028</v>
      </c>
      <c r="D1738">
        <v>21</v>
      </c>
      <c r="E1738">
        <v>21</v>
      </c>
      <c r="F1738">
        <v>1196</v>
      </c>
      <c r="G1738">
        <f>Consulta2[[#This Row],[DIA_UTIL_CORRENTE]]</f>
        <v>1</v>
      </c>
      <c r="H1738" s="6">
        <f>DAY(Consulta2[[#This Row],[DATA]])</f>
        <v>2</v>
      </c>
      <c r="I1738" s="6">
        <f>MONTH(Consulta2[[#This Row],[DATA]])</f>
        <v>10</v>
      </c>
      <c r="J1738" t="str">
        <f>CONCATENATE(Consulta2[[#This Row],[SAFRA]],Consulta2[[#This Row],[dia]])</f>
        <v>2028102</v>
      </c>
      <c r="K1738">
        <f>Consulta2[[#This Row],[DIA_UTIL_CORRENTE]]</f>
        <v>1</v>
      </c>
    </row>
    <row r="1739" spans="1:11" x14ac:dyDescent="0.25">
      <c r="A1739">
        <v>202810</v>
      </c>
      <c r="B1739">
        <v>2</v>
      </c>
      <c r="C1739" s="148">
        <v>47029</v>
      </c>
      <c r="D1739">
        <v>21</v>
      </c>
      <c r="E1739">
        <v>21</v>
      </c>
      <c r="F1739">
        <v>1197</v>
      </c>
      <c r="G1739">
        <f>Consulta2[[#This Row],[DIA_UTIL_CORRENTE]]</f>
        <v>2</v>
      </c>
      <c r="H1739" s="6">
        <f>DAY(Consulta2[[#This Row],[DATA]])</f>
        <v>3</v>
      </c>
      <c r="I1739" s="6">
        <f>MONTH(Consulta2[[#This Row],[DATA]])</f>
        <v>10</v>
      </c>
      <c r="J1739" t="str">
        <f>CONCATENATE(Consulta2[[#This Row],[SAFRA]],Consulta2[[#This Row],[dia]])</f>
        <v>2028103</v>
      </c>
      <c r="K1739">
        <f>Consulta2[[#This Row],[DIA_UTIL_CORRENTE]]</f>
        <v>2</v>
      </c>
    </row>
    <row r="1740" spans="1:11" x14ac:dyDescent="0.25">
      <c r="A1740">
        <v>202810</v>
      </c>
      <c r="B1740">
        <v>3</v>
      </c>
      <c r="C1740" s="148">
        <v>47030</v>
      </c>
      <c r="D1740">
        <v>21</v>
      </c>
      <c r="E1740">
        <v>21</v>
      </c>
      <c r="F1740">
        <v>1198</v>
      </c>
      <c r="G1740">
        <f>Consulta2[[#This Row],[DIA_UTIL_CORRENTE]]</f>
        <v>3</v>
      </c>
      <c r="H1740" s="6">
        <f>DAY(Consulta2[[#This Row],[DATA]])</f>
        <v>4</v>
      </c>
      <c r="I1740" s="6">
        <f>MONTH(Consulta2[[#This Row],[DATA]])</f>
        <v>10</v>
      </c>
      <c r="J1740" t="str">
        <f>CONCATENATE(Consulta2[[#This Row],[SAFRA]],Consulta2[[#This Row],[dia]])</f>
        <v>2028104</v>
      </c>
      <c r="K1740">
        <f>Consulta2[[#This Row],[DIA_UTIL_CORRENTE]]</f>
        <v>3</v>
      </c>
    </row>
    <row r="1741" spans="1:11" x14ac:dyDescent="0.25">
      <c r="A1741">
        <v>202810</v>
      </c>
      <c r="B1741">
        <v>4</v>
      </c>
      <c r="C1741" s="148">
        <v>47031</v>
      </c>
      <c r="D1741">
        <v>21</v>
      </c>
      <c r="E1741">
        <v>21</v>
      </c>
      <c r="F1741">
        <v>1199</v>
      </c>
      <c r="G1741">
        <f>Consulta2[[#This Row],[DIA_UTIL_CORRENTE]]</f>
        <v>4</v>
      </c>
      <c r="H1741" s="6">
        <f>DAY(Consulta2[[#This Row],[DATA]])</f>
        <v>5</v>
      </c>
      <c r="I1741" s="6">
        <f>MONTH(Consulta2[[#This Row],[DATA]])</f>
        <v>10</v>
      </c>
      <c r="J1741" t="str">
        <f>CONCATENATE(Consulta2[[#This Row],[SAFRA]],Consulta2[[#This Row],[dia]])</f>
        <v>2028105</v>
      </c>
      <c r="K1741">
        <f>Consulta2[[#This Row],[DIA_UTIL_CORRENTE]]</f>
        <v>4</v>
      </c>
    </row>
    <row r="1742" spans="1:11" x14ac:dyDescent="0.25">
      <c r="A1742">
        <v>202810</v>
      </c>
      <c r="B1742">
        <v>5</v>
      </c>
      <c r="C1742" s="148">
        <v>47032</v>
      </c>
      <c r="D1742">
        <v>21</v>
      </c>
      <c r="E1742">
        <v>21</v>
      </c>
      <c r="F1742">
        <v>1200</v>
      </c>
      <c r="G1742">
        <f>Consulta2[[#This Row],[DIA_UTIL_CORRENTE]]</f>
        <v>5</v>
      </c>
      <c r="H1742" s="6">
        <f>DAY(Consulta2[[#This Row],[DATA]])</f>
        <v>6</v>
      </c>
      <c r="I1742" s="6">
        <f>MONTH(Consulta2[[#This Row],[DATA]])</f>
        <v>10</v>
      </c>
      <c r="J1742" t="str">
        <f>CONCATENATE(Consulta2[[#This Row],[SAFRA]],Consulta2[[#This Row],[dia]])</f>
        <v>2028106</v>
      </c>
      <c r="K1742">
        <f>Consulta2[[#This Row],[DIA_UTIL_CORRENTE]]</f>
        <v>5</v>
      </c>
    </row>
    <row r="1743" spans="1:11" x14ac:dyDescent="0.25">
      <c r="A1743">
        <v>202810</v>
      </c>
      <c r="B1743">
        <v>5</v>
      </c>
      <c r="C1743" s="148">
        <v>47033</v>
      </c>
      <c r="D1743">
        <v>21</v>
      </c>
      <c r="E1743">
        <v>21</v>
      </c>
      <c r="F1743">
        <v>1200</v>
      </c>
      <c r="G1743">
        <f>Consulta2[[#This Row],[DIA_UTIL_CORRENTE]]</f>
        <v>5</v>
      </c>
      <c r="H1743" s="6">
        <f>DAY(Consulta2[[#This Row],[DATA]])</f>
        <v>7</v>
      </c>
      <c r="I1743" s="6">
        <f>MONTH(Consulta2[[#This Row],[DATA]])</f>
        <v>10</v>
      </c>
      <c r="J1743" t="str">
        <f>CONCATENATE(Consulta2[[#This Row],[SAFRA]],Consulta2[[#This Row],[dia]])</f>
        <v>2028107</v>
      </c>
      <c r="K1743">
        <f>Consulta2[[#This Row],[DIA_UTIL_CORRENTE]]</f>
        <v>5</v>
      </c>
    </row>
    <row r="1744" spans="1:11" x14ac:dyDescent="0.25">
      <c r="A1744">
        <v>202810</v>
      </c>
      <c r="B1744">
        <v>5</v>
      </c>
      <c r="C1744" s="148">
        <v>47034</v>
      </c>
      <c r="D1744">
        <v>21</v>
      </c>
      <c r="E1744">
        <v>21</v>
      </c>
      <c r="F1744">
        <v>1200</v>
      </c>
      <c r="G1744">
        <f>Consulta2[[#This Row],[DIA_UTIL_CORRENTE]]</f>
        <v>5</v>
      </c>
      <c r="H1744" s="6">
        <f>DAY(Consulta2[[#This Row],[DATA]])</f>
        <v>8</v>
      </c>
      <c r="I1744" s="6">
        <f>MONTH(Consulta2[[#This Row],[DATA]])</f>
        <v>10</v>
      </c>
      <c r="J1744" t="str">
        <f>CONCATENATE(Consulta2[[#This Row],[SAFRA]],Consulta2[[#This Row],[dia]])</f>
        <v>2028108</v>
      </c>
      <c r="K1744">
        <f>Consulta2[[#This Row],[DIA_UTIL_CORRENTE]]</f>
        <v>5</v>
      </c>
    </row>
    <row r="1745" spans="1:11" x14ac:dyDescent="0.25">
      <c r="A1745">
        <v>202810</v>
      </c>
      <c r="B1745">
        <v>6</v>
      </c>
      <c r="C1745" s="148">
        <v>47035</v>
      </c>
      <c r="D1745">
        <v>21</v>
      </c>
      <c r="E1745">
        <v>21</v>
      </c>
      <c r="F1745">
        <v>1201</v>
      </c>
      <c r="G1745">
        <f>Consulta2[[#This Row],[DIA_UTIL_CORRENTE]]</f>
        <v>6</v>
      </c>
      <c r="H1745" s="6">
        <f>DAY(Consulta2[[#This Row],[DATA]])</f>
        <v>9</v>
      </c>
      <c r="I1745" s="6">
        <f>MONTH(Consulta2[[#This Row],[DATA]])</f>
        <v>10</v>
      </c>
      <c r="J1745" t="str">
        <f>CONCATENATE(Consulta2[[#This Row],[SAFRA]],Consulta2[[#This Row],[dia]])</f>
        <v>2028109</v>
      </c>
      <c r="K1745">
        <f>Consulta2[[#This Row],[DIA_UTIL_CORRENTE]]</f>
        <v>6</v>
      </c>
    </row>
    <row r="1746" spans="1:11" x14ac:dyDescent="0.25">
      <c r="A1746">
        <v>202810</v>
      </c>
      <c r="B1746">
        <v>7</v>
      </c>
      <c r="C1746" s="148">
        <v>47036</v>
      </c>
      <c r="D1746">
        <v>21</v>
      </c>
      <c r="E1746">
        <v>21</v>
      </c>
      <c r="F1746">
        <v>1202</v>
      </c>
      <c r="G1746">
        <f>Consulta2[[#This Row],[DIA_UTIL_CORRENTE]]</f>
        <v>7</v>
      </c>
      <c r="H1746" s="6">
        <f>DAY(Consulta2[[#This Row],[DATA]])</f>
        <v>10</v>
      </c>
      <c r="I1746" s="6">
        <f>MONTH(Consulta2[[#This Row],[DATA]])</f>
        <v>10</v>
      </c>
      <c r="J1746" t="str">
        <f>CONCATENATE(Consulta2[[#This Row],[SAFRA]],Consulta2[[#This Row],[dia]])</f>
        <v>20281010</v>
      </c>
      <c r="K1746">
        <f>Consulta2[[#This Row],[DIA_UTIL_CORRENTE]]</f>
        <v>7</v>
      </c>
    </row>
    <row r="1747" spans="1:11" x14ac:dyDescent="0.25">
      <c r="A1747">
        <v>202810</v>
      </c>
      <c r="B1747">
        <v>8</v>
      </c>
      <c r="C1747" s="148">
        <v>47037</v>
      </c>
      <c r="D1747">
        <v>21</v>
      </c>
      <c r="E1747">
        <v>21</v>
      </c>
      <c r="F1747">
        <v>1203</v>
      </c>
      <c r="G1747">
        <f>Consulta2[[#This Row],[DIA_UTIL_CORRENTE]]</f>
        <v>8</v>
      </c>
      <c r="H1747" s="6">
        <f>DAY(Consulta2[[#This Row],[DATA]])</f>
        <v>11</v>
      </c>
      <c r="I1747" s="6">
        <f>MONTH(Consulta2[[#This Row],[DATA]])</f>
        <v>10</v>
      </c>
      <c r="J1747" t="str">
        <f>CONCATENATE(Consulta2[[#This Row],[SAFRA]],Consulta2[[#This Row],[dia]])</f>
        <v>20281011</v>
      </c>
      <c r="K1747">
        <f>Consulta2[[#This Row],[DIA_UTIL_CORRENTE]]</f>
        <v>8</v>
      </c>
    </row>
    <row r="1748" spans="1:11" x14ac:dyDescent="0.25">
      <c r="A1748">
        <v>202810</v>
      </c>
      <c r="B1748">
        <v>8</v>
      </c>
      <c r="C1748" s="148">
        <v>47038</v>
      </c>
      <c r="D1748">
        <v>21</v>
      </c>
      <c r="E1748">
        <v>21</v>
      </c>
      <c r="F1748">
        <v>1203</v>
      </c>
      <c r="G1748">
        <f>Consulta2[[#This Row],[DIA_UTIL_CORRENTE]]</f>
        <v>8</v>
      </c>
      <c r="H1748" s="6">
        <f>DAY(Consulta2[[#This Row],[DATA]])</f>
        <v>12</v>
      </c>
      <c r="I1748" s="6">
        <f>MONTH(Consulta2[[#This Row],[DATA]])</f>
        <v>10</v>
      </c>
      <c r="J1748" t="str">
        <f>CONCATENATE(Consulta2[[#This Row],[SAFRA]],Consulta2[[#This Row],[dia]])</f>
        <v>20281012</v>
      </c>
      <c r="K1748">
        <f>Consulta2[[#This Row],[DIA_UTIL_CORRENTE]]</f>
        <v>8</v>
      </c>
    </row>
    <row r="1749" spans="1:11" x14ac:dyDescent="0.25">
      <c r="A1749">
        <v>202810</v>
      </c>
      <c r="B1749">
        <v>9</v>
      </c>
      <c r="C1749" s="148">
        <v>47039</v>
      </c>
      <c r="D1749">
        <v>21</v>
      </c>
      <c r="E1749">
        <v>21</v>
      </c>
      <c r="F1749">
        <v>1204</v>
      </c>
      <c r="G1749">
        <f>Consulta2[[#This Row],[DIA_UTIL_CORRENTE]]</f>
        <v>9</v>
      </c>
      <c r="H1749" s="6">
        <f>DAY(Consulta2[[#This Row],[DATA]])</f>
        <v>13</v>
      </c>
      <c r="I1749" s="6">
        <f>MONTH(Consulta2[[#This Row],[DATA]])</f>
        <v>10</v>
      </c>
      <c r="J1749" t="str">
        <f>CONCATENATE(Consulta2[[#This Row],[SAFRA]],Consulta2[[#This Row],[dia]])</f>
        <v>20281013</v>
      </c>
      <c r="K1749">
        <f>Consulta2[[#This Row],[DIA_UTIL_CORRENTE]]</f>
        <v>9</v>
      </c>
    </row>
    <row r="1750" spans="1:11" x14ac:dyDescent="0.25">
      <c r="A1750">
        <v>202810</v>
      </c>
      <c r="B1750">
        <v>9</v>
      </c>
      <c r="C1750" s="148">
        <v>47040</v>
      </c>
      <c r="D1750">
        <v>21</v>
      </c>
      <c r="E1750">
        <v>21</v>
      </c>
      <c r="F1750">
        <v>1204</v>
      </c>
      <c r="G1750">
        <f>Consulta2[[#This Row],[DIA_UTIL_CORRENTE]]</f>
        <v>9</v>
      </c>
      <c r="H1750" s="6">
        <f>DAY(Consulta2[[#This Row],[DATA]])</f>
        <v>14</v>
      </c>
      <c r="I1750" s="6">
        <f>MONTH(Consulta2[[#This Row],[DATA]])</f>
        <v>10</v>
      </c>
      <c r="J1750" t="str">
        <f>CONCATENATE(Consulta2[[#This Row],[SAFRA]],Consulta2[[#This Row],[dia]])</f>
        <v>20281014</v>
      </c>
      <c r="K1750">
        <f>Consulta2[[#This Row],[DIA_UTIL_CORRENTE]]</f>
        <v>9</v>
      </c>
    </row>
    <row r="1751" spans="1:11" x14ac:dyDescent="0.25">
      <c r="A1751">
        <v>202810</v>
      </c>
      <c r="B1751">
        <v>9</v>
      </c>
      <c r="C1751" s="148">
        <v>47041</v>
      </c>
      <c r="D1751">
        <v>21</v>
      </c>
      <c r="E1751">
        <v>21</v>
      </c>
      <c r="F1751">
        <v>1204</v>
      </c>
      <c r="G1751">
        <f>Consulta2[[#This Row],[DIA_UTIL_CORRENTE]]</f>
        <v>9</v>
      </c>
      <c r="H1751" s="6">
        <f>DAY(Consulta2[[#This Row],[DATA]])</f>
        <v>15</v>
      </c>
      <c r="I1751" s="6">
        <f>MONTH(Consulta2[[#This Row],[DATA]])</f>
        <v>10</v>
      </c>
      <c r="J1751" t="str">
        <f>CONCATENATE(Consulta2[[#This Row],[SAFRA]],Consulta2[[#This Row],[dia]])</f>
        <v>20281015</v>
      </c>
      <c r="K1751">
        <f>Consulta2[[#This Row],[DIA_UTIL_CORRENTE]]</f>
        <v>9</v>
      </c>
    </row>
    <row r="1752" spans="1:11" x14ac:dyDescent="0.25">
      <c r="A1752">
        <v>202810</v>
      </c>
      <c r="B1752">
        <v>10</v>
      </c>
      <c r="C1752" s="148">
        <v>47042</v>
      </c>
      <c r="D1752">
        <v>21</v>
      </c>
      <c r="E1752">
        <v>21</v>
      </c>
      <c r="F1752">
        <v>1205</v>
      </c>
      <c r="G1752">
        <f>Consulta2[[#This Row],[DIA_UTIL_CORRENTE]]</f>
        <v>10</v>
      </c>
      <c r="H1752" s="6">
        <f>DAY(Consulta2[[#This Row],[DATA]])</f>
        <v>16</v>
      </c>
      <c r="I1752" s="6">
        <f>MONTH(Consulta2[[#This Row],[DATA]])</f>
        <v>10</v>
      </c>
      <c r="J1752" t="str">
        <f>CONCATENATE(Consulta2[[#This Row],[SAFRA]],Consulta2[[#This Row],[dia]])</f>
        <v>20281016</v>
      </c>
      <c r="K1752">
        <f>Consulta2[[#This Row],[DIA_UTIL_CORRENTE]]</f>
        <v>10</v>
      </c>
    </row>
    <row r="1753" spans="1:11" x14ac:dyDescent="0.25">
      <c r="A1753">
        <v>202810</v>
      </c>
      <c r="B1753">
        <v>11</v>
      </c>
      <c r="C1753" s="148">
        <v>47043</v>
      </c>
      <c r="D1753">
        <v>21</v>
      </c>
      <c r="E1753">
        <v>21</v>
      </c>
      <c r="F1753">
        <v>1206</v>
      </c>
      <c r="G1753">
        <f>Consulta2[[#This Row],[DIA_UTIL_CORRENTE]]</f>
        <v>11</v>
      </c>
      <c r="H1753" s="6">
        <f>DAY(Consulta2[[#This Row],[DATA]])</f>
        <v>17</v>
      </c>
      <c r="I1753" s="6">
        <f>MONTH(Consulta2[[#This Row],[DATA]])</f>
        <v>10</v>
      </c>
      <c r="J1753" t="str">
        <f>CONCATENATE(Consulta2[[#This Row],[SAFRA]],Consulta2[[#This Row],[dia]])</f>
        <v>20281017</v>
      </c>
      <c r="K1753">
        <f>Consulta2[[#This Row],[DIA_UTIL_CORRENTE]]</f>
        <v>11</v>
      </c>
    </row>
    <row r="1754" spans="1:11" x14ac:dyDescent="0.25">
      <c r="A1754">
        <v>202810</v>
      </c>
      <c r="B1754">
        <v>12</v>
      </c>
      <c r="C1754" s="148">
        <v>47044</v>
      </c>
      <c r="D1754">
        <v>21</v>
      </c>
      <c r="E1754">
        <v>21</v>
      </c>
      <c r="F1754">
        <v>1207</v>
      </c>
      <c r="G1754">
        <f>Consulta2[[#This Row],[DIA_UTIL_CORRENTE]]</f>
        <v>12</v>
      </c>
      <c r="H1754" s="6">
        <f>DAY(Consulta2[[#This Row],[DATA]])</f>
        <v>18</v>
      </c>
      <c r="I1754" s="6">
        <f>MONTH(Consulta2[[#This Row],[DATA]])</f>
        <v>10</v>
      </c>
      <c r="J1754" t="str">
        <f>CONCATENATE(Consulta2[[#This Row],[SAFRA]],Consulta2[[#This Row],[dia]])</f>
        <v>20281018</v>
      </c>
      <c r="K1754">
        <f>Consulta2[[#This Row],[DIA_UTIL_CORRENTE]]</f>
        <v>12</v>
      </c>
    </row>
    <row r="1755" spans="1:11" x14ac:dyDescent="0.25">
      <c r="A1755">
        <v>202810</v>
      </c>
      <c r="B1755">
        <v>13</v>
      </c>
      <c r="C1755" s="148">
        <v>47045</v>
      </c>
      <c r="D1755">
        <v>21</v>
      </c>
      <c r="E1755">
        <v>21</v>
      </c>
      <c r="F1755">
        <v>1208</v>
      </c>
      <c r="G1755">
        <f>Consulta2[[#This Row],[DIA_UTIL_CORRENTE]]</f>
        <v>13</v>
      </c>
      <c r="H1755" s="6">
        <f>DAY(Consulta2[[#This Row],[DATA]])</f>
        <v>19</v>
      </c>
      <c r="I1755" s="6">
        <f>MONTH(Consulta2[[#This Row],[DATA]])</f>
        <v>10</v>
      </c>
      <c r="J1755" t="str">
        <f>CONCATENATE(Consulta2[[#This Row],[SAFRA]],Consulta2[[#This Row],[dia]])</f>
        <v>20281019</v>
      </c>
      <c r="K1755">
        <f>Consulta2[[#This Row],[DIA_UTIL_CORRENTE]]</f>
        <v>13</v>
      </c>
    </row>
    <row r="1756" spans="1:11" x14ac:dyDescent="0.25">
      <c r="A1756">
        <v>202810</v>
      </c>
      <c r="B1756">
        <v>14</v>
      </c>
      <c r="C1756" s="148">
        <v>47046</v>
      </c>
      <c r="D1756">
        <v>21</v>
      </c>
      <c r="E1756">
        <v>21</v>
      </c>
      <c r="F1756">
        <v>1209</v>
      </c>
      <c r="G1756">
        <f>Consulta2[[#This Row],[DIA_UTIL_CORRENTE]]</f>
        <v>14</v>
      </c>
      <c r="H1756" s="6">
        <f>DAY(Consulta2[[#This Row],[DATA]])</f>
        <v>20</v>
      </c>
      <c r="I1756" s="6">
        <f>MONTH(Consulta2[[#This Row],[DATA]])</f>
        <v>10</v>
      </c>
      <c r="J1756" t="str">
        <f>CONCATENATE(Consulta2[[#This Row],[SAFRA]],Consulta2[[#This Row],[dia]])</f>
        <v>20281020</v>
      </c>
      <c r="K1756">
        <f>Consulta2[[#This Row],[DIA_UTIL_CORRENTE]]</f>
        <v>14</v>
      </c>
    </row>
    <row r="1757" spans="1:11" x14ac:dyDescent="0.25">
      <c r="A1757">
        <v>202810</v>
      </c>
      <c r="B1757">
        <v>14</v>
      </c>
      <c r="C1757" s="148">
        <v>47047</v>
      </c>
      <c r="D1757">
        <v>21</v>
      </c>
      <c r="E1757">
        <v>21</v>
      </c>
      <c r="F1757">
        <v>1209</v>
      </c>
      <c r="G1757">
        <f>Consulta2[[#This Row],[DIA_UTIL_CORRENTE]]</f>
        <v>14</v>
      </c>
      <c r="H1757" s="6">
        <f>DAY(Consulta2[[#This Row],[DATA]])</f>
        <v>21</v>
      </c>
      <c r="I1757" s="6">
        <f>MONTH(Consulta2[[#This Row],[DATA]])</f>
        <v>10</v>
      </c>
      <c r="J1757" t="str">
        <f>CONCATENATE(Consulta2[[#This Row],[SAFRA]],Consulta2[[#This Row],[dia]])</f>
        <v>20281021</v>
      </c>
      <c r="K1757">
        <f>Consulta2[[#This Row],[DIA_UTIL_CORRENTE]]</f>
        <v>14</v>
      </c>
    </row>
    <row r="1758" spans="1:11" x14ac:dyDescent="0.25">
      <c r="A1758">
        <v>202810</v>
      </c>
      <c r="B1758">
        <v>14</v>
      </c>
      <c r="C1758" s="148">
        <v>47048</v>
      </c>
      <c r="D1758">
        <v>21</v>
      </c>
      <c r="E1758">
        <v>21</v>
      </c>
      <c r="F1758">
        <v>1209</v>
      </c>
      <c r="G1758">
        <f>Consulta2[[#This Row],[DIA_UTIL_CORRENTE]]</f>
        <v>14</v>
      </c>
      <c r="H1758" s="6">
        <f>DAY(Consulta2[[#This Row],[DATA]])</f>
        <v>22</v>
      </c>
      <c r="I1758" s="6">
        <f>MONTH(Consulta2[[#This Row],[DATA]])</f>
        <v>10</v>
      </c>
      <c r="J1758" t="str">
        <f>CONCATENATE(Consulta2[[#This Row],[SAFRA]],Consulta2[[#This Row],[dia]])</f>
        <v>20281022</v>
      </c>
      <c r="K1758">
        <f>Consulta2[[#This Row],[DIA_UTIL_CORRENTE]]</f>
        <v>14</v>
      </c>
    </row>
    <row r="1759" spans="1:11" x14ac:dyDescent="0.25">
      <c r="A1759">
        <v>202810</v>
      </c>
      <c r="B1759">
        <v>15</v>
      </c>
      <c r="C1759" s="148">
        <v>47049</v>
      </c>
      <c r="D1759">
        <v>21</v>
      </c>
      <c r="E1759">
        <v>21</v>
      </c>
      <c r="F1759">
        <v>1210</v>
      </c>
      <c r="G1759">
        <f>Consulta2[[#This Row],[DIA_UTIL_CORRENTE]]</f>
        <v>15</v>
      </c>
      <c r="H1759" s="6">
        <f>DAY(Consulta2[[#This Row],[DATA]])</f>
        <v>23</v>
      </c>
      <c r="I1759" s="6">
        <f>MONTH(Consulta2[[#This Row],[DATA]])</f>
        <v>10</v>
      </c>
      <c r="J1759" t="str">
        <f>CONCATENATE(Consulta2[[#This Row],[SAFRA]],Consulta2[[#This Row],[dia]])</f>
        <v>20281023</v>
      </c>
      <c r="K1759">
        <f>Consulta2[[#This Row],[DIA_UTIL_CORRENTE]]</f>
        <v>15</v>
      </c>
    </row>
    <row r="1760" spans="1:11" x14ac:dyDescent="0.25">
      <c r="A1760">
        <v>202810</v>
      </c>
      <c r="B1760">
        <v>16</v>
      </c>
      <c r="C1760" s="148">
        <v>47050</v>
      </c>
      <c r="D1760">
        <v>21</v>
      </c>
      <c r="E1760">
        <v>21</v>
      </c>
      <c r="F1760">
        <v>1211</v>
      </c>
      <c r="G1760">
        <f>Consulta2[[#This Row],[DIA_UTIL_CORRENTE]]</f>
        <v>16</v>
      </c>
      <c r="H1760" s="6">
        <f>DAY(Consulta2[[#This Row],[DATA]])</f>
        <v>24</v>
      </c>
      <c r="I1760" s="6">
        <f>MONTH(Consulta2[[#This Row],[DATA]])</f>
        <v>10</v>
      </c>
      <c r="J1760" t="str">
        <f>CONCATENATE(Consulta2[[#This Row],[SAFRA]],Consulta2[[#This Row],[dia]])</f>
        <v>20281024</v>
      </c>
      <c r="K1760">
        <f>Consulta2[[#This Row],[DIA_UTIL_CORRENTE]]</f>
        <v>16</v>
      </c>
    </row>
    <row r="1761" spans="1:11" x14ac:dyDescent="0.25">
      <c r="A1761">
        <v>202810</v>
      </c>
      <c r="B1761">
        <v>17</v>
      </c>
      <c r="C1761" s="148">
        <v>47051</v>
      </c>
      <c r="D1761">
        <v>21</v>
      </c>
      <c r="E1761">
        <v>21</v>
      </c>
      <c r="F1761">
        <v>1212</v>
      </c>
      <c r="G1761">
        <f>Consulta2[[#This Row],[DIA_UTIL_CORRENTE]]</f>
        <v>17</v>
      </c>
      <c r="H1761" s="6">
        <f>DAY(Consulta2[[#This Row],[DATA]])</f>
        <v>25</v>
      </c>
      <c r="I1761" s="6">
        <f>MONTH(Consulta2[[#This Row],[DATA]])</f>
        <v>10</v>
      </c>
      <c r="J1761" t="str">
        <f>CONCATENATE(Consulta2[[#This Row],[SAFRA]],Consulta2[[#This Row],[dia]])</f>
        <v>20281025</v>
      </c>
      <c r="K1761">
        <f>Consulta2[[#This Row],[DIA_UTIL_CORRENTE]]</f>
        <v>17</v>
      </c>
    </row>
    <row r="1762" spans="1:11" x14ac:dyDescent="0.25">
      <c r="A1762">
        <v>202810</v>
      </c>
      <c r="B1762">
        <v>18</v>
      </c>
      <c r="C1762" s="148">
        <v>47052</v>
      </c>
      <c r="D1762">
        <v>21</v>
      </c>
      <c r="E1762">
        <v>21</v>
      </c>
      <c r="F1762">
        <v>1213</v>
      </c>
      <c r="G1762">
        <f>Consulta2[[#This Row],[DIA_UTIL_CORRENTE]]</f>
        <v>18</v>
      </c>
      <c r="H1762" s="6">
        <f>DAY(Consulta2[[#This Row],[DATA]])</f>
        <v>26</v>
      </c>
      <c r="I1762" s="6">
        <f>MONTH(Consulta2[[#This Row],[DATA]])</f>
        <v>10</v>
      </c>
      <c r="J1762" t="str">
        <f>CONCATENATE(Consulta2[[#This Row],[SAFRA]],Consulta2[[#This Row],[dia]])</f>
        <v>20281026</v>
      </c>
      <c r="K1762">
        <f>Consulta2[[#This Row],[DIA_UTIL_CORRENTE]]</f>
        <v>18</v>
      </c>
    </row>
    <row r="1763" spans="1:11" x14ac:dyDescent="0.25">
      <c r="A1763">
        <v>202810</v>
      </c>
      <c r="B1763">
        <v>19</v>
      </c>
      <c r="C1763" s="148">
        <v>47053</v>
      </c>
      <c r="D1763">
        <v>21</v>
      </c>
      <c r="E1763">
        <v>21</v>
      </c>
      <c r="F1763">
        <v>1214</v>
      </c>
      <c r="G1763">
        <f>Consulta2[[#This Row],[DIA_UTIL_CORRENTE]]</f>
        <v>19</v>
      </c>
      <c r="H1763" s="6">
        <f>DAY(Consulta2[[#This Row],[DATA]])</f>
        <v>27</v>
      </c>
      <c r="I1763" s="6">
        <f>MONTH(Consulta2[[#This Row],[DATA]])</f>
        <v>10</v>
      </c>
      <c r="J1763" t="str">
        <f>CONCATENATE(Consulta2[[#This Row],[SAFRA]],Consulta2[[#This Row],[dia]])</f>
        <v>20281027</v>
      </c>
      <c r="K1763">
        <f>Consulta2[[#This Row],[DIA_UTIL_CORRENTE]]</f>
        <v>19</v>
      </c>
    </row>
    <row r="1764" spans="1:11" x14ac:dyDescent="0.25">
      <c r="A1764">
        <v>202810</v>
      </c>
      <c r="B1764">
        <v>19</v>
      </c>
      <c r="C1764" s="148">
        <v>47054</v>
      </c>
      <c r="D1764">
        <v>21</v>
      </c>
      <c r="E1764">
        <v>21</v>
      </c>
      <c r="F1764">
        <v>1214</v>
      </c>
      <c r="G1764">
        <f>Consulta2[[#This Row],[DIA_UTIL_CORRENTE]]</f>
        <v>19</v>
      </c>
      <c r="H1764" s="6">
        <f>DAY(Consulta2[[#This Row],[DATA]])</f>
        <v>28</v>
      </c>
      <c r="I1764" s="6">
        <f>MONTH(Consulta2[[#This Row],[DATA]])</f>
        <v>10</v>
      </c>
      <c r="J1764" t="str">
        <f>CONCATENATE(Consulta2[[#This Row],[SAFRA]],Consulta2[[#This Row],[dia]])</f>
        <v>20281028</v>
      </c>
      <c r="K1764">
        <f>Consulta2[[#This Row],[DIA_UTIL_CORRENTE]]</f>
        <v>19</v>
      </c>
    </row>
    <row r="1765" spans="1:11" x14ac:dyDescent="0.25">
      <c r="A1765">
        <v>202810</v>
      </c>
      <c r="B1765">
        <v>19</v>
      </c>
      <c r="C1765" s="148">
        <v>47055</v>
      </c>
      <c r="D1765">
        <v>21</v>
      </c>
      <c r="E1765">
        <v>21</v>
      </c>
      <c r="F1765">
        <v>1214</v>
      </c>
      <c r="G1765">
        <f>Consulta2[[#This Row],[DIA_UTIL_CORRENTE]]</f>
        <v>19</v>
      </c>
      <c r="H1765" s="6">
        <f>DAY(Consulta2[[#This Row],[DATA]])</f>
        <v>29</v>
      </c>
      <c r="I1765" s="6">
        <f>MONTH(Consulta2[[#This Row],[DATA]])</f>
        <v>10</v>
      </c>
      <c r="J1765" t="str">
        <f>CONCATENATE(Consulta2[[#This Row],[SAFRA]],Consulta2[[#This Row],[dia]])</f>
        <v>20281029</v>
      </c>
      <c r="K1765">
        <f>Consulta2[[#This Row],[DIA_UTIL_CORRENTE]]</f>
        <v>19</v>
      </c>
    </row>
    <row r="1766" spans="1:11" x14ac:dyDescent="0.25">
      <c r="A1766">
        <v>202810</v>
      </c>
      <c r="B1766">
        <v>20</v>
      </c>
      <c r="C1766" s="148">
        <v>47056</v>
      </c>
      <c r="D1766">
        <v>21</v>
      </c>
      <c r="E1766">
        <v>21</v>
      </c>
      <c r="F1766">
        <v>1215</v>
      </c>
      <c r="G1766">
        <f>Consulta2[[#This Row],[DIA_UTIL_CORRENTE]]</f>
        <v>20</v>
      </c>
      <c r="H1766" s="6">
        <f>DAY(Consulta2[[#This Row],[DATA]])</f>
        <v>30</v>
      </c>
      <c r="I1766" s="6">
        <f>MONTH(Consulta2[[#This Row],[DATA]])</f>
        <v>10</v>
      </c>
      <c r="J1766" t="str">
        <f>CONCATENATE(Consulta2[[#This Row],[SAFRA]],Consulta2[[#This Row],[dia]])</f>
        <v>20281030</v>
      </c>
      <c r="K1766">
        <f>Consulta2[[#This Row],[DIA_UTIL_CORRENTE]]</f>
        <v>20</v>
      </c>
    </row>
    <row r="1767" spans="1:11" x14ac:dyDescent="0.25">
      <c r="A1767">
        <v>202810</v>
      </c>
      <c r="B1767">
        <v>21</v>
      </c>
      <c r="C1767" s="148">
        <v>47057</v>
      </c>
      <c r="D1767">
        <v>21</v>
      </c>
      <c r="E1767">
        <v>21</v>
      </c>
      <c r="F1767">
        <v>1216</v>
      </c>
      <c r="G1767">
        <f>Consulta2[[#This Row],[DIA_UTIL_CORRENTE]]</f>
        <v>21</v>
      </c>
      <c r="H1767" s="6">
        <f>DAY(Consulta2[[#This Row],[DATA]])</f>
        <v>31</v>
      </c>
      <c r="I1767" s="6">
        <f>MONTH(Consulta2[[#This Row],[DATA]])</f>
        <v>10</v>
      </c>
      <c r="J1767" t="str">
        <f>CONCATENATE(Consulta2[[#This Row],[SAFRA]],Consulta2[[#This Row],[dia]])</f>
        <v>20281031</v>
      </c>
      <c r="K1767">
        <f>Consulta2[[#This Row],[DIA_UTIL_CORRENTE]]</f>
        <v>21</v>
      </c>
    </row>
    <row r="1768" spans="1:11" x14ac:dyDescent="0.25">
      <c r="A1768">
        <v>202811</v>
      </c>
      <c r="B1768">
        <v>1</v>
      </c>
      <c r="C1768" s="148">
        <v>47058</v>
      </c>
      <c r="D1768">
        <v>20</v>
      </c>
      <c r="E1768">
        <v>20</v>
      </c>
      <c r="F1768">
        <v>1217</v>
      </c>
      <c r="G1768">
        <f>Consulta2[[#This Row],[DIA_UTIL_CORRENTE]]</f>
        <v>1</v>
      </c>
      <c r="H1768" s="6">
        <f>DAY(Consulta2[[#This Row],[DATA]])</f>
        <v>1</v>
      </c>
      <c r="I1768" s="6">
        <f>MONTH(Consulta2[[#This Row],[DATA]])</f>
        <v>11</v>
      </c>
      <c r="J1768" t="str">
        <f>CONCATENATE(Consulta2[[#This Row],[SAFRA]],Consulta2[[#This Row],[dia]])</f>
        <v>2028111</v>
      </c>
      <c r="K1768">
        <f>Consulta2[[#This Row],[DIA_UTIL_CORRENTE]]</f>
        <v>1</v>
      </c>
    </row>
    <row r="1769" spans="1:11" x14ac:dyDescent="0.25">
      <c r="A1769">
        <v>202811</v>
      </c>
      <c r="B1769">
        <v>1</v>
      </c>
      <c r="C1769" s="148">
        <v>47059</v>
      </c>
      <c r="D1769">
        <v>20</v>
      </c>
      <c r="E1769">
        <v>20</v>
      </c>
      <c r="F1769">
        <v>1217</v>
      </c>
      <c r="G1769">
        <f>Consulta2[[#This Row],[DIA_UTIL_CORRENTE]]</f>
        <v>1</v>
      </c>
      <c r="H1769" s="6">
        <f>DAY(Consulta2[[#This Row],[DATA]])</f>
        <v>2</v>
      </c>
      <c r="I1769" s="6">
        <f>MONTH(Consulta2[[#This Row],[DATA]])</f>
        <v>11</v>
      </c>
      <c r="J1769" t="str">
        <f>CONCATENATE(Consulta2[[#This Row],[SAFRA]],Consulta2[[#This Row],[dia]])</f>
        <v>2028112</v>
      </c>
      <c r="K1769">
        <f>Consulta2[[#This Row],[DIA_UTIL_CORRENTE]]</f>
        <v>1</v>
      </c>
    </row>
    <row r="1770" spans="1:11" x14ac:dyDescent="0.25">
      <c r="A1770">
        <v>202811</v>
      </c>
      <c r="B1770">
        <v>2</v>
      </c>
      <c r="C1770" s="148">
        <v>47060</v>
      </c>
      <c r="D1770">
        <v>20</v>
      </c>
      <c r="E1770">
        <v>20</v>
      </c>
      <c r="F1770">
        <v>1218</v>
      </c>
      <c r="G1770">
        <f>Consulta2[[#This Row],[DIA_UTIL_CORRENTE]]</f>
        <v>2</v>
      </c>
      <c r="H1770" s="6">
        <f>DAY(Consulta2[[#This Row],[DATA]])</f>
        <v>3</v>
      </c>
      <c r="I1770" s="6">
        <f>MONTH(Consulta2[[#This Row],[DATA]])</f>
        <v>11</v>
      </c>
      <c r="J1770" t="str">
        <f>CONCATENATE(Consulta2[[#This Row],[SAFRA]],Consulta2[[#This Row],[dia]])</f>
        <v>2028113</v>
      </c>
      <c r="K1770">
        <f>Consulta2[[#This Row],[DIA_UTIL_CORRENTE]]</f>
        <v>2</v>
      </c>
    </row>
    <row r="1771" spans="1:11" x14ac:dyDescent="0.25">
      <c r="A1771">
        <v>202811</v>
      </c>
      <c r="B1771">
        <v>2</v>
      </c>
      <c r="C1771" s="148">
        <v>47061</v>
      </c>
      <c r="D1771">
        <v>20</v>
      </c>
      <c r="E1771">
        <v>20</v>
      </c>
      <c r="F1771">
        <v>1218</v>
      </c>
      <c r="G1771">
        <f>Consulta2[[#This Row],[DIA_UTIL_CORRENTE]]</f>
        <v>2</v>
      </c>
      <c r="H1771" s="6">
        <f>DAY(Consulta2[[#This Row],[DATA]])</f>
        <v>4</v>
      </c>
      <c r="I1771" s="6">
        <f>MONTH(Consulta2[[#This Row],[DATA]])</f>
        <v>11</v>
      </c>
      <c r="J1771" t="str">
        <f>CONCATENATE(Consulta2[[#This Row],[SAFRA]],Consulta2[[#This Row],[dia]])</f>
        <v>2028114</v>
      </c>
      <c r="K1771">
        <f>Consulta2[[#This Row],[DIA_UTIL_CORRENTE]]</f>
        <v>2</v>
      </c>
    </row>
    <row r="1772" spans="1:11" x14ac:dyDescent="0.25">
      <c r="A1772">
        <v>202811</v>
      </c>
      <c r="B1772">
        <v>2</v>
      </c>
      <c r="C1772" s="148">
        <v>47062</v>
      </c>
      <c r="D1772">
        <v>20</v>
      </c>
      <c r="E1772">
        <v>20</v>
      </c>
      <c r="F1772">
        <v>1218</v>
      </c>
      <c r="G1772">
        <f>Consulta2[[#This Row],[DIA_UTIL_CORRENTE]]</f>
        <v>2</v>
      </c>
      <c r="H1772" s="6">
        <f>DAY(Consulta2[[#This Row],[DATA]])</f>
        <v>5</v>
      </c>
      <c r="I1772" s="6">
        <f>MONTH(Consulta2[[#This Row],[DATA]])</f>
        <v>11</v>
      </c>
      <c r="J1772" t="str">
        <f>CONCATENATE(Consulta2[[#This Row],[SAFRA]],Consulta2[[#This Row],[dia]])</f>
        <v>2028115</v>
      </c>
      <c r="K1772">
        <f>Consulta2[[#This Row],[DIA_UTIL_CORRENTE]]</f>
        <v>2</v>
      </c>
    </row>
    <row r="1773" spans="1:11" x14ac:dyDescent="0.25">
      <c r="A1773">
        <v>202811</v>
      </c>
      <c r="B1773">
        <v>3</v>
      </c>
      <c r="C1773" s="148">
        <v>47063</v>
      </c>
      <c r="D1773">
        <v>20</v>
      </c>
      <c r="E1773">
        <v>20</v>
      </c>
      <c r="F1773">
        <v>1219</v>
      </c>
      <c r="G1773">
        <f>Consulta2[[#This Row],[DIA_UTIL_CORRENTE]]</f>
        <v>3</v>
      </c>
      <c r="H1773" s="6">
        <f>DAY(Consulta2[[#This Row],[DATA]])</f>
        <v>6</v>
      </c>
      <c r="I1773" s="6">
        <f>MONTH(Consulta2[[#This Row],[DATA]])</f>
        <v>11</v>
      </c>
      <c r="J1773" t="str">
        <f>CONCATENATE(Consulta2[[#This Row],[SAFRA]],Consulta2[[#This Row],[dia]])</f>
        <v>2028116</v>
      </c>
      <c r="K1773">
        <f>Consulta2[[#This Row],[DIA_UTIL_CORRENTE]]</f>
        <v>3</v>
      </c>
    </row>
    <row r="1774" spans="1:11" x14ac:dyDescent="0.25">
      <c r="A1774">
        <v>202811</v>
      </c>
      <c r="B1774">
        <v>4</v>
      </c>
      <c r="C1774" s="148">
        <v>47064</v>
      </c>
      <c r="D1774">
        <v>20</v>
      </c>
      <c r="E1774">
        <v>20</v>
      </c>
      <c r="F1774">
        <v>1220</v>
      </c>
      <c r="G1774">
        <f>Consulta2[[#This Row],[DIA_UTIL_CORRENTE]]</f>
        <v>4</v>
      </c>
      <c r="H1774" s="6">
        <f>DAY(Consulta2[[#This Row],[DATA]])</f>
        <v>7</v>
      </c>
      <c r="I1774" s="6">
        <f>MONTH(Consulta2[[#This Row],[DATA]])</f>
        <v>11</v>
      </c>
      <c r="J1774" t="str">
        <f>CONCATENATE(Consulta2[[#This Row],[SAFRA]],Consulta2[[#This Row],[dia]])</f>
        <v>2028117</v>
      </c>
      <c r="K1774">
        <f>Consulta2[[#This Row],[DIA_UTIL_CORRENTE]]</f>
        <v>4</v>
      </c>
    </row>
    <row r="1775" spans="1:11" x14ac:dyDescent="0.25">
      <c r="A1775">
        <v>202811</v>
      </c>
      <c r="B1775">
        <v>5</v>
      </c>
      <c r="C1775" s="148">
        <v>47065</v>
      </c>
      <c r="D1775">
        <v>20</v>
      </c>
      <c r="E1775">
        <v>20</v>
      </c>
      <c r="F1775">
        <v>1221</v>
      </c>
      <c r="G1775">
        <f>Consulta2[[#This Row],[DIA_UTIL_CORRENTE]]</f>
        <v>5</v>
      </c>
      <c r="H1775" s="6">
        <f>DAY(Consulta2[[#This Row],[DATA]])</f>
        <v>8</v>
      </c>
      <c r="I1775" s="6">
        <f>MONTH(Consulta2[[#This Row],[DATA]])</f>
        <v>11</v>
      </c>
      <c r="J1775" t="str">
        <f>CONCATENATE(Consulta2[[#This Row],[SAFRA]],Consulta2[[#This Row],[dia]])</f>
        <v>2028118</v>
      </c>
      <c r="K1775">
        <f>Consulta2[[#This Row],[DIA_UTIL_CORRENTE]]</f>
        <v>5</v>
      </c>
    </row>
    <row r="1776" spans="1:11" x14ac:dyDescent="0.25">
      <c r="A1776">
        <v>202811</v>
      </c>
      <c r="B1776">
        <v>6</v>
      </c>
      <c r="C1776" s="148">
        <v>47066</v>
      </c>
      <c r="D1776">
        <v>20</v>
      </c>
      <c r="E1776">
        <v>20</v>
      </c>
      <c r="F1776">
        <v>1222</v>
      </c>
      <c r="G1776">
        <f>Consulta2[[#This Row],[DIA_UTIL_CORRENTE]]</f>
        <v>6</v>
      </c>
      <c r="H1776" s="6">
        <f>DAY(Consulta2[[#This Row],[DATA]])</f>
        <v>9</v>
      </c>
      <c r="I1776" s="6">
        <f>MONTH(Consulta2[[#This Row],[DATA]])</f>
        <v>11</v>
      </c>
      <c r="J1776" t="str">
        <f>CONCATENATE(Consulta2[[#This Row],[SAFRA]],Consulta2[[#This Row],[dia]])</f>
        <v>2028119</v>
      </c>
      <c r="K1776">
        <f>Consulta2[[#This Row],[DIA_UTIL_CORRENTE]]</f>
        <v>6</v>
      </c>
    </row>
    <row r="1777" spans="1:11" x14ac:dyDescent="0.25">
      <c r="A1777">
        <v>202811</v>
      </c>
      <c r="B1777">
        <v>7</v>
      </c>
      <c r="C1777" s="148">
        <v>47067</v>
      </c>
      <c r="D1777">
        <v>20</v>
      </c>
      <c r="E1777">
        <v>20</v>
      </c>
      <c r="F1777">
        <v>1223</v>
      </c>
      <c r="G1777">
        <f>Consulta2[[#This Row],[DIA_UTIL_CORRENTE]]</f>
        <v>7</v>
      </c>
      <c r="H1777" s="6">
        <f>DAY(Consulta2[[#This Row],[DATA]])</f>
        <v>10</v>
      </c>
      <c r="I1777" s="6">
        <f>MONTH(Consulta2[[#This Row],[DATA]])</f>
        <v>11</v>
      </c>
      <c r="J1777" t="str">
        <f>CONCATENATE(Consulta2[[#This Row],[SAFRA]],Consulta2[[#This Row],[dia]])</f>
        <v>20281110</v>
      </c>
      <c r="K1777">
        <f>Consulta2[[#This Row],[DIA_UTIL_CORRENTE]]</f>
        <v>7</v>
      </c>
    </row>
    <row r="1778" spans="1:11" x14ac:dyDescent="0.25">
      <c r="A1778">
        <v>202811</v>
      </c>
      <c r="B1778">
        <v>7</v>
      </c>
      <c r="C1778" s="148">
        <v>47068</v>
      </c>
      <c r="D1778">
        <v>20</v>
      </c>
      <c r="E1778">
        <v>20</v>
      </c>
      <c r="F1778">
        <v>1223</v>
      </c>
      <c r="G1778">
        <f>Consulta2[[#This Row],[DIA_UTIL_CORRENTE]]</f>
        <v>7</v>
      </c>
      <c r="H1778" s="6">
        <f>DAY(Consulta2[[#This Row],[DATA]])</f>
        <v>11</v>
      </c>
      <c r="I1778" s="6">
        <f>MONTH(Consulta2[[#This Row],[DATA]])</f>
        <v>11</v>
      </c>
      <c r="J1778" t="str">
        <f>CONCATENATE(Consulta2[[#This Row],[SAFRA]],Consulta2[[#This Row],[dia]])</f>
        <v>20281111</v>
      </c>
      <c r="K1778">
        <f>Consulta2[[#This Row],[DIA_UTIL_CORRENTE]]</f>
        <v>7</v>
      </c>
    </row>
    <row r="1779" spans="1:11" x14ac:dyDescent="0.25">
      <c r="A1779">
        <v>202811</v>
      </c>
      <c r="B1779">
        <v>7</v>
      </c>
      <c r="C1779" s="148">
        <v>47069</v>
      </c>
      <c r="D1779">
        <v>20</v>
      </c>
      <c r="E1779">
        <v>20</v>
      </c>
      <c r="F1779">
        <v>1223</v>
      </c>
      <c r="G1779">
        <f>Consulta2[[#This Row],[DIA_UTIL_CORRENTE]]</f>
        <v>7</v>
      </c>
      <c r="H1779" s="6">
        <f>DAY(Consulta2[[#This Row],[DATA]])</f>
        <v>12</v>
      </c>
      <c r="I1779" s="6">
        <f>MONTH(Consulta2[[#This Row],[DATA]])</f>
        <v>11</v>
      </c>
      <c r="J1779" t="str">
        <f>CONCATENATE(Consulta2[[#This Row],[SAFRA]],Consulta2[[#This Row],[dia]])</f>
        <v>20281112</v>
      </c>
      <c r="K1779">
        <f>Consulta2[[#This Row],[DIA_UTIL_CORRENTE]]</f>
        <v>7</v>
      </c>
    </row>
    <row r="1780" spans="1:11" x14ac:dyDescent="0.25">
      <c r="A1780">
        <v>202811</v>
      </c>
      <c r="B1780">
        <v>8</v>
      </c>
      <c r="C1780" s="148">
        <v>47070</v>
      </c>
      <c r="D1780">
        <v>20</v>
      </c>
      <c r="E1780">
        <v>20</v>
      </c>
      <c r="F1780">
        <v>1224</v>
      </c>
      <c r="G1780">
        <f>Consulta2[[#This Row],[DIA_UTIL_CORRENTE]]</f>
        <v>8</v>
      </c>
      <c r="H1780" s="6">
        <f>DAY(Consulta2[[#This Row],[DATA]])</f>
        <v>13</v>
      </c>
      <c r="I1780" s="6">
        <f>MONTH(Consulta2[[#This Row],[DATA]])</f>
        <v>11</v>
      </c>
      <c r="J1780" t="str">
        <f>CONCATENATE(Consulta2[[#This Row],[SAFRA]],Consulta2[[#This Row],[dia]])</f>
        <v>20281113</v>
      </c>
      <c r="K1780">
        <f>Consulta2[[#This Row],[DIA_UTIL_CORRENTE]]</f>
        <v>8</v>
      </c>
    </row>
    <row r="1781" spans="1:11" x14ac:dyDescent="0.25">
      <c r="A1781">
        <v>202811</v>
      </c>
      <c r="B1781">
        <v>9</v>
      </c>
      <c r="C1781" s="148">
        <v>47071</v>
      </c>
      <c r="D1781">
        <v>20</v>
      </c>
      <c r="E1781">
        <v>20</v>
      </c>
      <c r="F1781">
        <v>1225</v>
      </c>
      <c r="G1781">
        <f>Consulta2[[#This Row],[DIA_UTIL_CORRENTE]]</f>
        <v>9</v>
      </c>
      <c r="H1781" s="6">
        <f>DAY(Consulta2[[#This Row],[DATA]])</f>
        <v>14</v>
      </c>
      <c r="I1781" s="6">
        <f>MONTH(Consulta2[[#This Row],[DATA]])</f>
        <v>11</v>
      </c>
      <c r="J1781" t="str">
        <f>CONCATENATE(Consulta2[[#This Row],[SAFRA]],Consulta2[[#This Row],[dia]])</f>
        <v>20281114</v>
      </c>
      <c r="K1781">
        <f>Consulta2[[#This Row],[DIA_UTIL_CORRENTE]]</f>
        <v>9</v>
      </c>
    </row>
    <row r="1782" spans="1:11" x14ac:dyDescent="0.25">
      <c r="A1782">
        <v>202811</v>
      </c>
      <c r="B1782">
        <v>9</v>
      </c>
      <c r="C1782" s="148">
        <v>47072</v>
      </c>
      <c r="D1782">
        <v>20</v>
      </c>
      <c r="E1782">
        <v>20</v>
      </c>
      <c r="F1782">
        <v>1225</v>
      </c>
      <c r="G1782">
        <f>Consulta2[[#This Row],[DIA_UTIL_CORRENTE]]</f>
        <v>9</v>
      </c>
      <c r="H1782" s="6">
        <f>DAY(Consulta2[[#This Row],[DATA]])</f>
        <v>15</v>
      </c>
      <c r="I1782" s="6">
        <f>MONTH(Consulta2[[#This Row],[DATA]])</f>
        <v>11</v>
      </c>
      <c r="J1782" t="str">
        <f>CONCATENATE(Consulta2[[#This Row],[SAFRA]],Consulta2[[#This Row],[dia]])</f>
        <v>20281115</v>
      </c>
      <c r="K1782">
        <f>Consulta2[[#This Row],[DIA_UTIL_CORRENTE]]</f>
        <v>9</v>
      </c>
    </row>
    <row r="1783" spans="1:11" x14ac:dyDescent="0.25">
      <c r="A1783">
        <v>202811</v>
      </c>
      <c r="B1783">
        <v>10</v>
      </c>
      <c r="C1783" s="148">
        <v>47073</v>
      </c>
      <c r="D1783">
        <v>20</v>
      </c>
      <c r="E1783">
        <v>20</v>
      </c>
      <c r="F1783">
        <v>1226</v>
      </c>
      <c r="G1783">
        <f>Consulta2[[#This Row],[DIA_UTIL_CORRENTE]]</f>
        <v>10</v>
      </c>
      <c r="H1783" s="6">
        <f>DAY(Consulta2[[#This Row],[DATA]])</f>
        <v>16</v>
      </c>
      <c r="I1783" s="6">
        <f>MONTH(Consulta2[[#This Row],[DATA]])</f>
        <v>11</v>
      </c>
      <c r="J1783" t="str">
        <f>CONCATENATE(Consulta2[[#This Row],[SAFRA]],Consulta2[[#This Row],[dia]])</f>
        <v>20281116</v>
      </c>
      <c r="K1783">
        <f>Consulta2[[#This Row],[DIA_UTIL_CORRENTE]]</f>
        <v>10</v>
      </c>
    </row>
    <row r="1784" spans="1:11" x14ac:dyDescent="0.25">
      <c r="A1784">
        <v>202811</v>
      </c>
      <c r="B1784">
        <v>11</v>
      </c>
      <c r="C1784" s="148">
        <v>47074</v>
      </c>
      <c r="D1784">
        <v>20</v>
      </c>
      <c r="E1784">
        <v>20</v>
      </c>
      <c r="F1784">
        <v>1227</v>
      </c>
      <c r="G1784">
        <f>Consulta2[[#This Row],[DIA_UTIL_CORRENTE]]</f>
        <v>11</v>
      </c>
      <c r="H1784" s="6">
        <f>DAY(Consulta2[[#This Row],[DATA]])</f>
        <v>17</v>
      </c>
      <c r="I1784" s="6">
        <f>MONTH(Consulta2[[#This Row],[DATA]])</f>
        <v>11</v>
      </c>
      <c r="J1784" t="str">
        <f>CONCATENATE(Consulta2[[#This Row],[SAFRA]],Consulta2[[#This Row],[dia]])</f>
        <v>20281117</v>
      </c>
      <c r="K1784">
        <f>Consulta2[[#This Row],[DIA_UTIL_CORRENTE]]</f>
        <v>11</v>
      </c>
    </row>
    <row r="1785" spans="1:11" x14ac:dyDescent="0.25">
      <c r="A1785">
        <v>202811</v>
      </c>
      <c r="B1785">
        <v>11</v>
      </c>
      <c r="C1785" s="148">
        <v>47075</v>
      </c>
      <c r="D1785">
        <v>20</v>
      </c>
      <c r="E1785">
        <v>20</v>
      </c>
      <c r="F1785">
        <v>1227</v>
      </c>
      <c r="G1785">
        <f>Consulta2[[#This Row],[DIA_UTIL_CORRENTE]]</f>
        <v>11</v>
      </c>
      <c r="H1785" s="6">
        <f>DAY(Consulta2[[#This Row],[DATA]])</f>
        <v>18</v>
      </c>
      <c r="I1785" s="6">
        <f>MONTH(Consulta2[[#This Row],[DATA]])</f>
        <v>11</v>
      </c>
      <c r="J1785" t="str">
        <f>CONCATENATE(Consulta2[[#This Row],[SAFRA]],Consulta2[[#This Row],[dia]])</f>
        <v>20281118</v>
      </c>
      <c r="K1785">
        <f>Consulta2[[#This Row],[DIA_UTIL_CORRENTE]]</f>
        <v>11</v>
      </c>
    </row>
    <row r="1786" spans="1:11" x14ac:dyDescent="0.25">
      <c r="A1786">
        <v>202811</v>
      </c>
      <c r="B1786">
        <v>11</v>
      </c>
      <c r="C1786" s="148">
        <v>47076</v>
      </c>
      <c r="D1786">
        <v>20</v>
      </c>
      <c r="E1786">
        <v>20</v>
      </c>
      <c r="F1786">
        <v>1227</v>
      </c>
      <c r="G1786">
        <f>Consulta2[[#This Row],[DIA_UTIL_CORRENTE]]</f>
        <v>11</v>
      </c>
      <c r="H1786" s="6">
        <f>DAY(Consulta2[[#This Row],[DATA]])</f>
        <v>19</v>
      </c>
      <c r="I1786" s="6">
        <f>MONTH(Consulta2[[#This Row],[DATA]])</f>
        <v>11</v>
      </c>
      <c r="J1786" t="str">
        <f>CONCATENATE(Consulta2[[#This Row],[SAFRA]],Consulta2[[#This Row],[dia]])</f>
        <v>20281119</v>
      </c>
      <c r="K1786">
        <f>Consulta2[[#This Row],[DIA_UTIL_CORRENTE]]</f>
        <v>11</v>
      </c>
    </row>
    <row r="1787" spans="1:11" x14ac:dyDescent="0.25">
      <c r="A1787">
        <v>202811</v>
      </c>
      <c r="B1787">
        <v>12</v>
      </c>
      <c r="C1787" s="148">
        <v>47077</v>
      </c>
      <c r="D1787">
        <v>20</v>
      </c>
      <c r="E1787">
        <v>20</v>
      </c>
      <c r="F1787">
        <v>1228</v>
      </c>
      <c r="G1787">
        <f>Consulta2[[#This Row],[DIA_UTIL_CORRENTE]]</f>
        <v>12</v>
      </c>
      <c r="H1787" s="6">
        <f>DAY(Consulta2[[#This Row],[DATA]])</f>
        <v>20</v>
      </c>
      <c r="I1787" s="6">
        <f>MONTH(Consulta2[[#This Row],[DATA]])</f>
        <v>11</v>
      </c>
      <c r="J1787" t="str">
        <f>CONCATENATE(Consulta2[[#This Row],[SAFRA]],Consulta2[[#This Row],[dia]])</f>
        <v>20281120</v>
      </c>
      <c r="K1787">
        <f>Consulta2[[#This Row],[DIA_UTIL_CORRENTE]]</f>
        <v>12</v>
      </c>
    </row>
    <row r="1788" spans="1:11" x14ac:dyDescent="0.25">
      <c r="A1788">
        <v>202811</v>
      </c>
      <c r="B1788">
        <v>13</v>
      </c>
      <c r="C1788" s="148">
        <v>47078</v>
      </c>
      <c r="D1788">
        <v>20</v>
      </c>
      <c r="E1788">
        <v>20</v>
      </c>
      <c r="F1788">
        <v>1229</v>
      </c>
      <c r="G1788">
        <f>Consulta2[[#This Row],[DIA_UTIL_CORRENTE]]</f>
        <v>13</v>
      </c>
      <c r="H1788" s="6">
        <f>DAY(Consulta2[[#This Row],[DATA]])</f>
        <v>21</v>
      </c>
      <c r="I1788" s="6">
        <f>MONTH(Consulta2[[#This Row],[DATA]])</f>
        <v>11</v>
      </c>
      <c r="J1788" t="str">
        <f>CONCATENATE(Consulta2[[#This Row],[SAFRA]],Consulta2[[#This Row],[dia]])</f>
        <v>20281121</v>
      </c>
      <c r="K1788">
        <f>Consulta2[[#This Row],[DIA_UTIL_CORRENTE]]</f>
        <v>13</v>
      </c>
    </row>
    <row r="1789" spans="1:11" x14ac:dyDescent="0.25">
      <c r="A1789">
        <v>202811</v>
      </c>
      <c r="B1789">
        <v>14</v>
      </c>
      <c r="C1789" s="148">
        <v>47079</v>
      </c>
      <c r="D1789">
        <v>20</v>
      </c>
      <c r="E1789">
        <v>20</v>
      </c>
      <c r="F1789">
        <v>1230</v>
      </c>
      <c r="G1789">
        <f>Consulta2[[#This Row],[DIA_UTIL_CORRENTE]]</f>
        <v>14</v>
      </c>
      <c r="H1789" s="6">
        <f>DAY(Consulta2[[#This Row],[DATA]])</f>
        <v>22</v>
      </c>
      <c r="I1789" s="6">
        <f>MONTH(Consulta2[[#This Row],[DATA]])</f>
        <v>11</v>
      </c>
      <c r="J1789" t="str">
        <f>CONCATENATE(Consulta2[[#This Row],[SAFRA]],Consulta2[[#This Row],[dia]])</f>
        <v>20281122</v>
      </c>
      <c r="K1789">
        <f>Consulta2[[#This Row],[DIA_UTIL_CORRENTE]]</f>
        <v>14</v>
      </c>
    </row>
    <row r="1790" spans="1:11" x14ac:dyDescent="0.25">
      <c r="A1790">
        <v>202811</v>
      </c>
      <c r="B1790">
        <v>15</v>
      </c>
      <c r="C1790" s="148">
        <v>47080</v>
      </c>
      <c r="D1790">
        <v>20</v>
      </c>
      <c r="E1790">
        <v>20</v>
      </c>
      <c r="F1790">
        <v>1231</v>
      </c>
      <c r="G1790">
        <f>Consulta2[[#This Row],[DIA_UTIL_CORRENTE]]</f>
        <v>15</v>
      </c>
      <c r="H1790" s="6">
        <f>DAY(Consulta2[[#This Row],[DATA]])</f>
        <v>23</v>
      </c>
      <c r="I1790" s="6">
        <f>MONTH(Consulta2[[#This Row],[DATA]])</f>
        <v>11</v>
      </c>
      <c r="J1790" t="str">
        <f>CONCATENATE(Consulta2[[#This Row],[SAFRA]],Consulta2[[#This Row],[dia]])</f>
        <v>20281123</v>
      </c>
      <c r="K1790">
        <f>Consulta2[[#This Row],[DIA_UTIL_CORRENTE]]</f>
        <v>15</v>
      </c>
    </row>
    <row r="1791" spans="1:11" x14ac:dyDescent="0.25">
      <c r="A1791">
        <v>202811</v>
      </c>
      <c r="B1791">
        <v>16</v>
      </c>
      <c r="C1791" s="148">
        <v>47081</v>
      </c>
      <c r="D1791">
        <v>20</v>
      </c>
      <c r="E1791">
        <v>20</v>
      </c>
      <c r="F1791">
        <v>1232</v>
      </c>
      <c r="G1791">
        <f>Consulta2[[#This Row],[DIA_UTIL_CORRENTE]]</f>
        <v>16</v>
      </c>
      <c r="H1791" s="6">
        <f>DAY(Consulta2[[#This Row],[DATA]])</f>
        <v>24</v>
      </c>
      <c r="I1791" s="6">
        <f>MONTH(Consulta2[[#This Row],[DATA]])</f>
        <v>11</v>
      </c>
      <c r="J1791" t="str">
        <f>CONCATENATE(Consulta2[[#This Row],[SAFRA]],Consulta2[[#This Row],[dia]])</f>
        <v>20281124</v>
      </c>
      <c r="K1791">
        <f>Consulta2[[#This Row],[DIA_UTIL_CORRENTE]]</f>
        <v>16</v>
      </c>
    </row>
    <row r="1792" spans="1:11" x14ac:dyDescent="0.25">
      <c r="A1792">
        <v>202811</v>
      </c>
      <c r="B1792">
        <v>16</v>
      </c>
      <c r="C1792" s="148">
        <v>47082</v>
      </c>
      <c r="D1792">
        <v>20</v>
      </c>
      <c r="E1792">
        <v>20</v>
      </c>
      <c r="F1792">
        <v>1232</v>
      </c>
      <c r="G1792">
        <f>Consulta2[[#This Row],[DIA_UTIL_CORRENTE]]</f>
        <v>16</v>
      </c>
      <c r="H1792" s="6">
        <f>DAY(Consulta2[[#This Row],[DATA]])</f>
        <v>25</v>
      </c>
      <c r="I1792" s="6">
        <f>MONTH(Consulta2[[#This Row],[DATA]])</f>
        <v>11</v>
      </c>
      <c r="J1792" t="str">
        <f>CONCATENATE(Consulta2[[#This Row],[SAFRA]],Consulta2[[#This Row],[dia]])</f>
        <v>20281125</v>
      </c>
      <c r="K1792">
        <f>Consulta2[[#This Row],[DIA_UTIL_CORRENTE]]</f>
        <v>16</v>
      </c>
    </row>
    <row r="1793" spans="1:11" x14ac:dyDescent="0.25">
      <c r="A1793">
        <v>202811</v>
      </c>
      <c r="B1793">
        <v>16</v>
      </c>
      <c r="C1793" s="148">
        <v>47083</v>
      </c>
      <c r="D1793">
        <v>20</v>
      </c>
      <c r="E1793">
        <v>20</v>
      </c>
      <c r="F1793">
        <v>1232</v>
      </c>
      <c r="G1793">
        <f>Consulta2[[#This Row],[DIA_UTIL_CORRENTE]]</f>
        <v>16</v>
      </c>
      <c r="H1793" s="6">
        <f>DAY(Consulta2[[#This Row],[DATA]])</f>
        <v>26</v>
      </c>
      <c r="I1793" s="6">
        <f>MONTH(Consulta2[[#This Row],[DATA]])</f>
        <v>11</v>
      </c>
      <c r="J1793" t="str">
        <f>CONCATENATE(Consulta2[[#This Row],[SAFRA]],Consulta2[[#This Row],[dia]])</f>
        <v>20281126</v>
      </c>
      <c r="K1793">
        <f>Consulta2[[#This Row],[DIA_UTIL_CORRENTE]]</f>
        <v>16</v>
      </c>
    </row>
    <row r="1794" spans="1:11" x14ac:dyDescent="0.25">
      <c r="A1794">
        <v>202811</v>
      </c>
      <c r="B1794">
        <v>17</v>
      </c>
      <c r="C1794" s="148">
        <v>47084</v>
      </c>
      <c r="D1794">
        <v>20</v>
      </c>
      <c r="E1794">
        <v>20</v>
      </c>
      <c r="F1794">
        <v>1233</v>
      </c>
      <c r="G1794">
        <f>Consulta2[[#This Row],[DIA_UTIL_CORRENTE]]</f>
        <v>17</v>
      </c>
      <c r="H1794" s="6">
        <f>DAY(Consulta2[[#This Row],[DATA]])</f>
        <v>27</v>
      </c>
      <c r="I1794" s="6">
        <f>MONTH(Consulta2[[#This Row],[DATA]])</f>
        <v>11</v>
      </c>
      <c r="J1794" t="str">
        <f>CONCATENATE(Consulta2[[#This Row],[SAFRA]],Consulta2[[#This Row],[dia]])</f>
        <v>20281127</v>
      </c>
      <c r="K1794">
        <f>Consulta2[[#This Row],[DIA_UTIL_CORRENTE]]</f>
        <v>17</v>
      </c>
    </row>
    <row r="1795" spans="1:11" x14ac:dyDescent="0.25">
      <c r="A1795">
        <v>202811</v>
      </c>
      <c r="B1795">
        <v>18</v>
      </c>
      <c r="C1795" s="148">
        <v>47085</v>
      </c>
      <c r="D1795">
        <v>20</v>
      </c>
      <c r="E1795">
        <v>20</v>
      </c>
      <c r="F1795">
        <v>1234</v>
      </c>
      <c r="G1795">
        <f>Consulta2[[#This Row],[DIA_UTIL_CORRENTE]]</f>
        <v>18</v>
      </c>
      <c r="H1795" s="6">
        <f>DAY(Consulta2[[#This Row],[DATA]])</f>
        <v>28</v>
      </c>
      <c r="I1795" s="6">
        <f>MONTH(Consulta2[[#This Row],[DATA]])</f>
        <v>11</v>
      </c>
      <c r="J1795" t="str">
        <f>CONCATENATE(Consulta2[[#This Row],[SAFRA]],Consulta2[[#This Row],[dia]])</f>
        <v>20281128</v>
      </c>
      <c r="K1795">
        <f>Consulta2[[#This Row],[DIA_UTIL_CORRENTE]]</f>
        <v>18</v>
      </c>
    </row>
    <row r="1796" spans="1:11" x14ac:dyDescent="0.25">
      <c r="A1796">
        <v>202811</v>
      </c>
      <c r="B1796">
        <v>19</v>
      </c>
      <c r="C1796" s="148">
        <v>47086</v>
      </c>
      <c r="D1796">
        <v>20</v>
      </c>
      <c r="E1796">
        <v>20</v>
      </c>
      <c r="F1796">
        <v>1235</v>
      </c>
      <c r="G1796">
        <f>Consulta2[[#This Row],[DIA_UTIL_CORRENTE]]</f>
        <v>19</v>
      </c>
      <c r="H1796" s="6">
        <f>DAY(Consulta2[[#This Row],[DATA]])</f>
        <v>29</v>
      </c>
      <c r="I1796" s="6">
        <f>MONTH(Consulta2[[#This Row],[DATA]])</f>
        <v>11</v>
      </c>
      <c r="J1796" t="str">
        <f>CONCATENATE(Consulta2[[#This Row],[SAFRA]],Consulta2[[#This Row],[dia]])</f>
        <v>20281129</v>
      </c>
      <c r="K1796">
        <f>Consulta2[[#This Row],[DIA_UTIL_CORRENTE]]</f>
        <v>19</v>
      </c>
    </row>
    <row r="1797" spans="1:11" x14ac:dyDescent="0.25">
      <c r="A1797">
        <v>202811</v>
      </c>
      <c r="B1797">
        <v>20</v>
      </c>
      <c r="C1797" s="148">
        <v>47087</v>
      </c>
      <c r="D1797">
        <v>20</v>
      </c>
      <c r="E1797">
        <v>20</v>
      </c>
      <c r="F1797">
        <v>1236</v>
      </c>
      <c r="G1797">
        <f>Consulta2[[#This Row],[DIA_UTIL_CORRENTE]]</f>
        <v>20</v>
      </c>
      <c r="H1797" s="6">
        <f>DAY(Consulta2[[#This Row],[DATA]])</f>
        <v>30</v>
      </c>
      <c r="I1797" s="6">
        <f>MONTH(Consulta2[[#This Row],[DATA]])</f>
        <v>11</v>
      </c>
      <c r="J1797" t="str">
        <f>CONCATENATE(Consulta2[[#This Row],[SAFRA]],Consulta2[[#This Row],[dia]])</f>
        <v>20281130</v>
      </c>
      <c r="K1797">
        <f>Consulta2[[#This Row],[DIA_UTIL_CORRENTE]]</f>
        <v>20</v>
      </c>
    </row>
    <row r="1798" spans="1:11" x14ac:dyDescent="0.25">
      <c r="A1798">
        <v>202812</v>
      </c>
      <c r="B1798">
        <v>1</v>
      </c>
      <c r="C1798" s="148">
        <v>47088</v>
      </c>
      <c r="D1798">
        <v>20</v>
      </c>
      <c r="E1798">
        <v>20</v>
      </c>
      <c r="F1798">
        <v>1237</v>
      </c>
      <c r="G1798">
        <f>Consulta2[[#This Row],[DIA_UTIL_CORRENTE]]</f>
        <v>1</v>
      </c>
      <c r="H1798" s="6">
        <f>DAY(Consulta2[[#This Row],[DATA]])</f>
        <v>1</v>
      </c>
      <c r="I1798" s="6">
        <f>MONTH(Consulta2[[#This Row],[DATA]])</f>
        <v>12</v>
      </c>
      <c r="J1798" t="str">
        <f>CONCATENATE(Consulta2[[#This Row],[SAFRA]],Consulta2[[#This Row],[dia]])</f>
        <v>2028121</v>
      </c>
      <c r="K1798">
        <f>Consulta2[[#This Row],[DIA_UTIL_CORRENTE]]</f>
        <v>1</v>
      </c>
    </row>
    <row r="1799" spans="1:11" x14ac:dyDescent="0.25">
      <c r="A1799">
        <v>202812</v>
      </c>
      <c r="B1799">
        <v>1</v>
      </c>
      <c r="C1799" s="148">
        <v>47089</v>
      </c>
      <c r="D1799">
        <v>20</v>
      </c>
      <c r="E1799">
        <v>20</v>
      </c>
      <c r="F1799">
        <v>1237</v>
      </c>
      <c r="G1799">
        <f>Consulta2[[#This Row],[DIA_UTIL_CORRENTE]]</f>
        <v>1</v>
      </c>
      <c r="H1799" s="6">
        <f>DAY(Consulta2[[#This Row],[DATA]])</f>
        <v>2</v>
      </c>
      <c r="I1799" s="6">
        <f>MONTH(Consulta2[[#This Row],[DATA]])</f>
        <v>12</v>
      </c>
      <c r="J1799" t="str">
        <f>CONCATENATE(Consulta2[[#This Row],[SAFRA]],Consulta2[[#This Row],[dia]])</f>
        <v>2028122</v>
      </c>
      <c r="K1799">
        <f>Consulta2[[#This Row],[DIA_UTIL_CORRENTE]]</f>
        <v>1</v>
      </c>
    </row>
    <row r="1800" spans="1:11" x14ac:dyDescent="0.25">
      <c r="A1800">
        <v>202812</v>
      </c>
      <c r="B1800">
        <v>1</v>
      </c>
      <c r="C1800" s="148">
        <v>47090</v>
      </c>
      <c r="D1800">
        <v>20</v>
      </c>
      <c r="E1800">
        <v>20</v>
      </c>
      <c r="F1800">
        <v>1237</v>
      </c>
      <c r="G1800">
        <f>Consulta2[[#This Row],[DIA_UTIL_CORRENTE]]</f>
        <v>1</v>
      </c>
      <c r="H1800" s="6">
        <f>DAY(Consulta2[[#This Row],[DATA]])</f>
        <v>3</v>
      </c>
      <c r="I1800" s="6">
        <f>MONTH(Consulta2[[#This Row],[DATA]])</f>
        <v>12</v>
      </c>
      <c r="J1800" t="str">
        <f>CONCATENATE(Consulta2[[#This Row],[SAFRA]],Consulta2[[#This Row],[dia]])</f>
        <v>2028123</v>
      </c>
      <c r="K1800">
        <f>Consulta2[[#This Row],[DIA_UTIL_CORRENTE]]</f>
        <v>1</v>
      </c>
    </row>
    <row r="1801" spans="1:11" x14ac:dyDescent="0.25">
      <c r="A1801">
        <v>202812</v>
      </c>
      <c r="B1801">
        <v>2</v>
      </c>
      <c r="C1801" s="148">
        <v>47091</v>
      </c>
      <c r="D1801">
        <v>20</v>
      </c>
      <c r="E1801">
        <v>20</v>
      </c>
      <c r="F1801">
        <v>1238</v>
      </c>
      <c r="G1801">
        <f>Consulta2[[#This Row],[DIA_UTIL_CORRENTE]]</f>
        <v>2</v>
      </c>
      <c r="H1801" s="6">
        <f>DAY(Consulta2[[#This Row],[DATA]])</f>
        <v>4</v>
      </c>
      <c r="I1801" s="6">
        <f>MONTH(Consulta2[[#This Row],[DATA]])</f>
        <v>12</v>
      </c>
      <c r="J1801" t="str">
        <f>CONCATENATE(Consulta2[[#This Row],[SAFRA]],Consulta2[[#This Row],[dia]])</f>
        <v>2028124</v>
      </c>
      <c r="K1801">
        <f>Consulta2[[#This Row],[DIA_UTIL_CORRENTE]]</f>
        <v>2</v>
      </c>
    </row>
    <row r="1802" spans="1:11" x14ac:dyDescent="0.25">
      <c r="A1802">
        <v>202812</v>
      </c>
      <c r="B1802">
        <v>3</v>
      </c>
      <c r="C1802" s="148">
        <v>47092</v>
      </c>
      <c r="D1802">
        <v>20</v>
      </c>
      <c r="E1802">
        <v>20</v>
      </c>
      <c r="F1802">
        <v>1239</v>
      </c>
      <c r="G1802">
        <f>Consulta2[[#This Row],[DIA_UTIL_CORRENTE]]</f>
        <v>3</v>
      </c>
      <c r="H1802" s="6">
        <f>DAY(Consulta2[[#This Row],[DATA]])</f>
        <v>5</v>
      </c>
      <c r="I1802" s="6">
        <f>MONTH(Consulta2[[#This Row],[DATA]])</f>
        <v>12</v>
      </c>
      <c r="J1802" t="str">
        <f>CONCATENATE(Consulta2[[#This Row],[SAFRA]],Consulta2[[#This Row],[dia]])</f>
        <v>2028125</v>
      </c>
      <c r="K1802">
        <f>Consulta2[[#This Row],[DIA_UTIL_CORRENTE]]</f>
        <v>3</v>
      </c>
    </row>
    <row r="1803" spans="1:11" x14ac:dyDescent="0.25">
      <c r="A1803">
        <v>202812</v>
      </c>
      <c r="B1803">
        <v>4</v>
      </c>
      <c r="C1803" s="148">
        <v>47093</v>
      </c>
      <c r="D1803">
        <v>20</v>
      </c>
      <c r="E1803">
        <v>20</v>
      </c>
      <c r="F1803">
        <v>1240</v>
      </c>
      <c r="G1803">
        <f>Consulta2[[#This Row],[DIA_UTIL_CORRENTE]]</f>
        <v>4</v>
      </c>
      <c r="H1803" s="6">
        <f>DAY(Consulta2[[#This Row],[DATA]])</f>
        <v>6</v>
      </c>
      <c r="I1803" s="6">
        <f>MONTH(Consulta2[[#This Row],[DATA]])</f>
        <v>12</v>
      </c>
      <c r="J1803" t="str">
        <f>CONCATENATE(Consulta2[[#This Row],[SAFRA]],Consulta2[[#This Row],[dia]])</f>
        <v>2028126</v>
      </c>
      <c r="K1803">
        <f>Consulta2[[#This Row],[DIA_UTIL_CORRENTE]]</f>
        <v>4</v>
      </c>
    </row>
    <row r="1804" spans="1:11" x14ac:dyDescent="0.25">
      <c r="A1804">
        <v>202812</v>
      </c>
      <c r="B1804">
        <v>5</v>
      </c>
      <c r="C1804" s="148">
        <v>47094</v>
      </c>
      <c r="D1804">
        <v>20</v>
      </c>
      <c r="E1804">
        <v>20</v>
      </c>
      <c r="F1804">
        <v>1241</v>
      </c>
      <c r="G1804">
        <f>Consulta2[[#This Row],[DIA_UTIL_CORRENTE]]</f>
        <v>5</v>
      </c>
      <c r="H1804" s="6">
        <f>DAY(Consulta2[[#This Row],[DATA]])</f>
        <v>7</v>
      </c>
      <c r="I1804" s="6">
        <f>MONTH(Consulta2[[#This Row],[DATA]])</f>
        <v>12</v>
      </c>
      <c r="J1804" t="str">
        <f>CONCATENATE(Consulta2[[#This Row],[SAFRA]],Consulta2[[#This Row],[dia]])</f>
        <v>2028127</v>
      </c>
      <c r="K1804">
        <f>Consulta2[[#This Row],[DIA_UTIL_CORRENTE]]</f>
        <v>5</v>
      </c>
    </row>
    <row r="1805" spans="1:11" x14ac:dyDescent="0.25">
      <c r="A1805">
        <v>202812</v>
      </c>
      <c r="B1805">
        <v>6</v>
      </c>
      <c r="C1805" s="148">
        <v>47095</v>
      </c>
      <c r="D1805">
        <v>20</v>
      </c>
      <c r="E1805">
        <v>20</v>
      </c>
      <c r="F1805">
        <v>1242</v>
      </c>
      <c r="G1805">
        <f>Consulta2[[#This Row],[DIA_UTIL_CORRENTE]]</f>
        <v>6</v>
      </c>
      <c r="H1805" s="6">
        <f>DAY(Consulta2[[#This Row],[DATA]])</f>
        <v>8</v>
      </c>
      <c r="I1805" s="6">
        <f>MONTH(Consulta2[[#This Row],[DATA]])</f>
        <v>12</v>
      </c>
      <c r="J1805" t="str">
        <f>CONCATENATE(Consulta2[[#This Row],[SAFRA]],Consulta2[[#This Row],[dia]])</f>
        <v>2028128</v>
      </c>
      <c r="K1805">
        <f>Consulta2[[#This Row],[DIA_UTIL_CORRENTE]]</f>
        <v>6</v>
      </c>
    </row>
    <row r="1806" spans="1:11" x14ac:dyDescent="0.25">
      <c r="A1806">
        <v>202812</v>
      </c>
      <c r="B1806">
        <v>6</v>
      </c>
      <c r="C1806" s="148">
        <v>47096</v>
      </c>
      <c r="D1806">
        <v>20</v>
      </c>
      <c r="E1806">
        <v>20</v>
      </c>
      <c r="F1806">
        <v>1242</v>
      </c>
      <c r="G1806">
        <f>Consulta2[[#This Row],[DIA_UTIL_CORRENTE]]</f>
        <v>6</v>
      </c>
      <c r="H1806" s="6">
        <f>DAY(Consulta2[[#This Row],[DATA]])</f>
        <v>9</v>
      </c>
      <c r="I1806" s="6">
        <f>MONTH(Consulta2[[#This Row],[DATA]])</f>
        <v>12</v>
      </c>
      <c r="J1806" t="str">
        <f>CONCATENATE(Consulta2[[#This Row],[SAFRA]],Consulta2[[#This Row],[dia]])</f>
        <v>2028129</v>
      </c>
      <c r="K1806">
        <f>Consulta2[[#This Row],[DIA_UTIL_CORRENTE]]</f>
        <v>6</v>
      </c>
    </row>
    <row r="1807" spans="1:11" x14ac:dyDescent="0.25">
      <c r="A1807">
        <v>202812</v>
      </c>
      <c r="B1807">
        <v>6</v>
      </c>
      <c r="C1807" s="148">
        <v>47097</v>
      </c>
      <c r="D1807">
        <v>20</v>
      </c>
      <c r="E1807">
        <v>20</v>
      </c>
      <c r="F1807">
        <v>1242</v>
      </c>
      <c r="G1807">
        <f>Consulta2[[#This Row],[DIA_UTIL_CORRENTE]]</f>
        <v>6</v>
      </c>
      <c r="H1807" s="6">
        <f>DAY(Consulta2[[#This Row],[DATA]])</f>
        <v>10</v>
      </c>
      <c r="I1807" s="6">
        <f>MONTH(Consulta2[[#This Row],[DATA]])</f>
        <v>12</v>
      </c>
      <c r="J1807" t="str">
        <f>CONCATENATE(Consulta2[[#This Row],[SAFRA]],Consulta2[[#This Row],[dia]])</f>
        <v>20281210</v>
      </c>
      <c r="K1807">
        <f>Consulta2[[#This Row],[DIA_UTIL_CORRENTE]]</f>
        <v>6</v>
      </c>
    </row>
    <row r="1808" spans="1:11" x14ac:dyDescent="0.25">
      <c r="A1808">
        <v>202812</v>
      </c>
      <c r="B1808">
        <v>7</v>
      </c>
      <c r="C1808" s="148">
        <v>47098</v>
      </c>
      <c r="D1808">
        <v>20</v>
      </c>
      <c r="E1808">
        <v>20</v>
      </c>
      <c r="F1808">
        <v>1243</v>
      </c>
      <c r="G1808">
        <f>Consulta2[[#This Row],[DIA_UTIL_CORRENTE]]</f>
        <v>7</v>
      </c>
      <c r="H1808" s="6">
        <f>DAY(Consulta2[[#This Row],[DATA]])</f>
        <v>11</v>
      </c>
      <c r="I1808" s="6">
        <f>MONTH(Consulta2[[#This Row],[DATA]])</f>
        <v>12</v>
      </c>
      <c r="J1808" t="str">
        <f>CONCATENATE(Consulta2[[#This Row],[SAFRA]],Consulta2[[#This Row],[dia]])</f>
        <v>20281211</v>
      </c>
      <c r="K1808">
        <f>Consulta2[[#This Row],[DIA_UTIL_CORRENTE]]</f>
        <v>7</v>
      </c>
    </row>
    <row r="1809" spans="1:11" x14ac:dyDescent="0.25">
      <c r="A1809">
        <v>202812</v>
      </c>
      <c r="B1809">
        <v>8</v>
      </c>
      <c r="C1809" s="148">
        <v>47099</v>
      </c>
      <c r="D1809">
        <v>20</v>
      </c>
      <c r="E1809">
        <v>20</v>
      </c>
      <c r="F1809">
        <v>1244</v>
      </c>
      <c r="G1809">
        <f>Consulta2[[#This Row],[DIA_UTIL_CORRENTE]]</f>
        <v>8</v>
      </c>
      <c r="H1809" s="6">
        <f>DAY(Consulta2[[#This Row],[DATA]])</f>
        <v>12</v>
      </c>
      <c r="I1809" s="6">
        <f>MONTH(Consulta2[[#This Row],[DATA]])</f>
        <v>12</v>
      </c>
      <c r="J1809" t="str">
        <f>CONCATENATE(Consulta2[[#This Row],[SAFRA]],Consulta2[[#This Row],[dia]])</f>
        <v>20281212</v>
      </c>
      <c r="K1809">
        <f>Consulta2[[#This Row],[DIA_UTIL_CORRENTE]]</f>
        <v>8</v>
      </c>
    </row>
    <row r="1810" spans="1:11" x14ac:dyDescent="0.25">
      <c r="A1810">
        <v>202812</v>
      </c>
      <c r="B1810">
        <v>9</v>
      </c>
      <c r="C1810" s="148">
        <v>47100</v>
      </c>
      <c r="D1810">
        <v>20</v>
      </c>
      <c r="E1810">
        <v>20</v>
      </c>
      <c r="F1810">
        <v>1245</v>
      </c>
      <c r="G1810">
        <f>Consulta2[[#This Row],[DIA_UTIL_CORRENTE]]</f>
        <v>9</v>
      </c>
      <c r="H1810" s="6">
        <f>DAY(Consulta2[[#This Row],[DATA]])</f>
        <v>13</v>
      </c>
      <c r="I1810" s="6">
        <f>MONTH(Consulta2[[#This Row],[DATA]])</f>
        <v>12</v>
      </c>
      <c r="J1810" t="str">
        <f>CONCATENATE(Consulta2[[#This Row],[SAFRA]],Consulta2[[#This Row],[dia]])</f>
        <v>20281213</v>
      </c>
      <c r="K1810">
        <f>Consulta2[[#This Row],[DIA_UTIL_CORRENTE]]</f>
        <v>9</v>
      </c>
    </row>
    <row r="1811" spans="1:11" x14ac:dyDescent="0.25">
      <c r="A1811">
        <v>202812</v>
      </c>
      <c r="B1811">
        <v>10</v>
      </c>
      <c r="C1811" s="148">
        <v>47101</v>
      </c>
      <c r="D1811">
        <v>20</v>
      </c>
      <c r="E1811">
        <v>20</v>
      </c>
      <c r="F1811">
        <v>1246</v>
      </c>
      <c r="G1811">
        <f>Consulta2[[#This Row],[DIA_UTIL_CORRENTE]]</f>
        <v>10</v>
      </c>
      <c r="H1811" s="6">
        <f>DAY(Consulta2[[#This Row],[DATA]])</f>
        <v>14</v>
      </c>
      <c r="I1811" s="6">
        <f>MONTH(Consulta2[[#This Row],[DATA]])</f>
        <v>12</v>
      </c>
      <c r="J1811" t="str">
        <f>CONCATENATE(Consulta2[[#This Row],[SAFRA]],Consulta2[[#This Row],[dia]])</f>
        <v>20281214</v>
      </c>
      <c r="K1811">
        <f>Consulta2[[#This Row],[DIA_UTIL_CORRENTE]]</f>
        <v>10</v>
      </c>
    </row>
    <row r="1812" spans="1:11" x14ac:dyDescent="0.25">
      <c r="A1812">
        <v>202812</v>
      </c>
      <c r="B1812">
        <v>11</v>
      </c>
      <c r="C1812" s="148">
        <v>47102</v>
      </c>
      <c r="D1812">
        <v>20</v>
      </c>
      <c r="E1812">
        <v>20</v>
      </c>
      <c r="F1812">
        <v>1247</v>
      </c>
      <c r="G1812">
        <f>Consulta2[[#This Row],[DIA_UTIL_CORRENTE]]</f>
        <v>11</v>
      </c>
      <c r="H1812" s="6">
        <f>DAY(Consulta2[[#This Row],[DATA]])</f>
        <v>15</v>
      </c>
      <c r="I1812" s="6">
        <f>MONTH(Consulta2[[#This Row],[DATA]])</f>
        <v>12</v>
      </c>
      <c r="J1812" t="str">
        <f>CONCATENATE(Consulta2[[#This Row],[SAFRA]],Consulta2[[#This Row],[dia]])</f>
        <v>20281215</v>
      </c>
      <c r="K1812">
        <f>Consulta2[[#This Row],[DIA_UTIL_CORRENTE]]</f>
        <v>11</v>
      </c>
    </row>
    <row r="1813" spans="1:11" x14ac:dyDescent="0.25">
      <c r="A1813">
        <v>202812</v>
      </c>
      <c r="B1813">
        <v>11</v>
      </c>
      <c r="C1813" s="148">
        <v>47103</v>
      </c>
      <c r="D1813">
        <v>20</v>
      </c>
      <c r="E1813">
        <v>20</v>
      </c>
      <c r="F1813">
        <v>1247</v>
      </c>
      <c r="G1813">
        <f>Consulta2[[#This Row],[DIA_UTIL_CORRENTE]]</f>
        <v>11</v>
      </c>
      <c r="H1813" s="6">
        <f>DAY(Consulta2[[#This Row],[DATA]])</f>
        <v>16</v>
      </c>
      <c r="I1813" s="6">
        <f>MONTH(Consulta2[[#This Row],[DATA]])</f>
        <v>12</v>
      </c>
      <c r="J1813" t="str">
        <f>CONCATENATE(Consulta2[[#This Row],[SAFRA]],Consulta2[[#This Row],[dia]])</f>
        <v>20281216</v>
      </c>
      <c r="K1813">
        <f>Consulta2[[#This Row],[DIA_UTIL_CORRENTE]]</f>
        <v>11</v>
      </c>
    </row>
    <row r="1814" spans="1:11" x14ac:dyDescent="0.25">
      <c r="A1814">
        <v>202812</v>
      </c>
      <c r="B1814">
        <v>11</v>
      </c>
      <c r="C1814" s="148">
        <v>47104</v>
      </c>
      <c r="D1814">
        <v>20</v>
      </c>
      <c r="E1814">
        <v>20</v>
      </c>
      <c r="F1814">
        <v>1247</v>
      </c>
      <c r="G1814">
        <f>Consulta2[[#This Row],[DIA_UTIL_CORRENTE]]</f>
        <v>11</v>
      </c>
      <c r="H1814" s="6">
        <f>DAY(Consulta2[[#This Row],[DATA]])</f>
        <v>17</v>
      </c>
      <c r="I1814" s="6">
        <f>MONTH(Consulta2[[#This Row],[DATA]])</f>
        <v>12</v>
      </c>
      <c r="J1814" t="str">
        <f>CONCATENATE(Consulta2[[#This Row],[SAFRA]],Consulta2[[#This Row],[dia]])</f>
        <v>20281217</v>
      </c>
      <c r="K1814">
        <f>Consulta2[[#This Row],[DIA_UTIL_CORRENTE]]</f>
        <v>11</v>
      </c>
    </row>
    <row r="1815" spans="1:11" x14ac:dyDescent="0.25">
      <c r="A1815">
        <v>202812</v>
      </c>
      <c r="B1815">
        <v>12</v>
      </c>
      <c r="C1815" s="148">
        <v>47105</v>
      </c>
      <c r="D1815">
        <v>20</v>
      </c>
      <c r="E1815">
        <v>20</v>
      </c>
      <c r="F1815">
        <v>1248</v>
      </c>
      <c r="G1815">
        <f>Consulta2[[#This Row],[DIA_UTIL_CORRENTE]]</f>
        <v>12</v>
      </c>
      <c r="H1815" s="6">
        <f>DAY(Consulta2[[#This Row],[DATA]])</f>
        <v>18</v>
      </c>
      <c r="I1815" s="6">
        <f>MONTH(Consulta2[[#This Row],[DATA]])</f>
        <v>12</v>
      </c>
      <c r="J1815" t="str">
        <f>CONCATENATE(Consulta2[[#This Row],[SAFRA]],Consulta2[[#This Row],[dia]])</f>
        <v>20281218</v>
      </c>
      <c r="K1815">
        <f>Consulta2[[#This Row],[DIA_UTIL_CORRENTE]]</f>
        <v>12</v>
      </c>
    </row>
    <row r="1816" spans="1:11" x14ac:dyDescent="0.25">
      <c r="A1816">
        <v>202812</v>
      </c>
      <c r="B1816">
        <v>13</v>
      </c>
      <c r="C1816" s="148">
        <v>47106</v>
      </c>
      <c r="D1816">
        <v>20</v>
      </c>
      <c r="E1816">
        <v>20</v>
      </c>
      <c r="F1816">
        <v>1249</v>
      </c>
      <c r="G1816">
        <f>Consulta2[[#This Row],[DIA_UTIL_CORRENTE]]</f>
        <v>13</v>
      </c>
      <c r="H1816" s="6">
        <f>DAY(Consulta2[[#This Row],[DATA]])</f>
        <v>19</v>
      </c>
      <c r="I1816" s="6">
        <f>MONTH(Consulta2[[#This Row],[DATA]])</f>
        <v>12</v>
      </c>
      <c r="J1816" t="str">
        <f>CONCATENATE(Consulta2[[#This Row],[SAFRA]],Consulta2[[#This Row],[dia]])</f>
        <v>20281219</v>
      </c>
      <c r="K1816">
        <f>Consulta2[[#This Row],[DIA_UTIL_CORRENTE]]</f>
        <v>13</v>
      </c>
    </row>
    <row r="1817" spans="1:11" x14ac:dyDescent="0.25">
      <c r="A1817">
        <v>202812</v>
      </c>
      <c r="B1817">
        <v>14</v>
      </c>
      <c r="C1817" s="148">
        <v>47107</v>
      </c>
      <c r="D1817">
        <v>20</v>
      </c>
      <c r="E1817">
        <v>20</v>
      </c>
      <c r="F1817">
        <v>1250</v>
      </c>
      <c r="G1817">
        <f>Consulta2[[#This Row],[DIA_UTIL_CORRENTE]]</f>
        <v>14</v>
      </c>
      <c r="H1817" s="6">
        <f>DAY(Consulta2[[#This Row],[DATA]])</f>
        <v>20</v>
      </c>
      <c r="I1817" s="6">
        <f>MONTH(Consulta2[[#This Row],[DATA]])</f>
        <v>12</v>
      </c>
      <c r="J1817" t="str">
        <f>CONCATENATE(Consulta2[[#This Row],[SAFRA]],Consulta2[[#This Row],[dia]])</f>
        <v>20281220</v>
      </c>
      <c r="K1817">
        <f>Consulta2[[#This Row],[DIA_UTIL_CORRENTE]]</f>
        <v>14</v>
      </c>
    </row>
    <row r="1818" spans="1:11" x14ac:dyDescent="0.25">
      <c r="A1818">
        <v>202812</v>
      </c>
      <c r="B1818">
        <v>15</v>
      </c>
      <c r="C1818" s="148">
        <v>47108</v>
      </c>
      <c r="D1818">
        <v>20</v>
      </c>
      <c r="E1818">
        <v>20</v>
      </c>
      <c r="F1818">
        <v>1251</v>
      </c>
      <c r="G1818">
        <f>Consulta2[[#This Row],[DIA_UTIL_CORRENTE]]</f>
        <v>15</v>
      </c>
      <c r="H1818" s="6">
        <f>DAY(Consulta2[[#This Row],[DATA]])</f>
        <v>21</v>
      </c>
      <c r="I1818" s="6">
        <f>MONTH(Consulta2[[#This Row],[DATA]])</f>
        <v>12</v>
      </c>
      <c r="J1818" t="str">
        <f>CONCATENATE(Consulta2[[#This Row],[SAFRA]],Consulta2[[#This Row],[dia]])</f>
        <v>20281221</v>
      </c>
      <c r="K1818">
        <f>Consulta2[[#This Row],[DIA_UTIL_CORRENTE]]</f>
        <v>15</v>
      </c>
    </row>
    <row r="1819" spans="1:11" x14ac:dyDescent="0.25">
      <c r="A1819">
        <v>202812</v>
      </c>
      <c r="B1819">
        <v>16</v>
      </c>
      <c r="C1819" s="148">
        <v>47109</v>
      </c>
      <c r="D1819">
        <v>20</v>
      </c>
      <c r="E1819">
        <v>20</v>
      </c>
      <c r="F1819">
        <v>1252</v>
      </c>
      <c r="G1819">
        <f>Consulta2[[#This Row],[DIA_UTIL_CORRENTE]]</f>
        <v>16</v>
      </c>
      <c r="H1819" s="6">
        <f>DAY(Consulta2[[#This Row],[DATA]])</f>
        <v>22</v>
      </c>
      <c r="I1819" s="6">
        <f>MONTH(Consulta2[[#This Row],[DATA]])</f>
        <v>12</v>
      </c>
      <c r="J1819" t="str">
        <f>CONCATENATE(Consulta2[[#This Row],[SAFRA]],Consulta2[[#This Row],[dia]])</f>
        <v>20281222</v>
      </c>
      <c r="K1819">
        <f>Consulta2[[#This Row],[DIA_UTIL_CORRENTE]]</f>
        <v>16</v>
      </c>
    </row>
    <row r="1820" spans="1:11" x14ac:dyDescent="0.25">
      <c r="A1820">
        <v>202812</v>
      </c>
      <c r="B1820">
        <v>16</v>
      </c>
      <c r="C1820" s="148">
        <v>47110</v>
      </c>
      <c r="D1820">
        <v>20</v>
      </c>
      <c r="E1820">
        <v>20</v>
      </c>
      <c r="F1820">
        <v>1252</v>
      </c>
      <c r="G1820">
        <f>Consulta2[[#This Row],[DIA_UTIL_CORRENTE]]</f>
        <v>16</v>
      </c>
      <c r="H1820" s="6">
        <f>DAY(Consulta2[[#This Row],[DATA]])</f>
        <v>23</v>
      </c>
      <c r="I1820" s="6">
        <f>MONTH(Consulta2[[#This Row],[DATA]])</f>
        <v>12</v>
      </c>
      <c r="J1820" t="str">
        <f>CONCATENATE(Consulta2[[#This Row],[SAFRA]],Consulta2[[#This Row],[dia]])</f>
        <v>20281223</v>
      </c>
      <c r="K1820">
        <f>Consulta2[[#This Row],[DIA_UTIL_CORRENTE]]</f>
        <v>16</v>
      </c>
    </row>
    <row r="1821" spans="1:11" x14ac:dyDescent="0.25">
      <c r="A1821">
        <v>202812</v>
      </c>
      <c r="B1821">
        <v>16</v>
      </c>
      <c r="C1821" s="148">
        <v>47111</v>
      </c>
      <c r="D1821">
        <v>20</v>
      </c>
      <c r="E1821">
        <v>20</v>
      </c>
      <c r="F1821">
        <v>1252</v>
      </c>
      <c r="G1821">
        <f>Consulta2[[#This Row],[DIA_UTIL_CORRENTE]]</f>
        <v>16</v>
      </c>
      <c r="H1821" s="6">
        <f>DAY(Consulta2[[#This Row],[DATA]])</f>
        <v>24</v>
      </c>
      <c r="I1821" s="6">
        <f>MONTH(Consulta2[[#This Row],[DATA]])</f>
        <v>12</v>
      </c>
      <c r="J1821" t="str">
        <f>CONCATENATE(Consulta2[[#This Row],[SAFRA]],Consulta2[[#This Row],[dia]])</f>
        <v>20281224</v>
      </c>
      <c r="K1821">
        <f>Consulta2[[#This Row],[DIA_UTIL_CORRENTE]]</f>
        <v>16</v>
      </c>
    </row>
    <row r="1822" spans="1:11" x14ac:dyDescent="0.25">
      <c r="A1822">
        <v>202812</v>
      </c>
      <c r="B1822">
        <v>16</v>
      </c>
      <c r="C1822" s="148">
        <v>47112</v>
      </c>
      <c r="D1822">
        <v>20</v>
      </c>
      <c r="E1822">
        <v>20</v>
      </c>
      <c r="F1822">
        <v>1252</v>
      </c>
      <c r="G1822">
        <f>Consulta2[[#This Row],[DIA_UTIL_CORRENTE]]</f>
        <v>16</v>
      </c>
      <c r="H1822" s="6">
        <f>DAY(Consulta2[[#This Row],[DATA]])</f>
        <v>25</v>
      </c>
      <c r="I1822" s="6">
        <f>MONTH(Consulta2[[#This Row],[DATA]])</f>
        <v>12</v>
      </c>
      <c r="J1822" t="str">
        <f>CONCATENATE(Consulta2[[#This Row],[SAFRA]],Consulta2[[#This Row],[dia]])</f>
        <v>20281225</v>
      </c>
      <c r="K1822">
        <f>Consulta2[[#This Row],[DIA_UTIL_CORRENTE]]</f>
        <v>16</v>
      </c>
    </row>
    <row r="1823" spans="1:11" x14ac:dyDescent="0.25">
      <c r="A1823">
        <v>202812</v>
      </c>
      <c r="B1823">
        <v>17</v>
      </c>
      <c r="C1823" s="148">
        <v>47113</v>
      </c>
      <c r="D1823">
        <v>20</v>
      </c>
      <c r="E1823">
        <v>20</v>
      </c>
      <c r="F1823">
        <v>1253</v>
      </c>
      <c r="G1823">
        <f>Consulta2[[#This Row],[DIA_UTIL_CORRENTE]]</f>
        <v>17</v>
      </c>
      <c r="H1823" s="6">
        <f>DAY(Consulta2[[#This Row],[DATA]])</f>
        <v>26</v>
      </c>
      <c r="I1823" s="6">
        <f>MONTH(Consulta2[[#This Row],[DATA]])</f>
        <v>12</v>
      </c>
      <c r="J1823" t="str">
        <f>CONCATENATE(Consulta2[[#This Row],[SAFRA]],Consulta2[[#This Row],[dia]])</f>
        <v>20281226</v>
      </c>
      <c r="K1823">
        <f>Consulta2[[#This Row],[DIA_UTIL_CORRENTE]]</f>
        <v>17</v>
      </c>
    </row>
    <row r="1824" spans="1:11" x14ac:dyDescent="0.25">
      <c r="A1824">
        <v>202812</v>
      </c>
      <c r="B1824">
        <v>18</v>
      </c>
      <c r="C1824" s="148">
        <v>47114</v>
      </c>
      <c r="D1824">
        <v>20</v>
      </c>
      <c r="E1824">
        <v>20</v>
      </c>
      <c r="F1824">
        <v>1254</v>
      </c>
      <c r="G1824">
        <f>Consulta2[[#This Row],[DIA_UTIL_CORRENTE]]</f>
        <v>18</v>
      </c>
      <c r="H1824" s="6">
        <f>DAY(Consulta2[[#This Row],[DATA]])</f>
        <v>27</v>
      </c>
      <c r="I1824" s="6">
        <f>MONTH(Consulta2[[#This Row],[DATA]])</f>
        <v>12</v>
      </c>
      <c r="J1824" t="str">
        <f>CONCATENATE(Consulta2[[#This Row],[SAFRA]],Consulta2[[#This Row],[dia]])</f>
        <v>20281227</v>
      </c>
      <c r="K1824">
        <f>Consulta2[[#This Row],[DIA_UTIL_CORRENTE]]</f>
        <v>18</v>
      </c>
    </row>
    <row r="1825" spans="1:11" x14ac:dyDescent="0.25">
      <c r="A1825">
        <v>202812</v>
      </c>
      <c r="B1825">
        <v>19</v>
      </c>
      <c r="C1825" s="148">
        <v>47115</v>
      </c>
      <c r="D1825">
        <v>20</v>
      </c>
      <c r="E1825">
        <v>20</v>
      </c>
      <c r="F1825">
        <v>1255</v>
      </c>
      <c r="G1825">
        <f>Consulta2[[#This Row],[DIA_UTIL_CORRENTE]]</f>
        <v>19</v>
      </c>
      <c r="H1825" s="6">
        <f>DAY(Consulta2[[#This Row],[DATA]])</f>
        <v>28</v>
      </c>
      <c r="I1825" s="6">
        <f>MONTH(Consulta2[[#This Row],[DATA]])</f>
        <v>12</v>
      </c>
      <c r="J1825" t="str">
        <f>CONCATENATE(Consulta2[[#This Row],[SAFRA]],Consulta2[[#This Row],[dia]])</f>
        <v>20281228</v>
      </c>
      <c r="K1825">
        <f>Consulta2[[#This Row],[DIA_UTIL_CORRENTE]]</f>
        <v>19</v>
      </c>
    </row>
    <row r="1826" spans="1:11" x14ac:dyDescent="0.25">
      <c r="A1826">
        <v>202812</v>
      </c>
      <c r="B1826">
        <v>20</v>
      </c>
      <c r="C1826" s="148">
        <v>47116</v>
      </c>
      <c r="D1826">
        <v>20</v>
      </c>
      <c r="E1826">
        <v>20</v>
      </c>
      <c r="F1826">
        <v>1256</v>
      </c>
      <c r="G1826">
        <f>Consulta2[[#This Row],[DIA_UTIL_CORRENTE]]</f>
        <v>20</v>
      </c>
      <c r="H1826" s="6">
        <f>DAY(Consulta2[[#This Row],[DATA]])</f>
        <v>29</v>
      </c>
      <c r="I1826" s="6">
        <f>MONTH(Consulta2[[#This Row],[DATA]])</f>
        <v>12</v>
      </c>
      <c r="J1826" t="str">
        <f>CONCATENATE(Consulta2[[#This Row],[SAFRA]],Consulta2[[#This Row],[dia]])</f>
        <v>20281229</v>
      </c>
      <c r="K1826">
        <f>Consulta2[[#This Row],[DIA_UTIL_CORRENTE]]</f>
        <v>20</v>
      </c>
    </row>
    <row r="1827" spans="1:11" x14ac:dyDescent="0.25">
      <c r="A1827">
        <v>202812</v>
      </c>
      <c r="B1827">
        <v>20</v>
      </c>
      <c r="C1827" s="148">
        <v>47117</v>
      </c>
      <c r="D1827">
        <v>20</v>
      </c>
      <c r="E1827">
        <v>20</v>
      </c>
      <c r="F1827">
        <v>1256</v>
      </c>
      <c r="G1827">
        <f>Consulta2[[#This Row],[DIA_UTIL_CORRENTE]]</f>
        <v>20</v>
      </c>
      <c r="H1827" s="6">
        <f>DAY(Consulta2[[#This Row],[DATA]])</f>
        <v>30</v>
      </c>
      <c r="I1827" s="6">
        <f>MONTH(Consulta2[[#This Row],[DATA]])</f>
        <v>12</v>
      </c>
      <c r="J1827" t="str">
        <f>CONCATENATE(Consulta2[[#This Row],[SAFRA]],Consulta2[[#This Row],[dia]])</f>
        <v>20281230</v>
      </c>
      <c r="K1827">
        <f>Consulta2[[#This Row],[DIA_UTIL_CORRENTE]]</f>
        <v>20</v>
      </c>
    </row>
    <row r="1828" spans="1:11" x14ac:dyDescent="0.25">
      <c r="A1828">
        <v>202812</v>
      </c>
      <c r="B1828">
        <v>20</v>
      </c>
      <c r="C1828" s="148">
        <v>47118</v>
      </c>
      <c r="D1828">
        <v>20</v>
      </c>
      <c r="E1828">
        <v>20</v>
      </c>
      <c r="F1828">
        <v>1256</v>
      </c>
      <c r="G1828">
        <f>Consulta2[[#This Row],[DIA_UTIL_CORRENTE]]</f>
        <v>20</v>
      </c>
      <c r="H1828" s="6">
        <f>DAY(Consulta2[[#This Row],[DATA]])</f>
        <v>31</v>
      </c>
      <c r="I1828" s="6">
        <f>MONTH(Consulta2[[#This Row],[DATA]])</f>
        <v>12</v>
      </c>
      <c r="J1828" t="str">
        <f>CONCATENATE(Consulta2[[#This Row],[SAFRA]],Consulta2[[#This Row],[dia]])</f>
        <v>20281231</v>
      </c>
      <c r="K1828">
        <f>Consulta2[[#This Row],[DIA_UTIL_CORRENTE]]</f>
        <v>20</v>
      </c>
    </row>
    <row r="1829" spans="1:11" x14ac:dyDescent="0.25">
      <c r="A1829">
        <v>202901</v>
      </c>
      <c r="B1829">
        <v>0</v>
      </c>
      <c r="C1829" s="148">
        <v>47119</v>
      </c>
      <c r="D1829">
        <v>22</v>
      </c>
      <c r="E1829">
        <v>22</v>
      </c>
      <c r="F1829">
        <v>1256</v>
      </c>
      <c r="G1829">
        <f>Consulta2[[#This Row],[DIA_UTIL_CORRENTE]]</f>
        <v>0</v>
      </c>
      <c r="H1829" s="6">
        <f>DAY(Consulta2[[#This Row],[DATA]])</f>
        <v>1</v>
      </c>
      <c r="I1829" s="6">
        <f>MONTH(Consulta2[[#This Row],[DATA]])</f>
        <v>1</v>
      </c>
      <c r="J1829" t="str">
        <f>CONCATENATE(Consulta2[[#This Row],[SAFRA]],Consulta2[[#This Row],[dia]])</f>
        <v>2029011</v>
      </c>
      <c r="K1829">
        <f>Consulta2[[#This Row],[DIA_UTIL_CORRENTE]]</f>
        <v>0</v>
      </c>
    </row>
    <row r="1830" spans="1:11" x14ac:dyDescent="0.25">
      <c r="A1830">
        <v>202901</v>
      </c>
      <c r="B1830">
        <v>1</v>
      </c>
      <c r="C1830" s="148">
        <v>47120</v>
      </c>
      <c r="D1830">
        <v>22</v>
      </c>
      <c r="E1830">
        <v>22</v>
      </c>
      <c r="F1830">
        <v>1257</v>
      </c>
      <c r="G1830">
        <f>Consulta2[[#This Row],[DIA_UTIL_CORRENTE]]</f>
        <v>1</v>
      </c>
      <c r="H1830" s="6">
        <f>DAY(Consulta2[[#This Row],[DATA]])</f>
        <v>2</v>
      </c>
      <c r="I1830" s="6">
        <f>MONTH(Consulta2[[#This Row],[DATA]])</f>
        <v>1</v>
      </c>
      <c r="J1830" t="str">
        <f>CONCATENATE(Consulta2[[#This Row],[SAFRA]],Consulta2[[#This Row],[dia]])</f>
        <v>2029012</v>
      </c>
      <c r="K1830">
        <f>Consulta2[[#This Row],[DIA_UTIL_CORRENTE]]</f>
        <v>1</v>
      </c>
    </row>
    <row r="1831" spans="1:11" x14ac:dyDescent="0.25">
      <c r="A1831">
        <v>202901</v>
      </c>
      <c r="B1831">
        <v>2</v>
      </c>
      <c r="C1831" s="148">
        <v>47121</v>
      </c>
      <c r="D1831">
        <v>22</v>
      </c>
      <c r="E1831">
        <v>22</v>
      </c>
      <c r="F1831">
        <v>1258</v>
      </c>
      <c r="G1831">
        <f>Consulta2[[#This Row],[DIA_UTIL_CORRENTE]]</f>
        <v>2</v>
      </c>
      <c r="H1831" s="6">
        <f>DAY(Consulta2[[#This Row],[DATA]])</f>
        <v>3</v>
      </c>
      <c r="I1831" s="6">
        <f>MONTH(Consulta2[[#This Row],[DATA]])</f>
        <v>1</v>
      </c>
      <c r="J1831" t="str">
        <f>CONCATENATE(Consulta2[[#This Row],[SAFRA]],Consulta2[[#This Row],[dia]])</f>
        <v>2029013</v>
      </c>
      <c r="K1831">
        <f>Consulta2[[#This Row],[DIA_UTIL_CORRENTE]]</f>
        <v>2</v>
      </c>
    </row>
    <row r="1832" spans="1:11" x14ac:dyDescent="0.25">
      <c r="A1832">
        <v>202901</v>
      </c>
      <c r="B1832">
        <v>3</v>
      </c>
      <c r="C1832" s="148">
        <v>47122</v>
      </c>
      <c r="D1832">
        <v>22</v>
      </c>
      <c r="E1832">
        <v>22</v>
      </c>
      <c r="F1832">
        <v>1259</v>
      </c>
      <c r="G1832">
        <f>Consulta2[[#This Row],[DIA_UTIL_CORRENTE]]</f>
        <v>3</v>
      </c>
      <c r="H1832" s="6">
        <f>DAY(Consulta2[[#This Row],[DATA]])</f>
        <v>4</v>
      </c>
      <c r="I1832" s="6">
        <f>MONTH(Consulta2[[#This Row],[DATA]])</f>
        <v>1</v>
      </c>
      <c r="J1832" t="str">
        <f>CONCATENATE(Consulta2[[#This Row],[SAFRA]],Consulta2[[#This Row],[dia]])</f>
        <v>2029014</v>
      </c>
      <c r="K1832">
        <f>Consulta2[[#This Row],[DIA_UTIL_CORRENTE]]</f>
        <v>3</v>
      </c>
    </row>
    <row r="1833" spans="1:11" x14ac:dyDescent="0.25">
      <c r="A1833">
        <v>202901</v>
      </c>
      <c r="B1833">
        <v>4</v>
      </c>
      <c r="C1833" s="148">
        <v>47123</v>
      </c>
      <c r="D1833">
        <v>22</v>
      </c>
      <c r="E1833">
        <v>22</v>
      </c>
      <c r="F1833">
        <v>1260</v>
      </c>
      <c r="G1833">
        <f>Consulta2[[#This Row],[DIA_UTIL_CORRENTE]]</f>
        <v>4</v>
      </c>
      <c r="H1833" s="6">
        <f>DAY(Consulta2[[#This Row],[DATA]])</f>
        <v>5</v>
      </c>
      <c r="I1833" s="6">
        <f>MONTH(Consulta2[[#This Row],[DATA]])</f>
        <v>1</v>
      </c>
      <c r="J1833" t="str">
        <f>CONCATENATE(Consulta2[[#This Row],[SAFRA]],Consulta2[[#This Row],[dia]])</f>
        <v>2029015</v>
      </c>
      <c r="K1833">
        <f>Consulta2[[#This Row],[DIA_UTIL_CORRENTE]]</f>
        <v>4</v>
      </c>
    </row>
    <row r="1834" spans="1:11" x14ac:dyDescent="0.25">
      <c r="A1834">
        <v>202901</v>
      </c>
      <c r="B1834">
        <v>4</v>
      </c>
      <c r="C1834" s="148">
        <v>47124</v>
      </c>
      <c r="D1834">
        <v>22</v>
      </c>
      <c r="E1834">
        <v>22</v>
      </c>
      <c r="F1834">
        <v>1260</v>
      </c>
      <c r="G1834">
        <f>Consulta2[[#This Row],[DIA_UTIL_CORRENTE]]</f>
        <v>4</v>
      </c>
      <c r="H1834" s="6">
        <f>DAY(Consulta2[[#This Row],[DATA]])</f>
        <v>6</v>
      </c>
      <c r="I1834" s="6">
        <f>MONTH(Consulta2[[#This Row],[DATA]])</f>
        <v>1</v>
      </c>
      <c r="J1834" t="str">
        <f>CONCATENATE(Consulta2[[#This Row],[SAFRA]],Consulta2[[#This Row],[dia]])</f>
        <v>2029016</v>
      </c>
      <c r="K1834">
        <f>Consulta2[[#This Row],[DIA_UTIL_CORRENTE]]</f>
        <v>4</v>
      </c>
    </row>
    <row r="1835" spans="1:11" x14ac:dyDescent="0.25">
      <c r="A1835">
        <v>202901</v>
      </c>
      <c r="B1835">
        <v>4</v>
      </c>
      <c r="C1835" s="148">
        <v>47125</v>
      </c>
      <c r="D1835">
        <v>22</v>
      </c>
      <c r="E1835">
        <v>22</v>
      </c>
      <c r="F1835">
        <v>1260</v>
      </c>
      <c r="G1835">
        <f>Consulta2[[#This Row],[DIA_UTIL_CORRENTE]]</f>
        <v>4</v>
      </c>
      <c r="H1835" s="6">
        <f>DAY(Consulta2[[#This Row],[DATA]])</f>
        <v>7</v>
      </c>
      <c r="I1835" s="6">
        <f>MONTH(Consulta2[[#This Row],[DATA]])</f>
        <v>1</v>
      </c>
      <c r="J1835" t="str">
        <f>CONCATENATE(Consulta2[[#This Row],[SAFRA]],Consulta2[[#This Row],[dia]])</f>
        <v>2029017</v>
      </c>
      <c r="K1835">
        <f>Consulta2[[#This Row],[DIA_UTIL_CORRENTE]]</f>
        <v>4</v>
      </c>
    </row>
    <row r="1836" spans="1:11" x14ac:dyDescent="0.25">
      <c r="A1836">
        <v>202901</v>
      </c>
      <c r="B1836">
        <v>5</v>
      </c>
      <c r="C1836" s="148">
        <v>47126</v>
      </c>
      <c r="D1836">
        <v>22</v>
      </c>
      <c r="E1836">
        <v>22</v>
      </c>
      <c r="F1836">
        <v>1261</v>
      </c>
      <c r="G1836">
        <f>Consulta2[[#This Row],[DIA_UTIL_CORRENTE]]</f>
        <v>5</v>
      </c>
      <c r="H1836" s="6">
        <f>DAY(Consulta2[[#This Row],[DATA]])</f>
        <v>8</v>
      </c>
      <c r="I1836" s="6">
        <f>MONTH(Consulta2[[#This Row],[DATA]])</f>
        <v>1</v>
      </c>
      <c r="J1836" t="str">
        <f>CONCATENATE(Consulta2[[#This Row],[SAFRA]],Consulta2[[#This Row],[dia]])</f>
        <v>2029018</v>
      </c>
      <c r="K1836">
        <f>Consulta2[[#This Row],[DIA_UTIL_CORRENTE]]</f>
        <v>5</v>
      </c>
    </row>
    <row r="1837" spans="1:11" x14ac:dyDescent="0.25">
      <c r="A1837">
        <v>202901</v>
      </c>
      <c r="B1837">
        <v>6</v>
      </c>
      <c r="C1837" s="148">
        <v>47127</v>
      </c>
      <c r="D1837">
        <v>22</v>
      </c>
      <c r="E1837">
        <v>22</v>
      </c>
      <c r="F1837">
        <v>1262</v>
      </c>
      <c r="G1837">
        <f>Consulta2[[#This Row],[DIA_UTIL_CORRENTE]]</f>
        <v>6</v>
      </c>
      <c r="H1837" s="6">
        <f>DAY(Consulta2[[#This Row],[DATA]])</f>
        <v>9</v>
      </c>
      <c r="I1837" s="6">
        <f>MONTH(Consulta2[[#This Row],[DATA]])</f>
        <v>1</v>
      </c>
      <c r="J1837" t="str">
        <f>CONCATENATE(Consulta2[[#This Row],[SAFRA]],Consulta2[[#This Row],[dia]])</f>
        <v>2029019</v>
      </c>
      <c r="K1837">
        <f>Consulta2[[#This Row],[DIA_UTIL_CORRENTE]]</f>
        <v>6</v>
      </c>
    </row>
    <row r="1838" spans="1:11" x14ac:dyDescent="0.25">
      <c r="A1838">
        <v>202901</v>
      </c>
      <c r="B1838">
        <v>7</v>
      </c>
      <c r="C1838" s="148">
        <v>47128</v>
      </c>
      <c r="D1838">
        <v>22</v>
      </c>
      <c r="E1838">
        <v>22</v>
      </c>
      <c r="F1838">
        <v>1263</v>
      </c>
      <c r="G1838">
        <f>Consulta2[[#This Row],[DIA_UTIL_CORRENTE]]</f>
        <v>7</v>
      </c>
      <c r="H1838" s="6">
        <f>DAY(Consulta2[[#This Row],[DATA]])</f>
        <v>10</v>
      </c>
      <c r="I1838" s="6">
        <f>MONTH(Consulta2[[#This Row],[DATA]])</f>
        <v>1</v>
      </c>
      <c r="J1838" t="str">
        <f>CONCATENATE(Consulta2[[#This Row],[SAFRA]],Consulta2[[#This Row],[dia]])</f>
        <v>20290110</v>
      </c>
      <c r="K1838">
        <f>Consulta2[[#This Row],[DIA_UTIL_CORRENTE]]</f>
        <v>7</v>
      </c>
    </row>
    <row r="1839" spans="1:11" x14ac:dyDescent="0.25">
      <c r="A1839">
        <v>202901</v>
      </c>
      <c r="B1839">
        <v>8</v>
      </c>
      <c r="C1839" s="148">
        <v>47129</v>
      </c>
      <c r="D1839">
        <v>22</v>
      </c>
      <c r="E1839">
        <v>22</v>
      </c>
      <c r="F1839">
        <v>1264</v>
      </c>
      <c r="G1839">
        <f>Consulta2[[#This Row],[DIA_UTIL_CORRENTE]]</f>
        <v>8</v>
      </c>
      <c r="H1839" s="6">
        <f>DAY(Consulta2[[#This Row],[DATA]])</f>
        <v>11</v>
      </c>
      <c r="I1839" s="6">
        <f>MONTH(Consulta2[[#This Row],[DATA]])</f>
        <v>1</v>
      </c>
      <c r="J1839" t="str">
        <f>CONCATENATE(Consulta2[[#This Row],[SAFRA]],Consulta2[[#This Row],[dia]])</f>
        <v>20290111</v>
      </c>
      <c r="K1839">
        <f>Consulta2[[#This Row],[DIA_UTIL_CORRENTE]]</f>
        <v>8</v>
      </c>
    </row>
    <row r="1840" spans="1:11" x14ac:dyDescent="0.25">
      <c r="A1840">
        <v>202901</v>
      </c>
      <c r="B1840">
        <v>9</v>
      </c>
      <c r="C1840" s="148">
        <v>47130</v>
      </c>
      <c r="D1840">
        <v>22</v>
      </c>
      <c r="E1840">
        <v>22</v>
      </c>
      <c r="F1840">
        <v>1265</v>
      </c>
      <c r="G1840">
        <f>Consulta2[[#This Row],[DIA_UTIL_CORRENTE]]</f>
        <v>9</v>
      </c>
      <c r="H1840" s="6">
        <f>DAY(Consulta2[[#This Row],[DATA]])</f>
        <v>12</v>
      </c>
      <c r="I1840" s="6">
        <f>MONTH(Consulta2[[#This Row],[DATA]])</f>
        <v>1</v>
      </c>
      <c r="J1840" t="str">
        <f>CONCATENATE(Consulta2[[#This Row],[SAFRA]],Consulta2[[#This Row],[dia]])</f>
        <v>20290112</v>
      </c>
      <c r="K1840">
        <f>Consulta2[[#This Row],[DIA_UTIL_CORRENTE]]</f>
        <v>9</v>
      </c>
    </row>
    <row r="1841" spans="1:11" x14ac:dyDescent="0.25">
      <c r="A1841">
        <v>202901</v>
      </c>
      <c r="B1841">
        <v>9</v>
      </c>
      <c r="C1841" s="148">
        <v>47131</v>
      </c>
      <c r="D1841">
        <v>22</v>
      </c>
      <c r="E1841">
        <v>22</v>
      </c>
      <c r="F1841">
        <v>1265</v>
      </c>
      <c r="G1841">
        <f>Consulta2[[#This Row],[DIA_UTIL_CORRENTE]]</f>
        <v>9</v>
      </c>
      <c r="H1841" s="6">
        <f>DAY(Consulta2[[#This Row],[DATA]])</f>
        <v>13</v>
      </c>
      <c r="I1841" s="6">
        <f>MONTH(Consulta2[[#This Row],[DATA]])</f>
        <v>1</v>
      </c>
      <c r="J1841" t="str">
        <f>CONCATENATE(Consulta2[[#This Row],[SAFRA]],Consulta2[[#This Row],[dia]])</f>
        <v>20290113</v>
      </c>
      <c r="K1841">
        <f>Consulta2[[#This Row],[DIA_UTIL_CORRENTE]]</f>
        <v>9</v>
      </c>
    </row>
    <row r="1842" spans="1:11" x14ac:dyDescent="0.25">
      <c r="A1842">
        <v>202901</v>
      </c>
      <c r="B1842">
        <v>9</v>
      </c>
      <c r="C1842" s="148">
        <v>47132</v>
      </c>
      <c r="D1842">
        <v>22</v>
      </c>
      <c r="E1842">
        <v>22</v>
      </c>
      <c r="F1842">
        <v>1265</v>
      </c>
      <c r="G1842">
        <f>Consulta2[[#This Row],[DIA_UTIL_CORRENTE]]</f>
        <v>9</v>
      </c>
      <c r="H1842" s="6">
        <f>DAY(Consulta2[[#This Row],[DATA]])</f>
        <v>14</v>
      </c>
      <c r="I1842" s="6">
        <f>MONTH(Consulta2[[#This Row],[DATA]])</f>
        <v>1</v>
      </c>
      <c r="J1842" t="str">
        <f>CONCATENATE(Consulta2[[#This Row],[SAFRA]],Consulta2[[#This Row],[dia]])</f>
        <v>20290114</v>
      </c>
      <c r="K1842">
        <f>Consulta2[[#This Row],[DIA_UTIL_CORRENTE]]</f>
        <v>9</v>
      </c>
    </row>
    <row r="1843" spans="1:11" x14ac:dyDescent="0.25">
      <c r="A1843">
        <v>202901</v>
      </c>
      <c r="B1843">
        <v>10</v>
      </c>
      <c r="C1843" s="148">
        <v>47133</v>
      </c>
      <c r="D1843">
        <v>22</v>
      </c>
      <c r="E1843">
        <v>22</v>
      </c>
      <c r="F1843">
        <v>1266</v>
      </c>
      <c r="G1843">
        <f>Consulta2[[#This Row],[DIA_UTIL_CORRENTE]]</f>
        <v>10</v>
      </c>
      <c r="H1843" s="6">
        <f>DAY(Consulta2[[#This Row],[DATA]])</f>
        <v>15</v>
      </c>
      <c r="I1843" s="6">
        <f>MONTH(Consulta2[[#This Row],[DATA]])</f>
        <v>1</v>
      </c>
      <c r="J1843" t="str">
        <f>CONCATENATE(Consulta2[[#This Row],[SAFRA]],Consulta2[[#This Row],[dia]])</f>
        <v>20290115</v>
      </c>
      <c r="K1843">
        <f>Consulta2[[#This Row],[DIA_UTIL_CORRENTE]]</f>
        <v>10</v>
      </c>
    </row>
    <row r="1844" spans="1:11" x14ac:dyDescent="0.25">
      <c r="A1844">
        <v>202901</v>
      </c>
      <c r="B1844">
        <v>11</v>
      </c>
      <c r="C1844" s="148">
        <v>47134</v>
      </c>
      <c r="D1844">
        <v>22</v>
      </c>
      <c r="E1844">
        <v>22</v>
      </c>
      <c r="F1844">
        <v>1267</v>
      </c>
      <c r="G1844">
        <f>Consulta2[[#This Row],[DIA_UTIL_CORRENTE]]</f>
        <v>11</v>
      </c>
      <c r="H1844" s="6">
        <f>DAY(Consulta2[[#This Row],[DATA]])</f>
        <v>16</v>
      </c>
      <c r="I1844" s="6">
        <f>MONTH(Consulta2[[#This Row],[DATA]])</f>
        <v>1</v>
      </c>
      <c r="J1844" t="str">
        <f>CONCATENATE(Consulta2[[#This Row],[SAFRA]],Consulta2[[#This Row],[dia]])</f>
        <v>20290116</v>
      </c>
      <c r="K1844">
        <f>Consulta2[[#This Row],[DIA_UTIL_CORRENTE]]</f>
        <v>11</v>
      </c>
    </row>
    <row r="1845" spans="1:11" x14ac:dyDescent="0.25">
      <c r="A1845">
        <v>202901</v>
      </c>
      <c r="B1845">
        <v>12</v>
      </c>
      <c r="C1845" s="148">
        <v>47135</v>
      </c>
      <c r="D1845">
        <v>22</v>
      </c>
      <c r="E1845">
        <v>22</v>
      </c>
      <c r="F1845">
        <v>1268</v>
      </c>
      <c r="G1845">
        <f>Consulta2[[#This Row],[DIA_UTIL_CORRENTE]]</f>
        <v>12</v>
      </c>
      <c r="H1845" s="6">
        <f>DAY(Consulta2[[#This Row],[DATA]])</f>
        <v>17</v>
      </c>
      <c r="I1845" s="6">
        <f>MONTH(Consulta2[[#This Row],[DATA]])</f>
        <v>1</v>
      </c>
      <c r="J1845" t="str">
        <f>CONCATENATE(Consulta2[[#This Row],[SAFRA]],Consulta2[[#This Row],[dia]])</f>
        <v>20290117</v>
      </c>
      <c r="K1845">
        <f>Consulta2[[#This Row],[DIA_UTIL_CORRENTE]]</f>
        <v>12</v>
      </c>
    </row>
    <row r="1846" spans="1:11" x14ac:dyDescent="0.25">
      <c r="A1846">
        <v>202901</v>
      </c>
      <c r="B1846">
        <v>13</v>
      </c>
      <c r="C1846" s="148">
        <v>47136</v>
      </c>
      <c r="D1846">
        <v>22</v>
      </c>
      <c r="E1846">
        <v>22</v>
      </c>
      <c r="F1846">
        <v>1269</v>
      </c>
      <c r="G1846">
        <f>Consulta2[[#This Row],[DIA_UTIL_CORRENTE]]</f>
        <v>13</v>
      </c>
      <c r="H1846" s="6">
        <f>DAY(Consulta2[[#This Row],[DATA]])</f>
        <v>18</v>
      </c>
      <c r="I1846" s="6">
        <f>MONTH(Consulta2[[#This Row],[DATA]])</f>
        <v>1</v>
      </c>
      <c r="J1846" t="str">
        <f>CONCATENATE(Consulta2[[#This Row],[SAFRA]],Consulta2[[#This Row],[dia]])</f>
        <v>20290118</v>
      </c>
      <c r="K1846">
        <f>Consulta2[[#This Row],[DIA_UTIL_CORRENTE]]</f>
        <v>13</v>
      </c>
    </row>
    <row r="1847" spans="1:11" x14ac:dyDescent="0.25">
      <c r="A1847">
        <v>202901</v>
      </c>
      <c r="B1847">
        <v>14</v>
      </c>
      <c r="C1847" s="148">
        <v>47137</v>
      </c>
      <c r="D1847">
        <v>22</v>
      </c>
      <c r="E1847">
        <v>22</v>
      </c>
      <c r="F1847">
        <v>1270</v>
      </c>
      <c r="G1847">
        <f>Consulta2[[#This Row],[DIA_UTIL_CORRENTE]]</f>
        <v>14</v>
      </c>
      <c r="H1847" s="6">
        <f>DAY(Consulta2[[#This Row],[DATA]])</f>
        <v>19</v>
      </c>
      <c r="I1847" s="6">
        <f>MONTH(Consulta2[[#This Row],[DATA]])</f>
        <v>1</v>
      </c>
      <c r="J1847" t="str">
        <f>CONCATENATE(Consulta2[[#This Row],[SAFRA]],Consulta2[[#This Row],[dia]])</f>
        <v>20290119</v>
      </c>
      <c r="K1847">
        <f>Consulta2[[#This Row],[DIA_UTIL_CORRENTE]]</f>
        <v>14</v>
      </c>
    </row>
    <row r="1848" spans="1:11" x14ac:dyDescent="0.25">
      <c r="A1848">
        <v>202901</v>
      </c>
      <c r="B1848">
        <v>14</v>
      </c>
      <c r="C1848" s="148">
        <v>47138</v>
      </c>
      <c r="D1848">
        <v>22</v>
      </c>
      <c r="E1848">
        <v>22</v>
      </c>
      <c r="F1848">
        <v>1270</v>
      </c>
      <c r="G1848">
        <f>Consulta2[[#This Row],[DIA_UTIL_CORRENTE]]</f>
        <v>14</v>
      </c>
      <c r="H1848" s="6">
        <f>DAY(Consulta2[[#This Row],[DATA]])</f>
        <v>20</v>
      </c>
      <c r="I1848" s="6">
        <f>MONTH(Consulta2[[#This Row],[DATA]])</f>
        <v>1</v>
      </c>
      <c r="J1848" t="str">
        <f>CONCATENATE(Consulta2[[#This Row],[SAFRA]],Consulta2[[#This Row],[dia]])</f>
        <v>20290120</v>
      </c>
      <c r="K1848">
        <f>Consulta2[[#This Row],[DIA_UTIL_CORRENTE]]</f>
        <v>14</v>
      </c>
    </row>
    <row r="1849" spans="1:11" x14ac:dyDescent="0.25">
      <c r="A1849">
        <v>202901</v>
      </c>
      <c r="B1849">
        <v>14</v>
      </c>
      <c r="C1849" s="148">
        <v>47139</v>
      </c>
      <c r="D1849">
        <v>22</v>
      </c>
      <c r="E1849">
        <v>22</v>
      </c>
      <c r="F1849">
        <v>1270</v>
      </c>
      <c r="G1849">
        <f>Consulta2[[#This Row],[DIA_UTIL_CORRENTE]]</f>
        <v>14</v>
      </c>
      <c r="H1849" s="6">
        <f>DAY(Consulta2[[#This Row],[DATA]])</f>
        <v>21</v>
      </c>
      <c r="I1849" s="6">
        <f>MONTH(Consulta2[[#This Row],[DATA]])</f>
        <v>1</v>
      </c>
      <c r="J1849" t="str">
        <f>CONCATENATE(Consulta2[[#This Row],[SAFRA]],Consulta2[[#This Row],[dia]])</f>
        <v>20290121</v>
      </c>
      <c r="K1849">
        <f>Consulta2[[#This Row],[DIA_UTIL_CORRENTE]]</f>
        <v>14</v>
      </c>
    </row>
    <row r="1850" spans="1:11" x14ac:dyDescent="0.25">
      <c r="A1850">
        <v>202901</v>
      </c>
      <c r="B1850">
        <v>15</v>
      </c>
      <c r="C1850" s="148">
        <v>47140</v>
      </c>
      <c r="D1850">
        <v>22</v>
      </c>
      <c r="E1850">
        <v>22</v>
      </c>
      <c r="F1850">
        <v>1271</v>
      </c>
      <c r="G1850">
        <f>Consulta2[[#This Row],[DIA_UTIL_CORRENTE]]</f>
        <v>15</v>
      </c>
      <c r="H1850" s="6">
        <f>DAY(Consulta2[[#This Row],[DATA]])</f>
        <v>22</v>
      </c>
      <c r="I1850" s="6">
        <f>MONTH(Consulta2[[#This Row],[DATA]])</f>
        <v>1</v>
      </c>
      <c r="J1850" t="str">
        <f>CONCATENATE(Consulta2[[#This Row],[SAFRA]],Consulta2[[#This Row],[dia]])</f>
        <v>20290122</v>
      </c>
      <c r="K1850">
        <f>Consulta2[[#This Row],[DIA_UTIL_CORRENTE]]</f>
        <v>15</v>
      </c>
    </row>
    <row r="1851" spans="1:11" x14ac:dyDescent="0.25">
      <c r="A1851">
        <v>202901</v>
      </c>
      <c r="B1851">
        <v>16</v>
      </c>
      <c r="C1851" s="148">
        <v>47141</v>
      </c>
      <c r="D1851">
        <v>22</v>
      </c>
      <c r="E1851">
        <v>22</v>
      </c>
      <c r="F1851">
        <v>1272</v>
      </c>
      <c r="G1851">
        <f>Consulta2[[#This Row],[DIA_UTIL_CORRENTE]]</f>
        <v>16</v>
      </c>
      <c r="H1851" s="6">
        <f>DAY(Consulta2[[#This Row],[DATA]])</f>
        <v>23</v>
      </c>
      <c r="I1851" s="6">
        <f>MONTH(Consulta2[[#This Row],[DATA]])</f>
        <v>1</v>
      </c>
      <c r="J1851" t="str">
        <f>CONCATENATE(Consulta2[[#This Row],[SAFRA]],Consulta2[[#This Row],[dia]])</f>
        <v>20290123</v>
      </c>
      <c r="K1851">
        <f>Consulta2[[#This Row],[DIA_UTIL_CORRENTE]]</f>
        <v>16</v>
      </c>
    </row>
    <row r="1852" spans="1:11" x14ac:dyDescent="0.25">
      <c r="A1852">
        <v>202901</v>
      </c>
      <c r="B1852">
        <v>17</v>
      </c>
      <c r="C1852" s="148">
        <v>47142</v>
      </c>
      <c r="D1852">
        <v>22</v>
      </c>
      <c r="E1852">
        <v>22</v>
      </c>
      <c r="F1852">
        <v>1273</v>
      </c>
      <c r="G1852">
        <f>Consulta2[[#This Row],[DIA_UTIL_CORRENTE]]</f>
        <v>17</v>
      </c>
      <c r="H1852" s="6">
        <f>DAY(Consulta2[[#This Row],[DATA]])</f>
        <v>24</v>
      </c>
      <c r="I1852" s="6">
        <f>MONTH(Consulta2[[#This Row],[DATA]])</f>
        <v>1</v>
      </c>
      <c r="J1852" t="str">
        <f>CONCATENATE(Consulta2[[#This Row],[SAFRA]],Consulta2[[#This Row],[dia]])</f>
        <v>20290124</v>
      </c>
      <c r="K1852">
        <f>Consulta2[[#This Row],[DIA_UTIL_CORRENTE]]</f>
        <v>17</v>
      </c>
    </row>
    <row r="1853" spans="1:11" x14ac:dyDescent="0.25">
      <c r="A1853">
        <v>202901</v>
      </c>
      <c r="B1853">
        <v>18</v>
      </c>
      <c r="C1853" s="148">
        <v>47143</v>
      </c>
      <c r="D1853">
        <v>22</v>
      </c>
      <c r="E1853">
        <v>22</v>
      </c>
      <c r="F1853">
        <v>1274</v>
      </c>
      <c r="G1853">
        <f>Consulta2[[#This Row],[DIA_UTIL_CORRENTE]]</f>
        <v>18</v>
      </c>
      <c r="H1853" s="6">
        <f>DAY(Consulta2[[#This Row],[DATA]])</f>
        <v>25</v>
      </c>
      <c r="I1853" s="6">
        <f>MONTH(Consulta2[[#This Row],[DATA]])</f>
        <v>1</v>
      </c>
      <c r="J1853" t="str">
        <f>CONCATENATE(Consulta2[[#This Row],[SAFRA]],Consulta2[[#This Row],[dia]])</f>
        <v>20290125</v>
      </c>
      <c r="K1853">
        <f>Consulta2[[#This Row],[DIA_UTIL_CORRENTE]]</f>
        <v>18</v>
      </c>
    </row>
    <row r="1854" spans="1:11" x14ac:dyDescent="0.25">
      <c r="A1854">
        <v>202901</v>
      </c>
      <c r="B1854">
        <v>19</v>
      </c>
      <c r="C1854" s="148">
        <v>47144</v>
      </c>
      <c r="D1854">
        <v>22</v>
      </c>
      <c r="E1854">
        <v>22</v>
      </c>
      <c r="F1854">
        <v>1275</v>
      </c>
      <c r="G1854">
        <f>Consulta2[[#This Row],[DIA_UTIL_CORRENTE]]</f>
        <v>19</v>
      </c>
      <c r="H1854" s="6">
        <f>DAY(Consulta2[[#This Row],[DATA]])</f>
        <v>26</v>
      </c>
      <c r="I1854" s="6">
        <f>MONTH(Consulta2[[#This Row],[DATA]])</f>
        <v>1</v>
      </c>
      <c r="J1854" t="str">
        <f>CONCATENATE(Consulta2[[#This Row],[SAFRA]],Consulta2[[#This Row],[dia]])</f>
        <v>20290126</v>
      </c>
      <c r="K1854">
        <f>Consulta2[[#This Row],[DIA_UTIL_CORRENTE]]</f>
        <v>19</v>
      </c>
    </row>
    <row r="1855" spans="1:11" x14ac:dyDescent="0.25">
      <c r="A1855">
        <v>202901</v>
      </c>
      <c r="B1855">
        <v>19</v>
      </c>
      <c r="C1855" s="148">
        <v>47145</v>
      </c>
      <c r="D1855">
        <v>22</v>
      </c>
      <c r="E1855">
        <v>22</v>
      </c>
      <c r="F1855">
        <v>1275</v>
      </c>
      <c r="G1855">
        <f>Consulta2[[#This Row],[DIA_UTIL_CORRENTE]]</f>
        <v>19</v>
      </c>
      <c r="H1855" s="6">
        <f>DAY(Consulta2[[#This Row],[DATA]])</f>
        <v>27</v>
      </c>
      <c r="I1855" s="6">
        <f>MONTH(Consulta2[[#This Row],[DATA]])</f>
        <v>1</v>
      </c>
      <c r="J1855" t="str">
        <f>CONCATENATE(Consulta2[[#This Row],[SAFRA]],Consulta2[[#This Row],[dia]])</f>
        <v>20290127</v>
      </c>
      <c r="K1855">
        <f>Consulta2[[#This Row],[DIA_UTIL_CORRENTE]]</f>
        <v>19</v>
      </c>
    </row>
    <row r="1856" spans="1:11" x14ac:dyDescent="0.25">
      <c r="A1856">
        <v>202901</v>
      </c>
      <c r="B1856">
        <v>19</v>
      </c>
      <c r="C1856" s="148">
        <v>47146</v>
      </c>
      <c r="D1856">
        <v>22</v>
      </c>
      <c r="E1856">
        <v>22</v>
      </c>
      <c r="F1856">
        <v>1275</v>
      </c>
      <c r="G1856">
        <f>Consulta2[[#This Row],[DIA_UTIL_CORRENTE]]</f>
        <v>19</v>
      </c>
      <c r="H1856" s="6">
        <f>DAY(Consulta2[[#This Row],[DATA]])</f>
        <v>28</v>
      </c>
      <c r="I1856" s="6">
        <f>MONTH(Consulta2[[#This Row],[DATA]])</f>
        <v>1</v>
      </c>
      <c r="J1856" t="str">
        <f>CONCATENATE(Consulta2[[#This Row],[SAFRA]],Consulta2[[#This Row],[dia]])</f>
        <v>20290128</v>
      </c>
      <c r="K1856">
        <f>Consulta2[[#This Row],[DIA_UTIL_CORRENTE]]</f>
        <v>19</v>
      </c>
    </row>
    <row r="1857" spans="1:11" x14ac:dyDescent="0.25">
      <c r="A1857">
        <v>202901</v>
      </c>
      <c r="B1857">
        <v>20</v>
      </c>
      <c r="C1857" s="148">
        <v>47147</v>
      </c>
      <c r="D1857">
        <v>22</v>
      </c>
      <c r="E1857">
        <v>22</v>
      </c>
      <c r="F1857">
        <v>1276</v>
      </c>
      <c r="G1857">
        <f>Consulta2[[#This Row],[DIA_UTIL_CORRENTE]]</f>
        <v>20</v>
      </c>
      <c r="H1857" s="6">
        <f>DAY(Consulta2[[#This Row],[DATA]])</f>
        <v>29</v>
      </c>
      <c r="I1857" s="6">
        <f>MONTH(Consulta2[[#This Row],[DATA]])</f>
        <v>1</v>
      </c>
      <c r="J1857" t="str">
        <f>CONCATENATE(Consulta2[[#This Row],[SAFRA]],Consulta2[[#This Row],[dia]])</f>
        <v>20290129</v>
      </c>
      <c r="K1857">
        <f>Consulta2[[#This Row],[DIA_UTIL_CORRENTE]]</f>
        <v>20</v>
      </c>
    </row>
    <row r="1858" spans="1:11" x14ac:dyDescent="0.25">
      <c r="A1858">
        <v>202901</v>
      </c>
      <c r="B1858">
        <v>21</v>
      </c>
      <c r="C1858" s="148">
        <v>47148</v>
      </c>
      <c r="D1858">
        <v>22</v>
      </c>
      <c r="E1858">
        <v>22</v>
      </c>
      <c r="F1858">
        <v>1277</v>
      </c>
      <c r="G1858">
        <f>Consulta2[[#This Row],[DIA_UTIL_CORRENTE]]</f>
        <v>21</v>
      </c>
      <c r="H1858" s="6">
        <f>DAY(Consulta2[[#This Row],[DATA]])</f>
        <v>30</v>
      </c>
      <c r="I1858" s="6">
        <f>MONTH(Consulta2[[#This Row],[DATA]])</f>
        <v>1</v>
      </c>
      <c r="J1858" t="str">
        <f>CONCATENATE(Consulta2[[#This Row],[SAFRA]],Consulta2[[#This Row],[dia]])</f>
        <v>20290130</v>
      </c>
      <c r="K1858">
        <f>Consulta2[[#This Row],[DIA_UTIL_CORRENTE]]</f>
        <v>21</v>
      </c>
    </row>
    <row r="1859" spans="1:11" x14ac:dyDescent="0.25">
      <c r="A1859">
        <v>202901</v>
      </c>
      <c r="B1859">
        <v>22</v>
      </c>
      <c r="C1859" s="148">
        <v>47149</v>
      </c>
      <c r="D1859">
        <v>22</v>
      </c>
      <c r="E1859">
        <v>22</v>
      </c>
      <c r="F1859">
        <v>1278</v>
      </c>
      <c r="G1859">
        <f>Consulta2[[#This Row],[DIA_UTIL_CORRENTE]]</f>
        <v>22</v>
      </c>
      <c r="H1859" s="6">
        <f>DAY(Consulta2[[#This Row],[DATA]])</f>
        <v>31</v>
      </c>
      <c r="I1859" s="6">
        <f>MONTH(Consulta2[[#This Row],[DATA]])</f>
        <v>1</v>
      </c>
      <c r="J1859" t="str">
        <f>CONCATENATE(Consulta2[[#This Row],[SAFRA]],Consulta2[[#This Row],[dia]])</f>
        <v>20290131</v>
      </c>
      <c r="K1859">
        <f>Consulta2[[#This Row],[DIA_UTIL_CORRENTE]]</f>
        <v>22</v>
      </c>
    </row>
    <row r="1860" spans="1:11" x14ac:dyDescent="0.25">
      <c r="A1860">
        <v>202902</v>
      </c>
      <c r="B1860">
        <v>1</v>
      </c>
      <c r="C1860" s="148">
        <v>47150</v>
      </c>
      <c r="D1860">
        <v>18</v>
      </c>
      <c r="E1860">
        <v>18</v>
      </c>
      <c r="F1860">
        <v>1279</v>
      </c>
      <c r="G1860">
        <f>Consulta2[[#This Row],[DIA_UTIL_CORRENTE]]</f>
        <v>1</v>
      </c>
      <c r="H1860" s="6">
        <f>DAY(Consulta2[[#This Row],[DATA]])</f>
        <v>1</v>
      </c>
      <c r="I1860" s="6">
        <f>MONTH(Consulta2[[#This Row],[DATA]])</f>
        <v>2</v>
      </c>
      <c r="J1860" t="str">
        <f>CONCATENATE(Consulta2[[#This Row],[SAFRA]],Consulta2[[#This Row],[dia]])</f>
        <v>2029021</v>
      </c>
      <c r="K1860">
        <f>Consulta2[[#This Row],[DIA_UTIL_CORRENTE]]</f>
        <v>1</v>
      </c>
    </row>
    <row r="1861" spans="1:11" x14ac:dyDescent="0.25">
      <c r="A1861">
        <v>202902</v>
      </c>
      <c r="B1861">
        <v>2</v>
      </c>
      <c r="C1861" s="148">
        <v>47151</v>
      </c>
      <c r="D1861">
        <v>18</v>
      </c>
      <c r="E1861">
        <v>18</v>
      </c>
      <c r="F1861">
        <v>1280</v>
      </c>
      <c r="G1861">
        <f>Consulta2[[#This Row],[DIA_UTIL_CORRENTE]]</f>
        <v>2</v>
      </c>
      <c r="H1861" s="6">
        <f>DAY(Consulta2[[#This Row],[DATA]])</f>
        <v>2</v>
      </c>
      <c r="I1861" s="6">
        <f>MONTH(Consulta2[[#This Row],[DATA]])</f>
        <v>2</v>
      </c>
      <c r="J1861" t="str">
        <f>CONCATENATE(Consulta2[[#This Row],[SAFRA]],Consulta2[[#This Row],[dia]])</f>
        <v>2029022</v>
      </c>
      <c r="K1861">
        <f>Consulta2[[#This Row],[DIA_UTIL_CORRENTE]]</f>
        <v>2</v>
      </c>
    </row>
    <row r="1862" spans="1:11" x14ac:dyDescent="0.25">
      <c r="A1862">
        <v>202902</v>
      </c>
      <c r="B1862">
        <v>2</v>
      </c>
      <c r="C1862" s="148">
        <v>47152</v>
      </c>
      <c r="D1862">
        <v>18</v>
      </c>
      <c r="E1862">
        <v>18</v>
      </c>
      <c r="F1862">
        <v>1280</v>
      </c>
      <c r="G1862">
        <f>Consulta2[[#This Row],[DIA_UTIL_CORRENTE]]</f>
        <v>2</v>
      </c>
      <c r="H1862" s="6">
        <f>DAY(Consulta2[[#This Row],[DATA]])</f>
        <v>3</v>
      </c>
      <c r="I1862" s="6">
        <f>MONTH(Consulta2[[#This Row],[DATA]])</f>
        <v>2</v>
      </c>
      <c r="J1862" t="str">
        <f>CONCATENATE(Consulta2[[#This Row],[SAFRA]],Consulta2[[#This Row],[dia]])</f>
        <v>2029023</v>
      </c>
      <c r="K1862">
        <f>Consulta2[[#This Row],[DIA_UTIL_CORRENTE]]</f>
        <v>2</v>
      </c>
    </row>
    <row r="1863" spans="1:11" x14ac:dyDescent="0.25">
      <c r="A1863">
        <v>202902</v>
      </c>
      <c r="B1863">
        <v>2</v>
      </c>
      <c r="C1863" s="148">
        <v>47153</v>
      </c>
      <c r="D1863">
        <v>18</v>
      </c>
      <c r="E1863">
        <v>18</v>
      </c>
      <c r="F1863">
        <v>1280</v>
      </c>
      <c r="G1863">
        <f>Consulta2[[#This Row],[DIA_UTIL_CORRENTE]]</f>
        <v>2</v>
      </c>
      <c r="H1863" s="6">
        <f>DAY(Consulta2[[#This Row],[DATA]])</f>
        <v>4</v>
      </c>
      <c r="I1863" s="6">
        <f>MONTH(Consulta2[[#This Row],[DATA]])</f>
        <v>2</v>
      </c>
      <c r="J1863" t="str">
        <f>CONCATENATE(Consulta2[[#This Row],[SAFRA]],Consulta2[[#This Row],[dia]])</f>
        <v>2029024</v>
      </c>
      <c r="K1863">
        <f>Consulta2[[#This Row],[DIA_UTIL_CORRENTE]]</f>
        <v>2</v>
      </c>
    </row>
    <row r="1864" spans="1:11" x14ac:dyDescent="0.25">
      <c r="A1864">
        <v>202902</v>
      </c>
      <c r="B1864">
        <v>3</v>
      </c>
      <c r="C1864" s="148">
        <v>47154</v>
      </c>
      <c r="D1864">
        <v>18</v>
      </c>
      <c r="E1864">
        <v>18</v>
      </c>
      <c r="F1864">
        <v>1281</v>
      </c>
      <c r="G1864">
        <f>Consulta2[[#This Row],[DIA_UTIL_CORRENTE]]</f>
        <v>3</v>
      </c>
      <c r="H1864" s="6">
        <f>DAY(Consulta2[[#This Row],[DATA]])</f>
        <v>5</v>
      </c>
      <c r="I1864" s="6">
        <f>MONTH(Consulta2[[#This Row],[DATA]])</f>
        <v>2</v>
      </c>
      <c r="J1864" t="str">
        <f>CONCATENATE(Consulta2[[#This Row],[SAFRA]],Consulta2[[#This Row],[dia]])</f>
        <v>2029025</v>
      </c>
      <c r="K1864">
        <f>Consulta2[[#This Row],[DIA_UTIL_CORRENTE]]</f>
        <v>3</v>
      </c>
    </row>
    <row r="1865" spans="1:11" x14ac:dyDescent="0.25">
      <c r="A1865">
        <v>202902</v>
      </c>
      <c r="B1865">
        <v>4</v>
      </c>
      <c r="C1865" s="148">
        <v>47155</v>
      </c>
      <c r="D1865">
        <v>18</v>
      </c>
      <c r="E1865">
        <v>18</v>
      </c>
      <c r="F1865">
        <v>1282</v>
      </c>
      <c r="G1865">
        <f>Consulta2[[#This Row],[DIA_UTIL_CORRENTE]]</f>
        <v>4</v>
      </c>
      <c r="H1865" s="6">
        <f>DAY(Consulta2[[#This Row],[DATA]])</f>
        <v>6</v>
      </c>
      <c r="I1865" s="6">
        <f>MONTH(Consulta2[[#This Row],[DATA]])</f>
        <v>2</v>
      </c>
      <c r="J1865" t="str">
        <f>CONCATENATE(Consulta2[[#This Row],[SAFRA]],Consulta2[[#This Row],[dia]])</f>
        <v>2029026</v>
      </c>
      <c r="K1865">
        <f>Consulta2[[#This Row],[DIA_UTIL_CORRENTE]]</f>
        <v>4</v>
      </c>
    </row>
    <row r="1866" spans="1:11" x14ac:dyDescent="0.25">
      <c r="A1866">
        <v>202902</v>
      </c>
      <c r="B1866">
        <v>5</v>
      </c>
      <c r="C1866" s="148">
        <v>47156</v>
      </c>
      <c r="D1866">
        <v>18</v>
      </c>
      <c r="E1866">
        <v>18</v>
      </c>
      <c r="F1866">
        <v>1283</v>
      </c>
      <c r="G1866">
        <f>Consulta2[[#This Row],[DIA_UTIL_CORRENTE]]</f>
        <v>5</v>
      </c>
      <c r="H1866" s="6">
        <f>DAY(Consulta2[[#This Row],[DATA]])</f>
        <v>7</v>
      </c>
      <c r="I1866" s="6">
        <f>MONTH(Consulta2[[#This Row],[DATA]])</f>
        <v>2</v>
      </c>
      <c r="J1866" t="str">
        <f>CONCATENATE(Consulta2[[#This Row],[SAFRA]],Consulta2[[#This Row],[dia]])</f>
        <v>2029027</v>
      </c>
      <c r="K1866">
        <f>Consulta2[[#This Row],[DIA_UTIL_CORRENTE]]</f>
        <v>5</v>
      </c>
    </row>
    <row r="1867" spans="1:11" x14ac:dyDescent="0.25">
      <c r="A1867">
        <v>202902</v>
      </c>
      <c r="B1867">
        <v>6</v>
      </c>
      <c r="C1867" s="148">
        <v>47157</v>
      </c>
      <c r="D1867">
        <v>18</v>
      </c>
      <c r="E1867">
        <v>18</v>
      </c>
      <c r="F1867">
        <v>1284</v>
      </c>
      <c r="G1867">
        <f>Consulta2[[#This Row],[DIA_UTIL_CORRENTE]]</f>
        <v>6</v>
      </c>
      <c r="H1867" s="6">
        <f>DAY(Consulta2[[#This Row],[DATA]])</f>
        <v>8</v>
      </c>
      <c r="I1867" s="6">
        <f>MONTH(Consulta2[[#This Row],[DATA]])</f>
        <v>2</v>
      </c>
      <c r="J1867" t="str">
        <f>CONCATENATE(Consulta2[[#This Row],[SAFRA]],Consulta2[[#This Row],[dia]])</f>
        <v>2029028</v>
      </c>
      <c r="K1867">
        <f>Consulta2[[#This Row],[DIA_UTIL_CORRENTE]]</f>
        <v>6</v>
      </c>
    </row>
    <row r="1868" spans="1:11" x14ac:dyDescent="0.25">
      <c r="A1868">
        <v>202902</v>
      </c>
      <c r="B1868">
        <v>7</v>
      </c>
      <c r="C1868" s="148">
        <v>47158</v>
      </c>
      <c r="D1868">
        <v>18</v>
      </c>
      <c r="E1868">
        <v>18</v>
      </c>
      <c r="F1868">
        <v>1285</v>
      </c>
      <c r="G1868">
        <f>Consulta2[[#This Row],[DIA_UTIL_CORRENTE]]</f>
        <v>7</v>
      </c>
      <c r="H1868" s="6">
        <f>DAY(Consulta2[[#This Row],[DATA]])</f>
        <v>9</v>
      </c>
      <c r="I1868" s="6">
        <f>MONTH(Consulta2[[#This Row],[DATA]])</f>
        <v>2</v>
      </c>
      <c r="J1868" t="str">
        <f>CONCATENATE(Consulta2[[#This Row],[SAFRA]],Consulta2[[#This Row],[dia]])</f>
        <v>2029029</v>
      </c>
      <c r="K1868">
        <f>Consulta2[[#This Row],[DIA_UTIL_CORRENTE]]</f>
        <v>7</v>
      </c>
    </row>
    <row r="1869" spans="1:11" x14ac:dyDescent="0.25">
      <c r="A1869">
        <v>202902</v>
      </c>
      <c r="B1869">
        <v>7</v>
      </c>
      <c r="C1869" s="148">
        <v>47159</v>
      </c>
      <c r="D1869">
        <v>18</v>
      </c>
      <c r="E1869">
        <v>18</v>
      </c>
      <c r="F1869">
        <v>1285</v>
      </c>
      <c r="G1869">
        <f>Consulta2[[#This Row],[DIA_UTIL_CORRENTE]]</f>
        <v>7</v>
      </c>
      <c r="H1869" s="6">
        <f>DAY(Consulta2[[#This Row],[DATA]])</f>
        <v>10</v>
      </c>
      <c r="I1869" s="6">
        <f>MONTH(Consulta2[[#This Row],[DATA]])</f>
        <v>2</v>
      </c>
      <c r="J1869" t="str">
        <f>CONCATENATE(Consulta2[[#This Row],[SAFRA]],Consulta2[[#This Row],[dia]])</f>
        <v>20290210</v>
      </c>
      <c r="K1869">
        <f>Consulta2[[#This Row],[DIA_UTIL_CORRENTE]]</f>
        <v>7</v>
      </c>
    </row>
    <row r="1870" spans="1:11" x14ac:dyDescent="0.25">
      <c r="A1870">
        <v>202902</v>
      </c>
      <c r="B1870">
        <v>7</v>
      </c>
      <c r="C1870" s="148">
        <v>47160</v>
      </c>
      <c r="D1870">
        <v>18</v>
      </c>
      <c r="E1870">
        <v>18</v>
      </c>
      <c r="F1870">
        <v>1285</v>
      </c>
      <c r="G1870">
        <f>Consulta2[[#This Row],[DIA_UTIL_CORRENTE]]</f>
        <v>7</v>
      </c>
      <c r="H1870" s="6">
        <f>DAY(Consulta2[[#This Row],[DATA]])</f>
        <v>11</v>
      </c>
      <c r="I1870" s="6">
        <f>MONTH(Consulta2[[#This Row],[DATA]])</f>
        <v>2</v>
      </c>
      <c r="J1870" t="str">
        <f>CONCATENATE(Consulta2[[#This Row],[SAFRA]],Consulta2[[#This Row],[dia]])</f>
        <v>20290211</v>
      </c>
      <c r="K1870">
        <f>Consulta2[[#This Row],[DIA_UTIL_CORRENTE]]</f>
        <v>7</v>
      </c>
    </row>
    <row r="1871" spans="1:11" x14ac:dyDescent="0.25">
      <c r="A1871">
        <v>202902</v>
      </c>
      <c r="B1871">
        <v>7</v>
      </c>
      <c r="C1871" s="148">
        <v>47161</v>
      </c>
      <c r="D1871">
        <v>18</v>
      </c>
      <c r="E1871">
        <v>18</v>
      </c>
      <c r="F1871">
        <v>1285</v>
      </c>
      <c r="G1871">
        <f>Consulta2[[#This Row],[DIA_UTIL_CORRENTE]]</f>
        <v>7</v>
      </c>
      <c r="H1871" s="6">
        <f>DAY(Consulta2[[#This Row],[DATA]])</f>
        <v>12</v>
      </c>
      <c r="I1871" s="6">
        <f>MONTH(Consulta2[[#This Row],[DATA]])</f>
        <v>2</v>
      </c>
      <c r="J1871" t="str">
        <f>CONCATENATE(Consulta2[[#This Row],[SAFRA]],Consulta2[[#This Row],[dia]])</f>
        <v>20290212</v>
      </c>
      <c r="K1871">
        <f>Consulta2[[#This Row],[DIA_UTIL_CORRENTE]]</f>
        <v>7</v>
      </c>
    </row>
    <row r="1872" spans="1:11" x14ac:dyDescent="0.25">
      <c r="A1872">
        <v>202902</v>
      </c>
      <c r="B1872">
        <v>7</v>
      </c>
      <c r="C1872" s="148">
        <v>47162</v>
      </c>
      <c r="D1872">
        <v>18</v>
      </c>
      <c r="E1872">
        <v>18</v>
      </c>
      <c r="F1872">
        <v>1285</v>
      </c>
      <c r="G1872">
        <f>Consulta2[[#This Row],[DIA_UTIL_CORRENTE]]</f>
        <v>7</v>
      </c>
      <c r="H1872" s="6">
        <f>DAY(Consulta2[[#This Row],[DATA]])</f>
        <v>13</v>
      </c>
      <c r="I1872" s="6">
        <f>MONTH(Consulta2[[#This Row],[DATA]])</f>
        <v>2</v>
      </c>
      <c r="J1872" t="str">
        <f>CONCATENATE(Consulta2[[#This Row],[SAFRA]],Consulta2[[#This Row],[dia]])</f>
        <v>20290213</v>
      </c>
      <c r="K1872">
        <f>Consulta2[[#This Row],[DIA_UTIL_CORRENTE]]</f>
        <v>7</v>
      </c>
    </row>
    <row r="1873" spans="1:11" x14ac:dyDescent="0.25">
      <c r="A1873">
        <v>202902</v>
      </c>
      <c r="B1873">
        <v>8</v>
      </c>
      <c r="C1873" s="148">
        <v>47163</v>
      </c>
      <c r="D1873">
        <v>18</v>
      </c>
      <c r="E1873">
        <v>18</v>
      </c>
      <c r="F1873">
        <v>1286</v>
      </c>
      <c r="G1873">
        <f>Consulta2[[#This Row],[DIA_UTIL_CORRENTE]]</f>
        <v>8</v>
      </c>
      <c r="H1873" s="6">
        <f>DAY(Consulta2[[#This Row],[DATA]])</f>
        <v>14</v>
      </c>
      <c r="I1873" s="6">
        <f>MONTH(Consulta2[[#This Row],[DATA]])</f>
        <v>2</v>
      </c>
      <c r="J1873" t="str">
        <f>CONCATENATE(Consulta2[[#This Row],[SAFRA]],Consulta2[[#This Row],[dia]])</f>
        <v>20290214</v>
      </c>
      <c r="K1873">
        <f>Consulta2[[#This Row],[DIA_UTIL_CORRENTE]]</f>
        <v>8</v>
      </c>
    </row>
    <row r="1874" spans="1:11" x14ac:dyDescent="0.25">
      <c r="A1874">
        <v>202902</v>
      </c>
      <c r="B1874">
        <v>9</v>
      </c>
      <c r="C1874" s="148">
        <v>47164</v>
      </c>
      <c r="D1874">
        <v>18</v>
      </c>
      <c r="E1874">
        <v>18</v>
      </c>
      <c r="F1874">
        <v>1287</v>
      </c>
      <c r="G1874">
        <f>Consulta2[[#This Row],[DIA_UTIL_CORRENTE]]</f>
        <v>9</v>
      </c>
      <c r="H1874" s="6">
        <f>DAY(Consulta2[[#This Row],[DATA]])</f>
        <v>15</v>
      </c>
      <c r="I1874" s="6">
        <f>MONTH(Consulta2[[#This Row],[DATA]])</f>
        <v>2</v>
      </c>
      <c r="J1874" t="str">
        <f>CONCATENATE(Consulta2[[#This Row],[SAFRA]],Consulta2[[#This Row],[dia]])</f>
        <v>20290215</v>
      </c>
      <c r="K1874">
        <f>Consulta2[[#This Row],[DIA_UTIL_CORRENTE]]</f>
        <v>9</v>
      </c>
    </row>
    <row r="1875" spans="1:11" x14ac:dyDescent="0.25">
      <c r="A1875">
        <v>202902</v>
      </c>
      <c r="B1875">
        <v>10</v>
      </c>
      <c r="C1875" s="148">
        <v>47165</v>
      </c>
      <c r="D1875">
        <v>18</v>
      </c>
      <c r="E1875">
        <v>18</v>
      </c>
      <c r="F1875">
        <v>1288</v>
      </c>
      <c r="G1875">
        <f>Consulta2[[#This Row],[DIA_UTIL_CORRENTE]]</f>
        <v>10</v>
      </c>
      <c r="H1875" s="6">
        <f>DAY(Consulta2[[#This Row],[DATA]])</f>
        <v>16</v>
      </c>
      <c r="I1875" s="6">
        <f>MONTH(Consulta2[[#This Row],[DATA]])</f>
        <v>2</v>
      </c>
      <c r="J1875" t="str">
        <f>CONCATENATE(Consulta2[[#This Row],[SAFRA]],Consulta2[[#This Row],[dia]])</f>
        <v>20290216</v>
      </c>
      <c r="K1875">
        <f>Consulta2[[#This Row],[DIA_UTIL_CORRENTE]]</f>
        <v>10</v>
      </c>
    </row>
    <row r="1876" spans="1:11" x14ac:dyDescent="0.25">
      <c r="A1876">
        <v>202902</v>
      </c>
      <c r="B1876">
        <v>10</v>
      </c>
      <c r="C1876" s="148">
        <v>47166</v>
      </c>
      <c r="D1876">
        <v>18</v>
      </c>
      <c r="E1876">
        <v>18</v>
      </c>
      <c r="F1876">
        <v>1288</v>
      </c>
      <c r="G1876">
        <f>Consulta2[[#This Row],[DIA_UTIL_CORRENTE]]</f>
        <v>10</v>
      </c>
      <c r="H1876" s="6">
        <f>DAY(Consulta2[[#This Row],[DATA]])</f>
        <v>17</v>
      </c>
      <c r="I1876" s="6">
        <f>MONTH(Consulta2[[#This Row],[DATA]])</f>
        <v>2</v>
      </c>
      <c r="J1876" t="str">
        <f>CONCATENATE(Consulta2[[#This Row],[SAFRA]],Consulta2[[#This Row],[dia]])</f>
        <v>20290217</v>
      </c>
      <c r="K1876">
        <f>Consulta2[[#This Row],[DIA_UTIL_CORRENTE]]</f>
        <v>10</v>
      </c>
    </row>
    <row r="1877" spans="1:11" x14ac:dyDescent="0.25">
      <c r="A1877">
        <v>202902</v>
      </c>
      <c r="B1877">
        <v>10</v>
      </c>
      <c r="C1877" s="148">
        <v>47167</v>
      </c>
      <c r="D1877">
        <v>18</v>
      </c>
      <c r="E1877">
        <v>18</v>
      </c>
      <c r="F1877">
        <v>1288</v>
      </c>
      <c r="G1877">
        <f>Consulta2[[#This Row],[DIA_UTIL_CORRENTE]]</f>
        <v>10</v>
      </c>
      <c r="H1877" s="6">
        <f>DAY(Consulta2[[#This Row],[DATA]])</f>
        <v>18</v>
      </c>
      <c r="I1877" s="6">
        <f>MONTH(Consulta2[[#This Row],[DATA]])</f>
        <v>2</v>
      </c>
      <c r="J1877" t="str">
        <f>CONCATENATE(Consulta2[[#This Row],[SAFRA]],Consulta2[[#This Row],[dia]])</f>
        <v>20290218</v>
      </c>
      <c r="K1877">
        <f>Consulta2[[#This Row],[DIA_UTIL_CORRENTE]]</f>
        <v>10</v>
      </c>
    </row>
    <row r="1878" spans="1:11" x14ac:dyDescent="0.25">
      <c r="A1878">
        <v>202902</v>
      </c>
      <c r="B1878">
        <v>11</v>
      </c>
      <c r="C1878" s="148">
        <v>47168</v>
      </c>
      <c r="D1878">
        <v>18</v>
      </c>
      <c r="E1878">
        <v>18</v>
      </c>
      <c r="F1878">
        <v>1289</v>
      </c>
      <c r="G1878">
        <f>Consulta2[[#This Row],[DIA_UTIL_CORRENTE]]</f>
        <v>11</v>
      </c>
      <c r="H1878" s="6">
        <f>DAY(Consulta2[[#This Row],[DATA]])</f>
        <v>19</v>
      </c>
      <c r="I1878" s="6">
        <f>MONTH(Consulta2[[#This Row],[DATA]])</f>
        <v>2</v>
      </c>
      <c r="J1878" t="str">
        <f>CONCATENATE(Consulta2[[#This Row],[SAFRA]],Consulta2[[#This Row],[dia]])</f>
        <v>20290219</v>
      </c>
      <c r="K1878">
        <f>Consulta2[[#This Row],[DIA_UTIL_CORRENTE]]</f>
        <v>11</v>
      </c>
    </row>
    <row r="1879" spans="1:11" x14ac:dyDescent="0.25">
      <c r="A1879">
        <v>202902</v>
      </c>
      <c r="B1879">
        <v>12</v>
      </c>
      <c r="C1879" s="148">
        <v>47169</v>
      </c>
      <c r="D1879">
        <v>18</v>
      </c>
      <c r="E1879">
        <v>18</v>
      </c>
      <c r="F1879">
        <v>1290</v>
      </c>
      <c r="G1879">
        <f>Consulta2[[#This Row],[DIA_UTIL_CORRENTE]]</f>
        <v>12</v>
      </c>
      <c r="H1879" s="6">
        <f>DAY(Consulta2[[#This Row],[DATA]])</f>
        <v>20</v>
      </c>
      <c r="I1879" s="6">
        <f>MONTH(Consulta2[[#This Row],[DATA]])</f>
        <v>2</v>
      </c>
      <c r="J1879" t="str">
        <f>CONCATENATE(Consulta2[[#This Row],[SAFRA]],Consulta2[[#This Row],[dia]])</f>
        <v>20290220</v>
      </c>
      <c r="K1879">
        <f>Consulta2[[#This Row],[DIA_UTIL_CORRENTE]]</f>
        <v>12</v>
      </c>
    </row>
    <row r="1880" spans="1:11" x14ac:dyDescent="0.25">
      <c r="A1880">
        <v>202902</v>
      </c>
      <c r="B1880">
        <v>13</v>
      </c>
      <c r="C1880" s="148">
        <v>47170</v>
      </c>
      <c r="D1880">
        <v>18</v>
      </c>
      <c r="E1880">
        <v>18</v>
      </c>
      <c r="F1880">
        <v>1291</v>
      </c>
      <c r="G1880">
        <f>Consulta2[[#This Row],[DIA_UTIL_CORRENTE]]</f>
        <v>13</v>
      </c>
      <c r="H1880" s="6">
        <f>DAY(Consulta2[[#This Row],[DATA]])</f>
        <v>21</v>
      </c>
      <c r="I1880" s="6">
        <f>MONTH(Consulta2[[#This Row],[DATA]])</f>
        <v>2</v>
      </c>
      <c r="J1880" t="str">
        <f>CONCATENATE(Consulta2[[#This Row],[SAFRA]],Consulta2[[#This Row],[dia]])</f>
        <v>20290221</v>
      </c>
      <c r="K1880">
        <f>Consulta2[[#This Row],[DIA_UTIL_CORRENTE]]</f>
        <v>13</v>
      </c>
    </row>
    <row r="1881" spans="1:11" x14ac:dyDescent="0.25">
      <c r="A1881">
        <v>202902</v>
      </c>
      <c r="B1881">
        <v>14</v>
      </c>
      <c r="C1881" s="148">
        <v>47171</v>
      </c>
      <c r="D1881">
        <v>18</v>
      </c>
      <c r="E1881">
        <v>18</v>
      </c>
      <c r="F1881">
        <v>1292</v>
      </c>
      <c r="G1881">
        <f>Consulta2[[#This Row],[DIA_UTIL_CORRENTE]]</f>
        <v>14</v>
      </c>
      <c r="H1881" s="6">
        <f>DAY(Consulta2[[#This Row],[DATA]])</f>
        <v>22</v>
      </c>
      <c r="I1881" s="6">
        <f>MONTH(Consulta2[[#This Row],[DATA]])</f>
        <v>2</v>
      </c>
      <c r="J1881" t="str">
        <f>CONCATENATE(Consulta2[[#This Row],[SAFRA]],Consulta2[[#This Row],[dia]])</f>
        <v>20290222</v>
      </c>
      <c r="K1881">
        <f>Consulta2[[#This Row],[DIA_UTIL_CORRENTE]]</f>
        <v>14</v>
      </c>
    </row>
    <row r="1882" spans="1:11" x14ac:dyDescent="0.25">
      <c r="A1882">
        <v>202902</v>
      </c>
      <c r="B1882">
        <v>15</v>
      </c>
      <c r="C1882" s="148">
        <v>47172</v>
      </c>
      <c r="D1882">
        <v>18</v>
      </c>
      <c r="E1882">
        <v>18</v>
      </c>
      <c r="F1882">
        <v>1293</v>
      </c>
      <c r="G1882">
        <f>Consulta2[[#This Row],[DIA_UTIL_CORRENTE]]</f>
        <v>15</v>
      </c>
      <c r="H1882" s="6">
        <f>DAY(Consulta2[[#This Row],[DATA]])</f>
        <v>23</v>
      </c>
      <c r="I1882" s="6">
        <f>MONTH(Consulta2[[#This Row],[DATA]])</f>
        <v>2</v>
      </c>
      <c r="J1882" t="str">
        <f>CONCATENATE(Consulta2[[#This Row],[SAFRA]],Consulta2[[#This Row],[dia]])</f>
        <v>20290223</v>
      </c>
      <c r="K1882">
        <f>Consulta2[[#This Row],[DIA_UTIL_CORRENTE]]</f>
        <v>15</v>
      </c>
    </row>
    <row r="1883" spans="1:11" x14ac:dyDescent="0.25">
      <c r="A1883">
        <v>202902</v>
      </c>
      <c r="B1883">
        <v>15</v>
      </c>
      <c r="C1883" s="148">
        <v>47173</v>
      </c>
      <c r="D1883">
        <v>18</v>
      </c>
      <c r="E1883">
        <v>18</v>
      </c>
      <c r="F1883">
        <v>1293</v>
      </c>
      <c r="G1883">
        <f>Consulta2[[#This Row],[DIA_UTIL_CORRENTE]]</f>
        <v>15</v>
      </c>
      <c r="H1883" s="6">
        <f>DAY(Consulta2[[#This Row],[DATA]])</f>
        <v>24</v>
      </c>
      <c r="I1883" s="6">
        <f>MONTH(Consulta2[[#This Row],[DATA]])</f>
        <v>2</v>
      </c>
      <c r="J1883" t="str">
        <f>CONCATENATE(Consulta2[[#This Row],[SAFRA]],Consulta2[[#This Row],[dia]])</f>
        <v>20290224</v>
      </c>
      <c r="K1883">
        <f>Consulta2[[#This Row],[DIA_UTIL_CORRENTE]]</f>
        <v>15</v>
      </c>
    </row>
    <row r="1884" spans="1:11" x14ac:dyDescent="0.25">
      <c r="A1884">
        <v>202902</v>
      </c>
      <c r="B1884">
        <v>15</v>
      </c>
      <c r="C1884" s="148">
        <v>47174</v>
      </c>
      <c r="D1884">
        <v>18</v>
      </c>
      <c r="E1884">
        <v>18</v>
      </c>
      <c r="F1884">
        <v>1293</v>
      </c>
      <c r="G1884">
        <f>Consulta2[[#This Row],[DIA_UTIL_CORRENTE]]</f>
        <v>15</v>
      </c>
      <c r="H1884" s="6">
        <f>DAY(Consulta2[[#This Row],[DATA]])</f>
        <v>25</v>
      </c>
      <c r="I1884" s="6">
        <f>MONTH(Consulta2[[#This Row],[DATA]])</f>
        <v>2</v>
      </c>
      <c r="J1884" t="str">
        <f>CONCATENATE(Consulta2[[#This Row],[SAFRA]],Consulta2[[#This Row],[dia]])</f>
        <v>20290225</v>
      </c>
      <c r="K1884">
        <f>Consulta2[[#This Row],[DIA_UTIL_CORRENTE]]</f>
        <v>15</v>
      </c>
    </row>
    <row r="1885" spans="1:11" x14ac:dyDescent="0.25">
      <c r="A1885">
        <v>202902</v>
      </c>
      <c r="B1885">
        <v>16</v>
      </c>
      <c r="C1885" s="148">
        <v>47175</v>
      </c>
      <c r="D1885">
        <v>18</v>
      </c>
      <c r="E1885">
        <v>18</v>
      </c>
      <c r="F1885">
        <v>1294</v>
      </c>
      <c r="G1885">
        <f>Consulta2[[#This Row],[DIA_UTIL_CORRENTE]]</f>
        <v>16</v>
      </c>
      <c r="H1885" s="6">
        <f>DAY(Consulta2[[#This Row],[DATA]])</f>
        <v>26</v>
      </c>
      <c r="I1885" s="6">
        <f>MONTH(Consulta2[[#This Row],[DATA]])</f>
        <v>2</v>
      </c>
      <c r="J1885" t="str">
        <f>CONCATENATE(Consulta2[[#This Row],[SAFRA]],Consulta2[[#This Row],[dia]])</f>
        <v>20290226</v>
      </c>
      <c r="K1885">
        <f>Consulta2[[#This Row],[DIA_UTIL_CORRENTE]]</f>
        <v>16</v>
      </c>
    </row>
    <row r="1886" spans="1:11" x14ac:dyDescent="0.25">
      <c r="A1886">
        <v>202902</v>
      </c>
      <c r="B1886">
        <v>17</v>
      </c>
      <c r="C1886" s="148">
        <v>47176</v>
      </c>
      <c r="D1886">
        <v>18</v>
      </c>
      <c r="E1886">
        <v>18</v>
      </c>
      <c r="F1886">
        <v>1295</v>
      </c>
      <c r="G1886">
        <f>Consulta2[[#This Row],[DIA_UTIL_CORRENTE]]</f>
        <v>17</v>
      </c>
      <c r="H1886" s="6">
        <f>DAY(Consulta2[[#This Row],[DATA]])</f>
        <v>27</v>
      </c>
      <c r="I1886" s="6">
        <f>MONTH(Consulta2[[#This Row],[DATA]])</f>
        <v>2</v>
      </c>
      <c r="J1886" t="str">
        <f>CONCATENATE(Consulta2[[#This Row],[SAFRA]],Consulta2[[#This Row],[dia]])</f>
        <v>20290227</v>
      </c>
      <c r="K1886">
        <f>Consulta2[[#This Row],[DIA_UTIL_CORRENTE]]</f>
        <v>17</v>
      </c>
    </row>
    <row r="1887" spans="1:11" x14ac:dyDescent="0.25">
      <c r="A1887">
        <v>202902</v>
      </c>
      <c r="B1887">
        <v>18</v>
      </c>
      <c r="C1887" s="148">
        <v>47177</v>
      </c>
      <c r="D1887">
        <v>18</v>
      </c>
      <c r="E1887">
        <v>18</v>
      </c>
      <c r="F1887">
        <v>1296</v>
      </c>
      <c r="G1887">
        <f>Consulta2[[#This Row],[DIA_UTIL_CORRENTE]]</f>
        <v>18</v>
      </c>
      <c r="H1887" s="6">
        <f>DAY(Consulta2[[#This Row],[DATA]])</f>
        <v>28</v>
      </c>
      <c r="I1887" s="6">
        <f>MONTH(Consulta2[[#This Row],[DATA]])</f>
        <v>2</v>
      </c>
      <c r="J1887" t="str">
        <f>CONCATENATE(Consulta2[[#This Row],[SAFRA]],Consulta2[[#This Row],[dia]])</f>
        <v>20290228</v>
      </c>
      <c r="K1887">
        <f>Consulta2[[#This Row],[DIA_UTIL_CORRENTE]]</f>
        <v>18</v>
      </c>
    </row>
    <row r="1888" spans="1:11" x14ac:dyDescent="0.25">
      <c r="A1888">
        <v>202903</v>
      </c>
      <c r="B1888">
        <v>1</v>
      </c>
      <c r="C1888" s="148">
        <v>47178</v>
      </c>
      <c r="D1888">
        <v>21</v>
      </c>
      <c r="E1888">
        <v>21</v>
      </c>
      <c r="F1888">
        <v>1297</v>
      </c>
      <c r="G1888">
        <f>Consulta2[[#This Row],[DIA_UTIL_CORRENTE]]</f>
        <v>1</v>
      </c>
      <c r="H1888" s="6">
        <f>DAY(Consulta2[[#This Row],[DATA]])</f>
        <v>1</v>
      </c>
      <c r="I1888" s="6">
        <f>MONTH(Consulta2[[#This Row],[DATA]])</f>
        <v>3</v>
      </c>
      <c r="J1888" t="str">
        <f>CONCATENATE(Consulta2[[#This Row],[SAFRA]],Consulta2[[#This Row],[dia]])</f>
        <v>2029031</v>
      </c>
      <c r="K1888">
        <f>Consulta2[[#This Row],[DIA_UTIL_CORRENTE]]</f>
        <v>1</v>
      </c>
    </row>
    <row r="1889" spans="1:11" x14ac:dyDescent="0.25">
      <c r="A1889">
        <v>202903</v>
      </c>
      <c r="B1889">
        <v>2</v>
      </c>
      <c r="C1889" s="148">
        <v>47179</v>
      </c>
      <c r="D1889">
        <v>21</v>
      </c>
      <c r="E1889">
        <v>21</v>
      </c>
      <c r="F1889">
        <v>1298</v>
      </c>
      <c r="G1889">
        <f>Consulta2[[#This Row],[DIA_UTIL_CORRENTE]]</f>
        <v>2</v>
      </c>
      <c r="H1889" s="6">
        <f>DAY(Consulta2[[#This Row],[DATA]])</f>
        <v>2</v>
      </c>
      <c r="I1889" s="6">
        <f>MONTH(Consulta2[[#This Row],[DATA]])</f>
        <v>3</v>
      </c>
      <c r="J1889" t="str">
        <f>CONCATENATE(Consulta2[[#This Row],[SAFRA]],Consulta2[[#This Row],[dia]])</f>
        <v>2029032</v>
      </c>
      <c r="K1889">
        <f>Consulta2[[#This Row],[DIA_UTIL_CORRENTE]]</f>
        <v>2</v>
      </c>
    </row>
    <row r="1890" spans="1:11" x14ac:dyDescent="0.25">
      <c r="A1890">
        <v>202903</v>
      </c>
      <c r="B1890">
        <v>2</v>
      </c>
      <c r="C1890" s="148">
        <v>47180</v>
      </c>
      <c r="D1890">
        <v>21</v>
      </c>
      <c r="E1890">
        <v>21</v>
      </c>
      <c r="F1890">
        <v>1298</v>
      </c>
      <c r="G1890">
        <f>Consulta2[[#This Row],[DIA_UTIL_CORRENTE]]</f>
        <v>2</v>
      </c>
      <c r="H1890" s="6">
        <f>DAY(Consulta2[[#This Row],[DATA]])</f>
        <v>3</v>
      </c>
      <c r="I1890" s="6">
        <f>MONTH(Consulta2[[#This Row],[DATA]])</f>
        <v>3</v>
      </c>
      <c r="J1890" t="str">
        <f>CONCATENATE(Consulta2[[#This Row],[SAFRA]],Consulta2[[#This Row],[dia]])</f>
        <v>2029033</v>
      </c>
      <c r="K1890">
        <f>Consulta2[[#This Row],[DIA_UTIL_CORRENTE]]</f>
        <v>2</v>
      </c>
    </row>
    <row r="1891" spans="1:11" x14ac:dyDescent="0.25">
      <c r="A1891">
        <v>202903</v>
      </c>
      <c r="B1891">
        <v>2</v>
      </c>
      <c r="C1891" s="148">
        <v>47181</v>
      </c>
      <c r="D1891">
        <v>21</v>
      </c>
      <c r="E1891">
        <v>21</v>
      </c>
      <c r="F1891">
        <v>1298</v>
      </c>
      <c r="G1891">
        <f>Consulta2[[#This Row],[DIA_UTIL_CORRENTE]]</f>
        <v>2</v>
      </c>
      <c r="H1891" s="6">
        <f>DAY(Consulta2[[#This Row],[DATA]])</f>
        <v>4</v>
      </c>
      <c r="I1891" s="6">
        <f>MONTH(Consulta2[[#This Row],[DATA]])</f>
        <v>3</v>
      </c>
      <c r="J1891" t="str">
        <f>CONCATENATE(Consulta2[[#This Row],[SAFRA]],Consulta2[[#This Row],[dia]])</f>
        <v>2029034</v>
      </c>
      <c r="K1891">
        <f>Consulta2[[#This Row],[DIA_UTIL_CORRENTE]]</f>
        <v>2</v>
      </c>
    </row>
    <row r="1892" spans="1:11" x14ac:dyDescent="0.25">
      <c r="A1892">
        <v>202903</v>
      </c>
      <c r="B1892">
        <v>3</v>
      </c>
      <c r="C1892" s="148">
        <v>47182</v>
      </c>
      <c r="D1892">
        <v>21</v>
      </c>
      <c r="E1892">
        <v>21</v>
      </c>
      <c r="F1892">
        <v>1299</v>
      </c>
      <c r="G1892">
        <f>Consulta2[[#This Row],[DIA_UTIL_CORRENTE]]</f>
        <v>3</v>
      </c>
      <c r="H1892" s="6">
        <f>DAY(Consulta2[[#This Row],[DATA]])</f>
        <v>5</v>
      </c>
      <c r="I1892" s="6">
        <f>MONTH(Consulta2[[#This Row],[DATA]])</f>
        <v>3</v>
      </c>
      <c r="J1892" t="str">
        <f>CONCATENATE(Consulta2[[#This Row],[SAFRA]],Consulta2[[#This Row],[dia]])</f>
        <v>2029035</v>
      </c>
      <c r="K1892">
        <f>Consulta2[[#This Row],[DIA_UTIL_CORRENTE]]</f>
        <v>3</v>
      </c>
    </row>
    <row r="1893" spans="1:11" x14ac:dyDescent="0.25">
      <c r="A1893">
        <v>202903</v>
      </c>
      <c r="B1893">
        <v>4</v>
      </c>
      <c r="C1893" s="148">
        <v>47183</v>
      </c>
      <c r="D1893">
        <v>21</v>
      </c>
      <c r="E1893">
        <v>21</v>
      </c>
      <c r="F1893">
        <v>1300</v>
      </c>
      <c r="G1893">
        <f>Consulta2[[#This Row],[DIA_UTIL_CORRENTE]]</f>
        <v>4</v>
      </c>
      <c r="H1893" s="6">
        <f>DAY(Consulta2[[#This Row],[DATA]])</f>
        <v>6</v>
      </c>
      <c r="I1893" s="6">
        <f>MONTH(Consulta2[[#This Row],[DATA]])</f>
        <v>3</v>
      </c>
      <c r="J1893" t="str">
        <f>CONCATENATE(Consulta2[[#This Row],[SAFRA]],Consulta2[[#This Row],[dia]])</f>
        <v>2029036</v>
      </c>
      <c r="K1893">
        <f>Consulta2[[#This Row],[DIA_UTIL_CORRENTE]]</f>
        <v>4</v>
      </c>
    </row>
    <row r="1894" spans="1:11" x14ac:dyDescent="0.25">
      <c r="A1894">
        <v>202903</v>
      </c>
      <c r="B1894">
        <v>5</v>
      </c>
      <c r="C1894" s="148">
        <v>47184</v>
      </c>
      <c r="D1894">
        <v>21</v>
      </c>
      <c r="E1894">
        <v>21</v>
      </c>
      <c r="F1894">
        <v>1301</v>
      </c>
      <c r="G1894">
        <f>Consulta2[[#This Row],[DIA_UTIL_CORRENTE]]</f>
        <v>5</v>
      </c>
      <c r="H1894" s="6">
        <f>DAY(Consulta2[[#This Row],[DATA]])</f>
        <v>7</v>
      </c>
      <c r="I1894" s="6">
        <f>MONTH(Consulta2[[#This Row],[DATA]])</f>
        <v>3</v>
      </c>
      <c r="J1894" t="str">
        <f>CONCATENATE(Consulta2[[#This Row],[SAFRA]],Consulta2[[#This Row],[dia]])</f>
        <v>2029037</v>
      </c>
      <c r="K1894">
        <f>Consulta2[[#This Row],[DIA_UTIL_CORRENTE]]</f>
        <v>5</v>
      </c>
    </row>
    <row r="1895" spans="1:11" x14ac:dyDescent="0.25">
      <c r="A1895">
        <v>202903</v>
      </c>
      <c r="B1895">
        <v>6</v>
      </c>
      <c r="C1895" s="148">
        <v>47185</v>
      </c>
      <c r="D1895">
        <v>21</v>
      </c>
      <c r="E1895">
        <v>21</v>
      </c>
      <c r="F1895">
        <v>1302</v>
      </c>
      <c r="G1895">
        <f>Consulta2[[#This Row],[DIA_UTIL_CORRENTE]]</f>
        <v>6</v>
      </c>
      <c r="H1895" s="6">
        <f>DAY(Consulta2[[#This Row],[DATA]])</f>
        <v>8</v>
      </c>
      <c r="I1895" s="6">
        <f>MONTH(Consulta2[[#This Row],[DATA]])</f>
        <v>3</v>
      </c>
      <c r="J1895" t="str">
        <f>CONCATENATE(Consulta2[[#This Row],[SAFRA]],Consulta2[[#This Row],[dia]])</f>
        <v>2029038</v>
      </c>
      <c r="K1895">
        <f>Consulta2[[#This Row],[DIA_UTIL_CORRENTE]]</f>
        <v>6</v>
      </c>
    </row>
    <row r="1896" spans="1:11" x14ac:dyDescent="0.25">
      <c r="A1896">
        <v>202903</v>
      </c>
      <c r="B1896">
        <v>7</v>
      </c>
      <c r="C1896" s="148">
        <v>47186</v>
      </c>
      <c r="D1896">
        <v>21</v>
      </c>
      <c r="E1896">
        <v>21</v>
      </c>
      <c r="F1896">
        <v>1303</v>
      </c>
      <c r="G1896">
        <f>Consulta2[[#This Row],[DIA_UTIL_CORRENTE]]</f>
        <v>7</v>
      </c>
      <c r="H1896" s="6">
        <f>DAY(Consulta2[[#This Row],[DATA]])</f>
        <v>9</v>
      </c>
      <c r="I1896" s="6">
        <f>MONTH(Consulta2[[#This Row],[DATA]])</f>
        <v>3</v>
      </c>
      <c r="J1896" t="str">
        <f>CONCATENATE(Consulta2[[#This Row],[SAFRA]],Consulta2[[#This Row],[dia]])</f>
        <v>2029039</v>
      </c>
      <c r="K1896">
        <f>Consulta2[[#This Row],[DIA_UTIL_CORRENTE]]</f>
        <v>7</v>
      </c>
    </row>
    <row r="1897" spans="1:11" x14ac:dyDescent="0.25">
      <c r="A1897">
        <v>202903</v>
      </c>
      <c r="B1897">
        <v>7</v>
      </c>
      <c r="C1897" s="148">
        <v>47187</v>
      </c>
      <c r="D1897">
        <v>21</v>
      </c>
      <c r="E1897">
        <v>21</v>
      </c>
      <c r="F1897">
        <v>1303</v>
      </c>
      <c r="G1897">
        <f>Consulta2[[#This Row],[DIA_UTIL_CORRENTE]]</f>
        <v>7</v>
      </c>
      <c r="H1897" s="6">
        <f>DAY(Consulta2[[#This Row],[DATA]])</f>
        <v>10</v>
      </c>
      <c r="I1897" s="6">
        <f>MONTH(Consulta2[[#This Row],[DATA]])</f>
        <v>3</v>
      </c>
      <c r="J1897" t="str">
        <f>CONCATENATE(Consulta2[[#This Row],[SAFRA]],Consulta2[[#This Row],[dia]])</f>
        <v>20290310</v>
      </c>
      <c r="K1897">
        <f>Consulta2[[#This Row],[DIA_UTIL_CORRENTE]]</f>
        <v>7</v>
      </c>
    </row>
    <row r="1898" spans="1:11" x14ac:dyDescent="0.25">
      <c r="A1898">
        <v>202903</v>
      </c>
      <c r="B1898">
        <v>7</v>
      </c>
      <c r="C1898" s="148">
        <v>47188</v>
      </c>
      <c r="D1898">
        <v>21</v>
      </c>
      <c r="E1898">
        <v>21</v>
      </c>
      <c r="F1898">
        <v>1303</v>
      </c>
      <c r="G1898">
        <f>Consulta2[[#This Row],[DIA_UTIL_CORRENTE]]</f>
        <v>7</v>
      </c>
      <c r="H1898" s="6">
        <f>DAY(Consulta2[[#This Row],[DATA]])</f>
        <v>11</v>
      </c>
      <c r="I1898" s="6">
        <f>MONTH(Consulta2[[#This Row],[DATA]])</f>
        <v>3</v>
      </c>
      <c r="J1898" t="str">
        <f>CONCATENATE(Consulta2[[#This Row],[SAFRA]],Consulta2[[#This Row],[dia]])</f>
        <v>20290311</v>
      </c>
      <c r="K1898">
        <f>Consulta2[[#This Row],[DIA_UTIL_CORRENTE]]</f>
        <v>7</v>
      </c>
    </row>
    <row r="1899" spans="1:11" x14ac:dyDescent="0.25">
      <c r="A1899">
        <v>202903</v>
      </c>
      <c r="B1899">
        <v>8</v>
      </c>
      <c r="C1899" s="148">
        <v>47189</v>
      </c>
      <c r="D1899">
        <v>21</v>
      </c>
      <c r="E1899">
        <v>21</v>
      </c>
      <c r="F1899">
        <v>1304</v>
      </c>
      <c r="G1899">
        <f>Consulta2[[#This Row],[DIA_UTIL_CORRENTE]]</f>
        <v>8</v>
      </c>
      <c r="H1899" s="6">
        <f>DAY(Consulta2[[#This Row],[DATA]])</f>
        <v>12</v>
      </c>
      <c r="I1899" s="6">
        <f>MONTH(Consulta2[[#This Row],[DATA]])</f>
        <v>3</v>
      </c>
      <c r="J1899" t="str">
        <f>CONCATENATE(Consulta2[[#This Row],[SAFRA]],Consulta2[[#This Row],[dia]])</f>
        <v>20290312</v>
      </c>
      <c r="K1899">
        <f>Consulta2[[#This Row],[DIA_UTIL_CORRENTE]]</f>
        <v>8</v>
      </c>
    </row>
    <row r="1900" spans="1:11" x14ac:dyDescent="0.25">
      <c r="A1900">
        <v>202903</v>
      </c>
      <c r="B1900">
        <v>9</v>
      </c>
      <c r="C1900" s="148">
        <v>47190</v>
      </c>
      <c r="D1900">
        <v>21</v>
      </c>
      <c r="E1900">
        <v>21</v>
      </c>
      <c r="F1900">
        <v>1305</v>
      </c>
      <c r="G1900">
        <f>Consulta2[[#This Row],[DIA_UTIL_CORRENTE]]</f>
        <v>9</v>
      </c>
      <c r="H1900" s="6">
        <f>DAY(Consulta2[[#This Row],[DATA]])</f>
        <v>13</v>
      </c>
      <c r="I1900" s="6">
        <f>MONTH(Consulta2[[#This Row],[DATA]])</f>
        <v>3</v>
      </c>
      <c r="J1900" t="str">
        <f>CONCATENATE(Consulta2[[#This Row],[SAFRA]],Consulta2[[#This Row],[dia]])</f>
        <v>20290313</v>
      </c>
      <c r="K1900">
        <f>Consulta2[[#This Row],[DIA_UTIL_CORRENTE]]</f>
        <v>9</v>
      </c>
    </row>
    <row r="1901" spans="1:11" x14ac:dyDescent="0.25">
      <c r="A1901">
        <v>202903</v>
      </c>
      <c r="B1901">
        <v>10</v>
      </c>
      <c r="C1901" s="148">
        <v>47191</v>
      </c>
      <c r="D1901">
        <v>21</v>
      </c>
      <c r="E1901">
        <v>21</v>
      </c>
      <c r="F1901">
        <v>1306</v>
      </c>
      <c r="G1901">
        <f>Consulta2[[#This Row],[DIA_UTIL_CORRENTE]]</f>
        <v>10</v>
      </c>
      <c r="H1901" s="6">
        <f>DAY(Consulta2[[#This Row],[DATA]])</f>
        <v>14</v>
      </c>
      <c r="I1901" s="6">
        <f>MONTH(Consulta2[[#This Row],[DATA]])</f>
        <v>3</v>
      </c>
      <c r="J1901" t="str">
        <f>CONCATENATE(Consulta2[[#This Row],[SAFRA]],Consulta2[[#This Row],[dia]])</f>
        <v>20290314</v>
      </c>
      <c r="K1901">
        <f>Consulta2[[#This Row],[DIA_UTIL_CORRENTE]]</f>
        <v>10</v>
      </c>
    </row>
    <row r="1902" spans="1:11" x14ac:dyDescent="0.25">
      <c r="A1902">
        <v>202903</v>
      </c>
      <c r="B1902">
        <v>11</v>
      </c>
      <c r="C1902" s="148">
        <v>47192</v>
      </c>
      <c r="D1902">
        <v>21</v>
      </c>
      <c r="E1902">
        <v>21</v>
      </c>
      <c r="F1902">
        <v>1307</v>
      </c>
      <c r="G1902">
        <f>Consulta2[[#This Row],[DIA_UTIL_CORRENTE]]</f>
        <v>11</v>
      </c>
      <c r="H1902" s="6">
        <f>DAY(Consulta2[[#This Row],[DATA]])</f>
        <v>15</v>
      </c>
      <c r="I1902" s="6">
        <f>MONTH(Consulta2[[#This Row],[DATA]])</f>
        <v>3</v>
      </c>
      <c r="J1902" t="str">
        <f>CONCATENATE(Consulta2[[#This Row],[SAFRA]],Consulta2[[#This Row],[dia]])</f>
        <v>20290315</v>
      </c>
      <c r="K1902">
        <f>Consulta2[[#This Row],[DIA_UTIL_CORRENTE]]</f>
        <v>11</v>
      </c>
    </row>
    <row r="1903" spans="1:11" x14ac:dyDescent="0.25">
      <c r="A1903">
        <v>202903</v>
      </c>
      <c r="B1903">
        <v>12</v>
      </c>
      <c r="C1903" s="148">
        <v>47193</v>
      </c>
      <c r="D1903">
        <v>21</v>
      </c>
      <c r="E1903">
        <v>21</v>
      </c>
      <c r="F1903">
        <v>1308</v>
      </c>
      <c r="G1903">
        <f>Consulta2[[#This Row],[DIA_UTIL_CORRENTE]]</f>
        <v>12</v>
      </c>
      <c r="H1903" s="6">
        <f>DAY(Consulta2[[#This Row],[DATA]])</f>
        <v>16</v>
      </c>
      <c r="I1903" s="6">
        <f>MONTH(Consulta2[[#This Row],[DATA]])</f>
        <v>3</v>
      </c>
      <c r="J1903" t="str">
        <f>CONCATENATE(Consulta2[[#This Row],[SAFRA]],Consulta2[[#This Row],[dia]])</f>
        <v>20290316</v>
      </c>
      <c r="K1903">
        <f>Consulta2[[#This Row],[DIA_UTIL_CORRENTE]]</f>
        <v>12</v>
      </c>
    </row>
    <row r="1904" spans="1:11" x14ac:dyDescent="0.25">
      <c r="A1904">
        <v>202903</v>
      </c>
      <c r="B1904">
        <v>12</v>
      </c>
      <c r="C1904" s="148">
        <v>47194</v>
      </c>
      <c r="D1904">
        <v>21</v>
      </c>
      <c r="E1904">
        <v>21</v>
      </c>
      <c r="F1904">
        <v>1308</v>
      </c>
      <c r="G1904">
        <f>Consulta2[[#This Row],[DIA_UTIL_CORRENTE]]</f>
        <v>12</v>
      </c>
      <c r="H1904" s="6">
        <f>DAY(Consulta2[[#This Row],[DATA]])</f>
        <v>17</v>
      </c>
      <c r="I1904" s="6">
        <f>MONTH(Consulta2[[#This Row],[DATA]])</f>
        <v>3</v>
      </c>
      <c r="J1904" t="str">
        <f>CONCATENATE(Consulta2[[#This Row],[SAFRA]],Consulta2[[#This Row],[dia]])</f>
        <v>20290317</v>
      </c>
      <c r="K1904">
        <f>Consulta2[[#This Row],[DIA_UTIL_CORRENTE]]</f>
        <v>12</v>
      </c>
    </row>
    <row r="1905" spans="1:11" x14ac:dyDescent="0.25">
      <c r="A1905">
        <v>202903</v>
      </c>
      <c r="B1905">
        <v>12</v>
      </c>
      <c r="C1905" s="148">
        <v>47195</v>
      </c>
      <c r="D1905">
        <v>21</v>
      </c>
      <c r="E1905">
        <v>21</v>
      </c>
      <c r="F1905">
        <v>1308</v>
      </c>
      <c r="G1905">
        <f>Consulta2[[#This Row],[DIA_UTIL_CORRENTE]]</f>
        <v>12</v>
      </c>
      <c r="H1905" s="6">
        <f>DAY(Consulta2[[#This Row],[DATA]])</f>
        <v>18</v>
      </c>
      <c r="I1905" s="6">
        <f>MONTH(Consulta2[[#This Row],[DATA]])</f>
        <v>3</v>
      </c>
      <c r="J1905" t="str">
        <f>CONCATENATE(Consulta2[[#This Row],[SAFRA]],Consulta2[[#This Row],[dia]])</f>
        <v>20290318</v>
      </c>
      <c r="K1905">
        <f>Consulta2[[#This Row],[DIA_UTIL_CORRENTE]]</f>
        <v>12</v>
      </c>
    </row>
    <row r="1906" spans="1:11" x14ac:dyDescent="0.25">
      <c r="A1906">
        <v>202903</v>
      </c>
      <c r="B1906">
        <v>13</v>
      </c>
      <c r="C1906" s="148">
        <v>47196</v>
      </c>
      <c r="D1906">
        <v>21</v>
      </c>
      <c r="E1906">
        <v>21</v>
      </c>
      <c r="F1906">
        <v>1309</v>
      </c>
      <c r="G1906">
        <f>Consulta2[[#This Row],[DIA_UTIL_CORRENTE]]</f>
        <v>13</v>
      </c>
      <c r="H1906" s="6">
        <f>DAY(Consulta2[[#This Row],[DATA]])</f>
        <v>19</v>
      </c>
      <c r="I1906" s="6">
        <f>MONTH(Consulta2[[#This Row],[DATA]])</f>
        <v>3</v>
      </c>
      <c r="J1906" t="str">
        <f>CONCATENATE(Consulta2[[#This Row],[SAFRA]],Consulta2[[#This Row],[dia]])</f>
        <v>20290319</v>
      </c>
      <c r="K1906">
        <f>Consulta2[[#This Row],[DIA_UTIL_CORRENTE]]</f>
        <v>13</v>
      </c>
    </row>
    <row r="1907" spans="1:11" x14ac:dyDescent="0.25">
      <c r="A1907">
        <v>202903</v>
      </c>
      <c r="B1907">
        <v>14</v>
      </c>
      <c r="C1907" s="148">
        <v>47197</v>
      </c>
      <c r="D1907">
        <v>21</v>
      </c>
      <c r="E1907">
        <v>21</v>
      </c>
      <c r="F1907">
        <v>1310</v>
      </c>
      <c r="G1907">
        <f>Consulta2[[#This Row],[DIA_UTIL_CORRENTE]]</f>
        <v>14</v>
      </c>
      <c r="H1907" s="6">
        <f>DAY(Consulta2[[#This Row],[DATA]])</f>
        <v>20</v>
      </c>
      <c r="I1907" s="6">
        <f>MONTH(Consulta2[[#This Row],[DATA]])</f>
        <v>3</v>
      </c>
      <c r="J1907" t="str">
        <f>CONCATENATE(Consulta2[[#This Row],[SAFRA]],Consulta2[[#This Row],[dia]])</f>
        <v>20290320</v>
      </c>
      <c r="K1907">
        <f>Consulta2[[#This Row],[DIA_UTIL_CORRENTE]]</f>
        <v>14</v>
      </c>
    </row>
    <row r="1908" spans="1:11" x14ac:dyDescent="0.25">
      <c r="A1908">
        <v>202903</v>
      </c>
      <c r="B1908">
        <v>15</v>
      </c>
      <c r="C1908" s="148">
        <v>47198</v>
      </c>
      <c r="D1908">
        <v>21</v>
      </c>
      <c r="E1908">
        <v>21</v>
      </c>
      <c r="F1908">
        <v>1311</v>
      </c>
      <c r="G1908">
        <f>Consulta2[[#This Row],[DIA_UTIL_CORRENTE]]</f>
        <v>15</v>
      </c>
      <c r="H1908" s="6">
        <f>DAY(Consulta2[[#This Row],[DATA]])</f>
        <v>21</v>
      </c>
      <c r="I1908" s="6">
        <f>MONTH(Consulta2[[#This Row],[DATA]])</f>
        <v>3</v>
      </c>
      <c r="J1908" t="str">
        <f>CONCATENATE(Consulta2[[#This Row],[SAFRA]],Consulta2[[#This Row],[dia]])</f>
        <v>20290321</v>
      </c>
      <c r="K1908">
        <f>Consulta2[[#This Row],[DIA_UTIL_CORRENTE]]</f>
        <v>15</v>
      </c>
    </row>
    <row r="1909" spans="1:11" x14ac:dyDescent="0.25">
      <c r="A1909">
        <v>202903</v>
      </c>
      <c r="B1909">
        <v>16</v>
      </c>
      <c r="C1909" s="148">
        <v>47199</v>
      </c>
      <c r="D1909">
        <v>21</v>
      </c>
      <c r="E1909">
        <v>21</v>
      </c>
      <c r="F1909">
        <v>1312</v>
      </c>
      <c r="G1909">
        <f>Consulta2[[#This Row],[DIA_UTIL_CORRENTE]]</f>
        <v>16</v>
      </c>
      <c r="H1909" s="6">
        <f>DAY(Consulta2[[#This Row],[DATA]])</f>
        <v>22</v>
      </c>
      <c r="I1909" s="6">
        <f>MONTH(Consulta2[[#This Row],[DATA]])</f>
        <v>3</v>
      </c>
      <c r="J1909" t="str">
        <f>CONCATENATE(Consulta2[[#This Row],[SAFRA]],Consulta2[[#This Row],[dia]])</f>
        <v>20290322</v>
      </c>
      <c r="K1909">
        <f>Consulta2[[#This Row],[DIA_UTIL_CORRENTE]]</f>
        <v>16</v>
      </c>
    </row>
    <row r="1910" spans="1:11" x14ac:dyDescent="0.25">
      <c r="A1910">
        <v>202903</v>
      </c>
      <c r="B1910">
        <v>17</v>
      </c>
      <c r="C1910" s="148">
        <v>47200</v>
      </c>
      <c r="D1910">
        <v>21</v>
      </c>
      <c r="E1910">
        <v>21</v>
      </c>
      <c r="F1910">
        <v>1313</v>
      </c>
      <c r="G1910">
        <f>Consulta2[[#This Row],[DIA_UTIL_CORRENTE]]</f>
        <v>17</v>
      </c>
      <c r="H1910" s="6">
        <f>DAY(Consulta2[[#This Row],[DATA]])</f>
        <v>23</v>
      </c>
      <c r="I1910" s="6">
        <f>MONTH(Consulta2[[#This Row],[DATA]])</f>
        <v>3</v>
      </c>
      <c r="J1910" t="str">
        <f>CONCATENATE(Consulta2[[#This Row],[SAFRA]],Consulta2[[#This Row],[dia]])</f>
        <v>20290323</v>
      </c>
      <c r="K1910">
        <f>Consulta2[[#This Row],[DIA_UTIL_CORRENTE]]</f>
        <v>17</v>
      </c>
    </row>
    <row r="1911" spans="1:11" x14ac:dyDescent="0.25">
      <c r="A1911">
        <v>202903</v>
      </c>
      <c r="B1911">
        <v>17</v>
      </c>
      <c r="C1911" s="148">
        <v>47201</v>
      </c>
      <c r="D1911">
        <v>21</v>
      </c>
      <c r="E1911">
        <v>21</v>
      </c>
      <c r="F1911">
        <v>1313</v>
      </c>
      <c r="G1911">
        <f>Consulta2[[#This Row],[DIA_UTIL_CORRENTE]]</f>
        <v>17</v>
      </c>
      <c r="H1911" s="6">
        <f>DAY(Consulta2[[#This Row],[DATA]])</f>
        <v>24</v>
      </c>
      <c r="I1911" s="6">
        <f>MONTH(Consulta2[[#This Row],[DATA]])</f>
        <v>3</v>
      </c>
      <c r="J1911" t="str">
        <f>CONCATENATE(Consulta2[[#This Row],[SAFRA]],Consulta2[[#This Row],[dia]])</f>
        <v>20290324</v>
      </c>
      <c r="K1911">
        <f>Consulta2[[#This Row],[DIA_UTIL_CORRENTE]]</f>
        <v>17</v>
      </c>
    </row>
    <row r="1912" spans="1:11" x14ac:dyDescent="0.25">
      <c r="A1912">
        <v>202903</v>
      </c>
      <c r="B1912">
        <v>17</v>
      </c>
      <c r="C1912" s="148">
        <v>47202</v>
      </c>
      <c r="D1912">
        <v>21</v>
      </c>
      <c r="E1912">
        <v>21</v>
      </c>
      <c r="F1912">
        <v>1313</v>
      </c>
      <c r="G1912">
        <f>Consulta2[[#This Row],[DIA_UTIL_CORRENTE]]</f>
        <v>17</v>
      </c>
      <c r="H1912" s="6">
        <f>DAY(Consulta2[[#This Row],[DATA]])</f>
        <v>25</v>
      </c>
      <c r="I1912" s="6">
        <f>MONTH(Consulta2[[#This Row],[DATA]])</f>
        <v>3</v>
      </c>
      <c r="J1912" t="str">
        <f>CONCATENATE(Consulta2[[#This Row],[SAFRA]],Consulta2[[#This Row],[dia]])</f>
        <v>20290325</v>
      </c>
      <c r="K1912">
        <f>Consulta2[[#This Row],[DIA_UTIL_CORRENTE]]</f>
        <v>17</v>
      </c>
    </row>
    <row r="1913" spans="1:11" x14ac:dyDescent="0.25">
      <c r="A1913">
        <v>202903</v>
      </c>
      <c r="B1913">
        <v>18</v>
      </c>
      <c r="C1913" s="148">
        <v>47203</v>
      </c>
      <c r="D1913">
        <v>21</v>
      </c>
      <c r="E1913">
        <v>21</v>
      </c>
      <c r="F1913">
        <v>1314</v>
      </c>
      <c r="G1913">
        <f>Consulta2[[#This Row],[DIA_UTIL_CORRENTE]]</f>
        <v>18</v>
      </c>
      <c r="H1913" s="6">
        <f>DAY(Consulta2[[#This Row],[DATA]])</f>
        <v>26</v>
      </c>
      <c r="I1913" s="6">
        <f>MONTH(Consulta2[[#This Row],[DATA]])</f>
        <v>3</v>
      </c>
      <c r="J1913" t="str">
        <f>CONCATENATE(Consulta2[[#This Row],[SAFRA]],Consulta2[[#This Row],[dia]])</f>
        <v>20290326</v>
      </c>
      <c r="K1913">
        <f>Consulta2[[#This Row],[DIA_UTIL_CORRENTE]]</f>
        <v>18</v>
      </c>
    </row>
    <row r="1914" spans="1:11" x14ac:dyDescent="0.25">
      <c r="A1914">
        <v>202903</v>
      </c>
      <c r="B1914">
        <v>19</v>
      </c>
      <c r="C1914" s="148">
        <v>47204</v>
      </c>
      <c r="D1914">
        <v>21</v>
      </c>
      <c r="E1914">
        <v>21</v>
      </c>
      <c r="F1914">
        <v>1315</v>
      </c>
      <c r="G1914">
        <f>Consulta2[[#This Row],[DIA_UTIL_CORRENTE]]</f>
        <v>19</v>
      </c>
      <c r="H1914" s="6">
        <f>DAY(Consulta2[[#This Row],[DATA]])</f>
        <v>27</v>
      </c>
      <c r="I1914" s="6">
        <f>MONTH(Consulta2[[#This Row],[DATA]])</f>
        <v>3</v>
      </c>
      <c r="J1914" t="str">
        <f>CONCATENATE(Consulta2[[#This Row],[SAFRA]],Consulta2[[#This Row],[dia]])</f>
        <v>20290327</v>
      </c>
      <c r="K1914">
        <f>Consulta2[[#This Row],[DIA_UTIL_CORRENTE]]</f>
        <v>19</v>
      </c>
    </row>
    <row r="1915" spans="1:11" x14ac:dyDescent="0.25">
      <c r="A1915">
        <v>202903</v>
      </c>
      <c r="B1915">
        <v>20</v>
      </c>
      <c r="C1915" s="148">
        <v>47205</v>
      </c>
      <c r="D1915">
        <v>21</v>
      </c>
      <c r="E1915">
        <v>21</v>
      </c>
      <c r="F1915">
        <v>1316</v>
      </c>
      <c r="G1915">
        <f>Consulta2[[#This Row],[DIA_UTIL_CORRENTE]]</f>
        <v>20</v>
      </c>
      <c r="H1915" s="6">
        <f>DAY(Consulta2[[#This Row],[DATA]])</f>
        <v>28</v>
      </c>
      <c r="I1915" s="6">
        <f>MONTH(Consulta2[[#This Row],[DATA]])</f>
        <v>3</v>
      </c>
      <c r="J1915" t="str">
        <f>CONCATENATE(Consulta2[[#This Row],[SAFRA]],Consulta2[[#This Row],[dia]])</f>
        <v>20290328</v>
      </c>
      <c r="K1915">
        <f>Consulta2[[#This Row],[DIA_UTIL_CORRENTE]]</f>
        <v>20</v>
      </c>
    </row>
    <row r="1916" spans="1:11" x14ac:dyDescent="0.25">
      <c r="A1916">
        <v>202903</v>
      </c>
      <c r="B1916">
        <v>21</v>
      </c>
      <c r="C1916" s="148">
        <v>47206</v>
      </c>
      <c r="D1916">
        <v>21</v>
      </c>
      <c r="E1916">
        <v>21</v>
      </c>
      <c r="F1916">
        <v>1317</v>
      </c>
      <c r="G1916">
        <f>Consulta2[[#This Row],[DIA_UTIL_CORRENTE]]</f>
        <v>21</v>
      </c>
      <c r="H1916" s="6">
        <f>DAY(Consulta2[[#This Row],[DATA]])</f>
        <v>29</v>
      </c>
      <c r="I1916" s="6">
        <f>MONTH(Consulta2[[#This Row],[DATA]])</f>
        <v>3</v>
      </c>
      <c r="J1916" t="str">
        <f>CONCATENATE(Consulta2[[#This Row],[SAFRA]],Consulta2[[#This Row],[dia]])</f>
        <v>20290329</v>
      </c>
      <c r="K1916">
        <f>Consulta2[[#This Row],[DIA_UTIL_CORRENTE]]</f>
        <v>21</v>
      </c>
    </row>
    <row r="1917" spans="1:11" x14ac:dyDescent="0.25">
      <c r="A1917">
        <v>202903</v>
      </c>
      <c r="B1917">
        <v>21</v>
      </c>
      <c r="C1917" s="148">
        <v>47207</v>
      </c>
      <c r="D1917">
        <v>21</v>
      </c>
      <c r="E1917">
        <v>21</v>
      </c>
      <c r="F1917">
        <v>1317</v>
      </c>
      <c r="G1917">
        <f>Consulta2[[#This Row],[DIA_UTIL_CORRENTE]]</f>
        <v>21</v>
      </c>
      <c r="H1917" s="6">
        <f>DAY(Consulta2[[#This Row],[DATA]])</f>
        <v>30</v>
      </c>
      <c r="I1917" s="6">
        <f>MONTH(Consulta2[[#This Row],[DATA]])</f>
        <v>3</v>
      </c>
      <c r="J1917" t="str">
        <f>CONCATENATE(Consulta2[[#This Row],[SAFRA]],Consulta2[[#This Row],[dia]])</f>
        <v>20290330</v>
      </c>
      <c r="K1917">
        <f>Consulta2[[#This Row],[DIA_UTIL_CORRENTE]]</f>
        <v>21</v>
      </c>
    </row>
    <row r="1918" spans="1:11" x14ac:dyDescent="0.25">
      <c r="A1918">
        <v>202903</v>
      </c>
      <c r="B1918">
        <v>21</v>
      </c>
      <c r="C1918" s="148">
        <v>47208</v>
      </c>
      <c r="D1918">
        <v>21</v>
      </c>
      <c r="E1918">
        <v>21</v>
      </c>
      <c r="F1918">
        <v>1317</v>
      </c>
      <c r="G1918">
        <f>Consulta2[[#This Row],[DIA_UTIL_CORRENTE]]</f>
        <v>21</v>
      </c>
      <c r="H1918" s="6">
        <f>DAY(Consulta2[[#This Row],[DATA]])</f>
        <v>31</v>
      </c>
      <c r="I1918" s="6">
        <f>MONTH(Consulta2[[#This Row],[DATA]])</f>
        <v>3</v>
      </c>
      <c r="J1918" t="str">
        <f>CONCATENATE(Consulta2[[#This Row],[SAFRA]],Consulta2[[#This Row],[dia]])</f>
        <v>20290331</v>
      </c>
      <c r="K1918">
        <f>Consulta2[[#This Row],[DIA_UTIL_CORRENTE]]</f>
        <v>21</v>
      </c>
    </row>
    <row r="1919" spans="1:11" x14ac:dyDescent="0.25">
      <c r="A1919">
        <v>202904</v>
      </c>
      <c r="B1919">
        <v>0</v>
      </c>
      <c r="C1919" s="148">
        <v>47209</v>
      </c>
      <c r="D1919">
        <v>21</v>
      </c>
      <c r="E1919">
        <v>21</v>
      </c>
      <c r="F1919">
        <v>1317</v>
      </c>
      <c r="G1919">
        <f>Consulta2[[#This Row],[DIA_UTIL_CORRENTE]]</f>
        <v>0</v>
      </c>
      <c r="H1919" s="6">
        <f>DAY(Consulta2[[#This Row],[DATA]])</f>
        <v>1</v>
      </c>
      <c r="I1919" s="6">
        <f>MONTH(Consulta2[[#This Row],[DATA]])</f>
        <v>4</v>
      </c>
      <c r="J1919" t="str">
        <f>CONCATENATE(Consulta2[[#This Row],[SAFRA]],Consulta2[[#This Row],[dia]])</f>
        <v>2029041</v>
      </c>
      <c r="K1919">
        <f>Consulta2[[#This Row],[DIA_UTIL_CORRENTE]]</f>
        <v>0</v>
      </c>
    </row>
    <row r="1920" spans="1:11" x14ac:dyDescent="0.25">
      <c r="A1920">
        <v>202904</v>
      </c>
      <c r="B1920">
        <v>1</v>
      </c>
      <c r="C1920" s="148">
        <v>47210</v>
      </c>
      <c r="D1920">
        <v>21</v>
      </c>
      <c r="E1920">
        <v>21</v>
      </c>
      <c r="F1920">
        <v>1318</v>
      </c>
      <c r="G1920">
        <f>Consulta2[[#This Row],[DIA_UTIL_CORRENTE]]</f>
        <v>1</v>
      </c>
      <c r="H1920" s="6">
        <f>DAY(Consulta2[[#This Row],[DATA]])</f>
        <v>2</v>
      </c>
      <c r="I1920" s="6">
        <f>MONTH(Consulta2[[#This Row],[DATA]])</f>
        <v>4</v>
      </c>
      <c r="J1920" t="str">
        <f>CONCATENATE(Consulta2[[#This Row],[SAFRA]],Consulta2[[#This Row],[dia]])</f>
        <v>2029042</v>
      </c>
      <c r="K1920">
        <f>Consulta2[[#This Row],[DIA_UTIL_CORRENTE]]</f>
        <v>1</v>
      </c>
    </row>
    <row r="1921" spans="1:11" x14ac:dyDescent="0.25">
      <c r="A1921">
        <v>202904</v>
      </c>
      <c r="B1921">
        <v>2</v>
      </c>
      <c r="C1921" s="148">
        <v>47211</v>
      </c>
      <c r="D1921">
        <v>21</v>
      </c>
      <c r="E1921">
        <v>21</v>
      </c>
      <c r="F1921">
        <v>1319</v>
      </c>
      <c r="G1921">
        <f>Consulta2[[#This Row],[DIA_UTIL_CORRENTE]]</f>
        <v>2</v>
      </c>
      <c r="H1921" s="6">
        <f>DAY(Consulta2[[#This Row],[DATA]])</f>
        <v>3</v>
      </c>
      <c r="I1921" s="6">
        <f>MONTH(Consulta2[[#This Row],[DATA]])</f>
        <v>4</v>
      </c>
      <c r="J1921" t="str">
        <f>CONCATENATE(Consulta2[[#This Row],[SAFRA]],Consulta2[[#This Row],[dia]])</f>
        <v>2029043</v>
      </c>
      <c r="K1921">
        <f>Consulta2[[#This Row],[DIA_UTIL_CORRENTE]]</f>
        <v>2</v>
      </c>
    </row>
    <row r="1922" spans="1:11" x14ac:dyDescent="0.25">
      <c r="A1922">
        <v>202904</v>
      </c>
      <c r="B1922">
        <v>3</v>
      </c>
      <c r="C1922" s="148">
        <v>47212</v>
      </c>
      <c r="D1922">
        <v>21</v>
      </c>
      <c r="E1922">
        <v>21</v>
      </c>
      <c r="F1922">
        <v>1320</v>
      </c>
      <c r="G1922">
        <f>Consulta2[[#This Row],[DIA_UTIL_CORRENTE]]</f>
        <v>3</v>
      </c>
      <c r="H1922" s="6">
        <f>DAY(Consulta2[[#This Row],[DATA]])</f>
        <v>4</v>
      </c>
      <c r="I1922" s="6">
        <f>MONTH(Consulta2[[#This Row],[DATA]])</f>
        <v>4</v>
      </c>
      <c r="J1922" t="str">
        <f>CONCATENATE(Consulta2[[#This Row],[SAFRA]],Consulta2[[#This Row],[dia]])</f>
        <v>2029044</v>
      </c>
      <c r="K1922">
        <f>Consulta2[[#This Row],[DIA_UTIL_CORRENTE]]</f>
        <v>3</v>
      </c>
    </row>
    <row r="1923" spans="1:11" x14ac:dyDescent="0.25">
      <c r="A1923">
        <v>202904</v>
      </c>
      <c r="B1923">
        <v>4</v>
      </c>
      <c r="C1923" s="148">
        <v>47213</v>
      </c>
      <c r="D1923">
        <v>21</v>
      </c>
      <c r="E1923">
        <v>21</v>
      </c>
      <c r="F1923">
        <v>1321</v>
      </c>
      <c r="G1923">
        <f>Consulta2[[#This Row],[DIA_UTIL_CORRENTE]]</f>
        <v>4</v>
      </c>
      <c r="H1923" s="6">
        <f>DAY(Consulta2[[#This Row],[DATA]])</f>
        <v>5</v>
      </c>
      <c r="I1923" s="6">
        <f>MONTH(Consulta2[[#This Row],[DATA]])</f>
        <v>4</v>
      </c>
      <c r="J1923" t="str">
        <f>CONCATENATE(Consulta2[[#This Row],[SAFRA]],Consulta2[[#This Row],[dia]])</f>
        <v>2029045</v>
      </c>
      <c r="K1923">
        <f>Consulta2[[#This Row],[DIA_UTIL_CORRENTE]]</f>
        <v>4</v>
      </c>
    </row>
    <row r="1924" spans="1:11" x14ac:dyDescent="0.25">
      <c r="A1924">
        <v>202904</v>
      </c>
      <c r="B1924">
        <v>5</v>
      </c>
      <c r="C1924" s="148">
        <v>47214</v>
      </c>
      <c r="D1924">
        <v>21</v>
      </c>
      <c r="E1924">
        <v>21</v>
      </c>
      <c r="F1924">
        <v>1322</v>
      </c>
      <c r="G1924">
        <f>Consulta2[[#This Row],[DIA_UTIL_CORRENTE]]</f>
        <v>5</v>
      </c>
      <c r="H1924" s="6">
        <f>DAY(Consulta2[[#This Row],[DATA]])</f>
        <v>6</v>
      </c>
      <c r="I1924" s="6">
        <f>MONTH(Consulta2[[#This Row],[DATA]])</f>
        <v>4</v>
      </c>
      <c r="J1924" t="str">
        <f>CONCATENATE(Consulta2[[#This Row],[SAFRA]],Consulta2[[#This Row],[dia]])</f>
        <v>2029046</v>
      </c>
      <c r="K1924">
        <f>Consulta2[[#This Row],[DIA_UTIL_CORRENTE]]</f>
        <v>5</v>
      </c>
    </row>
    <row r="1925" spans="1:11" x14ac:dyDescent="0.25">
      <c r="A1925">
        <v>202904</v>
      </c>
      <c r="B1925">
        <v>5</v>
      </c>
      <c r="C1925" s="148">
        <v>47215</v>
      </c>
      <c r="D1925">
        <v>21</v>
      </c>
      <c r="E1925">
        <v>21</v>
      </c>
      <c r="F1925">
        <v>1322</v>
      </c>
      <c r="G1925">
        <f>Consulta2[[#This Row],[DIA_UTIL_CORRENTE]]</f>
        <v>5</v>
      </c>
      <c r="H1925" s="6">
        <f>DAY(Consulta2[[#This Row],[DATA]])</f>
        <v>7</v>
      </c>
      <c r="I1925" s="6">
        <f>MONTH(Consulta2[[#This Row],[DATA]])</f>
        <v>4</v>
      </c>
      <c r="J1925" t="str">
        <f>CONCATENATE(Consulta2[[#This Row],[SAFRA]],Consulta2[[#This Row],[dia]])</f>
        <v>2029047</v>
      </c>
      <c r="K1925">
        <f>Consulta2[[#This Row],[DIA_UTIL_CORRENTE]]</f>
        <v>5</v>
      </c>
    </row>
    <row r="1926" spans="1:11" x14ac:dyDescent="0.25">
      <c r="A1926">
        <v>202904</v>
      </c>
      <c r="B1926">
        <v>5</v>
      </c>
      <c r="C1926" s="148">
        <v>47216</v>
      </c>
      <c r="D1926">
        <v>21</v>
      </c>
      <c r="E1926">
        <v>21</v>
      </c>
      <c r="F1926">
        <v>1322</v>
      </c>
      <c r="G1926">
        <f>Consulta2[[#This Row],[DIA_UTIL_CORRENTE]]</f>
        <v>5</v>
      </c>
      <c r="H1926" s="6">
        <f>DAY(Consulta2[[#This Row],[DATA]])</f>
        <v>8</v>
      </c>
      <c r="I1926" s="6">
        <f>MONTH(Consulta2[[#This Row],[DATA]])</f>
        <v>4</v>
      </c>
      <c r="J1926" t="str">
        <f>CONCATENATE(Consulta2[[#This Row],[SAFRA]],Consulta2[[#This Row],[dia]])</f>
        <v>2029048</v>
      </c>
      <c r="K1926">
        <f>Consulta2[[#This Row],[DIA_UTIL_CORRENTE]]</f>
        <v>5</v>
      </c>
    </row>
    <row r="1927" spans="1:11" x14ac:dyDescent="0.25">
      <c r="A1927">
        <v>202904</v>
      </c>
      <c r="B1927">
        <v>6</v>
      </c>
      <c r="C1927" s="148">
        <v>47217</v>
      </c>
      <c r="D1927">
        <v>21</v>
      </c>
      <c r="E1927">
        <v>21</v>
      </c>
      <c r="F1927">
        <v>1323</v>
      </c>
      <c r="G1927">
        <f>Consulta2[[#This Row],[DIA_UTIL_CORRENTE]]</f>
        <v>6</v>
      </c>
      <c r="H1927" s="6">
        <f>DAY(Consulta2[[#This Row],[DATA]])</f>
        <v>9</v>
      </c>
      <c r="I1927" s="6">
        <f>MONTH(Consulta2[[#This Row],[DATA]])</f>
        <v>4</v>
      </c>
      <c r="J1927" t="str">
        <f>CONCATENATE(Consulta2[[#This Row],[SAFRA]],Consulta2[[#This Row],[dia]])</f>
        <v>2029049</v>
      </c>
      <c r="K1927">
        <f>Consulta2[[#This Row],[DIA_UTIL_CORRENTE]]</f>
        <v>6</v>
      </c>
    </row>
    <row r="1928" spans="1:11" x14ac:dyDescent="0.25">
      <c r="A1928">
        <v>202904</v>
      </c>
      <c r="B1928">
        <v>7</v>
      </c>
      <c r="C1928" s="148">
        <v>47218</v>
      </c>
      <c r="D1928">
        <v>21</v>
      </c>
      <c r="E1928">
        <v>21</v>
      </c>
      <c r="F1928">
        <v>1324</v>
      </c>
      <c r="G1928">
        <f>Consulta2[[#This Row],[DIA_UTIL_CORRENTE]]</f>
        <v>7</v>
      </c>
      <c r="H1928" s="6">
        <f>DAY(Consulta2[[#This Row],[DATA]])</f>
        <v>10</v>
      </c>
      <c r="I1928" s="6">
        <f>MONTH(Consulta2[[#This Row],[DATA]])</f>
        <v>4</v>
      </c>
      <c r="J1928" t="str">
        <f>CONCATENATE(Consulta2[[#This Row],[SAFRA]],Consulta2[[#This Row],[dia]])</f>
        <v>20290410</v>
      </c>
      <c r="K1928">
        <f>Consulta2[[#This Row],[DIA_UTIL_CORRENTE]]</f>
        <v>7</v>
      </c>
    </row>
    <row r="1929" spans="1:11" x14ac:dyDescent="0.25">
      <c r="A1929">
        <v>202904</v>
      </c>
      <c r="B1929">
        <v>8</v>
      </c>
      <c r="C1929" s="148">
        <v>47219</v>
      </c>
      <c r="D1929">
        <v>21</v>
      </c>
      <c r="E1929">
        <v>21</v>
      </c>
      <c r="F1929">
        <v>1325</v>
      </c>
      <c r="G1929">
        <f>Consulta2[[#This Row],[DIA_UTIL_CORRENTE]]</f>
        <v>8</v>
      </c>
      <c r="H1929" s="6">
        <f>DAY(Consulta2[[#This Row],[DATA]])</f>
        <v>11</v>
      </c>
      <c r="I1929" s="6">
        <f>MONTH(Consulta2[[#This Row],[DATA]])</f>
        <v>4</v>
      </c>
      <c r="J1929" t="str">
        <f>CONCATENATE(Consulta2[[#This Row],[SAFRA]],Consulta2[[#This Row],[dia]])</f>
        <v>20290411</v>
      </c>
      <c r="K1929">
        <f>Consulta2[[#This Row],[DIA_UTIL_CORRENTE]]</f>
        <v>8</v>
      </c>
    </row>
    <row r="1930" spans="1:11" x14ac:dyDescent="0.25">
      <c r="A1930">
        <v>202904</v>
      </c>
      <c r="B1930">
        <v>9</v>
      </c>
      <c r="C1930" s="148">
        <v>47220</v>
      </c>
      <c r="D1930">
        <v>21</v>
      </c>
      <c r="E1930">
        <v>21</v>
      </c>
      <c r="F1930">
        <v>1326</v>
      </c>
      <c r="G1930">
        <f>Consulta2[[#This Row],[DIA_UTIL_CORRENTE]]</f>
        <v>9</v>
      </c>
      <c r="H1930" s="6">
        <f>DAY(Consulta2[[#This Row],[DATA]])</f>
        <v>12</v>
      </c>
      <c r="I1930" s="6">
        <f>MONTH(Consulta2[[#This Row],[DATA]])</f>
        <v>4</v>
      </c>
      <c r="J1930" t="str">
        <f>CONCATENATE(Consulta2[[#This Row],[SAFRA]],Consulta2[[#This Row],[dia]])</f>
        <v>20290412</v>
      </c>
      <c r="K1930">
        <f>Consulta2[[#This Row],[DIA_UTIL_CORRENTE]]</f>
        <v>9</v>
      </c>
    </row>
    <row r="1931" spans="1:11" x14ac:dyDescent="0.25">
      <c r="A1931">
        <v>202904</v>
      </c>
      <c r="B1931">
        <v>10</v>
      </c>
      <c r="C1931" s="148">
        <v>47221</v>
      </c>
      <c r="D1931">
        <v>21</v>
      </c>
      <c r="E1931">
        <v>21</v>
      </c>
      <c r="F1931">
        <v>1327</v>
      </c>
      <c r="G1931">
        <f>Consulta2[[#This Row],[DIA_UTIL_CORRENTE]]</f>
        <v>10</v>
      </c>
      <c r="H1931" s="6">
        <f>DAY(Consulta2[[#This Row],[DATA]])</f>
        <v>13</v>
      </c>
      <c r="I1931" s="6">
        <f>MONTH(Consulta2[[#This Row],[DATA]])</f>
        <v>4</v>
      </c>
      <c r="J1931" t="str">
        <f>CONCATENATE(Consulta2[[#This Row],[SAFRA]],Consulta2[[#This Row],[dia]])</f>
        <v>20290413</v>
      </c>
      <c r="K1931">
        <f>Consulta2[[#This Row],[DIA_UTIL_CORRENTE]]</f>
        <v>10</v>
      </c>
    </row>
    <row r="1932" spans="1:11" x14ac:dyDescent="0.25">
      <c r="A1932">
        <v>202904</v>
      </c>
      <c r="B1932">
        <v>10</v>
      </c>
      <c r="C1932" s="148">
        <v>47222</v>
      </c>
      <c r="D1932">
        <v>21</v>
      </c>
      <c r="E1932">
        <v>21</v>
      </c>
      <c r="F1932">
        <v>1327</v>
      </c>
      <c r="G1932">
        <f>Consulta2[[#This Row],[DIA_UTIL_CORRENTE]]</f>
        <v>10</v>
      </c>
      <c r="H1932" s="6">
        <f>DAY(Consulta2[[#This Row],[DATA]])</f>
        <v>14</v>
      </c>
      <c r="I1932" s="6">
        <f>MONTH(Consulta2[[#This Row],[DATA]])</f>
        <v>4</v>
      </c>
      <c r="J1932" t="str">
        <f>CONCATENATE(Consulta2[[#This Row],[SAFRA]],Consulta2[[#This Row],[dia]])</f>
        <v>20290414</v>
      </c>
      <c r="K1932">
        <f>Consulta2[[#This Row],[DIA_UTIL_CORRENTE]]</f>
        <v>10</v>
      </c>
    </row>
    <row r="1933" spans="1:11" x14ac:dyDescent="0.25">
      <c r="A1933">
        <v>202904</v>
      </c>
      <c r="B1933">
        <v>10</v>
      </c>
      <c r="C1933" s="148">
        <v>47223</v>
      </c>
      <c r="D1933">
        <v>21</v>
      </c>
      <c r="E1933">
        <v>21</v>
      </c>
      <c r="F1933">
        <v>1327</v>
      </c>
      <c r="G1933">
        <f>Consulta2[[#This Row],[DIA_UTIL_CORRENTE]]</f>
        <v>10</v>
      </c>
      <c r="H1933" s="6">
        <f>DAY(Consulta2[[#This Row],[DATA]])</f>
        <v>15</v>
      </c>
      <c r="I1933" s="6">
        <f>MONTH(Consulta2[[#This Row],[DATA]])</f>
        <v>4</v>
      </c>
      <c r="J1933" t="str">
        <f>CONCATENATE(Consulta2[[#This Row],[SAFRA]],Consulta2[[#This Row],[dia]])</f>
        <v>20290415</v>
      </c>
      <c r="K1933">
        <f>Consulta2[[#This Row],[DIA_UTIL_CORRENTE]]</f>
        <v>10</v>
      </c>
    </row>
    <row r="1934" spans="1:11" x14ac:dyDescent="0.25">
      <c r="A1934">
        <v>202904</v>
      </c>
      <c r="B1934">
        <v>11</v>
      </c>
      <c r="C1934" s="148">
        <v>47224</v>
      </c>
      <c r="D1934">
        <v>21</v>
      </c>
      <c r="E1934">
        <v>21</v>
      </c>
      <c r="F1934">
        <v>1328</v>
      </c>
      <c r="G1934">
        <f>Consulta2[[#This Row],[DIA_UTIL_CORRENTE]]</f>
        <v>11</v>
      </c>
      <c r="H1934" s="6">
        <f>DAY(Consulta2[[#This Row],[DATA]])</f>
        <v>16</v>
      </c>
      <c r="I1934" s="6">
        <f>MONTH(Consulta2[[#This Row],[DATA]])</f>
        <v>4</v>
      </c>
      <c r="J1934" t="str">
        <f>CONCATENATE(Consulta2[[#This Row],[SAFRA]],Consulta2[[#This Row],[dia]])</f>
        <v>20290416</v>
      </c>
      <c r="K1934">
        <f>Consulta2[[#This Row],[DIA_UTIL_CORRENTE]]</f>
        <v>11</v>
      </c>
    </row>
    <row r="1935" spans="1:11" x14ac:dyDescent="0.25">
      <c r="A1935">
        <v>202904</v>
      </c>
      <c r="B1935">
        <v>12</v>
      </c>
      <c r="C1935" s="148">
        <v>47225</v>
      </c>
      <c r="D1935">
        <v>21</v>
      </c>
      <c r="E1935">
        <v>21</v>
      </c>
      <c r="F1935">
        <v>1329</v>
      </c>
      <c r="G1935">
        <f>Consulta2[[#This Row],[DIA_UTIL_CORRENTE]]</f>
        <v>12</v>
      </c>
      <c r="H1935" s="6">
        <f>DAY(Consulta2[[#This Row],[DATA]])</f>
        <v>17</v>
      </c>
      <c r="I1935" s="6">
        <f>MONTH(Consulta2[[#This Row],[DATA]])</f>
        <v>4</v>
      </c>
      <c r="J1935" t="str">
        <f>CONCATENATE(Consulta2[[#This Row],[SAFRA]],Consulta2[[#This Row],[dia]])</f>
        <v>20290417</v>
      </c>
      <c r="K1935">
        <f>Consulta2[[#This Row],[DIA_UTIL_CORRENTE]]</f>
        <v>12</v>
      </c>
    </row>
    <row r="1936" spans="1:11" x14ac:dyDescent="0.25">
      <c r="A1936">
        <v>202904</v>
      </c>
      <c r="B1936">
        <v>13</v>
      </c>
      <c r="C1936" s="148">
        <v>47226</v>
      </c>
      <c r="D1936">
        <v>21</v>
      </c>
      <c r="E1936">
        <v>21</v>
      </c>
      <c r="F1936">
        <v>1330</v>
      </c>
      <c r="G1936">
        <f>Consulta2[[#This Row],[DIA_UTIL_CORRENTE]]</f>
        <v>13</v>
      </c>
      <c r="H1936" s="6">
        <f>DAY(Consulta2[[#This Row],[DATA]])</f>
        <v>18</v>
      </c>
      <c r="I1936" s="6">
        <f>MONTH(Consulta2[[#This Row],[DATA]])</f>
        <v>4</v>
      </c>
      <c r="J1936" t="str">
        <f>CONCATENATE(Consulta2[[#This Row],[SAFRA]],Consulta2[[#This Row],[dia]])</f>
        <v>20290418</v>
      </c>
      <c r="K1936">
        <f>Consulta2[[#This Row],[DIA_UTIL_CORRENTE]]</f>
        <v>13</v>
      </c>
    </row>
    <row r="1937" spans="1:11" x14ac:dyDescent="0.25">
      <c r="A1937">
        <v>202904</v>
      </c>
      <c r="B1937">
        <v>14</v>
      </c>
      <c r="C1937" s="148">
        <v>47227</v>
      </c>
      <c r="D1937">
        <v>21</v>
      </c>
      <c r="E1937">
        <v>21</v>
      </c>
      <c r="F1937">
        <v>1331</v>
      </c>
      <c r="G1937">
        <f>Consulta2[[#This Row],[DIA_UTIL_CORRENTE]]</f>
        <v>14</v>
      </c>
      <c r="H1937" s="6">
        <f>DAY(Consulta2[[#This Row],[DATA]])</f>
        <v>19</v>
      </c>
      <c r="I1937" s="6">
        <f>MONTH(Consulta2[[#This Row],[DATA]])</f>
        <v>4</v>
      </c>
      <c r="J1937" t="str">
        <f>CONCATENATE(Consulta2[[#This Row],[SAFRA]],Consulta2[[#This Row],[dia]])</f>
        <v>20290419</v>
      </c>
      <c r="K1937">
        <f>Consulta2[[#This Row],[DIA_UTIL_CORRENTE]]</f>
        <v>14</v>
      </c>
    </row>
    <row r="1938" spans="1:11" x14ac:dyDescent="0.25">
      <c r="A1938">
        <v>202904</v>
      </c>
      <c r="B1938">
        <v>15</v>
      </c>
      <c r="C1938" s="148">
        <v>47228</v>
      </c>
      <c r="D1938">
        <v>21</v>
      </c>
      <c r="E1938">
        <v>21</v>
      </c>
      <c r="F1938">
        <v>1332</v>
      </c>
      <c r="G1938">
        <f>Consulta2[[#This Row],[DIA_UTIL_CORRENTE]]</f>
        <v>15</v>
      </c>
      <c r="H1938" s="6">
        <f>DAY(Consulta2[[#This Row],[DATA]])</f>
        <v>20</v>
      </c>
      <c r="I1938" s="6">
        <f>MONTH(Consulta2[[#This Row],[DATA]])</f>
        <v>4</v>
      </c>
      <c r="J1938" t="str">
        <f>CONCATENATE(Consulta2[[#This Row],[SAFRA]],Consulta2[[#This Row],[dia]])</f>
        <v>20290420</v>
      </c>
      <c r="K1938">
        <f>Consulta2[[#This Row],[DIA_UTIL_CORRENTE]]</f>
        <v>15</v>
      </c>
    </row>
    <row r="1939" spans="1:11" x14ac:dyDescent="0.25">
      <c r="A1939">
        <v>202904</v>
      </c>
      <c r="B1939">
        <v>15</v>
      </c>
      <c r="C1939" s="148">
        <v>47229</v>
      </c>
      <c r="D1939">
        <v>21</v>
      </c>
      <c r="E1939">
        <v>21</v>
      </c>
      <c r="F1939">
        <v>1332</v>
      </c>
      <c r="G1939">
        <f>Consulta2[[#This Row],[DIA_UTIL_CORRENTE]]</f>
        <v>15</v>
      </c>
      <c r="H1939" s="6">
        <f>DAY(Consulta2[[#This Row],[DATA]])</f>
        <v>21</v>
      </c>
      <c r="I1939" s="6">
        <f>MONTH(Consulta2[[#This Row],[DATA]])</f>
        <v>4</v>
      </c>
      <c r="J1939" t="str">
        <f>CONCATENATE(Consulta2[[#This Row],[SAFRA]],Consulta2[[#This Row],[dia]])</f>
        <v>20290421</v>
      </c>
      <c r="K1939">
        <f>Consulta2[[#This Row],[DIA_UTIL_CORRENTE]]</f>
        <v>15</v>
      </c>
    </row>
    <row r="1940" spans="1:11" x14ac:dyDescent="0.25">
      <c r="A1940">
        <v>202904</v>
      </c>
      <c r="B1940">
        <v>15</v>
      </c>
      <c r="C1940" s="148">
        <v>47230</v>
      </c>
      <c r="D1940">
        <v>21</v>
      </c>
      <c r="E1940">
        <v>21</v>
      </c>
      <c r="F1940">
        <v>1332</v>
      </c>
      <c r="G1940">
        <f>Consulta2[[#This Row],[DIA_UTIL_CORRENTE]]</f>
        <v>15</v>
      </c>
      <c r="H1940" s="6">
        <f>DAY(Consulta2[[#This Row],[DATA]])</f>
        <v>22</v>
      </c>
      <c r="I1940" s="6">
        <f>MONTH(Consulta2[[#This Row],[DATA]])</f>
        <v>4</v>
      </c>
      <c r="J1940" t="str">
        <f>CONCATENATE(Consulta2[[#This Row],[SAFRA]],Consulta2[[#This Row],[dia]])</f>
        <v>20290422</v>
      </c>
      <c r="K1940">
        <f>Consulta2[[#This Row],[DIA_UTIL_CORRENTE]]</f>
        <v>15</v>
      </c>
    </row>
    <row r="1941" spans="1:11" x14ac:dyDescent="0.25">
      <c r="A1941">
        <v>202904</v>
      </c>
      <c r="B1941">
        <v>16</v>
      </c>
      <c r="C1941" s="148">
        <v>47231</v>
      </c>
      <c r="D1941">
        <v>21</v>
      </c>
      <c r="E1941">
        <v>21</v>
      </c>
      <c r="F1941">
        <v>1333</v>
      </c>
      <c r="G1941">
        <f>Consulta2[[#This Row],[DIA_UTIL_CORRENTE]]</f>
        <v>16</v>
      </c>
      <c r="H1941" s="6">
        <f>DAY(Consulta2[[#This Row],[DATA]])</f>
        <v>23</v>
      </c>
      <c r="I1941" s="6">
        <f>MONTH(Consulta2[[#This Row],[DATA]])</f>
        <v>4</v>
      </c>
      <c r="J1941" t="str">
        <f>CONCATENATE(Consulta2[[#This Row],[SAFRA]],Consulta2[[#This Row],[dia]])</f>
        <v>20290423</v>
      </c>
      <c r="K1941">
        <f>Consulta2[[#This Row],[DIA_UTIL_CORRENTE]]</f>
        <v>16</v>
      </c>
    </row>
    <row r="1942" spans="1:11" x14ac:dyDescent="0.25">
      <c r="A1942">
        <v>202904</v>
      </c>
      <c r="B1942">
        <v>17</v>
      </c>
      <c r="C1942" s="148">
        <v>47232</v>
      </c>
      <c r="D1942">
        <v>21</v>
      </c>
      <c r="E1942">
        <v>21</v>
      </c>
      <c r="F1942">
        <v>1334</v>
      </c>
      <c r="G1942">
        <f>Consulta2[[#This Row],[DIA_UTIL_CORRENTE]]</f>
        <v>17</v>
      </c>
      <c r="H1942" s="6">
        <f>DAY(Consulta2[[#This Row],[DATA]])</f>
        <v>24</v>
      </c>
      <c r="I1942" s="6">
        <f>MONTH(Consulta2[[#This Row],[DATA]])</f>
        <v>4</v>
      </c>
      <c r="J1942" t="str">
        <f>CONCATENATE(Consulta2[[#This Row],[SAFRA]],Consulta2[[#This Row],[dia]])</f>
        <v>20290424</v>
      </c>
      <c r="K1942">
        <f>Consulta2[[#This Row],[DIA_UTIL_CORRENTE]]</f>
        <v>17</v>
      </c>
    </row>
    <row r="1943" spans="1:11" x14ac:dyDescent="0.25">
      <c r="A1943">
        <v>202904</v>
      </c>
      <c r="B1943">
        <v>18</v>
      </c>
      <c r="C1943" s="148">
        <v>47233</v>
      </c>
      <c r="D1943">
        <v>21</v>
      </c>
      <c r="E1943">
        <v>21</v>
      </c>
      <c r="F1943">
        <v>1335</v>
      </c>
      <c r="G1943">
        <f>Consulta2[[#This Row],[DIA_UTIL_CORRENTE]]</f>
        <v>18</v>
      </c>
      <c r="H1943" s="6">
        <f>DAY(Consulta2[[#This Row],[DATA]])</f>
        <v>25</v>
      </c>
      <c r="I1943" s="6">
        <f>MONTH(Consulta2[[#This Row],[DATA]])</f>
        <v>4</v>
      </c>
      <c r="J1943" t="str">
        <f>CONCATENATE(Consulta2[[#This Row],[SAFRA]],Consulta2[[#This Row],[dia]])</f>
        <v>20290425</v>
      </c>
      <c r="K1943">
        <f>Consulta2[[#This Row],[DIA_UTIL_CORRENTE]]</f>
        <v>18</v>
      </c>
    </row>
    <row r="1944" spans="1:11" x14ac:dyDescent="0.25">
      <c r="A1944">
        <v>202904</v>
      </c>
      <c r="B1944">
        <v>19</v>
      </c>
      <c r="C1944" s="148">
        <v>47234</v>
      </c>
      <c r="D1944">
        <v>21</v>
      </c>
      <c r="E1944">
        <v>21</v>
      </c>
      <c r="F1944">
        <v>1336</v>
      </c>
      <c r="G1944">
        <f>Consulta2[[#This Row],[DIA_UTIL_CORRENTE]]</f>
        <v>19</v>
      </c>
      <c r="H1944" s="6">
        <f>DAY(Consulta2[[#This Row],[DATA]])</f>
        <v>26</v>
      </c>
      <c r="I1944" s="6">
        <f>MONTH(Consulta2[[#This Row],[DATA]])</f>
        <v>4</v>
      </c>
      <c r="J1944" t="str">
        <f>CONCATENATE(Consulta2[[#This Row],[SAFRA]],Consulta2[[#This Row],[dia]])</f>
        <v>20290426</v>
      </c>
      <c r="K1944">
        <f>Consulta2[[#This Row],[DIA_UTIL_CORRENTE]]</f>
        <v>19</v>
      </c>
    </row>
    <row r="1945" spans="1:11" x14ac:dyDescent="0.25">
      <c r="A1945">
        <v>202904</v>
      </c>
      <c r="B1945">
        <v>20</v>
      </c>
      <c r="C1945" s="148">
        <v>47235</v>
      </c>
      <c r="D1945">
        <v>21</v>
      </c>
      <c r="E1945">
        <v>21</v>
      </c>
      <c r="F1945">
        <v>1337</v>
      </c>
      <c r="G1945">
        <f>Consulta2[[#This Row],[DIA_UTIL_CORRENTE]]</f>
        <v>20</v>
      </c>
      <c r="H1945" s="6">
        <f>DAY(Consulta2[[#This Row],[DATA]])</f>
        <v>27</v>
      </c>
      <c r="I1945" s="6">
        <f>MONTH(Consulta2[[#This Row],[DATA]])</f>
        <v>4</v>
      </c>
      <c r="J1945" t="str">
        <f>CONCATENATE(Consulta2[[#This Row],[SAFRA]],Consulta2[[#This Row],[dia]])</f>
        <v>20290427</v>
      </c>
      <c r="K1945">
        <f>Consulta2[[#This Row],[DIA_UTIL_CORRENTE]]</f>
        <v>20</v>
      </c>
    </row>
    <row r="1946" spans="1:11" x14ac:dyDescent="0.25">
      <c r="A1946">
        <v>202904</v>
      </c>
      <c r="B1946">
        <v>20</v>
      </c>
      <c r="C1946" s="148">
        <v>47236</v>
      </c>
      <c r="D1946">
        <v>21</v>
      </c>
      <c r="E1946">
        <v>21</v>
      </c>
      <c r="F1946">
        <v>1337</v>
      </c>
      <c r="G1946">
        <f>Consulta2[[#This Row],[DIA_UTIL_CORRENTE]]</f>
        <v>20</v>
      </c>
      <c r="H1946" s="6">
        <f>DAY(Consulta2[[#This Row],[DATA]])</f>
        <v>28</v>
      </c>
      <c r="I1946" s="6">
        <f>MONTH(Consulta2[[#This Row],[DATA]])</f>
        <v>4</v>
      </c>
      <c r="J1946" t="str">
        <f>CONCATENATE(Consulta2[[#This Row],[SAFRA]],Consulta2[[#This Row],[dia]])</f>
        <v>20290428</v>
      </c>
      <c r="K1946">
        <f>Consulta2[[#This Row],[DIA_UTIL_CORRENTE]]</f>
        <v>20</v>
      </c>
    </row>
    <row r="1947" spans="1:11" x14ac:dyDescent="0.25">
      <c r="A1947">
        <v>202904</v>
      </c>
      <c r="B1947">
        <v>20</v>
      </c>
      <c r="C1947" s="148">
        <v>47237</v>
      </c>
      <c r="D1947">
        <v>21</v>
      </c>
      <c r="E1947">
        <v>21</v>
      </c>
      <c r="F1947">
        <v>1337</v>
      </c>
      <c r="G1947">
        <f>Consulta2[[#This Row],[DIA_UTIL_CORRENTE]]</f>
        <v>20</v>
      </c>
      <c r="H1947" s="6">
        <f>DAY(Consulta2[[#This Row],[DATA]])</f>
        <v>29</v>
      </c>
      <c r="I1947" s="6">
        <f>MONTH(Consulta2[[#This Row],[DATA]])</f>
        <v>4</v>
      </c>
      <c r="J1947" t="str">
        <f>CONCATENATE(Consulta2[[#This Row],[SAFRA]],Consulta2[[#This Row],[dia]])</f>
        <v>20290429</v>
      </c>
      <c r="K1947">
        <f>Consulta2[[#This Row],[DIA_UTIL_CORRENTE]]</f>
        <v>20</v>
      </c>
    </row>
    <row r="1948" spans="1:11" x14ac:dyDescent="0.25">
      <c r="A1948">
        <v>202904</v>
      </c>
      <c r="B1948">
        <v>21</v>
      </c>
      <c r="C1948" s="148">
        <v>47238</v>
      </c>
      <c r="D1948">
        <v>21</v>
      </c>
      <c r="E1948">
        <v>21</v>
      </c>
      <c r="F1948">
        <v>1338</v>
      </c>
      <c r="G1948">
        <f>Consulta2[[#This Row],[DIA_UTIL_CORRENTE]]</f>
        <v>21</v>
      </c>
      <c r="H1948" s="6">
        <f>DAY(Consulta2[[#This Row],[DATA]])</f>
        <v>30</v>
      </c>
      <c r="I1948" s="6">
        <f>MONTH(Consulta2[[#This Row],[DATA]])</f>
        <v>4</v>
      </c>
      <c r="J1948" t="str">
        <f>CONCATENATE(Consulta2[[#This Row],[SAFRA]],Consulta2[[#This Row],[dia]])</f>
        <v>20290430</v>
      </c>
      <c r="K1948">
        <f>Consulta2[[#This Row],[DIA_UTIL_CORRENTE]]</f>
        <v>21</v>
      </c>
    </row>
    <row r="1949" spans="1:11" x14ac:dyDescent="0.25">
      <c r="A1949">
        <v>202905</v>
      </c>
      <c r="B1949">
        <v>0</v>
      </c>
      <c r="C1949" s="148">
        <v>47239</v>
      </c>
      <c r="D1949">
        <v>21</v>
      </c>
      <c r="E1949">
        <v>21</v>
      </c>
      <c r="F1949">
        <v>1338</v>
      </c>
      <c r="G1949">
        <f>Consulta2[[#This Row],[DIA_UTIL_CORRENTE]]</f>
        <v>0</v>
      </c>
      <c r="H1949" s="6">
        <f>DAY(Consulta2[[#This Row],[DATA]])</f>
        <v>1</v>
      </c>
      <c r="I1949" s="6">
        <f>MONTH(Consulta2[[#This Row],[DATA]])</f>
        <v>5</v>
      </c>
      <c r="J1949" t="str">
        <f>CONCATENATE(Consulta2[[#This Row],[SAFRA]],Consulta2[[#This Row],[dia]])</f>
        <v>2029051</v>
      </c>
      <c r="K1949">
        <f>Consulta2[[#This Row],[DIA_UTIL_CORRENTE]]</f>
        <v>0</v>
      </c>
    </row>
    <row r="1950" spans="1:11" x14ac:dyDescent="0.25">
      <c r="A1950">
        <v>202905</v>
      </c>
      <c r="B1950">
        <v>1</v>
      </c>
      <c r="C1950" s="148">
        <v>47240</v>
      </c>
      <c r="D1950">
        <v>21</v>
      </c>
      <c r="E1950">
        <v>21</v>
      </c>
      <c r="F1950">
        <v>1339</v>
      </c>
      <c r="G1950">
        <f>Consulta2[[#This Row],[DIA_UTIL_CORRENTE]]</f>
        <v>1</v>
      </c>
      <c r="H1950" s="6">
        <f>DAY(Consulta2[[#This Row],[DATA]])</f>
        <v>2</v>
      </c>
      <c r="I1950" s="6">
        <f>MONTH(Consulta2[[#This Row],[DATA]])</f>
        <v>5</v>
      </c>
      <c r="J1950" t="str">
        <f>CONCATENATE(Consulta2[[#This Row],[SAFRA]],Consulta2[[#This Row],[dia]])</f>
        <v>2029052</v>
      </c>
      <c r="K1950">
        <f>Consulta2[[#This Row],[DIA_UTIL_CORRENTE]]</f>
        <v>1</v>
      </c>
    </row>
    <row r="1951" spans="1:11" x14ac:dyDescent="0.25">
      <c r="A1951">
        <v>202905</v>
      </c>
      <c r="B1951">
        <v>2</v>
      </c>
      <c r="C1951" s="148">
        <v>47241</v>
      </c>
      <c r="D1951">
        <v>21</v>
      </c>
      <c r="E1951">
        <v>21</v>
      </c>
      <c r="F1951">
        <v>1340</v>
      </c>
      <c r="G1951">
        <f>Consulta2[[#This Row],[DIA_UTIL_CORRENTE]]</f>
        <v>2</v>
      </c>
      <c r="H1951" s="6">
        <f>DAY(Consulta2[[#This Row],[DATA]])</f>
        <v>3</v>
      </c>
      <c r="I1951" s="6">
        <f>MONTH(Consulta2[[#This Row],[DATA]])</f>
        <v>5</v>
      </c>
      <c r="J1951" t="str">
        <f>CONCATENATE(Consulta2[[#This Row],[SAFRA]],Consulta2[[#This Row],[dia]])</f>
        <v>2029053</v>
      </c>
      <c r="K1951">
        <f>Consulta2[[#This Row],[DIA_UTIL_CORRENTE]]</f>
        <v>2</v>
      </c>
    </row>
    <row r="1952" spans="1:11" x14ac:dyDescent="0.25">
      <c r="A1952">
        <v>202905</v>
      </c>
      <c r="B1952">
        <v>3</v>
      </c>
      <c r="C1952" s="148">
        <v>47242</v>
      </c>
      <c r="D1952">
        <v>21</v>
      </c>
      <c r="E1952">
        <v>21</v>
      </c>
      <c r="F1952">
        <v>1341</v>
      </c>
      <c r="G1952">
        <f>Consulta2[[#This Row],[DIA_UTIL_CORRENTE]]</f>
        <v>3</v>
      </c>
      <c r="H1952" s="6">
        <f>DAY(Consulta2[[#This Row],[DATA]])</f>
        <v>4</v>
      </c>
      <c r="I1952" s="6">
        <f>MONTH(Consulta2[[#This Row],[DATA]])</f>
        <v>5</v>
      </c>
      <c r="J1952" t="str">
        <f>CONCATENATE(Consulta2[[#This Row],[SAFRA]],Consulta2[[#This Row],[dia]])</f>
        <v>2029054</v>
      </c>
      <c r="K1952">
        <f>Consulta2[[#This Row],[DIA_UTIL_CORRENTE]]</f>
        <v>3</v>
      </c>
    </row>
    <row r="1953" spans="1:11" x14ac:dyDescent="0.25">
      <c r="A1953">
        <v>202905</v>
      </c>
      <c r="B1953">
        <v>3</v>
      </c>
      <c r="C1953" s="148">
        <v>47243</v>
      </c>
      <c r="D1953">
        <v>21</v>
      </c>
      <c r="E1953">
        <v>21</v>
      </c>
      <c r="F1953">
        <v>1341</v>
      </c>
      <c r="G1953">
        <f>Consulta2[[#This Row],[DIA_UTIL_CORRENTE]]</f>
        <v>3</v>
      </c>
      <c r="H1953" s="6">
        <f>DAY(Consulta2[[#This Row],[DATA]])</f>
        <v>5</v>
      </c>
      <c r="I1953" s="6">
        <f>MONTH(Consulta2[[#This Row],[DATA]])</f>
        <v>5</v>
      </c>
      <c r="J1953" t="str">
        <f>CONCATENATE(Consulta2[[#This Row],[SAFRA]],Consulta2[[#This Row],[dia]])</f>
        <v>2029055</v>
      </c>
      <c r="K1953">
        <f>Consulta2[[#This Row],[DIA_UTIL_CORRENTE]]</f>
        <v>3</v>
      </c>
    </row>
    <row r="1954" spans="1:11" x14ac:dyDescent="0.25">
      <c r="A1954">
        <v>202905</v>
      </c>
      <c r="B1954">
        <v>3</v>
      </c>
      <c r="C1954" s="148">
        <v>47244</v>
      </c>
      <c r="D1954">
        <v>21</v>
      </c>
      <c r="E1954">
        <v>21</v>
      </c>
      <c r="F1954">
        <v>1341</v>
      </c>
      <c r="G1954">
        <f>Consulta2[[#This Row],[DIA_UTIL_CORRENTE]]</f>
        <v>3</v>
      </c>
      <c r="H1954" s="6">
        <f>DAY(Consulta2[[#This Row],[DATA]])</f>
        <v>6</v>
      </c>
      <c r="I1954" s="6">
        <f>MONTH(Consulta2[[#This Row],[DATA]])</f>
        <v>5</v>
      </c>
      <c r="J1954" t="str">
        <f>CONCATENATE(Consulta2[[#This Row],[SAFRA]],Consulta2[[#This Row],[dia]])</f>
        <v>2029056</v>
      </c>
      <c r="K1954">
        <f>Consulta2[[#This Row],[DIA_UTIL_CORRENTE]]</f>
        <v>3</v>
      </c>
    </row>
    <row r="1955" spans="1:11" x14ac:dyDescent="0.25">
      <c r="A1955">
        <v>202905</v>
      </c>
      <c r="B1955">
        <v>4</v>
      </c>
      <c r="C1955" s="148">
        <v>47245</v>
      </c>
      <c r="D1955">
        <v>21</v>
      </c>
      <c r="E1955">
        <v>21</v>
      </c>
      <c r="F1955">
        <v>1342</v>
      </c>
      <c r="G1955">
        <f>Consulta2[[#This Row],[DIA_UTIL_CORRENTE]]</f>
        <v>4</v>
      </c>
      <c r="H1955" s="6">
        <f>DAY(Consulta2[[#This Row],[DATA]])</f>
        <v>7</v>
      </c>
      <c r="I1955" s="6">
        <f>MONTH(Consulta2[[#This Row],[DATA]])</f>
        <v>5</v>
      </c>
      <c r="J1955" t="str">
        <f>CONCATENATE(Consulta2[[#This Row],[SAFRA]],Consulta2[[#This Row],[dia]])</f>
        <v>2029057</v>
      </c>
      <c r="K1955">
        <f>Consulta2[[#This Row],[DIA_UTIL_CORRENTE]]</f>
        <v>4</v>
      </c>
    </row>
    <row r="1956" spans="1:11" x14ac:dyDescent="0.25">
      <c r="A1956">
        <v>202905</v>
      </c>
      <c r="B1956">
        <v>5</v>
      </c>
      <c r="C1956" s="148">
        <v>47246</v>
      </c>
      <c r="D1956">
        <v>21</v>
      </c>
      <c r="E1956">
        <v>21</v>
      </c>
      <c r="F1956">
        <v>1343</v>
      </c>
      <c r="G1956">
        <f>Consulta2[[#This Row],[DIA_UTIL_CORRENTE]]</f>
        <v>5</v>
      </c>
      <c r="H1956" s="6">
        <f>DAY(Consulta2[[#This Row],[DATA]])</f>
        <v>8</v>
      </c>
      <c r="I1956" s="6">
        <f>MONTH(Consulta2[[#This Row],[DATA]])</f>
        <v>5</v>
      </c>
      <c r="J1956" t="str">
        <f>CONCATENATE(Consulta2[[#This Row],[SAFRA]],Consulta2[[#This Row],[dia]])</f>
        <v>2029058</v>
      </c>
      <c r="K1956">
        <f>Consulta2[[#This Row],[DIA_UTIL_CORRENTE]]</f>
        <v>5</v>
      </c>
    </row>
    <row r="1957" spans="1:11" x14ac:dyDescent="0.25">
      <c r="A1957">
        <v>202905</v>
      </c>
      <c r="B1957">
        <v>6</v>
      </c>
      <c r="C1957" s="148">
        <v>47247</v>
      </c>
      <c r="D1957">
        <v>21</v>
      </c>
      <c r="E1957">
        <v>21</v>
      </c>
      <c r="F1957">
        <v>1344</v>
      </c>
      <c r="G1957">
        <f>Consulta2[[#This Row],[DIA_UTIL_CORRENTE]]</f>
        <v>6</v>
      </c>
      <c r="H1957" s="6">
        <f>DAY(Consulta2[[#This Row],[DATA]])</f>
        <v>9</v>
      </c>
      <c r="I1957" s="6">
        <f>MONTH(Consulta2[[#This Row],[DATA]])</f>
        <v>5</v>
      </c>
      <c r="J1957" t="str">
        <f>CONCATENATE(Consulta2[[#This Row],[SAFRA]],Consulta2[[#This Row],[dia]])</f>
        <v>2029059</v>
      </c>
      <c r="K1957">
        <f>Consulta2[[#This Row],[DIA_UTIL_CORRENTE]]</f>
        <v>6</v>
      </c>
    </row>
    <row r="1958" spans="1:11" x14ac:dyDescent="0.25">
      <c r="A1958">
        <v>202905</v>
      </c>
      <c r="B1958">
        <v>7</v>
      </c>
      <c r="C1958" s="148">
        <v>47248</v>
      </c>
      <c r="D1958">
        <v>21</v>
      </c>
      <c r="E1958">
        <v>21</v>
      </c>
      <c r="F1958">
        <v>1345</v>
      </c>
      <c r="G1958">
        <f>Consulta2[[#This Row],[DIA_UTIL_CORRENTE]]</f>
        <v>7</v>
      </c>
      <c r="H1958" s="6">
        <f>DAY(Consulta2[[#This Row],[DATA]])</f>
        <v>10</v>
      </c>
      <c r="I1958" s="6">
        <f>MONTH(Consulta2[[#This Row],[DATA]])</f>
        <v>5</v>
      </c>
      <c r="J1958" t="str">
        <f>CONCATENATE(Consulta2[[#This Row],[SAFRA]],Consulta2[[#This Row],[dia]])</f>
        <v>20290510</v>
      </c>
      <c r="K1958">
        <f>Consulta2[[#This Row],[DIA_UTIL_CORRENTE]]</f>
        <v>7</v>
      </c>
    </row>
    <row r="1959" spans="1:11" x14ac:dyDescent="0.25">
      <c r="A1959">
        <v>202905</v>
      </c>
      <c r="B1959">
        <v>8</v>
      </c>
      <c r="C1959" s="148">
        <v>47249</v>
      </c>
      <c r="D1959">
        <v>21</v>
      </c>
      <c r="E1959">
        <v>21</v>
      </c>
      <c r="F1959">
        <v>1346</v>
      </c>
      <c r="G1959">
        <f>Consulta2[[#This Row],[DIA_UTIL_CORRENTE]]</f>
        <v>8</v>
      </c>
      <c r="H1959" s="6">
        <f>DAY(Consulta2[[#This Row],[DATA]])</f>
        <v>11</v>
      </c>
      <c r="I1959" s="6">
        <f>MONTH(Consulta2[[#This Row],[DATA]])</f>
        <v>5</v>
      </c>
      <c r="J1959" t="str">
        <f>CONCATENATE(Consulta2[[#This Row],[SAFRA]],Consulta2[[#This Row],[dia]])</f>
        <v>20290511</v>
      </c>
      <c r="K1959">
        <f>Consulta2[[#This Row],[DIA_UTIL_CORRENTE]]</f>
        <v>8</v>
      </c>
    </row>
    <row r="1960" spans="1:11" x14ac:dyDescent="0.25">
      <c r="A1960">
        <v>202905</v>
      </c>
      <c r="B1960">
        <v>8</v>
      </c>
      <c r="C1960" s="148">
        <v>47250</v>
      </c>
      <c r="D1960">
        <v>21</v>
      </c>
      <c r="E1960">
        <v>21</v>
      </c>
      <c r="F1960">
        <v>1346</v>
      </c>
      <c r="G1960">
        <f>Consulta2[[#This Row],[DIA_UTIL_CORRENTE]]</f>
        <v>8</v>
      </c>
      <c r="H1960" s="6">
        <f>DAY(Consulta2[[#This Row],[DATA]])</f>
        <v>12</v>
      </c>
      <c r="I1960" s="6">
        <f>MONTH(Consulta2[[#This Row],[DATA]])</f>
        <v>5</v>
      </c>
      <c r="J1960" t="str">
        <f>CONCATENATE(Consulta2[[#This Row],[SAFRA]],Consulta2[[#This Row],[dia]])</f>
        <v>20290512</v>
      </c>
      <c r="K1960">
        <f>Consulta2[[#This Row],[DIA_UTIL_CORRENTE]]</f>
        <v>8</v>
      </c>
    </row>
    <row r="1961" spans="1:11" x14ac:dyDescent="0.25">
      <c r="A1961">
        <v>202905</v>
      </c>
      <c r="B1961">
        <v>8</v>
      </c>
      <c r="C1961" s="148">
        <v>47251</v>
      </c>
      <c r="D1961">
        <v>21</v>
      </c>
      <c r="E1961">
        <v>21</v>
      </c>
      <c r="F1961">
        <v>1346</v>
      </c>
      <c r="G1961">
        <f>Consulta2[[#This Row],[DIA_UTIL_CORRENTE]]</f>
        <v>8</v>
      </c>
      <c r="H1961" s="6">
        <f>DAY(Consulta2[[#This Row],[DATA]])</f>
        <v>13</v>
      </c>
      <c r="I1961" s="6">
        <f>MONTH(Consulta2[[#This Row],[DATA]])</f>
        <v>5</v>
      </c>
      <c r="J1961" t="str">
        <f>CONCATENATE(Consulta2[[#This Row],[SAFRA]],Consulta2[[#This Row],[dia]])</f>
        <v>20290513</v>
      </c>
      <c r="K1961">
        <f>Consulta2[[#This Row],[DIA_UTIL_CORRENTE]]</f>
        <v>8</v>
      </c>
    </row>
    <row r="1962" spans="1:11" x14ac:dyDescent="0.25">
      <c r="A1962">
        <v>202905</v>
      </c>
      <c r="B1962">
        <v>9</v>
      </c>
      <c r="C1962" s="148">
        <v>47252</v>
      </c>
      <c r="D1962">
        <v>21</v>
      </c>
      <c r="E1962">
        <v>21</v>
      </c>
      <c r="F1962">
        <v>1347</v>
      </c>
      <c r="G1962">
        <f>Consulta2[[#This Row],[DIA_UTIL_CORRENTE]]</f>
        <v>9</v>
      </c>
      <c r="H1962" s="6">
        <f>DAY(Consulta2[[#This Row],[DATA]])</f>
        <v>14</v>
      </c>
      <c r="I1962" s="6">
        <f>MONTH(Consulta2[[#This Row],[DATA]])</f>
        <v>5</v>
      </c>
      <c r="J1962" t="str">
        <f>CONCATENATE(Consulta2[[#This Row],[SAFRA]],Consulta2[[#This Row],[dia]])</f>
        <v>20290514</v>
      </c>
      <c r="K1962">
        <f>Consulta2[[#This Row],[DIA_UTIL_CORRENTE]]</f>
        <v>9</v>
      </c>
    </row>
    <row r="1963" spans="1:11" x14ac:dyDescent="0.25">
      <c r="A1963">
        <v>202905</v>
      </c>
      <c r="B1963">
        <v>10</v>
      </c>
      <c r="C1963" s="148">
        <v>47253</v>
      </c>
      <c r="D1963">
        <v>21</v>
      </c>
      <c r="E1963">
        <v>21</v>
      </c>
      <c r="F1963">
        <v>1348</v>
      </c>
      <c r="G1963">
        <f>Consulta2[[#This Row],[DIA_UTIL_CORRENTE]]</f>
        <v>10</v>
      </c>
      <c r="H1963" s="6">
        <f>DAY(Consulta2[[#This Row],[DATA]])</f>
        <v>15</v>
      </c>
      <c r="I1963" s="6">
        <f>MONTH(Consulta2[[#This Row],[DATA]])</f>
        <v>5</v>
      </c>
      <c r="J1963" t="str">
        <f>CONCATENATE(Consulta2[[#This Row],[SAFRA]],Consulta2[[#This Row],[dia]])</f>
        <v>20290515</v>
      </c>
      <c r="K1963">
        <f>Consulta2[[#This Row],[DIA_UTIL_CORRENTE]]</f>
        <v>10</v>
      </c>
    </row>
    <row r="1964" spans="1:11" x14ac:dyDescent="0.25">
      <c r="A1964">
        <v>202905</v>
      </c>
      <c r="B1964">
        <v>11</v>
      </c>
      <c r="C1964" s="148">
        <v>47254</v>
      </c>
      <c r="D1964">
        <v>21</v>
      </c>
      <c r="E1964">
        <v>21</v>
      </c>
      <c r="F1964">
        <v>1349</v>
      </c>
      <c r="G1964">
        <f>Consulta2[[#This Row],[DIA_UTIL_CORRENTE]]</f>
        <v>11</v>
      </c>
      <c r="H1964" s="6">
        <f>DAY(Consulta2[[#This Row],[DATA]])</f>
        <v>16</v>
      </c>
      <c r="I1964" s="6">
        <f>MONTH(Consulta2[[#This Row],[DATA]])</f>
        <v>5</v>
      </c>
      <c r="J1964" t="str">
        <f>CONCATENATE(Consulta2[[#This Row],[SAFRA]],Consulta2[[#This Row],[dia]])</f>
        <v>20290516</v>
      </c>
      <c r="K1964">
        <f>Consulta2[[#This Row],[DIA_UTIL_CORRENTE]]</f>
        <v>11</v>
      </c>
    </row>
    <row r="1965" spans="1:11" x14ac:dyDescent="0.25">
      <c r="A1965">
        <v>202905</v>
      </c>
      <c r="B1965">
        <v>12</v>
      </c>
      <c r="C1965" s="148">
        <v>47255</v>
      </c>
      <c r="D1965">
        <v>21</v>
      </c>
      <c r="E1965">
        <v>21</v>
      </c>
      <c r="F1965">
        <v>1350</v>
      </c>
      <c r="G1965">
        <f>Consulta2[[#This Row],[DIA_UTIL_CORRENTE]]</f>
        <v>12</v>
      </c>
      <c r="H1965" s="6">
        <f>DAY(Consulta2[[#This Row],[DATA]])</f>
        <v>17</v>
      </c>
      <c r="I1965" s="6">
        <f>MONTH(Consulta2[[#This Row],[DATA]])</f>
        <v>5</v>
      </c>
      <c r="J1965" t="str">
        <f>CONCATENATE(Consulta2[[#This Row],[SAFRA]],Consulta2[[#This Row],[dia]])</f>
        <v>20290517</v>
      </c>
      <c r="K1965">
        <f>Consulta2[[#This Row],[DIA_UTIL_CORRENTE]]</f>
        <v>12</v>
      </c>
    </row>
    <row r="1966" spans="1:11" x14ac:dyDescent="0.25">
      <c r="A1966">
        <v>202905</v>
      </c>
      <c r="B1966">
        <v>13</v>
      </c>
      <c r="C1966" s="148">
        <v>47256</v>
      </c>
      <c r="D1966">
        <v>21</v>
      </c>
      <c r="E1966">
        <v>21</v>
      </c>
      <c r="F1966">
        <v>1351</v>
      </c>
      <c r="G1966">
        <f>Consulta2[[#This Row],[DIA_UTIL_CORRENTE]]</f>
        <v>13</v>
      </c>
      <c r="H1966" s="6">
        <f>DAY(Consulta2[[#This Row],[DATA]])</f>
        <v>18</v>
      </c>
      <c r="I1966" s="6">
        <f>MONTH(Consulta2[[#This Row],[DATA]])</f>
        <v>5</v>
      </c>
      <c r="J1966" t="str">
        <f>CONCATENATE(Consulta2[[#This Row],[SAFRA]],Consulta2[[#This Row],[dia]])</f>
        <v>20290518</v>
      </c>
      <c r="K1966">
        <f>Consulta2[[#This Row],[DIA_UTIL_CORRENTE]]</f>
        <v>13</v>
      </c>
    </row>
    <row r="1967" spans="1:11" x14ac:dyDescent="0.25">
      <c r="A1967">
        <v>202905</v>
      </c>
      <c r="B1967">
        <v>13</v>
      </c>
      <c r="C1967" s="148">
        <v>47257</v>
      </c>
      <c r="D1967">
        <v>21</v>
      </c>
      <c r="E1967">
        <v>21</v>
      </c>
      <c r="F1967">
        <v>1351</v>
      </c>
      <c r="G1967">
        <f>Consulta2[[#This Row],[DIA_UTIL_CORRENTE]]</f>
        <v>13</v>
      </c>
      <c r="H1967" s="6">
        <f>DAY(Consulta2[[#This Row],[DATA]])</f>
        <v>19</v>
      </c>
      <c r="I1967" s="6">
        <f>MONTH(Consulta2[[#This Row],[DATA]])</f>
        <v>5</v>
      </c>
      <c r="J1967" t="str">
        <f>CONCATENATE(Consulta2[[#This Row],[SAFRA]],Consulta2[[#This Row],[dia]])</f>
        <v>20290519</v>
      </c>
      <c r="K1967">
        <f>Consulta2[[#This Row],[DIA_UTIL_CORRENTE]]</f>
        <v>13</v>
      </c>
    </row>
    <row r="1968" spans="1:11" x14ac:dyDescent="0.25">
      <c r="A1968">
        <v>202905</v>
      </c>
      <c r="B1968">
        <v>13</v>
      </c>
      <c r="C1968" s="148">
        <v>47258</v>
      </c>
      <c r="D1968">
        <v>21</v>
      </c>
      <c r="E1968">
        <v>21</v>
      </c>
      <c r="F1968">
        <v>1351</v>
      </c>
      <c r="G1968">
        <f>Consulta2[[#This Row],[DIA_UTIL_CORRENTE]]</f>
        <v>13</v>
      </c>
      <c r="H1968" s="6">
        <f>DAY(Consulta2[[#This Row],[DATA]])</f>
        <v>20</v>
      </c>
      <c r="I1968" s="6">
        <f>MONTH(Consulta2[[#This Row],[DATA]])</f>
        <v>5</v>
      </c>
      <c r="J1968" t="str">
        <f>CONCATENATE(Consulta2[[#This Row],[SAFRA]],Consulta2[[#This Row],[dia]])</f>
        <v>20290520</v>
      </c>
      <c r="K1968">
        <f>Consulta2[[#This Row],[DIA_UTIL_CORRENTE]]</f>
        <v>13</v>
      </c>
    </row>
    <row r="1969" spans="1:11" x14ac:dyDescent="0.25">
      <c r="A1969">
        <v>202905</v>
      </c>
      <c r="B1969">
        <v>14</v>
      </c>
      <c r="C1969" s="148">
        <v>47259</v>
      </c>
      <c r="D1969">
        <v>21</v>
      </c>
      <c r="E1969">
        <v>21</v>
      </c>
      <c r="F1969">
        <v>1352</v>
      </c>
      <c r="G1969">
        <f>Consulta2[[#This Row],[DIA_UTIL_CORRENTE]]</f>
        <v>14</v>
      </c>
      <c r="H1969" s="6">
        <f>DAY(Consulta2[[#This Row],[DATA]])</f>
        <v>21</v>
      </c>
      <c r="I1969" s="6">
        <f>MONTH(Consulta2[[#This Row],[DATA]])</f>
        <v>5</v>
      </c>
      <c r="J1969" t="str">
        <f>CONCATENATE(Consulta2[[#This Row],[SAFRA]],Consulta2[[#This Row],[dia]])</f>
        <v>20290521</v>
      </c>
      <c r="K1969">
        <f>Consulta2[[#This Row],[DIA_UTIL_CORRENTE]]</f>
        <v>14</v>
      </c>
    </row>
    <row r="1970" spans="1:11" x14ac:dyDescent="0.25">
      <c r="A1970">
        <v>202905</v>
      </c>
      <c r="B1970">
        <v>15</v>
      </c>
      <c r="C1970" s="148">
        <v>47260</v>
      </c>
      <c r="D1970">
        <v>21</v>
      </c>
      <c r="E1970">
        <v>21</v>
      </c>
      <c r="F1970">
        <v>1353</v>
      </c>
      <c r="G1970">
        <f>Consulta2[[#This Row],[DIA_UTIL_CORRENTE]]</f>
        <v>15</v>
      </c>
      <c r="H1970" s="6">
        <f>DAY(Consulta2[[#This Row],[DATA]])</f>
        <v>22</v>
      </c>
      <c r="I1970" s="6">
        <f>MONTH(Consulta2[[#This Row],[DATA]])</f>
        <v>5</v>
      </c>
      <c r="J1970" t="str">
        <f>CONCATENATE(Consulta2[[#This Row],[SAFRA]],Consulta2[[#This Row],[dia]])</f>
        <v>20290522</v>
      </c>
      <c r="K1970">
        <f>Consulta2[[#This Row],[DIA_UTIL_CORRENTE]]</f>
        <v>15</v>
      </c>
    </row>
    <row r="1971" spans="1:11" x14ac:dyDescent="0.25">
      <c r="A1971">
        <v>202905</v>
      </c>
      <c r="B1971">
        <v>16</v>
      </c>
      <c r="C1971" s="148">
        <v>47261</v>
      </c>
      <c r="D1971">
        <v>21</v>
      </c>
      <c r="E1971">
        <v>21</v>
      </c>
      <c r="F1971">
        <v>1354</v>
      </c>
      <c r="G1971">
        <f>Consulta2[[#This Row],[DIA_UTIL_CORRENTE]]</f>
        <v>16</v>
      </c>
      <c r="H1971" s="6">
        <f>DAY(Consulta2[[#This Row],[DATA]])</f>
        <v>23</v>
      </c>
      <c r="I1971" s="6">
        <f>MONTH(Consulta2[[#This Row],[DATA]])</f>
        <v>5</v>
      </c>
      <c r="J1971" t="str">
        <f>CONCATENATE(Consulta2[[#This Row],[SAFRA]],Consulta2[[#This Row],[dia]])</f>
        <v>20290523</v>
      </c>
      <c r="K1971">
        <f>Consulta2[[#This Row],[DIA_UTIL_CORRENTE]]</f>
        <v>16</v>
      </c>
    </row>
    <row r="1972" spans="1:11" x14ac:dyDescent="0.25">
      <c r="A1972">
        <v>202905</v>
      </c>
      <c r="B1972">
        <v>17</v>
      </c>
      <c r="C1972" s="148">
        <v>47262</v>
      </c>
      <c r="D1972">
        <v>21</v>
      </c>
      <c r="E1972">
        <v>21</v>
      </c>
      <c r="F1972">
        <v>1355</v>
      </c>
      <c r="G1972">
        <f>Consulta2[[#This Row],[DIA_UTIL_CORRENTE]]</f>
        <v>17</v>
      </c>
      <c r="H1972" s="6">
        <f>DAY(Consulta2[[#This Row],[DATA]])</f>
        <v>24</v>
      </c>
      <c r="I1972" s="6">
        <f>MONTH(Consulta2[[#This Row],[DATA]])</f>
        <v>5</v>
      </c>
      <c r="J1972" t="str">
        <f>CONCATENATE(Consulta2[[#This Row],[SAFRA]],Consulta2[[#This Row],[dia]])</f>
        <v>20290524</v>
      </c>
      <c r="K1972">
        <f>Consulta2[[#This Row],[DIA_UTIL_CORRENTE]]</f>
        <v>17</v>
      </c>
    </row>
    <row r="1973" spans="1:11" x14ac:dyDescent="0.25">
      <c r="A1973">
        <v>202905</v>
      </c>
      <c r="B1973">
        <v>18</v>
      </c>
      <c r="C1973" s="148">
        <v>47263</v>
      </c>
      <c r="D1973">
        <v>21</v>
      </c>
      <c r="E1973">
        <v>21</v>
      </c>
      <c r="F1973">
        <v>1356</v>
      </c>
      <c r="G1973">
        <f>Consulta2[[#This Row],[DIA_UTIL_CORRENTE]]</f>
        <v>18</v>
      </c>
      <c r="H1973" s="6">
        <f>DAY(Consulta2[[#This Row],[DATA]])</f>
        <v>25</v>
      </c>
      <c r="I1973" s="6">
        <f>MONTH(Consulta2[[#This Row],[DATA]])</f>
        <v>5</v>
      </c>
      <c r="J1973" t="str">
        <f>CONCATENATE(Consulta2[[#This Row],[SAFRA]],Consulta2[[#This Row],[dia]])</f>
        <v>20290525</v>
      </c>
      <c r="K1973">
        <f>Consulta2[[#This Row],[DIA_UTIL_CORRENTE]]</f>
        <v>18</v>
      </c>
    </row>
    <row r="1974" spans="1:11" x14ac:dyDescent="0.25">
      <c r="A1974">
        <v>202905</v>
      </c>
      <c r="B1974">
        <v>18</v>
      </c>
      <c r="C1974" s="148">
        <v>47264</v>
      </c>
      <c r="D1974">
        <v>21</v>
      </c>
      <c r="E1974">
        <v>21</v>
      </c>
      <c r="F1974">
        <v>1356</v>
      </c>
      <c r="G1974">
        <f>Consulta2[[#This Row],[DIA_UTIL_CORRENTE]]</f>
        <v>18</v>
      </c>
      <c r="H1974" s="6">
        <f>DAY(Consulta2[[#This Row],[DATA]])</f>
        <v>26</v>
      </c>
      <c r="I1974" s="6">
        <f>MONTH(Consulta2[[#This Row],[DATA]])</f>
        <v>5</v>
      </c>
      <c r="J1974" t="str">
        <f>CONCATENATE(Consulta2[[#This Row],[SAFRA]],Consulta2[[#This Row],[dia]])</f>
        <v>20290526</v>
      </c>
      <c r="K1974">
        <f>Consulta2[[#This Row],[DIA_UTIL_CORRENTE]]</f>
        <v>18</v>
      </c>
    </row>
    <row r="1975" spans="1:11" x14ac:dyDescent="0.25">
      <c r="A1975">
        <v>202905</v>
      </c>
      <c r="B1975">
        <v>18</v>
      </c>
      <c r="C1975" s="148">
        <v>47265</v>
      </c>
      <c r="D1975">
        <v>21</v>
      </c>
      <c r="E1975">
        <v>21</v>
      </c>
      <c r="F1975">
        <v>1356</v>
      </c>
      <c r="G1975">
        <f>Consulta2[[#This Row],[DIA_UTIL_CORRENTE]]</f>
        <v>18</v>
      </c>
      <c r="H1975" s="6">
        <f>DAY(Consulta2[[#This Row],[DATA]])</f>
        <v>27</v>
      </c>
      <c r="I1975" s="6">
        <f>MONTH(Consulta2[[#This Row],[DATA]])</f>
        <v>5</v>
      </c>
      <c r="J1975" t="str">
        <f>CONCATENATE(Consulta2[[#This Row],[SAFRA]],Consulta2[[#This Row],[dia]])</f>
        <v>20290527</v>
      </c>
      <c r="K1975">
        <f>Consulta2[[#This Row],[DIA_UTIL_CORRENTE]]</f>
        <v>18</v>
      </c>
    </row>
    <row r="1976" spans="1:11" x14ac:dyDescent="0.25">
      <c r="A1976">
        <v>202905</v>
      </c>
      <c r="B1976">
        <v>19</v>
      </c>
      <c r="C1976" s="148">
        <v>47266</v>
      </c>
      <c r="D1976">
        <v>21</v>
      </c>
      <c r="E1976">
        <v>21</v>
      </c>
      <c r="F1976">
        <v>1357</v>
      </c>
      <c r="G1976">
        <f>Consulta2[[#This Row],[DIA_UTIL_CORRENTE]]</f>
        <v>19</v>
      </c>
      <c r="H1976" s="6">
        <f>DAY(Consulta2[[#This Row],[DATA]])</f>
        <v>28</v>
      </c>
      <c r="I1976" s="6">
        <f>MONTH(Consulta2[[#This Row],[DATA]])</f>
        <v>5</v>
      </c>
      <c r="J1976" t="str">
        <f>CONCATENATE(Consulta2[[#This Row],[SAFRA]],Consulta2[[#This Row],[dia]])</f>
        <v>20290528</v>
      </c>
      <c r="K1976">
        <f>Consulta2[[#This Row],[DIA_UTIL_CORRENTE]]</f>
        <v>19</v>
      </c>
    </row>
    <row r="1977" spans="1:11" x14ac:dyDescent="0.25">
      <c r="A1977">
        <v>202905</v>
      </c>
      <c r="B1977">
        <v>20</v>
      </c>
      <c r="C1977" s="148">
        <v>47267</v>
      </c>
      <c r="D1977">
        <v>21</v>
      </c>
      <c r="E1977">
        <v>21</v>
      </c>
      <c r="F1977">
        <v>1358</v>
      </c>
      <c r="G1977">
        <f>Consulta2[[#This Row],[DIA_UTIL_CORRENTE]]</f>
        <v>20</v>
      </c>
      <c r="H1977" s="6">
        <f>DAY(Consulta2[[#This Row],[DATA]])</f>
        <v>29</v>
      </c>
      <c r="I1977" s="6">
        <f>MONTH(Consulta2[[#This Row],[DATA]])</f>
        <v>5</v>
      </c>
      <c r="J1977" t="str">
        <f>CONCATENATE(Consulta2[[#This Row],[SAFRA]],Consulta2[[#This Row],[dia]])</f>
        <v>20290529</v>
      </c>
      <c r="K1977">
        <f>Consulta2[[#This Row],[DIA_UTIL_CORRENTE]]</f>
        <v>20</v>
      </c>
    </row>
    <row r="1978" spans="1:11" x14ac:dyDescent="0.25">
      <c r="A1978">
        <v>202905</v>
      </c>
      <c r="B1978">
        <v>21</v>
      </c>
      <c r="C1978" s="148">
        <v>47268</v>
      </c>
      <c r="D1978">
        <v>21</v>
      </c>
      <c r="E1978">
        <v>21</v>
      </c>
      <c r="F1978">
        <v>1359</v>
      </c>
      <c r="G1978">
        <f>Consulta2[[#This Row],[DIA_UTIL_CORRENTE]]</f>
        <v>21</v>
      </c>
      <c r="H1978" s="6">
        <f>DAY(Consulta2[[#This Row],[DATA]])</f>
        <v>30</v>
      </c>
      <c r="I1978" s="6">
        <f>MONTH(Consulta2[[#This Row],[DATA]])</f>
        <v>5</v>
      </c>
      <c r="J1978" t="str">
        <f>CONCATENATE(Consulta2[[#This Row],[SAFRA]],Consulta2[[#This Row],[dia]])</f>
        <v>20290530</v>
      </c>
      <c r="K1978">
        <f>Consulta2[[#This Row],[DIA_UTIL_CORRENTE]]</f>
        <v>21</v>
      </c>
    </row>
    <row r="1979" spans="1:11" x14ac:dyDescent="0.25">
      <c r="A1979">
        <v>202905</v>
      </c>
      <c r="B1979">
        <v>21</v>
      </c>
      <c r="C1979" s="148">
        <v>47269</v>
      </c>
      <c r="D1979">
        <v>21</v>
      </c>
      <c r="E1979">
        <v>21</v>
      </c>
      <c r="F1979">
        <v>1359</v>
      </c>
      <c r="G1979">
        <f>Consulta2[[#This Row],[DIA_UTIL_CORRENTE]]</f>
        <v>21</v>
      </c>
      <c r="H1979" s="6">
        <f>DAY(Consulta2[[#This Row],[DATA]])</f>
        <v>31</v>
      </c>
      <c r="I1979" s="6">
        <f>MONTH(Consulta2[[#This Row],[DATA]])</f>
        <v>5</v>
      </c>
      <c r="J1979" t="str">
        <f>CONCATENATE(Consulta2[[#This Row],[SAFRA]],Consulta2[[#This Row],[dia]])</f>
        <v>20290531</v>
      </c>
      <c r="K1979">
        <f>Consulta2[[#This Row],[DIA_UTIL_CORRENTE]]</f>
        <v>21</v>
      </c>
    </row>
    <row r="1980" spans="1:11" x14ac:dyDescent="0.25">
      <c r="A1980">
        <v>202906</v>
      </c>
      <c r="B1980">
        <v>1</v>
      </c>
      <c r="C1980" s="148">
        <v>47270</v>
      </c>
      <c r="D1980">
        <v>21</v>
      </c>
      <c r="E1980">
        <v>21</v>
      </c>
      <c r="F1980">
        <v>1360</v>
      </c>
      <c r="G1980">
        <f>Consulta2[[#This Row],[DIA_UTIL_CORRENTE]]</f>
        <v>1</v>
      </c>
      <c r="H1980" s="6">
        <f>DAY(Consulta2[[#This Row],[DATA]])</f>
        <v>1</v>
      </c>
      <c r="I1980" s="6">
        <f>MONTH(Consulta2[[#This Row],[DATA]])</f>
        <v>6</v>
      </c>
      <c r="J1980" t="str">
        <f>CONCATENATE(Consulta2[[#This Row],[SAFRA]],Consulta2[[#This Row],[dia]])</f>
        <v>2029061</v>
      </c>
      <c r="K1980">
        <f>Consulta2[[#This Row],[DIA_UTIL_CORRENTE]]</f>
        <v>1</v>
      </c>
    </row>
    <row r="1981" spans="1:11" x14ac:dyDescent="0.25">
      <c r="A1981">
        <v>202906</v>
      </c>
      <c r="B1981">
        <v>1</v>
      </c>
      <c r="C1981" s="148">
        <v>47271</v>
      </c>
      <c r="D1981">
        <v>21</v>
      </c>
      <c r="E1981">
        <v>21</v>
      </c>
      <c r="F1981">
        <v>1360</v>
      </c>
      <c r="G1981">
        <f>Consulta2[[#This Row],[DIA_UTIL_CORRENTE]]</f>
        <v>1</v>
      </c>
      <c r="H1981" s="6">
        <f>DAY(Consulta2[[#This Row],[DATA]])</f>
        <v>2</v>
      </c>
      <c r="I1981" s="6">
        <f>MONTH(Consulta2[[#This Row],[DATA]])</f>
        <v>6</v>
      </c>
      <c r="J1981" t="str">
        <f>CONCATENATE(Consulta2[[#This Row],[SAFRA]],Consulta2[[#This Row],[dia]])</f>
        <v>2029062</v>
      </c>
      <c r="K1981">
        <f>Consulta2[[#This Row],[DIA_UTIL_CORRENTE]]</f>
        <v>1</v>
      </c>
    </row>
    <row r="1982" spans="1:11" x14ac:dyDescent="0.25">
      <c r="A1982">
        <v>202906</v>
      </c>
      <c r="B1982">
        <v>1</v>
      </c>
      <c r="C1982" s="148">
        <v>47272</v>
      </c>
      <c r="D1982">
        <v>21</v>
      </c>
      <c r="E1982">
        <v>21</v>
      </c>
      <c r="F1982">
        <v>1360</v>
      </c>
      <c r="G1982">
        <f>Consulta2[[#This Row],[DIA_UTIL_CORRENTE]]</f>
        <v>1</v>
      </c>
      <c r="H1982" s="6">
        <f>DAY(Consulta2[[#This Row],[DATA]])</f>
        <v>3</v>
      </c>
      <c r="I1982" s="6">
        <f>MONTH(Consulta2[[#This Row],[DATA]])</f>
        <v>6</v>
      </c>
      <c r="J1982" t="str">
        <f>CONCATENATE(Consulta2[[#This Row],[SAFRA]],Consulta2[[#This Row],[dia]])</f>
        <v>2029063</v>
      </c>
      <c r="K1982">
        <f>Consulta2[[#This Row],[DIA_UTIL_CORRENTE]]</f>
        <v>1</v>
      </c>
    </row>
    <row r="1983" spans="1:11" x14ac:dyDescent="0.25">
      <c r="A1983">
        <v>202906</v>
      </c>
      <c r="B1983">
        <v>2</v>
      </c>
      <c r="C1983" s="148">
        <v>47273</v>
      </c>
      <c r="D1983">
        <v>21</v>
      </c>
      <c r="E1983">
        <v>21</v>
      </c>
      <c r="F1983">
        <v>1361</v>
      </c>
      <c r="G1983">
        <f>Consulta2[[#This Row],[DIA_UTIL_CORRENTE]]</f>
        <v>2</v>
      </c>
      <c r="H1983" s="6">
        <f>DAY(Consulta2[[#This Row],[DATA]])</f>
        <v>4</v>
      </c>
      <c r="I1983" s="6">
        <f>MONTH(Consulta2[[#This Row],[DATA]])</f>
        <v>6</v>
      </c>
      <c r="J1983" t="str">
        <f>CONCATENATE(Consulta2[[#This Row],[SAFRA]],Consulta2[[#This Row],[dia]])</f>
        <v>2029064</v>
      </c>
      <c r="K1983">
        <f>Consulta2[[#This Row],[DIA_UTIL_CORRENTE]]</f>
        <v>2</v>
      </c>
    </row>
    <row r="1984" spans="1:11" x14ac:dyDescent="0.25">
      <c r="A1984">
        <v>202906</v>
      </c>
      <c r="B1984">
        <v>3</v>
      </c>
      <c r="C1984" s="148">
        <v>47274</v>
      </c>
      <c r="D1984">
        <v>21</v>
      </c>
      <c r="E1984">
        <v>21</v>
      </c>
      <c r="F1984">
        <v>1362</v>
      </c>
      <c r="G1984">
        <f>Consulta2[[#This Row],[DIA_UTIL_CORRENTE]]</f>
        <v>3</v>
      </c>
      <c r="H1984" s="6">
        <f>DAY(Consulta2[[#This Row],[DATA]])</f>
        <v>5</v>
      </c>
      <c r="I1984" s="6">
        <f>MONTH(Consulta2[[#This Row],[DATA]])</f>
        <v>6</v>
      </c>
      <c r="J1984" t="str">
        <f>CONCATENATE(Consulta2[[#This Row],[SAFRA]],Consulta2[[#This Row],[dia]])</f>
        <v>2029065</v>
      </c>
      <c r="K1984">
        <f>Consulta2[[#This Row],[DIA_UTIL_CORRENTE]]</f>
        <v>3</v>
      </c>
    </row>
    <row r="1985" spans="1:11" x14ac:dyDescent="0.25">
      <c r="A1985">
        <v>202906</v>
      </c>
      <c r="B1985">
        <v>4</v>
      </c>
      <c r="C1985" s="148">
        <v>47275</v>
      </c>
      <c r="D1985">
        <v>21</v>
      </c>
      <c r="E1985">
        <v>21</v>
      </c>
      <c r="F1985">
        <v>1363</v>
      </c>
      <c r="G1985">
        <f>Consulta2[[#This Row],[DIA_UTIL_CORRENTE]]</f>
        <v>4</v>
      </c>
      <c r="H1985" s="6">
        <f>DAY(Consulta2[[#This Row],[DATA]])</f>
        <v>6</v>
      </c>
      <c r="I1985" s="6">
        <f>MONTH(Consulta2[[#This Row],[DATA]])</f>
        <v>6</v>
      </c>
      <c r="J1985" t="str">
        <f>CONCATENATE(Consulta2[[#This Row],[SAFRA]],Consulta2[[#This Row],[dia]])</f>
        <v>2029066</v>
      </c>
      <c r="K1985">
        <f>Consulta2[[#This Row],[DIA_UTIL_CORRENTE]]</f>
        <v>4</v>
      </c>
    </row>
    <row r="1986" spans="1:11" x14ac:dyDescent="0.25">
      <c r="A1986">
        <v>202906</v>
      </c>
      <c r="B1986">
        <v>5</v>
      </c>
      <c r="C1986" s="148">
        <v>47276</v>
      </c>
      <c r="D1986">
        <v>21</v>
      </c>
      <c r="E1986">
        <v>21</v>
      </c>
      <c r="F1986">
        <v>1364</v>
      </c>
      <c r="G1986">
        <f>Consulta2[[#This Row],[DIA_UTIL_CORRENTE]]</f>
        <v>5</v>
      </c>
      <c r="H1986" s="6">
        <f>DAY(Consulta2[[#This Row],[DATA]])</f>
        <v>7</v>
      </c>
      <c r="I1986" s="6">
        <f>MONTH(Consulta2[[#This Row],[DATA]])</f>
        <v>6</v>
      </c>
      <c r="J1986" t="str">
        <f>CONCATENATE(Consulta2[[#This Row],[SAFRA]],Consulta2[[#This Row],[dia]])</f>
        <v>2029067</v>
      </c>
      <c r="K1986">
        <f>Consulta2[[#This Row],[DIA_UTIL_CORRENTE]]</f>
        <v>5</v>
      </c>
    </row>
    <row r="1987" spans="1:11" x14ac:dyDescent="0.25">
      <c r="A1987">
        <v>202906</v>
      </c>
      <c r="B1987">
        <v>6</v>
      </c>
      <c r="C1987" s="148">
        <v>47277</v>
      </c>
      <c r="D1987">
        <v>21</v>
      </c>
      <c r="E1987">
        <v>21</v>
      </c>
      <c r="F1987">
        <v>1365</v>
      </c>
      <c r="G1987">
        <f>Consulta2[[#This Row],[DIA_UTIL_CORRENTE]]</f>
        <v>6</v>
      </c>
      <c r="H1987" s="6">
        <f>DAY(Consulta2[[#This Row],[DATA]])</f>
        <v>8</v>
      </c>
      <c r="I1987" s="6">
        <f>MONTH(Consulta2[[#This Row],[DATA]])</f>
        <v>6</v>
      </c>
      <c r="J1987" t="str">
        <f>CONCATENATE(Consulta2[[#This Row],[SAFRA]],Consulta2[[#This Row],[dia]])</f>
        <v>2029068</v>
      </c>
      <c r="K1987">
        <f>Consulta2[[#This Row],[DIA_UTIL_CORRENTE]]</f>
        <v>6</v>
      </c>
    </row>
    <row r="1988" spans="1:11" x14ac:dyDescent="0.25">
      <c r="A1988">
        <v>202906</v>
      </c>
      <c r="B1988">
        <v>6</v>
      </c>
      <c r="C1988" s="148">
        <v>47278</v>
      </c>
      <c r="D1988">
        <v>21</v>
      </c>
      <c r="E1988">
        <v>21</v>
      </c>
      <c r="F1988">
        <v>1365</v>
      </c>
      <c r="G1988">
        <f>Consulta2[[#This Row],[DIA_UTIL_CORRENTE]]</f>
        <v>6</v>
      </c>
      <c r="H1988" s="6">
        <f>DAY(Consulta2[[#This Row],[DATA]])</f>
        <v>9</v>
      </c>
      <c r="I1988" s="6">
        <f>MONTH(Consulta2[[#This Row],[DATA]])</f>
        <v>6</v>
      </c>
      <c r="J1988" t="str">
        <f>CONCATENATE(Consulta2[[#This Row],[SAFRA]],Consulta2[[#This Row],[dia]])</f>
        <v>2029069</v>
      </c>
      <c r="K1988">
        <f>Consulta2[[#This Row],[DIA_UTIL_CORRENTE]]</f>
        <v>6</v>
      </c>
    </row>
    <row r="1989" spans="1:11" x14ac:dyDescent="0.25">
      <c r="A1989">
        <v>202906</v>
      </c>
      <c r="B1989">
        <v>6</v>
      </c>
      <c r="C1989" s="148">
        <v>47279</v>
      </c>
      <c r="D1989">
        <v>21</v>
      </c>
      <c r="E1989">
        <v>21</v>
      </c>
      <c r="F1989">
        <v>1365</v>
      </c>
      <c r="G1989">
        <f>Consulta2[[#This Row],[DIA_UTIL_CORRENTE]]</f>
        <v>6</v>
      </c>
      <c r="H1989" s="6">
        <f>DAY(Consulta2[[#This Row],[DATA]])</f>
        <v>10</v>
      </c>
      <c r="I1989" s="6">
        <f>MONTH(Consulta2[[#This Row],[DATA]])</f>
        <v>6</v>
      </c>
      <c r="J1989" t="str">
        <f>CONCATENATE(Consulta2[[#This Row],[SAFRA]],Consulta2[[#This Row],[dia]])</f>
        <v>20290610</v>
      </c>
      <c r="K1989">
        <f>Consulta2[[#This Row],[DIA_UTIL_CORRENTE]]</f>
        <v>6</v>
      </c>
    </row>
    <row r="1990" spans="1:11" x14ac:dyDescent="0.25">
      <c r="A1990">
        <v>202906</v>
      </c>
      <c r="B1990">
        <v>7</v>
      </c>
      <c r="C1990" s="148">
        <v>47280</v>
      </c>
      <c r="D1990">
        <v>21</v>
      </c>
      <c r="E1990">
        <v>21</v>
      </c>
      <c r="F1990">
        <v>1366</v>
      </c>
      <c r="G1990">
        <f>Consulta2[[#This Row],[DIA_UTIL_CORRENTE]]</f>
        <v>7</v>
      </c>
      <c r="H1990" s="6">
        <f>DAY(Consulta2[[#This Row],[DATA]])</f>
        <v>11</v>
      </c>
      <c r="I1990" s="6">
        <f>MONTH(Consulta2[[#This Row],[DATA]])</f>
        <v>6</v>
      </c>
      <c r="J1990" t="str">
        <f>CONCATENATE(Consulta2[[#This Row],[SAFRA]],Consulta2[[#This Row],[dia]])</f>
        <v>20290611</v>
      </c>
      <c r="K1990">
        <f>Consulta2[[#This Row],[DIA_UTIL_CORRENTE]]</f>
        <v>7</v>
      </c>
    </row>
    <row r="1991" spans="1:11" x14ac:dyDescent="0.25">
      <c r="A1991">
        <v>202906</v>
      </c>
      <c r="B1991">
        <v>8</v>
      </c>
      <c r="C1991" s="148">
        <v>47281</v>
      </c>
      <c r="D1991">
        <v>21</v>
      </c>
      <c r="E1991">
        <v>21</v>
      </c>
      <c r="F1991">
        <v>1367</v>
      </c>
      <c r="G1991">
        <f>Consulta2[[#This Row],[DIA_UTIL_CORRENTE]]</f>
        <v>8</v>
      </c>
      <c r="H1991" s="6">
        <f>DAY(Consulta2[[#This Row],[DATA]])</f>
        <v>12</v>
      </c>
      <c r="I1991" s="6">
        <f>MONTH(Consulta2[[#This Row],[DATA]])</f>
        <v>6</v>
      </c>
      <c r="J1991" t="str">
        <f>CONCATENATE(Consulta2[[#This Row],[SAFRA]],Consulta2[[#This Row],[dia]])</f>
        <v>20290612</v>
      </c>
      <c r="K1991">
        <f>Consulta2[[#This Row],[DIA_UTIL_CORRENTE]]</f>
        <v>8</v>
      </c>
    </row>
    <row r="1992" spans="1:11" x14ac:dyDescent="0.25">
      <c r="A1992">
        <v>202906</v>
      </c>
      <c r="B1992">
        <v>9</v>
      </c>
      <c r="C1992" s="148">
        <v>47282</v>
      </c>
      <c r="D1992">
        <v>21</v>
      </c>
      <c r="E1992">
        <v>21</v>
      </c>
      <c r="F1992">
        <v>1368</v>
      </c>
      <c r="G1992">
        <f>Consulta2[[#This Row],[DIA_UTIL_CORRENTE]]</f>
        <v>9</v>
      </c>
      <c r="H1992" s="6">
        <f>DAY(Consulta2[[#This Row],[DATA]])</f>
        <v>13</v>
      </c>
      <c r="I1992" s="6">
        <f>MONTH(Consulta2[[#This Row],[DATA]])</f>
        <v>6</v>
      </c>
      <c r="J1992" t="str">
        <f>CONCATENATE(Consulta2[[#This Row],[SAFRA]],Consulta2[[#This Row],[dia]])</f>
        <v>20290613</v>
      </c>
      <c r="K1992">
        <f>Consulta2[[#This Row],[DIA_UTIL_CORRENTE]]</f>
        <v>9</v>
      </c>
    </row>
    <row r="1993" spans="1:11" x14ac:dyDescent="0.25">
      <c r="A1993">
        <v>202906</v>
      </c>
      <c r="B1993">
        <v>10</v>
      </c>
      <c r="C1993" s="148">
        <v>47283</v>
      </c>
      <c r="D1993">
        <v>21</v>
      </c>
      <c r="E1993">
        <v>21</v>
      </c>
      <c r="F1993">
        <v>1369</v>
      </c>
      <c r="G1993">
        <f>Consulta2[[#This Row],[DIA_UTIL_CORRENTE]]</f>
        <v>10</v>
      </c>
      <c r="H1993" s="6">
        <f>DAY(Consulta2[[#This Row],[DATA]])</f>
        <v>14</v>
      </c>
      <c r="I1993" s="6">
        <f>MONTH(Consulta2[[#This Row],[DATA]])</f>
        <v>6</v>
      </c>
      <c r="J1993" t="str">
        <f>CONCATENATE(Consulta2[[#This Row],[SAFRA]],Consulta2[[#This Row],[dia]])</f>
        <v>20290614</v>
      </c>
      <c r="K1993">
        <f>Consulta2[[#This Row],[DIA_UTIL_CORRENTE]]</f>
        <v>10</v>
      </c>
    </row>
    <row r="1994" spans="1:11" x14ac:dyDescent="0.25">
      <c r="A1994">
        <v>202906</v>
      </c>
      <c r="B1994">
        <v>11</v>
      </c>
      <c r="C1994" s="148">
        <v>47284</v>
      </c>
      <c r="D1994">
        <v>21</v>
      </c>
      <c r="E1994">
        <v>21</v>
      </c>
      <c r="F1994">
        <v>1370</v>
      </c>
      <c r="G1994">
        <f>Consulta2[[#This Row],[DIA_UTIL_CORRENTE]]</f>
        <v>11</v>
      </c>
      <c r="H1994" s="6">
        <f>DAY(Consulta2[[#This Row],[DATA]])</f>
        <v>15</v>
      </c>
      <c r="I1994" s="6">
        <f>MONTH(Consulta2[[#This Row],[DATA]])</f>
        <v>6</v>
      </c>
      <c r="J1994" t="str">
        <f>CONCATENATE(Consulta2[[#This Row],[SAFRA]],Consulta2[[#This Row],[dia]])</f>
        <v>20290615</v>
      </c>
      <c r="K1994">
        <f>Consulta2[[#This Row],[DIA_UTIL_CORRENTE]]</f>
        <v>11</v>
      </c>
    </row>
    <row r="1995" spans="1:11" x14ac:dyDescent="0.25">
      <c r="A1995">
        <v>202906</v>
      </c>
      <c r="B1995">
        <v>11</v>
      </c>
      <c r="C1995" s="148">
        <v>47285</v>
      </c>
      <c r="D1995">
        <v>21</v>
      </c>
      <c r="E1995">
        <v>21</v>
      </c>
      <c r="F1995">
        <v>1370</v>
      </c>
      <c r="G1995">
        <f>Consulta2[[#This Row],[DIA_UTIL_CORRENTE]]</f>
        <v>11</v>
      </c>
      <c r="H1995" s="6">
        <f>DAY(Consulta2[[#This Row],[DATA]])</f>
        <v>16</v>
      </c>
      <c r="I1995" s="6">
        <f>MONTH(Consulta2[[#This Row],[DATA]])</f>
        <v>6</v>
      </c>
      <c r="J1995" t="str">
        <f>CONCATENATE(Consulta2[[#This Row],[SAFRA]],Consulta2[[#This Row],[dia]])</f>
        <v>20290616</v>
      </c>
      <c r="K1995">
        <f>Consulta2[[#This Row],[DIA_UTIL_CORRENTE]]</f>
        <v>11</v>
      </c>
    </row>
    <row r="1996" spans="1:11" x14ac:dyDescent="0.25">
      <c r="A1996">
        <v>202906</v>
      </c>
      <c r="B1996">
        <v>11</v>
      </c>
      <c r="C1996" s="148">
        <v>47286</v>
      </c>
      <c r="D1996">
        <v>21</v>
      </c>
      <c r="E1996">
        <v>21</v>
      </c>
      <c r="F1996">
        <v>1370</v>
      </c>
      <c r="G1996">
        <f>Consulta2[[#This Row],[DIA_UTIL_CORRENTE]]</f>
        <v>11</v>
      </c>
      <c r="H1996" s="6">
        <f>DAY(Consulta2[[#This Row],[DATA]])</f>
        <v>17</v>
      </c>
      <c r="I1996" s="6">
        <f>MONTH(Consulta2[[#This Row],[DATA]])</f>
        <v>6</v>
      </c>
      <c r="J1996" t="str">
        <f>CONCATENATE(Consulta2[[#This Row],[SAFRA]],Consulta2[[#This Row],[dia]])</f>
        <v>20290617</v>
      </c>
      <c r="K1996">
        <f>Consulta2[[#This Row],[DIA_UTIL_CORRENTE]]</f>
        <v>11</v>
      </c>
    </row>
    <row r="1997" spans="1:11" x14ac:dyDescent="0.25">
      <c r="A1997">
        <v>202906</v>
      </c>
      <c r="B1997">
        <v>12</v>
      </c>
      <c r="C1997" s="148">
        <v>47287</v>
      </c>
      <c r="D1997">
        <v>21</v>
      </c>
      <c r="E1997">
        <v>21</v>
      </c>
      <c r="F1997">
        <v>1371</v>
      </c>
      <c r="G1997">
        <f>Consulta2[[#This Row],[DIA_UTIL_CORRENTE]]</f>
        <v>12</v>
      </c>
      <c r="H1997" s="6">
        <f>DAY(Consulta2[[#This Row],[DATA]])</f>
        <v>18</v>
      </c>
      <c r="I1997" s="6">
        <f>MONTH(Consulta2[[#This Row],[DATA]])</f>
        <v>6</v>
      </c>
      <c r="J1997" t="str">
        <f>CONCATENATE(Consulta2[[#This Row],[SAFRA]],Consulta2[[#This Row],[dia]])</f>
        <v>20290618</v>
      </c>
      <c r="K1997">
        <f>Consulta2[[#This Row],[DIA_UTIL_CORRENTE]]</f>
        <v>12</v>
      </c>
    </row>
    <row r="1998" spans="1:11" x14ac:dyDescent="0.25">
      <c r="A1998">
        <v>202906</v>
      </c>
      <c r="B1998">
        <v>13</v>
      </c>
      <c r="C1998" s="148">
        <v>47288</v>
      </c>
      <c r="D1998">
        <v>21</v>
      </c>
      <c r="E1998">
        <v>21</v>
      </c>
      <c r="F1998">
        <v>1372</v>
      </c>
      <c r="G1998">
        <f>Consulta2[[#This Row],[DIA_UTIL_CORRENTE]]</f>
        <v>13</v>
      </c>
      <c r="H1998" s="6">
        <f>DAY(Consulta2[[#This Row],[DATA]])</f>
        <v>19</v>
      </c>
      <c r="I1998" s="6">
        <f>MONTH(Consulta2[[#This Row],[DATA]])</f>
        <v>6</v>
      </c>
      <c r="J1998" t="str">
        <f>CONCATENATE(Consulta2[[#This Row],[SAFRA]],Consulta2[[#This Row],[dia]])</f>
        <v>20290619</v>
      </c>
      <c r="K1998">
        <f>Consulta2[[#This Row],[DIA_UTIL_CORRENTE]]</f>
        <v>13</v>
      </c>
    </row>
    <row r="1999" spans="1:11" x14ac:dyDescent="0.25">
      <c r="A1999">
        <v>202906</v>
      </c>
      <c r="B1999">
        <v>14</v>
      </c>
      <c r="C1999" s="148">
        <v>47289</v>
      </c>
      <c r="D1999">
        <v>21</v>
      </c>
      <c r="E1999">
        <v>21</v>
      </c>
      <c r="F1999">
        <v>1373</v>
      </c>
      <c r="G1999">
        <f>Consulta2[[#This Row],[DIA_UTIL_CORRENTE]]</f>
        <v>14</v>
      </c>
      <c r="H1999" s="6">
        <f>DAY(Consulta2[[#This Row],[DATA]])</f>
        <v>20</v>
      </c>
      <c r="I1999" s="6">
        <f>MONTH(Consulta2[[#This Row],[DATA]])</f>
        <v>6</v>
      </c>
      <c r="J1999" t="str">
        <f>CONCATENATE(Consulta2[[#This Row],[SAFRA]],Consulta2[[#This Row],[dia]])</f>
        <v>20290620</v>
      </c>
      <c r="K1999">
        <f>Consulta2[[#This Row],[DIA_UTIL_CORRENTE]]</f>
        <v>14</v>
      </c>
    </row>
    <row r="2000" spans="1:11" x14ac:dyDescent="0.25">
      <c r="A2000">
        <v>202906</v>
      </c>
      <c r="B2000">
        <v>15</v>
      </c>
      <c r="C2000" s="148">
        <v>47290</v>
      </c>
      <c r="D2000">
        <v>21</v>
      </c>
      <c r="E2000">
        <v>21</v>
      </c>
      <c r="F2000">
        <v>1374</v>
      </c>
      <c r="G2000">
        <f>Consulta2[[#This Row],[DIA_UTIL_CORRENTE]]</f>
        <v>15</v>
      </c>
      <c r="H2000" s="6">
        <f>DAY(Consulta2[[#This Row],[DATA]])</f>
        <v>21</v>
      </c>
      <c r="I2000" s="6">
        <f>MONTH(Consulta2[[#This Row],[DATA]])</f>
        <v>6</v>
      </c>
      <c r="J2000" t="str">
        <f>CONCATENATE(Consulta2[[#This Row],[SAFRA]],Consulta2[[#This Row],[dia]])</f>
        <v>20290621</v>
      </c>
      <c r="K2000">
        <f>Consulta2[[#This Row],[DIA_UTIL_CORRENTE]]</f>
        <v>15</v>
      </c>
    </row>
    <row r="2001" spans="1:11" x14ac:dyDescent="0.25">
      <c r="A2001">
        <v>202906</v>
      </c>
      <c r="B2001">
        <v>16</v>
      </c>
      <c r="C2001" s="148">
        <v>47291</v>
      </c>
      <c r="D2001">
        <v>21</v>
      </c>
      <c r="E2001">
        <v>21</v>
      </c>
      <c r="F2001">
        <v>1375</v>
      </c>
      <c r="G2001">
        <f>Consulta2[[#This Row],[DIA_UTIL_CORRENTE]]</f>
        <v>16</v>
      </c>
      <c r="H2001" s="6">
        <f>DAY(Consulta2[[#This Row],[DATA]])</f>
        <v>22</v>
      </c>
      <c r="I2001" s="6">
        <f>MONTH(Consulta2[[#This Row],[DATA]])</f>
        <v>6</v>
      </c>
      <c r="J2001" t="str">
        <f>CONCATENATE(Consulta2[[#This Row],[SAFRA]],Consulta2[[#This Row],[dia]])</f>
        <v>20290622</v>
      </c>
      <c r="K2001">
        <f>Consulta2[[#This Row],[DIA_UTIL_CORRENTE]]</f>
        <v>16</v>
      </c>
    </row>
    <row r="2002" spans="1:11" x14ac:dyDescent="0.25">
      <c r="A2002">
        <v>202906</v>
      </c>
      <c r="B2002">
        <v>16</v>
      </c>
      <c r="C2002" s="148">
        <v>47292</v>
      </c>
      <c r="D2002">
        <v>21</v>
      </c>
      <c r="E2002">
        <v>21</v>
      </c>
      <c r="F2002">
        <v>1375</v>
      </c>
      <c r="G2002">
        <f>Consulta2[[#This Row],[DIA_UTIL_CORRENTE]]</f>
        <v>16</v>
      </c>
      <c r="H2002" s="6">
        <f>DAY(Consulta2[[#This Row],[DATA]])</f>
        <v>23</v>
      </c>
      <c r="I2002" s="6">
        <f>MONTH(Consulta2[[#This Row],[DATA]])</f>
        <v>6</v>
      </c>
      <c r="J2002" t="str">
        <f>CONCATENATE(Consulta2[[#This Row],[SAFRA]],Consulta2[[#This Row],[dia]])</f>
        <v>20290623</v>
      </c>
      <c r="K2002">
        <f>Consulta2[[#This Row],[DIA_UTIL_CORRENTE]]</f>
        <v>16</v>
      </c>
    </row>
    <row r="2003" spans="1:11" x14ac:dyDescent="0.25">
      <c r="A2003">
        <v>202906</v>
      </c>
      <c r="B2003">
        <v>16</v>
      </c>
      <c r="C2003" s="148">
        <v>47293</v>
      </c>
      <c r="D2003">
        <v>21</v>
      </c>
      <c r="E2003">
        <v>21</v>
      </c>
      <c r="F2003">
        <v>1375</v>
      </c>
      <c r="G2003">
        <f>Consulta2[[#This Row],[DIA_UTIL_CORRENTE]]</f>
        <v>16</v>
      </c>
      <c r="H2003" s="6">
        <f>DAY(Consulta2[[#This Row],[DATA]])</f>
        <v>24</v>
      </c>
      <c r="I2003" s="6">
        <f>MONTH(Consulta2[[#This Row],[DATA]])</f>
        <v>6</v>
      </c>
      <c r="J2003" t="str">
        <f>CONCATENATE(Consulta2[[#This Row],[SAFRA]],Consulta2[[#This Row],[dia]])</f>
        <v>20290624</v>
      </c>
      <c r="K2003">
        <f>Consulta2[[#This Row],[DIA_UTIL_CORRENTE]]</f>
        <v>16</v>
      </c>
    </row>
    <row r="2004" spans="1:11" x14ac:dyDescent="0.25">
      <c r="A2004">
        <v>202906</v>
      </c>
      <c r="B2004">
        <v>17</v>
      </c>
      <c r="C2004" s="148">
        <v>47294</v>
      </c>
      <c r="D2004">
        <v>21</v>
      </c>
      <c r="E2004">
        <v>21</v>
      </c>
      <c r="F2004">
        <v>1376</v>
      </c>
      <c r="G2004">
        <f>Consulta2[[#This Row],[DIA_UTIL_CORRENTE]]</f>
        <v>17</v>
      </c>
      <c r="H2004" s="6">
        <f>DAY(Consulta2[[#This Row],[DATA]])</f>
        <v>25</v>
      </c>
      <c r="I2004" s="6">
        <f>MONTH(Consulta2[[#This Row],[DATA]])</f>
        <v>6</v>
      </c>
      <c r="J2004" t="str">
        <f>CONCATENATE(Consulta2[[#This Row],[SAFRA]],Consulta2[[#This Row],[dia]])</f>
        <v>20290625</v>
      </c>
      <c r="K2004">
        <f>Consulta2[[#This Row],[DIA_UTIL_CORRENTE]]</f>
        <v>17</v>
      </c>
    </row>
    <row r="2005" spans="1:11" x14ac:dyDescent="0.25">
      <c r="A2005">
        <v>202906</v>
      </c>
      <c r="B2005">
        <v>18</v>
      </c>
      <c r="C2005" s="148">
        <v>47295</v>
      </c>
      <c r="D2005">
        <v>21</v>
      </c>
      <c r="E2005">
        <v>21</v>
      </c>
      <c r="F2005">
        <v>1377</v>
      </c>
      <c r="G2005">
        <f>Consulta2[[#This Row],[DIA_UTIL_CORRENTE]]</f>
        <v>18</v>
      </c>
      <c r="H2005" s="6">
        <f>DAY(Consulta2[[#This Row],[DATA]])</f>
        <v>26</v>
      </c>
      <c r="I2005" s="6">
        <f>MONTH(Consulta2[[#This Row],[DATA]])</f>
        <v>6</v>
      </c>
      <c r="J2005" t="str">
        <f>CONCATENATE(Consulta2[[#This Row],[SAFRA]],Consulta2[[#This Row],[dia]])</f>
        <v>20290626</v>
      </c>
      <c r="K2005">
        <f>Consulta2[[#This Row],[DIA_UTIL_CORRENTE]]</f>
        <v>18</v>
      </c>
    </row>
    <row r="2006" spans="1:11" x14ac:dyDescent="0.25">
      <c r="A2006">
        <v>202906</v>
      </c>
      <c r="B2006">
        <v>19</v>
      </c>
      <c r="C2006" s="148">
        <v>47296</v>
      </c>
      <c r="D2006">
        <v>21</v>
      </c>
      <c r="E2006">
        <v>21</v>
      </c>
      <c r="F2006">
        <v>1378</v>
      </c>
      <c r="G2006">
        <f>Consulta2[[#This Row],[DIA_UTIL_CORRENTE]]</f>
        <v>19</v>
      </c>
      <c r="H2006" s="6">
        <f>DAY(Consulta2[[#This Row],[DATA]])</f>
        <v>27</v>
      </c>
      <c r="I2006" s="6">
        <f>MONTH(Consulta2[[#This Row],[DATA]])</f>
        <v>6</v>
      </c>
      <c r="J2006" t="str">
        <f>CONCATENATE(Consulta2[[#This Row],[SAFRA]],Consulta2[[#This Row],[dia]])</f>
        <v>20290627</v>
      </c>
      <c r="K2006">
        <f>Consulta2[[#This Row],[DIA_UTIL_CORRENTE]]</f>
        <v>19</v>
      </c>
    </row>
    <row r="2007" spans="1:11" x14ac:dyDescent="0.25">
      <c r="A2007">
        <v>202906</v>
      </c>
      <c r="B2007">
        <v>20</v>
      </c>
      <c r="C2007" s="148">
        <v>47297</v>
      </c>
      <c r="D2007">
        <v>21</v>
      </c>
      <c r="E2007">
        <v>21</v>
      </c>
      <c r="F2007">
        <v>1379</v>
      </c>
      <c r="G2007">
        <f>Consulta2[[#This Row],[DIA_UTIL_CORRENTE]]</f>
        <v>20</v>
      </c>
      <c r="H2007" s="6">
        <f>DAY(Consulta2[[#This Row],[DATA]])</f>
        <v>28</v>
      </c>
      <c r="I2007" s="6">
        <f>MONTH(Consulta2[[#This Row],[DATA]])</f>
        <v>6</v>
      </c>
      <c r="J2007" t="str">
        <f>CONCATENATE(Consulta2[[#This Row],[SAFRA]],Consulta2[[#This Row],[dia]])</f>
        <v>20290628</v>
      </c>
      <c r="K2007">
        <f>Consulta2[[#This Row],[DIA_UTIL_CORRENTE]]</f>
        <v>20</v>
      </c>
    </row>
    <row r="2008" spans="1:11" x14ac:dyDescent="0.25">
      <c r="A2008">
        <v>202906</v>
      </c>
      <c r="B2008">
        <v>21</v>
      </c>
      <c r="C2008" s="148">
        <v>47298</v>
      </c>
      <c r="D2008">
        <v>21</v>
      </c>
      <c r="E2008">
        <v>21</v>
      </c>
      <c r="F2008">
        <v>1380</v>
      </c>
      <c r="G2008">
        <f>Consulta2[[#This Row],[DIA_UTIL_CORRENTE]]</f>
        <v>21</v>
      </c>
      <c r="H2008" s="6">
        <f>DAY(Consulta2[[#This Row],[DATA]])</f>
        <v>29</v>
      </c>
      <c r="I2008" s="6">
        <f>MONTH(Consulta2[[#This Row],[DATA]])</f>
        <v>6</v>
      </c>
      <c r="J2008" t="str">
        <f>CONCATENATE(Consulta2[[#This Row],[SAFRA]],Consulta2[[#This Row],[dia]])</f>
        <v>20290629</v>
      </c>
      <c r="K2008">
        <f>Consulta2[[#This Row],[DIA_UTIL_CORRENTE]]</f>
        <v>21</v>
      </c>
    </row>
    <row r="2009" spans="1:11" x14ac:dyDescent="0.25">
      <c r="A2009">
        <v>202906</v>
      </c>
      <c r="B2009">
        <v>21</v>
      </c>
      <c r="C2009" s="148">
        <v>47299</v>
      </c>
      <c r="D2009">
        <v>21</v>
      </c>
      <c r="E2009">
        <v>21</v>
      </c>
      <c r="F2009">
        <v>1380</v>
      </c>
      <c r="G2009">
        <f>Consulta2[[#This Row],[DIA_UTIL_CORRENTE]]</f>
        <v>21</v>
      </c>
      <c r="H2009" s="6">
        <f>DAY(Consulta2[[#This Row],[DATA]])</f>
        <v>30</v>
      </c>
      <c r="I2009" s="6">
        <f>MONTH(Consulta2[[#This Row],[DATA]])</f>
        <v>6</v>
      </c>
      <c r="J2009" t="str">
        <f>CONCATENATE(Consulta2[[#This Row],[SAFRA]],Consulta2[[#This Row],[dia]])</f>
        <v>20290630</v>
      </c>
      <c r="K2009">
        <f>Consulta2[[#This Row],[DIA_UTIL_CORRENTE]]</f>
        <v>21</v>
      </c>
    </row>
    <row r="2010" spans="1:11" x14ac:dyDescent="0.25">
      <c r="A2010">
        <v>202907</v>
      </c>
      <c r="B2010">
        <v>0</v>
      </c>
      <c r="C2010" s="148">
        <v>47300</v>
      </c>
      <c r="D2010">
        <v>22</v>
      </c>
      <c r="E2010">
        <v>22</v>
      </c>
      <c r="F2010">
        <v>1380</v>
      </c>
      <c r="G2010">
        <f>Consulta2[[#This Row],[DIA_UTIL_CORRENTE]]</f>
        <v>0</v>
      </c>
      <c r="H2010" s="6">
        <f>DAY(Consulta2[[#This Row],[DATA]])</f>
        <v>1</v>
      </c>
      <c r="I2010" s="6">
        <f>MONTH(Consulta2[[#This Row],[DATA]])</f>
        <v>7</v>
      </c>
      <c r="J2010" t="str">
        <f>CONCATENATE(Consulta2[[#This Row],[SAFRA]],Consulta2[[#This Row],[dia]])</f>
        <v>2029071</v>
      </c>
      <c r="K2010">
        <f>Consulta2[[#This Row],[DIA_UTIL_CORRENTE]]</f>
        <v>0</v>
      </c>
    </row>
    <row r="2011" spans="1:11" x14ac:dyDescent="0.25">
      <c r="A2011">
        <v>202907</v>
      </c>
      <c r="B2011">
        <v>1</v>
      </c>
      <c r="C2011" s="148">
        <v>47301</v>
      </c>
      <c r="D2011">
        <v>22</v>
      </c>
      <c r="E2011">
        <v>22</v>
      </c>
      <c r="F2011">
        <v>1381</v>
      </c>
      <c r="G2011">
        <f>Consulta2[[#This Row],[DIA_UTIL_CORRENTE]]</f>
        <v>1</v>
      </c>
      <c r="H2011" s="6">
        <f>DAY(Consulta2[[#This Row],[DATA]])</f>
        <v>2</v>
      </c>
      <c r="I2011" s="6">
        <f>MONTH(Consulta2[[#This Row],[DATA]])</f>
        <v>7</v>
      </c>
      <c r="J2011" t="str">
        <f>CONCATENATE(Consulta2[[#This Row],[SAFRA]],Consulta2[[#This Row],[dia]])</f>
        <v>2029072</v>
      </c>
      <c r="K2011">
        <f>Consulta2[[#This Row],[DIA_UTIL_CORRENTE]]</f>
        <v>1</v>
      </c>
    </row>
    <row r="2012" spans="1:11" x14ac:dyDescent="0.25">
      <c r="A2012">
        <v>202907</v>
      </c>
      <c r="B2012">
        <v>2</v>
      </c>
      <c r="C2012" s="148">
        <v>47302</v>
      </c>
      <c r="D2012">
        <v>22</v>
      </c>
      <c r="E2012">
        <v>22</v>
      </c>
      <c r="F2012">
        <v>1382</v>
      </c>
      <c r="G2012">
        <f>Consulta2[[#This Row],[DIA_UTIL_CORRENTE]]</f>
        <v>2</v>
      </c>
      <c r="H2012" s="6">
        <f>DAY(Consulta2[[#This Row],[DATA]])</f>
        <v>3</v>
      </c>
      <c r="I2012" s="6">
        <f>MONTH(Consulta2[[#This Row],[DATA]])</f>
        <v>7</v>
      </c>
      <c r="J2012" t="str">
        <f>CONCATENATE(Consulta2[[#This Row],[SAFRA]],Consulta2[[#This Row],[dia]])</f>
        <v>2029073</v>
      </c>
      <c r="K2012">
        <f>Consulta2[[#This Row],[DIA_UTIL_CORRENTE]]</f>
        <v>2</v>
      </c>
    </row>
    <row r="2013" spans="1:11" x14ac:dyDescent="0.25">
      <c r="A2013">
        <v>202907</v>
      </c>
      <c r="B2013">
        <v>3</v>
      </c>
      <c r="C2013" s="148">
        <v>47303</v>
      </c>
      <c r="D2013">
        <v>22</v>
      </c>
      <c r="E2013">
        <v>22</v>
      </c>
      <c r="F2013">
        <v>1383</v>
      </c>
      <c r="G2013">
        <f>Consulta2[[#This Row],[DIA_UTIL_CORRENTE]]</f>
        <v>3</v>
      </c>
      <c r="H2013" s="6">
        <f>DAY(Consulta2[[#This Row],[DATA]])</f>
        <v>4</v>
      </c>
      <c r="I2013" s="6">
        <f>MONTH(Consulta2[[#This Row],[DATA]])</f>
        <v>7</v>
      </c>
      <c r="J2013" t="str">
        <f>CONCATENATE(Consulta2[[#This Row],[SAFRA]],Consulta2[[#This Row],[dia]])</f>
        <v>2029074</v>
      </c>
      <c r="K2013">
        <f>Consulta2[[#This Row],[DIA_UTIL_CORRENTE]]</f>
        <v>3</v>
      </c>
    </row>
    <row r="2014" spans="1:11" x14ac:dyDescent="0.25">
      <c r="A2014">
        <v>202907</v>
      </c>
      <c r="B2014">
        <v>4</v>
      </c>
      <c r="C2014" s="148">
        <v>47304</v>
      </c>
      <c r="D2014">
        <v>22</v>
      </c>
      <c r="E2014">
        <v>22</v>
      </c>
      <c r="F2014">
        <v>1384</v>
      </c>
      <c r="G2014">
        <f>Consulta2[[#This Row],[DIA_UTIL_CORRENTE]]</f>
        <v>4</v>
      </c>
      <c r="H2014" s="6">
        <f>DAY(Consulta2[[#This Row],[DATA]])</f>
        <v>5</v>
      </c>
      <c r="I2014" s="6">
        <f>MONTH(Consulta2[[#This Row],[DATA]])</f>
        <v>7</v>
      </c>
      <c r="J2014" t="str">
        <f>CONCATENATE(Consulta2[[#This Row],[SAFRA]],Consulta2[[#This Row],[dia]])</f>
        <v>2029075</v>
      </c>
      <c r="K2014">
        <f>Consulta2[[#This Row],[DIA_UTIL_CORRENTE]]</f>
        <v>4</v>
      </c>
    </row>
    <row r="2015" spans="1:11" x14ac:dyDescent="0.25">
      <c r="A2015">
        <v>202907</v>
      </c>
      <c r="B2015">
        <v>5</v>
      </c>
      <c r="C2015" s="148">
        <v>47305</v>
      </c>
      <c r="D2015">
        <v>22</v>
      </c>
      <c r="E2015">
        <v>22</v>
      </c>
      <c r="F2015">
        <v>1385</v>
      </c>
      <c r="G2015">
        <f>Consulta2[[#This Row],[DIA_UTIL_CORRENTE]]</f>
        <v>5</v>
      </c>
      <c r="H2015" s="6">
        <f>DAY(Consulta2[[#This Row],[DATA]])</f>
        <v>6</v>
      </c>
      <c r="I2015" s="6">
        <f>MONTH(Consulta2[[#This Row],[DATA]])</f>
        <v>7</v>
      </c>
      <c r="J2015" t="str">
        <f>CONCATENATE(Consulta2[[#This Row],[SAFRA]],Consulta2[[#This Row],[dia]])</f>
        <v>2029076</v>
      </c>
      <c r="K2015">
        <f>Consulta2[[#This Row],[DIA_UTIL_CORRENTE]]</f>
        <v>5</v>
      </c>
    </row>
    <row r="2016" spans="1:11" x14ac:dyDescent="0.25">
      <c r="A2016">
        <v>202907</v>
      </c>
      <c r="B2016">
        <v>5</v>
      </c>
      <c r="C2016" s="148">
        <v>47306</v>
      </c>
      <c r="D2016">
        <v>22</v>
      </c>
      <c r="E2016">
        <v>22</v>
      </c>
      <c r="F2016">
        <v>1385</v>
      </c>
      <c r="G2016">
        <f>Consulta2[[#This Row],[DIA_UTIL_CORRENTE]]</f>
        <v>5</v>
      </c>
      <c r="H2016" s="6">
        <f>DAY(Consulta2[[#This Row],[DATA]])</f>
        <v>7</v>
      </c>
      <c r="I2016" s="6">
        <f>MONTH(Consulta2[[#This Row],[DATA]])</f>
        <v>7</v>
      </c>
      <c r="J2016" t="str">
        <f>CONCATENATE(Consulta2[[#This Row],[SAFRA]],Consulta2[[#This Row],[dia]])</f>
        <v>2029077</v>
      </c>
      <c r="K2016">
        <f>Consulta2[[#This Row],[DIA_UTIL_CORRENTE]]</f>
        <v>5</v>
      </c>
    </row>
    <row r="2017" spans="1:11" x14ac:dyDescent="0.25">
      <c r="A2017">
        <v>202907</v>
      </c>
      <c r="B2017">
        <v>5</v>
      </c>
      <c r="C2017" s="148">
        <v>47307</v>
      </c>
      <c r="D2017">
        <v>22</v>
      </c>
      <c r="E2017">
        <v>22</v>
      </c>
      <c r="F2017">
        <v>1385</v>
      </c>
      <c r="G2017">
        <f>Consulta2[[#This Row],[DIA_UTIL_CORRENTE]]</f>
        <v>5</v>
      </c>
      <c r="H2017" s="6">
        <f>DAY(Consulta2[[#This Row],[DATA]])</f>
        <v>8</v>
      </c>
      <c r="I2017" s="6">
        <f>MONTH(Consulta2[[#This Row],[DATA]])</f>
        <v>7</v>
      </c>
      <c r="J2017" t="str">
        <f>CONCATENATE(Consulta2[[#This Row],[SAFRA]],Consulta2[[#This Row],[dia]])</f>
        <v>2029078</v>
      </c>
      <c r="K2017">
        <f>Consulta2[[#This Row],[DIA_UTIL_CORRENTE]]</f>
        <v>5</v>
      </c>
    </row>
    <row r="2018" spans="1:11" x14ac:dyDescent="0.25">
      <c r="A2018">
        <v>202907</v>
      </c>
      <c r="B2018">
        <v>6</v>
      </c>
      <c r="C2018" s="148">
        <v>47308</v>
      </c>
      <c r="D2018">
        <v>22</v>
      </c>
      <c r="E2018">
        <v>22</v>
      </c>
      <c r="F2018">
        <v>1386</v>
      </c>
      <c r="G2018">
        <f>Consulta2[[#This Row],[DIA_UTIL_CORRENTE]]</f>
        <v>6</v>
      </c>
      <c r="H2018" s="6">
        <f>DAY(Consulta2[[#This Row],[DATA]])</f>
        <v>9</v>
      </c>
      <c r="I2018" s="6">
        <f>MONTH(Consulta2[[#This Row],[DATA]])</f>
        <v>7</v>
      </c>
      <c r="J2018" t="str">
        <f>CONCATENATE(Consulta2[[#This Row],[SAFRA]],Consulta2[[#This Row],[dia]])</f>
        <v>2029079</v>
      </c>
      <c r="K2018">
        <f>Consulta2[[#This Row],[DIA_UTIL_CORRENTE]]</f>
        <v>6</v>
      </c>
    </row>
    <row r="2019" spans="1:11" x14ac:dyDescent="0.25">
      <c r="A2019">
        <v>202907</v>
      </c>
      <c r="B2019">
        <v>7</v>
      </c>
      <c r="C2019" s="148">
        <v>47309</v>
      </c>
      <c r="D2019">
        <v>22</v>
      </c>
      <c r="E2019">
        <v>22</v>
      </c>
      <c r="F2019">
        <v>1387</v>
      </c>
      <c r="G2019">
        <f>Consulta2[[#This Row],[DIA_UTIL_CORRENTE]]</f>
        <v>7</v>
      </c>
      <c r="H2019" s="6">
        <f>DAY(Consulta2[[#This Row],[DATA]])</f>
        <v>10</v>
      </c>
      <c r="I2019" s="6">
        <f>MONTH(Consulta2[[#This Row],[DATA]])</f>
        <v>7</v>
      </c>
      <c r="J2019" t="str">
        <f>CONCATENATE(Consulta2[[#This Row],[SAFRA]],Consulta2[[#This Row],[dia]])</f>
        <v>20290710</v>
      </c>
      <c r="K2019">
        <f>Consulta2[[#This Row],[DIA_UTIL_CORRENTE]]</f>
        <v>7</v>
      </c>
    </row>
    <row r="2020" spans="1:11" x14ac:dyDescent="0.25">
      <c r="A2020">
        <v>202907</v>
      </c>
      <c r="B2020">
        <v>8</v>
      </c>
      <c r="C2020" s="148">
        <v>47310</v>
      </c>
      <c r="D2020">
        <v>22</v>
      </c>
      <c r="E2020">
        <v>22</v>
      </c>
      <c r="F2020">
        <v>1388</v>
      </c>
      <c r="G2020">
        <f>Consulta2[[#This Row],[DIA_UTIL_CORRENTE]]</f>
        <v>8</v>
      </c>
      <c r="H2020" s="6">
        <f>DAY(Consulta2[[#This Row],[DATA]])</f>
        <v>11</v>
      </c>
      <c r="I2020" s="6">
        <f>MONTH(Consulta2[[#This Row],[DATA]])</f>
        <v>7</v>
      </c>
      <c r="J2020" t="str">
        <f>CONCATENATE(Consulta2[[#This Row],[SAFRA]],Consulta2[[#This Row],[dia]])</f>
        <v>20290711</v>
      </c>
      <c r="K2020">
        <f>Consulta2[[#This Row],[DIA_UTIL_CORRENTE]]</f>
        <v>8</v>
      </c>
    </row>
    <row r="2021" spans="1:11" x14ac:dyDescent="0.25">
      <c r="A2021">
        <v>202907</v>
      </c>
      <c r="B2021">
        <v>9</v>
      </c>
      <c r="C2021" s="148">
        <v>47311</v>
      </c>
      <c r="D2021">
        <v>22</v>
      </c>
      <c r="E2021">
        <v>22</v>
      </c>
      <c r="F2021">
        <v>1389</v>
      </c>
      <c r="G2021">
        <f>Consulta2[[#This Row],[DIA_UTIL_CORRENTE]]</f>
        <v>9</v>
      </c>
      <c r="H2021" s="6">
        <f>DAY(Consulta2[[#This Row],[DATA]])</f>
        <v>12</v>
      </c>
      <c r="I2021" s="6">
        <f>MONTH(Consulta2[[#This Row],[DATA]])</f>
        <v>7</v>
      </c>
      <c r="J2021" t="str">
        <f>CONCATENATE(Consulta2[[#This Row],[SAFRA]],Consulta2[[#This Row],[dia]])</f>
        <v>20290712</v>
      </c>
      <c r="K2021">
        <f>Consulta2[[#This Row],[DIA_UTIL_CORRENTE]]</f>
        <v>9</v>
      </c>
    </row>
    <row r="2022" spans="1:11" x14ac:dyDescent="0.25">
      <c r="A2022">
        <v>202907</v>
      </c>
      <c r="B2022">
        <v>10</v>
      </c>
      <c r="C2022" s="148">
        <v>47312</v>
      </c>
      <c r="D2022">
        <v>22</v>
      </c>
      <c r="E2022">
        <v>22</v>
      </c>
      <c r="F2022">
        <v>1390</v>
      </c>
      <c r="G2022">
        <f>Consulta2[[#This Row],[DIA_UTIL_CORRENTE]]</f>
        <v>10</v>
      </c>
      <c r="H2022" s="6">
        <f>DAY(Consulta2[[#This Row],[DATA]])</f>
        <v>13</v>
      </c>
      <c r="I2022" s="6">
        <f>MONTH(Consulta2[[#This Row],[DATA]])</f>
        <v>7</v>
      </c>
      <c r="J2022" t="str">
        <f>CONCATENATE(Consulta2[[#This Row],[SAFRA]],Consulta2[[#This Row],[dia]])</f>
        <v>20290713</v>
      </c>
      <c r="K2022">
        <f>Consulta2[[#This Row],[DIA_UTIL_CORRENTE]]</f>
        <v>10</v>
      </c>
    </row>
    <row r="2023" spans="1:11" x14ac:dyDescent="0.25">
      <c r="A2023">
        <v>202907</v>
      </c>
      <c r="B2023">
        <v>10</v>
      </c>
      <c r="C2023" s="148">
        <v>47313</v>
      </c>
      <c r="D2023">
        <v>22</v>
      </c>
      <c r="E2023">
        <v>22</v>
      </c>
      <c r="F2023">
        <v>1390</v>
      </c>
      <c r="G2023">
        <f>Consulta2[[#This Row],[DIA_UTIL_CORRENTE]]</f>
        <v>10</v>
      </c>
      <c r="H2023" s="6">
        <f>DAY(Consulta2[[#This Row],[DATA]])</f>
        <v>14</v>
      </c>
      <c r="I2023" s="6">
        <f>MONTH(Consulta2[[#This Row],[DATA]])</f>
        <v>7</v>
      </c>
      <c r="J2023" t="str">
        <f>CONCATENATE(Consulta2[[#This Row],[SAFRA]],Consulta2[[#This Row],[dia]])</f>
        <v>20290714</v>
      </c>
      <c r="K2023">
        <f>Consulta2[[#This Row],[DIA_UTIL_CORRENTE]]</f>
        <v>10</v>
      </c>
    </row>
    <row r="2024" spans="1:11" x14ac:dyDescent="0.25">
      <c r="A2024">
        <v>202907</v>
      </c>
      <c r="B2024">
        <v>10</v>
      </c>
      <c r="C2024" s="148">
        <v>47314</v>
      </c>
      <c r="D2024">
        <v>22</v>
      </c>
      <c r="E2024">
        <v>22</v>
      </c>
      <c r="F2024">
        <v>1390</v>
      </c>
      <c r="G2024">
        <f>Consulta2[[#This Row],[DIA_UTIL_CORRENTE]]</f>
        <v>10</v>
      </c>
      <c r="H2024" s="6">
        <f>DAY(Consulta2[[#This Row],[DATA]])</f>
        <v>15</v>
      </c>
      <c r="I2024" s="6">
        <f>MONTH(Consulta2[[#This Row],[DATA]])</f>
        <v>7</v>
      </c>
      <c r="J2024" t="str">
        <f>CONCATENATE(Consulta2[[#This Row],[SAFRA]],Consulta2[[#This Row],[dia]])</f>
        <v>20290715</v>
      </c>
      <c r="K2024">
        <f>Consulta2[[#This Row],[DIA_UTIL_CORRENTE]]</f>
        <v>10</v>
      </c>
    </row>
    <row r="2025" spans="1:11" x14ac:dyDescent="0.25">
      <c r="A2025">
        <v>202907</v>
      </c>
      <c r="B2025">
        <v>11</v>
      </c>
      <c r="C2025" s="148">
        <v>47315</v>
      </c>
      <c r="D2025">
        <v>22</v>
      </c>
      <c r="E2025">
        <v>22</v>
      </c>
      <c r="F2025">
        <v>1391</v>
      </c>
      <c r="G2025">
        <f>Consulta2[[#This Row],[DIA_UTIL_CORRENTE]]</f>
        <v>11</v>
      </c>
      <c r="H2025" s="6">
        <f>DAY(Consulta2[[#This Row],[DATA]])</f>
        <v>16</v>
      </c>
      <c r="I2025" s="6">
        <f>MONTH(Consulta2[[#This Row],[DATA]])</f>
        <v>7</v>
      </c>
      <c r="J2025" t="str">
        <f>CONCATENATE(Consulta2[[#This Row],[SAFRA]],Consulta2[[#This Row],[dia]])</f>
        <v>20290716</v>
      </c>
      <c r="K2025">
        <f>Consulta2[[#This Row],[DIA_UTIL_CORRENTE]]</f>
        <v>11</v>
      </c>
    </row>
    <row r="2026" spans="1:11" x14ac:dyDescent="0.25">
      <c r="A2026">
        <v>202907</v>
      </c>
      <c r="B2026">
        <v>12</v>
      </c>
      <c r="C2026" s="148">
        <v>47316</v>
      </c>
      <c r="D2026">
        <v>22</v>
      </c>
      <c r="E2026">
        <v>22</v>
      </c>
      <c r="F2026">
        <v>1392</v>
      </c>
      <c r="G2026">
        <f>Consulta2[[#This Row],[DIA_UTIL_CORRENTE]]</f>
        <v>12</v>
      </c>
      <c r="H2026" s="6">
        <f>DAY(Consulta2[[#This Row],[DATA]])</f>
        <v>17</v>
      </c>
      <c r="I2026" s="6">
        <f>MONTH(Consulta2[[#This Row],[DATA]])</f>
        <v>7</v>
      </c>
      <c r="J2026" t="str">
        <f>CONCATENATE(Consulta2[[#This Row],[SAFRA]],Consulta2[[#This Row],[dia]])</f>
        <v>20290717</v>
      </c>
      <c r="K2026">
        <f>Consulta2[[#This Row],[DIA_UTIL_CORRENTE]]</f>
        <v>12</v>
      </c>
    </row>
    <row r="2027" spans="1:11" x14ac:dyDescent="0.25">
      <c r="A2027">
        <v>202907</v>
      </c>
      <c r="B2027">
        <v>13</v>
      </c>
      <c r="C2027" s="148">
        <v>47317</v>
      </c>
      <c r="D2027">
        <v>22</v>
      </c>
      <c r="E2027">
        <v>22</v>
      </c>
      <c r="F2027">
        <v>1393</v>
      </c>
      <c r="G2027">
        <f>Consulta2[[#This Row],[DIA_UTIL_CORRENTE]]</f>
        <v>13</v>
      </c>
      <c r="H2027" s="6">
        <f>DAY(Consulta2[[#This Row],[DATA]])</f>
        <v>18</v>
      </c>
      <c r="I2027" s="6">
        <f>MONTH(Consulta2[[#This Row],[DATA]])</f>
        <v>7</v>
      </c>
      <c r="J2027" t="str">
        <f>CONCATENATE(Consulta2[[#This Row],[SAFRA]],Consulta2[[#This Row],[dia]])</f>
        <v>20290718</v>
      </c>
      <c r="K2027">
        <f>Consulta2[[#This Row],[DIA_UTIL_CORRENTE]]</f>
        <v>13</v>
      </c>
    </row>
    <row r="2028" spans="1:11" x14ac:dyDescent="0.25">
      <c r="A2028">
        <v>202907</v>
      </c>
      <c r="B2028">
        <v>14</v>
      </c>
      <c r="C2028" s="148">
        <v>47318</v>
      </c>
      <c r="D2028">
        <v>22</v>
      </c>
      <c r="E2028">
        <v>22</v>
      </c>
      <c r="F2028">
        <v>1394</v>
      </c>
      <c r="G2028">
        <f>Consulta2[[#This Row],[DIA_UTIL_CORRENTE]]</f>
        <v>14</v>
      </c>
      <c r="H2028" s="6">
        <f>DAY(Consulta2[[#This Row],[DATA]])</f>
        <v>19</v>
      </c>
      <c r="I2028" s="6">
        <f>MONTH(Consulta2[[#This Row],[DATA]])</f>
        <v>7</v>
      </c>
      <c r="J2028" t="str">
        <f>CONCATENATE(Consulta2[[#This Row],[SAFRA]],Consulta2[[#This Row],[dia]])</f>
        <v>20290719</v>
      </c>
      <c r="K2028">
        <f>Consulta2[[#This Row],[DIA_UTIL_CORRENTE]]</f>
        <v>14</v>
      </c>
    </row>
    <row r="2029" spans="1:11" x14ac:dyDescent="0.25">
      <c r="A2029">
        <v>202907</v>
      </c>
      <c r="B2029">
        <v>15</v>
      </c>
      <c r="C2029" s="148">
        <v>47319</v>
      </c>
      <c r="D2029">
        <v>22</v>
      </c>
      <c r="E2029">
        <v>22</v>
      </c>
      <c r="F2029">
        <v>1395</v>
      </c>
      <c r="G2029">
        <f>Consulta2[[#This Row],[DIA_UTIL_CORRENTE]]</f>
        <v>15</v>
      </c>
      <c r="H2029" s="6">
        <f>DAY(Consulta2[[#This Row],[DATA]])</f>
        <v>20</v>
      </c>
      <c r="I2029" s="6">
        <f>MONTH(Consulta2[[#This Row],[DATA]])</f>
        <v>7</v>
      </c>
      <c r="J2029" t="str">
        <f>CONCATENATE(Consulta2[[#This Row],[SAFRA]],Consulta2[[#This Row],[dia]])</f>
        <v>20290720</v>
      </c>
      <c r="K2029">
        <f>Consulta2[[#This Row],[DIA_UTIL_CORRENTE]]</f>
        <v>15</v>
      </c>
    </row>
    <row r="2030" spans="1:11" x14ac:dyDescent="0.25">
      <c r="A2030">
        <v>202907</v>
      </c>
      <c r="B2030">
        <v>15</v>
      </c>
      <c r="C2030" s="148">
        <v>47320</v>
      </c>
      <c r="D2030">
        <v>22</v>
      </c>
      <c r="E2030">
        <v>22</v>
      </c>
      <c r="F2030">
        <v>1395</v>
      </c>
      <c r="G2030">
        <f>Consulta2[[#This Row],[DIA_UTIL_CORRENTE]]</f>
        <v>15</v>
      </c>
      <c r="H2030" s="6">
        <f>DAY(Consulta2[[#This Row],[DATA]])</f>
        <v>21</v>
      </c>
      <c r="I2030" s="6">
        <f>MONTH(Consulta2[[#This Row],[DATA]])</f>
        <v>7</v>
      </c>
      <c r="J2030" t="str">
        <f>CONCATENATE(Consulta2[[#This Row],[SAFRA]],Consulta2[[#This Row],[dia]])</f>
        <v>20290721</v>
      </c>
      <c r="K2030">
        <f>Consulta2[[#This Row],[DIA_UTIL_CORRENTE]]</f>
        <v>15</v>
      </c>
    </row>
    <row r="2031" spans="1:11" x14ac:dyDescent="0.25">
      <c r="A2031">
        <v>202907</v>
      </c>
      <c r="B2031">
        <v>15</v>
      </c>
      <c r="C2031" s="148">
        <v>47321</v>
      </c>
      <c r="D2031">
        <v>22</v>
      </c>
      <c r="E2031">
        <v>22</v>
      </c>
      <c r="F2031">
        <v>1395</v>
      </c>
      <c r="G2031">
        <f>Consulta2[[#This Row],[DIA_UTIL_CORRENTE]]</f>
        <v>15</v>
      </c>
      <c r="H2031" s="6">
        <f>DAY(Consulta2[[#This Row],[DATA]])</f>
        <v>22</v>
      </c>
      <c r="I2031" s="6">
        <f>MONTH(Consulta2[[#This Row],[DATA]])</f>
        <v>7</v>
      </c>
      <c r="J2031" t="str">
        <f>CONCATENATE(Consulta2[[#This Row],[SAFRA]],Consulta2[[#This Row],[dia]])</f>
        <v>20290722</v>
      </c>
      <c r="K2031">
        <f>Consulta2[[#This Row],[DIA_UTIL_CORRENTE]]</f>
        <v>15</v>
      </c>
    </row>
    <row r="2032" spans="1:11" x14ac:dyDescent="0.25">
      <c r="A2032">
        <v>202907</v>
      </c>
      <c r="B2032">
        <v>16</v>
      </c>
      <c r="C2032" s="148">
        <v>47322</v>
      </c>
      <c r="D2032">
        <v>22</v>
      </c>
      <c r="E2032">
        <v>22</v>
      </c>
      <c r="F2032">
        <v>1396</v>
      </c>
      <c r="G2032">
        <f>Consulta2[[#This Row],[DIA_UTIL_CORRENTE]]</f>
        <v>16</v>
      </c>
      <c r="H2032" s="6">
        <f>DAY(Consulta2[[#This Row],[DATA]])</f>
        <v>23</v>
      </c>
      <c r="I2032" s="6">
        <f>MONTH(Consulta2[[#This Row],[DATA]])</f>
        <v>7</v>
      </c>
      <c r="J2032" t="str">
        <f>CONCATENATE(Consulta2[[#This Row],[SAFRA]],Consulta2[[#This Row],[dia]])</f>
        <v>20290723</v>
      </c>
      <c r="K2032">
        <f>Consulta2[[#This Row],[DIA_UTIL_CORRENTE]]</f>
        <v>16</v>
      </c>
    </row>
    <row r="2033" spans="1:11" x14ac:dyDescent="0.25">
      <c r="A2033">
        <v>202907</v>
      </c>
      <c r="B2033">
        <v>17</v>
      </c>
      <c r="C2033" s="148">
        <v>47323</v>
      </c>
      <c r="D2033">
        <v>22</v>
      </c>
      <c r="E2033">
        <v>22</v>
      </c>
      <c r="F2033">
        <v>1397</v>
      </c>
      <c r="G2033">
        <f>Consulta2[[#This Row],[DIA_UTIL_CORRENTE]]</f>
        <v>17</v>
      </c>
      <c r="H2033" s="6">
        <f>DAY(Consulta2[[#This Row],[DATA]])</f>
        <v>24</v>
      </c>
      <c r="I2033" s="6">
        <f>MONTH(Consulta2[[#This Row],[DATA]])</f>
        <v>7</v>
      </c>
      <c r="J2033" t="str">
        <f>CONCATENATE(Consulta2[[#This Row],[SAFRA]],Consulta2[[#This Row],[dia]])</f>
        <v>20290724</v>
      </c>
      <c r="K2033">
        <f>Consulta2[[#This Row],[DIA_UTIL_CORRENTE]]</f>
        <v>17</v>
      </c>
    </row>
    <row r="2034" spans="1:11" x14ac:dyDescent="0.25">
      <c r="A2034">
        <v>202907</v>
      </c>
      <c r="B2034">
        <v>18</v>
      </c>
      <c r="C2034" s="148">
        <v>47324</v>
      </c>
      <c r="D2034">
        <v>22</v>
      </c>
      <c r="E2034">
        <v>22</v>
      </c>
      <c r="F2034">
        <v>1398</v>
      </c>
      <c r="G2034">
        <f>Consulta2[[#This Row],[DIA_UTIL_CORRENTE]]</f>
        <v>18</v>
      </c>
      <c r="H2034" s="6">
        <f>DAY(Consulta2[[#This Row],[DATA]])</f>
        <v>25</v>
      </c>
      <c r="I2034" s="6">
        <f>MONTH(Consulta2[[#This Row],[DATA]])</f>
        <v>7</v>
      </c>
      <c r="J2034" t="str">
        <f>CONCATENATE(Consulta2[[#This Row],[SAFRA]],Consulta2[[#This Row],[dia]])</f>
        <v>20290725</v>
      </c>
      <c r="K2034">
        <f>Consulta2[[#This Row],[DIA_UTIL_CORRENTE]]</f>
        <v>18</v>
      </c>
    </row>
    <row r="2035" spans="1:11" x14ac:dyDescent="0.25">
      <c r="A2035">
        <v>202907</v>
      </c>
      <c r="B2035">
        <v>19</v>
      </c>
      <c r="C2035" s="148">
        <v>47325</v>
      </c>
      <c r="D2035">
        <v>22</v>
      </c>
      <c r="E2035">
        <v>22</v>
      </c>
      <c r="F2035">
        <v>1399</v>
      </c>
      <c r="G2035">
        <f>Consulta2[[#This Row],[DIA_UTIL_CORRENTE]]</f>
        <v>19</v>
      </c>
      <c r="H2035" s="6">
        <f>DAY(Consulta2[[#This Row],[DATA]])</f>
        <v>26</v>
      </c>
      <c r="I2035" s="6">
        <f>MONTH(Consulta2[[#This Row],[DATA]])</f>
        <v>7</v>
      </c>
      <c r="J2035" t="str">
        <f>CONCATENATE(Consulta2[[#This Row],[SAFRA]],Consulta2[[#This Row],[dia]])</f>
        <v>20290726</v>
      </c>
      <c r="K2035">
        <f>Consulta2[[#This Row],[DIA_UTIL_CORRENTE]]</f>
        <v>19</v>
      </c>
    </row>
    <row r="2036" spans="1:11" x14ac:dyDescent="0.25">
      <c r="A2036">
        <v>202907</v>
      </c>
      <c r="B2036">
        <v>20</v>
      </c>
      <c r="C2036" s="148">
        <v>47326</v>
      </c>
      <c r="D2036">
        <v>22</v>
      </c>
      <c r="E2036">
        <v>22</v>
      </c>
      <c r="F2036">
        <v>1400</v>
      </c>
      <c r="G2036">
        <f>Consulta2[[#This Row],[DIA_UTIL_CORRENTE]]</f>
        <v>20</v>
      </c>
      <c r="H2036" s="6">
        <f>DAY(Consulta2[[#This Row],[DATA]])</f>
        <v>27</v>
      </c>
      <c r="I2036" s="6">
        <f>MONTH(Consulta2[[#This Row],[DATA]])</f>
        <v>7</v>
      </c>
      <c r="J2036" t="str">
        <f>CONCATENATE(Consulta2[[#This Row],[SAFRA]],Consulta2[[#This Row],[dia]])</f>
        <v>20290727</v>
      </c>
      <c r="K2036">
        <f>Consulta2[[#This Row],[DIA_UTIL_CORRENTE]]</f>
        <v>20</v>
      </c>
    </row>
    <row r="2037" spans="1:11" x14ac:dyDescent="0.25">
      <c r="A2037">
        <v>202907</v>
      </c>
      <c r="B2037">
        <v>20</v>
      </c>
      <c r="C2037" s="148">
        <v>47327</v>
      </c>
      <c r="D2037">
        <v>22</v>
      </c>
      <c r="E2037">
        <v>22</v>
      </c>
      <c r="F2037">
        <v>1400</v>
      </c>
      <c r="G2037">
        <f>Consulta2[[#This Row],[DIA_UTIL_CORRENTE]]</f>
        <v>20</v>
      </c>
      <c r="H2037" s="6">
        <f>DAY(Consulta2[[#This Row],[DATA]])</f>
        <v>28</v>
      </c>
      <c r="I2037" s="6">
        <f>MONTH(Consulta2[[#This Row],[DATA]])</f>
        <v>7</v>
      </c>
      <c r="J2037" t="str">
        <f>CONCATENATE(Consulta2[[#This Row],[SAFRA]],Consulta2[[#This Row],[dia]])</f>
        <v>20290728</v>
      </c>
      <c r="K2037">
        <f>Consulta2[[#This Row],[DIA_UTIL_CORRENTE]]</f>
        <v>20</v>
      </c>
    </row>
    <row r="2038" spans="1:11" x14ac:dyDescent="0.25">
      <c r="A2038">
        <v>202907</v>
      </c>
      <c r="B2038">
        <v>20</v>
      </c>
      <c r="C2038" s="148">
        <v>47328</v>
      </c>
      <c r="D2038">
        <v>22</v>
      </c>
      <c r="E2038">
        <v>22</v>
      </c>
      <c r="F2038">
        <v>1400</v>
      </c>
      <c r="G2038">
        <f>Consulta2[[#This Row],[DIA_UTIL_CORRENTE]]</f>
        <v>20</v>
      </c>
      <c r="H2038" s="6">
        <f>DAY(Consulta2[[#This Row],[DATA]])</f>
        <v>29</v>
      </c>
      <c r="I2038" s="6">
        <f>MONTH(Consulta2[[#This Row],[DATA]])</f>
        <v>7</v>
      </c>
      <c r="J2038" t="str">
        <f>CONCATENATE(Consulta2[[#This Row],[SAFRA]],Consulta2[[#This Row],[dia]])</f>
        <v>20290729</v>
      </c>
      <c r="K2038">
        <f>Consulta2[[#This Row],[DIA_UTIL_CORRENTE]]</f>
        <v>20</v>
      </c>
    </row>
    <row r="2039" spans="1:11" x14ac:dyDescent="0.25">
      <c r="A2039">
        <v>202907</v>
      </c>
      <c r="B2039">
        <v>21</v>
      </c>
      <c r="C2039" s="148">
        <v>47329</v>
      </c>
      <c r="D2039">
        <v>22</v>
      </c>
      <c r="E2039">
        <v>22</v>
      </c>
      <c r="F2039">
        <v>1401</v>
      </c>
      <c r="G2039">
        <f>Consulta2[[#This Row],[DIA_UTIL_CORRENTE]]</f>
        <v>21</v>
      </c>
      <c r="H2039" s="6">
        <f>DAY(Consulta2[[#This Row],[DATA]])</f>
        <v>30</v>
      </c>
      <c r="I2039" s="6">
        <f>MONTH(Consulta2[[#This Row],[DATA]])</f>
        <v>7</v>
      </c>
      <c r="J2039" t="str">
        <f>CONCATENATE(Consulta2[[#This Row],[SAFRA]],Consulta2[[#This Row],[dia]])</f>
        <v>20290730</v>
      </c>
      <c r="K2039">
        <f>Consulta2[[#This Row],[DIA_UTIL_CORRENTE]]</f>
        <v>21</v>
      </c>
    </row>
    <row r="2040" spans="1:11" x14ac:dyDescent="0.25">
      <c r="A2040">
        <v>202907</v>
      </c>
      <c r="B2040">
        <v>22</v>
      </c>
      <c r="C2040" s="148">
        <v>47330</v>
      </c>
      <c r="D2040">
        <v>22</v>
      </c>
      <c r="E2040">
        <v>22</v>
      </c>
      <c r="F2040">
        <v>1402</v>
      </c>
      <c r="G2040">
        <f>Consulta2[[#This Row],[DIA_UTIL_CORRENTE]]</f>
        <v>22</v>
      </c>
      <c r="H2040" s="6">
        <f>DAY(Consulta2[[#This Row],[DATA]])</f>
        <v>31</v>
      </c>
      <c r="I2040" s="6">
        <f>MONTH(Consulta2[[#This Row],[DATA]])</f>
        <v>7</v>
      </c>
      <c r="J2040" t="str">
        <f>CONCATENATE(Consulta2[[#This Row],[SAFRA]],Consulta2[[#This Row],[dia]])</f>
        <v>20290731</v>
      </c>
      <c r="K2040">
        <f>Consulta2[[#This Row],[DIA_UTIL_CORRENTE]]</f>
        <v>22</v>
      </c>
    </row>
    <row r="2041" spans="1:11" x14ac:dyDescent="0.25">
      <c r="A2041">
        <v>202908</v>
      </c>
      <c r="B2041">
        <v>1</v>
      </c>
      <c r="C2041" s="148">
        <v>47331</v>
      </c>
      <c r="D2041">
        <v>23</v>
      </c>
      <c r="E2041">
        <v>23</v>
      </c>
      <c r="F2041">
        <v>1403</v>
      </c>
      <c r="G2041">
        <f>Consulta2[[#This Row],[DIA_UTIL_CORRENTE]]</f>
        <v>1</v>
      </c>
      <c r="H2041" s="6">
        <f>DAY(Consulta2[[#This Row],[DATA]])</f>
        <v>1</v>
      </c>
      <c r="I2041" s="6">
        <f>MONTH(Consulta2[[#This Row],[DATA]])</f>
        <v>8</v>
      </c>
      <c r="J2041" t="str">
        <f>CONCATENATE(Consulta2[[#This Row],[SAFRA]],Consulta2[[#This Row],[dia]])</f>
        <v>2029081</v>
      </c>
      <c r="K2041">
        <f>Consulta2[[#This Row],[DIA_UTIL_CORRENTE]]</f>
        <v>1</v>
      </c>
    </row>
    <row r="2042" spans="1:11" x14ac:dyDescent="0.25">
      <c r="A2042">
        <v>202908</v>
      </c>
      <c r="B2042">
        <v>2</v>
      </c>
      <c r="C2042" s="148">
        <v>47332</v>
      </c>
      <c r="D2042">
        <v>23</v>
      </c>
      <c r="E2042">
        <v>23</v>
      </c>
      <c r="F2042">
        <v>1404</v>
      </c>
      <c r="G2042">
        <f>Consulta2[[#This Row],[DIA_UTIL_CORRENTE]]</f>
        <v>2</v>
      </c>
      <c r="H2042" s="6">
        <f>DAY(Consulta2[[#This Row],[DATA]])</f>
        <v>2</v>
      </c>
      <c r="I2042" s="6">
        <f>MONTH(Consulta2[[#This Row],[DATA]])</f>
        <v>8</v>
      </c>
      <c r="J2042" t="str">
        <f>CONCATENATE(Consulta2[[#This Row],[SAFRA]],Consulta2[[#This Row],[dia]])</f>
        <v>2029082</v>
      </c>
      <c r="K2042">
        <f>Consulta2[[#This Row],[DIA_UTIL_CORRENTE]]</f>
        <v>2</v>
      </c>
    </row>
    <row r="2043" spans="1:11" x14ac:dyDescent="0.25">
      <c r="A2043">
        <v>202908</v>
      </c>
      <c r="B2043">
        <v>3</v>
      </c>
      <c r="C2043" s="148">
        <v>47333</v>
      </c>
      <c r="D2043">
        <v>23</v>
      </c>
      <c r="E2043">
        <v>23</v>
      </c>
      <c r="F2043">
        <v>1405</v>
      </c>
      <c r="G2043">
        <f>Consulta2[[#This Row],[DIA_UTIL_CORRENTE]]</f>
        <v>3</v>
      </c>
      <c r="H2043" s="6">
        <f>DAY(Consulta2[[#This Row],[DATA]])</f>
        <v>3</v>
      </c>
      <c r="I2043" s="6">
        <f>MONTH(Consulta2[[#This Row],[DATA]])</f>
        <v>8</v>
      </c>
      <c r="J2043" t="str">
        <f>CONCATENATE(Consulta2[[#This Row],[SAFRA]],Consulta2[[#This Row],[dia]])</f>
        <v>2029083</v>
      </c>
      <c r="K2043">
        <f>Consulta2[[#This Row],[DIA_UTIL_CORRENTE]]</f>
        <v>3</v>
      </c>
    </row>
    <row r="2044" spans="1:11" x14ac:dyDescent="0.25">
      <c r="A2044">
        <v>202908</v>
      </c>
      <c r="B2044">
        <v>3</v>
      </c>
      <c r="C2044" s="148">
        <v>47334</v>
      </c>
      <c r="D2044">
        <v>23</v>
      </c>
      <c r="E2044">
        <v>23</v>
      </c>
      <c r="F2044">
        <v>1405</v>
      </c>
      <c r="G2044">
        <f>Consulta2[[#This Row],[DIA_UTIL_CORRENTE]]</f>
        <v>3</v>
      </c>
      <c r="H2044" s="6">
        <f>DAY(Consulta2[[#This Row],[DATA]])</f>
        <v>4</v>
      </c>
      <c r="I2044" s="6">
        <f>MONTH(Consulta2[[#This Row],[DATA]])</f>
        <v>8</v>
      </c>
      <c r="J2044" t="str">
        <f>CONCATENATE(Consulta2[[#This Row],[SAFRA]],Consulta2[[#This Row],[dia]])</f>
        <v>2029084</v>
      </c>
      <c r="K2044">
        <f>Consulta2[[#This Row],[DIA_UTIL_CORRENTE]]</f>
        <v>3</v>
      </c>
    </row>
    <row r="2045" spans="1:11" x14ac:dyDescent="0.25">
      <c r="A2045">
        <v>202908</v>
      </c>
      <c r="B2045">
        <v>3</v>
      </c>
      <c r="C2045" s="148">
        <v>47335</v>
      </c>
      <c r="D2045">
        <v>23</v>
      </c>
      <c r="E2045">
        <v>23</v>
      </c>
      <c r="F2045">
        <v>1405</v>
      </c>
      <c r="G2045">
        <f>Consulta2[[#This Row],[DIA_UTIL_CORRENTE]]</f>
        <v>3</v>
      </c>
      <c r="H2045" s="6">
        <f>DAY(Consulta2[[#This Row],[DATA]])</f>
        <v>5</v>
      </c>
      <c r="I2045" s="6">
        <f>MONTH(Consulta2[[#This Row],[DATA]])</f>
        <v>8</v>
      </c>
      <c r="J2045" t="str">
        <f>CONCATENATE(Consulta2[[#This Row],[SAFRA]],Consulta2[[#This Row],[dia]])</f>
        <v>2029085</v>
      </c>
      <c r="K2045">
        <f>Consulta2[[#This Row],[DIA_UTIL_CORRENTE]]</f>
        <v>3</v>
      </c>
    </row>
    <row r="2046" spans="1:11" x14ac:dyDescent="0.25">
      <c r="A2046">
        <v>202908</v>
      </c>
      <c r="B2046">
        <v>4</v>
      </c>
      <c r="C2046" s="148">
        <v>47336</v>
      </c>
      <c r="D2046">
        <v>23</v>
      </c>
      <c r="E2046">
        <v>23</v>
      </c>
      <c r="F2046">
        <v>1406</v>
      </c>
      <c r="G2046">
        <f>Consulta2[[#This Row],[DIA_UTIL_CORRENTE]]</f>
        <v>4</v>
      </c>
      <c r="H2046" s="6">
        <f>DAY(Consulta2[[#This Row],[DATA]])</f>
        <v>6</v>
      </c>
      <c r="I2046" s="6">
        <f>MONTH(Consulta2[[#This Row],[DATA]])</f>
        <v>8</v>
      </c>
      <c r="J2046" t="str">
        <f>CONCATENATE(Consulta2[[#This Row],[SAFRA]],Consulta2[[#This Row],[dia]])</f>
        <v>2029086</v>
      </c>
      <c r="K2046">
        <f>Consulta2[[#This Row],[DIA_UTIL_CORRENTE]]</f>
        <v>4</v>
      </c>
    </row>
    <row r="2047" spans="1:11" x14ac:dyDescent="0.25">
      <c r="A2047">
        <v>202908</v>
      </c>
      <c r="B2047">
        <v>5</v>
      </c>
      <c r="C2047" s="148">
        <v>47337</v>
      </c>
      <c r="D2047">
        <v>23</v>
      </c>
      <c r="E2047">
        <v>23</v>
      </c>
      <c r="F2047">
        <v>1407</v>
      </c>
      <c r="G2047">
        <f>Consulta2[[#This Row],[DIA_UTIL_CORRENTE]]</f>
        <v>5</v>
      </c>
      <c r="H2047" s="6">
        <f>DAY(Consulta2[[#This Row],[DATA]])</f>
        <v>7</v>
      </c>
      <c r="I2047" s="6">
        <f>MONTH(Consulta2[[#This Row],[DATA]])</f>
        <v>8</v>
      </c>
      <c r="J2047" t="str">
        <f>CONCATENATE(Consulta2[[#This Row],[SAFRA]],Consulta2[[#This Row],[dia]])</f>
        <v>2029087</v>
      </c>
      <c r="K2047">
        <f>Consulta2[[#This Row],[DIA_UTIL_CORRENTE]]</f>
        <v>5</v>
      </c>
    </row>
    <row r="2048" spans="1:11" x14ac:dyDescent="0.25">
      <c r="A2048">
        <v>202908</v>
      </c>
      <c r="B2048">
        <v>6</v>
      </c>
      <c r="C2048" s="148">
        <v>47338</v>
      </c>
      <c r="D2048">
        <v>23</v>
      </c>
      <c r="E2048">
        <v>23</v>
      </c>
      <c r="F2048">
        <v>1408</v>
      </c>
      <c r="G2048">
        <f>Consulta2[[#This Row],[DIA_UTIL_CORRENTE]]</f>
        <v>6</v>
      </c>
      <c r="H2048" s="6">
        <f>DAY(Consulta2[[#This Row],[DATA]])</f>
        <v>8</v>
      </c>
      <c r="I2048" s="6">
        <f>MONTH(Consulta2[[#This Row],[DATA]])</f>
        <v>8</v>
      </c>
      <c r="J2048" t="str">
        <f>CONCATENATE(Consulta2[[#This Row],[SAFRA]],Consulta2[[#This Row],[dia]])</f>
        <v>2029088</v>
      </c>
      <c r="K2048">
        <f>Consulta2[[#This Row],[DIA_UTIL_CORRENTE]]</f>
        <v>6</v>
      </c>
    </row>
    <row r="2049" spans="1:11" x14ac:dyDescent="0.25">
      <c r="A2049">
        <v>202908</v>
      </c>
      <c r="B2049">
        <v>7</v>
      </c>
      <c r="C2049" s="148">
        <v>47339</v>
      </c>
      <c r="D2049">
        <v>23</v>
      </c>
      <c r="E2049">
        <v>23</v>
      </c>
      <c r="F2049">
        <v>1409</v>
      </c>
      <c r="G2049">
        <f>Consulta2[[#This Row],[DIA_UTIL_CORRENTE]]</f>
        <v>7</v>
      </c>
      <c r="H2049" s="6">
        <f>DAY(Consulta2[[#This Row],[DATA]])</f>
        <v>9</v>
      </c>
      <c r="I2049" s="6">
        <f>MONTH(Consulta2[[#This Row],[DATA]])</f>
        <v>8</v>
      </c>
      <c r="J2049" t="str">
        <f>CONCATENATE(Consulta2[[#This Row],[SAFRA]],Consulta2[[#This Row],[dia]])</f>
        <v>2029089</v>
      </c>
      <c r="K2049">
        <f>Consulta2[[#This Row],[DIA_UTIL_CORRENTE]]</f>
        <v>7</v>
      </c>
    </row>
    <row r="2050" spans="1:11" x14ac:dyDescent="0.25">
      <c r="A2050">
        <v>202908</v>
      </c>
      <c r="B2050">
        <v>8</v>
      </c>
      <c r="C2050" s="148">
        <v>47340</v>
      </c>
      <c r="D2050">
        <v>23</v>
      </c>
      <c r="E2050">
        <v>23</v>
      </c>
      <c r="F2050">
        <v>1410</v>
      </c>
      <c r="G2050">
        <f>Consulta2[[#This Row],[DIA_UTIL_CORRENTE]]</f>
        <v>8</v>
      </c>
      <c r="H2050" s="6">
        <f>DAY(Consulta2[[#This Row],[DATA]])</f>
        <v>10</v>
      </c>
      <c r="I2050" s="6">
        <f>MONTH(Consulta2[[#This Row],[DATA]])</f>
        <v>8</v>
      </c>
      <c r="J2050" t="str">
        <f>CONCATENATE(Consulta2[[#This Row],[SAFRA]],Consulta2[[#This Row],[dia]])</f>
        <v>20290810</v>
      </c>
      <c r="K2050">
        <f>Consulta2[[#This Row],[DIA_UTIL_CORRENTE]]</f>
        <v>8</v>
      </c>
    </row>
    <row r="2051" spans="1:11" x14ac:dyDescent="0.25">
      <c r="A2051">
        <v>202908</v>
      </c>
      <c r="B2051">
        <v>8</v>
      </c>
      <c r="C2051" s="148">
        <v>47341</v>
      </c>
      <c r="D2051">
        <v>23</v>
      </c>
      <c r="E2051">
        <v>23</v>
      </c>
      <c r="F2051">
        <v>1410</v>
      </c>
      <c r="G2051">
        <f>Consulta2[[#This Row],[DIA_UTIL_CORRENTE]]</f>
        <v>8</v>
      </c>
      <c r="H2051" s="6">
        <f>DAY(Consulta2[[#This Row],[DATA]])</f>
        <v>11</v>
      </c>
      <c r="I2051" s="6">
        <f>MONTH(Consulta2[[#This Row],[DATA]])</f>
        <v>8</v>
      </c>
      <c r="J2051" t="str">
        <f>CONCATENATE(Consulta2[[#This Row],[SAFRA]],Consulta2[[#This Row],[dia]])</f>
        <v>20290811</v>
      </c>
      <c r="K2051">
        <f>Consulta2[[#This Row],[DIA_UTIL_CORRENTE]]</f>
        <v>8</v>
      </c>
    </row>
    <row r="2052" spans="1:11" x14ac:dyDescent="0.25">
      <c r="A2052">
        <v>202908</v>
      </c>
      <c r="B2052">
        <v>8</v>
      </c>
      <c r="C2052" s="148">
        <v>47342</v>
      </c>
      <c r="D2052">
        <v>23</v>
      </c>
      <c r="E2052">
        <v>23</v>
      </c>
      <c r="F2052">
        <v>1410</v>
      </c>
      <c r="G2052">
        <f>Consulta2[[#This Row],[DIA_UTIL_CORRENTE]]</f>
        <v>8</v>
      </c>
      <c r="H2052" s="6">
        <f>DAY(Consulta2[[#This Row],[DATA]])</f>
        <v>12</v>
      </c>
      <c r="I2052" s="6">
        <f>MONTH(Consulta2[[#This Row],[DATA]])</f>
        <v>8</v>
      </c>
      <c r="J2052" t="str">
        <f>CONCATENATE(Consulta2[[#This Row],[SAFRA]],Consulta2[[#This Row],[dia]])</f>
        <v>20290812</v>
      </c>
      <c r="K2052">
        <f>Consulta2[[#This Row],[DIA_UTIL_CORRENTE]]</f>
        <v>8</v>
      </c>
    </row>
    <row r="2053" spans="1:11" x14ac:dyDescent="0.25">
      <c r="A2053">
        <v>202908</v>
      </c>
      <c r="B2053">
        <v>9</v>
      </c>
      <c r="C2053" s="148">
        <v>47343</v>
      </c>
      <c r="D2053">
        <v>23</v>
      </c>
      <c r="E2053">
        <v>23</v>
      </c>
      <c r="F2053">
        <v>1411</v>
      </c>
      <c r="G2053">
        <f>Consulta2[[#This Row],[DIA_UTIL_CORRENTE]]</f>
        <v>9</v>
      </c>
      <c r="H2053" s="6">
        <f>DAY(Consulta2[[#This Row],[DATA]])</f>
        <v>13</v>
      </c>
      <c r="I2053" s="6">
        <f>MONTH(Consulta2[[#This Row],[DATA]])</f>
        <v>8</v>
      </c>
      <c r="J2053" t="str">
        <f>CONCATENATE(Consulta2[[#This Row],[SAFRA]],Consulta2[[#This Row],[dia]])</f>
        <v>20290813</v>
      </c>
      <c r="K2053">
        <f>Consulta2[[#This Row],[DIA_UTIL_CORRENTE]]</f>
        <v>9</v>
      </c>
    </row>
    <row r="2054" spans="1:11" x14ac:dyDescent="0.25">
      <c r="A2054">
        <v>202908</v>
      </c>
      <c r="B2054">
        <v>10</v>
      </c>
      <c r="C2054" s="148">
        <v>47344</v>
      </c>
      <c r="D2054">
        <v>23</v>
      </c>
      <c r="E2054">
        <v>23</v>
      </c>
      <c r="F2054">
        <v>1412</v>
      </c>
      <c r="G2054">
        <f>Consulta2[[#This Row],[DIA_UTIL_CORRENTE]]</f>
        <v>10</v>
      </c>
      <c r="H2054" s="6">
        <f>DAY(Consulta2[[#This Row],[DATA]])</f>
        <v>14</v>
      </c>
      <c r="I2054" s="6">
        <f>MONTH(Consulta2[[#This Row],[DATA]])</f>
        <v>8</v>
      </c>
      <c r="J2054" t="str">
        <f>CONCATENATE(Consulta2[[#This Row],[SAFRA]],Consulta2[[#This Row],[dia]])</f>
        <v>20290814</v>
      </c>
      <c r="K2054">
        <f>Consulta2[[#This Row],[DIA_UTIL_CORRENTE]]</f>
        <v>10</v>
      </c>
    </row>
    <row r="2055" spans="1:11" x14ac:dyDescent="0.25">
      <c r="A2055">
        <v>202908</v>
      </c>
      <c r="B2055">
        <v>11</v>
      </c>
      <c r="C2055" s="148">
        <v>47345</v>
      </c>
      <c r="D2055">
        <v>23</v>
      </c>
      <c r="E2055">
        <v>23</v>
      </c>
      <c r="F2055">
        <v>1413</v>
      </c>
      <c r="G2055">
        <f>Consulta2[[#This Row],[DIA_UTIL_CORRENTE]]</f>
        <v>11</v>
      </c>
      <c r="H2055" s="6">
        <f>DAY(Consulta2[[#This Row],[DATA]])</f>
        <v>15</v>
      </c>
      <c r="I2055" s="6">
        <f>MONTH(Consulta2[[#This Row],[DATA]])</f>
        <v>8</v>
      </c>
      <c r="J2055" t="str">
        <f>CONCATENATE(Consulta2[[#This Row],[SAFRA]],Consulta2[[#This Row],[dia]])</f>
        <v>20290815</v>
      </c>
      <c r="K2055">
        <f>Consulta2[[#This Row],[DIA_UTIL_CORRENTE]]</f>
        <v>11</v>
      </c>
    </row>
    <row r="2056" spans="1:11" x14ac:dyDescent="0.25">
      <c r="A2056">
        <v>202908</v>
      </c>
      <c r="B2056">
        <v>12</v>
      </c>
      <c r="C2056" s="148">
        <v>47346</v>
      </c>
      <c r="D2056">
        <v>23</v>
      </c>
      <c r="E2056">
        <v>23</v>
      </c>
      <c r="F2056">
        <v>1414</v>
      </c>
      <c r="G2056">
        <f>Consulta2[[#This Row],[DIA_UTIL_CORRENTE]]</f>
        <v>12</v>
      </c>
      <c r="H2056" s="6">
        <f>DAY(Consulta2[[#This Row],[DATA]])</f>
        <v>16</v>
      </c>
      <c r="I2056" s="6">
        <f>MONTH(Consulta2[[#This Row],[DATA]])</f>
        <v>8</v>
      </c>
      <c r="J2056" t="str">
        <f>CONCATENATE(Consulta2[[#This Row],[SAFRA]],Consulta2[[#This Row],[dia]])</f>
        <v>20290816</v>
      </c>
      <c r="K2056">
        <f>Consulta2[[#This Row],[DIA_UTIL_CORRENTE]]</f>
        <v>12</v>
      </c>
    </row>
    <row r="2057" spans="1:11" x14ac:dyDescent="0.25">
      <c r="A2057">
        <v>202908</v>
      </c>
      <c r="B2057">
        <v>13</v>
      </c>
      <c r="C2057" s="148">
        <v>47347</v>
      </c>
      <c r="D2057">
        <v>23</v>
      </c>
      <c r="E2057">
        <v>23</v>
      </c>
      <c r="F2057">
        <v>1415</v>
      </c>
      <c r="G2057">
        <f>Consulta2[[#This Row],[DIA_UTIL_CORRENTE]]</f>
        <v>13</v>
      </c>
      <c r="H2057" s="6">
        <f>DAY(Consulta2[[#This Row],[DATA]])</f>
        <v>17</v>
      </c>
      <c r="I2057" s="6">
        <f>MONTH(Consulta2[[#This Row],[DATA]])</f>
        <v>8</v>
      </c>
      <c r="J2057" t="str">
        <f>CONCATENATE(Consulta2[[#This Row],[SAFRA]],Consulta2[[#This Row],[dia]])</f>
        <v>20290817</v>
      </c>
      <c r="K2057">
        <f>Consulta2[[#This Row],[DIA_UTIL_CORRENTE]]</f>
        <v>13</v>
      </c>
    </row>
    <row r="2058" spans="1:11" x14ac:dyDescent="0.25">
      <c r="A2058">
        <v>202908</v>
      </c>
      <c r="B2058">
        <v>13</v>
      </c>
      <c r="C2058" s="148">
        <v>47348</v>
      </c>
      <c r="D2058">
        <v>23</v>
      </c>
      <c r="E2058">
        <v>23</v>
      </c>
      <c r="F2058">
        <v>1415</v>
      </c>
      <c r="G2058">
        <f>Consulta2[[#This Row],[DIA_UTIL_CORRENTE]]</f>
        <v>13</v>
      </c>
      <c r="H2058" s="6">
        <f>DAY(Consulta2[[#This Row],[DATA]])</f>
        <v>18</v>
      </c>
      <c r="I2058" s="6">
        <f>MONTH(Consulta2[[#This Row],[DATA]])</f>
        <v>8</v>
      </c>
      <c r="J2058" t="str">
        <f>CONCATENATE(Consulta2[[#This Row],[SAFRA]],Consulta2[[#This Row],[dia]])</f>
        <v>20290818</v>
      </c>
      <c r="K2058">
        <f>Consulta2[[#This Row],[DIA_UTIL_CORRENTE]]</f>
        <v>13</v>
      </c>
    </row>
    <row r="2059" spans="1:11" x14ac:dyDescent="0.25">
      <c r="A2059">
        <v>202908</v>
      </c>
      <c r="B2059">
        <v>13</v>
      </c>
      <c r="C2059" s="148">
        <v>47349</v>
      </c>
      <c r="D2059">
        <v>23</v>
      </c>
      <c r="E2059">
        <v>23</v>
      </c>
      <c r="F2059">
        <v>1415</v>
      </c>
      <c r="G2059">
        <f>Consulta2[[#This Row],[DIA_UTIL_CORRENTE]]</f>
        <v>13</v>
      </c>
      <c r="H2059" s="6">
        <f>DAY(Consulta2[[#This Row],[DATA]])</f>
        <v>19</v>
      </c>
      <c r="I2059" s="6">
        <f>MONTH(Consulta2[[#This Row],[DATA]])</f>
        <v>8</v>
      </c>
      <c r="J2059" t="str">
        <f>CONCATENATE(Consulta2[[#This Row],[SAFRA]],Consulta2[[#This Row],[dia]])</f>
        <v>20290819</v>
      </c>
      <c r="K2059">
        <f>Consulta2[[#This Row],[DIA_UTIL_CORRENTE]]</f>
        <v>13</v>
      </c>
    </row>
    <row r="2060" spans="1:11" x14ac:dyDescent="0.25">
      <c r="A2060">
        <v>202908</v>
      </c>
      <c r="B2060">
        <v>14</v>
      </c>
      <c r="C2060" s="148">
        <v>47350</v>
      </c>
      <c r="D2060">
        <v>23</v>
      </c>
      <c r="E2060">
        <v>23</v>
      </c>
      <c r="F2060">
        <v>1416</v>
      </c>
      <c r="G2060">
        <f>Consulta2[[#This Row],[DIA_UTIL_CORRENTE]]</f>
        <v>14</v>
      </c>
      <c r="H2060" s="6">
        <f>DAY(Consulta2[[#This Row],[DATA]])</f>
        <v>20</v>
      </c>
      <c r="I2060" s="6">
        <f>MONTH(Consulta2[[#This Row],[DATA]])</f>
        <v>8</v>
      </c>
      <c r="J2060" t="str">
        <f>CONCATENATE(Consulta2[[#This Row],[SAFRA]],Consulta2[[#This Row],[dia]])</f>
        <v>20290820</v>
      </c>
      <c r="K2060">
        <f>Consulta2[[#This Row],[DIA_UTIL_CORRENTE]]</f>
        <v>14</v>
      </c>
    </row>
    <row r="2061" spans="1:11" x14ac:dyDescent="0.25">
      <c r="A2061">
        <v>202908</v>
      </c>
      <c r="B2061">
        <v>15</v>
      </c>
      <c r="C2061" s="148">
        <v>47351</v>
      </c>
      <c r="D2061">
        <v>23</v>
      </c>
      <c r="E2061">
        <v>23</v>
      </c>
      <c r="F2061">
        <v>1417</v>
      </c>
      <c r="G2061">
        <f>Consulta2[[#This Row],[DIA_UTIL_CORRENTE]]</f>
        <v>15</v>
      </c>
      <c r="H2061" s="6">
        <f>DAY(Consulta2[[#This Row],[DATA]])</f>
        <v>21</v>
      </c>
      <c r="I2061" s="6">
        <f>MONTH(Consulta2[[#This Row],[DATA]])</f>
        <v>8</v>
      </c>
      <c r="J2061" t="str">
        <f>CONCATENATE(Consulta2[[#This Row],[SAFRA]],Consulta2[[#This Row],[dia]])</f>
        <v>20290821</v>
      </c>
      <c r="K2061">
        <f>Consulta2[[#This Row],[DIA_UTIL_CORRENTE]]</f>
        <v>15</v>
      </c>
    </row>
    <row r="2062" spans="1:11" x14ac:dyDescent="0.25">
      <c r="A2062">
        <v>202908</v>
      </c>
      <c r="B2062">
        <v>16</v>
      </c>
      <c r="C2062" s="148">
        <v>47352</v>
      </c>
      <c r="D2062">
        <v>23</v>
      </c>
      <c r="E2062">
        <v>23</v>
      </c>
      <c r="F2062">
        <v>1418</v>
      </c>
      <c r="G2062">
        <f>Consulta2[[#This Row],[DIA_UTIL_CORRENTE]]</f>
        <v>16</v>
      </c>
      <c r="H2062" s="6">
        <f>DAY(Consulta2[[#This Row],[DATA]])</f>
        <v>22</v>
      </c>
      <c r="I2062" s="6">
        <f>MONTH(Consulta2[[#This Row],[DATA]])</f>
        <v>8</v>
      </c>
      <c r="J2062" t="str">
        <f>CONCATENATE(Consulta2[[#This Row],[SAFRA]],Consulta2[[#This Row],[dia]])</f>
        <v>20290822</v>
      </c>
      <c r="K2062">
        <f>Consulta2[[#This Row],[DIA_UTIL_CORRENTE]]</f>
        <v>16</v>
      </c>
    </row>
    <row r="2063" spans="1:11" x14ac:dyDescent="0.25">
      <c r="A2063">
        <v>202908</v>
      </c>
      <c r="B2063">
        <v>17</v>
      </c>
      <c r="C2063" s="148">
        <v>47353</v>
      </c>
      <c r="D2063">
        <v>23</v>
      </c>
      <c r="E2063">
        <v>23</v>
      </c>
      <c r="F2063">
        <v>1419</v>
      </c>
      <c r="G2063">
        <f>Consulta2[[#This Row],[DIA_UTIL_CORRENTE]]</f>
        <v>17</v>
      </c>
      <c r="H2063" s="6">
        <f>DAY(Consulta2[[#This Row],[DATA]])</f>
        <v>23</v>
      </c>
      <c r="I2063" s="6">
        <f>MONTH(Consulta2[[#This Row],[DATA]])</f>
        <v>8</v>
      </c>
      <c r="J2063" t="str">
        <f>CONCATENATE(Consulta2[[#This Row],[SAFRA]],Consulta2[[#This Row],[dia]])</f>
        <v>20290823</v>
      </c>
      <c r="K2063">
        <f>Consulta2[[#This Row],[DIA_UTIL_CORRENTE]]</f>
        <v>17</v>
      </c>
    </row>
    <row r="2064" spans="1:11" x14ac:dyDescent="0.25">
      <c r="A2064">
        <v>202908</v>
      </c>
      <c r="B2064">
        <v>18</v>
      </c>
      <c r="C2064" s="148">
        <v>47354</v>
      </c>
      <c r="D2064">
        <v>23</v>
      </c>
      <c r="E2064">
        <v>23</v>
      </c>
      <c r="F2064">
        <v>1420</v>
      </c>
      <c r="G2064">
        <f>Consulta2[[#This Row],[DIA_UTIL_CORRENTE]]</f>
        <v>18</v>
      </c>
      <c r="H2064" s="6">
        <f>DAY(Consulta2[[#This Row],[DATA]])</f>
        <v>24</v>
      </c>
      <c r="I2064" s="6">
        <f>MONTH(Consulta2[[#This Row],[DATA]])</f>
        <v>8</v>
      </c>
      <c r="J2064" t="str">
        <f>CONCATENATE(Consulta2[[#This Row],[SAFRA]],Consulta2[[#This Row],[dia]])</f>
        <v>20290824</v>
      </c>
      <c r="K2064">
        <f>Consulta2[[#This Row],[DIA_UTIL_CORRENTE]]</f>
        <v>18</v>
      </c>
    </row>
    <row r="2065" spans="1:11" x14ac:dyDescent="0.25">
      <c r="A2065">
        <v>202908</v>
      </c>
      <c r="B2065">
        <v>18</v>
      </c>
      <c r="C2065" s="148">
        <v>47355</v>
      </c>
      <c r="D2065">
        <v>23</v>
      </c>
      <c r="E2065">
        <v>23</v>
      </c>
      <c r="F2065">
        <v>1420</v>
      </c>
      <c r="G2065">
        <f>Consulta2[[#This Row],[DIA_UTIL_CORRENTE]]</f>
        <v>18</v>
      </c>
      <c r="H2065" s="6">
        <f>DAY(Consulta2[[#This Row],[DATA]])</f>
        <v>25</v>
      </c>
      <c r="I2065" s="6">
        <f>MONTH(Consulta2[[#This Row],[DATA]])</f>
        <v>8</v>
      </c>
      <c r="J2065" t="str">
        <f>CONCATENATE(Consulta2[[#This Row],[SAFRA]],Consulta2[[#This Row],[dia]])</f>
        <v>20290825</v>
      </c>
      <c r="K2065">
        <f>Consulta2[[#This Row],[DIA_UTIL_CORRENTE]]</f>
        <v>18</v>
      </c>
    </row>
    <row r="2066" spans="1:11" x14ac:dyDescent="0.25">
      <c r="A2066">
        <v>202908</v>
      </c>
      <c r="B2066">
        <v>18</v>
      </c>
      <c r="C2066" s="148">
        <v>47356</v>
      </c>
      <c r="D2066">
        <v>23</v>
      </c>
      <c r="E2066">
        <v>23</v>
      </c>
      <c r="F2066">
        <v>1420</v>
      </c>
      <c r="G2066">
        <f>Consulta2[[#This Row],[DIA_UTIL_CORRENTE]]</f>
        <v>18</v>
      </c>
      <c r="H2066" s="6">
        <f>DAY(Consulta2[[#This Row],[DATA]])</f>
        <v>26</v>
      </c>
      <c r="I2066" s="6">
        <f>MONTH(Consulta2[[#This Row],[DATA]])</f>
        <v>8</v>
      </c>
      <c r="J2066" t="str">
        <f>CONCATENATE(Consulta2[[#This Row],[SAFRA]],Consulta2[[#This Row],[dia]])</f>
        <v>20290826</v>
      </c>
      <c r="K2066">
        <f>Consulta2[[#This Row],[DIA_UTIL_CORRENTE]]</f>
        <v>18</v>
      </c>
    </row>
    <row r="2067" spans="1:11" x14ac:dyDescent="0.25">
      <c r="A2067">
        <v>202908</v>
      </c>
      <c r="B2067">
        <v>19</v>
      </c>
      <c r="C2067" s="148">
        <v>47357</v>
      </c>
      <c r="D2067">
        <v>23</v>
      </c>
      <c r="E2067">
        <v>23</v>
      </c>
      <c r="F2067">
        <v>1421</v>
      </c>
      <c r="G2067">
        <f>Consulta2[[#This Row],[DIA_UTIL_CORRENTE]]</f>
        <v>19</v>
      </c>
      <c r="H2067" s="6">
        <f>DAY(Consulta2[[#This Row],[DATA]])</f>
        <v>27</v>
      </c>
      <c r="I2067" s="6">
        <f>MONTH(Consulta2[[#This Row],[DATA]])</f>
        <v>8</v>
      </c>
      <c r="J2067" t="str">
        <f>CONCATENATE(Consulta2[[#This Row],[SAFRA]],Consulta2[[#This Row],[dia]])</f>
        <v>20290827</v>
      </c>
      <c r="K2067">
        <f>Consulta2[[#This Row],[DIA_UTIL_CORRENTE]]</f>
        <v>19</v>
      </c>
    </row>
    <row r="2068" spans="1:11" x14ac:dyDescent="0.25">
      <c r="A2068">
        <v>202908</v>
      </c>
      <c r="B2068">
        <v>20</v>
      </c>
      <c r="C2068" s="148">
        <v>47358</v>
      </c>
      <c r="D2068">
        <v>23</v>
      </c>
      <c r="E2068">
        <v>23</v>
      </c>
      <c r="F2068">
        <v>1422</v>
      </c>
      <c r="G2068">
        <f>Consulta2[[#This Row],[DIA_UTIL_CORRENTE]]</f>
        <v>20</v>
      </c>
      <c r="H2068" s="6">
        <f>DAY(Consulta2[[#This Row],[DATA]])</f>
        <v>28</v>
      </c>
      <c r="I2068" s="6">
        <f>MONTH(Consulta2[[#This Row],[DATA]])</f>
        <v>8</v>
      </c>
      <c r="J2068" t="str">
        <f>CONCATENATE(Consulta2[[#This Row],[SAFRA]],Consulta2[[#This Row],[dia]])</f>
        <v>20290828</v>
      </c>
      <c r="K2068">
        <f>Consulta2[[#This Row],[DIA_UTIL_CORRENTE]]</f>
        <v>20</v>
      </c>
    </row>
    <row r="2069" spans="1:11" x14ac:dyDescent="0.25">
      <c r="A2069">
        <v>202908</v>
      </c>
      <c r="B2069">
        <v>21</v>
      </c>
      <c r="C2069" s="148">
        <v>47359</v>
      </c>
      <c r="D2069">
        <v>23</v>
      </c>
      <c r="E2069">
        <v>23</v>
      </c>
      <c r="F2069">
        <v>1423</v>
      </c>
      <c r="G2069">
        <f>Consulta2[[#This Row],[DIA_UTIL_CORRENTE]]</f>
        <v>21</v>
      </c>
      <c r="H2069" s="6">
        <f>DAY(Consulta2[[#This Row],[DATA]])</f>
        <v>29</v>
      </c>
      <c r="I2069" s="6">
        <f>MONTH(Consulta2[[#This Row],[DATA]])</f>
        <v>8</v>
      </c>
      <c r="J2069" t="str">
        <f>CONCATENATE(Consulta2[[#This Row],[SAFRA]],Consulta2[[#This Row],[dia]])</f>
        <v>20290829</v>
      </c>
      <c r="K2069">
        <f>Consulta2[[#This Row],[DIA_UTIL_CORRENTE]]</f>
        <v>21</v>
      </c>
    </row>
    <row r="2070" spans="1:11" x14ac:dyDescent="0.25">
      <c r="A2070">
        <v>202908</v>
      </c>
      <c r="B2070">
        <v>22</v>
      </c>
      <c r="C2070" s="148">
        <v>47360</v>
      </c>
      <c r="D2070">
        <v>23</v>
      </c>
      <c r="E2070">
        <v>23</v>
      </c>
      <c r="F2070">
        <v>1424</v>
      </c>
      <c r="G2070">
        <f>Consulta2[[#This Row],[DIA_UTIL_CORRENTE]]</f>
        <v>22</v>
      </c>
      <c r="H2070" s="6">
        <f>DAY(Consulta2[[#This Row],[DATA]])</f>
        <v>30</v>
      </c>
      <c r="I2070" s="6">
        <f>MONTH(Consulta2[[#This Row],[DATA]])</f>
        <v>8</v>
      </c>
      <c r="J2070" t="str">
        <f>CONCATENATE(Consulta2[[#This Row],[SAFRA]],Consulta2[[#This Row],[dia]])</f>
        <v>20290830</v>
      </c>
      <c r="K2070">
        <f>Consulta2[[#This Row],[DIA_UTIL_CORRENTE]]</f>
        <v>22</v>
      </c>
    </row>
    <row r="2071" spans="1:11" x14ac:dyDescent="0.25">
      <c r="A2071">
        <v>202908</v>
      </c>
      <c r="B2071">
        <v>23</v>
      </c>
      <c r="C2071" s="148">
        <v>47361</v>
      </c>
      <c r="D2071">
        <v>23</v>
      </c>
      <c r="E2071">
        <v>23</v>
      </c>
      <c r="F2071">
        <v>1425</v>
      </c>
      <c r="G2071">
        <f>Consulta2[[#This Row],[DIA_UTIL_CORRENTE]]</f>
        <v>23</v>
      </c>
      <c r="H2071" s="6">
        <f>DAY(Consulta2[[#This Row],[DATA]])</f>
        <v>31</v>
      </c>
      <c r="I2071" s="6">
        <f>MONTH(Consulta2[[#This Row],[DATA]])</f>
        <v>8</v>
      </c>
      <c r="J2071" t="str">
        <f>CONCATENATE(Consulta2[[#This Row],[SAFRA]],Consulta2[[#This Row],[dia]])</f>
        <v>20290831</v>
      </c>
      <c r="K2071">
        <f>Consulta2[[#This Row],[DIA_UTIL_CORRENTE]]</f>
        <v>23</v>
      </c>
    </row>
    <row r="2072" spans="1:11" x14ac:dyDescent="0.25">
      <c r="A2072">
        <v>202909</v>
      </c>
      <c r="B2072">
        <v>0</v>
      </c>
      <c r="C2072" s="148">
        <v>47362</v>
      </c>
      <c r="D2072">
        <v>19</v>
      </c>
      <c r="E2072">
        <v>19</v>
      </c>
      <c r="F2072">
        <v>1425</v>
      </c>
      <c r="G2072">
        <f>Consulta2[[#This Row],[DIA_UTIL_CORRENTE]]</f>
        <v>0</v>
      </c>
      <c r="H2072" s="6">
        <f>DAY(Consulta2[[#This Row],[DATA]])</f>
        <v>1</v>
      </c>
      <c r="I2072" s="6">
        <f>MONTH(Consulta2[[#This Row],[DATA]])</f>
        <v>9</v>
      </c>
      <c r="J2072" t="str">
        <f>CONCATENATE(Consulta2[[#This Row],[SAFRA]],Consulta2[[#This Row],[dia]])</f>
        <v>2029091</v>
      </c>
      <c r="K2072">
        <f>Consulta2[[#This Row],[DIA_UTIL_CORRENTE]]</f>
        <v>0</v>
      </c>
    </row>
    <row r="2073" spans="1:11" x14ac:dyDescent="0.25">
      <c r="A2073">
        <v>202909</v>
      </c>
      <c r="B2073">
        <v>0</v>
      </c>
      <c r="C2073" s="148">
        <v>47363</v>
      </c>
      <c r="D2073">
        <v>19</v>
      </c>
      <c r="E2073">
        <v>19</v>
      </c>
      <c r="F2073">
        <v>1425</v>
      </c>
      <c r="G2073">
        <f>Consulta2[[#This Row],[DIA_UTIL_CORRENTE]]</f>
        <v>0</v>
      </c>
      <c r="H2073" s="6">
        <f>DAY(Consulta2[[#This Row],[DATA]])</f>
        <v>2</v>
      </c>
      <c r="I2073" s="6">
        <f>MONTH(Consulta2[[#This Row],[DATA]])</f>
        <v>9</v>
      </c>
      <c r="J2073" t="str">
        <f>CONCATENATE(Consulta2[[#This Row],[SAFRA]],Consulta2[[#This Row],[dia]])</f>
        <v>2029092</v>
      </c>
      <c r="K2073">
        <f>Consulta2[[#This Row],[DIA_UTIL_CORRENTE]]</f>
        <v>0</v>
      </c>
    </row>
    <row r="2074" spans="1:11" x14ac:dyDescent="0.25">
      <c r="A2074">
        <v>202909</v>
      </c>
      <c r="B2074">
        <v>1</v>
      </c>
      <c r="C2074" s="148">
        <v>47364</v>
      </c>
      <c r="D2074">
        <v>19</v>
      </c>
      <c r="E2074">
        <v>19</v>
      </c>
      <c r="F2074">
        <v>1426</v>
      </c>
      <c r="G2074">
        <f>Consulta2[[#This Row],[DIA_UTIL_CORRENTE]]</f>
        <v>1</v>
      </c>
      <c r="H2074" s="6">
        <f>DAY(Consulta2[[#This Row],[DATA]])</f>
        <v>3</v>
      </c>
      <c r="I2074" s="6">
        <f>MONTH(Consulta2[[#This Row],[DATA]])</f>
        <v>9</v>
      </c>
      <c r="J2074" t="str">
        <f>CONCATENATE(Consulta2[[#This Row],[SAFRA]],Consulta2[[#This Row],[dia]])</f>
        <v>2029093</v>
      </c>
      <c r="K2074">
        <f>Consulta2[[#This Row],[DIA_UTIL_CORRENTE]]</f>
        <v>1</v>
      </c>
    </row>
    <row r="2075" spans="1:11" x14ac:dyDescent="0.25">
      <c r="A2075">
        <v>202909</v>
      </c>
      <c r="B2075">
        <v>2</v>
      </c>
      <c r="C2075" s="148">
        <v>47365</v>
      </c>
      <c r="D2075">
        <v>19</v>
      </c>
      <c r="E2075">
        <v>19</v>
      </c>
      <c r="F2075">
        <v>1427</v>
      </c>
      <c r="G2075">
        <f>Consulta2[[#This Row],[DIA_UTIL_CORRENTE]]</f>
        <v>2</v>
      </c>
      <c r="H2075" s="6">
        <f>DAY(Consulta2[[#This Row],[DATA]])</f>
        <v>4</v>
      </c>
      <c r="I2075" s="6">
        <f>MONTH(Consulta2[[#This Row],[DATA]])</f>
        <v>9</v>
      </c>
      <c r="J2075" t="str">
        <f>CONCATENATE(Consulta2[[#This Row],[SAFRA]],Consulta2[[#This Row],[dia]])</f>
        <v>2029094</v>
      </c>
      <c r="K2075">
        <f>Consulta2[[#This Row],[DIA_UTIL_CORRENTE]]</f>
        <v>2</v>
      </c>
    </row>
    <row r="2076" spans="1:11" x14ac:dyDescent="0.25">
      <c r="A2076">
        <v>202909</v>
      </c>
      <c r="B2076">
        <v>3</v>
      </c>
      <c r="C2076" s="148">
        <v>47366</v>
      </c>
      <c r="D2076">
        <v>19</v>
      </c>
      <c r="E2076">
        <v>19</v>
      </c>
      <c r="F2076">
        <v>1428</v>
      </c>
      <c r="G2076">
        <f>Consulta2[[#This Row],[DIA_UTIL_CORRENTE]]</f>
        <v>3</v>
      </c>
      <c r="H2076" s="6">
        <f>DAY(Consulta2[[#This Row],[DATA]])</f>
        <v>5</v>
      </c>
      <c r="I2076" s="6">
        <f>MONTH(Consulta2[[#This Row],[DATA]])</f>
        <v>9</v>
      </c>
      <c r="J2076" t="str">
        <f>CONCATENATE(Consulta2[[#This Row],[SAFRA]],Consulta2[[#This Row],[dia]])</f>
        <v>2029095</v>
      </c>
      <c r="K2076">
        <f>Consulta2[[#This Row],[DIA_UTIL_CORRENTE]]</f>
        <v>3</v>
      </c>
    </row>
    <row r="2077" spans="1:11" x14ac:dyDescent="0.25">
      <c r="A2077">
        <v>202909</v>
      </c>
      <c r="B2077">
        <v>4</v>
      </c>
      <c r="C2077" s="148">
        <v>47367</v>
      </c>
      <c r="D2077">
        <v>19</v>
      </c>
      <c r="E2077">
        <v>19</v>
      </c>
      <c r="F2077">
        <v>1429</v>
      </c>
      <c r="G2077">
        <f>Consulta2[[#This Row],[DIA_UTIL_CORRENTE]]</f>
        <v>4</v>
      </c>
      <c r="H2077" s="6">
        <f>DAY(Consulta2[[#This Row],[DATA]])</f>
        <v>6</v>
      </c>
      <c r="I2077" s="6">
        <f>MONTH(Consulta2[[#This Row],[DATA]])</f>
        <v>9</v>
      </c>
      <c r="J2077" t="str">
        <f>CONCATENATE(Consulta2[[#This Row],[SAFRA]],Consulta2[[#This Row],[dia]])</f>
        <v>2029096</v>
      </c>
      <c r="K2077">
        <f>Consulta2[[#This Row],[DIA_UTIL_CORRENTE]]</f>
        <v>4</v>
      </c>
    </row>
    <row r="2078" spans="1:11" x14ac:dyDescent="0.25">
      <c r="A2078">
        <v>202909</v>
      </c>
      <c r="B2078">
        <v>4</v>
      </c>
      <c r="C2078" s="148">
        <v>47368</v>
      </c>
      <c r="D2078">
        <v>19</v>
      </c>
      <c r="E2078">
        <v>19</v>
      </c>
      <c r="F2078">
        <v>1429</v>
      </c>
      <c r="G2078">
        <f>Consulta2[[#This Row],[DIA_UTIL_CORRENTE]]</f>
        <v>4</v>
      </c>
      <c r="H2078" s="6">
        <f>DAY(Consulta2[[#This Row],[DATA]])</f>
        <v>7</v>
      </c>
      <c r="I2078" s="6">
        <f>MONTH(Consulta2[[#This Row],[DATA]])</f>
        <v>9</v>
      </c>
      <c r="J2078" t="str">
        <f>CONCATENATE(Consulta2[[#This Row],[SAFRA]],Consulta2[[#This Row],[dia]])</f>
        <v>2029097</v>
      </c>
      <c r="K2078">
        <f>Consulta2[[#This Row],[DIA_UTIL_CORRENTE]]</f>
        <v>4</v>
      </c>
    </row>
    <row r="2079" spans="1:11" x14ac:dyDescent="0.25">
      <c r="A2079">
        <v>202909</v>
      </c>
      <c r="B2079">
        <v>4</v>
      </c>
      <c r="C2079" s="148">
        <v>47369</v>
      </c>
      <c r="D2079">
        <v>19</v>
      </c>
      <c r="E2079">
        <v>19</v>
      </c>
      <c r="F2079">
        <v>1429</v>
      </c>
      <c r="G2079">
        <f>Consulta2[[#This Row],[DIA_UTIL_CORRENTE]]</f>
        <v>4</v>
      </c>
      <c r="H2079" s="6">
        <f>DAY(Consulta2[[#This Row],[DATA]])</f>
        <v>8</v>
      </c>
      <c r="I2079" s="6">
        <f>MONTH(Consulta2[[#This Row],[DATA]])</f>
        <v>9</v>
      </c>
      <c r="J2079" t="str">
        <f>CONCATENATE(Consulta2[[#This Row],[SAFRA]],Consulta2[[#This Row],[dia]])</f>
        <v>2029098</v>
      </c>
      <c r="K2079">
        <f>Consulta2[[#This Row],[DIA_UTIL_CORRENTE]]</f>
        <v>4</v>
      </c>
    </row>
    <row r="2080" spans="1:11" x14ac:dyDescent="0.25">
      <c r="A2080">
        <v>202909</v>
      </c>
      <c r="B2080">
        <v>4</v>
      </c>
      <c r="C2080" s="148">
        <v>47370</v>
      </c>
      <c r="D2080">
        <v>19</v>
      </c>
      <c r="E2080">
        <v>19</v>
      </c>
      <c r="F2080">
        <v>1429</v>
      </c>
      <c r="G2080">
        <f>Consulta2[[#This Row],[DIA_UTIL_CORRENTE]]</f>
        <v>4</v>
      </c>
      <c r="H2080" s="6">
        <f>DAY(Consulta2[[#This Row],[DATA]])</f>
        <v>9</v>
      </c>
      <c r="I2080" s="6">
        <f>MONTH(Consulta2[[#This Row],[DATA]])</f>
        <v>9</v>
      </c>
      <c r="J2080" t="str">
        <f>CONCATENATE(Consulta2[[#This Row],[SAFRA]],Consulta2[[#This Row],[dia]])</f>
        <v>2029099</v>
      </c>
      <c r="K2080">
        <f>Consulta2[[#This Row],[DIA_UTIL_CORRENTE]]</f>
        <v>4</v>
      </c>
    </row>
    <row r="2081" spans="1:11" x14ac:dyDescent="0.25">
      <c r="A2081">
        <v>202909</v>
      </c>
      <c r="B2081">
        <v>5</v>
      </c>
      <c r="C2081" s="148">
        <v>47371</v>
      </c>
      <c r="D2081">
        <v>19</v>
      </c>
      <c r="E2081">
        <v>19</v>
      </c>
      <c r="F2081">
        <v>1430</v>
      </c>
      <c r="G2081">
        <f>Consulta2[[#This Row],[DIA_UTIL_CORRENTE]]</f>
        <v>5</v>
      </c>
      <c r="H2081" s="6">
        <f>DAY(Consulta2[[#This Row],[DATA]])</f>
        <v>10</v>
      </c>
      <c r="I2081" s="6">
        <f>MONTH(Consulta2[[#This Row],[DATA]])</f>
        <v>9</v>
      </c>
      <c r="J2081" t="str">
        <f>CONCATENATE(Consulta2[[#This Row],[SAFRA]],Consulta2[[#This Row],[dia]])</f>
        <v>20290910</v>
      </c>
      <c r="K2081">
        <f>Consulta2[[#This Row],[DIA_UTIL_CORRENTE]]</f>
        <v>5</v>
      </c>
    </row>
    <row r="2082" spans="1:11" x14ac:dyDescent="0.25">
      <c r="A2082">
        <v>202909</v>
      </c>
      <c r="B2082">
        <v>6</v>
      </c>
      <c r="C2082" s="148">
        <v>47372</v>
      </c>
      <c r="D2082">
        <v>19</v>
      </c>
      <c r="E2082">
        <v>19</v>
      </c>
      <c r="F2082">
        <v>1431</v>
      </c>
      <c r="G2082">
        <f>Consulta2[[#This Row],[DIA_UTIL_CORRENTE]]</f>
        <v>6</v>
      </c>
      <c r="H2082" s="6">
        <f>DAY(Consulta2[[#This Row],[DATA]])</f>
        <v>11</v>
      </c>
      <c r="I2082" s="6">
        <f>MONTH(Consulta2[[#This Row],[DATA]])</f>
        <v>9</v>
      </c>
      <c r="J2082" t="str">
        <f>CONCATENATE(Consulta2[[#This Row],[SAFRA]],Consulta2[[#This Row],[dia]])</f>
        <v>20290911</v>
      </c>
      <c r="K2082">
        <f>Consulta2[[#This Row],[DIA_UTIL_CORRENTE]]</f>
        <v>6</v>
      </c>
    </row>
    <row r="2083" spans="1:11" x14ac:dyDescent="0.25">
      <c r="A2083">
        <v>202909</v>
      </c>
      <c r="B2083">
        <v>7</v>
      </c>
      <c r="C2083" s="148">
        <v>47373</v>
      </c>
      <c r="D2083">
        <v>19</v>
      </c>
      <c r="E2083">
        <v>19</v>
      </c>
      <c r="F2083">
        <v>1432</v>
      </c>
      <c r="G2083">
        <f>Consulta2[[#This Row],[DIA_UTIL_CORRENTE]]</f>
        <v>7</v>
      </c>
      <c r="H2083" s="6">
        <f>DAY(Consulta2[[#This Row],[DATA]])</f>
        <v>12</v>
      </c>
      <c r="I2083" s="6">
        <f>MONTH(Consulta2[[#This Row],[DATA]])</f>
        <v>9</v>
      </c>
      <c r="J2083" t="str">
        <f>CONCATENATE(Consulta2[[#This Row],[SAFRA]],Consulta2[[#This Row],[dia]])</f>
        <v>20290912</v>
      </c>
      <c r="K2083">
        <f>Consulta2[[#This Row],[DIA_UTIL_CORRENTE]]</f>
        <v>7</v>
      </c>
    </row>
    <row r="2084" spans="1:11" x14ac:dyDescent="0.25">
      <c r="A2084">
        <v>202909</v>
      </c>
      <c r="B2084">
        <v>8</v>
      </c>
      <c r="C2084" s="148">
        <v>47374</v>
      </c>
      <c r="D2084">
        <v>19</v>
      </c>
      <c r="E2084">
        <v>19</v>
      </c>
      <c r="F2084">
        <v>1433</v>
      </c>
      <c r="G2084">
        <f>Consulta2[[#This Row],[DIA_UTIL_CORRENTE]]</f>
        <v>8</v>
      </c>
      <c r="H2084" s="6">
        <f>DAY(Consulta2[[#This Row],[DATA]])</f>
        <v>13</v>
      </c>
      <c r="I2084" s="6">
        <f>MONTH(Consulta2[[#This Row],[DATA]])</f>
        <v>9</v>
      </c>
      <c r="J2084" t="str">
        <f>CONCATENATE(Consulta2[[#This Row],[SAFRA]],Consulta2[[#This Row],[dia]])</f>
        <v>20290913</v>
      </c>
      <c r="K2084">
        <f>Consulta2[[#This Row],[DIA_UTIL_CORRENTE]]</f>
        <v>8</v>
      </c>
    </row>
    <row r="2085" spans="1:11" x14ac:dyDescent="0.25">
      <c r="A2085">
        <v>202909</v>
      </c>
      <c r="B2085">
        <v>9</v>
      </c>
      <c r="C2085" s="148">
        <v>47375</v>
      </c>
      <c r="D2085">
        <v>19</v>
      </c>
      <c r="E2085">
        <v>19</v>
      </c>
      <c r="F2085">
        <v>1434</v>
      </c>
      <c r="G2085">
        <f>Consulta2[[#This Row],[DIA_UTIL_CORRENTE]]</f>
        <v>9</v>
      </c>
      <c r="H2085" s="6">
        <f>DAY(Consulta2[[#This Row],[DATA]])</f>
        <v>14</v>
      </c>
      <c r="I2085" s="6">
        <f>MONTH(Consulta2[[#This Row],[DATA]])</f>
        <v>9</v>
      </c>
      <c r="J2085" t="str">
        <f>CONCATENATE(Consulta2[[#This Row],[SAFRA]],Consulta2[[#This Row],[dia]])</f>
        <v>20290914</v>
      </c>
      <c r="K2085">
        <f>Consulta2[[#This Row],[DIA_UTIL_CORRENTE]]</f>
        <v>9</v>
      </c>
    </row>
    <row r="2086" spans="1:11" x14ac:dyDescent="0.25">
      <c r="A2086">
        <v>202909</v>
      </c>
      <c r="B2086">
        <v>9</v>
      </c>
      <c r="C2086" s="148">
        <v>47376</v>
      </c>
      <c r="D2086">
        <v>19</v>
      </c>
      <c r="E2086">
        <v>19</v>
      </c>
      <c r="F2086">
        <v>1434</v>
      </c>
      <c r="G2086">
        <f>Consulta2[[#This Row],[DIA_UTIL_CORRENTE]]</f>
        <v>9</v>
      </c>
      <c r="H2086" s="6">
        <f>DAY(Consulta2[[#This Row],[DATA]])</f>
        <v>15</v>
      </c>
      <c r="I2086" s="6">
        <f>MONTH(Consulta2[[#This Row],[DATA]])</f>
        <v>9</v>
      </c>
      <c r="J2086" t="str">
        <f>CONCATENATE(Consulta2[[#This Row],[SAFRA]],Consulta2[[#This Row],[dia]])</f>
        <v>20290915</v>
      </c>
      <c r="K2086">
        <f>Consulta2[[#This Row],[DIA_UTIL_CORRENTE]]</f>
        <v>9</v>
      </c>
    </row>
    <row r="2087" spans="1:11" x14ac:dyDescent="0.25">
      <c r="A2087">
        <v>202909</v>
      </c>
      <c r="B2087">
        <v>9</v>
      </c>
      <c r="C2087" s="148">
        <v>47377</v>
      </c>
      <c r="D2087">
        <v>19</v>
      </c>
      <c r="E2087">
        <v>19</v>
      </c>
      <c r="F2087">
        <v>1434</v>
      </c>
      <c r="G2087">
        <f>Consulta2[[#This Row],[DIA_UTIL_CORRENTE]]</f>
        <v>9</v>
      </c>
      <c r="H2087" s="6">
        <f>DAY(Consulta2[[#This Row],[DATA]])</f>
        <v>16</v>
      </c>
      <c r="I2087" s="6">
        <f>MONTH(Consulta2[[#This Row],[DATA]])</f>
        <v>9</v>
      </c>
      <c r="J2087" t="str">
        <f>CONCATENATE(Consulta2[[#This Row],[SAFRA]],Consulta2[[#This Row],[dia]])</f>
        <v>20290916</v>
      </c>
      <c r="K2087">
        <f>Consulta2[[#This Row],[DIA_UTIL_CORRENTE]]</f>
        <v>9</v>
      </c>
    </row>
    <row r="2088" spans="1:11" x14ac:dyDescent="0.25">
      <c r="A2088">
        <v>202909</v>
      </c>
      <c r="B2088">
        <v>10</v>
      </c>
      <c r="C2088" s="148">
        <v>47378</v>
      </c>
      <c r="D2088">
        <v>19</v>
      </c>
      <c r="E2088">
        <v>19</v>
      </c>
      <c r="F2088">
        <v>1435</v>
      </c>
      <c r="G2088">
        <f>Consulta2[[#This Row],[DIA_UTIL_CORRENTE]]</f>
        <v>10</v>
      </c>
      <c r="H2088" s="6">
        <f>DAY(Consulta2[[#This Row],[DATA]])</f>
        <v>17</v>
      </c>
      <c r="I2088" s="6">
        <f>MONTH(Consulta2[[#This Row],[DATA]])</f>
        <v>9</v>
      </c>
      <c r="J2088" t="str">
        <f>CONCATENATE(Consulta2[[#This Row],[SAFRA]],Consulta2[[#This Row],[dia]])</f>
        <v>20290917</v>
      </c>
      <c r="K2088">
        <f>Consulta2[[#This Row],[DIA_UTIL_CORRENTE]]</f>
        <v>10</v>
      </c>
    </row>
    <row r="2089" spans="1:11" x14ac:dyDescent="0.25">
      <c r="A2089">
        <v>202909</v>
      </c>
      <c r="B2089">
        <v>11</v>
      </c>
      <c r="C2089" s="148">
        <v>47379</v>
      </c>
      <c r="D2089">
        <v>19</v>
      </c>
      <c r="E2089">
        <v>19</v>
      </c>
      <c r="F2089">
        <v>1436</v>
      </c>
      <c r="G2089">
        <f>Consulta2[[#This Row],[DIA_UTIL_CORRENTE]]</f>
        <v>11</v>
      </c>
      <c r="H2089" s="6">
        <f>DAY(Consulta2[[#This Row],[DATA]])</f>
        <v>18</v>
      </c>
      <c r="I2089" s="6">
        <f>MONTH(Consulta2[[#This Row],[DATA]])</f>
        <v>9</v>
      </c>
      <c r="J2089" t="str">
        <f>CONCATENATE(Consulta2[[#This Row],[SAFRA]],Consulta2[[#This Row],[dia]])</f>
        <v>20290918</v>
      </c>
      <c r="K2089">
        <f>Consulta2[[#This Row],[DIA_UTIL_CORRENTE]]</f>
        <v>11</v>
      </c>
    </row>
    <row r="2090" spans="1:11" x14ac:dyDescent="0.25">
      <c r="A2090">
        <v>202909</v>
      </c>
      <c r="B2090">
        <v>12</v>
      </c>
      <c r="C2090" s="148">
        <v>47380</v>
      </c>
      <c r="D2090">
        <v>19</v>
      </c>
      <c r="E2090">
        <v>19</v>
      </c>
      <c r="F2090">
        <v>1437</v>
      </c>
      <c r="G2090">
        <f>Consulta2[[#This Row],[DIA_UTIL_CORRENTE]]</f>
        <v>12</v>
      </c>
      <c r="H2090" s="6">
        <f>DAY(Consulta2[[#This Row],[DATA]])</f>
        <v>19</v>
      </c>
      <c r="I2090" s="6">
        <f>MONTH(Consulta2[[#This Row],[DATA]])</f>
        <v>9</v>
      </c>
      <c r="J2090" t="str">
        <f>CONCATENATE(Consulta2[[#This Row],[SAFRA]],Consulta2[[#This Row],[dia]])</f>
        <v>20290919</v>
      </c>
      <c r="K2090">
        <f>Consulta2[[#This Row],[DIA_UTIL_CORRENTE]]</f>
        <v>12</v>
      </c>
    </row>
    <row r="2091" spans="1:11" x14ac:dyDescent="0.25">
      <c r="A2091">
        <v>202909</v>
      </c>
      <c r="B2091">
        <v>13</v>
      </c>
      <c r="C2091" s="148">
        <v>47381</v>
      </c>
      <c r="D2091">
        <v>19</v>
      </c>
      <c r="E2091">
        <v>19</v>
      </c>
      <c r="F2091">
        <v>1438</v>
      </c>
      <c r="G2091">
        <f>Consulta2[[#This Row],[DIA_UTIL_CORRENTE]]</f>
        <v>13</v>
      </c>
      <c r="H2091" s="6">
        <f>DAY(Consulta2[[#This Row],[DATA]])</f>
        <v>20</v>
      </c>
      <c r="I2091" s="6">
        <f>MONTH(Consulta2[[#This Row],[DATA]])</f>
        <v>9</v>
      </c>
      <c r="J2091" t="str">
        <f>CONCATENATE(Consulta2[[#This Row],[SAFRA]],Consulta2[[#This Row],[dia]])</f>
        <v>20290920</v>
      </c>
      <c r="K2091">
        <f>Consulta2[[#This Row],[DIA_UTIL_CORRENTE]]</f>
        <v>13</v>
      </c>
    </row>
    <row r="2092" spans="1:11" x14ac:dyDescent="0.25">
      <c r="A2092">
        <v>202909</v>
      </c>
      <c r="B2092">
        <v>14</v>
      </c>
      <c r="C2092" s="148">
        <v>47382</v>
      </c>
      <c r="D2092">
        <v>19</v>
      </c>
      <c r="E2092">
        <v>19</v>
      </c>
      <c r="F2092">
        <v>1439</v>
      </c>
      <c r="G2092">
        <f>Consulta2[[#This Row],[DIA_UTIL_CORRENTE]]</f>
        <v>14</v>
      </c>
      <c r="H2092" s="6">
        <f>DAY(Consulta2[[#This Row],[DATA]])</f>
        <v>21</v>
      </c>
      <c r="I2092" s="6">
        <f>MONTH(Consulta2[[#This Row],[DATA]])</f>
        <v>9</v>
      </c>
      <c r="J2092" t="str">
        <f>CONCATENATE(Consulta2[[#This Row],[SAFRA]],Consulta2[[#This Row],[dia]])</f>
        <v>20290921</v>
      </c>
      <c r="K2092">
        <f>Consulta2[[#This Row],[DIA_UTIL_CORRENTE]]</f>
        <v>14</v>
      </c>
    </row>
    <row r="2093" spans="1:11" x14ac:dyDescent="0.25">
      <c r="A2093">
        <v>202909</v>
      </c>
      <c r="B2093">
        <v>14</v>
      </c>
      <c r="C2093" s="148">
        <v>47383</v>
      </c>
      <c r="D2093">
        <v>19</v>
      </c>
      <c r="E2093">
        <v>19</v>
      </c>
      <c r="F2093">
        <v>1439</v>
      </c>
      <c r="G2093">
        <f>Consulta2[[#This Row],[DIA_UTIL_CORRENTE]]</f>
        <v>14</v>
      </c>
      <c r="H2093" s="6">
        <f>DAY(Consulta2[[#This Row],[DATA]])</f>
        <v>22</v>
      </c>
      <c r="I2093" s="6">
        <f>MONTH(Consulta2[[#This Row],[DATA]])</f>
        <v>9</v>
      </c>
      <c r="J2093" t="str">
        <f>CONCATENATE(Consulta2[[#This Row],[SAFRA]],Consulta2[[#This Row],[dia]])</f>
        <v>20290922</v>
      </c>
      <c r="K2093">
        <f>Consulta2[[#This Row],[DIA_UTIL_CORRENTE]]</f>
        <v>14</v>
      </c>
    </row>
    <row r="2094" spans="1:11" x14ac:dyDescent="0.25">
      <c r="A2094">
        <v>202909</v>
      </c>
      <c r="B2094">
        <v>14</v>
      </c>
      <c r="C2094" s="148">
        <v>47384</v>
      </c>
      <c r="D2094">
        <v>19</v>
      </c>
      <c r="E2094">
        <v>19</v>
      </c>
      <c r="F2094">
        <v>1439</v>
      </c>
      <c r="G2094">
        <f>Consulta2[[#This Row],[DIA_UTIL_CORRENTE]]</f>
        <v>14</v>
      </c>
      <c r="H2094" s="6">
        <f>DAY(Consulta2[[#This Row],[DATA]])</f>
        <v>23</v>
      </c>
      <c r="I2094" s="6">
        <f>MONTH(Consulta2[[#This Row],[DATA]])</f>
        <v>9</v>
      </c>
      <c r="J2094" t="str">
        <f>CONCATENATE(Consulta2[[#This Row],[SAFRA]],Consulta2[[#This Row],[dia]])</f>
        <v>20290923</v>
      </c>
      <c r="K2094">
        <f>Consulta2[[#This Row],[DIA_UTIL_CORRENTE]]</f>
        <v>14</v>
      </c>
    </row>
    <row r="2095" spans="1:11" x14ac:dyDescent="0.25">
      <c r="A2095">
        <v>202909</v>
      </c>
      <c r="B2095">
        <v>15</v>
      </c>
      <c r="C2095" s="148">
        <v>47385</v>
      </c>
      <c r="D2095">
        <v>19</v>
      </c>
      <c r="E2095">
        <v>19</v>
      </c>
      <c r="F2095">
        <v>1440</v>
      </c>
      <c r="G2095">
        <f>Consulta2[[#This Row],[DIA_UTIL_CORRENTE]]</f>
        <v>15</v>
      </c>
      <c r="H2095" s="6">
        <f>DAY(Consulta2[[#This Row],[DATA]])</f>
        <v>24</v>
      </c>
      <c r="I2095" s="6">
        <f>MONTH(Consulta2[[#This Row],[DATA]])</f>
        <v>9</v>
      </c>
      <c r="J2095" t="str">
        <f>CONCATENATE(Consulta2[[#This Row],[SAFRA]],Consulta2[[#This Row],[dia]])</f>
        <v>20290924</v>
      </c>
      <c r="K2095">
        <f>Consulta2[[#This Row],[DIA_UTIL_CORRENTE]]</f>
        <v>15</v>
      </c>
    </row>
    <row r="2096" spans="1:11" x14ac:dyDescent="0.25">
      <c r="A2096">
        <v>202909</v>
      </c>
      <c r="B2096">
        <v>16</v>
      </c>
      <c r="C2096" s="148">
        <v>47386</v>
      </c>
      <c r="D2096">
        <v>19</v>
      </c>
      <c r="E2096">
        <v>19</v>
      </c>
      <c r="F2096">
        <v>1441</v>
      </c>
      <c r="G2096">
        <f>Consulta2[[#This Row],[DIA_UTIL_CORRENTE]]</f>
        <v>16</v>
      </c>
      <c r="H2096" s="6">
        <f>DAY(Consulta2[[#This Row],[DATA]])</f>
        <v>25</v>
      </c>
      <c r="I2096" s="6">
        <f>MONTH(Consulta2[[#This Row],[DATA]])</f>
        <v>9</v>
      </c>
      <c r="J2096" t="str">
        <f>CONCATENATE(Consulta2[[#This Row],[SAFRA]],Consulta2[[#This Row],[dia]])</f>
        <v>20290925</v>
      </c>
      <c r="K2096">
        <f>Consulta2[[#This Row],[DIA_UTIL_CORRENTE]]</f>
        <v>16</v>
      </c>
    </row>
    <row r="2097" spans="1:11" x14ac:dyDescent="0.25">
      <c r="A2097">
        <v>202909</v>
      </c>
      <c r="B2097">
        <v>17</v>
      </c>
      <c r="C2097" s="148">
        <v>47387</v>
      </c>
      <c r="D2097">
        <v>19</v>
      </c>
      <c r="E2097">
        <v>19</v>
      </c>
      <c r="F2097">
        <v>1442</v>
      </c>
      <c r="G2097">
        <f>Consulta2[[#This Row],[DIA_UTIL_CORRENTE]]</f>
        <v>17</v>
      </c>
      <c r="H2097" s="6">
        <f>DAY(Consulta2[[#This Row],[DATA]])</f>
        <v>26</v>
      </c>
      <c r="I2097" s="6">
        <f>MONTH(Consulta2[[#This Row],[DATA]])</f>
        <v>9</v>
      </c>
      <c r="J2097" t="str">
        <f>CONCATENATE(Consulta2[[#This Row],[SAFRA]],Consulta2[[#This Row],[dia]])</f>
        <v>20290926</v>
      </c>
      <c r="K2097">
        <f>Consulta2[[#This Row],[DIA_UTIL_CORRENTE]]</f>
        <v>17</v>
      </c>
    </row>
    <row r="2098" spans="1:11" x14ac:dyDescent="0.25">
      <c r="A2098">
        <v>202909</v>
      </c>
      <c r="B2098">
        <v>18</v>
      </c>
      <c r="C2098" s="148">
        <v>47388</v>
      </c>
      <c r="D2098">
        <v>19</v>
      </c>
      <c r="E2098">
        <v>19</v>
      </c>
      <c r="F2098">
        <v>1443</v>
      </c>
      <c r="G2098">
        <f>Consulta2[[#This Row],[DIA_UTIL_CORRENTE]]</f>
        <v>18</v>
      </c>
      <c r="H2098" s="6">
        <f>DAY(Consulta2[[#This Row],[DATA]])</f>
        <v>27</v>
      </c>
      <c r="I2098" s="6">
        <f>MONTH(Consulta2[[#This Row],[DATA]])</f>
        <v>9</v>
      </c>
      <c r="J2098" t="str">
        <f>CONCATENATE(Consulta2[[#This Row],[SAFRA]],Consulta2[[#This Row],[dia]])</f>
        <v>20290927</v>
      </c>
      <c r="K2098">
        <f>Consulta2[[#This Row],[DIA_UTIL_CORRENTE]]</f>
        <v>18</v>
      </c>
    </row>
    <row r="2099" spans="1:11" x14ac:dyDescent="0.25">
      <c r="A2099">
        <v>202909</v>
      </c>
      <c r="B2099">
        <v>19</v>
      </c>
      <c r="C2099" s="148">
        <v>47389</v>
      </c>
      <c r="D2099">
        <v>19</v>
      </c>
      <c r="E2099">
        <v>19</v>
      </c>
      <c r="F2099">
        <v>1444</v>
      </c>
      <c r="G2099">
        <f>Consulta2[[#This Row],[DIA_UTIL_CORRENTE]]</f>
        <v>19</v>
      </c>
      <c r="H2099" s="6">
        <f>DAY(Consulta2[[#This Row],[DATA]])</f>
        <v>28</v>
      </c>
      <c r="I2099" s="6">
        <f>MONTH(Consulta2[[#This Row],[DATA]])</f>
        <v>9</v>
      </c>
      <c r="J2099" t="str">
        <f>CONCATENATE(Consulta2[[#This Row],[SAFRA]],Consulta2[[#This Row],[dia]])</f>
        <v>20290928</v>
      </c>
      <c r="K2099">
        <f>Consulta2[[#This Row],[DIA_UTIL_CORRENTE]]</f>
        <v>19</v>
      </c>
    </row>
    <row r="2100" spans="1:11" x14ac:dyDescent="0.25">
      <c r="A2100">
        <v>202909</v>
      </c>
      <c r="B2100">
        <v>19</v>
      </c>
      <c r="C2100" s="148">
        <v>47390</v>
      </c>
      <c r="D2100">
        <v>19</v>
      </c>
      <c r="E2100">
        <v>19</v>
      </c>
      <c r="F2100">
        <v>1444</v>
      </c>
      <c r="G2100">
        <f>Consulta2[[#This Row],[DIA_UTIL_CORRENTE]]</f>
        <v>19</v>
      </c>
      <c r="H2100" s="6">
        <f>DAY(Consulta2[[#This Row],[DATA]])</f>
        <v>29</v>
      </c>
      <c r="I2100" s="6">
        <f>MONTH(Consulta2[[#This Row],[DATA]])</f>
        <v>9</v>
      </c>
      <c r="J2100" t="str">
        <f>CONCATENATE(Consulta2[[#This Row],[SAFRA]],Consulta2[[#This Row],[dia]])</f>
        <v>20290929</v>
      </c>
      <c r="K2100">
        <f>Consulta2[[#This Row],[DIA_UTIL_CORRENTE]]</f>
        <v>19</v>
      </c>
    </row>
    <row r="2101" spans="1:11" x14ac:dyDescent="0.25">
      <c r="A2101">
        <v>202909</v>
      </c>
      <c r="B2101">
        <v>19</v>
      </c>
      <c r="C2101" s="148">
        <v>47391</v>
      </c>
      <c r="D2101">
        <v>19</v>
      </c>
      <c r="E2101">
        <v>19</v>
      </c>
      <c r="F2101">
        <v>1444</v>
      </c>
      <c r="G2101">
        <f>Consulta2[[#This Row],[DIA_UTIL_CORRENTE]]</f>
        <v>19</v>
      </c>
      <c r="H2101" s="6">
        <f>DAY(Consulta2[[#This Row],[DATA]])</f>
        <v>30</v>
      </c>
      <c r="I2101" s="6">
        <f>MONTH(Consulta2[[#This Row],[DATA]])</f>
        <v>9</v>
      </c>
      <c r="J2101" t="str">
        <f>CONCATENATE(Consulta2[[#This Row],[SAFRA]],Consulta2[[#This Row],[dia]])</f>
        <v>20290930</v>
      </c>
      <c r="K2101">
        <f>Consulta2[[#This Row],[DIA_UTIL_CORRENTE]]</f>
        <v>19</v>
      </c>
    </row>
    <row r="2102" spans="1:11" x14ac:dyDescent="0.25">
      <c r="A2102">
        <v>202910</v>
      </c>
      <c r="B2102">
        <v>1</v>
      </c>
      <c r="C2102" s="148">
        <v>47392</v>
      </c>
      <c r="D2102">
        <v>22</v>
      </c>
      <c r="E2102">
        <v>22</v>
      </c>
      <c r="F2102">
        <v>1445</v>
      </c>
      <c r="G2102">
        <f>Consulta2[[#This Row],[DIA_UTIL_CORRENTE]]</f>
        <v>1</v>
      </c>
      <c r="H2102" s="6">
        <f>DAY(Consulta2[[#This Row],[DATA]])</f>
        <v>1</v>
      </c>
      <c r="I2102" s="6">
        <f>MONTH(Consulta2[[#This Row],[DATA]])</f>
        <v>10</v>
      </c>
      <c r="J2102" t="str">
        <f>CONCATENATE(Consulta2[[#This Row],[SAFRA]],Consulta2[[#This Row],[dia]])</f>
        <v>2029101</v>
      </c>
      <c r="K2102">
        <f>Consulta2[[#This Row],[DIA_UTIL_CORRENTE]]</f>
        <v>1</v>
      </c>
    </row>
    <row r="2103" spans="1:11" x14ac:dyDescent="0.25">
      <c r="A2103">
        <v>202910</v>
      </c>
      <c r="B2103">
        <v>2</v>
      </c>
      <c r="C2103" s="148">
        <v>47393</v>
      </c>
      <c r="D2103">
        <v>22</v>
      </c>
      <c r="E2103">
        <v>22</v>
      </c>
      <c r="F2103">
        <v>1446</v>
      </c>
      <c r="G2103">
        <f>Consulta2[[#This Row],[DIA_UTIL_CORRENTE]]</f>
        <v>2</v>
      </c>
      <c r="H2103" s="6">
        <f>DAY(Consulta2[[#This Row],[DATA]])</f>
        <v>2</v>
      </c>
      <c r="I2103" s="6">
        <f>MONTH(Consulta2[[#This Row],[DATA]])</f>
        <v>10</v>
      </c>
      <c r="J2103" t="str">
        <f>CONCATENATE(Consulta2[[#This Row],[SAFRA]],Consulta2[[#This Row],[dia]])</f>
        <v>2029102</v>
      </c>
      <c r="K2103">
        <f>Consulta2[[#This Row],[DIA_UTIL_CORRENTE]]</f>
        <v>2</v>
      </c>
    </row>
    <row r="2104" spans="1:11" x14ac:dyDescent="0.25">
      <c r="A2104">
        <v>202910</v>
      </c>
      <c r="B2104">
        <v>3</v>
      </c>
      <c r="C2104" s="148">
        <v>47394</v>
      </c>
      <c r="D2104">
        <v>22</v>
      </c>
      <c r="E2104">
        <v>22</v>
      </c>
      <c r="F2104">
        <v>1447</v>
      </c>
      <c r="G2104">
        <f>Consulta2[[#This Row],[DIA_UTIL_CORRENTE]]</f>
        <v>3</v>
      </c>
      <c r="H2104" s="6">
        <f>DAY(Consulta2[[#This Row],[DATA]])</f>
        <v>3</v>
      </c>
      <c r="I2104" s="6">
        <f>MONTH(Consulta2[[#This Row],[DATA]])</f>
        <v>10</v>
      </c>
      <c r="J2104" t="str">
        <f>CONCATENATE(Consulta2[[#This Row],[SAFRA]],Consulta2[[#This Row],[dia]])</f>
        <v>2029103</v>
      </c>
      <c r="K2104">
        <f>Consulta2[[#This Row],[DIA_UTIL_CORRENTE]]</f>
        <v>3</v>
      </c>
    </row>
    <row r="2105" spans="1:11" x14ac:dyDescent="0.25">
      <c r="A2105">
        <v>202910</v>
      </c>
      <c r="B2105">
        <v>4</v>
      </c>
      <c r="C2105" s="148">
        <v>47395</v>
      </c>
      <c r="D2105">
        <v>22</v>
      </c>
      <c r="E2105">
        <v>22</v>
      </c>
      <c r="F2105">
        <v>1448</v>
      </c>
      <c r="G2105">
        <f>Consulta2[[#This Row],[DIA_UTIL_CORRENTE]]</f>
        <v>4</v>
      </c>
      <c r="H2105" s="6">
        <f>DAY(Consulta2[[#This Row],[DATA]])</f>
        <v>4</v>
      </c>
      <c r="I2105" s="6">
        <f>MONTH(Consulta2[[#This Row],[DATA]])</f>
        <v>10</v>
      </c>
      <c r="J2105" t="str">
        <f>CONCATENATE(Consulta2[[#This Row],[SAFRA]],Consulta2[[#This Row],[dia]])</f>
        <v>2029104</v>
      </c>
      <c r="K2105">
        <f>Consulta2[[#This Row],[DIA_UTIL_CORRENTE]]</f>
        <v>4</v>
      </c>
    </row>
    <row r="2106" spans="1:11" x14ac:dyDescent="0.25">
      <c r="A2106">
        <v>202910</v>
      </c>
      <c r="B2106">
        <v>5</v>
      </c>
      <c r="C2106" s="148">
        <v>47396</v>
      </c>
      <c r="D2106">
        <v>22</v>
      </c>
      <c r="E2106">
        <v>22</v>
      </c>
      <c r="F2106">
        <v>1449</v>
      </c>
      <c r="G2106">
        <f>Consulta2[[#This Row],[DIA_UTIL_CORRENTE]]</f>
        <v>5</v>
      </c>
      <c r="H2106" s="6">
        <f>DAY(Consulta2[[#This Row],[DATA]])</f>
        <v>5</v>
      </c>
      <c r="I2106" s="6">
        <f>MONTH(Consulta2[[#This Row],[DATA]])</f>
        <v>10</v>
      </c>
      <c r="J2106" t="str">
        <f>CONCATENATE(Consulta2[[#This Row],[SAFRA]],Consulta2[[#This Row],[dia]])</f>
        <v>2029105</v>
      </c>
      <c r="K2106">
        <f>Consulta2[[#This Row],[DIA_UTIL_CORRENTE]]</f>
        <v>5</v>
      </c>
    </row>
    <row r="2107" spans="1:11" x14ac:dyDescent="0.25">
      <c r="A2107">
        <v>202910</v>
      </c>
      <c r="B2107">
        <v>5</v>
      </c>
      <c r="C2107" s="148">
        <v>47397</v>
      </c>
      <c r="D2107">
        <v>22</v>
      </c>
      <c r="E2107">
        <v>22</v>
      </c>
      <c r="F2107">
        <v>1449</v>
      </c>
      <c r="G2107">
        <f>Consulta2[[#This Row],[DIA_UTIL_CORRENTE]]</f>
        <v>5</v>
      </c>
      <c r="H2107" s="6">
        <f>DAY(Consulta2[[#This Row],[DATA]])</f>
        <v>6</v>
      </c>
      <c r="I2107" s="6">
        <f>MONTH(Consulta2[[#This Row],[DATA]])</f>
        <v>10</v>
      </c>
      <c r="J2107" t="str">
        <f>CONCATENATE(Consulta2[[#This Row],[SAFRA]],Consulta2[[#This Row],[dia]])</f>
        <v>2029106</v>
      </c>
      <c r="K2107">
        <f>Consulta2[[#This Row],[DIA_UTIL_CORRENTE]]</f>
        <v>5</v>
      </c>
    </row>
    <row r="2108" spans="1:11" x14ac:dyDescent="0.25">
      <c r="A2108">
        <v>202910</v>
      </c>
      <c r="B2108">
        <v>5</v>
      </c>
      <c r="C2108" s="148">
        <v>47398</v>
      </c>
      <c r="D2108">
        <v>22</v>
      </c>
      <c r="E2108">
        <v>22</v>
      </c>
      <c r="F2108">
        <v>1449</v>
      </c>
      <c r="G2108">
        <f>Consulta2[[#This Row],[DIA_UTIL_CORRENTE]]</f>
        <v>5</v>
      </c>
      <c r="H2108" s="6">
        <f>DAY(Consulta2[[#This Row],[DATA]])</f>
        <v>7</v>
      </c>
      <c r="I2108" s="6">
        <f>MONTH(Consulta2[[#This Row],[DATA]])</f>
        <v>10</v>
      </c>
      <c r="J2108" t="str">
        <f>CONCATENATE(Consulta2[[#This Row],[SAFRA]],Consulta2[[#This Row],[dia]])</f>
        <v>2029107</v>
      </c>
      <c r="K2108">
        <f>Consulta2[[#This Row],[DIA_UTIL_CORRENTE]]</f>
        <v>5</v>
      </c>
    </row>
    <row r="2109" spans="1:11" x14ac:dyDescent="0.25">
      <c r="A2109">
        <v>202910</v>
      </c>
      <c r="B2109">
        <v>6</v>
      </c>
      <c r="C2109" s="148">
        <v>47399</v>
      </c>
      <c r="D2109">
        <v>22</v>
      </c>
      <c r="E2109">
        <v>22</v>
      </c>
      <c r="F2109">
        <v>1450</v>
      </c>
      <c r="G2109">
        <f>Consulta2[[#This Row],[DIA_UTIL_CORRENTE]]</f>
        <v>6</v>
      </c>
      <c r="H2109" s="6">
        <f>DAY(Consulta2[[#This Row],[DATA]])</f>
        <v>8</v>
      </c>
      <c r="I2109" s="6">
        <f>MONTH(Consulta2[[#This Row],[DATA]])</f>
        <v>10</v>
      </c>
      <c r="J2109" t="str">
        <f>CONCATENATE(Consulta2[[#This Row],[SAFRA]],Consulta2[[#This Row],[dia]])</f>
        <v>2029108</v>
      </c>
      <c r="K2109">
        <f>Consulta2[[#This Row],[DIA_UTIL_CORRENTE]]</f>
        <v>6</v>
      </c>
    </row>
    <row r="2110" spans="1:11" x14ac:dyDescent="0.25">
      <c r="A2110">
        <v>202910</v>
      </c>
      <c r="B2110">
        <v>7</v>
      </c>
      <c r="C2110" s="148">
        <v>47400</v>
      </c>
      <c r="D2110">
        <v>22</v>
      </c>
      <c r="E2110">
        <v>22</v>
      </c>
      <c r="F2110">
        <v>1451</v>
      </c>
      <c r="G2110">
        <f>Consulta2[[#This Row],[DIA_UTIL_CORRENTE]]</f>
        <v>7</v>
      </c>
      <c r="H2110" s="6">
        <f>DAY(Consulta2[[#This Row],[DATA]])</f>
        <v>9</v>
      </c>
      <c r="I2110" s="6">
        <f>MONTH(Consulta2[[#This Row],[DATA]])</f>
        <v>10</v>
      </c>
      <c r="J2110" t="str">
        <f>CONCATENATE(Consulta2[[#This Row],[SAFRA]],Consulta2[[#This Row],[dia]])</f>
        <v>2029109</v>
      </c>
      <c r="K2110">
        <f>Consulta2[[#This Row],[DIA_UTIL_CORRENTE]]</f>
        <v>7</v>
      </c>
    </row>
    <row r="2111" spans="1:11" x14ac:dyDescent="0.25">
      <c r="A2111">
        <v>202910</v>
      </c>
      <c r="B2111">
        <v>8</v>
      </c>
      <c r="C2111" s="148">
        <v>47401</v>
      </c>
      <c r="D2111">
        <v>22</v>
      </c>
      <c r="E2111">
        <v>22</v>
      </c>
      <c r="F2111">
        <v>1452</v>
      </c>
      <c r="G2111">
        <f>Consulta2[[#This Row],[DIA_UTIL_CORRENTE]]</f>
        <v>8</v>
      </c>
      <c r="H2111" s="6">
        <f>DAY(Consulta2[[#This Row],[DATA]])</f>
        <v>10</v>
      </c>
      <c r="I2111" s="6">
        <f>MONTH(Consulta2[[#This Row],[DATA]])</f>
        <v>10</v>
      </c>
      <c r="J2111" t="str">
        <f>CONCATENATE(Consulta2[[#This Row],[SAFRA]],Consulta2[[#This Row],[dia]])</f>
        <v>20291010</v>
      </c>
      <c r="K2111">
        <f>Consulta2[[#This Row],[DIA_UTIL_CORRENTE]]</f>
        <v>8</v>
      </c>
    </row>
    <row r="2112" spans="1:11" x14ac:dyDescent="0.25">
      <c r="A2112">
        <v>202910</v>
      </c>
      <c r="B2112">
        <v>9</v>
      </c>
      <c r="C2112" s="148">
        <v>47402</v>
      </c>
      <c r="D2112">
        <v>22</v>
      </c>
      <c r="E2112">
        <v>22</v>
      </c>
      <c r="F2112">
        <v>1453</v>
      </c>
      <c r="G2112">
        <f>Consulta2[[#This Row],[DIA_UTIL_CORRENTE]]</f>
        <v>9</v>
      </c>
      <c r="H2112" s="6">
        <f>DAY(Consulta2[[#This Row],[DATA]])</f>
        <v>11</v>
      </c>
      <c r="I2112" s="6">
        <f>MONTH(Consulta2[[#This Row],[DATA]])</f>
        <v>10</v>
      </c>
      <c r="J2112" t="str">
        <f>CONCATENATE(Consulta2[[#This Row],[SAFRA]],Consulta2[[#This Row],[dia]])</f>
        <v>20291011</v>
      </c>
      <c r="K2112">
        <f>Consulta2[[#This Row],[DIA_UTIL_CORRENTE]]</f>
        <v>9</v>
      </c>
    </row>
    <row r="2113" spans="1:11" x14ac:dyDescent="0.25">
      <c r="A2113">
        <v>202910</v>
      </c>
      <c r="B2113">
        <v>9</v>
      </c>
      <c r="C2113" s="148">
        <v>47403</v>
      </c>
      <c r="D2113">
        <v>22</v>
      </c>
      <c r="E2113">
        <v>22</v>
      </c>
      <c r="F2113">
        <v>1453</v>
      </c>
      <c r="G2113">
        <f>Consulta2[[#This Row],[DIA_UTIL_CORRENTE]]</f>
        <v>9</v>
      </c>
      <c r="H2113" s="6">
        <f>DAY(Consulta2[[#This Row],[DATA]])</f>
        <v>12</v>
      </c>
      <c r="I2113" s="6">
        <f>MONTH(Consulta2[[#This Row],[DATA]])</f>
        <v>10</v>
      </c>
      <c r="J2113" t="str">
        <f>CONCATENATE(Consulta2[[#This Row],[SAFRA]],Consulta2[[#This Row],[dia]])</f>
        <v>20291012</v>
      </c>
      <c r="K2113">
        <f>Consulta2[[#This Row],[DIA_UTIL_CORRENTE]]</f>
        <v>9</v>
      </c>
    </row>
    <row r="2114" spans="1:11" x14ac:dyDescent="0.25">
      <c r="A2114">
        <v>202910</v>
      </c>
      <c r="B2114">
        <v>9</v>
      </c>
      <c r="C2114" s="148">
        <v>47404</v>
      </c>
      <c r="D2114">
        <v>22</v>
      </c>
      <c r="E2114">
        <v>22</v>
      </c>
      <c r="F2114">
        <v>1453</v>
      </c>
      <c r="G2114">
        <f>Consulta2[[#This Row],[DIA_UTIL_CORRENTE]]</f>
        <v>9</v>
      </c>
      <c r="H2114" s="6">
        <f>DAY(Consulta2[[#This Row],[DATA]])</f>
        <v>13</v>
      </c>
      <c r="I2114" s="6">
        <f>MONTH(Consulta2[[#This Row],[DATA]])</f>
        <v>10</v>
      </c>
      <c r="J2114" t="str">
        <f>CONCATENATE(Consulta2[[#This Row],[SAFRA]],Consulta2[[#This Row],[dia]])</f>
        <v>20291013</v>
      </c>
      <c r="K2114">
        <f>Consulta2[[#This Row],[DIA_UTIL_CORRENTE]]</f>
        <v>9</v>
      </c>
    </row>
    <row r="2115" spans="1:11" x14ac:dyDescent="0.25">
      <c r="A2115">
        <v>202910</v>
      </c>
      <c r="B2115">
        <v>9</v>
      </c>
      <c r="C2115" s="148">
        <v>47405</v>
      </c>
      <c r="D2115">
        <v>22</v>
      </c>
      <c r="E2115">
        <v>22</v>
      </c>
      <c r="F2115">
        <v>1453</v>
      </c>
      <c r="G2115">
        <f>Consulta2[[#This Row],[DIA_UTIL_CORRENTE]]</f>
        <v>9</v>
      </c>
      <c r="H2115" s="6">
        <f>DAY(Consulta2[[#This Row],[DATA]])</f>
        <v>14</v>
      </c>
      <c r="I2115" s="6">
        <f>MONTH(Consulta2[[#This Row],[DATA]])</f>
        <v>10</v>
      </c>
      <c r="J2115" t="str">
        <f>CONCATENATE(Consulta2[[#This Row],[SAFRA]],Consulta2[[#This Row],[dia]])</f>
        <v>20291014</v>
      </c>
      <c r="K2115">
        <f>Consulta2[[#This Row],[DIA_UTIL_CORRENTE]]</f>
        <v>9</v>
      </c>
    </row>
    <row r="2116" spans="1:11" x14ac:dyDescent="0.25">
      <c r="A2116">
        <v>202910</v>
      </c>
      <c r="B2116">
        <v>10</v>
      </c>
      <c r="C2116" s="148">
        <v>47406</v>
      </c>
      <c r="D2116">
        <v>22</v>
      </c>
      <c r="E2116">
        <v>22</v>
      </c>
      <c r="F2116">
        <v>1454</v>
      </c>
      <c r="G2116">
        <f>Consulta2[[#This Row],[DIA_UTIL_CORRENTE]]</f>
        <v>10</v>
      </c>
      <c r="H2116" s="6">
        <f>DAY(Consulta2[[#This Row],[DATA]])</f>
        <v>15</v>
      </c>
      <c r="I2116" s="6">
        <f>MONTH(Consulta2[[#This Row],[DATA]])</f>
        <v>10</v>
      </c>
      <c r="J2116" t="str">
        <f>CONCATENATE(Consulta2[[#This Row],[SAFRA]],Consulta2[[#This Row],[dia]])</f>
        <v>20291015</v>
      </c>
      <c r="K2116">
        <f>Consulta2[[#This Row],[DIA_UTIL_CORRENTE]]</f>
        <v>10</v>
      </c>
    </row>
    <row r="2117" spans="1:11" x14ac:dyDescent="0.25">
      <c r="A2117">
        <v>202910</v>
      </c>
      <c r="B2117">
        <v>11</v>
      </c>
      <c r="C2117" s="148">
        <v>47407</v>
      </c>
      <c r="D2117">
        <v>22</v>
      </c>
      <c r="E2117">
        <v>22</v>
      </c>
      <c r="F2117">
        <v>1455</v>
      </c>
      <c r="G2117">
        <f>Consulta2[[#This Row],[DIA_UTIL_CORRENTE]]</f>
        <v>11</v>
      </c>
      <c r="H2117" s="6">
        <f>DAY(Consulta2[[#This Row],[DATA]])</f>
        <v>16</v>
      </c>
      <c r="I2117" s="6">
        <f>MONTH(Consulta2[[#This Row],[DATA]])</f>
        <v>10</v>
      </c>
      <c r="J2117" t="str">
        <f>CONCATENATE(Consulta2[[#This Row],[SAFRA]],Consulta2[[#This Row],[dia]])</f>
        <v>20291016</v>
      </c>
      <c r="K2117">
        <f>Consulta2[[#This Row],[DIA_UTIL_CORRENTE]]</f>
        <v>11</v>
      </c>
    </row>
    <row r="2118" spans="1:11" x14ac:dyDescent="0.25">
      <c r="A2118">
        <v>202910</v>
      </c>
      <c r="B2118">
        <v>12</v>
      </c>
      <c r="C2118" s="148">
        <v>47408</v>
      </c>
      <c r="D2118">
        <v>22</v>
      </c>
      <c r="E2118">
        <v>22</v>
      </c>
      <c r="F2118">
        <v>1456</v>
      </c>
      <c r="G2118">
        <f>Consulta2[[#This Row],[DIA_UTIL_CORRENTE]]</f>
        <v>12</v>
      </c>
      <c r="H2118" s="6">
        <f>DAY(Consulta2[[#This Row],[DATA]])</f>
        <v>17</v>
      </c>
      <c r="I2118" s="6">
        <f>MONTH(Consulta2[[#This Row],[DATA]])</f>
        <v>10</v>
      </c>
      <c r="J2118" t="str">
        <f>CONCATENATE(Consulta2[[#This Row],[SAFRA]],Consulta2[[#This Row],[dia]])</f>
        <v>20291017</v>
      </c>
      <c r="K2118">
        <f>Consulta2[[#This Row],[DIA_UTIL_CORRENTE]]</f>
        <v>12</v>
      </c>
    </row>
    <row r="2119" spans="1:11" x14ac:dyDescent="0.25">
      <c r="A2119">
        <v>202910</v>
      </c>
      <c r="B2119">
        <v>13</v>
      </c>
      <c r="C2119" s="148">
        <v>47409</v>
      </c>
      <c r="D2119">
        <v>22</v>
      </c>
      <c r="E2119">
        <v>22</v>
      </c>
      <c r="F2119">
        <v>1457</v>
      </c>
      <c r="G2119">
        <f>Consulta2[[#This Row],[DIA_UTIL_CORRENTE]]</f>
        <v>13</v>
      </c>
      <c r="H2119" s="6">
        <f>DAY(Consulta2[[#This Row],[DATA]])</f>
        <v>18</v>
      </c>
      <c r="I2119" s="6">
        <f>MONTH(Consulta2[[#This Row],[DATA]])</f>
        <v>10</v>
      </c>
      <c r="J2119" t="str">
        <f>CONCATENATE(Consulta2[[#This Row],[SAFRA]],Consulta2[[#This Row],[dia]])</f>
        <v>20291018</v>
      </c>
      <c r="K2119">
        <f>Consulta2[[#This Row],[DIA_UTIL_CORRENTE]]</f>
        <v>13</v>
      </c>
    </row>
    <row r="2120" spans="1:11" x14ac:dyDescent="0.25">
      <c r="A2120">
        <v>202910</v>
      </c>
      <c r="B2120">
        <v>14</v>
      </c>
      <c r="C2120" s="148">
        <v>47410</v>
      </c>
      <c r="D2120">
        <v>22</v>
      </c>
      <c r="E2120">
        <v>22</v>
      </c>
      <c r="F2120">
        <v>1458</v>
      </c>
      <c r="G2120">
        <f>Consulta2[[#This Row],[DIA_UTIL_CORRENTE]]</f>
        <v>14</v>
      </c>
      <c r="H2120" s="6">
        <f>DAY(Consulta2[[#This Row],[DATA]])</f>
        <v>19</v>
      </c>
      <c r="I2120" s="6">
        <f>MONTH(Consulta2[[#This Row],[DATA]])</f>
        <v>10</v>
      </c>
      <c r="J2120" t="str">
        <f>CONCATENATE(Consulta2[[#This Row],[SAFRA]],Consulta2[[#This Row],[dia]])</f>
        <v>20291019</v>
      </c>
      <c r="K2120">
        <f>Consulta2[[#This Row],[DIA_UTIL_CORRENTE]]</f>
        <v>14</v>
      </c>
    </row>
    <row r="2121" spans="1:11" x14ac:dyDescent="0.25">
      <c r="A2121">
        <v>202910</v>
      </c>
      <c r="B2121">
        <v>14</v>
      </c>
      <c r="C2121" s="148">
        <v>47411</v>
      </c>
      <c r="D2121">
        <v>22</v>
      </c>
      <c r="E2121">
        <v>22</v>
      </c>
      <c r="F2121">
        <v>1458</v>
      </c>
      <c r="G2121">
        <f>Consulta2[[#This Row],[DIA_UTIL_CORRENTE]]</f>
        <v>14</v>
      </c>
      <c r="H2121" s="6">
        <f>DAY(Consulta2[[#This Row],[DATA]])</f>
        <v>20</v>
      </c>
      <c r="I2121" s="6">
        <f>MONTH(Consulta2[[#This Row],[DATA]])</f>
        <v>10</v>
      </c>
      <c r="J2121" t="str">
        <f>CONCATENATE(Consulta2[[#This Row],[SAFRA]],Consulta2[[#This Row],[dia]])</f>
        <v>20291020</v>
      </c>
      <c r="K2121">
        <f>Consulta2[[#This Row],[DIA_UTIL_CORRENTE]]</f>
        <v>14</v>
      </c>
    </row>
    <row r="2122" spans="1:11" x14ac:dyDescent="0.25">
      <c r="A2122">
        <v>202910</v>
      </c>
      <c r="B2122">
        <v>14</v>
      </c>
      <c r="C2122" s="148">
        <v>47412</v>
      </c>
      <c r="D2122">
        <v>22</v>
      </c>
      <c r="E2122">
        <v>22</v>
      </c>
      <c r="F2122">
        <v>1458</v>
      </c>
      <c r="G2122">
        <f>Consulta2[[#This Row],[DIA_UTIL_CORRENTE]]</f>
        <v>14</v>
      </c>
      <c r="H2122" s="6">
        <f>DAY(Consulta2[[#This Row],[DATA]])</f>
        <v>21</v>
      </c>
      <c r="I2122" s="6">
        <f>MONTH(Consulta2[[#This Row],[DATA]])</f>
        <v>10</v>
      </c>
      <c r="J2122" t="str">
        <f>CONCATENATE(Consulta2[[#This Row],[SAFRA]],Consulta2[[#This Row],[dia]])</f>
        <v>20291021</v>
      </c>
      <c r="K2122">
        <f>Consulta2[[#This Row],[DIA_UTIL_CORRENTE]]</f>
        <v>14</v>
      </c>
    </row>
    <row r="2123" spans="1:11" x14ac:dyDescent="0.25">
      <c r="A2123">
        <v>202910</v>
      </c>
      <c r="B2123">
        <v>15</v>
      </c>
      <c r="C2123" s="148">
        <v>47413</v>
      </c>
      <c r="D2123">
        <v>22</v>
      </c>
      <c r="E2123">
        <v>22</v>
      </c>
      <c r="F2123">
        <v>1459</v>
      </c>
      <c r="G2123">
        <f>Consulta2[[#This Row],[DIA_UTIL_CORRENTE]]</f>
        <v>15</v>
      </c>
      <c r="H2123" s="6">
        <f>DAY(Consulta2[[#This Row],[DATA]])</f>
        <v>22</v>
      </c>
      <c r="I2123" s="6">
        <f>MONTH(Consulta2[[#This Row],[DATA]])</f>
        <v>10</v>
      </c>
      <c r="J2123" t="str">
        <f>CONCATENATE(Consulta2[[#This Row],[SAFRA]],Consulta2[[#This Row],[dia]])</f>
        <v>20291022</v>
      </c>
      <c r="K2123">
        <f>Consulta2[[#This Row],[DIA_UTIL_CORRENTE]]</f>
        <v>15</v>
      </c>
    </row>
    <row r="2124" spans="1:11" x14ac:dyDescent="0.25">
      <c r="A2124">
        <v>202910</v>
      </c>
      <c r="B2124">
        <v>16</v>
      </c>
      <c r="C2124" s="148">
        <v>47414</v>
      </c>
      <c r="D2124">
        <v>22</v>
      </c>
      <c r="E2124">
        <v>22</v>
      </c>
      <c r="F2124">
        <v>1460</v>
      </c>
      <c r="G2124">
        <f>Consulta2[[#This Row],[DIA_UTIL_CORRENTE]]</f>
        <v>16</v>
      </c>
      <c r="H2124" s="6">
        <f>DAY(Consulta2[[#This Row],[DATA]])</f>
        <v>23</v>
      </c>
      <c r="I2124" s="6">
        <f>MONTH(Consulta2[[#This Row],[DATA]])</f>
        <v>10</v>
      </c>
      <c r="J2124" t="str">
        <f>CONCATENATE(Consulta2[[#This Row],[SAFRA]],Consulta2[[#This Row],[dia]])</f>
        <v>20291023</v>
      </c>
      <c r="K2124">
        <f>Consulta2[[#This Row],[DIA_UTIL_CORRENTE]]</f>
        <v>16</v>
      </c>
    </row>
    <row r="2125" spans="1:11" x14ac:dyDescent="0.25">
      <c r="A2125">
        <v>202910</v>
      </c>
      <c r="B2125">
        <v>17</v>
      </c>
      <c r="C2125" s="148">
        <v>47415</v>
      </c>
      <c r="D2125">
        <v>22</v>
      </c>
      <c r="E2125">
        <v>22</v>
      </c>
      <c r="F2125">
        <v>1461</v>
      </c>
      <c r="G2125">
        <f>Consulta2[[#This Row],[DIA_UTIL_CORRENTE]]</f>
        <v>17</v>
      </c>
      <c r="H2125" s="6">
        <f>DAY(Consulta2[[#This Row],[DATA]])</f>
        <v>24</v>
      </c>
      <c r="I2125" s="6">
        <f>MONTH(Consulta2[[#This Row],[DATA]])</f>
        <v>10</v>
      </c>
      <c r="J2125" t="str">
        <f>CONCATENATE(Consulta2[[#This Row],[SAFRA]],Consulta2[[#This Row],[dia]])</f>
        <v>20291024</v>
      </c>
      <c r="K2125">
        <f>Consulta2[[#This Row],[DIA_UTIL_CORRENTE]]</f>
        <v>17</v>
      </c>
    </row>
    <row r="2126" spans="1:11" x14ac:dyDescent="0.25">
      <c r="A2126">
        <v>202910</v>
      </c>
      <c r="B2126">
        <v>18</v>
      </c>
      <c r="C2126" s="148">
        <v>47416</v>
      </c>
      <c r="D2126">
        <v>22</v>
      </c>
      <c r="E2126">
        <v>22</v>
      </c>
      <c r="F2126">
        <v>1462</v>
      </c>
      <c r="G2126">
        <f>Consulta2[[#This Row],[DIA_UTIL_CORRENTE]]</f>
        <v>18</v>
      </c>
      <c r="H2126" s="6">
        <f>DAY(Consulta2[[#This Row],[DATA]])</f>
        <v>25</v>
      </c>
      <c r="I2126" s="6">
        <f>MONTH(Consulta2[[#This Row],[DATA]])</f>
        <v>10</v>
      </c>
      <c r="J2126" t="str">
        <f>CONCATENATE(Consulta2[[#This Row],[SAFRA]],Consulta2[[#This Row],[dia]])</f>
        <v>20291025</v>
      </c>
      <c r="K2126">
        <f>Consulta2[[#This Row],[DIA_UTIL_CORRENTE]]</f>
        <v>18</v>
      </c>
    </row>
    <row r="2127" spans="1:11" x14ac:dyDescent="0.25">
      <c r="A2127">
        <v>202910</v>
      </c>
      <c r="B2127">
        <v>19</v>
      </c>
      <c r="C2127" s="148">
        <v>47417</v>
      </c>
      <c r="D2127">
        <v>22</v>
      </c>
      <c r="E2127">
        <v>22</v>
      </c>
      <c r="F2127">
        <v>1463</v>
      </c>
      <c r="G2127">
        <f>Consulta2[[#This Row],[DIA_UTIL_CORRENTE]]</f>
        <v>19</v>
      </c>
      <c r="H2127" s="6">
        <f>DAY(Consulta2[[#This Row],[DATA]])</f>
        <v>26</v>
      </c>
      <c r="I2127" s="6">
        <f>MONTH(Consulta2[[#This Row],[DATA]])</f>
        <v>10</v>
      </c>
      <c r="J2127" t="str">
        <f>CONCATENATE(Consulta2[[#This Row],[SAFRA]],Consulta2[[#This Row],[dia]])</f>
        <v>20291026</v>
      </c>
      <c r="K2127">
        <f>Consulta2[[#This Row],[DIA_UTIL_CORRENTE]]</f>
        <v>19</v>
      </c>
    </row>
    <row r="2128" spans="1:11" x14ac:dyDescent="0.25">
      <c r="A2128">
        <v>202910</v>
      </c>
      <c r="B2128">
        <v>19</v>
      </c>
      <c r="C2128" s="148">
        <v>47418</v>
      </c>
      <c r="D2128">
        <v>22</v>
      </c>
      <c r="E2128">
        <v>22</v>
      </c>
      <c r="F2128">
        <v>1463</v>
      </c>
      <c r="G2128">
        <f>Consulta2[[#This Row],[DIA_UTIL_CORRENTE]]</f>
        <v>19</v>
      </c>
      <c r="H2128" s="6">
        <f>DAY(Consulta2[[#This Row],[DATA]])</f>
        <v>27</v>
      </c>
      <c r="I2128" s="6">
        <f>MONTH(Consulta2[[#This Row],[DATA]])</f>
        <v>10</v>
      </c>
      <c r="J2128" t="str">
        <f>CONCATENATE(Consulta2[[#This Row],[SAFRA]],Consulta2[[#This Row],[dia]])</f>
        <v>20291027</v>
      </c>
      <c r="K2128">
        <f>Consulta2[[#This Row],[DIA_UTIL_CORRENTE]]</f>
        <v>19</v>
      </c>
    </row>
    <row r="2129" spans="1:11" x14ac:dyDescent="0.25">
      <c r="A2129">
        <v>202910</v>
      </c>
      <c r="B2129">
        <v>19</v>
      </c>
      <c r="C2129" s="148">
        <v>47419</v>
      </c>
      <c r="D2129">
        <v>22</v>
      </c>
      <c r="E2129">
        <v>22</v>
      </c>
      <c r="F2129">
        <v>1463</v>
      </c>
      <c r="G2129">
        <f>Consulta2[[#This Row],[DIA_UTIL_CORRENTE]]</f>
        <v>19</v>
      </c>
      <c r="H2129" s="6">
        <f>DAY(Consulta2[[#This Row],[DATA]])</f>
        <v>28</v>
      </c>
      <c r="I2129" s="6">
        <f>MONTH(Consulta2[[#This Row],[DATA]])</f>
        <v>10</v>
      </c>
      <c r="J2129" t="str">
        <f>CONCATENATE(Consulta2[[#This Row],[SAFRA]],Consulta2[[#This Row],[dia]])</f>
        <v>20291028</v>
      </c>
      <c r="K2129">
        <f>Consulta2[[#This Row],[DIA_UTIL_CORRENTE]]</f>
        <v>19</v>
      </c>
    </row>
    <row r="2130" spans="1:11" x14ac:dyDescent="0.25">
      <c r="A2130">
        <v>202910</v>
      </c>
      <c r="B2130">
        <v>20</v>
      </c>
      <c r="C2130" s="148">
        <v>47420</v>
      </c>
      <c r="D2130">
        <v>22</v>
      </c>
      <c r="E2130">
        <v>22</v>
      </c>
      <c r="F2130">
        <v>1464</v>
      </c>
      <c r="G2130">
        <f>Consulta2[[#This Row],[DIA_UTIL_CORRENTE]]</f>
        <v>20</v>
      </c>
      <c r="H2130" s="6">
        <f>DAY(Consulta2[[#This Row],[DATA]])</f>
        <v>29</v>
      </c>
      <c r="I2130" s="6">
        <f>MONTH(Consulta2[[#This Row],[DATA]])</f>
        <v>10</v>
      </c>
      <c r="J2130" t="str">
        <f>CONCATENATE(Consulta2[[#This Row],[SAFRA]],Consulta2[[#This Row],[dia]])</f>
        <v>20291029</v>
      </c>
      <c r="K2130">
        <f>Consulta2[[#This Row],[DIA_UTIL_CORRENTE]]</f>
        <v>20</v>
      </c>
    </row>
    <row r="2131" spans="1:11" x14ac:dyDescent="0.25">
      <c r="A2131">
        <v>202910</v>
      </c>
      <c r="B2131">
        <v>21</v>
      </c>
      <c r="C2131" s="148">
        <v>47421</v>
      </c>
      <c r="D2131">
        <v>22</v>
      </c>
      <c r="E2131">
        <v>22</v>
      </c>
      <c r="F2131">
        <v>1465</v>
      </c>
      <c r="G2131">
        <f>Consulta2[[#This Row],[DIA_UTIL_CORRENTE]]</f>
        <v>21</v>
      </c>
      <c r="H2131" s="6">
        <f>DAY(Consulta2[[#This Row],[DATA]])</f>
        <v>30</v>
      </c>
      <c r="I2131" s="6">
        <f>MONTH(Consulta2[[#This Row],[DATA]])</f>
        <v>10</v>
      </c>
      <c r="J2131" t="str">
        <f>CONCATENATE(Consulta2[[#This Row],[SAFRA]],Consulta2[[#This Row],[dia]])</f>
        <v>20291030</v>
      </c>
      <c r="K2131">
        <f>Consulta2[[#This Row],[DIA_UTIL_CORRENTE]]</f>
        <v>21</v>
      </c>
    </row>
    <row r="2132" spans="1:11" x14ac:dyDescent="0.25">
      <c r="A2132">
        <v>202910</v>
      </c>
      <c r="B2132">
        <v>22</v>
      </c>
      <c r="C2132" s="148">
        <v>47422</v>
      </c>
      <c r="D2132">
        <v>22</v>
      </c>
      <c r="E2132">
        <v>22</v>
      </c>
      <c r="F2132">
        <v>1466</v>
      </c>
      <c r="G2132">
        <f>Consulta2[[#This Row],[DIA_UTIL_CORRENTE]]</f>
        <v>22</v>
      </c>
      <c r="H2132" s="6">
        <f>DAY(Consulta2[[#This Row],[DATA]])</f>
        <v>31</v>
      </c>
      <c r="I2132" s="6">
        <f>MONTH(Consulta2[[#This Row],[DATA]])</f>
        <v>10</v>
      </c>
      <c r="J2132" t="str">
        <f>CONCATENATE(Consulta2[[#This Row],[SAFRA]],Consulta2[[#This Row],[dia]])</f>
        <v>20291031</v>
      </c>
      <c r="K2132">
        <f>Consulta2[[#This Row],[DIA_UTIL_CORRENTE]]</f>
        <v>22</v>
      </c>
    </row>
    <row r="2133" spans="1:11" x14ac:dyDescent="0.25">
      <c r="A2133">
        <v>202911</v>
      </c>
      <c r="B2133">
        <v>1</v>
      </c>
      <c r="C2133" s="148">
        <v>47423</v>
      </c>
      <c r="D2133">
        <v>20</v>
      </c>
      <c r="E2133">
        <v>20</v>
      </c>
      <c r="F2133">
        <v>1467</v>
      </c>
      <c r="G2133">
        <f>Consulta2[[#This Row],[DIA_UTIL_CORRENTE]]</f>
        <v>1</v>
      </c>
      <c r="H2133" s="6">
        <f>DAY(Consulta2[[#This Row],[DATA]])</f>
        <v>1</v>
      </c>
      <c r="I2133" s="6">
        <f>MONTH(Consulta2[[#This Row],[DATA]])</f>
        <v>11</v>
      </c>
      <c r="J2133" t="str">
        <f>CONCATENATE(Consulta2[[#This Row],[SAFRA]],Consulta2[[#This Row],[dia]])</f>
        <v>2029111</v>
      </c>
      <c r="K2133">
        <f>Consulta2[[#This Row],[DIA_UTIL_CORRENTE]]</f>
        <v>1</v>
      </c>
    </row>
    <row r="2134" spans="1:11" x14ac:dyDescent="0.25">
      <c r="A2134">
        <v>202911</v>
      </c>
      <c r="B2134">
        <v>1</v>
      </c>
      <c r="C2134" s="148">
        <v>47424</v>
      </c>
      <c r="D2134">
        <v>20</v>
      </c>
      <c r="E2134">
        <v>20</v>
      </c>
      <c r="F2134">
        <v>1467</v>
      </c>
      <c r="G2134">
        <f>Consulta2[[#This Row],[DIA_UTIL_CORRENTE]]</f>
        <v>1</v>
      </c>
      <c r="H2134" s="6">
        <f>DAY(Consulta2[[#This Row],[DATA]])</f>
        <v>2</v>
      </c>
      <c r="I2134" s="6">
        <f>MONTH(Consulta2[[#This Row],[DATA]])</f>
        <v>11</v>
      </c>
      <c r="J2134" t="str">
        <f>CONCATENATE(Consulta2[[#This Row],[SAFRA]],Consulta2[[#This Row],[dia]])</f>
        <v>2029112</v>
      </c>
      <c r="K2134">
        <f>Consulta2[[#This Row],[DIA_UTIL_CORRENTE]]</f>
        <v>1</v>
      </c>
    </row>
    <row r="2135" spans="1:11" x14ac:dyDescent="0.25">
      <c r="A2135">
        <v>202911</v>
      </c>
      <c r="B2135">
        <v>1</v>
      </c>
      <c r="C2135" s="148">
        <v>47425</v>
      </c>
      <c r="D2135">
        <v>20</v>
      </c>
      <c r="E2135">
        <v>20</v>
      </c>
      <c r="F2135">
        <v>1467</v>
      </c>
      <c r="G2135">
        <f>Consulta2[[#This Row],[DIA_UTIL_CORRENTE]]</f>
        <v>1</v>
      </c>
      <c r="H2135" s="6">
        <f>DAY(Consulta2[[#This Row],[DATA]])</f>
        <v>3</v>
      </c>
      <c r="I2135" s="6">
        <f>MONTH(Consulta2[[#This Row],[DATA]])</f>
        <v>11</v>
      </c>
      <c r="J2135" t="str">
        <f>CONCATENATE(Consulta2[[#This Row],[SAFRA]],Consulta2[[#This Row],[dia]])</f>
        <v>2029113</v>
      </c>
      <c r="K2135">
        <f>Consulta2[[#This Row],[DIA_UTIL_CORRENTE]]</f>
        <v>1</v>
      </c>
    </row>
    <row r="2136" spans="1:11" x14ac:dyDescent="0.25">
      <c r="A2136">
        <v>202911</v>
      </c>
      <c r="B2136">
        <v>1</v>
      </c>
      <c r="C2136" s="148">
        <v>47426</v>
      </c>
      <c r="D2136">
        <v>20</v>
      </c>
      <c r="E2136">
        <v>20</v>
      </c>
      <c r="F2136">
        <v>1467</v>
      </c>
      <c r="G2136">
        <f>Consulta2[[#This Row],[DIA_UTIL_CORRENTE]]</f>
        <v>1</v>
      </c>
      <c r="H2136" s="6">
        <f>DAY(Consulta2[[#This Row],[DATA]])</f>
        <v>4</v>
      </c>
      <c r="I2136" s="6">
        <f>MONTH(Consulta2[[#This Row],[DATA]])</f>
        <v>11</v>
      </c>
      <c r="J2136" t="str">
        <f>CONCATENATE(Consulta2[[#This Row],[SAFRA]],Consulta2[[#This Row],[dia]])</f>
        <v>2029114</v>
      </c>
      <c r="K2136">
        <f>Consulta2[[#This Row],[DIA_UTIL_CORRENTE]]</f>
        <v>1</v>
      </c>
    </row>
    <row r="2137" spans="1:11" x14ac:dyDescent="0.25">
      <c r="A2137">
        <v>202911</v>
      </c>
      <c r="B2137">
        <v>2</v>
      </c>
      <c r="C2137" s="148">
        <v>47427</v>
      </c>
      <c r="D2137">
        <v>20</v>
      </c>
      <c r="E2137">
        <v>20</v>
      </c>
      <c r="F2137">
        <v>1468</v>
      </c>
      <c r="G2137">
        <f>Consulta2[[#This Row],[DIA_UTIL_CORRENTE]]</f>
        <v>2</v>
      </c>
      <c r="H2137" s="6">
        <f>DAY(Consulta2[[#This Row],[DATA]])</f>
        <v>5</v>
      </c>
      <c r="I2137" s="6">
        <f>MONTH(Consulta2[[#This Row],[DATA]])</f>
        <v>11</v>
      </c>
      <c r="J2137" t="str">
        <f>CONCATENATE(Consulta2[[#This Row],[SAFRA]],Consulta2[[#This Row],[dia]])</f>
        <v>2029115</v>
      </c>
      <c r="K2137">
        <f>Consulta2[[#This Row],[DIA_UTIL_CORRENTE]]</f>
        <v>2</v>
      </c>
    </row>
    <row r="2138" spans="1:11" x14ac:dyDescent="0.25">
      <c r="A2138">
        <v>202911</v>
      </c>
      <c r="B2138">
        <v>3</v>
      </c>
      <c r="C2138" s="148">
        <v>47428</v>
      </c>
      <c r="D2138">
        <v>20</v>
      </c>
      <c r="E2138">
        <v>20</v>
      </c>
      <c r="F2138">
        <v>1469</v>
      </c>
      <c r="G2138">
        <f>Consulta2[[#This Row],[DIA_UTIL_CORRENTE]]</f>
        <v>3</v>
      </c>
      <c r="H2138" s="6">
        <f>DAY(Consulta2[[#This Row],[DATA]])</f>
        <v>6</v>
      </c>
      <c r="I2138" s="6">
        <f>MONTH(Consulta2[[#This Row],[DATA]])</f>
        <v>11</v>
      </c>
      <c r="J2138" t="str">
        <f>CONCATENATE(Consulta2[[#This Row],[SAFRA]],Consulta2[[#This Row],[dia]])</f>
        <v>2029116</v>
      </c>
      <c r="K2138">
        <f>Consulta2[[#This Row],[DIA_UTIL_CORRENTE]]</f>
        <v>3</v>
      </c>
    </row>
    <row r="2139" spans="1:11" x14ac:dyDescent="0.25">
      <c r="A2139">
        <v>202911</v>
      </c>
      <c r="B2139">
        <v>4</v>
      </c>
      <c r="C2139" s="148">
        <v>47429</v>
      </c>
      <c r="D2139">
        <v>20</v>
      </c>
      <c r="E2139">
        <v>20</v>
      </c>
      <c r="F2139">
        <v>1470</v>
      </c>
      <c r="G2139">
        <f>Consulta2[[#This Row],[DIA_UTIL_CORRENTE]]</f>
        <v>4</v>
      </c>
      <c r="H2139" s="6">
        <f>DAY(Consulta2[[#This Row],[DATA]])</f>
        <v>7</v>
      </c>
      <c r="I2139" s="6">
        <f>MONTH(Consulta2[[#This Row],[DATA]])</f>
        <v>11</v>
      </c>
      <c r="J2139" t="str">
        <f>CONCATENATE(Consulta2[[#This Row],[SAFRA]],Consulta2[[#This Row],[dia]])</f>
        <v>2029117</v>
      </c>
      <c r="K2139">
        <f>Consulta2[[#This Row],[DIA_UTIL_CORRENTE]]</f>
        <v>4</v>
      </c>
    </row>
    <row r="2140" spans="1:11" x14ac:dyDescent="0.25">
      <c r="A2140">
        <v>202911</v>
      </c>
      <c r="B2140">
        <v>5</v>
      </c>
      <c r="C2140" s="148">
        <v>47430</v>
      </c>
      <c r="D2140">
        <v>20</v>
      </c>
      <c r="E2140">
        <v>20</v>
      </c>
      <c r="F2140">
        <v>1471</v>
      </c>
      <c r="G2140">
        <f>Consulta2[[#This Row],[DIA_UTIL_CORRENTE]]</f>
        <v>5</v>
      </c>
      <c r="H2140" s="6">
        <f>DAY(Consulta2[[#This Row],[DATA]])</f>
        <v>8</v>
      </c>
      <c r="I2140" s="6">
        <f>MONTH(Consulta2[[#This Row],[DATA]])</f>
        <v>11</v>
      </c>
      <c r="J2140" t="str">
        <f>CONCATENATE(Consulta2[[#This Row],[SAFRA]],Consulta2[[#This Row],[dia]])</f>
        <v>2029118</v>
      </c>
      <c r="K2140">
        <f>Consulta2[[#This Row],[DIA_UTIL_CORRENTE]]</f>
        <v>5</v>
      </c>
    </row>
    <row r="2141" spans="1:11" x14ac:dyDescent="0.25">
      <c r="A2141">
        <v>202911</v>
      </c>
      <c r="B2141">
        <v>6</v>
      </c>
      <c r="C2141" s="148">
        <v>47431</v>
      </c>
      <c r="D2141">
        <v>20</v>
      </c>
      <c r="E2141">
        <v>20</v>
      </c>
      <c r="F2141">
        <v>1472</v>
      </c>
      <c r="G2141">
        <f>Consulta2[[#This Row],[DIA_UTIL_CORRENTE]]</f>
        <v>6</v>
      </c>
      <c r="H2141" s="6">
        <f>DAY(Consulta2[[#This Row],[DATA]])</f>
        <v>9</v>
      </c>
      <c r="I2141" s="6">
        <f>MONTH(Consulta2[[#This Row],[DATA]])</f>
        <v>11</v>
      </c>
      <c r="J2141" t="str">
        <f>CONCATENATE(Consulta2[[#This Row],[SAFRA]],Consulta2[[#This Row],[dia]])</f>
        <v>2029119</v>
      </c>
      <c r="K2141">
        <f>Consulta2[[#This Row],[DIA_UTIL_CORRENTE]]</f>
        <v>6</v>
      </c>
    </row>
    <row r="2142" spans="1:11" x14ac:dyDescent="0.25">
      <c r="A2142">
        <v>202911</v>
      </c>
      <c r="B2142">
        <v>6</v>
      </c>
      <c r="C2142" s="148">
        <v>47432</v>
      </c>
      <c r="D2142">
        <v>20</v>
      </c>
      <c r="E2142">
        <v>20</v>
      </c>
      <c r="F2142">
        <v>1472</v>
      </c>
      <c r="G2142">
        <f>Consulta2[[#This Row],[DIA_UTIL_CORRENTE]]</f>
        <v>6</v>
      </c>
      <c r="H2142" s="6">
        <f>DAY(Consulta2[[#This Row],[DATA]])</f>
        <v>10</v>
      </c>
      <c r="I2142" s="6">
        <f>MONTH(Consulta2[[#This Row],[DATA]])</f>
        <v>11</v>
      </c>
      <c r="J2142" t="str">
        <f>CONCATENATE(Consulta2[[#This Row],[SAFRA]],Consulta2[[#This Row],[dia]])</f>
        <v>20291110</v>
      </c>
      <c r="K2142">
        <f>Consulta2[[#This Row],[DIA_UTIL_CORRENTE]]</f>
        <v>6</v>
      </c>
    </row>
    <row r="2143" spans="1:11" x14ac:dyDescent="0.25">
      <c r="A2143">
        <v>202911</v>
      </c>
      <c r="B2143">
        <v>6</v>
      </c>
      <c r="C2143" s="148">
        <v>47433</v>
      </c>
      <c r="D2143">
        <v>20</v>
      </c>
      <c r="E2143">
        <v>20</v>
      </c>
      <c r="F2143">
        <v>1472</v>
      </c>
      <c r="G2143">
        <f>Consulta2[[#This Row],[DIA_UTIL_CORRENTE]]</f>
        <v>6</v>
      </c>
      <c r="H2143" s="6">
        <f>DAY(Consulta2[[#This Row],[DATA]])</f>
        <v>11</v>
      </c>
      <c r="I2143" s="6">
        <f>MONTH(Consulta2[[#This Row],[DATA]])</f>
        <v>11</v>
      </c>
      <c r="J2143" t="str">
        <f>CONCATENATE(Consulta2[[#This Row],[SAFRA]],Consulta2[[#This Row],[dia]])</f>
        <v>20291111</v>
      </c>
      <c r="K2143">
        <f>Consulta2[[#This Row],[DIA_UTIL_CORRENTE]]</f>
        <v>6</v>
      </c>
    </row>
    <row r="2144" spans="1:11" x14ac:dyDescent="0.25">
      <c r="A2144">
        <v>202911</v>
      </c>
      <c r="B2144">
        <v>7</v>
      </c>
      <c r="C2144" s="148">
        <v>47434</v>
      </c>
      <c r="D2144">
        <v>20</v>
      </c>
      <c r="E2144">
        <v>20</v>
      </c>
      <c r="F2144">
        <v>1473</v>
      </c>
      <c r="G2144">
        <f>Consulta2[[#This Row],[DIA_UTIL_CORRENTE]]</f>
        <v>7</v>
      </c>
      <c r="H2144" s="6">
        <f>DAY(Consulta2[[#This Row],[DATA]])</f>
        <v>12</v>
      </c>
      <c r="I2144" s="6">
        <f>MONTH(Consulta2[[#This Row],[DATA]])</f>
        <v>11</v>
      </c>
      <c r="J2144" t="str">
        <f>CONCATENATE(Consulta2[[#This Row],[SAFRA]],Consulta2[[#This Row],[dia]])</f>
        <v>20291112</v>
      </c>
      <c r="K2144">
        <f>Consulta2[[#This Row],[DIA_UTIL_CORRENTE]]</f>
        <v>7</v>
      </c>
    </row>
    <row r="2145" spans="1:11" x14ac:dyDescent="0.25">
      <c r="A2145">
        <v>202911</v>
      </c>
      <c r="B2145">
        <v>8</v>
      </c>
      <c r="C2145" s="148">
        <v>47435</v>
      </c>
      <c r="D2145">
        <v>20</v>
      </c>
      <c r="E2145">
        <v>20</v>
      </c>
      <c r="F2145">
        <v>1474</v>
      </c>
      <c r="G2145">
        <f>Consulta2[[#This Row],[DIA_UTIL_CORRENTE]]</f>
        <v>8</v>
      </c>
      <c r="H2145" s="6">
        <f>DAY(Consulta2[[#This Row],[DATA]])</f>
        <v>13</v>
      </c>
      <c r="I2145" s="6">
        <f>MONTH(Consulta2[[#This Row],[DATA]])</f>
        <v>11</v>
      </c>
      <c r="J2145" t="str">
        <f>CONCATENATE(Consulta2[[#This Row],[SAFRA]],Consulta2[[#This Row],[dia]])</f>
        <v>20291113</v>
      </c>
      <c r="K2145">
        <f>Consulta2[[#This Row],[DIA_UTIL_CORRENTE]]</f>
        <v>8</v>
      </c>
    </row>
    <row r="2146" spans="1:11" x14ac:dyDescent="0.25">
      <c r="A2146">
        <v>202911</v>
      </c>
      <c r="B2146">
        <v>9</v>
      </c>
      <c r="C2146" s="148">
        <v>47436</v>
      </c>
      <c r="D2146">
        <v>20</v>
      </c>
      <c r="E2146">
        <v>20</v>
      </c>
      <c r="F2146">
        <v>1475</v>
      </c>
      <c r="G2146">
        <f>Consulta2[[#This Row],[DIA_UTIL_CORRENTE]]</f>
        <v>9</v>
      </c>
      <c r="H2146" s="6">
        <f>DAY(Consulta2[[#This Row],[DATA]])</f>
        <v>14</v>
      </c>
      <c r="I2146" s="6">
        <f>MONTH(Consulta2[[#This Row],[DATA]])</f>
        <v>11</v>
      </c>
      <c r="J2146" t="str">
        <f>CONCATENATE(Consulta2[[#This Row],[SAFRA]],Consulta2[[#This Row],[dia]])</f>
        <v>20291114</v>
      </c>
      <c r="K2146">
        <f>Consulta2[[#This Row],[DIA_UTIL_CORRENTE]]</f>
        <v>9</v>
      </c>
    </row>
    <row r="2147" spans="1:11" x14ac:dyDescent="0.25">
      <c r="A2147">
        <v>202911</v>
      </c>
      <c r="B2147">
        <v>9</v>
      </c>
      <c r="C2147" s="148">
        <v>47437</v>
      </c>
      <c r="D2147">
        <v>20</v>
      </c>
      <c r="E2147">
        <v>20</v>
      </c>
      <c r="F2147">
        <v>1475</v>
      </c>
      <c r="G2147">
        <f>Consulta2[[#This Row],[DIA_UTIL_CORRENTE]]</f>
        <v>9</v>
      </c>
      <c r="H2147" s="6">
        <f>DAY(Consulta2[[#This Row],[DATA]])</f>
        <v>15</v>
      </c>
      <c r="I2147" s="6">
        <f>MONTH(Consulta2[[#This Row],[DATA]])</f>
        <v>11</v>
      </c>
      <c r="J2147" t="str">
        <f>CONCATENATE(Consulta2[[#This Row],[SAFRA]],Consulta2[[#This Row],[dia]])</f>
        <v>20291115</v>
      </c>
      <c r="K2147">
        <f>Consulta2[[#This Row],[DIA_UTIL_CORRENTE]]</f>
        <v>9</v>
      </c>
    </row>
    <row r="2148" spans="1:11" x14ac:dyDescent="0.25">
      <c r="A2148">
        <v>202911</v>
      </c>
      <c r="B2148">
        <v>10</v>
      </c>
      <c r="C2148" s="148">
        <v>47438</v>
      </c>
      <c r="D2148">
        <v>20</v>
      </c>
      <c r="E2148">
        <v>20</v>
      </c>
      <c r="F2148">
        <v>1476</v>
      </c>
      <c r="G2148">
        <f>Consulta2[[#This Row],[DIA_UTIL_CORRENTE]]</f>
        <v>10</v>
      </c>
      <c r="H2148" s="6">
        <f>DAY(Consulta2[[#This Row],[DATA]])</f>
        <v>16</v>
      </c>
      <c r="I2148" s="6">
        <f>MONTH(Consulta2[[#This Row],[DATA]])</f>
        <v>11</v>
      </c>
      <c r="J2148" t="str">
        <f>CONCATENATE(Consulta2[[#This Row],[SAFRA]],Consulta2[[#This Row],[dia]])</f>
        <v>20291116</v>
      </c>
      <c r="K2148">
        <f>Consulta2[[#This Row],[DIA_UTIL_CORRENTE]]</f>
        <v>10</v>
      </c>
    </row>
    <row r="2149" spans="1:11" x14ac:dyDescent="0.25">
      <c r="A2149">
        <v>202911</v>
      </c>
      <c r="B2149">
        <v>10</v>
      </c>
      <c r="C2149" s="148">
        <v>47439</v>
      </c>
      <c r="D2149">
        <v>20</v>
      </c>
      <c r="E2149">
        <v>20</v>
      </c>
      <c r="F2149">
        <v>1476</v>
      </c>
      <c r="G2149">
        <f>Consulta2[[#This Row],[DIA_UTIL_CORRENTE]]</f>
        <v>10</v>
      </c>
      <c r="H2149" s="6">
        <f>DAY(Consulta2[[#This Row],[DATA]])</f>
        <v>17</v>
      </c>
      <c r="I2149" s="6">
        <f>MONTH(Consulta2[[#This Row],[DATA]])</f>
        <v>11</v>
      </c>
      <c r="J2149" t="str">
        <f>CONCATENATE(Consulta2[[#This Row],[SAFRA]],Consulta2[[#This Row],[dia]])</f>
        <v>20291117</v>
      </c>
      <c r="K2149">
        <f>Consulta2[[#This Row],[DIA_UTIL_CORRENTE]]</f>
        <v>10</v>
      </c>
    </row>
    <row r="2150" spans="1:11" x14ac:dyDescent="0.25">
      <c r="A2150">
        <v>202911</v>
      </c>
      <c r="B2150">
        <v>10</v>
      </c>
      <c r="C2150" s="148">
        <v>47440</v>
      </c>
      <c r="D2150">
        <v>20</v>
      </c>
      <c r="E2150">
        <v>20</v>
      </c>
      <c r="F2150">
        <v>1476</v>
      </c>
      <c r="G2150">
        <f>Consulta2[[#This Row],[DIA_UTIL_CORRENTE]]</f>
        <v>10</v>
      </c>
      <c r="H2150" s="6">
        <f>DAY(Consulta2[[#This Row],[DATA]])</f>
        <v>18</v>
      </c>
      <c r="I2150" s="6">
        <f>MONTH(Consulta2[[#This Row],[DATA]])</f>
        <v>11</v>
      </c>
      <c r="J2150" t="str">
        <f>CONCATENATE(Consulta2[[#This Row],[SAFRA]],Consulta2[[#This Row],[dia]])</f>
        <v>20291118</v>
      </c>
      <c r="K2150">
        <f>Consulta2[[#This Row],[DIA_UTIL_CORRENTE]]</f>
        <v>10</v>
      </c>
    </row>
    <row r="2151" spans="1:11" x14ac:dyDescent="0.25">
      <c r="A2151">
        <v>202911</v>
      </c>
      <c r="B2151">
        <v>11</v>
      </c>
      <c r="C2151" s="148">
        <v>47441</v>
      </c>
      <c r="D2151">
        <v>20</v>
      </c>
      <c r="E2151">
        <v>20</v>
      </c>
      <c r="F2151">
        <v>1477</v>
      </c>
      <c r="G2151">
        <f>Consulta2[[#This Row],[DIA_UTIL_CORRENTE]]</f>
        <v>11</v>
      </c>
      <c r="H2151" s="6">
        <f>DAY(Consulta2[[#This Row],[DATA]])</f>
        <v>19</v>
      </c>
      <c r="I2151" s="6">
        <f>MONTH(Consulta2[[#This Row],[DATA]])</f>
        <v>11</v>
      </c>
      <c r="J2151" t="str">
        <f>CONCATENATE(Consulta2[[#This Row],[SAFRA]],Consulta2[[#This Row],[dia]])</f>
        <v>20291119</v>
      </c>
      <c r="K2151">
        <f>Consulta2[[#This Row],[DIA_UTIL_CORRENTE]]</f>
        <v>11</v>
      </c>
    </row>
    <row r="2152" spans="1:11" x14ac:dyDescent="0.25">
      <c r="A2152">
        <v>202911</v>
      </c>
      <c r="B2152">
        <v>12</v>
      </c>
      <c r="C2152" s="148">
        <v>47442</v>
      </c>
      <c r="D2152">
        <v>20</v>
      </c>
      <c r="E2152">
        <v>20</v>
      </c>
      <c r="F2152">
        <v>1478</v>
      </c>
      <c r="G2152">
        <f>Consulta2[[#This Row],[DIA_UTIL_CORRENTE]]</f>
        <v>12</v>
      </c>
      <c r="H2152" s="6">
        <f>DAY(Consulta2[[#This Row],[DATA]])</f>
        <v>20</v>
      </c>
      <c r="I2152" s="6">
        <f>MONTH(Consulta2[[#This Row],[DATA]])</f>
        <v>11</v>
      </c>
      <c r="J2152" t="str">
        <f>CONCATENATE(Consulta2[[#This Row],[SAFRA]],Consulta2[[#This Row],[dia]])</f>
        <v>20291120</v>
      </c>
      <c r="K2152">
        <f>Consulta2[[#This Row],[DIA_UTIL_CORRENTE]]</f>
        <v>12</v>
      </c>
    </row>
    <row r="2153" spans="1:11" x14ac:dyDescent="0.25">
      <c r="A2153">
        <v>202911</v>
      </c>
      <c r="B2153">
        <v>13</v>
      </c>
      <c r="C2153" s="148">
        <v>47443</v>
      </c>
      <c r="D2153">
        <v>20</v>
      </c>
      <c r="E2153">
        <v>20</v>
      </c>
      <c r="F2153">
        <v>1479</v>
      </c>
      <c r="G2153">
        <f>Consulta2[[#This Row],[DIA_UTIL_CORRENTE]]</f>
        <v>13</v>
      </c>
      <c r="H2153" s="6">
        <f>DAY(Consulta2[[#This Row],[DATA]])</f>
        <v>21</v>
      </c>
      <c r="I2153" s="6">
        <f>MONTH(Consulta2[[#This Row],[DATA]])</f>
        <v>11</v>
      </c>
      <c r="J2153" t="str">
        <f>CONCATENATE(Consulta2[[#This Row],[SAFRA]],Consulta2[[#This Row],[dia]])</f>
        <v>20291121</v>
      </c>
      <c r="K2153">
        <f>Consulta2[[#This Row],[DIA_UTIL_CORRENTE]]</f>
        <v>13</v>
      </c>
    </row>
    <row r="2154" spans="1:11" x14ac:dyDescent="0.25">
      <c r="A2154">
        <v>202911</v>
      </c>
      <c r="B2154">
        <v>14</v>
      </c>
      <c r="C2154" s="148">
        <v>47444</v>
      </c>
      <c r="D2154">
        <v>20</v>
      </c>
      <c r="E2154">
        <v>20</v>
      </c>
      <c r="F2154">
        <v>1480</v>
      </c>
      <c r="G2154">
        <f>Consulta2[[#This Row],[DIA_UTIL_CORRENTE]]</f>
        <v>14</v>
      </c>
      <c r="H2154" s="6">
        <f>DAY(Consulta2[[#This Row],[DATA]])</f>
        <v>22</v>
      </c>
      <c r="I2154" s="6">
        <f>MONTH(Consulta2[[#This Row],[DATA]])</f>
        <v>11</v>
      </c>
      <c r="J2154" t="str">
        <f>CONCATENATE(Consulta2[[#This Row],[SAFRA]],Consulta2[[#This Row],[dia]])</f>
        <v>20291122</v>
      </c>
      <c r="K2154">
        <f>Consulta2[[#This Row],[DIA_UTIL_CORRENTE]]</f>
        <v>14</v>
      </c>
    </row>
    <row r="2155" spans="1:11" x14ac:dyDescent="0.25">
      <c r="A2155">
        <v>202911</v>
      </c>
      <c r="B2155">
        <v>15</v>
      </c>
      <c r="C2155" s="148">
        <v>47445</v>
      </c>
      <c r="D2155">
        <v>20</v>
      </c>
      <c r="E2155">
        <v>20</v>
      </c>
      <c r="F2155">
        <v>1481</v>
      </c>
      <c r="G2155">
        <f>Consulta2[[#This Row],[DIA_UTIL_CORRENTE]]</f>
        <v>15</v>
      </c>
      <c r="H2155" s="6">
        <f>DAY(Consulta2[[#This Row],[DATA]])</f>
        <v>23</v>
      </c>
      <c r="I2155" s="6">
        <f>MONTH(Consulta2[[#This Row],[DATA]])</f>
        <v>11</v>
      </c>
      <c r="J2155" t="str">
        <f>CONCATENATE(Consulta2[[#This Row],[SAFRA]],Consulta2[[#This Row],[dia]])</f>
        <v>20291123</v>
      </c>
      <c r="K2155">
        <f>Consulta2[[#This Row],[DIA_UTIL_CORRENTE]]</f>
        <v>15</v>
      </c>
    </row>
    <row r="2156" spans="1:11" x14ac:dyDescent="0.25">
      <c r="A2156">
        <v>202911</v>
      </c>
      <c r="B2156">
        <v>15</v>
      </c>
      <c r="C2156" s="148">
        <v>47446</v>
      </c>
      <c r="D2156">
        <v>20</v>
      </c>
      <c r="E2156">
        <v>20</v>
      </c>
      <c r="F2156">
        <v>1481</v>
      </c>
      <c r="G2156">
        <f>Consulta2[[#This Row],[DIA_UTIL_CORRENTE]]</f>
        <v>15</v>
      </c>
      <c r="H2156" s="6">
        <f>DAY(Consulta2[[#This Row],[DATA]])</f>
        <v>24</v>
      </c>
      <c r="I2156" s="6">
        <f>MONTH(Consulta2[[#This Row],[DATA]])</f>
        <v>11</v>
      </c>
      <c r="J2156" t="str">
        <f>CONCATENATE(Consulta2[[#This Row],[SAFRA]],Consulta2[[#This Row],[dia]])</f>
        <v>20291124</v>
      </c>
      <c r="K2156">
        <f>Consulta2[[#This Row],[DIA_UTIL_CORRENTE]]</f>
        <v>15</v>
      </c>
    </row>
    <row r="2157" spans="1:11" x14ac:dyDescent="0.25">
      <c r="A2157">
        <v>202911</v>
      </c>
      <c r="B2157">
        <v>15</v>
      </c>
      <c r="C2157" s="148">
        <v>47447</v>
      </c>
      <c r="D2157">
        <v>20</v>
      </c>
      <c r="E2157">
        <v>20</v>
      </c>
      <c r="F2157">
        <v>1481</v>
      </c>
      <c r="G2157">
        <f>Consulta2[[#This Row],[DIA_UTIL_CORRENTE]]</f>
        <v>15</v>
      </c>
      <c r="H2157" s="6">
        <f>DAY(Consulta2[[#This Row],[DATA]])</f>
        <v>25</v>
      </c>
      <c r="I2157" s="6">
        <f>MONTH(Consulta2[[#This Row],[DATA]])</f>
        <v>11</v>
      </c>
      <c r="J2157" t="str">
        <f>CONCATENATE(Consulta2[[#This Row],[SAFRA]],Consulta2[[#This Row],[dia]])</f>
        <v>20291125</v>
      </c>
      <c r="K2157">
        <f>Consulta2[[#This Row],[DIA_UTIL_CORRENTE]]</f>
        <v>15</v>
      </c>
    </row>
    <row r="2158" spans="1:11" x14ac:dyDescent="0.25">
      <c r="A2158">
        <v>202911</v>
      </c>
      <c r="B2158">
        <v>16</v>
      </c>
      <c r="C2158" s="148">
        <v>47448</v>
      </c>
      <c r="D2158">
        <v>20</v>
      </c>
      <c r="E2158">
        <v>20</v>
      </c>
      <c r="F2158">
        <v>1482</v>
      </c>
      <c r="G2158">
        <f>Consulta2[[#This Row],[DIA_UTIL_CORRENTE]]</f>
        <v>16</v>
      </c>
      <c r="H2158" s="6">
        <f>DAY(Consulta2[[#This Row],[DATA]])</f>
        <v>26</v>
      </c>
      <c r="I2158" s="6">
        <f>MONTH(Consulta2[[#This Row],[DATA]])</f>
        <v>11</v>
      </c>
      <c r="J2158" t="str">
        <f>CONCATENATE(Consulta2[[#This Row],[SAFRA]],Consulta2[[#This Row],[dia]])</f>
        <v>20291126</v>
      </c>
      <c r="K2158">
        <f>Consulta2[[#This Row],[DIA_UTIL_CORRENTE]]</f>
        <v>16</v>
      </c>
    </row>
    <row r="2159" spans="1:11" x14ac:dyDescent="0.25">
      <c r="A2159">
        <v>202911</v>
      </c>
      <c r="B2159">
        <v>17</v>
      </c>
      <c r="C2159" s="148">
        <v>47449</v>
      </c>
      <c r="D2159">
        <v>20</v>
      </c>
      <c r="E2159">
        <v>20</v>
      </c>
      <c r="F2159">
        <v>1483</v>
      </c>
      <c r="G2159">
        <f>Consulta2[[#This Row],[DIA_UTIL_CORRENTE]]</f>
        <v>17</v>
      </c>
      <c r="H2159" s="6">
        <f>DAY(Consulta2[[#This Row],[DATA]])</f>
        <v>27</v>
      </c>
      <c r="I2159" s="6">
        <f>MONTH(Consulta2[[#This Row],[DATA]])</f>
        <v>11</v>
      </c>
      <c r="J2159" t="str">
        <f>CONCATENATE(Consulta2[[#This Row],[SAFRA]],Consulta2[[#This Row],[dia]])</f>
        <v>20291127</v>
      </c>
      <c r="K2159">
        <f>Consulta2[[#This Row],[DIA_UTIL_CORRENTE]]</f>
        <v>17</v>
      </c>
    </row>
    <row r="2160" spans="1:11" x14ac:dyDescent="0.25">
      <c r="A2160">
        <v>202911</v>
      </c>
      <c r="B2160">
        <v>18</v>
      </c>
      <c r="C2160" s="148">
        <v>47450</v>
      </c>
      <c r="D2160">
        <v>20</v>
      </c>
      <c r="E2160">
        <v>20</v>
      </c>
      <c r="F2160">
        <v>1484</v>
      </c>
      <c r="G2160">
        <f>Consulta2[[#This Row],[DIA_UTIL_CORRENTE]]</f>
        <v>18</v>
      </c>
      <c r="H2160" s="6">
        <f>DAY(Consulta2[[#This Row],[DATA]])</f>
        <v>28</v>
      </c>
      <c r="I2160" s="6">
        <f>MONTH(Consulta2[[#This Row],[DATA]])</f>
        <v>11</v>
      </c>
      <c r="J2160" t="str">
        <f>CONCATENATE(Consulta2[[#This Row],[SAFRA]],Consulta2[[#This Row],[dia]])</f>
        <v>20291128</v>
      </c>
      <c r="K2160">
        <f>Consulta2[[#This Row],[DIA_UTIL_CORRENTE]]</f>
        <v>18</v>
      </c>
    </row>
    <row r="2161" spans="1:11" x14ac:dyDescent="0.25">
      <c r="A2161">
        <v>202911</v>
      </c>
      <c r="B2161">
        <v>19</v>
      </c>
      <c r="C2161" s="148">
        <v>47451</v>
      </c>
      <c r="D2161">
        <v>20</v>
      </c>
      <c r="E2161">
        <v>20</v>
      </c>
      <c r="F2161">
        <v>1485</v>
      </c>
      <c r="G2161">
        <f>Consulta2[[#This Row],[DIA_UTIL_CORRENTE]]</f>
        <v>19</v>
      </c>
      <c r="H2161" s="6">
        <f>DAY(Consulta2[[#This Row],[DATA]])</f>
        <v>29</v>
      </c>
      <c r="I2161" s="6">
        <f>MONTH(Consulta2[[#This Row],[DATA]])</f>
        <v>11</v>
      </c>
      <c r="J2161" t="str">
        <f>CONCATENATE(Consulta2[[#This Row],[SAFRA]],Consulta2[[#This Row],[dia]])</f>
        <v>20291129</v>
      </c>
      <c r="K2161">
        <f>Consulta2[[#This Row],[DIA_UTIL_CORRENTE]]</f>
        <v>19</v>
      </c>
    </row>
    <row r="2162" spans="1:11" x14ac:dyDescent="0.25">
      <c r="A2162">
        <v>202911</v>
      </c>
      <c r="B2162">
        <v>20</v>
      </c>
      <c r="C2162" s="148">
        <v>47452</v>
      </c>
      <c r="D2162">
        <v>20</v>
      </c>
      <c r="E2162">
        <v>20</v>
      </c>
      <c r="F2162">
        <v>1486</v>
      </c>
      <c r="G2162">
        <f>Consulta2[[#This Row],[DIA_UTIL_CORRENTE]]</f>
        <v>20</v>
      </c>
      <c r="H2162" s="6">
        <f>DAY(Consulta2[[#This Row],[DATA]])</f>
        <v>30</v>
      </c>
      <c r="I2162" s="6">
        <f>MONTH(Consulta2[[#This Row],[DATA]])</f>
        <v>11</v>
      </c>
      <c r="J2162" t="str">
        <f>CONCATENATE(Consulta2[[#This Row],[SAFRA]],Consulta2[[#This Row],[dia]])</f>
        <v>20291130</v>
      </c>
      <c r="K2162">
        <f>Consulta2[[#This Row],[DIA_UTIL_CORRENTE]]</f>
        <v>20</v>
      </c>
    </row>
    <row r="2163" spans="1:11" x14ac:dyDescent="0.25">
      <c r="A2163">
        <v>202912</v>
      </c>
      <c r="B2163">
        <v>0</v>
      </c>
      <c r="C2163" s="148">
        <v>47453</v>
      </c>
      <c r="D2163">
        <v>20</v>
      </c>
      <c r="E2163">
        <v>20</v>
      </c>
      <c r="F2163">
        <v>1486</v>
      </c>
      <c r="G2163">
        <f>Consulta2[[#This Row],[DIA_UTIL_CORRENTE]]</f>
        <v>0</v>
      </c>
      <c r="H2163" s="6">
        <f>DAY(Consulta2[[#This Row],[DATA]])</f>
        <v>1</v>
      </c>
      <c r="I2163" s="6">
        <f>MONTH(Consulta2[[#This Row],[DATA]])</f>
        <v>12</v>
      </c>
      <c r="J2163" t="str">
        <f>CONCATENATE(Consulta2[[#This Row],[SAFRA]],Consulta2[[#This Row],[dia]])</f>
        <v>2029121</v>
      </c>
      <c r="K2163">
        <f>Consulta2[[#This Row],[DIA_UTIL_CORRENTE]]</f>
        <v>0</v>
      </c>
    </row>
    <row r="2164" spans="1:11" x14ac:dyDescent="0.25">
      <c r="A2164">
        <v>202912</v>
      </c>
      <c r="B2164">
        <v>0</v>
      </c>
      <c r="C2164" s="148">
        <v>47454</v>
      </c>
      <c r="D2164">
        <v>20</v>
      </c>
      <c r="E2164">
        <v>20</v>
      </c>
      <c r="F2164">
        <v>1486</v>
      </c>
      <c r="G2164">
        <f>Consulta2[[#This Row],[DIA_UTIL_CORRENTE]]</f>
        <v>0</v>
      </c>
      <c r="H2164" s="6">
        <f>DAY(Consulta2[[#This Row],[DATA]])</f>
        <v>2</v>
      </c>
      <c r="I2164" s="6">
        <f>MONTH(Consulta2[[#This Row],[DATA]])</f>
        <v>12</v>
      </c>
      <c r="J2164" t="str">
        <f>CONCATENATE(Consulta2[[#This Row],[SAFRA]],Consulta2[[#This Row],[dia]])</f>
        <v>2029122</v>
      </c>
      <c r="K2164">
        <f>Consulta2[[#This Row],[DIA_UTIL_CORRENTE]]</f>
        <v>0</v>
      </c>
    </row>
    <row r="2165" spans="1:11" x14ac:dyDescent="0.25">
      <c r="A2165">
        <v>202912</v>
      </c>
      <c r="B2165">
        <v>1</v>
      </c>
      <c r="C2165" s="148">
        <v>47455</v>
      </c>
      <c r="D2165">
        <v>20</v>
      </c>
      <c r="E2165">
        <v>20</v>
      </c>
      <c r="F2165">
        <v>1487</v>
      </c>
      <c r="G2165">
        <f>Consulta2[[#This Row],[DIA_UTIL_CORRENTE]]</f>
        <v>1</v>
      </c>
      <c r="H2165" s="6">
        <f>DAY(Consulta2[[#This Row],[DATA]])</f>
        <v>3</v>
      </c>
      <c r="I2165" s="6">
        <f>MONTH(Consulta2[[#This Row],[DATA]])</f>
        <v>12</v>
      </c>
      <c r="J2165" t="str">
        <f>CONCATENATE(Consulta2[[#This Row],[SAFRA]],Consulta2[[#This Row],[dia]])</f>
        <v>2029123</v>
      </c>
      <c r="K2165">
        <f>Consulta2[[#This Row],[DIA_UTIL_CORRENTE]]</f>
        <v>1</v>
      </c>
    </row>
    <row r="2166" spans="1:11" x14ac:dyDescent="0.25">
      <c r="A2166">
        <v>202912</v>
      </c>
      <c r="B2166">
        <v>2</v>
      </c>
      <c r="C2166" s="148">
        <v>47456</v>
      </c>
      <c r="D2166">
        <v>20</v>
      </c>
      <c r="E2166">
        <v>20</v>
      </c>
      <c r="F2166">
        <v>1488</v>
      </c>
      <c r="G2166">
        <f>Consulta2[[#This Row],[DIA_UTIL_CORRENTE]]</f>
        <v>2</v>
      </c>
      <c r="H2166" s="6">
        <f>DAY(Consulta2[[#This Row],[DATA]])</f>
        <v>4</v>
      </c>
      <c r="I2166" s="6">
        <f>MONTH(Consulta2[[#This Row],[DATA]])</f>
        <v>12</v>
      </c>
      <c r="J2166" t="str">
        <f>CONCATENATE(Consulta2[[#This Row],[SAFRA]],Consulta2[[#This Row],[dia]])</f>
        <v>2029124</v>
      </c>
      <c r="K2166">
        <f>Consulta2[[#This Row],[DIA_UTIL_CORRENTE]]</f>
        <v>2</v>
      </c>
    </row>
    <row r="2167" spans="1:11" x14ac:dyDescent="0.25">
      <c r="A2167">
        <v>202912</v>
      </c>
      <c r="B2167">
        <v>3</v>
      </c>
      <c r="C2167" s="148">
        <v>47457</v>
      </c>
      <c r="D2167">
        <v>20</v>
      </c>
      <c r="E2167">
        <v>20</v>
      </c>
      <c r="F2167">
        <v>1489</v>
      </c>
      <c r="G2167">
        <f>Consulta2[[#This Row],[DIA_UTIL_CORRENTE]]</f>
        <v>3</v>
      </c>
      <c r="H2167" s="6">
        <f>DAY(Consulta2[[#This Row],[DATA]])</f>
        <v>5</v>
      </c>
      <c r="I2167" s="6">
        <f>MONTH(Consulta2[[#This Row],[DATA]])</f>
        <v>12</v>
      </c>
      <c r="J2167" t="str">
        <f>CONCATENATE(Consulta2[[#This Row],[SAFRA]],Consulta2[[#This Row],[dia]])</f>
        <v>2029125</v>
      </c>
      <c r="K2167">
        <f>Consulta2[[#This Row],[DIA_UTIL_CORRENTE]]</f>
        <v>3</v>
      </c>
    </row>
    <row r="2168" spans="1:11" x14ac:dyDescent="0.25">
      <c r="A2168">
        <v>202912</v>
      </c>
      <c r="B2168">
        <v>4</v>
      </c>
      <c r="C2168" s="148">
        <v>47458</v>
      </c>
      <c r="D2168">
        <v>20</v>
      </c>
      <c r="E2168">
        <v>20</v>
      </c>
      <c r="F2168">
        <v>1490</v>
      </c>
      <c r="G2168">
        <f>Consulta2[[#This Row],[DIA_UTIL_CORRENTE]]</f>
        <v>4</v>
      </c>
      <c r="H2168" s="6">
        <f>DAY(Consulta2[[#This Row],[DATA]])</f>
        <v>6</v>
      </c>
      <c r="I2168" s="6">
        <f>MONTH(Consulta2[[#This Row],[DATA]])</f>
        <v>12</v>
      </c>
      <c r="J2168" t="str">
        <f>CONCATENATE(Consulta2[[#This Row],[SAFRA]],Consulta2[[#This Row],[dia]])</f>
        <v>2029126</v>
      </c>
      <c r="K2168">
        <f>Consulta2[[#This Row],[DIA_UTIL_CORRENTE]]</f>
        <v>4</v>
      </c>
    </row>
    <row r="2169" spans="1:11" x14ac:dyDescent="0.25">
      <c r="A2169">
        <v>202912</v>
      </c>
      <c r="B2169">
        <v>5</v>
      </c>
      <c r="C2169" s="148">
        <v>47459</v>
      </c>
      <c r="D2169">
        <v>20</v>
      </c>
      <c r="E2169">
        <v>20</v>
      </c>
      <c r="F2169">
        <v>1491</v>
      </c>
      <c r="G2169">
        <f>Consulta2[[#This Row],[DIA_UTIL_CORRENTE]]</f>
        <v>5</v>
      </c>
      <c r="H2169" s="6">
        <f>DAY(Consulta2[[#This Row],[DATA]])</f>
        <v>7</v>
      </c>
      <c r="I2169" s="6">
        <f>MONTH(Consulta2[[#This Row],[DATA]])</f>
        <v>12</v>
      </c>
      <c r="J2169" t="str">
        <f>CONCATENATE(Consulta2[[#This Row],[SAFRA]],Consulta2[[#This Row],[dia]])</f>
        <v>2029127</v>
      </c>
      <c r="K2169">
        <f>Consulta2[[#This Row],[DIA_UTIL_CORRENTE]]</f>
        <v>5</v>
      </c>
    </row>
    <row r="2170" spans="1:11" x14ac:dyDescent="0.25">
      <c r="A2170">
        <v>202912</v>
      </c>
      <c r="B2170">
        <v>5</v>
      </c>
      <c r="C2170" s="148">
        <v>47460</v>
      </c>
      <c r="D2170">
        <v>20</v>
      </c>
      <c r="E2170">
        <v>20</v>
      </c>
      <c r="F2170">
        <v>1491</v>
      </c>
      <c r="G2170">
        <f>Consulta2[[#This Row],[DIA_UTIL_CORRENTE]]</f>
        <v>5</v>
      </c>
      <c r="H2170" s="6">
        <f>DAY(Consulta2[[#This Row],[DATA]])</f>
        <v>8</v>
      </c>
      <c r="I2170" s="6">
        <f>MONTH(Consulta2[[#This Row],[DATA]])</f>
        <v>12</v>
      </c>
      <c r="J2170" t="str">
        <f>CONCATENATE(Consulta2[[#This Row],[SAFRA]],Consulta2[[#This Row],[dia]])</f>
        <v>2029128</v>
      </c>
      <c r="K2170">
        <f>Consulta2[[#This Row],[DIA_UTIL_CORRENTE]]</f>
        <v>5</v>
      </c>
    </row>
    <row r="2171" spans="1:11" x14ac:dyDescent="0.25">
      <c r="A2171">
        <v>202912</v>
      </c>
      <c r="B2171">
        <v>5</v>
      </c>
      <c r="C2171" s="148">
        <v>47461</v>
      </c>
      <c r="D2171">
        <v>20</v>
      </c>
      <c r="E2171">
        <v>20</v>
      </c>
      <c r="F2171">
        <v>1491</v>
      </c>
      <c r="G2171">
        <f>Consulta2[[#This Row],[DIA_UTIL_CORRENTE]]</f>
        <v>5</v>
      </c>
      <c r="H2171" s="6">
        <f>DAY(Consulta2[[#This Row],[DATA]])</f>
        <v>9</v>
      </c>
      <c r="I2171" s="6">
        <f>MONTH(Consulta2[[#This Row],[DATA]])</f>
        <v>12</v>
      </c>
      <c r="J2171" t="str">
        <f>CONCATENATE(Consulta2[[#This Row],[SAFRA]],Consulta2[[#This Row],[dia]])</f>
        <v>2029129</v>
      </c>
      <c r="K2171">
        <f>Consulta2[[#This Row],[DIA_UTIL_CORRENTE]]</f>
        <v>5</v>
      </c>
    </row>
    <row r="2172" spans="1:11" x14ac:dyDescent="0.25">
      <c r="A2172">
        <v>202912</v>
      </c>
      <c r="B2172">
        <v>6</v>
      </c>
      <c r="C2172" s="148">
        <v>47462</v>
      </c>
      <c r="D2172">
        <v>20</v>
      </c>
      <c r="E2172">
        <v>20</v>
      </c>
      <c r="F2172">
        <v>1492</v>
      </c>
      <c r="G2172">
        <f>Consulta2[[#This Row],[DIA_UTIL_CORRENTE]]</f>
        <v>6</v>
      </c>
      <c r="H2172" s="6">
        <f>DAY(Consulta2[[#This Row],[DATA]])</f>
        <v>10</v>
      </c>
      <c r="I2172" s="6">
        <f>MONTH(Consulta2[[#This Row],[DATA]])</f>
        <v>12</v>
      </c>
      <c r="J2172" t="str">
        <f>CONCATENATE(Consulta2[[#This Row],[SAFRA]],Consulta2[[#This Row],[dia]])</f>
        <v>20291210</v>
      </c>
      <c r="K2172">
        <f>Consulta2[[#This Row],[DIA_UTIL_CORRENTE]]</f>
        <v>6</v>
      </c>
    </row>
    <row r="2173" spans="1:11" x14ac:dyDescent="0.25">
      <c r="A2173">
        <v>202912</v>
      </c>
      <c r="B2173">
        <v>7</v>
      </c>
      <c r="C2173" s="148">
        <v>47463</v>
      </c>
      <c r="D2173">
        <v>20</v>
      </c>
      <c r="E2173">
        <v>20</v>
      </c>
      <c r="F2173">
        <v>1493</v>
      </c>
      <c r="G2173">
        <f>Consulta2[[#This Row],[DIA_UTIL_CORRENTE]]</f>
        <v>7</v>
      </c>
      <c r="H2173" s="6">
        <f>DAY(Consulta2[[#This Row],[DATA]])</f>
        <v>11</v>
      </c>
      <c r="I2173" s="6">
        <f>MONTH(Consulta2[[#This Row],[DATA]])</f>
        <v>12</v>
      </c>
      <c r="J2173" t="str">
        <f>CONCATENATE(Consulta2[[#This Row],[SAFRA]],Consulta2[[#This Row],[dia]])</f>
        <v>20291211</v>
      </c>
      <c r="K2173">
        <f>Consulta2[[#This Row],[DIA_UTIL_CORRENTE]]</f>
        <v>7</v>
      </c>
    </row>
    <row r="2174" spans="1:11" x14ac:dyDescent="0.25">
      <c r="A2174">
        <v>202912</v>
      </c>
      <c r="B2174">
        <v>8</v>
      </c>
      <c r="C2174" s="148">
        <v>47464</v>
      </c>
      <c r="D2174">
        <v>20</v>
      </c>
      <c r="E2174">
        <v>20</v>
      </c>
      <c r="F2174">
        <v>1494</v>
      </c>
      <c r="G2174">
        <f>Consulta2[[#This Row],[DIA_UTIL_CORRENTE]]</f>
        <v>8</v>
      </c>
      <c r="H2174" s="6">
        <f>DAY(Consulta2[[#This Row],[DATA]])</f>
        <v>12</v>
      </c>
      <c r="I2174" s="6">
        <f>MONTH(Consulta2[[#This Row],[DATA]])</f>
        <v>12</v>
      </c>
      <c r="J2174" t="str">
        <f>CONCATENATE(Consulta2[[#This Row],[SAFRA]],Consulta2[[#This Row],[dia]])</f>
        <v>20291212</v>
      </c>
      <c r="K2174">
        <f>Consulta2[[#This Row],[DIA_UTIL_CORRENTE]]</f>
        <v>8</v>
      </c>
    </row>
    <row r="2175" spans="1:11" x14ac:dyDescent="0.25">
      <c r="A2175">
        <v>202912</v>
      </c>
      <c r="B2175">
        <v>9</v>
      </c>
      <c r="C2175" s="148">
        <v>47465</v>
      </c>
      <c r="D2175">
        <v>20</v>
      </c>
      <c r="E2175">
        <v>20</v>
      </c>
      <c r="F2175">
        <v>1495</v>
      </c>
      <c r="G2175">
        <f>Consulta2[[#This Row],[DIA_UTIL_CORRENTE]]</f>
        <v>9</v>
      </c>
      <c r="H2175" s="6">
        <f>DAY(Consulta2[[#This Row],[DATA]])</f>
        <v>13</v>
      </c>
      <c r="I2175" s="6">
        <f>MONTH(Consulta2[[#This Row],[DATA]])</f>
        <v>12</v>
      </c>
      <c r="J2175" t="str">
        <f>CONCATENATE(Consulta2[[#This Row],[SAFRA]],Consulta2[[#This Row],[dia]])</f>
        <v>20291213</v>
      </c>
      <c r="K2175">
        <f>Consulta2[[#This Row],[DIA_UTIL_CORRENTE]]</f>
        <v>9</v>
      </c>
    </row>
    <row r="2176" spans="1:11" x14ac:dyDescent="0.25">
      <c r="A2176">
        <v>202912</v>
      </c>
      <c r="B2176">
        <v>10</v>
      </c>
      <c r="C2176" s="148">
        <v>47466</v>
      </c>
      <c r="D2176">
        <v>20</v>
      </c>
      <c r="E2176">
        <v>20</v>
      </c>
      <c r="F2176">
        <v>1496</v>
      </c>
      <c r="G2176">
        <f>Consulta2[[#This Row],[DIA_UTIL_CORRENTE]]</f>
        <v>10</v>
      </c>
      <c r="H2176" s="6">
        <f>DAY(Consulta2[[#This Row],[DATA]])</f>
        <v>14</v>
      </c>
      <c r="I2176" s="6">
        <f>MONTH(Consulta2[[#This Row],[DATA]])</f>
        <v>12</v>
      </c>
      <c r="J2176" t="str">
        <f>CONCATENATE(Consulta2[[#This Row],[SAFRA]],Consulta2[[#This Row],[dia]])</f>
        <v>20291214</v>
      </c>
      <c r="K2176">
        <f>Consulta2[[#This Row],[DIA_UTIL_CORRENTE]]</f>
        <v>10</v>
      </c>
    </row>
    <row r="2177" spans="1:11" x14ac:dyDescent="0.25">
      <c r="A2177">
        <v>202912</v>
      </c>
      <c r="B2177">
        <v>10</v>
      </c>
      <c r="C2177" s="148">
        <v>47467</v>
      </c>
      <c r="D2177">
        <v>20</v>
      </c>
      <c r="E2177">
        <v>20</v>
      </c>
      <c r="F2177">
        <v>1496</v>
      </c>
      <c r="G2177">
        <f>Consulta2[[#This Row],[DIA_UTIL_CORRENTE]]</f>
        <v>10</v>
      </c>
      <c r="H2177" s="6">
        <f>DAY(Consulta2[[#This Row],[DATA]])</f>
        <v>15</v>
      </c>
      <c r="I2177" s="6">
        <f>MONTH(Consulta2[[#This Row],[DATA]])</f>
        <v>12</v>
      </c>
      <c r="J2177" t="str">
        <f>CONCATENATE(Consulta2[[#This Row],[SAFRA]],Consulta2[[#This Row],[dia]])</f>
        <v>20291215</v>
      </c>
      <c r="K2177">
        <f>Consulta2[[#This Row],[DIA_UTIL_CORRENTE]]</f>
        <v>10</v>
      </c>
    </row>
    <row r="2178" spans="1:11" x14ac:dyDescent="0.25">
      <c r="A2178">
        <v>202912</v>
      </c>
      <c r="B2178">
        <v>10</v>
      </c>
      <c r="C2178" s="148">
        <v>47468</v>
      </c>
      <c r="D2178">
        <v>20</v>
      </c>
      <c r="E2178">
        <v>20</v>
      </c>
      <c r="F2178">
        <v>1496</v>
      </c>
      <c r="G2178">
        <f>Consulta2[[#This Row],[DIA_UTIL_CORRENTE]]</f>
        <v>10</v>
      </c>
      <c r="H2178" s="6">
        <f>DAY(Consulta2[[#This Row],[DATA]])</f>
        <v>16</v>
      </c>
      <c r="I2178" s="6">
        <f>MONTH(Consulta2[[#This Row],[DATA]])</f>
        <v>12</v>
      </c>
      <c r="J2178" t="str">
        <f>CONCATENATE(Consulta2[[#This Row],[SAFRA]],Consulta2[[#This Row],[dia]])</f>
        <v>20291216</v>
      </c>
      <c r="K2178">
        <f>Consulta2[[#This Row],[DIA_UTIL_CORRENTE]]</f>
        <v>10</v>
      </c>
    </row>
    <row r="2179" spans="1:11" x14ac:dyDescent="0.25">
      <c r="A2179">
        <v>202912</v>
      </c>
      <c r="B2179">
        <v>11</v>
      </c>
      <c r="C2179" s="148">
        <v>47469</v>
      </c>
      <c r="D2179">
        <v>20</v>
      </c>
      <c r="E2179">
        <v>20</v>
      </c>
      <c r="F2179">
        <v>1497</v>
      </c>
      <c r="G2179">
        <f>Consulta2[[#This Row],[DIA_UTIL_CORRENTE]]</f>
        <v>11</v>
      </c>
      <c r="H2179" s="6">
        <f>DAY(Consulta2[[#This Row],[DATA]])</f>
        <v>17</v>
      </c>
      <c r="I2179" s="6">
        <f>MONTH(Consulta2[[#This Row],[DATA]])</f>
        <v>12</v>
      </c>
      <c r="J2179" t="str">
        <f>CONCATENATE(Consulta2[[#This Row],[SAFRA]],Consulta2[[#This Row],[dia]])</f>
        <v>20291217</v>
      </c>
      <c r="K2179">
        <f>Consulta2[[#This Row],[DIA_UTIL_CORRENTE]]</f>
        <v>11</v>
      </c>
    </row>
    <row r="2180" spans="1:11" x14ac:dyDescent="0.25">
      <c r="A2180">
        <v>202912</v>
      </c>
      <c r="B2180">
        <v>12</v>
      </c>
      <c r="C2180" s="148">
        <v>47470</v>
      </c>
      <c r="D2180">
        <v>20</v>
      </c>
      <c r="E2180">
        <v>20</v>
      </c>
      <c r="F2180">
        <v>1498</v>
      </c>
      <c r="G2180">
        <f>Consulta2[[#This Row],[DIA_UTIL_CORRENTE]]</f>
        <v>12</v>
      </c>
      <c r="H2180" s="6">
        <f>DAY(Consulta2[[#This Row],[DATA]])</f>
        <v>18</v>
      </c>
      <c r="I2180" s="6">
        <f>MONTH(Consulta2[[#This Row],[DATA]])</f>
        <v>12</v>
      </c>
      <c r="J2180" t="str">
        <f>CONCATENATE(Consulta2[[#This Row],[SAFRA]],Consulta2[[#This Row],[dia]])</f>
        <v>20291218</v>
      </c>
      <c r="K2180">
        <f>Consulta2[[#This Row],[DIA_UTIL_CORRENTE]]</f>
        <v>12</v>
      </c>
    </row>
    <row r="2181" spans="1:11" x14ac:dyDescent="0.25">
      <c r="A2181">
        <v>202912</v>
      </c>
      <c r="B2181">
        <v>13</v>
      </c>
      <c r="C2181" s="148">
        <v>47471</v>
      </c>
      <c r="D2181">
        <v>20</v>
      </c>
      <c r="E2181">
        <v>20</v>
      </c>
      <c r="F2181">
        <v>1499</v>
      </c>
      <c r="G2181">
        <f>Consulta2[[#This Row],[DIA_UTIL_CORRENTE]]</f>
        <v>13</v>
      </c>
      <c r="H2181" s="6">
        <f>DAY(Consulta2[[#This Row],[DATA]])</f>
        <v>19</v>
      </c>
      <c r="I2181" s="6">
        <f>MONTH(Consulta2[[#This Row],[DATA]])</f>
        <v>12</v>
      </c>
      <c r="J2181" t="str">
        <f>CONCATENATE(Consulta2[[#This Row],[SAFRA]],Consulta2[[#This Row],[dia]])</f>
        <v>20291219</v>
      </c>
      <c r="K2181">
        <f>Consulta2[[#This Row],[DIA_UTIL_CORRENTE]]</f>
        <v>13</v>
      </c>
    </row>
    <row r="2182" spans="1:11" x14ac:dyDescent="0.25">
      <c r="A2182">
        <v>202912</v>
      </c>
      <c r="B2182">
        <v>14</v>
      </c>
      <c r="C2182" s="148">
        <v>47472</v>
      </c>
      <c r="D2182">
        <v>20</v>
      </c>
      <c r="E2182">
        <v>20</v>
      </c>
      <c r="F2182">
        <v>1500</v>
      </c>
      <c r="G2182">
        <f>Consulta2[[#This Row],[DIA_UTIL_CORRENTE]]</f>
        <v>14</v>
      </c>
      <c r="H2182" s="6">
        <f>DAY(Consulta2[[#This Row],[DATA]])</f>
        <v>20</v>
      </c>
      <c r="I2182" s="6">
        <f>MONTH(Consulta2[[#This Row],[DATA]])</f>
        <v>12</v>
      </c>
      <c r="J2182" t="str">
        <f>CONCATENATE(Consulta2[[#This Row],[SAFRA]],Consulta2[[#This Row],[dia]])</f>
        <v>20291220</v>
      </c>
      <c r="K2182">
        <f>Consulta2[[#This Row],[DIA_UTIL_CORRENTE]]</f>
        <v>14</v>
      </c>
    </row>
    <row r="2183" spans="1:11" x14ac:dyDescent="0.25">
      <c r="A2183">
        <v>202912</v>
      </c>
      <c r="B2183">
        <v>15</v>
      </c>
      <c r="C2183" s="148">
        <v>47473</v>
      </c>
      <c r="D2183">
        <v>20</v>
      </c>
      <c r="E2183">
        <v>20</v>
      </c>
      <c r="F2183">
        <v>1501</v>
      </c>
      <c r="G2183">
        <f>Consulta2[[#This Row],[DIA_UTIL_CORRENTE]]</f>
        <v>15</v>
      </c>
      <c r="H2183" s="6">
        <f>DAY(Consulta2[[#This Row],[DATA]])</f>
        <v>21</v>
      </c>
      <c r="I2183" s="6">
        <f>MONTH(Consulta2[[#This Row],[DATA]])</f>
        <v>12</v>
      </c>
      <c r="J2183" t="str">
        <f>CONCATENATE(Consulta2[[#This Row],[SAFRA]],Consulta2[[#This Row],[dia]])</f>
        <v>20291221</v>
      </c>
      <c r="K2183">
        <f>Consulta2[[#This Row],[DIA_UTIL_CORRENTE]]</f>
        <v>15</v>
      </c>
    </row>
    <row r="2184" spans="1:11" x14ac:dyDescent="0.25">
      <c r="A2184">
        <v>202912</v>
      </c>
      <c r="B2184">
        <v>15</v>
      </c>
      <c r="C2184" s="148">
        <v>47474</v>
      </c>
      <c r="D2184">
        <v>20</v>
      </c>
      <c r="E2184">
        <v>20</v>
      </c>
      <c r="F2184">
        <v>1501</v>
      </c>
      <c r="G2184">
        <f>Consulta2[[#This Row],[DIA_UTIL_CORRENTE]]</f>
        <v>15</v>
      </c>
      <c r="H2184" s="6">
        <f>DAY(Consulta2[[#This Row],[DATA]])</f>
        <v>22</v>
      </c>
      <c r="I2184" s="6">
        <f>MONTH(Consulta2[[#This Row],[DATA]])</f>
        <v>12</v>
      </c>
      <c r="J2184" t="str">
        <f>CONCATENATE(Consulta2[[#This Row],[SAFRA]],Consulta2[[#This Row],[dia]])</f>
        <v>20291222</v>
      </c>
      <c r="K2184">
        <f>Consulta2[[#This Row],[DIA_UTIL_CORRENTE]]</f>
        <v>15</v>
      </c>
    </row>
    <row r="2185" spans="1:11" x14ac:dyDescent="0.25">
      <c r="A2185">
        <v>202912</v>
      </c>
      <c r="B2185">
        <v>15</v>
      </c>
      <c r="C2185" s="148">
        <v>47475</v>
      </c>
      <c r="D2185">
        <v>20</v>
      </c>
      <c r="E2185">
        <v>20</v>
      </c>
      <c r="F2185">
        <v>1501</v>
      </c>
      <c r="G2185">
        <f>Consulta2[[#This Row],[DIA_UTIL_CORRENTE]]</f>
        <v>15</v>
      </c>
      <c r="H2185" s="6">
        <f>DAY(Consulta2[[#This Row],[DATA]])</f>
        <v>23</v>
      </c>
      <c r="I2185" s="6">
        <f>MONTH(Consulta2[[#This Row],[DATA]])</f>
        <v>12</v>
      </c>
      <c r="J2185" t="str">
        <f>CONCATENATE(Consulta2[[#This Row],[SAFRA]],Consulta2[[#This Row],[dia]])</f>
        <v>20291223</v>
      </c>
      <c r="K2185">
        <f>Consulta2[[#This Row],[DIA_UTIL_CORRENTE]]</f>
        <v>15</v>
      </c>
    </row>
    <row r="2186" spans="1:11" x14ac:dyDescent="0.25">
      <c r="A2186">
        <v>202912</v>
      </c>
      <c r="B2186">
        <v>16</v>
      </c>
      <c r="C2186" s="148">
        <v>47476</v>
      </c>
      <c r="D2186">
        <v>20</v>
      </c>
      <c r="E2186">
        <v>20</v>
      </c>
      <c r="F2186">
        <v>1502</v>
      </c>
      <c r="G2186">
        <f>Consulta2[[#This Row],[DIA_UTIL_CORRENTE]]</f>
        <v>16</v>
      </c>
      <c r="H2186" s="6">
        <f>DAY(Consulta2[[#This Row],[DATA]])</f>
        <v>24</v>
      </c>
      <c r="I2186" s="6">
        <f>MONTH(Consulta2[[#This Row],[DATA]])</f>
        <v>12</v>
      </c>
      <c r="J2186" t="str">
        <f>CONCATENATE(Consulta2[[#This Row],[SAFRA]],Consulta2[[#This Row],[dia]])</f>
        <v>20291224</v>
      </c>
      <c r="K2186">
        <f>Consulta2[[#This Row],[DIA_UTIL_CORRENTE]]</f>
        <v>16</v>
      </c>
    </row>
    <row r="2187" spans="1:11" x14ac:dyDescent="0.25">
      <c r="A2187">
        <v>202912</v>
      </c>
      <c r="B2187">
        <v>16</v>
      </c>
      <c r="C2187" s="148">
        <v>47477</v>
      </c>
      <c r="D2187">
        <v>20</v>
      </c>
      <c r="E2187">
        <v>20</v>
      </c>
      <c r="F2187">
        <v>1502</v>
      </c>
      <c r="G2187">
        <f>Consulta2[[#This Row],[DIA_UTIL_CORRENTE]]</f>
        <v>16</v>
      </c>
      <c r="H2187" s="6">
        <f>DAY(Consulta2[[#This Row],[DATA]])</f>
        <v>25</v>
      </c>
      <c r="I2187" s="6">
        <f>MONTH(Consulta2[[#This Row],[DATA]])</f>
        <v>12</v>
      </c>
      <c r="J2187" t="str">
        <f>CONCATENATE(Consulta2[[#This Row],[SAFRA]],Consulta2[[#This Row],[dia]])</f>
        <v>20291225</v>
      </c>
      <c r="K2187">
        <f>Consulta2[[#This Row],[DIA_UTIL_CORRENTE]]</f>
        <v>16</v>
      </c>
    </row>
    <row r="2188" spans="1:11" x14ac:dyDescent="0.25">
      <c r="A2188">
        <v>202912</v>
      </c>
      <c r="B2188">
        <v>17</v>
      </c>
      <c r="C2188" s="148">
        <v>47478</v>
      </c>
      <c r="D2188">
        <v>20</v>
      </c>
      <c r="E2188">
        <v>20</v>
      </c>
      <c r="F2188">
        <v>1503</v>
      </c>
      <c r="G2188">
        <f>Consulta2[[#This Row],[DIA_UTIL_CORRENTE]]</f>
        <v>17</v>
      </c>
      <c r="H2188" s="6">
        <f>DAY(Consulta2[[#This Row],[DATA]])</f>
        <v>26</v>
      </c>
      <c r="I2188" s="6">
        <f>MONTH(Consulta2[[#This Row],[DATA]])</f>
        <v>12</v>
      </c>
      <c r="J2188" t="str">
        <f>CONCATENATE(Consulta2[[#This Row],[SAFRA]],Consulta2[[#This Row],[dia]])</f>
        <v>20291226</v>
      </c>
      <c r="K2188">
        <f>Consulta2[[#This Row],[DIA_UTIL_CORRENTE]]</f>
        <v>17</v>
      </c>
    </row>
    <row r="2189" spans="1:11" x14ac:dyDescent="0.25">
      <c r="A2189">
        <v>202912</v>
      </c>
      <c r="B2189">
        <v>18</v>
      </c>
      <c r="C2189" s="148">
        <v>47479</v>
      </c>
      <c r="D2189">
        <v>20</v>
      </c>
      <c r="E2189">
        <v>20</v>
      </c>
      <c r="F2189">
        <v>1504</v>
      </c>
      <c r="G2189">
        <f>Consulta2[[#This Row],[DIA_UTIL_CORRENTE]]</f>
        <v>18</v>
      </c>
      <c r="H2189" s="6">
        <f>DAY(Consulta2[[#This Row],[DATA]])</f>
        <v>27</v>
      </c>
      <c r="I2189" s="6">
        <f>MONTH(Consulta2[[#This Row],[DATA]])</f>
        <v>12</v>
      </c>
      <c r="J2189" t="str">
        <f>CONCATENATE(Consulta2[[#This Row],[SAFRA]],Consulta2[[#This Row],[dia]])</f>
        <v>20291227</v>
      </c>
      <c r="K2189">
        <f>Consulta2[[#This Row],[DIA_UTIL_CORRENTE]]</f>
        <v>18</v>
      </c>
    </row>
    <row r="2190" spans="1:11" x14ac:dyDescent="0.25">
      <c r="A2190">
        <v>202912</v>
      </c>
      <c r="B2190">
        <v>19</v>
      </c>
      <c r="C2190" s="148">
        <v>47480</v>
      </c>
      <c r="D2190">
        <v>20</v>
      </c>
      <c r="E2190">
        <v>20</v>
      </c>
      <c r="F2190">
        <v>1505</v>
      </c>
      <c r="G2190">
        <f>Consulta2[[#This Row],[DIA_UTIL_CORRENTE]]</f>
        <v>19</v>
      </c>
      <c r="H2190" s="6">
        <f>DAY(Consulta2[[#This Row],[DATA]])</f>
        <v>28</v>
      </c>
      <c r="I2190" s="6">
        <f>MONTH(Consulta2[[#This Row],[DATA]])</f>
        <v>12</v>
      </c>
      <c r="J2190" t="str">
        <f>CONCATENATE(Consulta2[[#This Row],[SAFRA]],Consulta2[[#This Row],[dia]])</f>
        <v>20291228</v>
      </c>
      <c r="K2190">
        <f>Consulta2[[#This Row],[DIA_UTIL_CORRENTE]]</f>
        <v>19</v>
      </c>
    </row>
    <row r="2191" spans="1:11" x14ac:dyDescent="0.25">
      <c r="A2191">
        <v>202912</v>
      </c>
      <c r="B2191">
        <v>19</v>
      </c>
      <c r="C2191" s="148">
        <v>47481</v>
      </c>
      <c r="D2191">
        <v>20</v>
      </c>
      <c r="E2191">
        <v>20</v>
      </c>
      <c r="F2191">
        <v>1505</v>
      </c>
      <c r="G2191">
        <f>Consulta2[[#This Row],[DIA_UTIL_CORRENTE]]</f>
        <v>19</v>
      </c>
      <c r="H2191" s="6">
        <f>DAY(Consulta2[[#This Row],[DATA]])</f>
        <v>29</v>
      </c>
      <c r="I2191" s="6">
        <f>MONTH(Consulta2[[#This Row],[DATA]])</f>
        <v>12</v>
      </c>
      <c r="J2191" t="str">
        <f>CONCATENATE(Consulta2[[#This Row],[SAFRA]],Consulta2[[#This Row],[dia]])</f>
        <v>20291229</v>
      </c>
      <c r="K2191">
        <f>Consulta2[[#This Row],[DIA_UTIL_CORRENTE]]</f>
        <v>19</v>
      </c>
    </row>
    <row r="2192" spans="1:11" x14ac:dyDescent="0.25">
      <c r="A2192">
        <v>202912</v>
      </c>
      <c r="B2192">
        <v>19</v>
      </c>
      <c r="C2192" s="148">
        <v>47482</v>
      </c>
      <c r="D2192">
        <v>20</v>
      </c>
      <c r="E2192">
        <v>20</v>
      </c>
      <c r="F2192">
        <v>1505</v>
      </c>
      <c r="G2192">
        <f>Consulta2[[#This Row],[DIA_UTIL_CORRENTE]]</f>
        <v>19</v>
      </c>
      <c r="H2192" s="6">
        <f>DAY(Consulta2[[#This Row],[DATA]])</f>
        <v>30</v>
      </c>
      <c r="I2192" s="6">
        <f>MONTH(Consulta2[[#This Row],[DATA]])</f>
        <v>12</v>
      </c>
      <c r="J2192" t="str">
        <f>CONCATENATE(Consulta2[[#This Row],[SAFRA]],Consulta2[[#This Row],[dia]])</f>
        <v>20291230</v>
      </c>
      <c r="K2192">
        <f>Consulta2[[#This Row],[DIA_UTIL_CORRENTE]]</f>
        <v>19</v>
      </c>
    </row>
    <row r="2193" spans="1:11" x14ac:dyDescent="0.25">
      <c r="A2193">
        <v>202912</v>
      </c>
      <c r="B2193">
        <v>20</v>
      </c>
      <c r="C2193" s="148">
        <v>47483</v>
      </c>
      <c r="D2193">
        <v>20</v>
      </c>
      <c r="E2193">
        <v>20</v>
      </c>
      <c r="F2193">
        <v>1506</v>
      </c>
      <c r="G2193">
        <f>Consulta2[[#This Row],[DIA_UTIL_CORRENTE]]</f>
        <v>20</v>
      </c>
      <c r="H2193" s="6">
        <f>DAY(Consulta2[[#This Row],[DATA]])</f>
        <v>31</v>
      </c>
      <c r="I2193" s="6">
        <f>MONTH(Consulta2[[#This Row],[DATA]])</f>
        <v>12</v>
      </c>
      <c r="J2193" t="str">
        <f>CONCATENATE(Consulta2[[#This Row],[SAFRA]],Consulta2[[#This Row],[dia]])</f>
        <v>20291231</v>
      </c>
      <c r="K2193">
        <f>Consulta2[[#This Row],[DIA_UTIL_CORRENTE]]</f>
        <v>20</v>
      </c>
    </row>
    <row r="2194" spans="1:11" x14ac:dyDescent="0.25">
      <c r="A2194">
        <v>203001</v>
      </c>
      <c r="B2194">
        <v>0</v>
      </c>
      <c r="C2194" s="148">
        <v>47484</v>
      </c>
      <c r="D2194">
        <v>22</v>
      </c>
      <c r="E2194">
        <v>22</v>
      </c>
      <c r="F2194">
        <v>1506</v>
      </c>
      <c r="G2194">
        <f>Consulta2[[#This Row],[DIA_UTIL_CORRENTE]]</f>
        <v>0</v>
      </c>
      <c r="H2194" s="6">
        <f>DAY(Consulta2[[#This Row],[DATA]])</f>
        <v>1</v>
      </c>
      <c r="I2194" s="6">
        <f>MONTH(Consulta2[[#This Row],[DATA]])</f>
        <v>1</v>
      </c>
      <c r="J2194" t="str">
        <f>CONCATENATE(Consulta2[[#This Row],[SAFRA]],Consulta2[[#This Row],[dia]])</f>
        <v>2030011</v>
      </c>
      <c r="K2194">
        <f>Consulta2[[#This Row],[DIA_UTIL_CORRENTE]]</f>
        <v>0</v>
      </c>
    </row>
    <row r="2195" spans="1:11" x14ac:dyDescent="0.25">
      <c r="A2195">
        <v>203001</v>
      </c>
      <c r="B2195">
        <v>1</v>
      </c>
      <c r="C2195" s="148">
        <v>47485</v>
      </c>
      <c r="D2195">
        <v>22</v>
      </c>
      <c r="E2195">
        <v>22</v>
      </c>
      <c r="F2195">
        <v>1507</v>
      </c>
      <c r="G2195">
        <f>Consulta2[[#This Row],[DIA_UTIL_CORRENTE]]</f>
        <v>1</v>
      </c>
      <c r="H2195" s="6">
        <f>DAY(Consulta2[[#This Row],[DATA]])</f>
        <v>2</v>
      </c>
      <c r="I2195" s="6">
        <f>MONTH(Consulta2[[#This Row],[DATA]])</f>
        <v>1</v>
      </c>
      <c r="J2195" t="str">
        <f>CONCATENATE(Consulta2[[#This Row],[SAFRA]],Consulta2[[#This Row],[dia]])</f>
        <v>2030012</v>
      </c>
      <c r="K2195">
        <f>Consulta2[[#This Row],[DIA_UTIL_CORRENTE]]</f>
        <v>1</v>
      </c>
    </row>
    <row r="2196" spans="1:11" x14ac:dyDescent="0.25">
      <c r="A2196">
        <v>203001</v>
      </c>
      <c r="B2196">
        <v>2</v>
      </c>
      <c r="C2196" s="148">
        <v>47486</v>
      </c>
      <c r="D2196">
        <v>22</v>
      </c>
      <c r="E2196">
        <v>22</v>
      </c>
      <c r="F2196">
        <v>1508</v>
      </c>
      <c r="G2196">
        <f>Consulta2[[#This Row],[DIA_UTIL_CORRENTE]]</f>
        <v>2</v>
      </c>
      <c r="H2196" s="6">
        <f>DAY(Consulta2[[#This Row],[DATA]])</f>
        <v>3</v>
      </c>
      <c r="I2196" s="6">
        <f>MONTH(Consulta2[[#This Row],[DATA]])</f>
        <v>1</v>
      </c>
      <c r="J2196" t="str">
        <f>CONCATENATE(Consulta2[[#This Row],[SAFRA]],Consulta2[[#This Row],[dia]])</f>
        <v>2030013</v>
      </c>
      <c r="K2196">
        <f>Consulta2[[#This Row],[DIA_UTIL_CORRENTE]]</f>
        <v>2</v>
      </c>
    </row>
    <row r="2197" spans="1:11" x14ac:dyDescent="0.25">
      <c r="A2197">
        <v>203001</v>
      </c>
      <c r="B2197">
        <v>3</v>
      </c>
      <c r="C2197" s="148">
        <v>47487</v>
      </c>
      <c r="D2197">
        <v>22</v>
      </c>
      <c r="E2197">
        <v>22</v>
      </c>
      <c r="F2197">
        <v>1509</v>
      </c>
      <c r="G2197">
        <f>Consulta2[[#This Row],[DIA_UTIL_CORRENTE]]</f>
        <v>3</v>
      </c>
      <c r="H2197" s="6">
        <f>DAY(Consulta2[[#This Row],[DATA]])</f>
        <v>4</v>
      </c>
      <c r="I2197" s="6">
        <f>MONTH(Consulta2[[#This Row],[DATA]])</f>
        <v>1</v>
      </c>
      <c r="J2197" t="str">
        <f>CONCATENATE(Consulta2[[#This Row],[SAFRA]],Consulta2[[#This Row],[dia]])</f>
        <v>2030014</v>
      </c>
      <c r="K2197">
        <f>Consulta2[[#This Row],[DIA_UTIL_CORRENTE]]</f>
        <v>3</v>
      </c>
    </row>
    <row r="2198" spans="1:11" x14ac:dyDescent="0.25">
      <c r="A2198">
        <v>203001</v>
      </c>
      <c r="B2198">
        <v>3</v>
      </c>
      <c r="C2198" s="148">
        <v>47488</v>
      </c>
      <c r="D2198">
        <v>22</v>
      </c>
      <c r="E2198">
        <v>22</v>
      </c>
      <c r="F2198">
        <v>1509</v>
      </c>
      <c r="G2198">
        <f>Consulta2[[#This Row],[DIA_UTIL_CORRENTE]]</f>
        <v>3</v>
      </c>
      <c r="H2198" s="6">
        <f>DAY(Consulta2[[#This Row],[DATA]])</f>
        <v>5</v>
      </c>
      <c r="I2198" s="6">
        <f>MONTH(Consulta2[[#This Row],[DATA]])</f>
        <v>1</v>
      </c>
      <c r="J2198" t="str">
        <f>CONCATENATE(Consulta2[[#This Row],[SAFRA]],Consulta2[[#This Row],[dia]])</f>
        <v>2030015</v>
      </c>
      <c r="K2198">
        <f>Consulta2[[#This Row],[DIA_UTIL_CORRENTE]]</f>
        <v>3</v>
      </c>
    </row>
    <row r="2199" spans="1:11" x14ac:dyDescent="0.25">
      <c r="A2199">
        <v>203001</v>
      </c>
      <c r="B2199">
        <v>3</v>
      </c>
      <c r="C2199" s="148">
        <v>47489</v>
      </c>
      <c r="D2199">
        <v>22</v>
      </c>
      <c r="E2199">
        <v>22</v>
      </c>
      <c r="F2199">
        <v>1509</v>
      </c>
      <c r="G2199">
        <f>Consulta2[[#This Row],[DIA_UTIL_CORRENTE]]</f>
        <v>3</v>
      </c>
      <c r="H2199" s="6">
        <f>DAY(Consulta2[[#This Row],[DATA]])</f>
        <v>6</v>
      </c>
      <c r="I2199" s="6">
        <f>MONTH(Consulta2[[#This Row],[DATA]])</f>
        <v>1</v>
      </c>
      <c r="J2199" t="str">
        <f>CONCATENATE(Consulta2[[#This Row],[SAFRA]],Consulta2[[#This Row],[dia]])</f>
        <v>2030016</v>
      </c>
      <c r="K2199">
        <f>Consulta2[[#This Row],[DIA_UTIL_CORRENTE]]</f>
        <v>3</v>
      </c>
    </row>
    <row r="2200" spans="1:11" x14ac:dyDescent="0.25">
      <c r="A2200">
        <v>203001</v>
      </c>
      <c r="B2200">
        <v>4</v>
      </c>
      <c r="C2200" s="148">
        <v>47490</v>
      </c>
      <c r="D2200">
        <v>22</v>
      </c>
      <c r="E2200">
        <v>22</v>
      </c>
      <c r="F2200">
        <v>1510</v>
      </c>
      <c r="G2200">
        <f>Consulta2[[#This Row],[DIA_UTIL_CORRENTE]]</f>
        <v>4</v>
      </c>
      <c r="H2200" s="6">
        <f>DAY(Consulta2[[#This Row],[DATA]])</f>
        <v>7</v>
      </c>
      <c r="I2200" s="6">
        <f>MONTH(Consulta2[[#This Row],[DATA]])</f>
        <v>1</v>
      </c>
      <c r="J2200" t="str">
        <f>CONCATENATE(Consulta2[[#This Row],[SAFRA]],Consulta2[[#This Row],[dia]])</f>
        <v>2030017</v>
      </c>
      <c r="K2200">
        <f>Consulta2[[#This Row],[DIA_UTIL_CORRENTE]]</f>
        <v>4</v>
      </c>
    </row>
    <row r="2201" spans="1:11" x14ac:dyDescent="0.25">
      <c r="A2201">
        <v>203001</v>
      </c>
      <c r="B2201">
        <v>5</v>
      </c>
      <c r="C2201" s="148">
        <v>47491</v>
      </c>
      <c r="D2201">
        <v>22</v>
      </c>
      <c r="E2201">
        <v>22</v>
      </c>
      <c r="F2201">
        <v>1511</v>
      </c>
      <c r="G2201">
        <f>Consulta2[[#This Row],[DIA_UTIL_CORRENTE]]</f>
        <v>5</v>
      </c>
      <c r="H2201" s="6">
        <f>DAY(Consulta2[[#This Row],[DATA]])</f>
        <v>8</v>
      </c>
      <c r="I2201" s="6">
        <f>MONTH(Consulta2[[#This Row],[DATA]])</f>
        <v>1</v>
      </c>
      <c r="J2201" t="str">
        <f>CONCATENATE(Consulta2[[#This Row],[SAFRA]],Consulta2[[#This Row],[dia]])</f>
        <v>2030018</v>
      </c>
      <c r="K2201">
        <f>Consulta2[[#This Row],[DIA_UTIL_CORRENTE]]</f>
        <v>5</v>
      </c>
    </row>
    <row r="2202" spans="1:11" x14ac:dyDescent="0.25">
      <c r="A2202">
        <v>203001</v>
      </c>
      <c r="B2202">
        <v>6</v>
      </c>
      <c r="C2202" s="148">
        <v>47492</v>
      </c>
      <c r="D2202">
        <v>22</v>
      </c>
      <c r="E2202">
        <v>22</v>
      </c>
      <c r="F2202">
        <v>1512</v>
      </c>
      <c r="G2202">
        <f>Consulta2[[#This Row],[DIA_UTIL_CORRENTE]]</f>
        <v>6</v>
      </c>
      <c r="H2202" s="6">
        <f>DAY(Consulta2[[#This Row],[DATA]])</f>
        <v>9</v>
      </c>
      <c r="I2202" s="6">
        <f>MONTH(Consulta2[[#This Row],[DATA]])</f>
        <v>1</v>
      </c>
      <c r="J2202" t="str">
        <f>CONCATENATE(Consulta2[[#This Row],[SAFRA]],Consulta2[[#This Row],[dia]])</f>
        <v>2030019</v>
      </c>
      <c r="K2202">
        <f>Consulta2[[#This Row],[DIA_UTIL_CORRENTE]]</f>
        <v>6</v>
      </c>
    </row>
    <row r="2203" spans="1:11" x14ac:dyDescent="0.25">
      <c r="A2203">
        <v>203001</v>
      </c>
      <c r="B2203">
        <v>7</v>
      </c>
      <c r="C2203" s="148">
        <v>47493</v>
      </c>
      <c r="D2203">
        <v>22</v>
      </c>
      <c r="E2203">
        <v>22</v>
      </c>
      <c r="F2203">
        <v>1513</v>
      </c>
      <c r="G2203">
        <f>Consulta2[[#This Row],[DIA_UTIL_CORRENTE]]</f>
        <v>7</v>
      </c>
      <c r="H2203" s="6">
        <f>DAY(Consulta2[[#This Row],[DATA]])</f>
        <v>10</v>
      </c>
      <c r="I2203" s="6">
        <f>MONTH(Consulta2[[#This Row],[DATA]])</f>
        <v>1</v>
      </c>
      <c r="J2203" t="str">
        <f>CONCATENATE(Consulta2[[#This Row],[SAFRA]],Consulta2[[#This Row],[dia]])</f>
        <v>20300110</v>
      </c>
      <c r="K2203">
        <f>Consulta2[[#This Row],[DIA_UTIL_CORRENTE]]</f>
        <v>7</v>
      </c>
    </row>
    <row r="2204" spans="1:11" x14ac:dyDescent="0.25">
      <c r="A2204">
        <v>203001</v>
      </c>
      <c r="B2204">
        <v>8</v>
      </c>
      <c r="C2204" s="148">
        <v>47494</v>
      </c>
      <c r="D2204">
        <v>22</v>
      </c>
      <c r="E2204">
        <v>22</v>
      </c>
      <c r="F2204">
        <v>1514</v>
      </c>
      <c r="G2204">
        <f>Consulta2[[#This Row],[DIA_UTIL_CORRENTE]]</f>
        <v>8</v>
      </c>
      <c r="H2204" s="6">
        <f>DAY(Consulta2[[#This Row],[DATA]])</f>
        <v>11</v>
      </c>
      <c r="I2204" s="6">
        <f>MONTH(Consulta2[[#This Row],[DATA]])</f>
        <v>1</v>
      </c>
      <c r="J2204" t="str">
        <f>CONCATENATE(Consulta2[[#This Row],[SAFRA]],Consulta2[[#This Row],[dia]])</f>
        <v>20300111</v>
      </c>
      <c r="K2204">
        <f>Consulta2[[#This Row],[DIA_UTIL_CORRENTE]]</f>
        <v>8</v>
      </c>
    </row>
    <row r="2205" spans="1:11" x14ac:dyDescent="0.25">
      <c r="A2205">
        <v>203001</v>
      </c>
      <c r="B2205">
        <v>8</v>
      </c>
      <c r="C2205" s="148">
        <v>47495</v>
      </c>
      <c r="D2205">
        <v>22</v>
      </c>
      <c r="E2205">
        <v>22</v>
      </c>
      <c r="F2205">
        <v>1514</v>
      </c>
      <c r="G2205">
        <f>Consulta2[[#This Row],[DIA_UTIL_CORRENTE]]</f>
        <v>8</v>
      </c>
      <c r="H2205" s="6">
        <f>DAY(Consulta2[[#This Row],[DATA]])</f>
        <v>12</v>
      </c>
      <c r="I2205" s="6">
        <f>MONTH(Consulta2[[#This Row],[DATA]])</f>
        <v>1</v>
      </c>
      <c r="J2205" t="str">
        <f>CONCATENATE(Consulta2[[#This Row],[SAFRA]],Consulta2[[#This Row],[dia]])</f>
        <v>20300112</v>
      </c>
      <c r="K2205">
        <f>Consulta2[[#This Row],[DIA_UTIL_CORRENTE]]</f>
        <v>8</v>
      </c>
    </row>
    <row r="2206" spans="1:11" x14ac:dyDescent="0.25">
      <c r="A2206">
        <v>203001</v>
      </c>
      <c r="B2206">
        <v>8</v>
      </c>
      <c r="C2206" s="148">
        <v>47496</v>
      </c>
      <c r="D2206">
        <v>22</v>
      </c>
      <c r="E2206">
        <v>22</v>
      </c>
      <c r="F2206">
        <v>1514</v>
      </c>
      <c r="G2206">
        <f>Consulta2[[#This Row],[DIA_UTIL_CORRENTE]]</f>
        <v>8</v>
      </c>
      <c r="H2206" s="6">
        <f>DAY(Consulta2[[#This Row],[DATA]])</f>
        <v>13</v>
      </c>
      <c r="I2206" s="6">
        <f>MONTH(Consulta2[[#This Row],[DATA]])</f>
        <v>1</v>
      </c>
      <c r="J2206" t="str">
        <f>CONCATENATE(Consulta2[[#This Row],[SAFRA]],Consulta2[[#This Row],[dia]])</f>
        <v>20300113</v>
      </c>
      <c r="K2206">
        <f>Consulta2[[#This Row],[DIA_UTIL_CORRENTE]]</f>
        <v>8</v>
      </c>
    </row>
    <row r="2207" spans="1:11" x14ac:dyDescent="0.25">
      <c r="A2207">
        <v>203001</v>
      </c>
      <c r="B2207">
        <v>9</v>
      </c>
      <c r="C2207" s="148">
        <v>47497</v>
      </c>
      <c r="D2207">
        <v>22</v>
      </c>
      <c r="E2207">
        <v>22</v>
      </c>
      <c r="F2207">
        <v>1515</v>
      </c>
      <c r="G2207">
        <f>Consulta2[[#This Row],[DIA_UTIL_CORRENTE]]</f>
        <v>9</v>
      </c>
      <c r="H2207" s="6">
        <f>DAY(Consulta2[[#This Row],[DATA]])</f>
        <v>14</v>
      </c>
      <c r="I2207" s="6">
        <f>MONTH(Consulta2[[#This Row],[DATA]])</f>
        <v>1</v>
      </c>
      <c r="J2207" t="str">
        <f>CONCATENATE(Consulta2[[#This Row],[SAFRA]],Consulta2[[#This Row],[dia]])</f>
        <v>20300114</v>
      </c>
      <c r="K2207">
        <f>Consulta2[[#This Row],[DIA_UTIL_CORRENTE]]</f>
        <v>9</v>
      </c>
    </row>
    <row r="2208" spans="1:11" x14ac:dyDescent="0.25">
      <c r="A2208">
        <v>203001</v>
      </c>
      <c r="B2208">
        <v>10</v>
      </c>
      <c r="C2208" s="148">
        <v>47498</v>
      </c>
      <c r="D2208">
        <v>22</v>
      </c>
      <c r="E2208">
        <v>22</v>
      </c>
      <c r="F2208">
        <v>1516</v>
      </c>
      <c r="G2208">
        <f>Consulta2[[#This Row],[DIA_UTIL_CORRENTE]]</f>
        <v>10</v>
      </c>
      <c r="H2208" s="6">
        <f>DAY(Consulta2[[#This Row],[DATA]])</f>
        <v>15</v>
      </c>
      <c r="I2208" s="6">
        <f>MONTH(Consulta2[[#This Row],[DATA]])</f>
        <v>1</v>
      </c>
      <c r="J2208" t="str">
        <f>CONCATENATE(Consulta2[[#This Row],[SAFRA]],Consulta2[[#This Row],[dia]])</f>
        <v>20300115</v>
      </c>
      <c r="K2208">
        <f>Consulta2[[#This Row],[DIA_UTIL_CORRENTE]]</f>
        <v>10</v>
      </c>
    </row>
    <row r="2209" spans="1:11" x14ac:dyDescent="0.25">
      <c r="A2209">
        <v>203001</v>
      </c>
      <c r="B2209">
        <v>11</v>
      </c>
      <c r="C2209" s="148">
        <v>47499</v>
      </c>
      <c r="D2209">
        <v>22</v>
      </c>
      <c r="E2209">
        <v>22</v>
      </c>
      <c r="F2209">
        <v>1517</v>
      </c>
      <c r="G2209">
        <f>Consulta2[[#This Row],[DIA_UTIL_CORRENTE]]</f>
        <v>11</v>
      </c>
      <c r="H2209" s="6">
        <f>DAY(Consulta2[[#This Row],[DATA]])</f>
        <v>16</v>
      </c>
      <c r="I2209" s="6">
        <f>MONTH(Consulta2[[#This Row],[DATA]])</f>
        <v>1</v>
      </c>
      <c r="J2209" t="str">
        <f>CONCATENATE(Consulta2[[#This Row],[SAFRA]],Consulta2[[#This Row],[dia]])</f>
        <v>20300116</v>
      </c>
      <c r="K2209">
        <f>Consulta2[[#This Row],[DIA_UTIL_CORRENTE]]</f>
        <v>11</v>
      </c>
    </row>
    <row r="2210" spans="1:11" x14ac:dyDescent="0.25">
      <c r="A2210">
        <v>203001</v>
      </c>
      <c r="B2210">
        <v>12</v>
      </c>
      <c r="C2210" s="148">
        <v>47500</v>
      </c>
      <c r="D2210">
        <v>22</v>
      </c>
      <c r="E2210">
        <v>22</v>
      </c>
      <c r="F2210">
        <v>1518</v>
      </c>
      <c r="G2210">
        <f>Consulta2[[#This Row],[DIA_UTIL_CORRENTE]]</f>
        <v>12</v>
      </c>
      <c r="H2210" s="6">
        <f>DAY(Consulta2[[#This Row],[DATA]])</f>
        <v>17</v>
      </c>
      <c r="I2210" s="6">
        <f>MONTH(Consulta2[[#This Row],[DATA]])</f>
        <v>1</v>
      </c>
      <c r="J2210" t="str">
        <f>CONCATENATE(Consulta2[[#This Row],[SAFRA]],Consulta2[[#This Row],[dia]])</f>
        <v>20300117</v>
      </c>
      <c r="K2210">
        <f>Consulta2[[#This Row],[DIA_UTIL_CORRENTE]]</f>
        <v>12</v>
      </c>
    </row>
    <row r="2211" spans="1:11" x14ac:dyDescent="0.25">
      <c r="A2211">
        <v>203001</v>
      </c>
      <c r="B2211">
        <v>13</v>
      </c>
      <c r="C2211" s="148">
        <v>47501</v>
      </c>
      <c r="D2211">
        <v>22</v>
      </c>
      <c r="E2211">
        <v>22</v>
      </c>
      <c r="F2211">
        <v>1519</v>
      </c>
      <c r="G2211">
        <f>Consulta2[[#This Row],[DIA_UTIL_CORRENTE]]</f>
        <v>13</v>
      </c>
      <c r="H2211" s="6">
        <f>DAY(Consulta2[[#This Row],[DATA]])</f>
        <v>18</v>
      </c>
      <c r="I2211" s="6">
        <f>MONTH(Consulta2[[#This Row],[DATA]])</f>
        <v>1</v>
      </c>
      <c r="J2211" t="str">
        <f>CONCATENATE(Consulta2[[#This Row],[SAFRA]],Consulta2[[#This Row],[dia]])</f>
        <v>20300118</v>
      </c>
      <c r="K2211">
        <f>Consulta2[[#This Row],[DIA_UTIL_CORRENTE]]</f>
        <v>13</v>
      </c>
    </row>
    <row r="2212" spans="1:11" x14ac:dyDescent="0.25">
      <c r="A2212">
        <v>203001</v>
      </c>
      <c r="B2212">
        <v>13</v>
      </c>
      <c r="C2212" s="148">
        <v>47502</v>
      </c>
      <c r="D2212">
        <v>22</v>
      </c>
      <c r="E2212">
        <v>22</v>
      </c>
      <c r="F2212">
        <v>1519</v>
      </c>
      <c r="G2212">
        <f>Consulta2[[#This Row],[DIA_UTIL_CORRENTE]]</f>
        <v>13</v>
      </c>
      <c r="H2212" s="6">
        <f>DAY(Consulta2[[#This Row],[DATA]])</f>
        <v>19</v>
      </c>
      <c r="I2212" s="6">
        <f>MONTH(Consulta2[[#This Row],[DATA]])</f>
        <v>1</v>
      </c>
      <c r="J2212" t="str">
        <f>CONCATENATE(Consulta2[[#This Row],[SAFRA]],Consulta2[[#This Row],[dia]])</f>
        <v>20300119</v>
      </c>
      <c r="K2212">
        <f>Consulta2[[#This Row],[DIA_UTIL_CORRENTE]]</f>
        <v>13</v>
      </c>
    </row>
    <row r="2213" spans="1:11" x14ac:dyDescent="0.25">
      <c r="A2213">
        <v>203001</v>
      </c>
      <c r="B2213">
        <v>13</v>
      </c>
      <c r="C2213" s="148">
        <v>47503</v>
      </c>
      <c r="D2213">
        <v>22</v>
      </c>
      <c r="E2213">
        <v>22</v>
      </c>
      <c r="F2213">
        <v>1519</v>
      </c>
      <c r="G2213">
        <f>Consulta2[[#This Row],[DIA_UTIL_CORRENTE]]</f>
        <v>13</v>
      </c>
      <c r="H2213" s="6">
        <f>DAY(Consulta2[[#This Row],[DATA]])</f>
        <v>20</v>
      </c>
      <c r="I2213" s="6">
        <f>MONTH(Consulta2[[#This Row],[DATA]])</f>
        <v>1</v>
      </c>
      <c r="J2213" t="str">
        <f>CONCATENATE(Consulta2[[#This Row],[SAFRA]],Consulta2[[#This Row],[dia]])</f>
        <v>20300120</v>
      </c>
      <c r="K2213">
        <f>Consulta2[[#This Row],[DIA_UTIL_CORRENTE]]</f>
        <v>13</v>
      </c>
    </row>
    <row r="2214" spans="1:11" x14ac:dyDescent="0.25">
      <c r="A2214">
        <v>203001</v>
      </c>
      <c r="B2214">
        <v>14</v>
      </c>
      <c r="C2214" s="148">
        <v>47504</v>
      </c>
      <c r="D2214">
        <v>22</v>
      </c>
      <c r="E2214">
        <v>22</v>
      </c>
      <c r="F2214">
        <v>1520</v>
      </c>
      <c r="G2214">
        <f>Consulta2[[#This Row],[DIA_UTIL_CORRENTE]]</f>
        <v>14</v>
      </c>
      <c r="H2214" s="6">
        <f>DAY(Consulta2[[#This Row],[DATA]])</f>
        <v>21</v>
      </c>
      <c r="I2214" s="6">
        <f>MONTH(Consulta2[[#This Row],[DATA]])</f>
        <v>1</v>
      </c>
      <c r="J2214" t="str">
        <f>CONCATENATE(Consulta2[[#This Row],[SAFRA]],Consulta2[[#This Row],[dia]])</f>
        <v>20300121</v>
      </c>
      <c r="K2214">
        <f>Consulta2[[#This Row],[DIA_UTIL_CORRENTE]]</f>
        <v>14</v>
      </c>
    </row>
    <row r="2215" spans="1:11" x14ac:dyDescent="0.25">
      <c r="A2215">
        <v>203001</v>
      </c>
      <c r="B2215">
        <v>15</v>
      </c>
      <c r="C2215" s="148">
        <v>47505</v>
      </c>
      <c r="D2215">
        <v>22</v>
      </c>
      <c r="E2215">
        <v>22</v>
      </c>
      <c r="F2215">
        <v>1521</v>
      </c>
      <c r="G2215">
        <f>Consulta2[[#This Row],[DIA_UTIL_CORRENTE]]</f>
        <v>15</v>
      </c>
      <c r="H2215" s="6">
        <f>DAY(Consulta2[[#This Row],[DATA]])</f>
        <v>22</v>
      </c>
      <c r="I2215" s="6">
        <f>MONTH(Consulta2[[#This Row],[DATA]])</f>
        <v>1</v>
      </c>
      <c r="J2215" t="str">
        <f>CONCATENATE(Consulta2[[#This Row],[SAFRA]],Consulta2[[#This Row],[dia]])</f>
        <v>20300122</v>
      </c>
      <c r="K2215">
        <f>Consulta2[[#This Row],[DIA_UTIL_CORRENTE]]</f>
        <v>15</v>
      </c>
    </row>
    <row r="2216" spans="1:11" x14ac:dyDescent="0.25">
      <c r="A2216">
        <v>203001</v>
      </c>
      <c r="B2216">
        <v>16</v>
      </c>
      <c r="C2216" s="148">
        <v>47506</v>
      </c>
      <c r="D2216">
        <v>22</v>
      </c>
      <c r="E2216">
        <v>22</v>
      </c>
      <c r="F2216">
        <v>1522</v>
      </c>
      <c r="G2216">
        <f>Consulta2[[#This Row],[DIA_UTIL_CORRENTE]]</f>
        <v>16</v>
      </c>
      <c r="H2216" s="6">
        <f>DAY(Consulta2[[#This Row],[DATA]])</f>
        <v>23</v>
      </c>
      <c r="I2216" s="6">
        <f>MONTH(Consulta2[[#This Row],[DATA]])</f>
        <v>1</v>
      </c>
      <c r="J2216" t="str">
        <f>CONCATENATE(Consulta2[[#This Row],[SAFRA]],Consulta2[[#This Row],[dia]])</f>
        <v>20300123</v>
      </c>
      <c r="K2216">
        <f>Consulta2[[#This Row],[DIA_UTIL_CORRENTE]]</f>
        <v>16</v>
      </c>
    </row>
    <row r="2217" spans="1:11" x14ac:dyDescent="0.25">
      <c r="A2217">
        <v>203001</v>
      </c>
      <c r="B2217">
        <v>17</v>
      </c>
      <c r="C2217" s="148">
        <v>47507</v>
      </c>
      <c r="D2217">
        <v>22</v>
      </c>
      <c r="E2217">
        <v>22</v>
      </c>
      <c r="F2217">
        <v>1523</v>
      </c>
      <c r="G2217">
        <f>Consulta2[[#This Row],[DIA_UTIL_CORRENTE]]</f>
        <v>17</v>
      </c>
      <c r="H2217" s="6">
        <f>DAY(Consulta2[[#This Row],[DATA]])</f>
        <v>24</v>
      </c>
      <c r="I2217" s="6">
        <f>MONTH(Consulta2[[#This Row],[DATA]])</f>
        <v>1</v>
      </c>
      <c r="J2217" t="str">
        <f>CONCATENATE(Consulta2[[#This Row],[SAFRA]],Consulta2[[#This Row],[dia]])</f>
        <v>20300124</v>
      </c>
      <c r="K2217">
        <f>Consulta2[[#This Row],[DIA_UTIL_CORRENTE]]</f>
        <v>17</v>
      </c>
    </row>
    <row r="2218" spans="1:11" x14ac:dyDescent="0.25">
      <c r="A2218">
        <v>203001</v>
      </c>
      <c r="B2218">
        <v>18</v>
      </c>
      <c r="C2218" s="148">
        <v>47508</v>
      </c>
      <c r="D2218">
        <v>22</v>
      </c>
      <c r="E2218">
        <v>22</v>
      </c>
      <c r="F2218">
        <v>1524</v>
      </c>
      <c r="G2218">
        <f>Consulta2[[#This Row],[DIA_UTIL_CORRENTE]]</f>
        <v>18</v>
      </c>
      <c r="H2218" s="6">
        <f>DAY(Consulta2[[#This Row],[DATA]])</f>
        <v>25</v>
      </c>
      <c r="I2218" s="6">
        <f>MONTH(Consulta2[[#This Row],[DATA]])</f>
        <v>1</v>
      </c>
      <c r="J2218" t="str">
        <f>CONCATENATE(Consulta2[[#This Row],[SAFRA]],Consulta2[[#This Row],[dia]])</f>
        <v>20300125</v>
      </c>
      <c r="K2218">
        <f>Consulta2[[#This Row],[DIA_UTIL_CORRENTE]]</f>
        <v>18</v>
      </c>
    </row>
    <row r="2219" spans="1:11" x14ac:dyDescent="0.25">
      <c r="A2219">
        <v>203001</v>
      </c>
      <c r="B2219">
        <v>18</v>
      </c>
      <c r="C2219" s="148">
        <v>47509</v>
      </c>
      <c r="D2219">
        <v>22</v>
      </c>
      <c r="E2219">
        <v>22</v>
      </c>
      <c r="F2219">
        <v>1524</v>
      </c>
      <c r="G2219">
        <f>Consulta2[[#This Row],[DIA_UTIL_CORRENTE]]</f>
        <v>18</v>
      </c>
      <c r="H2219" s="6">
        <f>DAY(Consulta2[[#This Row],[DATA]])</f>
        <v>26</v>
      </c>
      <c r="I2219" s="6">
        <f>MONTH(Consulta2[[#This Row],[DATA]])</f>
        <v>1</v>
      </c>
      <c r="J2219" t="str">
        <f>CONCATENATE(Consulta2[[#This Row],[SAFRA]],Consulta2[[#This Row],[dia]])</f>
        <v>20300126</v>
      </c>
      <c r="K2219">
        <f>Consulta2[[#This Row],[DIA_UTIL_CORRENTE]]</f>
        <v>18</v>
      </c>
    </row>
    <row r="2220" spans="1:11" x14ac:dyDescent="0.25">
      <c r="A2220">
        <v>203001</v>
      </c>
      <c r="B2220">
        <v>18</v>
      </c>
      <c r="C2220" s="148">
        <v>47510</v>
      </c>
      <c r="D2220">
        <v>22</v>
      </c>
      <c r="E2220">
        <v>22</v>
      </c>
      <c r="F2220">
        <v>1524</v>
      </c>
      <c r="G2220">
        <f>Consulta2[[#This Row],[DIA_UTIL_CORRENTE]]</f>
        <v>18</v>
      </c>
      <c r="H2220" s="6">
        <f>DAY(Consulta2[[#This Row],[DATA]])</f>
        <v>27</v>
      </c>
      <c r="I2220" s="6">
        <f>MONTH(Consulta2[[#This Row],[DATA]])</f>
        <v>1</v>
      </c>
      <c r="J2220" t="str">
        <f>CONCATENATE(Consulta2[[#This Row],[SAFRA]],Consulta2[[#This Row],[dia]])</f>
        <v>20300127</v>
      </c>
      <c r="K2220">
        <f>Consulta2[[#This Row],[DIA_UTIL_CORRENTE]]</f>
        <v>18</v>
      </c>
    </row>
    <row r="2221" spans="1:11" x14ac:dyDescent="0.25">
      <c r="A2221">
        <v>203001</v>
      </c>
      <c r="B2221">
        <v>19</v>
      </c>
      <c r="C2221" s="148">
        <v>47511</v>
      </c>
      <c r="D2221">
        <v>22</v>
      </c>
      <c r="E2221">
        <v>22</v>
      </c>
      <c r="F2221">
        <v>1525</v>
      </c>
      <c r="G2221">
        <f>Consulta2[[#This Row],[DIA_UTIL_CORRENTE]]</f>
        <v>19</v>
      </c>
      <c r="H2221" s="6">
        <f>DAY(Consulta2[[#This Row],[DATA]])</f>
        <v>28</v>
      </c>
      <c r="I2221" s="6">
        <f>MONTH(Consulta2[[#This Row],[DATA]])</f>
        <v>1</v>
      </c>
      <c r="J2221" t="str">
        <f>CONCATENATE(Consulta2[[#This Row],[SAFRA]],Consulta2[[#This Row],[dia]])</f>
        <v>20300128</v>
      </c>
      <c r="K2221">
        <f>Consulta2[[#This Row],[DIA_UTIL_CORRENTE]]</f>
        <v>19</v>
      </c>
    </row>
    <row r="2222" spans="1:11" x14ac:dyDescent="0.25">
      <c r="A2222">
        <v>203001</v>
      </c>
      <c r="B2222">
        <v>20</v>
      </c>
      <c r="C2222" s="148">
        <v>47512</v>
      </c>
      <c r="D2222">
        <v>22</v>
      </c>
      <c r="E2222">
        <v>22</v>
      </c>
      <c r="F2222">
        <v>1526</v>
      </c>
      <c r="G2222">
        <f>Consulta2[[#This Row],[DIA_UTIL_CORRENTE]]</f>
        <v>20</v>
      </c>
      <c r="H2222" s="6">
        <f>DAY(Consulta2[[#This Row],[DATA]])</f>
        <v>29</v>
      </c>
      <c r="I2222" s="6">
        <f>MONTH(Consulta2[[#This Row],[DATA]])</f>
        <v>1</v>
      </c>
      <c r="J2222" t="str">
        <f>CONCATENATE(Consulta2[[#This Row],[SAFRA]],Consulta2[[#This Row],[dia]])</f>
        <v>20300129</v>
      </c>
      <c r="K2222">
        <f>Consulta2[[#This Row],[DIA_UTIL_CORRENTE]]</f>
        <v>20</v>
      </c>
    </row>
    <row r="2223" spans="1:11" x14ac:dyDescent="0.25">
      <c r="A2223">
        <v>203001</v>
      </c>
      <c r="B2223">
        <v>21</v>
      </c>
      <c r="C2223" s="148">
        <v>47513</v>
      </c>
      <c r="D2223">
        <v>22</v>
      </c>
      <c r="E2223">
        <v>22</v>
      </c>
      <c r="F2223">
        <v>1527</v>
      </c>
      <c r="G2223">
        <f>Consulta2[[#This Row],[DIA_UTIL_CORRENTE]]</f>
        <v>21</v>
      </c>
      <c r="H2223" s="6">
        <f>DAY(Consulta2[[#This Row],[DATA]])</f>
        <v>30</v>
      </c>
      <c r="I2223" s="6">
        <f>MONTH(Consulta2[[#This Row],[DATA]])</f>
        <v>1</v>
      </c>
      <c r="J2223" t="str">
        <f>CONCATENATE(Consulta2[[#This Row],[SAFRA]],Consulta2[[#This Row],[dia]])</f>
        <v>20300130</v>
      </c>
      <c r="K2223">
        <f>Consulta2[[#This Row],[DIA_UTIL_CORRENTE]]</f>
        <v>21</v>
      </c>
    </row>
    <row r="2224" spans="1:11" x14ac:dyDescent="0.25">
      <c r="A2224">
        <v>203001</v>
      </c>
      <c r="B2224">
        <v>22</v>
      </c>
      <c r="C2224" s="148">
        <v>47514</v>
      </c>
      <c r="D2224">
        <v>22</v>
      </c>
      <c r="E2224">
        <v>22</v>
      </c>
      <c r="F2224">
        <v>1528</v>
      </c>
      <c r="G2224">
        <f>Consulta2[[#This Row],[DIA_UTIL_CORRENTE]]</f>
        <v>22</v>
      </c>
      <c r="H2224" s="6">
        <f>DAY(Consulta2[[#This Row],[DATA]])</f>
        <v>31</v>
      </c>
      <c r="I2224" s="6">
        <f>MONTH(Consulta2[[#This Row],[DATA]])</f>
        <v>1</v>
      </c>
      <c r="J2224" t="str">
        <f>CONCATENATE(Consulta2[[#This Row],[SAFRA]],Consulta2[[#This Row],[dia]])</f>
        <v>20300131</v>
      </c>
      <c r="K2224">
        <f>Consulta2[[#This Row],[DIA_UTIL_CORRENTE]]</f>
        <v>22</v>
      </c>
    </row>
    <row r="2225" spans="1:11" x14ac:dyDescent="0.25">
      <c r="A2225">
        <v>203002</v>
      </c>
      <c r="B2225">
        <v>1</v>
      </c>
      <c r="C2225" s="148">
        <v>47515</v>
      </c>
      <c r="D2225">
        <v>20</v>
      </c>
      <c r="E2225">
        <v>20</v>
      </c>
      <c r="F2225">
        <v>1529</v>
      </c>
      <c r="G2225">
        <f>Consulta2[[#This Row],[DIA_UTIL_CORRENTE]]</f>
        <v>1</v>
      </c>
      <c r="H2225" s="6">
        <f>DAY(Consulta2[[#This Row],[DATA]])</f>
        <v>1</v>
      </c>
      <c r="I2225" s="6">
        <f>MONTH(Consulta2[[#This Row],[DATA]])</f>
        <v>2</v>
      </c>
      <c r="J2225" t="str">
        <f>CONCATENATE(Consulta2[[#This Row],[SAFRA]],Consulta2[[#This Row],[dia]])</f>
        <v>2030021</v>
      </c>
      <c r="K2225">
        <f>Consulta2[[#This Row],[DIA_UTIL_CORRENTE]]</f>
        <v>1</v>
      </c>
    </row>
    <row r="2226" spans="1:11" x14ac:dyDescent="0.25">
      <c r="A2226">
        <v>203002</v>
      </c>
      <c r="B2226">
        <v>1</v>
      </c>
      <c r="C2226" s="148">
        <v>47516</v>
      </c>
      <c r="D2226">
        <v>20</v>
      </c>
      <c r="E2226">
        <v>20</v>
      </c>
      <c r="F2226">
        <v>1529</v>
      </c>
      <c r="G2226">
        <f>Consulta2[[#This Row],[DIA_UTIL_CORRENTE]]</f>
        <v>1</v>
      </c>
      <c r="H2226" s="6">
        <f>DAY(Consulta2[[#This Row],[DATA]])</f>
        <v>2</v>
      </c>
      <c r="I2226" s="6">
        <f>MONTH(Consulta2[[#This Row],[DATA]])</f>
        <v>2</v>
      </c>
      <c r="J2226" t="str">
        <f>CONCATENATE(Consulta2[[#This Row],[SAFRA]],Consulta2[[#This Row],[dia]])</f>
        <v>2030022</v>
      </c>
      <c r="K2226">
        <f>Consulta2[[#This Row],[DIA_UTIL_CORRENTE]]</f>
        <v>1</v>
      </c>
    </row>
    <row r="2227" spans="1:11" x14ac:dyDescent="0.25">
      <c r="A2227">
        <v>203002</v>
      </c>
      <c r="B2227">
        <v>1</v>
      </c>
      <c r="C2227" s="148">
        <v>47517</v>
      </c>
      <c r="D2227">
        <v>20</v>
      </c>
      <c r="E2227">
        <v>20</v>
      </c>
      <c r="F2227">
        <v>1529</v>
      </c>
      <c r="G2227">
        <f>Consulta2[[#This Row],[DIA_UTIL_CORRENTE]]</f>
        <v>1</v>
      </c>
      <c r="H2227" s="6">
        <f>DAY(Consulta2[[#This Row],[DATA]])</f>
        <v>3</v>
      </c>
      <c r="I2227" s="6">
        <f>MONTH(Consulta2[[#This Row],[DATA]])</f>
        <v>2</v>
      </c>
      <c r="J2227" t="str">
        <f>CONCATENATE(Consulta2[[#This Row],[SAFRA]],Consulta2[[#This Row],[dia]])</f>
        <v>2030023</v>
      </c>
      <c r="K2227">
        <f>Consulta2[[#This Row],[DIA_UTIL_CORRENTE]]</f>
        <v>1</v>
      </c>
    </row>
    <row r="2228" spans="1:11" x14ac:dyDescent="0.25">
      <c r="A2228">
        <v>203002</v>
      </c>
      <c r="B2228">
        <v>2</v>
      </c>
      <c r="C2228" s="148">
        <v>47518</v>
      </c>
      <c r="D2228">
        <v>20</v>
      </c>
      <c r="E2228">
        <v>20</v>
      </c>
      <c r="F2228">
        <v>1530</v>
      </c>
      <c r="G2228">
        <f>Consulta2[[#This Row],[DIA_UTIL_CORRENTE]]</f>
        <v>2</v>
      </c>
      <c r="H2228" s="6">
        <f>DAY(Consulta2[[#This Row],[DATA]])</f>
        <v>4</v>
      </c>
      <c r="I2228" s="6">
        <f>MONTH(Consulta2[[#This Row],[DATA]])</f>
        <v>2</v>
      </c>
      <c r="J2228" t="str">
        <f>CONCATENATE(Consulta2[[#This Row],[SAFRA]],Consulta2[[#This Row],[dia]])</f>
        <v>2030024</v>
      </c>
      <c r="K2228">
        <f>Consulta2[[#This Row],[DIA_UTIL_CORRENTE]]</f>
        <v>2</v>
      </c>
    </row>
    <row r="2229" spans="1:11" x14ac:dyDescent="0.25">
      <c r="A2229">
        <v>203002</v>
      </c>
      <c r="B2229">
        <v>3</v>
      </c>
      <c r="C2229" s="148">
        <v>47519</v>
      </c>
      <c r="D2229">
        <v>20</v>
      </c>
      <c r="E2229">
        <v>20</v>
      </c>
      <c r="F2229">
        <v>1531</v>
      </c>
      <c r="G2229">
        <f>Consulta2[[#This Row],[DIA_UTIL_CORRENTE]]</f>
        <v>3</v>
      </c>
      <c r="H2229" s="6">
        <f>DAY(Consulta2[[#This Row],[DATA]])</f>
        <v>5</v>
      </c>
      <c r="I2229" s="6">
        <f>MONTH(Consulta2[[#This Row],[DATA]])</f>
        <v>2</v>
      </c>
      <c r="J2229" t="str">
        <f>CONCATENATE(Consulta2[[#This Row],[SAFRA]],Consulta2[[#This Row],[dia]])</f>
        <v>2030025</v>
      </c>
      <c r="K2229">
        <f>Consulta2[[#This Row],[DIA_UTIL_CORRENTE]]</f>
        <v>3</v>
      </c>
    </row>
    <row r="2230" spans="1:11" x14ac:dyDescent="0.25">
      <c r="A2230">
        <v>203002</v>
      </c>
      <c r="B2230">
        <v>4</v>
      </c>
      <c r="C2230" s="148">
        <v>47520</v>
      </c>
      <c r="D2230">
        <v>20</v>
      </c>
      <c r="E2230">
        <v>20</v>
      </c>
      <c r="F2230">
        <v>1532</v>
      </c>
      <c r="G2230">
        <f>Consulta2[[#This Row],[DIA_UTIL_CORRENTE]]</f>
        <v>4</v>
      </c>
      <c r="H2230" s="6">
        <f>DAY(Consulta2[[#This Row],[DATA]])</f>
        <v>6</v>
      </c>
      <c r="I2230" s="6">
        <f>MONTH(Consulta2[[#This Row],[DATA]])</f>
        <v>2</v>
      </c>
      <c r="J2230" t="str">
        <f>CONCATENATE(Consulta2[[#This Row],[SAFRA]],Consulta2[[#This Row],[dia]])</f>
        <v>2030026</v>
      </c>
      <c r="K2230">
        <f>Consulta2[[#This Row],[DIA_UTIL_CORRENTE]]</f>
        <v>4</v>
      </c>
    </row>
    <row r="2231" spans="1:11" x14ac:dyDescent="0.25">
      <c r="A2231">
        <v>203002</v>
      </c>
      <c r="B2231">
        <v>5</v>
      </c>
      <c r="C2231" s="148">
        <v>47521</v>
      </c>
      <c r="D2231">
        <v>20</v>
      </c>
      <c r="E2231">
        <v>20</v>
      </c>
      <c r="F2231">
        <v>1533</v>
      </c>
      <c r="G2231">
        <f>Consulta2[[#This Row],[DIA_UTIL_CORRENTE]]</f>
        <v>5</v>
      </c>
      <c r="H2231" s="6">
        <f>DAY(Consulta2[[#This Row],[DATA]])</f>
        <v>7</v>
      </c>
      <c r="I2231" s="6">
        <f>MONTH(Consulta2[[#This Row],[DATA]])</f>
        <v>2</v>
      </c>
      <c r="J2231" t="str">
        <f>CONCATENATE(Consulta2[[#This Row],[SAFRA]],Consulta2[[#This Row],[dia]])</f>
        <v>2030027</v>
      </c>
      <c r="K2231">
        <f>Consulta2[[#This Row],[DIA_UTIL_CORRENTE]]</f>
        <v>5</v>
      </c>
    </row>
    <row r="2232" spans="1:11" x14ac:dyDescent="0.25">
      <c r="A2232">
        <v>203002</v>
      </c>
      <c r="B2232">
        <v>6</v>
      </c>
      <c r="C2232" s="148">
        <v>47522</v>
      </c>
      <c r="D2232">
        <v>20</v>
      </c>
      <c r="E2232">
        <v>20</v>
      </c>
      <c r="F2232">
        <v>1534</v>
      </c>
      <c r="G2232">
        <f>Consulta2[[#This Row],[DIA_UTIL_CORRENTE]]</f>
        <v>6</v>
      </c>
      <c r="H2232" s="6">
        <f>DAY(Consulta2[[#This Row],[DATA]])</f>
        <v>8</v>
      </c>
      <c r="I2232" s="6">
        <f>MONTH(Consulta2[[#This Row],[DATA]])</f>
        <v>2</v>
      </c>
      <c r="J2232" t="str">
        <f>CONCATENATE(Consulta2[[#This Row],[SAFRA]],Consulta2[[#This Row],[dia]])</f>
        <v>2030028</v>
      </c>
      <c r="K2232">
        <f>Consulta2[[#This Row],[DIA_UTIL_CORRENTE]]</f>
        <v>6</v>
      </c>
    </row>
    <row r="2233" spans="1:11" x14ac:dyDescent="0.25">
      <c r="A2233">
        <v>203002</v>
      </c>
      <c r="B2233">
        <v>6</v>
      </c>
      <c r="C2233" s="148">
        <v>47523</v>
      </c>
      <c r="D2233">
        <v>20</v>
      </c>
      <c r="E2233">
        <v>20</v>
      </c>
      <c r="F2233">
        <v>1534</v>
      </c>
      <c r="G2233">
        <f>Consulta2[[#This Row],[DIA_UTIL_CORRENTE]]</f>
        <v>6</v>
      </c>
      <c r="H2233" s="6">
        <f>DAY(Consulta2[[#This Row],[DATA]])</f>
        <v>9</v>
      </c>
      <c r="I2233" s="6">
        <f>MONTH(Consulta2[[#This Row],[DATA]])</f>
        <v>2</v>
      </c>
      <c r="J2233" t="str">
        <f>CONCATENATE(Consulta2[[#This Row],[SAFRA]],Consulta2[[#This Row],[dia]])</f>
        <v>2030029</v>
      </c>
      <c r="K2233">
        <f>Consulta2[[#This Row],[DIA_UTIL_CORRENTE]]</f>
        <v>6</v>
      </c>
    </row>
    <row r="2234" spans="1:11" x14ac:dyDescent="0.25">
      <c r="A2234">
        <v>203002</v>
      </c>
      <c r="B2234">
        <v>6</v>
      </c>
      <c r="C2234" s="148">
        <v>47524</v>
      </c>
      <c r="D2234">
        <v>20</v>
      </c>
      <c r="E2234">
        <v>20</v>
      </c>
      <c r="F2234">
        <v>1534</v>
      </c>
      <c r="G2234">
        <f>Consulta2[[#This Row],[DIA_UTIL_CORRENTE]]</f>
        <v>6</v>
      </c>
      <c r="H2234" s="6">
        <f>DAY(Consulta2[[#This Row],[DATA]])</f>
        <v>10</v>
      </c>
      <c r="I2234" s="6">
        <f>MONTH(Consulta2[[#This Row],[DATA]])</f>
        <v>2</v>
      </c>
      <c r="J2234" t="str">
        <f>CONCATENATE(Consulta2[[#This Row],[SAFRA]],Consulta2[[#This Row],[dia]])</f>
        <v>20300210</v>
      </c>
      <c r="K2234">
        <f>Consulta2[[#This Row],[DIA_UTIL_CORRENTE]]</f>
        <v>6</v>
      </c>
    </row>
    <row r="2235" spans="1:11" x14ac:dyDescent="0.25">
      <c r="A2235">
        <v>203002</v>
      </c>
      <c r="B2235">
        <v>7</v>
      </c>
      <c r="C2235" s="148">
        <v>47525</v>
      </c>
      <c r="D2235">
        <v>20</v>
      </c>
      <c r="E2235">
        <v>20</v>
      </c>
      <c r="F2235">
        <v>1535</v>
      </c>
      <c r="G2235">
        <f>Consulta2[[#This Row],[DIA_UTIL_CORRENTE]]</f>
        <v>7</v>
      </c>
      <c r="H2235" s="6">
        <f>DAY(Consulta2[[#This Row],[DATA]])</f>
        <v>11</v>
      </c>
      <c r="I2235" s="6">
        <f>MONTH(Consulta2[[#This Row],[DATA]])</f>
        <v>2</v>
      </c>
      <c r="J2235" t="str">
        <f>CONCATENATE(Consulta2[[#This Row],[SAFRA]],Consulta2[[#This Row],[dia]])</f>
        <v>20300211</v>
      </c>
      <c r="K2235">
        <f>Consulta2[[#This Row],[DIA_UTIL_CORRENTE]]</f>
        <v>7</v>
      </c>
    </row>
    <row r="2236" spans="1:11" x14ac:dyDescent="0.25">
      <c r="A2236">
        <v>203002</v>
      </c>
      <c r="B2236">
        <v>8</v>
      </c>
      <c r="C2236" s="148">
        <v>47526</v>
      </c>
      <c r="D2236">
        <v>20</v>
      </c>
      <c r="E2236">
        <v>20</v>
      </c>
      <c r="F2236">
        <v>1536</v>
      </c>
      <c r="G2236">
        <f>Consulta2[[#This Row],[DIA_UTIL_CORRENTE]]</f>
        <v>8</v>
      </c>
      <c r="H2236" s="6">
        <f>DAY(Consulta2[[#This Row],[DATA]])</f>
        <v>12</v>
      </c>
      <c r="I2236" s="6">
        <f>MONTH(Consulta2[[#This Row],[DATA]])</f>
        <v>2</v>
      </c>
      <c r="J2236" t="str">
        <f>CONCATENATE(Consulta2[[#This Row],[SAFRA]],Consulta2[[#This Row],[dia]])</f>
        <v>20300212</v>
      </c>
      <c r="K2236">
        <f>Consulta2[[#This Row],[DIA_UTIL_CORRENTE]]</f>
        <v>8</v>
      </c>
    </row>
    <row r="2237" spans="1:11" x14ac:dyDescent="0.25">
      <c r="A2237">
        <v>203002</v>
      </c>
      <c r="B2237">
        <v>9</v>
      </c>
      <c r="C2237" s="148">
        <v>47527</v>
      </c>
      <c r="D2237">
        <v>20</v>
      </c>
      <c r="E2237">
        <v>20</v>
      </c>
      <c r="F2237">
        <v>1537</v>
      </c>
      <c r="G2237">
        <f>Consulta2[[#This Row],[DIA_UTIL_CORRENTE]]</f>
        <v>9</v>
      </c>
      <c r="H2237" s="6">
        <f>DAY(Consulta2[[#This Row],[DATA]])</f>
        <v>13</v>
      </c>
      <c r="I2237" s="6">
        <f>MONTH(Consulta2[[#This Row],[DATA]])</f>
        <v>2</v>
      </c>
      <c r="J2237" t="str">
        <f>CONCATENATE(Consulta2[[#This Row],[SAFRA]],Consulta2[[#This Row],[dia]])</f>
        <v>20300213</v>
      </c>
      <c r="K2237">
        <f>Consulta2[[#This Row],[DIA_UTIL_CORRENTE]]</f>
        <v>9</v>
      </c>
    </row>
    <row r="2238" spans="1:11" x14ac:dyDescent="0.25">
      <c r="A2238">
        <v>203002</v>
      </c>
      <c r="B2238">
        <v>10</v>
      </c>
      <c r="C2238" s="148">
        <v>47528</v>
      </c>
      <c r="D2238">
        <v>20</v>
      </c>
      <c r="E2238">
        <v>20</v>
      </c>
      <c r="F2238">
        <v>1538</v>
      </c>
      <c r="G2238">
        <f>Consulta2[[#This Row],[DIA_UTIL_CORRENTE]]</f>
        <v>10</v>
      </c>
      <c r="H2238" s="6">
        <f>DAY(Consulta2[[#This Row],[DATA]])</f>
        <v>14</v>
      </c>
      <c r="I2238" s="6">
        <f>MONTH(Consulta2[[#This Row],[DATA]])</f>
        <v>2</v>
      </c>
      <c r="J2238" t="str">
        <f>CONCATENATE(Consulta2[[#This Row],[SAFRA]],Consulta2[[#This Row],[dia]])</f>
        <v>20300214</v>
      </c>
      <c r="K2238">
        <f>Consulta2[[#This Row],[DIA_UTIL_CORRENTE]]</f>
        <v>10</v>
      </c>
    </row>
    <row r="2239" spans="1:11" x14ac:dyDescent="0.25">
      <c r="A2239">
        <v>203002</v>
      </c>
      <c r="B2239">
        <v>11</v>
      </c>
      <c r="C2239" s="148">
        <v>47529</v>
      </c>
      <c r="D2239">
        <v>20</v>
      </c>
      <c r="E2239">
        <v>20</v>
      </c>
      <c r="F2239">
        <v>1539</v>
      </c>
      <c r="G2239">
        <f>Consulta2[[#This Row],[DIA_UTIL_CORRENTE]]</f>
        <v>11</v>
      </c>
      <c r="H2239" s="6">
        <f>DAY(Consulta2[[#This Row],[DATA]])</f>
        <v>15</v>
      </c>
      <c r="I2239" s="6">
        <f>MONTH(Consulta2[[#This Row],[DATA]])</f>
        <v>2</v>
      </c>
      <c r="J2239" t="str">
        <f>CONCATENATE(Consulta2[[#This Row],[SAFRA]],Consulta2[[#This Row],[dia]])</f>
        <v>20300215</v>
      </c>
      <c r="K2239">
        <f>Consulta2[[#This Row],[DIA_UTIL_CORRENTE]]</f>
        <v>11</v>
      </c>
    </row>
    <row r="2240" spans="1:11" x14ac:dyDescent="0.25">
      <c r="A2240">
        <v>203002</v>
      </c>
      <c r="B2240">
        <v>11</v>
      </c>
      <c r="C2240" s="148">
        <v>47530</v>
      </c>
      <c r="D2240">
        <v>20</v>
      </c>
      <c r="E2240">
        <v>20</v>
      </c>
      <c r="F2240">
        <v>1539</v>
      </c>
      <c r="G2240">
        <f>Consulta2[[#This Row],[DIA_UTIL_CORRENTE]]</f>
        <v>11</v>
      </c>
      <c r="H2240" s="6">
        <f>DAY(Consulta2[[#This Row],[DATA]])</f>
        <v>16</v>
      </c>
      <c r="I2240" s="6">
        <f>MONTH(Consulta2[[#This Row],[DATA]])</f>
        <v>2</v>
      </c>
      <c r="J2240" t="str">
        <f>CONCATENATE(Consulta2[[#This Row],[SAFRA]],Consulta2[[#This Row],[dia]])</f>
        <v>20300216</v>
      </c>
      <c r="K2240">
        <f>Consulta2[[#This Row],[DIA_UTIL_CORRENTE]]</f>
        <v>11</v>
      </c>
    </row>
    <row r="2241" spans="1:11" x14ac:dyDescent="0.25">
      <c r="A2241">
        <v>203002</v>
      </c>
      <c r="B2241">
        <v>11</v>
      </c>
      <c r="C2241" s="148">
        <v>47531</v>
      </c>
      <c r="D2241">
        <v>20</v>
      </c>
      <c r="E2241">
        <v>20</v>
      </c>
      <c r="F2241">
        <v>1539</v>
      </c>
      <c r="G2241">
        <f>Consulta2[[#This Row],[DIA_UTIL_CORRENTE]]</f>
        <v>11</v>
      </c>
      <c r="H2241" s="6">
        <f>DAY(Consulta2[[#This Row],[DATA]])</f>
        <v>17</v>
      </c>
      <c r="I2241" s="6">
        <f>MONTH(Consulta2[[#This Row],[DATA]])</f>
        <v>2</v>
      </c>
      <c r="J2241" t="str">
        <f>CONCATENATE(Consulta2[[#This Row],[SAFRA]],Consulta2[[#This Row],[dia]])</f>
        <v>20300217</v>
      </c>
      <c r="K2241">
        <f>Consulta2[[#This Row],[DIA_UTIL_CORRENTE]]</f>
        <v>11</v>
      </c>
    </row>
    <row r="2242" spans="1:11" x14ac:dyDescent="0.25">
      <c r="A2242">
        <v>203002</v>
      </c>
      <c r="B2242">
        <v>12</v>
      </c>
      <c r="C2242" s="148">
        <v>47532</v>
      </c>
      <c r="D2242">
        <v>20</v>
      </c>
      <c r="E2242">
        <v>20</v>
      </c>
      <c r="F2242">
        <v>1540</v>
      </c>
      <c r="G2242">
        <f>Consulta2[[#This Row],[DIA_UTIL_CORRENTE]]</f>
        <v>12</v>
      </c>
      <c r="H2242" s="6">
        <f>DAY(Consulta2[[#This Row],[DATA]])</f>
        <v>18</v>
      </c>
      <c r="I2242" s="6">
        <f>MONTH(Consulta2[[#This Row],[DATA]])</f>
        <v>2</v>
      </c>
      <c r="J2242" t="str">
        <f>CONCATENATE(Consulta2[[#This Row],[SAFRA]],Consulta2[[#This Row],[dia]])</f>
        <v>20300218</v>
      </c>
      <c r="K2242">
        <f>Consulta2[[#This Row],[DIA_UTIL_CORRENTE]]</f>
        <v>12</v>
      </c>
    </row>
    <row r="2243" spans="1:11" x14ac:dyDescent="0.25">
      <c r="A2243">
        <v>203002</v>
      </c>
      <c r="B2243">
        <v>13</v>
      </c>
      <c r="C2243" s="148">
        <v>47533</v>
      </c>
      <c r="D2243">
        <v>20</v>
      </c>
      <c r="E2243">
        <v>20</v>
      </c>
      <c r="F2243">
        <v>1541</v>
      </c>
      <c r="G2243">
        <f>Consulta2[[#This Row],[DIA_UTIL_CORRENTE]]</f>
        <v>13</v>
      </c>
      <c r="H2243" s="6">
        <f>DAY(Consulta2[[#This Row],[DATA]])</f>
        <v>19</v>
      </c>
      <c r="I2243" s="6">
        <f>MONTH(Consulta2[[#This Row],[DATA]])</f>
        <v>2</v>
      </c>
      <c r="J2243" t="str">
        <f>CONCATENATE(Consulta2[[#This Row],[SAFRA]],Consulta2[[#This Row],[dia]])</f>
        <v>20300219</v>
      </c>
      <c r="K2243">
        <f>Consulta2[[#This Row],[DIA_UTIL_CORRENTE]]</f>
        <v>13</v>
      </c>
    </row>
    <row r="2244" spans="1:11" x14ac:dyDescent="0.25">
      <c r="A2244">
        <v>203002</v>
      </c>
      <c r="B2244">
        <v>14</v>
      </c>
      <c r="C2244" s="148">
        <v>47534</v>
      </c>
      <c r="D2244">
        <v>20</v>
      </c>
      <c r="E2244">
        <v>20</v>
      </c>
      <c r="F2244">
        <v>1542</v>
      </c>
      <c r="G2244">
        <f>Consulta2[[#This Row],[DIA_UTIL_CORRENTE]]</f>
        <v>14</v>
      </c>
      <c r="H2244" s="6">
        <f>DAY(Consulta2[[#This Row],[DATA]])</f>
        <v>20</v>
      </c>
      <c r="I2244" s="6">
        <f>MONTH(Consulta2[[#This Row],[DATA]])</f>
        <v>2</v>
      </c>
      <c r="J2244" t="str">
        <f>CONCATENATE(Consulta2[[#This Row],[SAFRA]],Consulta2[[#This Row],[dia]])</f>
        <v>20300220</v>
      </c>
      <c r="K2244">
        <f>Consulta2[[#This Row],[DIA_UTIL_CORRENTE]]</f>
        <v>14</v>
      </c>
    </row>
    <row r="2245" spans="1:11" x14ac:dyDescent="0.25">
      <c r="A2245">
        <v>203002</v>
      </c>
      <c r="B2245">
        <v>15</v>
      </c>
      <c r="C2245" s="148">
        <v>47535</v>
      </c>
      <c r="D2245">
        <v>20</v>
      </c>
      <c r="E2245">
        <v>20</v>
      </c>
      <c r="F2245">
        <v>1543</v>
      </c>
      <c r="G2245">
        <f>Consulta2[[#This Row],[DIA_UTIL_CORRENTE]]</f>
        <v>15</v>
      </c>
      <c r="H2245" s="6">
        <f>DAY(Consulta2[[#This Row],[DATA]])</f>
        <v>21</v>
      </c>
      <c r="I2245" s="6">
        <f>MONTH(Consulta2[[#This Row],[DATA]])</f>
        <v>2</v>
      </c>
      <c r="J2245" t="str">
        <f>CONCATENATE(Consulta2[[#This Row],[SAFRA]],Consulta2[[#This Row],[dia]])</f>
        <v>20300221</v>
      </c>
      <c r="K2245">
        <f>Consulta2[[#This Row],[DIA_UTIL_CORRENTE]]</f>
        <v>15</v>
      </c>
    </row>
    <row r="2246" spans="1:11" x14ac:dyDescent="0.25">
      <c r="A2246">
        <v>203002</v>
      </c>
      <c r="B2246">
        <v>16</v>
      </c>
      <c r="C2246" s="148">
        <v>47536</v>
      </c>
      <c r="D2246">
        <v>20</v>
      </c>
      <c r="E2246">
        <v>20</v>
      </c>
      <c r="F2246">
        <v>1544</v>
      </c>
      <c r="G2246">
        <f>Consulta2[[#This Row],[DIA_UTIL_CORRENTE]]</f>
        <v>16</v>
      </c>
      <c r="H2246" s="6">
        <f>DAY(Consulta2[[#This Row],[DATA]])</f>
        <v>22</v>
      </c>
      <c r="I2246" s="6">
        <f>MONTH(Consulta2[[#This Row],[DATA]])</f>
        <v>2</v>
      </c>
      <c r="J2246" t="str">
        <f>CONCATENATE(Consulta2[[#This Row],[SAFRA]],Consulta2[[#This Row],[dia]])</f>
        <v>20300222</v>
      </c>
      <c r="K2246">
        <f>Consulta2[[#This Row],[DIA_UTIL_CORRENTE]]</f>
        <v>16</v>
      </c>
    </row>
    <row r="2247" spans="1:11" x14ac:dyDescent="0.25">
      <c r="A2247">
        <v>203002</v>
      </c>
      <c r="B2247">
        <v>16</v>
      </c>
      <c r="C2247" s="148">
        <v>47537</v>
      </c>
      <c r="D2247">
        <v>20</v>
      </c>
      <c r="E2247">
        <v>20</v>
      </c>
      <c r="F2247">
        <v>1544</v>
      </c>
      <c r="G2247">
        <f>Consulta2[[#This Row],[DIA_UTIL_CORRENTE]]</f>
        <v>16</v>
      </c>
      <c r="H2247" s="6">
        <f>DAY(Consulta2[[#This Row],[DATA]])</f>
        <v>23</v>
      </c>
      <c r="I2247" s="6">
        <f>MONTH(Consulta2[[#This Row],[DATA]])</f>
        <v>2</v>
      </c>
      <c r="J2247" t="str">
        <f>CONCATENATE(Consulta2[[#This Row],[SAFRA]],Consulta2[[#This Row],[dia]])</f>
        <v>20300223</v>
      </c>
      <c r="K2247">
        <f>Consulta2[[#This Row],[DIA_UTIL_CORRENTE]]</f>
        <v>16</v>
      </c>
    </row>
    <row r="2248" spans="1:11" x14ac:dyDescent="0.25">
      <c r="A2248">
        <v>203002</v>
      </c>
      <c r="B2248">
        <v>16</v>
      </c>
      <c r="C2248" s="148">
        <v>47538</v>
      </c>
      <c r="D2248">
        <v>20</v>
      </c>
      <c r="E2248">
        <v>20</v>
      </c>
      <c r="F2248">
        <v>1544</v>
      </c>
      <c r="G2248">
        <f>Consulta2[[#This Row],[DIA_UTIL_CORRENTE]]</f>
        <v>16</v>
      </c>
      <c r="H2248" s="6">
        <f>DAY(Consulta2[[#This Row],[DATA]])</f>
        <v>24</v>
      </c>
      <c r="I2248" s="6">
        <f>MONTH(Consulta2[[#This Row],[DATA]])</f>
        <v>2</v>
      </c>
      <c r="J2248" t="str">
        <f>CONCATENATE(Consulta2[[#This Row],[SAFRA]],Consulta2[[#This Row],[dia]])</f>
        <v>20300224</v>
      </c>
      <c r="K2248">
        <f>Consulta2[[#This Row],[DIA_UTIL_CORRENTE]]</f>
        <v>16</v>
      </c>
    </row>
    <row r="2249" spans="1:11" x14ac:dyDescent="0.25">
      <c r="A2249">
        <v>203002</v>
      </c>
      <c r="B2249">
        <v>17</v>
      </c>
      <c r="C2249" s="148">
        <v>47539</v>
      </c>
      <c r="D2249">
        <v>20</v>
      </c>
      <c r="E2249">
        <v>20</v>
      </c>
      <c r="F2249">
        <v>1545</v>
      </c>
      <c r="G2249">
        <f>Consulta2[[#This Row],[DIA_UTIL_CORRENTE]]</f>
        <v>17</v>
      </c>
      <c r="H2249" s="6">
        <f>DAY(Consulta2[[#This Row],[DATA]])</f>
        <v>25</v>
      </c>
      <c r="I2249" s="6">
        <f>MONTH(Consulta2[[#This Row],[DATA]])</f>
        <v>2</v>
      </c>
      <c r="J2249" t="str">
        <f>CONCATENATE(Consulta2[[#This Row],[SAFRA]],Consulta2[[#This Row],[dia]])</f>
        <v>20300225</v>
      </c>
      <c r="K2249">
        <f>Consulta2[[#This Row],[DIA_UTIL_CORRENTE]]</f>
        <v>17</v>
      </c>
    </row>
    <row r="2250" spans="1:11" x14ac:dyDescent="0.25">
      <c r="A2250">
        <v>203002</v>
      </c>
      <c r="B2250">
        <v>18</v>
      </c>
      <c r="C2250" s="148">
        <v>47540</v>
      </c>
      <c r="D2250">
        <v>20</v>
      </c>
      <c r="E2250">
        <v>20</v>
      </c>
      <c r="F2250">
        <v>1546</v>
      </c>
      <c r="G2250">
        <f>Consulta2[[#This Row],[DIA_UTIL_CORRENTE]]</f>
        <v>18</v>
      </c>
      <c r="H2250" s="6">
        <f>DAY(Consulta2[[#This Row],[DATA]])</f>
        <v>26</v>
      </c>
      <c r="I2250" s="6">
        <f>MONTH(Consulta2[[#This Row],[DATA]])</f>
        <v>2</v>
      </c>
      <c r="J2250" t="str">
        <f>CONCATENATE(Consulta2[[#This Row],[SAFRA]],Consulta2[[#This Row],[dia]])</f>
        <v>20300226</v>
      </c>
      <c r="K2250">
        <f>Consulta2[[#This Row],[DIA_UTIL_CORRENTE]]</f>
        <v>18</v>
      </c>
    </row>
    <row r="2251" spans="1:11" x14ac:dyDescent="0.25">
      <c r="A2251">
        <v>203002</v>
      </c>
      <c r="B2251">
        <v>19</v>
      </c>
      <c r="C2251" s="148">
        <v>47541</v>
      </c>
      <c r="D2251">
        <v>20</v>
      </c>
      <c r="E2251">
        <v>20</v>
      </c>
      <c r="F2251">
        <v>1547</v>
      </c>
      <c r="G2251">
        <f>Consulta2[[#This Row],[DIA_UTIL_CORRENTE]]</f>
        <v>19</v>
      </c>
      <c r="H2251" s="6">
        <f>DAY(Consulta2[[#This Row],[DATA]])</f>
        <v>27</v>
      </c>
      <c r="I2251" s="6">
        <f>MONTH(Consulta2[[#This Row],[DATA]])</f>
        <v>2</v>
      </c>
      <c r="J2251" t="str">
        <f>CONCATENATE(Consulta2[[#This Row],[SAFRA]],Consulta2[[#This Row],[dia]])</f>
        <v>20300227</v>
      </c>
      <c r="K2251">
        <f>Consulta2[[#This Row],[DIA_UTIL_CORRENTE]]</f>
        <v>19</v>
      </c>
    </row>
    <row r="2252" spans="1:11" x14ac:dyDescent="0.25">
      <c r="A2252">
        <v>203002</v>
      </c>
      <c r="B2252">
        <v>20</v>
      </c>
      <c r="C2252" s="148">
        <v>47542</v>
      </c>
      <c r="D2252">
        <v>20</v>
      </c>
      <c r="E2252">
        <v>20</v>
      </c>
      <c r="F2252">
        <v>1548</v>
      </c>
      <c r="G2252">
        <f>Consulta2[[#This Row],[DIA_UTIL_CORRENTE]]</f>
        <v>20</v>
      </c>
      <c r="H2252" s="6">
        <f>DAY(Consulta2[[#This Row],[DATA]])</f>
        <v>28</v>
      </c>
      <c r="I2252" s="6">
        <f>MONTH(Consulta2[[#This Row],[DATA]])</f>
        <v>2</v>
      </c>
      <c r="J2252" t="str">
        <f>CONCATENATE(Consulta2[[#This Row],[SAFRA]],Consulta2[[#This Row],[dia]])</f>
        <v>20300228</v>
      </c>
      <c r="K2252">
        <f>Consulta2[[#This Row],[DIA_UTIL_CORRENTE]]</f>
        <v>20</v>
      </c>
    </row>
    <row r="2253" spans="1:11" x14ac:dyDescent="0.25">
      <c r="A2253">
        <v>203003</v>
      </c>
      <c r="B2253">
        <v>1</v>
      </c>
      <c r="C2253" s="148">
        <v>47543</v>
      </c>
      <c r="D2253">
        <v>19</v>
      </c>
      <c r="E2253">
        <v>19</v>
      </c>
      <c r="F2253">
        <v>1549</v>
      </c>
      <c r="G2253">
        <f>Consulta2[[#This Row],[DIA_UTIL_CORRENTE]]</f>
        <v>1</v>
      </c>
      <c r="H2253" s="6">
        <f>DAY(Consulta2[[#This Row],[DATA]])</f>
        <v>1</v>
      </c>
      <c r="I2253" s="6">
        <f>MONTH(Consulta2[[#This Row],[DATA]])</f>
        <v>3</v>
      </c>
      <c r="J2253" t="str">
        <f>CONCATENATE(Consulta2[[#This Row],[SAFRA]],Consulta2[[#This Row],[dia]])</f>
        <v>2030031</v>
      </c>
      <c r="K2253">
        <f>Consulta2[[#This Row],[DIA_UTIL_CORRENTE]]</f>
        <v>1</v>
      </c>
    </row>
    <row r="2254" spans="1:11" x14ac:dyDescent="0.25">
      <c r="A2254">
        <v>203003</v>
      </c>
      <c r="B2254">
        <v>1</v>
      </c>
      <c r="C2254" s="148">
        <v>47544</v>
      </c>
      <c r="D2254">
        <v>19</v>
      </c>
      <c r="E2254">
        <v>19</v>
      </c>
      <c r="F2254">
        <v>1549</v>
      </c>
      <c r="G2254">
        <f>Consulta2[[#This Row],[DIA_UTIL_CORRENTE]]</f>
        <v>1</v>
      </c>
      <c r="H2254" s="6">
        <f>DAY(Consulta2[[#This Row],[DATA]])</f>
        <v>2</v>
      </c>
      <c r="I2254" s="6">
        <f>MONTH(Consulta2[[#This Row],[DATA]])</f>
        <v>3</v>
      </c>
      <c r="J2254" t="str">
        <f>CONCATENATE(Consulta2[[#This Row],[SAFRA]],Consulta2[[#This Row],[dia]])</f>
        <v>2030032</v>
      </c>
      <c r="K2254">
        <f>Consulta2[[#This Row],[DIA_UTIL_CORRENTE]]</f>
        <v>1</v>
      </c>
    </row>
    <row r="2255" spans="1:11" x14ac:dyDescent="0.25">
      <c r="A2255">
        <v>203003</v>
      </c>
      <c r="B2255">
        <v>1</v>
      </c>
      <c r="C2255" s="148">
        <v>47545</v>
      </c>
      <c r="D2255">
        <v>19</v>
      </c>
      <c r="E2255">
        <v>19</v>
      </c>
      <c r="F2255">
        <v>1549</v>
      </c>
      <c r="G2255">
        <f>Consulta2[[#This Row],[DIA_UTIL_CORRENTE]]</f>
        <v>1</v>
      </c>
      <c r="H2255" s="6">
        <f>DAY(Consulta2[[#This Row],[DATA]])</f>
        <v>3</v>
      </c>
      <c r="I2255" s="6">
        <f>MONTH(Consulta2[[#This Row],[DATA]])</f>
        <v>3</v>
      </c>
      <c r="J2255" t="str">
        <f>CONCATENATE(Consulta2[[#This Row],[SAFRA]],Consulta2[[#This Row],[dia]])</f>
        <v>2030033</v>
      </c>
      <c r="K2255">
        <f>Consulta2[[#This Row],[DIA_UTIL_CORRENTE]]</f>
        <v>1</v>
      </c>
    </row>
    <row r="2256" spans="1:11" x14ac:dyDescent="0.25">
      <c r="A2256">
        <v>203003</v>
      </c>
      <c r="B2256">
        <v>1</v>
      </c>
      <c r="C2256" s="148">
        <v>47546</v>
      </c>
      <c r="D2256">
        <v>19</v>
      </c>
      <c r="E2256">
        <v>19</v>
      </c>
      <c r="F2256">
        <v>1549</v>
      </c>
      <c r="G2256">
        <f>Consulta2[[#This Row],[DIA_UTIL_CORRENTE]]</f>
        <v>1</v>
      </c>
      <c r="H2256" s="6">
        <f>DAY(Consulta2[[#This Row],[DATA]])</f>
        <v>4</v>
      </c>
      <c r="I2256" s="6">
        <f>MONTH(Consulta2[[#This Row],[DATA]])</f>
        <v>3</v>
      </c>
      <c r="J2256" t="str">
        <f>CONCATENATE(Consulta2[[#This Row],[SAFRA]],Consulta2[[#This Row],[dia]])</f>
        <v>2030034</v>
      </c>
      <c r="K2256">
        <f>Consulta2[[#This Row],[DIA_UTIL_CORRENTE]]</f>
        <v>1</v>
      </c>
    </row>
    <row r="2257" spans="1:11" x14ac:dyDescent="0.25">
      <c r="A2257">
        <v>203003</v>
      </c>
      <c r="B2257">
        <v>1</v>
      </c>
      <c r="C2257" s="148">
        <v>47547</v>
      </c>
      <c r="D2257">
        <v>19</v>
      </c>
      <c r="E2257">
        <v>19</v>
      </c>
      <c r="F2257">
        <v>1549</v>
      </c>
      <c r="G2257">
        <f>Consulta2[[#This Row],[DIA_UTIL_CORRENTE]]</f>
        <v>1</v>
      </c>
      <c r="H2257" s="6">
        <f>DAY(Consulta2[[#This Row],[DATA]])</f>
        <v>5</v>
      </c>
      <c r="I2257" s="6">
        <f>MONTH(Consulta2[[#This Row],[DATA]])</f>
        <v>3</v>
      </c>
      <c r="J2257" t="str">
        <f>CONCATENATE(Consulta2[[#This Row],[SAFRA]],Consulta2[[#This Row],[dia]])</f>
        <v>2030035</v>
      </c>
      <c r="K2257">
        <f>Consulta2[[#This Row],[DIA_UTIL_CORRENTE]]</f>
        <v>1</v>
      </c>
    </row>
    <row r="2258" spans="1:11" x14ac:dyDescent="0.25">
      <c r="A2258">
        <v>203003</v>
      </c>
      <c r="B2258">
        <v>2</v>
      </c>
      <c r="C2258" s="148">
        <v>47548</v>
      </c>
      <c r="D2258">
        <v>19</v>
      </c>
      <c r="E2258">
        <v>19</v>
      </c>
      <c r="F2258">
        <v>1550</v>
      </c>
      <c r="G2258">
        <f>Consulta2[[#This Row],[DIA_UTIL_CORRENTE]]</f>
        <v>2</v>
      </c>
      <c r="H2258" s="6">
        <f>DAY(Consulta2[[#This Row],[DATA]])</f>
        <v>6</v>
      </c>
      <c r="I2258" s="6">
        <f>MONTH(Consulta2[[#This Row],[DATA]])</f>
        <v>3</v>
      </c>
      <c r="J2258" t="str">
        <f>CONCATENATE(Consulta2[[#This Row],[SAFRA]],Consulta2[[#This Row],[dia]])</f>
        <v>2030036</v>
      </c>
      <c r="K2258">
        <f>Consulta2[[#This Row],[DIA_UTIL_CORRENTE]]</f>
        <v>2</v>
      </c>
    </row>
    <row r="2259" spans="1:11" x14ac:dyDescent="0.25">
      <c r="A2259">
        <v>203003</v>
      </c>
      <c r="B2259">
        <v>3</v>
      </c>
      <c r="C2259" s="148">
        <v>47549</v>
      </c>
      <c r="D2259">
        <v>19</v>
      </c>
      <c r="E2259">
        <v>19</v>
      </c>
      <c r="F2259">
        <v>1551</v>
      </c>
      <c r="G2259">
        <f>Consulta2[[#This Row],[DIA_UTIL_CORRENTE]]</f>
        <v>3</v>
      </c>
      <c r="H2259" s="6">
        <f>DAY(Consulta2[[#This Row],[DATA]])</f>
        <v>7</v>
      </c>
      <c r="I2259" s="6">
        <f>MONTH(Consulta2[[#This Row],[DATA]])</f>
        <v>3</v>
      </c>
      <c r="J2259" t="str">
        <f>CONCATENATE(Consulta2[[#This Row],[SAFRA]],Consulta2[[#This Row],[dia]])</f>
        <v>2030037</v>
      </c>
      <c r="K2259">
        <f>Consulta2[[#This Row],[DIA_UTIL_CORRENTE]]</f>
        <v>3</v>
      </c>
    </row>
    <row r="2260" spans="1:11" x14ac:dyDescent="0.25">
      <c r="A2260">
        <v>203003</v>
      </c>
      <c r="B2260">
        <v>4</v>
      </c>
      <c r="C2260" s="148">
        <v>47550</v>
      </c>
      <c r="D2260">
        <v>19</v>
      </c>
      <c r="E2260">
        <v>19</v>
      </c>
      <c r="F2260">
        <v>1552</v>
      </c>
      <c r="G2260">
        <f>Consulta2[[#This Row],[DIA_UTIL_CORRENTE]]</f>
        <v>4</v>
      </c>
      <c r="H2260" s="6">
        <f>DAY(Consulta2[[#This Row],[DATA]])</f>
        <v>8</v>
      </c>
      <c r="I2260" s="6">
        <f>MONTH(Consulta2[[#This Row],[DATA]])</f>
        <v>3</v>
      </c>
      <c r="J2260" t="str">
        <f>CONCATENATE(Consulta2[[#This Row],[SAFRA]],Consulta2[[#This Row],[dia]])</f>
        <v>2030038</v>
      </c>
      <c r="K2260">
        <f>Consulta2[[#This Row],[DIA_UTIL_CORRENTE]]</f>
        <v>4</v>
      </c>
    </row>
    <row r="2261" spans="1:11" x14ac:dyDescent="0.25">
      <c r="A2261">
        <v>203003</v>
      </c>
      <c r="B2261">
        <v>4</v>
      </c>
      <c r="C2261" s="148">
        <v>47551</v>
      </c>
      <c r="D2261">
        <v>19</v>
      </c>
      <c r="E2261">
        <v>19</v>
      </c>
      <c r="F2261">
        <v>1552</v>
      </c>
      <c r="G2261">
        <f>Consulta2[[#This Row],[DIA_UTIL_CORRENTE]]</f>
        <v>4</v>
      </c>
      <c r="H2261" s="6">
        <f>DAY(Consulta2[[#This Row],[DATA]])</f>
        <v>9</v>
      </c>
      <c r="I2261" s="6">
        <f>MONTH(Consulta2[[#This Row],[DATA]])</f>
        <v>3</v>
      </c>
      <c r="J2261" t="str">
        <f>CONCATENATE(Consulta2[[#This Row],[SAFRA]],Consulta2[[#This Row],[dia]])</f>
        <v>2030039</v>
      </c>
      <c r="K2261">
        <f>Consulta2[[#This Row],[DIA_UTIL_CORRENTE]]</f>
        <v>4</v>
      </c>
    </row>
    <row r="2262" spans="1:11" x14ac:dyDescent="0.25">
      <c r="A2262">
        <v>203003</v>
      </c>
      <c r="B2262">
        <v>4</v>
      </c>
      <c r="C2262" s="148">
        <v>47552</v>
      </c>
      <c r="D2262">
        <v>19</v>
      </c>
      <c r="E2262">
        <v>19</v>
      </c>
      <c r="F2262">
        <v>1552</v>
      </c>
      <c r="G2262">
        <f>Consulta2[[#This Row],[DIA_UTIL_CORRENTE]]</f>
        <v>4</v>
      </c>
      <c r="H2262" s="6">
        <f>DAY(Consulta2[[#This Row],[DATA]])</f>
        <v>10</v>
      </c>
      <c r="I2262" s="6">
        <f>MONTH(Consulta2[[#This Row],[DATA]])</f>
        <v>3</v>
      </c>
      <c r="J2262" t="str">
        <f>CONCATENATE(Consulta2[[#This Row],[SAFRA]],Consulta2[[#This Row],[dia]])</f>
        <v>20300310</v>
      </c>
      <c r="K2262">
        <f>Consulta2[[#This Row],[DIA_UTIL_CORRENTE]]</f>
        <v>4</v>
      </c>
    </row>
    <row r="2263" spans="1:11" x14ac:dyDescent="0.25">
      <c r="A2263">
        <v>203003</v>
      </c>
      <c r="B2263">
        <v>5</v>
      </c>
      <c r="C2263" s="148">
        <v>47553</v>
      </c>
      <c r="D2263">
        <v>19</v>
      </c>
      <c r="E2263">
        <v>19</v>
      </c>
      <c r="F2263">
        <v>1553</v>
      </c>
      <c r="G2263">
        <f>Consulta2[[#This Row],[DIA_UTIL_CORRENTE]]</f>
        <v>5</v>
      </c>
      <c r="H2263" s="6">
        <f>DAY(Consulta2[[#This Row],[DATA]])</f>
        <v>11</v>
      </c>
      <c r="I2263" s="6">
        <f>MONTH(Consulta2[[#This Row],[DATA]])</f>
        <v>3</v>
      </c>
      <c r="J2263" t="str">
        <f>CONCATENATE(Consulta2[[#This Row],[SAFRA]],Consulta2[[#This Row],[dia]])</f>
        <v>20300311</v>
      </c>
      <c r="K2263">
        <f>Consulta2[[#This Row],[DIA_UTIL_CORRENTE]]</f>
        <v>5</v>
      </c>
    </row>
    <row r="2264" spans="1:11" x14ac:dyDescent="0.25">
      <c r="A2264">
        <v>203003</v>
      </c>
      <c r="B2264">
        <v>6</v>
      </c>
      <c r="C2264" s="148">
        <v>47554</v>
      </c>
      <c r="D2264">
        <v>19</v>
      </c>
      <c r="E2264">
        <v>19</v>
      </c>
      <c r="F2264">
        <v>1554</v>
      </c>
      <c r="G2264">
        <f>Consulta2[[#This Row],[DIA_UTIL_CORRENTE]]</f>
        <v>6</v>
      </c>
      <c r="H2264" s="6">
        <f>DAY(Consulta2[[#This Row],[DATA]])</f>
        <v>12</v>
      </c>
      <c r="I2264" s="6">
        <f>MONTH(Consulta2[[#This Row],[DATA]])</f>
        <v>3</v>
      </c>
      <c r="J2264" t="str">
        <f>CONCATENATE(Consulta2[[#This Row],[SAFRA]],Consulta2[[#This Row],[dia]])</f>
        <v>20300312</v>
      </c>
      <c r="K2264">
        <f>Consulta2[[#This Row],[DIA_UTIL_CORRENTE]]</f>
        <v>6</v>
      </c>
    </row>
    <row r="2265" spans="1:11" x14ac:dyDescent="0.25">
      <c r="A2265">
        <v>203003</v>
      </c>
      <c r="B2265">
        <v>7</v>
      </c>
      <c r="C2265" s="148">
        <v>47555</v>
      </c>
      <c r="D2265">
        <v>19</v>
      </c>
      <c r="E2265">
        <v>19</v>
      </c>
      <c r="F2265">
        <v>1555</v>
      </c>
      <c r="G2265">
        <f>Consulta2[[#This Row],[DIA_UTIL_CORRENTE]]</f>
        <v>7</v>
      </c>
      <c r="H2265" s="6">
        <f>DAY(Consulta2[[#This Row],[DATA]])</f>
        <v>13</v>
      </c>
      <c r="I2265" s="6">
        <f>MONTH(Consulta2[[#This Row],[DATA]])</f>
        <v>3</v>
      </c>
      <c r="J2265" t="str">
        <f>CONCATENATE(Consulta2[[#This Row],[SAFRA]],Consulta2[[#This Row],[dia]])</f>
        <v>20300313</v>
      </c>
      <c r="K2265">
        <f>Consulta2[[#This Row],[DIA_UTIL_CORRENTE]]</f>
        <v>7</v>
      </c>
    </row>
    <row r="2266" spans="1:11" x14ac:dyDescent="0.25">
      <c r="A2266">
        <v>203003</v>
      </c>
      <c r="B2266">
        <v>8</v>
      </c>
      <c r="C2266" s="148">
        <v>47556</v>
      </c>
      <c r="D2266">
        <v>19</v>
      </c>
      <c r="E2266">
        <v>19</v>
      </c>
      <c r="F2266">
        <v>1556</v>
      </c>
      <c r="G2266">
        <f>Consulta2[[#This Row],[DIA_UTIL_CORRENTE]]</f>
        <v>8</v>
      </c>
      <c r="H2266" s="6">
        <f>DAY(Consulta2[[#This Row],[DATA]])</f>
        <v>14</v>
      </c>
      <c r="I2266" s="6">
        <f>MONTH(Consulta2[[#This Row],[DATA]])</f>
        <v>3</v>
      </c>
      <c r="J2266" t="str">
        <f>CONCATENATE(Consulta2[[#This Row],[SAFRA]],Consulta2[[#This Row],[dia]])</f>
        <v>20300314</v>
      </c>
      <c r="K2266">
        <f>Consulta2[[#This Row],[DIA_UTIL_CORRENTE]]</f>
        <v>8</v>
      </c>
    </row>
    <row r="2267" spans="1:11" x14ac:dyDescent="0.25">
      <c r="A2267">
        <v>203003</v>
      </c>
      <c r="B2267">
        <v>9</v>
      </c>
      <c r="C2267" s="148">
        <v>47557</v>
      </c>
      <c r="D2267">
        <v>19</v>
      </c>
      <c r="E2267">
        <v>19</v>
      </c>
      <c r="F2267">
        <v>1557</v>
      </c>
      <c r="G2267">
        <f>Consulta2[[#This Row],[DIA_UTIL_CORRENTE]]</f>
        <v>9</v>
      </c>
      <c r="H2267" s="6">
        <f>DAY(Consulta2[[#This Row],[DATA]])</f>
        <v>15</v>
      </c>
      <c r="I2267" s="6">
        <f>MONTH(Consulta2[[#This Row],[DATA]])</f>
        <v>3</v>
      </c>
      <c r="J2267" t="str">
        <f>CONCATENATE(Consulta2[[#This Row],[SAFRA]],Consulta2[[#This Row],[dia]])</f>
        <v>20300315</v>
      </c>
      <c r="K2267">
        <f>Consulta2[[#This Row],[DIA_UTIL_CORRENTE]]</f>
        <v>9</v>
      </c>
    </row>
    <row r="2268" spans="1:11" x14ac:dyDescent="0.25">
      <c r="A2268">
        <v>203003</v>
      </c>
      <c r="B2268">
        <v>9</v>
      </c>
      <c r="C2268" s="148">
        <v>47558</v>
      </c>
      <c r="D2268">
        <v>19</v>
      </c>
      <c r="E2268">
        <v>19</v>
      </c>
      <c r="F2268">
        <v>1557</v>
      </c>
      <c r="G2268">
        <f>Consulta2[[#This Row],[DIA_UTIL_CORRENTE]]</f>
        <v>9</v>
      </c>
      <c r="H2268" s="6">
        <f>DAY(Consulta2[[#This Row],[DATA]])</f>
        <v>16</v>
      </c>
      <c r="I2268" s="6">
        <f>MONTH(Consulta2[[#This Row],[DATA]])</f>
        <v>3</v>
      </c>
      <c r="J2268" t="str">
        <f>CONCATENATE(Consulta2[[#This Row],[SAFRA]],Consulta2[[#This Row],[dia]])</f>
        <v>20300316</v>
      </c>
      <c r="K2268">
        <f>Consulta2[[#This Row],[DIA_UTIL_CORRENTE]]</f>
        <v>9</v>
      </c>
    </row>
    <row r="2269" spans="1:11" x14ac:dyDescent="0.25">
      <c r="A2269">
        <v>203003</v>
      </c>
      <c r="B2269">
        <v>9</v>
      </c>
      <c r="C2269" s="148">
        <v>47559</v>
      </c>
      <c r="D2269">
        <v>19</v>
      </c>
      <c r="E2269">
        <v>19</v>
      </c>
      <c r="F2269">
        <v>1557</v>
      </c>
      <c r="G2269">
        <f>Consulta2[[#This Row],[DIA_UTIL_CORRENTE]]</f>
        <v>9</v>
      </c>
      <c r="H2269" s="6">
        <f>DAY(Consulta2[[#This Row],[DATA]])</f>
        <v>17</v>
      </c>
      <c r="I2269" s="6">
        <f>MONTH(Consulta2[[#This Row],[DATA]])</f>
        <v>3</v>
      </c>
      <c r="J2269" t="str">
        <f>CONCATENATE(Consulta2[[#This Row],[SAFRA]],Consulta2[[#This Row],[dia]])</f>
        <v>20300317</v>
      </c>
      <c r="K2269">
        <f>Consulta2[[#This Row],[DIA_UTIL_CORRENTE]]</f>
        <v>9</v>
      </c>
    </row>
    <row r="2270" spans="1:11" x14ac:dyDescent="0.25">
      <c r="A2270">
        <v>203003</v>
      </c>
      <c r="B2270">
        <v>10</v>
      </c>
      <c r="C2270" s="148">
        <v>47560</v>
      </c>
      <c r="D2270">
        <v>19</v>
      </c>
      <c r="E2270">
        <v>19</v>
      </c>
      <c r="F2270">
        <v>1558</v>
      </c>
      <c r="G2270">
        <f>Consulta2[[#This Row],[DIA_UTIL_CORRENTE]]</f>
        <v>10</v>
      </c>
      <c r="H2270" s="6">
        <f>DAY(Consulta2[[#This Row],[DATA]])</f>
        <v>18</v>
      </c>
      <c r="I2270" s="6">
        <f>MONTH(Consulta2[[#This Row],[DATA]])</f>
        <v>3</v>
      </c>
      <c r="J2270" t="str">
        <f>CONCATENATE(Consulta2[[#This Row],[SAFRA]],Consulta2[[#This Row],[dia]])</f>
        <v>20300318</v>
      </c>
      <c r="K2270">
        <f>Consulta2[[#This Row],[DIA_UTIL_CORRENTE]]</f>
        <v>10</v>
      </c>
    </row>
    <row r="2271" spans="1:11" x14ac:dyDescent="0.25">
      <c r="A2271">
        <v>203003</v>
      </c>
      <c r="B2271">
        <v>11</v>
      </c>
      <c r="C2271" s="148">
        <v>47561</v>
      </c>
      <c r="D2271">
        <v>19</v>
      </c>
      <c r="E2271">
        <v>19</v>
      </c>
      <c r="F2271">
        <v>1559</v>
      </c>
      <c r="G2271">
        <f>Consulta2[[#This Row],[DIA_UTIL_CORRENTE]]</f>
        <v>11</v>
      </c>
      <c r="H2271" s="6">
        <f>DAY(Consulta2[[#This Row],[DATA]])</f>
        <v>19</v>
      </c>
      <c r="I2271" s="6">
        <f>MONTH(Consulta2[[#This Row],[DATA]])</f>
        <v>3</v>
      </c>
      <c r="J2271" t="str">
        <f>CONCATENATE(Consulta2[[#This Row],[SAFRA]],Consulta2[[#This Row],[dia]])</f>
        <v>20300319</v>
      </c>
      <c r="K2271">
        <f>Consulta2[[#This Row],[DIA_UTIL_CORRENTE]]</f>
        <v>11</v>
      </c>
    </row>
    <row r="2272" spans="1:11" x14ac:dyDescent="0.25">
      <c r="A2272">
        <v>203003</v>
      </c>
      <c r="B2272">
        <v>12</v>
      </c>
      <c r="C2272" s="148">
        <v>47562</v>
      </c>
      <c r="D2272">
        <v>19</v>
      </c>
      <c r="E2272">
        <v>19</v>
      </c>
      <c r="F2272">
        <v>1560</v>
      </c>
      <c r="G2272">
        <f>Consulta2[[#This Row],[DIA_UTIL_CORRENTE]]</f>
        <v>12</v>
      </c>
      <c r="H2272" s="6">
        <f>DAY(Consulta2[[#This Row],[DATA]])</f>
        <v>20</v>
      </c>
      <c r="I2272" s="6">
        <f>MONTH(Consulta2[[#This Row],[DATA]])</f>
        <v>3</v>
      </c>
      <c r="J2272" t="str">
        <f>CONCATENATE(Consulta2[[#This Row],[SAFRA]],Consulta2[[#This Row],[dia]])</f>
        <v>20300320</v>
      </c>
      <c r="K2272">
        <f>Consulta2[[#This Row],[DIA_UTIL_CORRENTE]]</f>
        <v>12</v>
      </c>
    </row>
    <row r="2273" spans="1:11" x14ac:dyDescent="0.25">
      <c r="A2273">
        <v>203003</v>
      </c>
      <c r="B2273">
        <v>13</v>
      </c>
      <c r="C2273" s="148">
        <v>47563</v>
      </c>
      <c r="D2273">
        <v>19</v>
      </c>
      <c r="E2273">
        <v>19</v>
      </c>
      <c r="F2273">
        <v>1561</v>
      </c>
      <c r="G2273">
        <f>Consulta2[[#This Row],[DIA_UTIL_CORRENTE]]</f>
        <v>13</v>
      </c>
      <c r="H2273" s="6">
        <f>DAY(Consulta2[[#This Row],[DATA]])</f>
        <v>21</v>
      </c>
      <c r="I2273" s="6">
        <f>MONTH(Consulta2[[#This Row],[DATA]])</f>
        <v>3</v>
      </c>
      <c r="J2273" t="str">
        <f>CONCATENATE(Consulta2[[#This Row],[SAFRA]],Consulta2[[#This Row],[dia]])</f>
        <v>20300321</v>
      </c>
      <c r="K2273">
        <f>Consulta2[[#This Row],[DIA_UTIL_CORRENTE]]</f>
        <v>13</v>
      </c>
    </row>
    <row r="2274" spans="1:11" x14ac:dyDescent="0.25">
      <c r="A2274">
        <v>203003</v>
      </c>
      <c r="B2274">
        <v>14</v>
      </c>
      <c r="C2274" s="148">
        <v>47564</v>
      </c>
      <c r="D2274">
        <v>19</v>
      </c>
      <c r="E2274">
        <v>19</v>
      </c>
      <c r="F2274">
        <v>1562</v>
      </c>
      <c r="G2274">
        <f>Consulta2[[#This Row],[DIA_UTIL_CORRENTE]]</f>
        <v>14</v>
      </c>
      <c r="H2274" s="6">
        <f>DAY(Consulta2[[#This Row],[DATA]])</f>
        <v>22</v>
      </c>
      <c r="I2274" s="6">
        <f>MONTH(Consulta2[[#This Row],[DATA]])</f>
        <v>3</v>
      </c>
      <c r="J2274" t="str">
        <f>CONCATENATE(Consulta2[[#This Row],[SAFRA]],Consulta2[[#This Row],[dia]])</f>
        <v>20300322</v>
      </c>
      <c r="K2274">
        <f>Consulta2[[#This Row],[DIA_UTIL_CORRENTE]]</f>
        <v>14</v>
      </c>
    </row>
    <row r="2275" spans="1:11" x14ac:dyDescent="0.25">
      <c r="A2275">
        <v>203003</v>
      </c>
      <c r="B2275">
        <v>14</v>
      </c>
      <c r="C2275" s="148">
        <v>47565</v>
      </c>
      <c r="D2275">
        <v>19</v>
      </c>
      <c r="E2275">
        <v>19</v>
      </c>
      <c r="F2275">
        <v>1562</v>
      </c>
      <c r="G2275">
        <f>Consulta2[[#This Row],[DIA_UTIL_CORRENTE]]</f>
        <v>14</v>
      </c>
      <c r="H2275" s="6">
        <f>DAY(Consulta2[[#This Row],[DATA]])</f>
        <v>23</v>
      </c>
      <c r="I2275" s="6">
        <f>MONTH(Consulta2[[#This Row],[DATA]])</f>
        <v>3</v>
      </c>
      <c r="J2275" t="str">
        <f>CONCATENATE(Consulta2[[#This Row],[SAFRA]],Consulta2[[#This Row],[dia]])</f>
        <v>20300323</v>
      </c>
      <c r="K2275">
        <f>Consulta2[[#This Row],[DIA_UTIL_CORRENTE]]</f>
        <v>14</v>
      </c>
    </row>
    <row r="2276" spans="1:11" x14ac:dyDescent="0.25">
      <c r="A2276">
        <v>203003</v>
      </c>
      <c r="B2276">
        <v>14</v>
      </c>
      <c r="C2276" s="148">
        <v>47566</v>
      </c>
      <c r="D2276">
        <v>19</v>
      </c>
      <c r="E2276">
        <v>19</v>
      </c>
      <c r="F2276">
        <v>1562</v>
      </c>
      <c r="G2276">
        <f>Consulta2[[#This Row],[DIA_UTIL_CORRENTE]]</f>
        <v>14</v>
      </c>
      <c r="H2276" s="6">
        <f>DAY(Consulta2[[#This Row],[DATA]])</f>
        <v>24</v>
      </c>
      <c r="I2276" s="6">
        <f>MONTH(Consulta2[[#This Row],[DATA]])</f>
        <v>3</v>
      </c>
      <c r="J2276" t="str">
        <f>CONCATENATE(Consulta2[[#This Row],[SAFRA]],Consulta2[[#This Row],[dia]])</f>
        <v>20300324</v>
      </c>
      <c r="K2276">
        <f>Consulta2[[#This Row],[DIA_UTIL_CORRENTE]]</f>
        <v>14</v>
      </c>
    </row>
    <row r="2277" spans="1:11" x14ac:dyDescent="0.25">
      <c r="A2277">
        <v>203003</v>
      </c>
      <c r="B2277">
        <v>15</v>
      </c>
      <c r="C2277" s="148">
        <v>47567</v>
      </c>
      <c r="D2277">
        <v>19</v>
      </c>
      <c r="E2277">
        <v>19</v>
      </c>
      <c r="F2277">
        <v>1563</v>
      </c>
      <c r="G2277">
        <f>Consulta2[[#This Row],[DIA_UTIL_CORRENTE]]</f>
        <v>15</v>
      </c>
      <c r="H2277" s="6">
        <f>DAY(Consulta2[[#This Row],[DATA]])</f>
        <v>25</v>
      </c>
      <c r="I2277" s="6">
        <f>MONTH(Consulta2[[#This Row],[DATA]])</f>
        <v>3</v>
      </c>
      <c r="J2277" t="str">
        <f>CONCATENATE(Consulta2[[#This Row],[SAFRA]],Consulta2[[#This Row],[dia]])</f>
        <v>20300325</v>
      </c>
      <c r="K2277">
        <f>Consulta2[[#This Row],[DIA_UTIL_CORRENTE]]</f>
        <v>15</v>
      </c>
    </row>
    <row r="2278" spans="1:11" x14ac:dyDescent="0.25">
      <c r="A2278">
        <v>203003</v>
      </c>
      <c r="B2278">
        <v>16</v>
      </c>
      <c r="C2278" s="148">
        <v>47568</v>
      </c>
      <c r="D2278">
        <v>19</v>
      </c>
      <c r="E2278">
        <v>19</v>
      </c>
      <c r="F2278">
        <v>1564</v>
      </c>
      <c r="G2278">
        <f>Consulta2[[#This Row],[DIA_UTIL_CORRENTE]]</f>
        <v>16</v>
      </c>
      <c r="H2278" s="6">
        <f>DAY(Consulta2[[#This Row],[DATA]])</f>
        <v>26</v>
      </c>
      <c r="I2278" s="6">
        <f>MONTH(Consulta2[[#This Row],[DATA]])</f>
        <v>3</v>
      </c>
      <c r="J2278" t="str">
        <f>CONCATENATE(Consulta2[[#This Row],[SAFRA]],Consulta2[[#This Row],[dia]])</f>
        <v>20300326</v>
      </c>
      <c r="K2278">
        <f>Consulta2[[#This Row],[DIA_UTIL_CORRENTE]]</f>
        <v>16</v>
      </c>
    </row>
    <row r="2279" spans="1:11" x14ac:dyDescent="0.25">
      <c r="A2279">
        <v>203003</v>
      </c>
      <c r="B2279">
        <v>17</v>
      </c>
      <c r="C2279" s="148">
        <v>47569</v>
      </c>
      <c r="D2279">
        <v>19</v>
      </c>
      <c r="E2279">
        <v>19</v>
      </c>
      <c r="F2279">
        <v>1565</v>
      </c>
      <c r="G2279">
        <f>Consulta2[[#This Row],[DIA_UTIL_CORRENTE]]</f>
        <v>17</v>
      </c>
      <c r="H2279" s="6">
        <f>DAY(Consulta2[[#This Row],[DATA]])</f>
        <v>27</v>
      </c>
      <c r="I2279" s="6">
        <f>MONTH(Consulta2[[#This Row],[DATA]])</f>
        <v>3</v>
      </c>
      <c r="J2279" t="str">
        <f>CONCATENATE(Consulta2[[#This Row],[SAFRA]],Consulta2[[#This Row],[dia]])</f>
        <v>20300327</v>
      </c>
      <c r="K2279">
        <f>Consulta2[[#This Row],[DIA_UTIL_CORRENTE]]</f>
        <v>17</v>
      </c>
    </row>
    <row r="2280" spans="1:11" x14ac:dyDescent="0.25">
      <c r="A2280">
        <v>203003</v>
      </c>
      <c r="B2280">
        <v>18</v>
      </c>
      <c r="C2280" s="148">
        <v>47570</v>
      </c>
      <c r="D2280">
        <v>19</v>
      </c>
      <c r="E2280">
        <v>19</v>
      </c>
      <c r="F2280">
        <v>1566</v>
      </c>
      <c r="G2280">
        <f>Consulta2[[#This Row],[DIA_UTIL_CORRENTE]]</f>
        <v>18</v>
      </c>
      <c r="H2280" s="6">
        <f>DAY(Consulta2[[#This Row],[DATA]])</f>
        <v>28</v>
      </c>
      <c r="I2280" s="6">
        <f>MONTH(Consulta2[[#This Row],[DATA]])</f>
        <v>3</v>
      </c>
      <c r="J2280" t="str">
        <f>CONCATENATE(Consulta2[[#This Row],[SAFRA]],Consulta2[[#This Row],[dia]])</f>
        <v>20300328</v>
      </c>
      <c r="K2280">
        <f>Consulta2[[#This Row],[DIA_UTIL_CORRENTE]]</f>
        <v>18</v>
      </c>
    </row>
    <row r="2281" spans="1:11" x14ac:dyDescent="0.25">
      <c r="A2281">
        <v>203003</v>
      </c>
      <c r="B2281">
        <v>19</v>
      </c>
      <c r="C2281" s="148">
        <v>47571</v>
      </c>
      <c r="D2281">
        <v>19</v>
      </c>
      <c r="E2281">
        <v>19</v>
      </c>
      <c r="F2281">
        <v>1567</v>
      </c>
      <c r="G2281">
        <f>Consulta2[[#This Row],[DIA_UTIL_CORRENTE]]</f>
        <v>19</v>
      </c>
      <c r="H2281" s="6">
        <f>DAY(Consulta2[[#This Row],[DATA]])</f>
        <v>29</v>
      </c>
      <c r="I2281" s="6">
        <f>MONTH(Consulta2[[#This Row],[DATA]])</f>
        <v>3</v>
      </c>
      <c r="J2281" t="str">
        <f>CONCATENATE(Consulta2[[#This Row],[SAFRA]],Consulta2[[#This Row],[dia]])</f>
        <v>20300329</v>
      </c>
      <c r="K2281">
        <f>Consulta2[[#This Row],[DIA_UTIL_CORRENTE]]</f>
        <v>19</v>
      </c>
    </row>
    <row r="2282" spans="1:11" x14ac:dyDescent="0.25">
      <c r="A2282">
        <v>203003</v>
      </c>
      <c r="B2282">
        <v>19</v>
      </c>
      <c r="C2282" s="148">
        <v>47572</v>
      </c>
      <c r="D2282">
        <v>19</v>
      </c>
      <c r="E2282">
        <v>19</v>
      </c>
      <c r="F2282">
        <v>1567</v>
      </c>
      <c r="G2282">
        <f>Consulta2[[#This Row],[DIA_UTIL_CORRENTE]]</f>
        <v>19</v>
      </c>
      <c r="H2282" s="6">
        <f>DAY(Consulta2[[#This Row],[DATA]])</f>
        <v>30</v>
      </c>
      <c r="I2282" s="6">
        <f>MONTH(Consulta2[[#This Row],[DATA]])</f>
        <v>3</v>
      </c>
      <c r="J2282" t="str">
        <f>CONCATENATE(Consulta2[[#This Row],[SAFRA]],Consulta2[[#This Row],[dia]])</f>
        <v>20300330</v>
      </c>
      <c r="K2282">
        <f>Consulta2[[#This Row],[DIA_UTIL_CORRENTE]]</f>
        <v>19</v>
      </c>
    </row>
    <row r="2283" spans="1:11" x14ac:dyDescent="0.25">
      <c r="A2283">
        <v>203003</v>
      </c>
      <c r="B2283">
        <v>19</v>
      </c>
      <c r="C2283" s="148">
        <v>47573</v>
      </c>
      <c r="D2283">
        <v>19</v>
      </c>
      <c r="E2283">
        <v>19</v>
      </c>
      <c r="F2283">
        <v>1567</v>
      </c>
      <c r="G2283">
        <f>Consulta2[[#This Row],[DIA_UTIL_CORRENTE]]</f>
        <v>19</v>
      </c>
      <c r="H2283" s="6">
        <f>DAY(Consulta2[[#This Row],[DATA]])</f>
        <v>31</v>
      </c>
      <c r="I2283" s="6">
        <f>MONTH(Consulta2[[#This Row],[DATA]])</f>
        <v>3</v>
      </c>
      <c r="J2283" t="str">
        <f>CONCATENATE(Consulta2[[#This Row],[SAFRA]],Consulta2[[#This Row],[dia]])</f>
        <v>20300331</v>
      </c>
      <c r="K2283">
        <f>Consulta2[[#This Row],[DIA_UTIL_CORRENTE]]</f>
        <v>19</v>
      </c>
    </row>
    <row r="2284" spans="1:11" x14ac:dyDescent="0.25">
      <c r="A2284">
        <v>203004</v>
      </c>
      <c r="B2284">
        <v>1</v>
      </c>
      <c r="C2284" s="148">
        <v>47574</v>
      </c>
      <c r="D2284">
        <v>21</v>
      </c>
      <c r="E2284">
        <v>21</v>
      </c>
      <c r="F2284">
        <v>1568</v>
      </c>
      <c r="G2284">
        <f>Consulta2[[#This Row],[DIA_UTIL_CORRENTE]]</f>
        <v>1</v>
      </c>
      <c r="H2284" s="6">
        <f>DAY(Consulta2[[#This Row],[DATA]])</f>
        <v>1</v>
      </c>
      <c r="I2284" s="6">
        <f>MONTH(Consulta2[[#This Row],[DATA]])</f>
        <v>4</v>
      </c>
      <c r="J2284" t="str">
        <f>CONCATENATE(Consulta2[[#This Row],[SAFRA]],Consulta2[[#This Row],[dia]])</f>
        <v>2030041</v>
      </c>
      <c r="K2284">
        <f>Consulta2[[#This Row],[DIA_UTIL_CORRENTE]]</f>
        <v>1</v>
      </c>
    </row>
    <row r="2285" spans="1:11" x14ac:dyDescent="0.25">
      <c r="A2285">
        <v>203004</v>
      </c>
      <c r="B2285">
        <v>2</v>
      </c>
      <c r="C2285" s="148">
        <v>47575</v>
      </c>
      <c r="D2285">
        <v>21</v>
      </c>
      <c r="E2285">
        <v>21</v>
      </c>
      <c r="F2285">
        <v>1569</v>
      </c>
      <c r="G2285">
        <f>Consulta2[[#This Row],[DIA_UTIL_CORRENTE]]</f>
        <v>2</v>
      </c>
      <c r="H2285" s="6">
        <f>DAY(Consulta2[[#This Row],[DATA]])</f>
        <v>2</v>
      </c>
      <c r="I2285" s="6">
        <f>MONTH(Consulta2[[#This Row],[DATA]])</f>
        <v>4</v>
      </c>
      <c r="J2285" t="str">
        <f>CONCATENATE(Consulta2[[#This Row],[SAFRA]],Consulta2[[#This Row],[dia]])</f>
        <v>2030042</v>
      </c>
      <c r="K2285">
        <f>Consulta2[[#This Row],[DIA_UTIL_CORRENTE]]</f>
        <v>2</v>
      </c>
    </row>
    <row r="2286" spans="1:11" x14ac:dyDescent="0.25">
      <c r="A2286">
        <v>203004</v>
      </c>
      <c r="B2286">
        <v>3</v>
      </c>
      <c r="C2286" s="148">
        <v>47576</v>
      </c>
      <c r="D2286">
        <v>21</v>
      </c>
      <c r="E2286">
        <v>21</v>
      </c>
      <c r="F2286">
        <v>1570</v>
      </c>
      <c r="G2286">
        <f>Consulta2[[#This Row],[DIA_UTIL_CORRENTE]]</f>
        <v>3</v>
      </c>
      <c r="H2286" s="6">
        <f>DAY(Consulta2[[#This Row],[DATA]])</f>
        <v>3</v>
      </c>
      <c r="I2286" s="6">
        <f>MONTH(Consulta2[[#This Row],[DATA]])</f>
        <v>4</v>
      </c>
      <c r="J2286" t="str">
        <f>CONCATENATE(Consulta2[[#This Row],[SAFRA]],Consulta2[[#This Row],[dia]])</f>
        <v>2030043</v>
      </c>
      <c r="K2286">
        <f>Consulta2[[#This Row],[DIA_UTIL_CORRENTE]]</f>
        <v>3</v>
      </c>
    </row>
    <row r="2287" spans="1:11" x14ac:dyDescent="0.25">
      <c r="A2287">
        <v>203004</v>
      </c>
      <c r="B2287">
        <v>4</v>
      </c>
      <c r="C2287" s="148">
        <v>47577</v>
      </c>
      <c r="D2287">
        <v>21</v>
      </c>
      <c r="E2287">
        <v>21</v>
      </c>
      <c r="F2287">
        <v>1571</v>
      </c>
      <c r="G2287">
        <f>Consulta2[[#This Row],[DIA_UTIL_CORRENTE]]</f>
        <v>4</v>
      </c>
      <c r="H2287" s="6">
        <f>DAY(Consulta2[[#This Row],[DATA]])</f>
        <v>4</v>
      </c>
      <c r="I2287" s="6">
        <f>MONTH(Consulta2[[#This Row],[DATA]])</f>
        <v>4</v>
      </c>
      <c r="J2287" t="str">
        <f>CONCATENATE(Consulta2[[#This Row],[SAFRA]],Consulta2[[#This Row],[dia]])</f>
        <v>2030044</v>
      </c>
      <c r="K2287">
        <f>Consulta2[[#This Row],[DIA_UTIL_CORRENTE]]</f>
        <v>4</v>
      </c>
    </row>
    <row r="2288" spans="1:11" x14ac:dyDescent="0.25">
      <c r="A2288">
        <v>203004</v>
      </c>
      <c r="B2288">
        <v>5</v>
      </c>
      <c r="C2288" s="148">
        <v>47578</v>
      </c>
      <c r="D2288">
        <v>21</v>
      </c>
      <c r="E2288">
        <v>21</v>
      </c>
      <c r="F2288">
        <v>1572</v>
      </c>
      <c r="G2288">
        <f>Consulta2[[#This Row],[DIA_UTIL_CORRENTE]]</f>
        <v>5</v>
      </c>
      <c r="H2288" s="6">
        <f>DAY(Consulta2[[#This Row],[DATA]])</f>
        <v>5</v>
      </c>
      <c r="I2288" s="6">
        <f>MONTH(Consulta2[[#This Row],[DATA]])</f>
        <v>4</v>
      </c>
      <c r="J2288" t="str">
        <f>CONCATENATE(Consulta2[[#This Row],[SAFRA]],Consulta2[[#This Row],[dia]])</f>
        <v>2030045</v>
      </c>
      <c r="K2288">
        <f>Consulta2[[#This Row],[DIA_UTIL_CORRENTE]]</f>
        <v>5</v>
      </c>
    </row>
    <row r="2289" spans="1:11" x14ac:dyDescent="0.25">
      <c r="A2289">
        <v>203004</v>
      </c>
      <c r="B2289">
        <v>5</v>
      </c>
      <c r="C2289" s="148">
        <v>47579</v>
      </c>
      <c r="D2289">
        <v>21</v>
      </c>
      <c r="E2289">
        <v>21</v>
      </c>
      <c r="F2289">
        <v>1572</v>
      </c>
      <c r="G2289">
        <f>Consulta2[[#This Row],[DIA_UTIL_CORRENTE]]</f>
        <v>5</v>
      </c>
      <c r="H2289" s="6">
        <f>DAY(Consulta2[[#This Row],[DATA]])</f>
        <v>6</v>
      </c>
      <c r="I2289" s="6">
        <f>MONTH(Consulta2[[#This Row],[DATA]])</f>
        <v>4</v>
      </c>
      <c r="J2289" t="str">
        <f>CONCATENATE(Consulta2[[#This Row],[SAFRA]],Consulta2[[#This Row],[dia]])</f>
        <v>2030046</v>
      </c>
      <c r="K2289">
        <f>Consulta2[[#This Row],[DIA_UTIL_CORRENTE]]</f>
        <v>5</v>
      </c>
    </row>
    <row r="2290" spans="1:11" x14ac:dyDescent="0.25">
      <c r="A2290">
        <v>203004</v>
      </c>
      <c r="B2290">
        <v>5</v>
      </c>
      <c r="C2290" s="148">
        <v>47580</v>
      </c>
      <c r="D2290">
        <v>21</v>
      </c>
      <c r="E2290">
        <v>21</v>
      </c>
      <c r="F2290">
        <v>1572</v>
      </c>
      <c r="G2290">
        <f>Consulta2[[#This Row],[DIA_UTIL_CORRENTE]]</f>
        <v>5</v>
      </c>
      <c r="H2290" s="6">
        <f>DAY(Consulta2[[#This Row],[DATA]])</f>
        <v>7</v>
      </c>
      <c r="I2290" s="6">
        <f>MONTH(Consulta2[[#This Row],[DATA]])</f>
        <v>4</v>
      </c>
      <c r="J2290" t="str">
        <f>CONCATENATE(Consulta2[[#This Row],[SAFRA]],Consulta2[[#This Row],[dia]])</f>
        <v>2030047</v>
      </c>
      <c r="K2290">
        <f>Consulta2[[#This Row],[DIA_UTIL_CORRENTE]]</f>
        <v>5</v>
      </c>
    </row>
    <row r="2291" spans="1:11" x14ac:dyDescent="0.25">
      <c r="A2291">
        <v>203004</v>
      </c>
      <c r="B2291">
        <v>6</v>
      </c>
      <c r="C2291" s="148">
        <v>47581</v>
      </c>
      <c r="D2291">
        <v>21</v>
      </c>
      <c r="E2291">
        <v>21</v>
      </c>
      <c r="F2291">
        <v>1573</v>
      </c>
      <c r="G2291">
        <f>Consulta2[[#This Row],[DIA_UTIL_CORRENTE]]</f>
        <v>6</v>
      </c>
      <c r="H2291" s="6">
        <f>DAY(Consulta2[[#This Row],[DATA]])</f>
        <v>8</v>
      </c>
      <c r="I2291" s="6">
        <f>MONTH(Consulta2[[#This Row],[DATA]])</f>
        <v>4</v>
      </c>
      <c r="J2291" t="str">
        <f>CONCATENATE(Consulta2[[#This Row],[SAFRA]],Consulta2[[#This Row],[dia]])</f>
        <v>2030048</v>
      </c>
      <c r="K2291">
        <f>Consulta2[[#This Row],[DIA_UTIL_CORRENTE]]</f>
        <v>6</v>
      </c>
    </row>
    <row r="2292" spans="1:11" x14ac:dyDescent="0.25">
      <c r="A2292">
        <v>203004</v>
      </c>
      <c r="B2292">
        <v>7</v>
      </c>
      <c r="C2292" s="148">
        <v>47582</v>
      </c>
      <c r="D2292">
        <v>21</v>
      </c>
      <c r="E2292">
        <v>21</v>
      </c>
      <c r="F2292">
        <v>1574</v>
      </c>
      <c r="G2292">
        <f>Consulta2[[#This Row],[DIA_UTIL_CORRENTE]]</f>
        <v>7</v>
      </c>
      <c r="H2292" s="6">
        <f>DAY(Consulta2[[#This Row],[DATA]])</f>
        <v>9</v>
      </c>
      <c r="I2292" s="6">
        <f>MONTH(Consulta2[[#This Row],[DATA]])</f>
        <v>4</v>
      </c>
      <c r="J2292" t="str">
        <f>CONCATENATE(Consulta2[[#This Row],[SAFRA]],Consulta2[[#This Row],[dia]])</f>
        <v>2030049</v>
      </c>
      <c r="K2292">
        <f>Consulta2[[#This Row],[DIA_UTIL_CORRENTE]]</f>
        <v>7</v>
      </c>
    </row>
    <row r="2293" spans="1:11" x14ac:dyDescent="0.25">
      <c r="A2293">
        <v>203004</v>
      </c>
      <c r="B2293">
        <v>8</v>
      </c>
      <c r="C2293" s="148">
        <v>47583</v>
      </c>
      <c r="D2293">
        <v>21</v>
      </c>
      <c r="E2293">
        <v>21</v>
      </c>
      <c r="F2293">
        <v>1575</v>
      </c>
      <c r="G2293">
        <f>Consulta2[[#This Row],[DIA_UTIL_CORRENTE]]</f>
        <v>8</v>
      </c>
      <c r="H2293" s="6">
        <f>DAY(Consulta2[[#This Row],[DATA]])</f>
        <v>10</v>
      </c>
      <c r="I2293" s="6">
        <f>MONTH(Consulta2[[#This Row],[DATA]])</f>
        <v>4</v>
      </c>
      <c r="J2293" t="str">
        <f>CONCATENATE(Consulta2[[#This Row],[SAFRA]],Consulta2[[#This Row],[dia]])</f>
        <v>20300410</v>
      </c>
      <c r="K2293">
        <f>Consulta2[[#This Row],[DIA_UTIL_CORRENTE]]</f>
        <v>8</v>
      </c>
    </row>
    <row r="2294" spans="1:11" x14ac:dyDescent="0.25">
      <c r="A2294">
        <v>203004</v>
      </c>
      <c r="B2294">
        <v>9</v>
      </c>
      <c r="C2294" s="148">
        <v>47584</v>
      </c>
      <c r="D2294">
        <v>21</v>
      </c>
      <c r="E2294">
        <v>21</v>
      </c>
      <c r="F2294">
        <v>1576</v>
      </c>
      <c r="G2294">
        <f>Consulta2[[#This Row],[DIA_UTIL_CORRENTE]]</f>
        <v>9</v>
      </c>
      <c r="H2294" s="6">
        <f>DAY(Consulta2[[#This Row],[DATA]])</f>
        <v>11</v>
      </c>
      <c r="I2294" s="6">
        <f>MONTH(Consulta2[[#This Row],[DATA]])</f>
        <v>4</v>
      </c>
      <c r="J2294" t="str">
        <f>CONCATENATE(Consulta2[[#This Row],[SAFRA]],Consulta2[[#This Row],[dia]])</f>
        <v>20300411</v>
      </c>
      <c r="K2294">
        <f>Consulta2[[#This Row],[DIA_UTIL_CORRENTE]]</f>
        <v>9</v>
      </c>
    </row>
    <row r="2295" spans="1:11" x14ac:dyDescent="0.25">
      <c r="A2295">
        <v>203004</v>
      </c>
      <c r="B2295">
        <v>10</v>
      </c>
      <c r="C2295" s="148">
        <v>47585</v>
      </c>
      <c r="D2295">
        <v>21</v>
      </c>
      <c r="E2295">
        <v>21</v>
      </c>
      <c r="F2295">
        <v>1577</v>
      </c>
      <c r="G2295">
        <f>Consulta2[[#This Row],[DIA_UTIL_CORRENTE]]</f>
        <v>10</v>
      </c>
      <c r="H2295" s="6">
        <f>DAY(Consulta2[[#This Row],[DATA]])</f>
        <v>12</v>
      </c>
      <c r="I2295" s="6">
        <f>MONTH(Consulta2[[#This Row],[DATA]])</f>
        <v>4</v>
      </c>
      <c r="J2295" t="str">
        <f>CONCATENATE(Consulta2[[#This Row],[SAFRA]],Consulta2[[#This Row],[dia]])</f>
        <v>20300412</v>
      </c>
      <c r="K2295">
        <f>Consulta2[[#This Row],[DIA_UTIL_CORRENTE]]</f>
        <v>10</v>
      </c>
    </row>
    <row r="2296" spans="1:11" x14ac:dyDescent="0.25">
      <c r="A2296">
        <v>203004</v>
      </c>
      <c r="B2296">
        <v>10</v>
      </c>
      <c r="C2296" s="148">
        <v>47586</v>
      </c>
      <c r="D2296">
        <v>21</v>
      </c>
      <c r="E2296">
        <v>21</v>
      </c>
      <c r="F2296">
        <v>1577</v>
      </c>
      <c r="G2296">
        <f>Consulta2[[#This Row],[DIA_UTIL_CORRENTE]]</f>
        <v>10</v>
      </c>
      <c r="H2296" s="6">
        <f>DAY(Consulta2[[#This Row],[DATA]])</f>
        <v>13</v>
      </c>
      <c r="I2296" s="6">
        <f>MONTH(Consulta2[[#This Row],[DATA]])</f>
        <v>4</v>
      </c>
      <c r="J2296" t="str">
        <f>CONCATENATE(Consulta2[[#This Row],[SAFRA]],Consulta2[[#This Row],[dia]])</f>
        <v>20300413</v>
      </c>
      <c r="K2296">
        <f>Consulta2[[#This Row],[DIA_UTIL_CORRENTE]]</f>
        <v>10</v>
      </c>
    </row>
    <row r="2297" spans="1:11" x14ac:dyDescent="0.25">
      <c r="A2297">
        <v>203004</v>
      </c>
      <c r="B2297">
        <v>10</v>
      </c>
      <c r="C2297" s="148">
        <v>47587</v>
      </c>
      <c r="D2297">
        <v>21</v>
      </c>
      <c r="E2297">
        <v>21</v>
      </c>
      <c r="F2297">
        <v>1577</v>
      </c>
      <c r="G2297">
        <f>Consulta2[[#This Row],[DIA_UTIL_CORRENTE]]</f>
        <v>10</v>
      </c>
      <c r="H2297" s="6">
        <f>DAY(Consulta2[[#This Row],[DATA]])</f>
        <v>14</v>
      </c>
      <c r="I2297" s="6">
        <f>MONTH(Consulta2[[#This Row],[DATA]])</f>
        <v>4</v>
      </c>
      <c r="J2297" t="str">
        <f>CONCATENATE(Consulta2[[#This Row],[SAFRA]],Consulta2[[#This Row],[dia]])</f>
        <v>20300414</v>
      </c>
      <c r="K2297">
        <f>Consulta2[[#This Row],[DIA_UTIL_CORRENTE]]</f>
        <v>10</v>
      </c>
    </row>
    <row r="2298" spans="1:11" x14ac:dyDescent="0.25">
      <c r="A2298">
        <v>203004</v>
      </c>
      <c r="B2298">
        <v>11</v>
      </c>
      <c r="C2298" s="148">
        <v>47588</v>
      </c>
      <c r="D2298">
        <v>21</v>
      </c>
      <c r="E2298">
        <v>21</v>
      </c>
      <c r="F2298">
        <v>1578</v>
      </c>
      <c r="G2298">
        <f>Consulta2[[#This Row],[DIA_UTIL_CORRENTE]]</f>
        <v>11</v>
      </c>
      <c r="H2298" s="6">
        <f>DAY(Consulta2[[#This Row],[DATA]])</f>
        <v>15</v>
      </c>
      <c r="I2298" s="6">
        <f>MONTH(Consulta2[[#This Row],[DATA]])</f>
        <v>4</v>
      </c>
      <c r="J2298" t="str">
        <f>CONCATENATE(Consulta2[[#This Row],[SAFRA]],Consulta2[[#This Row],[dia]])</f>
        <v>20300415</v>
      </c>
      <c r="K2298">
        <f>Consulta2[[#This Row],[DIA_UTIL_CORRENTE]]</f>
        <v>11</v>
      </c>
    </row>
    <row r="2299" spans="1:11" x14ac:dyDescent="0.25">
      <c r="A2299">
        <v>203004</v>
      </c>
      <c r="B2299">
        <v>12</v>
      </c>
      <c r="C2299" s="148">
        <v>47589</v>
      </c>
      <c r="D2299">
        <v>21</v>
      </c>
      <c r="E2299">
        <v>21</v>
      </c>
      <c r="F2299">
        <v>1579</v>
      </c>
      <c r="G2299">
        <f>Consulta2[[#This Row],[DIA_UTIL_CORRENTE]]</f>
        <v>12</v>
      </c>
      <c r="H2299" s="6">
        <f>DAY(Consulta2[[#This Row],[DATA]])</f>
        <v>16</v>
      </c>
      <c r="I2299" s="6">
        <f>MONTH(Consulta2[[#This Row],[DATA]])</f>
        <v>4</v>
      </c>
      <c r="J2299" t="str">
        <f>CONCATENATE(Consulta2[[#This Row],[SAFRA]],Consulta2[[#This Row],[dia]])</f>
        <v>20300416</v>
      </c>
      <c r="K2299">
        <f>Consulta2[[#This Row],[DIA_UTIL_CORRENTE]]</f>
        <v>12</v>
      </c>
    </row>
    <row r="2300" spans="1:11" x14ac:dyDescent="0.25">
      <c r="A2300">
        <v>203004</v>
      </c>
      <c r="B2300">
        <v>13</v>
      </c>
      <c r="C2300" s="148">
        <v>47590</v>
      </c>
      <c r="D2300">
        <v>21</v>
      </c>
      <c r="E2300">
        <v>21</v>
      </c>
      <c r="F2300">
        <v>1580</v>
      </c>
      <c r="G2300">
        <f>Consulta2[[#This Row],[DIA_UTIL_CORRENTE]]</f>
        <v>13</v>
      </c>
      <c r="H2300" s="6">
        <f>DAY(Consulta2[[#This Row],[DATA]])</f>
        <v>17</v>
      </c>
      <c r="I2300" s="6">
        <f>MONTH(Consulta2[[#This Row],[DATA]])</f>
        <v>4</v>
      </c>
      <c r="J2300" t="str">
        <f>CONCATENATE(Consulta2[[#This Row],[SAFRA]],Consulta2[[#This Row],[dia]])</f>
        <v>20300417</v>
      </c>
      <c r="K2300">
        <f>Consulta2[[#This Row],[DIA_UTIL_CORRENTE]]</f>
        <v>13</v>
      </c>
    </row>
    <row r="2301" spans="1:11" x14ac:dyDescent="0.25">
      <c r="A2301">
        <v>203004</v>
      </c>
      <c r="B2301">
        <v>14</v>
      </c>
      <c r="C2301" s="148">
        <v>47591</v>
      </c>
      <c r="D2301">
        <v>21</v>
      </c>
      <c r="E2301">
        <v>21</v>
      </c>
      <c r="F2301">
        <v>1581</v>
      </c>
      <c r="G2301">
        <f>Consulta2[[#This Row],[DIA_UTIL_CORRENTE]]</f>
        <v>14</v>
      </c>
      <c r="H2301" s="6">
        <f>DAY(Consulta2[[#This Row],[DATA]])</f>
        <v>18</v>
      </c>
      <c r="I2301" s="6">
        <f>MONTH(Consulta2[[#This Row],[DATA]])</f>
        <v>4</v>
      </c>
      <c r="J2301" t="str">
        <f>CONCATENATE(Consulta2[[#This Row],[SAFRA]],Consulta2[[#This Row],[dia]])</f>
        <v>20300418</v>
      </c>
      <c r="K2301">
        <f>Consulta2[[#This Row],[DIA_UTIL_CORRENTE]]</f>
        <v>14</v>
      </c>
    </row>
    <row r="2302" spans="1:11" x14ac:dyDescent="0.25">
      <c r="A2302">
        <v>203004</v>
      </c>
      <c r="B2302">
        <v>14</v>
      </c>
      <c r="C2302" s="148">
        <v>47592</v>
      </c>
      <c r="D2302">
        <v>21</v>
      </c>
      <c r="E2302">
        <v>21</v>
      </c>
      <c r="F2302">
        <v>1581</v>
      </c>
      <c r="G2302">
        <f>Consulta2[[#This Row],[DIA_UTIL_CORRENTE]]</f>
        <v>14</v>
      </c>
      <c r="H2302" s="6">
        <f>DAY(Consulta2[[#This Row],[DATA]])</f>
        <v>19</v>
      </c>
      <c r="I2302" s="6">
        <f>MONTH(Consulta2[[#This Row],[DATA]])</f>
        <v>4</v>
      </c>
      <c r="J2302" t="str">
        <f>CONCATENATE(Consulta2[[#This Row],[SAFRA]],Consulta2[[#This Row],[dia]])</f>
        <v>20300419</v>
      </c>
      <c r="K2302">
        <f>Consulta2[[#This Row],[DIA_UTIL_CORRENTE]]</f>
        <v>14</v>
      </c>
    </row>
    <row r="2303" spans="1:11" x14ac:dyDescent="0.25">
      <c r="A2303">
        <v>203004</v>
      </c>
      <c r="B2303">
        <v>14</v>
      </c>
      <c r="C2303" s="148">
        <v>47593</v>
      </c>
      <c r="D2303">
        <v>21</v>
      </c>
      <c r="E2303">
        <v>21</v>
      </c>
      <c r="F2303">
        <v>1581</v>
      </c>
      <c r="G2303">
        <f>Consulta2[[#This Row],[DIA_UTIL_CORRENTE]]</f>
        <v>14</v>
      </c>
      <c r="H2303" s="6">
        <f>DAY(Consulta2[[#This Row],[DATA]])</f>
        <v>20</v>
      </c>
      <c r="I2303" s="6">
        <f>MONTH(Consulta2[[#This Row],[DATA]])</f>
        <v>4</v>
      </c>
      <c r="J2303" t="str">
        <f>CONCATENATE(Consulta2[[#This Row],[SAFRA]],Consulta2[[#This Row],[dia]])</f>
        <v>20300420</v>
      </c>
      <c r="K2303">
        <f>Consulta2[[#This Row],[DIA_UTIL_CORRENTE]]</f>
        <v>14</v>
      </c>
    </row>
    <row r="2304" spans="1:11" x14ac:dyDescent="0.25">
      <c r="A2304">
        <v>203004</v>
      </c>
      <c r="B2304">
        <v>14</v>
      </c>
      <c r="C2304" s="148">
        <v>47594</v>
      </c>
      <c r="D2304">
        <v>21</v>
      </c>
      <c r="E2304">
        <v>21</v>
      </c>
      <c r="F2304">
        <v>1581</v>
      </c>
      <c r="G2304">
        <f>Consulta2[[#This Row],[DIA_UTIL_CORRENTE]]</f>
        <v>14</v>
      </c>
      <c r="H2304" s="6">
        <f>DAY(Consulta2[[#This Row],[DATA]])</f>
        <v>21</v>
      </c>
      <c r="I2304" s="6">
        <f>MONTH(Consulta2[[#This Row],[DATA]])</f>
        <v>4</v>
      </c>
      <c r="J2304" t="str">
        <f>CONCATENATE(Consulta2[[#This Row],[SAFRA]],Consulta2[[#This Row],[dia]])</f>
        <v>20300421</v>
      </c>
      <c r="K2304">
        <f>Consulta2[[#This Row],[DIA_UTIL_CORRENTE]]</f>
        <v>14</v>
      </c>
    </row>
    <row r="2305" spans="1:11" x14ac:dyDescent="0.25">
      <c r="A2305">
        <v>203004</v>
      </c>
      <c r="B2305">
        <v>15</v>
      </c>
      <c r="C2305" s="148">
        <v>47595</v>
      </c>
      <c r="D2305">
        <v>21</v>
      </c>
      <c r="E2305">
        <v>21</v>
      </c>
      <c r="F2305">
        <v>1582</v>
      </c>
      <c r="G2305">
        <f>Consulta2[[#This Row],[DIA_UTIL_CORRENTE]]</f>
        <v>15</v>
      </c>
      <c r="H2305" s="6">
        <f>DAY(Consulta2[[#This Row],[DATA]])</f>
        <v>22</v>
      </c>
      <c r="I2305" s="6">
        <f>MONTH(Consulta2[[#This Row],[DATA]])</f>
        <v>4</v>
      </c>
      <c r="J2305" t="str">
        <f>CONCATENATE(Consulta2[[#This Row],[SAFRA]],Consulta2[[#This Row],[dia]])</f>
        <v>20300422</v>
      </c>
      <c r="K2305">
        <f>Consulta2[[#This Row],[DIA_UTIL_CORRENTE]]</f>
        <v>15</v>
      </c>
    </row>
    <row r="2306" spans="1:11" x14ac:dyDescent="0.25">
      <c r="A2306">
        <v>203004</v>
      </c>
      <c r="B2306">
        <v>16</v>
      </c>
      <c r="C2306" s="148">
        <v>47596</v>
      </c>
      <c r="D2306">
        <v>21</v>
      </c>
      <c r="E2306">
        <v>21</v>
      </c>
      <c r="F2306">
        <v>1583</v>
      </c>
      <c r="G2306">
        <f>Consulta2[[#This Row],[DIA_UTIL_CORRENTE]]</f>
        <v>16</v>
      </c>
      <c r="H2306" s="6">
        <f>DAY(Consulta2[[#This Row],[DATA]])</f>
        <v>23</v>
      </c>
      <c r="I2306" s="6">
        <f>MONTH(Consulta2[[#This Row],[DATA]])</f>
        <v>4</v>
      </c>
      <c r="J2306" t="str">
        <f>CONCATENATE(Consulta2[[#This Row],[SAFRA]],Consulta2[[#This Row],[dia]])</f>
        <v>20300423</v>
      </c>
      <c r="K2306">
        <f>Consulta2[[#This Row],[DIA_UTIL_CORRENTE]]</f>
        <v>16</v>
      </c>
    </row>
    <row r="2307" spans="1:11" x14ac:dyDescent="0.25">
      <c r="A2307">
        <v>203004</v>
      </c>
      <c r="B2307">
        <v>17</v>
      </c>
      <c r="C2307" s="148">
        <v>47597</v>
      </c>
      <c r="D2307">
        <v>21</v>
      </c>
      <c r="E2307">
        <v>21</v>
      </c>
      <c r="F2307">
        <v>1584</v>
      </c>
      <c r="G2307">
        <f>Consulta2[[#This Row],[DIA_UTIL_CORRENTE]]</f>
        <v>17</v>
      </c>
      <c r="H2307" s="6">
        <f>DAY(Consulta2[[#This Row],[DATA]])</f>
        <v>24</v>
      </c>
      <c r="I2307" s="6">
        <f>MONTH(Consulta2[[#This Row],[DATA]])</f>
        <v>4</v>
      </c>
      <c r="J2307" t="str">
        <f>CONCATENATE(Consulta2[[#This Row],[SAFRA]],Consulta2[[#This Row],[dia]])</f>
        <v>20300424</v>
      </c>
      <c r="K2307">
        <f>Consulta2[[#This Row],[DIA_UTIL_CORRENTE]]</f>
        <v>17</v>
      </c>
    </row>
    <row r="2308" spans="1:11" x14ac:dyDescent="0.25">
      <c r="A2308">
        <v>203004</v>
      </c>
      <c r="B2308">
        <v>18</v>
      </c>
      <c r="C2308" s="148">
        <v>47598</v>
      </c>
      <c r="D2308">
        <v>21</v>
      </c>
      <c r="E2308">
        <v>21</v>
      </c>
      <c r="F2308">
        <v>1585</v>
      </c>
      <c r="G2308">
        <f>Consulta2[[#This Row],[DIA_UTIL_CORRENTE]]</f>
        <v>18</v>
      </c>
      <c r="H2308" s="6">
        <f>DAY(Consulta2[[#This Row],[DATA]])</f>
        <v>25</v>
      </c>
      <c r="I2308" s="6">
        <f>MONTH(Consulta2[[#This Row],[DATA]])</f>
        <v>4</v>
      </c>
      <c r="J2308" t="str">
        <f>CONCATENATE(Consulta2[[#This Row],[SAFRA]],Consulta2[[#This Row],[dia]])</f>
        <v>20300425</v>
      </c>
      <c r="K2308">
        <f>Consulta2[[#This Row],[DIA_UTIL_CORRENTE]]</f>
        <v>18</v>
      </c>
    </row>
    <row r="2309" spans="1:11" x14ac:dyDescent="0.25">
      <c r="A2309">
        <v>203004</v>
      </c>
      <c r="B2309">
        <v>19</v>
      </c>
      <c r="C2309" s="148">
        <v>47599</v>
      </c>
      <c r="D2309">
        <v>21</v>
      </c>
      <c r="E2309">
        <v>21</v>
      </c>
      <c r="F2309">
        <v>1586</v>
      </c>
      <c r="G2309">
        <f>Consulta2[[#This Row],[DIA_UTIL_CORRENTE]]</f>
        <v>19</v>
      </c>
      <c r="H2309" s="6">
        <f>DAY(Consulta2[[#This Row],[DATA]])</f>
        <v>26</v>
      </c>
      <c r="I2309" s="6">
        <f>MONTH(Consulta2[[#This Row],[DATA]])</f>
        <v>4</v>
      </c>
      <c r="J2309" t="str">
        <f>CONCATENATE(Consulta2[[#This Row],[SAFRA]],Consulta2[[#This Row],[dia]])</f>
        <v>20300426</v>
      </c>
      <c r="K2309">
        <f>Consulta2[[#This Row],[DIA_UTIL_CORRENTE]]</f>
        <v>19</v>
      </c>
    </row>
    <row r="2310" spans="1:11" x14ac:dyDescent="0.25">
      <c r="A2310">
        <v>203004</v>
      </c>
      <c r="B2310">
        <v>19</v>
      </c>
      <c r="C2310" s="148">
        <v>47600</v>
      </c>
      <c r="D2310">
        <v>21</v>
      </c>
      <c r="E2310">
        <v>21</v>
      </c>
      <c r="F2310">
        <v>1586</v>
      </c>
      <c r="G2310">
        <f>Consulta2[[#This Row],[DIA_UTIL_CORRENTE]]</f>
        <v>19</v>
      </c>
      <c r="H2310" s="6">
        <f>DAY(Consulta2[[#This Row],[DATA]])</f>
        <v>27</v>
      </c>
      <c r="I2310" s="6">
        <f>MONTH(Consulta2[[#This Row],[DATA]])</f>
        <v>4</v>
      </c>
      <c r="J2310" t="str">
        <f>CONCATENATE(Consulta2[[#This Row],[SAFRA]],Consulta2[[#This Row],[dia]])</f>
        <v>20300427</v>
      </c>
      <c r="K2310">
        <f>Consulta2[[#This Row],[DIA_UTIL_CORRENTE]]</f>
        <v>19</v>
      </c>
    </row>
    <row r="2311" spans="1:11" x14ac:dyDescent="0.25">
      <c r="A2311">
        <v>203004</v>
      </c>
      <c r="B2311">
        <v>19</v>
      </c>
      <c r="C2311" s="148">
        <v>47601</v>
      </c>
      <c r="D2311">
        <v>21</v>
      </c>
      <c r="E2311">
        <v>21</v>
      </c>
      <c r="F2311">
        <v>1586</v>
      </c>
      <c r="G2311">
        <f>Consulta2[[#This Row],[DIA_UTIL_CORRENTE]]</f>
        <v>19</v>
      </c>
      <c r="H2311" s="6">
        <f>DAY(Consulta2[[#This Row],[DATA]])</f>
        <v>28</v>
      </c>
      <c r="I2311" s="6">
        <f>MONTH(Consulta2[[#This Row],[DATA]])</f>
        <v>4</v>
      </c>
      <c r="J2311" t="str">
        <f>CONCATENATE(Consulta2[[#This Row],[SAFRA]],Consulta2[[#This Row],[dia]])</f>
        <v>20300428</v>
      </c>
      <c r="K2311">
        <f>Consulta2[[#This Row],[DIA_UTIL_CORRENTE]]</f>
        <v>19</v>
      </c>
    </row>
    <row r="2312" spans="1:11" x14ac:dyDescent="0.25">
      <c r="A2312">
        <v>203004</v>
      </c>
      <c r="B2312">
        <v>20</v>
      </c>
      <c r="C2312" s="148">
        <v>47602</v>
      </c>
      <c r="D2312">
        <v>21</v>
      </c>
      <c r="E2312">
        <v>21</v>
      </c>
      <c r="F2312">
        <v>1587</v>
      </c>
      <c r="G2312">
        <f>Consulta2[[#This Row],[DIA_UTIL_CORRENTE]]</f>
        <v>20</v>
      </c>
      <c r="H2312" s="6">
        <f>DAY(Consulta2[[#This Row],[DATA]])</f>
        <v>29</v>
      </c>
      <c r="I2312" s="6">
        <f>MONTH(Consulta2[[#This Row],[DATA]])</f>
        <v>4</v>
      </c>
      <c r="J2312" t="str">
        <f>CONCATENATE(Consulta2[[#This Row],[SAFRA]],Consulta2[[#This Row],[dia]])</f>
        <v>20300429</v>
      </c>
      <c r="K2312">
        <f>Consulta2[[#This Row],[DIA_UTIL_CORRENTE]]</f>
        <v>20</v>
      </c>
    </row>
    <row r="2313" spans="1:11" x14ac:dyDescent="0.25">
      <c r="A2313">
        <v>203004</v>
      </c>
      <c r="B2313">
        <v>21</v>
      </c>
      <c r="C2313" s="148">
        <v>47603</v>
      </c>
      <c r="D2313">
        <v>21</v>
      </c>
      <c r="E2313">
        <v>21</v>
      </c>
      <c r="F2313">
        <v>1588</v>
      </c>
      <c r="G2313">
        <f>Consulta2[[#This Row],[DIA_UTIL_CORRENTE]]</f>
        <v>21</v>
      </c>
      <c r="H2313" s="6">
        <f>DAY(Consulta2[[#This Row],[DATA]])</f>
        <v>30</v>
      </c>
      <c r="I2313" s="6">
        <f>MONTH(Consulta2[[#This Row],[DATA]])</f>
        <v>4</v>
      </c>
      <c r="J2313" t="str">
        <f>CONCATENATE(Consulta2[[#This Row],[SAFRA]],Consulta2[[#This Row],[dia]])</f>
        <v>20300430</v>
      </c>
      <c r="K2313">
        <f>Consulta2[[#This Row],[DIA_UTIL_CORRENTE]]</f>
        <v>21</v>
      </c>
    </row>
    <row r="2314" spans="1:11" x14ac:dyDescent="0.25">
      <c r="A2314">
        <v>203005</v>
      </c>
      <c r="B2314">
        <v>0</v>
      </c>
      <c r="C2314" s="148">
        <v>47604</v>
      </c>
      <c r="D2314">
        <v>22</v>
      </c>
      <c r="E2314">
        <v>22</v>
      </c>
      <c r="F2314">
        <v>1588</v>
      </c>
      <c r="G2314">
        <f>Consulta2[[#This Row],[DIA_UTIL_CORRENTE]]</f>
        <v>0</v>
      </c>
      <c r="H2314" s="6">
        <f>DAY(Consulta2[[#This Row],[DATA]])</f>
        <v>1</v>
      </c>
      <c r="I2314" s="6">
        <f>MONTH(Consulta2[[#This Row],[DATA]])</f>
        <v>5</v>
      </c>
      <c r="J2314" t="str">
        <f>CONCATENATE(Consulta2[[#This Row],[SAFRA]],Consulta2[[#This Row],[dia]])</f>
        <v>2030051</v>
      </c>
      <c r="K2314">
        <f>Consulta2[[#This Row],[DIA_UTIL_CORRENTE]]</f>
        <v>0</v>
      </c>
    </row>
    <row r="2315" spans="1:11" x14ac:dyDescent="0.25">
      <c r="A2315">
        <v>203005</v>
      </c>
      <c r="B2315">
        <v>1</v>
      </c>
      <c r="C2315" s="148">
        <v>47605</v>
      </c>
      <c r="D2315">
        <v>22</v>
      </c>
      <c r="E2315">
        <v>22</v>
      </c>
      <c r="F2315">
        <v>1589</v>
      </c>
      <c r="G2315">
        <f>Consulta2[[#This Row],[DIA_UTIL_CORRENTE]]</f>
        <v>1</v>
      </c>
      <c r="H2315" s="6">
        <f>DAY(Consulta2[[#This Row],[DATA]])</f>
        <v>2</v>
      </c>
      <c r="I2315" s="6">
        <f>MONTH(Consulta2[[#This Row],[DATA]])</f>
        <v>5</v>
      </c>
      <c r="J2315" t="str">
        <f>CONCATENATE(Consulta2[[#This Row],[SAFRA]],Consulta2[[#This Row],[dia]])</f>
        <v>2030052</v>
      </c>
      <c r="K2315">
        <f>Consulta2[[#This Row],[DIA_UTIL_CORRENTE]]</f>
        <v>1</v>
      </c>
    </row>
    <row r="2316" spans="1:11" x14ac:dyDescent="0.25">
      <c r="A2316">
        <v>203005</v>
      </c>
      <c r="B2316">
        <v>2</v>
      </c>
      <c r="C2316" s="148">
        <v>47606</v>
      </c>
      <c r="D2316">
        <v>22</v>
      </c>
      <c r="E2316">
        <v>22</v>
      </c>
      <c r="F2316">
        <v>1590</v>
      </c>
      <c r="G2316">
        <f>Consulta2[[#This Row],[DIA_UTIL_CORRENTE]]</f>
        <v>2</v>
      </c>
      <c r="H2316" s="6">
        <f>DAY(Consulta2[[#This Row],[DATA]])</f>
        <v>3</v>
      </c>
      <c r="I2316" s="6">
        <f>MONTH(Consulta2[[#This Row],[DATA]])</f>
        <v>5</v>
      </c>
      <c r="J2316" t="str">
        <f>CONCATENATE(Consulta2[[#This Row],[SAFRA]],Consulta2[[#This Row],[dia]])</f>
        <v>2030053</v>
      </c>
      <c r="K2316">
        <f>Consulta2[[#This Row],[DIA_UTIL_CORRENTE]]</f>
        <v>2</v>
      </c>
    </row>
    <row r="2317" spans="1:11" x14ac:dyDescent="0.25">
      <c r="A2317">
        <v>203005</v>
      </c>
      <c r="B2317">
        <v>2</v>
      </c>
      <c r="C2317" s="148">
        <v>47607</v>
      </c>
      <c r="D2317">
        <v>22</v>
      </c>
      <c r="E2317">
        <v>22</v>
      </c>
      <c r="F2317">
        <v>1590</v>
      </c>
      <c r="G2317">
        <f>Consulta2[[#This Row],[DIA_UTIL_CORRENTE]]</f>
        <v>2</v>
      </c>
      <c r="H2317" s="6">
        <f>DAY(Consulta2[[#This Row],[DATA]])</f>
        <v>4</v>
      </c>
      <c r="I2317" s="6">
        <f>MONTH(Consulta2[[#This Row],[DATA]])</f>
        <v>5</v>
      </c>
      <c r="J2317" t="str">
        <f>CONCATENATE(Consulta2[[#This Row],[SAFRA]],Consulta2[[#This Row],[dia]])</f>
        <v>2030054</v>
      </c>
      <c r="K2317">
        <f>Consulta2[[#This Row],[DIA_UTIL_CORRENTE]]</f>
        <v>2</v>
      </c>
    </row>
    <row r="2318" spans="1:11" x14ac:dyDescent="0.25">
      <c r="A2318">
        <v>203005</v>
      </c>
      <c r="B2318">
        <v>2</v>
      </c>
      <c r="C2318" s="148">
        <v>47608</v>
      </c>
      <c r="D2318">
        <v>22</v>
      </c>
      <c r="E2318">
        <v>22</v>
      </c>
      <c r="F2318">
        <v>1590</v>
      </c>
      <c r="G2318">
        <f>Consulta2[[#This Row],[DIA_UTIL_CORRENTE]]</f>
        <v>2</v>
      </c>
      <c r="H2318" s="6">
        <f>DAY(Consulta2[[#This Row],[DATA]])</f>
        <v>5</v>
      </c>
      <c r="I2318" s="6">
        <f>MONTH(Consulta2[[#This Row],[DATA]])</f>
        <v>5</v>
      </c>
      <c r="J2318" t="str">
        <f>CONCATENATE(Consulta2[[#This Row],[SAFRA]],Consulta2[[#This Row],[dia]])</f>
        <v>2030055</v>
      </c>
      <c r="K2318">
        <f>Consulta2[[#This Row],[DIA_UTIL_CORRENTE]]</f>
        <v>2</v>
      </c>
    </row>
    <row r="2319" spans="1:11" x14ac:dyDescent="0.25">
      <c r="A2319">
        <v>203005</v>
      </c>
      <c r="B2319">
        <v>3</v>
      </c>
      <c r="C2319" s="148">
        <v>47609</v>
      </c>
      <c r="D2319">
        <v>22</v>
      </c>
      <c r="E2319">
        <v>22</v>
      </c>
      <c r="F2319">
        <v>1591</v>
      </c>
      <c r="G2319">
        <f>Consulta2[[#This Row],[DIA_UTIL_CORRENTE]]</f>
        <v>3</v>
      </c>
      <c r="H2319" s="6">
        <f>DAY(Consulta2[[#This Row],[DATA]])</f>
        <v>6</v>
      </c>
      <c r="I2319" s="6">
        <f>MONTH(Consulta2[[#This Row],[DATA]])</f>
        <v>5</v>
      </c>
      <c r="J2319" t="str">
        <f>CONCATENATE(Consulta2[[#This Row],[SAFRA]],Consulta2[[#This Row],[dia]])</f>
        <v>2030056</v>
      </c>
      <c r="K2319">
        <f>Consulta2[[#This Row],[DIA_UTIL_CORRENTE]]</f>
        <v>3</v>
      </c>
    </row>
    <row r="2320" spans="1:11" x14ac:dyDescent="0.25">
      <c r="A2320">
        <v>203005</v>
      </c>
      <c r="B2320">
        <v>4</v>
      </c>
      <c r="C2320" s="148">
        <v>47610</v>
      </c>
      <c r="D2320">
        <v>22</v>
      </c>
      <c r="E2320">
        <v>22</v>
      </c>
      <c r="F2320">
        <v>1592</v>
      </c>
      <c r="G2320">
        <f>Consulta2[[#This Row],[DIA_UTIL_CORRENTE]]</f>
        <v>4</v>
      </c>
      <c r="H2320" s="6">
        <f>DAY(Consulta2[[#This Row],[DATA]])</f>
        <v>7</v>
      </c>
      <c r="I2320" s="6">
        <f>MONTH(Consulta2[[#This Row],[DATA]])</f>
        <v>5</v>
      </c>
      <c r="J2320" t="str">
        <f>CONCATENATE(Consulta2[[#This Row],[SAFRA]],Consulta2[[#This Row],[dia]])</f>
        <v>2030057</v>
      </c>
      <c r="K2320">
        <f>Consulta2[[#This Row],[DIA_UTIL_CORRENTE]]</f>
        <v>4</v>
      </c>
    </row>
    <row r="2321" spans="1:11" x14ac:dyDescent="0.25">
      <c r="A2321">
        <v>203005</v>
      </c>
      <c r="B2321">
        <v>5</v>
      </c>
      <c r="C2321" s="148">
        <v>47611</v>
      </c>
      <c r="D2321">
        <v>22</v>
      </c>
      <c r="E2321">
        <v>22</v>
      </c>
      <c r="F2321">
        <v>1593</v>
      </c>
      <c r="G2321">
        <f>Consulta2[[#This Row],[DIA_UTIL_CORRENTE]]</f>
        <v>5</v>
      </c>
      <c r="H2321" s="6">
        <f>DAY(Consulta2[[#This Row],[DATA]])</f>
        <v>8</v>
      </c>
      <c r="I2321" s="6">
        <f>MONTH(Consulta2[[#This Row],[DATA]])</f>
        <v>5</v>
      </c>
      <c r="J2321" t="str">
        <f>CONCATENATE(Consulta2[[#This Row],[SAFRA]],Consulta2[[#This Row],[dia]])</f>
        <v>2030058</v>
      </c>
      <c r="K2321">
        <f>Consulta2[[#This Row],[DIA_UTIL_CORRENTE]]</f>
        <v>5</v>
      </c>
    </row>
    <row r="2322" spans="1:11" x14ac:dyDescent="0.25">
      <c r="A2322">
        <v>203005</v>
      </c>
      <c r="B2322">
        <v>6</v>
      </c>
      <c r="C2322" s="148">
        <v>47612</v>
      </c>
      <c r="D2322">
        <v>22</v>
      </c>
      <c r="E2322">
        <v>22</v>
      </c>
      <c r="F2322">
        <v>1594</v>
      </c>
      <c r="G2322">
        <f>Consulta2[[#This Row],[DIA_UTIL_CORRENTE]]</f>
        <v>6</v>
      </c>
      <c r="H2322" s="6">
        <f>DAY(Consulta2[[#This Row],[DATA]])</f>
        <v>9</v>
      </c>
      <c r="I2322" s="6">
        <f>MONTH(Consulta2[[#This Row],[DATA]])</f>
        <v>5</v>
      </c>
      <c r="J2322" t="str">
        <f>CONCATENATE(Consulta2[[#This Row],[SAFRA]],Consulta2[[#This Row],[dia]])</f>
        <v>2030059</v>
      </c>
      <c r="K2322">
        <f>Consulta2[[#This Row],[DIA_UTIL_CORRENTE]]</f>
        <v>6</v>
      </c>
    </row>
    <row r="2323" spans="1:11" x14ac:dyDescent="0.25">
      <c r="A2323">
        <v>203005</v>
      </c>
      <c r="B2323">
        <v>7</v>
      </c>
      <c r="C2323" s="148">
        <v>47613</v>
      </c>
      <c r="D2323">
        <v>22</v>
      </c>
      <c r="E2323">
        <v>22</v>
      </c>
      <c r="F2323">
        <v>1595</v>
      </c>
      <c r="G2323">
        <f>Consulta2[[#This Row],[DIA_UTIL_CORRENTE]]</f>
        <v>7</v>
      </c>
      <c r="H2323" s="6">
        <f>DAY(Consulta2[[#This Row],[DATA]])</f>
        <v>10</v>
      </c>
      <c r="I2323" s="6">
        <f>MONTH(Consulta2[[#This Row],[DATA]])</f>
        <v>5</v>
      </c>
      <c r="J2323" t="str">
        <f>CONCATENATE(Consulta2[[#This Row],[SAFRA]],Consulta2[[#This Row],[dia]])</f>
        <v>20300510</v>
      </c>
      <c r="K2323">
        <f>Consulta2[[#This Row],[DIA_UTIL_CORRENTE]]</f>
        <v>7</v>
      </c>
    </row>
    <row r="2324" spans="1:11" x14ac:dyDescent="0.25">
      <c r="A2324">
        <v>203005</v>
      </c>
      <c r="B2324">
        <v>7</v>
      </c>
      <c r="C2324" s="148">
        <v>47614</v>
      </c>
      <c r="D2324">
        <v>22</v>
      </c>
      <c r="E2324">
        <v>22</v>
      </c>
      <c r="F2324">
        <v>1595</v>
      </c>
      <c r="G2324">
        <f>Consulta2[[#This Row],[DIA_UTIL_CORRENTE]]</f>
        <v>7</v>
      </c>
      <c r="H2324" s="6">
        <f>DAY(Consulta2[[#This Row],[DATA]])</f>
        <v>11</v>
      </c>
      <c r="I2324" s="6">
        <f>MONTH(Consulta2[[#This Row],[DATA]])</f>
        <v>5</v>
      </c>
      <c r="J2324" t="str">
        <f>CONCATENATE(Consulta2[[#This Row],[SAFRA]],Consulta2[[#This Row],[dia]])</f>
        <v>20300511</v>
      </c>
      <c r="K2324">
        <f>Consulta2[[#This Row],[DIA_UTIL_CORRENTE]]</f>
        <v>7</v>
      </c>
    </row>
    <row r="2325" spans="1:11" x14ac:dyDescent="0.25">
      <c r="A2325">
        <v>203005</v>
      </c>
      <c r="B2325">
        <v>7</v>
      </c>
      <c r="C2325" s="148">
        <v>47615</v>
      </c>
      <c r="D2325">
        <v>22</v>
      </c>
      <c r="E2325">
        <v>22</v>
      </c>
      <c r="F2325">
        <v>1595</v>
      </c>
      <c r="G2325">
        <f>Consulta2[[#This Row],[DIA_UTIL_CORRENTE]]</f>
        <v>7</v>
      </c>
      <c r="H2325" s="6">
        <f>DAY(Consulta2[[#This Row],[DATA]])</f>
        <v>12</v>
      </c>
      <c r="I2325" s="6">
        <f>MONTH(Consulta2[[#This Row],[DATA]])</f>
        <v>5</v>
      </c>
      <c r="J2325" t="str">
        <f>CONCATENATE(Consulta2[[#This Row],[SAFRA]],Consulta2[[#This Row],[dia]])</f>
        <v>20300512</v>
      </c>
      <c r="K2325">
        <f>Consulta2[[#This Row],[DIA_UTIL_CORRENTE]]</f>
        <v>7</v>
      </c>
    </row>
    <row r="2326" spans="1:11" x14ac:dyDescent="0.25">
      <c r="A2326">
        <v>203005</v>
      </c>
      <c r="B2326">
        <v>8</v>
      </c>
      <c r="C2326" s="148">
        <v>47616</v>
      </c>
      <c r="D2326">
        <v>22</v>
      </c>
      <c r="E2326">
        <v>22</v>
      </c>
      <c r="F2326">
        <v>1596</v>
      </c>
      <c r="G2326">
        <f>Consulta2[[#This Row],[DIA_UTIL_CORRENTE]]</f>
        <v>8</v>
      </c>
      <c r="H2326" s="6">
        <f>DAY(Consulta2[[#This Row],[DATA]])</f>
        <v>13</v>
      </c>
      <c r="I2326" s="6">
        <f>MONTH(Consulta2[[#This Row],[DATA]])</f>
        <v>5</v>
      </c>
      <c r="J2326" t="str">
        <f>CONCATENATE(Consulta2[[#This Row],[SAFRA]],Consulta2[[#This Row],[dia]])</f>
        <v>20300513</v>
      </c>
      <c r="K2326">
        <f>Consulta2[[#This Row],[DIA_UTIL_CORRENTE]]</f>
        <v>8</v>
      </c>
    </row>
    <row r="2327" spans="1:11" x14ac:dyDescent="0.25">
      <c r="A2327">
        <v>203005</v>
      </c>
      <c r="B2327">
        <v>9</v>
      </c>
      <c r="C2327" s="148">
        <v>47617</v>
      </c>
      <c r="D2327">
        <v>22</v>
      </c>
      <c r="E2327">
        <v>22</v>
      </c>
      <c r="F2327">
        <v>1597</v>
      </c>
      <c r="G2327">
        <f>Consulta2[[#This Row],[DIA_UTIL_CORRENTE]]</f>
        <v>9</v>
      </c>
      <c r="H2327" s="6">
        <f>DAY(Consulta2[[#This Row],[DATA]])</f>
        <v>14</v>
      </c>
      <c r="I2327" s="6">
        <f>MONTH(Consulta2[[#This Row],[DATA]])</f>
        <v>5</v>
      </c>
      <c r="J2327" t="str">
        <f>CONCATENATE(Consulta2[[#This Row],[SAFRA]],Consulta2[[#This Row],[dia]])</f>
        <v>20300514</v>
      </c>
      <c r="K2327">
        <f>Consulta2[[#This Row],[DIA_UTIL_CORRENTE]]</f>
        <v>9</v>
      </c>
    </row>
    <row r="2328" spans="1:11" x14ac:dyDescent="0.25">
      <c r="A2328">
        <v>203005</v>
      </c>
      <c r="B2328">
        <v>10</v>
      </c>
      <c r="C2328" s="148">
        <v>47618</v>
      </c>
      <c r="D2328">
        <v>22</v>
      </c>
      <c r="E2328">
        <v>22</v>
      </c>
      <c r="F2328">
        <v>1598</v>
      </c>
      <c r="G2328">
        <f>Consulta2[[#This Row],[DIA_UTIL_CORRENTE]]</f>
        <v>10</v>
      </c>
      <c r="H2328" s="6">
        <f>DAY(Consulta2[[#This Row],[DATA]])</f>
        <v>15</v>
      </c>
      <c r="I2328" s="6">
        <f>MONTH(Consulta2[[#This Row],[DATA]])</f>
        <v>5</v>
      </c>
      <c r="J2328" t="str">
        <f>CONCATENATE(Consulta2[[#This Row],[SAFRA]],Consulta2[[#This Row],[dia]])</f>
        <v>20300515</v>
      </c>
      <c r="K2328">
        <f>Consulta2[[#This Row],[DIA_UTIL_CORRENTE]]</f>
        <v>10</v>
      </c>
    </row>
    <row r="2329" spans="1:11" x14ac:dyDescent="0.25">
      <c r="A2329">
        <v>203005</v>
      </c>
      <c r="B2329">
        <v>11</v>
      </c>
      <c r="C2329" s="148">
        <v>47619</v>
      </c>
      <c r="D2329">
        <v>22</v>
      </c>
      <c r="E2329">
        <v>22</v>
      </c>
      <c r="F2329">
        <v>1599</v>
      </c>
      <c r="G2329">
        <f>Consulta2[[#This Row],[DIA_UTIL_CORRENTE]]</f>
        <v>11</v>
      </c>
      <c r="H2329" s="6">
        <f>DAY(Consulta2[[#This Row],[DATA]])</f>
        <v>16</v>
      </c>
      <c r="I2329" s="6">
        <f>MONTH(Consulta2[[#This Row],[DATA]])</f>
        <v>5</v>
      </c>
      <c r="J2329" t="str">
        <f>CONCATENATE(Consulta2[[#This Row],[SAFRA]],Consulta2[[#This Row],[dia]])</f>
        <v>20300516</v>
      </c>
      <c r="K2329">
        <f>Consulta2[[#This Row],[DIA_UTIL_CORRENTE]]</f>
        <v>11</v>
      </c>
    </row>
    <row r="2330" spans="1:11" x14ac:dyDescent="0.25">
      <c r="A2330">
        <v>203005</v>
      </c>
      <c r="B2330">
        <v>12</v>
      </c>
      <c r="C2330" s="148">
        <v>47620</v>
      </c>
      <c r="D2330">
        <v>22</v>
      </c>
      <c r="E2330">
        <v>22</v>
      </c>
      <c r="F2330">
        <v>1600</v>
      </c>
      <c r="G2330">
        <f>Consulta2[[#This Row],[DIA_UTIL_CORRENTE]]</f>
        <v>12</v>
      </c>
      <c r="H2330" s="6">
        <f>DAY(Consulta2[[#This Row],[DATA]])</f>
        <v>17</v>
      </c>
      <c r="I2330" s="6">
        <f>MONTH(Consulta2[[#This Row],[DATA]])</f>
        <v>5</v>
      </c>
      <c r="J2330" t="str">
        <f>CONCATENATE(Consulta2[[#This Row],[SAFRA]],Consulta2[[#This Row],[dia]])</f>
        <v>20300517</v>
      </c>
      <c r="K2330">
        <f>Consulta2[[#This Row],[DIA_UTIL_CORRENTE]]</f>
        <v>12</v>
      </c>
    </row>
    <row r="2331" spans="1:11" x14ac:dyDescent="0.25">
      <c r="A2331">
        <v>203005</v>
      </c>
      <c r="B2331">
        <v>12</v>
      </c>
      <c r="C2331" s="148">
        <v>47621</v>
      </c>
      <c r="D2331">
        <v>22</v>
      </c>
      <c r="E2331">
        <v>22</v>
      </c>
      <c r="F2331">
        <v>1600</v>
      </c>
      <c r="G2331">
        <f>Consulta2[[#This Row],[DIA_UTIL_CORRENTE]]</f>
        <v>12</v>
      </c>
      <c r="H2331" s="6">
        <f>DAY(Consulta2[[#This Row],[DATA]])</f>
        <v>18</v>
      </c>
      <c r="I2331" s="6">
        <f>MONTH(Consulta2[[#This Row],[DATA]])</f>
        <v>5</v>
      </c>
      <c r="J2331" t="str">
        <f>CONCATENATE(Consulta2[[#This Row],[SAFRA]],Consulta2[[#This Row],[dia]])</f>
        <v>20300518</v>
      </c>
      <c r="K2331">
        <f>Consulta2[[#This Row],[DIA_UTIL_CORRENTE]]</f>
        <v>12</v>
      </c>
    </row>
    <row r="2332" spans="1:11" x14ac:dyDescent="0.25">
      <c r="A2332">
        <v>203005</v>
      </c>
      <c r="B2332">
        <v>12</v>
      </c>
      <c r="C2332" s="148">
        <v>47622</v>
      </c>
      <c r="D2332">
        <v>22</v>
      </c>
      <c r="E2332">
        <v>22</v>
      </c>
      <c r="F2332">
        <v>1600</v>
      </c>
      <c r="G2332">
        <f>Consulta2[[#This Row],[DIA_UTIL_CORRENTE]]</f>
        <v>12</v>
      </c>
      <c r="H2332" s="6">
        <f>DAY(Consulta2[[#This Row],[DATA]])</f>
        <v>19</v>
      </c>
      <c r="I2332" s="6">
        <f>MONTH(Consulta2[[#This Row],[DATA]])</f>
        <v>5</v>
      </c>
      <c r="J2332" t="str">
        <f>CONCATENATE(Consulta2[[#This Row],[SAFRA]],Consulta2[[#This Row],[dia]])</f>
        <v>20300519</v>
      </c>
      <c r="K2332">
        <f>Consulta2[[#This Row],[DIA_UTIL_CORRENTE]]</f>
        <v>12</v>
      </c>
    </row>
    <row r="2333" spans="1:11" x14ac:dyDescent="0.25">
      <c r="A2333">
        <v>203005</v>
      </c>
      <c r="B2333">
        <v>13</v>
      </c>
      <c r="C2333" s="148">
        <v>47623</v>
      </c>
      <c r="D2333">
        <v>22</v>
      </c>
      <c r="E2333">
        <v>22</v>
      </c>
      <c r="F2333">
        <v>1601</v>
      </c>
      <c r="G2333">
        <f>Consulta2[[#This Row],[DIA_UTIL_CORRENTE]]</f>
        <v>13</v>
      </c>
      <c r="H2333" s="6">
        <f>DAY(Consulta2[[#This Row],[DATA]])</f>
        <v>20</v>
      </c>
      <c r="I2333" s="6">
        <f>MONTH(Consulta2[[#This Row],[DATA]])</f>
        <v>5</v>
      </c>
      <c r="J2333" t="str">
        <f>CONCATENATE(Consulta2[[#This Row],[SAFRA]],Consulta2[[#This Row],[dia]])</f>
        <v>20300520</v>
      </c>
      <c r="K2333">
        <f>Consulta2[[#This Row],[DIA_UTIL_CORRENTE]]</f>
        <v>13</v>
      </c>
    </row>
    <row r="2334" spans="1:11" x14ac:dyDescent="0.25">
      <c r="A2334">
        <v>203005</v>
      </c>
      <c r="B2334">
        <v>14</v>
      </c>
      <c r="C2334" s="148">
        <v>47624</v>
      </c>
      <c r="D2334">
        <v>22</v>
      </c>
      <c r="E2334">
        <v>22</v>
      </c>
      <c r="F2334">
        <v>1602</v>
      </c>
      <c r="G2334">
        <f>Consulta2[[#This Row],[DIA_UTIL_CORRENTE]]</f>
        <v>14</v>
      </c>
      <c r="H2334" s="6">
        <f>DAY(Consulta2[[#This Row],[DATA]])</f>
        <v>21</v>
      </c>
      <c r="I2334" s="6">
        <f>MONTH(Consulta2[[#This Row],[DATA]])</f>
        <v>5</v>
      </c>
      <c r="J2334" t="str">
        <f>CONCATENATE(Consulta2[[#This Row],[SAFRA]],Consulta2[[#This Row],[dia]])</f>
        <v>20300521</v>
      </c>
      <c r="K2334">
        <f>Consulta2[[#This Row],[DIA_UTIL_CORRENTE]]</f>
        <v>14</v>
      </c>
    </row>
    <row r="2335" spans="1:11" x14ac:dyDescent="0.25">
      <c r="A2335">
        <v>203005</v>
      </c>
      <c r="B2335">
        <v>15</v>
      </c>
      <c r="C2335" s="148">
        <v>47625</v>
      </c>
      <c r="D2335">
        <v>22</v>
      </c>
      <c r="E2335">
        <v>22</v>
      </c>
      <c r="F2335">
        <v>1603</v>
      </c>
      <c r="G2335">
        <f>Consulta2[[#This Row],[DIA_UTIL_CORRENTE]]</f>
        <v>15</v>
      </c>
      <c r="H2335" s="6">
        <f>DAY(Consulta2[[#This Row],[DATA]])</f>
        <v>22</v>
      </c>
      <c r="I2335" s="6">
        <f>MONTH(Consulta2[[#This Row],[DATA]])</f>
        <v>5</v>
      </c>
      <c r="J2335" t="str">
        <f>CONCATENATE(Consulta2[[#This Row],[SAFRA]],Consulta2[[#This Row],[dia]])</f>
        <v>20300522</v>
      </c>
      <c r="K2335">
        <f>Consulta2[[#This Row],[DIA_UTIL_CORRENTE]]</f>
        <v>15</v>
      </c>
    </row>
    <row r="2336" spans="1:11" x14ac:dyDescent="0.25">
      <c r="A2336">
        <v>203005</v>
      </c>
      <c r="B2336">
        <v>16</v>
      </c>
      <c r="C2336" s="148">
        <v>47626</v>
      </c>
      <c r="D2336">
        <v>22</v>
      </c>
      <c r="E2336">
        <v>22</v>
      </c>
      <c r="F2336">
        <v>1604</v>
      </c>
      <c r="G2336">
        <f>Consulta2[[#This Row],[DIA_UTIL_CORRENTE]]</f>
        <v>16</v>
      </c>
      <c r="H2336" s="6">
        <f>DAY(Consulta2[[#This Row],[DATA]])</f>
        <v>23</v>
      </c>
      <c r="I2336" s="6">
        <f>MONTH(Consulta2[[#This Row],[DATA]])</f>
        <v>5</v>
      </c>
      <c r="J2336" t="str">
        <f>CONCATENATE(Consulta2[[#This Row],[SAFRA]],Consulta2[[#This Row],[dia]])</f>
        <v>20300523</v>
      </c>
      <c r="K2336">
        <f>Consulta2[[#This Row],[DIA_UTIL_CORRENTE]]</f>
        <v>16</v>
      </c>
    </row>
    <row r="2337" spans="1:11" x14ac:dyDescent="0.25">
      <c r="A2337">
        <v>203005</v>
      </c>
      <c r="B2337">
        <v>17</v>
      </c>
      <c r="C2337" s="148">
        <v>47627</v>
      </c>
      <c r="D2337">
        <v>22</v>
      </c>
      <c r="E2337">
        <v>22</v>
      </c>
      <c r="F2337">
        <v>1605</v>
      </c>
      <c r="G2337">
        <f>Consulta2[[#This Row],[DIA_UTIL_CORRENTE]]</f>
        <v>17</v>
      </c>
      <c r="H2337" s="6">
        <f>DAY(Consulta2[[#This Row],[DATA]])</f>
        <v>24</v>
      </c>
      <c r="I2337" s="6">
        <f>MONTH(Consulta2[[#This Row],[DATA]])</f>
        <v>5</v>
      </c>
      <c r="J2337" t="str">
        <f>CONCATENATE(Consulta2[[#This Row],[SAFRA]],Consulta2[[#This Row],[dia]])</f>
        <v>20300524</v>
      </c>
      <c r="K2337">
        <f>Consulta2[[#This Row],[DIA_UTIL_CORRENTE]]</f>
        <v>17</v>
      </c>
    </row>
    <row r="2338" spans="1:11" x14ac:dyDescent="0.25">
      <c r="A2338">
        <v>203005</v>
      </c>
      <c r="B2338">
        <v>17</v>
      </c>
      <c r="C2338" s="148">
        <v>47628</v>
      </c>
      <c r="D2338">
        <v>22</v>
      </c>
      <c r="E2338">
        <v>22</v>
      </c>
      <c r="F2338">
        <v>1605</v>
      </c>
      <c r="G2338">
        <f>Consulta2[[#This Row],[DIA_UTIL_CORRENTE]]</f>
        <v>17</v>
      </c>
      <c r="H2338" s="6">
        <f>DAY(Consulta2[[#This Row],[DATA]])</f>
        <v>25</v>
      </c>
      <c r="I2338" s="6">
        <f>MONTH(Consulta2[[#This Row],[DATA]])</f>
        <v>5</v>
      </c>
      <c r="J2338" t="str">
        <f>CONCATENATE(Consulta2[[#This Row],[SAFRA]],Consulta2[[#This Row],[dia]])</f>
        <v>20300525</v>
      </c>
      <c r="K2338">
        <f>Consulta2[[#This Row],[DIA_UTIL_CORRENTE]]</f>
        <v>17</v>
      </c>
    </row>
    <row r="2339" spans="1:11" x14ac:dyDescent="0.25">
      <c r="A2339">
        <v>203005</v>
      </c>
      <c r="B2339">
        <v>17</v>
      </c>
      <c r="C2339" s="148">
        <v>47629</v>
      </c>
      <c r="D2339">
        <v>22</v>
      </c>
      <c r="E2339">
        <v>22</v>
      </c>
      <c r="F2339">
        <v>1605</v>
      </c>
      <c r="G2339">
        <f>Consulta2[[#This Row],[DIA_UTIL_CORRENTE]]</f>
        <v>17</v>
      </c>
      <c r="H2339" s="6">
        <f>DAY(Consulta2[[#This Row],[DATA]])</f>
        <v>26</v>
      </c>
      <c r="I2339" s="6">
        <f>MONTH(Consulta2[[#This Row],[DATA]])</f>
        <v>5</v>
      </c>
      <c r="J2339" t="str">
        <f>CONCATENATE(Consulta2[[#This Row],[SAFRA]],Consulta2[[#This Row],[dia]])</f>
        <v>20300526</v>
      </c>
      <c r="K2339">
        <f>Consulta2[[#This Row],[DIA_UTIL_CORRENTE]]</f>
        <v>17</v>
      </c>
    </row>
    <row r="2340" spans="1:11" x14ac:dyDescent="0.25">
      <c r="A2340">
        <v>203005</v>
      </c>
      <c r="B2340">
        <v>18</v>
      </c>
      <c r="C2340" s="148">
        <v>47630</v>
      </c>
      <c r="D2340">
        <v>22</v>
      </c>
      <c r="E2340">
        <v>22</v>
      </c>
      <c r="F2340">
        <v>1606</v>
      </c>
      <c r="G2340">
        <f>Consulta2[[#This Row],[DIA_UTIL_CORRENTE]]</f>
        <v>18</v>
      </c>
      <c r="H2340" s="6">
        <f>DAY(Consulta2[[#This Row],[DATA]])</f>
        <v>27</v>
      </c>
      <c r="I2340" s="6">
        <f>MONTH(Consulta2[[#This Row],[DATA]])</f>
        <v>5</v>
      </c>
      <c r="J2340" t="str">
        <f>CONCATENATE(Consulta2[[#This Row],[SAFRA]],Consulta2[[#This Row],[dia]])</f>
        <v>20300527</v>
      </c>
      <c r="K2340">
        <f>Consulta2[[#This Row],[DIA_UTIL_CORRENTE]]</f>
        <v>18</v>
      </c>
    </row>
    <row r="2341" spans="1:11" x14ac:dyDescent="0.25">
      <c r="A2341">
        <v>203005</v>
      </c>
      <c r="B2341">
        <v>19</v>
      </c>
      <c r="C2341" s="148">
        <v>47631</v>
      </c>
      <c r="D2341">
        <v>22</v>
      </c>
      <c r="E2341">
        <v>22</v>
      </c>
      <c r="F2341">
        <v>1607</v>
      </c>
      <c r="G2341">
        <f>Consulta2[[#This Row],[DIA_UTIL_CORRENTE]]</f>
        <v>19</v>
      </c>
      <c r="H2341" s="6">
        <f>DAY(Consulta2[[#This Row],[DATA]])</f>
        <v>28</v>
      </c>
      <c r="I2341" s="6">
        <f>MONTH(Consulta2[[#This Row],[DATA]])</f>
        <v>5</v>
      </c>
      <c r="J2341" t="str">
        <f>CONCATENATE(Consulta2[[#This Row],[SAFRA]],Consulta2[[#This Row],[dia]])</f>
        <v>20300528</v>
      </c>
      <c r="K2341">
        <f>Consulta2[[#This Row],[DIA_UTIL_CORRENTE]]</f>
        <v>19</v>
      </c>
    </row>
    <row r="2342" spans="1:11" x14ac:dyDescent="0.25">
      <c r="A2342">
        <v>203005</v>
      </c>
      <c r="B2342">
        <v>20</v>
      </c>
      <c r="C2342" s="148">
        <v>47632</v>
      </c>
      <c r="D2342">
        <v>22</v>
      </c>
      <c r="E2342">
        <v>22</v>
      </c>
      <c r="F2342">
        <v>1608</v>
      </c>
      <c r="G2342">
        <f>Consulta2[[#This Row],[DIA_UTIL_CORRENTE]]</f>
        <v>20</v>
      </c>
      <c r="H2342" s="6">
        <f>DAY(Consulta2[[#This Row],[DATA]])</f>
        <v>29</v>
      </c>
      <c r="I2342" s="6">
        <f>MONTH(Consulta2[[#This Row],[DATA]])</f>
        <v>5</v>
      </c>
      <c r="J2342" t="str">
        <f>CONCATENATE(Consulta2[[#This Row],[SAFRA]],Consulta2[[#This Row],[dia]])</f>
        <v>20300529</v>
      </c>
      <c r="K2342">
        <f>Consulta2[[#This Row],[DIA_UTIL_CORRENTE]]</f>
        <v>20</v>
      </c>
    </row>
    <row r="2343" spans="1:11" x14ac:dyDescent="0.25">
      <c r="A2343">
        <v>203005</v>
      </c>
      <c r="B2343">
        <v>21</v>
      </c>
      <c r="C2343" s="148">
        <v>47633</v>
      </c>
      <c r="D2343">
        <v>22</v>
      </c>
      <c r="E2343">
        <v>22</v>
      </c>
      <c r="F2343">
        <v>1609</v>
      </c>
      <c r="G2343">
        <f>Consulta2[[#This Row],[DIA_UTIL_CORRENTE]]</f>
        <v>21</v>
      </c>
      <c r="H2343" s="6">
        <f>DAY(Consulta2[[#This Row],[DATA]])</f>
        <v>30</v>
      </c>
      <c r="I2343" s="6">
        <f>MONTH(Consulta2[[#This Row],[DATA]])</f>
        <v>5</v>
      </c>
      <c r="J2343" t="str">
        <f>CONCATENATE(Consulta2[[#This Row],[SAFRA]],Consulta2[[#This Row],[dia]])</f>
        <v>20300530</v>
      </c>
      <c r="K2343">
        <f>Consulta2[[#This Row],[DIA_UTIL_CORRENTE]]</f>
        <v>21</v>
      </c>
    </row>
    <row r="2344" spans="1:11" x14ac:dyDescent="0.25">
      <c r="A2344">
        <v>203005</v>
      </c>
      <c r="B2344">
        <v>22</v>
      </c>
      <c r="C2344" s="148">
        <v>47634</v>
      </c>
      <c r="D2344">
        <v>22</v>
      </c>
      <c r="E2344">
        <v>22</v>
      </c>
      <c r="F2344">
        <v>1610</v>
      </c>
      <c r="G2344">
        <f>Consulta2[[#This Row],[DIA_UTIL_CORRENTE]]</f>
        <v>22</v>
      </c>
      <c r="H2344" s="6">
        <f>DAY(Consulta2[[#This Row],[DATA]])</f>
        <v>31</v>
      </c>
      <c r="I2344" s="6">
        <f>MONTH(Consulta2[[#This Row],[DATA]])</f>
        <v>5</v>
      </c>
      <c r="J2344" t="str">
        <f>CONCATENATE(Consulta2[[#This Row],[SAFRA]],Consulta2[[#This Row],[dia]])</f>
        <v>20300531</v>
      </c>
      <c r="K2344">
        <f>Consulta2[[#This Row],[DIA_UTIL_CORRENTE]]</f>
        <v>22</v>
      </c>
    </row>
    <row r="2345" spans="1:11" x14ac:dyDescent="0.25">
      <c r="A2345">
        <v>203006</v>
      </c>
      <c r="B2345">
        <v>0</v>
      </c>
      <c r="C2345" s="148">
        <v>47635</v>
      </c>
      <c r="D2345">
        <v>19</v>
      </c>
      <c r="E2345">
        <v>19</v>
      </c>
      <c r="F2345">
        <v>1610</v>
      </c>
      <c r="G2345">
        <f>Consulta2[[#This Row],[DIA_UTIL_CORRENTE]]</f>
        <v>0</v>
      </c>
      <c r="H2345" s="6">
        <f>DAY(Consulta2[[#This Row],[DATA]])</f>
        <v>1</v>
      </c>
      <c r="I2345" s="6">
        <f>MONTH(Consulta2[[#This Row],[DATA]])</f>
        <v>6</v>
      </c>
      <c r="J2345" t="str">
        <f>CONCATENATE(Consulta2[[#This Row],[SAFRA]],Consulta2[[#This Row],[dia]])</f>
        <v>2030061</v>
      </c>
      <c r="K2345">
        <f>Consulta2[[#This Row],[DIA_UTIL_CORRENTE]]</f>
        <v>0</v>
      </c>
    </row>
    <row r="2346" spans="1:11" x14ac:dyDescent="0.25">
      <c r="A2346">
        <v>203006</v>
      </c>
      <c r="B2346">
        <v>0</v>
      </c>
      <c r="C2346" s="148">
        <v>47636</v>
      </c>
      <c r="D2346">
        <v>19</v>
      </c>
      <c r="E2346">
        <v>19</v>
      </c>
      <c r="F2346">
        <v>1610</v>
      </c>
      <c r="G2346">
        <f>Consulta2[[#This Row],[DIA_UTIL_CORRENTE]]</f>
        <v>0</v>
      </c>
      <c r="H2346" s="6">
        <f>DAY(Consulta2[[#This Row],[DATA]])</f>
        <v>2</v>
      </c>
      <c r="I2346" s="6">
        <f>MONTH(Consulta2[[#This Row],[DATA]])</f>
        <v>6</v>
      </c>
      <c r="J2346" t="str">
        <f>CONCATENATE(Consulta2[[#This Row],[SAFRA]],Consulta2[[#This Row],[dia]])</f>
        <v>2030062</v>
      </c>
      <c r="K2346">
        <f>Consulta2[[#This Row],[DIA_UTIL_CORRENTE]]</f>
        <v>0</v>
      </c>
    </row>
    <row r="2347" spans="1:11" x14ac:dyDescent="0.25">
      <c r="A2347">
        <v>203006</v>
      </c>
      <c r="B2347">
        <v>1</v>
      </c>
      <c r="C2347" s="148">
        <v>47637</v>
      </c>
      <c r="D2347">
        <v>19</v>
      </c>
      <c r="E2347">
        <v>19</v>
      </c>
      <c r="F2347">
        <v>1611</v>
      </c>
      <c r="G2347">
        <f>Consulta2[[#This Row],[DIA_UTIL_CORRENTE]]</f>
        <v>1</v>
      </c>
      <c r="H2347" s="6">
        <f>DAY(Consulta2[[#This Row],[DATA]])</f>
        <v>3</v>
      </c>
      <c r="I2347" s="6">
        <f>MONTH(Consulta2[[#This Row],[DATA]])</f>
        <v>6</v>
      </c>
      <c r="J2347" t="str">
        <f>CONCATENATE(Consulta2[[#This Row],[SAFRA]],Consulta2[[#This Row],[dia]])</f>
        <v>2030063</v>
      </c>
      <c r="K2347">
        <f>Consulta2[[#This Row],[DIA_UTIL_CORRENTE]]</f>
        <v>1</v>
      </c>
    </row>
    <row r="2348" spans="1:11" x14ac:dyDescent="0.25">
      <c r="A2348">
        <v>203006</v>
      </c>
      <c r="B2348">
        <v>2</v>
      </c>
      <c r="C2348" s="148">
        <v>47638</v>
      </c>
      <c r="D2348">
        <v>19</v>
      </c>
      <c r="E2348">
        <v>19</v>
      </c>
      <c r="F2348">
        <v>1612</v>
      </c>
      <c r="G2348">
        <f>Consulta2[[#This Row],[DIA_UTIL_CORRENTE]]</f>
        <v>2</v>
      </c>
      <c r="H2348" s="6">
        <f>DAY(Consulta2[[#This Row],[DATA]])</f>
        <v>4</v>
      </c>
      <c r="I2348" s="6">
        <f>MONTH(Consulta2[[#This Row],[DATA]])</f>
        <v>6</v>
      </c>
      <c r="J2348" t="str">
        <f>CONCATENATE(Consulta2[[#This Row],[SAFRA]],Consulta2[[#This Row],[dia]])</f>
        <v>2030064</v>
      </c>
      <c r="K2348">
        <f>Consulta2[[#This Row],[DIA_UTIL_CORRENTE]]</f>
        <v>2</v>
      </c>
    </row>
    <row r="2349" spans="1:11" x14ac:dyDescent="0.25">
      <c r="A2349">
        <v>203006</v>
      </c>
      <c r="B2349">
        <v>3</v>
      </c>
      <c r="C2349" s="148">
        <v>47639</v>
      </c>
      <c r="D2349">
        <v>19</v>
      </c>
      <c r="E2349">
        <v>19</v>
      </c>
      <c r="F2349">
        <v>1613</v>
      </c>
      <c r="G2349">
        <f>Consulta2[[#This Row],[DIA_UTIL_CORRENTE]]</f>
        <v>3</v>
      </c>
      <c r="H2349" s="6">
        <f>DAY(Consulta2[[#This Row],[DATA]])</f>
        <v>5</v>
      </c>
      <c r="I2349" s="6">
        <f>MONTH(Consulta2[[#This Row],[DATA]])</f>
        <v>6</v>
      </c>
      <c r="J2349" t="str">
        <f>CONCATENATE(Consulta2[[#This Row],[SAFRA]],Consulta2[[#This Row],[dia]])</f>
        <v>2030065</v>
      </c>
      <c r="K2349">
        <f>Consulta2[[#This Row],[DIA_UTIL_CORRENTE]]</f>
        <v>3</v>
      </c>
    </row>
    <row r="2350" spans="1:11" x14ac:dyDescent="0.25">
      <c r="A2350">
        <v>203006</v>
      </c>
      <c r="B2350">
        <v>4</v>
      </c>
      <c r="C2350" s="148">
        <v>47640</v>
      </c>
      <c r="D2350">
        <v>19</v>
      </c>
      <c r="E2350">
        <v>19</v>
      </c>
      <c r="F2350">
        <v>1614</v>
      </c>
      <c r="G2350">
        <f>Consulta2[[#This Row],[DIA_UTIL_CORRENTE]]</f>
        <v>4</v>
      </c>
      <c r="H2350" s="6">
        <f>DAY(Consulta2[[#This Row],[DATA]])</f>
        <v>6</v>
      </c>
      <c r="I2350" s="6">
        <f>MONTH(Consulta2[[#This Row],[DATA]])</f>
        <v>6</v>
      </c>
      <c r="J2350" t="str">
        <f>CONCATENATE(Consulta2[[#This Row],[SAFRA]],Consulta2[[#This Row],[dia]])</f>
        <v>2030066</v>
      </c>
      <c r="K2350">
        <f>Consulta2[[#This Row],[DIA_UTIL_CORRENTE]]</f>
        <v>4</v>
      </c>
    </row>
    <row r="2351" spans="1:11" x14ac:dyDescent="0.25">
      <c r="A2351">
        <v>203006</v>
      </c>
      <c r="B2351">
        <v>5</v>
      </c>
      <c r="C2351" s="148">
        <v>47641</v>
      </c>
      <c r="D2351">
        <v>19</v>
      </c>
      <c r="E2351">
        <v>19</v>
      </c>
      <c r="F2351">
        <v>1615</v>
      </c>
      <c r="G2351">
        <f>Consulta2[[#This Row],[DIA_UTIL_CORRENTE]]</f>
        <v>5</v>
      </c>
      <c r="H2351" s="6">
        <f>DAY(Consulta2[[#This Row],[DATA]])</f>
        <v>7</v>
      </c>
      <c r="I2351" s="6">
        <f>MONTH(Consulta2[[#This Row],[DATA]])</f>
        <v>6</v>
      </c>
      <c r="J2351" t="str">
        <f>CONCATENATE(Consulta2[[#This Row],[SAFRA]],Consulta2[[#This Row],[dia]])</f>
        <v>2030067</v>
      </c>
      <c r="K2351">
        <f>Consulta2[[#This Row],[DIA_UTIL_CORRENTE]]</f>
        <v>5</v>
      </c>
    </row>
    <row r="2352" spans="1:11" x14ac:dyDescent="0.25">
      <c r="A2352">
        <v>203006</v>
      </c>
      <c r="B2352">
        <v>5</v>
      </c>
      <c r="C2352" s="148">
        <v>47642</v>
      </c>
      <c r="D2352">
        <v>19</v>
      </c>
      <c r="E2352">
        <v>19</v>
      </c>
      <c r="F2352">
        <v>1615</v>
      </c>
      <c r="G2352">
        <f>Consulta2[[#This Row],[DIA_UTIL_CORRENTE]]</f>
        <v>5</v>
      </c>
      <c r="H2352" s="6">
        <f>DAY(Consulta2[[#This Row],[DATA]])</f>
        <v>8</v>
      </c>
      <c r="I2352" s="6">
        <f>MONTH(Consulta2[[#This Row],[DATA]])</f>
        <v>6</v>
      </c>
      <c r="J2352" t="str">
        <f>CONCATENATE(Consulta2[[#This Row],[SAFRA]],Consulta2[[#This Row],[dia]])</f>
        <v>2030068</v>
      </c>
      <c r="K2352">
        <f>Consulta2[[#This Row],[DIA_UTIL_CORRENTE]]</f>
        <v>5</v>
      </c>
    </row>
    <row r="2353" spans="1:11" x14ac:dyDescent="0.25">
      <c r="A2353">
        <v>203006</v>
      </c>
      <c r="B2353">
        <v>5</v>
      </c>
      <c r="C2353" s="148">
        <v>47643</v>
      </c>
      <c r="D2353">
        <v>19</v>
      </c>
      <c r="E2353">
        <v>19</v>
      </c>
      <c r="F2353">
        <v>1615</v>
      </c>
      <c r="G2353">
        <f>Consulta2[[#This Row],[DIA_UTIL_CORRENTE]]</f>
        <v>5</v>
      </c>
      <c r="H2353" s="6">
        <f>DAY(Consulta2[[#This Row],[DATA]])</f>
        <v>9</v>
      </c>
      <c r="I2353" s="6">
        <f>MONTH(Consulta2[[#This Row],[DATA]])</f>
        <v>6</v>
      </c>
      <c r="J2353" t="str">
        <f>CONCATENATE(Consulta2[[#This Row],[SAFRA]],Consulta2[[#This Row],[dia]])</f>
        <v>2030069</v>
      </c>
      <c r="K2353">
        <f>Consulta2[[#This Row],[DIA_UTIL_CORRENTE]]</f>
        <v>5</v>
      </c>
    </row>
    <row r="2354" spans="1:11" x14ac:dyDescent="0.25">
      <c r="A2354">
        <v>203006</v>
      </c>
      <c r="B2354">
        <v>6</v>
      </c>
      <c r="C2354" s="148">
        <v>47644</v>
      </c>
      <c r="D2354">
        <v>19</v>
      </c>
      <c r="E2354">
        <v>19</v>
      </c>
      <c r="F2354">
        <v>1616</v>
      </c>
      <c r="G2354">
        <f>Consulta2[[#This Row],[DIA_UTIL_CORRENTE]]</f>
        <v>6</v>
      </c>
      <c r="H2354" s="6">
        <f>DAY(Consulta2[[#This Row],[DATA]])</f>
        <v>10</v>
      </c>
      <c r="I2354" s="6">
        <f>MONTH(Consulta2[[#This Row],[DATA]])</f>
        <v>6</v>
      </c>
      <c r="J2354" t="str">
        <f>CONCATENATE(Consulta2[[#This Row],[SAFRA]],Consulta2[[#This Row],[dia]])</f>
        <v>20300610</v>
      </c>
      <c r="K2354">
        <f>Consulta2[[#This Row],[DIA_UTIL_CORRENTE]]</f>
        <v>6</v>
      </c>
    </row>
    <row r="2355" spans="1:11" x14ac:dyDescent="0.25">
      <c r="A2355">
        <v>203006</v>
      </c>
      <c r="B2355">
        <v>7</v>
      </c>
      <c r="C2355" s="148">
        <v>47645</v>
      </c>
      <c r="D2355">
        <v>19</v>
      </c>
      <c r="E2355">
        <v>19</v>
      </c>
      <c r="F2355">
        <v>1617</v>
      </c>
      <c r="G2355">
        <f>Consulta2[[#This Row],[DIA_UTIL_CORRENTE]]</f>
        <v>7</v>
      </c>
      <c r="H2355" s="6">
        <f>DAY(Consulta2[[#This Row],[DATA]])</f>
        <v>11</v>
      </c>
      <c r="I2355" s="6">
        <f>MONTH(Consulta2[[#This Row],[DATA]])</f>
        <v>6</v>
      </c>
      <c r="J2355" t="str">
        <f>CONCATENATE(Consulta2[[#This Row],[SAFRA]],Consulta2[[#This Row],[dia]])</f>
        <v>20300611</v>
      </c>
      <c r="K2355">
        <f>Consulta2[[#This Row],[DIA_UTIL_CORRENTE]]</f>
        <v>7</v>
      </c>
    </row>
    <row r="2356" spans="1:11" x14ac:dyDescent="0.25">
      <c r="A2356">
        <v>203006</v>
      </c>
      <c r="B2356">
        <v>8</v>
      </c>
      <c r="C2356" s="148">
        <v>47646</v>
      </c>
      <c r="D2356">
        <v>19</v>
      </c>
      <c r="E2356">
        <v>19</v>
      </c>
      <c r="F2356">
        <v>1618</v>
      </c>
      <c r="G2356">
        <f>Consulta2[[#This Row],[DIA_UTIL_CORRENTE]]</f>
        <v>8</v>
      </c>
      <c r="H2356" s="6">
        <f>DAY(Consulta2[[#This Row],[DATA]])</f>
        <v>12</v>
      </c>
      <c r="I2356" s="6">
        <f>MONTH(Consulta2[[#This Row],[DATA]])</f>
        <v>6</v>
      </c>
      <c r="J2356" t="str">
        <f>CONCATENATE(Consulta2[[#This Row],[SAFRA]],Consulta2[[#This Row],[dia]])</f>
        <v>20300612</v>
      </c>
      <c r="K2356">
        <f>Consulta2[[#This Row],[DIA_UTIL_CORRENTE]]</f>
        <v>8</v>
      </c>
    </row>
    <row r="2357" spans="1:11" x14ac:dyDescent="0.25">
      <c r="A2357">
        <v>203006</v>
      </c>
      <c r="B2357">
        <v>9</v>
      </c>
      <c r="C2357" s="148">
        <v>47647</v>
      </c>
      <c r="D2357">
        <v>19</v>
      </c>
      <c r="E2357">
        <v>19</v>
      </c>
      <c r="F2357">
        <v>1619</v>
      </c>
      <c r="G2357">
        <f>Consulta2[[#This Row],[DIA_UTIL_CORRENTE]]</f>
        <v>9</v>
      </c>
      <c r="H2357" s="6">
        <f>DAY(Consulta2[[#This Row],[DATA]])</f>
        <v>13</v>
      </c>
      <c r="I2357" s="6">
        <f>MONTH(Consulta2[[#This Row],[DATA]])</f>
        <v>6</v>
      </c>
      <c r="J2357" t="str">
        <f>CONCATENATE(Consulta2[[#This Row],[SAFRA]],Consulta2[[#This Row],[dia]])</f>
        <v>20300613</v>
      </c>
      <c r="K2357">
        <f>Consulta2[[#This Row],[DIA_UTIL_CORRENTE]]</f>
        <v>9</v>
      </c>
    </row>
    <row r="2358" spans="1:11" x14ac:dyDescent="0.25">
      <c r="A2358">
        <v>203006</v>
      </c>
      <c r="B2358">
        <v>10</v>
      </c>
      <c r="C2358" s="148">
        <v>47648</v>
      </c>
      <c r="D2358">
        <v>19</v>
      </c>
      <c r="E2358">
        <v>19</v>
      </c>
      <c r="F2358">
        <v>1620</v>
      </c>
      <c r="G2358">
        <f>Consulta2[[#This Row],[DIA_UTIL_CORRENTE]]</f>
        <v>10</v>
      </c>
      <c r="H2358" s="6">
        <f>DAY(Consulta2[[#This Row],[DATA]])</f>
        <v>14</v>
      </c>
      <c r="I2358" s="6">
        <f>MONTH(Consulta2[[#This Row],[DATA]])</f>
        <v>6</v>
      </c>
      <c r="J2358" t="str">
        <f>CONCATENATE(Consulta2[[#This Row],[SAFRA]],Consulta2[[#This Row],[dia]])</f>
        <v>20300614</v>
      </c>
      <c r="K2358">
        <f>Consulta2[[#This Row],[DIA_UTIL_CORRENTE]]</f>
        <v>10</v>
      </c>
    </row>
    <row r="2359" spans="1:11" x14ac:dyDescent="0.25">
      <c r="A2359">
        <v>203006</v>
      </c>
      <c r="B2359">
        <v>10</v>
      </c>
      <c r="C2359" s="148">
        <v>47649</v>
      </c>
      <c r="D2359">
        <v>19</v>
      </c>
      <c r="E2359">
        <v>19</v>
      </c>
      <c r="F2359">
        <v>1620</v>
      </c>
      <c r="G2359">
        <f>Consulta2[[#This Row],[DIA_UTIL_CORRENTE]]</f>
        <v>10</v>
      </c>
      <c r="H2359" s="6">
        <f>DAY(Consulta2[[#This Row],[DATA]])</f>
        <v>15</v>
      </c>
      <c r="I2359" s="6">
        <f>MONTH(Consulta2[[#This Row],[DATA]])</f>
        <v>6</v>
      </c>
      <c r="J2359" t="str">
        <f>CONCATENATE(Consulta2[[#This Row],[SAFRA]],Consulta2[[#This Row],[dia]])</f>
        <v>20300615</v>
      </c>
      <c r="K2359">
        <f>Consulta2[[#This Row],[DIA_UTIL_CORRENTE]]</f>
        <v>10</v>
      </c>
    </row>
    <row r="2360" spans="1:11" x14ac:dyDescent="0.25">
      <c r="A2360">
        <v>203006</v>
      </c>
      <c r="B2360">
        <v>10</v>
      </c>
      <c r="C2360" s="148">
        <v>47650</v>
      </c>
      <c r="D2360">
        <v>19</v>
      </c>
      <c r="E2360">
        <v>19</v>
      </c>
      <c r="F2360">
        <v>1620</v>
      </c>
      <c r="G2360">
        <f>Consulta2[[#This Row],[DIA_UTIL_CORRENTE]]</f>
        <v>10</v>
      </c>
      <c r="H2360" s="6">
        <f>DAY(Consulta2[[#This Row],[DATA]])</f>
        <v>16</v>
      </c>
      <c r="I2360" s="6">
        <f>MONTH(Consulta2[[#This Row],[DATA]])</f>
        <v>6</v>
      </c>
      <c r="J2360" t="str">
        <f>CONCATENATE(Consulta2[[#This Row],[SAFRA]],Consulta2[[#This Row],[dia]])</f>
        <v>20300616</v>
      </c>
      <c r="K2360">
        <f>Consulta2[[#This Row],[DIA_UTIL_CORRENTE]]</f>
        <v>10</v>
      </c>
    </row>
    <row r="2361" spans="1:11" x14ac:dyDescent="0.25">
      <c r="A2361">
        <v>203006</v>
      </c>
      <c r="B2361">
        <v>11</v>
      </c>
      <c r="C2361" s="148">
        <v>47651</v>
      </c>
      <c r="D2361">
        <v>19</v>
      </c>
      <c r="E2361">
        <v>19</v>
      </c>
      <c r="F2361">
        <v>1621</v>
      </c>
      <c r="G2361">
        <f>Consulta2[[#This Row],[DIA_UTIL_CORRENTE]]</f>
        <v>11</v>
      </c>
      <c r="H2361" s="6">
        <f>DAY(Consulta2[[#This Row],[DATA]])</f>
        <v>17</v>
      </c>
      <c r="I2361" s="6">
        <f>MONTH(Consulta2[[#This Row],[DATA]])</f>
        <v>6</v>
      </c>
      <c r="J2361" t="str">
        <f>CONCATENATE(Consulta2[[#This Row],[SAFRA]],Consulta2[[#This Row],[dia]])</f>
        <v>20300617</v>
      </c>
      <c r="K2361">
        <f>Consulta2[[#This Row],[DIA_UTIL_CORRENTE]]</f>
        <v>11</v>
      </c>
    </row>
    <row r="2362" spans="1:11" x14ac:dyDescent="0.25">
      <c r="A2362">
        <v>203006</v>
      </c>
      <c r="B2362">
        <v>12</v>
      </c>
      <c r="C2362" s="148">
        <v>47652</v>
      </c>
      <c r="D2362">
        <v>19</v>
      </c>
      <c r="E2362">
        <v>19</v>
      </c>
      <c r="F2362">
        <v>1622</v>
      </c>
      <c r="G2362">
        <f>Consulta2[[#This Row],[DIA_UTIL_CORRENTE]]</f>
        <v>12</v>
      </c>
      <c r="H2362" s="6">
        <f>DAY(Consulta2[[#This Row],[DATA]])</f>
        <v>18</v>
      </c>
      <c r="I2362" s="6">
        <f>MONTH(Consulta2[[#This Row],[DATA]])</f>
        <v>6</v>
      </c>
      <c r="J2362" t="str">
        <f>CONCATENATE(Consulta2[[#This Row],[SAFRA]],Consulta2[[#This Row],[dia]])</f>
        <v>20300618</v>
      </c>
      <c r="K2362">
        <f>Consulta2[[#This Row],[DIA_UTIL_CORRENTE]]</f>
        <v>12</v>
      </c>
    </row>
    <row r="2363" spans="1:11" x14ac:dyDescent="0.25">
      <c r="A2363">
        <v>203006</v>
      </c>
      <c r="B2363">
        <v>13</v>
      </c>
      <c r="C2363" s="148">
        <v>47653</v>
      </c>
      <c r="D2363">
        <v>19</v>
      </c>
      <c r="E2363">
        <v>19</v>
      </c>
      <c r="F2363">
        <v>1623</v>
      </c>
      <c r="G2363">
        <f>Consulta2[[#This Row],[DIA_UTIL_CORRENTE]]</f>
        <v>13</v>
      </c>
      <c r="H2363" s="6">
        <f>DAY(Consulta2[[#This Row],[DATA]])</f>
        <v>19</v>
      </c>
      <c r="I2363" s="6">
        <f>MONTH(Consulta2[[#This Row],[DATA]])</f>
        <v>6</v>
      </c>
      <c r="J2363" t="str">
        <f>CONCATENATE(Consulta2[[#This Row],[SAFRA]],Consulta2[[#This Row],[dia]])</f>
        <v>20300619</v>
      </c>
      <c r="K2363">
        <f>Consulta2[[#This Row],[DIA_UTIL_CORRENTE]]</f>
        <v>13</v>
      </c>
    </row>
    <row r="2364" spans="1:11" x14ac:dyDescent="0.25">
      <c r="A2364">
        <v>203006</v>
      </c>
      <c r="B2364">
        <v>13</v>
      </c>
      <c r="C2364" s="148">
        <v>47654</v>
      </c>
      <c r="D2364">
        <v>19</v>
      </c>
      <c r="E2364">
        <v>19</v>
      </c>
      <c r="F2364">
        <v>1623</v>
      </c>
      <c r="G2364">
        <f>Consulta2[[#This Row],[DIA_UTIL_CORRENTE]]</f>
        <v>13</v>
      </c>
      <c r="H2364" s="6">
        <f>DAY(Consulta2[[#This Row],[DATA]])</f>
        <v>20</v>
      </c>
      <c r="I2364" s="6">
        <f>MONTH(Consulta2[[#This Row],[DATA]])</f>
        <v>6</v>
      </c>
      <c r="J2364" t="str">
        <f>CONCATENATE(Consulta2[[#This Row],[SAFRA]],Consulta2[[#This Row],[dia]])</f>
        <v>20300620</v>
      </c>
      <c r="K2364">
        <f>Consulta2[[#This Row],[DIA_UTIL_CORRENTE]]</f>
        <v>13</v>
      </c>
    </row>
    <row r="2365" spans="1:11" x14ac:dyDescent="0.25">
      <c r="A2365">
        <v>203006</v>
      </c>
      <c r="B2365">
        <v>14</v>
      </c>
      <c r="C2365" s="148">
        <v>47655</v>
      </c>
      <c r="D2365">
        <v>19</v>
      </c>
      <c r="E2365">
        <v>19</v>
      </c>
      <c r="F2365">
        <v>1624</v>
      </c>
      <c r="G2365">
        <f>Consulta2[[#This Row],[DIA_UTIL_CORRENTE]]</f>
        <v>14</v>
      </c>
      <c r="H2365" s="6">
        <f>DAY(Consulta2[[#This Row],[DATA]])</f>
        <v>21</v>
      </c>
      <c r="I2365" s="6">
        <f>MONTH(Consulta2[[#This Row],[DATA]])</f>
        <v>6</v>
      </c>
      <c r="J2365" t="str">
        <f>CONCATENATE(Consulta2[[#This Row],[SAFRA]],Consulta2[[#This Row],[dia]])</f>
        <v>20300621</v>
      </c>
      <c r="K2365">
        <f>Consulta2[[#This Row],[DIA_UTIL_CORRENTE]]</f>
        <v>14</v>
      </c>
    </row>
    <row r="2366" spans="1:11" x14ac:dyDescent="0.25">
      <c r="A2366">
        <v>203006</v>
      </c>
      <c r="B2366">
        <v>14</v>
      </c>
      <c r="C2366" s="148">
        <v>47656</v>
      </c>
      <c r="D2366">
        <v>19</v>
      </c>
      <c r="E2366">
        <v>19</v>
      </c>
      <c r="F2366">
        <v>1624</v>
      </c>
      <c r="G2366">
        <f>Consulta2[[#This Row],[DIA_UTIL_CORRENTE]]</f>
        <v>14</v>
      </c>
      <c r="H2366" s="6">
        <f>DAY(Consulta2[[#This Row],[DATA]])</f>
        <v>22</v>
      </c>
      <c r="I2366" s="6">
        <f>MONTH(Consulta2[[#This Row],[DATA]])</f>
        <v>6</v>
      </c>
      <c r="J2366" t="str">
        <f>CONCATENATE(Consulta2[[#This Row],[SAFRA]],Consulta2[[#This Row],[dia]])</f>
        <v>20300622</v>
      </c>
      <c r="K2366">
        <f>Consulta2[[#This Row],[DIA_UTIL_CORRENTE]]</f>
        <v>14</v>
      </c>
    </row>
    <row r="2367" spans="1:11" x14ac:dyDescent="0.25">
      <c r="A2367">
        <v>203006</v>
      </c>
      <c r="B2367">
        <v>14</v>
      </c>
      <c r="C2367" s="148">
        <v>47657</v>
      </c>
      <c r="D2367">
        <v>19</v>
      </c>
      <c r="E2367">
        <v>19</v>
      </c>
      <c r="F2367">
        <v>1624</v>
      </c>
      <c r="G2367">
        <f>Consulta2[[#This Row],[DIA_UTIL_CORRENTE]]</f>
        <v>14</v>
      </c>
      <c r="H2367" s="6">
        <f>DAY(Consulta2[[#This Row],[DATA]])</f>
        <v>23</v>
      </c>
      <c r="I2367" s="6">
        <f>MONTH(Consulta2[[#This Row],[DATA]])</f>
        <v>6</v>
      </c>
      <c r="J2367" t="str">
        <f>CONCATENATE(Consulta2[[#This Row],[SAFRA]],Consulta2[[#This Row],[dia]])</f>
        <v>20300623</v>
      </c>
      <c r="K2367">
        <f>Consulta2[[#This Row],[DIA_UTIL_CORRENTE]]</f>
        <v>14</v>
      </c>
    </row>
    <row r="2368" spans="1:11" x14ac:dyDescent="0.25">
      <c r="A2368">
        <v>203006</v>
      </c>
      <c r="B2368">
        <v>15</v>
      </c>
      <c r="C2368" s="148">
        <v>47658</v>
      </c>
      <c r="D2368">
        <v>19</v>
      </c>
      <c r="E2368">
        <v>19</v>
      </c>
      <c r="F2368">
        <v>1625</v>
      </c>
      <c r="G2368">
        <f>Consulta2[[#This Row],[DIA_UTIL_CORRENTE]]</f>
        <v>15</v>
      </c>
      <c r="H2368" s="6">
        <f>DAY(Consulta2[[#This Row],[DATA]])</f>
        <v>24</v>
      </c>
      <c r="I2368" s="6">
        <f>MONTH(Consulta2[[#This Row],[DATA]])</f>
        <v>6</v>
      </c>
      <c r="J2368" t="str">
        <f>CONCATENATE(Consulta2[[#This Row],[SAFRA]],Consulta2[[#This Row],[dia]])</f>
        <v>20300624</v>
      </c>
      <c r="K2368">
        <f>Consulta2[[#This Row],[DIA_UTIL_CORRENTE]]</f>
        <v>15</v>
      </c>
    </row>
    <row r="2369" spans="1:11" x14ac:dyDescent="0.25">
      <c r="A2369">
        <v>203006</v>
      </c>
      <c r="B2369">
        <v>16</v>
      </c>
      <c r="C2369" s="148">
        <v>47659</v>
      </c>
      <c r="D2369">
        <v>19</v>
      </c>
      <c r="E2369">
        <v>19</v>
      </c>
      <c r="F2369">
        <v>1626</v>
      </c>
      <c r="G2369">
        <f>Consulta2[[#This Row],[DIA_UTIL_CORRENTE]]</f>
        <v>16</v>
      </c>
      <c r="H2369" s="6">
        <f>DAY(Consulta2[[#This Row],[DATA]])</f>
        <v>25</v>
      </c>
      <c r="I2369" s="6">
        <f>MONTH(Consulta2[[#This Row],[DATA]])</f>
        <v>6</v>
      </c>
      <c r="J2369" t="str">
        <f>CONCATENATE(Consulta2[[#This Row],[SAFRA]],Consulta2[[#This Row],[dia]])</f>
        <v>20300625</v>
      </c>
      <c r="K2369">
        <f>Consulta2[[#This Row],[DIA_UTIL_CORRENTE]]</f>
        <v>16</v>
      </c>
    </row>
    <row r="2370" spans="1:11" x14ac:dyDescent="0.25">
      <c r="A2370">
        <v>203006</v>
      </c>
      <c r="B2370">
        <v>17</v>
      </c>
      <c r="C2370" s="148">
        <v>47660</v>
      </c>
      <c r="D2370">
        <v>19</v>
      </c>
      <c r="E2370">
        <v>19</v>
      </c>
      <c r="F2370">
        <v>1627</v>
      </c>
      <c r="G2370">
        <f>Consulta2[[#This Row],[DIA_UTIL_CORRENTE]]</f>
        <v>17</v>
      </c>
      <c r="H2370" s="6">
        <f>DAY(Consulta2[[#This Row],[DATA]])</f>
        <v>26</v>
      </c>
      <c r="I2370" s="6">
        <f>MONTH(Consulta2[[#This Row],[DATA]])</f>
        <v>6</v>
      </c>
      <c r="J2370" t="str">
        <f>CONCATENATE(Consulta2[[#This Row],[SAFRA]],Consulta2[[#This Row],[dia]])</f>
        <v>20300626</v>
      </c>
      <c r="K2370">
        <f>Consulta2[[#This Row],[DIA_UTIL_CORRENTE]]</f>
        <v>17</v>
      </c>
    </row>
    <row r="2371" spans="1:11" x14ac:dyDescent="0.25">
      <c r="A2371">
        <v>203006</v>
      </c>
      <c r="B2371">
        <v>18</v>
      </c>
      <c r="C2371" s="148">
        <v>47661</v>
      </c>
      <c r="D2371">
        <v>19</v>
      </c>
      <c r="E2371">
        <v>19</v>
      </c>
      <c r="F2371">
        <v>1628</v>
      </c>
      <c r="G2371">
        <f>Consulta2[[#This Row],[DIA_UTIL_CORRENTE]]</f>
        <v>18</v>
      </c>
      <c r="H2371" s="6">
        <f>DAY(Consulta2[[#This Row],[DATA]])</f>
        <v>27</v>
      </c>
      <c r="I2371" s="6">
        <f>MONTH(Consulta2[[#This Row],[DATA]])</f>
        <v>6</v>
      </c>
      <c r="J2371" t="str">
        <f>CONCATENATE(Consulta2[[#This Row],[SAFRA]],Consulta2[[#This Row],[dia]])</f>
        <v>20300627</v>
      </c>
      <c r="K2371">
        <f>Consulta2[[#This Row],[DIA_UTIL_CORRENTE]]</f>
        <v>18</v>
      </c>
    </row>
    <row r="2372" spans="1:11" x14ac:dyDescent="0.25">
      <c r="A2372">
        <v>203006</v>
      </c>
      <c r="B2372">
        <v>19</v>
      </c>
      <c r="C2372" s="148">
        <v>47662</v>
      </c>
      <c r="D2372">
        <v>19</v>
      </c>
      <c r="E2372">
        <v>19</v>
      </c>
      <c r="F2372">
        <v>1629</v>
      </c>
      <c r="G2372">
        <f>Consulta2[[#This Row],[DIA_UTIL_CORRENTE]]</f>
        <v>19</v>
      </c>
      <c r="H2372" s="6">
        <f>DAY(Consulta2[[#This Row],[DATA]])</f>
        <v>28</v>
      </c>
      <c r="I2372" s="6">
        <f>MONTH(Consulta2[[#This Row],[DATA]])</f>
        <v>6</v>
      </c>
      <c r="J2372" t="str">
        <f>CONCATENATE(Consulta2[[#This Row],[SAFRA]],Consulta2[[#This Row],[dia]])</f>
        <v>20300628</v>
      </c>
      <c r="K2372">
        <f>Consulta2[[#This Row],[DIA_UTIL_CORRENTE]]</f>
        <v>19</v>
      </c>
    </row>
    <row r="2373" spans="1:11" x14ac:dyDescent="0.25">
      <c r="A2373">
        <v>203006</v>
      </c>
      <c r="B2373">
        <v>19</v>
      </c>
      <c r="C2373" s="148">
        <v>47663</v>
      </c>
      <c r="D2373">
        <v>19</v>
      </c>
      <c r="E2373">
        <v>19</v>
      </c>
      <c r="F2373">
        <v>1629</v>
      </c>
      <c r="G2373">
        <f>Consulta2[[#This Row],[DIA_UTIL_CORRENTE]]</f>
        <v>19</v>
      </c>
      <c r="H2373" s="6">
        <f>DAY(Consulta2[[#This Row],[DATA]])</f>
        <v>29</v>
      </c>
      <c r="I2373" s="6">
        <f>MONTH(Consulta2[[#This Row],[DATA]])</f>
        <v>6</v>
      </c>
      <c r="J2373" t="str">
        <f>CONCATENATE(Consulta2[[#This Row],[SAFRA]],Consulta2[[#This Row],[dia]])</f>
        <v>20300629</v>
      </c>
      <c r="K2373">
        <f>Consulta2[[#This Row],[DIA_UTIL_CORRENTE]]</f>
        <v>19</v>
      </c>
    </row>
    <row r="2374" spans="1:11" x14ac:dyDescent="0.25">
      <c r="A2374">
        <v>203006</v>
      </c>
      <c r="B2374">
        <v>19</v>
      </c>
      <c r="C2374" s="148">
        <v>47664</v>
      </c>
      <c r="D2374">
        <v>19</v>
      </c>
      <c r="E2374">
        <v>19</v>
      </c>
      <c r="F2374">
        <v>1629</v>
      </c>
      <c r="G2374">
        <f>Consulta2[[#This Row],[DIA_UTIL_CORRENTE]]</f>
        <v>19</v>
      </c>
      <c r="H2374" s="6">
        <f>DAY(Consulta2[[#This Row],[DATA]])</f>
        <v>30</v>
      </c>
      <c r="I2374" s="6">
        <f>MONTH(Consulta2[[#This Row],[DATA]])</f>
        <v>6</v>
      </c>
      <c r="J2374" t="str">
        <f>CONCATENATE(Consulta2[[#This Row],[SAFRA]],Consulta2[[#This Row],[dia]])</f>
        <v>20300630</v>
      </c>
      <c r="K2374">
        <f>Consulta2[[#This Row],[DIA_UTIL_CORRENTE]]</f>
        <v>19</v>
      </c>
    </row>
    <row r="2375" spans="1:11" x14ac:dyDescent="0.25">
      <c r="A2375">
        <v>203007</v>
      </c>
      <c r="B2375">
        <v>1</v>
      </c>
      <c r="C2375" s="148">
        <v>47665</v>
      </c>
      <c r="D2375">
        <v>23</v>
      </c>
      <c r="E2375">
        <v>23</v>
      </c>
      <c r="F2375">
        <v>1630</v>
      </c>
      <c r="G2375">
        <f>Consulta2[[#This Row],[DIA_UTIL_CORRENTE]]</f>
        <v>1</v>
      </c>
      <c r="H2375" s="6">
        <f>DAY(Consulta2[[#This Row],[DATA]])</f>
        <v>1</v>
      </c>
      <c r="I2375" s="6">
        <f>MONTH(Consulta2[[#This Row],[DATA]])</f>
        <v>7</v>
      </c>
      <c r="J2375" t="str">
        <f>CONCATENATE(Consulta2[[#This Row],[SAFRA]],Consulta2[[#This Row],[dia]])</f>
        <v>2030071</v>
      </c>
      <c r="K2375">
        <f>Consulta2[[#This Row],[DIA_UTIL_CORRENTE]]</f>
        <v>1</v>
      </c>
    </row>
    <row r="2376" spans="1:11" x14ac:dyDescent="0.25">
      <c r="A2376">
        <v>203007</v>
      </c>
      <c r="B2376">
        <v>2</v>
      </c>
      <c r="C2376" s="148">
        <v>47666</v>
      </c>
      <c r="D2376">
        <v>23</v>
      </c>
      <c r="E2376">
        <v>23</v>
      </c>
      <c r="F2376">
        <v>1631</v>
      </c>
      <c r="G2376">
        <f>Consulta2[[#This Row],[DIA_UTIL_CORRENTE]]</f>
        <v>2</v>
      </c>
      <c r="H2376" s="6">
        <f>DAY(Consulta2[[#This Row],[DATA]])</f>
        <v>2</v>
      </c>
      <c r="I2376" s="6">
        <f>MONTH(Consulta2[[#This Row],[DATA]])</f>
        <v>7</v>
      </c>
      <c r="J2376" t="str">
        <f>CONCATENATE(Consulta2[[#This Row],[SAFRA]],Consulta2[[#This Row],[dia]])</f>
        <v>2030072</v>
      </c>
      <c r="K2376">
        <f>Consulta2[[#This Row],[DIA_UTIL_CORRENTE]]</f>
        <v>2</v>
      </c>
    </row>
    <row r="2377" spans="1:11" x14ac:dyDescent="0.25">
      <c r="A2377">
        <v>203007</v>
      </c>
      <c r="B2377">
        <v>3</v>
      </c>
      <c r="C2377" s="148">
        <v>47667</v>
      </c>
      <c r="D2377">
        <v>23</v>
      </c>
      <c r="E2377">
        <v>23</v>
      </c>
      <c r="F2377">
        <v>1632</v>
      </c>
      <c r="G2377">
        <f>Consulta2[[#This Row],[DIA_UTIL_CORRENTE]]</f>
        <v>3</v>
      </c>
      <c r="H2377" s="6">
        <f>DAY(Consulta2[[#This Row],[DATA]])</f>
        <v>3</v>
      </c>
      <c r="I2377" s="6">
        <f>MONTH(Consulta2[[#This Row],[DATA]])</f>
        <v>7</v>
      </c>
      <c r="J2377" t="str">
        <f>CONCATENATE(Consulta2[[#This Row],[SAFRA]],Consulta2[[#This Row],[dia]])</f>
        <v>2030073</v>
      </c>
      <c r="K2377">
        <f>Consulta2[[#This Row],[DIA_UTIL_CORRENTE]]</f>
        <v>3</v>
      </c>
    </row>
    <row r="2378" spans="1:11" x14ac:dyDescent="0.25">
      <c r="A2378">
        <v>203007</v>
      </c>
      <c r="B2378">
        <v>4</v>
      </c>
      <c r="C2378" s="148">
        <v>47668</v>
      </c>
      <c r="D2378">
        <v>23</v>
      </c>
      <c r="E2378">
        <v>23</v>
      </c>
      <c r="F2378">
        <v>1633</v>
      </c>
      <c r="G2378">
        <f>Consulta2[[#This Row],[DIA_UTIL_CORRENTE]]</f>
        <v>4</v>
      </c>
      <c r="H2378" s="6">
        <f>DAY(Consulta2[[#This Row],[DATA]])</f>
        <v>4</v>
      </c>
      <c r="I2378" s="6">
        <f>MONTH(Consulta2[[#This Row],[DATA]])</f>
        <v>7</v>
      </c>
      <c r="J2378" t="str">
        <f>CONCATENATE(Consulta2[[#This Row],[SAFRA]],Consulta2[[#This Row],[dia]])</f>
        <v>2030074</v>
      </c>
      <c r="K2378">
        <f>Consulta2[[#This Row],[DIA_UTIL_CORRENTE]]</f>
        <v>4</v>
      </c>
    </row>
    <row r="2379" spans="1:11" x14ac:dyDescent="0.25">
      <c r="A2379">
        <v>203007</v>
      </c>
      <c r="B2379">
        <v>5</v>
      </c>
      <c r="C2379" s="148">
        <v>47669</v>
      </c>
      <c r="D2379">
        <v>23</v>
      </c>
      <c r="E2379">
        <v>23</v>
      </c>
      <c r="F2379">
        <v>1634</v>
      </c>
      <c r="G2379">
        <f>Consulta2[[#This Row],[DIA_UTIL_CORRENTE]]</f>
        <v>5</v>
      </c>
      <c r="H2379" s="6">
        <f>DAY(Consulta2[[#This Row],[DATA]])</f>
        <v>5</v>
      </c>
      <c r="I2379" s="6">
        <f>MONTH(Consulta2[[#This Row],[DATA]])</f>
        <v>7</v>
      </c>
      <c r="J2379" t="str">
        <f>CONCATENATE(Consulta2[[#This Row],[SAFRA]],Consulta2[[#This Row],[dia]])</f>
        <v>2030075</v>
      </c>
      <c r="K2379">
        <f>Consulta2[[#This Row],[DIA_UTIL_CORRENTE]]</f>
        <v>5</v>
      </c>
    </row>
    <row r="2380" spans="1:11" x14ac:dyDescent="0.25">
      <c r="A2380">
        <v>203007</v>
      </c>
      <c r="B2380">
        <v>5</v>
      </c>
      <c r="C2380" s="148">
        <v>47670</v>
      </c>
      <c r="D2380">
        <v>23</v>
      </c>
      <c r="E2380">
        <v>23</v>
      </c>
      <c r="F2380">
        <v>1634</v>
      </c>
      <c r="G2380">
        <f>Consulta2[[#This Row],[DIA_UTIL_CORRENTE]]</f>
        <v>5</v>
      </c>
      <c r="H2380" s="6">
        <f>DAY(Consulta2[[#This Row],[DATA]])</f>
        <v>6</v>
      </c>
      <c r="I2380" s="6">
        <f>MONTH(Consulta2[[#This Row],[DATA]])</f>
        <v>7</v>
      </c>
      <c r="J2380" t="str">
        <f>CONCATENATE(Consulta2[[#This Row],[SAFRA]],Consulta2[[#This Row],[dia]])</f>
        <v>2030076</v>
      </c>
      <c r="K2380">
        <f>Consulta2[[#This Row],[DIA_UTIL_CORRENTE]]</f>
        <v>5</v>
      </c>
    </row>
    <row r="2381" spans="1:11" x14ac:dyDescent="0.25">
      <c r="A2381">
        <v>203007</v>
      </c>
      <c r="B2381">
        <v>5</v>
      </c>
      <c r="C2381" s="148">
        <v>47671</v>
      </c>
      <c r="D2381">
        <v>23</v>
      </c>
      <c r="E2381">
        <v>23</v>
      </c>
      <c r="F2381">
        <v>1634</v>
      </c>
      <c r="G2381">
        <f>Consulta2[[#This Row],[DIA_UTIL_CORRENTE]]</f>
        <v>5</v>
      </c>
      <c r="H2381" s="6">
        <f>DAY(Consulta2[[#This Row],[DATA]])</f>
        <v>7</v>
      </c>
      <c r="I2381" s="6">
        <f>MONTH(Consulta2[[#This Row],[DATA]])</f>
        <v>7</v>
      </c>
      <c r="J2381" t="str">
        <f>CONCATENATE(Consulta2[[#This Row],[SAFRA]],Consulta2[[#This Row],[dia]])</f>
        <v>2030077</v>
      </c>
      <c r="K2381">
        <f>Consulta2[[#This Row],[DIA_UTIL_CORRENTE]]</f>
        <v>5</v>
      </c>
    </row>
    <row r="2382" spans="1:11" x14ac:dyDescent="0.25">
      <c r="A2382">
        <v>203007</v>
      </c>
      <c r="B2382">
        <v>6</v>
      </c>
      <c r="C2382" s="148">
        <v>47672</v>
      </c>
      <c r="D2382">
        <v>23</v>
      </c>
      <c r="E2382">
        <v>23</v>
      </c>
      <c r="F2382">
        <v>1635</v>
      </c>
      <c r="G2382">
        <f>Consulta2[[#This Row],[DIA_UTIL_CORRENTE]]</f>
        <v>6</v>
      </c>
      <c r="H2382" s="6">
        <f>DAY(Consulta2[[#This Row],[DATA]])</f>
        <v>8</v>
      </c>
      <c r="I2382" s="6">
        <f>MONTH(Consulta2[[#This Row],[DATA]])</f>
        <v>7</v>
      </c>
      <c r="J2382" t="str">
        <f>CONCATENATE(Consulta2[[#This Row],[SAFRA]],Consulta2[[#This Row],[dia]])</f>
        <v>2030078</v>
      </c>
      <c r="K2382">
        <f>Consulta2[[#This Row],[DIA_UTIL_CORRENTE]]</f>
        <v>6</v>
      </c>
    </row>
    <row r="2383" spans="1:11" x14ac:dyDescent="0.25">
      <c r="A2383">
        <v>203007</v>
      </c>
      <c r="B2383">
        <v>7</v>
      </c>
      <c r="C2383" s="148">
        <v>47673</v>
      </c>
      <c r="D2383">
        <v>23</v>
      </c>
      <c r="E2383">
        <v>23</v>
      </c>
      <c r="F2383">
        <v>1636</v>
      </c>
      <c r="G2383">
        <f>Consulta2[[#This Row],[DIA_UTIL_CORRENTE]]</f>
        <v>7</v>
      </c>
      <c r="H2383" s="6">
        <f>DAY(Consulta2[[#This Row],[DATA]])</f>
        <v>9</v>
      </c>
      <c r="I2383" s="6">
        <f>MONTH(Consulta2[[#This Row],[DATA]])</f>
        <v>7</v>
      </c>
      <c r="J2383" t="str">
        <f>CONCATENATE(Consulta2[[#This Row],[SAFRA]],Consulta2[[#This Row],[dia]])</f>
        <v>2030079</v>
      </c>
      <c r="K2383">
        <f>Consulta2[[#This Row],[DIA_UTIL_CORRENTE]]</f>
        <v>7</v>
      </c>
    </row>
    <row r="2384" spans="1:11" x14ac:dyDescent="0.25">
      <c r="A2384">
        <v>203007</v>
      </c>
      <c r="B2384">
        <v>8</v>
      </c>
      <c r="C2384" s="148">
        <v>47674</v>
      </c>
      <c r="D2384">
        <v>23</v>
      </c>
      <c r="E2384">
        <v>23</v>
      </c>
      <c r="F2384">
        <v>1637</v>
      </c>
      <c r="G2384">
        <f>Consulta2[[#This Row],[DIA_UTIL_CORRENTE]]</f>
        <v>8</v>
      </c>
      <c r="H2384" s="6">
        <f>DAY(Consulta2[[#This Row],[DATA]])</f>
        <v>10</v>
      </c>
      <c r="I2384" s="6">
        <f>MONTH(Consulta2[[#This Row],[DATA]])</f>
        <v>7</v>
      </c>
      <c r="J2384" t="str">
        <f>CONCATENATE(Consulta2[[#This Row],[SAFRA]],Consulta2[[#This Row],[dia]])</f>
        <v>20300710</v>
      </c>
      <c r="K2384">
        <f>Consulta2[[#This Row],[DIA_UTIL_CORRENTE]]</f>
        <v>8</v>
      </c>
    </row>
    <row r="2385" spans="1:11" x14ac:dyDescent="0.25">
      <c r="A2385">
        <v>203007</v>
      </c>
      <c r="B2385">
        <v>9</v>
      </c>
      <c r="C2385" s="148">
        <v>47675</v>
      </c>
      <c r="D2385">
        <v>23</v>
      </c>
      <c r="E2385">
        <v>23</v>
      </c>
      <c r="F2385">
        <v>1638</v>
      </c>
      <c r="G2385">
        <f>Consulta2[[#This Row],[DIA_UTIL_CORRENTE]]</f>
        <v>9</v>
      </c>
      <c r="H2385" s="6">
        <f>DAY(Consulta2[[#This Row],[DATA]])</f>
        <v>11</v>
      </c>
      <c r="I2385" s="6">
        <f>MONTH(Consulta2[[#This Row],[DATA]])</f>
        <v>7</v>
      </c>
      <c r="J2385" t="str">
        <f>CONCATENATE(Consulta2[[#This Row],[SAFRA]],Consulta2[[#This Row],[dia]])</f>
        <v>20300711</v>
      </c>
      <c r="K2385">
        <f>Consulta2[[#This Row],[DIA_UTIL_CORRENTE]]</f>
        <v>9</v>
      </c>
    </row>
    <row r="2386" spans="1:11" x14ac:dyDescent="0.25">
      <c r="A2386">
        <v>203007</v>
      </c>
      <c r="B2386">
        <v>10</v>
      </c>
      <c r="C2386" s="148">
        <v>47676</v>
      </c>
      <c r="D2386">
        <v>23</v>
      </c>
      <c r="E2386">
        <v>23</v>
      </c>
      <c r="F2386">
        <v>1639</v>
      </c>
      <c r="G2386">
        <f>Consulta2[[#This Row],[DIA_UTIL_CORRENTE]]</f>
        <v>10</v>
      </c>
      <c r="H2386" s="6">
        <f>DAY(Consulta2[[#This Row],[DATA]])</f>
        <v>12</v>
      </c>
      <c r="I2386" s="6">
        <f>MONTH(Consulta2[[#This Row],[DATA]])</f>
        <v>7</v>
      </c>
      <c r="J2386" t="str">
        <f>CONCATENATE(Consulta2[[#This Row],[SAFRA]],Consulta2[[#This Row],[dia]])</f>
        <v>20300712</v>
      </c>
      <c r="K2386">
        <f>Consulta2[[#This Row],[DIA_UTIL_CORRENTE]]</f>
        <v>10</v>
      </c>
    </row>
    <row r="2387" spans="1:11" x14ac:dyDescent="0.25">
      <c r="A2387">
        <v>203007</v>
      </c>
      <c r="B2387">
        <v>10</v>
      </c>
      <c r="C2387" s="148">
        <v>47677</v>
      </c>
      <c r="D2387">
        <v>23</v>
      </c>
      <c r="E2387">
        <v>23</v>
      </c>
      <c r="F2387">
        <v>1639</v>
      </c>
      <c r="G2387">
        <f>Consulta2[[#This Row],[DIA_UTIL_CORRENTE]]</f>
        <v>10</v>
      </c>
      <c r="H2387" s="6">
        <f>DAY(Consulta2[[#This Row],[DATA]])</f>
        <v>13</v>
      </c>
      <c r="I2387" s="6">
        <f>MONTH(Consulta2[[#This Row],[DATA]])</f>
        <v>7</v>
      </c>
      <c r="J2387" t="str">
        <f>CONCATENATE(Consulta2[[#This Row],[SAFRA]],Consulta2[[#This Row],[dia]])</f>
        <v>20300713</v>
      </c>
      <c r="K2387">
        <f>Consulta2[[#This Row],[DIA_UTIL_CORRENTE]]</f>
        <v>10</v>
      </c>
    </row>
    <row r="2388" spans="1:11" x14ac:dyDescent="0.25">
      <c r="A2388">
        <v>203007</v>
      </c>
      <c r="B2388">
        <v>10</v>
      </c>
      <c r="C2388" s="148">
        <v>47678</v>
      </c>
      <c r="D2388">
        <v>23</v>
      </c>
      <c r="E2388">
        <v>23</v>
      </c>
      <c r="F2388">
        <v>1639</v>
      </c>
      <c r="G2388">
        <f>Consulta2[[#This Row],[DIA_UTIL_CORRENTE]]</f>
        <v>10</v>
      </c>
      <c r="H2388" s="6">
        <f>DAY(Consulta2[[#This Row],[DATA]])</f>
        <v>14</v>
      </c>
      <c r="I2388" s="6">
        <f>MONTH(Consulta2[[#This Row],[DATA]])</f>
        <v>7</v>
      </c>
      <c r="J2388" t="str">
        <f>CONCATENATE(Consulta2[[#This Row],[SAFRA]],Consulta2[[#This Row],[dia]])</f>
        <v>20300714</v>
      </c>
      <c r="K2388">
        <f>Consulta2[[#This Row],[DIA_UTIL_CORRENTE]]</f>
        <v>10</v>
      </c>
    </row>
    <row r="2389" spans="1:11" x14ac:dyDescent="0.25">
      <c r="A2389">
        <v>203007</v>
      </c>
      <c r="B2389">
        <v>11</v>
      </c>
      <c r="C2389" s="148">
        <v>47679</v>
      </c>
      <c r="D2389">
        <v>23</v>
      </c>
      <c r="E2389">
        <v>23</v>
      </c>
      <c r="F2389">
        <v>1640</v>
      </c>
      <c r="G2389">
        <f>Consulta2[[#This Row],[DIA_UTIL_CORRENTE]]</f>
        <v>11</v>
      </c>
      <c r="H2389" s="6">
        <f>DAY(Consulta2[[#This Row],[DATA]])</f>
        <v>15</v>
      </c>
      <c r="I2389" s="6">
        <f>MONTH(Consulta2[[#This Row],[DATA]])</f>
        <v>7</v>
      </c>
      <c r="J2389" t="str">
        <f>CONCATENATE(Consulta2[[#This Row],[SAFRA]],Consulta2[[#This Row],[dia]])</f>
        <v>20300715</v>
      </c>
      <c r="K2389">
        <f>Consulta2[[#This Row],[DIA_UTIL_CORRENTE]]</f>
        <v>11</v>
      </c>
    </row>
    <row r="2390" spans="1:11" x14ac:dyDescent="0.25">
      <c r="A2390">
        <v>203007</v>
      </c>
      <c r="B2390">
        <v>12</v>
      </c>
      <c r="C2390" s="148">
        <v>47680</v>
      </c>
      <c r="D2390">
        <v>23</v>
      </c>
      <c r="E2390">
        <v>23</v>
      </c>
      <c r="F2390">
        <v>1641</v>
      </c>
      <c r="G2390">
        <f>Consulta2[[#This Row],[DIA_UTIL_CORRENTE]]</f>
        <v>12</v>
      </c>
      <c r="H2390" s="6">
        <f>DAY(Consulta2[[#This Row],[DATA]])</f>
        <v>16</v>
      </c>
      <c r="I2390" s="6">
        <f>MONTH(Consulta2[[#This Row],[DATA]])</f>
        <v>7</v>
      </c>
      <c r="J2390" t="str">
        <f>CONCATENATE(Consulta2[[#This Row],[SAFRA]],Consulta2[[#This Row],[dia]])</f>
        <v>20300716</v>
      </c>
      <c r="K2390">
        <f>Consulta2[[#This Row],[DIA_UTIL_CORRENTE]]</f>
        <v>12</v>
      </c>
    </row>
    <row r="2391" spans="1:11" x14ac:dyDescent="0.25">
      <c r="A2391">
        <v>203007</v>
      </c>
      <c r="B2391">
        <v>13</v>
      </c>
      <c r="C2391" s="148">
        <v>47681</v>
      </c>
      <c r="D2391">
        <v>23</v>
      </c>
      <c r="E2391">
        <v>23</v>
      </c>
      <c r="F2391">
        <v>1642</v>
      </c>
      <c r="G2391">
        <f>Consulta2[[#This Row],[DIA_UTIL_CORRENTE]]</f>
        <v>13</v>
      </c>
      <c r="H2391" s="6">
        <f>DAY(Consulta2[[#This Row],[DATA]])</f>
        <v>17</v>
      </c>
      <c r="I2391" s="6">
        <f>MONTH(Consulta2[[#This Row],[DATA]])</f>
        <v>7</v>
      </c>
      <c r="J2391" t="str">
        <f>CONCATENATE(Consulta2[[#This Row],[SAFRA]],Consulta2[[#This Row],[dia]])</f>
        <v>20300717</v>
      </c>
      <c r="K2391">
        <f>Consulta2[[#This Row],[DIA_UTIL_CORRENTE]]</f>
        <v>13</v>
      </c>
    </row>
    <row r="2392" spans="1:11" x14ac:dyDescent="0.25">
      <c r="A2392">
        <v>203007</v>
      </c>
      <c r="B2392">
        <v>14</v>
      </c>
      <c r="C2392" s="148">
        <v>47682</v>
      </c>
      <c r="D2392">
        <v>23</v>
      </c>
      <c r="E2392">
        <v>23</v>
      </c>
      <c r="F2392">
        <v>1643</v>
      </c>
      <c r="G2392">
        <f>Consulta2[[#This Row],[DIA_UTIL_CORRENTE]]</f>
        <v>14</v>
      </c>
      <c r="H2392" s="6">
        <f>DAY(Consulta2[[#This Row],[DATA]])</f>
        <v>18</v>
      </c>
      <c r="I2392" s="6">
        <f>MONTH(Consulta2[[#This Row],[DATA]])</f>
        <v>7</v>
      </c>
      <c r="J2392" t="str">
        <f>CONCATENATE(Consulta2[[#This Row],[SAFRA]],Consulta2[[#This Row],[dia]])</f>
        <v>20300718</v>
      </c>
      <c r="K2392">
        <f>Consulta2[[#This Row],[DIA_UTIL_CORRENTE]]</f>
        <v>14</v>
      </c>
    </row>
    <row r="2393" spans="1:11" x14ac:dyDescent="0.25">
      <c r="A2393">
        <v>203007</v>
      </c>
      <c r="B2393">
        <v>15</v>
      </c>
      <c r="C2393" s="148">
        <v>47683</v>
      </c>
      <c r="D2393">
        <v>23</v>
      </c>
      <c r="E2393">
        <v>23</v>
      </c>
      <c r="F2393">
        <v>1644</v>
      </c>
      <c r="G2393">
        <f>Consulta2[[#This Row],[DIA_UTIL_CORRENTE]]</f>
        <v>15</v>
      </c>
      <c r="H2393" s="6">
        <f>DAY(Consulta2[[#This Row],[DATA]])</f>
        <v>19</v>
      </c>
      <c r="I2393" s="6">
        <f>MONTH(Consulta2[[#This Row],[DATA]])</f>
        <v>7</v>
      </c>
      <c r="J2393" t="str">
        <f>CONCATENATE(Consulta2[[#This Row],[SAFRA]],Consulta2[[#This Row],[dia]])</f>
        <v>20300719</v>
      </c>
      <c r="K2393">
        <f>Consulta2[[#This Row],[DIA_UTIL_CORRENTE]]</f>
        <v>15</v>
      </c>
    </row>
    <row r="2394" spans="1:11" x14ac:dyDescent="0.25">
      <c r="A2394">
        <v>203007</v>
      </c>
      <c r="B2394">
        <v>15</v>
      </c>
      <c r="C2394" s="148">
        <v>47684</v>
      </c>
      <c r="D2394">
        <v>23</v>
      </c>
      <c r="E2394">
        <v>23</v>
      </c>
      <c r="F2394">
        <v>1644</v>
      </c>
      <c r="G2394">
        <f>Consulta2[[#This Row],[DIA_UTIL_CORRENTE]]</f>
        <v>15</v>
      </c>
      <c r="H2394" s="6">
        <f>DAY(Consulta2[[#This Row],[DATA]])</f>
        <v>20</v>
      </c>
      <c r="I2394" s="6">
        <f>MONTH(Consulta2[[#This Row],[DATA]])</f>
        <v>7</v>
      </c>
      <c r="J2394" t="str">
        <f>CONCATENATE(Consulta2[[#This Row],[SAFRA]],Consulta2[[#This Row],[dia]])</f>
        <v>20300720</v>
      </c>
      <c r="K2394">
        <f>Consulta2[[#This Row],[DIA_UTIL_CORRENTE]]</f>
        <v>15</v>
      </c>
    </row>
    <row r="2395" spans="1:11" x14ac:dyDescent="0.25">
      <c r="A2395">
        <v>203007</v>
      </c>
      <c r="B2395">
        <v>15</v>
      </c>
      <c r="C2395" s="148">
        <v>47685</v>
      </c>
      <c r="D2395">
        <v>23</v>
      </c>
      <c r="E2395">
        <v>23</v>
      </c>
      <c r="F2395">
        <v>1644</v>
      </c>
      <c r="G2395">
        <f>Consulta2[[#This Row],[DIA_UTIL_CORRENTE]]</f>
        <v>15</v>
      </c>
      <c r="H2395" s="6">
        <f>DAY(Consulta2[[#This Row],[DATA]])</f>
        <v>21</v>
      </c>
      <c r="I2395" s="6">
        <f>MONTH(Consulta2[[#This Row],[DATA]])</f>
        <v>7</v>
      </c>
      <c r="J2395" t="str">
        <f>CONCATENATE(Consulta2[[#This Row],[SAFRA]],Consulta2[[#This Row],[dia]])</f>
        <v>20300721</v>
      </c>
      <c r="K2395">
        <f>Consulta2[[#This Row],[DIA_UTIL_CORRENTE]]</f>
        <v>15</v>
      </c>
    </row>
    <row r="2396" spans="1:11" x14ac:dyDescent="0.25">
      <c r="A2396">
        <v>203007</v>
      </c>
      <c r="B2396">
        <v>16</v>
      </c>
      <c r="C2396" s="148">
        <v>47686</v>
      </c>
      <c r="D2396">
        <v>23</v>
      </c>
      <c r="E2396">
        <v>23</v>
      </c>
      <c r="F2396">
        <v>1645</v>
      </c>
      <c r="G2396">
        <f>Consulta2[[#This Row],[DIA_UTIL_CORRENTE]]</f>
        <v>16</v>
      </c>
      <c r="H2396" s="6">
        <f>DAY(Consulta2[[#This Row],[DATA]])</f>
        <v>22</v>
      </c>
      <c r="I2396" s="6">
        <f>MONTH(Consulta2[[#This Row],[DATA]])</f>
        <v>7</v>
      </c>
      <c r="J2396" t="str">
        <f>CONCATENATE(Consulta2[[#This Row],[SAFRA]],Consulta2[[#This Row],[dia]])</f>
        <v>20300722</v>
      </c>
      <c r="K2396">
        <f>Consulta2[[#This Row],[DIA_UTIL_CORRENTE]]</f>
        <v>16</v>
      </c>
    </row>
    <row r="2397" spans="1:11" x14ac:dyDescent="0.25">
      <c r="A2397">
        <v>203007</v>
      </c>
      <c r="B2397">
        <v>17</v>
      </c>
      <c r="C2397" s="148">
        <v>47687</v>
      </c>
      <c r="D2397">
        <v>23</v>
      </c>
      <c r="E2397">
        <v>23</v>
      </c>
      <c r="F2397">
        <v>1646</v>
      </c>
      <c r="G2397">
        <f>Consulta2[[#This Row],[DIA_UTIL_CORRENTE]]</f>
        <v>17</v>
      </c>
      <c r="H2397" s="6">
        <f>DAY(Consulta2[[#This Row],[DATA]])</f>
        <v>23</v>
      </c>
      <c r="I2397" s="6">
        <f>MONTH(Consulta2[[#This Row],[DATA]])</f>
        <v>7</v>
      </c>
      <c r="J2397" t="str">
        <f>CONCATENATE(Consulta2[[#This Row],[SAFRA]],Consulta2[[#This Row],[dia]])</f>
        <v>20300723</v>
      </c>
      <c r="K2397">
        <f>Consulta2[[#This Row],[DIA_UTIL_CORRENTE]]</f>
        <v>17</v>
      </c>
    </row>
    <row r="2398" spans="1:11" x14ac:dyDescent="0.25">
      <c r="A2398">
        <v>203007</v>
      </c>
      <c r="B2398">
        <v>18</v>
      </c>
      <c r="C2398" s="148">
        <v>47688</v>
      </c>
      <c r="D2398">
        <v>23</v>
      </c>
      <c r="E2398">
        <v>23</v>
      </c>
      <c r="F2398">
        <v>1647</v>
      </c>
      <c r="G2398">
        <f>Consulta2[[#This Row],[DIA_UTIL_CORRENTE]]</f>
        <v>18</v>
      </c>
      <c r="H2398" s="6">
        <f>DAY(Consulta2[[#This Row],[DATA]])</f>
        <v>24</v>
      </c>
      <c r="I2398" s="6">
        <f>MONTH(Consulta2[[#This Row],[DATA]])</f>
        <v>7</v>
      </c>
      <c r="J2398" t="str">
        <f>CONCATENATE(Consulta2[[#This Row],[SAFRA]],Consulta2[[#This Row],[dia]])</f>
        <v>20300724</v>
      </c>
      <c r="K2398">
        <f>Consulta2[[#This Row],[DIA_UTIL_CORRENTE]]</f>
        <v>18</v>
      </c>
    </row>
    <row r="2399" spans="1:11" x14ac:dyDescent="0.25">
      <c r="A2399">
        <v>203007</v>
      </c>
      <c r="B2399">
        <v>19</v>
      </c>
      <c r="C2399" s="148">
        <v>47689</v>
      </c>
      <c r="D2399">
        <v>23</v>
      </c>
      <c r="E2399">
        <v>23</v>
      </c>
      <c r="F2399">
        <v>1648</v>
      </c>
      <c r="G2399">
        <f>Consulta2[[#This Row],[DIA_UTIL_CORRENTE]]</f>
        <v>19</v>
      </c>
      <c r="H2399" s="6">
        <f>DAY(Consulta2[[#This Row],[DATA]])</f>
        <v>25</v>
      </c>
      <c r="I2399" s="6">
        <f>MONTH(Consulta2[[#This Row],[DATA]])</f>
        <v>7</v>
      </c>
      <c r="J2399" t="str">
        <f>CONCATENATE(Consulta2[[#This Row],[SAFRA]],Consulta2[[#This Row],[dia]])</f>
        <v>20300725</v>
      </c>
      <c r="K2399">
        <f>Consulta2[[#This Row],[DIA_UTIL_CORRENTE]]</f>
        <v>19</v>
      </c>
    </row>
    <row r="2400" spans="1:11" x14ac:dyDescent="0.25">
      <c r="A2400">
        <v>203007</v>
      </c>
      <c r="B2400">
        <v>20</v>
      </c>
      <c r="C2400" s="148">
        <v>47690</v>
      </c>
      <c r="D2400">
        <v>23</v>
      </c>
      <c r="E2400">
        <v>23</v>
      </c>
      <c r="F2400">
        <v>1649</v>
      </c>
      <c r="G2400">
        <f>Consulta2[[#This Row],[DIA_UTIL_CORRENTE]]</f>
        <v>20</v>
      </c>
      <c r="H2400" s="6">
        <f>DAY(Consulta2[[#This Row],[DATA]])</f>
        <v>26</v>
      </c>
      <c r="I2400" s="6">
        <f>MONTH(Consulta2[[#This Row],[DATA]])</f>
        <v>7</v>
      </c>
      <c r="J2400" t="str">
        <f>CONCATENATE(Consulta2[[#This Row],[SAFRA]],Consulta2[[#This Row],[dia]])</f>
        <v>20300726</v>
      </c>
      <c r="K2400">
        <f>Consulta2[[#This Row],[DIA_UTIL_CORRENTE]]</f>
        <v>20</v>
      </c>
    </row>
    <row r="2401" spans="1:11" x14ac:dyDescent="0.25">
      <c r="A2401">
        <v>203007</v>
      </c>
      <c r="B2401">
        <v>20</v>
      </c>
      <c r="C2401" s="148">
        <v>47691</v>
      </c>
      <c r="D2401">
        <v>23</v>
      </c>
      <c r="E2401">
        <v>23</v>
      </c>
      <c r="F2401">
        <v>1649</v>
      </c>
      <c r="G2401">
        <f>Consulta2[[#This Row],[DIA_UTIL_CORRENTE]]</f>
        <v>20</v>
      </c>
      <c r="H2401" s="6">
        <f>DAY(Consulta2[[#This Row],[DATA]])</f>
        <v>27</v>
      </c>
      <c r="I2401" s="6">
        <f>MONTH(Consulta2[[#This Row],[DATA]])</f>
        <v>7</v>
      </c>
      <c r="J2401" t="str">
        <f>CONCATENATE(Consulta2[[#This Row],[SAFRA]],Consulta2[[#This Row],[dia]])</f>
        <v>20300727</v>
      </c>
      <c r="K2401">
        <f>Consulta2[[#This Row],[DIA_UTIL_CORRENTE]]</f>
        <v>20</v>
      </c>
    </row>
    <row r="2402" spans="1:11" x14ac:dyDescent="0.25">
      <c r="A2402">
        <v>203007</v>
      </c>
      <c r="B2402">
        <v>20</v>
      </c>
      <c r="C2402" s="148">
        <v>47692</v>
      </c>
      <c r="D2402">
        <v>23</v>
      </c>
      <c r="E2402">
        <v>23</v>
      </c>
      <c r="F2402">
        <v>1649</v>
      </c>
      <c r="G2402">
        <f>Consulta2[[#This Row],[DIA_UTIL_CORRENTE]]</f>
        <v>20</v>
      </c>
      <c r="H2402" s="6">
        <f>DAY(Consulta2[[#This Row],[DATA]])</f>
        <v>28</v>
      </c>
      <c r="I2402" s="6">
        <f>MONTH(Consulta2[[#This Row],[DATA]])</f>
        <v>7</v>
      </c>
      <c r="J2402" t="str">
        <f>CONCATENATE(Consulta2[[#This Row],[SAFRA]],Consulta2[[#This Row],[dia]])</f>
        <v>20300728</v>
      </c>
      <c r="K2402">
        <f>Consulta2[[#This Row],[DIA_UTIL_CORRENTE]]</f>
        <v>20</v>
      </c>
    </row>
    <row r="2403" spans="1:11" x14ac:dyDescent="0.25">
      <c r="A2403">
        <v>203007</v>
      </c>
      <c r="B2403">
        <v>21</v>
      </c>
      <c r="C2403" s="148">
        <v>47693</v>
      </c>
      <c r="D2403">
        <v>23</v>
      </c>
      <c r="E2403">
        <v>23</v>
      </c>
      <c r="F2403">
        <v>1650</v>
      </c>
      <c r="G2403">
        <f>Consulta2[[#This Row],[DIA_UTIL_CORRENTE]]</f>
        <v>21</v>
      </c>
      <c r="H2403" s="6">
        <f>DAY(Consulta2[[#This Row],[DATA]])</f>
        <v>29</v>
      </c>
      <c r="I2403" s="6">
        <f>MONTH(Consulta2[[#This Row],[DATA]])</f>
        <v>7</v>
      </c>
      <c r="J2403" t="str">
        <f>CONCATENATE(Consulta2[[#This Row],[SAFRA]],Consulta2[[#This Row],[dia]])</f>
        <v>20300729</v>
      </c>
      <c r="K2403">
        <f>Consulta2[[#This Row],[DIA_UTIL_CORRENTE]]</f>
        <v>21</v>
      </c>
    </row>
    <row r="2404" spans="1:11" x14ac:dyDescent="0.25">
      <c r="A2404">
        <v>203007</v>
      </c>
      <c r="B2404">
        <v>22</v>
      </c>
      <c r="C2404" s="148">
        <v>47694</v>
      </c>
      <c r="D2404">
        <v>23</v>
      </c>
      <c r="E2404">
        <v>23</v>
      </c>
      <c r="F2404">
        <v>1651</v>
      </c>
      <c r="G2404">
        <f>Consulta2[[#This Row],[DIA_UTIL_CORRENTE]]</f>
        <v>22</v>
      </c>
      <c r="H2404" s="6">
        <f>DAY(Consulta2[[#This Row],[DATA]])</f>
        <v>30</v>
      </c>
      <c r="I2404" s="6">
        <f>MONTH(Consulta2[[#This Row],[DATA]])</f>
        <v>7</v>
      </c>
      <c r="J2404" t="str">
        <f>CONCATENATE(Consulta2[[#This Row],[SAFRA]],Consulta2[[#This Row],[dia]])</f>
        <v>20300730</v>
      </c>
      <c r="K2404">
        <f>Consulta2[[#This Row],[DIA_UTIL_CORRENTE]]</f>
        <v>22</v>
      </c>
    </row>
    <row r="2405" spans="1:11" x14ac:dyDescent="0.25">
      <c r="A2405">
        <v>203007</v>
      </c>
      <c r="B2405">
        <v>23</v>
      </c>
      <c r="C2405" s="148">
        <v>47695</v>
      </c>
      <c r="D2405">
        <v>23</v>
      </c>
      <c r="E2405">
        <v>23</v>
      </c>
      <c r="F2405">
        <v>1652</v>
      </c>
      <c r="G2405">
        <f>Consulta2[[#This Row],[DIA_UTIL_CORRENTE]]</f>
        <v>23</v>
      </c>
      <c r="H2405" s="6">
        <f>DAY(Consulta2[[#This Row],[DATA]])</f>
        <v>31</v>
      </c>
      <c r="I2405" s="6">
        <f>MONTH(Consulta2[[#This Row],[DATA]])</f>
        <v>7</v>
      </c>
      <c r="J2405" t="str">
        <f>CONCATENATE(Consulta2[[#This Row],[SAFRA]],Consulta2[[#This Row],[dia]])</f>
        <v>20300731</v>
      </c>
      <c r="K2405">
        <f>Consulta2[[#This Row],[DIA_UTIL_CORRENTE]]</f>
        <v>23</v>
      </c>
    </row>
    <row r="2406" spans="1:11" x14ac:dyDescent="0.25">
      <c r="A2406">
        <v>203008</v>
      </c>
      <c r="B2406">
        <v>1</v>
      </c>
      <c r="C2406" s="148">
        <v>47696</v>
      </c>
      <c r="D2406">
        <v>22</v>
      </c>
      <c r="E2406">
        <v>22</v>
      </c>
      <c r="F2406">
        <v>1653</v>
      </c>
      <c r="G2406">
        <f>Consulta2[[#This Row],[DIA_UTIL_CORRENTE]]</f>
        <v>1</v>
      </c>
      <c r="H2406" s="6">
        <f>DAY(Consulta2[[#This Row],[DATA]])</f>
        <v>1</v>
      </c>
      <c r="I2406" s="6">
        <f>MONTH(Consulta2[[#This Row],[DATA]])</f>
        <v>8</v>
      </c>
      <c r="J2406" t="str">
        <f>CONCATENATE(Consulta2[[#This Row],[SAFRA]],Consulta2[[#This Row],[dia]])</f>
        <v>2030081</v>
      </c>
      <c r="K2406">
        <f>Consulta2[[#This Row],[DIA_UTIL_CORRENTE]]</f>
        <v>1</v>
      </c>
    </row>
    <row r="2407" spans="1:11" x14ac:dyDescent="0.25">
      <c r="A2407">
        <v>203008</v>
      </c>
      <c r="B2407">
        <v>2</v>
      </c>
      <c r="C2407" s="148">
        <v>47697</v>
      </c>
      <c r="D2407">
        <v>22</v>
      </c>
      <c r="E2407">
        <v>22</v>
      </c>
      <c r="F2407">
        <v>1654</v>
      </c>
      <c r="G2407">
        <f>Consulta2[[#This Row],[DIA_UTIL_CORRENTE]]</f>
        <v>2</v>
      </c>
      <c r="H2407" s="6">
        <f>DAY(Consulta2[[#This Row],[DATA]])</f>
        <v>2</v>
      </c>
      <c r="I2407" s="6">
        <f>MONTH(Consulta2[[#This Row],[DATA]])</f>
        <v>8</v>
      </c>
      <c r="J2407" t="str">
        <f>CONCATENATE(Consulta2[[#This Row],[SAFRA]],Consulta2[[#This Row],[dia]])</f>
        <v>2030082</v>
      </c>
      <c r="K2407">
        <f>Consulta2[[#This Row],[DIA_UTIL_CORRENTE]]</f>
        <v>2</v>
      </c>
    </row>
    <row r="2408" spans="1:11" x14ac:dyDescent="0.25">
      <c r="A2408">
        <v>203008</v>
      </c>
      <c r="B2408">
        <v>2</v>
      </c>
      <c r="C2408" s="148">
        <v>47698</v>
      </c>
      <c r="D2408">
        <v>22</v>
      </c>
      <c r="E2408">
        <v>22</v>
      </c>
      <c r="F2408">
        <v>1654</v>
      </c>
      <c r="G2408">
        <f>Consulta2[[#This Row],[DIA_UTIL_CORRENTE]]</f>
        <v>2</v>
      </c>
      <c r="H2408" s="6">
        <f>DAY(Consulta2[[#This Row],[DATA]])</f>
        <v>3</v>
      </c>
      <c r="I2408" s="6">
        <f>MONTH(Consulta2[[#This Row],[DATA]])</f>
        <v>8</v>
      </c>
      <c r="J2408" t="str">
        <f>CONCATENATE(Consulta2[[#This Row],[SAFRA]],Consulta2[[#This Row],[dia]])</f>
        <v>2030083</v>
      </c>
      <c r="K2408">
        <f>Consulta2[[#This Row],[DIA_UTIL_CORRENTE]]</f>
        <v>2</v>
      </c>
    </row>
    <row r="2409" spans="1:11" x14ac:dyDescent="0.25">
      <c r="A2409">
        <v>203008</v>
      </c>
      <c r="B2409">
        <v>2</v>
      </c>
      <c r="C2409" s="148">
        <v>47699</v>
      </c>
      <c r="D2409">
        <v>22</v>
      </c>
      <c r="E2409">
        <v>22</v>
      </c>
      <c r="F2409">
        <v>1654</v>
      </c>
      <c r="G2409">
        <f>Consulta2[[#This Row],[DIA_UTIL_CORRENTE]]</f>
        <v>2</v>
      </c>
      <c r="H2409" s="6">
        <f>DAY(Consulta2[[#This Row],[DATA]])</f>
        <v>4</v>
      </c>
      <c r="I2409" s="6">
        <f>MONTH(Consulta2[[#This Row],[DATA]])</f>
        <v>8</v>
      </c>
      <c r="J2409" t="str">
        <f>CONCATENATE(Consulta2[[#This Row],[SAFRA]],Consulta2[[#This Row],[dia]])</f>
        <v>2030084</v>
      </c>
      <c r="K2409">
        <f>Consulta2[[#This Row],[DIA_UTIL_CORRENTE]]</f>
        <v>2</v>
      </c>
    </row>
    <row r="2410" spans="1:11" x14ac:dyDescent="0.25">
      <c r="A2410">
        <v>203008</v>
      </c>
      <c r="B2410">
        <v>3</v>
      </c>
      <c r="C2410" s="148">
        <v>47700</v>
      </c>
      <c r="D2410">
        <v>22</v>
      </c>
      <c r="E2410">
        <v>22</v>
      </c>
      <c r="F2410">
        <v>1655</v>
      </c>
      <c r="G2410">
        <f>Consulta2[[#This Row],[DIA_UTIL_CORRENTE]]</f>
        <v>3</v>
      </c>
      <c r="H2410" s="6">
        <f>DAY(Consulta2[[#This Row],[DATA]])</f>
        <v>5</v>
      </c>
      <c r="I2410" s="6">
        <f>MONTH(Consulta2[[#This Row],[DATA]])</f>
        <v>8</v>
      </c>
      <c r="J2410" t="str">
        <f>CONCATENATE(Consulta2[[#This Row],[SAFRA]],Consulta2[[#This Row],[dia]])</f>
        <v>2030085</v>
      </c>
      <c r="K2410">
        <f>Consulta2[[#This Row],[DIA_UTIL_CORRENTE]]</f>
        <v>3</v>
      </c>
    </row>
    <row r="2411" spans="1:11" x14ac:dyDescent="0.25">
      <c r="A2411">
        <v>203008</v>
      </c>
      <c r="B2411">
        <v>4</v>
      </c>
      <c r="C2411" s="148">
        <v>47701</v>
      </c>
      <c r="D2411">
        <v>22</v>
      </c>
      <c r="E2411">
        <v>22</v>
      </c>
      <c r="F2411">
        <v>1656</v>
      </c>
      <c r="G2411">
        <f>Consulta2[[#This Row],[DIA_UTIL_CORRENTE]]</f>
        <v>4</v>
      </c>
      <c r="H2411" s="6">
        <f>DAY(Consulta2[[#This Row],[DATA]])</f>
        <v>6</v>
      </c>
      <c r="I2411" s="6">
        <f>MONTH(Consulta2[[#This Row],[DATA]])</f>
        <v>8</v>
      </c>
      <c r="J2411" t="str">
        <f>CONCATENATE(Consulta2[[#This Row],[SAFRA]],Consulta2[[#This Row],[dia]])</f>
        <v>2030086</v>
      </c>
      <c r="K2411">
        <f>Consulta2[[#This Row],[DIA_UTIL_CORRENTE]]</f>
        <v>4</v>
      </c>
    </row>
    <row r="2412" spans="1:11" x14ac:dyDescent="0.25">
      <c r="A2412">
        <v>203008</v>
      </c>
      <c r="B2412">
        <v>5</v>
      </c>
      <c r="C2412" s="148">
        <v>47702</v>
      </c>
      <c r="D2412">
        <v>22</v>
      </c>
      <c r="E2412">
        <v>22</v>
      </c>
      <c r="F2412">
        <v>1657</v>
      </c>
      <c r="G2412">
        <f>Consulta2[[#This Row],[DIA_UTIL_CORRENTE]]</f>
        <v>5</v>
      </c>
      <c r="H2412" s="6">
        <f>DAY(Consulta2[[#This Row],[DATA]])</f>
        <v>7</v>
      </c>
      <c r="I2412" s="6">
        <f>MONTH(Consulta2[[#This Row],[DATA]])</f>
        <v>8</v>
      </c>
      <c r="J2412" t="str">
        <f>CONCATENATE(Consulta2[[#This Row],[SAFRA]],Consulta2[[#This Row],[dia]])</f>
        <v>2030087</v>
      </c>
      <c r="K2412">
        <f>Consulta2[[#This Row],[DIA_UTIL_CORRENTE]]</f>
        <v>5</v>
      </c>
    </row>
    <row r="2413" spans="1:11" x14ac:dyDescent="0.25">
      <c r="A2413">
        <v>203008</v>
      </c>
      <c r="B2413">
        <v>6</v>
      </c>
      <c r="C2413" s="148">
        <v>47703</v>
      </c>
      <c r="D2413">
        <v>22</v>
      </c>
      <c r="E2413">
        <v>22</v>
      </c>
      <c r="F2413">
        <v>1658</v>
      </c>
      <c r="G2413">
        <f>Consulta2[[#This Row],[DIA_UTIL_CORRENTE]]</f>
        <v>6</v>
      </c>
      <c r="H2413" s="6">
        <f>DAY(Consulta2[[#This Row],[DATA]])</f>
        <v>8</v>
      </c>
      <c r="I2413" s="6">
        <f>MONTH(Consulta2[[#This Row],[DATA]])</f>
        <v>8</v>
      </c>
      <c r="J2413" t="str">
        <f>CONCATENATE(Consulta2[[#This Row],[SAFRA]],Consulta2[[#This Row],[dia]])</f>
        <v>2030088</v>
      </c>
      <c r="K2413">
        <f>Consulta2[[#This Row],[DIA_UTIL_CORRENTE]]</f>
        <v>6</v>
      </c>
    </row>
    <row r="2414" spans="1:11" x14ac:dyDescent="0.25">
      <c r="A2414">
        <v>203008</v>
      </c>
      <c r="B2414">
        <v>7</v>
      </c>
      <c r="C2414" s="148">
        <v>47704</v>
      </c>
      <c r="D2414">
        <v>22</v>
      </c>
      <c r="E2414">
        <v>22</v>
      </c>
      <c r="F2414">
        <v>1659</v>
      </c>
      <c r="G2414">
        <f>Consulta2[[#This Row],[DIA_UTIL_CORRENTE]]</f>
        <v>7</v>
      </c>
      <c r="H2414" s="6">
        <f>DAY(Consulta2[[#This Row],[DATA]])</f>
        <v>9</v>
      </c>
      <c r="I2414" s="6">
        <f>MONTH(Consulta2[[#This Row],[DATA]])</f>
        <v>8</v>
      </c>
      <c r="J2414" t="str">
        <f>CONCATENATE(Consulta2[[#This Row],[SAFRA]],Consulta2[[#This Row],[dia]])</f>
        <v>2030089</v>
      </c>
      <c r="K2414">
        <f>Consulta2[[#This Row],[DIA_UTIL_CORRENTE]]</f>
        <v>7</v>
      </c>
    </row>
    <row r="2415" spans="1:11" x14ac:dyDescent="0.25">
      <c r="A2415">
        <v>203008</v>
      </c>
      <c r="B2415">
        <v>7</v>
      </c>
      <c r="C2415" s="148">
        <v>47705</v>
      </c>
      <c r="D2415">
        <v>22</v>
      </c>
      <c r="E2415">
        <v>22</v>
      </c>
      <c r="F2415">
        <v>1659</v>
      </c>
      <c r="G2415">
        <f>Consulta2[[#This Row],[DIA_UTIL_CORRENTE]]</f>
        <v>7</v>
      </c>
      <c r="H2415" s="6">
        <f>DAY(Consulta2[[#This Row],[DATA]])</f>
        <v>10</v>
      </c>
      <c r="I2415" s="6">
        <f>MONTH(Consulta2[[#This Row],[DATA]])</f>
        <v>8</v>
      </c>
      <c r="J2415" t="str">
        <f>CONCATENATE(Consulta2[[#This Row],[SAFRA]],Consulta2[[#This Row],[dia]])</f>
        <v>20300810</v>
      </c>
      <c r="K2415">
        <f>Consulta2[[#This Row],[DIA_UTIL_CORRENTE]]</f>
        <v>7</v>
      </c>
    </row>
    <row r="2416" spans="1:11" x14ac:dyDescent="0.25">
      <c r="A2416">
        <v>203008</v>
      </c>
      <c r="B2416">
        <v>7</v>
      </c>
      <c r="C2416" s="148">
        <v>47706</v>
      </c>
      <c r="D2416">
        <v>22</v>
      </c>
      <c r="E2416">
        <v>22</v>
      </c>
      <c r="F2416">
        <v>1659</v>
      </c>
      <c r="G2416">
        <f>Consulta2[[#This Row],[DIA_UTIL_CORRENTE]]</f>
        <v>7</v>
      </c>
      <c r="H2416" s="6">
        <f>DAY(Consulta2[[#This Row],[DATA]])</f>
        <v>11</v>
      </c>
      <c r="I2416" s="6">
        <f>MONTH(Consulta2[[#This Row],[DATA]])</f>
        <v>8</v>
      </c>
      <c r="J2416" t="str">
        <f>CONCATENATE(Consulta2[[#This Row],[SAFRA]],Consulta2[[#This Row],[dia]])</f>
        <v>20300811</v>
      </c>
      <c r="K2416">
        <f>Consulta2[[#This Row],[DIA_UTIL_CORRENTE]]</f>
        <v>7</v>
      </c>
    </row>
    <row r="2417" spans="1:11" x14ac:dyDescent="0.25">
      <c r="A2417">
        <v>203008</v>
      </c>
      <c r="B2417">
        <v>8</v>
      </c>
      <c r="C2417" s="148">
        <v>47707</v>
      </c>
      <c r="D2417">
        <v>22</v>
      </c>
      <c r="E2417">
        <v>22</v>
      </c>
      <c r="F2417">
        <v>1660</v>
      </c>
      <c r="G2417">
        <f>Consulta2[[#This Row],[DIA_UTIL_CORRENTE]]</f>
        <v>8</v>
      </c>
      <c r="H2417" s="6">
        <f>DAY(Consulta2[[#This Row],[DATA]])</f>
        <v>12</v>
      </c>
      <c r="I2417" s="6">
        <f>MONTH(Consulta2[[#This Row],[DATA]])</f>
        <v>8</v>
      </c>
      <c r="J2417" t="str">
        <f>CONCATENATE(Consulta2[[#This Row],[SAFRA]],Consulta2[[#This Row],[dia]])</f>
        <v>20300812</v>
      </c>
      <c r="K2417">
        <f>Consulta2[[#This Row],[DIA_UTIL_CORRENTE]]</f>
        <v>8</v>
      </c>
    </row>
    <row r="2418" spans="1:11" x14ac:dyDescent="0.25">
      <c r="A2418">
        <v>203008</v>
      </c>
      <c r="B2418">
        <v>9</v>
      </c>
      <c r="C2418" s="148">
        <v>47708</v>
      </c>
      <c r="D2418">
        <v>22</v>
      </c>
      <c r="E2418">
        <v>22</v>
      </c>
      <c r="F2418">
        <v>1661</v>
      </c>
      <c r="G2418">
        <f>Consulta2[[#This Row],[DIA_UTIL_CORRENTE]]</f>
        <v>9</v>
      </c>
      <c r="H2418" s="6">
        <f>DAY(Consulta2[[#This Row],[DATA]])</f>
        <v>13</v>
      </c>
      <c r="I2418" s="6">
        <f>MONTH(Consulta2[[#This Row],[DATA]])</f>
        <v>8</v>
      </c>
      <c r="J2418" t="str">
        <f>CONCATENATE(Consulta2[[#This Row],[SAFRA]],Consulta2[[#This Row],[dia]])</f>
        <v>20300813</v>
      </c>
      <c r="K2418">
        <f>Consulta2[[#This Row],[DIA_UTIL_CORRENTE]]</f>
        <v>9</v>
      </c>
    </row>
    <row r="2419" spans="1:11" x14ac:dyDescent="0.25">
      <c r="A2419">
        <v>203008</v>
      </c>
      <c r="B2419">
        <v>10</v>
      </c>
      <c r="C2419" s="148">
        <v>47709</v>
      </c>
      <c r="D2419">
        <v>22</v>
      </c>
      <c r="E2419">
        <v>22</v>
      </c>
      <c r="F2419">
        <v>1662</v>
      </c>
      <c r="G2419">
        <f>Consulta2[[#This Row],[DIA_UTIL_CORRENTE]]</f>
        <v>10</v>
      </c>
      <c r="H2419" s="6">
        <f>DAY(Consulta2[[#This Row],[DATA]])</f>
        <v>14</v>
      </c>
      <c r="I2419" s="6">
        <f>MONTH(Consulta2[[#This Row],[DATA]])</f>
        <v>8</v>
      </c>
      <c r="J2419" t="str">
        <f>CONCATENATE(Consulta2[[#This Row],[SAFRA]],Consulta2[[#This Row],[dia]])</f>
        <v>20300814</v>
      </c>
      <c r="K2419">
        <f>Consulta2[[#This Row],[DIA_UTIL_CORRENTE]]</f>
        <v>10</v>
      </c>
    </row>
    <row r="2420" spans="1:11" x14ac:dyDescent="0.25">
      <c r="A2420">
        <v>203008</v>
      </c>
      <c r="B2420">
        <v>11</v>
      </c>
      <c r="C2420" s="148">
        <v>47710</v>
      </c>
      <c r="D2420">
        <v>22</v>
      </c>
      <c r="E2420">
        <v>22</v>
      </c>
      <c r="F2420">
        <v>1663</v>
      </c>
      <c r="G2420">
        <f>Consulta2[[#This Row],[DIA_UTIL_CORRENTE]]</f>
        <v>11</v>
      </c>
      <c r="H2420" s="6">
        <f>DAY(Consulta2[[#This Row],[DATA]])</f>
        <v>15</v>
      </c>
      <c r="I2420" s="6">
        <f>MONTH(Consulta2[[#This Row],[DATA]])</f>
        <v>8</v>
      </c>
      <c r="J2420" t="str">
        <f>CONCATENATE(Consulta2[[#This Row],[SAFRA]],Consulta2[[#This Row],[dia]])</f>
        <v>20300815</v>
      </c>
      <c r="K2420">
        <f>Consulta2[[#This Row],[DIA_UTIL_CORRENTE]]</f>
        <v>11</v>
      </c>
    </row>
    <row r="2421" spans="1:11" x14ac:dyDescent="0.25">
      <c r="A2421">
        <v>203008</v>
      </c>
      <c r="B2421">
        <v>12</v>
      </c>
      <c r="C2421" s="148">
        <v>47711</v>
      </c>
      <c r="D2421">
        <v>22</v>
      </c>
      <c r="E2421">
        <v>22</v>
      </c>
      <c r="F2421">
        <v>1664</v>
      </c>
      <c r="G2421">
        <f>Consulta2[[#This Row],[DIA_UTIL_CORRENTE]]</f>
        <v>12</v>
      </c>
      <c r="H2421" s="6">
        <f>DAY(Consulta2[[#This Row],[DATA]])</f>
        <v>16</v>
      </c>
      <c r="I2421" s="6">
        <f>MONTH(Consulta2[[#This Row],[DATA]])</f>
        <v>8</v>
      </c>
      <c r="J2421" t="str">
        <f>CONCATENATE(Consulta2[[#This Row],[SAFRA]],Consulta2[[#This Row],[dia]])</f>
        <v>20300816</v>
      </c>
      <c r="K2421">
        <f>Consulta2[[#This Row],[DIA_UTIL_CORRENTE]]</f>
        <v>12</v>
      </c>
    </row>
    <row r="2422" spans="1:11" x14ac:dyDescent="0.25">
      <c r="A2422">
        <v>203008</v>
      </c>
      <c r="B2422">
        <v>12</v>
      </c>
      <c r="C2422" s="148">
        <v>47712</v>
      </c>
      <c r="D2422">
        <v>22</v>
      </c>
      <c r="E2422">
        <v>22</v>
      </c>
      <c r="F2422">
        <v>1664</v>
      </c>
      <c r="G2422">
        <f>Consulta2[[#This Row],[DIA_UTIL_CORRENTE]]</f>
        <v>12</v>
      </c>
      <c r="H2422" s="6">
        <f>DAY(Consulta2[[#This Row],[DATA]])</f>
        <v>17</v>
      </c>
      <c r="I2422" s="6">
        <f>MONTH(Consulta2[[#This Row],[DATA]])</f>
        <v>8</v>
      </c>
      <c r="J2422" t="str">
        <f>CONCATENATE(Consulta2[[#This Row],[SAFRA]],Consulta2[[#This Row],[dia]])</f>
        <v>20300817</v>
      </c>
      <c r="K2422">
        <f>Consulta2[[#This Row],[DIA_UTIL_CORRENTE]]</f>
        <v>12</v>
      </c>
    </row>
    <row r="2423" spans="1:11" x14ac:dyDescent="0.25">
      <c r="A2423">
        <v>203008</v>
      </c>
      <c r="B2423">
        <v>12</v>
      </c>
      <c r="C2423" s="148">
        <v>47713</v>
      </c>
      <c r="D2423">
        <v>22</v>
      </c>
      <c r="E2423">
        <v>22</v>
      </c>
      <c r="F2423">
        <v>1664</v>
      </c>
      <c r="G2423">
        <f>Consulta2[[#This Row],[DIA_UTIL_CORRENTE]]</f>
        <v>12</v>
      </c>
      <c r="H2423" s="6">
        <f>DAY(Consulta2[[#This Row],[DATA]])</f>
        <v>18</v>
      </c>
      <c r="I2423" s="6">
        <f>MONTH(Consulta2[[#This Row],[DATA]])</f>
        <v>8</v>
      </c>
      <c r="J2423" t="str">
        <f>CONCATENATE(Consulta2[[#This Row],[SAFRA]],Consulta2[[#This Row],[dia]])</f>
        <v>20300818</v>
      </c>
      <c r="K2423">
        <f>Consulta2[[#This Row],[DIA_UTIL_CORRENTE]]</f>
        <v>12</v>
      </c>
    </row>
    <row r="2424" spans="1:11" x14ac:dyDescent="0.25">
      <c r="A2424">
        <v>203008</v>
      </c>
      <c r="B2424">
        <v>13</v>
      </c>
      <c r="C2424" s="148">
        <v>47714</v>
      </c>
      <c r="D2424">
        <v>22</v>
      </c>
      <c r="E2424">
        <v>22</v>
      </c>
      <c r="F2424">
        <v>1665</v>
      </c>
      <c r="G2424">
        <f>Consulta2[[#This Row],[DIA_UTIL_CORRENTE]]</f>
        <v>13</v>
      </c>
      <c r="H2424" s="6">
        <f>DAY(Consulta2[[#This Row],[DATA]])</f>
        <v>19</v>
      </c>
      <c r="I2424" s="6">
        <f>MONTH(Consulta2[[#This Row],[DATA]])</f>
        <v>8</v>
      </c>
      <c r="J2424" t="str">
        <f>CONCATENATE(Consulta2[[#This Row],[SAFRA]],Consulta2[[#This Row],[dia]])</f>
        <v>20300819</v>
      </c>
      <c r="K2424">
        <f>Consulta2[[#This Row],[DIA_UTIL_CORRENTE]]</f>
        <v>13</v>
      </c>
    </row>
    <row r="2425" spans="1:11" x14ac:dyDescent="0.25">
      <c r="A2425">
        <v>203008</v>
      </c>
      <c r="B2425">
        <v>14</v>
      </c>
      <c r="C2425" s="148">
        <v>47715</v>
      </c>
      <c r="D2425">
        <v>22</v>
      </c>
      <c r="E2425">
        <v>22</v>
      </c>
      <c r="F2425">
        <v>1666</v>
      </c>
      <c r="G2425">
        <f>Consulta2[[#This Row],[DIA_UTIL_CORRENTE]]</f>
        <v>14</v>
      </c>
      <c r="H2425" s="6">
        <f>DAY(Consulta2[[#This Row],[DATA]])</f>
        <v>20</v>
      </c>
      <c r="I2425" s="6">
        <f>MONTH(Consulta2[[#This Row],[DATA]])</f>
        <v>8</v>
      </c>
      <c r="J2425" t="str">
        <f>CONCATENATE(Consulta2[[#This Row],[SAFRA]],Consulta2[[#This Row],[dia]])</f>
        <v>20300820</v>
      </c>
      <c r="K2425">
        <f>Consulta2[[#This Row],[DIA_UTIL_CORRENTE]]</f>
        <v>14</v>
      </c>
    </row>
    <row r="2426" spans="1:11" x14ac:dyDescent="0.25">
      <c r="A2426">
        <v>203008</v>
      </c>
      <c r="B2426">
        <v>15</v>
      </c>
      <c r="C2426" s="148">
        <v>47716</v>
      </c>
      <c r="D2426">
        <v>22</v>
      </c>
      <c r="E2426">
        <v>22</v>
      </c>
      <c r="F2426">
        <v>1667</v>
      </c>
      <c r="G2426">
        <f>Consulta2[[#This Row],[DIA_UTIL_CORRENTE]]</f>
        <v>15</v>
      </c>
      <c r="H2426" s="6">
        <f>DAY(Consulta2[[#This Row],[DATA]])</f>
        <v>21</v>
      </c>
      <c r="I2426" s="6">
        <f>MONTH(Consulta2[[#This Row],[DATA]])</f>
        <v>8</v>
      </c>
      <c r="J2426" t="str">
        <f>CONCATENATE(Consulta2[[#This Row],[SAFRA]],Consulta2[[#This Row],[dia]])</f>
        <v>20300821</v>
      </c>
      <c r="K2426">
        <f>Consulta2[[#This Row],[DIA_UTIL_CORRENTE]]</f>
        <v>15</v>
      </c>
    </row>
    <row r="2427" spans="1:11" x14ac:dyDescent="0.25">
      <c r="A2427">
        <v>203008</v>
      </c>
      <c r="B2427">
        <v>16</v>
      </c>
      <c r="C2427" s="148">
        <v>47717</v>
      </c>
      <c r="D2427">
        <v>22</v>
      </c>
      <c r="E2427">
        <v>22</v>
      </c>
      <c r="F2427">
        <v>1668</v>
      </c>
      <c r="G2427">
        <f>Consulta2[[#This Row],[DIA_UTIL_CORRENTE]]</f>
        <v>16</v>
      </c>
      <c r="H2427" s="6">
        <f>DAY(Consulta2[[#This Row],[DATA]])</f>
        <v>22</v>
      </c>
      <c r="I2427" s="6">
        <f>MONTH(Consulta2[[#This Row],[DATA]])</f>
        <v>8</v>
      </c>
      <c r="J2427" t="str">
        <f>CONCATENATE(Consulta2[[#This Row],[SAFRA]],Consulta2[[#This Row],[dia]])</f>
        <v>20300822</v>
      </c>
      <c r="K2427">
        <f>Consulta2[[#This Row],[DIA_UTIL_CORRENTE]]</f>
        <v>16</v>
      </c>
    </row>
    <row r="2428" spans="1:11" x14ac:dyDescent="0.25">
      <c r="A2428">
        <v>203008</v>
      </c>
      <c r="B2428">
        <v>17</v>
      </c>
      <c r="C2428" s="148">
        <v>47718</v>
      </c>
      <c r="D2428">
        <v>22</v>
      </c>
      <c r="E2428">
        <v>22</v>
      </c>
      <c r="F2428">
        <v>1669</v>
      </c>
      <c r="G2428">
        <f>Consulta2[[#This Row],[DIA_UTIL_CORRENTE]]</f>
        <v>17</v>
      </c>
      <c r="H2428" s="6">
        <f>DAY(Consulta2[[#This Row],[DATA]])</f>
        <v>23</v>
      </c>
      <c r="I2428" s="6">
        <f>MONTH(Consulta2[[#This Row],[DATA]])</f>
        <v>8</v>
      </c>
      <c r="J2428" t="str">
        <f>CONCATENATE(Consulta2[[#This Row],[SAFRA]],Consulta2[[#This Row],[dia]])</f>
        <v>20300823</v>
      </c>
      <c r="K2428">
        <f>Consulta2[[#This Row],[DIA_UTIL_CORRENTE]]</f>
        <v>17</v>
      </c>
    </row>
    <row r="2429" spans="1:11" x14ac:dyDescent="0.25">
      <c r="A2429">
        <v>203008</v>
      </c>
      <c r="B2429">
        <v>17</v>
      </c>
      <c r="C2429" s="148">
        <v>47719</v>
      </c>
      <c r="D2429">
        <v>22</v>
      </c>
      <c r="E2429">
        <v>22</v>
      </c>
      <c r="F2429">
        <v>1669</v>
      </c>
      <c r="G2429">
        <f>Consulta2[[#This Row],[DIA_UTIL_CORRENTE]]</f>
        <v>17</v>
      </c>
      <c r="H2429" s="6">
        <f>DAY(Consulta2[[#This Row],[DATA]])</f>
        <v>24</v>
      </c>
      <c r="I2429" s="6">
        <f>MONTH(Consulta2[[#This Row],[DATA]])</f>
        <v>8</v>
      </c>
      <c r="J2429" t="str">
        <f>CONCATENATE(Consulta2[[#This Row],[SAFRA]],Consulta2[[#This Row],[dia]])</f>
        <v>20300824</v>
      </c>
      <c r="K2429">
        <f>Consulta2[[#This Row],[DIA_UTIL_CORRENTE]]</f>
        <v>17</v>
      </c>
    </row>
    <row r="2430" spans="1:11" x14ac:dyDescent="0.25">
      <c r="A2430">
        <v>203008</v>
      </c>
      <c r="B2430">
        <v>17</v>
      </c>
      <c r="C2430" s="148">
        <v>47720</v>
      </c>
      <c r="D2430">
        <v>22</v>
      </c>
      <c r="E2430">
        <v>22</v>
      </c>
      <c r="F2430">
        <v>1669</v>
      </c>
      <c r="G2430">
        <f>Consulta2[[#This Row],[DIA_UTIL_CORRENTE]]</f>
        <v>17</v>
      </c>
      <c r="H2430" s="6">
        <f>DAY(Consulta2[[#This Row],[DATA]])</f>
        <v>25</v>
      </c>
      <c r="I2430" s="6">
        <f>MONTH(Consulta2[[#This Row],[DATA]])</f>
        <v>8</v>
      </c>
      <c r="J2430" t="str">
        <f>CONCATENATE(Consulta2[[#This Row],[SAFRA]],Consulta2[[#This Row],[dia]])</f>
        <v>20300825</v>
      </c>
      <c r="K2430">
        <f>Consulta2[[#This Row],[DIA_UTIL_CORRENTE]]</f>
        <v>17</v>
      </c>
    </row>
    <row r="2431" spans="1:11" x14ac:dyDescent="0.25">
      <c r="A2431">
        <v>203008</v>
      </c>
      <c r="B2431">
        <v>18</v>
      </c>
      <c r="C2431" s="148">
        <v>47721</v>
      </c>
      <c r="D2431">
        <v>22</v>
      </c>
      <c r="E2431">
        <v>22</v>
      </c>
      <c r="F2431">
        <v>1670</v>
      </c>
      <c r="G2431">
        <f>Consulta2[[#This Row],[DIA_UTIL_CORRENTE]]</f>
        <v>18</v>
      </c>
      <c r="H2431" s="6">
        <f>DAY(Consulta2[[#This Row],[DATA]])</f>
        <v>26</v>
      </c>
      <c r="I2431" s="6">
        <f>MONTH(Consulta2[[#This Row],[DATA]])</f>
        <v>8</v>
      </c>
      <c r="J2431" t="str">
        <f>CONCATENATE(Consulta2[[#This Row],[SAFRA]],Consulta2[[#This Row],[dia]])</f>
        <v>20300826</v>
      </c>
      <c r="K2431">
        <f>Consulta2[[#This Row],[DIA_UTIL_CORRENTE]]</f>
        <v>18</v>
      </c>
    </row>
    <row r="2432" spans="1:11" x14ac:dyDescent="0.25">
      <c r="A2432">
        <v>203008</v>
      </c>
      <c r="B2432">
        <v>19</v>
      </c>
      <c r="C2432" s="148">
        <v>47722</v>
      </c>
      <c r="D2432">
        <v>22</v>
      </c>
      <c r="E2432">
        <v>22</v>
      </c>
      <c r="F2432">
        <v>1671</v>
      </c>
      <c r="G2432">
        <f>Consulta2[[#This Row],[DIA_UTIL_CORRENTE]]</f>
        <v>19</v>
      </c>
      <c r="H2432" s="6">
        <f>DAY(Consulta2[[#This Row],[DATA]])</f>
        <v>27</v>
      </c>
      <c r="I2432" s="6">
        <f>MONTH(Consulta2[[#This Row],[DATA]])</f>
        <v>8</v>
      </c>
      <c r="J2432" t="str">
        <f>CONCATENATE(Consulta2[[#This Row],[SAFRA]],Consulta2[[#This Row],[dia]])</f>
        <v>20300827</v>
      </c>
      <c r="K2432">
        <f>Consulta2[[#This Row],[DIA_UTIL_CORRENTE]]</f>
        <v>19</v>
      </c>
    </row>
    <row r="2433" spans="1:11" x14ac:dyDescent="0.25">
      <c r="A2433">
        <v>203008</v>
      </c>
      <c r="B2433">
        <v>20</v>
      </c>
      <c r="C2433" s="148">
        <v>47723</v>
      </c>
      <c r="D2433">
        <v>22</v>
      </c>
      <c r="E2433">
        <v>22</v>
      </c>
      <c r="F2433">
        <v>1672</v>
      </c>
      <c r="G2433">
        <f>Consulta2[[#This Row],[DIA_UTIL_CORRENTE]]</f>
        <v>20</v>
      </c>
      <c r="H2433" s="6">
        <f>DAY(Consulta2[[#This Row],[DATA]])</f>
        <v>28</v>
      </c>
      <c r="I2433" s="6">
        <f>MONTH(Consulta2[[#This Row],[DATA]])</f>
        <v>8</v>
      </c>
      <c r="J2433" t="str">
        <f>CONCATENATE(Consulta2[[#This Row],[SAFRA]],Consulta2[[#This Row],[dia]])</f>
        <v>20300828</v>
      </c>
      <c r="K2433">
        <f>Consulta2[[#This Row],[DIA_UTIL_CORRENTE]]</f>
        <v>20</v>
      </c>
    </row>
    <row r="2434" spans="1:11" x14ac:dyDescent="0.25">
      <c r="A2434">
        <v>203008</v>
      </c>
      <c r="B2434">
        <v>21</v>
      </c>
      <c r="C2434" s="148">
        <v>47724</v>
      </c>
      <c r="D2434">
        <v>22</v>
      </c>
      <c r="E2434">
        <v>22</v>
      </c>
      <c r="F2434">
        <v>1673</v>
      </c>
      <c r="G2434">
        <f>Consulta2[[#This Row],[DIA_UTIL_CORRENTE]]</f>
        <v>21</v>
      </c>
      <c r="H2434" s="6">
        <f>DAY(Consulta2[[#This Row],[DATA]])</f>
        <v>29</v>
      </c>
      <c r="I2434" s="6">
        <f>MONTH(Consulta2[[#This Row],[DATA]])</f>
        <v>8</v>
      </c>
      <c r="J2434" t="str">
        <f>CONCATENATE(Consulta2[[#This Row],[SAFRA]],Consulta2[[#This Row],[dia]])</f>
        <v>20300829</v>
      </c>
      <c r="K2434">
        <f>Consulta2[[#This Row],[DIA_UTIL_CORRENTE]]</f>
        <v>21</v>
      </c>
    </row>
    <row r="2435" spans="1:11" x14ac:dyDescent="0.25">
      <c r="A2435">
        <v>203008</v>
      </c>
      <c r="B2435">
        <v>22</v>
      </c>
      <c r="C2435" s="148">
        <v>47725</v>
      </c>
      <c r="D2435">
        <v>22</v>
      </c>
      <c r="E2435">
        <v>22</v>
      </c>
      <c r="F2435">
        <v>1674</v>
      </c>
      <c r="G2435">
        <f>Consulta2[[#This Row],[DIA_UTIL_CORRENTE]]</f>
        <v>22</v>
      </c>
      <c r="H2435" s="6">
        <f>DAY(Consulta2[[#This Row],[DATA]])</f>
        <v>30</v>
      </c>
      <c r="I2435" s="6">
        <f>MONTH(Consulta2[[#This Row],[DATA]])</f>
        <v>8</v>
      </c>
      <c r="J2435" t="str">
        <f>CONCATENATE(Consulta2[[#This Row],[SAFRA]],Consulta2[[#This Row],[dia]])</f>
        <v>20300830</v>
      </c>
      <c r="K2435">
        <f>Consulta2[[#This Row],[DIA_UTIL_CORRENTE]]</f>
        <v>22</v>
      </c>
    </row>
    <row r="2436" spans="1:11" x14ac:dyDescent="0.25">
      <c r="A2436">
        <v>203008</v>
      </c>
      <c r="B2436">
        <v>22</v>
      </c>
      <c r="C2436" s="148">
        <v>47726</v>
      </c>
      <c r="D2436">
        <v>22</v>
      </c>
      <c r="E2436">
        <v>22</v>
      </c>
      <c r="F2436">
        <v>1674</v>
      </c>
      <c r="G2436">
        <f>Consulta2[[#This Row],[DIA_UTIL_CORRENTE]]</f>
        <v>22</v>
      </c>
      <c r="H2436" s="6">
        <f>DAY(Consulta2[[#This Row],[DATA]])</f>
        <v>31</v>
      </c>
      <c r="I2436" s="6">
        <f>MONTH(Consulta2[[#This Row],[DATA]])</f>
        <v>8</v>
      </c>
      <c r="J2436" t="str">
        <f>CONCATENATE(Consulta2[[#This Row],[SAFRA]],Consulta2[[#This Row],[dia]])</f>
        <v>20300831</v>
      </c>
      <c r="K2436">
        <f>Consulta2[[#This Row],[DIA_UTIL_CORRENTE]]</f>
        <v>22</v>
      </c>
    </row>
    <row r="2437" spans="1:11" x14ac:dyDescent="0.25">
      <c r="A2437">
        <v>203009</v>
      </c>
      <c r="B2437">
        <v>0</v>
      </c>
      <c r="C2437" s="148">
        <v>47727</v>
      </c>
      <c r="D2437">
        <v>21</v>
      </c>
      <c r="E2437">
        <v>21</v>
      </c>
      <c r="F2437">
        <v>1674</v>
      </c>
      <c r="G2437">
        <f>Consulta2[[#This Row],[DIA_UTIL_CORRENTE]]</f>
        <v>0</v>
      </c>
      <c r="H2437" s="6">
        <f>DAY(Consulta2[[#This Row],[DATA]])</f>
        <v>1</v>
      </c>
      <c r="I2437" s="6">
        <f>MONTH(Consulta2[[#This Row],[DATA]])</f>
        <v>9</v>
      </c>
      <c r="J2437" t="str">
        <f>CONCATENATE(Consulta2[[#This Row],[SAFRA]],Consulta2[[#This Row],[dia]])</f>
        <v>2030091</v>
      </c>
      <c r="K2437">
        <f>Consulta2[[#This Row],[DIA_UTIL_CORRENTE]]</f>
        <v>0</v>
      </c>
    </row>
    <row r="2438" spans="1:11" x14ac:dyDescent="0.25">
      <c r="A2438">
        <v>203009</v>
      </c>
      <c r="B2438">
        <v>1</v>
      </c>
      <c r="C2438" s="148">
        <v>47728</v>
      </c>
      <c r="D2438">
        <v>21</v>
      </c>
      <c r="E2438">
        <v>21</v>
      </c>
      <c r="F2438">
        <v>1675</v>
      </c>
      <c r="G2438">
        <f>Consulta2[[#This Row],[DIA_UTIL_CORRENTE]]</f>
        <v>1</v>
      </c>
      <c r="H2438" s="6">
        <f>DAY(Consulta2[[#This Row],[DATA]])</f>
        <v>2</v>
      </c>
      <c r="I2438" s="6">
        <f>MONTH(Consulta2[[#This Row],[DATA]])</f>
        <v>9</v>
      </c>
      <c r="J2438" t="str">
        <f>CONCATENATE(Consulta2[[#This Row],[SAFRA]],Consulta2[[#This Row],[dia]])</f>
        <v>2030092</v>
      </c>
      <c r="K2438">
        <f>Consulta2[[#This Row],[DIA_UTIL_CORRENTE]]</f>
        <v>1</v>
      </c>
    </row>
    <row r="2439" spans="1:11" x14ac:dyDescent="0.25">
      <c r="A2439">
        <v>203009</v>
      </c>
      <c r="B2439">
        <v>2</v>
      </c>
      <c r="C2439" s="148">
        <v>47729</v>
      </c>
      <c r="D2439">
        <v>21</v>
      </c>
      <c r="E2439">
        <v>21</v>
      </c>
      <c r="F2439">
        <v>1676</v>
      </c>
      <c r="G2439">
        <f>Consulta2[[#This Row],[DIA_UTIL_CORRENTE]]</f>
        <v>2</v>
      </c>
      <c r="H2439" s="6">
        <f>DAY(Consulta2[[#This Row],[DATA]])</f>
        <v>3</v>
      </c>
      <c r="I2439" s="6">
        <f>MONTH(Consulta2[[#This Row],[DATA]])</f>
        <v>9</v>
      </c>
      <c r="J2439" t="str">
        <f>CONCATENATE(Consulta2[[#This Row],[SAFRA]],Consulta2[[#This Row],[dia]])</f>
        <v>2030093</v>
      </c>
      <c r="K2439">
        <f>Consulta2[[#This Row],[DIA_UTIL_CORRENTE]]</f>
        <v>2</v>
      </c>
    </row>
    <row r="2440" spans="1:11" x14ac:dyDescent="0.25">
      <c r="A2440">
        <v>203009</v>
      </c>
      <c r="B2440">
        <v>3</v>
      </c>
      <c r="C2440" s="148">
        <v>47730</v>
      </c>
      <c r="D2440">
        <v>21</v>
      </c>
      <c r="E2440">
        <v>21</v>
      </c>
      <c r="F2440">
        <v>1677</v>
      </c>
      <c r="G2440">
        <f>Consulta2[[#This Row],[DIA_UTIL_CORRENTE]]</f>
        <v>3</v>
      </c>
      <c r="H2440" s="6">
        <f>DAY(Consulta2[[#This Row],[DATA]])</f>
        <v>4</v>
      </c>
      <c r="I2440" s="6">
        <f>MONTH(Consulta2[[#This Row],[DATA]])</f>
        <v>9</v>
      </c>
      <c r="J2440" t="str">
        <f>CONCATENATE(Consulta2[[#This Row],[SAFRA]],Consulta2[[#This Row],[dia]])</f>
        <v>2030094</v>
      </c>
      <c r="K2440">
        <f>Consulta2[[#This Row],[DIA_UTIL_CORRENTE]]</f>
        <v>3</v>
      </c>
    </row>
    <row r="2441" spans="1:11" x14ac:dyDescent="0.25">
      <c r="A2441">
        <v>203009</v>
      </c>
      <c r="B2441">
        <v>4</v>
      </c>
      <c r="C2441" s="148">
        <v>47731</v>
      </c>
      <c r="D2441">
        <v>21</v>
      </c>
      <c r="E2441">
        <v>21</v>
      </c>
      <c r="F2441">
        <v>1678</v>
      </c>
      <c r="G2441">
        <f>Consulta2[[#This Row],[DIA_UTIL_CORRENTE]]</f>
        <v>4</v>
      </c>
      <c r="H2441" s="6">
        <f>DAY(Consulta2[[#This Row],[DATA]])</f>
        <v>5</v>
      </c>
      <c r="I2441" s="6">
        <f>MONTH(Consulta2[[#This Row],[DATA]])</f>
        <v>9</v>
      </c>
      <c r="J2441" t="str">
        <f>CONCATENATE(Consulta2[[#This Row],[SAFRA]],Consulta2[[#This Row],[dia]])</f>
        <v>2030095</v>
      </c>
      <c r="K2441">
        <f>Consulta2[[#This Row],[DIA_UTIL_CORRENTE]]</f>
        <v>4</v>
      </c>
    </row>
    <row r="2442" spans="1:11" x14ac:dyDescent="0.25">
      <c r="A2442">
        <v>203009</v>
      </c>
      <c r="B2442">
        <v>5</v>
      </c>
      <c r="C2442" s="148">
        <v>47732</v>
      </c>
      <c r="D2442">
        <v>21</v>
      </c>
      <c r="E2442">
        <v>21</v>
      </c>
      <c r="F2442">
        <v>1679</v>
      </c>
      <c r="G2442">
        <f>Consulta2[[#This Row],[DIA_UTIL_CORRENTE]]</f>
        <v>5</v>
      </c>
      <c r="H2442" s="6">
        <f>DAY(Consulta2[[#This Row],[DATA]])</f>
        <v>6</v>
      </c>
      <c r="I2442" s="6">
        <f>MONTH(Consulta2[[#This Row],[DATA]])</f>
        <v>9</v>
      </c>
      <c r="J2442" t="str">
        <f>CONCATENATE(Consulta2[[#This Row],[SAFRA]],Consulta2[[#This Row],[dia]])</f>
        <v>2030096</v>
      </c>
      <c r="K2442">
        <f>Consulta2[[#This Row],[DIA_UTIL_CORRENTE]]</f>
        <v>5</v>
      </c>
    </row>
    <row r="2443" spans="1:11" x14ac:dyDescent="0.25">
      <c r="A2443">
        <v>203009</v>
      </c>
      <c r="B2443">
        <v>5</v>
      </c>
      <c r="C2443" s="148">
        <v>47733</v>
      </c>
      <c r="D2443">
        <v>21</v>
      </c>
      <c r="E2443">
        <v>21</v>
      </c>
      <c r="F2443">
        <v>1679</v>
      </c>
      <c r="G2443">
        <f>Consulta2[[#This Row],[DIA_UTIL_CORRENTE]]</f>
        <v>5</v>
      </c>
      <c r="H2443" s="6">
        <f>DAY(Consulta2[[#This Row],[DATA]])</f>
        <v>7</v>
      </c>
      <c r="I2443" s="6">
        <f>MONTH(Consulta2[[#This Row],[DATA]])</f>
        <v>9</v>
      </c>
      <c r="J2443" t="str">
        <f>CONCATENATE(Consulta2[[#This Row],[SAFRA]],Consulta2[[#This Row],[dia]])</f>
        <v>2030097</v>
      </c>
      <c r="K2443">
        <f>Consulta2[[#This Row],[DIA_UTIL_CORRENTE]]</f>
        <v>5</v>
      </c>
    </row>
    <row r="2444" spans="1:11" x14ac:dyDescent="0.25">
      <c r="A2444">
        <v>203009</v>
      </c>
      <c r="B2444">
        <v>5</v>
      </c>
      <c r="C2444" s="148">
        <v>47734</v>
      </c>
      <c r="D2444">
        <v>21</v>
      </c>
      <c r="E2444">
        <v>21</v>
      </c>
      <c r="F2444">
        <v>1679</v>
      </c>
      <c r="G2444">
        <f>Consulta2[[#This Row],[DIA_UTIL_CORRENTE]]</f>
        <v>5</v>
      </c>
      <c r="H2444" s="6">
        <f>DAY(Consulta2[[#This Row],[DATA]])</f>
        <v>8</v>
      </c>
      <c r="I2444" s="6">
        <f>MONTH(Consulta2[[#This Row],[DATA]])</f>
        <v>9</v>
      </c>
      <c r="J2444" t="str">
        <f>CONCATENATE(Consulta2[[#This Row],[SAFRA]],Consulta2[[#This Row],[dia]])</f>
        <v>2030098</v>
      </c>
      <c r="K2444">
        <f>Consulta2[[#This Row],[DIA_UTIL_CORRENTE]]</f>
        <v>5</v>
      </c>
    </row>
    <row r="2445" spans="1:11" x14ac:dyDescent="0.25">
      <c r="A2445">
        <v>203009</v>
      </c>
      <c r="B2445">
        <v>6</v>
      </c>
      <c r="C2445" s="148">
        <v>47735</v>
      </c>
      <c r="D2445">
        <v>21</v>
      </c>
      <c r="E2445">
        <v>21</v>
      </c>
      <c r="F2445">
        <v>1680</v>
      </c>
      <c r="G2445">
        <f>Consulta2[[#This Row],[DIA_UTIL_CORRENTE]]</f>
        <v>6</v>
      </c>
      <c r="H2445" s="6">
        <f>DAY(Consulta2[[#This Row],[DATA]])</f>
        <v>9</v>
      </c>
      <c r="I2445" s="6">
        <f>MONTH(Consulta2[[#This Row],[DATA]])</f>
        <v>9</v>
      </c>
      <c r="J2445" t="str">
        <f>CONCATENATE(Consulta2[[#This Row],[SAFRA]],Consulta2[[#This Row],[dia]])</f>
        <v>2030099</v>
      </c>
      <c r="K2445">
        <f>Consulta2[[#This Row],[DIA_UTIL_CORRENTE]]</f>
        <v>6</v>
      </c>
    </row>
    <row r="2446" spans="1:11" x14ac:dyDescent="0.25">
      <c r="A2446">
        <v>203009</v>
      </c>
      <c r="B2446">
        <v>7</v>
      </c>
      <c r="C2446" s="148">
        <v>47736</v>
      </c>
      <c r="D2446">
        <v>21</v>
      </c>
      <c r="E2446">
        <v>21</v>
      </c>
      <c r="F2446">
        <v>1681</v>
      </c>
      <c r="G2446">
        <f>Consulta2[[#This Row],[DIA_UTIL_CORRENTE]]</f>
        <v>7</v>
      </c>
      <c r="H2446" s="6">
        <f>DAY(Consulta2[[#This Row],[DATA]])</f>
        <v>10</v>
      </c>
      <c r="I2446" s="6">
        <f>MONTH(Consulta2[[#This Row],[DATA]])</f>
        <v>9</v>
      </c>
      <c r="J2446" t="str">
        <f>CONCATENATE(Consulta2[[#This Row],[SAFRA]],Consulta2[[#This Row],[dia]])</f>
        <v>20300910</v>
      </c>
      <c r="K2446">
        <f>Consulta2[[#This Row],[DIA_UTIL_CORRENTE]]</f>
        <v>7</v>
      </c>
    </row>
    <row r="2447" spans="1:11" x14ac:dyDescent="0.25">
      <c r="A2447">
        <v>203009</v>
      </c>
      <c r="B2447">
        <v>8</v>
      </c>
      <c r="C2447" s="148">
        <v>47737</v>
      </c>
      <c r="D2447">
        <v>21</v>
      </c>
      <c r="E2447">
        <v>21</v>
      </c>
      <c r="F2447">
        <v>1682</v>
      </c>
      <c r="G2447">
        <f>Consulta2[[#This Row],[DIA_UTIL_CORRENTE]]</f>
        <v>8</v>
      </c>
      <c r="H2447" s="6">
        <f>DAY(Consulta2[[#This Row],[DATA]])</f>
        <v>11</v>
      </c>
      <c r="I2447" s="6">
        <f>MONTH(Consulta2[[#This Row],[DATA]])</f>
        <v>9</v>
      </c>
      <c r="J2447" t="str">
        <f>CONCATENATE(Consulta2[[#This Row],[SAFRA]],Consulta2[[#This Row],[dia]])</f>
        <v>20300911</v>
      </c>
      <c r="K2447">
        <f>Consulta2[[#This Row],[DIA_UTIL_CORRENTE]]</f>
        <v>8</v>
      </c>
    </row>
    <row r="2448" spans="1:11" x14ac:dyDescent="0.25">
      <c r="A2448">
        <v>203009</v>
      </c>
      <c r="B2448">
        <v>9</v>
      </c>
      <c r="C2448" s="148">
        <v>47738</v>
      </c>
      <c r="D2448">
        <v>21</v>
      </c>
      <c r="E2448">
        <v>21</v>
      </c>
      <c r="F2448">
        <v>1683</v>
      </c>
      <c r="G2448">
        <f>Consulta2[[#This Row],[DIA_UTIL_CORRENTE]]</f>
        <v>9</v>
      </c>
      <c r="H2448" s="6">
        <f>DAY(Consulta2[[#This Row],[DATA]])</f>
        <v>12</v>
      </c>
      <c r="I2448" s="6">
        <f>MONTH(Consulta2[[#This Row],[DATA]])</f>
        <v>9</v>
      </c>
      <c r="J2448" t="str">
        <f>CONCATENATE(Consulta2[[#This Row],[SAFRA]],Consulta2[[#This Row],[dia]])</f>
        <v>20300912</v>
      </c>
      <c r="K2448">
        <f>Consulta2[[#This Row],[DIA_UTIL_CORRENTE]]</f>
        <v>9</v>
      </c>
    </row>
    <row r="2449" spans="1:11" x14ac:dyDescent="0.25">
      <c r="A2449">
        <v>203009</v>
      </c>
      <c r="B2449">
        <v>10</v>
      </c>
      <c r="C2449" s="148">
        <v>47739</v>
      </c>
      <c r="D2449">
        <v>21</v>
      </c>
      <c r="E2449">
        <v>21</v>
      </c>
      <c r="F2449">
        <v>1684</v>
      </c>
      <c r="G2449">
        <f>Consulta2[[#This Row],[DIA_UTIL_CORRENTE]]</f>
        <v>10</v>
      </c>
      <c r="H2449" s="6">
        <f>DAY(Consulta2[[#This Row],[DATA]])</f>
        <v>13</v>
      </c>
      <c r="I2449" s="6">
        <f>MONTH(Consulta2[[#This Row],[DATA]])</f>
        <v>9</v>
      </c>
      <c r="J2449" t="str">
        <f>CONCATENATE(Consulta2[[#This Row],[SAFRA]],Consulta2[[#This Row],[dia]])</f>
        <v>20300913</v>
      </c>
      <c r="K2449">
        <f>Consulta2[[#This Row],[DIA_UTIL_CORRENTE]]</f>
        <v>10</v>
      </c>
    </row>
    <row r="2450" spans="1:11" x14ac:dyDescent="0.25">
      <c r="A2450">
        <v>203009</v>
      </c>
      <c r="B2450">
        <v>10</v>
      </c>
      <c r="C2450" s="148">
        <v>47740</v>
      </c>
      <c r="D2450">
        <v>21</v>
      </c>
      <c r="E2450">
        <v>21</v>
      </c>
      <c r="F2450">
        <v>1684</v>
      </c>
      <c r="G2450">
        <f>Consulta2[[#This Row],[DIA_UTIL_CORRENTE]]</f>
        <v>10</v>
      </c>
      <c r="H2450" s="6">
        <f>DAY(Consulta2[[#This Row],[DATA]])</f>
        <v>14</v>
      </c>
      <c r="I2450" s="6">
        <f>MONTH(Consulta2[[#This Row],[DATA]])</f>
        <v>9</v>
      </c>
      <c r="J2450" t="str">
        <f>CONCATENATE(Consulta2[[#This Row],[SAFRA]],Consulta2[[#This Row],[dia]])</f>
        <v>20300914</v>
      </c>
      <c r="K2450">
        <f>Consulta2[[#This Row],[DIA_UTIL_CORRENTE]]</f>
        <v>10</v>
      </c>
    </row>
    <row r="2451" spans="1:11" x14ac:dyDescent="0.25">
      <c r="A2451">
        <v>203009</v>
      </c>
      <c r="B2451">
        <v>10</v>
      </c>
      <c r="C2451" s="148">
        <v>47741</v>
      </c>
      <c r="D2451">
        <v>21</v>
      </c>
      <c r="E2451">
        <v>21</v>
      </c>
      <c r="F2451">
        <v>1684</v>
      </c>
      <c r="G2451">
        <f>Consulta2[[#This Row],[DIA_UTIL_CORRENTE]]</f>
        <v>10</v>
      </c>
      <c r="H2451" s="6">
        <f>DAY(Consulta2[[#This Row],[DATA]])</f>
        <v>15</v>
      </c>
      <c r="I2451" s="6">
        <f>MONTH(Consulta2[[#This Row],[DATA]])</f>
        <v>9</v>
      </c>
      <c r="J2451" t="str">
        <f>CONCATENATE(Consulta2[[#This Row],[SAFRA]],Consulta2[[#This Row],[dia]])</f>
        <v>20300915</v>
      </c>
      <c r="K2451">
        <f>Consulta2[[#This Row],[DIA_UTIL_CORRENTE]]</f>
        <v>10</v>
      </c>
    </row>
    <row r="2452" spans="1:11" x14ac:dyDescent="0.25">
      <c r="A2452">
        <v>203009</v>
      </c>
      <c r="B2452">
        <v>11</v>
      </c>
      <c r="C2452" s="148">
        <v>47742</v>
      </c>
      <c r="D2452">
        <v>21</v>
      </c>
      <c r="E2452">
        <v>21</v>
      </c>
      <c r="F2452">
        <v>1685</v>
      </c>
      <c r="G2452">
        <f>Consulta2[[#This Row],[DIA_UTIL_CORRENTE]]</f>
        <v>11</v>
      </c>
      <c r="H2452" s="6">
        <f>DAY(Consulta2[[#This Row],[DATA]])</f>
        <v>16</v>
      </c>
      <c r="I2452" s="6">
        <f>MONTH(Consulta2[[#This Row],[DATA]])</f>
        <v>9</v>
      </c>
      <c r="J2452" t="str">
        <f>CONCATENATE(Consulta2[[#This Row],[SAFRA]],Consulta2[[#This Row],[dia]])</f>
        <v>20300916</v>
      </c>
      <c r="K2452">
        <f>Consulta2[[#This Row],[DIA_UTIL_CORRENTE]]</f>
        <v>11</v>
      </c>
    </row>
    <row r="2453" spans="1:11" x14ac:dyDescent="0.25">
      <c r="A2453">
        <v>203009</v>
      </c>
      <c r="B2453">
        <v>12</v>
      </c>
      <c r="C2453" s="148">
        <v>47743</v>
      </c>
      <c r="D2453">
        <v>21</v>
      </c>
      <c r="E2453">
        <v>21</v>
      </c>
      <c r="F2453">
        <v>1686</v>
      </c>
      <c r="G2453">
        <f>Consulta2[[#This Row],[DIA_UTIL_CORRENTE]]</f>
        <v>12</v>
      </c>
      <c r="H2453" s="6">
        <f>DAY(Consulta2[[#This Row],[DATA]])</f>
        <v>17</v>
      </c>
      <c r="I2453" s="6">
        <f>MONTH(Consulta2[[#This Row],[DATA]])</f>
        <v>9</v>
      </c>
      <c r="J2453" t="str">
        <f>CONCATENATE(Consulta2[[#This Row],[SAFRA]],Consulta2[[#This Row],[dia]])</f>
        <v>20300917</v>
      </c>
      <c r="K2453">
        <f>Consulta2[[#This Row],[DIA_UTIL_CORRENTE]]</f>
        <v>12</v>
      </c>
    </row>
    <row r="2454" spans="1:11" x14ac:dyDescent="0.25">
      <c r="A2454">
        <v>203009</v>
      </c>
      <c r="B2454">
        <v>13</v>
      </c>
      <c r="C2454" s="148">
        <v>47744</v>
      </c>
      <c r="D2454">
        <v>21</v>
      </c>
      <c r="E2454">
        <v>21</v>
      </c>
      <c r="F2454">
        <v>1687</v>
      </c>
      <c r="G2454">
        <f>Consulta2[[#This Row],[DIA_UTIL_CORRENTE]]</f>
        <v>13</v>
      </c>
      <c r="H2454" s="6">
        <f>DAY(Consulta2[[#This Row],[DATA]])</f>
        <v>18</v>
      </c>
      <c r="I2454" s="6">
        <f>MONTH(Consulta2[[#This Row],[DATA]])</f>
        <v>9</v>
      </c>
      <c r="J2454" t="str">
        <f>CONCATENATE(Consulta2[[#This Row],[SAFRA]],Consulta2[[#This Row],[dia]])</f>
        <v>20300918</v>
      </c>
      <c r="K2454">
        <f>Consulta2[[#This Row],[DIA_UTIL_CORRENTE]]</f>
        <v>13</v>
      </c>
    </row>
    <row r="2455" spans="1:11" x14ac:dyDescent="0.25">
      <c r="A2455">
        <v>203009</v>
      </c>
      <c r="B2455">
        <v>14</v>
      </c>
      <c r="C2455" s="148">
        <v>47745</v>
      </c>
      <c r="D2455">
        <v>21</v>
      </c>
      <c r="E2455">
        <v>21</v>
      </c>
      <c r="F2455">
        <v>1688</v>
      </c>
      <c r="G2455">
        <f>Consulta2[[#This Row],[DIA_UTIL_CORRENTE]]</f>
        <v>14</v>
      </c>
      <c r="H2455" s="6">
        <f>DAY(Consulta2[[#This Row],[DATA]])</f>
        <v>19</v>
      </c>
      <c r="I2455" s="6">
        <f>MONTH(Consulta2[[#This Row],[DATA]])</f>
        <v>9</v>
      </c>
      <c r="J2455" t="str">
        <f>CONCATENATE(Consulta2[[#This Row],[SAFRA]],Consulta2[[#This Row],[dia]])</f>
        <v>20300919</v>
      </c>
      <c r="K2455">
        <f>Consulta2[[#This Row],[DIA_UTIL_CORRENTE]]</f>
        <v>14</v>
      </c>
    </row>
    <row r="2456" spans="1:11" x14ac:dyDescent="0.25">
      <c r="A2456">
        <v>203009</v>
      </c>
      <c r="B2456">
        <v>15</v>
      </c>
      <c r="C2456" s="148">
        <v>47746</v>
      </c>
      <c r="D2456">
        <v>21</v>
      </c>
      <c r="E2456">
        <v>21</v>
      </c>
      <c r="F2456">
        <v>1689</v>
      </c>
      <c r="G2456">
        <f>Consulta2[[#This Row],[DIA_UTIL_CORRENTE]]</f>
        <v>15</v>
      </c>
      <c r="H2456" s="6">
        <f>DAY(Consulta2[[#This Row],[DATA]])</f>
        <v>20</v>
      </c>
      <c r="I2456" s="6">
        <f>MONTH(Consulta2[[#This Row],[DATA]])</f>
        <v>9</v>
      </c>
      <c r="J2456" t="str">
        <f>CONCATENATE(Consulta2[[#This Row],[SAFRA]],Consulta2[[#This Row],[dia]])</f>
        <v>20300920</v>
      </c>
      <c r="K2456">
        <f>Consulta2[[#This Row],[DIA_UTIL_CORRENTE]]</f>
        <v>15</v>
      </c>
    </row>
    <row r="2457" spans="1:11" x14ac:dyDescent="0.25">
      <c r="A2457">
        <v>203009</v>
      </c>
      <c r="B2457">
        <v>15</v>
      </c>
      <c r="C2457" s="148">
        <v>47747</v>
      </c>
      <c r="D2457">
        <v>21</v>
      </c>
      <c r="E2457">
        <v>21</v>
      </c>
      <c r="F2457">
        <v>1689</v>
      </c>
      <c r="G2457">
        <f>Consulta2[[#This Row],[DIA_UTIL_CORRENTE]]</f>
        <v>15</v>
      </c>
      <c r="H2457" s="6">
        <f>DAY(Consulta2[[#This Row],[DATA]])</f>
        <v>21</v>
      </c>
      <c r="I2457" s="6">
        <f>MONTH(Consulta2[[#This Row],[DATA]])</f>
        <v>9</v>
      </c>
      <c r="J2457" t="str">
        <f>CONCATENATE(Consulta2[[#This Row],[SAFRA]],Consulta2[[#This Row],[dia]])</f>
        <v>20300921</v>
      </c>
      <c r="K2457">
        <f>Consulta2[[#This Row],[DIA_UTIL_CORRENTE]]</f>
        <v>15</v>
      </c>
    </row>
    <row r="2458" spans="1:11" x14ac:dyDescent="0.25">
      <c r="A2458">
        <v>203009</v>
      </c>
      <c r="B2458">
        <v>15</v>
      </c>
      <c r="C2458" s="148">
        <v>47748</v>
      </c>
      <c r="D2458">
        <v>21</v>
      </c>
      <c r="E2458">
        <v>21</v>
      </c>
      <c r="F2458">
        <v>1689</v>
      </c>
      <c r="G2458">
        <f>Consulta2[[#This Row],[DIA_UTIL_CORRENTE]]</f>
        <v>15</v>
      </c>
      <c r="H2458" s="6">
        <f>DAY(Consulta2[[#This Row],[DATA]])</f>
        <v>22</v>
      </c>
      <c r="I2458" s="6">
        <f>MONTH(Consulta2[[#This Row],[DATA]])</f>
        <v>9</v>
      </c>
      <c r="J2458" t="str">
        <f>CONCATENATE(Consulta2[[#This Row],[SAFRA]],Consulta2[[#This Row],[dia]])</f>
        <v>20300922</v>
      </c>
      <c r="K2458">
        <f>Consulta2[[#This Row],[DIA_UTIL_CORRENTE]]</f>
        <v>15</v>
      </c>
    </row>
    <row r="2459" spans="1:11" x14ac:dyDescent="0.25">
      <c r="A2459">
        <v>203009</v>
      </c>
      <c r="B2459">
        <v>16</v>
      </c>
      <c r="C2459" s="148">
        <v>47749</v>
      </c>
      <c r="D2459">
        <v>21</v>
      </c>
      <c r="E2459">
        <v>21</v>
      </c>
      <c r="F2459">
        <v>1690</v>
      </c>
      <c r="G2459">
        <f>Consulta2[[#This Row],[DIA_UTIL_CORRENTE]]</f>
        <v>16</v>
      </c>
      <c r="H2459" s="6">
        <f>DAY(Consulta2[[#This Row],[DATA]])</f>
        <v>23</v>
      </c>
      <c r="I2459" s="6">
        <f>MONTH(Consulta2[[#This Row],[DATA]])</f>
        <v>9</v>
      </c>
      <c r="J2459" t="str">
        <f>CONCATENATE(Consulta2[[#This Row],[SAFRA]],Consulta2[[#This Row],[dia]])</f>
        <v>20300923</v>
      </c>
      <c r="K2459">
        <f>Consulta2[[#This Row],[DIA_UTIL_CORRENTE]]</f>
        <v>16</v>
      </c>
    </row>
    <row r="2460" spans="1:11" x14ac:dyDescent="0.25">
      <c r="A2460">
        <v>203009</v>
      </c>
      <c r="B2460">
        <v>17</v>
      </c>
      <c r="C2460" s="148">
        <v>47750</v>
      </c>
      <c r="D2460">
        <v>21</v>
      </c>
      <c r="E2460">
        <v>21</v>
      </c>
      <c r="F2460">
        <v>1691</v>
      </c>
      <c r="G2460">
        <f>Consulta2[[#This Row],[DIA_UTIL_CORRENTE]]</f>
        <v>17</v>
      </c>
      <c r="H2460" s="6">
        <f>DAY(Consulta2[[#This Row],[DATA]])</f>
        <v>24</v>
      </c>
      <c r="I2460" s="6">
        <f>MONTH(Consulta2[[#This Row],[DATA]])</f>
        <v>9</v>
      </c>
      <c r="J2460" t="str">
        <f>CONCATENATE(Consulta2[[#This Row],[SAFRA]],Consulta2[[#This Row],[dia]])</f>
        <v>20300924</v>
      </c>
      <c r="K2460">
        <f>Consulta2[[#This Row],[DIA_UTIL_CORRENTE]]</f>
        <v>17</v>
      </c>
    </row>
    <row r="2461" spans="1:11" x14ac:dyDescent="0.25">
      <c r="A2461">
        <v>203009</v>
      </c>
      <c r="B2461">
        <v>18</v>
      </c>
      <c r="C2461" s="148">
        <v>47751</v>
      </c>
      <c r="D2461">
        <v>21</v>
      </c>
      <c r="E2461">
        <v>21</v>
      </c>
      <c r="F2461">
        <v>1692</v>
      </c>
      <c r="G2461">
        <f>Consulta2[[#This Row],[DIA_UTIL_CORRENTE]]</f>
        <v>18</v>
      </c>
      <c r="H2461" s="6">
        <f>DAY(Consulta2[[#This Row],[DATA]])</f>
        <v>25</v>
      </c>
      <c r="I2461" s="6">
        <f>MONTH(Consulta2[[#This Row],[DATA]])</f>
        <v>9</v>
      </c>
      <c r="J2461" t="str">
        <f>CONCATENATE(Consulta2[[#This Row],[SAFRA]],Consulta2[[#This Row],[dia]])</f>
        <v>20300925</v>
      </c>
      <c r="K2461">
        <f>Consulta2[[#This Row],[DIA_UTIL_CORRENTE]]</f>
        <v>18</v>
      </c>
    </row>
    <row r="2462" spans="1:11" x14ac:dyDescent="0.25">
      <c r="A2462">
        <v>203009</v>
      </c>
      <c r="B2462">
        <v>19</v>
      </c>
      <c r="C2462" s="148">
        <v>47752</v>
      </c>
      <c r="D2462">
        <v>21</v>
      </c>
      <c r="E2462">
        <v>21</v>
      </c>
      <c r="F2462">
        <v>1693</v>
      </c>
      <c r="G2462">
        <f>Consulta2[[#This Row],[DIA_UTIL_CORRENTE]]</f>
        <v>19</v>
      </c>
      <c r="H2462" s="6">
        <f>DAY(Consulta2[[#This Row],[DATA]])</f>
        <v>26</v>
      </c>
      <c r="I2462" s="6">
        <f>MONTH(Consulta2[[#This Row],[DATA]])</f>
        <v>9</v>
      </c>
      <c r="J2462" t="str">
        <f>CONCATENATE(Consulta2[[#This Row],[SAFRA]],Consulta2[[#This Row],[dia]])</f>
        <v>20300926</v>
      </c>
      <c r="K2462">
        <f>Consulta2[[#This Row],[DIA_UTIL_CORRENTE]]</f>
        <v>19</v>
      </c>
    </row>
    <row r="2463" spans="1:11" x14ac:dyDescent="0.25">
      <c r="A2463">
        <v>203009</v>
      </c>
      <c r="B2463">
        <v>20</v>
      </c>
      <c r="C2463" s="148">
        <v>47753</v>
      </c>
      <c r="D2463">
        <v>21</v>
      </c>
      <c r="E2463">
        <v>21</v>
      </c>
      <c r="F2463">
        <v>1694</v>
      </c>
      <c r="G2463">
        <f>Consulta2[[#This Row],[DIA_UTIL_CORRENTE]]</f>
        <v>20</v>
      </c>
      <c r="H2463" s="6">
        <f>DAY(Consulta2[[#This Row],[DATA]])</f>
        <v>27</v>
      </c>
      <c r="I2463" s="6">
        <f>MONTH(Consulta2[[#This Row],[DATA]])</f>
        <v>9</v>
      </c>
      <c r="J2463" t="str">
        <f>CONCATENATE(Consulta2[[#This Row],[SAFRA]],Consulta2[[#This Row],[dia]])</f>
        <v>20300927</v>
      </c>
      <c r="K2463">
        <f>Consulta2[[#This Row],[DIA_UTIL_CORRENTE]]</f>
        <v>20</v>
      </c>
    </row>
    <row r="2464" spans="1:11" x14ac:dyDescent="0.25">
      <c r="A2464">
        <v>203009</v>
      </c>
      <c r="B2464">
        <v>20</v>
      </c>
      <c r="C2464" s="148">
        <v>47754</v>
      </c>
      <c r="D2464">
        <v>21</v>
      </c>
      <c r="E2464">
        <v>21</v>
      </c>
      <c r="F2464">
        <v>1694</v>
      </c>
      <c r="G2464">
        <f>Consulta2[[#This Row],[DIA_UTIL_CORRENTE]]</f>
        <v>20</v>
      </c>
      <c r="H2464" s="6">
        <f>DAY(Consulta2[[#This Row],[DATA]])</f>
        <v>28</v>
      </c>
      <c r="I2464" s="6">
        <f>MONTH(Consulta2[[#This Row],[DATA]])</f>
        <v>9</v>
      </c>
      <c r="J2464" t="str">
        <f>CONCATENATE(Consulta2[[#This Row],[SAFRA]],Consulta2[[#This Row],[dia]])</f>
        <v>20300928</v>
      </c>
      <c r="K2464">
        <f>Consulta2[[#This Row],[DIA_UTIL_CORRENTE]]</f>
        <v>20</v>
      </c>
    </row>
    <row r="2465" spans="1:11" x14ac:dyDescent="0.25">
      <c r="A2465">
        <v>203009</v>
      </c>
      <c r="B2465">
        <v>20</v>
      </c>
      <c r="C2465" s="148">
        <v>47755</v>
      </c>
      <c r="D2465">
        <v>21</v>
      </c>
      <c r="E2465">
        <v>21</v>
      </c>
      <c r="F2465">
        <v>1694</v>
      </c>
      <c r="G2465">
        <f>Consulta2[[#This Row],[DIA_UTIL_CORRENTE]]</f>
        <v>20</v>
      </c>
      <c r="H2465" s="6">
        <f>DAY(Consulta2[[#This Row],[DATA]])</f>
        <v>29</v>
      </c>
      <c r="I2465" s="6">
        <f>MONTH(Consulta2[[#This Row],[DATA]])</f>
        <v>9</v>
      </c>
      <c r="J2465" t="str">
        <f>CONCATENATE(Consulta2[[#This Row],[SAFRA]],Consulta2[[#This Row],[dia]])</f>
        <v>20300929</v>
      </c>
      <c r="K2465">
        <f>Consulta2[[#This Row],[DIA_UTIL_CORRENTE]]</f>
        <v>20</v>
      </c>
    </row>
    <row r="2466" spans="1:11" x14ac:dyDescent="0.25">
      <c r="A2466">
        <v>203009</v>
      </c>
      <c r="B2466">
        <v>21</v>
      </c>
      <c r="C2466" s="148">
        <v>47756</v>
      </c>
      <c r="D2466">
        <v>21</v>
      </c>
      <c r="E2466">
        <v>21</v>
      </c>
      <c r="F2466">
        <v>1695</v>
      </c>
      <c r="G2466">
        <f>Consulta2[[#This Row],[DIA_UTIL_CORRENTE]]</f>
        <v>21</v>
      </c>
      <c r="H2466" s="6">
        <f>DAY(Consulta2[[#This Row],[DATA]])</f>
        <v>30</v>
      </c>
      <c r="I2466" s="6">
        <f>MONTH(Consulta2[[#This Row],[DATA]])</f>
        <v>9</v>
      </c>
      <c r="J2466" t="str">
        <f>CONCATENATE(Consulta2[[#This Row],[SAFRA]],Consulta2[[#This Row],[dia]])</f>
        <v>20300930</v>
      </c>
      <c r="K2466">
        <f>Consulta2[[#This Row],[DIA_UTIL_CORRENTE]]</f>
        <v>21</v>
      </c>
    </row>
    <row r="2467" spans="1:11" x14ac:dyDescent="0.25">
      <c r="A2467">
        <v>203010</v>
      </c>
      <c r="B2467">
        <v>1</v>
      </c>
      <c r="C2467" s="148">
        <v>47757</v>
      </c>
      <c r="D2467">
        <v>23</v>
      </c>
      <c r="E2467">
        <v>23</v>
      </c>
      <c r="F2467">
        <v>1696</v>
      </c>
      <c r="G2467">
        <f>Consulta2[[#This Row],[DIA_UTIL_CORRENTE]]</f>
        <v>1</v>
      </c>
      <c r="H2467" s="6">
        <f>DAY(Consulta2[[#This Row],[DATA]])</f>
        <v>1</v>
      </c>
      <c r="I2467" s="6">
        <f>MONTH(Consulta2[[#This Row],[DATA]])</f>
        <v>10</v>
      </c>
      <c r="J2467" t="str">
        <f>CONCATENATE(Consulta2[[#This Row],[SAFRA]],Consulta2[[#This Row],[dia]])</f>
        <v>2030101</v>
      </c>
      <c r="K2467">
        <f>Consulta2[[#This Row],[DIA_UTIL_CORRENTE]]</f>
        <v>1</v>
      </c>
    </row>
    <row r="2468" spans="1:11" x14ac:dyDescent="0.25">
      <c r="A2468">
        <v>203010</v>
      </c>
      <c r="B2468">
        <v>2</v>
      </c>
      <c r="C2468" s="148">
        <v>47758</v>
      </c>
      <c r="D2468">
        <v>23</v>
      </c>
      <c r="E2468">
        <v>23</v>
      </c>
      <c r="F2468">
        <v>1697</v>
      </c>
      <c r="G2468">
        <f>Consulta2[[#This Row],[DIA_UTIL_CORRENTE]]</f>
        <v>2</v>
      </c>
      <c r="H2468" s="6">
        <f>DAY(Consulta2[[#This Row],[DATA]])</f>
        <v>2</v>
      </c>
      <c r="I2468" s="6">
        <f>MONTH(Consulta2[[#This Row],[DATA]])</f>
        <v>10</v>
      </c>
      <c r="J2468" t="str">
        <f>CONCATENATE(Consulta2[[#This Row],[SAFRA]],Consulta2[[#This Row],[dia]])</f>
        <v>2030102</v>
      </c>
      <c r="K2468">
        <f>Consulta2[[#This Row],[DIA_UTIL_CORRENTE]]</f>
        <v>2</v>
      </c>
    </row>
    <row r="2469" spans="1:11" x14ac:dyDescent="0.25">
      <c r="A2469">
        <v>203010</v>
      </c>
      <c r="B2469">
        <v>3</v>
      </c>
      <c r="C2469" s="148">
        <v>47759</v>
      </c>
      <c r="D2469">
        <v>23</v>
      </c>
      <c r="E2469">
        <v>23</v>
      </c>
      <c r="F2469">
        <v>1698</v>
      </c>
      <c r="G2469">
        <f>Consulta2[[#This Row],[DIA_UTIL_CORRENTE]]</f>
        <v>3</v>
      </c>
      <c r="H2469" s="6">
        <f>DAY(Consulta2[[#This Row],[DATA]])</f>
        <v>3</v>
      </c>
      <c r="I2469" s="6">
        <f>MONTH(Consulta2[[#This Row],[DATA]])</f>
        <v>10</v>
      </c>
      <c r="J2469" t="str">
        <f>CONCATENATE(Consulta2[[#This Row],[SAFRA]],Consulta2[[#This Row],[dia]])</f>
        <v>2030103</v>
      </c>
      <c r="K2469">
        <f>Consulta2[[#This Row],[DIA_UTIL_CORRENTE]]</f>
        <v>3</v>
      </c>
    </row>
    <row r="2470" spans="1:11" x14ac:dyDescent="0.25">
      <c r="A2470">
        <v>203010</v>
      </c>
      <c r="B2470">
        <v>4</v>
      </c>
      <c r="C2470" s="148">
        <v>47760</v>
      </c>
      <c r="D2470">
        <v>23</v>
      </c>
      <c r="E2470">
        <v>23</v>
      </c>
      <c r="F2470">
        <v>1699</v>
      </c>
      <c r="G2470">
        <f>Consulta2[[#This Row],[DIA_UTIL_CORRENTE]]</f>
        <v>4</v>
      </c>
      <c r="H2470" s="6">
        <f>DAY(Consulta2[[#This Row],[DATA]])</f>
        <v>4</v>
      </c>
      <c r="I2470" s="6">
        <f>MONTH(Consulta2[[#This Row],[DATA]])</f>
        <v>10</v>
      </c>
      <c r="J2470" t="str">
        <f>CONCATENATE(Consulta2[[#This Row],[SAFRA]],Consulta2[[#This Row],[dia]])</f>
        <v>2030104</v>
      </c>
      <c r="K2470">
        <f>Consulta2[[#This Row],[DIA_UTIL_CORRENTE]]</f>
        <v>4</v>
      </c>
    </row>
    <row r="2471" spans="1:11" x14ac:dyDescent="0.25">
      <c r="A2471">
        <v>203010</v>
      </c>
      <c r="B2471">
        <v>4</v>
      </c>
      <c r="C2471" s="148">
        <v>47761</v>
      </c>
      <c r="D2471">
        <v>23</v>
      </c>
      <c r="E2471">
        <v>23</v>
      </c>
      <c r="F2471">
        <v>1699</v>
      </c>
      <c r="G2471">
        <f>Consulta2[[#This Row],[DIA_UTIL_CORRENTE]]</f>
        <v>4</v>
      </c>
      <c r="H2471" s="6">
        <f>DAY(Consulta2[[#This Row],[DATA]])</f>
        <v>5</v>
      </c>
      <c r="I2471" s="6">
        <f>MONTH(Consulta2[[#This Row],[DATA]])</f>
        <v>10</v>
      </c>
      <c r="J2471" t="str">
        <f>CONCATENATE(Consulta2[[#This Row],[SAFRA]],Consulta2[[#This Row],[dia]])</f>
        <v>2030105</v>
      </c>
      <c r="K2471">
        <f>Consulta2[[#This Row],[DIA_UTIL_CORRENTE]]</f>
        <v>4</v>
      </c>
    </row>
    <row r="2472" spans="1:11" x14ac:dyDescent="0.25">
      <c r="A2472">
        <v>203010</v>
      </c>
      <c r="B2472">
        <v>4</v>
      </c>
      <c r="C2472" s="148">
        <v>47762</v>
      </c>
      <c r="D2472">
        <v>23</v>
      </c>
      <c r="E2472">
        <v>23</v>
      </c>
      <c r="F2472">
        <v>1699</v>
      </c>
      <c r="G2472">
        <f>Consulta2[[#This Row],[DIA_UTIL_CORRENTE]]</f>
        <v>4</v>
      </c>
      <c r="H2472" s="6">
        <f>DAY(Consulta2[[#This Row],[DATA]])</f>
        <v>6</v>
      </c>
      <c r="I2472" s="6">
        <f>MONTH(Consulta2[[#This Row],[DATA]])</f>
        <v>10</v>
      </c>
      <c r="J2472" t="str">
        <f>CONCATENATE(Consulta2[[#This Row],[SAFRA]],Consulta2[[#This Row],[dia]])</f>
        <v>2030106</v>
      </c>
      <c r="K2472">
        <f>Consulta2[[#This Row],[DIA_UTIL_CORRENTE]]</f>
        <v>4</v>
      </c>
    </row>
    <row r="2473" spans="1:11" x14ac:dyDescent="0.25">
      <c r="A2473">
        <v>203010</v>
      </c>
      <c r="B2473">
        <v>5</v>
      </c>
      <c r="C2473" s="148">
        <v>47763</v>
      </c>
      <c r="D2473">
        <v>23</v>
      </c>
      <c r="E2473">
        <v>23</v>
      </c>
      <c r="F2473">
        <v>1700</v>
      </c>
      <c r="G2473">
        <f>Consulta2[[#This Row],[DIA_UTIL_CORRENTE]]</f>
        <v>5</v>
      </c>
      <c r="H2473" s="6">
        <f>DAY(Consulta2[[#This Row],[DATA]])</f>
        <v>7</v>
      </c>
      <c r="I2473" s="6">
        <f>MONTH(Consulta2[[#This Row],[DATA]])</f>
        <v>10</v>
      </c>
      <c r="J2473" t="str">
        <f>CONCATENATE(Consulta2[[#This Row],[SAFRA]],Consulta2[[#This Row],[dia]])</f>
        <v>2030107</v>
      </c>
      <c r="K2473">
        <f>Consulta2[[#This Row],[DIA_UTIL_CORRENTE]]</f>
        <v>5</v>
      </c>
    </row>
    <row r="2474" spans="1:11" x14ac:dyDescent="0.25">
      <c r="A2474">
        <v>203010</v>
      </c>
      <c r="B2474">
        <v>6</v>
      </c>
      <c r="C2474" s="148">
        <v>47764</v>
      </c>
      <c r="D2474">
        <v>23</v>
      </c>
      <c r="E2474">
        <v>23</v>
      </c>
      <c r="F2474">
        <v>1701</v>
      </c>
      <c r="G2474">
        <f>Consulta2[[#This Row],[DIA_UTIL_CORRENTE]]</f>
        <v>6</v>
      </c>
      <c r="H2474" s="6">
        <f>DAY(Consulta2[[#This Row],[DATA]])</f>
        <v>8</v>
      </c>
      <c r="I2474" s="6">
        <f>MONTH(Consulta2[[#This Row],[DATA]])</f>
        <v>10</v>
      </c>
      <c r="J2474" t="str">
        <f>CONCATENATE(Consulta2[[#This Row],[SAFRA]],Consulta2[[#This Row],[dia]])</f>
        <v>2030108</v>
      </c>
      <c r="K2474">
        <f>Consulta2[[#This Row],[DIA_UTIL_CORRENTE]]</f>
        <v>6</v>
      </c>
    </row>
    <row r="2475" spans="1:11" x14ac:dyDescent="0.25">
      <c r="A2475">
        <v>203010</v>
      </c>
      <c r="B2475">
        <v>7</v>
      </c>
      <c r="C2475" s="148">
        <v>47765</v>
      </c>
      <c r="D2475">
        <v>23</v>
      </c>
      <c r="E2475">
        <v>23</v>
      </c>
      <c r="F2475">
        <v>1702</v>
      </c>
      <c r="G2475">
        <f>Consulta2[[#This Row],[DIA_UTIL_CORRENTE]]</f>
        <v>7</v>
      </c>
      <c r="H2475" s="6">
        <f>DAY(Consulta2[[#This Row],[DATA]])</f>
        <v>9</v>
      </c>
      <c r="I2475" s="6">
        <f>MONTH(Consulta2[[#This Row],[DATA]])</f>
        <v>10</v>
      </c>
      <c r="J2475" t="str">
        <f>CONCATENATE(Consulta2[[#This Row],[SAFRA]],Consulta2[[#This Row],[dia]])</f>
        <v>2030109</v>
      </c>
      <c r="K2475">
        <f>Consulta2[[#This Row],[DIA_UTIL_CORRENTE]]</f>
        <v>7</v>
      </c>
    </row>
    <row r="2476" spans="1:11" x14ac:dyDescent="0.25">
      <c r="A2476">
        <v>203010</v>
      </c>
      <c r="B2476">
        <v>8</v>
      </c>
      <c r="C2476" s="148">
        <v>47766</v>
      </c>
      <c r="D2476">
        <v>23</v>
      </c>
      <c r="E2476">
        <v>23</v>
      </c>
      <c r="F2476">
        <v>1703</v>
      </c>
      <c r="G2476">
        <f>Consulta2[[#This Row],[DIA_UTIL_CORRENTE]]</f>
        <v>8</v>
      </c>
      <c r="H2476" s="6">
        <f>DAY(Consulta2[[#This Row],[DATA]])</f>
        <v>10</v>
      </c>
      <c r="I2476" s="6">
        <f>MONTH(Consulta2[[#This Row],[DATA]])</f>
        <v>10</v>
      </c>
      <c r="J2476" t="str">
        <f>CONCATENATE(Consulta2[[#This Row],[SAFRA]],Consulta2[[#This Row],[dia]])</f>
        <v>20301010</v>
      </c>
      <c r="K2476">
        <f>Consulta2[[#This Row],[DIA_UTIL_CORRENTE]]</f>
        <v>8</v>
      </c>
    </row>
    <row r="2477" spans="1:11" x14ac:dyDescent="0.25">
      <c r="A2477">
        <v>203010</v>
      </c>
      <c r="B2477">
        <v>9</v>
      </c>
      <c r="C2477" s="148">
        <v>47767</v>
      </c>
      <c r="D2477">
        <v>23</v>
      </c>
      <c r="E2477">
        <v>23</v>
      </c>
      <c r="F2477">
        <v>1704</v>
      </c>
      <c r="G2477">
        <f>Consulta2[[#This Row],[DIA_UTIL_CORRENTE]]</f>
        <v>9</v>
      </c>
      <c r="H2477" s="6">
        <f>DAY(Consulta2[[#This Row],[DATA]])</f>
        <v>11</v>
      </c>
      <c r="I2477" s="6">
        <f>MONTH(Consulta2[[#This Row],[DATA]])</f>
        <v>10</v>
      </c>
      <c r="J2477" t="str">
        <f>CONCATENATE(Consulta2[[#This Row],[SAFRA]],Consulta2[[#This Row],[dia]])</f>
        <v>20301011</v>
      </c>
      <c r="K2477">
        <f>Consulta2[[#This Row],[DIA_UTIL_CORRENTE]]</f>
        <v>9</v>
      </c>
    </row>
    <row r="2478" spans="1:11" x14ac:dyDescent="0.25">
      <c r="A2478">
        <v>203010</v>
      </c>
      <c r="B2478">
        <v>9</v>
      </c>
      <c r="C2478" s="148">
        <v>47768</v>
      </c>
      <c r="D2478">
        <v>23</v>
      </c>
      <c r="E2478">
        <v>23</v>
      </c>
      <c r="F2478">
        <v>1704</v>
      </c>
      <c r="G2478">
        <f>Consulta2[[#This Row],[DIA_UTIL_CORRENTE]]</f>
        <v>9</v>
      </c>
      <c r="H2478" s="6">
        <f>DAY(Consulta2[[#This Row],[DATA]])</f>
        <v>12</v>
      </c>
      <c r="I2478" s="6">
        <f>MONTH(Consulta2[[#This Row],[DATA]])</f>
        <v>10</v>
      </c>
      <c r="J2478" t="str">
        <f>CONCATENATE(Consulta2[[#This Row],[SAFRA]],Consulta2[[#This Row],[dia]])</f>
        <v>20301012</v>
      </c>
      <c r="K2478">
        <f>Consulta2[[#This Row],[DIA_UTIL_CORRENTE]]</f>
        <v>9</v>
      </c>
    </row>
    <row r="2479" spans="1:11" x14ac:dyDescent="0.25">
      <c r="A2479">
        <v>203010</v>
      </c>
      <c r="B2479">
        <v>9</v>
      </c>
      <c r="C2479" s="148">
        <v>47769</v>
      </c>
      <c r="D2479">
        <v>23</v>
      </c>
      <c r="E2479">
        <v>23</v>
      </c>
      <c r="F2479">
        <v>1704</v>
      </c>
      <c r="G2479">
        <f>Consulta2[[#This Row],[DIA_UTIL_CORRENTE]]</f>
        <v>9</v>
      </c>
      <c r="H2479" s="6">
        <f>DAY(Consulta2[[#This Row],[DATA]])</f>
        <v>13</v>
      </c>
      <c r="I2479" s="6">
        <f>MONTH(Consulta2[[#This Row],[DATA]])</f>
        <v>10</v>
      </c>
      <c r="J2479" t="str">
        <f>CONCATENATE(Consulta2[[#This Row],[SAFRA]],Consulta2[[#This Row],[dia]])</f>
        <v>20301013</v>
      </c>
      <c r="K2479">
        <f>Consulta2[[#This Row],[DIA_UTIL_CORRENTE]]</f>
        <v>9</v>
      </c>
    </row>
    <row r="2480" spans="1:11" x14ac:dyDescent="0.25">
      <c r="A2480">
        <v>203010</v>
      </c>
      <c r="B2480">
        <v>10</v>
      </c>
      <c r="C2480" s="148">
        <v>47770</v>
      </c>
      <c r="D2480">
        <v>23</v>
      </c>
      <c r="E2480">
        <v>23</v>
      </c>
      <c r="F2480">
        <v>1705</v>
      </c>
      <c r="G2480">
        <f>Consulta2[[#This Row],[DIA_UTIL_CORRENTE]]</f>
        <v>10</v>
      </c>
      <c r="H2480" s="6">
        <f>DAY(Consulta2[[#This Row],[DATA]])</f>
        <v>14</v>
      </c>
      <c r="I2480" s="6">
        <f>MONTH(Consulta2[[#This Row],[DATA]])</f>
        <v>10</v>
      </c>
      <c r="J2480" t="str">
        <f>CONCATENATE(Consulta2[[#This Row],[SAFRA]],Consulta2[[#This Row],[dia]])</f>
        <v>20301014</v>
      </c>
      <c r="K2480">
        <f>Consulta2[[#This Row],[DIA_UTIL_CORRENTE]]</f>
        <v>10</v>
      </c>
    </row>
    <row r="2481" spans="1:11" x14ac:dyDescent="0.25">
      <c r="A2481">
        <v>203010</v>
      </c>
      <c r="B2481">
        <v>11</v>
      </c>
      <c r="C2481" s="148">
        <v>47771</v>
      </c>
      <c r="D2481">
        <v>23</v>
      </c>
      <c r="E2481">
        <v>23</v>
      </c>
      <c r="F2481">
        <v>1706</v>
      </c>
      <c r="G2481">
        <f>Consulta2[[#This Row],[DIA_UTIL_CORRENTE]]</f>
        <v>11</v>
      </c>
      <c r="H2481" s="6">
        <f>DAY(Consulta2[[#This Row],[DATA]])</f>
        <v>15</v>
      </c>
      <c r="I2481" s="6">
        <f>MONTH(Consulta2[[#This Row],[DATA]])</f>
        <v>10</v>
      </c>
      <c r="J2481" t="str">
        <f>CONCATENATE(Consulta2[[#This Row],[SAFRA]],Consulta2[[#This Row],[dia]])</f>
        <v>20301015</v>
      </c>
      <c r="K2481">
        <f>Consulta2[[#This Row],[DIA_UTIL_CORRENTE]]</f>
        <v>11</v>
      </c>
    </row>
    <row r="2482" spans="1:11" x14ac:dyDescent="0.25">
      <c r="A2482">
        <v>203010</v>
      </c>
      <c r="B2482">
        <v>12</v>
      </c>
      <c r="C2482" s="148">
        <v>47772</v>
      </c>
      <c r="D2482">
        <v>23</v>
      </c>
      <c r="E2482">
        <v>23</v>
      </c>
      <c r="F2482">
        <v>1707</v>
      </c>
      <c r="G2482">
        <f>Consulta2[[#This Row],[DIA_UTIL_CORRENTE]]</f>
        <v>12</v>
      </c>
      <c r="H2482" s="6">
        <f>DAY(Consulta2[[#This Row],[DATA]])</f>
        <v>16</v>
      </c>
      <c r="I2482" s="6">
        <f>MONTH(Consulta2[[#This Row],[DATA]])</f>
        <v>10</v>
      </c>
      <c r="J2482" t="str">
        <f>CONCATENATE(Consulta2[[#This Row],[SAFRA]],Consulta2[[#This Row],[dia]])</f>
        <v>20301016</v>
      </c>
      <c r="K2482">
        <f>Consulta2[[#This Row],[DIA_UTIL_CORRENTE]]</f>
        <v>12</v>
      </c>
    </row>
    <row r="2483" spans="1:11" x14ac:dyDescent="0.25">
      <c r="A2483">
        <v>203010</v>
      </c>
      <c r="B2483">
        <v>13</v>
      </c>
      <c r="C2483" s="148">
        <v>47773</v>
      </c>
      <c r="D2483">
        <v>23</v>
      </c>
      <c r="E2483">
        <v>23</v>
      </c>
      <c r="F2483">
        <v>1708</v>
      </c>
      <c r="G2483">
        <f>Consulta2[[#This Row],[DIA_UTIL_CORRENTE]]</f>
        <v>13</v>
      </c>
      <c r="H2483" s="6">
        <f>DAY(Consulta2[[#This Row],[DATA]])</f>
        <v>17</v>
      </c>
      <c r="I2483" s="6">
        <f>MONTH(Consulta2[[#This Row],[DATA]])</f>
        <v>10</v>
      </c>
      <c r="J2483" t="str">
        <f>CONCATENATE(Consulta2[[#This Row],[SAFRA]],Consulta2[[#This Row],[dia]])</f>
        <v>20301017</v>
      </c>
      <c r="K2483">
        <f>Consulta2[[#This Row],[DIA_UTIL_CORRENTE]]</f>
        <v>13</v>
      </c>
    </row>
    <row r="2484" spans="1:11" x14ac:dyDescent="0.25">
      <c r="A2484">
        <v>203010</v>
      </c>
      <c r="B2484">
        <v>14</v>
      </c>
      <c r="C2484" s="148">
        <v>47774</v>
      </c>
      <c r="D2484">
        <v>23</v>
      </c>
      <c r="E2484">
        <v>23</v>
      </c>
      <c r="F2484">
        <v>1709</v>
      </c>
      <c r="G2484">
        <f>Consulta2[[#This Row],[DIA_UTIL_CORRENTE]]</f>
        <v>14</v>
      </c>
      <c r="H2484" s="6">
        <f>DAY(Consulta2[[#This Row],[DATA]])</f>
        <v>18</v>
      </c>
      <c r="I2484" s="6">
        <f>MONTH(Consulta2[[#This Row],[DATA]])</f>
        <v>10</v>
      </c>
      <c r="J2484" t="str">
        <f>CONCATENATE(Consulta2[[#This Row],[SAFRA]],Consulta2[[#This Row],[dia]])</f>
        <v>20301018</v>
      </c>
      <c r="K2484">
        <f>Consulta2[[#This Row],[DIA_UTIL_CORRENTE]]</f>
        <v>14</v>
      </c>
    </row>
    <row r="2485" spans="1:11" x14ac:dyDescent="0.25">
      <c r="A2485">
        <v>203010</v>
      </c>
      <c r="B2485">
        <v>14</v>
      </c>
      <c r="C2485" s="148">
        <v>47775</v>
      </c>
      <c r="D2485">
        <v>23</v>
      </c>
      <c r="E2485">
        <v>23</v>
      </c>
      <c r="F2485">
        <v>1709</v>
      </c>
      <c r="G2485">
        <f>Consulta2[[#This Row],[DIA_UTIL_CORRENTE]]</f>
        <v>14</v>
      </c>
      <c r="H2485" s="6">
        <f>DAY(Consulta2[[#This Row],[DATA]])</f>
        <v>19</v>
      </c>
      <c r="I2485" s="6">
        <f>MONTH(Consulta2[[#This Row],[DATA]])</f>
        <v>10</v>
      </c>
      <c r="J2485" t="str">
        <f>CONCATENATE(Consulta2[[#This Row],[SAFRA]],Consulta2[[#This Row],[dia]])</f>
        <v>20301019</v>
      </c>
      <c r="K2485">
        <f>Consulta2[[#This Row],[DIA_UTIL_CORRENTE]]</f>
        <v>14</v>
      </c>
    </row>
    <row r="2486" spans="1:11" x14ac:dyDescent="0.25">
      <c r="A2486">
        <v>203010</v>
      </c>
      <c r="B2486">
        <v>14</v>
      </c>
      <c r="C2486" s="148">
        <v>47776</v>
      </c>
      <c r="D2486">
        <v>23</v>
      </c>
      <c r="E2486">
        <v>23</v>
      </c>
      <c r="F2486">
        <v>1709</v>
      </c>
      <c r="G2486">
        <f>Consulta2[[#This Row],[DIA_UTIL_CORRENTE]]</f>
        <v>14</v>
      </c>
      <c r="H2486" s="6">
        <f>DAY(Consulta2[[#This Row],[DATA]])</f>
        <v>20</v>
      </c>
      <c r="I2486" s="6">
        <f>MONTH(Consulta2[[#This Row],[DATA]])</f>
        <v>10</v>
      </c>
      <c r="J2486" t="str">
        <f>CONCATENATE(Consulta2[[#This Row],[SAFRA]],Consulta2[[#This Row],[dia]])</f>
        <v>20301020</v>
      </c>
      <c r="K2486">
        <f>Consulta2[[#This Row],[DIA_UTIL_CORRENTE]]</f>
        <v>14</v>
      </c>
    </row>
    <row r="2487" spans="1:11" x14ac:dyDescent="0.25">
      <c r="A2487">
        <v>203010</v>
      </c>
      <c r="B2487">
        <v>15</v>
      </c>
      <c r="C2487" s="148">
        <v>47777</v>
      </c>
      <c r="D2487">
        <v>23</v>
      </c>
      <c r="E2487">
        <v>23</v>
      </c>
      <c r="F2487">
        <v>1710</v>
      </c>
      <c r="G2487">
        <f>Consulta2[[#This Row],[DIA_UTIL_CORRENTE]]</f>
        <v>15</v>
      </c>
      <c r="H2487" s="6">
        <f>DAY(Consulta2[[#This Row],[DATA]])</f>
        <v>21</v>
      </c>
      <c r="I2487" s="6">
        <f>MONTH(Consulta2[[#This Row],[DATA]])</f>
        <v>10</v>
      </c>
      <c r="J2487" t="str">
        <f>CONCATENATE(Consulta2[[#This Row],[SAFRA]],Consulta2[[#This Row],[dia]])</f>
        <v>20301021</v>
      </c>
      <c r="K2487">
        <f>Consulta2[[#This Row],[DIA_UTIL_CORRENTE]]</f>
        <v>15</v>
      </c>
    </row>
    <row r="2488" spans="1:11" x14ac:dyDescent="0.25">
      <c r="A2488">
        <v>203010</v>
      </c>
      <c r="B2488">
        <v>16</v>
      </c>
      <c r="C2488" s="148">
        <v>47778</v>
      </c>
      <c r="D2488">
        <v>23</v>
      </c>
      <c r="E2488">
        <v>23</v>
      </c>
      <c r="F2488">
        <v>1711</v>
      </c>
      <c r="G2488">
        <f>Consulta2[[#This Row],[DIA_UTIL_CORRENTE]]</f>
        <v>16</v>
      </c>
      <c r="H2488" s="6">
        <f>DAY(Consulta2[[#This Row],[DATA]])</f>
        <v>22</v>
      </c>
      <c r="I2488" s="6">
        <f>MONTH(Consulta2[[#This Row],[DATA]])</f>
        <v>10</v>
      </c>
      <c r="J2488" t="str">
        <f>CONCATENATE(Consulta2[[#This Row],[SAFRA]],Consulta2[[#This Row],[dia]])</f>
        <v>20301022</v>
      </c>
      <c r="K2488">
        <f>Consulta2[[#This Row],[DIA_UTIL_CORRENTE]]</f>
        <v>16</v>
      </c>
    </row>
    <row r="2489" spans="1:11" x14ac:dyDescent="0.25">
      <c r="A2489">
        <v>203010</v>
      </c>
      <c r="B2489">
        <v>17</v>
      </c>
      <c r="C2489" s="148">
        <v>47779</v>
      </c>
      <c r="D2489">
        <v>23</v>
      </c>
      <c r="E2489">
        <v>23</v>
      </c>
      <c r="F2489">
        <v>1712</v>
      </c>
      <c r="G2489">
        <f>Consulta2[[#This Row],[DIA_UTIL_CORRENTE]]</f>
        <v>17</v>
      </c>
      <c r="H2489" s="6">
        <f>DAY(Consulta2[[#This Row],[DATA]])</f>
        <v>23</v>
      </c>
      <c r="I2489" s="6">
        <f>MONTH(Consulta2[[#This Row],[DATA]])</f>
        <v>10</v>
      </c>
      <c r="J2489" t="str">
        <f>CONCATENATE(Consulta2[[#This Row],[SAFRA]],Consulta2[[#This Row],[dia]])</f>
        <v>20301023</v>
      </c>
      <c r="K2489">
        <f>Consulta2[[#This Row],[DIA_UTIL_CORRENTE]]</f>
        <v>17</v>
      </c>
    </row>
    <row r="2490" spans="1:11" x14ac:dyDescent="0.25">
      <c r="A2490">
        <v>203010</v>
      </c>
      <c r="B2490">
        <v>18</v>
      </c>
      <c r="C2490" s="148">
        <v>47780</v>
      </c>
      <c r="D2490">
        <v>23</v>
      </c>
      <c r="E2490">
        <v>23</v>
      </c>
      <c r="F2490">
        <v>1713</v>
      </c>
      <c r="G2490">
        <f>Consulta2[[#This Row],[DIA_UTIL_CORRENTE]]</f>
        <v>18</v>
      </c>
      <c r="H2490" s="6">
        <f>DAY(Consulta2[[#This Row],[DATA]])</f>
        <v>24</v>
      </c>
      <c r="I2490" s="6">
        <f>MONTH(Consulta2[[#This Row],[DATA]])</f>
        <v>10</v>
      </c>
      <c r="J2490" t="str">
        <f>CONCATENATE(Consulta2[[#This Row],[SAFRA]],Consulta2[[#This Row],[dia]])</f>
        <v>20301024</v>
      </c>
      <c r="K2490">
        <f>Consulta2[[#This Row],[DIA_UTIL_CORRENTE]]</f>
        <v>18</v>
      </c>
    </row>
    <row r="2491" spans="1:11" x14ac:dyDescent="0.25">
      <c r="A2491">
        <v>203010</v>
      </c>
      <c r="B2491">
        <v>19</v>
      </c>
      <c r="C2491" s="148">
        <v>47781</v>
      </c>
      <c r="D2491">
        <v>23</v>
      </c>
      <c r="E2491">
        <v>23</v>
      </c>
      <c r="F2491">
        <v>1714</v>
      </c>
      <c r="G2491">
        <f>Consulta2[[#This Row],[DIA_UTIL_CORRENTE]]</f>
        <v>19</v>
      </c>
      <c r="H2491" s="6">
        <f>DAY(Consulta2[[#This Row],[DATA]])</f>
        <v>25</v>
      </c>
      <c r="I2491" s="6">
        <f>MONTH(Consulta2[[#This Row],[DATA]])</f>
        <v>10</v>
      </c>
      <c r="J2491" t="str">
        <f>CONCATENATE(Consulta2[[#This Row],[SAFRA]],Consulta2[[#This Row],[dia]])</f>
        <v>20301025</v>
      </c>
      <c r="K2491">
        <f>Consulta2[[#This Row],[DIA_UTIL_CORRENTE]]</f>
        <v>19</v>
      </c>
    </row>
    <row r="2492" spans="1:11" x14ac:dyDescent="0.25">
      <c r="A2492">
        <v>203010</v>
      </c>
      <c r="B2492">
        <v>19</v>
      </c>
      <c r="C2492" s="148">
        <v>47782</v>
      </c>
      <c r="D2492">
        <v>23</v>
      </c>
      <c r="E2492">
        <v>23</v>
      </c>
      <c r="F2492">
        <v>1714</v>
      </c>
      <c r="G2492">
        <f>Consulta2[[#This Row],[DIA_UTIL_CORRENTE]]</f>
        <v>19</v>
      </c>
      <c r="H2492" s="6">
        <f>DAY(Consulta2[[#This Row],[DATA]])</f>
        <v>26</v>
      </c>
      <c r="I2492" s="6">
        <f>MONTH(Consulta2[[#This Row],[DATA]])</f>
        <v>10</v>
      </c>
      <c r="J2492" t="str">
        <f>CONCATENATE(Consulta2[[#This Row],[SAFRA]],Consulta2[[#This Row],[dia]])</f>
        <v>20301026</v>
      </c>
      <c r="K2492">
        <f>Consulta2[[#This Row],[DIA_UTIL_CORRENTE]]</f>
        <v>19</v>
      </c>
    </row>
    <row r="2493" spans="1:11" x14ac:dyDescent="0.25">
      <c r="A2493">
        <v>203010</v>
      </c>
      <c r="B2493">
        <v>19</v>
      </c>
      <c r="C2493" s="148">
        <v>47783</v>
      </c>
      <c r="D2493">
        <v>23</v>
      </c>
      <c r="E2493">
        <v>23</v>
      </c>
      <c r="F2493">
        <v>1714</v>
      </c>
      <c r="G2493">
        <f>Consulta2[[#This Row],[DIA_UTIL_CORRENTE]]</f>
        <v>19</v>
      </c>
      <c r="H2493" s="6">
        <f>DAY(Consulta2[[#This Row],[DATA]])</f>
        <v>27</v>
      </c>
      <c r="I2493" s="6">
        <f>MONTH(Consulta2[[#This Row],[DATA]])</f>
        <v>10</v>
      </c>
      <c r="J2493" t="str">
        <f>CONCATENATE(Consulta2[[#This Row],[SAFRA]],Consulta2[[#This Row],[dia]])</f>
        <v>20301027</v>
      </c>
      <c r="K2493">
        <f>Consulta2[[#This Row],[DIA_UTIL_CORRENTE]]</f>
        <v>19</v>
      </c>
    </row>
    <row r="2494" spans="1:11" x14ac:dyDescent="0.25">
      <c r="A2494">
        <v>203010</v>
      </c>
      <c r="B2494">
        <v>20</v>
      </c>
      <c r="C2494" s="148">
        <v>47784</v>
      </c>
      <c r="D2494">
        <v>23</v>
      </c>
      <c r="E2494">
        <v>23</v>
      </c>
      <c r="F2494">
        <v>1715</v>
      </c>
      <c r="G2494">
        <f>Consulta2[[#This Row],[DIA_UTIL_CORRENTE]]</f>
        <v>20</v>
      </c>
      <c r="H2494" s="6">
        <f>DAY(Consulta2[[#This Row],[DATA]])</f>
        <v>28</v>
      </c>
      <c r="I2494" s="6">
        <f>MONTH(Consulta2[[#This Row],[DATA]])</f>
        <v>10</v>
      </c>
      <c r="J2494" t="str">
        <f>CONCATENATE(Consulta2[[#This Row],[SAFRA]],Consulta2[[#This Row],[dia]])</f>
        <v>20301028</v>
      </c>
      <c r="K2494">
        <f>Consulta2[[#This Row],[DIA_UTIL_CORRENTE]]</f>
        <v>20</v>
      </c>
    </row>
    <row r="2495" spans="1:11" x14ac:dyDescent="0.25">
      <c r="A2495">
        <v>203010</v>
      </c>
      <c r="B2495">
        <v>21</v>
      </c>
      <c r="C2495" s="148">
        <v>47785</v>
      </c>
      <c r="D2495">
        <v>23</v>
      </c>
      <c r="E2495">
        <v>23</v>
      </c>
      <c r="F2495">
        <v>1716</v>
      </c>
      <c r="G2495">
        <f>Consulta2[[#This Row],[DIA_UTIL_CORRENTE]]</f>
        <v>21</v>
      </c>
      <c r="H2495" s="6">
        <f>DAY(Consulta2[[#This Row],[DATA]])</f>
        <v>29</v>
      </c>
      <c r="I2495" s="6">
        <f>MONTH(Consulta2[[#This Row],[DATA]])</f>
        <v>10</v>
      </c>
      <c r="J2495" t="str">
        <f>CONCATENATE(Consulta2[[#This Row],[SAFRA]],Consulta2[[#This Row],[dia]])</f>
        <v>20301029</v>
      </c>
      <c r="K2495">
        <f>Consulta2[[#This Row],[DIA_UTIL_CORRENTE]]</f>
        <v>21</v>
      </c>
    </row>
    <row r="2496" spans="1:11" x14ac:dyDescent="0.25">
      <c r="A2496">
        <v>203010</v>
      </c>
      <c r="B2496">
        <v>22</v>
      </c>
      <c r="C2496" s="148">
        <v>47786</v>
      </c>
      <c r="D2496">
        <v>23</v>
      </c>
      <c r="E2496">
        <v>23</v>
      </c>
      <c r="F2496">
        <v>1717</v>
      </c>
      <c r="G2496">
        <f>Consulta2[[#This Row],[DIA_UTIL_CORRENTE]]</f>
        <v>22</v>
      </c>
      <c r="H2496" s="6">
        <f>DAY(Consulta2[[#This Row],[DATA]])</f>
        <v>30</v>
      </c>
      <c r="I2496" s="6">
        <f>MONTH(Consulta2[[#This Row],[DATA]])</f>
        <v>10</v>
      </c>
      <c r="J2496" t="str">
        <f>CONCATENATE(Consulta2[[#This Row],[SAFRA]],Consulta2[[#This Row],[dia]])</f>
        <v>20301030</v>
      </c>
      <c r="K2496">
        <f>Consulta2[[#This Row],[DIA_UTIL_CORRENTE]]</f>
        <v>22</v>
      </c>
    </row>
    <row r="2497" spans="1:11" x14ac:dyDescent="0.25">
      <c r="A2497">
        <v>203010</v>
      </c>
      <c r="B2497">
        <v>23</v>
      </c>
      <c r="C2497" s="148">
        <v>47787</v>
      </c>
      <c r="D2497">
        <v>23</v>
      </c>
      <c r="E2497">
        <v>23</v>
      </c>
      <c r="F2497">
        <v>1718</v>
      </c>
      <c r="G2497">
        <f>Consulta2[[#This Row],[DIA_UTIL_CORRENTE]]</f>
        <v>23</v>
      </c>
      <c r="H2497" s="6">
        <f>DAY(Consulta2[[#This Row],[DATA]])</f>
        <v>31</v>
      </c>
      <c r="I2497" s="6">
        <f>MONTH(Consulta2[[#This Row],[DATA]])</f>
        <v>10</v>
      </c>
      <c r="J2497" t="str">
        <f>CONCATENATE(Consulta2[[#This Row],[SAFRA]],Consulta2[[#This Row],[dia]])</f>
        <v>20301031</v>
      </c>
      <c r="K2497">
        <f>Consulta2[[#This Row],[DIA_UTIL_CORRENTE]]</f>
        <v>23</v>
      </c>
    </row>
    <row r="2498" spans="1:11" x14ac:dyDescent="0.25">
      <c r="A2498">
        <v>203011</v>
      </c>
      <c r="B2498">
        <v>1</v>
      </c>
      <c r="C2498" s="148">
        <v>47788</v>
      </c>
      <c r="D2498">
        <v>20</v>
      </c>
      <c r="E2498">
        <v>20</v>
      </c>
      <c r="F2498">
        <v>1719</v>
      </c>
      <c r="G2498">
        <f>Consulta2[[#This Row],[DIA_UTIL_CORRENTE]]</f>
        <v>1</v>
      </c>
      <c r="H2498" s="6">
        <f>DAY(Consulta2[[#This Row],[DATA]])</f>
        <v>1</v>
      </c>
      <c r="I2498" s="6">
        <f>MONTH(Consulta2[[#This Row],[DATA]])</f>
        <v>11</v>
      </c>
      <c r="J2498" t="str">
        <f>CONCATENATE(Consulta2[[#This Row],[SAFRA]],Consulta2[[#This Row],[dia]])</f>
        <v>2030111</v>
      </c>
      <c r="K2498">
        <f>Consulta2[[#This Row],[DIA_UTIL_CORRENTE]]</f>
        <v>1</v>
      </c>
    </row>
    <row r="2499" spans="1:11" x14ac:dyDescent="0.25">
      <c r="A2499">
        <v>203011</v>
      </c>
      <c r="B2499">
        <v>1</v>
      </c>
      <c r="C2499" s="148">
        <v>47789</v>
      </c>
      <c r="D2499">
        <v>20</v>
      </c>
      <c r="E2499">
        <v>20</v>
      </c>
      <c r="F2499">
        <v>1719</v>
      </c>
      <c r="G2499">
        <f>Consulta2[[#This Row],[DIA_UTIL_CORRENTE]]</f>
        <v>1</v>
      </c>
      <c r="H2499" s="6">
        <f>DAY(Consulta2[[#This Row],[DATA]])</f>
        <v>2</v>
      </c>
      <c r="I2499" s="6">
        <f>MONTH(Consulta2[[#This Row],[DATA]])</f>
        <v>11</v>
      </c>
      <c r="J2499" t="str">
        <f>CONCATENATE(Consulta2[[#This Row],[SAFRA]],Consulta2[[#This Row],[dia]])</f>
        <v>2030112</v>
      </c>
      <c r="K2499">
        <f>Consulta2[[#This Row],[DIA_UTIL_CORRENTE]]</f>
        <v>1</v>
      </c>
    </row>
    <row r="2500" spans="1:11" x14ac:dyDescent="0.25">
      <c r="A2500">
        <v>203011</v>
      </c>
      <c r="B2500">
        <v>1</v>
      </c>
      <c r="C2500" s="148">
        <v>47790</v>
      </c>
      <c r="D2500">
        <v>20</v>
      </c>
      <c r="E2500">
        <v>20</v>
      </c>
      <c r="F2500">
        <v>1719</v>
      </c>
      <c r="G2500">
        <f>Consulta2[[#This Row],[DIA_UTIL_CORRENTE]]</f>
        <v>1</v>
      </c>
      <c r="H2500" s="6">
        <f>DAY(Consulta2[[#This Row],[DATA]])</f>
        <v>3</v>
      </c>
      <c r="I2500" s="6">
        <f>MONTH(Consulta2[[#This Row],[DATA]])</f>
        <v>11</v>
      </c>
      <c r="J2500" t="str">
        <f>CONCATENATE(Consulta2[[#This Row],[SAFRA]],Consulta2[[#This Row],[dia]])</f>
        <v>2030113</v>
      </c>
      <c r="K2500">
        <f>Consulta2[[#This Row],[DIA_UTIL_CORRENTE]]</f>
        <v>1</v>
      </c>
    </row>
    <row r="2501" spans="1:11" x14ac:dyDescent="0.25">
      <c r="A2501">
        <v>203011</v>
      </c>
      <c r="B2501">
        <v>2</v>
      </c>
      <c r="C2501" s="148">
        <v>47791</v>
      </c>
      <c r="D2501">
        <v>20</v>
      </c>
      <c r="E2501">
        <v>20</v>
      </c>
      <c r="F2501">
        <v>1720</v>
      </c>
      <c r="G2501">
        <f>Consulta2[[#This Row],[DIA_UTIL_CORRENTE]]</f>
        <v>2</v>
      </c>
      <c r="H2501" s="6">
        <f>DAY(Consulta2[[#This Row],[DATA]])</f>
        <v>4</v>
      </c>
      <c r="I2501" s="6">
        <f>MONTH(Consulta2[[#This Row],[DATA]])</f>
        <v>11</v>
      </c>
      <c r="J2501" t="str">
        <f>CONCATENATE(Consulta2[[#This Row],[SAFRA]],Consulta2[[#This Row],[dia]])</f>
        <v>2030114</v>
      </c>
      <c r="K2501">
        <f>Consulta2[[#This Row],[DIA_UTIL_CORRENTE]]</f>
        <v>2</v>
      </c>
    </row>
    <row r="2502" spans="1:11" x14ac:dyDescent="0.25">
      <c r="A2502">
        <v>203011</v>
      </c>
      <c r="B2502">
        <v>3</v>
      </c>
      <c r="C2502" s="148">
        <v>47792</v>
      </c>
      <c r="D2502">
        <v>20</v>
      </c>
      <c r="E2502">
        <v>20</v>
      </c>
      <c r="F2502">
        <v>1721</v>
      </c>
      <c r="G2502">
        <f>Consulta2[[#This Row],[DIA_UTIL_CORRENTE]]</f>
        <v>3</v>
      </c>
      <c r="H2502" s="6">
        <f>DAY(Consulta2[[#This Row],[DATA]])</f>
        <v>5</v>
      </c>
      <c r="I2502" s="6">
        <f>MONTH(Consulta2[[#This Row],[DATA]])</f>
        <v>11</v>
      </c>
      <c r="J2502" t="str">
        <f>CONCATENATE(Consulta2[[#This Row],[SAFRA]],Consulta2[[#This Row],[dia]])</f>
        <v>2030115</v>
      </c>
      <c r="K2502">
        <f>Consulta2[[#This Row],[DIA_UTIL_CORRENTE]]</f>
        <v>3</v>
      </c>
    </row>
    <row r="2503" spans="1:11" x14ac:dyDescent="0.25">
      <c r="A2503">
        <v>203011</v>
      </c>
      <c r="B2503">
        <v>4</v>
      </c>
      <c r="C2503" s="148">
        <v>47793</v>
      </c>
      <c r="D2503">
        <v>20</v>
      </c>
      <c r="E2503">
        <v>20</v>
      </c>
      <c r="F2503">
        <v>1722</v>
      </c>
      <c r="G2503">
        <f>Consulta2[[#This Row],[DIA_UTIL_CORRENTE]]</f>
        <v>4</v>
      </c>
      <c r="H2503" s="6">
        <f>DAY(Consulta2[[#This Row],[DATA]])</f>
        <v>6</v>
      </c>
      <c r="I2503" s="6">
        <f>MONTH(Consulta2[[#This Row],[DATA]])</f>
        <v>11</v>
      </c>
      <c r="J2503" t="str">
        <f>CONCATENATE(Consulta2[[#This Row],[SAFRA]],Consulta2[[#This Row],[dia]])</f>
        <v>2030116</v>
      </c>
      <c r="K2503">
        <f>Consulta2[[#This Row],[DIA_UTIL_CORRENTE]]</f>
        <v>4</v>
      </c>
    </row>
    <row r="2504" spans="1:11" x14ac:dyDescent="0.25">
      <c r="A2504">
        <v>203011</v>
      </c>
      <c r="B2504">
        <v>5</v>
      </c>
      <c r="C2504" s="148">
        <v>47794</v>
      </c>
      <c r="D2504">
        <v>20</v>
      </c>
      <c r="E2504">
        <v>20</v>
      </c>
      <c r="F2504">
        <v>1723</v>
      </c>
      <c r="G2504">
        <f>Consulta2[[#This Row],[DIA_UTIL_CORRENTE]]</f>
        <v>5</v>
      </c>
      <c r="H2504" s="6">
        <f>DAY(Consulta2[[#This Row],[DATA]])</f>
        <v>7</v>
      </c>
      <c r="I2504" s="6">
        <f>MONTH(Consulta2[[#This Row],[DATA]])</f>
        <v>11</v>
      </c>
      <c r="J2504" t="str">
        <f>CONCATENATE(Consulta2[[#This Row],[SAFRA]],Consulta2[[#This Row],[dia]])</f>
        <v>2030117</v>
      </c>
      <c r="K2504">
        <f>Consulta2[[#This Row],[DIA_UTIL_CORRENTE]]</f>
        <v>5</v>
      </c>
    </row>
    <row r="2505" spans="1:11" x14ac:dyDescent="0.25">
      <c r="A2505">
        <v>203011</v>
      </c>
      <c r="B2505">
        <v>6</v>
      </c>
      <c r="C2505" s="148">
        <v>47795</v>
      </c>
      <c r="D2505">
        <v>20</v>
      </c>
      <c r="E2505">
        <v>20</v>
      </c>
      <c r="F2505">
        <v>1724</v>
      </c>
      <c r="G2505">
        <f>Consulta2[[#This Row],[DIA_UTIL_CORRENTE]]</f>
        <v>6</v>
      </c>
      <c r="H2505" s="6">
        <f>DAY(Consulta2[[#This Row],[DATA]])</f>
        <v>8</v>
      </c>
      <c r="I2505" s="6">
        <f>MONTH(Consulta2[[#This Row],[DATA]])</f>
        <v>11</v>
      </c>
      <c r="J2505" t="str">
        <f>CONCATENATE(Consulta2[[#This Row],[SAFRA]],Consulta2[[#This Row],[dia]])</f>
        <v>2030118</v>
      </c>
      <c r="K2505">
        <f>Consulta2[[#This Row],[DIA_UTIL_CORRENTE]]</f>
        <v>6</v>
      </c>
    </row>
    <row r="2506" spans="1:11" x14ac:dyDescent="0.25">
      <c r="A2506">
        <v>203011</v>
      </c>
      <c r="B2506">
        <v>6</v>
      </c>
      <c r="C2506" s="148">
        <v>47796</v>
      </c>
      <c r="D2506">
        <v>20</v>
      </c>
      <c r="E2506">
        <v>20</v>
      </c>
      <c r="F2506">
        <v>1724</v>
      </c>
      <c r="G2506">
        <f>Consulta2[[#This Row],[DIA_UTIL_CORRENTE]]</f>
        <v>6</v>
      </c>
      <c r="H2506" s="6">
        <f>DAY(Consulta2[[#This Row],[DATA]])</f>
        <v>9</v>
      </c>
      <c r="I2506" s="6">
        <f>MONTH(Consulta2[[#This Row],[DATA]])</f>
        <v>11</v>
      </c>
      <c r="J2506" t="str">
        <f>CONCATENATE(Consulta2[[#This Row],[SAFRA]],Consulta2[[#This Row],[dia]])</f>
        <v>2030119</v>
      </c>
      <c r="K2506">
        <f>Consulta2[[#This Row],[DIA_UTIL_CORRENTE]]</f>
        <v>6</v>
      </c>
    </row>
    <row r="2507" spans="1:11" x14ac:dyDescent="0.25">
      <c r="A2507">
        <v>203011</v>
      </c>
      <c r="B2507">
        <v>6</v>
      </c>
      <c r="C2507" s="148">
        <v>47797</v>
      </c>
      <c r="D2507">
        <v>20</v>
      </c>
      <c r="E2507">
        <v>20</v>
      </c>
      <c r="F2507">
        <v>1724</v>
      </c>
      <c r="G2507">
        <f>Consulta2[[#This Row],[DIA_UTIL_CORRENTE]]</f>
        <v>6</v>
      </c>
      <c r="H2507" s="6">
        <f>DAY(Consulta2[[#This Row],[DATA]])</f>
        <v>10</v>
      </c>
      <c r="I2507" s="6">
        <f>MONTH(Consulta2[[#This Row],[DATA]])</f>
        <v>11</v>
      </c>
      <c r="J2507" t="str">
        <f>CONCATENATE(Consulta2[[#This Row],[SAFRA]],Consulta2[[#This Row],[dia]])</f>
        <v>20301110</v>
      </c>
      <c r="K2507">
        <f>Consulta2[[#This Row],[DIA_UTIL_CORRENTE]]</f>
        <v>6</v>
      </c>
    </row>
    <row r="2508" spans="1:11" x14ac:dyDescent="0.25">
      <c r="A2508">
        <v>203011</v>
      </c>
      <c r="B2508">
        <v>7</v>
      </c>
      <c r="C2508" s="148">
        <v>47798</v>
      </c>
      <c r="D2508">
        <v>20</v>
      </c>
      <c r="E2508">
        <v>20</v>
      </c>
      <c r="F2508">
        <v>1725</v>
      </c>
      <c r="G2508">
        <f>Consulta2[[#This Row],[DIA_UTIL_CORRENTE]]</f>
        <v>7</v>
      </c>
      <c r="H2508" s="6">
        <f>DAY(Consulta2[[#This Row],[DATA]])</f>
        <v>11</v>
      </c>
      <c r="I2508" s="6">
        <f>MONTH(Consulta2[[#This Row],[DATA]])</f>
        <v>11</v>
      </c>
      <c r="J2508" t="str">
        <f>CONCATENATE(Consulta2[[#This Row],[SAFRA]],Consulta2[[#This Row],[dia]])</f>
        <v>20301111</v>
      </c>
      <c r="K2508">
        <f>Consulta2[[#This Row],[DIA_UTIL_CORRENTE]]</f>
        <v>7</v>
      </c>
    </row>
    <row r="2509" spans="1:11" x14ac:dyDescent="0.25">
      <c r="A2509">
        <v>203011</v>
      </c>
      <c r="B2509">
        <v>8</v>
      </c>
      <c r="C2509" s="148">
        <v>47799</v>
      </c>
      <c r="D2509">
        <v>20</v>
      </c>
      <c r="E2509">
        <v>20</v>
      </c>
      <c r="F2509">
        <v>1726</v>
      </c>
      <c r="G2509">
        <f>Consulta2[[#This Row],[DIA_UTIL_CORRENTE]]</f>
        <v>8</v>
      </c>
      <c r="H2509" s="6">
        <f>DAY(Consulta2[[#This Row],[DATA]])</f>
        <v>12</v>
      </c>
      <c r="I2509" s="6">
        <f>MONTH(Consulta2[[#This Row],[DATA]])</f>
        <v>11</v>
      </c>
      <c r="J2509" t="str">
        <f>CONCATENATE(Consulta2[[#This Row],[SAFRA]],Consulta2[[#This Row],[dia]])</f>
        <v>20301112</v>
      </c>
      <c r="K2509">
        <f>Consulta2[[#This Row],[DIA_UTIL_CORRENTE]]</f>
        <v>8</v>
      </c>
    </row>
    <row r="2510" spans="1:11" x14ac:dyDescent="0.25">
      <c r="A2510">
        <v>203011</v>
      </c>
      <c r="B2510">
        <v>9</v>
      </c>
      <c r="C2510" s="148">
        <v>47800</v>
      </c>
      <c r="D2510">
        <v>20</v>
      </c>
      <c r="E2510">
        <v>20</v>
      </c>
      <c r="F2510">
        <v>1727</v>
      </c>
      <c r="G2510">
        <f>Consulta2[[#This Row],[DIA_UTIL_CORRENTE]]</f>
        <v>9</v>
      </c>
      <c r="H2510" s="6">
        <f>DAY(Consulta2[[#This Row],[DATA]])</f>
        <v>13</v>
      </c>
      <c r="I2510" s="6">
        <f>MONTH(Consulta2[[#This Row],[DATA]])</f>
        <v>11</v>
      </c>
      <c r="J2510" t="str">
        <f>CONCATENATE(Consulta2[[#This Row],[SAFRA]],Consulta2[[#This Row],[dia]])</f>
        <v>20301113</v>
      </c>
      <c r="K2510">
        <f>Consulta2[[#This Row],[DIA_UTIL_CORRENTE]]</f>
        <v>9</v>
      </c>
    </row>
    <row r="2511" spans="1:11" x14ac:dyDescent="0.25">
      <c r="A2511">
        <v>203011</v>
      </c>
      <c r="B2511">
        <v>10</v>
      </c>
      <c r="C2511" s="148">
        <v>47801</v>
      </c>
      <c r="D2511">
        <v>20</v>
      </c>
      <c r="E2511">
        <v>20</v>
      </c>
      <c r="F2511">
        <v>1728</v>
      </c>
      <c r="G2511">
        <f>Consulta2[[#This Row],[DIA_UTIL_CORRENTE]]</f>
        <v>10</v>
      </c>
      <c r="H2511" s="6">
        <f>DAY(Consulta2[[#This Row],[DATA]])</f>
        <v>14</v>
      </c>
      <c r="I2511" s="6">
        <f>MONTH(Consulta2[[#This Row],[DATA]])</f>
        <v>11</v>
      </c>
      <c r="J2511" t="str">
        <f>CONCATENATE(Consulta2[[#This Row],[SAFRA]],Consulta2[[#This Row],[dia]])</f>
        <v>20301114</v>
      </c>
      <c r="K2511">
        <f>Consulta2[[#This Row],[DIA_UTIL_CORRENTE]]</f>
        <v>10</v>
      </c>
    </row>
    <row r="2512" spans="1:11" x14ac:dyDescent="0.25">
      <c r="A2512">
        <v>203011</v>
      </c>
      <c r="B2512">
        <v>10</v>
      </c>
      <c r="C2512" s="148">
        <v>47802</v>
      </c>
      <c r="D2512">
        <v>20</v>
      </c>
      <c r="E2512">
        <v>20</v>
      </c>
      <c r="F2512">
        <v>1728</v>
      </c>
      <c r="G2512">
        <f>Consulta2[[#This Row],[DIA_UTIL_CORRENTE]]</f>
        <v>10</v>
      </c>
      <c r="H2512" s="6">
        <f>DAY(Consulta2[[#This Row],[DATA]])</f>
        <v>15</v>
      </c>
      <c r="I2512" s="6">
        <f>MONTH(Consulta2[[#This Row],[DATA]])</f>
        <v>11</v>
      </c>
      <c r="J2512" t="str">
        <f>CONCATENATE(Consulta2[[#This Row],[SAFRA]],Consulta2[[#This Row],[dia]])</f>
        <v>20301115</v>
      </c>
      <c r="K2512">
        <f>Consulta2[[#This Row],[DIA_UTIL_CORRENTE]]</f>
        <v>10</v>
      </c>
    </row>
    <row r="2513" spans="1:11" x14ac:dyDescent="0.25">
      <c r="A2513">
        <v>203011</v>
      </c>
      <c r="B2513">
        <v>10</v>
      </c>
      <c r="C2513" s="148">
        <v>47803</v>
      </c>
      <c r="D2513">
        <v>20</v>
      </c>
      <c r="E2513">
        <v>20</v>
      </c>
      <c r="F2513">
        <v>1728</v>
      </c>
      <c r="G2513">
        <f>Consulta2[[#This Row],[DIA_UTIL_CORRENTE]]</f>
        <v>10</v>
      </c>
      <c r="H2513" s="6">
        <f>DAY(Consulta2[[#This Row],[DATA]])</f>
        <v>16</v>
      </c>
      <c r="I2513" s="6">
        <f>MONTH(Consulta2[[#This Row],[DATA]])</f>
        <v>11</v>
      </c>
      <c r="J2513" t="str">
        <f>CONCATENATE(Consulta2[[#This Row],[SAFRA]],Consulta2[[#This Row],[dia]])</f>
        <v>20301116</v>
      </c>
      <c r="K2513">
        <f>Consulta2[[#This Row],[DIA_UTIL_CORRENTE]]</f>
        <v>10</v>
      </c>
    </row>
    <row r="2514" spans="1:11" x14ac:dyDescent="0.25">
      <c r="A2514">
        <v>203011</v>
      </c>
      <c r="B2514">
        <v>10</v>
      </c>
      <c r="C2514" s="148">
        <v>47804</v>
      </c>
      <c r="D2514">
        <v>20</v>
      </c>
      <c r="E2514">
        <v>20</v>
      </c>
      <c r="F2514">
        <v>1728</v>
      </c>
      <c r="G2514">
        <f>Consulta2[[#This Row],[DIA_UTIL_CORRENTE]]</f>
        <v>10</v>
      </c>
      <c r="H2514" s="6">
        <f>DAY(Consulta2[[#This Row],[DATA]])</f>
        <v>17</v>
      </c>
      <c r="I2514" s="6">
        <f>MONTH(Consulta2[[#This Row],[DATA]])</f>
        <v>11</v>
      </c>
      <c r="J2514" t="str">
        <f>CONCATENATE(Consulta2[[#This Row],[SAFRA]],Consulta2[[#This Row],[dia]])</f>
        <v>20301117</v>
      </c>
      <c r="K2514">
        <f>Consulta2[[#This Row],[DIA_UTIL_CORRENTE]]</f>
        <v>10</v>
      </c>
    </row>
    <row r="2515" spans="1:11" x14ac:dyDescent="0.25">
      <c r="A2515">
        <v>203011</v>
      </c>
      <c r="B2515">
        <v>11</v>
      </c>
      <c r="C2515" s="148">
        <v>47805</v>
      </c>
      <c r="D2515">
        <v>20</v>
      </c>
      <c r="E2515">
        <v>20</v>
      </c>
      <c r="F2515">
        <v>1729</v>
      </c>
      <c r="G2515">
        <f>Consulta2[[#This Row],[DIA_UTIL_CORRENTE]]</f>
        <v>11</v>
      </c>
      <c r="H2515" s="6">
        <f>DAY(Consulta2[[#This Row],[DATA]])</f>
        <v>18</v>
      </c>
      <c r="I2515" s="6">
        <f>MONTH(Consulta2[[#This Row],[DATA]])</f>
        <v>11</v>
      </c>
      <c r="J2515" t="str">
        <f>CONCATENATE(Consulta2[[#This Row],[SAFRA]],Consulta2[[#This Row],[dia]])</f>
        <v>20301118</v>
      </c>
      <c r="K2515">
        <f>Consulta2[[#This Row],[DIA_UTIL_CORRENTE]]</f>
        <v>11</v>
      </c>
    </row>
    <row r="2516" spans="1:11" x14ac:dyDescent="0.25">
      <c r="A2516">
        <v>203011</v>
      </c>
      <c r="B2516">
        <v>12</v>
      </c>
      <c r="C2516" s="148">
        <v>47806</v>
      </c>
      <c r="D2516">
        <v>20</v>
      </c>
      <c r="E2516">
        <v>20</v>
      </c>
      <c r="F2516">
        <v>1730</v>
      </c>
      <c r="G2516">
        <f>Consulta2[[#This Row],[DIA_UTIL_CORRENTE]]</f>
        <v>12</v>
      </c>
      <c r="H2516" s="6">
        <f>DAY(Consulta2[[#This Row],[DATA]])</f>
        <v>19</v>
      </c>
      <c r="I2516" s="6">
        <f>MONTH(Consulta2[[#This Row],[DATA]])</f>
        <v>11</v>
      </c>
      <c r="J2516" t="str">
        <f>CONCATENATE(Consulta2[[#This Row],[SAFRA]],Consulta2[[#This Row],[dia]])</f>
        <v>20301119</v>
      </c>
      <c r="K2516">
        <f>Consulta2[[#This Row],[DIA_UTIL_CORRENTE]]</f>
        <v>12</v>
      </c>
    </row>
    <row r="2517" spans="1:11" x14ac:dyDescent="0.25">
      <c r="A2517">
        <v>203011</v>
      </c>
      <c r="B2517">
        <v>13</v>
      </c>
      <c r="C2517" s="148">
        <v>47807</v>
      </c>
      <c r="D2517">
        <v>20</v>
      </c>
      <c r="E2517">
        <v>20</v>
      </c>
      <c r="F2517">
        <v>1731</v>
      </c>
      <c r="G2517">
        <f>Consulta2[[#This Row],[DIA_UTIL_CORRENTE]]</f>
        <v>13</v>
      </c>
      <c r="H2517" s="6">
        <f>DAY(Consulta2[[#This Row],[DATA]])</f>
        <v>20</v>
      </c>
      <c r="I2517" s="6">
        <f>MONTH(Consulta2[[#This Row],[DATA]])</f>
        <v>11</v>
      </c>
      <c r="J2517" t="str">
        <f>CONCATENATE(Consulta2[[#This Row],[SAFRA]],Consulta2[[#This Row],[dia]])</f>
        <v>20301120</v>
      </c>
      <c r="K2517">
        <f>Consulta2[[#This Row],[DIA_UTIL_CORRENTE]]</f>
        <v>13</v>
      </c>
    </row>
    <row r="2518" spans="1:11" x14ac:dyDescent="0.25">
      <c r="A2518">
        <v>203011</v>
      </c>
      <c r="B2518">
        <v>14</v>
      </c>
      <c r="C2518" s="148">
        <v>47808</v>
      </c>
      <c r="D2518">
        <v>20</v>
      </c>
      <c r="E2518">
        <v>20</v>
      </c>
      <c r="F2518">
        <v>1732</v>
      </c>
      <c r="G2518">
        <f>Consulta2[[#This Row],[DIA_UTIL_CORRENTE]]</f>
        <v>14</v>
      </c>
      <c r="H2518" s="6">
        <f>DAY(Consulta2[[#This Row],[DATA]])</f>
        <v>21</v>
      </c>
      <c r="I2518" s="6">
        <f>MONTH(Consulta2[[#This Row],[DATA]])</f>
        <v>11</v>
      </c>
      <c r="J2518" t="str">
        <f>CONCATENATE(Consulta2[[#This Row],[SAFRA]],Consulta2[[#This Row],[dia]])</f>
        <v>20301121</v>
      </c>
      <c r="K2518">
        <f>Consulta2[[#This Row],[DIA_UTIL_CORRENTE]]</f>
        <v>14</v>
      </c>
    </row>
    <row r="2519" spans="1:11" x14ac:dyDescent="0.25">
      <c r="A2519">
        <v>203011</v>
      </c>
      <c r="B2519">
        <v>15</v>
      </c>
      <c r="C2519" s="148">
        <v>47809</v>
      </c>
      <c r="D2519">
        <v>20</v>
      </c>
      <c r="E2519">
        <v>20</v>
      </c>
      <c r="F2519">
        <v>1733</v>
      </c>
      <c r="G2519">
        <f>Consulta2[[#This Row],[DIA_UTIL_CORRENTE]]</f>
        <v>15</v>
      </c>
      <c r="H2519" s="6">
        <f>DAY(Consulta2[[#This Row],[DATA]])</f>
        <v>22</v>
      </c>
      <c r="I2519" s="6">
        <f>MONTH(Consulta2[[#This Row],[DATA]])</f>
        <v>11</v>
      </c>
      <c r="J2519" t="str">
        <f>CONCATENATE(Consulta2[[#This Row],[SAFRA]],Consulta2[[#This Row],[dia]])</f>
        <v>20301122</v>
      </c>
      <c r="K2519">
        <f>Consulta2[[#This Row],[DIA_UTIL_CORRENTE]]</f>
        <v>15</v>
      </c>
    </row>
    <row r="2520" spans="1:11" x14ac:dyDescent="0.25">
      <c r="A2520">
        <v>203011</v>
      </c>
      <c r="B2520">
        <v>15</v>
      </c>
      <c r="C2520" s="148">
        <v>47810</v>
      </c>
      <c r="D2520">
        <v>20</v>
      </c>
      <c r="E2520">
        <v>20</v>
      </c>
      <c r="F2520">
        <v>1733</v>
      </c>
      <c r="G2520">
        <f>Consulta2[[#This Row],[DIA_UTIL_CORRENTE]]</f>
        <v>15</v>
      </c>
      <c r="H2520" s="6">
        <f>DAY(Consulta2[[#This Row],[DATA]])</f>
        <v>23</v>
      </c>
      <c r="I2520" s="6">
        <f>MONTH(Consulta2[[#This Row],[DATA]])</f>
        <v>11</v>
      </c>
      <c r="J2520" t="str">
        <f>CONCATENATE(Consulta2[[#This Row],[SAFRA]],Consulta2[[#This Row],[dia]])</f>
        <v>20301123</v>
      </c>
      <c r="K2520">
        <f>Consulta2[[#This Row],[DIA_UTIL_CORRENTE]]</f>
        <v>15</v>
      </c>
    </row>
    <row r="2521" spans="1:11" x14ac:dyDescent="0.25">
      <c r="A2521">
        <v>203011</v>
      </c>
      <c r="B2521">
        <v>15</v>
      </c>
      <c r="C2521" s="148">
        <v>47811</v>
      </c>
      <c r="D2521">
        <v>20</v>
      </c>
      <c r="E2521">
        <v>20</v>
      </c>
      <c r="F2521">
        <v>1733</v>
      </c>
      <c r="G2521">
        <f>Consulta2[[#This Row],[DIA_UTIL_CORRENTE]]</f>
        <v>15</v>
      </c>
      <c r="H2521" s="6">
        <f>DAY(Consulta2[[#This Row],[DATA]])</f>
        <v>24</v>
      </c>
      <c r="I2521" s="6">
        <f>MONTH(Consulta2[[#This Row],[DATA]])</f>
        <v>11</v>
      </c>
      <c r="J2521" t="str">
        <f>CONCATENATE(Consulta2[[#This Row],[SAFRA]],Consulta2[[#This Row],[dia]])</f>
        <v>20301124</v>
      </c>
      <c r="K2521">
        <f>Consulta2[[#This Row],[DIA_UTIL_CORRENTE]]</f>
        <v>15</v>
      </c>
    </row>
    <row r="2522" spans="1:11" x14ac:dyDescent="0.25">
      <c r="A2522">
        <v>203011</v>
      </c>
      <c r="B2522">
        <v>16</v>
      </c>
      <c r="C2522" s="148">
        <v>47812</v>
      </c>
      <c r="D2522">
        <v>20</v>
      </c>
      <c r="E2522">
        <v>20</v>
      </c>
      <c r="F2522">
        <v>1734</v>
      </c>
      <c r="G2522">
        <f>Consulta2[[#This Row],[DIA_UTIL_CORRENTE]]</f>
        <v>16</v>
      </c>
      <c r="H2522" s="6">
        <f>DAY(Consulta2[[#This Row],[DATA]])</f>
        <v>25</v>
      </c>
      <c r="I2522" s="6">
        <f>MONTH(Consulta2[[#This Row],[DATA]])</f>
        <v>11</v>
      </c>
      <c r="J2522" t="str">
        <f>CONCATENATE(Consulta2[[#This Row],[SAFRA]],Consulta2[[#This Row],[dia]])</f>
        <v>20301125</v>
      </c>
      <c r="K2522">
        <f>Consulta2[[#This Row],[DIA_UTIL_CORRENTE]]</f>
        <v>16</v>
      </c>
    </row>
    <row r="2523" spans="1:11" x14ac:dyDescent="0.25">
      <c r="A2523">
        <v>203011</v>
      </c>
      <c r="B2523">
        <v>17</v>
      </c>
      <c r="C2523" s="148">
        <v>47813</v>
      </c>
      <c r="D2523">
        <v>20</v>
      </c>
      <c r="E2523">
        <v>20</v>
      </c>
      <c r="F2523">
        <v>1735</v>
      </c>
      <c r="G2523">
        <f>Consulta2[[#This Row],[DIA_UTIL_CORRENTE]]</f>
        <v>17</v>
      </c>
      <c r="H2523" s="6">
        <f>DAY(Consulta2[[#This Row],[DATA]])</f>
        <v>26</v>
      </c>
      <c r="I2523" s="6">
        <f>MONTH(Consulta2[[#This Row],[DATA]])</f>
        <v>11</v>
      </c>
      <c r="J2523" t="str">
        <f>CONCATENATE(Consulta2[[#This Row],[SAFRA]],Consulta2[[#This Row],[dia]])</f>
        <v>20301126</v>
      </c>
      <c r="K2523">
        <f>Consulta2[[#This Row],[DIA_UTIL_CORRENTE]]</f>
        <v>17</v>
      </c>
    </row>
    <row r="2524" spans="1:11" x14ac:dyDescent="0.25">
      <c r="A2524">
        <v>203011</v>
      </c>
      <c r="B2524">
        <v>18</v>
      </c>
      <c r="C2524" s="148">
        <v>47814</v>
      </c>
      <c r="D2524">
        <v>20</v>
      </c>
      <c r="E2524">
        <v>20</v>
      </c>
      <c r="F2524">
        <v>1736</v>
      </c>
      <c r="G2524">
        <f>Consulta2[[#This Row],[DIA_UTIL_CORRENTE]]</f>
        <v>18</v>
      </c>
      <c r="H2524" s="6">
        <f>DAY(Consulta2[[#This Row],[DATA]])</f>
        <v>27</v>
      </c>
      <c r="I2524" s="6">
        <f>MONTH(Consulta2[[#This Row],[DATA]])</f>
        <v>11</v>
      </c>
      <c r="J2524" t="str">
        <f>CONCATENATE(Consulta2[[#This Row],[SAFRA]],Consulta2[[#This Row],[dia]])</f>
        <v>20301127</v>
      </c>
      <c r="K2524">
        <f>Consulta2[[#This Row],[DIA_UTIL_CORRENTE]]</f>
        <v>18</v>
      </c>
    </row>
    <row r="2525" spans="1:11" x14ac:dyDescent="0.25">
      <c r="A2525">
        <v>203011</v>
      </c>
      <c r="B2525">
        <v>19</v>
      </c>
      <c r="C2525" s="148">
        <v>47815</v>
      </c>
      <c r="D2525">
        <v>20</v>
      </c>
      <c r="E2525">
        <v>20</v>
      </c>
      <c r="F2525">
        <v>1737</v>
      </c>
      <c r="G2525">
        <f>Consulta2[[#This Row],[DIA_UTIL_CORRENTE]]</f>
        <v>19</v>
      </c>
      <c r="H2525" s="6">
        <f>DAY(Consulta2[[#This Row],[DATA]])</f>
        <v>28</v>
      </c>
      <c r="I2525" s="6">
        <f>MONTH(Consulta2[[#This Row],[DATA]])</f>
        <v>11</v>
      </c>
      <c r="J2525" t="str">
        <f>CONCATENATE(Consulta2[[#This Row],[SAFRA]],Consulta2[[#This Row],[dia]])</f>
        <v>20301128</v>
      </c>
      <c r="K2525">
        <f>Consulta2[[#This Row],[DIA_UTIL_CORRENTE]]</f>
        <v>19</v>
      </c>
    </row>
    <row r="2526" spans="1:11" x14ac:dyDescent="0.25">
      <c r="A2526">
        <v>203011</v>
      </c>
      <c r="B2526">
        <v>20</v>
      </c>
      <c r="C2526" s="148">
        <v>47816</v>
      </c>
      <c r="D2526">
        <v>20</v>
      </c>
      <c r="E2526">
        <v>20</v>
      </c>
      <c r="F2526">
        <v>1738</v>
      </c>
      <c r="G2526">
        <f>Consulta2[[#This Row],[DIA_UTIL_CORRENTE]]</f>
        <v>20</v>
      </c>
      <c r="H2526" s="6">
        <f>DAY(Consulta2[[#This Row],[DATA]])</f>
        <v>29</v>
      </c>
      <c r="I2526" s="6">
        <f>MONTH(Consulta2[[#This Row],[DATA]])</f>
        <v>11</v>
      </c>
      <c r="J2526" t="str">
        <f>CONCATENATE(Consulta2[[#This Row],[SAFRA]],Consulta2[[#This Row],[dia]])</f>
        <v>20301129</v>
      </c>
      <c r="K2526">
        <f>Consulta2[[#This Row],[DIA_UTIL_CORRENTE]]</f>
        <v>20</v>
      </c>
    </row>
    <row r="2527" spans="1:11" x14ac:dyDescent="0.25">
      <c r="A2527">
        <v>203011</v>
      </c>
      <c r="B2527">
        <v>20</v>
      </c>
      <c r="C2527" s="148">
        <v>47817</v>
      </c>
      <c r="D2527">
        <v>20</v>
      </c>
      <c r="E2527">
        <v>20</v>
      </c>
      <c r="F2527">
        <v>1738</v>
      </c>
      <c r="G2527">
        <f>Consulta2[[#This Row],[DIA_UTIL_CORRENTE]]</f>
        <v>20</v>
      </c>
      <c r="H2527" s="6">
        <f>DAY(Consulta2[[#This Row],[DATA]])</f>
        <v>30</v>
      </c>
      <c r="I2527" s="6">
        <f>MONTH(Consulta2[[#This Row],[DATA]])</f>
        <v>11</v>
      </c>
      <c r="J2527" t="str">
        <f>CONCATENATE(Consulta2[[#This Row],[SAFRA]],Consulta2[[#This Row],[dia]])</f>
        <v>20301130</v>
      </c>
      <c r="K2527">
        <f>Consulta2[[#This Row],[DIA_UTIL_CORRENTE]]</f>
        <v>20</v>
      </c>
    </row>
    <row r="2528" spans="1:11" x14ac:dyDescent="0.25">
      <c r="A2528">
        <v>203012</v>
      </c>
      <c r="B2528">
        <v>0</v>
      </c>
      <c r="C2528" s="148">
        <v>47818</v>
      </c>
      <c r="D2528">
        <v>21</v>
      </c>
      <c r="E2528">
        <v>21</v>
      </c>
      <c r="F2528">
        <v>1738</v>
      </c>
      <c r="G2528">
        <f>Consulta2[[#This Row],[DIA_UTIL_CORRENTE]]</f>
        <v>0</v>
      </c>
      <c r="H2528" s="6">
        <f>DAY(Consulta2[[#This Row],[DATA]])</f>
        <v>1</v>
      </c>
      <c r="I2528" s="6">
        <f>MONTH(Consulta2[[#This Row],[DATA]])</f>
        <v>12</v>
      </c>
      <c r="J2528" t="str">
        <f>CONCATENATE(Consulta2[[#This Row],[SAFRA]],Consulta2[[#This Row],[dia]])</f>
        <v>2030121</v>
      </c>
      <c r="K2528">
        <f>Consulta2[[#This Row],[DIA_UTIL_CORRENTE]]</f>
        <v>0</v>
      </c>
    </row>
    <row r="2529" spans="1:11" x14ac:dyDescent="0.25">
      <c r="A2529">
        <v>203012</v>
      </c>
      <c r="B2529">
        <v>1</v>
      </c>
      <c r="C2529" s="148">
        <v>47819</v>
      </c>
      <c r="D2529">
        <v>21</v>
      </c>
      <c r="E2529">
        <v>21</v>
      </c>
      <c r="F2529">
        <v>1739</v>
      </c>
      <c r="G2529">
        <f>Consulta2[[#This Row],[DIA_UTIL_CORRENTE]]</f>
        <v>1</v>
      </c>
      <c r="H2529" s="6">
        <f>DAY(Consulta2[[#This Row],[DATA]])</f>
        <v>2</v>
      </c>
      <c r="I2529" s="6">
        <f>MONTH(Consulta2[[#This Row],[DATA]])</f>
        <v>12</v>
      </c>
      <c r="J2529" t="str">
        <f>CONCATENATE(Consulta2[[#This Row],[SAFRA]],Consulta2[[#This Row],[dia]])</f>
        <v>2030122</v>
      </c>
      <c r="K2529">
        <f>Consulta2[[#This Row],[DIA_UTIL_CORRENTE]]</f>
        <v>1</v>
      </c>
    </row>
    <row r="2530" spans="1:11" x14ac:dyDescent="0.25">
      <c r="A2530">
        <v>203012</v>
      </c>
      <c r="B2530">
        <v>2</v>
      </c>
      <c r="C2530" s="148">
        <v>47820</v>
      </c>
      <c r="D2530">
        <v>21</v>
      </c>
      <c r="E2530">
        <v>21</v>
      </c>
      <c r="F2530">
        <v>1740</v>
      </c>
      <c r="G2530">
        <f>Consulta2[[#This Row],[DIA_UTIL_CORRENTE]]</f>
        <v>2</v>
      </c>
      <c r="H2530" s="6">
        <f>DAY(Consulta2[[#This Row],[DATA]])</f>
        <v>3</v>
      </c>
      <c r="I2530" s="6">
        <f>MONTH(Consulta2[[#This Row],[DATA]])</f>
        <v>12</v>
      </c>
      <c r="J2530" t="str">
        <f>CONCATENATE(Consulta2[[#This Row],[SAFRA]],Consulta2[[#This Row],[dia]])</f>
        <v>2030123</v>
      </c>
      <c r="K2530">
        <f>Consulta2[[#This Row],[DIA_UTIL_CORRENTE]]</f>
        <v>2</v>
      </c>
    </row>
    <row r="2531" spans="1:11" x14ac:dyDescent="0.25">
      <c r="A2531">
        <v>203012</v>
      </c>
      <c r="B2531">
        <v>3</v>
      </c>
      <c r="C2531" s="148">
        <v>47821</v>
      </c>
      <c r="D2531">
        <v>21</v>
      </c>
      <c r="E2531">
        <v>21</v>
      </c>
      <c r="F2531">
        <v>1741</v>
      </c>
      <c r="G2531">
        <f>Consulta2[[#This Row],[DIA_UTIL_CORRENTE]]</f>
        <v>3</v>
      </c>
      <c r="H2531" s="6">
        <f>DAY(Consulta2[[#This Row],[DATA]])</f>
        <v>4</v>
      </c>
      <c r="I2531" s="6">
        <f>MONTH(Consulta2[[#This Row],[DATA]])</f>
        <v>12</v>
      </c>
      <c r="J2531" t="str">
        <f>CONCATENATE(Consulta2[[#This Row],[SAFRA]],Consulta2[[#This Row],[dia]])</f>
        <v>2030124</v>
      </c>
      <c r="K2531">
        <f>Consulta2[[#This Row],[DIA_UTIL_CORRENTE]]</f>
        <v>3</v>
      </c>
    </row>
    <row r="2532" spans="1:11" x14ac:dyDescent="0.25">
      <c r="A2532">
        <v>203012</v>
      </c>
      <c r="B2532">
        <v>4</v>
      </c>
      <c r="C2532" s="148">
        <v>47822</v>
      </c>
      <c r="D2532">
        <v>21</v>
      </c>
      <c r="E2532">
        <v>21</v>
      </c>
      <c r="F2532">
        <v>1742</v>
      </c>
      <c r="G2532">
        <f>Consulta2[[#This Row],[DIA_UTIL_CORRENTE]]</f>
        <v>4</v>
      </c>
      <c r="H2532" s="6">
        <f>DAY(Consulta2[[#This Row],[DATA]])</f>
        <v>5</v>
      </c>
      <c r="I2532" s="6">
        <f>MONTH(Consulta2[[#This Row],[DATA]])</f>
        <v>12</v>
      </c>
      <c r="J2532" t="str">
        <f>CONCATENATE(Consulta2[[#This Row],[SAFRA]],Consulta2[[#This Row],[dia]])</f>
        <v>2030125</v>
      </c>
      <c r="K2532">
        <f>Consulta2[[#This Row],[DIA_UTIL_CORRENTE]]</f>
        <v>4</v>
      </c>
    </row>
    <row r="2533" spans="1:11" x14ac:dyDescent="0.25">
      <c r="A2533">
        <v>203012</v>
      </c>
      <c r="B2533">
        <v>5</v>
      </c>
      <c r="C2533" s="148">
        <v>47823</v>
      </c>
      <c r="D2533">
        <v>21</v>
      </c>
      <c r="E2533">
        <v>21</v>
      </c>
      <c r="F2533">
        <v>1743</v>
      </c>
      <c r="G2533">
        <f>Consulta2[[#This Row],[DIA_UTIL_CORRENTE]]</f>
        <v>5</v>
      </c>
      <c r="H2533" s="6">
        <f>DAY(Consulta2[[#This Row],[DATA]])</f>
        <v>6</v>
      </c>
      <c r="I2533" s="6">
        <f>MONTH(Consulta2[[#This Row],[DATA]])</f>
        <v>12</v>
      </c>
      <c r="J2533" t="str">
        <f>CONCATENATE(Consulta2[[#This Row],[SAFRA]],Consulta2[[#This Row],[dia]])</f>
        <v>2030126</v>
      </c>
      <c r="K2533">
        <f>Consulta2[[#This Row],[DIA_UTIL_CORRENTE]]</f>
        <v>5</v>
      </c>
    </row>
    <row r="2534" spans="1:11" x14ac:dyDescent="0.25">
      <c r="A2534">
        <v>203012</v>
      </c>
      <c r="B2534">
        <v>5</v>
      </c>
      <c r="C2534" s="148">
        <v>47824</v>
      </c>
      <c r="D2534">
        <v>21</v>
      </c>
      <c r="E2534">
        <v>21</v>
      </c>
      <c r="F2534">
        <v>1743</v>
      </c>
      <c r="G2534">
        <f>Consulta2[[#This Row],[DIA_UTIL_CORRENTE]]</f>
        <v>5</v>
      </c>
      <c r="H2534" s="6">
        <f>DAY(Consulta2[[#This Row],[DATA]])</f>
        <v>7</v>
      </c>
      <c r="I2534" s="6">
        <f>MONTH(Consulta2[[#This Row],[DATA]])</f>
        <v>12</v>
      </c>
      <c r="J2534" t="str">
        <f>CONCATENATE(Consulta2[[#This Row],[SAFRA]],Consulta2[[#This Row],[dia]])</f>
        <v>2030127</v>
      </c>
      <c r="K2534">
        <f>Consulta2[[#This Row],[DIA_UTIL_CORRENTE]]</f>
        <v>5</v>
      </c>
    </row>
    <row r="2535" spans="1:11" x14ac:dyDescent="0.25">
      <c r="A2535">
        <v>203012</v>
      </c>
      <c r="B2535">
        <v>5</v>
      </c>
      <c r="C2535" s="148">
        <v>47825</v>
      </c>
      <c r="D2535">
        <v>21</v>
      </c>
      <c r="E2535">
        <v>21</v>
      </c>
      <c r="F2535">
        <v>1743</v>
      </c>
      <c r="G2535">
        <f>Consulta2[[#This Row],[DIA_UTIL_CORRENTE]]</f>
        <v>5</v>
      </c>
      <c r="H2535" s="6">
        <f>DAY(Consulta2[[#This Row],[DATA]])</f>
        <v>8</v>
      </c>
      <c r="I2535" s="6">
        <f>MONTH(Consulta2[[#This Row],[DATA]])</f>
        <v>12</v>
      </c>
      <c r="J2535" t="str">
        <f>CONCATENATE(Consulta2[[#This Row],[SAFRA]],Consulta2[[#This Row],[dia]])</f>
        <v>2030128</v>
      </c>
      <c r="K2535">
        <f>Consulta2[[#This Row],[DIA_UTIL_CORRENTE]]</f>
        <v>5</v>
      </c>
    </row>
    <row r="2536" spans="1:11" x14ac:dyDescent="0.25">
      <c r="A2536">
        <v>203012</v>
      </c>
      <c r="B2536">
        <v>6</v>
      </c>
      <c r="C2536" s="148">
        <v>47826</v>
      </c>
      <c r="D2536">
        <v>21</v>
      </c>
      <c r="E2536">
        <v>21</v>
      </c>
      <c r="F2536">
        <v>1744</v>
      </c>
      <c r="G2536">
        <f>Consulta2[[#This Row],[DIA_UTIL_CORRENTE]]</f>
        <v>6</v>
      </c>
      <c r="H2536" s="6">
        <f>DAY(Consulta2[[#This Row],[DATA]])</f>
        <v>9</v>
      </c>
      <c r="I2536" s="6">
        <f>MONTH(Consulta2[[#This Row],[DATA]])</f>
        <v>12</v>
      </c>
      <c r="J2536" t="str">
        <f>CONCATENATE(Consulta2[[#This Row],[SAFRA]],Consulta2[[#This Row],[dia]])</f>
        <v>2030129</v>
      </c>
      <c r="K2536">
        <f>Consulta2[[#This Row],[DIA_UTIL_CORRENTE]]</f>
        <v>6</v>
      </c>
    </row>
    <row r="2537" spans="1:11" x14ac:dyDescent="0.25">
      <c r="A2537">
        <v>203012</v>
      </c>
      <c r="B2537">
        <v>7</v>
      </c>
      <c r="C2537" s="148">
        <v>47827</v>
      </c>
      <c r="D2537">
        <v>21</v>
      </c>
      <c r="E2537">
        <v>21</v>
      </c>
      <c r="F2537">
        <v>1745</v>
      </c>
      <c r="G2537">
        <f>Consulta2[[#This Row],[DIA_UTIL_CORRENTE]]</f>
        <v>7</v>
      </c>
      <c r="H2537" s="6">
        <f>DAY(Consulta2[[#This Row],[DATA]])</f>
        <v>10</v>
      </c>
      <c r="I2537" s="6">
        <f>MONTH(Consulta2[[#This Row],[DATA]])</f>
        <v>12</v>
      </c>
      <c r="J2537" t="str">
        <f>CONCATENATE(Consulta2[[#This Row],[SAFRA]],Consulta2[[#This Row],[dia]])</f>
        <v>20301210</v>
      </c>
      <c r="K2537">
        <f>Consulta2[[#This Row],[DIA_UTIL_CORRENTE]]</f>
        <v>7</v>
      </c>
    </row>
    <row r="2538" spans="1:11" x14ac:dyDescent="0.25">
      <c r="A2538">
        <v>203012</v>
      </c>
      <c r="B2538">
        <v>8</v>
      </c>
      <c r="C2538" s="148">
        <v>47828</v>
      </c>
      <c r="D2538">
        <v>21</v>
      </c>
      <c r="E2538">
        <v>21</v>
      </c>
      <c r="F2538">
        <v>1746</v>
      </c>
      <c r="G2538">
        <f>Consulta2[[#This Row],[DIA_UTIL_CORRENTE]]</f>
        <v>8</v>
      </c>
      <c r="H2538" s="6">
        <f>DAY(Consulta2[[#This Row],[DATA]])</f>
        <v>11</v>
      </c>
      <c r="I2538" s="6">
        <f>MONTH(Consulta2[[#This Row],[DATA]])</f>
        <v>12</v>
      </c>
      <c r="J2538" t="str">
        <f>CONCATENATE(Consulta2[[#This Row],[SAFRA]],Consulta2[[#This Row],[dia]])</f>
        <v>20301211</v>
      </c>
      <c r="K2538">
        <f>Consulta2[[#This Row],[DIA_UTIL_CORRENTE]]</f>
        <v>8</v>
      </c>
    </row>
    <row r="2539" spans="1:11" x14ac:dyDescent="0.25">
      <c r="A2539">
        <v>203012</v>
      </c>
      <c r="B2539">
        <v>9</v>
      </c>
      <c r="C2539" s="148">
        <v>47829</v>
      </c>
      <c r="D2539">
        <v>21</v>
      </c>
      <c r="E2539">
        <v>21</v>
      </c>
      <c r="F2539">
        <v>1747</v>
      </c>
      <c r="G2539">
        <f>Consulta2[[#This Row],[DIA_UTIL_CORRENTE]]</f>
        <v>9</v>
      </c>
      <c r="H2539" s="6">
        <f>DAY(Consulta2[[#This Row],[DATA]])</f>
        <v>12</v>
      </c>
      <c r="I2539" s="6">
        <f>MONTH(Consulta2[[#This Row],[DATA]])</f>
        <v>12</v>
      </c>
      <c r="J2539" t="str">
        <f>CONCATENATE(Consulta2[[#This Row],[SAFRA]],Consulta2[[#This Row],[dia]])</f>
        <v>20301212</v>
      </c>
      <c r="K2539">
        <f>Consulta2[[#This Row],[DIA_UTIL_CORRENTE]]</f>
        <v>9</v>
      </c>
    </row>
    <row r="2540" spans="1:11" x14ac:dyDescent="0.25">
      <c r="A2540">
        <v>203012</v>
      </c>
      <c r="B2540">
        <v>10</v>
      </c>
      <c r="C2540" s="148">
        <v>47830</v>
      </c>
      <c r="D2540">
        <v>21</v>
      </c>
      <c r="E2540">
        <v>21</v>
      </c>
      <c r="F2540">
        <v>1748</v>
      </c>
      <c r="G2540">
        <f>Consulta2[[#This Row],[DIA_UTIL_CORRENTE]]</f>
        <v>10</v>
      </c>
      <c r="H2540" s="6">
        <f>DAY(Consulta2[[#This Row],[DATA]])</f>
        <v>13</v>
      </c>
      <c r="I2540" s="6">
        <f>MONTH(Consulta2[[#This Row],[DATA]])</f>
        <v>12</v>
      </c>
      <c r="J2540" t="str">
        <f>CONCATENATE(Consulta2[[#This Row],[SAFRA]],Consulta2[[#This Row],[dia]])</f>
        <v>20301213</v>
      </c>
      <c r="K2540">
        <f>Consulta2[[#This Row],[DIA_UTIL_CORRENTE]]</f>
        <v>10</v>
      </c>
    </row>
    <row r="2541" spans="1:11" x14ac:dyDescent="0.25">
      <c r="A2541">
        <v>203012</v>
      </c>
      <c r="B2541">
        <v>10</v>
      </c>
      <c r="C2541" s="148">
        <v>47831</v>
      </c>
      <c r="D2541">
        <v>21</v>
      </c>
      <c r="E2541">
        <v>21</v>
      </c>
      <c r="F2541">
        <v>1748</v>
      </c>
      <c r="G2541">
        <f>Consulta2[[#This Row],[DIA_UTIL_CORRENTE]]</f>
        <v>10</v>
      </c>
      <c r="H2541" s="6">
        <f>DAY(Consulta2[[#This Row],[DATA]])</f>
        <v>14</v>
      </c>
      <c r="I2541" s="6">
        <f>MONTH(Consulta2[[#This Row],[DATA]])</f>
        <v>12</v>
      </c>
      <c r="J2541" t="str">
        <f>CONCATENATE(Consulta2[[#This Row],[SAFRA]],Consulta2[[#This Row],[dia]])</f>
        <v>20301214</v>
      </c>
      <c r="K2541">
        <f>Consulta2[[#This Row],[DIA_UTIL_CORRENTE]]</f>
        <v>10</v>
      </c>
    </row>
    <row r="2542" spans="1:11" x14ac:dyDescent="0.25">
      <c r="A2542">
        <v>203012</v>
      </c>
      <c r="B2542">
        <v>10</v>
      </c>
      <c r="C2542" s="148">
        <v>47832</v>
      </c>
      <c r="D2542">
        <v>21</v>
      </c>
      <c r="E2542">
        <v>21</v>
      </c>
      <c r="F2542">
        <v>1748</v>
      </c>
      <c r="G2542">
        <f>Consulta2[[#This Row],[DIA_UTIL_CORRENTE]]</f>
        <v>10</v>
      </c>
      <c r="H2542" s="6">
        <f>DAY(Consulta2[[#This Row],[DATA]])</f>
        <v>15</v>
      </c>
      <c r="I2542" s="6">
        <f>MONTH(Consulta2[[#This Row],[DATA]])</f>
        <v>12</v>
      </c>
      <c r="J2542" t="str">
        <f>CONCATENATE(Consulta2[[#This Row],[SAFRA]],Consulta2[[#This Row],[dia]])</f>
        <v>20301215</v>
      </c>
      <c r="K2542">
        <f>Consulta2[[#This Row],[DIA_UTIL_CORRENTE]]</f>
        <v>10</v>
      </c>
    </row>
    <row r="2543" spans="1:11" x14ac:dyDescent="0.25">
      <c r="A2543">
        <v>203012</v>
      </c>
      <c r="B2543">
        <v>11</v>
      </c>
      <c r="C2543" s="148">
        <v>47833</v>
      </c>
      <c r="D2543">
        <v>21</v>
      </c>
      <c r="E2543">
        <v>21</v>
      </c>
      <c r="F2543">
        <v>1749</v>
      </c>
      <c r="G2543">
        <f>Consulta2[[#This Row],[DIA_UTIL_CORRENTE]]</f>
        <v>11</v>
      </c>
      <c r="H2543" s="6">
        <f>DAY(Consulta2[[#This Row],[DATA]])</f>
        <v>16</v>
      </c>
      <c r="I2543" s="6">
        <f>MONTH(Consulta2[[#This Row],[DATA]])</f>
        <v>12</v>
      </c>
      <c r="J2543" t="str">
        <f>CONCATENATE(Consulta2[[#This Row],[SAFRA]],Consulta2[[#This Row],[dia]])</f>
        <v>20301216</v>
      </c>
      <c r="K2543">
        <f>Consulta2[[#This Row],[DIA_UTIL_CORRENTE]]</f>
        <v>11</v>
      </c>
    </row>
    <row r="2544" spans="1:11" x14ac:dyDescent="0.25">
      <c r="A2544">
        <v>203012</v>
      </c>
      <c r="B2544">
        <v>12</v>
      </c>
      <c r="C2544" s="148">
        <v>47834</v>
      </c>
      <c r="D2544">
        <v>21</v>
      </c>
      <c r="E2544">
        <v>21</v>
      </c>
      <c r="F2544">
        <v>1750</v>
      </c>
      <c r="G2544">
        <f>Consulta2[[#This Row],[DIA_UTIL_CORRENTE]]</f>
        <v>12</v>
      </c>
      <c r="H2544" s="6">
        <f>DAY(Consulta2[[#This Row],[DATA]])</f>
        <v>17</v>
      </c>
      <c r="I2544" s="6">
        <f>MONTH(Consulta2[[#This Row],[DATA]])</f>
        <v>12</v>
      </c>
      <c r="J2544" t="str">
        <f>CONCATENATE(Consulta2[[#This Row],[SAFRA]],Consulta2[[#This Row],[dia]])</f>
        <v>20301217</v>
      </c>
      <c r="K2544">
        <f>Consulta2[[#This Row],[DIA_UTIL_CORRENTE]]</f>
        <v>12</v>
      </c>
    </row>
    <row r="2545" spans="1:11" x14ac:dyDescent="0.25">
      <c r="A2545">
        <v>203012</v>
      </c>
      <c r="B2545">
        <v>13</v>
      </c>
      <c r="C2545" s="148">
        <v>47835</v>
      </c>
      <c r="D2545">
        <v>21</v>
      </c>
      <c r="E2545">
        <v>21</v>
      </c>
      <c r="F2545">
        <v>1751</v>
      </c>
      <c r="G2545">
        <f>Consulta2[[#This Row],[DIA_UTIL_CORRENTE]]</f>
        <v>13</v>
      </c>
      <c r="H2545" s="6">
        <f>DAY(Consulta2[[#This Row],[DATA]])</f>
        <v>18</v>
      </c>
      <c r="I2545" s="6">
        <f>MONTH(Consulta2[[#This Row],[DATA]])</f>
        <v>12</v>
      </c>
      <c r="J2545" t="str">
        <f>CONCATENATE(Consulta2[[#This Row],[SAFRA]],Consulta2[[#This Row],[dia]])</f>
        <v>20301218</v>
      </c>
      <c r="K2545">
        <f>Consulta2[[#This Row],[DIA_UTIL_CORRENTE]]</f>
        <v>13</v>
      </c>
    </row>
    <row r="2546" spans="1:11" x14ac:dyDescent="0.25">
      <c r="A2546">
        <v>203012</v>
      </c>
      <c r="B2546">
        <v>14</v>
      </c>
      <c r="C2546" s="148">
        <v>47836</v>
      </c>
      <c r="D2546">
        <v>21</v>
      </c>
      <c r="E2546">
        <v>21</v>
      </c>
      <c r="F2546">
        <v>1752</v>
      </c>
      <c r="G2546">
        <f>Consulta2[[#This Row],[DIA_UTIL_CORRENTE]]</f>
        <v>14</v>
      </c>
      <c r="H2546" s="6">
        <f>DAY(Consulta2[[#This Row],[DATA]])</f>
        <v>19</v>
      </c>
      <c r="I2546" s="6">
        <f>MONTH(Consulta2[[#This Row],[DATA]])</f>
        <v>12</v>
      </c>
      <c r="J2546" t="str">
        <f>CONCATENATE(Consulta2[[#This Row],[SAFRA]],Consulta2[[#This Row],[dia]])</f>
        <v>20301219</v>
      </c>
      <c r="K2546">
        <f>Consulta2[[#This Row],[DIA_UTIL_CORRENTE]]</f>
        <v>14</v>
      </c>
    </row>
    <row r="2547" spans="1:11" x14ac:dyDescent="0.25">
      <c r="A2547">
        <v>203012</v>
      </c>
      <c r="B2547">
        <v>15</v>
      </c>
      <c r="C2547" s="148">
        <v>47837</v>
      </c>
      <c r="D2547">
        <v>21</v>
      </c>
      <c r="E2547">
        <v>21</v>
      </c>
      <c r="F2547">
        <v>1753</v>
      </c>
      <c r="G2547">
        <f>Consulta2[[#This Row],[DIA_UTIL_CORRENTE]]</f>
        <v>15</v>
      </c>
      <c r="H2547" s="6">
        <f>DAY(Consulta2[[#This Row],[DATA]])</f>
        <v>20</v>
      </c>
      <c r="I2547" s="6">
        <f>MONTH(Consulta2[[#This Row],[DATA]])</f>
        <v>12</v>
      </c>
      <c r="J2547" t="str">
        <f>CONCATENATE(Consulta2[[#This Row],[SAFRA]],Consulta2[[#This Row],[dia]])</f>
        <v>20301220</v>
      </c>
      <c r="K2547">
        <f>Consulta2[[#This Row],[DIA_UTIL_CORRENTE]]</f>
        <v>15</v>
      </c>
    </row>
    <row r="2548" spans="1:11" x14ac:dyDescent="0.25">
      <c r="A2548">
        <v>203012</v>
      </c>
      <c r="B2548">
        <v>15</v>
      </c>
      <c r="C2548" s="148">
        <v>47838</v>
      </c>
      <c r="D2548">
        <v>21</v>
      </c>
      <c r="E2548">
        <v>21</v>
      </c>
      <c r="F2548">
        <v>1753</v>
      </c>
      <c r="G2548">
        <f>Consulta2[[#This Row],[DIA_UTIL_CORRENTE]]</f>
        <v>15</v>
      </c>
      <c r="H2548" s="6">
        <f>DAY(Consulta2[[#This Row],[DATA]])</f>
        <v>21</v>
      </c>
      <c r="I2548" s="6">
        <f>MONTH(Consulta2[[#This Row],[DATA]])</f>
        <v>12</v>
      </c>
      <c r="J2548" t="str">
        <f>CONCATENATE(Consulta2[[#This Row],[SAFRA]],Consulta2[[#This Row],[dia]])</f>
        <v>20301221</v>
      </c>
      <c r="K2548">
        <f>Consulta2[[#This Row],[DIA_UTIL_CORRENTE]]</f>
        <v>15</v>
      </c>
    </row>
    <row r="2549" spans="1:11" x14ac:dyDescent="0.25">
      <c r="A2549">
        <v>203012</v>
      </c>
      <c r="B2549">
        <v>15</v>
      </c>
      <c r="C2549" s="148">
        <v>47839</v>
      </c>
      <c r="D2549">
        <v>21</v>
      </c>
      <c r="E2549">
        <v>21</v>
      </c>
      <c r="F2549">
        <v>1753</v>
      </c>
      <c r="G2549">
        <f>Consulta2[[#This Row],[DIA_UTIL_CORRENTE]]</f>
        <v>15</v>
      </c>
      <c r="H2549" s="6">
        <f>DAY(Consulta2[[#This Row],[DATA]])</f>
        <v>22</v>
      </c>
      <c r="I2549" s="6">
        <f>MONTH(Consulta2[[#This Row],[DATA]])</f>
        <v>12</v>
      </c>
      <c r="J2549" t="str">
        <f>CONCATENATE(Consulta2[[#This Row],[SAFRA]],Consulta2[[#This Row],[dia]])</f>
        <v>20301222</v>
      </c>
      <c r="K2549">
        <f>Consulta2[[#This Row],[DIA_UTIL_CORRENTE]]</f>
        <v>15</v>
      </c>
    </row>
    <row r="2550" spans="1:11" x14ac:dyDescent="0.25">
      <c r="A2550">
        <v>203012</v>
      </c>
      <c r="B2550">
        <v>16</v>
      </c>
      <c r="C2550" s="148">
        <v>47840</v>
      </c>
      <c r="D2550">
        <v>21</v>
      </c>
      <c r="E2550">
        <v>21</v>
      </c>
      <c r="F2550">
        <v>1754</v>
      </c>
      <c r="G2550">
        <f>Consulta2[[#This Row],[DIA_UTIL_CORRENTE]]</f>
        <v>16</v>
      </c>
      <c r="H2550" s="6">
        <f>DAY(Consulta2[[#This Row],[DATA]])</f>
        <v>23</v>
      </c>
      <c r="I2550" s="6">
        <f>MONTH(Consulta2[[#This Row],[DATA]])</f>
        <v>12</v>
      </c>
      <c r="J2550" t="str">
        <f>CONCATENATE(Consulta2[[#This Row],[SAFRA]],Consulta2[[#This Row],[dia]])</f>
        <v>20301223</v>
      </c>
      <c r="K2550">
        <f>Consulta2[[#This Row],[DIA_UTIL_CORRENTE]]</f>
        <v>16</v>
      </c>
    </row>
    <row r="2551" spans="1:11" x14ac:dyDescent="0.25">
      <c r="A2551">
        <v>203012</v>
      </c>
      <c r="B2551">
        <v>17</v>
      </c>
      <c r="C2551" s="148">
        <v>47841</v>
      </c>
      <c r="D2551">
        <v>21</v>
      </c>
      <c r="E2551">
        <v>21</v>
      </c>
      <c r="F2551">
        <v>1755</v>
      </c>
      <c r="G2551">
        <f>Consulta2[[#This Row],[DIA_UTIL_CORRENTE]]</f>
        <v>17</v>
      </c>
      <c r="H2551" s="6">
        <f>DAY(Consulta2[[#This Row],[DATA]])</f>
        <v>24</v>
      </c>
      <c r="I2551" s="6">
        <f>MONTH(Consulta2[[#This Row],[DATA]])</f>
        <v>12</v>
      </c>
      <c r="J2551" t="str">
        <f>CONCATENATE(Consulta2[[#This Row],[SAFRA]],Consulta2[[#This Row],[dia]])</f>
        <v>20301224</v>
      </c>
      <c r="K2551">
        <f>Consulta2[[#This Row],[DIA_UTIL_CORRENTE]]</f>
        <v>17</v>
      </c>
    </row>
    <row r="2552" spans="1:11" x14ac:dyDescent="0.25">
      <c r="A2552">
        <v>203012</v>
      </c>
      <c r="B2552">
        <v>17</v>
      </c>
      <c r="C2552" s="148">
        <v>47842</v>
      </c>
      <c r="D2552">
        <v>21</v>
      </c>
      <c r="E2552">
        <v>21</v>
      </c>
      <c r="F2552">
        <v>1755</v>
      </c>
      <c r="G2552">
        <f>Consulta2[[#This Row],[DIA_UTIL_CORRENTE]]</f>
        <v>17</v>
      </c>
      <c r="H2552" s="6">
        <f>DAY(Consulta2[[#This Row],[DATA]])</f>
        <v>25</v>
      </c>
      <c r="I2552" s="6">
        <f>MONTH(Consulta2[[#This Row],[DATA]])</f>
        <v>12</v>
      </c>
      <c r="J2552" t="str">
        <f>CONCATENATE(Consulta2[[#This Row],[SAFRA]],Consulta2[[#This Row],[dia]])</f>
        <v>20301225</v>
      </c>
      <c r="K2552">
        <f>Consulta2[[#This Row],[DIA_UTIL_CORRENTE]]</f>
        <v>17</v>
      </c>
    </row>
    <row r="2553" spans="1:11" x14ac:dyDescent="0.25">
      <c r="A2553">
        <v>203012</v>
      </c>
      <c r="B2553">
        <v>18</v>
      </c>
      <c r="C2553" s="148">
        <v>47843</v>
      </c>
      <c r="D2553">
        <v>21</v>
      </c>
      <c r="E2553">
        <v>21</v>
      </c>
      <c r="F2553">
        <v>1756</v>
      </c>
      <c r="G2553">
        <f>Consulta2[[#This Row],[DIA_UTIL_CORRENTE]]</f>
        <v>18</v>
      </c>
      <c r="H2553" s="6">
        <f>DAY(Consulta2[[#This Row],[DATA]])</f>
        <v>26</v>
      </c>
      <c r="I2553" s="6">
        <f>MONTH(Consulta2[[#This Row],[DATA]])</f>
        <v>12</v>
      </c>
      <c r="J2553" t="str">
        <f>CONCATENATE(Consulta2[[#This Row],[SAFRA]],Consulta2[[#This Row],[dia]])</f>
        <v>20301226</v>
      </c>
      <c r="K2553">
        <f>Consulta2[[#This Row],[DIA_UTIL_CORRENTE]]</f>
        <v>18</v>
      </c>
    </row>
    <row r="2554" spans="1:11" x14ac:dyDescent="0.25">
      <c r="A2554">
        <v>203012</v>
      </c>
      <c r="B2554">
        <v>19</v>
      </c>
      <c r="C2554" s="148">
        <v>47844</v>
      </c>
      <c r="D2554">
        <v>21</v>
      </c>
      <c r="E2554">
        <v>21</v>
      </c>
      <c r="F2554">
        <v>1757</v>
      </c>
      <c r="G2554">
        <f>Consulta2[[#This Row],[DIA_UTIL_CORRENTE]]</f>
        <v>19</v>
      </c>
      <c r="H2554" s="6">
        <f>DAY(Consulta2[[#This Row],[DATA]])</f>
        <v>27</v>
      </c>
      <c r="I2554" s="6">
        <f>MONTH(Consulta2[[#This Row],[DATA]])</f>
        <v>12</v>
      </c>
      <c r="J2554" t="str">
        <f>CONCATENATE(Consulta2[[#This Row],[SAFRA]],Consulta2[[#This Row],[dia]])</f>
        <v>20301227</v>
      </c>
      <c r="K2554">
        <f>Consulta2[[#This Row],[DIA_UTIL_CORRENTE]]</f>
        <v>19</v>
      </c>
    </row>
    <row r="2555" spans="1:11" x14ac:dyDescent="0.25">
      <c r="A2555">
        <v>203012</v>
      </c>
      <c r="B2555">
        <v>19</v>
      </c>
      <c r="C2555" s="148">
        <v>47845</v>
      </c>
      <c r="D2555">
        <v>21</v>
      </c>
      <c r="E2555">
        <v>21</v>
      </c>
      <c r="F2555">
        <v>1757</v>
      </c>
      <c r="G2555">
        <f>Consulta2[[#This Row],[DIA_UTIL_CORRENTE]]</f>
        <v>19</v>
      </c>
      <c r="H2555" s="6">
        <f>DAY(Consulta2[[#This Row],[DATA]])</f>
        <v>28</v>
      </c>
      <c r="I2555" s="6">
        <f>MONTH(Consulta2[[#This Row],[DATA]])</f>
        <v>12</v>
      </c>
      <c r="J2555" t="str">
        <f>CONCATENATE(Consulta2[[#This Row],[SAFRA]],Consulta2[[#This Row],[dia]])</f>
        <v>20301228</v>
      </c>
      <c r="K2555">
        <f>Consulta2[[#This Row],[DIA_UTIL_CORRENTE]]</f>
        <v>19</v>
      </c>
    </row>
    <row r="2556" spans="1:11" x14ac:dyDescent="0.25">
      <c r="A2556">
        <v>203012</v>
      </c>
      <c r="B2556">
        <v>19</v>
      </c>
      <c r="C2556" s="148">
        <v>47846</v>
      </c>
      <c r="D2556">
        <v>21</v>
      </c>
      <c r="E2556">
        <v>21</v>
      </c>
      <c r="F2556">
        <v>1757</v>
      </c>
      <c r="G2556">
        <f>Consulta2[[#This Row],[DIA_UTIL_CORRENTE]]</f>
        <v>19</v>
      </c>
      <c r="H2556" s="6">
        <f>DAY(Consulta2[[#This Row],[DATA]])</f>
        <v>29</v>
      </c>
      <c r="I2556" s="6">
        <f>MONTH(Consulta2[[#This Row],[DATA]])</f>
        <v>12</v>
      </c>
      <c r="J2556" t="str">
        <f>CONCATENATE(Consulta2[[#This Row],[SAFRA]],Consulta2[[#This Row],[dia]])</f>
        <v>20301229</v>
      </c>
      <c r="K2556">
        <f>Consulta2[[#This Row],[DIA_UTIL_CORRENTE]]</f>
        <v>19</v>
      </c>
    </row>
    <row r="2557" spans="1:11" x14ac:dyDescent="0.25">
      <c r="A2557">
        <v>203012</v>
      </c>
      <c r="B2557">
        <v>20</v>
      </c>
      <c r="C2557" s="148">
        <v>47847</v>
      </c>
      <c r="D2557">
        <v>21</v>
      </c>
      <c r="E2557">
        <v>21</v>
      </c>
      <c r="F2557">
        <v>1758</v>
      </c>
      <c r="G2557">
        <f>Consulta2[[#This Row],[DIA_UTIL_CORRENTE]]</f>
        <v>20</v>
      </c>
      <c r="H2557" s="6">
        <f>DAY(Consulta2[[#This Row],[DATA]])</f>
        <v>30</v>
      </c>
      <c r="I2557" s="6">
        <f>MONTH(Consulta2[[#This Row],[DATA]])</f>
        <v>12</v>
      </c>
      <c r="J2557" t="str">
        <f>CONCATENATE(Consulta2[[#This Row],[SAFRA]],Consulta2[[#This Row],[dia]])</f>
        <v>20301230</v>
      </c>
      <c r="K2557">
        <f>Consulta2[[#This Row],[DIA_UTIL_CORRENTE]]</f>
        <v>20</v>
      </c>
    </row>
    <row r="2558" spans="1:11" x14ac:dyDescent="0.25">
      <c r="A2558">
        <v>203012</v>
      </c>
      <c r="B2558">
        <v>21</v>
      </c>
      <c r="C2558" s="148">
        <v>47848</v>
      </c>
      <c r="D2558">
        <v>21</v>
      </c>
      <c r="E2558">
        <v>21</v>
      </c>
      <c r="F2558">
        <v>1759</v>
      </c>
      <c r="G2558">
        <f>Consulta2[[#This Row],[DIA_UTIL_CORRENTE]]</f>
        <v>21</v>
      </c>
      <c r="H2558" s="6">
        <f>DAY(Consulta2[[#This Row],[DATA]])</f>
        <v>31</v>
      </c>
      <c r="I2558" s="6">
        <f>MONTH(Consulta2[[#This Row],[DATA]])</f>
        <v>12</v>
      </c>
      <c r="J2558" t="str">
        <f>CONCATENATE(Consulta2[[#This Row],[SAFRA]],Consulta2[[#This Row],[dia]])</f>
        <v>20301231</v>
      </c>
      <c r="K2558">
        <f>Consulta2[[#This Row],[DIA_UTIL_CORRENTE]]</f>
        <v>21</v>
      </c>
    </row>
  </sheetData>
  <phoneticPr fontId="20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2488-DD6B-4BD3-89E9-A4586CD6C1AC}">
  <sheetPr codeName="Planilha10"/>
  <dimension ref="A1:F7"/>
  <sheetViews>
    <sheetView topLeftCell="A104" workbookViewId="0">
      <selection activeCell="F7" sqref="F7"/>
    </sheetView>
  </sheetViews>
  <sheetFormatPr defaultRowHeight="15" x14ac:dyDescent="0.25"/>
  <cols>
    <col min="1" max="1" width="14.28515625" bestFit="1" customWidth="1"/>
    <col min="2" max="2" width="12.140625" bestFit="1" customWidth="1"/>
    <col min="3" max="3" width="14.28515625" bestFit="1" customWidth="1"/>
    <col min="4" max="4" width="41.85546875" bestFit="1" customWidth="1"/>
    <col min="5" max="5" width="18" bestFit="1" customWidth="1"/>
    <col min="6" max="6" width="32.140625" bestFit="1" customWidth="1"/>
  </cols>
  <sheetData>
    <row r="1" spans="1:6" x14ac:dyDescent="0.25">
      <c r="A1" t="s">
        <v>2441</v>
      </c>
      <c r="B1" s="6" t="s">
        <v>65</v>
      </c>
    </row>
    <row r="2" spans="1:6" x14ac:dyDescent="0.25">
      <c r="B2" s="6"/>
    </row>
    <row r="5" spans="1:6" x14ac:dyDescent="0.25">
      <c r="C5" s="510" t="s">
        <v>2441</v>
      </c>
      <c r="E5" s="510" t="s">
        <v>85</v>
      </c>
      <c r="F5" t="s">
        <v>2513</v>
      </c>
    </row>
    <row r="6" spans="1:6" x14ac:dyDescent="0.25">
      <c r="C6" s="67" t="s">
        <v>2933</v>
      </c>
      <c r="E6" s="67" t="s">
        <v>2933</v>
      </c>
      <c r="F6" s="695">
        <v>1</v>
      </c>
    </row>
    <row r="7" spans="1:6" x14ac:dyDescent="0.25">
      <c r="E7" s="67" t="s">
        <v>86</v>
      </c>
      <c r="F7" s="695">
        <v>1</v>
      </c>
    </row>
  </sheetData>
  <phoneticPr fontId="20" type="noConversion"/>
  <pageMargins left="0.511811024" right="0.511811024" top="0.78740157499999996" bottom="0.78740157499999996" header="0.31496062000000002" footer="0.3149606200000000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73D0-49D3-40A0-9C87-5FCC8B7A7B7A}">
  <sheetPr codeName="Planilha3"/>
  <dimension ref="A2:F58"/>
  <sheetViews>
    <sheetView topLeftCell="A52" workbookViewId="0">
      <selection activeCell="C2" sqref="C1:C1048576"/>
    </sheetView>
  </sheetViews>
  <sheetFormatPr defaultRowHeight="15" x14ac:dyDescent="0.25"/>
  <cols>
    <col min="2" max="2" width="8.28515625" style="6" customWidth="1"/>
    <col min="3" max="3" width="77.140625" bestFit="1" customWidth="1"/>
    <col min="6" max="6" width="12.42578125" bestFit="1" customWidth="1"/>
  </cols>
  <sheetData>
    <row r="2" spans="1:5" x14ac:dyDescent="0.25">
      <c r="B2" s="6" t="s">
        <v>175</v>
      </c>
      <c r="C2" s="104" t="s">
        <v>174</v>
      </c>
      <c r="D2" s="6" t="s">
        <v>173</v>
      </c>
      <c r="E2" s="6" t="s">
        <v>172</v>
      </c>
    </row>
    <row r="3" spans="1:5" x14ac:dyDescent="0.25">
      <c r="A3">
        <v>2</v>
      </c>
      <c r="B3" s="6" t="s">
        <v>171</v>
      </c>
      <c r="C3" t="s">
        <v>1184</v>
      </c>
      <c r="D3" t="s">
        <v>115</v>
      </c>
      <c r="E3">
        <v>0.35</v>
      </c>
    </row>
    <row r="4" spans="1:5" x14ac:dyDescent="0.25">
      <c r="A4">
        <v>3</v>
      </c>
      <c r="B4" s="6" t="s">
        <v>170</v>
      </c>
      <c r="C4" t="s">
        <v>1185</v>
      </c>
      <c r="D4" t="s">
        <v>115</v>
      </c>
      <c r="E4">
        <v>0.35</v>
      </c>
    </row>
    <row r="5" spans="1:5" x14ac:dyDescent="0.25">
      <c r="A5">
        <v>4</v>
      </c>
      <c r="B5" s="6" t="s">
        <v>169</v>
      </c>
      <c r="C5" t="s">
        <v>1186</v>
      </c>
      <c r="D5" t="s">
        <v>115</v>
      </c>
      <c r="E5">
        <v>0.35</v>
      </c>
    </row>
    <row r="6" spans="1:5" x14ac:dyDescent="0.25">
      <c r="A6">
        <v>5</v>
      </c>
      <c r="B6" s="6" t="s">
        <v>168</v>
      </c>
      <c r="C6" t="s">
        <v>1187</v>
      </c>
      <c r="D6" t="s">
        <v>115</v>
      </c>
      <c r="E6">
        <v>0.35</v>
      </c>
    </row>
    <row r="7" spans="1:5" x14ac:dyDescent="0.25">
      <c r="A7">
        <v>6</v>
      </c>
      <c r="B7" s="6" t="s">
        <v>167</v>
      </c>
      <c r="C7" t="s">
        <v>1188</v>
      </c>
      <c r="D7" t="s">
        <v>115</v>
      </c>
      <c r="E7">
        <v>0.35</v>
      </c>
    </row>
    <row r="8" spans="1:5" x14ac:dyDescent="0.25">
      <c r="A8">
        <v>7</v>
      </c>
      <c r="B8" s="6" t="s">
        <v>166</v>
      </c>
      <c r="C8" t="s">
        <v>1189</v>
      </c>
      <c r="D8" t="s">
        <v>115</v>
      </c>
      <c r="E8">
        <v>0.35</v>
      </c>
    </row>
    <row r="9" spans="1:5" x14ac:dyDescent="0.25">
      <c r="A9">
        <v>8</v>
      </c>
      <c r="B9" s="6" t="s">
        <v>165</v>
      </c>
      <c r="C9" t="s">
        <v>1190</v>
      </c>
      <c r="D9" t="s">
        <v>115</v>
      </c>
      <c r="E9">
        <v>0.35</v>
      </c>
    </row>
    <row r="10" spans="1:5" x14ac:dyDescent="0.25">
      <c r="A10">
        <v>9</v>
      </c>
      <c r="B10" s="6" t="s">
        <v>164</v>
      </c>
      <c r="C10" t="s">
        <v>1191</v>
      </c>
      <c r="D10" t="s">
        <v>115</v>
      </c>
      <c r="E10">
        <v>0.35</v>
      </c>
    </row>
    <row r="11" spans="1:5" x14ac:dyDescent="0.25">
      <c r="A11">
        <v>10</v>
      </c>
      <c r="B11" s="6" t="s">
        <v>163</v>
      </c>
      <c r="C11" t="s">
        <v>1192</v>
      </c>
      <c r="D11" t="s">
        <v>115</v>
      </c>
      <c r="E11">
        <v>0.35</v>
      </c>
    </row>
    <row r="12" spans="1:5" x14ac:dyDescent="0.25">
      <c r="A12">
        <v>11</v>
      </c>
      <c r="B12" s="6" t="s">
        <v>162</v>
      </c>
      <c r="C12" t="s">
        <v>1193</v>
      </c>
      <c r="D12" t="s">
        <v>115</v>
      </c>
      <c r="E12">
        <v>0.35</v>
      </c>
    </row>
    <row r="13" spans="1:5" x14ac:dyDescent="0.25">
      <c r="A13">
        <v>12</v>
      </c>
      <c r="B13" s="6" t="s">
        <v>161</v>
      </c>
      <c r="C13" t="s">
        <v>1194</v>
      </c>
      <c r="D13" t="s">
        <v>115</v>
      </c>
      <c r="E13">
        <v>0.3</v>
      </c>
    </row>
    <row r="14" spans="1:5" x14ac:dyDescent="0.25">
      <c r="A14">
        <v>13</v>
      </c>
      <c r="B14" s="6" t="s">
        <v>160</v>
      </c>
      <c r="C14" t="s">
        <v>1195</v>
      </c>
      <c r="D14" t="s">
        <v>115</v>
      </c>
      <c r="E14">
        <v>0.35</v>
      </c>
    </row>
    <row r="15" spans="1:5" x14ac:dyDescent="0.25">
      <c r="A15">
        <v>14</v>
      </c>
      <c r="B15" s="6" t="s">
        <v>159</v>
      </c>
      <c r="C15" t="s">
        <v>1196</v>
      </c>
      <c r="D15" t="s">
        <v>115</v>
      </c>
      <c r="E15">
        <v>0.35</v>
      </c>
    </row>
    <row r="16" spans="1:5" x14ac:dyDescent="0.25">
      <c r="A16">
        <v>15</v>
      </c>
      <c r="B16" s="6" t="s">
        <v>158</v>
      </c>
      <c r="C16" t="s">
        <v>1197</v>
      </c>
      <c r="D16" t="s">
        <v>115</v>
      </c>
      <c r="E16">
        <v>0.35</v>
      </c>
    </row>
    <row r="17" spans="1:5" x14ac:dyDescent="0.25">
      <c r="A17">
        <v>16</v>
      </c>
      <c r="B17" s="6" t="s">
        <v>157</v>
      </c>
      <c r="C17" t="s">
        <v>1198</v>
      </c>
      <c r="D17" t="s">
        <v>115</v>
      </c>
      <c r="E17">
        <v>0.35</v>
      </c>
    </row>
    <row r="18" spans="1:5" x14ac:dyDescent="0.25">
      <c r="A18">
        <v>17</v>
      </c>
      <c r="B18" s="6" t="s">
        <v>156</v>
      </c>
      <c r="C18" t="s">
        <v>1199</v>
      </c>
      <c r="D18" t="s">
        <v>115</v>
      </c>
      <c r="E18">
        <v>0.35</v>
      </c>
    </row>
    <row r="19" spans="1:5" x14ac:dyDescent="0.25">
      <c r="A19">
        <v>18</v>
      </c>
      <c r="B19" s="6" t="s">
        <v>155</v>
      </c>
      <c r="C19" t="s">
        <v>1200</v>
      </c>
      <c r="D19" t="s">
        <v>115</v>
      </c>
      <c r="E19">
        <v>0.35</v>
      </c>
    </row>
    <row r="20" spans="1:5" x14ac:dyDescent="0.25">
      <c r="A20">
        <v>19</v>
      </c>
      <c r="B20" s="6" t="s">
        <v>154</v>
      </c>
      <c r="C20" t="s">
        <v>1201</v>
      </c>
      <c r="D20" t="s">
        <v>115</v>
      </c>
      <c r="E20">
        <v>0.35</v>
      </c>
    </row>
    <row r="21" spans="1:5" x14ac:dyDescent="0.25">
      <c r="A21">
        <v>20</v>
      </c>
      <c r="B21" s="6" t="s">
        <v>153</v>
      </c>
      <c r="C21" t="s">
        <v>1202</v>
      </c>
      <c r="D21" t="s">
        <v>115</v>
      </c>
      <c r="E21">
        <v>0.35</v>
      </c>
    </row>
    <row r="22" spans="1:5" x14ac:dyDescent="0.25">
      <c r="A22">
        <v>21</v>
      </c>
      <c r="B22" s="6" t="s">
        <v>152</v>
      </c>
      <c r="C22" t="s">
        <v>1203</v>
      </c>
      <c r="D22" t="s">
        <v>115</v>
      </c>
      <c r="E22">
        <v>0.35</v>
      </c>
    </row>
    <row r="23" spans="1:5" x14ac:dyDescent="0.25">
      <c r="A23">
        <v>22</v>
      </c>
      <c r="B23" s="6" t="s">
        <v>151</v>
      </c>
      <c r="C23" t="s">
        <v>1204</v>
      </c>
      <c r="D23" t="s">
        <v>115</v>
      </c>
      <c r="E23">
        <v>0.35</v>
      </c>
    </row>
    <row r="24" spans="1:5" x14ac:dyDescent="0.25">
      <c r="A24">
        <v>23</v>
      </c>
      <c r="B24" s="6" t="s">
        <v>150</v>
      </c>
      <c r="C24" t="s">
        <v>1205</v>
      </c>
      <c r="D24" t="s">
        <v>115</v>
      </c>
      <c r="E24">
        <v>0.35</v>
      </c>
    </row>
    <row r="25" spans="1:5" x14ac:dyDescent="0.25">
      <c r="A25">
        <v>24</v>
      </c>
      <c r="B25" s="6" t="s">
        <v>149</v>
      </c>
      <c r="C25" t="s">
        <v>1206</v>
      </c>
      <c r="D25" t="s">
        <v>115</v>
      </c>
      <c r="E25">
        <v>0.35</v>
      </c>
    </row>
    <row r="26" spans="1:5" x14ac:dyDescent="0.25">
      <c r="A26">
        <v>25</v>
      </c>
      <c r="B26" s="6" t="s">
        <v>148</v>
      </c>
      <c r="C26" t="s">
        <v>1207</v>
      </c>
      <c r="D26" t="s">
        <v>115</v>
      </c>
      <c r="E26">
        <v>0.35</v>
      </c>
    </row>
    <row r="27" spans="1:5" x14ac:dyDescent="0.25">
      <c r="A27">
        <v>26</v>
      </c>
      <c r="B27" s="6" t="s">
        <v>147</v>
      </c>
      <c r="C27" t="s">
        <v>1208</v>
      </c>
      <c r="D27" t="s">
        <v>115</v>
      </c>
      <c r="E27">
        <v>0.35</v>
      </c>
    </row>
    <row r="28" spans="1:5" x14ac:dyDescent="0.25">
      <c r="A28">
        <v>27</v>
      </c>
      <c r="B28" s="6" t="s">
        <v>146</v>
      </c>
      <c r="C28" t="s">
        <v>1209</v>
      </c>
      <c r="D28" t="s">
        <v>115</v>
      </c>
      <c r="E28">
        <v>0.35</v>
      </c>
    </row>
    <row r="29" spans="1:5" x14ac:dyDescent="0.25">
      <c r="A29">
        <v>28</v>
      </c>
      <c r="B29" s="6" t="s">
        <v>145</v>
      </c>
      <c r="C29" t="s">
        <v>1210</v>
      </c>
      <c r="D29" t="s">
        <v>115</v>
      </c>
      <c r="E29">
        <v>0.35</v>
      </c>
    </row>
    <row r="30" spans="1:5" x14ac:dyDescent="0.25">
      <c r="A30">
        <v>29</v>
      </c>
      <c r="B30" s="6" t="s">
        <v>144</v>
      </c>
      <c r="C30" t="s">
        <v>1211</v>
      </c>
      <c r="D30" t="s">
        <v>115</v>
      </c>
      <c r="E30">
        <v>0.35</v>
      </c>
    </row>
    <row r="31" spans="1:5" x14ac:dyDescent="0.25">
      <c r="A31">
        <v>30</v>
      </c>
      <c r="B31" s="6" t="s">
        <v>143</v>
      </c>
      <c r="C31" t="s">
        <v>1212</v>
      </c>
      <c r="D31" t="s">
        <v>115</v>
      </c>
      <c r="E31">
        <v>0.35</v>
      </c>
    </row>
    <row r="32" spans="1:5" x14ac:dyDescent="0.25">
      <c r="A32">
        <v>31</v>
      </c>
      <c r="B32" s="6" t="s">
        <v>142</v>
      </c>
      <c r="C32" t="s">
        <v>1213</v>
      </c>
      <c r="D32" t="s">
        <v>115</v>
      </c>
      <c r="E32">
        <v>0.35</v>
      </c>
    </row>
    <row r="33" spans="1:6" x14ac:dyDescent="0.25">
      <c r="A33">
        <v>32</v>
      </c>
      <c r="B33" s="6" t="s">
        <v>141</v>
      </c>
      <c r="C33" t="s">
        <v>1214</v>
      </c>
      <c r="D33" t="s">
        <v>115</v>
      </c>
      <c r="E33">
        <v>0.35</v>
      </c>
    </row>
    <row r="34" spans="1:6" x14ac:dyDescent="0.25">
      <c r="A34">
        <v>33</v>
      </c>
      <c r="B34" s="6" t="s">
        <v>140</v>
      </c>
      <c r="C34" t="s">
        <v>1215</v>
      </c>
      <c r="D34" t="s">
        <v>115</v>
      </c>
      <c r="E34">
        <v>0.35</v>
      </c>
    </row>
    <row r="35" spans="1:6" x14ac:dyDescent="0.25">
      <c r="A35">
        <v>34</v>
      </c>
      <c r="B35" s="6" t="s">
        <v>139</v>
      </c>
      <c r="C35" t="s">
        <v>1216</v>
      </c>
      <c r="D35" t="s">
        <v>115</v>
      </c>
      <c r="E35">
        <v>0.35</v>
      </c>
    </row>
    <row r="36" spans="1:6" x14ac:dyDescent="0.25">
      <c r="A36">
        <v>35</v>
      </c>
      <c r="B36" s="6" t="s">
        <v>138</v>
      </c>
      <c r="C36" t="s">
        <v>1217</v>
      </c>
      <c r="D36" t="s">
        <v>115</v>
      </c>
      <c r="E36">
        <v>0.35</v>
      </c>
    </row>
    <row r="37" spans="1:6" x14ac:dyDescent="0.25">
      <c r="A37">
        <v>36</v>
      </c>
      <c r="B37" s="6" t="s">
        <v>137</v>
      </c>
      <c r="C37" t="s">
        <v>1218</v>
      </c>
      <c r="D37" t="s">
        <v>115</v>
      </c>
      <c r="E37">
        <v>0.35</v>
      </c>
    </row>
    <row r="38" spans="1:6" x14ac:dyDescent="0.25">
      <c r="A38">
        <v>37</v>
      </c>
      <c r="B38" s="6" t="s">
        <v>136</v>
      </c>
      <c r="C38" t="s">
        <v>1219</v>
      </c>
      <c r="D38" t="s">
        <v>115</v>
      </c>
      <c r="E38">
        <v>0.35</v>
      </c>
    </row>
    <row r="39" spans="1:6" x14ac:dyDescent="0.25">
      <c r="A39">
        <v>38</v>
      </c>
      <c r="B39" s="6" t="s">
        <v>135</v>
      </c>
      <c r="C39" t="s">
        <v>1220</v>
      </c>
      <c r="D39" t="s">
        <v>115</v>
      </c>
      <c r="E39">
        <v>0.35</v>
      </c>
      <c r="F39" t="b">
        <f t="shared" ref="F39:F58" si="0">A39=_xlfn.NUMBERVALUE(B39)</f>
        <v>0</v>
      </c>
    </row>
    <row r="40" spans="1:6" x14ac:dyDescent="0.25">
      <c r="A40">
        <v>39</v>
      </c>
      <c r="B40" s="6" t="s">
        <v>134</v>
      </c>
      <c r="C40" t="s">
        <v>1221</v>
      </c>
      <c r="D40" t="s">
        <v>115</v>
      </c>
      <c r="E40">
        <v>0.35</v>
      </c>
      <c r="F40" t="b">
        <f t="shared" si="0"/>
        <v>0</v>
      </c>
    </row>
    <row r="41" spans="1:6" x14ac:dyDescent="0.25">
      <c r="A41">
        <v>40</v>
      </c>
      <c r="B41" s="6" t="s">
        <v>133</v>
      </c>
      <c r="C41" t="s">
        <v>1222</v>
      </c>
      <c r="D41" t="s">
        <v>115</v>
      </c>
      <c r="E41">
        <v>0.35</v>
      </c>
      <c r="F41" t="b">
        <f t="shared" si="0"/>
        <v>0</v>
      </c>
    </row>
    <row r="42" spans="1:6" x14ac:dyDescent="0.25">
      <c r="A42">
        <v>41</v>
      </c>
      <c r="B42" s="6" t="s">
        <v>132</v>
      </c>
      <c r="C42" t="s">
        <v>1223</v>
      </c>
      <c r="D42" t="s">
        <v>115</v>
      </c>
      <c r="E42">
        <v>0.35</v>
      </c>
      <c r="F42" t="b">
        <f t="shared" si="0"/>
        <v>0</v>
      </c>
    </row>
    <row r="43" spans="1:6" x14ac:dyDescent="0.25">
      <c r="A43">
        <v>42</v>
      </c>
      <c r="B43" s="6" t="s">
        <v>131</v>
      </c>
      <c r="C43" t="s">
        <v>1224</v>
      </c>
      <c r="D43" t="s">
        <v>115</v>
      </c>
      <c r="E43">
        <v>0.35</v>
      </c>
      <c r="F43" t="b">
        <f t="shared" si="0"/>
        <v>0</v>
      </c>
    </row>
    <row r="44" spans="1:6" x14ac:dyDescent="0.25">
      <c r="A44">
        <v>43</v>
      </c>
      <c r="B44" s="6" t="s">
        <v>130</v>
      </c>
      <c r="C44" t="s">
        <v>1225</v>
      </c>
      <c r="D44" t="s">
        <v>115</v>
      </c>
      <c r="E44">
        <v>0.35</v>
      </c>
      <c r="F44" t="b">
        <f t="shared" si="0"/>
        <v>0</v>
      </c>
    </row>
    <row r="45" spans="1:6" x14ac:dyDescent="0.25">
      <c r="A45">
        <v>44</v>
      </c>
      <c r="B45" s="6" t="s">
        <v>129</v>
      </c>
      <c r="C45" t="s">
        <v>1226</v>
      </c>
      <c r="D45" t="s">
        <v>115</v>
      </c>
      <c r="E45">
        <v>0.35</v>
      </c>
      <c r="F45" t="b">
        <f t="shared" si="0"/>
        <v>0</v>
      </c>
    </row>
    <row r="46" spans="1:6" x14ac:dyDescent="0.25">
      <c r="A46">
        <v>45</v>
      </c>
      <c r="B46" s="6" t="s">
        <v>128</v>
      </c>
      <c r="C46" t="s">
        <v>1227</v>
      </c>
      <c r="D46" t="s">
        <v>115</v>
      </c>
      <c r="E46">
        <v>0.35</v>
      </c>
      <c r="F46" t="b">
        <f t="shared" si="0"/>
        <v>0</v>
      </c>
    </row>
    <row r="47" spans="1:6" x14ac:dyDescent="0.25">
      <c r="A47">
        <v>46</v>
      </c>
      <c r="B47" s="6" t="s">
        <v>127</v>
      </c>
      <c r="C47" t="s">
        <v>1228</v>
      </c>
      <c r="D47" t="s">
        <v>115</v>
      </c>
      <c r="E47">
        <v>0.35</v>
      </c>
      <c r="F47" t="b">
        <f t="shared" si="0"/>
        <v>0</v>
      </c>
    </row>
    <row r="48" spans="1:6" x14ac:dyDescent="0.25">
      <c r="A48">
        <v>47</v>
      </c>
      <c r="B48" s="6" t="s">
        <v>126</v>
      </c>
      <c r="C48" t="s">
        <v>1229</v>
      </c>
      <c r="D48" t="s">
        <v>115</v>
      </c>
      <c r="E48">
        <v>0.35</v>
      </c>
      <c r="F48" t="b">
        <f t="shared" si="0"/>
        <v>0</v>
      </c>
    </row>
    <row r="49" spans="1:6" x14ac:dyDescent="0.25">
      <c r="A49">
        <v>48</v>
      </c>
      <c r="B49" s="6" t="s">
        <v>125</v>
      </c>
      <c r="C49" t="s">
        <v>1230</v>
      </c>
      <c r="D49" t="s">
        <v>115</v>
      </c>
      <c r="E49">
        <v>0.35</v>
      </c>
      <c r="F49" t="b">
        <f t="shared" si="0"/>
        <v>0</v>
      </c>
    </row>
    <row r="50" spans="1:6" x14ac:dyDescent="0.25">
      <c r="A50">
        <v>49</v>
      </c>
      <c r="B50" s="6" t="s">
        <v>124</v>
      </c>
      <c r="C50" t="s">
        <v>1231</v>
      </c>
      <c r="D50" t="s">
        <v>115</v>
      </c>
      <c r="E50">
        <v>0.35</v>
      </c>
      <c r="F50" t="b">
        <f t="shared" si="0"/>
        <v>0</v>
      </c>
    </row>
    <row r="51" spans="1:6" x14ac:dyDescent="0.25">
      <c r="A51">
        <v>50</v>
      </c>
      <c r="B51" s="6" t="s">
        <v>123</v>
      </c>
      <c r="C51" t="s">
        <v>1232</v>
      </c>
      <c r="D51" t="s">
        <v>115</v>
      </c>
      <c r="E51">
        <v>0.35</v>
      </c>
      <c r="F51" t="b">
        <f t="shared" si="0"/>
        <v>0</v>
      </c>
    </row>
    <row r="52" spans="1:6" x14ac:dyDescent="0.25">
      <c r="A52">
        <v>51</v>
      </c>
      <c r="B52" s="6" t="s">
        <v>122</v>
      </c>
      <c r="C52" t="s">
        <v>1233</v>
      </c>
      <c r="D52" t="s">
        <v>115</v>
      </c>
      <c r="E52">
        <v>0.35</v>
      </c>
      <c r="F52" t="b">
        <f t="shared" si="0"/>
        <v>0</v>
      </c>
    </row>
    <row r="53" spans="1:6" x14ac:dyDescent="0.25">
      <c r="A53">
        <v>52</v>
      </c>
      <c r="B53" s="6" t="s">
        <v>121</v>
      </c>
      <c r="C53" t="s">
        <v>1234</v>
      </c>
      <c r="D53" t="s">
        <v>115</v>
      </c>
      <c r="E53">
        <v>0.3</v>
      </c>
      <c r="F53" t="b">
        <f t="shared" si="0"/>
        <v>0</v>
      </c>
    </row>
    <row r="54" spans="1:6" x14ac:dyDescent="0.25">
      <c r="A54">
        <v>53</v>
      </c>
      <c r="B54" s="6" t="s">
        <v>120</v>
      </c>
      <c r="C54" t="s">
        <v>1235</v>
      </c>
      <c r="D54" t="s">
        <v>115</v>
      </c>
      <c r="E54">
        <v>0.3</v>
      </c>
      <c r="F54" t="b">
        <f t="shared" si="0"/>
        <v>0</v>
      </c>
    </row>
    <row r="55" spans="1:6" x14ac:dyDescent="0.25">
      <c r="A55">
        <v>54</v>
      </c>
      <c r="B55" s="6" t="s">
        <v>119</v>
      </c>
      <c r="C55" t="s">
        <v>1236</v>
      </c>
      <c r="D55" t="s">
        <v>115</v>
      </c>
      <c r="E55">
        <v>0.35</v>
      </c>
      <c r="F55" t="b">
        <f t="shared" si="0"/>
        <v>0</v>
      </c>
    </row>
    <row r="56" spans="1:6" x14ac:dyDescent="0.25">
      <c r="A56">
        <v>55</v>
      </c>
      <c r="B56" s="6" t="s">
        <v>118</v>
      </c>
      <c r="C56" t="s">
        <v>1237</v>
      </c>
      <c r="D56" t="s">
        <v>115</v>
      </c>
      <c r="E56">
        <v>0.35</v>
      </c>
      <c r="F56" t="b">
        <f t="shared" si="0"/>
        <v>0</v>
      </c>
    </row>
    <row r="57" spans="1:6" x14ac:dyDescent="0.25">
      <c r="A57">
        <v>56</v>
      </c>
      <c r="B57" s="6" t="s">
        <v>117</v>
      </c>
      <c r="C57" t="s">
        <v>1238</v>
      </c>
      <c r="D57" t="s">
        <v>115</v>
      </c>
      <c r="E57">
        <v>0.35</v>
      </c>
      <c r="F57" t="b">
        <f t="shared" si="0"/>
        <v>0</v>
      </c>
    </row>
    <row r="58" spans="1:6" x14ac:dyDescent="0.25">
      <c r="A58">
        <v>57</v>
      </c>
      <c r="B58" s="6" t="s">
        <v>116</v>
      </c>
      <c r="C58" t="s">
        <v>1239</v>
      </c>
      <c r="D58" t="s">
        <v>115</v>
      </c>
      <c r="E58">
        <v>0.35</v>
      </c>
      <c r="F58" t="b">
        <f t="shared" si="0"/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152E-2E96-4BCF-BD73-DA16B73CF1E7}">
  <sheetPr codeName="Planilha4"/>
  <dimension ref="A1:U1971"/>
  <sheetViews>
    <sheetView workbookViewId="0">
      <selection activeCell="J8" sqref="J8:N20"/>
    </sheetView>
  </sheetViews>
  <sheetFormatPr defaultRowHeight="15" x14ac:dyDescent="0.25"/>
  <cols>
    <col min="1" max="1" width="9.85546875" style="6" bestFit="1" customWidth="1"/>
    <col min="2" max="2" width="9.42578125" style="6" customWidth="1"/>
    <col min="3" max="3" width="9.140625" style="101" bestFit="1" customWidth="1"/>
    <col min="4" max="4" width="15.7109375" style="6" bestFit="1" customWidth="1"/>
    <col min="5" max="5" width="12.140625" style="373" bestFit="1" customWidth="1"/>
    <col min="6" max="6" width="12.140625" bestFit="1" customWidth="1"/>
    <col min="7" max="7" width="14.5703125" style="6" bestFit="1" customWidth="1"/>
    <col min="10" max="10" width="16.5703125" customWidth="1"/>
    <col min="11" max="11" width="9.42578125" customWidth="1"/>
    <col min="12" max="12" width="11.85546875" bestFit="1" customWidth="1"/>
    <col min="13" max="13" width="18.42578125" bestFit="1" customWidth="1"/>
    <col min="14" max="14" width="15.7109375" bestFit="1" customWidth="1"/>
    <col min="15" max="15" width="15.140625" bestFit="1" customWidth="1"/>
    <col min="16" max="16" width="15.28515625" bestFit="1" customWidth="1"/>
    <col min="17" max="17" width="9.140625" style="6"/>
  </cols>
  <sheetData>
    <row r="1" spans="1:21" x14ac:dyDescent="0.25">
      <c r="A1" s="6" t="s">
        <v>113</v>
      </c>
      <c r="B1" s="6" t="s">
        <v>114</v>
      </c>
      <c r="C1" s="101" t="s">
        <v>112</v>
      </c>
      <c r="D1" s="6" t="s">
        <v>111</v>
      </c>
      <c r="G1" s="318" t="s">
        <v>482</v>
      </c>
    </row>
    <row r="2" spans="1:21" x14ac:dyDescent="0.25">
      <c r="A2" s="6">
        <v>202501</v>
      </c>
      <c r="B2" s="6">
        <v>12024</v>
      </c>
      <c r="C2" s="4">
        <f>H2</f>
        <v>3.9E-2</v>
      </c>
      <c r="D2" s="6" t="s">
        <v>109</v>
      </c>
      <c r="E2" s="373">
        <f t="shared" ref="E2:E14" si="0">C2/$C$2</f>
        <v>1</v>
      </c>
      <c r="F2" s="22">
        <f t="shared" ref="F2:F14" si="1">ROUND(C2,4)</f>
        <v>3.9E-2</v>
      </c>
      <c r="G2" s="319">
        <v>0</v>
      </c>
      <c r="H2" s="22">
        <f>SUM(G2:$G$13)</f>
        <v>3.9E-2</v>
      </c>
      <c r="I2" s="22">
        <f>$C$2-H2</f>
        <v>0</v>
      </c>
    </row>
    <row r="3" spans="1:21" x14ac:dyDescent="0.25">
      <c r="A3" s="6">
        <v>202502</v>
      </c>
      <c r="B3" s="6">
        <v>22024</v>
      </c>
      <c r="C3" s="101">
        <f>H3</f>
        <v>3.9E-2</v>
      </c>
      <c r="D3" s="6" t="s">
        <v>109</v>
      </c>
      <c r="E3" s="373">
        <f t="shared" si="0"/>
        <v>1</v>
      </c>
      <c r="F3" s="22">
        <f t="shared" si="1"/>
        <v>3.9E-2</v>
      </c>
      <c r="G3" s="319">
        <v>1.4800000000000001E-2</v>
      </c>
      <c r="H3" s="22">
        <f>SUM(G3:$G$13)</f>
        <v>3.9E-2</v>
      </c>
      <c r="I3" s="22">
        <f t="shared" ref="I3:I13" si="2">$C$2-H3</f>
        <v>0</v>
      </c>
    </row>
    <row r="4" spans="1:21" x14ac:dyDescent="0.25">
      <c r="A4" s="6">
        <v>202503</v>
      </c>
      <c r="B4" s="6">
        <v>32024</v>
      </c>
      <c r="C4" s="101">
        <f t="shared" ref="C4:C13" si="3">H4</f>
        <v>2.4200000000000003E-2</v>
      </c>
      <c r="D4" s="6" t="s">
        <v>109</v>
      </c>
      <c r="E4" s="373">
        <f t="shared" si="0"/>
        <v>0.62051282051282064</v>
      </c>
      <c r="F4" s="22">
        <f t="shared" si="1"/>
        <v>2.4199999999999999E-2</v>
      </c>
      <c r="G4" s="319">
        <v>5.1000000000000004E-3</v>
      </c>
      <c r="H4" s="22">
        <f>SUM(G4:$G$13)</f>
        <v>2.4200000000000003E-2</v>
      </c>
      <c r="I4" s="22">
        <f t="shared" si="2"/>
        <v>1.4799999999999997E-2</v>
      </c>
    </row>
    <row r="5" spans="1:21" ht="15.75" thickBot="1" x14ac:dyDescent="0.3">
      <c r="A5" s="6">
        <v>202504</v>
      </c>
      <c r="B5" s="6">
        <v>42024</v>
      </c>
      <c r="C5" s="101">
        <f t="shared" si="3"/>
        <v>1.9100000000000006E-2</v>
      </c>
      <c r="D5" s="6" t="s">
        <v>109</v>
      </c>
      <c r="E5" s="373">
        <f t="shared" si="0"/>
        <v>0.48974358974358989</v>
      </c>
      <c r="F5" s="22">
        <f t="shared" si="1"/>
        <v>1.9099999999999999E-2</v>
      </c>
      <c r="G5" s="319">
        <v>4.7999999999999996E-3</v>
      </c>
      <c r="H5" s="22">
        <f>SUM(G5:$G$13)</f>
        <v>1.9100000000000006E-2</v>
      </c>
      <c r="I5" s="22">
        <f t="shared" si="2"/>
        <v>1.9899999999999994E-2</v>
      </c>
      <c r="R5" s="315">
        <v>45292</v>
      </c>
      <c r="S5" s="316">
        <v>5.7000000000000002E-3</v>
      </c>
      <c r="T5" s="316">
        <v>1.46E-2</v>
      </c>
      <c r="U5" s="316">
        <v>3.8199999999999998E-2</v>
      </c>
    </row>
    <row r="6" spans="1:21" ht="15.75" thickBot="1" x14ac:dyDescent="0.3">
      <c r="A6" s="6">
        <v>202505</v>
      </c>
      <c r="B6" s="6">
        <v>52024</v>
      </c>
      <c r="C6" s="101">
        <f t="shared" si="3"/>
        <v>1.43E-2</v>
      </c>
      <c r="D6" s="6" t="s">
        <v>109</v>
      </c>
      <c r="E6" s="373">
        <f t="shared" si="0"/>
        <v>0.3666666666666667</v>
      </c>
      <c r="F6" s="22">
        <f t="shared" si="1"/>
        <v>1.43E-2</v>
      </c>
      <c r="G6" s="319">
        <v>3.5000000000000001E-3</v>
      </c>
      <c r="H6" s="22">
        <f>SUM(G6:$G$13)</f>
        <v>1.43E-2</v>
      </c>
      <c r="I6" s="22">
        <f t="shared" si="2"/>
        <v>2.47E-2</v>
      </c>
      <c r="R6" s="315">
        <v>45323</v>
      </c>
      <c r="S6" s="316">
        <v>8.0999999999999996E-3</v>
      </c>
      <c r="T6" s="316">
        <v>2.2800000000000001E-2</v>
      </c>
      <c r="U6" s="316">
        <v>3.8600000000000002E-2</v>
      </c>
    </row>
    <row r="7" spans="1:21" ht="15.75" thickBot="1" x14ac:dyDescent="0.3">
      <c r="A7" s="6">
        <v>202506</v>
      </c>
      <c r="B7" s="6">
        <v>62024</v>
      </c>
      <c r="C7" s="101">
        <f t="shared" si="3"/>
        <v>1.0800000000000001E-2</v>
      </c>
      <c r="D7" s="6" t="s">
        <v>109</v>
      </c>
      <c r="E7" s="373">
        <f t="shared" si="0"/>
        <v>0.27692307692307694</v>
      </c>
      <c r="F7" s="22">
        <f t="shared" si="1"/>
        <v>1.0800000000000001E-2</v>
      </c>
      <c r="G7" s="319">
        <v>2.3E-3</v>
      </c>
      <c r="H7" s="22">
        <f>SUM(G7:$G$13)</f>
        <v>1.0800000000000001E-2</v>
      </c>
      <c r="I7" s="22">
        <f t="shared" si="2"/>
        <v>2.8199999999999999E-2</v>
      </c>
      <c r="K7" t="s">
        <v>113</v>
      </c>
      <c r="L7" t="s">
        <v>112</v>
      </c>
      <c r="N7" t="s">
        <v>111</v>
      </c>
      <c r="O7" t="s">
        <v>110</v>
      </c>
      <c r="P7" t="s">
        <v>479</v>
      </c>
      <c r="Q7" s="6" t="s">
        <v>480</v>
      </c>
      <c r="R7" s="315">
        <v>45352</v>
      </c>
      <c r="S7" s="316">
        <v>1.9E-3</v>
      </c>
      <c r="T7" s="316">
        <v>2.47E-2</v>
      </c>
      <c r="U7" s="316">
        <v>3.4000000000000002E-2</v>
      </c>
    </row>
    <row r="8" spans="1:21" ht="15.75" thickBot="1" x14ac:dyDescent="0.3">
      <c r="A8" s="6">
        <v>202507</v>
      </c>
      <c r="B8" s="6">
        <v>72024</v>
      </c>
      <c r="C8" s="101">
        <f t="shared" si="3"/>
        <v>8.5000000000000006E-3</v>
      </c>
      <c r="D8" s="6" t="s">
        <v>109</v>
      </c>
      <c r="E8" s="373">
        <f t="shared" si="0"/>
        <v>0.21794871794871795</v>
      </c>
      <c r="F8" s="22">
        <f t="shared" si="1"/>
        <v>8.5000000000000006E-3</v>
      </c>
      <c r="G8" s="319">
        <v>2.0999999999999999E-3</v>
      </c>
      <c r="H8" s="22">
        <f>SUM(G8:$G$13)</f>
        <v>8.5000000000000006E-3</v>
      </c>
      <c r="I8" s="22">
        <f t="shared" si="2"/>
        <v>3.0499999999999999E-2</v>
      </c>
      <c r="J8" t="s">
        <v>108</v>
      </c>
      <c r="K8">
        <f>A2</f>
        <v>202501</v>
      </c>
      <c r="L8" s="103">
        <f t="shared" ref="L8:L20" si="4">VLOOKUP(K8,$A$2:$C$14,3,FALSE)</f>
        <v>3.9E-2</v>
      </c>
      <c r="M8" s="103" t="s">
        <v>2486</v>
      </c>
      <c r="N8">
        <f>K8</f>
        <v>202501</v>
      </c>
      <c r="O8">
        <v>1631</v>
      </c>
      <c r="P8">
        <v>1518</v>
      </c>
      <c r="Q8" s="6">
        <v>2024</v>
      </c>
      <c r="R8" s="315">
        <v>45383</v>
      </c>
      <c r="S8" s="316">
        <v>3.7000000000000002E-3</v>
      </c>
      <c r="T8" s="316">
        <v>2.8500000000000001E-2</v>
      </c>
      <c r="U8" s="316">
        <v>3.2300000000000002E-2</v>
      </c>
    </row>
    <row r="9" spans="1:21" ht="15.75" thickBot="1" x14ac:dyDescent="0.3">
      <c r="A9" s="6">
        <v>202508</v>
      </c>
      <c r="B9" s="6">
        <v>82024</v>
      </c>
      <c r="C9" s="101">
        <f t="shared" si="3"/>
        <v>6.3999999999999994E-3</v>
      </c>
      <c r="D9" s="6" t="s">
        <v>109</v>
      </c>
      <c r="E9" s="373">
        <f t="shared" si="0"/>
        <v>0.16410256410256407</v>
      </c>
      <c r="F9" s="22">
        <f t="shared" si="1"/>
        <v>6.4000000000000003E-3</v>
      </c>
      <c r="G9" s="422">
        <v>-2.0999999999999999E-3</v>
      </c>
      <c r="H9" s="22">
        <f>SUM(G9:$G$13)</f>
        <v>6.3999999999999994E-3</v>
      </c>
      <c r="I9" s="22">
        <f t="shared" si="2"/>
        <v>3.2600000000000004E-2</v>
      </c>
      <c r="J9" t="s">
        <v>108</v>
      </c>
      <c r="K9">
        <f t="shared" ref="K9:K20" si="5">A3</f>
        <v>202502</v>
      </c>
      <c r="L9" s="103">
        <f t="shared" si="4"/>
        <v>3.9E-2</v>
      </c>
      <c r="M9" s="103" t="s">
        <v>2486</v>
      </c>
      <c r="N9">
        <f>A3</f>
        <v>202502</v>
      </c>
      <c r="O9">
        <v>1631</v>
      </c>
      <c r="P9">
        <v>1518</v>
      </c>
      <c r="Q9" s="6">
        <v>2024</v>
      </c>
      <c r="R9" s="315">
        <v>45413</v>
      </c>
      <c r="S9" s="316">
        <v>4.5999999999999999E-3</v>
      </c>
      <c r="T9" s="316">
        <v>3.3300000000000003E-2</v>
      </c>
      <c r="U9" s="316">
        <v>3.3399999999999999E-2</v>
      </c>
    </row>
    <row r="10" spans="1:21" ht="15.75" thickBot="1" x14ac:dyDescent="0.3">
      <c r="A10" s="6">
        <v>202509</v>
      </c>
      <c r="B10" s="6">
        <v>92024</v>
      </c>
      <c r="C10" s="101">
        <f t="shared" si="3"/>
        <v>8.5000000000000006E-3</v>
      </c>
      <c r="D10" s="6" t="s">
        <v>109</v>
      </c>
      <c r="E10" s="373">
        <f t="shared" si="0"/>
        <v>0.21794871794871795</v>
      </c>
      <c r="F10" s="22">
        <f t="shared" si="1"/>
        <v>8.5000000000000006E-3</v>
      </c>
      <c r="G10" s="422">
        <v>5.1999999999999998E-3</v>
      </c>
      <c r="H10" s="22">
        <f>SUM(G10:$G$13)</f>
        <v>8.5000000000000006E-3</v>
      </c>
      <c r="I10" s="22">
        <f t="shared" si="2"/>
        <v>3.0499999999999999E-2</v>
      </c>
      <c r="J10" t="s">
        <v>108</v>
      </c>
      <c r="K10">
        <f t="shared" si="5"/>
        <v>202503</v>
      </c>
      <c r="L10" s="103">
        <f t="shared" si="4"/>
        <v>2.4200000000000003E-2</v>
      </c>
      <c r="M10" s="103" t="s">
        <v>2486</v>
      </c>
      <c r="N10">
        <f t="shared" ref="N10:N20" si="6">K10</f>
        <v>202503</v>
      </c>
      <c r="O10">
        <v>1631</v>
      </c>
      <c r="P10">
        <v>1518</v>
      </c>
      <c r="Q10" s="6">
        <v>2024</v>
      </c>
      <c r="R10" s="315">
        <v>45444</v>
      </c>
      <c r="S10" s="316">
        <v>2.5000000000000001E-3</v>
      </c>
      <c r="T10" s="316">
        <v>3.5799999999999998E-2</v>
      </c>
      <c r="U10" s="316">
        <v>3.6999999999999998E-2</v>
      </c>
    </row>
    <row r="11" spans="1:21" ht="15.75" thickBot="1" x14ac:dyDescent="0.3">
      <c r="A11" s="6">
        <v>202510</v>
      </c>
      <c r="B11" s="6">
        <v>102024</v>
      </c>
      <c r="C11" s="101">
        <f t="shared" si="3"/>
        <v>3.3E-3</v>
      </c>
      <c r="D11" s="6" t="s">
        <v>109</v>
      </c>
      <c r="E11" s="373">
        <f t="shared" si="0"/>
        <v>8.461538461538462E-2</v>
      </c>
      <c r="F11" s="22">
        <f t="shared" si="1"/>
        <v>3.3E-3</v>
      </c>
      <c r="G11" s="423">
        <v>2.9999999999999997E-4</v>
      </c>
      <c r="H11" s="22">
        <f>SUM(G11:$G$13)</f>
        <v>3.3E-3</v>
      </c>
      <c r="I11" s="22">
        <f t="shared" si="2"/>
        <v>3.5700000000000003E-2</v>
      </c>
      <c r="J11" t="s">
        <v>108</v>
      </c>
      <c r="K11">
        <f t="shared" si="5"/>
        <v>202504</v>
      </c>
      <c r="L11" s="103">
        <f t="shared" si="4"/>
        <v>1.9100000000000006E-2</v>
      </c>
      <c r="M11" s="103" t="s">
        <v>2486</v>
      </c>
      <c r="N11">
        <f t="shared" si="6"/>
        <v>202504</v>
      </c>
      <c r="O11">
        <v>1631</v>
      </c>
      <c r="P11">
        <v>1518</v>
      </c>
      <c r="Q11" s="6">
        <v>2024</v>
      </c>
      <c r="R11" s="315">
        <v>45474</v>
      </c>
      <c r="S11" s="316">
        <v>2.5999999999999999E-3</v>
      </c>
      <c r="T11" s="316">
        <v>3.85E-2</v>
      </c>
      <c r="U11" s="316">
        <v>4.0599999999999997E-2</v>
      </c>
    </row>
    <row r="12" spans="1:21" ht="15.75" thickBot="1" x14ac:dyDescent="0.3">
      <c r="A12" s="6">
        <v>202511</v>
      </c>
      <c r="B12" s="6">
        <v>112024</v>
      </c>
      <c r="C12" s="101">
        <f t="shared" si="3"/>
        <v>3.0000000000000001E-3</v>
      </c>
      <c r="D12" s="6" t="s">
        <v>109</v>
      </c>
      <c r="E12" s="373">
        <f t="shared" si="0"/>
        <v>7.6923076923076927E-2</v>
      </c>
      <c r="F12" s="22">
        <f t="shared" si="1"/>
        <v>3.0000000000000001E-3</v>
      </c>
      <c r="G12" s="423">
        <v>2.9999999999999997E-4</v>
      </c>
      <c r="H12" s="22">
        <f>SUM(G12:$G$13)</f>
        <v>3.0000000000000001E-3</v>
      </c>
      <c r="I12" s="22">
        <f t="shared" si="2"/>
        <v>3.5999999999999997E-2</v>
      </c>
      <c r="J12" t="s">
        <v>108</v>
      </c>
      <c r="K12">
        <f t="shared" si="5"/>
        <v>202505</v>
      </c>
      <c r="L12" s="103">
        <f t="shared" si="4"/>
        <v>1.43E-2</v>
      </c>
      <c r="M12" s="103" t="s">
        <v>2486</v>
      </c>
      <c r="N12">
        <f t="shared" si="6"/>
        <v>202505</v>
      </c>
      <c r="O12">
        <v>1631</v>
      </c>
      <c r="P12">
        <v>1518</v>
      </c>
      <c r="Q12" s="6">
        <v>2024</v>
      </c>
      <c r="R12" s="315">
        <v>45505</v>
      </c>
      <c r="S12" s="316">
        <v>-1.4E-3</v>
      </c>
      <c r="T12" s="316">
        <v>3.7100000000000001E-2</v>
      </c>
      <c r="U12" s="316">
        <v>3.7100000000000001E-2</v>
      </c>
    </row>
    <row r="13" spans="1:21" ht="15.75" thickBot="1" x14ac:dyDescent="0.3">
      <c r="A13" s="6">
        <v>202512</v>
      </c>
      <c r="B13" s="6">
        <v>122024</v>
      </c>
      <c r="C13" s="101">
        <f t="shared" si="3"/>
        <v>2.7000000000000001E-3</v>
      </c>
      <c r="D13" s="6" t="s">
        <v>109</v>
      </c>
      <c r="E13" s="373">
        <f t="shared" si="0"/>
        <v>6.9230769230769235E-2</v>
      </c>
      <c r="F13" s="22">
        <f t="shared" si="1"/>
        <v>2.7000000000000001E-3</v>
      </c>
      <c r="G13" s="423">
        <v>2.7000000000000001E-3</v>
      </c>
      <c r="H13" s="22">
        <f>SUM(G13:$G$13)</f>
        <v>2.7000000000000001E-3</v>
      </c>
      <c r="I13" s="22">
        <f t="shared" si="2"/>
        <v>3.6299999999999999E-2</v>
      </c>
      <c r="J13" t="s">
        <v>108</v>
      </c>
      <c r="K13">
        <f t="shared" si="5"/>
        <v>202506</v>
      </c>
      <c r="L13" s="103">
        <f t="shared" si="4"/>
        <v>1.0800000000000001E-2</v>
      </c>
      <c r="M13" s="103" t="s">
        <v>2486</v>
      </c>
      <c r="N13">
        <f t="shared" si="6"/>
        <v>202506</v>
      </c>
      <c r="O13">
        <v>1631</v>
      </c>
      <c r="P13">
        <v>1518</v>
      </c>
      <c r="Q13" s="6">
        <v>2024</v>
      </c>
      <c r="R13" s="315">
        <v>45536</v>
      </c>
      <c r="S13" s="317">
        <v>2.5000000000000001E-3</v>
      </c>
    </row>
    <row r="14" spans="1:21" ht="15.75" thickBot="1" x14ac:dyDescent="0.3">
      <c r="A14" s="6">
        <v>202412</v>
      </c>
      <c r="B14" s="6">
        <v>122023</v>
      </c>
      <c r="C14" s="4">
        <f>$C$2</f>
        <v>3.9E-2</v>
      </c>
      <c r="D14" s="6" t="s">
        <v>109</v>
      </c>
      <c r="E14" s="373">
        <f t="shared" si="0"/>
        <v>1</v>
      </c>
      <c r="F14" s="22">
        <f t="shared" si="1"/>
        <v>3.9E-2</v>
      </c>
      <c r="G14" s="319">
        <f>H2</f>
        <v>3.9E-2</v>
      </c>
      <c r="I14" s="22"/>
      <c r="J14" t="s">
        <v>108</v>
      </c>
      <c r="K14">
        <f t="shared" si="5"/>
        <v>202507</v>
      </c>
      <c r="L14" s="103">
        <f>VLOOKUP(K14,$A$2:$C$14,3,FALSE)</f>
        <v>8.5000000000000006E-3</v>
      </c>
      <c r="M14" s="103" t="s">
        <v>2486</v>
      </c>
      <c r="N14">
        <f t="shared" si="6"/>
        <v>202507</v>
      </c>
      <c r="O14">
        <v>1631</v>
      </c>
      <c r="P14">
        <v>1518</v>
      </c>
      <c r="Q14" s="6">
        <v>2024</v>
      </c>
      <c r="R14" s="315">
        <v>45566</v>
      </c>
      <c r="S14" s="317">
        <v>1.5E-3</v>
      </c>
    </row>
    <row r="15" spans="1:21" ht="15.75" thickBot="1" x14ac:dyDescent="0.3">
      <c r="I15" s="22"/>
      <c r="J15" t="s">
        <v>108</v>
      </c>
      <c r="K15">
        <f t="shared" si="5"/>
        <v>202508</v>
      </c>
      <c r="L15" s="103">
        <f t="shared" si="4"/>
        <v>6.3999999999999994E-3</v>
      </c>
      <c r="M15" s="103" t="s">
        <v>2486</v>
      </c>
      <c r="N15">
        <f t="shared" si="6"/>
        <v>202508</v>
      </c>
      <c r="O15">
        <v>1631</v>
      </c>
      <c r="P15">
        <v>1518</v>
      </c>
      <c r="Q15" s="6">
        <v>2024</v>
      </c>
      <c r="R15" s="315">
        <v>45597</v>
      </c>
      <c r="S15" s="317">
        <v>1.2999999999999999E-3</v>
      </c>
    </row>
    <row r="16" spans="1:21" ht="15.75" thickBot="1" x14ac:dyDescent="0.3">
      <c r="I16" s="22"/>
      <c r="J16" t="s">
        <v>108</v>
      </c>
      <c r="K16">
        <f t="shared" si="5"/>
        <v>202509</v>
      </c>
      <c r="L16" s="103">
        <f t="shared" si="4"/>
        <v>8.5000000000000006E-3</v>
      </c>
      <c r="M16" s="103" t="s">
        <v>2486</v>
      </c>
      <c r="N16">
        <f t="shared" si="6"/>
        <v>202509</v>
      </c>
      <c r="O16">
        <v>1631</v>
      </c>
      <c r="P16">
        <v>1518</v>
      </c>
      <c r="Q16" s="6">
        <v>2024</v>
      </c>
      <c r="R16" s="315">
        <v>45627</v>
      </c>
      <c r="S16" s="317">
        <v>5.7000000000000002E-3</v>
      </c>
    </row>
    <row r="17" spans="1:17" x14ac:dyDescent="0.25">
      <c r="I17" s="22"/>
      <c r="J17" t="s">
        <v>108</v>
      </c>
      <c r="K17">
        <f t="shared" si="5"/>
        <v>202510</v>
      </c>
      <c r="L17" s="103">
        <f t="shared" si="4"/>
        <v>3.3E-3</v>
      </c>
      <c r="M17" s="103" t="s">
        <v>2486</v>
      </c>
      <c r="N17">
        <f t="shared" si="6"/>
        <v>202510</v>
      </c>
      <c r="O17">
        <v>1631</v>
      </c>
      <c r="P17">
        <v>1518</v>
      </c>
      <c r="Q17" s="6">
        <v>2024</v>
      </c>
    </row>
    <row r="18" spans="1:17" x14ac:dyDescent="0.25">
      <c r="I18" s="22"/>
      <c r="J18" t="s">
        <v>108</v>
      </c>
      <c r="K18">
        <f t="shared" si="5"/>
        <v>202511</v>
      </c>
      <c r="L18" s="103">
        <f t="shared" si="4"/>
        <v>3.0000000000000001E-3</v>
      </c>
      <c r="M18" s="103" t="s">
        <v>2486</v>
      </c>
      <c r="N18">
        <f t="shared" si="6"/>
        <v>202511</v>
      </c>
      <c r="O18">
        <v>1631</v>
      </c>
      <c r="P18">
        <v>1518</v>
      </c>
      <c r="Q18" s="6">
        <v>2024</v>
      </c>
    </row>
    <row r="19" spans="1:17" x14ac:dyDescent="0.25">
      <c r="A19" s="319">
        <v>5.7000000000000002E-3</v>
      </c>
      <c r="I19" s="22"/>
      <c r="J19" t="s">
        <v>108</v>
      </c>
      <c r="K19">
        <f t="shared" si="5"/>
        <v>202512</v>
      </c>
      <c r="L19" s="103">
        <f t="shared" si="4"/>
        <v>2.7000000000000001E-3</v>
      </c>
      <c r="M19" s="103" t="s">
        <v>2486</v>
      </c>
      <c r="N19">
        <f t="shared" si="6"/>
        <v>202512</v>
      </c>
      <c r="O19">
        <v>1631</v>
      </c>
      <c r="P19">
        <v>1518</v>
      </c>
      <c r="Q19" s="6">
        <v>2024</v>
      </c>
    </row>
    <row r="20" spans="1:17" x14ac:dyDescent="0.25">
      <c r="A20" s="319">
        <v>8.0999999999999996E-3</v>
      </c>
      <c r="C20" s="101">
        <v>3.15E-2</v>
      </c>
      <c r="I20" s="22"/>
      <c r="J20" t="s">
        <v>108</v>
      </c>
      <c r="K20">
        <f t="shared" si="5"/>
        <v>202412</v>
      </c>
      <c r="L20" s="103">
        <f t="shared" si="4"/>
        <v>3.9E-2</v>
      </c>
      <c r="M20" s="103" t="s">
        <v>2486</v>
      </c>
      <c r="N20">
        <f t="shared" si="6"/>
        <v>202412</v>
      </c>
      <c r="O20">
        <v>1631</v>
      </c>
      <c r="P20">
        <v>1518</v>
      </c>
      <c r="Q20" s="6">
        <v>2024</v>
      </c>
    </row>
    <row r="21" spans="1:17" x14ac:dyDescent="0.25">
      <c r="A21" s="319">
        <v>1.9E-3</v>
      </c>
      <c r="C21" s="101">
        <v>3.0300000000000001E-2</v>
      </c>
      <c r="I21" s="22"/>
      <c r="L21" s="103"/>
      <c r="M21" s="103"/>
    </row>
    <row r="22" spans="1:17" x14ac:dyDescent="0.25">
      <c r="A22" s="319">
        <v>3.7000000000000002E-3</v>
      </c>
      <c r="C22" s="101">
        <v>2.9100000000000001E-2</v>
      </c>
      <c r="D22" s="105">
        <f>'Aumento Salarial INSS 2026'!O29</f>
        <v>1518</v>
      </c>
      <c r="E22" s="373">
        <f>D22*$C$2 + D22</f>
        <v>1577.202</v>
      </c>
      <c r="F22" s="373">
        <f>D22</f>
        <v>1518</v>
      </c>
    </row>
    <row r="23" spans="1:17" x14ac:dyDescent="0.25">
      <c r="A23" s="319">
        <v>4.5999999999999999E-3</v>
      </c>
      <c r="C23" s="101">
        <v>2.8799999999999999E-2</v>
      </c>
      <c r="D23" s="105">
        <f>D22+0.05</f>
        <v>1518.05</v>
      </c>
      <c r="E23" s="373">
        <f t="shared" ref="E23:E86" si="7">D23*$C$2 + D23</f>
        <v>1577.25395</v>
      </c>
      <c r="F23" s="373">
        <f t="shared" ref="F23:F86" si="8">D23</f>
        <v>1518.05</v>
      </c>
    </row>
    <row r="24" spans="1:17" x14ac:dyDescent="0.25">
      <c r="A24" s="319">
        <v>2.5000000000000001E-3</v>
      </c>
      <c r="C24" s="101">
        <v>2.7699999999999999E-2</v>
      </c>
      <c r="D24" s="105">
        <f t="shared" ref="D24:D87" si="9">D23+0.05</f>
        <v>1518.1</v>
      </c>
      <c r="E24" s="373">
        <f t="shared" si="7"/>
        <v>1577.3058999999998</v>
      </c>
      <c r="F24" s="373">
        <f t="shared" si="8"/>
        <v>1518.1</v>
      </c>
    </row>
    <row r="25" spans="1:17" x14ac:dyDescent="0.25">
      <c r="A25" s="319">
        <v>2.5999999999999999E-3</v>
      </c>
      <c r="C25" s="101">
        <v>2.6499999999999999E-2</v>
      </c>
      <c r="D25" s="105">
        <f t="shared" si="9"/>
        <v>1518.1499999999999</v>
      </c>
      <c r="E25" s="373">
        <f t="shared" si="7"/>
        <v>1577.3578499999999</v>
      </c>
      <c r="F25" s="373">
        <f t="shared" si="8"/>
        <v>1518.1499999999999</v>
      </c>
    </row>
    <row r="26" spans="1:17" x14ac:dyDescent="0.25">
      <c r="A26" s="319">
        <v>-1.4E-3</v>
      </c>
      <c r="C26" s="101">
        <v>2.4E-2</v>
      </c>
      <c r="D26" s="105">
        <f t="shared" si="9"/>
        <v>1518.1999999999998</v>
      </c>
      <c r="E26" s="373">
        <f t="shared" si="7"/>
        <v>1577.4097999999999</v>
      </c>
      <c r="F26" s="373">
        <f t="shared" si="8"/>
        <v>1518.1999999999998</v>
      </c>
    </row>
    <row r="27" spans="1:17" x14ac:dyDescent="0.25">
      <c r="A27" s="319">
        <v>2.5000000000000001E-3</v>
      </c>
      <c r="C27" s="101">
        <v>1.9400000000000001E-2</v>
      </c>
      <c r="D27" s="105">
        <f t="shared" si="9"/>
        <v>1518.2499999999998</v>
      </c>
      <c r="E27" s="373">
        <f t="shared" si="7"/>
        <v>1577.4617499999997</v>
      </c>
      <c r="F27" s="373">
        <f t="shared" si="8"/>
        <v>1518.2499999999998</v>
      </c>
      <c r="J27" s="346"/>
      <c r="K27" s="347"/>
      <c r="L27" s="346" t="s">
        <v>482</v>
      </c>
    </row>
    <row r="28" spans="1:17" x14ac:dyDescent="0.25">
      <c r="A28" s="319">
        <v>1.5E-3</v>
      </c>
      <c r="C28" s="101">
        <v>1.5699999999999999E-2</v>
      </c>
      <c r="D28" s="105">
        <f t="shared" si="9"/>
        <v>1518.2999999999997</v>
      </c>
      <c r="E28" s="373">
        <f t="shared" si="7"/>
        <v>1577.5136999999997</v>
      </c>
      <c r="F28" s="373">
        <f t="shared" si="8"/>
        <v>1518.2999999999997</v>
      </c>
      <c r="J28" s="347" t="s">
        <v>483</v>
      </c>
      <c r="K28" s="347"/>
      <c r="L28" s="348">
        <v>0</v>
      </c>
    </row>
    <row r="29" spans="1:17" x14ac:dyDescent="0.25">
      <c r="A29" s="319">
        <v>1.2999999999999999E-3</v>
      </c>
      <c r="C29" s="101">
        <v>1.38E-2</v>
      </c>
      <c r="D29" s="105">
        <f t="shared" si="9"/>
        <v>1518.3499999999997</v>
      </c>
      <c r="E29" s="373">
        <f t="shared" si="7"/>
        <v>1577.5656499999998</v>
      </c>
      <c r="F29" s="373">
        <f t="shared" si="8"/>
        <v>1518.3499999999997</v>
      </c>
      <c r="J29" s="347" t="s">
        <v>483</v>
      </c>
      <c r="K29" s="347"/>
      <c r="L29" s="348">
        <v>1.4800000000000001E-2</v>
      </c>
    </row>
    <row r="30" spans="1:17" x14ac:dyDescent="0.25">
      <c r="A30" s="319">
        <v>3.5000000000000001E-3</v>
      </c>
      <c r="C30" s="101">
        <v>5.7000000000000002E-3</v>
      </c>
      <c r="D30" s="105">
        <f t="shared" si="9"/>
        <v>1518.3999999999996</v>
      </c>
      <c r="E30" s="373">
        <f t="shared" si="7"/>
        <v>1577.6175999999996</v>
      </c>
      <c r="F30" s="373">
        <f t="shared" si="8"/>
        <v>1518.3999999999996</v>
      </c>
      <c r="J30" s="347" t="s">
        <v>483</v>
      </c>
      <c r="K30" s="347"/>
      <c r="L30" s="348">
        <v>5.1000000000000004E-3</v>
      </c>
    </row>
    <row r="31" spans="1:17" x14ac:dyDescent="0.25">
      <c r="D31" s="105">
        <f t="shared" si="9"/>
        <v>1518.4499999999996</v>
      </c>
      <c r="E31" s="373">
        <f t="shared" si="7"/>
        <v>1577.6695499999996</v>
      </c>
      <c r="F31" s="373">
        <f t="shared" si="8"/>
        <v>1518.4499999999996</v>
      </c>
      <c r="J31" s="347" t="s">
        <v>483</v>
      </c>
      <c r="K31" s="347"/>
      <c r="L31" s="348">
        <v>4.7999999999999996E-3</v>
      </c>
    </row>
    <row r="32" spans="1:17" x14ac:dyDescent="0.25">
      <c r="D32" s="105">
        <f t="shared" si="9"/>
        <v>1518.4999999999995</v>
      </c>
      <c r="E32" s="373">
        <f t="shared" si="7"/>
        <v>1577.7214999999994</v>
      </c>
      <c r="F32" s="373">
        <f t="shared" si="8"/>
        <v>1518.4999999999995</v>
      </c>
      <c r="J32" s="347" t="s">
        <v>483</v>
      </c>
      <c r="K32" s="347"/>
      <c r="L32" s="348">
        <v>3.5000000000000001E-3</v>
      </c>
    </row>
    <row r="33" spans="4:12" x14ac:dyDescent="0.25">
      <c r="D33" s="105">
        <f t="shared" si="9"/>
        <v>1518.5499999999995</v>
      </c>
      <c r="E33" s="373">
        <f t="shared" si="7"/>
        <v>1577.7734499999995</v>
      </c>
      <c r="F33" s="373">
        <f t="shared" si="8"/>
        <v>1518.5499999999995</v>
      </c>
      <c r="J33" s="347" t="s">
        <v>483</v>
      </c>
      <c r="K33" s="347"/>
      <c r="L33" s="348">
        <v>2.3E-3</v>
      </c>
    </row>
    <row r="34" spans="4:12" x14ac:dyDescent="0.25">
      <c r="D34" s="105">
        <f t="shared" si="9"/>
        <v>1518.5999999999995</v>
      </c>
      <c r="E34" s="373">
        <f t="shared" si="7"/>
        <v>1577.8253999999995</v>
      </c>
      <c r="F34" s="373">
        <f t="shared" si="8"/>
        <v>1518.5999999999995</v>
      </c>
      <c r="J34" s="347" t="s">
        <v>483</v>
      </c>
      <c r="K34" s="347"/>
      <c r="L34" s="348">
        <v>2.0999999999999999E-3</v>
      </c>
    </row>
    <row r="35" spans="4:12" x14ac:dyDescent="0.25">
      <c r="D35" s="105">
        <f t="shared" si="9"/>
        <v>1518.6499999999994</v>
      </c>
      <c r="E35" s="373">
        <f t="shared" si="7"/>
        <v>1577.8773499999993</v>
      </c>
      <c r="F35" s="373">
        <f t="shared" si="8"/>
        <v>1518.6499999999994</v>
      </c>
      <c r="J35" s="347" t="s">
        <v>483</v>
      </c>
      <c r="K35" s="347"/>
      <c r="L35" s="348">
        <v>1E-3</v>
      </c>
    </row>
    <row r="36" spans="4:12" x14ac:dyDescent="0.25">
      <c r="D36" s="105">
        <f t="shared" si="9"/>
        <v>1518.6999999999994</v>
      </c>
      <c r="E36" s="373">
        <f t="shared" si="7"/>
        <v>1577.9292999999993</v>
      </c>
      <c r="F36" s="373">
        <f t="shared" si="8"/>
        <v>1518.6999999999994</v>
      </c>
      <c r="J36" s="347" t="s">
        <v>483</v>
      </c>
      <c r="K36" s="347"/>
      <c r="L36" s="348">
        <v>2.9499999999999999E-3</v>
      </c>
    </row>
    <row r="37" spans="4:12" x14ac:dyDescent="0.25">
      <c r="D37" s="105">
        <f t="shared" si="9"/>
        <v>1518.7499999999993</v>
      </c>
      <c r="E37" s="373">
        <f t="shared" si="7"/>
        <v>1577.9812499999994</v>
      </c>
      <c r="F37" s="373">
        <f t="shared" si="8"/>
        <v>1518.7499999999993</v>
      </c>
      <c r="J37" s="347" t="s">
        <v>483</v>
      </c>
      <c r="K37" s="347"/>
      <c r="L37" s="348">
        <v>3.65E-3</v>
      </c>
    </row>
    <row r="38" spans="4:12" x14ac:dyDescent="0.25">
      <c r="D38" s="105">
        <f t="shared" si="9"/>
        <v>1518.7999999999993</v>
      </c>
      <c r="E38" s="373">
        <f t="shared" si="7"/>
        <v>1578.0331999999992</v>
      </c>
      <c r="F38" s="373">
        <f t="shared" si="8"/>
        <v>1518.7999999999993</v>
      </c>
      <c r="J38" s="347" t="s">
        <v>484</v>
      </c>
      <c r="K38" s="347"/>
      <c r="L38" s="349">
        <v>3.5999999999999999E-3</v>
      </c>
    </row>
    <row r="39" spans="4:12" x14ac:dyDescent="0.25">
      <c r="D39" s="105">
        <f t="shared" si="9"/>
        <v>1518.8499999999992</v>
      </c>
      <c r="E39" s="373">
        <f t="shared" si="7"/>
        <v>1578.0851499999992</v>
      </c>
      <c r="F39" s="373">
        <f t="shared" si="8"/>
        <v>1518.8499999999992</v>
      </c>
      <c r="J39" s="347" t="s">
        <v>484</v>
      </c>
      <c r="K39" s="347"/>
      <c r="L39" s="349">
        <v>5.2500000000000003E-3</v>
      </c>
    </row>
    <row r="40" spans="4:12" x14ac:dyDescent="0.25">
      <c r="D40" s="105">
        <f t="shared" si="9"/>
        <v>1518.8999999999992</v>
      </c>
      <c r="E40" s="373">
        <f t="shared" si="7"/>
        <v>1578.1370999999992</v>
      </c>
      <c r="F40" s="373">
        <f t="shared" si="8"/>
        <v>1518.8999999999992</v>
      </c>
      <c r="L40" s="350">
        <f>SUM(L28:L39)</f>
        <v>4.9049999999999996E-2</v>
      </c>
    </row>
    <row r="41" spans="4:12" x14ac:dyDescent="0.25">
      <c r="D41" s="105">
        <f t="shared" si="9"/>
        <v>1518.9499999999991</v>
      </c>
      <c r="E41" s="373">
        <f t="shared" si="7"/>
        <v>1578.189049999999</v>
      </c>
      <c r="F41" s="373">
        <f t="shared" si="8"/>
        <v>1518.9499999999991</v>
      </c>
    </row>
    <row r="42" spans="4:12" x14ac:dyDescent="0.25">
      <c r="D42" s="105">
        <f t="shared" si="9"/>
        <v>1518.9999999999991</v>
      </c>
      <c r="E42" s="373">
        <f t="shared" si="7"/>
        <v>1578.2409999999991</v>
      </c>
      <c r="F42" s="373">
        <f t="shared" si="8"/>
        <v>1518.9999999999991</v>
      </c>
    </row>
    <row r="43" spans="4:12" x14ac:dyDescent="0.25">
      <c r="D43" s="105">
        <f t="shared" si="9"/>
        <v>1519.049999999999</v>
      </c>
      <c r="E43" s="373">
        <f>D43*$C$2 + D43</f>
        <v>1578.2929499999991</v>
      </c>
      <c r="F43" s="373">
        <f t="shared" si="8"/>
        <v>1519.049999999999</v>
      </c>
    </row>
    <row r="44" spans="4:12" x14ac:dyDescent="0.25">
      <c r="D44" s="105">
        <f t="shared" si="9"/>
        <v>1519.099999999999</v>
      </c>
      <c r="E44" s="373">
        <f t="shared" si="7"/>
        <v>1578.3448999999989</v>
      </c>
      <c r="F44" s="373">
        <f t="shared" si="8"/>
        <v>1519.099999999999</v>
      </c>
    </row>
    <row r="45" spans="4:12" x14ac:dyDescent="0.25">
      <c r="D45" s="105">
        <f t="shared" si="9"/>
        <v>1519.149999999999</v>
      </c>
      <c r="E45" s="373">
        <f t="shared" si="7"/>
        <v>1578.3968499999989</v>
      </c>
      <c r="F45" s="373">
        <f t="shared" si="8"/>
        <v>1519.149999999999</v>
      </c>
    </row>
    <row r="46" spans="4:12" x14ac:dyDescent="0.25">
      <c r="D46" s="105">
        <f t="shared" si="9"/>
        <v>1519.1999999999989</v>
      </c>
      <c r="E46" s="373">
        <f t="shared" si="7"/>
        <v>1578.4487999999988</v>
      </c>
      <c r="F46" s="373">
        <f t="shared" si="8"/>
        <v>1519.1999999999989</v>
      </c>
    </row>
    <row r="47" spans="4:12" x14ac:dyDescent="0.25">
      <c r="D47" s="105">
        <f t="shared" si="9"/>
        <v>1519.2499999999989</v>
      </c>
      <c r="E47" s="373">
        <f t="shared" si="7"/>
        <v>1578.5007499999988</v>
      </c>
      <c r="F47" s="373">
        <f t="shared" si="8"/>
        <v>1519.2499999999989</v>
      </c>
    </row>
    <row r="48" spans="4:12" x14ac:dyDescent="0.25">
      <c r="D48" s="105">
        <f t="shared" si="9"/>
        <v>1519.2999999999988</v>
      </c>
      <c r="E48" s="373">
        <f t="shared" si="7"/>
        <v>1578.5526999999988</v>
      </c>
      <c r="F48" s="373">
        <f t="shared" si="8"/>
        <v>1519.2999999999988</v>
      </c>
    </row>
    <row r="49" spans="4:6" x14ac:dyDescent="0.25">
      <c r="D49" s="105">
        <f t="shared" si="9"/>
        <v>1519.3499999999988</v>
      </c>
      <c r="E49" s="373">
        <f t="shared" si="7"/>
        <v>1578.6046499999986</v>
      </c>
      <c r="F49" s="373">
        <f t="shared" si="8"/>
        <v>1519.3499999999988</v>
      </c>
    </row>
    <row r="50" spans="4:6" x14ac:dyDescent="0.25">
      <c r="D50" s="105">
        <f t="shared" si="9"/>
        <v>1519.3999999999987</v>
      </c>
      <c r="E50" s="373">
        <f t="shared" si="7"/>
        <v>1578.6565999999987</v>
      </c>
      <c r="F50" s="373">
        <f t="shared" si="8"/>
        <v>1519.3999999999987</v>
      </c>
    </row>
    <row r="51" spans="4:6" x14ac:dyDescent="0.25">
      <c r="D51" s="105">
        <f t="shared" si="9"/>
        <v>1519.4499999999987</v>
      </c>
      <c r="E51" s="373">
        <f t="shared" si="7"/>
        <v>1578.7085499999987</v>
      </c>
      <c r="F51" s="373">
        <f t="shared" si="8"/>
        <v>1519.4499999999987</v>
      </c>
    </row>
    <row r="52" spans="4:6" x14ac:dyDescent="0.25">
      <c r="D52" s="105">
        <f t="shared" si="9"/>
        <v>1519.4999999999986</v>
      </c>
      <c r="E52" s="373">
        <f t="shared" si="7"/>
        <v>1578.7604999999985</v>
      </c>
      <c r="F52" s="373">
        <f t="shared" si="8"/>
        <v>1519.4999999999986</v>
      </c>
    </row>
    <row r="53" spans="4:6" x14ac:dyDescent="0.25">
      <c r="D53" s="105">
        <f t="shared" si="9"/>
        <v>1519.5499999999986</v>
      </c>
      <c r="E53" s="373">
        <f t="shared" si="7"/>
        <v>1578.8124499999985</v>
      </c>
      <c r="F53" s="373">
        <f t="shared" si="8"/>
        <v>1519.5499999999986</v>
      </c>
    </row>
    <row r="54" spans="4:6" x14ac:dyDescent="0.25">
      <c r="D54" s="105">
        <f t="shared" si="9"/>
        <v>1519.5999999999985</v>
      </c>
      <c r="E54" s="373">
        <f>D54*$C$2 + D54</f>
        <v>1578.8643999999986</v>
      </c>
      <c r="F54" s="373">
        <f t="shared" si="8"/>
        <v>1519.5999999999985</v>
      </c>
    </row>
    <row r="55" spans="4:6" x14ac:dyDescent="0.25">
      <c r="D55" s="105">
        <f t="shared" si="9"/>
        <v>1519.6499999999985</v>
      </c>
      <c r="E55" s="373">
        <f t="shared" si="7"/>
        <v>1578.9163499999984</v>
      </c>
      <c r="F55" s="373">
        <f t="shared" si="8"/>
        <v>1519.6499999999985</v>
      </c>
    </row>
    <row r="56" spans="4:6" x14ac:dyDescent="0.25">
      <c r="D56" s="105">
        <f t="shared" si="9"/>
        <v>1519.6999999999985</v>
      </c>
      <c r="E56" s="373">
        <f t="shared" si="7"/>
        <v>1578.9682999999984</v>
      </c>
      <c r="F56" s="373">
        <f t="shared" si="8"/>
        <v>1519.6999999999985</v>
      </c>
    </row>
    <row r="57" spans="4:6" x14ac:dyDescent="0.25">
      <c r="D57" s="105">
        <f t="shared" si="9"/>
        <v>1519.7499999999984</v>
      </c>
      <c r="E57" s="373">
        <f t="shared" si="7"/>
        <v>1579.0202499999984</v>
      </c>
      <c r="F57" s="373">
        <f t="shared" si="8"/>
        <v>1519.7499999999984</v>
      </c>
    </row>
    <row r="58" spans="4:6" x14ac:dyDescent="0.25">
      <c r="D58" s="105">
        <f t="shared" si="9"/>
        <v>1519.7999999999984</v>
      </c>
      <c r="E58" s="373">
        <f t="shared" si="7"/>
        <v>1579.0721999999982</v>
      </c>
      <c r="F58" s="373">
        <f t="shared" si="8"/>
        <v>1519.7999999999984</v>
      </c>
    </row>
    <row r="59" spans="4:6" x14ac:dyDescent="0.25">
      <c r="D59" s="105">
        <f t="shared" si="9"/>
        <v>1519.8499999999983</v>
      </c>
      <c r="E59" s="373">
        <f t="shared" si="7"/>
        <v>1579.1241499999983</v>
      </c>
      <c r="F59" s="373">
        <f t="shared" si="8"/>
        <v>1519.8499999999983</v>
      </c>
    </row>
    <row r="60" spans="4:6" x14ac:dyDescent="0.25">
      <c r="D60" s="105">
        <f t="shared" si="9"/>
        <v>1519.8999999999983</v>
      </c>
      <c r="E60" s="373">
        <f t="shared" si="7"/>
        <v>1579.1760999999983</v>
      </c>
      <c r="F60" s="373">
        <f t="shared" si="8"/>
        <v>1519.8999999999983</v>
      </c>
    </row>
    <row r="61" spans="4:6" x14ac:dyDescent="0.25">
      <c r="D61" s="105">
        <f t="shared" si="9"/>
        <v>1519.9499999999982</v>
      </c>
      <c r="E61" s="373">
        <f t="shared" si="7"/>
        <v>1579.2280499999981</v>
      </c>
      <c r="F61" s="373">
        <f t="shared" si="8"/>
        <v>1519.9499999999982</v>
      </c>
    </row>
    <row r="62" spans="4:6" x14ac:dyDescent="0.25">
      <c r="D62" s="105">
        <f t="shared" si="9"/>
        <v>1519.9999999999982</v>
      </c>
      <c r="E62" s="373">
        <f t="shared" si="7"/>
        <v>1579.2799999999982</v>
      </c>
      <c r="F62" s="373">
        <f t="shared" si="8"/>
        <v>1519.9999999999982</v>
      </c>
    </row>
    <row r="63" spans="4:6" x14ac:dyDescent="0.25">
      <c r="D63" s="105">
        <f t="shared" si="9"/>
        <v>1520.0499999999981</v>
      </c>
      <c r="E63" s="373">
        <f t="shared" si="7"/>
        <v>1579.331949999998</v>
      </c>
      <c r="F63" s="373">
        <f t="shared" si="8"/>
        <v>1520.0499999999981</v>
      </c>
    </row>
    <row r="64" spans="4:6" x14ac:dyDescent="0.25">
      <c r="D64" s="105">
        <f t="shared" si="9"/>
        <v>1520.0999999999981</v>
      </c>
      <c r="E64" s="373">
        <f t="shared" si="7"/>
        <v>1579.383899999998</v>
      </c>
      <c r="F64" s="373">
        <f t="shared" si="8"/>
        <v>1520.0999999999981</v>
      </c>
    </row>
    <row r="65" spans="4:6" x14ac:dyDescent="0.25">
      <c r="D65" s="105">
        <f t="shared" si="9"/>
        <v>1520.149999999998</v>
      </c>
      <c r="E65" s="373">
        <f t="shared" si="7"/>
        <v>1579.435849999998</v>
      </c>
      <c r="F65" s="373">
        <f t="shared" si="8"/>
        <v>1520.149999999998</v>
      </c>
    </row>
    <row r="66" spans="4:6" x14ac:dyDescent="0.25">
      <c r="D66" s="105">
        <f t="shared" si="9"/>
        <v>1520.199999999998</v>
      </c>
      <c r="E66" s="373">
        <f t="shared" si="7"/>
        <v>1579.4877999999978</v>
      </c>
      <c r="F66" s="373">
        <f t="shared" si="8"/>
        <v>1520.199999999998</v>
      </c>
    </row>
    <row r="67" spans="4:6" x14ac:dyDescent="0.25">
      <c r="D67" s="105">
        <f t="shared" si="9"/>
        <v>1520.249999999998</v>
      </c>
      <c r="E67" s="373">
        <f t="shared" si="7"/>
        <v>1579.5397499999979</v>
      </c>
      <c r="F67" s="373">
        <f t="shared" si="8"/>
        <v>1520.249999999998</v>
      </c>
    </row>
    <row r="68" spans="4:6" x14ac:dyDescent="0.25">
      <c r="D68" s="105">
        <f t="shared" si="9"/>
        <v>1520.2999999999979</v>
      </c>
      <c r="E68" s="373">
        <f t="shared" si="7"/>
        <v>1579.5916999999979</v>
      </c>
      <c r="F68" s="373">
        <f t="shared" si="8"/>
        <v>1520.2999999999979</v>
      </c>
    </row>
    <row r="69" spans="4:6" x14ac:dyDescent="0.25">
      <c r="D69" s="105">
        <f t="shared" si="9"/>
        <v>1520.3499999999979</v>
      </c>
      <c r="E69" s="373">
        <f t="shared" si="7"/>
        <v>1579.6436499999977</v>
      </c>
      <c r="F69" s="373">
        <f t="shared" si="8"/>
        <v>1520.3499999999979</v>
      </c>
    </row>
    <row r="70" spans="4:6" x14ac:dyDescent="0.25">
      <c r="D70" s="105">
        <f t="shared" si="9"/>
        <v>1520.3999999999978</v>
      </c>
      <c r="E70" s="373">
        <f t="shared" si="7"/>
        <v>1579.6955999999977</v>
      </c>
      <c r="F70" s="373">
        <f t="shared" si="8"/>
        <v>1520.3999999999978</v>
      </c>
    </row>
    <row r="71" spans="4:6" x14ac:dyDescent="0.25">
      <c r="D71" s="105">
        <f t="shared" si="9"/>
        <v>1520.4499999999978</v>
      </c>
      <c r="E71" s="373">
        <f t="shared" si="7"/>
        <v>1579.7475499999978</v>
      </c>
      <c r="F71" s="373">
        <f t="shared" si="8"/>
        <v>1520.4499999999978</v>
      </c>
    </row>
    <row r="72" spans="4:6" x14ac:dyDescent="0.25">
      <c r="D72" s="105">
        <f t="shared" si="9"/>
        <v>1520.4999999999977</v>
      </c>
      <c r="E72" s="373">
        <f t="shared" si="7"/>
        <v>1579.7994999999976</v>
      </c>
      <c r="F72" s="373">
        <f t="shared" si="8"/>
        <v>1520.4999999999977</v>
      </c>
    </row>
    <row r="73" spans="4:6" x14ac:dyDescent="0.25">
      <c r="D73" s="105">
        <f t="shared" si="9"/>
        <v>1520.5499999999977</v>
      </c>
      <c r="E73" s="373">
        <f t="shared" si="7"/>
        <v>1579.8514499999976</v>
      </c>
      <c r="F73" s="373">
        <f t="shared" si="8"/>
        <v>1520.5499999999977</v>
      </c>
    </row>
    <row r="74" spans="4:6" x14ac:dyDescent="0.25">
      <c r="D74" s="105">
        <f t="shared" si="9"/>
        <v>1520.5999999999976</v>
      </c>
      <c r="E74" s="373">
        <f t="shared" si="7"/>
        <v>1579.9033999999976</v>
      </c>
      <c r="F74" s="373">
        <f t="shared" si="8"/>
        <v>1520.5999999999976</v>
      </c>
    </row>
    <row r="75" spans="4:6" x14ac:dyDescent="0.25">
      <c r="D75" s="105">
        <f t="shared" si="9"/>
        <v>1520.6499999999976</v>
      </c>
      <c r="E75" s="373">
        <f t="shared" si="7"/>
        <v>1579.9553499999975</v>
      </c>
      <c r="F75" s="373">
        <f t="shared" si="8"/>
        <v>1520.6499999999976</v>
      </c>
    </row>
    <row r="76" spans="4:6" x14ac:dyDescent="0.25">
      <c r="D76" s="105">
        <f t="shared" si="9"/>
        <v>1520.6999999999975</v>
      </c>
      <c r="E76" s="373">
        <f t="shared" si="7"/>
        <v>1580.0072999999975</v>
      </c>
      <c r="F76" s="373">
        <f t="shared" si="8"/>
        <v>1520.6999999999975</v>
      </c>
    </row>
    <row r="77" spans="4:6" x14ac:dyDescent="0.25">
      <c r="D77" s="105">
        <f t="shared" si="9"/>
        <v>1520.7499999999975</v>
      </c>
      <c r="E77" s="373">
        <f t="shared" si="7"/>
        <v>1580.0592499999973</v>
      </c>
      <c r="F77" s="373">
        <f t="shared" si="8"/>
        <v>1520.7499999999975</v>
      </c>
    </row>
    <row r="78" spans="4:6" x14ac:dyDescent="0.25">
      <c r="D78" s="105">
        <f t="shared" si="9"/>
        <v>1520.7999999999975</v>
      </c>
      <c r="E78" s="373">
        <f t="shared" si="7"/>
        <v>1580.1111999999973</v>
      </c>
      <c r="F78" s="373">
        <f t="shared" si="8"/>
        <v>1520.7999999999975</v>
      </c>
    </row>
    <row r="79" spans="4:6" x14ac:dyDescent="0.25">
      <c r="D79" s="105">
        <f t="shared" si="9"/>
        <v>1520.8499999999974</v>
      </c>
      <c r="E79" s="373">
        <f t="shared" si="7"/>
        <v>1580.1631499999974</v>
      </c>
      <c r="F79" s="373">
        <f t="shared" si="8"/>
        <v>1520.8499999999974</v>
      </c>
    </row>
    <row r="80" spans="4:6" x14ac:dyDescent="0.25">
      <c r="D80" s="105">
        <f t="shared" si="9"/>
        <v>1520.8999999999974</v>
      </c>
      <c r="E80" s="373">
        <f t="shared" si="7"/>
        <v>1580.2150999999972</v>
      </c>
      <c r="F80" s="373">
        <f t="shared" si="8"/>
        <v>1520.8999999999974</v>
      </c>
    </row>
    <row r="81" spans="4:6" x14ac:dyDescent="0.25">
      <c r="D81" s="105">
        <f t="shared" si="9"/>
        <v>1520.9499999999973</v>
      </c>
      <c r="E81" s="373">
        <f t="shared" si="7"/>
        <v>1580.2670499999972</v>
      </c>
      <c r="F81" s="373">
        <f t="shared" si="8"/>
        <v>1520.9499999999973</v>
      </c>
    </row>
    <row r="82" spans="4:6" x14ac:dyDescent="0.25">
      <c r="D82" s="105">
        <f t="shared" si="9"/>
        <v>1520.9999999999973</v>
      </c>
      <c r="E82" s="373">
        <f t="shared" si="7"/>
        <v>1580.3189999999972</v>
      </c>
      <c r="F82" s="373">
        <f t="shared" si="8"/>
        <v>1520.9999999999973</v>
      </c>
    </row>
    <row r="83" spans="4:6" x14ac:dyDescent="0.25">
      <c r="D83" s="105">
        <f t="shared" si="9"/>
        <v>1521.0499999999972</v>
      </c>
      <c r="E83" s="373">
        <f t="shared" si="7"/>
        <v>1580.370949999997</v>
      </c>
      <c r="F83" s="373">
        <f t="shared" si="8"/>
        <v>1521.0499999999972</v>
      </c>
    </row>
    <row r="84" spans="4:6" x14ac:dyDescent="0.25">
      <c r="D84" s="105">
        <f t="shared" si="9"/>
        <v>1521.0999999999972</v>
      </c>
      <c r="E84" s="373">
        <f t="shared" si="7"/>
        <v>1580.4228999999971</v>
      </c>
      <c r="F84" s="373">
        <f t="shared" si="8"/>
        <v>1521.0999999999972</v>
      </c>
    </row>
    <row r="85" spans="4:6" x14ac:dyDescent="0.25">
      <c r="D85" s="105">
        <f t="shared" si="9"/>
        <v>1521.1499999999971</v>
      </c>
      <c r="E85" s="373">
        <f t="shared" si="7"/>
        <v>1580.4748499999971</v>
      </c>
      <c r="F85" s="373">
        <f t="shared" si="8"/>
        <v>1521.1499999999971</v>
      </c>
    </row>
    <row r="86" spans="4:6" x14ac:dyDescent="0.25">
      <c r="D86" s="105">
        <f t="shared" si="9"/>
        <v>1521.1999999999971</v>
      </c>
      <c r="E86" s="373">
        <f t="shared" si="7"/>
        <v>1580.5267999999969</v>
      </c>
      <c r="F86" s="373">
        <f t="shared" si="8"/>
        <v>1521.1999999999971</v>
      </c>
    </row>
    <row r="87" spans="4:6" x14ac:dyDescent="0.25">
      <c r="D87" s="105">
        <f t="shared" si="9"/>
        <v>1521.249999999997</v>
      </c>
      <c r="E87" s="373">
        <f t="shared" ref="E87:E150" si="10">D87*$C$2 + D87</f>
        <v>1580.5787499999969</v>
      </c>
      <c r="F87" s="373">
        <f t="shared" ref="F87:F150" si="11">D87</f>
        <v>1521.249999999997</v>
      </c>
    </row>
    <row r="88" spans="4:6" x14ac:dyDescent="0.25">
      <c r="D88" s="105">
        <f t="shared" ref="D88:D151" si="12">D87+0.05</f>
        <v>1521.299999999997</v>
      </c>
      <c r="E88" s="373">
        <f t="shared" si="10"/>
        <v>1580.630699999997</v>
      </c>
      <c r="F88" s="373">
        <f t="shared" si="11"/>
        <v>1521.299999999997</v>
      </c>
    </row>
    <row r="89" spans="4:6" x14ac:dyDescent="0.25">
      <c r="D89" s="105">
        <f t="shared" si="12"/>
        <v>1521.349999999997</v>
      </c>
      <c r="E89" s="373">
        <f t="shared" si="10"/>
        <v>1580.6826499999968</v>
      </c>
      <c r="F89" s="373">
        <f t="shared" si="11"/>
        <v>1521.349999999997</v>
      </c>
    </row>
    <row r="90" spans="4:6" x14ac:dyDescent="0.25">
      <c r="D90" s="105">
        <f t="shared" si="12"/>
        <v>1521.3999999999969</v>
      </c>
      <c r="E90" s="373">
        <f t="shared" si="10"/>
        <v>1580.7345999999968</v>
      </c>
      <c r="F90" s="373">
        <f t="shared" si="11"/>
        <v>1521.3999999999969</v>
      </c>
    </row>
    <row r="91" spans="4:6" x14ac:dyDescent="0.25">
      <c r="D91" s="105">
        <f t="shared" si="12"/>
        <v>1521.4499999999969</v>
      </c>
      <c r="E91" s="373">
        <f t="shared" si="10"/>
        <v>1580.7865499999966</v>
      </c>
      <c r="F91" s="373">
        <f t="shared" si="11"/>
        <v>1521.4499999999969</v>
      </c>
    </row>
    <row r="92" spans="4:6" x14ac:dyDescent="0.25">
      <c r="D92" s="105">
        <f t="shared" si="12"/>
        <v>1521.4999999999968</v>
      </c>
      <c r="E92" s="373">
        <f t="shared" si="10"/>
        <v>1580.8384999999967</v>
      </c>
      <c r="F92" s="373">
        <f t="shared" si="11"/>
        <v>1521.4999999999968</v>
      </c>
    </row>
    <row r="93" spans="4:6" x14ac:dyDescent="0.25">
      <c r="D93" s="105">
        <f t="shared" si="12"/>
        <v>1521.5499999999968</v>
      </c>
      <c r="E93" s="373">
        <f t="shared" si="10"/>
        <v>1580.8904499999967</v>
      </c>
      <c r="F93" s="373">
        <f t="shared" si="11"/>
        <v>1521.5499999999968</v>
      </c>
    </row>
    <row r="94" spans="4:6" x14ac:dyDescent="0.25">
      <c r="D94" s="105">
        <f t="shared" si="12"/>
        <v>1521.5999999999967</v>
      </c>
      <c r="E94" s="373">
        <f t="shared" si="10"/>
        <v>1580.9423999999965</v>
      </c>
      <c r="F94" s="373">
        <f t="shared" si="11"/>
        <v>1521.5999999999967</v>
      </c>
    </row>
    <row r="95" spans="4:6" x14ac:dyDescent="0.25">
      <c r="D95" s="105">
        <f t="shared" si="12"/>
        <v>1521.6499999999967</v>
      </c>
      <c r="E95" s="373">
        <f t="shared" si="10"/>
        <v>1580.9943499999965</v>
      </c>
      <c r="F95" s="373">
        <f t="shared" si="11"/>
        <v>1521.6499999999967</v>
      </c>
    </row>
    <row r="96" spans="4:6" x14ac:dyDescent="0.25">
      <c r="D96" s="105">
        <f t="shared" si="12"/>
        <v>1521.6999999999966</v>
      </c>
      <c r="E96" s="373">
        <f t="shared" si="10"/>
        <v>1581.0462999999966</v>
      </c>
      <c r="F96" s="373">
        <f t="shared" si="11"/>
        <v>1521.6999999999966</v>
      </c>
    </row>
    <row r="97" spans="4:6" x14ac:dyDescent="0.25">
      <c r="D97" s="105">
        <f t="shared" si="12"/>
        <v>1521.7499999999966</v>
      </c>
      <c r="E97" s="373">
        <f t="shared" si="10"/>
        <v>1581.0982499999964</v>
      </c>
      <c r="F97" s="373">
        <f t="shared" si="11"/>
        <v>1521.7499999999966</v>
      </c>
    </row>
    <row r="98" spans="4:6" x14ac:dyDescent="0.25">
      <c r="D98" s="105">
        <f t="shared" si="12"/>
        <v>1521.7999999999965</v>
      </c>
      <c r="E98" s="373">
        <f t="shared" si="10"/>
        <v>1581.1501999999964</v>
      </c>
      <c r="F98" s="373">
        <f t="shared" si="11"/>
        <v>1521.7999999999965</v>
      </c>
    </row>
    <row r="99" spans="4:6" x14ac:dyDescent="0.25">
      <c r="D99" s="105">
        <f t="shared" si="12"/>
        <v>1521.8499999999965</v>
      </c>
      <c r="E99" s="373">
        <f t="shared" si="10"/>
        <v>1581.2021499999964</v>
      </c>
      <c r="F99" s="373">
        <f t="shared" si="11"/>
        <v>1521.8499999999965</v>
      </c>
    </row>
    <row r="100" spans="4:6" x14ac:dyDescent="0.25">
      <c r="D100" s="105">
        <f t="shared" si="12"/>
        <v>1521.8999999999965</v>
      </c>
      <c r="E100" s="373">
        <f t="shared" si="10"/>
        <v>1581.2540999999962</v>
      </c>
      <c r="F100" s="373">
        <f t="shared" si="11"/>
        <v>1521.8999999999965</v>
      </c>
    </row>
    <row r="101" spans="4:6" x14ac:dyDescent="0.25">
      <c r="D101" s="105">
        <f t="shared" si="12"/>
        <v>1521.9499999999964</v>
      </c>
      <c r="E101" s="373">
        <f t="shared" si="10"/>
        <v>1581.3060499999963</v>
      </c>
      <c r="F101" s="373">
        <f t="shared" si="11"/>
        <v>1521.9499999999964</v>
      </c>
    </row>
    <row r="102" spans="4:6" x14ac:dyDescent="0.25">
      <c r="D102" s="105">
        <f t="shared" si="12"/>
        <v>1521.9999999999964</v>
      </c>
      <c r="E102" s="373">
        <f t="shared" si="10"/>
        <v>1581.3579999999963</v>
      </c>
      <c r="F102" s="373">
        <f t="shared" si="11"/>
        <v>1521.9999999999964</v>
      </c>
    </row>
    <row r="103" spans="4:6" x14ac:dyDescent="0.25">
      <c r="D103" s="105">
        <f t="shared" si="12"/>
        <v>1522.0499999999963</v>
      </c>
      <c r="E103" s="373">
        <f t="shared" si="10"/>
        <v>1581.4099499999961</v>
      </c>
      <c r="F103" s="373">
        <f t="shared" si="11"/>
        <v>1522.0499999999963</v>
      </c>
    </row>
    <row r="104" spans="4:6" x14ac:dyDescent="0.25">
      <c r="D104" s="105">
        <f t="shared" si="12"/>
        <v>1522.0999999999963</v>
      </c>
      <c r="E104" s="373">
        <f t="shared" si="10"/>
        <v>1581.4618999999961</v>
      </c>
      <c r="F104" s="373">
        <f t="shared" si="11"/>
        <v>1522.0999999999963</v>
      </c>
    </row>
    <row r="105" spans="4:6" x14ac:dyDescent="0.25">
      <c r="D105" s="105">
        <f t="shared" si="12"/>
        <v>1522.1499999999962</v>
      </c>
      <c r="E105" s="373">
        <f t="shared" si="10"/>
        <v>1581.5138499999962</v>
      </c>
      <c r="F105" s="373">
        <f t="shared" si="11"/>
        <v>1522.1499999999962</v>
      </c>
    </row>
    <row r="106" spans="4:6" x14ac:dyDescent="0.25">
      <c r="D106" s="105">
        <f t="shared" si="12"/>
        <v>1522.1999999999962</v>
      </c>
      <c r="E106" s="373">
        <f t="shared" si="10"/>
        <v>1581.565799999996</v>
      </c>
      <c r="F106" s="373">
        <f t="shared" si="11"/>
        <v>1522.1999999999962</v>
      </c>
    </row>
    <row r="107" spans="4:6" x14ac:dyDescent="0.25">
      <c r="D107" s="105">
        <f t="shared" si="12"/>
        <v>1522.2499999999961</v>
      </c>
      <c r="E107" s="373">
        <f t="shared" si="10"/>
        <v>1581.617749999996</v>
      </c>
      <c r="F107" s="373">
        <f t="shared" si="11"/>
        <v>1522.2499999999961</v>
      </c>
    </row>
    <row r="108" spans="4:6" x14ac:dyDescent="0.25">
      <c r="D108" s="105">
        <f t="shared" si="12"/>
        <v>1522.2999999999961</v>
      </c>
      <c r="E108" s="373">
        <f t="shared" si="10"/>
        <v>1581.6696999999958</v>
      </c>
      <c r="F108" s="373">
        <f t="shared" si="11"/>
        <v>1522.2999999999961</v>
      </c>
    </row>
    <row r="109" spans="4:6" x14ac:dyDescent="0.25">
      <c r="D109" s="105">
        <f t="shared" si="12"/>
        <v>1522.349999999996</v>
      </c>
      <c r="E109" s="373">
        <f t="shared" si="10"/>
        <v>1581.7216499999959</v>
      </c>
      <c r="F109" s="373">
        <f t="shared" si="11"/>
        <v>1522.349999999996</v>
      </c>
    </row>
    <row r="110" spans="4:6" x14ac:dyDescent="0.25">
      <c r="D110" s="105">
        <f t="shared" si="12"/>
        <v>1522.399999999996</v>
      </c>
      <c r="E110" s="373">
        <f t="shared" si="10"/>
        <v>1581.7735999999959</v>
      </c>
      <c r="F110" s="373">
        <f t="shared" si="11"/>
        <v>1522.399999999996</v>
      </c>
    </row>
    <row r="111" spans="4:6" x14ac:dyDescent="0.25">
      <c r="D111" s="105">
        <f t="shared" si="12"/>
        <v>1522.449999999996</v>
      </c>
      <c r="E111" s="373">
        <f t="shared" si="10"/>
        <v>1581.8255499999957</v>
      </c>
      <c r="F111" s="373">
        <f t="shared" si="11"/>
        <v>1522.449999999996</v>
      </c>
    </row>
    <row r="112" spans="4:6" x14ac:dyDescent="0.25">
      <c r="D112" s="105">
        <f t="shared" si="12"/>
        <v>1522.4999999999959</v>
      </c>
      <c r="E112" s="373">
        <f t="shared" si="10"/>
        <v>1581.8774999999957</v>
      </c>
      <c r="F112" s="373">
        <f t="shared" si="11"/>
        <v>1522.4999999999959</v>
      </c>
    </row>
    <row r="113" spans="4:6" x14ac:dyDescent="0.25">
      <c r="D113" s="105">
        <f t="shared" si="12"/>
        <v>1522.5499999999959</v>
      </c>
      <c r="E113" s="373">
        <f t="shared" si="10"/>
        <v>1581.9294499999958</v>
      </c>
      <c r="F113" s="373">
        <f t="shared" si="11"/>
        <v>1522.5499999999959</v>
      </c>
    </row>
    <row r="114" spans="4:6" x14ac:dyDescent="0.25">
      <c r="D114" s="105">
        <f t="shared" si="12"/>
        <v>1522.5999999999958</v>
      </c>
      <c r="E114" s="373">
        <f t="shared" si="10"/>
        <v>1581.9813999999956</v>
      </c>
      <c r="F114" s="373">
        <f t="shared" si="11"/>
        <v>1522.5999999999958</v>
      </c>
    </row>
    <row r="115" spans="4:6" x14ac:dyDescent="0.25">
      <c r="D115" s="105">
        <f t="shared" si="12"/>
        <v>1522.6499999999958</v>
      </c>
      <c r="E115" s="373">
        <f t="shared" si="10"/>
        <v>1582.0333499999956</v>
      </c>
      <c r="F115" s="373">
        <f t="shared" si="11"/>
        <v>1522.6499999999958</v>
      </c>
    </row>
    <row r="116" spans="4:6" x14ac:dyDescent="0.25">
      <c r="D116" s="105">
        <f t="shared" si="12"/>
        <v>1522.6999999999957</v>
      </c>
      <c r="E116" s="373">
        <f t="shared" si="10"/>
        <v>1582.0852999999956</v>
      </c>
      <c r="F116" s="373">
        <f t="shared" si="11"/>
        <v>1522.6999999999957</v>
      </c>
    </row>
    <row r="117" spans="4:6" x14ac:dyDescent="0.25">
      <c r="D117" s="105">
        <f t="shared" si="12"/>
        <v>1522.7499999999957</v>
      </c>
      <c r="E117" s="373">
        <f t="shared" si="10"/>
        <v>1582.1372499999954</v>
      </c>
      <c r="F117" s="373">
        <f t="shared" si="11"/>
        <v>1522.7499999999957</v>
      </c>
    </row>
    <row r="118" spans="4:6" x14ac:dyDescent="0.25">
      <c r="D118" s="105">
        <f t="shared" si="12"/>
        <v>1522.7999999999956</v>
      </c>
      <c r="E118" s="373">
        <f t="shared" si="10"/>
        <v>1582.1891999999955</v>
      </c>
      <c r="F118" s="373">
        <f t="shared" si="11"/>
        <v>1522.7999999999956</v>
      </c>
    </row>
    <row r="119" spans="4:6" x14ac:dyDescent="0.25">
      <c r="D119" s="105">
        <f t="shared" si="12"/>
        <v>1522.8499999999956</v>
      </c>
      <c r="E119" s="373">
        <f t="shared" si="10"/>
        <v>1582.2411499999955</v>
      </c>
      <c r="F119" s="373">
        <f t="shared" si="11"/>
        <v>1522.8499999999956</v>
      </c>
    </row>
    <row r="120" spans="4:6" x14ac:dyDescent="0.25">
      <c r="D120" s="105">
        <f t="shared" si="12"/>
        <v>1522.8999999999955</v>
      </c>
      <c r="E120" s="373">
        <f t="shared" si="10"/>
        <v>1582.2930999999953</v>
      </c>
      <c r="F120" s="373">
        <f t="shared" si="11"/>
        <v>1522.8999999999955</v>
      </c>
    </row>
    <row r="121" spans="4:6" x14ac:dyDescent="0.25">
      <c r="D121" s="105">
        <f t="shared" si="12"/>
        <v>1522.9499999999955</v>
      </c>
      <c r="E121" s="373">
        <f t="shared" si="10"/>
        <v>1582.3450499999954</v>
      </c>
      <c r="F121" s="373">
        <f t="shared" si="11"/>
        <v>1522.9499999999955</v>
      </c>
    </row>
    <row r="122" spans="4:6" x14ac:dyDescent="0.25">
      <c r="D122" s="105">
        <f t="shared" si="12"/>
        <v>1522.9999999999955</v>
      </c>
      <c r="E122" s="373">
        <f t="shared" si="10"/>
        <v>1582.3969999999954</v>
      </c>
      <c r="F122" s="373">
        <f t="shared" si="11"/>
        <v>1522.9999999999955</v>
      </c>
    </row>
    <row r="123" spans="4:6" x14ac:dyDescent="0.25">
      <c r="D123" s="105">
        <f t="shared" si="12"/>
        <v>1523.0499999999954</v>
      </c>
      <c r="E123" s="373">
        <f t="shared" si="10"/>
        <v>1582.4489499999952</v>
      </c>
      <c r="F123" s="373">
        <f t="shared" si="11"/>
        <v>1523.0499999999954</v>
      </c>
    </row>
    <row r="124" spans="4:6" x14ac:dyDescent="0.25">
      <c r="D124" s="105">
        <f t="shared" si="12"/>
        <v>1523.0999999999954</v>
      </c>
      <c r="E124" s="373">
        <f t="shared" si="10"/>
        <v>1582.5008999999952</v>
      </c>
      <c r="F124" s="373">
        <f t="shared" si="11"/>
        <v>1523.0999999999954</v>
      </c>
    </row>
    <row r="125" spans="4:6" x14ac:dyDescent="0.25">
      <c r="D125" s="105">
        <f t="shared" si="12"/>
        <v>1523.1499999999953</v>
      </c>
      <c r="E125" s="373">
        <f t="shared" si="10"/>
        <v>1582.552849999995</v>
      </c>
      <c r="F125" s="373">
        <f t="shared" si="11"/>
        <v>1523.1499999999953</v>
      </c>
    </row>
    <row r="126" spans="4:6" x14ac:dyDescent="0.25">
      <c r="D126" s="105">
        <f t="shared" si="12"/>
        <v>1523.1999999999953</v>
      </c>
      <c r="E126" s="373">
        <f t="shared" si="10"/>
        <v>1582.6047999999951</v>
      </c>
      <c r="F126" s="373">
        <f t="shared" si="11"/>
        <v>1523.1999999999953</v>
      </c>
    </row>
    <row r="127" spans="4:6" x14ac:dyDescent="0.25">
      <c r="D127" s="105">
        <f t="shared" si="12"/>
        <v>1523.2499999999952</v>
      </c>
      <c r="E127" s="373">
        <f t="shared" si="10"/>
        <v>1582.6567499999951</v>
      </c>
      <c r="F127" s="373">
        <f t="shared" si="11"/>
        <v>1523.2499999999952</v>
      </c>
    </row>
    <row r="128" spans="4:6" x14ac:dyDescent="0.25">
      <c r="D128" s="105">
        <f t="shared" si="12"/>
        <v>1523.2999999999952</v>
      </c>
      <c r="E128" s="373">
        <f t="shared" si="10"/>
        <v>1582.7086999999949</v>
      </c>
      <c r="F128" s="373">
        <f t="shared" si="11"/>
        <v>1523.2999999999952</v>
      </c>
    </row>
    <row r="129" spans="4:6" x14ac:dyDescent="0.25">
      <c r="D129" s="105">
        <f t="shared" si="12"/>
        <v>1523.3499999999951</v>
      </c>
      <c r="E129" s="373">
        <f t="shared" si="10"/>
        <v>1582.7606499999949</v>
      </c>
      <c r="F129" s="373">
        <f t="shared" si="11"/>
        <v>1523.3499999999951</v>
      </c>
    </row>
    <row r="130" spans="4:6" x14ac:dyDescent="0.25">
      <c r="D130" s="105">
        <f t="shared" si="12"/>
        <v>1523.3999999999951</v>
      </c>
      <c r="E130" s="373">
        <f t="shared" si="10"/>
        <v>1582.812599999995</v>
      </c>
      <c r="F130" s="373">
        <f t="shared" si="11"/>
        <v>1523.3999999999951</v>
      </c>
    </row>
    <row r="131" spans="4:6" x14ac:dyDescent="0.25">
      <c r="D131" s="105">
        <f t="shared" si="12"/>
        <v>1523.449999999995</v>
      </c>
      <c r="E131" s="373">
        <f t="shared" si="10"/>
        <v>1582.8645499999948</v>
      </c>
      <c r="F131" s="373">
        <f t="shared" si="11"/>
        <v>1523.449999999995</v>
      </c>
    </row>
    <row r="132" spans="4:6" x14ac:dyDescent="0.25">
      <c r="D132" s="105">
        <f t="shared" si="12"/>
        <v>1523.499999999995</v>
      </c>
      <c r="E132" s="373">
        <f t="shared" si="10"/>
        <v>1582.9164999999948</v>
      </c>
      <c r="F132" s="373">
        <f t="shared" si="11"/>
        <v>1523.499999999995</v>
      </c>
    </row>
    <row r="133" spans="4:6" x14ac:dyDescent="0.25">
      <c r="D133" s="105">
        <f t="shared" si="12"/>
        <v>1523.549999999995</v>
      </c>
      <c r="E133" s="373">
        <f t="shared" si="10"/>
        <v>1582.9684499999948</v>
      </c>
      <c r="F133" s="373">
        <f t="shared" si="11"/>
        <v>1523.549999999995</v>
      </c>
    </row>
    <row r="134" spans="4:6" x14ac:dyDescent="0.25">
      <c r="D134" s="105">
        <f t="shared" si="12"/>
        <v>1523.5999999999949</v>
      </c>
      <c r="E134" s="373">
        <f t="shared" si="10"/>
        <v>1583.0203999999947</v>
      </c>
      <c r="F134" s="373">
        <f t="shared" si="11"/>
        <v>1523.5999999999949</v>
      </c>
    </row>
    <row r="135" spans="4:6" x14ac:dyDescent="0.25">
      <c r="D135" s="105">
        <f t="shared" si="12"/>
        <v>1523.6499999999949</v>
      </c>
      <c r="E135" s="373">
        <f t="shared" si="10"/>
        <v>1583.0723499999947</v>
      </c>
      <c r="F135" s="373">
        <f t="shared" si="11"/>
        <v>1523.6499999999949</v>
      </c>
    </row>
    <row r="136" spans="4:6" x14ac:dyDescent="0.25">
      <c r="D136" s="105">
        <f t="shared" si="12"/>
        <v>1523.6999999999948</v>
      </c>
      <c r="E136" s="373">
        <f t="shared" si="10"/>
        <v>1583.1242999999947</v>
      </c>
      <c r="F136" s="373">
        <f t="shared" si="11"/>
        <v>1523.6999999999948</v>
      </c>
    </row>
    <row r="137" spans="4:6" x14ac:dyDescent="0.25">
      <c r="D137" s="105">
        <f t="shared" si="12"/>
        <v>1523.7499999999948</v>
      </c>
      <c r="E137" s="373">
        <f t="shared" si="10"/>
        <v>1583.1762499999945</v>
      </c>
      <c r="F137" s="373">
        <f t="shared" si="11"/>
        <v>1523.7499999999948</v>
      </c>
    </row>
    <row r="138" spans="4:6" x14ac:dyDescent="0.25">
      <c r="D138" s="105">
        <f t="shared" si="12"/>
        <v>1523.7999999999947</v>
      </c>
      <c r="E138" s="373">
        <f t="shared" si="10"/>
        <v>1583.2281999999946</v>
      </c>
      <c r="F138" s="373">
        <f t="shared" si="11"/>
        <v>1523.7999999999947</v>
      </c>
    </row>
    <row r="139" spans="4:6" x14ac:dyDescent="0.25">
      <c r="D139" s="105">
        <f t="shared" si="12"/>
        <v>1523.8499999999947</v>
      </c>
      <c r="E139" s="373">
        <f t="shared" si="10"/>
        <v>1583.2801499999944</v>
      </c>
      <c r="F139" s="373">
        <f t="shared" si="11"/>
        <v>1523.8499999999947</v>
      </c>
    </row>
    <row r="140" spans="4:6" x14ac:dyDescent="0.25">
      <c r="D140" s="105">
        <f t="shared" si="12"/>
        <v>1523.8999999999946</v>
      </c>
      <c r="E140" s="373">
        <f t="shared" si="10"/>
        <v>1583.3320999999944</v>
      </c>
      <c r="F140" s="373">
        <f t="shared" si="11"/>
        <v>1523.8999999999946</v>
      </c>
    </row>
    <row r="141" spans="4:6" x14ac:dyDescent="0.25">
      <c r="D141" s="105">
        <f t="shared" si="12"/>
        <v>1523.9499999999946</v>
      </c>
      <c r="E141" s="373">
        <f t="shared" si="10"/>
        <v>1583.3840499999944</v>
      </c>
      <c r="F141" s="373">
        <f t="shared" si="11"/>
        <v>1523.9499999999946</v>
      </c>
    </row>
    <row r="142" spans="4:6" x14ac:dyDescent="0.25">
      <c r="D142" s="105">
        <f t="shared" si="12"/>
        <v>1523.9999999999945</v>
      </c>
      <c r="E142" s="373">
        <f t="shared" si="10"/>
        <v>1583.4359999999942</v>
      </c>
      <c r="F142" s="373">
        <f t="shared" si="11"/>
        <v>1523.9999999999945</v>
      </c>
    </row>
    <row r="143" spans="4:6" x14ac:dyDescent="0.25">
      <c r="D143" s="105">
        <f t="shared" si="12"/>
        <v>1524.0499999999945</v>
      </c>
      <c r="E143" s="373">
        <f t="shared" si="10"/>
        <v>1583.4879499999943</v>
      </c>
      <c r="F143" s="373">
        <f t="shared" si="11"/>
        <v>1524.0499999999945</v>
      </c>
    </row>
    <row r="144" spans="4:6" x14ac:dyDescent="0.25">
      <c r="D144" s="105">
        <f t="shared" si="12"/>
        <v>1524.0999999999945</v>
      </c>
      <c r="E144" s="373">
        <f t="shared" si="10"/>
        <v>1583.5398999999943</v>
      </c>
      <c r="F144" s="373">
        <f t="shared" si="11"/>
        <v>1524.0999999999945</v>
      </c>
    </row>
    <row r="145" spans="4:6" x14ac:dyDescent="0.25">
      <c r="D145" s="105">
        <f t="shared" si="12"/>
        <v>1524.1499999999944</v>
      </c>
      <c r="E145" s="373">
        <f t="shared" si="10"/>
        <v>1583.5918499999941</v>
      </c>
      <c r="F145" s="373">
        <f t="shared" si="11"/>
        <v>1524.1499999999944</v>
      </c>
    </row>
    <row r="146" spans="4:6" x14ac:dyDescent="0.25">
      <c r="D146" s="105">
        <f t="shared" si="12"/>
        <v>1524.1999999999944</v>
      </c>
      <c r="E146" s="373">
        <f t="shared" si="10"/>
        <v>1583.6437999999941</v>
      </c>
      <c r="F146" s="373">
        <f t="shared" si="11"/>
        <v>1524.1999999999944</v>
      </c>
    </row>
    <row r="147" spans="4:6" x14ac:dyDescent="0.25">
      <c r="D147" s="105">
        <f t="shared" si="12"/>
        <v>1524.2499999999943</v>
      </c>
      <c r="E147" s="373">
        <f t="shared" si="10"/>
        <v>1583.6957499999942</v>
      </c>
      <c r="F147" s="373">
        <f t="shared" si="11"/>
        <v>1524.2499999999943</v>
      </c>
    </row>
    <row r="148" spans="4:6" x14ac:dyDescent="0.25">
      <c r="D148" s="105">
        <f t="shared" si="12"/>
        <v>1524.2999999999943</v>
      </c>
      <c r="E148" s="373">
        <f t="shared" si="10"/>
        <v>1583.747699999994</v>
      </c>
      <c r="F148" s="373">
        <f t="shared" si="11"/>
        <v>1524.2999999999943</v>
      </c>
    </row>
    <row r="149" spans="4:6" x14ac:dyDescent="0.25">
      <c r="D149" s="105">
        <f t="shared" si="12"/>
        <v>1524.3499999999942</v>
      </c>
      <c r="E149" s="373">
        <f t="shared" si="10"/>
        <v>1583.799649999994</v>
      </c>
      <c r="F149" s="373">
        <f t="shared" si="11"/>
        <v>1524.3499999999942</v>
      </c>
    </row>
    <row r="150" spans="4:6" x14ac:dyDescent="0.25">
      <c r="D150" s="105">
        <f t="shared" si="12"/>
        <v>1524.3999999999942</v>
      </c>
      <c r="E150" s="373">
        <f t="shared" si="10"/>
        <v>1583.8515999999941</v>
      </c>
      <c r="F150" s="373">
        <f t="shared" si="11"/>
        <v>1524.3999999999942</v>
      </c>
    </row>
    <row r="151" spans="4:6" x14ac:dyDescent="0.25">
      <c r="D151" s="105">
        <f t="shared" si="12"/>
        <v>1524.4499999999941</v>
      </c>
      <c r="E151" s="373">
        <f t="shared" ref="E151:E214" si="13">D151*$C$2 + D151</f>
        <v>1583.9035499999939</v>
      </c>
      <c r="F151" s="373">
        <f t="shared" ref="F151:F214" si="14">D151</f>
        <v>1524.4499999999941</v>
      </c>
    </row>
    <row r="152" spans="4:6" x14ac:dyDescent="0.25">
      <c r="D152" s="105">
        <f t="shared" ref="D152:D215" si="15">D151+0.05</f>
        <v>1524.4999999999941</v>
      </c>
      <c r="E152" s="373">
        <f t="shared" si="13"/>
        <v>1583.9554999999939</v>
      </c>
      <c r="F152" s="373">
        <f t="shared" si="14"/>
        <v>1524.4999999999941</v>
      </c>
    </row>
    <row r="153" spans="4:6" x14ac:dyDescent="0.25">
      <c r="D153" s="105">
        <f t="shared" si="15"/>
        <v>1524.549999999994</v>
      </c>
      <c r="E153" s="373">
        <f t="shared" si="13"/>
        <v>1584.0074499999937</v>
      </c>
      <c r="F153" s="373">
        <f t="shared" si="14"/>
        <v>1524.549999999994</v>
      </c>
    </row>
    <row r="154" spans="4:6" x14ac:dyDescent="0.25">
      <c r="D154" s="105">
        <f t="shared" si="15"/>
        <v>1524.599999999994</v>
      </c>
      <c r="E154" s="373">
        <f t="shared" si="13"/>
        <v>1584.0593999999937</v>
      </c>
      <c r="F154" s="373">
        <f t="shared" si="14"/>
        <v>1524.599999999994</v>
      </c>
    </row>
    <row r="155" spans="4:6" x14ac:dyDescent="0.25">
      <c r="D155" s="105">
        <f t="shared" si="15"/>
        <v>1524.649999999994</v>
      </c>
      <c r="E155" s="373">
        <f t="shared" si="13"/>
        <v>1584.1113499999938</v>
      </c>
      <c r="F155" s="373">
        <f t="shared" si="14"/>
        <v>1524.649999999994</v>
      </c>
    </row>
    <row r="156" spans="4:6" x14ac:dyDescent="0.25">
      <c r="D156" s="105">
        <f t="shared" si="15"/>
        <v>1524.6999999999939</v>
      </c>
      <c r="E156" s="373">
        <f t="shared" si="13"/>
        <v>1584.1632999999936</v>
      </c>
      <c r="F156" s="373">
        <f t="shared" si="14"/>
        <v>1524.6999999999939</v>
      </c>
    </row>
    <row r="157" spans="4:6" x14ac:dyDescent="0.25">
      <c r="D157" s="105">
        <f t="shared" si="15"/>
        <v>1524.7499999999939</v>
      </c>
      <c r="E157" s="373">
        <f t="shared" si="13"/>
        <v>1584.2152499999936</v>
      </c>
      <c r="F157" s="373">
        <f t="shared" si="14"/>
        <v>1524.7499999999939</v>
      </c>
    </row>
    <row r="158" spans="4:6" x14ac:dyDescent="0.25">
      <c r="D158" s="105">
        <f t="shared" si="15"/>
        <v>1524.7999999999938</v>
      </c>
      <c r="E158" s="373">
        <f t="shared" si="13"/>
        <v>1584.2671999999936</v>
      </c>
      <c r="F158" s="373">
        <f t="shared" si="14"/>
        <v>1524.7999999999938</v>
      </c>
    </row>
    <row r="159" spans="4:6" x14ac:dyDescent="0.25">
      <c r="D159" s="105">
        <f t="shared" si="15"/>
        <v>1524.8499999999938</v>
      </c>
      <c r="E159" s="373">
        <f t="shared" si="13"/>
        <v>1584.3191499999934</v>
      </c>
      <c r="F159" s="373">
        <f t="shared" si="14"/>
        <v>1524.8499999999938</v>
      </c>
    </row>
    <row r="160" spans="4:6" x14ac:dyDescent="0.25">
      <c r="D160" s="105">
        <f t="shared" si="15"/>
        <v>1524.8999999999937</v>
      </c>
      <c r="E160" s="373">
        <f t="shared" si="13"/>
        <v>1584.3710999999935</v>
      </c>
      <c r="F160" s="373">
        <f t="shared" si="14"/>
        <v>1524.8999999999937</v>
      </c>
    </row>
    <row r="161" spans="4:6" x14ac:dyDescent="0.25">
      <c r="D161" s="105">
        <f t="shared" si="15"/>
        <v>1524.9499999999937</v>
      </c>
      <c r="E161" s="373">
        <f t="shared" si="13"/>
        <v>1584.4230499999935</v>
      </c>
      <c r="F161" s="373">
        <f t="shared" si="14"/>
        <v>1524.9499999999937</v>
      </c>
    </row>
    <row r="162" spans="4:6" x14ac:dyDescent="0.25">
      <c r="D162" s="105">
        <f t="shared" si="15"/>
        <v>1524.9999999999936</v>
      </c>
      <c r="E162" s="373">
        <f t="shared" si="13"/>
        <v>1584.4749999999933</v>
      </c>
      <c r="F162" s="373">
        <f t="shared" si="14"/>
        <v>1524.9999999999936</v>
      </c>
    </row>
    <row r="163" spans="4:6" x14ac:dyDescent="0.25">
      <c r="D163" s="105">
        <f t="shared" si="15"/>
        <v>1525.0499999999936</v>
      </c>
      <c r="E163" s="373">
        <f t="shared" si="13"/>
        <v>1584.5269499999933</v>
      </c>
      <c r="F163" s="373">
        <f t="shared" si="14"/>
        <v>1525.0499999999936</v>
      </c>
    </row>
    <row r="164" spans="4:6" x14ac:dyDescent="0.25">
      <c r="D164" s="105">
        <f t="shared" si="15"/>
        <v>1525.0999999999935</v>
      </c>
      <c r="E164" s="373">
        <f t="shared" si="13"/>
        <v>1584.5788999999934</v>
      </c>
      <c r="F164" s="373">
        <f t="shared" si="14"/>
        <v>1525.0999999999935</v>
      </c>
    </row>
    <row r="165" spans="4:6" x14ac:dyDescent="0.25">
      <c r="D165" s="105">
        <f t="shared" si="15"/>
        <v>1525.1499999999935</v>
      </c>
      <c r="E165" s="373">
        <f t="shared" si="13"/>
        <v>1584.6308499999932</v>
      </c>
      <c r="F165" s="373">
        <f t="shared" si="14"/>
        <v>1525.1499999999935</v>
      </c>
    </row>
    <row r="166" spans="4:6" x14ac:dyDescent="0.25">
      <c r="D166" s="105">
        <f t="shared" si="15"/>
        <v>1525.1999999999935</v>
      </c>
      <c r="E166" s="373">
        <f t="shared" si="13"/>
        <v>1584.6827999999932</v>
      </c>
      <c r="F166" s="373">
        <f t="shared" si="14"/>
        <v>1525.1999999999935</v>
      </c>
    </row>
    <row r="167" spans="4:6" x14ac:dyDescent="0.25">
      <c r="D167" s="105">
        <f t="shared" si="15"/>
        <v>1525.2499999999934</v>
      </c>
      <c r="E167" s="373">
        <f t="shared" si="13"/>
        <v>1584.7347499999933</v>
      </c>
      <c r="F167" s="373">
        <f t="shared" si="14"/>
        <v>1525.2499999999934</v>
      </c>
    </row>
    <row r="168" spans="4:6" x14ac:dyDescent="0.25">
      <c r="D168" s="105">
        <f t="shared" si="15"/>
        <v>1525.2999999999934</v>
      </c>
      <c r="E168" s="373">
        <f t="shared" si="13"/>
        <v>1584.7866999999931</v>
      </c>
      <c r="F168" s="373">
        <f t="shared" si="14"/>
        <v>1525.2999999999934</v>
      </c>
    </row>
    <row r="169" spans="4:6" x14ac:dyDescent="0.25">
      <c r="D169" s="105">
        <f t="shared" si="15"/>
        <v>1525.3499999999933</v>
      </c>
      <c r="E169" s="373">
        <f t="shared" si="13"/>
        <v>1584.8386499999931</v>
      </c>
      <c r="F169" s="373">
        <f t="shared" si="14"/>
        <v>1525.3499999999933</v>
      </c>
    </row>
    <row r="170" spans="4:6" x14ac:dyDescent="0.25">
      <c r="D170" s="105">
        <f t="shared" si="15"/>
        <v>1525.3999999999933</v>
      </c>
      <c r="E170" s="373">
        <f t="shared" si="13"/>
        <v>1584.8905999999929</v>
      </c>
      <c r="F170" s="373">
        <f t="shared" si="14"/>
        <v>1525.3999999999933</v>
      </c>
    </row>
    <row r="171" spans="4:6" x14ac:dyDescent="0.25">
      <c r="D171" s="105">
        <f t="shared" si="15"/>
        <v>1525.4499999999932</v>
      </c>
      <c r="E171" s="373">
        <f t="shared" si="13"/>
        <v>1584.9425499999929</v>
      </c>
      <c r="F171" s="373">
        <f t="shared" si="14"/>
        <v>1525.4499999999932</v>
      </c>
    </row>
    <row r="172" spans="4:6" x14ac:dyDescent="0.25">
      <c r="D172" s="105">
        <f t="shared" si="15"/>
        <v>1525.4999999999932</v>
      </c>
      <c r="E172" s="373">
        <f t="shared" si="13"/>
        <v>1584.994499999993</v>
      </c>
      <c r="F172" s="373">
        <f t="shared" si="14"/>
        <v>1525.4999999999932</v>
      </c>
    </row>
    <row r="173" spans="4:6" x14ac:dyDescent="0.25">
      <c r="D173" s="105">
        <f t="shared" si="15"/>
        <v>1525.5499999999931</v>
      </c>
      <c r="E173" s="373">
        <f t="shared" si="13"/>
        <v>1585.0464499999928</v>
      </c>
      <c r="F173" s="373">
        <f t="shared" si="14"/>
        <v>1525.5499999999931</v>
      </c>
    </row>
    <row r="174" spans="4:6" x14ac:dyDescent="0.25">
      <c r="D174" s="105">
        <f t="shared" si="15"/>
        <v>1525.5999999999931</v>
      </c>
      <c r="E174" s="373">
        <f t="shared" si="13"/>
        <v>1585.0983999999928</v>
      </c>
      <c r="F174" s="373">
        <f t="shared" si="14"/>
        <v>1525.5999999999931</v>
      </c>
    </row>
    <row r="175" spans="4:6" x14ac:dyDescent="0.25">
      <c r="D175" s="105">
        <f t="shared" si="15"/>
        <v>1525.649999999993</v>
      </c>
      <c r="E175" s="373">
        <f t="shared" si="13"/>
        <v>1585.1503499999928</v>
      </c>
      <c r="F175" s="373">
        <f t="shared" si="14"/>
        <v>1525.649999999993</v>
      </c>
    </row>
    <row r="176" spans="4:6" x14ac:dyDescent="0.25">
      <c r="D176" s="105">
        <f t="shared" si="15"/>
        <v>1525.699999999993</v>
      </c>
      <c r="E176" s="373">
        <f t="shared" si="13"/>
        <v>1585.2022999999926</v>
      </c>
      <c r="F176" s="373">
        <f t="shared" si="14"/>
        <v>1525.699999999993</v>
      </c>
    </row>
    <row r="177" spans="4:6" x14ac:dyDescent="0.25">
      <c r="D177" s="105">
        <f t="shared" si="15"/>
        <v>1525.749999999993</v>
      </c>
      <c r="E177" s="373">
        <f t="shared" si="13"/>
        <v>1585.2542499999927</v>
      </c>
      <c r="F177" s="373">
        <f t="shared" si="14"/>
        <v>1525.749999999993</v>
      </c>
    </row>
    <row r="178" spans="4:6" x14ac:dyDescent="0.25">
      <c r="D178" s="105">
        <f t="shared" si="15"/>
        <v>1525.7999999999929</v>
      </c>
      <c r="E178" s="373">
        <f t="shared" si="13"/>
        <v>1585.3061999999927</v>
      </c>
      <c r="F178" s="373">
        <f t="shared" si="14"/>
        <v>1525.7999999999929</v>
      </c>
    </row>
    <row r="179" spans="4:6" x14ac:dyDescent="0.25">
      <c r="D179" s="105">
        <f t="shared" si="15"/>
        <v>1525.8499999999929</v>
      </c>
      <c r="E179" s="373">
        <f t="shared" si="13"/>
        <v>1585.3581499999925</v>
      </c>
      <c r="F179" s="373">
        <f t="shared" si="14"/>
        <v>1525.8499999999929</v>
      </c>
    </row>
    <row r="180" spans="4:6" x14ac:dyDescent="0.25">
      <c r="D180" s="105">
        <f t="shared" si="15"/>
        <v>1525.8999999999928</v>
      </c>
      <c r="E180" s="373">
        <f t="shared" si="13"/>
        <v>1585.4100999999926</v>
      </c>
      <c r="F180" s="373">
        <f t="shared" si="14"/>
        <v>1525.8999999999928</v>
      </c>
    </row>
    <row r="181" spans="4:6" x14ac:dyDescent="0.25">
      <c r="D181" s="105">
        <f t="shared" si="15"/>
        <v>1525.9499999999928</v>
      </c>
      <c r="E181" s="373">
        <f t="shared" si="13"/>
        <v>1585.4620499999926</v>
      </c>
      <c r="F181" s="373">
        <f t="shared" si="14"/>
        <v>1525.9499999999928</v>
      </c>
    </row>
    <row r="182" spans="4:6" x14ac:dyDescent="0.25">
      <c r="D182" s="105">
        <f t="shared" si="15"/>
        <v>1525.9999999999927</v>
      </c>
      <c r="E182" s="373">
        <f t="shared" si="13"/>
        <v>1585.5139999999924</v>
      </c>
      <c r="F182" s="373">
        <f t="shared" si="14"/>
        <v>1525.9999999999927</v>
      </c>
    </row>
    <row r="183" spans="4:6" x14ac:dyDescent="0.25">
      <c r="D183" s="105">
        <f t="shared" si="15"/>
        <v>1526.0499999999927</v>
      </c>
      <c r="E183" s="373">
        <f t="shared" si="13"/>
        <v>1585.5659499999924</v>
      </c>
      <c r="F183" s="373">
        <f t="shared" si="14"/>
        <v>1526.0499999999927</v>
      </c>
    </row>
    <row r="184" spans="4:6" x14ac:dyDescent="0.25">
      <c r="D184" s="105">
        <f t="shared" si="15"/>
        <v>1526.0999999999926</v>
      </c>
      <c r="E184" s="373">
        <f t="shared" si="13"/>
        <v>1585.6178999999925</v>
      </c>
      <c r="F184" s="373">
        <f t="shared" si="14"/>
        <v>1526.0999999999926</v>
      </c>
    </row>
    <row r="185" spans="4:6" x14ac:dyDescent="0.25">
      <c r="D185" s="105">
        <f t="shared" si="15"/>
        <v>1526.1499999999926</v>
      </c>
      <c r="E185" s="373">
        <f t="shared" si="13"/>
        <v>1585.6698499999923</v>
      </c>
      <c r="F185" s="373">
        <f t="shared" si="14"/>
        <v>1526.1499999999926</v>
      </c>
    </row>
    <row r="186" spans="4:6" x14ac:dyDescent="0.25">
      <c r="D186" s="105">
        <f t="shared" si="15"/>
        <v>1526.1999999999925</v>
      </c>
      <c r="E186" s="373">
        <f t="shared" si="13"/>
        <v>1585.7217999999923</v>
      </c>
      <c r="F186" s="373">
        <f t="shared" si="14"/>
        <v>1526.1999999999925</v>
      </c>
    </row>
    <row r="187" spans="4:6" x14ac:dyDescent="0.25">
      <c r="D187" s="105">
        <f t="shared" si="15"/>
        <v>1526.2499999999925</v>
      </c>
      <c r="E187" s="373">
        <f t="shared" si="13"/>
        <v>1585.7737499999921</v>
      </c>
      <c r="F187" s="373">
        <f t="shared" si="14"/>
        <v>1526.2499999999925</v>
      </c>
    </row>
    <row r="188" spans="4:6" x14ac:dyDescent="0.25">
      <c r="D188" s="105">
        <f t="shared" si="15"/>
        <v>1526.2999999999925</v>
      </c>
      <c r="E188" s="373">
        <f t="shared" si="13"/>
        <v>1585.8256999999921</v>
      </c>
      <c r="F188" s="373">
        <f t="shared" si="14"/>
        <v>1526.2999999999925</v>
      </c>
    </row>
    <row r="189" spans="4:6" x14ac:dyDescent="0.25">
      <c r="D189" s="105">
        <f t="shared" si="15"/>
        <v>1526.3499999999924</v>
      </c>
      <c r="E189" s="373">
        <f t="shared" si="13"/>
        <v>1585.8776499999922</v>
      </c>
      <c r="F189" s="373">
        <f t="shared" si="14"/>
        <v>1526.3499999999924</v>
      </c>
    </row>
    <row r="190" spans="4:6" x14ac:dyDescent="0.25">
      <c r="D190" s="105">
        <f t="shared" si="15"/>
        <v>1526.3999999999924</v>
      </c>
      <c r="E190" s="373">
        <f t="shared" si="13"/>
        <v>1585.929599999992</v>
      </c>
      <c r="F190" s="373">
        <f t="shared" si="14"/>
        <v>1526.3999999999924</v>
      </c>
    </row>
    <row r="191" spans="4:6" x14ac:dyDescent="0.25">
      <c r="D191" s="105">
        <f t="shared" si="15"/>
        <v>1526.4499999999923</v>
      </c>
      <c r="E191" s="373">
        <f t="shared" si="13"/>
        <v>1585.981549999992</v>
      </c>
      <c r="F191" s="373">
        <f t="shared" si="14"/>
        <v>1526.4499999999923</v>
      </c>
    </row>
    <row r="192" spans="4:6" x14ac:dyDescent="0.25">
      <c r="D192" s="105">
        <f t="shared" si="15"/>
        <v>1526.4999999999923</v>
      </c>
      <c r="E192" s="373">
        <f t="shared" si="13"/>
        <v>1586.033499999992</v>
      </c>
      <c r="F192" s="373">
        <f t="shared" si="14"/>
        <v>1526.4999999999923</v>
      </c>
    </row>
    <row r="193" spans="4:6" x14ac:dyDescent="0.25">
      <c r="D193" s="105">
        <f t="shared" si="15"/>
        <v>1526.5499999999922</v>
      </c>
      <c r="E193" s="373">
        <f t="shared" si="13"/>
        <v>1586.0854499999919</v>
      </c>
      <c r="F193" s="373">
        <f t="shared" si="14"/>
        <v>1526.5499999999922</v>
      </c>
    </row>
    <row r="194" spans="4:6" x14ac:dyDescent="0.25">
      <c r="D194" s="105">
        <f t="shared" si="15"/>
        <v>1526.5999999999922</v>
      </c>
      <c r="E194" s="373">
        <f t="shared" si="13"/>
        <v>1586.1373999999919</v>
      </c>
      <c r="F194" s="373">
        <f t="shared" si="14"/>
        <v>1526.5999999999922</v>
      </c>
    </row>
    <row r="195" spans="4:6" x14ac:dyDescent="0.25">
      <c r="D195" s="105">
        <f t="shared" si="15"/>
        <v>1526.6499999999921</v>
      </c>
      <c r="E195" s="373">
        <f t="shared" si="13"/>
        <v>1586.1893499999919</v>
      </c>
      <c r="F195" s="373">
        <f t="shared" si="14"/>
        <v>1526.6499999999921</v>
      </c>
    </row>
    <row r="196" spans="4:6" x14ac:dyDescent="0.25">
      <c r="D196" s="105">
        <f t="shared" si="15"/>
        <v>1526.6999999999921</v>
      </c>
      <c r="E196" s="373">
        <f t="shared" si="13"/>
        <v>1586.2412999999917</v>
      </c>
      <c r="F196" s="373">
        <f t="shared" si="14"/>
        <v>1526.6999999999921</v>
      </c>
    </row>
    <row r="197" spans="4:6" x14ac:dyDescent="0.25">
      <c r="D197" s="105">
        <f t="shared" si="15"/>
        <v>1526.749999999992</v>
      </c>
      <c r="E197" s="373">
        <f t="shared" si="13"/>
        <v>1586.2932499999918</v>
      </c>
      <c r="F197" s="373">
        <f t="shared" si="14"/>
        <v>1526.749999999992</v>
      </c>
    </row>
    <row r="198" spans="4:6" x14ac:dyDescent="0.25">
      <c r="D198" s="105">
        <f t="shared" si="15"/>
        <v>1526.799999999992</v>
      </c>
      <c r="E198" s="373">
        <f t="shared" si="13"/>
        <v>1586.3451999999918</v>
      </c>
      <c r="F198" s="373">
        <f t="shared" si="14"/>
        <v>1526.799999999992</v>
      </c>
    </row>
    <row r="199" spans="4:6" x14ac:dyDescent="0.25">
      <c r="D199" s="105">
        <f t="shared" si="15"/>
        <v>1526.849999999992</v>
      </c>
      <c r="E199" s="373">
        <f t="shared" si="13"/>
        <v>1586.3971499999916</v>
      </c>
      <c r="F199" s="373">
        <f t="shared" si="14"/>
        <v>1526.849999999992</v>
      </c>
    </row>
    <row r="200" spans="4:6" x14ac:dyDescent="0.25">
      <c r="D200" s="105">
        <f t="shared" si="15"/>
        <v>1526.8999999999919</v>
      </c>
      <c r="E200" s="373">
        <f t="shared" si="13"/>
        <v>1586.4490999999916</v>
      </c>
      <c r="F200" s="373">
        <f t="shared" si="14"/>
        <v>1526.8999999999919</v>
      </c>
    </row>
    <row r="201" spans="4:6" x14ac:dyDescent="0.25">
      <c r="D201" s="105">
        <f t="shared" si="15"/>
        <v>1526.9499999999919</v>
      </c>
      <c r="E201" s="373">
        <f t="shared" si="13"/>
        <v>1586.5010499999914</v>
      </c>
      <c r="F201" s="373">
        <f t="shared" si="14"/>
        <v>1526.9499999999919</v>
      </c>
    </row>
    <row r="202" spans="4:6" x14ac:dyDescent="0.25">
      <c r="D202" s="105">
        <f t="shared" si="15"/>
        <v>1526.9999999999918</v>
      </c>
      <c r="E202" s="373">
        <f t="shared" si="13"/>
        <v>1586.5529999999915</v>
      </c>
      <c r="F202" s="373">
        <f t="shared" si="14"/>
        <v>1526.9999999999918</v>
      </c>
    </row>
    <row r="203" spans="4:6" x14ac:dyDescent="0.25">
      <c r="D203" s="105">
        <f t="shared" si="15"/>
        <v>1527.0499999999918</v>
      </c>
      <c r="E203" s="373">
        <f t="shared" si="13"/>
        <v>1586.6049499999915</v>
      </c>
      <c r="F203" s="373">
        <f t="shared" si="14"/>
        <v>1527.0499999999918</v>
      </c>
    </row>
    <row r="204" spans="4:6" x14ac:dyDescent="0.25">
      <c r="D204" s="105">
        <f t="shared" si="15"/>
        <v>1527.0999999999917</v>
      </c>
      <c r="E204" s="373">
        <f t="shared" si="13"/>
        <v>1586.6568999999913</v>
      </c>
      <c r="F204" s="373">
        <f t="shared" si="14"/>
        <v>1527.0999999999917</v>
      </c>
    </row>
    <row r="205" spans="4:6" x14ac:dyDescent="0.25">
      <c r="D205" s="105">
        <f t="shared" si="15"/>
        <v>1527.1499999999917</v>
      </c>
      <c r="E205" s="373">
        <f t="shared" si="13"/>
        <v>1586.7088499999913</v>
      </c>
      <c r="F205" s="373">
        <f t="shared" si="14"/>
        <v>1527.1499999999917</v>
      </c>
    </row>
    <row r="206" spans="4:6" x14ac:dyDescent="0.25">
      <c r="D206" s="105">
        <f t="shared" si="15"/>
        <v>1527.1999999999916</v>
      </c>
      <c r="E206" s="373">
        <f t="shared" si="13"/>
        <v>1586.7607999999914</v>
      </c>
      <c r="F206" s="373">
        <f t="shared" si="14"/>
        <v>1527.1999999999916</v>
      </c>
    </row>
    <row r="207" spans="4:6" x14ac:dyDescent="0.25">
      <c r="D207" s="105">
        <f t="shared" si="15"/>
        <v>1527.2499999999916</v>
      </c>
      <c r="E207" s="373">
        <f t="shared" si="13"/>
        <v>1586.8127499999912</v>
      </c>
      <c r="F207" s="373">
        <f t="shared" si="14"/>
        <v>1527.2499999999916</v>
      </c>
    </row>
    <row r="208" spans="4:6" x14ac:dyDescent="0.25">
      <c r="D208" s="105">
        <f t="shared" si="15"/>
        <v>1527.2999999999915</v>
      </c>
      <c r="E208" s="373">
        <f t="shared" si="13"/>
        <v>1586.8646999999912</v>
      </c>
      <c r="F208" s="373">
        <f t="shared" si="14"/>
        <v>1527.2999999999915</v>
      </c>
    </row>
    <row r="209" spans="4:6" x14ac:dyDescent="0.25">
      <c r="D209" s="105">
        <f t="shared" si="15"/>
        <v>1527.3499999999915</v>
      </c>
      <c r="E209" s="373">
        <f t="shared" si="13"/>
        <v>1586.9166499999913</v>
      </c>
      <c r="F209" s="373">
        <f t="shared" si="14"/>
        <v>1527.3499999999915</v>
      </c>
    </row>
    <row r="210" spans="4:6" x14ac:dyDescent="0.25">
      <c r="D210" s="105">
        <f t="shared" si="15"/>
        <v>1527.3999999999915</v>
      </c>
      <c r="E210" s="373">
        <f t="shared" si="13"/>
        <v>1586.9685999999911</v>
      </c>
      <c r="F210" s="373">
        <f t="shared" si="14"/>
        <v>1527.3999999999915</v>
      </c>
    </row>
    <row r="211" spans="4:6" x14ac:dyDescent="0.25">
      <c r="D211" s="105">
        <f t="shared" si="15"/>
        <v>1527.4499999999914</v>
      </c>
      <c r="E211" s="373">
        <f t="shared" si="13"/>
        <v>1587.0205499999911</v>
      </c>
      <c r="F211" s="373">
        <f t="shared" si="14"/>
        <v>1527.4499999999914</v>
      </c>
    </row>
    <row r="212" spans="4:6" x14ac:dyDescent="0.25">
      <c r="D212" s="105">
        <f t="shared" si="15"/>
        <v>1527.4999999999914</v>
      </c>
      <c r="E212" s="373">
        <f t="shared" si="13"/>
        <v>1587.0724999999911</v>
      </c>
      <c r="F212" s="373">
        <f t="shared" si="14"/>
        <v>1527.4999999999914</v>
      </c>
    </row>
    <row r="213" spans="4:6" x14ac:dyDescent="0.25">
      <c r="D213" s="105">
        <f t="shared" si="15"/>
        <v>1527.5499999999913</v>
      </c>
      <c r="E213" s="373">
        <f t="shared" si="13"/>
        <v>1587.1244499999909</v>
      </c>
      <c r="F213" s="373">
        <f t="shared" si="14"/>
        <v>1527.5499999999913</v>
      </c>
    </row>
    <row r="214" spans="4:6" x14ac:dyDescent="0.25">
      <c r="D214" s="105">
        <f t="shared" si="15"/>
        <v>1527.5999999999913</v>
      </c>
      <c r="E214" s="373">
        <f t="shared" si="13"/>
        <v>1587.176399999991</v>
      </c>
      <c r="F214" s="373">
        <f t="shared" si="14"/>
        <v>1527.5999999999913</v>
      </c>
    </row>
    <row r="215" spans="4:6" x14ac:dyDescent="0.25">
      <c r="D215" s="105">
        <f t="shared" si="15"/>
        <v>1527.6499999999912</v>
      </c>
      <c r="E215" s="373">
        <f t="shared" ref="E215:E278" si="16">D215*$C$2 + D215</f>
        <v>1587.2283499999908</v>
      </c>
      <c r="F215" s="373">
        <f t="shared" ref="F215:F278" si="17">D215</f>
        <v>1527.6499999999912</v>
      </c>
    </row>
    <row r="216" spans="4:6" x14ac:dyDescent="0.25">
      <c r="D216" s="105">
        <f t="shared" ref="D216:D279" si="18">D215+0.05</f>
        <v>1527.6999999999912</v>
      </c>
      <c r="E216" s="373">
        <f t="shared" si="16"/>
        <v>1587.2802999999908</v>
      </c>
      <c r="F216" s="373">
        <f t="shared" si="17"/>
        <v>1527.6999999999912</v>
      </c>
    </row>
    <row r="217" spans="4:6" x14ac:dyDescent="0.25">
      <c r="D217" s="105">
        <f t="shared" si="18"/>
        <v>1527.7499999999911</v>
      </c>
      <c r="E217" s="373">
        <f t="shared" si="16"/>
        <v>1587.3322499999908</v>
      </c>
      <c r="F217" s="373">
        <f t="shared" si="17"/>
        <v>1527.7499999999911</v>
      </c>
    </row>
    <row r="218" spans="4:6" x14ac:dyDescent="0.25">
      <c r="D218" s="105">
        <f t="shared" si="18"/>
        <v>1527.7999999999911</v>
      </c>
      <c r="E218" s="373">
        <f t="shared" si="16"/>
        <v>1587.3841999999906</v>
      </c>
      <c r="F218" s="373">
        <f t="shared" si="17"/>
        <v>1527.7999999999911</v>
      </c>
    </row>
    <row r="219" spans="4:6" x14ac:dyDescent="0.25">
      <c r="D219" s="105">
        <f t="shared" si="18"/>
        <v>1527.849999999991</v>
      </c>
      <c r="E219" s="373">
        <f t="shared" si="16"/>
        <v>1587.4361499999907</v>
      </c>
      <c r="F219" s="373">
        <f t="shared" si="17"/>
        <v>1527.849999999991</v>
      </c>
    </row>
    <row r="220" spans="4:6" x14ac:dyDescent="0.25">
      <c r="D220" s="105">
        <f t="shared" si="18"/>
        <v>1527.899999999991</v>
      </c>
      <c r="E220" s="373">
        <f t="shared" si="16"/>
        <v>1587.4880999999907</v>
      </c>
      <c r="F220" s="373">
        <f t="shared" si="17"/>
        <v>1527.899999999991</v>
      </c>
    </row>
    <row r="221" spans="4:6" x14ac:dyDescent="0.25">
      <c r="D221" s="105">
        <f t="shared" si="18"/>
        <v>1527.949999999991</v>
      </c>
      <c r="E221" s="373">
        <f t="shared" si="16"/>
        <v>1587.5400499999905</v>
      </c>
      <c r="F221" s="373">
        <f t="shared" si="17"/>
        <v>1527.949999999991</v>
      </c>
    </row>
    <row r="222" spans="4:6" x14ac:dyDescent="0.25">
      <c r="D222" s="105">
        <f t="shared" si="18"/>
        <v>1527.9999999999909</v>
      </c>
      <c r="E222" s="373">
        <f t="shared" si="16"/>
        <v>1587.5919999999905</v>
      </c>
      <c r="F222" s="373">
        <f t="shared" si="17"/>
        <v>1527.9999999999909</v>
      </c>
    </row>
    <row r="223" spans="4:6" x14ac:dyDescent="0.25">
      <c r="D223" s="105">
        <f t="shared" si="18"/>
        <v>1528.0499999999909</v>
      </c>
      <c r="E223" s="373">
        <f t="shared" si="16"/>
        <v>1587.6439499999906</v>
      </c>
      <c r="F223" s="373">
        <f t="shared" si="17"/>
        <v>1528.0499999999909</v>
      </c>
    </row>
    <row r="224" spans="4:6" x14ac:dyDescent="0.25">
      <c r="D224" s="105">
        <f t="shared" si="18"/>
        <v>1528.0999999999908</v>
      </c>
      <c r="E224" s="373">
        <f t="shared" si="16"/>
        <v>1587.6958999999904</v>
      </c>
      <c r="F224" s="373">
        <f t="shared" si="17"/>
        <v>1528.0999999999908</v>
      </c>
    </row>
    <row r="225" spans="4:6" x14ac:dyDescent="0.25">
      <c r="D225" s="105">
        <f t="shared" si="18"/>
        <v>1528.1499999999908</v>
      </c>
      <c r="E225" s="373">
        <f t="shared" si="16"/>
        <v>1587.7478499999904</v>
      </c>
      <c r="F225" s="373">
        <f t="shared" si="17"/>
        <v>1528.1499999999908</v>
      </c>
    </row>
    <row r="226" spans="4:6" x14ac:dyDescent="0.25">
      <c r="D226" s="105">
        <f t="shared" si="18"/>
        <v>1528.1999999999907</v>
      </c>
      <c r="E226" s="373">
        <f t="shared" si="16"/>
        <v>1587.7997999999905</v>
      </c>
      <c r="F226" s="373">
        <f t="shared" si="17"/>
        <v>1528.1999999999907</v>
      </c>
    </row>
    <row r="227" spans="4:6" x14ac:dyDescent="0.25">
      <c r="D227" s="105">
        <f t="shared" si="18"/>
        <v>1528.2499999999907</v>
      </c>
      <c r="E227" s="373">
        <f t="shared" si="16"/>
        <v>1587.8517499999903</v>
      </c>
      <c r="F227" s="373">
        <f t="shared" si="17"/>
        <v>1528.2499999999907</v>
      </c>
    </row>
    <row r="228" spans="4:6" x14ac:dyDescent="0.25">
      <c r="D228" s="105">
        <f t="shared" si="18"/>
        <v>1528.2999999999906</v>
      </c>
      <c r="E228" s="373">
        <f t="shared" si="16"/>
        <v>1587.9036999999903</v>
      </c>
      <c r="F228" s="373">
        <f t="shared" si="17"/>
        <v>1528.2999999999906</v>
      </c>
    </row>
    <row r="229" spans="4:6" x14ac:dyDescent="0.25">
      <c r="D229" s="105">
        <f t="shared" si="18"/>
        <v>1528.3499999999906</v>
      </c>
      <c r="E229" s="373">
        <f t="shared" si="16"/>
        <v>1587.9556499999903</v>
      </c>
      <c r="F229" s="373">
        <f t="shared" si="17"/>
        <v>1528.3499999999906</v>
      </c>
    </row>
    <row r="230" spans="4:6" x14ac:dyDescent="0.25">
      <c r="D230" s="105">
        <f t="shared" si="18"/>
        <v>1528.3999999999905</v>
      </c>
      <c r="E230" s="373">
        <f t="shared" si="16"/>
        <v>1588.0075999999901</v>
      </c>
      <c r="F230" s="373">
        <f t="shared" si="17"/>
        <v>1528.3999999999905</v>
      </c>
    </row>
    <row r="231" spans="4:6" x14ac:dyDescent="0.25">
      <c r="D231" s="105">
        <f t="shared" si="18"/>
        <v>1528.4499999999905</v>
      </c>
      <c r="E231" s="373">
        <f t="shared" si="16"/>
        <v>1588.0595499999902</v>
      </c>
      <c r="F231" s="373">
        <f t="shared" si="17"/>
        <v>1528.4499999999905</v>
      </c>
    </row>
    <row r="232" spans="4:6" x14ac:dyDescent="0.25">
      <c r="D232" s="105">
        <f t="shared" si="18"/>
        <v>1528.4999999999905</v>
      </c>
      <c r="E232" s="373">
        <f t="shared" si="16"/>
        <v>1588.11149999999</v>
      </c>
      <c r="F232" s="373">
        <f t="shared" si="17"/>
        <v>1528.4999999999905</v>
      </c>
    </row>
    <row r="233" spans="4:6" x14ac:dyDescent="0.25">
      <c r="D233" s="105">
        <f t="shared" si="18"/>
        <v>1528.5499999999904</v>
      </c>
      <c r="E233" s="373">
        <f t="shared" si="16"/>
        <v>1588.16344999999</v>
      </c>
      <c r="F233" s="373">
        <f t="shared" si="17"/>
        <v>1528.5499999999904</v>
      </c>
    </row>
    <row r="234" spans="4:6" x14ac:dyDescent="0.25">
      <c r="D234" s="105">
        <f t="shared" si="18"/>
        <v>1528.5999999999904</v>
      </c>
      <c r="E234" s="373">
        <f t="shared" si="16"/>
        <v>1588.21539999999</v>
      </c>
      <c r="F234" s="373">
        <f t="shared" si="17"/>
        <v>1528.5999999999904</v>
      </c>
    </row>
    <row r="235" spans="4:6" x14ac:dyDescent="0.25">
      <c r="D235" s="105">
        <f t="shared" si="18"/>
        <v>1528.6499999999903</v>
      </c>
      <c r="E235" s="373">
        <f t="shared" si="16"/>
        <v>1588.2673499999898</v>
      </c>
      <c r="F235" s="373">
        <f t="shared" si="17"/>
        <v>1528.6499999999903</v>
      </c>
    </row>
    <row r="236" spans="4:6" x14ac:dyDescent="0.25">
      <c r="D236" s="105">
        <f t="shared" si="18"/>
        <v>1528.6999999999903</v>
      </c>
      <c r="E236" s="373">
        <f t="shared" si="16"/>
        <v>1588.3192999999899</v>
      </c>
      <c r="F236" s="373">
        <f t="shared" si="17"/>
        <v>1528.6999999999903</v>
      </c>
    </row>
    <row r="237" spans="4:6" x14ac:dyDescent="0.25">
      <c r="D237" s="105">
        <f t="shared" si="18"/>
        <v>1528.7499999999902</v>
      </c>
      <c r="E237" s="373">
        <f t="shared" si="16"/>
        <v>1588.3712499999899</v>
      </c>
      <c r="F237" s="373">
        <f t="shared" si="17"/>
        <v>1528.7499999999902</v>
      </c>
    </row>
    <row r="238" spans="4:6" x14ac:dyDescent="0.25">
      <c r="D238" s="105">
        <f t="shared" si="18"/>
        <v>1528.7999999999902</v>
      </c>
      <c r="E238" s="373">
        <f t="shared" si="16"/>
        <v>1588.4231999999897</v>
      </c>
      <c r="F238" s="373">
        <f t="shared" si="17"/>
        <v>1528.7999999999902</v>
      </c>
    </row>
    <row r="239" spans="4:6" x14ac:dyDescent="0.25">
      <c r="D239" s="105">
        <f t="shared" si="18"/>
        <v>1528.8499999999901</v>
      </c>
      <c r="E239" s="373">
        <f t="shared" si="16"/>
        <v>1588.4751499999898</v>
      </c>
      <c r="F239" s="373">
        <f t="shared" si="17"/>
        <v>1528.8499999999901</v>
      </c>
    </row>
    <row r="240" spans="4:6" x14ac:dyDescent="0.25">
      <c r="D240" s="105">
        <f t="shared" si="18"/>
        <v>1528.8999999999901</v>
      </c>
      <c r="E240" s="373">
        <f t="shared" si="16"/>
        <v>1588.5270999999898</v>
      </c>
      <c r="F240" s="373">
        <f t="shared" si="17"/>
        <v>1528.8999999999901</v>
      </c>
    </row>
    <row r="241" spans="4:6" x14ac:dyDescent="0.25">
      <c r="D241" s="105">
        <f t="shared" si="18"/>
        <v>1528.94999999999</v>
      </c>
      <c r="E241" s="373">
        <f t="shared" si="16"/>
        <v>1588.5790499999896</v>
      </c>
      <c r="F241" s="373">
        <f t="shared" si="17"/>
        <v>1528.94999999999</v>
      </c>
    </row>
    <row r="242" spans="4:6" x14ac:dyDescent="0.25">
      <c r="D242" s="105">
        <f t="shared" si="18"/>
        <v>1528.99999999999</v>
      </c>
      <c r="E242" s="373">
        <f t="shared" si="16"/>
        <v>1588.6309999999896</v>
      </c>
      <c r="F242" s="373">
        <f t="shared" si="17"/>
        <v>1528.99999999999</v>
      </c>
    </row>
    <row r="243" spans="4:6" x14ac:dyDescent="0.25">
      <c r="D243" s="105">
        <f t="shared" si="18"/>
        <v>1529.04999999999</v>
      </c>
      <c r="E243" s="373">
        <f t="shared" si="16"/>
        <v>1588.6829499999897</v>
      </c>
      <c r="F243" s="373">
        <f t="shared" si="17"/>
        <v>1529.04999999999</v>
      </c>
    </row>
    <row r="244" spans="4:6" x14ac:dyDescent="0.25">
      <c r="D244" s="105">
        <f t="shared" si="18"/>
        <v>1529.0999999999899</v>
      </c>
      <c r="E244" s="373">
        <f t="shared" si="16"/>
        <v>1588.7348999999895</v>
      </c>
      <c r="F244" s="373">
        <f t="shared" si="17"/>
        <v>1529.0999999999899</v>
      </c>
    </row>
    <row r="245" spans="4:6" x14ac:dyDescent="0.25">
      <c r="D245" s="105">
        <f t="shared" si="18"/>
        <v>1529.1499999999899</v>
      </c>
      <c r="E245" s="373">
        <f t="shared" si="16"/>
        <v>1588.7868499999895</v>
      </c>
      <c r="F245" s="373">
        <f t="shared" si="17"/>
        <v>1529.1499999999899</v>
      </c>
    </row>
    <row r="246" spans="4:6" x14ac:dyDescent="0.25">
      <c r="D246" s="105">
        <f t="shared" si="18"/>
        <v>1529.1999999999898</v>
      </c>
      <c r="E246" s="373">
        <f t="shared" si="16"/>
        <v>1588.8387999999895</v>
      </c>
      <c r="F246" s="373">
        <f t="shared" si="17"/>
        <v>1529.1999999999898</v>
      </c>
    </row>
    <row r="247" spans="4:6" x14ac:dyDescent="0.25">
      <c r="D247" s="105">
        <f t="shared" si="18"/>
        <v>1529.2499999999898</v>
      </c>
      <c r="E247" s="373">
        <f t="shared" si="16"/>
        <v>1588.8907499999893</v>
      </c>
      <c r="F247" s="373">
        <f t="shared" si="17"/>
        <v>1529.2499999999898</v>
      </c>
    </row>
    <row r="248" spans="4:6" x14ac:dyDescent="0.25">
      <c r="D248" s="105">
        <f t="shared" si="18"/>
        <v>1529.2999999999897</v>
      </c>
      <c r="E248" s="373">
        <f t="shared" si="16"/>
        <v>1588.9426999999894</v>
      </c>
      <c r="F248" s="373">
        <f t="shared" si="17"/>
        <v>1529.2999999999897</v>
      </c>
    </row>
    <row r="249" spans="4:6" x14ac:dyDescent="0.25">
      <c r="D249" s="105">
        <f t="shared" si="18"/>
        <v>1529.3499999999897</v>
      </c>
      <c r="E249" s="373">
        <f t="shared" si="16"/>
        <v>1588.9946499999892</v>
      </c>
      <c r="F249" s="373">
        <f t="shared" si="17"/>
        <v>1529.3499999999897</v>
      </c>
    </row>
    <row r="250" spans="4:6" x14ac:dyDescent="0.25">
      <c r="D250" s="105">
        <f t="shared" si="18"/>
        <v>1529.3999999999896</v>
      </c>
      <c r="E250" s="373">
        <f t="shared" si="16"/>
        <v>1589.0465999999892</v>
      </c>
      <c r="F250" s="373">
        <f t="shared" si="17"/>
        <v>1529.3999999999896</v>
      </c>
    </row>
    <row r="251" spans="4:6" x14ac:dyDescent="0.25">
      <c r="D251" s="105">
        <f t="shared" si="18"/>
        <v>1529.4499999999896</v>
      </c>
      <c r="E251" s="373">
        <f t="shared" si="16"/>
        <v>1589.0985499999892</v>
      </c>
      <c r="F251" s="373">
        <f t="shared" si="17"/>
        <v>1529.4499999999896</v>
      </c>
    </row>
    <row r="252" spans="4:6" x14ac:dyDescent="0.25">
      <c r="D252" s="105">
        <f t="shared" si="18"/>
        <v>1529.4999999999895</v>
      </c>
      <c r="E252" s="373">
        <f t="shared" si="16"/>
        <v>1589.1504999999891</v>
      </c>
      <c r="F252" s="373">
        <f t="shared" si="17"/>
        <v>1529.4999999999895</v>
      </c>
    </row>
    <row r="253" spans="4:6" x14ac:dyDescent="0.25">
      <c r="D253" s="105">
        <f t="shared" si="18"/>
        <v>1529.5499999999895</v>
      </c>
      <c r="E253" s="373">
        <f t="shared" si="16"/>
        <v>1589.2024499999891</v>
      </c>
      <c r="F253" s="373">
        <f t="shared" si="17"/>
        <v>1529.5499999999895</v>
      </c>
    </row>
    <row r="254" spans="4:6" x14ac:dyDescent="0.25">
      <c r="D254" s="105">
        <f t="shared" si="18"/>
        <v>1529.5999999999894</v>
      </c>
      <c r="E254" s="373">
        <f t="shared" si="16"/>
        <v>1589.2543999999891</v>
      </c>
      <c r="F254" s="373">
        <f t="shared" si="17"/>
        <v>1529.5999999999894</v>
      </c>
    </row>
    <row r="255" spans="4:6" x14ac:dyDescent="0.25">
      <c r="D255" s="105">
        <f t="shared" si="18"/>
        <v>1529.6499999999894</v>
      </c>
      <c r="E255" s="373">
        <f t="shared" si="16"/>
        <v>1589.3063499999889</v>
      </c>
      <c r="F255" s="373">
        <f t="shared" si="17"/>
        <v>1529.6499999999894</v>
      </c>
    </row>
    <row r="256" spans="4:6" x14ac:dyDescent="0.25">
      <c r="D256" s="105">
        <f t="shared" si="18"/>
        <v>1529.6999999999894</v>
      </c>
      <c r="E256" s="373">
        <f t="shared" si="16"/>
        <v>1589.358299999989</v>
      </c>
      <c r="F256" s="373">
        <f t="shared" si="17"/>
        <v>1529.6999999999894</v>
      </c>
    </row>
    <row r="257" spans="4:6" x14ac:dyDescent="0.25">
      <c r="D257" s="105">
        <f t="shared" si="18"/>
        <v>1529.7499999999893</v>
      </c>
      <c r="E257" s="373">
        <f t="shared" si="16"/>
        <v>1589.410249999989</v>
      </c>
      <c r="F257" s="373">
        <f t="shared" si="17"/>
        <v>1529.7499999999893</v>
      </c>
    </row>
    <row r="258" spans="4:6" x14ac:dyDescent="0.25">
      <c r="D258" s="105">
        <f t="shared" si="18"/>
        <v>1529.7999999999893</v>
      </c>
      <c r="E258" s="373">
        <f t="shared" si="16"/>
        <v>1589.4621999999888</v>
      </c>
      <c r="F258" s="373">
        <f t="shared" si="17"/>
        <v>1529.7999999999893</v>
      </c>
    </row>
    <row r="259" spans="4:6" x14ac:dyDescent="0.25">
      <c r="D259" s="105">
        <f t="shared" si="18"/>
        <v>1529.8499999999892</v>
      </c>
      <c r="E259" s="373">
        <f t="shared" si="16"/>
        <v>1589.5141499999888</v>
      </c>
      <c r="F259" s="373">
        <f t="shared" si="17"/>
        <v>1529.8499999999892</v>
      </c>
    </row>
    <row r="260" spans="4:6" x14ac:dyDescent="0.25">
      <c r="D260" s="105">
        <f t="shared" si="18"/>
        <v>1529.8999999999892</v>
      </c>
      <c r="E260" s="373">
        <f t="shared" si="16"/>
        <v>1589.5660999999889</v>
      </c>
      <c r="F260" s="373">
        <f t="shared" si="17"/>
        <v>1529.8999999999892</v>
      </c>
    </row>
    <row r="261" spans="4:6" x14ac:dyDescent="0.25">
      <c r="D261" s="105">
        <f t="shared" si="18"/>
        <v>1529.9499999999891</v>
      </c>
      <c r="E261" s="373">
        <f t="shared" si="16"/>
        <v>1589.6180499999887</v>
      </c>
      <c r="F261" s="373">
        <f t="shared" si="17"/>
        <v>1529.9499999999891</v>
      </c>
    </row>
    <row r="262" spans="4:6" x14ac:dyDescent="0.25">
      <c r="D262" s="105">
        <f t="shared" si="18"/>
        <v>1529.9999999999891</v>
      </c>
      <c r="E262" s="373">
        <f t="shared" si="16"/>
        <v>1589.6699999999887</v>
      </c>
      <c r="F262" s="373">
        <f t="shared" si="17"/>
        <v>1529.9999999999891</v>
      </c>
    </row>
    <row r="263" spans="4:6" x14ac:dyDescent="0.25">
      <c r="D263" s="105">
        <f t="shared" si="18"/>
        <v>1530.049999999989</v>
      </c>
      <c r="E263" s="373">
        <f t="shared" si="16"/>
        <v>1589.7219499999885</v>
      </c>
      <c r="F263" s="373">
        <f t="shared" si="17"/>
        <v>1530.049999999989</v>
      </c>
    </row>
    <row r="264" spans="4:6" x14ac:dyDescent="0.25">
      <c r="D264" s="105">
        <f t="shared" si="18"/>
        <v>1530.099999999989</v>
      </c>
      <c r="E264" s="373">
        <f t="shared" si="16"/>
        <v>1589.7738999999885</v>
      </c>
      <c r="F264" s="373">
        <f t="shared" si="17"/>
        <v>1530.099999999989</v>
      </c>
    </row>
    <row r="265" spans="4:6" x14ac:dyDescent="0.25">
      <c r="D265" s="105">
        <f t="shared" si="18"/>
        <v>1530.1499999999889</v>
      </c>
      <c r="E265" s="373">
        <f t="shared" si="16"/>
        <v>1589.8258499999886</v>
      </c>
      <c r="F265" s="373">
        <f t="shared" si="17"/>
        <v>1530.1499999999889</v>
      </c>
    </row>
    <row r="266" spans="4:6" x14ac:dyDescent="0.25">
      <c r="D266" s="105">
        <f t="shared" si="18"/>
        <v>1530.1999999999889</v>
      </c>
      <c r="E266" s="373">
        <f t="shared" si="16"/>
        <v>1589.8777999999884</v>
      </c>
      <c r="F266" s="373">
        <f t="shared" si="17"/>
        <v>1530.1999999999889</v>
      </c>
    </row>
    <row r="267" spans="4:6" x14ac:dyDescent="0.25">
      <c r="D267" s="105">
        <f t="shared" si="18"/>
        <v>1530.2499999999889</v>
      </c>
      <c r="E267" s="373">
        <f t="shared" si="16"/>
        <v>1589.9297499999884</v>
      </c>
      <c r="F267" s="373">
        <f t="shared" si="17"/>
        <v>1530.2499999999889</v>
      </c>
    </row>
    <row r="268" spans="4:6" x14ac:dyDescent="0.25">
      <c r="D268" s="105">
        <f t="shared" si="18"/>
        <v>1530.2999999999888</v>
      </c>
      <c r="E268" s="373">
        <f t="shared" si="16"/>
        <v>1589.9816999999885</v>
      </c>
      <c r="F268" s="373">
        <f t="shared" si="17"/>
        <v>1530.2999999999888</v>
      </c>
    </row>
    <row r="269" spans="4:6" x14ac:dyDescent="0.25">
      <c r="D269" s="105">
        <f t="shared" si="18"/>
        <v>1530.3499999999888</v>
      </c>
      <c r="E269" s="373">
        <f t="shared" si="16"/>
        <v>1590.0336499999883</v>
      </c>
      <c r="F269" s="373">
        <f t="shared" si="17"/>
        <v>1530.3499999999888</v>
      </c>
    </row>
    <row r="270" spans="4:6" x14ac:dyDescent="0.25">
      <c r="D270" s="105">
        <f t="shared" si="18"/>
        <v>1530.3999999999887</v>
      </c>
      <c r="E270" s="373">
        <f t="shared" si="16"/>
        <v>1590.0855999999883</v>
      </c>
      <c r="F270" s="373">
        <f t="shared" si="17"/>
        <v>1530.3999999999887</v>
      </c>
    </row>
    <row r="271" spans="4:6" x14ac:dyDescent="0.25">
      <c r="D271" s="105">
        <f t="shared" si="18"/>
        <v>1530.4499999999887</v>
      </c>
      <c r="E271" s="373">
        <f t="shared" si="16"/>
        <v>1590.1375499999883</v>
      </c>
      <c r="F271" s="373">
        <f t="shared" si="17"/>
        <v>1530.4499999999887</v>
      </c>
    </row>
    <row r="272" spans="4:6" x14ac:dyDescent="0.25">
      <c r="D272" s="105">
        <f t="shared" si="18"/>
        <v>1530.4999999999886</v>
      </c>
      <c r="E272" s="373">
        <f t="shared" si="16"/>
        <v>1590.1894999999881</v>
      </c>
      <c r="F272" s="373">
        <f t="shared" si="17"/>
        <v>1530.4999999999886</v>
      </c>
    </row>
    <row r="273" spans="4:6" x14ac:dyDescent="0.25">
      <c r="D273" s="105">
        <f t="shared" si="18"/>
        <v>1530.5499999999886</v>
      </c>
      <c r="E273" s="373">
        <f t="shared" si="16"/>
        <v>1590.2414499999882</v>
      </c>
      <c r="F273" s="373">
        <f t="shared" si="17"/>
        <v>1530.5499999999886</v>
      </c>
    </row>
    <row r="274" spans="4:6" x14ac:dyDescent="0.25">
      <c r="D274" s="105">
        <f t="shared" si="18"/>
        <v>1530.5999999999885</v>
      </c>
      <c r="E274" s="373">
        <f t="shared" si="16"/>
        <v>1590.2933999999882</v>
      </c>
      <c r="F274" s="373">
        <f t="shared" si="17"/>
        <v>1530.5999999999885</v>
      </c>
    </row>
    <row r="275" spans="4:6" x14ac:dyDescent="0.25">
      <c r="D275" s="105">
        <f t="shared" si="18"/>
        <v>1530.6499999999885</v>
      </c>
      <c r="E275" s="373">
        <f t="shared" si="16"/>
        <v>1590.345349999988</v>
      </c>
      <c r="F275" s="373">
        <f t="shared" si="17"/>
        <v>1530.6499999999885</v>
      </c>
    </row>
    <row r="276" spans="4:6" x14ac:dyDescent="0.25">
      <c r="D276" s="105">
        <f t="shared" si="18"/>
        <v>1530.6999999999884</v>
      </c>
      <c r="E276" s="373">
        <f t="shared" si="16"/>
        <v>1590.397299999988</v>
      </c>
      <c r="F276" s="373">
        <f t="shared" si="17"/>
        <v>1530.6999999999884</v>
      </c>
    </row>
    <row r="277" spans="4:6" x14ac:dyDescent="0.25">
      <c r="D277" s="105">
        <f t="shared" si="18"/>
        <v>1530.7499999999884</v>
      </c>
      <c r="E277" s="373">
        <f t="shared" si="16"/>
        <v>1590.4492499999878</v>
      </c>
      <c r="F277" s="373">
        <f t="shared" si="17"/>
        <v>1530.7499999999884</v>
      </c>
    </row>
    <row r="278" spans="4:6" x14ac:dyDescent="0.25">
      <c r="D278" s="105">
        <f t="shared" si="18"/>
        <v>1530.7999999999884</v>
      </c>
      <c r="E278" s="373">
        <f t="shared" si="16"/>
        <v>1590.5011999999879</v>
      </c>
      <c r="F278" s="373">
        <f t="shared" si="17"/>
        <v>1530.7999999999884</v>
      </c>
    </row>
    <row r="279" spans="4:6" x14ac:dyDescent="0.25">
      <c r="D279" s="105">
        <f t="shared" si="18"/>
        <v>1530.8499999999883</v>
      </c>
      <c r="E279" s="373">
        <f t="shared" ref="E279:E342" si="19">D279*$C$2 + D279</f>
        <v>1590.5531499999879</v>
      </c>
      <c r="F279" s="373">
        <f t="shared" ref="F279:F342" si="20">D279</f>
        <v>1530.8499999999883</v>
      </c>
    </row>
    <row r="280" spans="4:6" x14ac:dyDescent="0.25">
      <c r="D280" s="105">
        <f t="shared" ref="D280:D343" si="21">D279+0.05</f>
        <v>1530.8999999999883</v>
      </c>
      <c r="E280" s="373">
        <f t="shared" si="19"/>
        <v>1590.6050999999877</v>
      </c>
      <c r="F280" s="373">
        <f t="shared" si="20"/>
        <v>1530.8999999999883</v>
      </c>
    </row>
    <row r="281" spans="4:6" x14ac:dyDescent="0.25">
      <c r="D281" s="105">
        <f t="shared" si="21"/>
        <v>1530.9499999999882</v>
      </c>
      <c r="E281" s="373">
        <f t="shared" si="19"/>
        <v>1590.6570499999877</v>
      </c>
      <c r="F281" s="373">
        <f t="shared" si="20"/>
        <v>1530.9499999999882</v>
      </c>
    </row>
    <row r="282" spans="4:6" x14ac:dyDescent="0.25">
      <c r="D282" s="105">
        <f t="shared" si="21"/>
        <v>1530.9999999999882</v>
      </c>
      <c r="E282" s="373">
        <f t="shared" si="19"/>
        <v>1590.7089999999878</v>
      </c>
      <c r="F282" s="373">
        <f t="shared" si="20"/>
        <v>1530.9999999999882</v>
      </c>
    </row>
    <row r="283" spans="4:6" x14ac:dyDescent="0.25">
      <c r="D283" s="105">
        <f t="shared" si="21"/>
        <v>1531.0499999999881</v>
      </c>
      <c r="E283" s="373">
        <f t="shared" si="19"/>
        <v>1590.7609499999876</v>
      </c>
      <c r="F283" s="373">
        <f t="shared" si="20"/>
        <v>1531.0499999999881</v>
      </c>
    </row>
    <row r="284" spans="4:6" x14ac:dyDescent="0.25">
      <c r="D284" s="105">
        <f t="shared" si="21"/>
        <v>1531.0999999999881</v>
      </c>
      <c r="E284" s="373">
        <f t="shared" si="19"/>
        <v>1590.8128999999876</v>
      </c>
      <c r="F284" s="373">
        <f t="shared" si="20"/>
        <v>1531.0999999999881</v>
      </c>
    </row>
    <row r="285" spans="4:6" x14ac:dyDescent="0.25">
      <c r="D285" s="105">
        <f t="shared" si="21"/>
        <v>1531.149999999988</v>
      </c>
      <c r="E285" s="373">
        <f t="shared" si="19"/>
        <v>1590.8648499999877</v>
      </c>
      <c r="F285" s="373">
        <f t="shared" si="20"/>
        <v>1531.149999999988</v>
      </c>
    </row>
    <row r="286" spans="4:6" x14ac:dyDescent="0.25">
      <c r="D286" s="105">
        <f t="shared" si="21"/>
        <v>1531.199999999988</v>
      </c>
      <c r="E286" s="373">
        <f t="shared" si="19"/>
        <v>1590.9167999999875</v>
      </c>
      <c r="F286" s="373">
        <f t="shared" si="20"/>
        <v>1531.199999999988</v>
      </c>
    </row>
    <row r="287" spans="4:6" x14ac:dyDescent="0.25">
      <c r="D287" s="105">
        <f t="shared" si="21"/>
        <v>1531.2499999999879</v>
      </c>
      <c r="E287" s="373">
        <f t="shared" si="19"/>
        <v>1590.9687499999875</v>
      </c>
      <c r="F287" s="373">
        <f t="shared" si="20"/>
        <v>1531.2499999999879</v>
      </c>
    </row>
    <row r="288" spans="4:6" x14ac:dyDescent="0.25">
      <c r="D288" s="105">
        <f t="shared" si="21"/>
        <v>1531.2999999999879</v>
      </c>
      <c r="E288" s="373">
        <f t="shared" si="19"/>
        <v>1591.0206999999875</v>
      </c>
      <c r="F288" s="373">
        <f t="shared" si="20"/>
        <v>1531.2999999999879</v>
      </c>
    </row>
    <row r="289" spans="4:6" x14ac:dyDescent="0.25">
      <c r="D289" s="105">
        <f t="shared" si="21"/>
        <v>1531.3499999999879</v>
      </c>
      <c r="E289" s="373">
        <f t="shared" si="19"/>
        <v>1591.0726499999873</v>
      </c>
      <c r="F289" s="373">
        <f t="shared" si="20"/>
        <v>1531.3499999999879</v>
      </c>
    </row>
    <row r="290" spans="4:6" x14ac:dyDescent="0.25">
      <c r="D290" s="105">
        <f t="shared" si="21"/>
        <v>1531.3999999999878</v>
      </c>
      <c r="E290" s="373">
        <f t="shared" si="19"/>
        <v>1591.1245999999874</v>
      </c>
      <c r="F290" s="373">
        <f t="shared" si="20"/>
        <v>1531.3999999999878</v>
      </c>
    </row>
    <row r="291" spans="4:6" x14ac:dyDescent="0.25">
      <c r="D291" s="105">
        <f t="shared" si="21"/>
        <v>1531.4499999999878</v>
      </c>
      <c r="E291" s="373">
        <f t="shared" si="19"/>
        <v>1591.1765499999874</v>
      </c>
      <c r="F291" s="373">
        <f t="shared" si="20"/>
        <v>1531.4499999999878</v>
      </c>
    </row>
    <row r="292" spans="4:6" x14ac:dyDescent="0.25">
      <c r="D292" s="105">
        <f t="shared" si="21"/>
        <v>1531.4999999999877</v>
      </c>
      <c r="E292" s="373">
        <f t="shared" si="19"/>
        <v>1591.2284999999872</v>
      </c>
      <c r="F292" s="373">
        <f t="shared" si="20"/>
        <v>1531.4999999999877</v>
      </c>
    </row>
    <row r="293" spans="4:6" x14ac:dyDescent="0.25">
      <c r="D293" s="105">
        <f t="shared" si="21"/>
        <v>1531.5499999999877</v>
      </c>
      <c r="E293" s="373">
        <f t="shared" si="19"/>
        <v>1591.2804499999872</v>
      </c>
      <c r="F293" s="373">
        <f t="shared" si="20"/>
        <v>1531.5499999999877</v>
      </c>
    </row>
    <row r="294" spans="4:6" x14ac:dyDescent="0.25">
      <c r="D294" s="105">
        <f t="shared" si="21"/>
        <v>1531.5999999999876</v>
      </c>
      <c r="E294" s="373">
        <f t="shared" si="19"/>
        <v>1591.332399999987</v>
      </c>
      <c r="F294" s="373">
        <f t="shared" si="20"/>
        <v>1531.5999999999876</v>
      </c>
    </row>
    <row r="295" spans="4:6" x14ac:dyDescent="0.25">
      <c r="D295" s="105">
        <f t="shared" si="21"/>
        <v>1531.6499999999876</v>
      </c>
      <c r="E295" s="373">
        <f t="shared" si="19"/>
        <v>1591.3843499999871</v>
      </c>
      <c r="F295" s="373">
        <f t="shared" si="20"/>
        <v>1531.6499999999876</v>
      </c>
    </row>
    <row r="296" spans="4:6" x14ac:dyDescent="0.25">
      <c r="D296" s="105">
        <f t="shared" si="21"/>
        <v>1531.6999999999875</v>
      </c>
      <c r="E296" s="373">
        <f t="shared" si="19"/>
        <v>1591.4362999999871</v>
      </c>
      <c r="F296" s="373">
        <f t="shared" si="20"/>
        <v>1531.6999999999875</v>
      </c>
    </row>
    <row r="297" spans="4:6" x14ac:dyDescent="0.25">
      <c r="D297" s="105">
        <f t="shared" si="21"/>
        <v>1531.7499999999875</v>
      </c>
      <c r="E297" s="373">
        <f t="shared" si="19"/>
        <v>1591.4882499999869</v>
      </c>
      <c r="F297" s="373">
        <f t="shared" si="20"/>
        <v>1531.7499999999875</v>
      </c>
    </row>
    <row r="298" spans="4:6" x14ac:dyDescent="0.25">
      <c r="D298" s="105">
        <f t="shared" si="21"/>
        <v>1531.7999999999874</v>
      </c>
      <c r="E298" s="373">
        <f t="shared" si="19"/>
        <v>1591.540199999987</v>
      </c>
      <c r="F298" s="373">
        <f t="shared" si="20"/>
        <v>1531.7999999999874</v>
      </c>
    </row>
    <row r="299" spans="4:6" x14ac:dyDescent="0.25">
      <c r="D299" s="105">
        <f t="shared" si="21"/>
        <v>1531.8499999999874</v>
      </c>
      <c r="E299" s="373">
        <f t="shared" si="19"/>
        <v>1591.592149999987</v>
      </c>
      <c r="F299" s="373">
        <f t="shared" si="20"/>
        <v>1531.8499999999874</v>
      </c>
    </row>
    <row r="300" spans="4:6" x14ac:dyDescent="0.25">
      <c r="D300" s="105">
        <f t="shared" si="21"/>
        <v>1531.8999999999874</v>
      </c>
      <c r="E300" s="373">
        <f t="shared" si="19"/>
        <v>1591.6440999999868</v>
      </c>
      <c r="F300" s="373">
        <f t="shared" si="20"/>
        <v>1531.8999999999874</v>
      </c>
    </row>
    <row r="301" spans="4:6" x14ac:dyDescent="0.25">
      <c r="D301" s="105">
        <f t="shared" si="21"/>
        <v>1531.9499999999873</v>
      </c>
      <c r="E301" s="373">
        <f t="shared" si="19"/>
        <v>1591.6960499999868</v>
      </c>
      <c r="F301" s="373">
        <f t="shared" si="20"/>
        <v>1531.9499999999873</v>
      </c>
    </row>
    <row r="302" spans="4:6" x14ac:dyDescent="0.25">
      <c r="D302" s="105">
        <f t="shared" si="21"/>
        <v>1531.9999999999873</v>
      </c>
      <c r="E302" s="373">
        <f t="shared" si="19"/>
        <v>1591.7479999999869</v>
      </c>
      <c r="F302" s="373">
        <f t="shared" si="20"/>
        <v>1531.9999999999873</v>
      </c>
    </row>
    <row r="303" spans="4:6" x14ac:dyDescent="0.25">
      <c r="D303" s="105">
        <f t="shared" si="21"/>
        <v>1532.0499999999872</v>
      </c>
      <c r="E303" s="373">
        <f t="shared" si="19"/>
        <v>1591.7999499999867</v>
      </c>
      <c r="F303" s="373">
        <f t="shared" si="20"/>
        <v>1532.0499999999872</v>
      </c>
    </row>
    <row r="304" spans="4:6" x14ac:dyDescent="0.25">
      <c r="D304" s="105">
        <f t="shared" si="21"/>
        <v>1532.0999999999872</v>
      </c>
      <c r="E304" s="373">
        <f t="shared" si="19"/>
        <v>1591.8518999999867</v>
      </c>
      <c r="F304" s="373">
        <f t="shared" si="20"/>
        <v>1532.0999999999872</v>
      </c>
    </row>
    <row r="305" spans="4:6" x14ac:dyDescent="0.25">
      <c r="D305" s="105">
        <f t="shared" si="21"/>
        <v>1532.1499999999871</v>
      </c>
      <c r="E305" s="373">
        <f t="shared" si="19"/>
        <v>1591.9038499999867</v>
      </c>
      <c r="F305" s="373">
        <f t="shared" si="20"/>
        <v>1532.1499999999871</v>
      </c>
    </row>
    <row r="306" spans="4:6" x14ac:dyDescent="0.25">
      <c r="D306" s="105">
        <f t="shared" si="21"/>
        <v>1532.1999999999871</v>
      </c>
      <c r="E306" s="373">
        <f t="shared" si="19"/>
        <v>1591.9557999999865</v>
      </c>
      <c r="F306" s="373">
        <f t="shared" si="20"/>
        <v>1532.1999999999871</v>
      </c>
    </row>
    <row r="307" spans="4:6" x14ac:dyDescent="0.25">
      <c r="D307" s="105">
        <f t="shared" si="21"/>
        <v>1532.249999999987</v>
      </c>
      <c r="E307" s="373">
        <f t="shared" si="19"/>
        <v>1592.0077499999866</v>
      </c>
      <c r="F307" s="373">
        <f t="shared" si="20"/>
        <v>1532.249999999987</v>
      </c>
    </row>
    <row r="308" spans="4:6" x14ac:dyDescent="0.25">
      <c r="D308" s="105">
        <f t="shared" si="21"/>
        <v>1532.299999999987</v>
      </c>
      <c r="E308" s="373">
        <f t="shared" si="19"/>
        <v>1592.0596999999864</v>
      </c>
      <c r="F308" s="373">
        <f t="shared" si="20"/>
        <v>1532.299999999987</v>
      </c>
    </row>
    <row r="309" spans="4:6" x14ac:dyDescent="0.25">
      <c r="D309" s="105">
        <f t="shared" si="21"/>
        <v>1532.3499999999869</v>
      </c>
      <c r="E309" s="373">
        <f t="shared" si="19"/>
        <v>1592.1116499999864</v>
      </c>
      <c r="F309" s="373">
        <f t="shared" si="20"/>
        <v>1532.3499999999869</v>
      </c>
    </row>
    <row r="310" spans="4:6" x14ac:dyDescent="0.25">
      <c r="D310" s="105">
        <f t="shared" si="21"/>
        <v>1532.3999999999869</v>
      </c>
      <c r="E310" s="373">
        <f t="shared" si="19"/>
        <v>1592.1635999999864</v>
      </c>
      <c r="F310" s="373">
        <f t="shared" si="20"/>
        <v>1532.3999999999869</v>
      </c>
    </row>
    <row r="311" spans="4:6" x14ac:dyDescent="0.25">
      <c r="D311" s="105">
        <f t="shared" si="21"/>
        <v>1532.4499999999869</v>
      </c>
      <c r="E311" s="373">
        <f t="shared" si="19"/>
        <v>1592.2155499999863</v>
      </c>
      <c r="F311" s="373">
        <f t="shared" si="20"/>
        <v>1532.4499999999869</v>
      </c>
    </row>
    <row r="312" spans="4:6" x14ac:dyDescent="0.25">
      <c r="D312" s="105">
        <f t="shared" si="21"/>
        <v>1532.4999999999868</v>
      </c>
      <c r="E312" s="373">
        <f t="shared" si="19"/>
        <v>1592.2674999999863</v>
      </c>
      <c r="F312" s="373">
        <f t="shared" si="20"/>
        <v>1532.4999999999868</v>
      </c>
    </row>
    <row r="313" spans="4:6" x14ac:dyDescent="0.25">
      <c r="D313" s="105">
        <f t="shared" si="21"/>
        <v>1532.5499999999868</v>
      </c>
      <c r="E313" s="373">
        <f t="shared" si="19"/>
        <v>1592.3194499999863</v>
      </c>
      <c r="F313" s="373">
        <f t="shared" si="20"/>
        <v>1532.5499999999868</v>
      </c>
    </row>
    <row r="314" spans="4:6" x14ac:dyDescent="0.25">
      <c r="D314" s="105">
        <f t="shared" si="21"/>
        <v>1532.5999999999867</v>
      </c>
      <c r="E314" s="373">
        <f t="shared" si="19"/>
        <v>1592.3713999999861</v>
      </c>
      <c r="F314" s="373">
        <f t="shared" si="20"/>
        <v>1532.5999999999867</v>
      </c>
    </row>
    <row r="315" spans="4:6" x14ac:dyDescent="0.25">
      <c r="D315" s="105">
        <f t="shared" si="21"/>
        <v>1532.6499999999867</v>
      </c>
      <c r="E315" s="373">
        <f t="shared" si="19"/>
        <v>1592.4233499999862</v>
      </c>
      <c r="F315" s="373">
        <f t="shared" si="20"/>
        <v>1532.6499999999867</v>
      </c>
    </row>
    <row r="316" spans="4:6" x14ac:dyDescent="0.25">
      <c r="D316" s="105">
        <f t="shared" si="21"/>
        <v>1532.6999999999866</v>
      </c>
      <c r="E316" s="373">
        <f t="shared" si="19"/>
        <v>1592.4752999999862</v>
      </c>
      <c r="F316" s="373">
        <f t="shared" si="20"/>
        <v>1532.6999999999866</v>
      </c>
    </row>
    <row r="317" spans="4:6" x14ac:dyDescent="0.25">
      <c r="D317" s="105">
        <f t="shared" si="21"/>
        <v>1532.7499999999866</v>
      </c>
      <c r="E317" s="373">
        <f t="shared" si="19"/>
        <v>1592.527249999986</v>
      </c>
      <c r="F317" s="373">
        <f t="shared" si="20"/>
        <v>1532.7499999999866</v>
      </c>
    </row>
    <row r="318" spans="4:6" x14ac:dyDescent="0.25">
      <c r="D318" s="105">
        <f t="shared" si="21"/>
        <v>1532.7999999999865</v>
      </c>
      <c r="E318" s="373">
        <f t="shared" si="19"/>
        <v>1592.579199999986</v>
      </c>
      <c r="F318" s="373">
        <f t="shared" si="20"/>
        <v>1532.7999999999865</v>
      </c>
    </row>
    <row r="319" spans="4:6" x14ac:dyDescent="0.25">
      <c r="D319" s="105">
        <f t="shared" si="21"/>
        <v>1532.8499999999865</v>
      </c>
      <c r="E319" s="373">
        <f t="shared" si="19"/>
        <v>1592.6311499999861</v>
      </c>
      <c r="F319" s="373">
        <f t="shared" si="20"/>
        <v>1532.8499999999865</v>
      </c>
    </row>
    <row r="320" spans="4:6" x14ac:dyDescent="0.25">
      <c r="D320" s="105">
        <f t="shared" si="21"/>
        <v>1532.8999999999864</v>
      </c>
      <c r="E320" s="373">
        <f t="shared" si="19"/>
        <v>1592.6830999999859</v>
      </c>
      <c r="F320" s="373">
        <f t="shared" si="20"/>
        <v>1532.8999999999864</v>
      </c>
    </row>
    <row r="321" spans="4:6" x14ac:dyDescent="0.25">
      <c r="D321" s="105">
        <f t="shared" si="21"/>
        <v>1532.9499999999864</v>
      </c>
      <c r="E321" s="373">
        <f t="shared" si="19"/>
        <v>1592.7350499999859</v>
      </c>
      <c r="F321" s="373">
        <f t="shared" si="20"/>
        <v>1532.9499999999864</v>
      </c>
    </row>
    <row r="322" spans="4:6" x14ac:dyDescent="0.25">
      <c r="D322" s="105">
        <f t="shared" si="21"/>
        <v>1532.9999999999864</v>
      </c>
      <c r="E322" s="373">
        <f t="shared" si="19"/>
        <v>1592.7869999999857</v>
      </c>
      <c r="F322" s="373">
        <f t="shared" si="20"/>
        <v>1532.9999999999864</v>
      </c>
    </row>
    <row r="323" spans="4:6" x14ac:dyDescent="0.25">
      <c r="D323" s="105">
        <f t="shared" si="21"/>
        <v>1533.0499999999863</v>
      </c>
      <c r="E323" s="373">
        <f t="shared" si="19"/>
        <v>1592.8389499999857</v>
      </c>
      <c r="F323" s="373">
        <f t="shared" si="20"/>
        <v>1533.0499999999863</v>
      </c>
    </row>
    <row r="324" spans="4:6" x14ac:dyDescent="0.25">
      <c r="D324" s="105">
        <f t="shared" si="21"/>
        <v>1533.0999999999863</v>
      </c>
      <c r="E324" s="373">
        <f t="shared" si="19"/>
        <v>1592.8908999999858</v>
      </c>
      <c r="F324" s="373">
        <f t="shared" si="20"/>
        <v>1533.0999999999863</v>
      </c>
    </row>
    <row r="325" spans="4:6" x14ac:dyDescent="0.25">
      <c r="D325" s="105">
        <f t="shared" si="21"/>
        <v>1533.1499999999862</v>
      </c>
      <c r="E325" s="373">
        <f t="shared" si="19"/>
        <v>1592.9428499999856</v>
      </c>
      <c r="F325" s="373">
        <f t="shared" si="20"/>
        <v>1533.1499999999862</v>
      </c>
    </row>
    <row r="326" spans="4:6" x14ac:dyDescent="0.25">
      <c r="D326" s="105">
        <f t="shared" si="21"/>
        <v>1533.1999999999862</v>
      </c>
      <c r="E326" s="373">
        <f t="shared" si="19"/>
        <v>1592.9947999999856</v>
      </c>
      <c r="F326" s="373">
        <f t="shared" si="20"/>
        <v>1533.1999999999862</v>
      </c>
    </row>
    <row r="327" spans="4:6" x14ac:dyDescent="0.25">
      <c r="D327" s="105">
        <f t="shared" si="21"/>
        <v>1533.2499999999861</v>
      </c>
      <c r="E327" s="373">
        <f t="shared" si="19"/>
        <v>1593.0467499999856</v>
      </c>
      <c r="F327" s="373">
        <f t="shared" si="20"/>
        <v>1533.2499999999861</v>
      </c>
    </row>
    <row r="328" spans="4:6" x14ac:dyDescent="0.25">
      <c r="D328" s="105">
        <f t="shared" si="21"/>
        <v>1533.2999999999861</v>
      </c>
      <c r="E328" s="373">
        <f t="shared" si="19"/>
        <v>1593.0986999999855</v>
      </c>
      <c r="F328" s="373">
        <f t="shared" si="20"/>
        <v>1533.2999999999861</v>
      </c>
    </row>
    <row r="329" spans="4:6" x14ac:dyDescent="0.25">
      <c r="D329" s="105">
        <f t="shared" si="21"/>
        <v>1533.349999999986</v>
      </c>
      <c r="E329" s="373">
        <f t="shared" si="19"/>
        <v>1593.1506499999855</v>
      </c>
      <c r="F329" s="373">
        <f t="shared" si="20"/>
        <v>1533.349999999986</v>
      </c>
    </row>
    <row r="330" spans="4:6" x14ac:dyDescent="0.25">
      <c r="D330" s="105">
        <f t="shared" si="21"/>
        <v>1533.399999999986</v>
      </c>
      <c r="E330" s="373">
        <f t="shared" si="19"/>
        <v>1593.2025999999855</v>
      </c>
      <c r="F330" s="373">
        <f t="shared" si="20"/>
        <v>1533.399999999986</v>
      </c>
    </row>
    <row r="331" spans="4:6" x14ac:dyDescent="0.25">
      <c r="D331" s="105">
        <f t="shared" si="21"/>
        <v>1533.4499999999859</v>
      </c>
      <c r="E331" s="373">
        <f t="shared" si="19"/>
        <v>1593.2545499999853</v>
      </c>
      <c r="F331" s="373">
        <f t="shared" si="20"/>
        <v>1533.4499999999859</v>
      </c>
    </row>
    <row r="332" spans="4:6" x14ac:dyDescent="0.25">
      <c r="D332" s="105">
        <f t="shared" si="21"/>
        <v>1533.4999999999859</v>
      </c>
      <c r="E332" s="373">
        <f t="shared" si="19"/>
        <v>1593.3064999999854</v>
      </c>
      <c r="F332" s="373">
        <f t="shared" si="20"/>
        <v>1533.4999999999859</v>
      </c>
    </row>
    <row r="333" spans="4:6" x14ac:dyDescent="0.25">
      <c r="D333" s="105">
        <f t="shared" si="21"/>
        <v>1533.5499999999859</v>
      </c>
      <c r="E333" s="373">
        <f t="shared" si="19"/>
        <v>1593.3584499999854</v>
      </c>
      <c r="F333" s="373">
        <f t="shared" si="20"/>
        <v>1533.5499999999859</v>
      </c>
    </row>
    <row r="334" spans="4:6" x14ac:dyDescent="0.25">
      <c r="D334" s="105">
        <f t="shared" si="21"/>
        <v>1533.5999999999858</v>
      </c>
      <c r="E334" s="373">
        <f t="shared" si="19"/>
        <v>1593.4103999999852</v>
      </c>
      <c r="F334" s="373">
        <f t="shared" si="20"/>
        <v>1533.5999999999858</v>
      </c>
    </row>
    <row r="335" spans="4:6" x14ac:dyDescent="0.25">
      <c r="D335" s="105">
        <f t="shared" si="21"/>
        <v>1533.6499999999858</v>
      </c>
      <c r="E335" s="373">
        <f t="shared" si="19"/>
        <v>1593.4623499999852</v>
      </c>
      <c r="F335" s="373">
        <f t="shared" si="20"/>
        <v>1533.6499999999858</v>
      </c>
    </row>
    <row r="336" spans="4:6" x14ac:dyDescent="0.25">
      <c r="D336" s="105">
        <f t="shared" si="21"/>
        <v>1533.6999999999857</v>
      </c>
      <c r="E336" s="373">
        <f t="shared" si="19"/>
        <v>1593.5142999999853</v>
      </c>
      <c r="F336" s="373">
        <f t="shared" si="20"/>
        <v>1533.6999999999857</v>
      </c>
    </row>
    <row r="337" spans="4:6" x14ac:dyDescent="0.25">
      <c r="D337" s="105">
        <f t="shared" si="21"/>
        <v>1533.7499999999857</v>
      </c>
      <c r="E337" s="373">
        <f t="shared" si="19"/>
        <v>1593.5662499999851</v>
      </c>
      <c r="F337" s="373">
        <f t="shared" si="20"/>
        <v>1533.7499999999857</v>
      </c>
    </row>
    <row r="338" spans="4:6" x14ac:dyDescent="0.25">
      <c r="D338" s="105">
        <f t="shared" si="21"/>
        <v>1533.7999999999856</v>
      </c>
      <c r="E338" s="373">
        <f t="shared" si="19"/>
        <v>1593.6181999999851</v>
      </c>
      <c r="F338" s="373">
        <f t="shared" si="20"/>
        <v>1533.7999999999856</v>
      </c>
    </row>
    <row r="339" spans="4:6" x14ac:dyDescent="0.25">
      <c r="D339" s="105">
        <f t="shared" si="21"/>
        <v>1533.8499999999856</v>
      </c>
      <c r="E339" s="373">
        <f t="shared" si="19"/>
        <v>1593.6701499999849</v>
      </c>
      <c r="F339" s="373">
        <f t="shared" si="20"/>
        <v>1533.8499999999856</v>
      </c>
    </row>
    <row r="340" spans="4:6" x14ac:dyDescent="0.25">
      <c r="D340" s="105">
        <f t="shared" si="21"/>
        <v>1533.8999999999855</v>
      </c>
      <c r="E340" s="373">
        <f t="shared" si="19"/>
        <v>1593.7220999999849</v>
      </c>
      <c r="F340" s="373">
        <f t="shared" si="20"/>
        <v>1533.8999999999855</v>
      </c>
    </row>
    <row r="341" spans="4:6" x14ac:dyDescent="0.25">
      <c r="D341" s="105">
        <f t="shared" si="21"/>
        <v>1533.9499999999855</v>
      </c>
      <c r="E341" s="373">
        <f t="shared" si="19"/>
        <v>1593.774049999985</v>
      </c>
      <c r="F341" s="373">
        <f t="shared" si="20"/>
        <v>1533.9499999999855</v>
      </c>
    </row>
    <row r="342" spans="4:6" x14ac:dyDescent="0.25">
      <c r="D342" s="105">
        <f t="shared" si="21"/>
        <v>1533.9999999999854</v>
      </c>
      <c r="E342" s="373">
        <f t="shared" si="19"/>
        <v>1593.8259999999848</v>
      </c>
      <c r="F342" s="373">
        <f t="shared" si="20"/>
        <v>1533.9999999999854</v>
      </c>
    </row>
    <row r="343" spans="4:6" x14ac:dyDescent="0.25">
      <c r="D343" s="105">
        <f t="shared" si="21"/>
        <v>1534.0499999999854</v>
      </c>
      <c r="E343" s="373">
        <f t="shared" ref="E343:E406" si="22">D343*$C$2 + D343</f>
        <v>1593.8779499999848</v>
      </c>
      <c r="F343" s="373">
        <f t="shared" ref="F343:F406" si="23">D343</f>
        <v>1534.0499999999854</v>
      </c>
    </row>
    <row r="344" spans="4:6" x14ac:dyDescent="0.25">
      <c r="D344" s="105">
        <f t="shared" ref="D344:D407" si="24">D343+0.05</f>
        <v>1534.0999999999854</v>
      </c>
      <c r="E344" s="373">
        <f t="shared" si="22"/>
        <v>1593.9298999999849</v>
      </c>
      <c r="F344" s="373">
        <f t="shared" si="23"/>
        <v>1534.0999999999854</v>
      </c>
    </row>
    <row r="345" spans="4:6" x14ac:dyDescent="0.25">
      <c r="D345" s="105">
        <f t="shared" si="24"/>
        <v>1534.1499999999853</v>
      </c>
      <c r="E345" s="373">
        <f t="shared" si="22"/>
        <v>1593.9818499999847</v>
      </c>
      <c r="F345" s="373">
        <f t="shared" si="23"/>
        <v>1534.1499999999853</v>
      </c>
    </row>
    <row r="346" spans="4:6" x14ac:dyDescent="0.25">
      <c r="D346" s="105">
        <f t="shared" si="24"/>
        <v>1534.1999999999853</v>
      </c>
      <c r="E346" s="373">
        <f t="shared" si="22"/>
        <v>1594.0337999999847</v>
      </c>
      <c r="F346" s="373">
        <f t="shared" si="23"/>
        <v>1534.1999999999853</v>
      </c>
    </row>
    <row r="347" spans="4:6" x14ac:dyDescent="0.25">
      <c r="D347" s="105">
        <f t="shared" si="24"/>
        <v>1534.2499999999852</v>
      </c>
      <c r="E347" s="373">
        <f t="shared" si="22"/>
        <v>1594.0857499999847</v>
      </c>
      <c r="F347" s="373">
        <f t="shared" si="23"/>
        <v>1534.2499999999852</v>
      </c>
    </row>
    <row r="348" spans="4:6" x14ac:dyDescent="0.25">
      <c r="D348" s="105">
        <f t="shared" si="24"/>
        <v>1534.2999999999852</v>
      </c>
      <c r="E348" s="373">
        <f t="shared" si="22"/>
        <v>1594.1376999999845</v>
      </c>
      <c r="F348" s="373">
        <f t="shared" si="23"/>
        <v>1534.2999999999852</v>
      </c>
    </row>
    <row r="349" spans="4:6" x14ac:dyDescent="0.25">
      <c r="D349" s="105">
        <f t="shared" si="24"/>
        <v>1534.3499999999851</v>
      </c>
      <c r="E349" s="373">
        <f t="shared" si="22"/>
        <v>1594.1896499999846</v>
      </c>
      <c r="F349" s="373">
        <f t="shared" si="23"/>
        <v>1534.3499999999851</v>
      </c>
    </row>
    <row r="350" spans="4:6" x14ac:dyDescent="0.25">
      <c r="D350" s="105">
        <f t="shared" si="24"/>
        <v>1534.3999999999851</v>
      </c>
      <c r="E350" s="373">
        <f t="shared" si="22"/>
        <v>1594.2415999999846</v>
      </c>
      <c r="F350" s="373">
        <f t="shared" si="23"/>
        <v>1534.3999999999851</v>
      </c>
    </row>
    <row r="351" spans="4:6" x14ac:dyDescent="0.25">
      <c r="D351" s="105">
        <f t="shared" si="24"/>
        <v>1534.449999999985</v>
      </c>
      <c r="E351" s="373">
        <f t="shared" si="22"/>
        <v>1594.2935499999844</v>
      </c>
      <c r="F351" s="373">
        <f t="shared" si="23"/>
        <v>1534.449999999985</v>
      </c>
    </row>
    <row r="352" spans="4:6" x14ac:dyDescent="0.25">
      <c r="D352" s="105">
        <f t="shared" si="24"/>
        <v>1534.499999999985</v>
      </c>
      <c r="E352" s="373">
        <f t="shared" si="22"/>
        <v>1594.3454999999844</v>
      </c>
      <c r="F352" s="373">
        <f t="shared" si="23"/>
        <v>1534.499999999985</v>
      </c>
    </row>
    <row r="353" spans="4:6" x14ac:dyDescent="0.25">
      <c r="D353" s="105">
        <f t="shared" si="24"/>
        <v>1534.5499999999849</v>
      </c>
      <c r="E353" s="373">
        <f t="shared" si="22"/>
        <v>1594.3974499999845</v>
      </c>
      <c r="F353" s="373">
        <f t="shared" si="23"/>
        <v>1534.5499999999849</v>
      </c>
    </row>
    <row r="354" spans="4:6" x14ac:dyDescent="0.25">
      <c r="D354" s="105">
        <f t="shared" si="24"/>
        <v>1534.5999999999849</v>
      </c>
      <c r="E354" s="373">
        <f t="shared" si="22"/>
        <v>1594.4493999999843</v>
      </c>
      <c r="F354" s="373">
        <f t="shared" si="23"/>
        <v>1534.5999999999849</v>
      </c>
    </row>
    <row r="355" spans="4:6" x14ac:dyDescent="0.25">
      <c r="D355" s="105">
        <f t="shared" si="24"/>
        <v>1534.6499999999849</v>
      </c>
      <c r="E355" s="373">
        <f t="shared" si="22"/>
        <v>1594.5013499999843</v>
      </c>
      <c r="F355" s="373">
        <f t="shared" si="23"/>
        <v>1534.6499999999849</v>
      </c>
    </row>
    <row r="356" spans="4:6" x14ac:dyDescent="0.25">
      <c r="D356" s="105">
        <f t="shared" si="24"/>
        <v>1534.6999999999848</v>
      </c>
      <c r="E356" s="373">
        <f t="shared" si="22"/>
        <v>1594.5532999999841</v>
      </c>
      <c r="F356" s="373">
        <f t="shared" si="23"/>
        <v>1534.6999999999848</v>
      </c>
    </row>
    <row r="357" spans="4:6" x14ac:dyDescent="0.25">
      <c r="D357" s="105">
        <f t="shared" si="24"/>
        <v>1534.7499999999848</v>
      </c>
      <c r="E357" s="373">
        <f t="shared" si="22"/>
        <v>1594.6052499999842</v>
      </c>
      <c r="F357" s="373">
        <f t="shared" si="23"/>
        <v>1534.7499999999848</v>
      </c>
    </row>
    <row r="358" spans="4:6" x14ac:dyDescent="0.25">
      <c r="D358" s="105">
        <f t="shared" si="24"/>
        <v>1534.7999999999847</v>
      </c>
      <c r="E358" s="373">
        <f t="shared" si="22"/>
        <v>1594.6571999999842</v>
      </c>
      <c r="F358" s="373">
        <f t="shared" si="23"/>
        <v>1534.7999999999847</v>
      </c>
    </row>
    <row r="359" spans="4:6" x14ac:dyDescent="0.25">
      <c r="D359" s="105">
        <f t="shared" si="24"/>
        <v>1534.8499999999847</v>
      </c>
      <c r="E359" s="373">
        <f t="shared" si="22"/>
        <v>1594.709149999984</v>
      </c>
      <c r="F359" s="373">
        <f t="shared" si="23"/>
        <v>1534.8499999999847</v>
      </c>
    </row>
    <row r="360" spans="4:6" x14ac:dyDescent="0.25">
      <c r="D360" s="105">
        <f t="shared" si="24"/>
        <v>1534.8999999999846</v>
      </c>
      <c r="E360" s="373">
        <f t="shared" si="22"/>
        <v>1594.761099999984</v>
      </c>
      <c r="F360" s="373">
        <f t="shared" si="23"/>
        <v>1534.8999999999846</v>
      </c>
    </row>
    <row r="361" spans="4:6" x14ac:dyDescent="0.25">
      <c r="D361" s="105">
        <f t="shared" si="24"/>
        <v>1534.9499999999846</v>
      </c>
      <c r="E361" s="373">
        <f t="shared" si="22"/>
        <v>1594.8130499999841</v>
      </c>
      <c r="F361" s="373">
        <f t="shared" si="23"/>
        <v>1534.9499999999846</v>
      </c>
    </row>
    <row r="362" spans="4:6" x14ac:dyDescent="0.25">
      <c r="D362" s="105">
        <f t="shared" si="24"/>
        <v>1534.9999999999845</v>
      </c>
      <c r="E362" s="373">
        <f t="shared" si="22"/>
        <v>1594.8649999999839</v>
      </c>
      <c r="F362" s="373">
        <f t="shared" si="23"/>
        <v>1534.9999999999845</v>
      </c>
    </row>
    <row r="363" spans="4:6" x14ac:dyDescent="0.25">
      <c r="D363" s="105">
        <f t="shared" si="24"/>
        <v>1535.0499999999845</v>
      </c>
      <c r="E363" s="373">
        <f t="shared" si="22"/>
        <v>1594.9169499999839</v>
      </c>
      <c r="F363" s="373">
        <f t="shared" si="23"/>
        <v>1535.0499999999845</v>
      </c>
    </row>
    <row r="364" spans="4:6" x14ac:dyDescent="0.25">
      <c r="D364" s="105">
        <f t="shared" si="24"/>
        <v>1535.0999999999844</v>
      </c>
      <c r="E364" s="373">
        <f t="shared" si="22"/>
        <v>1594.9688999999839</v>
      </c>
      <c r="F364" s="373">
        <f t="shared" si="23"/>
        <v>1535.0999999999844</v>
      </c>
    </row>
    <row r="365" spans="4:6" x14ac:dyDescent="0.25">
      <c r="D365" s="105">
        <f t="shared" si="24"/>
        <v>1535.1499999999844</v>
      </c>
      <c r="E365" s="373">
        <f t="shared" si="22"/>
        <v>1595.0208499999837</v>
      </c>
      <c r="F365" s="373">
        <f t="shared" si="23"/>
        <v>1535.1499999999844</v>
      </c>
    </row>
    <row r="366" spans="4:6" x14ac:dyDescent="0.25">
      <c r="D366" s="105">
        <f t="shared" si="24"/>
        <v>1535.1999999999844</v>
      </c>
      <c r="E366" s="373">
        <f t="shared" si="22"/>
        <v>1595.0727999999838</v>
      </c>
      <c r="F366" s="373">
        <f t="shared" si="23"/>
        <v>1535.1999999999844</v>
      </c>
    </row>
    <row r="367" spans="4:6" x14ac:dyDescent="0.25">
      <c r="D367" s="105">
        <f t="shared" si="24"/>
        <v>1535.2499999999843</v>
      </c>
      <c r="E367" s="373">
        <f t="shared" si="22"/>
        <v>1595.1247499999838</v>
      </c>
      <c r="F367" s="373">
        <f t="shared" si="23"/>
        <v>1535.2499999999843</v>
      </c>
    </row>
    <row r="368" spans="4:6" x14ac:dyDescent="0.25">
      <c r="D368" s="105">
        <f t="shared" si="24"/>
        <v>1535.2999999999843</v>
      </c>
      <c r="E368" s="373">
        <f t="shared" si="22"/>
        <v>1595.1766999999836</v>
      </c>
      <c r="F368" s="373">
        <f t="shared" si="23"/>
        <v>1535.2999999999843</v>
      </c>
    </row>
    <row r="369" spans="4:6" x14ac:dyDescent="0.25">
      <c r="D369" s="105">
        <f t="shared" si="24"/>
        <v>1535.3499999999842</v>
      </c>
      <c r="E369" s="373">
        <f t="shared" si="22"/>
        <v>1595.2286499999836</v>
      </c>
      <c r="F369" s="373">
        <f t="shared" si="23"/>
        <v>1535.3499999999842</v>
      </c>
    </row>
    <row r="370" spans="4:6" x14ac:dyDescent="0.25">
      <c r="D370" s="105">
        <f t="shared" si="24"/>
        <v>1535.3999999999842</v>
      </c>
      <c r="E370" s="373">
        <f t="shared" si="22"/>
        <v>1595.2805999999835</v>
      </c>
      <c r="F370" s="373">
        <f t="shared" si="23"/>
        <v>1535.3999999999842</v>
      </c>
    </row>
    <row r="371" spans="4:6" x14ac:dyDescent="0.25">
      <c r="D371" s="105">
        <f t="shared" si="24"/>
        <v>1535.4499999999841</v>
      </c>
      <c r="E371" s="373">
        <f t="shared" si="22"/>
        <v>1595.3325499999835</v>
      </c>
      <c r="F371" s="373">
        <f t="shared" si="23"/>
        <v>1535.4499999999841</v>
      </c>
    </row>
    <row r="372" spans="4:6" x14ac:dyDescent="0.25">
      <c r="D372" s="105">
        <f t="shared" si="24"/>
        <v>1535.4999999999841</v>
      </c>
      <c r="E372" s="373">
        <f t="shared" si="22"/>
        <v>1595.3844999999835</v>
      </c>
      <c r="F372" s="373">
        <f t="shared" si="23"/>
        <v>1535.4999999999841</v>
      </c>
    </row>
    <row r="373" spans="4:6" x14ac:dyDescent="0.25">
      <c r="D373" s="105">
        <f t="shared" si="24"/>
        <v>1535.549999999984</v>
      </c>
      <c r="E373" s="373">
        <f t="shared" si="22"/>
        <v>1595.4364499999833</v>
      </c>
      <c r="F373" s="373">
        <f t="shared" si="23"/>
        <v>1535.549999999984</v>
      </c>
    </row>
    <row r="374" spans="4:6" x14ac:dyDescent="0.25">
      <c r="D374" s="105">
        <f t="shared" si="24"/>
        <v>1535.599999999984</v>
      </c>
      <c r="E374" s="373">
        <f t="shared" si="22"/>
        <v>1595.4883999999834</v>
      </c>
      <c r="F374" s="373">
        <f t="shared" si="23"/>
        <v>1535.599999999984</v>
      </c>
    </row>
    <row r="375" spans="4:6" x14ac:dyDescent="0.25">
      <c r="D375" s="105">
        <f t="shared" si="24"/>
        <v>1535.6499999999839</v>
      </c>
      <c r="E375" s="373">
        <f t="shared" si="22"/>
        <v>1595.5403499999834</v>
      </c>
      <c r="F375" s="373">
        <f t="shared" si="23"/>
        <v>1535.6499999999839</v>
      </c>
    </row>
    <row r="376" spans="4:6" x14ac:dyDescent="0.25">
      <c r="D376" s="105">
        <f t="shared" si="24"/>
        <v>1535.6999999999839</v>
      </c>
      <c r="E376" s="373">
        <f t="shared" si="22"/>
        <v>1595.5922999999832</v>
      </c>
      <c r="F376" s="373">
        <f t="shared" si="23"/>
        <v>1535.6999999999839</v>
      </c>
    </row>
    <row r="377" spans="4:6" x14ac:dyDescent="0.25">
      <c r="D377" s="105">
        <f t="shared" si="24"/>
        <v>1535.7499999999839</v>
      </c>
      <c r="E377" s="373">
        <f t="shared" si="22"/>
        <v>1595.6442499999832</v>
      </c>
      <c r="F377" s="373">
        <f t="shared" si="23"/>
        <v>1535.7499999999839</v>
      </c>
    </row>
    <row r="378" spans="4:6" x14ac:dyDescent="0.25">
      <c r="D378" s="105">
        <f t="shared" si="24"/>
        <v>1535.7999999999838</v>
      </c>
      <c r="E378" s="373">
        <f t="shared" si="22"/>
        <v>1595.6961999999833</v>
      </c>
      <c r="F378" s="373">
        <f t="shared" si="23"/>
        <v>1535.7999999999838</v>
      </c>
    </row>
    <row r="379" spans="4:6" x14ac:dyDescent="0.25">
      <c r="D379" s="105">
        <f t="shared" si="24"/>
        <v>1535.8499999999838</v>
      </c>
      <c r="E379" s="373">
        <f t="shared" si="22"/>
        <v>1595.7481499999831</v>
      </c>
      <c r="F379" s="373">
        <f t="shared" si="23"/>
        <v>1535.8499999999838</v>
      </c>
    </row>
    <row r="380" spans="4:6" x14ac:dyDescent="0.25">
      <c r="D380" s="105">
        <f t="shared" si="24"/>
        <v>1535.8999999999837</v>
      </c>
      <c r="E380" s="373">
        <f t="shared" si="22"/>
        <v>1595.8000999999831</v>
      </c>
      <c r="F380" s="373">
        <f t="shared" si="23"/>
        <v>1535.8999999999837</v>
      </c>
    </row>
    <row r="381" spans="4:6" x14ac:dyDescent="0.25">
      <c r="D381" s="105">
        <f t="shared" si="24"/>
        <v>1535.9499999999837</v>
      </c>
      <c r="E381" s="373">
        <f t="shared" si="22"/>
        <v>1595.8520499999831</v>
      </c>
      <c r="F381" s="373">
        <f t="shared" si="23"/>
        <v>1535.9499999999837</v>
      </c>
    </row>
    <row r="382" spans="4:6" x14ac:dyDescent="0.25">
      <c r="D382" s="105">
        <f t="shared" si="24"/>
        <v>1535.9999999999836</v>
      </c>
      <c r="E382" s="373">
        <f t="shared" si="22"/>
        <v>1595.9039999999829</v>
      </c>
      <c r="F382" s="373">
        <f t="shared" si="23"/>
        <v>1535.9999999999836</v>
      </c>
    </row>
    <row r="383" spans="4:6" x14ac:dyDescent="0.25">
      <c r="D383" s="105">
        <f t="shared" si="24"/>
        <v>1536.0499999999836</v>
      </c>
      <c r="E383" s="373">
        <f t="shared" si="22"/>
        <v>1595.955949999983</v>
      </c>
      <c r="F383" s="373">
        <f t="shared" si="23"/>
        <v>1536.0499999999836</v>
      </c>
    </row>
    <row r="384" spans="4:6" x14ac:dyDescent="0.25">
      <c r="D384" s="105">
        <f t="shared" si="24"/>
        <v>1536.0999999999835</v>
      </c>
      <c r="E384" s="373">
        <f t="shared" si="22"/>
        <v>1596.0078999999828</v>
      </c>
      <c r="F384" s="373">
        <f t="shared" si="23"/>
        <v>1536.0999999999835</v>
      </c>
    </row>
    <row r="385" spans="4:6" x14ac:dyDescent="0.25">
      <c r="D385" s="105">
        <f t="shared" si="24"/>
        <v>1536.1499999999835</v>
      </c>
      <c r="E385" s="373">
        <f t="shared" si="22"/>
        <v>1596.0598499999828</v>
      </c>
      <c r="F385" s="373">
        <f t="shared" si="23"/>
        <v>1536.1499999999835</v>
      </c>
    </row>
    <row r="386" spans="4:6" x14ac:dyDescent="0.25">
      <c r="D386" s="105">
        <f t="shared" si="24"/>
        <v>1536.1999999999834</v>
      </c>
      <c r="E386" s="373">
        <f t="shared" si="22"/>
        <v>1596.1117999999828</v>
      </c>
      <c r="F386" s="373">
        <f t="shared" si="23"/>
        <v>1536.1999999999834</v>
      </c>
    </row>
    <row r="387" spans="4:6" x14ac:dyDescent="0.25">
      <c r="D387" s="105">
        <f t="shared" si="24"/>
        <v>1536.2499999999834</v>
      </c>
      <c r="E387" s="373">
        <f t="shared" si="22"/>
        <v>1596.1637499999827</v>
      </c>
      <c r="F387" s="373">
        <f t="shared" si="23"/>
        <v>1536.2499999999834</v>
      </c>
    </row>
    <row r="388" spans="4:6" x14ac:dyDescent="0.25">
      <c r="D388" s="105">
        <f t="shared" si="24"/>
        <v>1536.2999999999834</v>
      </c>
      <c r="E388" s="373">
        <f t="shared" si="22"/>
        <v>1596.2156999999827</v>
      </c>
      <c r="F388" s="373">
        <f t="shared" si="23"/>
        <v>1536.2999999999834</v>
      </c>
    </row>
    <row r="389" spans="4:6" x14ac:dyDescent="0.25">
      <c r="D389" s="105">
        <f t="shared" si="24"/>
        <v>1536.3499999999833</v>
      </c>
      <c r="E389" s="373">
        <f t="shared" si="22"/>
        <v>1596.2676499999827</v>
      </c>
      <c r="F389" s="373">
        <f t="shared" si="23"/>
        <v>1536.3499999999833</v>
      </c>
    </row>
    <row r="390" spans="4:6" x14ac:dyDescent="0.25">
      <c r="D390" s="105">
        <f t="shared" si="24"/>
        <v>1536.3999999999833</v>
      </c>
      <c r="E390" s="373">
        <f t="shared" si="22"/>
        <v>1596.3195999999825</v>
      </c>
      <c r="F390" s="373">
        <f t="shared" si="23"/>
        <v>1536.3999999999833</v>
      </c>
    </row>
    <row r="391" spans="4:6" x14ac:dyDescent="0.25">
      <c r="D391" s="105">
        <f t="shared" si="24"/>
        <v>1536.4499999999832</v>
      </c>
      <c r="E391" s="373">
        <f t="shared" si="22"/>
        <v>1596.3715499999826</v>
      </c>
      <c r="F391" s="373">
        <f t="shared" si="23"/>
        <v>1536.4499999999832</v>
      </c>
    </row>
    <row r="392" spans="4:6" x14ac:dyDescent="0.25">
      <c r="D392" s="105">
        <f t="shared" si="24"/>
        <v>1536.4999999999832</v>
      </c>
      <c r="E392" s="373">
        <f t="shared" si="22"/>
        <v>1596.4234999999826</v>
      </c>
      <c r="F392" s="373">
        <f t="shared" si="23"/>
        <v>1536.4999999999832</v>
      </c>
    </row>
    <row r="393" spans="4:6" x14ac:dyDescent="0.25">
      <c r="D393" s="105">
        <f t="shared" si="24"/>
        <v>1536.5499999999831</v>
      </c>
      <c r="E393" s="373">
        <f t="shared" si="22"/>
        <v>1596.4754499999824</v>
      </c>
      <c r="F393" s="373">
        <f t="shared" si="23"/>
        <v>1536.5499999999831</v>
      </c>
    </row>
    <row r="394" spans="4:6" x14ac:dyDescent="0.25">
      <c r="D394" s="105">
        <f t="shared" si="24"/>
        <v>1536.5999999999831</v>
      </c>
      <c r="E394" s="373">
        <f t="shared" si="22"/>
        <v>1596.5273999999824</v>
      </c>
      <c r="F394" s="373">
        <f t="shared" si="23"/>
        <v>1536.5999999999831</v>
      </c>
    </row>
    <row r="395" spans="4:6" x14ac:dyDescent="0.25">
      <c r="D395" s="105">
        <f t="shared" si="24"/>
        <v>1536.649999999983</v>
      </c>
      <c r="E395" s="373">
        <f t="shared" si="22"/>
        <v>1596.5793499999825</v>
      </c>
      <c r="F395" s="373">
        <f t="shared" si="23"/>
        <v>1536.649999999983</v>
      </c>
    </row>
    <row r="396" spans="4:6" x14ac:dyDescent="0.25">
      <c r="D396" s="105">
        <f t="shared" si="24"/>
        <v>1536.699999999983</v>
      </c>
      <c r="E396" s="373">
        <f t="shared" si="22"/>
        <v>1596.6312999999823</v>
      </c>
      <c r="F396" s="373">
        <f t="shared" si="23"/>
        <v>1536.699999999983</v>
      </c>
    </row>
    <row r="397" spans="4:6" x14ac:dyDescent="0.25">
      <c r="D397" s="105">
        <f t="shared" si="24"/>
        <v>1536.7499999999829</v>
      </c>
      <c r="E397" s="373">
        <f t="shared" si="22"/>
        <v>1596.6832499999823</v>
      </c>
      <c r="F397" s="373">
        <f t="shared" si="23"/>
        <v>1536.7499999999829</v>
      </c>
    </row>
    <row r="398" spans="4:6" x14ac:dyDescent="0.25">
      <c r="D398" s="105">
        <f t="shared" si="24"/>
        <v>1536.7999999999829</v>
      </c>
      <c r="E398" s="373">
        <f t="shared" si="22"/>
        <v>1596.7351999999823</v>
      </c>
      <c r="F398" s="373">
        <f t="shared" si="23"/>
        <v>1536.7999999999829</v>
      </c>
    </row>
    <row r="399" spans="4:6" x14ac:dyDescent="0.25">
      <c r="D399" s="105">
        <f t="shared" si="24"/>
        <v>1536.8499999999829</v>
      </c>
      <c r="E399" s="373">
        <f t="shared" si="22"/>
        <v>1596.7871499999821</v>
      </c>
      <c r="F399" s="373">
        <f t="shared" si="23"/>
        <v>1536.8499999999829</v>
      </c>
    </row>
    <row r="400" spans="4:6" x14ac:dyDescent="0.25">
      <c r="D400" s="105">
        <f t="shared" si="24"/>
        <v>1536.8999999999828</v>
      </c>
      <c r="E400" s="373">
        <f t="shared" si="22"/>
        <v>1596.8390999999822</v>
      </c>
      <c r="F400" s="373">
        <f t="shared" si="23"/>
        <v>1536.8999999999828</v>
      </c>
    </row>
    <row r="401" spans="4:6" x14ac:dyDescent="0.25">
      <c r="D401" s="105">
        <f t="shared" si="24"/>
        <v>1536.9499999999828</v>
      </c>
      <c r="E401" s="373">
        <f t="shared" si="22"/>
        <v>1596.891049999982</v>
      </c>
      <c r="F401" s="373">
        <f t="shared" si="23"/>
        <v>1536.9499999999828</v>
      </c>
    </row>
    <row r="402" spans="4:6" x14ac:dyDescent="0.25">
      <c r="D402" s="105">
        <f t="shared" si="24"/>
        <v>1536.9999999999827</v>
      </c>
      <c r="E402" s="373">
        <f t="shared" si="22"/>
        <v>1596.942999999982</v>
      </c>
      <c r="F402" s="373">
        <f t="shared" si="23"/>
        <v>1536.9999999999827</v>
      </c>
    </row>
    <row r="403" spans="4:6" x14ac:dyDescent="0.25">
      <c r="D403" s="105">
        <f t="shared" si="24"/>
        <v>1537.0499999999827</v>
      </c>
      <c r="E403" s="373">
        <f t="shared" si="22"/>
        <v>1596.9949499999821</v>
      </c>
      <c r="F403" s="373">
        <f t="shared" si="23"/>
        <v>1537.0499999999827</v>
      </c>
    </row>
    <row r="404" spans="4:6" x14ac:dyDescent="0.25">
      <c r="D404" s="105">
        <f t="shared" si="24"/>
        <v>1537.0999999999826</v>
      </c>
      <c r="E404" s="373">
        <f t="shared" si="22"/>
        <v>1597.0468999999819</v>
      </c>
      <c r="F404" s="373">
        <f t="shared" si="23"/>
        <v>1537.0999999999826</v>
      </c>
    </row>
    <row r="405" spans="4:6" x14ac:dyDescent="0.25">
      <c r="D405" s="105">
        <f t="shared" si="24"/>
        <v>1537.1499999999826</v>
      </c>
      <c r="E405" s="373">
        <f t="shared" si="22"/>
        <v>1597.0988499999819</v>
      </c>
      <c r="F405" s="373">
        <f t="shared" si="23"/>
        <v>1537.1499999999826</v>
      </c>
    </row>
    <row r="406" spans="4:6" x14ac:dyDescent="0.25">
      <c r="D406" s="105">
        <f t="shared" si="24"/>
        <v>1537.1999999999825</v>
      </c>
      <c r="E406" s="373">
        <f t="shared" si="22"/>
        <v>1597.1507999999819</v>
      </c>
      <c r="F406" s="373">
        <f t="shared" si="23"/>
        <v>1537.1999999999825</v>
      </c>
    </row>
    <row r="407" spans="4:6" x14ac:dyDescent="0.25">
      <c r="D407" s="105">
        <f t="shared" si="24"/>
        <v>1537.2499999999825</v>
      </c>
      <c r="E407" s="373">
        <f t="shared" ref="E407:E470" si="25">D407*$C$2 + D407</f>
        <v>1597.2027499999817</v>
      </c>
      <c r="F407" s="373">
        <f t="shared" ref="F407:F470" si="26">D407</f>
        <v>1537.2499999999825</v>
      </c>
    </row>
    <row r="408" spans="4:6" x14ac:dyDescent="0.25">
      <c r="D408" s="105">
        <f t="shared" ref="D408:D471" si="27">D407+0.05</f>
        <v>1537.2999999999824</v>
      </c>
      <c r="E408" s="373">
        <f t="shared" si="25"/>
        <v>1597.2546999999818</v>
      </c>
      <c r="F408" s="373">
        <f t="shared" si="26"/>
        <v>1537.2999999999824</v>
      </c>
    </row>
    <row r="409" spans="4:6" x14ac:dyDescent="0.25">
      <c r="D409" s="105">
        <f t="shared" si="27"/>
        <v>1537.3499999999824</v>
      </c>
      <c r="E409" s="373">
        <f t="shared" si="25"/>
        <v>1597.3066499999818</v>
      </c>
      <c r="F409" s="373">
        <f t="shared" si="26"/>
        <v>1537.3499999999824</v>
      </c>
    </row>
    <row r="410" spans="4:6" x14ac:dyDescent="0.25">
      <c r="D410" s="105">
        <f t="shared" si="27"/>
        <v>1537.3999999999824</v>
      </c>
      <c r="E410" s="373">
        <f t="shared" si="25"/>
        <v>1597.3585999999816</v>
      </c>
      <c r="F410" s="373">
        <f t="shared" si="26"/>
        <v>1537.3999999999824</v>
      </c>
    </row>
    <row r="411" spans="4:6" x14ac:dyDescent="0.25">
      <c r="D411" s="105">
        <f t="shared" si="27"/>
        <v>1537.4499999999823</v>
      </c>
      <c r="E411" s="373">
        <f t="shared" si="25"/>
        <v>1597.4105499999816</v>
      </c>
      <c r="F411" s="373">
        <f t="shared" si="26"/>
        <v>1537.4499999999823</v>
      </c>
    </row>
    <row r="412" spans="4:6" x14ac:dyDescent="0.25">
      <c r="D412" s="105">
        <f t="shared" si="27"/>
        <v>1537.4999999999823</v>
      </c>
      <c r="E412" s="373">
        <f t="shared" si="25"/>
        <v>1597.4624999999817</v>
      </c>
      <c r="F412" s="373">
        <f t="shared" si="26"/>
        <v>1537.4999999999823</v>
      </c>
    </row>
    <row r="413" spans="4:6" x14ac:dyDescent="0.25">
      <c r="D413" s="105">
        <f t="shared" si="27"/>
        <v>1537.5499999999822</v>
      </c>
      <c r="E413" s="373">
        <f t="shared" si="25"/>
        <v>1597.5144499999815</v>
      </c>
      <c r="F413" s="373">
        <f t="shared" si="26"/>
        <v>1537.5499999999822</v>
      </c>
    </row>
    <row r="414" spans="4:6" x14ac:dyDescent="0.25">
      <c r="D414" s="105">
        <f t="shared" si="27"/>
        <v>1537.5999999999822</v>
      </c>
      <c r="E414" s="373">
        <f t="shared" si="25"/>
        <v>1597.5663999999815</v>
      </c>
      <c r="F414" s="373">
        <f t="shared" si="26"/>
        <v>1537.5999999999822</v>
      </c>
    </row>
    <row r="415" spans="4:6" x14ac:dyDescent="0.25">
      <c r="D415" s="105">
        <f t="shared" si="27"/>
        <v>1537.6499999999821</v>
      </c>
      <c r="E415" s="373">
        <f t="shared" si="25"/>
        <v>1597.6183499999815</v>
      </c>
      <c r="F415" s="373">
        <f t="shared" si="26"/>
        <v>1537.6499999999821</v>
      </c>
    </row>
    <row r="416" spans="4:6" x14ac:dyDescent="0.25">
      <c r="D416" s="105">
        <f t="shared" si="27"/>
        <v>1537.6999999999821</v>
      </c>
      <c r="E416" s="373">
        <f t="shared" si="25"/>
        <v>1597.6702999999814</v>
      </c>
      <c r="F416" s="373">
        <f t="shared" si="26"/>
        <v>1537.6999999999821</v>
      </c>
    </row>
    <row r="417" spans="4:6" x14ac:dyDescent="0.25">
      <c r="D417" s="105">
        <f t="shared" si="27"/>
        <v>1537.749999999982</v>
      </c>
      <c r="E417" s="373">
        <f t="shared" si="25"/>
        <v>1597.7222499999814</v>
      </c>
      <c r="F417" s="373">
        <f t="shared" si="26"/>
        <v>1537.749999999982</v>
      </c>
    </row>
    <row r="418" spans="4:6" x14ac:dyDescent="0.25">
      <c r="D418" s="105">
        <f t="shared" si="27"/>
        <v>1537.799999999982</v>
      </c>
      <c r="E418" s="373">
        <f t="shared" si="25"/>
        <v>1597.7741999999812</v>
      </c>
      <c r="F418" s="373">
        <f t="shared" si="26"/>
        <v>1537.799999999982</v>
      </c>
    </row>
    <row r="419" spans="4:6" x14ac:dyDescent="0.25">
      <c r="D419" s="105">
        <f t="shared" si="27"/>
        <v>1537.8499999999819</v>
      </c>
      <c r="E419" s="373">
        <f t="shared" si="25"/>
        <v>1597.8261499999812</v>
      </c>
      <c r="F419" s="373">
        <f t="shared" si="26"/>
        <v>1537.8499999999819</v>
      </c>
    </row>
    <row r="420" spans="4:6" x14ac:dyDescent="0.25">
      <c r="D420" s="105">
        <f t="shared" si="27"/>
        <v>1537.8999999999819</v>
      </c>
      <c r="E420" s="373">
        <f t="shared" si="25"/>
        <v>1597.8780999999813</v>
      </c>
      <c r="F420" s="373">
        <f t="shared" si="26"/>
        <v>1537.8999999999819</v>
      </c>
    </row>
    <row r="421" spans="4:6" x14ac:dyDescent="0.25">
      <c r="D421" s="105">
        <f t="shared" si="27"/>
        <v>1537.9499999999819</v>
      </c>
      <c r="E421" s="373">
        <f t="shared" si="25"/>
        <v>1597.9300499999811</v>
      </c>
      <c r="F421" s="373">
        <f t="shared" si="26"/>
        <v>1537.9499999999819</v>
      </c>
    </row>
    <row r="422" spans="4:6" x14ac:dyDescent="0.25">
      <c r="D422" s="105">
        <f t="shared" si="27"/>
        <v>1537.9999999999818</v>
      </c>
      <c r="E422" s="373">
        <f t="shared" si="25"/>
        <v>1597.9819999999811</v>
      </c>
      <c r="F422" s="373">
        <f t="shared" si="26"/>
        <v>1537.9999999999818</v>
      </c>
    </row>
    <row r="423" spans="4:6" x14ac:dyDescent="0.25">
      <c r="D423" s="105">
        <f t="shared" si="27"/>
        <v>1538.0499999999818</v>
      </c>
      <c r="E423" s="373">
        <f t="shared" si="25"/>
        <v>1598.0339499999811</v>
      </c>
      <c r="F423" s="373">
        <f t="shared" si="26"/>
        <v>1538.0499999999818</v>
      </c>
    </row>
    <row r="424" spans="4:6" x14ac:dyDescent="0.25">
      <c r="D424" s="105">
        <f t="shared" si="27"/>
        <v>1538.0999999999817</v>
      </c>
      <c r="E424" s="373">
        <f t="shared" si="25"/>
        <v>1598.0858999999809</v>
      </c>
      <c r="F424" s="373">
        <f t="shared" si="26"/>
        <v>1538.0999999999817</v>
      </c>
    </row>
    <row r="425" spans="4:6" x14ac:dyDescent="0.25">
      <c r="D425" s="105">
        <f t="shared" si="27"/>
        <v>1538.1499999999817</v>
      </c>
      <c r="E425" s="373">
        <f t="shared" si="25"/>
        <v>1598.137849999981</v>
      </c>
      <c r="F425" s="373">
        <f t="shared" si="26"/>
        <v>1538.1499999999817</v>
      </c>
    </row>
    <row r="426" spans="4:6" x14ac:dyDescent="0.25">
      <c r="D426" s="105">
        <f t="shared" si="27"/>
        <v>1538.1999999999816</v>
      </c>
      <c r="E426" s="373">
        <f t="shared" si="25"/>
        <v>1598.189799999981</v>
      </c>
      <c r="F426" s="373">
        <f t="shared" si="26"/>
        <v>1538.1999999999816</v>
      </c>
    </row>
    <row r="427" spans="4:6" x14ac:dyDescent="0.25">
      <c r="D427" s="105">
        <f t="shared" si="27"/>
        <v>1538.2499999999816</v>
      </c>
      <c r="E427" s="373">
        <f t="shared" si="25"/>
        <v>1598.2417499999808</v>
      </c>
      <c r="F427" s="373">
        <f t="shared" si="26"/>
        <v>1538.2499999999816</v>
      </c>
    </row>
    <row r="428" spans="4:6" x14ac:dyDescent="0.25">
      <c r="D428" s="105">
        <f t="shared" si="27"/>
        <v>1538.2999999999815</v>
      </c>
      <c r="E428" s="373">
        <f t="shared" si="25"/>
        <v>1598.2936999999808</v>
      </c>
      <c r="F428" s="373">
        <f t="shared" si="26"/>
        <v>1538.2999999999815</v>
      </c>
    </row>
    <row r="429" spans="4:6" x14ac:dyDescent="0.25">
      <c r="D429" s="105">
        <f t="shared" si="27"/>
        <v>1538.3499999999815</v>
      </c>
      <c r="E429" s="373">
        <f t="shared" si="25"/>
        <v>1598.3456499999809</v>
      </c>
      <c r="F429" s="373">
        <f t="shared" si="26"/>
        <v>1538.3499999999815</v>
      </c>
    </row>
    <row r="430" spans="4:6" x14ac:dyDescent="0.25">
      <c r="D430" s="105">
        <f t="shared" si="27"/>
        <v>1538.3999999999814</v>
      </c>
      <c r="E430" s="373">
        <f t="shared" si="25"/>
        <v>1598.3975999999807</v>
      </c>
      <c r="F430" s="373">
        <f t="shared" si="26"/>
        <v>1538.3999999999814</v>
      </c>
    </row>
    <row r="431" spans="4:6" x14ac:dyDescent="0.25">
      <c r="D431" s="105">
        <f t="shared" si="27"/>
        <v>1538.4499999999814</v>
      </c>
      <c r="E431" s="373">
        <f t="shared" si="25"/>
        <v>1598.4495499999807</v>
      </c>
      <c r="F431" s="373">
        <f t="shared" si="26"/>
        <v>1538.4499999999814</v>
      </c>
    </row>
    <row r="432" spans="4:6" x14ac:dyDescent="0.25">
      <c r="D432" s="105">
        <f t="shared" si="27"/>
        <v>1538.4999999999814</v>
      </c>
      <c r="E432" s="373">
        <f t="shared" si="25"/>
        <v>1598.5014999999805</v>
      </c>
      <c r="F432" s="373">
        <f t="shared" si="26"/>
        <v>1538.4999999999814</v>
      </c>
    </row>
    <row r="433" spans="4:6" x14ac:dyDescent="0.25">
      <c r="D433" s="105">
        <f t="shared" si="27"/>
        <v>1538.5499999999813</v>
      </c>
      <c r="E433" s="373">
        <f t="shared" si="25"/>
        <v>1598.5534499999806</v>
      </c>
      <c r="F433" s="373">
        <f t="shared" si="26"/>
        <v>1538.5499999999813</v>
      </c>
    </row>
    <row r="434" spans="4:6" x14ac:dyDescent="0.25">
      <c r="D434" s="105">
        <f t="shared" si="27"/>
        <v>1538.5999999999813</v>
      </c>
      <c r="E434" s="373">
        <f t="shared" si="25"/>
        <v>1598.6053999999806</v>
      </c>
      <c r="F434" s="373">
        <f t="shared" si="26"/>
        <v>1538.5999999999813</v>
      </c>
    </row>
    <row r="435" spans="4:6" x14ac:dyDescent="0.25">
      <c r="D435" s="105">
        <f t="shared" si="27"/>
        <v>1538.6499999999812</v>
      </c>
      <c r="E435" s="373">
        <f t="shared" si="25"/>
        <v>1598.6573499999804</v>
      </c>
      <c r="F435" s="373">
        <f t="shared" si="26"/>
        <v>1538.6499999999812</v>
      </c>
    </row>
    <row r="436" spans="4:6" x14ac:dyDescent="0.25">
      <c r="D436" s="105">
        <f t="shared" si="27"/>
        <v>1538.6999999999812</v>
      </c>
      <c r="E436" s="373">
        <f t="shared" si="25"/>
        <v>1598.7092999999804</v>
      </c>
      <c r="F436" s="373">
        <f t="shared" si="26"/>
        <v>1538.6999999999812</v>
      </c>
    </row>
    <row r="437" spans="4:6" x14ac:dyDescent="0.25">
      <c r="D437" s="105">
        <f t="shared" si="27"/>
        <v>1538.7499999999811</v>
      </c>
      <c r="E437" s="373">
        <f t="shared" si="25"/>
        <v>1598.7612499999805</v>
      </c>
      <c r="F437" s="373">
        <f t="shared" si="26"/>
        <v>1538.7499999999811</v>
      </c>
    </row>
    <row r="438" spans="4:6" x14ac:dyDescent="0.25">
      <c r="D438" s="105">
        <f t="shared" si="27"/>
        <v>1538.7999999999811</v>
      </c>
      <c r="E438" s="373">
        <f t="shared" si="25"/>
        <v>1598.8131999999803</v>
      </c>
      <c r="F438" s="373">
        <f t="shared" si="26"/>
        <v>1538.7999999999811</v>
      </c>
    </row>
    <row r="439" spans="4:6" x14ac:dyDescent="0.25">
      <c r="D439" s="105">
        <f t="shared" si="27"/>
        <v>1538.849999999981</v>
      </c>
      <c r="E439" s="373">
        <f t="shared" si="25"/>
        <v>1598.8651499999803</v>
      </c>
      <c r="F439" s="373">
        <f t="shared" si="26"/>
        <v>1538.849999999981</v>
      </c>
    </row>
    <row r="440" spans="4:6" x14ac:dyDescent="0.25">
      <c r="D440" s="105">
        <f t="shared" si="27"/>
        <v>1538.899999999981</v>
      </c>
      <c r="E440" s="373">
        <f t="shared" si="25"/>
        <v>1598.9170999999803</v>
      </c>
      <c r="F440" s="373">
        <f t="shared" si="26"/>
        <v>1538.899999999981</v>
      </c>
    </row>
    <row r="441" spans="4:6" x14ac:dyDescent="0.25">
      <c r="D441" s="105">
        <f t="shared" si="27"/>
        <v>1538.9499999999809</v>
      </c>
      <c r="E441" s="373">
        <f t="shared" si="25"/>
        <v>1598.9690499999801</v>
      </c>
      <c r="F441" s="373">
        <f t="shared" si="26"/>
        <v>1538.9499999999809</v>
      </c>
    </row>
    <row r="442" spans="4:6" x14ac:dyDescent="0.25">
      <c r="D442" s="105">
        <f t="shared" si="27"/>
        <v>1538.9999999999809</v>
      </c>
      <c r="E442" s="373">
        <f t="shared" si="25"/>
        <v>1599.0209999999802</v>
      </c>
      <c r="F442" s="373">
        <f t="shared" si="26"/>
        <v>1538.9999999999809</v>
      </c>
    </row>
    <row r="443" spans="4:6" x14ac:dyDescent="0.25">
      <c r="D443" s="105">
        <f t="shared" si="27"/>
        <v>1539.0499999999809</v>
      </c>
      <c r="E443" s="373">
        <f t="shared" si="25"/>
        <v>1599.0729499999802</v>
      </c>
      <c r="F443" s="373">
        <f t="shared" si="26"/>
        <v>1539.0499999999809</v>
      </c>
    </row>
    <row r="444" spans="4:6" x14ac:dyDescent="0.25">
      <c r="D444" s="105">
        <f t="shared" si="27"/>
        <v>1539.0999999999808</v>
      </c>
      <c r="E444" s="373">
        <f t="shared" si="25"/>
        <v>1599.12489999998</v>
      </c>
      <c r="F444" s="373">
        <f t="shared" si="26"/>
        <v>1539.0999999999808</v>
      </c>
    </row>
    <row r="445" spans="4:6" x14ac:dyDescent="0.25">
      <c r="D445" s="105">
        <f t="shared" si="27"/>
        <v>1539.1499999999808</v>
      </c>
      <c r="E445" s="373">
        <f t="shared" si="25"/>
        <v>1599.17684999998</v>
      </c>
      <c r="F445" s="373">
        <f t="shared" si="26"/>
        <v>1539.1499999999808</v>
      </c>
    </row>
    <row r="446" spans="4:6" x14ac:dyDescent="0.25">
      <c r="D446" s="105">
        <f t="shared" si="27"/>
        <v>1539.1999999999807</v>
      </c>
      <c r="E446" s="373">
        <f t="shared" si="25"/>
        <v>1599.2287999999799</v>
      </c>
      <c r="F446" s="373">
        <f t="shared" si="26"/>
        <v>1539.1999999999807</v>
      </c>
    </row>
    <row r="447" spans="4:6" x14ac:dyDescent="0.25">
      <c r="D447" s="105">
        <f t="shared" si="27"/>
        <v>1539.2499999999807</v>
      </c>
      <c r="E447" s="373">
        <f t="shared" si="25"/>
        <v>1599.2807499999799</v>
      </c>
      <c r="F447" s="373">
        <f t="shared" si="26"/>
        <v>1539.2499999999807</v>
      </c>
    </row>
    <row r="448" spans="4:6" x14ac:dyDescent="0.25">
      <c r="D448" s="105">
        <f t="shared" si="27"/>
        <v>1539.2999999999806</v>
      </c>
      <c r="E448" s="373">
        <f t="shared" si="25"/>
        <v>1599.3326999999799</v>
      </c>
      <c r="F448" s="373">
        <f t="shared" si="26"/>
        <v>1539.2999999999806</v>
      </c>
    </row>
    <row r="449" spans="4:6" x14ac:dyDescent="0.25">
      <c r="D449" s="105">
        <f t="shared" si="27"/>
        <v>1539.3499999999806</v>
      </c>
      <c r="E449" s="373">
        <f t="shared" si="25"/>
        <v>1599.3846499999797</v>
      </c>
      <c r="F449" s="373">
        <f t="shared" si="26"/>
        <v>1539.3499999999806</v>
      </c>
    </row>
    <row r="450" spans="4:6" x14ac:dyDescent="0.25">
      <c r="D450" s="105">
        <f t="shared" si="27"/>
        <v>1539.3999999999805</v>
      </c>
      <c r="E450" s="373">
        <f t="shared" si="25"/>
        <v>1599.4365999999798</v>
      </c>
      <c r="F450" s="373">
        <f t="shared" si="26"/>
        <v>1539.3999999999805</v>
      </c>
    </row>
    <row r="451" spans="4:6" x14ac:dyDescent="0.25">
      <c r="D451" s="105">
        <f t="shared" si="27"/>
        <v>1539.4499999999805</v>
      </c>
      <c r="E451" s="373">
        <f t="shared" si="25"/>
        <v>1599.4885499999798</v>
      </c>
      <c r="F451" s="373">
        <f t="shared" si="26"/>
        <v>1539.4499999999805</v>
      </c>
    </row>
    <row r="452" spans="4:6" x14ac:dyDescent="0.25">
      <c r="D452" s="105">
        <f t="shared" si="27"/>
        <v>1539.4999999999804</v>
      </c>
      <c r="E452" s="373">
        <f t="shared" si="25"/>
        <v>1599.5404999999796</v>
      </c>
      <c r="F452" s="373">
        <f t="shared" si="26"/>
        <v>1539.4999999999804</v>
      </c>
    </row>
    <row r="453" spans="4:6" x14ac:dyDescent="0.25">
      <c r="D453" s="105">
        <f t="shared" si="27"/>
        <v>1539.5499999999804</v>
      </c>
      <c r="E453" s="373">
        <f t="shared" si="25"/>
        <v>1599.5924499999796</v>
      </c>
      <c r="F453" s="373">
        <f t="shared" si="26"/>
        <v>1539.5499999999804</v>
      </c>
    </row>
    <row r="454" spans="4:6" x14ac:dyDescent="0.25">
      <c r="D454" s="105">
        <f t="shared" si="27"/>
        <v>1539.5999999999804</v>
      </c>
      <c r="E454" s="373">
        <f t="shared" si="25"/>
        <v>1599.6443999999797</v>
      </c>
      <c r="F454" s="373">
        <f t="shared" si="26"/>
        <v>1539.5999999999804</v>
      </c>
    </row>
    <row r="455" spans="4:6" x14ac:dyDescent="0.25">
      <c r="D455" s="105">
        <f t="shared" si="27"/>
        <v>1539.6499999999803</v>
      </c>
      <c r="E455" s="373">
        <f t="shared" si="25"/>
        <v>1599.6963499999795</v>
      </c>
      <c r="F455" s="373">
        <f t="shared" si="26"/>
        <v>1539.6499999999803</v>
      </c>
    </row>
    <row r="456" spans="4:6" x14ac:dyDescent="0.25">
      <c r="D456" s="105">
        <f t="shared" si="27"/>
        <v>1539.6999999999803</v>
      </c>
      <c r="E456" s="373">
        <f t="shared" si="25"/>
        <v>1599.7482999999795</v>
      </c>
      <c r="F456" s="373">
        <f t="shared" si="26"/>
        <v>1539.6999999999803</v>
      </c>
    </row>
    <row r="457" spans="4:6" x14ac:dyDescent="0.25">
      <c r="D457" s="105">
        <f t="shared" si="27"/>
        <v>1539.7499999999802</v>
      </c>
      <c r="E457" s="373">
        <f t="shared" si="25"/>
        <v>1599.8002499999795</v>
      </c>
      <c r="F457" s="373">
        <f t="shared" si="26"/>
        <v>1539.7499999999802</v>
      </c>
    </row>
    <row r="458" spans="4:6" x14ac:dyDescent="0.25">
      <c r="D458" s="105">
        <f t="shared" si="27"/>
        <v>1539.7999999999802</v>
      </c>
      <c r="E458" s="373">
        <f t="shared" si="25"/>
        <v>1599.8521999999793</v>
      </c>
      <c r="F458" s="373">
        <f t="shared" si="26"/>
        <v>1539.7999999999802</v>
      </c>
    </row>
    <row r="459" spans="4:6" x14ac:dyDescent="0.25">
      <c r="D459" s="105">
        <f t="shared" si="27"/>
        <v>1539.8499999999801</v>
      </c>
      <c r="E459" s="373">
        <f t="shared" si="25"/>
        <v>1599.9041499999794</v>
      </c>
      <c r="F459" s="373">
        <f t="shared" si="26"/>
        <v>1539.8499999999801</v>
      </c>
    </row>
    <row r="460" spans="4:6" x14ac:dyDescent="0.25">
      <c r="D460" s="105">
        <f t="shared" si="27"/>
        <v>1539.8999999999801</v>
      </c>
      <c r="E460" s="373">
        <f t="shared" si="25"/>
        <v>1599.9560999999794</v>
      </c>
      <c r="F460" s="373">
        <f t="shared" si="26"/>
        <v>1539.8999999999801</v>
      </c>
    </row>
    <row r="461" spans="4:6" x14ac:dyDescent="0.25">
      <c r="D461" s="105">
        <f t="shared" si="27"/>
        <v>1539.94999999998</v>
      </c>
      <c r="E461" s="373">
        <f t="shared" si="25"/>
        <v>1600.0080499999792</v>
      </c>
      <c r="F461" s="373">
        <f t="shared" si="26"/>
        <v>1539.94999999998</v>
      </c>
    </row>
    <row r="462" spans="4:6" x14ac:dyDescent="0.25">
      <c r="D462" s="105">
        <f t="shared" si="27"/>
        <v>1539.99999999998</v>
      </c>
      <c r="E462" s="373">
        <f t="shared" si="25"/>
        <v>1600.0599999999793</v>
      </c>
      <c r="F462" s="373">
        <f t="shared" si="26"/>
        <v>1539.99999999998</v>
      </c>
    </row>
    <row r="463" spans="4:6" x14ac:dyDescent="0.25">
      <c r="D463" s="105">
        <f t="shared" si="27"/>
        <v>1540.0499999999799</v>
      </c>
      <c r="E463" s="373">
        <f t="shared" si="25"/>
        <v>1600.1119499999791</v>
      </c>
      <c r="F463" s="373">
        <f t="shared" si="26"/>
        <v>1540.0499999999799</v>
      </c>
    </row>
    <row r="464" spans="4:6" x14ac:dyDescent="0.25">
      <c r="D464" s="105">
        <f t="shared" si="27"/>
        <v>1540.0999999999799</v>
      </c>
      <c r="E464" s="373">
        <f t="shared" si="25"/>
        <v>1600.1638999999791</v>
      </c>
      <c r="F464" s="373">
        <f t="shared" si="26"/>
        <v>1540.0999999999799</v>
      </c>
    </row>
    <row r="465" spans="4:6" x14ac:dyDescent="0.25">
      <c r="D465" s="105">
        <f t="shared" si="27"/>
        <v>1540.1499999999799</v>
      </c>
      <c r="E465" s="373">
        <f t="shared" si="25"/>
        <v>1600.2158499999791</v>
      </c>
      <c r="F465" s="373">
        <f t="shared" si="26"/>
        <v>1540.1499999999799</v>
      </c>
    </row>
    <row r="466" spans="4:6" x14ac:dyDescent="0.25">
      <c r="D466" s="105">
        <f t="shared" si="27"/>
        <v>1540.1999999999798</v>
      </c>
      <c r="E466" s="373">
        <f t="shared" si="25"/>
        <v>1600.2677999999789</v>
      </c>
      <c r="F466" s="373">
        <f t="shared" si="26"/>
        <v>1540.1999999999798</v>
      </c>
    </row>
    <row r="467" spans="4:6" x14ac:dyDescent="0.25">
      <c r="D467" s="105">
        <f t="shared" si="27"/>
        <v>1540.2499999999798</v>
      </c>
      <c r="E467" s="373">
        <f t="shared" si="25"/>
        <v>1600.319749999979</v>
      </c>
      <c r="F467" s="373">
        <f t="shared" si="26"/>
        <v>1540.2499999999798</v>
      </c>
    </row>
    <row r="468" spans="4:6" x14ac:dyDescent="0.25">
      <c r="D468" s="105">
        <f t="shared" si="27"/>
        <v>1540.2999999999797</v>
      </c>
      <c r="E468" s="373">
        <f t="shared" si="25"/>
        <v>1600.371699999979</v>
      </c>
      <c r="F468" s="373">
        <f t="shared" si="26"/>
        <v>1540.2999999999797</v>
      </c>
    </row>
    <row r="469" spans="4:6" x14ac:dyDescent="0.25">
      <c r="D469" s="105">
        <f t="shared" si="27"/>
        <v>1540.3499999999797</v>
      </c>
      <c r="E469" s="373">
        <f t="shared" si="25"/>
        <v>1600.4236499999788</v>
      </c>
      <c r="F469" s="373">
        <f t="shared" si="26"/>
        <v>1540.3499999999797</v>
      </c>
    </row>
    <row r="470" spans="4:6" x14ac:dyDescent="0.25">
      <c r="D470" s="105">
        <f t="shared" si="27"/>
        <v>1540.3999999999796</v>
      </c>
      <c r="E470" s="373">
        <f t="shared" si="25"/>
        <v>1600.4755999999788</v>
      </c>
      <c r="F470" s="373">
        <f t="shared" si="26"/>
        <v>1540.3999999999796</v>
      </c>
    </row>
    <row r="471" spans="4:6" x14ac:dyDescent="0.25">
      <c r="D471" s="105">
        <f t="shared" si="27"/>
        <v>1540.4499999999796</v>
      </c>
      <c r="E471" s="373">
        <f t="shared" ref="E471:E534" si="28">D471*$C$2 + D471</f>
        <v>1600.5275499999789</v>
      </c>
      <c r="F471" s="373">
        <f t="shared" ref="F471:F534" si="29">D471</f>
        <v>1540.4499999999796</v>
      </c>
    </row>
    <row r="472" spans="4:6" x14ac:dyDescent="0.25">
      <c r="D472" s="105">
        <f t="shared" ref="D472:D535" si="30">D471+0.05</f>
        <v>1540.4999999999795</v>
      </c>
      <c r="E472" s="373">
        <f t="shared" si="28"/>
        <v>1600.5794999999787</v>
      </c>
      <c r="F472" s="373">
        <f t="shared" si="29"/>
        <v>1540.4999999999795</v>
      </c>
    </row>
    <row r="473" spans="4:6" x14ac:dyDescent="0.25">
      <c r="D473" s="105">
        <f t="shared" si="30"/>
        <v>1540.5499999999795</v>
      </c>
      <c r="E473" s="373">
        <f t="shared" si="28"/>
        <v>1600.6314499999787</v>
      </c>
      <c r="F473" s="373">
        <f t="shared" si="29"/>
        <v>1540.5499999999795</v>
      </c>
    </row>
    <row r="474" spans="4:6" x14ac:dyDescent="0.25">
      <c r="D474" s="105">
        <f t="shared" si="30"/>
        <v>1540.5999999999794</v>
      </c>
      <c r="E474" s="373">
        <f t="shared" si="28"/>
        <v>1600.6833999999787</v>
      </c>
      <c r="F474" s="373">
        <f t="shared" si="29"/>
        <v>1540.5999999999794</v>
      </c>
    </row>
    <row r="475" spans="4:6" x14ac:dyDescent="0.25">
      <c r="D475" s="105">
        <f t="shared" si="30"/>
        <v>1540.6499999999794</v>
      </c>
      <c r="E475" s="373">
        <f t="shared" si="28"/>
        <v>1600.7353499999786</v>
      </c>
      <c r="F475" s="373">
        <f t="shared" si="29"/>
        <v>1540.6499999999794</v>
      </c>
    </row>
    <row r="476" spans="4:6" x14ac:dyDescent="0.25">
      <c r="D476" s="105">
        <f t="shared" si="30"/>
        <v>1540.6999999999794</v>
      </c>
      <c r="E476" s="373">
        <f t="shared" si="28"/>
        <v>1600.7872999999786</v>
      </c>
      <c r="F476" s="373">
        <f t="shared" si="29"/>
        <v>1540.6999999999794</v>
      </c>
    </row>
    <row r="477" spans="4:6" x14ac:dyDescent="0.25">
      <c r="D477" s="105">
        <f t="shared" si="30"/>
        <v>1540.7499999999793</v>
      </c>
      <c r="E477" s="373">
        <f t="shared" si="28"/>
        <v>1600.8392499999784</v>
      </c>
      <c r="F477" s="373">
        <f t="shared" si="29"/>
        <v>1540.7499999999793</v>
      </c>
    </row>
    <row r="478" spans="4:6" x14ac:dyDescent="0.25">
      <c r="D478" s="105">
        <f t="shared" si="30"/>
        <v>1540.7999999999793</v>
      </c>
      <c r="E478" s="373">
        <f t="shared" si="28"/>
        <v>1600.8911999999784</v>
      </c>
      <c r="F478" s="373">
        <f t="shared" si="29"/>
        <v>1540.7999999999793</v>
      </c>
    </row>
    <row r="479" spans="4:6" x14ac:dyDescent="0.25">
      <c r="D479" s="105">
        <f t="shared" si="30"/>
        <v>1540.8499999999792</v>
      </c>
      <c r="E479" s="373">
        <f t="shared" si="28"/>
        <v>1600.9431499999785</v>
      </c>
      <c r="F479" s="373">
        <f t="shared" si="29"/>
        <v>1540.8499999999792</v>
      </c>
    </row>
    <row r="480" spans="4:6" x14ac:dyDescent="0.25">
      <c r="D480" s="105">
        <f t="shared" si="30"/>
        <v>1540.8999999999792</v>
      </c>
      <c r="E480" s="373">
        <f t="shared" si="28"/>
        <v>1600.9950999999783</v>
      </c>
      <c r="F480" s="373">
        <f t="shared" si="29"/>
        <v>1540.8999999999792</v>
      </c>
    </row>
    <row r="481" spans="4:6" x14ac:dyDescent="0.25">
      <c r="D481" s="105">
        <f t="shared" si="30"/>
        <v>1540.9499999999791</v>
      </c>
      <c r="E481" s="373">
        <f t="shared" si="28"/>
        <v>1601.0470499999783</v>
      </c>
      <c r="F481" s="373">
        <f t="shared" si="29"/>
        <v>1540.9499999999791</v>
      </c>
    </row>
    <row r="482" spans="4:6" x14ac:dyDescent="0.25">
      <c r="D482" s="105">
        <f t="shared" si="30"/>
        <v>1540.9999999999791</v>
      </c>
      <c r="E482" s="373">
        <f t="shared" si="28"/>
        <v>1601.0989999999783</v>
      </c>
      <c r="F482" s="373">
        <f t="shared" si="29"/>
        <v>1540.9999999999791</v>
      </c>
    </row>
    <row r="483" spans="4:6" x14ac:dyDescent="0.25">
      <c r="D483" s="105">
        <f t="shared" si="30"/>
        <v>1541.049999999979</v>
      </c>
      <c r="E483" s="373">
        <f t="shared" si="28"/>
        <v>1601.1509499999781</v>
      </c>
      <c r="F483" s="373">
        <f t="shared" si="29"/>
        <v>1541.049999999979</v>
      </c>
    </row>
    <row r="484" spans="4:6" x14ac:dyDescent="0.25">
      <c r="D484" s="105">
        <f t="shared" si="30"/>
        <v>1541.099999999979</v>
      </c>
      <c r="E484" s="373">
        <f t="shared" si="28"/>
        <v>1601.2028999999782</v>
      </c>
      <c r="F484" s="373">
        <f t="shared" si="29"/>
        <v>1541.099999999979</v>
      </c>
    </row>
    <row r="485" spans="4:6" x14ac:dyDescent="0.25">
      <c r="D485" s="105">
        <f t="shared" si="30"/>
        <v>1541.1499999999789</v>
      </c>
      <c r="E485" s="373">
        <f t="shared" si="28"/>
        <v>1601.2548499999782</v>
      </c>
      <c r="F485" s="373">
        <f t="shared" si="29"/>
        <v>1541.1499999999789</v>
      </c>
    </row>
    <row r="486" spans="4:6" x14ac:dyDescent="0.25">
      <c r="D486" s="105">
        <f t="shared" si="30"/>
        <v>1541.1999999999789</v>
      </c>
      <c r="E486" s="373">
        <f t="shared" si="28"/>
        <v>1601.306799999978</v>
      </c>
      <c r="F486" s="373">
        <f t="shared" si="29"/>
        <v>1541.1999999999789</v>
      </c>
    </row>
    <row r="487" spans="4:6" x14ac:dyDescent="0.25">
      <c r="D487" s="105">
        <f t="shared" si="30"/>
        <v>1541.2499999999789</v>
      </c>
      <c r="E487" s="373">
        <f t="shared" si="28"/>
        <v>1601.358749999978</v>
      </c>
      <c r="F487" s="373">
        <f t="shared" si="29"/>
        <v>1541.2499999999789</v>
      </c>
    </row>
    <row r="488" spans="4:6" x14ac:dyDescent="0.25">
      <c r="D488" s="105">
        <f t="shared" si="30"/>
        <v>1541.2999999999788</v>
      </c>
      <c r="E488" s="373">
        <f t="shared" si="28"/>
        <v>1601.4106999999781</v>
      </c>
      <c r="F488" s="373">
        <f t="shared" si="29"/>
        <v>1541.2999999999788</v>
      </c>
    </row>
    <row r="489" spans="4:6" x14ac:dyDescent="0.25">
      <c r="D489" s="105">
        <f t="shared" si="30"/>
        <v>1541.3499999999788</v>
      </c>
      <c r="E489" s="373">
        <f t="shared" si="28"/>
        <v>1601.4626499999779</v>
      </c>
      <c r="F489" s="373">
        <f t="shared" si="29"/>
        <v>1541.3499999999788</v>
      </c>
    </row>
    <row r="490" spans="4:6" x14ac:dyDescent="0.25">
      <c r="D490" s="105">
        <f t="shared" si="30"/>
        <v>1541.3999999999787</v>
      </c>
      <c r="E490" s="373">
        <f t="shared" si="28"/>
        <v>1601.5145999999779</v>
      </c>
      <c r="F490" s="373">
        <f t="shared" si="29"/>
        <v>1541.3999999999787</v>
      </c>
    </row>
    <row r="491" spans="4:6" x14ac:dyDescent="0.25">
      <c r="D491" s="105">
        <f t="shared" si="30"/>
        <v>1541.4499999999787</v>
      </c>
      <c r="E491" s="373">
        <f t="shared" si="28"/>
        <v>1601.5665499999777</v>
      </c>
      <c r="F491" s="373">
        <f t="shared" si="29"/>
        <v>1541.4499999999787</v>
      </c>
    </row>
    <row r="492" spans="4:6" x14ac:dyDescent="0.25">
      <c r="D492" s="105">
        <f t="shared" si="30"/>
        <v>1541.4999999999786</v>
      </c>
      <c r="E492" s="373">
        <f t="shared" si="28"/>
        <v>1601.6184999999778</v>
      </c>
      <c r="F492" s="373">
        <f t="shared" si="29"/>
        <v>1541.4999999999786</v>
      </c>
    </row>
    <row r="493" spans="4:6" x14ac:dyDescent="0.25">
      <c r="D493" s="105">
        <f t="shared" si="30"/>
        <v>1541.5499999999786</v>
      </c>
      <c r="E493" s="373">
        <f t="shared" si="28"/>
        <v>1601.6704499999778</v>
      </c>
      <c r="F493" s="373">
        <f t="shared" si="29"/>
        <v>1541.5499999999786</v>
      </c>
    </row>
    <row r="494" spans="4:6" x14ac:dyDescent="0.25">
      <c r="D494" s="105">
        <f t="shared" si="30"/>
        <v>1541.5999999999785</v>
      </c>
      <c r="E494" s="373">
        <f t="shared" si="28"/>
        <v>1601.7223999999776</v>
      </c>
      <c r="F494" s="373">
        <f t="shared" si="29"/>
        <v>1541.5999999999785</v>
      </c>
    </row>
    <row r="495" spans="4:6" x14ac:dyDescent="0.25">
      <c r="D495" s="105">
        <f t="shared" si="30"/>
        <v>1541.6499999999785</v>
      </c>
      <c r="E495" s="373">
        <f t="shared" si="28"/>
        <v>1601.7743499999776</v>
      </c>
      <c r="F495" s="373">
        <f t="shared" si="29"/>
        <v>1541.6499999999785</v>
      </c>
    </row>
    <row r="496" spans="4:6" x14ac:dyDescent="0.25">
      <c r="D496" s="105">
        <f t="shared" si="30"/>
        <v>1541.6999999999784</v>
      </c>
      <c r="E496" s="373">
        <f t="shared" si="28"/>
        <v>1601.8262999999777</v>
      </c>
      <c r="F496" s="373">
        <f t="shared" si="29"/>
        <v>1541.6999999999784</v>
      </c>
    </row>
    <row r="497" spans="4:6" x14ac:dyDescent="0.25">
      <c r="D497" s="105">
        <f t="shared" si="30"/>
        <v>1541.7499999999784</v>
      </c>
      <c r="E497" s="373">
        <f t="shared" si="28"/>
        <v>1601.8782499999775</v>
      </c>
      <c r="F497" s="373">
        <f t="shared" si="29"/>
        <v>1541.7499999999784</v>
      </c>
    </row>
    <row r="498" spans="4:6" x14ac:dyDescent="0.25">
      <c r="D498" s="105">
        <f t="shared" si="30"/>
        <v>1541.7999999999784</v>
      </c>
      <c r="E498" s="373">
        <f t="shared" si="28"/>
        <v>1601.9301999999775</v>
      </c>
      <c r="F498" s="373">
        <f t="shared" si="29"/>
        <v>1541.7999999999784</v>
      </c>
    </row>
    <row r="499" spans="4:6" x14ac:dyDescent="0.25">
      <c r="D499" s="105">
        <f t="shared" si="30"/>
        <v>1541.8499999999783</v>
      </c>
      <c r="E499" s="373">
        <f t="shared" si="28"/>
        <v>1601.9821499999775</v>
      </c>
      <c r="F499" s="373">
        <f t="shared" si="29"/>
        <v>1541.8499999999783</v>
      </c>
    </row>
    <row r="500" spans="4:6" x14ac:dyDescent="0.25">
      <c r="D500" s="105">
        <f t="shared" si="30"/>
        <v>1541.8999999999783</v>
      </c>
      <c r="E500" s="373">
        <f t="shared" si="28"/>
        <v>1602.0340999999773</v>
      </c>
      <c r="F500" s="373">
        <f t="shared" si="29"/>
        <v>1541.8999999999783</v>
      </c>
    </row>
    <row r="501" spans="4:6" x14ac:dyDescent="0.25">
      <c r="D501" s="105">
        <f t="shared" si="30"/>
        <v>1541.9499999999782</v>
      </c>
      <c r="E501" s="373">
        <f t="shared" si="28"/>
        <v>1602.0860499999774</v>
      </c>
      <c r="F501" s="373">
        <f t="shared" si="29"/>
        <v>1541.9499999999782</v>
      </c>
    </row>
    <row r="502" spans="4:6" x14ac:dyDescent="0.25">
      <c r="D502" s="105">
        <f t="shared" si="30"/>
        <v>1541.9999999999782</v>
      </c>
      <c r="E502" s="373">
        <f t="shared" si="28"/>
        <v>1602.1379999999774</v>
      </c>
      <c r="F502" s="373">
        <f t="shared" si="29"/>
        <v>1541.9999999999782</v>
      </c>
    </row>
    <row r="503" spans="4:6" x14ac:dyDescent="0.25">
      <c r="D503" s="105">
        <f t="shared" si="30"/>
        <v>1542.0499999999781</v>
      </c>
      <c r="E503" s="373">
        <f t="shared" si="28"/>
        <v>1602.1899499999772</v>
      </c>
      <c r="F503" s="373">
        <f t="shared" si="29"/>
        <v>1542.0499999999781</v>
      </c>
    </row>
    <row r="504" spans="4:6" x14ac:dyDescent="0.25">
      <c r="D504" s="105">
        <f t="shared" si="30"/>
        <v>1542.0999999999781</v>
      </c>
      <c r="E504" s="373">
        <f t="shared" si="28"/>
        <v>1602.2418999999772</v>
      </c>
      <c r="F504" s="373">
        <f t="shared" si="29"/>
        <v>1542.0999999999781</v>
      </c>
    </row>
    <row r="505" spans="4:6" x14ac:dyDescent="0.25">
      <c r="D505" s="105">
        <f t="shared" si="30"/>
        <v>1542.149999999978</v>
      </c>
      <c r="E505" s="373">
        <f t="shared" si="28"/>
        <v>1602.2938499999773</v>
      </c>
      <c r="F505" s="373">
        <f t="shared" si="29"/>
        <v>1542.149999999978</v>
      </c>
    </row>
    <row r="506" spans="4:6" x14ac:dyDescent="0.25">
      <c r="D506" s="105">
        <f t="shared" si="30"/>
        <v>1542.199999999978</v>
      </c>
      <c r="E506" s="373">
        <f t="shared" si="28"/>
        <v>1602.3457999999771</v>
      </c>
      <c r="F506" s="373">
        <f t="shared" si="29"/>
        <v>1542.199999999978</v>
      </c>
    </row>
    <row r="507" spans="4:6" x14ac:dyDescent="0.25">
      <c r="D507" s="105">
        <f t="shared" si="30"/>
        <v>1542.2499999999779</v>
      </c>
      <c r="E507" s="373">
        <f t="shared" si="28"/>
        <v>1602.3977499999771</v>
      </c>
      <c r="F507" s="373">
        <f t="shared" si="29"/>
        <v>1542.2499999999779</v>
      </c>
    </row>
    <row r="508" spans="4:6" x14ac:dyDescent="0.25">
      <c r="D508" s="105">
        <f t="shared" si="30"/>
        <v>1542.2999999999779</v>
      </c>
      <c r="E508" s="373">
        <f t="shared" si="28"/>
        <v>1602.4496999999769</v>
      </c>
      <c r="F508" s="373">
        <f t="shared" si="29"/>
        <v>1542.2999999999779</v>
      </c>
    </row>
    <row r="509" spans="4:6" x14ac:dyDescent="0.25">
      <c r="D509" s="105">
        <f t="shared" si="30"/>
        <v>1542.3499999999779</v>
      </c>
      <c r="E509" s="373">
        <f t="shared" si="28"/>
        <v>1602.501649999977</v>
      </c>
      <c r="F509" s="373">
        <f t="shared" si="29"/>
        <v>1542.3499999999779</v>
      </c>
    </row>
    <row r="510" spans="4:6" x14ac:dyDescent="0.25">
      <c r="D510" s="105">
        <f t="shared" si="30"/>
        <v>1542.3999999999778</v>
      </c>
      <c r="E510" s="373">
        <f t="shared" si="28"/>
        <v>1602.553599999977</v>
      </c>
      <c r="F510" s="373">
        <f t="shared" si="29"/>
        <v>1542.3999999999778</v>
      </c>
    </row>
    <row r="511" spans="4:6" x14ac:dyDescent="0.25">
      <c r="D511" s="105">
        <f t="shared" si="30"/>
        <v>1542.4499999999778</v>
      </c>
      <c r="E511" s="373">
        <f t="shared" si="28"/>
        <v>1602.6055499999768</v>
      </c>
      <c r="F511" s="373">
        <f t="shared" si="29"/>
        <v>1542.4499999999778</v>
      </c>
    </row>
    <row r="512" spans="4:6" x14ac:dyDescent="0.25">
      <c r="D512" s="105">
        <f t="shared" si="30"/>
        <v>1542.4999999999777</v>
      </c>
      <c r="E512" s="373">
        <f t="shared" si="28"/>
        <v>1602.6574999999768</v>
      </c>
      <c r="F512" s="373">
        <f t="shared" si="29"/>
        <v>1542.4999999999777</v>
      </c>
    </row>
    <row r="513" spans="4:6" x14ac:dyDescent="0.25">
      <c r="D513" s="105">
        <f t="shared" si="30"/>
        <v>1542.5499999999777</v>
      </c>
      <c r="E513" s="373">
        <f t="shared" si="28"/>
        <v>1602.7094499999769</v>
      </c>
      <c r="F513" s="373">
        <f t="shared" si="29"/>
        <v>1542.5499999999777</v>
      </c>
    </row>
    <row r="514" spans="4:6" x14ac:dyDescent="0.25">
      <c r="D514" s="105">
        <f t="shared" si="30"/>
        <v>1542.5999999999776</v>
      </c>
      <c r="E514" s="373">
        <f t="shared" si="28"/>
        <v>1602.7613999999767</v>
      </c>
      <c r="F514" s="373">
        <f t="shared" si="29"/>
        <v>1542.5999999999776</v>
      </c>
    </row>
    <row r="515" spans="4:6" x14ac:dyDescent="0.25">
      <c r="D515" s="105">
        <f t="shared" si="30"/>
        <v>1542.6499999999776</v>
      </c>
      <c r="E515" s="373">
        <f t="shared" si="28"/>
        <v>1602.8133499999767</v>
      </c>
      <c r="F515" s="373">
        <f t="shared" si="29"/>
        <v>1542.6499999999776</v>
      </c>
    </row>
    <row r="516" spans="4:6" x14ac:dyDescent="0.25">
      <c r="D516" s="105">
        <f t="shared" si="30"/>
        <v>1542.6999999999775</v>
      </c>
      <c r="E516" s="373">
        <f t="shared" si="28"/>
        <v>1602.8652999999767</v>
      </c>
      <c r="F516" s="373">
        <f t="shared" si="29"/>
        <v>1542.6999999999775</v>
      </c>
    </row>
    <row r="517" spans="4:6" x14ac:dyDescent="0.25">
      <c r="D517" s="105">
        <f t="shared" si="30"/>
        <v>1542.7499999999775</v>
      </c>
      <c r="E517" s="373">
        <f t="shared" si="28"/>
        <v>1602.9172499999765</v>
      </c>
      <c r="F517" s="373">
        <f t="shared" si="29"/>
        <v>1542.7499999999775</v>
      </c>
    </row>
    <row r="518" spans="4:6" x14ac:dyDescent="0.25">
      <c r="D518" s="105">
        <f t="shared" si="30"/>
        <v>1542.7999999999774</v>
      </c>
      <c r="E518" s="373">
        <f t="shared" si="28"/>
        <v>1602.9691999999766</v>
      </c>
      <c r="F518" s="373">
        <f t="shared" si="29"/>
        <v>1542.7999999999774</v>
      </c>
    </row>
    <row r="519" spans="4:6" x14ac:dyDescent="0.25">
      <c r="D519" s="105">
        <f t="shared" si="30"/>
        <v>1542.8499999999774</v>
      </c>
      <c r="E519" s="373">
        <f t="shared" si="28"/>
        <v>1603.0211499999766</v>
      </c>
      <c r="F519" s="373">
        <f t="shared" si="29"/>
        <v>1542.8499999999774</v>
      </c>
    </row>
    <row r="520" spans="4:6" x14ac:dyDescent="0.25">
      <c r="D520" s="105">
        <f t="shared" si="30"/>
        <v>1542.8999999999774</v>
      </c>
      <c r="E520" s="373">
        <f t="shared" si="28"/>
        <v>1603.0730999999764</v>
      </c>
      <c r="F520" s="373">
        <f t="shared" si="29"/>
        <v>1542.8999999999774</v>
      </c>
    </row>
    <row r="521" spans="4:6" x14ac:dyDescent="0.25">
      <c r="D521" s="105">
        <f t="shared" si="30"/>
        <v>1542.9499999999773</v>
      </c>
      <c r="E521" s="373">
        <f t="shared" si="28"/>
        <v>1603.1250499999765</v>
      </c>
      <c r="F521" s="373">
        <f t="shared" si="29"/>
        <v>1542.9499999999773</v>
      </c>
    </row>
    <row r="522" spans="4:6" x14ac:dyDescent="0.25">
      <c r="D522" s="105">
        <f t="shared" si="30"/>
        <v>1542.9999999999773</v>
      </c>
      <c r="E522" s="373">
        <f t="shared" si="28"/>
        <v>1603.1769999999765</v>
      </c>
      <c r="F522" s="373">
        <f t="shared" si="29"/>
        <v>1542.9999999999773</v>
      </c>
    </row>
    <row r="523" spans="4:6" x14ac:dyDescent="0.25">
      <c r="D523" s="105">
        <f t="shared" si="30"/>
        <v>1543.0499999999772</v>
      </c>
      <c r="E523" s="373">
        <f t="shared" si="28"/>
        <v>1603.2289499999763</v>
      </c>
      <c r="F523" s="373">
        <f t="shared" si="29"/>
        <v>1543.0499999999772</v>
      </c>
    </row>
    <row r="524" spans="4:6" x14ac:dyDescent="0.25">
      <c r="D524" s="105">
        <f t="shared" si="30"/>
        <v>1543.0999999999772</v>
      </c>
      <c r="E524" s="373">
        <f t="shared" si="28"/>
        <v>1603.2808999999763</v>
      </c>
      <c r="F524" s="373">
        <f t="shared" si="29"/>
        <v>1543.0999999999772</v>
      </c>
    </row>
    <row r="525" spans="4:6" x14ac:dyDescent="0.25">
      <c r="D525" s="105">
        <f t="shared" si="30"/>
        <v>1543.1499999999771</v>
      </c>
      <c r="E525" s="373">
        <f t="shared" si="28"/>
        <v>1603.3328499999761</v>
      </c>
      <c r="F525" s="373">
        <f t="shared" si="29"/>
        <v>1543.1499999999771</v>
      </c>
    </row>
    <row r="526" spans="4:6" x14ac:dyDescent="0.25">
      <c r="D526" s="105">
        <f t="shared" si="30"/>
        <v>1543.1999999999771</v>
      </c>
      <c r="E526" s="373">
        <f t="shared" si="28"/>
        <v>1603.3847999999762</v>
      </c>
      <c r="F526" s="373">
        <f t="shared" si="29"/>
        <v>1543.1999999999771</v>
      </c>
    </row>
    <row r="527" spans="4:6" x14ac:dyDescent="0.25">
      <c r="D527" s="105">
        <f t="shared" si="30"/>
        <v>1543.249999999977</v>
      </c>
      <c r="E527" s="373">
        <f t="shared" si="28"/>
        <v>1603.4367499999762</v>
      </c>
      <c r="F527" s="373">
        <f t="shared" si="29"/>
        <v>1543.249999999977</v>
      </c>
    </row>
    <row r="528" spans="4:6" x14ac:dyDescent="0.25">
      <c r="D528" s="105">
        <f t="shared" si="30"/>
        <v>1543.299999999977</v>
      </c>
      <c r="E528" s="373">
        <f t="shared" si="28"/>
        <v>1603.488699999976</v>
      </c>
      <c r="F528" s="373">
        <f t="shared" si="29"/>
        <v>1543.299999999977</v>
      </c>
    </row>
    <row r="529" spans="4:6" x14ac:dyDescent="0.25">
      <c r="D529" s="105">
        <f t="shared" si="30"/>
        <v>1543.3499999999769</v>
      </c>
      <c r="E529" s="418">
        <f t="shared" si="28"/>
        <v>1603.540649999976</v>
      </c>
      <c r="F529" s="373">
        <f t="shared" si="29"/>
        <v>1543.3499999999769</v>
      </c>
    </row>
    <row r="530" spans="4:6" x14ac:dyDescent="0.25">
      <c r="D530" s="105">
        <f t="shared" si="30"/>
        <v>1543.3999999999769</v>
      </c>
      <c r="E530" s="373">
        <f t="shared" si="28"/>
        <v>1603.5925999999761</v>
      </c>
      <c r="F530" s="373">
        <f t="shared" si="29"/>
        <v>1543.3999999999769</v>
      </c>
    </row>
    <row r="531" spans="4:6" x14ac:dyDescent="0.25">
      <c r="D531" s="105">
        <f t="shared" si="30"/>
        <v>1543.4499999999769</v>
      </c>
      <c r="E531" s="373">
        <f t="shared" si="28"/>
        <v>1603.6445499999759</v>
      </c>
      <c r="F531" s="373">
        <f t="shared" si="29"/>
        <v>1543.4499999999769</v>
      </c>
    </row>
    <row r="532" spans="4:6" x14ac:dyDescent="0.25">
      <c r="D532" s="105">
        <f t="shared" si="30"/>
        <v>1543.4999999999768</v>
      </c>
      <c r="E532" s="373">
        <f t="shared" si="28"/>
        <v>1603.6964999999759</v>
      </c>
      <c r="F532" s="373">
        <f t="shared" si="29"/>
        <v>1543.4999999999768</v>
      </c>
    </row>
    <row r="533" spans="4:6" x14ac:dyDescent="0.25">
      <c r="D533" s="105">
        <f t="shared" si="30"/>
        <v>1543.5499999999768</v>
      </c>
      <c r="E533" s="373">
        <f t="shared" si="28"/>
        <v>1603.7484499999759</v>
      </c>
      <c r="F533" s="373">
        <f t="shared" si="29"/>
        <v>1543.5499999999768</v>
      </c>
    </row>
    <row r="534" spans="4:6" x14ac:dyDescent="0.25">
      <c r="D534" s="105">
        <f t="shared" si="30"/>
        <v>1543.5999999999767</v>
      </c>
      <c r="E534" s="373">
        <f t="shared" si="28"/>
        <v>1603.8003999999758</v>
      </c>
      <c r="F534" s="373">
        <f t="shared" si="29"/>
        <v>1543.5999999999767</v>
      </c>
    </row>
    <row r="535" spans="4:6" x14ac:dyDescent="0.25">
      <c r="D535" s="105">
        <f t="shared" si="30"/>
        <v>1543.6499999999767</v>
      </c>
      <c r="E535" s="373">
        <f t="shared" ref="E535:E598" si="31">D535*$C$2 + D535</f>
        <v>1603.8523499999758</v>
      </c>
      <c r="F535" s="373">
        <f t="shared" ref="F535:F598" si="32">D535</f>
        <v>1543.6499999999767</v>
      </c>
    </row>
    <row r="536" spans="4:6" x14ac:dyDescent="0.25">
      <c r="D536" s="105">
        <f t="shared" ref="D536:D599" si="33">D535+0.05</f>
        <v>1543.6999999999766</v>
      </c>
      <c r="E536" s="373">
        <f t="shared" si="31"/>
        <v>1603.9042999999758</v>
      </c>
      <c r="F536" s="373">
        <f t="shared" si="32"/>
        <v>1543.6999999999766</v>
      </c>
    </row>
    <row r="537" spans="4:6" x14ac:dyDescent="0.25">
      <c r="D537" s="105">
        <f t="shared" si="33"/>
        <v>1543.7499999999766</v>
      </c>
      <c r="E537" s="373">
        <f t="shared" si="31"/>
        <v>1603.9562499999756</v>
      </c>
      <c r="F537" s="373">
        <f t="shared" si="32"/>
        <v>1543.7499999999766</v>
      </c>
    </row>
    <row r="538" spans="4:6" x14ac:dyDescent="0.25">
      <c r="D538" s="105">
        <f t="shared" si="33"/>
        <v>1543.7999999999765</v>
      </c>
      <c r="E538" s="373">
        <f t="shared" si="31"/>
        <v>1604.0081999999757</v>
      </c>
      <c r="F538" s="373">
        <f t="shared" si="32"/>
        <v>1543.7999999999765</v>
      </c>
    </row>
    <row r="539" spans="4:6" x14ac:dyDescent="0.25">
      <c r="D539" s="105">
        <f t="shared" si="33"/>
        <v>1543.8499999999765</v>
      </c>
      <c r="E539" s="373">
        <f t="shared" si="31"/>
        <v>1604.0601499999755</v>
      </c>
      <c r="F539" s="373">
        <f t="shared" si="32"/>
        <v>1543.8499999999765</v>
      </c>
    </row>
    <row r="540" spans="4:6" x14ac:dyDescent="0.25">
      <c r="D540" s="105">
        <f t="shared" si="33"/>
        <v>1543.8999999999764</v>
      </c>
      <c r="E540" s="373">
        <f t="shared" si="31"/>
        <v>1604.1120999999755</v>
      </c>
      <c r="F540" s="373">
        <f t="shared" si="32"/>
        <v>1543.8999999999764</v>
      </c>
    </row>
    <row r="541" spans="4:6" x14ac:dyDescent="0.25">
      <c r="D541" s="105">
        <f t="shared" si="33"/>
        <v>1543.9499999999764</v>
      </c>
      <c r="E541" s="373">
        <f t="shared" si="31"/>
        <v>1604.1640499999755</v>
      </c>
      <c r="F541" s="373">
        <f t="shared" si="32"/>
        <v>1543.9499999999764</v>
      </c>
    </row>
    <row r="542" spans="4:6" x14ac:dyDescent="0.25">
      <c r="D542" s="105">
        <f t="shared" si="33"/>
        <v>1543.9999999999764</v>
      </c>
      <c r="E542" s="373">
        <f t="shared" si="31"/>
        <v>1604.2159999999753</v>
      </c>
      <c r="F542" s="373">
        <f t="shared" si="32"/>
        <v>1543.9999999999764</v>
      </c>
    </row>
    <row r="543" spans="4:6" x14ac:dyDescent="0.25">
      <c r="D543" s="105">
        <f t="shared" si="33"/>
        <v>1544.0499999999763</v>
      </c>
      <c r="E543" s="373">
        <f t="shared" si="31"/>
        <v>1604.2679499999754</v>
      </c>
      <c r="F543" s="373">
        <f t="shared" si="32"/>
        <v>1544.0499999999763</v>
      </c>
    </row>
    <row r="544" spans="4:6" x14ac:dyDescent="0.25">
      <c r="D544" s="105">
        <f t="shared" si="33"/>
        <v>1544.0999999999763</v>
      </c>
      <c r="E544" s="373">
        <f t="shared" si="31"/>
        <v>1604.3198999999754</v>
      </c>
      <c r="F544" s="373">
        <f t="shared" si="32"/>
        <v>1544.0999999999763</v>
      </c>
    </row>
    <row r="545" spans="4:6" x14ac:dyDescent="0.25">
      <c r="D545" s="105">
        <f t="shared" si="33"/>
        <v>1544.1499999999762</v>
      </c>
      <c r="E545" s="373">
        <f t="shared" si="31"/>
        <v>1604.3718499999752</v>
      </c>
      <c r="F545" s="373">
        <f t="shared" si="32"/>
        <v>1544.1499999999762</v>
      </c>
    </row>
    <row r="546" spans="4:6" x14ac:dyDescent="0.25">
      <c r="D546" s="105">
        <f t="shared" si="33"/>
        <v>1544.1999999999762</v>
      </c>
      <c r="E546" s="373">
        <f t="shared" si="31"/>
        <v>1604.4237999999752</v>
      </c>
      <c r="F546" s="373">
        <f t="shared" si="32"/>
        <v>1544.1999999999762</v>
      </c>
    </row>
    <row r="547" spans="4:6" x14ac:dyDescent="0.25">
      <c r="D547" s="105">
        <f t="shared" si="33"/>
        <v>1544.2499999999761</v>
      </c>
      <c r="E547" s="373">
        <f t="shared" si="31"/>
        <v>1604.4757499999753</v>
      </c>
      <c r="F547" s="373">
        <f t="shared" si="32"/>
        <v>1544.2499999999761</v>
      </c>
    </row>
    <row r="548" spans="4:6" x14ac:dyDescent="0.25">
      <c r="D548" s="105">
        <f t="shared" si="33"/>
        <v>1544.2999999999761</v>
      </c>
      <c r="E548" s="373">
        <f t="shared" si="31"/>
        <v>1604.5276999999751</v>
      </c>
      <c r="F548" s="373">
        <f t="shared" si="32"/>
        <v>1544.2999999999761</v>
      </c>
    </row>
    <row r="549" spans="4:6" x14ac:dyDescent="0.25">
      <c r="D549" s="105">
        <f t="shared" si="33"/>
        <v>1544.349999999976</v>
      </c>
      <c r="E549" s="373">
        <f t="shared" si="31"/>
        <v>1604.5796499999751</v>
      </c>
      <c r="F549" s="373">
        <f t="shared" si="32"/>
        <v>1544.349999999976</v>
      </c>
    </row>
    <row r="550" spans="4:6" x14ac:dyDescent="0.25">
      <c r="D550" s="105">
        <f t="shared" si="33"/>
        <v>1544.399999999976</v>
      </c>
      <c r="E550" s="373">
        <f t="shared" si="31"/>
        <v>1604.6315999999752</v>
      </c>
      <c r="F550" s="373">
        <f t="shared" si="32"/>
        <v>1544.399999999976</v>
      </c>
    </row>
    <row r="551" spans="4:6" x14ac:dyDescent="0.25">
      <c r="D551" s="105">
        <f t="shared" si="33"/>
        <v>1544.4499999999759</v>
      </c>
      <c r="E551" s="373">
        <f t="shared" si="31"/>
        <v>1604.683549999975</v>
      </c>
      <c r="F551" s="373">
        <f t="shared" si="32"/>
        <v>1544.4499999999759</v>
      </c>
    </row>
    <row r="552" spans="4:6" x14ac:dyDescent="0.25">
      <c r="D552" s="105">
        <f t="shared" si="33"/>
        <v>1544.4999999999759</v>
      </c>
      <c r="E552" s="373">
        <f t="shared" si="31"/>
        <v>1604.735499999975</v>
      </c>
      <c r="F552" s="373">
        <f t="shared" si="32"/>
        <v>1544.4999999999759</v>
      </c>
    </row>
    <row r="553" spans="4:6" x14ac:dyDescent="0.25">
      <c r="D553" s="105">
        <f t="shared" si="33"/>
        <v>1544.5499999999759</v>
      </c>
      <c r="E553" s="373">
        <f t="shared" si="31"/>
        <v>1604.7874499999748</v>
      </c>
      <c r="F553" s="373">
        <f t="shared" si="32"/>
        <v>1544.5499999999759</v>
      </c>
    </row>
    <row r="554" spans="4:6" x14ac:dyDescent="0.25">
      <c r="D554" s="105">
        <f t="shared" si="33"/>
        <v>1544.5999999999758</v>
      </c>
      <c r="E554" s="373">
        <f t="shared" si="31"/>
        <v>1604.8393999999748</v>
      </c>
      <c r="F554" s="373">
        <f t="shared" si="32"/>
        <v>1544.5999999999758</v>
      </c>
    </row>
    <row r="555" spans="4:6" x14ac:dyDescent="0.25">
      <c r="D555" s="105">
        <f t="shared" si="33"/>
        <v>1544.6499999999758</v>
      </c>
      <c r="E555" s="373">
        <f t="shared" si="31"/>
        <v>1604.8913499999749</v>
      </c>
      <c r="F555" s="373">
        <f t="shared" si="32"/>
        <v>1544.6499999999758</v>
      </c>
    </row>
    <row r="556" spans="4:6" x14ac:dyDescent="0.25">
      <c r="D556" s="105">
        <f t="shared" si="33"/>
        <v>1544.6999999999757</v>
      </c>
      <c r="E556" s="373">
        <f t="shared" si="31"/>
        <v>1604.9432999999747</v>
      </c>
      <c r="F556" s="373">
        <f t="shared" si="32"/>
        <v>1544.6999999999757</v>
      </c>
    </row>
    <row r="557" spans="4:6" x14ac:dyDescent="0.25">
      <c r="D557" s="105">
        <f t="shared" si="33"/>
        <v>1544.7499999999757</v>
      </c>
      <c r="E557" s="373">
        <f t="shared" si="31"/>
        <v>1604.9952499999747</v>
      </c>
      <c r="F557" s="373">
        <f t="shared" si="32"/>
        <v>1544.7499999999757</v>
      </c>
    </row>
    <row r="558" spans="4:6" x14ac:dyDescent="0.25">
      <c r="D558" s="105">
        <f t="shared" si="33"/>
        <v>1544.7999999999756</v>
      </c>
      <c r="E558" s="373">
        <f t="shared" si="31"/>
        <v>1605.0471999999747</v>
      </c>
      <c r="F558" s="373">
        <f t="shared" si="32"/>
        <v>1544.7999999999756</v>
      </c>
    </row>
    <row r="559" spans="4:6" x14ac:dyDescent="0.25">
      <c r="D559" s="105">
        <f t="shared" si="33"/>
        <v>1544.8499999999756</v>
      </c>
      <c r="E559" s="373">
        <f t="shared" si="31"/>
        <v>1605.0991499999745</v>
      </c>
      <c r="F559" s="373">
        <f t="shared" si="32"/>
        <v>1544.8499999999756</v>
      </c>
    </row>
    <row r="560" spans="4:6" x14ac:dyDescent="0.25">
      <c r="D560" s="105">
        <f t="shared" si="33"/>
        <v>1544.8999999999755</v>
      </c>
      <c r="E560" s="373">
        <f t="shared" si="31"/>
        <v>1605.1510999999746</v>
      </c>
      <c r="F560" s="373">
        <f t="shared" si="32"/>
        <v>1544.8999999999755</v>
      </c>
    </row>
    <row r="561" spans="4:6" x14ac:dyDescent="0.25">
      <c r="D561" s="105">
        <f t="shared" si="33"/>
        <v>1544.9499999999755</v>
      </c>
      <c r="E561" s="373">
        <f t="shared" si="31"/>
        <v>1605.2030499999746</v>
      </c>
      <c r="F561" s="373">
        <f t="shared" si="32"/>
        <v>1544.9499999999755</v>
      </c>
    </row>
    <row r="562" spans="4:6" x14ac:dyDescent="0.25">
      <c r="D562" s="105">
        <f t="shared" si="33"/>
        <v>1544.9999999999754</v>
      </c>
      <c r="E562" s="373">
        <f t="shared" si="31"/>
        <v>1605.2549999999744</v>
      </c>
      <c r="F562" s="373">
        <f t="shared" si="32"/>
        <v>1544.9999999999754</v>
      </c>
    </row>
    <row r="563" spans="4:6" x14ac:dyDescent="0.25">
      <c r="D563" s="105">
        <f t="shared" si="33"/>
        <v>1545.0499999999754</v>
      </c>
      <c r="E563" s="373">
        <f t="shared" si="31"/>
        <v>1605.3069499999744</v>
      </c>
      <c r="F563" s="373">
        <f t="shared" si="32"/>
        <v>1545.0499999999754</v>
      </c>
    </row>
    <row r="564" spans="4:6" x14ac:dyDescent="0.25">
      <c r="D564" s="105">
        <f t="shared" si="33"/>
        <v>1545.0999999999754</v>
      </c>
      <c r="E564" s="373">
        <f t="shared" si="31"/>
        <v>1605.3588999999745</v>
      </c>
      <c r="F564" s="373">
        <f t="shared" si="32"/>
        <v>1545.0999999999754</v>
      </c>
    </row>
    <row r="565" spans="4:6" x14ac:dyDescent="0.25">
      <c r="D565" s="105">
        <f t="shared" si="33"/>
        <v>1545.1499999999753</v>
      </c>
      <c r="E565" s="373">
        <f t="shared" si="31"/>
        <v>1605.4108499999743</v>
      </c>
      <c r="F565" s="373">
        <f t="shared" si="32"/>
        <v>1545.1499999999753</v>
      </c>
    </row>
    <row r="566" spans="4:6" x14ac:dyDescent="0.25">
      <c r="D566" s="105">
        <f t="shared" si="33"/>
        <v>1545.1999999999753</v>
      </c>
      <c r="E566" s="373">
        <f t="shared" si="31"/>
        <v>1605.4627999999743</v>
      </c>
      <c r="F566" s="373">
        <f t="shared" si="32"/>
        <v>1545.1999999999753</v>
      </c>
    </row>
    <row r="567" spans="4:6" x14ac:dyDescent="0.25">
      <c r="D567" s="105">
        <f t="shared" si="33"/>
        <v>1545.2499999999752</v>
      </c>
      <c r="E567" s="373">
        <f t="shared" si="31"/>
        <v>1605.5147499999744</v>
      </c>
      <c r="F567" s="373">
        <f t="shared" si="32"/>
        <v>1545.2499999999752</v>
      </c>
    </row>
    <row r="568" spans="4:6" x14ac:dyDescent="0.25">
      <c r="D568" s="105">
        <f t="shared" si="33"/>
        <v>1545.2999999999752</v>
      </c>
      <c r="E568" s="373">
        <f t="shared" si="31"/>
        <v>1605.5666999999742</v>
      </c>
      <c r="F568" s="373">
        <f t="shared" si="32"/>
        <v>1545.2999999999752</v>
      </c>
    </row>
    <row r="569" spans="4:6" x14ac:dyDescent="0.25">
      <c r="D569" s="105">
        <f t="shared" si="33"/>
        <v>1545.3499999999751</v>
      </c>
      <c r="E569" s="373">
        <f t="shared" si="31"/>
        <v>1605.6186499999742</v>
      </c>
      <c r="F569" s="373">
        <f t="shared" si="32"/>
        <v>1545.3499999999751</v>
      </c>
    </row>
    <row r="570" spans="4:6" x14ac:dyDescent="0.25">
      <c r="D570" s="105">
        <f t="shared" si="33"/>
        <v>1545.3999999999751</v>
      </c>
      <c r="E570" s="373">
        <f t="shared" si="31"/>
        <v>1605.670599999974</v>
      </c>
      <c r="F570" s="373">
        <f t="shared" si="32"/>
        <v>1545.3999999999751</v>
      </c>
    </row>
    <row r="571" spans="4:6" x14ac:dyDescent="0.25">
      <c r="D571" s="105">
        <f t="shared" si="33"/>
        <v>1545.449999999975</v>
      </c>
      <c r="E571" s="373">
        <f t="shared" si="31"/>
        <v>1605.722549999974</v>
      </c>
      <c r="F571" s="373">
        <f t="shared" si="32"/>
        <v>1545.449999999975</v>
      </c>
    </row>
    <row r="572" spans="4:6" x14ac:dyDescent="0.25">
      <c r="D572" s="105">
        <f t="shared" si="33"/>
        <v>1545.499999999975</v>
      </c>
      <c r="E572" s="373">
        <f t="shared" si="31"/>
        <v>1605.7744999999741</v>
      </c>
      <c r="F572" s="373">
        <f t="shared" si="32"/>
        <v>1545.499999999975</v>
      </c>
    </row>
    <row r="573" spans="4:6" x14ac:dyDescent="0.25">
      <c r="D573" s="105">
        <f t="shared" si="33"/>
        <v>1545.5499999999749</v>
      </c>
      <c r="E573" s="373">
        <f t="shared" si="31"/>
        <v>1605.8264499999739</v>
      </c>
      <c r="F573" s="373">
        <f t="shared" si="32"/>
        <v>1545.5499999999749</v>
      </c>
    </row>
    <row r="574" spans="4:6" x14ac:dyDescent="0.25">
      <c r="D574" s="105">
        <f t="shared" si="33"/>
        <v>1545.5999999999749</v>
      </c>
      <c r="E574" s="373">
        <f t="shared" si="31"/>
        <v>1605.8783999999739</v>
      </c>
      <c r="F574" s="373">
        <f t="shared" si="32"/>
        <v>1545.5999999999749</v>
      </c>
    </row>
    <row r="575" spans="4:6" x14ac:dyDescent="0.25">
      <c r="D575" s="105">
        <f t="shared" si="33"/>
        <v>1545.6499999999749</v>
      </c>
      <c r="E575" s="373">
        <f t="shared" si="31"/>
        <v>1605.9303499999739</v>
      </c>
      <c r="F575" s="373">
        <f t="shared" si="32"/>
        <v>1545.6499999999749</v>
      </c>
    </row>
    <row r="576" spans="4:6" x14ac:dyDescent="0.25">
      <c r="D576" s="105">
        <f t="shared" si="33"/>
        <v>1545.6999999999748</v>
      </c>
      <c r="E576" s="373">
        <f t="shared" si="31"/>
        <v>1605.9822999999737</v>
      </c>
      <c r="F576" s="373">
        <f t="shared" si="32"/>
        <v>1545.6999999999748</v>
      </c>
    </row>
    <row r="577" spans="4:6" x14ac:dyDescent="0.25">
      <c r="D577" s="105">
        <f t="shared" si="33"/>
        <v>1545.7499999999748</v>
      </c>
      <c r="E577" s="373">
        <f t="shared" si="31"/>
        <v>1606.0342499999738</v>
      </c>
      <c r="F577" s="373">
        <f t="shared" si="32"/>
        <v>1545.7499999999748</v>
      </c>
    </row>
    <row r="578" spans="4:6" x14ac:dyDescent="0.25">
      <c r="D578" s="105">
        <f t="shared" si="33"/>
        <v>1545.7999999999747</v>
      </c>
      <c r="E578" s="373">
        <f t="shared" si="31"/>
        <v>1606.0861999999738</v>
      </c>
      <c r="F578" s="373">
        <f t="shared" si="32"/>
        <v>1545.7999999999747</v>
      </c>
    </row>
    <row r="579" spans="4:6" x14ac:dyDescent="0.25">
      <c r="D579" s="105">
        <f t="shared" si="33"/>
        <v>1545.8499999999747</v>
      </c>
      <c r="E579" s="373">
        <f t="shared" si="31"/>
        <v>1606.1381499999736</v>
      </c>
      <c r="F579" s="373">
        <f t="shared" si="32"/>
        <v>1545.8499999999747</v>
      </c>
    </row>
    <row r="580" spans="4:6" x14ac:dyDescent="0.25">
      <c r="D580" s="105">
        <f t="shared" si="33"/>
        <v>1545.8999999999746</v>
      </c>
      <c r="E580" s="373">
        <f t="shared" si="31"/>
        <v>1606.1900999999737</v>
      </c>
      <c r="F580" s="373">
        <f t="shared" si="32"/>
        <v>1545.8999999999746</v>
      </c>
    </row>
    <row r="581" spans="4:6" x14ac:dyDescent="0.25">
      <c r="D581" s="105">
        <f t="shared" si="33"/>
        <v>1545.9499999999746</v>
      </c>
      <c r="E581" s="373">
        <f t="shared" si="31"/>
        <v>1606.2420499999737</v>
      </c>
      <c r="F581" s="373">
        <f t="shared" si="32"/>
        <v>1545.9499999999746</v>
      </c>
    </row>
    <row r="582" spans="4:6" x14ac:dyDescent="0.25">
      <c r="D582" s="105">
        <f t="shared" si="33"/>
        <v>1545.9999999999745</v>
      </c>
      <c r="E582" s="373">
        <f t="shared" si="31"/>
        <v>1606.2939999999735</v>
      </c>
      <c r="F582" s="373">
        <f t="shared" si="32"/>
        <v>1545.9999999999745</v>
      </c>
    </row>
    <row r="583" spans="4:6" x14ac:dyDescent="0.25">
      <c r="D583" s="105">
        <f t="shared" si="33"/>
        <v>1546.0499999999745</v>
      </c>
      <c r="E583" s="373">
        <f t="shared" si="31"/>
        <v>1606.3459499999735</v>
      </c>
      <c r="F583" s="373">
        <f t="shared" si="32"/>
        <v>1546.0499999999745</v>
      </c>
    </row>
    <row r="584" spans="4:6" x14ac:dyDescent="0.25">
      <c r="D584" s="105">
        <f t="shared" si="33"/>
        <v>1546.0999999999744</v>
      </c>
      <c r="E584" s="373">
        <f t="shared" si="31"/>
        <v>1606.3978999999736</v>
      </c>
      <c r="F584" s="373">
        <f t="shared" si="32"/>
        <v>1546.0999999999744</v>
      </c>
    </row>
    <row r="585" spans="4:6" x14ac:dyDescent="0.25">
      <c r="D585" s="105">
        <f t="shared" si="33"/>
        <v>1546.1499999999744</v>
      </c>
      <c r="E585" s="373">
        <f t="shared" si="31"/>
        <v>1606.4498499999734</v>
      </c>
      <c r="F585" s="373">
        <f t="shared" si="32"/>
        <v>1546.1499999999744</v>
      </c>
    </row>
    <row r="586" spans="4:6" x14ac:dyDescent="0.25">
      <c r="D586" s="105">
        <f t="shared" si="33"/>
        <v>1546.1999999999744</v>
      </c>
      <c r="E586" s="373">
        <f t="shared" si="31"/>
        <v>1606.5017999999734</v>
      </c>
      <c r="F586" s="373">
        <f t="shared" si="32"/>
        <v>1546.1999999999744</v>
      </c>
    </row>
    <row r="587" spans="4:6" x14ac:dyDescent="0.25">
      <c r="D587" s="105">
        <f t="shared" si="33"/>
        <v>1546.2499999999743</v>
      </c>
      <c r="E587" s="373">
        <f t="shared" si="31"/>
        <v>1606.5537499999732</v>
      </c>
      <c r="F587" s="373">
        <f t="shared" si="32"/>
        <v>1546.2499999999743</v>
      </c>
    </row>
    <row r="588" spans="4:6" x14ac:dyDescent="0.25">
      <c r="D588" s="105">
        <f t="shared" si="33"/>
        <v>1546.2999999999743</v>
      </c>
      <c r="E588" s="373">
        <f t="shared" si="31"/>
        <v>1606.6056999999732</v>
      </c>
      <c r="F588" s="373">
        <f t="shared" si="32"/>
        <v>1546.2999999999743</v>
      </c>
    </row>
    <row r="589" spans="4:6" x14ac:dyDescent="0.25">
      <c r="D589" s="105">
        <f t="shared" si="33"/>
        <v>1546.3499999999742</v>
      </c>
      <c r="E589" s="373">
        <f t="shared" si="31"/>
        <v>1606.6576499999733</v>
      </c>
      <c r="F589" s="373">
        <f t="shared" si="32"/>
        <v>1546.3499999999742</v>
      </c>
    </row>
    <row r="590" spans="4:6" x14ac:dyDescent="0.25">
      <c r="D590" s="105">
        <f t="shared" si="33"/>
        <v>1546.3999999999742</v>
      </c>
      <c r="E590" s="373">
        <f t="shared" si="31"/>
        <v>1606.7095999999731</v>
      </c>
      <c r="F590" s="373">
        <f t="shared" si="32"/>
        <v>1546.3999999999742</v>
      </c>
    </row>
    <row r="591" spans="4:6" x14ac:dyDescent="0.25">
      <c r="D591" s="105">
        <f t="shared" si="33"/>
        <v>1546.4499999999741</v>
      </c>
      <c r="E591" s="373">
        <f t="shared" si="31"/>
        <v>1606.7615499999731</v>
      </c>
      <c r="F591" s="373">
        <f t="shared" si="32"/>
        <v>1546.4499999999741</v>
      </c>
    </row>
    <row r="592" spans="4:6" x14ac:dyDescent="0.25">
      <c r="D592" s="105">
        <f t="shared" si="33"/>
        <v>1546.4999999999741</v>
      </c>
      <c r="E592" s="373">
        <f t="shared" si="31"/>
        <v>1606.8134999999731</v>
      </c>
      <c r="F592" s="373">
        <f t="shared" si="32"/>
        <v>1546.4999999999741</v>
      </c>
    </row>
    <row r="593" spans="4:6" x14ac:dyDescent="0.25">
      <c r="D593" s="105">
        <f t="shared" si="33"/>
        <v>1546.549999999974</v>
      </c>
      <c r="E593" s="373">
        <f t="shared" si="31"/>
        <v>1606.865449999973</v>
      </c>
      <c r="F593" s="373">
        <f t="shared" si="32"/>
        <v>1546.549999999974</v>
      </c>
    </row>
    <row r="594" spans="4:6" x14ac:dyDescent="0.25">
      <c r="D594" s="105">
        <f t="shared" si="33"/>
        <v>1546.599999999974</v>
      </c>
      <c r="E594" s="373">
        <f t="shared" si="31"/>
        <v>1606.917399999973</v>
      </c>
      <c r="F594" s="373">
        <f t="shared" si="32"/>
        <v>1546.599999999974</v>
      </c>
    </row>
    <row r="595" spans="4:6" x14ac:dyDescent="0.25">
      <c r="D595" s="105">
        <f t="shared" si="33"/>
        <v>1546.6499999999739</v>
      </c>
      <c r="E595" s="373">
        <f t="shared" si="31"/>
        <v>1606.969349999973</v>
      </c>
      <c r="F595" s="373">
        <f t="shared" si="32"/>
        <v>1546.6499999999739</v>
      </c>
    </row>
    <row r="596" spans="4:6" x14ac:dyDescent="0.25">
      <c r="D596" s="105">
        <f t="shared" si="33"/>
        <v>1546.6999999999739</v>
      </c>
      <c r="E596" s="373">
        <f t="shared" si="31"/>
        <v>1607.0212999999728</v>
      </c>
      <c r="F596" s="373">
        <f t="shared" si="32"/>
        <v>1546.6999999999739</v>
      </c>
    </row>
    <row r="597" spans="4:6" x14ac:dyDescent="0.25">
      <c r="D597" s="105">
        <f t="shared" si="33"/>
        <v>1546.7499999999739</v>
      </c>
      <c r="E597" s="373">
        <f t="shared" si="31"/>
        <v>1607.0732499999729</v>
      </c>
      <c r="F597" s="373">
        <f t="shared" si="32"/>
        <v>1546.7499999999739</v>
      </c>
    </row>
    <row r="598" spans="4:6" x14ac:dyDescent="0.25">
      <c r="D598" s="105">
        <f t="shared" si="33"/>
        <v>1546.7999999999738</v>
      </c>
      <c r="E598" s="373">
        <f t="shared" si="31"/>
        <v>1607.1251999999729</v>
      </c>
      <c r="F598" s="373">
        <f t="shared" si="32"/>
        <v>1546.7999999999738</v>
      </c>
    </row>
    <row r="599" spans="4:6" x14ac:dyDescent="0.25">
      <c r="D599" s="105">
        <f t="shared" si="33"/>
        <v>1546.8499999999738</v>
      </c>
      <c r="E599" s="373">
        <f t="shared" ref="E599:E662" si="34">D599*$C$2 + D599</f>
        <v>1607.1771499999727</v>
      </c>
      <c r="F599" s="373">
        <f t="shared" ref="F599:F662" si="35">D599</f>
        <v>1546.8499999999738</v>
      </c>
    </row>
    <row r="600" spans="4:6" x14ac:dyDescent="0.25">
      <c r="D600" s="105">
        <f t="shared" ref="D600:D663" si="36">D599+0.05</f>
        <v>1546.8999999999737</v>
      </c>
      <c r="E600" s="373">
        <f t="shared" si="34"/>
        <v>1607.2290999999727</v>
      </c>
      <c r="F600" s="373">
        <f t="shared" si="35"/>
        <v>1546.8999999999737</v>
      </c>
    </row>
    <row r="601" spans="4:6" x14ac:dyDescent="0.25">
      <c r="D601" s="105">
        <f t="shared" si="36"/>
        <v>1546.9499999999737</v>
      </c>
      <c r="E601" s="373">
        <f t="shared" si="34"/>
        <v>1607.2810499999725</v>
      </c>
      <c r="F601" s="373">
        <f t="shared" si="35"/>
        <v>1546.9499999999737</v>
      </c>
    </row>
    <row r="602" spans="4:6" x14ac:dyDescent="0.25">
      <c r="D602" s="105">
        <f t="shared" si="36"/>
        <v>1546.9999999999736</v>
      </c>
      <c r="E602" s="373">
        <f t="shared" si="34"/>
        <v>1607.3329999999726</v>
      </c>
      <c r="F602" s="373">
        <f t="shared" si="35"/>
        <v>1546.9999999999736</v>
      </c>
    </row>
    <row r="603" spans="4:6" x14ac:dyDescent="0.25">
      <c r="D603" s="105">
        <f t="shared" si="36"/>
        <v>1547.0499999999736</v>
      </c>
      <c r="E603" s="373">
        <f t="shared" si="34"/>
        <v>1607.3849499999726</v>
      </c>
      <c r="F603" s="373">
        <f t="shared" si="35"/>
        <v>1547.0499999999736</v>
      </c>
    </row>
    <row r="604" spans="4:6" x14ac:dyDescent="0.25">
      <c r="D604" s="105">
        <f t="shared" si="36"/>
        <v>1547.0999999999735</v>
      </c>
      <c r="E604" s="373">
        <f t="shared" si="34"/>
        <v>1607.4368999999724</v>
      </c>
      <c r="F604" s="373">
        <f t="shared" si="35"/>
        <v>1547.0999999999735</v>
      </c>
    </row>
    <row r="605" spans="4:6" x14ac:dyDescent="0.25">
      <c r="D605" s="105">
        <f t="shared" si="36"/>
        <v>1547.1499999999735</v>
      </c>
      <c r="E605" s="373">
        <f t="shared" si="34"/>
        <v>1607.4888499999724</v>
      </c>
      <c r="F605" s="373">
        <f t="shared" si="35"/>
        <v>1547.1499999999735</v>
      </c>
    </row>
    <row r="606" spans="4:6" x14ac:dyDescent="0.25">
      <c r="D606" s="105">
        <f t="shared" si="36"/>
        <v>1547.1999999999734</v>
      </c>
      <c r="E606" s="373">
        <f t="shared" si="34"/>
        <v>1607.5407999999725</v>
      </c>
      <c r="F606" s="373">
        <f t="shared" si="35"/>
        <v>1547.1999999999734</v>
      </c>
    </row>
    <row r="607" spans="4:6" x14ac:dyDescent="0.25">
      <c r="D607" s="105">
        <f t="shared" si="36"/>
        <v>1547.2499999999734</v>
      </c>
      <c r="E607" s="373">
        <f t="shared" si="34"/>
        <v>1607.5927499999723</v>
      </c>
      <c r="F607" s="373">
        <f t="shared" si="35"/>
        <v>1547.2499999999734</v>
      </c>
    </row>
    <row r="608" spans="4:6" x14ac:dyDescent="0.25">
      <c r="D608" s="105">
        <f t="shared" si="36"/>
        <v>1547.2999999999734</v>
      </c>
      <c r="E608" s="373">
        <f t="shared" si="34"/>
        <v>1607.6446999999723</v>
      </c>
      <c r="F608" s="373">
        <f t="shared" si="35"/>
        <v>1547.2999999999734</v>
      </c>
    </row>
    <row r="609" spans="4:6" x14ac:dyDescent="0.25">
      <c r="D609" s="105">
        <f t="shared" si="36"/>
        <v>1547.3499999999733</v>
      </c>
      <c r="E609" s="373">
        <f t="shared" si="34"/>
        <v>1607.6966499999724</v>
      </c>
      <c r="F609" s="373">
        <f t="shared" si="35"/>
        <v>1547.3499999999733</v>
      </c>
    </row>
    <row r="610" spans="4:6" x14ac:dyDescent="0.25">
      <c r="D610" s="105">
        <f t="shared" si="36"/>
        <v>1547.3999999999733</v>
      </c>
      <c r="E610" s="373">
        <f t="shared" si="34"/>
        <v>1607.7485999999722</v>
      </c>
      <c r="F610" s="373">
        <f t="shared" si="35"/>
        <v>1547.3999999999733</v>
      </c>
    </row>
    <row r="611" spans="4:6" x14ac:dyDescent="0.25">
      <c r="D611" s="105">
        <f t="shared" si="36"/>
        <v>1547.4499999999732</v>
      </c>
      <c r="E611" s="373">
        <f t="shared" si="34"/>
        <v>1607.8005499999722</v>
      </c>
      <c r="F611" s="373">
        <f t="shared" si="35"/>
        <v>1547.4499999999732</v>
      </c>
    </row>
    <row r="612" spans="4:6" x14ac:dyDescent="0.25">
      <c r="D612" s="105">
        <f t="shared" si="36"/>
        <v>1547.4999999999732</v>
      </c>
      <c r="E612" s="373">
        <f t="shared" si="34"/>
        <v>1607.8524999999722</v>
      </c>
      <c r="F612" s="373">
        <f t="shared" si="35"/>
        <v>1547.4999999999732</v>
      </c>
    </row>
    <row r="613" spans="4:6" x14ac:dyDescent="0.25">
      <c r="D613" s="105">
        <f t="shared" si="36"/>
        <v>1547.5499999999731</v>
      </c>
      <c r="E613" s="373">
        <f t="shared" si="34"/>
        <v>1607.904449999972</v>
      </c>
      <c r="F613" s="373">
        <f t="shared" si="35"/>
        <v>1547.5499999999731</v>
      </c>
    </row>
    <row r="614" spans="4:6" x14ac:dyDescent="0.25">
      <c r="D614" s="105">
        <f t="shared" si="36"/>
        <v>1547.5999999999731</v>
      </c>
      <c r="E614" s="373">
        <f t="shared" si="34"/>
        <v>1607.9563999999721</v>
      </c>
      <c r="F614" s="373">
        <f t="shared" si="35"/>
        <v>1547.5999999999731</v>
      </c>
    </row>
    <row r="615" spans="4:6" x14ac:dyDescent="0.25">
      <c r="D615" s="105">
        <f t="shared" si="36"/>
        <v>1547.649999999973</v>
      </c>
      <c r="E615" s="373">
        <f t="shared" si="34"/>
        <v>1608.0083499999719</v>
      </c>
      <c r="F615" s="373">
        <f t="shared" si="35"/>
        <v>1547.649999999973</v>
      </c>
    </row>
    <row r="616" spans="4:6" x14ac:dyDescent="0.25">
      <c r="D616" s="105">
        <f t="shared" si="36"/>
        <v>1547.699999999973</v>
      </c>
      <c r="E616" s="373">
        <f t="shared" si="34"/>
        <v>1608.0602999999719</v>
      </c>
      <c r="F616" s="373">
        <f t="shared" si="35"/>
        <v>1547.699999999973</v>
      </c>
    </row>
    <row r="617" spans="4:6" x14ac:dyDescent="0.25">
      <c r="D617" s="105">
        <f t="shared" si="36"/>
        <v>1547.7499999999729</v>
      </c>
      <c r="E617" s="373">
        <f t="shared" si="34"/>
        <v>1608.1122499999719</v>
      </c>
      <c r="F617" s="373">
        <f t="shared" si="35"/>
        <v>1547.7499999999729</v>
      </c>
    </row>
    <row r="618" spans="4:6" x14ac:dyDescent="0.25">
      <c r="D618" s="105">
        <f t="shared" si="36"/>
        <v>1547.7999999999729</v>
      </c>
      <c r="E618" s="373">
        <f t="shared" si="34"/>
        <v>1608.1641999999717</v>
      </c>
      <c r="F618" s="373">
        <f t="shared" si="35"/>
        <v>1547.7999999999729</v>
      </c>
    </row>
    <row r="619" spans="4:6" x14ac:dyDescent="0.25">
      <c r="D619" s="105">
        <f t="shared" si="36"/>
        <v>1547.8499999999729</v>
      </c>
      <c r="E619" s="373">
        <f t="shared" si="34"/>
        <v>1608.2161499999718</v>
      </c>
      <c r="F619" s="373">
        <f t="shared" si="35"/>
        <v>1547.8499999999729</v>
      </c>
    </row>
    <row r="620" spans="4:6" x14ac:dyDescent="0.25">
      <c r="D620" s="105">
        <f t="shared" si="36"/>
        <v>1547.8999999999728</v>
      </c>
      <c r="E620" s="373">
        <f t="shared" si="34"/>
        <v>1608.2680999999718</v>
      </c>
      <c r="F620" s="373">
        <f t="shared" si="35"/>
        <v>1547.8999999999728</v>
      </c>
    </row>
    <row r="621" spans="4:6" x14ac:dyDescent="0.25">
      <c r="D621" s="105">
        <f t="shared" si="36"/>
        <v>1547.9499999999728</v>
      </c>
      <c r="E621" s="373">
        <f t="shared" si="34"/>
        <v>1608.3200499999716</v>
      </c>
      <c r="F621" s="373">
        <f t="shared" si="35"/>
        <v>1547.9499999999728</v>
      </c>
    </row>
    <row r="622" spans="4:6" x14ac:dyDescent="0.25">
      <c r="D622" s="105">
        <f t="shared" si="36"/>
        <v>1547.9999999999727</v>
      </c>
      <c r="E622" s="373">
        <f t="shared" si="34"/>
        <v>1608.3719999999716</v>
      </c>
      <c r="F622" s="373">
        <f t="shared" si="35"/>
        <v>1547.9999999999727</v>
      </c>
    </row>
    <row r="623" spans="4:6" x14ac:dyDescent="0.25">
      <c r="D623" s="105">
        <f t="shared" si="36"/>
        <v>1548.0499999999727</v>
      </c>
      <c r="E623" s="373">
        <f t="shared" si="34"/>
        <v>1608.4239499999717</v>
      </c>
      <c r="F623" s="373">
        <f t="shared" si="35"/>
        <v>1548.0499999999727</v>
      </c>
    </row>
    <row r="624" spans="4:6" x14ac:dyDescent="0.25">
      <c r="D624" s="105">
        <f t="shared" si="36"/>
        <v>1548.0999999999726</v>
      </c>
      <c r="E624" s="373">
        <f t="shared" si="34"/>
        <v>1608.4758999999715</v>
      </c>
      <c r="F624" s="373">
        <f t="shared" si="35"/>
        <v>1548.0999999999726</v>
      </c>
    </row>
    <row r="625" spans="4:6" x14ac:dyDescent="0.25">
      <c r="D625" s="105">
        <f t="shared" si="36"/>
        <v>1548.1499999999726</v>
      </c>
      <c r="E625" s="373">
        <f t="shared" si="34"/>
        <v>1608.5278499999715</v>
      </c>
      <c r="F625" s="373">
        <f t="shared" si="35"/>
        <v>1548.1499999999726</v>
      </c>
    </row>
    <row r="626" spans="4:6" x14ac:dyDescent="0.25">
      <c r="D626" s="105">
        <f t="shared" si="36"/>
        <v>1548.1999999999725</v>
      </c>
      <c r="E626" s="373">
        <f t="shared" si="34"/>
        <v>1608.5797999999716</v>
      </c>
      <c r="F626" s="373">
        <f t="shared" si="35"/>
        <v>1548.1999999999725</v>
      </c>
    </row>
    <row r="627" spans="4:6" x14ac:dyDescent="0.25">
      <c r="D627" s="105">
        <f t="shared" si="36"/>
        <v>1548.2499999999725</v>
      </c>
      <c r="E627" s="373">
        <f t="shared" si="34"/>
        <v>1608.6317499999714</v>
      </c>
      <c r="F627" s="373">
        <f t="shared" si="35"/>
        <v>1548.2499999999725</v>
      </c>
    </row>
    <row r="628" spans="4:6" x14ac:dyDescent="0.25">
      <c r="D628" s="105">
        <f t="shared" si="36"/>
        <v>1548.2999999999724</v>
      </c>
      <c r="E628" s="373">
        <f t="shared" si="34"/>
        <v>1608.6836999999714</v>
      </c>
      <c r="F628" s="373">
        <f t="shared" si="35"/>
        <v>1548.2999999999724</v>
      </c>
    </row>
    <row r="629" spans="4:6" x14ac:dyDescent="0.25">
      <c r="D629" s="105">
        <f t="shared" si="36"/>
        <v>1548.3499999999724</v>
      </c>
      <c r="E629" s="373">
        <f t="shared" si="34"/>
        <v>1608.7356499999714</v>
      </c>
      <c r="F629" s="373">
        <f t="shared" si="35"/>
        <v>1548.3499999999724</v>
      </c>
    </row>
    <row r="630" spans="4:6" x14ac:dyDescent="0.25">
      <c r="D630" s="105">
        <f t="shared" si="36"/>
        <v>1548.3999999999724</v>
      </c>
      <c r="E630" s="373">
        <f t="shared" si="34"/>
        <v>1608.7875999999712</v>
      </c>
      <c r="F630" s="373">
        <f t="shared" si="35"/>
        <v>1548.3999999999724</v>
      </c>
    </row>
    <row r="631" spans="4:6" x14ac:dyDescent="0.25">
      <c r="D631" s="105">
        <f t="shared" si="36"/>
        <v>1548.4499999999723</v>
      </c>
      <c r="E631" s="373">
        <f t="shared" si="34"/>
        <v>1608.8395499999713</v>
      </c>
      <c r="F631" s="373">
        <f t="shared" si="35"/>
        <v>1548.4499999999723</v>
      </c>
    </row>
    <row r="632" spans="4:6" x14ac:dyDescent="0.25">
      <c r="D632" s="105">
        <f t="shared" si="36"/>
        <v>1548.4999999999723</v>
      </c>
      <c r="E632" s="373">
        <f t="shared" si="34"/>
        <v>1608.8914999999711</v>
      </c>
      <c r="F632" s="373">
        <f t="shared" si="35"/>
        <v>1548.4999999999723</v>
      </c>
    </row>
    <row r="633" spans="4:6" x14ac:dyDescent="0.25">
      <c r="D633" s="105">
        <f t="shared" si="36"/>
        <v>1548.5499999999722</v>
      </c>
      <c r="E633" s="373">
        <f t="shared" si="34"/>
        <v>1608.9434499999711</v>
      </c>
      <c r="F633" s="373">
        <f t="shared" si="35"/>
        <v>1548.5499999999722</v>
      </c>
    </row>
    <row r="634" spans="4:6" x14ac:dyDescent="0.25">
      <c r="D634" s="105">
        <f t="shared" si="36"/>
        <v>1548.5999999999722</v>
      </c>
      <c r="E634" s="373">
        <f t="shared" si="34"/>
        <v>1608.9953999999711</v>
      </c>
      <c r="F634" s="373">
        <f t="shared" si="35"/>
        <v>1548.5999999999722</v>
      </c>
    </row>
    <row r="635" spans="4:6" x14ac:dyDescent="0.25">
      <c r="D635" s="105">
        <f t="shared" si="36"/>
        <v>1548.6499999999721</v>
      </c>
      <c r="E635" s="373">
        <f t="shared" si="34"/>
        <v>1609.0473499999709</v>
      </c>
      <c r="F635" s="373">
        <f t="shared" si="35"/>
        <v>1548.6499999999721</v>
      </c>
    </row>
    <row r="636" spans="4:6" x14ac:dyDescent="0.25">
      <c r="D636" s="105">
        <f t="shared" si="36"/>
        <v>1548.6999999999721</v>
      </c>
      <c r="E636" s="373">
        <f t="shared" si="34"/>
        <v>1609.099299999971</v>
      </c>
      <c r="F636" s="373">
        <f t="shared" si="35"/>
        <v>1548.6999999999721</v>
      </c>
    </row>
    <row r="637" spans="4:6" x14ac:dyDescent="0.25">
      <c r="D637" s="105">
        <f t="shared" si="36"/>
        <v>1548.749999999972</v>
      </c>
      <c r="E637" s="373">
        <f t="shared" si="34"/>
        <v>1609.151249999971</v>
      </c>
      <c r="F637" s="373">
        <f t="shared" si="35"/>
        <v>1548.749999999972</v>
      </c>
    </row>
    <row r="638" spans="4:6" x14ac:dyDescent="0.25">
      <c r="D638" s="105">
        <f t="shared" si="36"/>
        <v>1548.799999999972</v>
      </c>
      <c r="E638" s="373">
        <f t="shared" si="34"/>
        <v>1609.2031999999708</v>
      </c>
      <c r="F638" s="373">
        <f t="shared" si="35"/>
        <v>1548.799999999972</v>
      </c>
    </row>
    <row r="639" spans="4:6" x14ac:dyDescent="0.25">
      <c r="D639" s="105">
        <f t="shared" si="36"/>
        <v>1548.8499999999719</v>
      </c>
      <c r="E639" s="373">
        <f t="shared" si="34"/>
        <v>1609.2551499999709</v>
      </c>
      <c r="F639" s="373">
        <f t="shared" si="35"/>
        <v>1548.8499999999719</v>
      </c>
    </row>
    <row r="640" spans="4:6" x14ac:dyDescent="0.25">
      <c r="D640" s="105">
        <f t="shared" si="36"/>
        <v>1548.8999999999719</v>
      </c>
      <c r="E640" s="373">
        <f t="shared" si="34"/>
        <v>1609.3070999999709</v>
      </c>
      <c r="F640" s="373">
        <f t="shared" si="35"/>
        <v>1548.8999999999719</v>
      </c>
    </row>
    <row r="641" spans="4:6" x14ac:dyDescent="0.25">
      <c r="D641" s="105">
        <f t="shared" si="36"/>
        <v>1548.9499999999719</v>
      </c>
      <c r="E641" s="373">
        <f t="shared" si="34"/>
        <v>1609.3590499999707</v>
      </c>
      <c r="F641" s="373">
        <f t="shared" si="35"/>
        <v>1548.9499999999719</v>
      </c>
    </row>
    <row r="642" spans="4:6" x14ac:dyDescent="0.25">
      <c r="D642" s="105">
        <f t="shared" si="36"/>
        <v>1548.9999999999718</v>
      </c>
      <c r="E642" s="373">
        <f t="shared" si="34"/>
        <v>1609.4109999999707</v>
      </c>
      <c r="F642" s="373">
        <f t="shared" si="35"/>
        <v>1548.9999999999718</v>
      </c>
    </row>
    <row r="643" spans="4:6" x14ac:dyDescent="0.25">
      <c r="D643" s="105">
        <f t="shared" si="36"/>
        <v>1549.0499999999718</v>
      </c>
      <c r="E643" s="373">
        <f t="shared" si="34"/>
        <v>1609.4629499999708</v>
      </c>
      <c r="F643" s="373">
        <f t="shared" si="35"/>
        <v>1549.0499999999718</v>
      </c>
    </row>
    <row r="644" spans="4:6" x14ac:dyDescent="0.25">
      <c r="D644" s="105">
        <f t="shared" si="36"/>
        <v>1549.0999999999717</v>
      </c>
      <c r="E644" s="373">
        <f t="shared" si="34"/>
        <v>1609.5148999999706</v>
      </c>
      <c r="F644" s="373">
        <f t="shared" si="35"/>
        <v>1549.0999999999717</v>
      </c>
    </row>
    <row r="645" spans="4:6" x14ac:dyDescent="0.25">
      <c r="D645" s="105">
        <f t="shared" si="36"/>
        <v>1549.1499999999717</v>
      </c>
      <c r="E645" s="373">
        <f t="shared" si="34"/>
        <v>1609.5668499999706</v>
      </c>
      <c r="F645" s="373">
        <f t="shared" si="35"/>
        <v>1549.1499999999717</v>
      </c>
    </row>
    <row r="646" spans="4:6" x14ac:dyDescent="0.25">
      <c r="D646" s="105">
        <f t="shared" si="36"/>
        <v>1549.1999999999716</v>
      </c>
      <c r="E646" s="373">
        <f t="shared" si="34"/>
        <v>1609.6187999999706</v>
      </c>
      <c r="F646" s="373">
        <f t="shared" si="35"/>
        <v>1549.1999999999716</v>
      </c>
    </row>
    <row r="647" spans="4:6" x14ac:dyDescent="0.25">
      <c r="D647" s="105">
        <f t="shared" si="36"/>
        <v>1549.2499999999716</v>
      </c>
      <c r="E647" s="373">
        <f t="shared" si="34"/>
        <v>1609.6707499999704</v>
      </c>
      <c r="F647" s="373">
        <f t="shared" si="35"/>
        <v>1549.2499999999716</v>
      </c>
    </row>
    <row r="648" spans="4:6" x14ac:dyDescent="0.25">
      <c r="D648" s="105">
        <f t="shared" si="36"/>
        <v>1549.2999999999715</v>
      </c>
      <c r="E648" s="373">
        <f t="shared" si="34"/>
        <v>1609.7226999999705</v>
      </c>
      <c r="F648" s="373">
        <f t="shared" si="35"/>
        <v>1549.2999999999715</v>
      </c>
    </row>
    <row r="649" spans="4:6" x14ac:dyDescent="0.25">
      <c r="D649" s="105">
        <f t="shared" si="36"/>
        <v>1549.3499999999715</v>
      </c>
      <c r="E649" s="373">
        <f t="shared" si="34"/>
        <v>1609.7746499999703</v>
      </c>
      <c r="F649" s="373">
        <f t="shared" si="35"/>
        <v>1549.3499999999715</v>
      </c>
    </row>
    <row r="650" spans="4:6" x14ac:dyDescent="0.25">
      <c r="D650" s="105">
        <f t="shared" si="36"/>
        <v>1549.3999999999714</v>
      </c>
      <c r="E650" s="373">
        <f t="shared" si="34"/>
        <v>1609.8265999999703</v>
      </c>
      <c r="F650" s="373">
        <f t="shared" si="35"/>
        <v>1549.3999999999714</v>
      </c>
    </row>
    <row r="651" spans="4:6" x14ac:dyDescent="0.25">
      <c r="D651" s="105">
        <f t="shared" si="36"/>
        <v>1549.4499999999714</v>
      </c>
      <c r="E651" s="373">
        <f t="shared" si="34"/>
        <v>1609.8785499999703</v>
      </c>
      <c r="F651" s="373">
        <f t="shared" si="35"/>
        <v>1549.4499999999714</v>
      </c>
    </row>
    <row r="652" spans="4:6" x14ac:dyDescent="0.25">
      <c r="D652" s="105">
        <f t="shared" si="36"/>
        <v>1549.4999999999714</v>
      </c>
      <c r="E652" s="373">
        <f t="shared" si="34"/>
        <v>1609.9304999999702</v>
      </c>
      <c r="F652" s="373">
        <f t="shared" si="35"/>
        <v>1549.4999999999714</v>
      </c>
    </row>
    <row r="653" spans="4:6" x14ac:dyDescent="0.25">
      <c r="D653" s="105">
        <f t="shared" si="36"/>
        <v>1549.5499999999713</v>
      </c>
      <c r="E653" s="373">
        <f t="shared" si="34"/>
        <v>1609.9824499999702</v>
      </c>
      <c r="F653" s="373">
        <f t="shared" si="35"/>
        <v>1549.5499999999713</v>
      </c>
    </row>
    <row r="654" spans="4:6" x14ac:dyDescent="0.25">
      <c r="D654" s="105">
        <f t="shared" si="36"/>
        <v>1549.5999999999713</v>
      </c>
      <c r="E654" s="373">
        <f t="shared" si="34"/>
        <v>1610.0343999999702</v>
      </c>
      <c r="F654" s="373">
        <f t="shared" si="35"/>
        <v>1549.5999999999713</v>
      </c>
    </row>
    <row r="655" spans="4:6" x14ac:dyDescent="0.25">
      <c r="D655" s="105">
        <f t="shared" si="36"/>
        <v>1549.6499999999712</v>
      </c>
      <c r="E655" s="373">
        <f t="shared" si="34"/>
        <v>1610.08634999997</v>
      </c>
      <c r="F655" s="373">
        <f t="shared" si="35"/>
        <v>1549.6499999999712</v>
      </c>
    </row>
    <row r="656" spans="4:6" x14ac:dyDescent="0.25">
      <c r="D656" s="105">
        <f t="shared" si="36"/>
        <v>1549.6999999999712</v>
      </c>
      <c r="E656" s="373">
        <f t="shared" si="34"/>
        <v>1610.1382999999701</v>
      </c>
      <c r="F656" s="373">
        <f t="shared" si="35"/>
        <v>1549.6999999999712</v>
      </c>
    </row>
    <row r="657" spans="4:6" x14ac:dyDescent="0.25">
      <c r="D657" s="105">
        <f t="shared" si="36"/>
        <v>1549.7499999999711</v>
      </c>
      <c r="E657" s="373">
        <f t="shared" si="34"/>
        <v>1610.1902499999701</v>
      </c>
      <c r="F657" s="373">
        <f t="shared" si="35"/>
        <v>1549.7499999999711</v>
      </c>
    </row>
    <row r="658" spans="4:6" x14ac:dyDescent="0.25">
      <c r="D658" s="105">
        <f t="shared" si="36"/>
        <v>1549.7999999999711</v>
      </c>
      <c r="E658" s="373">
        <f t="shared" si="34"/>
        <v>1610.2421999999699</v>
      </c>
      <c r="F658" s="373">
        <f t="shared" si="35"/>
        <v>1549.7999999999711</v>
      </c>
    </row>
    <row r="659" spans="4:6" x14ac:dyDescent="0.25">
      <c r="D659" s="105">
        <f t="shared" si="36"/>
        <v>1549.849999999971</v>
      </c>
      <c r="E659" s="373">
        <f t="shared" si="34"/>
        <v>1610.2941499999699</v>
      </c>
      <c r="F659" s="373">
        <f t="shared" si="35"/>
        <v>1549.849999999971</v>
      </c>
    </row>
    <row r="660" spans="4:6" x14ac:dyDescent="0.25">
      <c r="D660" s="105">
        <f t="shared" si="36"/>
        <v>1549.899999999971</v>
      </c>
      <c r="E660" s="373">
        <f t="shared" si="34"/>
        <v>1610.34609999997</v>
      </c>
      <c r="F660" s="373">
        <f t="shared" si="35"/>
        <v>1549.899999999971</v>
      </c>
    </row>
    <row r="661" spans="4:6" x14ac:dyDescent="0.25">
      <c r="D661" s="105">
        <f t="shared" si="36"/>
        <v>1549.9499999999709</v>
      </c>
      <c r="E661" s="373">
        <f t="shared" si="34"/>
        <v>1610.3980499999698</v>
      </c>
      <c r="F661" s="373">
        <f t="shared" si="35"/>
        <v>1549.9499999999709</v>
      </c>
    </row>
    <row r="662" spans="4:6" x14ac:dyDescent="0.25">
      <c r="D662" s="105">
        <f t="shared" si="36"/>
        <v>1549.9999999999709</v>
      </c>
      <c r="E662" s="373">
        <f t="shared" si="34"/>
        <v>1610.4499999999698</v>
      </c>
      <c r="F662" s="373">
        <f t="shared" si="35"/>
        <v>1549.9999999999709</v>
      </c>
    </row>
    <row r="663" spans="4:6" x14ac:dyDescent="0.25">
      <c r="D663" s="105">
        <f t="shared" si="36"/>
        <v>1550.0499999999709</v>
      </c>
      <c r="E663" s="373">
        <f t="shared" ref="E663:E726" si="37">D663*$C$2 + D663</f>
        <v>1610.5019499999696</v>
      </c>
      <c r="F663" s="373">
        <f t="shared" ref="F663:F726" si="38">D663</f>
        <v>1550.0499999999709</v>
      </c>
    </row>
    <row r="664" spans="4:6" x14ac:dyDescent="0.25">
      <c r="D664" s="105">
        <f t="shared" ref="D664:D727" si="39">D663+0.05</f>
        <v>1550.0999999999708</v>
      </c>
      <c r="E664" s="373">
        <f t="shared" si="37"/>
        <v>1610.5538999999696</v>
      </c>
      <c r="F664" s="373">
        <f t="shared" si="38"/>
        <v>1550.0999999999708</v>
      </c>
    </row>
    <row r="665" spans="4:6" x14ac:dyDescent="0.25">
      <c r="D665" s="105">
        <f t="shared" si="39"/>
        <v>1550.1499999999708</v>
      </c>
      <c r="E665" s="373">
        <f t="shared" si="37"/>
        <v>1610.6058499999697</v>
      </c>
      <c r="F665" s="373">
        <f t="shared" si="38"/>
        <v>1550.1499999999708</v>
      </c>
    </row>
    <row r="666" spans="4:6" x14ac:dyDescent="0.25">
      <c r="D666" s="105">
        <f t="shared" si="39"/>
        <v>1550.1999999999707</v>
      </c>
      <c r="E666" s="373">
        <f t="shared" si="37"/>
        <v>1610.6577999999695</v>
      </c>
      <c r="F666" s="373">
        <f t="shared" si="38"/>
        <v>1550.1999999999707</v>
      </c>
    </row>
    <row r="667" spans="4:6" x14ac:dyDescent="0.25">
      <c r="D667" s="105">
        <f t="shared" si="39"/>
        <v>1550.2499999999707</v>
      </c>
      <c r="E667" s="373">
        <f t="shared" si="37"/>
        <v>1610.7097499999695</v>
      </c>
      <c r="F667" s="373">
        <f t="shared" si="38"/>
        <v>1550.2499999999707</v>
      </c>
    </row>
    <row r="668" spans="4:6" x14ac:dyDescent="0.25">
      <c r="D668" s="105">
        <f t="shared" si="39"/>
        <v>1550.2999999999706</v>
      </c>
      <c r="E668" s="373">
        <f t="shared" si="37"/>
        <v>1610.7616999999696</v>
      </c>
      <c r="F668" s="373">
        <f t="shared" si="38"/>
        <v>1550.2999999999706</v>
      </c>
    </row>
    <row r="669" spans="4:6" x14ac:dyDescent="0.25">
      <c r="D669" s="105">
        <f t="shared" si="39"/>
        <v>1550.3499999999706</v>
      </c>
      <c r="E669" s="373">
        <f t="shared" si="37"/>
        <v>1610.8136499999694</v>
      </c>
      <c r="F669" s="373">
        <f t="shared" si="38"/>
        <v>1550.3499999999706</v>
      </c>
    </row>
    <row r="670" spans="4:6" x14ac:dyDescent="0.25">
      <c r="D670" s="105">
        <f t="shared" si="39"/>
        <v>1550.3999999999705</v>
      </c>
      <c r="E670" s="373">
        <f t="shared" si="37"/>
        <v>1610.8655999999694</v>
      </c>
      <c r="F670" s="373">
        <f t="shared" si="38"/>
        <v>1550.3999999999705</v>
      </c>
    </row>
    <row r="671" spans="4:6" x14ac:dyDescent="0.25">
      <c r="D671" s="105">
        <f t="shared" si="39"/>
        <v>1550.4499999999705</v>
      </c>
      <c r="E671" s="373">
        <f t="shared" si="37"/>
        <v>1610.9175499999694</v>
      </c>
      <c r="F671" s="373">
        <f t="shared" si="38"/>
        <v>1550.4499999999705</v>
      </c>
    </row>
    <row r="672" spans="4:6" x14ac:dyDescent="0.25">
      <c r="D672" s="105">
        <f t="shared" si="39"/>
        <v>1550.4999999999704</v>
      </c>
      <c r="E672" s="373">
        <f t="shared" si="37"/>
        <v>1610.9694999999692</v>
      </c>
      <c r="F672" s="373">
        <f t="shared" si="38"/>
        <v>1550.4999999999704</v>
      </c>
    </row>
    <row r="673" spans="4:6" x14ac:dyDescent="0.25">
      <c r="D673" s="105">
        <f t="shared" si="39"/>
        <v>1550.5499999999704</v>
      </c>
      <c r="E673" s="373">
        <f t="shared" si="37"/>
        <v>1611.0214499999693</v>
      </c>
      <c r="F673" s="373">
        <f t="shared" si="38"/>
        <v>1550.5499999999704</v>
      </c>
    </row>
    <row r="674" spans="4:6" x14ac:dyDescent="0.25">
      <c r="D674" s="105">
        <f t="shared" si="39"/>
        <v>1550.5999999999704</v>
      </c>
      <c r="E674" s="373">
        <f t="shared" si="37"/>
        <v>1611.0733999999693</v>
      </c>
      <c r="F674" s="373">
        <f t="shared" si="38"/>
        <v>1550.5999999999704</v>
      </c>
    </row>
    <row r="675" spans="4:6" x14ac:dyDescent="0.25">
      <c r="D675" s="105">
        <f t="shared" si="39"/>
        <v>1550.6499999999703</v>
      </c>
      <c r="E675" s="373">
        <f t="shared" si="37"/>
        <v>1611.1253499999691</v>
      </c>
      <c r="F675" s="373">
        <f t="shared" si="38"/>
        <v>1550.6499999999703</v>
      </c>
    </row>
    <row r="676" spans="4:6" x14ac:dyDescent="0.25">
      <c r="D676" s="105">
        <f t="shared" si="39"/>
        <v>1550.6999999999703</v>
      </c>
      <c r="E676" s="373">
        <f t="shared" si="37"/>
        <v>1611.1772999999691</v>
      </c>
      <c r="F676" s="373">
        <f t="shared" si="38"/>
        <v>1550.6999999999703</v>
      </c>
    </row>
    <row r="677" spans="4:6" x14ac:dyDescent="0.25">
      <c r="D677" s="105">
        <f t="shared" si="39"/>
        <v>1550.7499999999702</v>
      </c>
      <c r="E677" s="373">
        <f t="shared" si="37"/>
        <v>1611.2292499999689</v>
      </c>
      <c r="F677" s="373">
        <f t="shared" si="38"/>
        <v>1550.7499999999702</v>
      </c>
    </row>
    <row r="678" spans="4:6" x14ac:dyDescent="0.25">
      <c r="D678" s="105">
        <f t="shared" si="39"/>
        <v>1550.7999999999702</v>
      </c>
      <c r="E678" s="373">
        <f t="shared" si="37"/>
        <v>1611.281199999969</v>
      </c>
      <c r="F678" s="373">
        <f t="shared" si="38"/>
        <v>1550.7999999999702</v>
      </c>
    </row>
    <row r="679" spans="4:6" x14ac:dyDescent="0.25">
      <c r="D679" s="105">
        <f t="shared" si="39"/>
        <v>1550.8499999999701</v>
      </c>
      <c r="E679" s="373">
        <f t="shared" si="37"/>
        <v>1611.333149999969</v>
      </c>
      <c r="F679" s="373">
        <f t="shared" si="38"/>
        <v>1550.8499999999701</v>
      </c>
    </row>
    <row r="680" spans="4:6" x14ac:dyDescent="0.25">
      <c r="D680" s="105">
        <f t="shared" si="39"/>
        <v>1550.8999999999701</v>
      </c>
      <c r="E680" s="373">
        <f t="shared" si="37"/>
        <v>1611.3850999999688</v>
      </c>
      <c r="F680" s="373">
        <f t="shared" si="38"/>
        <v>1550.8999999999701</v>
      </c>
    </row>
    <row r="681" spans="4:6" x14ac:dyDescent="0.25">
      <c r="D681" s="105">
        <f t="shared" si="39"/>
        <v>1550.94999999997</v>
      </c>
      <c r="E681" s="373">
        <f t="shared" si="37"/>
        <v>1611.4370499999688</v>
      </c>
      <c r="F681" s="373">
        <f t="shared" si="38"/>
        <v>1550.94999999997</v>
      </c>
    </row>
    <row r="682" spans="4:6" x14ac:dyDescent="0.25">
      <c r="D682" s="105">
        <f t="shared" si="39"/>
        <v>1550.99999999997</v>
      </c>
      <c r="E682" s="373">
        <f t="shared" si="37"/>
        <v>1611.4889999999689</v>
      </c>
      <c r="F682" s="373">
        <f t="shared" si="38"/>
        <v>1550.99999999997</v>
      </c>
    </row>
    <row r="683" spans="4:6" x14ac:dyDescent="0.25">
      <c r="D683" s="105">
        <f t="shared" si="39"/>
        <v>1551.0499999999699</v>
      </c>
      <c r="E683" s="373">
        <f t="shared" si="37"/>
        <v>1611.5409499999687</v>
      </c>
      <c r="F683" s="373">
        <f t="shared" si="38"/>
        <v>1551.0499999999699</v>
      </c>
    </row>
    <row r="684" spans="4:6" x14ac:dyDescent="0.25">
      <c r="D684" s="105">
        <f t="shared" si="39"/>
        <v>1551.0999999999699</v>
      </c>
      <c r="E684" s="373">
        <f t="shared" si="37"/>
        <v>1611.5928999999687</v>
      </c>
      <c r="F684" s="373">
        <f t="shared" si="38"/>
        <v>1551.0999999999699</v>
      </c>
    </row>
    <row r="685" spans="4:6" x14ac:dyDescent="0.25">
      <c r="D685" s="105">
        <f t="shared" si="39"/>
        <v>1551.1499999999699</v>
      </c>
      <c r="E685" s="373">
        <f t="shared" si="37"/>
        <v>1611.6448499999688</v>
      </c>
      <c r="F685" s="373">
        <f t="shared" si="38"/>
        <v>1551.1499999999699</v>
      </c>
    </row>
    <row r="686" spans="4:6" x14ac:dyDescent="0.25">
      <c r="D686" s="105">
        <f t="shared" si="39"/>
        <v>1551.1999999999698</v>
      </c>
      <c r="E686" s="373">
        <f t="shared" si="37"/>
        <v>1611.6967999999686</v>
      </c>
      <c r="F686" s="373">
        <f t="shared" si="38"/>
        <v>1551.1999999999698</v>
      </c>
    </row>
    <row r="687" spans="4:6" x14ac:dyDescent="0.25">
      <c r="D687" s="105">
        <f t="shared" si="39"/>
        <v>1551.2499999999698</v>
      </c>
      <c r="E687" s="373">
        <f t="shared" si="37"/>
        <v>1611.7487499999686</v>
      </c>
      <c r="F687" s="373">
        <f t="shared" si="38"/>
        <v>1551.2499999999698</v>
      </c>
    </row>
    <row r="688" spans="4:6" x14ac:dyDescent="0.25">
      <c r="D688" s="105">
        <f t="shared" si="39"/>
        <v>1551.2999999999697</v>
      </c>
      <c r="E688" s="373">
        <f t="shared" si="37"/>
        <v>1611.8006999999686</v>
      </c>
      <c r="F688" s="373">
        <f t="shared" si="38"/>
        <v>1551.2999999999697</v>
      </c>
    </row>
    <row r="689" spans="4:6" x14ac:dyDescent="0.25">
      <c r="D689" s="105">
        <f t="shared" si="39"/>
        <v>1551.3499999999697</v>
      </c>
      <c r="E689" s="373">
        <f t="shared" si="37"/>
        <v>1611.8526499999684</v>
      </c>
      <c r="F689" s="373">
        <f t="shared" si="38"/>
        <v>1551.3499999999697</v>
      </c>
    </row>
    <row r="690" spans="4:6" x14ac:dyDescent="0.25">
      <c r="D690" s="105">
        <f t="shared" si="39"/>
        <v>1551.3999999999696</v>
      </c>
      <c r="E690" s="373">
        <f t="shared" si="37"/>
        <v>1611.9045999999685</v>
      </c>
      <c r="F690" s="373">
        <f t="shared" si="38"/>
        <v>1551.3999999999696</v>
      </c>
    </row>
    <row r="691" spans="4:6" x14ac:dyDescent="0.25">
      <c r="D691" s="105">
        <f t="shared" si="39"/>
        <v>1551.4499999999696</v>
      </c>
      <c r="E691" s="373">
        <f t="shared" si="37"/>
        <v>1611.9565499999685</v>
      </c>
      <c r="F691" s="373">
        <f t="shared" si="38"/>
        <v>1551.4499999999696</v>
      </c>
    </row>
    <row r="692" spans="4:6" x14ac:dyDescent="0.25">
      <c r="D692" s="105">
        <f t="shared" si="39"/>
        <v>1551.4999999999695</v>
      </c>
      <c r="E692" s="373">
        <f t="shared" si="37"/>
        <v>1612.0084999999683</v>
      </c>
      <c r="F692" s="373">
        <f t="shared" si="38"/>
        <v>1551.4999999999695</v>
      </c>
    </row>
    <row r="693" spans="4:6" x14ac:dyDescent="0.25">
      <c r="D693" s="105">
        <f t="shared" si="39"/>
        <v>1551.5499999999695</v>
      </c>
      <c r="E693" s="373">
        <f t="shared" si="37"/>
        <v>1612.0604499999683</v>
      </c>
      <c r="F693" s="373">
        <f t="shared" si="38"/>
        <v>1551.5499999999695</v>
      </c>
    </row>
    <row r="694" spans="4:6" x14ac:dyDescent="0.25">
      <c r="D694" s="105">
        <f t="shared" si="39"/>
        <v>1551.5999999999694</v>
      </c>
      <c r="E694" s="373">
        <f t="shared" si="37"/>
        <v>1612.1123999999681</v>
      </c>
      <c r="F694" s="373">
        <f t="shared" si="38"/>
        <v>1551.5999999999694</v>
      </c>
    </row>
    <row r="695" spans="4:6" x14ac:dyDescent="0.25">
      <c r="D695" s="105">
        <f t="shared" si="39"/>
        <v>1551.6499999999694</v>
      </c>
      <c r="E695" s="373">
        <f t="shared" si="37"/>
        <v>1612.1643499999682</v>
      </c>
      <c r="F695" s="373">
        <f t="shared" si="38"/>
        <v>1551.6499999999694</v>
      </c>
    </row>
    <row r="696" spans="4:6" x14ac:dyDescent="0.25">
      <c r="D696" s="105">
        <f t="shared" si="39"/>
        <v>1551.6999999999694</v>
      </c>
      <c r="E696" s="373">
        <f t="shared" si="37"/>
        <v>1612.2162999999682</v>
      </c>
      <c r="F696" s="373">
        <f t="shared" si="38"/>
        <v>1551.6999999999694</v>
      </c>
    </row>
    <row r="697" spans="4:6" x14ac:dyDescent="0.25">
      <c r="D697" s="105">
        <f t="shared" si="39"/>
        <v>1551.7499999999693</v>
      </c>
      <c r="E697" s="373">
        <f t="shared" si="37"/>
        <v>1612.268249999968</v>
      </c>
      <c r="F697" s="373">
        <f t="shared" si="38"/>
        <v>1551.7499999999693</v>
      </c>
    </row>
    <row r="698" spans="4:6" x14ac:dyDescent="0.25">
      <c r="D698" s="105">
        <f t="shared" si="39"/>
        <v>1551.7999999999693</v>
      </c>
      <c r="E698" s="373">
        <f t="shared" si="37"/>
        <v>1612.3201999999681</v>
      </c>
      <c r="F698" s="373">
        <f t="shared" si="38"/>
        <v>1551.7999999999693</v>
      </c>
    </row>
    <row r="699" spans="4:6" x14ac:dyDescent="0.25">
      <c r="D699" s="105">
        <f t="shared" si="39"/>
        <v>1551.8499999999692</v>
      </c>
      <c r="E699" s="373">
        <f t="shared" si="37"/>
        <v>1612.3721499999681</v>
      </c>
      <c r="F699" s="373">
        <f t="shared" si="38"/>
        <v>1551.8499999999692</v>
      </c>
    </row>
    <row r="700" spans="4:6" x14ac:dyDescent="0.25">
      <c r="D700" s="105">
        <f t="shared" si="39"/>
        <v>1551.8999999999692</v>
      </c>
      <c r="E700" s="373">
        <f t="shared" si="37"/>
        <v>1612.4240999999679</v>
      </c>
      <c r="F700" s="373">
        <f t="shared" si="38"/>
        <v>1551.8999999999692</v>
      </c>
    </row>
    <row r="701" spans="4:6" x14ac:dyDescent="0.25">
      <c r="D701" s="105">
        <f t="shared" si="39"/>
        <v>1551.9499999999691</v>
      </c>
      <c r="E701" s="373">
        <f t="shared" si="37"/>
        <v>1612.4760499999679</v>
      </c>
      <c r="F701" s="373">
        <f t="shared" si="38"/>
        <v>1551.9499999999691</v>
      </c>
    </row>
    <row r="702" spans="4:6" x14ac:dyDescent="0.25">
      <c r="D702" s="105">
        <f t="shared" si="39"/>
        <v>1551.9999999999691</v>
      </c>
      <c r="E702" s="373">
        <f t="shared" si="37"/>
        <v>1612.527999999968</v>
      </c>
      <c r="F702" s="373">
        <f t="shared" si="38"/>
        <v>1551.9999999999691</v>
      </c>
    </row>
    <row r="703" spans="4:6" x14ac:dyDescent="0.25">
      <c r="D703" s="105">
        <f t="shared" si="39"/>
        <v>1552.049999999969</v>
      </c>
      <c r="E703" s="373">
        <f t="shared" si="37"/>
        <v>1612.5799499999678</v>
      </c>
      <c r="F703" s="373">
        <f t="shared" si="38"/>
        <v>1552.049999999969</v>
      </c>
    </row>
    <row r="704" spans="4:6" x14ac:dyDescent="0.25">
      <c r="D704" s="105">
        <f t="shared" si="39"/>
        <v>1552.099999999969</v>
      </c>
      <c r="E704" s="373">
        <f t="shared" si="37"/>
        <v>1612.6318999999678</v>
      </c>
      <c r="F704" s="373">
        <f t="shared" si="38"/>
        <v>1552.099999999969</v>
      </c>
    </row>
    <row r="705" spans="4:6" x14ac:dyDescent="0.25">
      <c r="D705" s="105">
        <f t="shared" si="39"/>
        <v>1552.1499999999689</v>
      </c>
      <c r="E705" s="373">
        <f t="shared" si="37"/>
        <v>1612.6838499999678</v>
      </c>
      <c r="F705" s="373">
        <f t="shared" si="38"/>
        <v>1552.1499999999689</v>
      </c>
    </row>
    <row r="706" spans="4:6" x14ac:dyDescent="0.25">
      <c r="D706" s="105">
        <f t="shared" si="39"/>
        <v>1552.1999999999689</v>
      </c>
      <c r="E706" s="373">
        <f t="shared" si="37"/>
        <v>1612.7357999999676</v>
      </c>
      <c r="F706" s="373">
        <f t="shared" si="38"/>
        <v>1552.1999999999689</v>
      </c>
    </row>
    <row r="707" spans="4:6" x14ac:dyDescent="0.25">
      <c r="D707" s="105">
        <f t="shared" si="39"/>
        <v>1552.2499999999688</v>
      </c>
      <c r="E707" s="373">
        <f t="shared" si="37"/>
        <v>1612.7877499999677</v>
      </c>
      <c r="F707" s="373">
        <f t="shared" si="38"/>
        <v>1552.2499999999688</v>
      </c>
    </row>
    <row r="708" spans="4:6" x14ac:dyDescent="0.25">
      <c r="D708" s="105">
        <f t="shared" si="39"/>
        <v>1552.2999999999688</v>
      </c>
      <c r="E708" s="373">
        <f t="shared" si="37"/>
        <v>1612.8396999999675</v>
      </c>
      <c r="F708" s="373">
        <f t="shared" si="38"/>
        <v>1552.2999999999688</v>
      </c>
    </row>
    <row r="709" spans="4:6" x14ac:dyDescent="0.25">
      <c r="D709" s="105">
        <f t="shared" si="39"/>
        <v>1552.3499999999688</v>
      </c>
      <c r="E709" s="373">
        <f t="shared" si="37"/>
        <v>1612.8916499999675</v>
      </c>
      <c r="F709" s="373">
        <f t="shared" si="38"/>
        <v>1552.3499999999688</v>
      </c>
    </row>
    <row r="710" spans="4:6" x14ac:dyDescent="0.25">
      <c r="D710" s="105">
        <f t="shared" si="39"/>
        <v>1552.3999999999687</v>
      </c>
      <c r="E710" s="373">
        <f t="shared" si="37"/>
        <v>1612.9435999999675</v>
      </c>
      <c r="F710" s="373">
        <f t="shared" si="38"/>
        <v>1552.3999999999687</v>
      </c>
    </row>
    <row r="711" spans="4:6" x14ac:dyDescent="0.25">
      <c r="D711" s="105">
        <f t="shared" si="39"/>
        <v>1552.4499999999687</v>
      </c>
      <c r="E711" s="373">
        <f t="shared" si="37"/>
        <v>1612.9955499999674</v>
      </c>
      <c r="F711" s="373">
        <f t="shared" si="38"/>
        <v>1552.4499999999687</v>
      </c>
    </row>
    <row r="712" spans="4:6" x14ac:dyDescent="0.25">
      <c r="D712" s="105">
        <f t="shared" si="39"/>
        <v>1552.4999999999686</v>
      </c>
      <c r="E712" s="373">
        <f t="shared" si="37"/>
        <v>1613.0474999999674</v>
      </c>
      <c r="F712" s="373">
        <f t="shared" si="38"/>
        <v>1552.4999999999686</v>
      </c>
    </row>
    <row r="713" spans="4:6" x14ac:dyDescent="0.25">
      <c r="D713" s="105">
        <f t="shared" si="39"/>
        <v>1552.5499999999686</v>
      </c>
      <c r="E713" s="373">
        <f t="shared" si="37"/>
        <v>1613.0994499999674</v>
      </c>
      <c r="F713" s="373">
        <f t="shared" si="38"/>
        <v>1552.5499999999686</v>
      </c>
    </row>
    <row r="714" spans="4:6" x14ac:dyDescent="0.25">
      <c r="D714" s="105">
        <f t="shared" si="39"/>
        <v>1552.5999999999685</v>
      </c>
      <c r="E714" s="373">
        <f t="shared" si="37"/>
        <v>1613.1513999999672</v>
      </c>
      <c r="F714" s="373">
        <f t="shared" si="38"/>
        <v>1552.5999999999685</v>
      </c>
    </row>
    <row r="715" spans="4:6" x14ac:dyDescent="0.25">
      <c r="D715" s="105">
        <f t="shared" si="39"/>
        <v>1552.6499999999685</v>
      </c>
      <c r="E715" s="373">
        <f t="shared" si="37"/>
        <v>1613.2033499999673</v>
      </c>
      <c r="F715" s="373">
        <f t="shared" si="38"/>
        <v>1552.6499999999685</v>
      </c>
    </row>
    <row r="716" spans="4:6" x14ac:dyDescent="0.25">
      <c r="D716" s="105">
        <f t="shared" si="39"/>
        <v>1552.6999999999684</v>
      </c>
      <c r="E716" s="373">
        <f t="shared" si="37"/>
        <v>1613.2552999999673</v>
      </c>
      <c r="F716" s="373">
        <f t="shared" si="38"/>
        <v>1552.6999999999684</v>
      </c>
    </row>
    <row r="717" spans="4:6" x14ac:dyDescent="0.25">
      <c r="D717" s="105">
        <f t="shared" si="39"/>
        <v>1552.7499999999684</v>
      </c>
      <c r="E717" s="373">
        <f t="shared" si="37"/>
        <v>1613.3072499999671</v>
      </c>
      <c r="F717" s="373">
        <f t="shared" si="38"/>
        <v>1552.7499999999684</v>
      </c>
    </row>
    <row r="718" spans="4:6" x14ac:dyDescent="0.25">
      <c r="D718" s="105">
        <f t="shared" si="39"/>
        <v>1552.7999999999683</v>
      </c>
      <c r="E718" s="373">
        <f t="shared" si="37"/>
        <v>1613.3591999999671</v>
      </c>
      <c r="F718" s="373">
        <f t="shared" si="38"/>
        <v>1552.7999999999683</v>
      </c>
    </row>
    <row r="719" spans="4:6" x14ac:dyDescent="0.25">
      <c r="D719" s="105">
        <f t="shared" si="39"/>
        <v>1552.8499999999683</v>
      </c>
      <c r="E719" s="373">
        <f t="shared" si="37"/>
        <v>1613.4111499999672</v>
      </c>
      <c r="F719" s="373">
        <f t="shared" si="38"/>
        <v>1552.8499999999683</v>
      </c>
    </row>
    <row r="720" spans="4:6" x14ac:dyDescent="0.25">
      <c r="D720" s="105">
        <f t="shared" si="39"/>
        <v>1552.8999999999683</v>
      </c>
      <c r="E720" s="373">
        <f t="shared" si="37"/>
        <v>1613.463099999967</v>
      </c>
      <c r="F720" s="373">
        <f t="shared" si="38"/>
        <v>1552.8999999999683</v>
      </c>
    </row>
    <row r="721" spans="4:6" x14ac:dyDescent="0.25">
      <c r="D721" s="105">
        <f t="shared" si="39"/>
        <v>1552.9499999999682</v>
      </c>
      <c r="E721" s="373">
        <f t="shared" si="37"/>
        <v>1613.515049999967</v>
      </c>
      <c r="F721" s="373">
        <f t="shared" si="38"/>
        <v>1552.9499999999682</v>
      </c>
    </row>
    <row r="722" spans="4:6" x14ac:dyDescent="0.25">
      <c r="D722" s="105">
        <f t="shared" si="39"/>
        <v>1552.9999999999682</v>
      </c>
      <c r="E722" s="373">
        <f t="shared" si="37"/>
        <v>1613.5669999999668</v>
      </c>
      <c r="F722" s="373">
        <f t="shared" si="38"/>
        <v>1552.9999999999682</v>
      </c>
    </row>
    <row r="723" spans="4:6" x14ac:dyDescent="0.25">
      <c r="D723" s="105">
        <f t="shared" si="39"/>
        <v>1553.0499999999681</v>
      </c>
      <c r="E723" s="373">
        <f t="shared" si="37"/>
        <v>1613.6189499999668</v>
      </c>
      <c r="F723" s="373">
        <f t="shared" si="38"/>
        <v>1553.0499999999681</v>
      </c>
    </row>
    <row r="724" spans="4:6" x14ac:dyDescent="0.25">
      <c r="D724" s="105">
        <f t="shared" si="39"/>
        <v>1553.0999999999681</v>
      </c>
      <c r="E724" s="373">
        <f t="shared" si="37"/>
        <v>1613.6708999999669</v>
      </c>
      <c r="F724" s="373">
        <f t="shared" si="38"/>
        <v>1553.0999999999681</v>
      </c>
    </row>
    <row r="725" spans="4:6" x14ac:dyDescent="0.25">
      <c r="D725" s="105">
        <f t="shared" si="39"/>
        <v>1553.149999999968</v>
      </c>
      <c r="E725" s="373">
        <f t="shared" si="37"/>
        <v>1613.7228499999667</v>
      </c>
      <c r="F725" s="373">
        <f t="shared" si="38"/>
        <v>1553.149999999968</v>
      </c>
    </row>
    <row r="726" spans="4:6" x14ac:dyDescent="0.25">
      <c r="D726" s="105">
        <f t="shared" si="39"/>
        <v>1553.199999999968</v>
      </c>
      <c r="E726" s="373">
        <f t="shared" si="37"/>
        <v>1613.7747999999667</v>
      </c>
      <c r="F726" s="373">
        <f t="shared" si="38"/>
        <v>1553.199999999968</v>
      </c>
    </row>
    <row r="727" spans="4:6" x14ac:dyDescent="0.25">
      <c r="D727" s="105">
        <f t="shared" si="39"/>
        <v>1553.2499999999679</v>
      </c>
      <c r="E727" s="373">
        <f t="shared" ref="E727:E790" si="40">D727*$C$2 + D727</f>
        <v>1613.8267499999668</v>
      </c>
      <c r="F727" s="373">
        <f t="shared" ref="F727:F790" si="41">D727</f>
        <v>1553.2499999999679</v>
      </c>
    </row>
    <row r="728" spans="4:6" x14ac:dyDescent="0.25">
      <c r="D728" s="105">
        <f t="shared" ref="D728:D791" si="42">D727+0.05</f>
        <v>1553.2999999999679</v>
      </c>
      <c r="E728" s="373">
        <f t="shared" si="40"/>
        <v>1613.8786999999666</v>
      </c>
      <c r="F728" s="373">
        <f t="shared" si="41"/>
        <v>1553.2999999999679</v>
      </c>
    </row>
    <row r="729" spans="4:6" x14ac:dyDescent="0.25">
      <c r="D729" s="105">
        <f t="shared" si="42"/>
        <v>1553.3499999999678</v>
      </c>
      <c r="E729" s="373">
        <f t="shared" si="40"/>
        <v>1613.9306499999666</v>
      </c>
      <c r="F729" s="373">
        <f t="shared" si="41"/>
        <v>1553.3499999999678</v>
      </c>
    </row>
    <row r="730" spans="4:6" x14ac:dyDescent="0.25">
      <c r="D730" s="105">
        <f t="shared" si="42"/>
        <v>1553.3999999999678</v>
      </c>
      <c r="E730" s="373">
        <f t="shared" si="40"/>
        <v>1613.9825999999666</v>
      </c>
      <c r="F730" s="373">
        <f t="shared" si="41"/>
        <v>1553.3999999999678</v>
      </c>
    </row>
    <row r="731" spans="4:6" x14ac:dyDescent="0.25">
      <c r="D731" s="105">
        <f t="shared" si="42"/>
        <v>1553.4499999999678</v>
      </c>
      <c r="E731" s="373">
        <f t="shared" si="40"/>
        <v>1614.0345499999664</v>
      </c>
      <c r="F731" s="373">
        <f t="shared" si="41"/>
        <v>1553.4499999999678</v>
      </c>
    </row>
    <row r="732" spans="4:6" x14ac:dyDescent="0.25">
      <c r="D732" s="105">
        <f t="shared" si="42"/>
        <v>1553.4999999999677</v>
      </c>
      <c r="E732" s="373">
        <f t="shared" si="40"/>
        <v>1614.0864999999665</v>
      </c>
      <c r="F732" s="373">
        <f t="shared" si="41"/>
        <v>1553.4999999999677</v>
      </c>
    </row>
    <row r="733" spans="4:6" x14ac:dyDescent="0.25">
      <c r="D733" s="105">
        <f t="shared" si="42"/>
        <v>1553.5499999999677</v>
      </c>
      <c r="E733" s="373">
        <f t="shared" si="40"/>
        <v>1614.1384499999665</v>
      </c>
      <c r="F733" s="373">
        <f t="shared" si="41"/>
        <v>1553.5499999999677</v>
      </c>
    </row>
    <row r="734" spans="4:6" x14ac:dyDescent="0.25">
      <c r="D734" s="105">
        <f t="shared" si="42"/>
        <v>1553.5999999999676</v>
      </c>
      <c r="E734" s="373">
        <f t="shared" si="40"/>
        <v>1614.1903999999663</v>
      </c>
      <c r="F734" s="373">
        <f t="shared" si="41"/>
        <v>1553.5999999999676</v>
      </c>
    </row>
    <row r="735" spans="4:6" x14ac:dyDescent="0.25">
      <c r="D735" s="105">
        <f t="shared" si="42"/>
        <v>1553.6499999999676</v>
      </c>
      <c r="E735" s="373">
        <f t="shared" si="40"/>
        <v>1614.2423499999663</v>
      </c>
      <c r="F735" s="373">
        <f t="shared" si="41"/>
        <v>1553.6499999999676</v>
      </c>
    </row>
    <row r="736" spans="4:6" x14ac:dyDescent="0.25">
      <c r="D736" s="105">
        <f t="shared" si="42"/>
        <v>1553.6999999999675</v>
      </c>
      <c r="E736" s="373">
        <f t="shared" si="40"/>
        <v>1614.2942999999664</v>
      </c>
      <c r="F736" s="373">
        <f t="shared" si="41"/>
        <v>1553.6999999999675</v>
      </c>
    </row>
    <row r="737" spans="4:6" x14ac:dyDescent="0.25">
      <c r="D737" s="105">
        <f t="shared" si="42"/>
        <v>1553.7499999999675</v>
      </c>
      <c r="E737" s="373">
        <f t="shared" si="40"/>
        <v>1614.3462499999662</v>
      </c>
      <c r="F737" s="373">
        <f t="shared" si="41"/>
        <v>1553.7499999999675</v>
      </c>
    </row>
    <row r="738" spans="4:6" x14ac:dyDescent="0.25">
      <c r="D738" s="105">
        <f t="shared" si="42"/>
        <v>1553.7999999999674</v>
      </c>
      <c r="E738" s="373">
        <f t="shared" si="40"/>
        <v>1614.3981999999662</v>
      </c>
      <c r="F738" s="373">
        <f t="shared" si="41"/>
        <v>1553.7999999999674</v>
      </c>
    </row>
    <row r="739" spans="4:6" x14ac:dyDescent="0.25">
      <c r="D739" s="105">
        <f t="shared" si="42"/>
        <v>1553.8499999999674</v>
      </c>
      <c r="E739" s="373">
        <f t="shared" si="40"/>
        <v>1614.450149999966</v>
      </c>
      <c r="F739" s="373">
        <f t="shared" si="41"/>
        <v>1553.8499999999674</v>
      </c>
    </row>
    <row r="740" spans="4:6" x14ac:dyDescent="0.25">
      <c r="D740" s="105">
        <f t="shared" si="42"/>
        <v>1553.8999999999673</v>
      </c>
      <c r="E740" s="373">
        <f t="shared" si="40"/>
        <v>1614.502099999966</v>
      </c>
      <c r="F740" s="373">
        <f t="shared" si="41"/>
        <v>1553.8999999999673</v>
      </c>
    </row>
    <row r="741" spans="4:6" x14ac:dyDescent="0.25">
      <c r="D741" s="105">
        <f t="shared" si="42"/>
        <v>1553.9499999999673</v>
      </c>
      <c r="E741" s="373">
        <f t="shared" si="40"/>
        <v>1614.5540499999661</v>
      </c>
      <c r="F741" s="373">
        <f t="shared" si="41"/>
        <v>1553.9499999999673</v>
      </c>
    </row>
    <row r="742" spans="4:6" x14ac:dyDescent="0.25">
      <c r="D742" s="105">
        <f t="shared" si="42"/>
        <v>1553.9999999999673</v>
      </c>
      <c r="E742" s="373">
        <f t="shared" si="40"/>
        <v>1614.6059999999659</v>
      </c>
      <c r="F742" s="373">
        <f t="shared" si="41"/>
        <v>1553.9999999999673</v>
      </c>
    </row>
    <row r="743" spans="4:6" x14ac:dyDescent="0.25">
      <c r="D743" s="105">
        <f t="shared" si="42"/>
        <v>1554.0499999999672</v>
      </c>
      <c r="E743" s="373">
        <f t="shared" si="40"/>
        <v>1614.6579499999659</v>
      </c>
      <c r="F743" s="373">
        <f t="shared" si="41"/>
        <v>1554.0499999999672</v>
      </c>
    </row>
    <row r="744" spans="4:6" x14ac:dyDescent="0.25">
      <c r="D744" s="105">
        <f t="shared" si="42"/>
        <v>1554.0999999999672</v>
      </c>
      <c r="E744" s="373">
        <f t="shared" si="40"/>
        <v>1614.709899999966</v>
      </c>
      <c r="F744" s="373">
        <f t="shared" si="41"/>
        <v>1554.0999999999672</v>
      </c>
    </row>
    <row r="745" spans="4:6" x14ac:dyDescent="0.25">
      <c r="D745" s="105">
        <f t="shared" si="42"/>
        <v>1554.1499999999671</v>
      </c>
      <c r="E745" s="373">
        <f t="shared" si="40"/>
        <v>1614.7618499999658</v>
      </c>
      <c r="F745" s="373">
        <f t="shared" si="41"/>
        <v>1554.1499999999671</v>
      </c>
    </row>
    <row r="746" spans="4:6" x14ac:dyDescent="0.25">
      <c r="D746" s="105">
        <f t="shared" si="42"/>
        <v>1554.1999999999671</v>
      </c>
      <c r="E746" s="373">
        <f t="shared" si="40"/>
        <v>1614.8137999999658</v>
      </c>
      <c r="F746" s="373">
        <f t="shared" si="41"/>
        <v>1554.1999999999671</v>
      </c>
    </row>
    <row r="747" spans="4:6" x14ac:dyDescent="0.25">
      <c r="D747" s="105">
        <f t="shared" si="42"/>
        <v>1554.249999999967</v>
      </c>
      <c r="E747" s="373">
        <f t="shared" si="40"/>
        <v>1614.8657499999658</v>
      </c>
      <c r="F747" s="373">
        <f t="shared" si="41"/>
        <v>1554.249999999967</v>
      </c>
    </row>
    <row r="748" spans="4:6" x14ac:dyDescent="0.25">
      <c r="D748" s="105">
        <f t="shared" si="42"/>
        <v>1554.299999999967</v>
      </c>
      <c r="E748" s="373">
        <f t="shared" si="40"/>
        <v>1614.9176999999656</v>
      </c>
      <c r="F748" s="373">
        <f t="shared" si="41"/>
        <v>1554.299999999967</v>
      </c>
    </row>
    <row r="749" spans="4:6" x14ac:dyDescent="0.25">
      <c r="D749" s="105">
        <f t="shared" si="42"/>
        <v>1554.3499999999669</v>
      </c>
      <c r="E749" s="373">
        <f t="shared" si="40"/>
        <v>1614.9696499999657</v>
      </c>
      <c r="F749" s="373">
        <f t="shared" si="41"/>
        <v>1554.3499999999669</v>
      </c>
    </row>
    <row r="750" spans="4:6" x14ac:dyDescent="0.25">
      <c r="D750" s="105">
        <f t="shared" si="42"/>
        <v>1554.3999999999669</v>
      </c>
      <c r="E750" s="373">
        <f t="shared" si="40"/>
        <v>1615.0215999999657</v>
      </c>
      <c r="F750" s="373">
        <f t="shared" si="41"/>
        <v>1554.3999999999669</v>
      </c>
    </row>
    <row r="751" spans="4:6" x14ac:dyDescent="0.25">
      <c r="D751" s="105">
        <f t="shared" si="42"/>
        <v>1554.4499999999668</v>
      </c>
      <c r="E751" s="373">
        <f t="shared" si="40"/>
        <v>1615.0735499999655</v>
      </c>
      <c r="F751" s="373">
        <f t="shared" si="41"/>
        <v>1554.4499999999668</v>
      </c>
    </row>
    <row r="752" spans="4:6" x14ac:dyDescent="0.25">
      <c r="D752" s="105">
        <f t="shared" si="42"/>
        <v>1554.4999999999668</v>
      </c>
      <c r="E752" s="373">
        <f t="shared" si="40"/>
        <v>1615.1254999999655</v>
      </c>
      <c r="F752" s="373">
        <f t="shared" si="41"/>
        <v>1554.4999999999668</v>
      </c>
    </row>
    <row r="753" spans="4:6" x14ac:dyDescent="0.25">
      <c r="D753" s="105">
        <f t="shared" si="42"/>
        <v>1554.5499999999668</v>
      </c>
      <c r="E753" s="373">
        <f t="shared" si="40"/>
        <v>1615.1774499999656</v>
      </c>
      <c r="F753" s="373">
        <f t="shared" si="41"/>
        <v>1554.5499999999668</v>
      </c>
    </row>
    <row r="754" spans="4:6" x14ac:dyDescent="0.25">
      <c r="D754" s="105">
        <f t="shared" si="42"/>
        <v>1554.5999999999667</v>
      </c>
      <c r="E754" s="373">
        <f t="shared" si="40"/>
        <v>1615.2293999999654</v>
      </c>
      <c r="F754" s="373">
        <f t="shared" si="41"/>
        <v>1554.5999999999667</v>
      </c>
    </row>
    <row r="755" spans="4:6" x14ac:dyDescent="0.25">
      <c r="D755" s="105">
        <f t="shared" si="42"/>
        <v>1554.6499999999667</v>
      </c>
      <c r="E755" s="373">
        <f t="shared" si="40"/>
        <v>1615.2813499999654</v>
      </c>
      <c r="F755" s="373">
        <f t="shared" si="41"/>
        <v>1554.6499999999667</v>
      </c>
    </row>
    <row r="756" spans="4:6" x14ac:dyDescent="0.25">
      <c r="D756" s="416">
        <f t="shared" si="42"/>
        <v>1554.6999999999666</v>
      </c>
      <c r="E756" s="417">
        <f t="shared" si="40"/>
        <v>1615.3332999999652</v>
      </c>
      <c r="F756" s="417">
        <f t="shared" si="41"/>
        <v>1554.6999999999666</v>
      </c>
    </row>
    <row r="757" spans="4:6" x14ac:dyDescent="0.25">
      <c r="D757" s="105">
        <f t="shared" si="42"/>
        <v>1554.7499999999666</v>
      </c>
      <c r="E757" s="373">
        <f t="shared" si="40"/>
        <v>1615.3852499999653</v>
      </c>
      <c r="F757" s="373">
        <f t="shared" si="41"/>
        <v>1554.7499999999666</v>
      </c>
    </row>
    <row r="758" spans="4:6" x14ac:dyDescent="0.25">
      <c r="D758" s="105">
        <f t="shared" si="42"/>
        <v>1554.7999999999665</v>
      </c>
      <c r="E758" s="373">
        <f t="shared" si="40"/>
        <v>1615.4371999999653</v>
      </c>
      <c r="F758" s="373">
        <f t="shared" si="41"/>
        <v>1554.7999999999665</v>
      </c>
    </row>
    <row r="759" spans="4:6" x14ac:dyDescent="0.25">
      <c r="D759" s="105">
        <f t="shared" si="42"/>
        <v>1554.8499999999665</v>
      </c>
      <c r="E759" s="373">
        <f t="shared" si="40"/>
        <v>1615.4891499999651</v>
      </c>
      <c r="F759" s="373">
        <f t="shared" si="41"/>
        <v>1554.8499999999665</v>
      </c>
    </row>
    <row r="760" spans="4:6" x14ac:dyDescent="0.25">
      <c r="D760" s="105">
        <f t="shared" si="42"/>
        <v>1554.8999999999664</v>
      </c>
      <c r="E760" s="373">
        <f t="shared" si="40"/>
        <v>1615.5410999999651</v>
      </c>
      <c r="F760" s="373">
        <f t="shared" si="41"/>
        <v>1554.8999999999664</v>
      </c>
    </row>
    <row r="761" spans="4:6" x14ac:dyDescent="0.25">
      <c r="D761" s="105">
        <f t="shared" si="42"/>
        <v>1554.9499999999664</v>
      </c>
      <c r="E761" s="373">
        <f t="shared" si="40"/>
        <v>1615.5930499999652</v>
      </c>
      <c r="F761" s="373">
        <f t="shared" si="41"/>
        <v>1554.9499999999664</v>
      </c>
    </row>
    <row r="762" spans="4:6" x14ac:dyDescent="0.25">
      <c r="D762" s="105">
        <f t="shared" si="42"/>
        <v>1554.9999999999663</v>
      </c>
      <c r="E762" s="373">
        <f t="shared" si="40"/>
        <v>1615.644999999965</v>
      </c>
      <c r="F762" s="373">
        <f t="shared" si="41"/>
        <v>1554.9999999999663</v>
      </c>
    </row>
    <row r="763" spans="4:6" x14ac:dyDescent="0.25">
      <c r="D763" s="105">
        <f t="shared" si="42"/>
        <v>1555.0499999999663</v>
      </c>
      <c r="E763" s="373">
        <f t="shared" si="40"/>
        <v>1615.696949999965</v>
      </c>
      <c r="F763" s="373">
        <f t="shared" si="41"/>
        <v>1555.0499999999663</v>
      </c>
    </row>
    <row r="764" spans="4:6" x14ac:dyDescent="0.25">
      <c r="D764" s="105">
        <f t="shared" si="42"/>
        <v>1555.0999999999663</v>
      </c>
      <c r="E764" s="373">
        <f t="shared" si="40"/>
        <v>1615.748899999965</v>
      </c>
      <c r="F764" s="373">
        <f t="shared" si="41"/>
        <v>1555.0999999999663</v>
      </c>
    </row>
    <row r="765" spans="4:6" x14ac:dyDescent="0.25">
      <c r="D765" s="105">
        <f t="shared" si="42"/>
        <v>1555.1499999999662</v>
      </c>
      <c r="E765" s="373">
        <f t="shared" si="40"/>
        <v>1615.8008499999648</v>
      </c>
      <c r="F765" s="373">
        <f t="shared" si="41"/>
        <v>1555.1499999999662</v>
      </c>
    </row>
    <row r="766" spans="4:6" x14ac:dyDescent="0.25">
      <c r="D766" s="105">
        <f t="shared" si="42"/>
        <v>1555.1999999999662</v>
      </c>
      <c r="E766" s="373">
        <f t="shared" si="40"/>
        <v>1615.8527999999649</v>
      </c>
      <c r="F766" s="373">
        <f t="shared" si="41"/>
        <v>1555.1999999999662</v>
      </c>
    </row>
    <row r="767" spans="4:6" x14ac:dyDescent="0.25">
      <c r="D767" s="105">
        <f t="shared" si="42"/>
        <v>1555.2499999999661</v>
      </c>
      <c r="E767" s="373">
        <f t="shared" si="40"/>
        <v>1615.9047499999649</v>
      </c>
      <c r="F767" s="373">
        <f t="shared" si="41"/>
        <v>1555.2499999999661</v>
      </c>
    </row>
    <row r="768" spans="4:6" x14ac:dyDescent="0.25">
      <c r="D768" s="105">
        <f t="shared" si="42"/>
        <v>1555.2999999999661</v>
      </c>
      <c r="E768" s="373">
        <f t="shared" si="40"/>
        <v>1615.9566999999647</v>
      </c>
      <c r="F768" s="373">
        <f t="shared" si="41"/>
        <v>1555.2999999999661</v>
      </c>
    </row>
    <row r="769" spans="4:6" x14ac:dyDescent="0.25">
      <c r="D769" s="105">
        <f t="shared" si="42"/>
        <v>1555.349999999966</v>
      </c>
      <c r="E769" s="373">
        <f t="shared" si="40"/>
        <v>1616.0086499999647</v>
      </c>
      <c r="F769" s="373">
        <f t="shared" si="41"/>
        <v>1555.349999999966</v>
      </c>
    </row>
    <row r="770" spans="4:6" x14ac:dyDescent="0.25">
      <c r="D770" s="105">
        <f t="shared" si="42"/>
        <v>1555.399999999966</v>
      </c>
      <c r="E770" s="373">
        <f t="shared" si="40"/>
        <v>1616.0605999999646</v>
      </c>
      <c r="F770" s="373">
        <f t="shared" si="41"/>
        <v>1555.399999999966</v>
      </c>
    </row>
    <row r="771" spans="4:6" x14ac:dyDescent="0.25">
      <c r="D771" s="105">
        <f t="shared" si="42"/>
        <v>1555.4499999999659</v>
      </c>
      <c r="E771" s="373">
        <f t="shared" si="40"/>
        <v>1616.1125499999646</v>
      </c>
      <c r="F771" s="373">
        <f t="shared" si="41"/>
        <v>1555.4499999999659</v>
      </c>
    </row>
    <row r="772" spans="4:6" x14ac:dyDescent="0.25">
      <c r="D772" s="105">
        <f t="shared" si="42"/>
        <v>1555.4999999999659</v>
      </c>
      <c r="E772" s="373">
        <f t="shared" si="40"/>
        <v>1616.1644999999646</v>
      </c>
      <c r="F772" s="373">
        <f t="shared" si="41"/>
        <v>1555.4999999999659</v>
      </c>
    </row>
    <row r="773" spans="4:6" x14ac:dyDescent="0.25">
      <c r="D773" s="105">
        <f t="shared" si="42"/>
        <v>1555.5499999999658</v>
      </c>
      <c r="E773" s="373">
        <f t="shared" si="40"/>
        <v>1616.2164499999644</v>
      </c>
      <c r="F773" s="373">
        <f t="shared" si="41"/>
        <v>1555.5499999999658</v>
      </c>
    </row>
    <row r="774" spans="4:6" x14ac:dyDescent="0.25">
      <c r="D774" s="105">
        <f t="shared" si="42"/>
        <v>1555.5999999999658</v>
      </c>
      <c r="E774" s="373">
        <f t="shared" si="40"/>
        <v>1616.2683999999645</v>
      </c>
      <c r="F774" s="373">
        <f t="shared" si="41"/>
        <v>1555.5999999999658</v>
      </c>
    </row>
    <row r="775" spans="4:6" x14ac:dyDescent="0.25">
      <c r="D775" s="105">
        <f t="shared" si="42"/>
        <v>1555.6499999999658</v>
      </c>
      <c r="E775" s="373">
        <f t="shared" si="40"/>
        <v>1616.3203499999645</v>
      </c>
      <c r="F775" s="373">
        <f t="shared" si="41"/>
        <v>1555.6499999999658</v>
      </c>
    </row>
    <row r="776" spans="4:6" x14ac:dyDescent="0.25">
      <c r="D776" s="105">
        <f t="shared" si="42"/>
        <v>1555.6999999999657</v>
      </c>
      <c r="E776" s="373">
        <f t="shared" si="40"/>
        <v>1616.3722999999643</v>
      </c>
      <c r="F776" s="373">
        <f t="shared" si="41"/>
        <v>1555.6999999999657</v>
      </c>
    </row>
    <row r="777" spans="4:6" x14ac:dyDescent="0.25">
      <c r="D777" s="105">
        <f t="shared" si="42"/>
        <v>1555.7499999999657</v>
      </c>
      <c r="E777" s="373">
        <f t="shared" si="40"/>
        <v>1616.4242499999643</v>
      </c>
      <c r="F777" s="373">
        <f t="shared" si="41"/>
        <v>1555.7499999999657</v>
      </c>
    </row>
    <row r="778" spans="4:6" x14ac:dyDescent="0.25">
      <c r="D778" s="105">
        <f t="shared" si="42"/>
        <v>1555.7999999999656</v>
      </c>
      <c r="E778" s="373">
        <f t="shared" si="40"/>
        <v>1616.4761999999644</v>
      </c>
      <c r="F778" s="373">
        <f t="shared" si="41"/>
        <v>1555.7999999999656</v>
      </c>
    </row>
    <row r="779" spans="4:6" x14ac:dyDescent="0.25">
      <c r="D779" s="105">
        <f t="shared" si="42"/>
        <v>1555.8499999999656</v>
      </c>
      <c r="E779" s="373">
        <f t="shared" si="40"/>
        <v>1616.5281499999642</v>
      </c>
      <c r="F779" s="373">
        <f t="shared" si="41"/>
        <v>1555.8499999999656</v>
      </c>
    </row>
    <row r="780" spans="4:6" x14ac:dyDescent="0.25">
      <c r="D780" s="105">
        <f t="shared" si="42"/>
        <v>1555.8999999999655</v>
      </c>
      <c r="E780" s="373">
        <f t="shared" si="40"/>
        <v>1616.5800999999642</v>
      </c>
      <c r="F780" s="373">
        <f t="shared" si="41"/>
        <v>1555.8999999999655</v>
      </c>
    </row>
    <row r="781" spans="4:6" x14ac:dyDescent="0.25">
      <c r="D781" s="105">
        <f t="shared" si="42"/>
        <v>1555.9499999999655</v>
      </c>
      <c r="E781" s="373">
        <f t="shared" si="40"/>
        <v>1616.6320499999642</v>
      </c>
      <c r="F781" s="373">
        <f t="shared" si="41"/>
        <v>1555.9499999999655</v>
      </c>
    </row>
    <row r="782" spans="4:6" x14ac:dyDescent="0.25">
      <c r="D782" s="105">
        <f t="shared" si="42"/>
        <v>1555.9999999999654</v>
      </c>
      <c r="E782" s="373">
        <f t="shared" si="40"/>
        <v>1616.683999999964</v>
      </c>
      <c r="F782" s="373">
        <f t="shared" si="41"/>
        <v>1555.9999999999654</v>
      </c>
    </row>
    <row r="783" spans="4:6" x14ac:dyDescent="0.25">
      <c r="D783" s="105">
        <f t="shared" si="42"/>
        <v>1556.0499999999654</v>
      </c>
      <c r="E783" s="373">
        <f t="shared" si="40"/>
        <v>1616.7359499999641</v>
      </c>
      <c r="F783" s="373">
        <f t="shared" si="41"/>
        <v>1556.0499999999654</v>
      </c>
    </row>
    <row r="784" spans="4:6" x14ac:dyDescent="0.25">
      <c r="D784" s="105">
        <f t="shared" si="42"/>
        <v>1556.0999999999653</v>
      </c>
      <c r="E784" s="373">
        <f t="shared" si="40"/>
        <v>1616.7878999999639</v>
      </c>
      <c r="F784" s="373">
        <f t="shared" si="41"/>
        <v>1556.0999999999653</v>
      </c>
    </row>
    <row r="785" spans="4:6" x14ac:dyDescent="0.25">
      <c r="D785" s="105">
        <f t="shared" si="42"/>
        <v>1556.1499999999653</v>
      </c>
      <c r="E785" s="373">
        <f t="shared" si="40"/>
        <v>1616.8398499999639</v>
      </c>
      <c r="F785" s="373">
        <f t="shared" si="41"/>
        <v>1556.1499999999653</v>
      </c>
    </row>
    <row r="786" spans="4:6" x14ac:dyDescent="0.25">
      <c r="D786" s="105">
        <f t="shared" si="42"/>
        <v>1556.1999999999653</v>
      </c>
      <c r="E786" s="373">
        <f t="shared" si="40"/>
        <v>1616.891799999964</v>
      </c>
      <c r="F786" s="373">
        <f t="shared" si="41"/>
        <v>1556.1999999999653</v>
      </c>
    </row>
    <row r="787" spans="4:6" x14ac:dyDescent="0.25">
      <c r="D787" s="105">
        <f t="shared" si="42"/>
        <v>1556.2499999999652</v>
      </c>
      <c r="E787" s="373">
        <f t="shared" si="40"/>
        <v>1616.9437499999638</v>
      </c>
      <c r="F787" s="373">
        <f t="shared" si="41"/>
        <v>1556.2499999999652</v>
      </c>
    </row>
    <row r="788" spans="4:6" x14ac:dyDescent="0.25">
      <c r="D788" s="105">
        <f t="shared" si="42"/>
        <v>1556.2999999999652</v>
      </c>
      <c r="E788" s="373">
        <f t="shared" si="40"/>
        <v>1616.9956999999638</v>
      </c>
      <c r="F788" s="373">
        <f t="shared" si="41"/>
        <v>1556.2999999999652</v>
      </c>
    </row>
    <row r="789" spans="4:6" x14ac:dyDescent="0.25">
      <c r="D789" s="105">
        <f t="shared" si="42"/>
        <v>1556.3499999999651</v>
      </c>
      <c r="E789" s="373">
        <f t="shared" si="40"/>
        <v>1617.0476499999638</v>
      </c>
      <c r="F789" s="373">
        <f t="shared" si="41"/>
        <v>1556.3499999999651</v>
      </c>
    </row>
    <row r="790" spans="4:6" x14ac:dyDescent="0.25">
      <c r="D790" s="105">
        <f t="shared" si="42"/>
        <v>1556.3999999999651</v>
      </c>
      <c r="E790" s="373">
        <f t="shared" si="40"/>
        <v>1617.0995999999636</v>
      </c>
      <c r="F790" s="373">
        <f t="shared" si="41"/>
        <v>1556.3999999999651</v>
      </c>
    </row>
    <row r="791" spans="4:6" x14ac:dyDescent="0.25">
      <c r="D791" s="105">
        <f t="shared" si="42"/>
        <v>1556.449999999965</v>
      </c>
      <c r="E791" s="373">
        <f t="shared" ref="E791:E854" si="43">D791*$C$2 + D791</f>
        <v>1617.1515499999637</v>
      </c>
      <c r="F791" s="373">
        <f t="shared" ref="F791:F854" si="44">D791</f>
        <v>1556.449999999965</v>
      </c>
    </row>
    <row r="792" spans="4:6" x14ac:dyDescent="0.25">
      <c r="D792" s="105">
        <f t="shared" ref="D792:D855" si="45">D791+0.05</f>
        <v>1556.499999999965</v>
      </c>
      <c r="E792" s="373">
        <f t="shared" si="43"/>
        <v>1617.2034999999637</v>
      </c>
      <c r="F792" s="373">
        <f t="shared" si="44"/>
        <v>1556.499999999965</v>
      </c>
    </row>
    <row r="793" spans="4:6" x14ac:dyDescent="0.25">
      <c r="D793" s="105">
        <f t="shared" si="45"/>
        <v>1556.5499999999649</v>
      </c>
      <c r="E793" s="373">
        <f t="shared" si="43"/>
        <v>1617.2554499999635</v>
      </c>
      <c r="F793" s="373">
        <f t="shared" si="44"/>
        <v>1556.5499999999649</v>
      </c>
    </row>
    <row r="794" spans="4:6" x14ac:dyDescent="0.25">
      <c r="D794" s="105">
        <f t="shared" si="45"/>
        <v>1556.5999999999649</v>
      </c>
      <c r="E794" s="373">
        <f t="shared" si="43"/>
        <v>1617.3073999999635</v>
      </c>
      <c r="F794" s="373">
        <f t="shared" si="44"/>
        <v>1556.5999999999649</v>
      </c>
    </row>
    <row r="795" spans="4:6" x14ac:dyDescent="0.25">
      <c r="D795" s="105">
        <f t="shared" si="45"/>
        <v>1556.6499999999648</v>
      </c>
      <c r="E795" s="373">
        <f t="shared" si="43"/>
        <v>1617.3593499999636</v>
      </c>
      <c r="F795" s="373">
        <f t="shared" si="44"/>
        <v>1556.6499999999648</v>
      </c>
    </row>
    <row r="796" spans="4:6" x14ac:dyDescent="0.25">
      <c r="D796" s="105">
        <f t="shared" si="45"/>
        <v>1556.6999999999648</v>
      </c>
      <c r="E796" s="373">
        <f t="shared" si="43"/>
        <v>1617.4112999999634</v>
      </c>
      <c r="F796" s="373">
        <f t="shared" si="44"/>
        <v>1556.6999999999648</v>
      </c>
    </row>
    <row r="797" spans="4:6" x14ac:dyDescent="0.25">
      <c r="D797" s="105">
        <f t="shared" si="45"/>
        <v>1556.7499999999648</v>
      </c>
      <c r="E797" s="373">
        <f t="shared" si="43"/>
        <v>1617.4632499999634</v>
      </c>
      <c r="F797" s="373">
        <f t="shared" si="44"/>
        <v>1556.7499999999648</v>
      </c>
    </row>
    <row r="798" spans="4:6" x14ac:dyDescent="0.25">
      <c r="D798" s="105">
        <f t="shared" si="45"/>
        <v>1556.7999999999647</v>
      </c>
      <c r="E798" s="373">
        <f t="shared" si="43"/>
        <v>1617.5151999999634</v>
      </c>
      <c r="F798" s="373">
        <f t="shared" si="44"/>
        <v>1556.7999999999647</v>
      </c>
    </row>
    <row r="799" spans="4:6" x14ac:dyDescent="0.25">
      <c r="D799" s="105">
        <f t="shared" si="45"/>
        <v>1556.8499999999647</v>
      </c>
      <c r="E799" s="373">
        <f t="shared" si="43"/>
        <v>1617.5671499999632</v>
      </c>
      <c r="F799" s="373">
        <f t="shared" si="44"/>
        <v>1556.8499999999647</v>
      </c>
    </row>
    <row r="800" spans="4:6" x14ac:dyDescent="0.25">
      <c r="D800" s="105">
        <f t="shared" si="45"/>
        <v>1556.8999999999646</v>
      </c>
      <c r="E800" s="373">
        <f t="shared" si="43"/>
        <v>1617.6190999999633</v>
      </c>
      <c r="F800" s="373">
        <f t="shared" si="44"/>
        <v>1556.8999999999646</v>
      </c>
    </row>
    <row r="801" spans="4:6" x14ac:dyDescent="0.25">
      <c r="D801" s="105">
        <f t="shared" si="45"/>
        <v>1556.9499999999646</v>
      </c>
      <c r="E801" s="373">
        <f t="shared" si="43"/>
        <v>1617.6710499999631</v>
      </c>
      <c r="F801" s="373">
        <f t="shared" si="44"/>
        <v>1556.9499999999646</v>
      </c>
    </row>
    <row r="802" spans="4:6" x14ac:dyDescent="0.25">
      <c r="D802" s="105">
        <f t="shared" si="45"/>
        <v>1556.9999999999645</v>
      </c>
      <c r="E802" s="373">
        <f t="shared" si="43"/>
        <v>1617.7229999999631</v>
      </c>
      <c r="F802" s="373">
        <f t="shared" si="44"/>
        <v>1556.9999999999645</v>
      </c>
    </row>
    <row r="803" spans="4:6" x14ac:dyDescent="0.25">
      <c r="D803" s="105">
        <f t="shared" si="45"/>
        <v>1557.0499999999645</v>
      </c>
      <c r="E803" s="373">
        <f t="shared" si="43"/>
        <v>1617.7749499999632</v>
      </c>
      <c r="F803" s="373">
        <f t="shared" si="44"/>
        <v>1557.0499999999645</v>
      </c>
    </row>
    <row r="804" spans="4:6" x14ac:dyDescent="0.25">
      <c r="D804" s="105">
        <f t="shared" si="45"/>
        <v>1557.0999999999644</v>
      </c>
      <c r="E804" s="373">
        <f t="shared" si="43"/>
        <v>1617.826899999963</v>
      </c>
      <c r="F804" s="373">
        <f t="shared" si="44"/>
        <v>1557.0999999999644</v>
      </c>
    </row>
    <row r="805" spans="4:6" x14ac:dyDescent="0.25">
      <c r="D805" s="105">
        <f t="shared" si="45"/>
        <v>1557.1499999999644</v>
      </c>
      <c r="E805" s="373">
        <f t="shared" si="43"/>
        <v>1617.878849999963</v>
      </c>
      <c r="F805" s="373">
        <f t="shared" si="44"/>
        <v>1557.1499999999644</v>
      </c>
    </row>
    <row r="806" spans="4:6" x14ac:dyDescent="0.25">
      <c r="D806" s="105">
        <f t="shared" si="45"/>
        <v>1557.1999999999643</v>
      </c>
      <c r="E806" s="373">
        <f t="shared" si="43"/>
        <v>1617.930799999963</v>
      </c>
      <c r="F806" s="373">
        <f t="shared" si="44"/>
        <v>1557.1999999999643</v>
      </c>
    </row>
    <row r="807" spans="4:6" x14ac:dyDescent="0.25">
      <c r="D807" s="105">
        <f t="shared" si="45"/>
        <v>1557.2499999999643</v>
      </c>
      <c r="E807" s="373">
        <f t="shared" si="43"/>
        <v>1617.9827499999628</v>
      </c>
      <c r="F807" s="373">
        <f t="shared" si="44"/>
        <v>1557.2499999999643</v>
      </c>
    </row>
    <row r="808" spans="4:6" x14ac:dyDescent="0.25">
      <c r="D808" s="105">
        <f t="shared" si="45"/>
        <v>1557.2999999999643</v>
      </c>
      <c r="E808" s="373">
        <f t="shared" si="43"/>
        <v>1618.0346999999629</v>
      </c>
      <c r="F808" s="373">
        <f t="shared" si="44"/>
        <v>1557.2999999999643</v>
      </c>
    </row>
    <row r="809" spans="4:6" x14ac:dyDescent="0.25">
      <c r="D809" s="105">
        <f t="shared" si="45"/>
        <v>1557.3499999999642</v>
      </c>
      <c r="E809" s="373">
        <f t="shared" si="43"/>
        <v>1618.0866499999629</v>
      </c>
      <c r="F809" s="373">
        <f t="shared" si="44"/>
        <v>1557.3499999999642</v>
      </c>
    </row>
    <row r="810" spans="4:6" x14ac:dyDescent="0.25">
      <c r="D810" s="105">
        <f t="shared" si="45"/>
        <v>1557.3999999999642</v>
      </c>
      <c r="E810" s="373">
        <f t="shared" si="43"/>
        <v>1618.1385999999627</v>
      </c>
      <c r="F810" s="373">
        <f t="shared" si="44"/>
        <v>1557.3999999999642</v>
      </c>
    </row>
    <row r="811" spans="4:6" x14ac:dyDescent="0.25">
      <c r="D811" s="105">
        <f t="shared" si="45"/>
        <v>1557.4499999999641</v>
      </c>
      <c r="E811" s="373">
        <f t="shared" si="43"/>
        <v>1618.1905499999627</v>
      </c>
      <c r="F811" s="373">
        <f t="shared" si="44"/>
        <v>1557.4499999999641</v>
      </c>
    </row>
    <row r="812" spans="4:6" x14ac:dyDescent="0.25">
      <c r="D812" s="105">
        <f t="shared" si="45"/>
        <v>1557.4999999999641</v>
      </c>
      <c r="E812" s="373">
        <f t="shared" si="43"/>
        <v>1618.2424999999628</v>
      </c>
      <c r="F812" s="373">
        <f t="shared" si="44"/>
        <v>1557.4999999999641</v>
      </c>
    </row>
    <row r="813" spans="4:6" x14ac:dyDescent="0.25">
      <c r="D813" s="105">
        <f t="shared" si="45"/>
        <v>1557.549999999964</v>
      </c>
      <c r="E813" s="373">
        <f t="shared" si="43"/>
        <v>1618.2944499999626</v>
      </c>
      <c r="F813" s="373">
        <f t="shared" si="44"/>
        <v>1557.549999999964</v>
      </c>
    </row>
    <row r="814" spans="4:6" x14ac:dyDescent="0.25">
      <c r="D814" s="105">
        <f t="shared" si="45"/>
        <v>1557.599999999964</v>
      </c>
      <c r="E814" s="373">
        <f t="shared" si="43"/>
        <v>1618.3463999999626</v>
      </c>
      <c r="F814" s="373">
        <f t="shared" si="44"/>
        <v>1557.599999999964</v>
      </c>
    </row>
    <row r="815" spans="4:6" x14ac:dyDescent="0.25">
      <c r="D815" s="105">
        <f t="shared" si="45"/>
        <v>1557.6499999999639</v>
      </c>
      <c r="E815" s="373">
        <f t="shared" si="43"/>
        <v>1618.3983499999626</v>
      </c>
      <c r="F815" s="373">
        <f t="shared" si="44"/>
        <v>1557.6499999999639</v>
      </c>
    </row>
    <row r="816" spans="4:6" x14ac:dyDescent="0.25">
      <c r="D816" s="105">
        <f t="shared" si="45"/>
        <v>1557.6999999999639</v>
      </c>
      <c r="E816" s="373">
        <f t="shared" si="43"/>
        <v>1618.4502999999625</v>
      </c>
      <c r="F816" s="373">
        <f t="shared" si="44"/>
        <v>1557.6999999999639</v>
      </c>
    </row>
    <row r="817" spans="4:6" x14ac:dyDescent="0.25">
      <c r="D817" s="105">
        <f t="shared" si="45"/>
        <v>1557.7499999999638</v>
      </c>
      <c r="E817" s="373">
        <f t="shared" si="43"/>
        <v>1618.5022499999625</v>
      </c>
      <c r="F817" s="373">
        <f t="shared" si="44"/>
        <v>1557.7499999999638</v>
      </c>
    </row>
    <row r="818" spans="4:6" x14ac:dyDescent="0.25">
      <c r="D818" s="105">
        <f t="shared" si="45"/>
        <v>1557.7999999999638</v>
      </c>
      <c r="E818" s="373">
        <f t="shared" si="43"/>
        <v>1618.5541999999623</v>
      </c>
      <c r="F818" s="373">
        <f t="shared" si="44"/>
        <v>1557.7999999999638</v>
      </c>
    </row>
    <row r="819" spans="4:6" x14ac:dyDescent="0.25">
      <c r="D819" s="105">
        <f t="shared" si="45"/>
        <v>1557.8499999999638</v>
      </c>
      <c r="E819" s="373">
        <f t="shared" si="43"/>
        <v>1618.6061499999623</v>
      </c>
      <c r="F819" s="373">
        <f t="shared" si="44"/>
        <v>1557.8499999999638</v>
      </c>
    </row>
    <row r="820" spans="4:6" x14ac:dyDescent="0.25">
      <c r="D820" s="105">
        <f t="shared" si="45"/>
        <v>1557.8999999999637</v>
      </c>
      <c r="E820" s="373">
        <f t="shared" si="43"/>
        <v>1618.6580999999624</v>
      </c>
      <c r="F820" s="373">
        <f t="shared" si="44"/>
        <v>1557.8999999999637</v>
      </c>
    </row>
    <row r="821" spans="4:6" x14ac:dyDescent="0.25">
      <c r="D821" s="105">
        <f t="shared" si="45"/>
        <v>1557.9499999999637</v>
      </c>
      <c r="E821" s="373">
        <f t="shared" si="43"/>
        <v>1618.7100499999622</v>
      </c>
      <c r="F821" s="373">
        <f t="shared" si="44"/>
        <v>1557.9499999999637</v>
      </c>
    </row>
    <row r="822" spans="4:6" x14ac:dyDescent="0.25">
      <c r="D822" s="105">
        <f t="shared" si="45"/>
        <v>1557.9999999999636</v>
      </c>
      <c r="E822" s="373">
        <f t="shared" si="43"/>
        <v>1618.7619999999622</v>
      </c>
      <c r="F822" s="373">
        <f t="shared" si="44"/>
        <v>1557.9999999999636</v>
      </c>
    </row>
    <row r="823" spans="4:6" x14ac:dyDescent="0.25">
      <c r="D823" s="105">
        <f t="shared" si="45"/>
        <v>1558.0499999999636</v>
      </c>
      <c r="E823" s="373">
        <f t="shared" si="43"/>
        <v>1618.8139499999622</v>
      </c>
      <c r="F823" s="373">
        <f t="shared" si="44"/>
        <v>1558.0499999999636</v>
      </c>
    </row>
    <row r="824" spans="4:6" x14ac:dyDescent="0.25">
      <c r="D824" s="105">
        <f t="shared" si="45"/>
        <v>1558.0999999999635</v>
      </c>
      <c r="E824" s="373">
        <f t="shared" si="43"/>
        <v>1618.865899999962</v>
      </c>
      <c r="F824" s="373">
        <f t="shared" si="44"/>
        <v>1558.0999999999635</v>
      </c>
    </row>
    <row r="825" spans="4:6" x14ac:dyDescent="0.25">
      <c r="D825" s="105">
        <f t="shared" si="45"/>
        <v>1558.1499999999635</v>
      </c>
      <c r="E825" s="373">
        <f t="shared" si="43"/>
        <v>1618.9178499999621</v>
      </c>
      <c r="F825" s="373">
        <f t="shared" si="44"/>
        <v>1558.1499999999635</v>
      </c>
    </row>
    <row r="826" spans="4:6" x14ac:dyDescent="0.25">
      <c r="D826" s="105">
        <f t="shared" si="45"/>
        <v>1558.1999999999634</v>
      </c>
      <c r="E826" s="373">
        <f t="shared" si="43"/>
        <v>1618.9697999999621</v>
      </c>
      <c r="F826" s="373">
        <f t="shared" si="44"/>
        <v>1558.1999999999634</v>
      </c>
    </row>
    <row r="827" spans="4:6" x14ac:dyDescent="0.25">
      <c r="D827" s="105">
        <f t="shared" si="45"/>
        <v>1558.2499999999634</v>
      </c>
      <c r="E827" s="373">
        <f t="shared" si="43"/>
        <v>1619.0217499999619</v>
      </c>
      <c r="F827" s="373">
        <f t="shared" si="44"/>
        <v>1558.2499999999634</v>
      </c>
    </row>
    <row r="828" spans="4:6" x14ac:dyDescent="0.25">
      <c r="D828" s="105">
        <f t="shared" si="45"/>
        <v>1558.2999999999633</v>
      </c>
      <c r="E828" s="373">
        <f t="shared" si="43"/>
        <v>1619.0736999999619</v>
      </c>
      <c r="F828" s="373">
        <f t="shared" si="44"/>
        <v>1558.2999999999633</v>
      </c>
    </row>
    <row r="829" spans="4:6" x14ac:dyDescent="0.25">
      <c r="D829" s="105">
        <f t="shared" si="45"/>
        <v>1558.3499999999633</v>
      </c>
      <c r="E829" s="373">
        <f t="shared" si="43"/>
        <v>1619.125649999962</v>
      </c>
      <c r="F829" s="373">
        <f t="shared" si="44"/>
        <v>1558.3499999999633</v>
      </c>
    </row>
    <row r="830" spans="4:6" x14ac:dyDescent="0.25">
      <c r="D830" s="105">
        <f t="shared" si="45"/>
        <v>1558.3999999999633</v>
      </c>
      <c r="E830" s="373">
        <f t="shared" si="43"/>
        <v>1619.1775999999618</v>
      </c>
      <c r="F830" s="373">
        <f t="shared" si="44"/>
        <v>1558.3999999999633</v>
      </c>
    </row>
    <row r="831" spans="4:6" x14ac:dyDescent="0.25">
      <c r="D831" s="105">
        <f t="shared" si="45"/>
        <v>1558.4499999999632</v>
      </c>
      <c r="E831" s="373">
        <f t="shared" si="43"/>
        <v>1619.2295499999618</v>
      </c>
      <c r="F831" s="373">
        <f t="shared" si="44"/>
        <v>1558.4499999999632</v>
      </c>
    </row>
    <row r="832" spans="4:6" x14ac:dyDescent="0.25">
      <c r="D832" s="105">
        <f t="shared" si="45"/>
        <v>1558.4999999999632</v>
      </c>
      <c r="E832" s="373">
        <f t="shared" si="43"/>
        <v>1619.2814999999616</v>
      </c>
      <c r="F832" s="373">
        <f t="shared" si="44"/>
        <v>1558.4999999999632</v>
      </c>
    </row>
    <row r="833" spans="4:6" x14ac:dyDescent="0.25">
      <c r="D833" s="105">
        <f t="shared" si="45"/>
        <v>1558.5499999999631</v>
      </c>
      <c r="E833" s="373">
        <f t="shared" si="43"/>
        <v>1619.3334499999617</v>
      </c>
      <c r="F833" s="373">
        <f t="shared" si="44"/>
        <v>1558.5499999999631</v>
      </c>
    </row>
    <row r="834" spans="4:6" x14ac:dyDescent="0.25">
      <c r="D834" s="105">
        <f t="shared" si="45"/>
        <v>1558.5999999999631</v>
      </c>
      <c r="E834" s="373">
        <f t="shared" si="43"/>
        <v>1619.3853999999617</v>
      </c>
      <c r="F834" s="373">
        <f t="shared" si="44"/>
        <v>1558.5999999999631</v>
      </c>
    </row>
    <row r="835" spans="4:6" x14ac:dyDescent="0.25">
      <c r="D835" s="105">
        <f t="shared" si="45"/>
        <v>1558.649999999963</v>
      </c>
      <c r="E835" s="373">
        <f t="shared" si="43"/>
        <v>1619.4373499999615</v>
      </c>
      <c r="F835" s="373">
        <f t="shared" si="44"/>
        <v>1558.649999999963</v>
      </c>
    </row>
    <row r="836" spans="4:6" x14ac:dyDescent="0.25">
      <c r="D836" s="105">
        <f t="shared" si="45"/>
        <v>1558.699999999963</v>
      </c>
      <c r="E836" s="373">
        <f t="shared" si="43"/>
        <v>1619.4892999999615</v>
      </c>
      <c r="F836" s="373">
        <f t="shared" si="44"/>
        <v>1558.699999999963</v>
      </c>
    </row>
    <row r="837" spans="4:6" x14ac:dyDescent="0.25">
      <c r="D837" s="105">
        <f t="shared" si="45"/>
        <v>1558.7499999999629</v>
      </c>
      <c r="E837" s="373">
        <f t="shared" si="43"/>
        <v>1619.5412499999616</v>
      </c>
      <c r="F837" s="373">
        <f t="shared" si="44"/>
        <v>1558.7499999999629</v>
      </c>
    </row>
    <row r="838" spans="4:6" x14ac:dyDescent="0.25">
      <c r="D838" s="105">
        <f t="shared" si="45"/>
        <v>1558.7999999999629</v>
      </c>
      <c r="E838" s="373">
        <f t="shared" si="43"/>
        <v>1619.5931999999614</v>
      </c>
      <c r="F838" s="373">
        <f t="shared" si="44"/>
        <v>1558.7999999999629</v>
      </c>
    </row>
    <row r="839" spans="4:6" x14ac:dyDescent="0.25">
      <c r="D839" s="105">
        <f t="shared" si="45"/>
        <v>1558.8499999999628</v>
      </c>
      <c r="E839" s="373">
        <f t="shared" si="43"/>
        <v>1619.6451499999614</v>
      </c>
      <c r="F839" s="373">
        <f t="shared" si="44"/>
        <v>1558.8499999999628</v>
      </c>
    </row>
    <row r="840" spans="4:6" x14ac:dyDescent="0.25">
      <c r="D840" s="105">
        <f t="shared" si="45"/>
        <v>1558.8999999999628</v>
      </c>
      <c r="E840" s="373">
        <f t="shared" si="43"/>
        <v>1619.6970999999614</v>
      </c>
      <c r="F840" s="373">
        <f t="shared" si="44"/>
        <v>1558.8999999999628</v>
      </c>
    </row>
    <row r="841" spans="4:6" x14ac:dyDescent="0.25">
      <c r="D841" s="105">
        <f t="shared" si="45"/>
        <v>1558.9499999999628</v>
      </c>
      <c r="E841" s="373">
        <f t="shared" si="43"/>
        <v>1619.7490499999612</v>
      </c>
      <c r="F841" s="373">
        <f t="shared" si="44"/>
        <v>1558.9499999999628</v>
      </c>
    </row>
    <row r="842" spans="4:6" x14ac:dyDescent="0.25">
      <c r="D842" s="105">
        <f t="shared" si="45"/>
        <v>1558.9999999999627</v>
      </c>
      <c r="E842" s="373">
        <f t="shared" si="43"/>
        <v>1619.8009999999613</v>
      </c>
      <c r="F842" s="373">
        <f t="shared" si="44"/>
        <v>1558.9999999999627</v>
      </c>
    </row>
    <row r="843" spans="4:6" x14ac:dyDescent="0.25">
      <c r="D843" s="105">
        <f t="shared" si="45"/>
        <v>1559.0499999999627</v>
      </c>
      <c r="E843" s="373">
        <f t="shared" si="43"/>
        <v>1619.8529499999613</v>
      </c>
      <c r="F843" s="373">
        <f t="shared" si="44"/>
        <v>1559.0499999999627</v>
      </c>
    </row>
    <row r="844" spans="4:6" x14ac:dyDescent="0.25">
      <c r="D844" s="105">
        <f t="shared" si="45"/>
        <v>1559.0999999999626</v>
      </c>
      <c r="E844" s="373">
        <f t="shared" si="43"/>
        <v>1619.9048999999611</v>
      </c>
      <c r="F844" s="373">
        <f t="shared" si="44"/>
        <v>1559.0999999999626</v>
      </c>
    </row>
    <row r="845" spans="4:6" x14ac:dyDescent="0.25">
      <c r="D845" s="105">
        <f t="shared" si="45"/>
        <v>1559.1499999999626</v>
      </c>
      <c r="E845" s="373">
        <f t="shared" si="43"/>
        <v>1619.9568499999612</v>
      </c>
      <c r="F845" s="373">
        <f t="shared" si="44"/>
        <v>1559.1499999999626</v>
      </c>
    </row>
    <row r="846" spans="4:6" x14ac:dyDescent="0.25">
      <c r="D846" s="105">
        <f t="shared" si="45"/>
        <v>1559.1999999999625</v>
      </c>
      <c r="E846" s="373">
        <f t="shared" si="43"/>
        <v>1620.008799999961</v>
      </c>
      <c r="F846" s="373">
        <f t="shared" si="44"/>
        <v>1559.1999999999625</v>
      </c>
    </row>
    <row r="847" spans="4:6" x14ac:dyDescent="0.25">
      <c r="D847" s="105">
        <f t="shared" si="45"/>
        <v>1559.2499999999625</v>
      </c>
      <c r="E847" s="373">
        <f t="shared" si="43"/>
        <v>1620.060749999961</v>
      </c>
      <c r="F847" s="373">
        <f t="shared" si="44"/>
        <v>1559.2499999999625</v>
      </c>
    </row>
    <row r="848" spans="4:6" x14ac:dyDescent="0.25">
      <c r="D848" s="105">
        <f t="shared" si="45"/>
        <v>1559.2999999999624</v>
      </c>
      <c r="E848" s="373">
        <f t="shared" si="43"/>
        <v>1620.112699999961</v>
      </c>
      <c r="F848" s="373">
        <f t="shared" si="44"/>
        <v>1559.2999999999624</v>
      </c>
    </row>
    <row r="849" spans="4:6" x14ac:dyDescent="0.25">
      <c r="D849" s="105">
        <f t="shared" si="45"/>
        <v>1559.3499999999624</v>
      </c>
      <c r="E849" s="373">
        <f t="shared" si="43"/>
        <v>1620.1646499999608</v>
      </c>
      <c r="F849" s="373">
        <f t="shared" si="44"/>
        <v>1559.3499999999624</v>
      </c>
    </row>
    <row r="850" spans="4:6" x14ac:dyDescent="0.25">
      <c r="D850" s="105">
        <f t="shared" si="45"/>
        <v>1559.3999999999623</v>
      </c>
      <c r="E850" s="373">
        <f t="shared" si="43"/>
        <v>1620.2165999999609</v>
      </c>
      <c r="F850" s="373">
        <f t="shared" si="44"/>
        <v>1559.3999999999623</v>
      </c>
    </row>
    <row r="851" spans="4:6" x14ac:dyDescent="0.25">
      <c r="D851" s="105">
        <f t="shared" si="45"/>
        <v>1559.4499999999623</v>
      </c>
      <c r="E851" s="373">
        <f t="shared" si="43"/>
        <v>1620.2685499999609</v>
      </c>
      <c r="F851" s="373">
        <f t="shared" si="44"/>
        <v>1559.4499999999623</v>
      </c>
    </row>
    <row r="852" spans="4:6" x14ac:dyDescent="0.25">
      <c r="D852" s="105">
        <f t="shared" si="45"/>
        <v>1559.4999999999623</v>
      </c>
      <c r="E852" s="373">
        <f t="shared" si="43"/>
        <v>1620.3204999999607</v>
      </c>
      <c r="F852" s="373">
        <f t="shared" si="44"/>
        <v>1559.4999999999623</v>
      </c>
    </row>
    <row r="853" spans="4:6" x14ac:dyDescent="0.25">
      <c r="D853" s="105">
        <f t="shared" si="45"/>
        <v>1559.5499999999622</v>
      </c>
      <c r="E853" s="373">
        <f t="shared" si="43"/>
        <v>1620.3724499999607</v>
      </c>
      <c r="F853" s="373">
        <f t="shared" si="44"/>
        <v>1559.5499999999622</v>
      </c>
    </row>
    <row r="854" spans="4:6" x14ac:dyDescent="0.25">
      <c r="D854" s="105">
        <f t="shared" si="45"/>
        <v>1559.5999999999622</v>
      </c>
      <c r="E854" s="373">
        <f t="shared" si="43"/>
        <v>1620.4243999999608</v>
      </c>
      <c r="F854" s="373">
        <f t="shared" si="44"/>
        <v>1559.5999999999622</v>
      </c>
    </row>
    <row r="855" spans="4:6" x14ac:dyDescent="0.25">
      <c r="D855" s="105">
        <f t="shared" si="45"/>
        <v>1559.6499999999621</v>
      </c>
      <c r="E855" s="373">
        <f t="shared" ref="E855:E918" si="46">D855*$C$2 + D855</f>
        <v>1620.4763499999606</v>
      </c>
      <c r="F855" s="373">
        <f t="shared" ref="F855:F918" si="47">D855</f>
        <v>1559.6499999999621</v>
      </c>
    </row>
    <row r="856" spans="4:6" x14ac:dyDescent="0.25">
      <c r="D856" s="105">
        <f t="shared" ref="D856:D919" si="48">D855+0.05</f>
        <v>1559.6999999999621</v>
      </c>
      <c r="E856" s="373">
        <f t="shared" si="46"/>
        <v>1620.5282999999606</v>
      </c>
      <c r="F856" s="373">
        <f t="shared" si="47"/>
        <v>1559.6999999999621</v>
      </c>
    </row>
    <row r="857" spans="4:6" x14ac:dyDescent="0.25">
      <c r="D857" s="105">
        <f t="shared" si="48"/>
        <v>1559.749999999962</v>
      </c>
      <c r="E857" s="373">
        <f t="shared" si="46"/>
        <v>1620.5802499999606</v>
      </c>
      <c r="F857" s="373">
        <f t="shared" si="47"/>
        <v>1559.749999999962</v>
      </c>
    </row>
    <row r="858" spans="4:6" x14ac:dyDescent="0.25">
      <c r="D858" s="105">
        <f t="shared" si="48"/>
        <v>1559.799999999962</v>
      </c>
      <c r="E858" s="373">
        <f t="shared" si="46"/>
        <v>1620.6321999999604</v>
      </c>
      <c r="F858" s="373">
        <f t="shared" si="47"/>
        <v>1559.799999999962</v>
      </c>
    </row>
    <row r="859" spans="4:6" x14ac:dyDescent="0.25">
      <c r="D859" s="105">
        <f t="shared" si="48"/>
        <v>1559.8499999999619</v>
      </c>
      <c r="E859" s="373">
        <f t="shared" si="46"/>
        <v>1620.6841499999605</v>
      </c>
      <c r="F859" s="373">
        <f t="shared" si="47"/>
        <v>1559.8499999999619</v>
      </c>
    </row>
    <row r="860" spans="4:6" x14ac:dyDescent="0.25">
      <c r="D860" s="105">
        <f t="shared" si="48"/>
        <v>1559.8999999999619</v>
      </c>
      <c r="E860" s="373">
        <f t="shared" si="46"/>
        <v>1620.7360999999605</v>
      </c>
      <c r="F860" s="373">
        <f t="shared" si="47"/>
        <v>1559.8999999999619</v>
      </c>
    </row>
    <row r="861" spans="4:6" x14ac:dyDescent="0.25">
      <c r="D861" s="105">
        <f t="shared" si="48"/>
        <v>1559.9499999999618</v>
      </c>
      <c r="E861" s="373">
        <f t="shared" si="46"/>
        <v>1620.7880499999603</v>
      </c>
      <c r="F861" s="373">
        <f t="shared" si="47"/>
        <v>1559.9499999999618</v>
      </c>
    </row>
    <row r="862" spans="4:6" x14ac:dyDescent="0.25">
      <c r="D862" s="105">
        <f t="shared" si="48"/>
        <v>1559.9999999999618</v>
      </c>
      <c r="E862" s="373">
        <f t="shared" si="46"/>
        <v>1620.8399999999604</v>
      </c>
      <c r="F862" s="373">
        <f t="shared" si="47"/>
        <v>1559.9999999999618</v>
      </c>
    </row>
    <row r="863" spans="4:6" x14ac:dyDescent="0.25">
      <c r="D863" s="105">
        <f t="shared" si="48"/>
        <v>1560.0499999999618</v>
      </c>
      <c r="E863" s="373">
        <f t="shared" si="46"/>
        <v>1620.8919499999602</v>
      </c>
      <c r="F863" s="373">
        <f t="shared" si="47"/>
        <v>1560.0499999999618</v>
      </c>
    </row>
    <row r="864" spans="4:6" x14ac:dyDescent="0.25">
      <c r="D864" s="105">
        <f t="shared" si="48"/>
        <v>1560.0999999999617</v>
      </c>
      <c r="E864" s="373">
        <f t="shared" si="46"/>
        <v>1620.9438999999602</v>
      </c>
      <c r="F864" s="373">
        <f t="shared" si="47"/>
        <v>1560.0999999999617</v>
      </c>
    </row>
    <row r="865" spans="4:6" x14ac:dyDescent="0.25">
      <c r="D865" s="105">
        <f t="shared" si="48"/>
        <v>1560.1499999999617</v>
      </c>
      <c r="E865" s="373">
        <f t="shared" si="46"/>
        <v>1620.9958499999602</v>
      </c>
      <c r="F865" s="373">
        <f t="shared" si="47"/>
        <v>1560.1499999999617</v>
      </c>
    </row>
    <row r="866" spans="4:6" x14ac:dyDescent="0.25">
      <c r="D866" s="105">
        <f t="shared" si="48"/>
        <v>1560.1999999999616</v>
      </c>
      <c r="E866" s="373">
        <f t="shared" si="46"/>
        <v>1621.04779999996</v>
      </c>
      <c r="F866" s="373">
        <f t="shared" si="47"/>
        <v>1560.1999999999616</v>
      </c>
    </row>
    <row r="867" spans="4:6" x14ac:dyDescent="0.25">
      <c r="D867" s="105">
        <f t="shared" si="48"/>
        <v>1560.2499999999616</v>
      </c>
      <c r="E867" s="373">
        <f t="shared" si="46"/>
        <v>1621.0997499999601</v>
      </c>
      <c r="F867" s="373">
        <f t="shared" si="47"/>
        <v>1560.2499999999616</v>
      </c>
    </row>
    <row r="868" spans="4:6" x14ac:dyDescent="0.25">
      <c r="D868" s="105">
        <f t="shared" si="48"/>
        <v>1560.2999999999615</v>
      </c>
      <c r="E868" s="373">
        <f t="shared" si="46"/>
        <v>1621.1516999999601</v>
      </c>
      <c r="F868" s="373">
        <f t="shared" si="47"/>
        <v>1560.2999999999615</v>
      </c>
    </row>
    <row r="869" spans="4:6" x14ac:dyDescent="0.25">
      <c r="D869" s="105">
        <f t="shared" si="48"/>
        <v>1560.3499999999615</v>
      </c>
      <c r="E869" s="373">
        <f t="shared" si="46"/>
        <v>1621.2036499999599</v>
      </c>
      <c r="F869" s="373">
        <f t="shared" si="47"/>
        <v>1560.3499999999615</v>
      </c>
    </row>
    <row r="870" spans="4:6" x14ac:dyDescent="0.25">
      <c r="D870" s="105">
        <f t="shared" si="48"/>
        <v>1560.3999999999614</v>
      </c>
      <c r="E870" s="373">
        <f t="shared" si="46"/>
        <v>1621.2555999999599</v>
      </c>
      <c r="F870" s="373">
        <f t="shared" si="47"/>
        <v>1560.3999999999614</v>
      </c>
    </row>
    <row r="871" spans="4:6" x14ac:dyDescent="0.25">
      <c r="D871" s="105">
        <f t="shared" si="48"/>
        <v>1560.4499999999614</v>
      </c>
      <c r="E871" s="373">
        <f t="shared" si="46"/>
        <v>1621.30754999996</v>
      </c>
      <c r="F871" s="373">
        <f t="shared" si="47"/>
        <v>1560.4499999999614</v>
      </c>
    </row>
    <row r="872" spans="4:6" x14ac:dyDescent="0.25">
      <c r="D872" s="105">
        <f t="shared" si="48"/>
        <v>1560.4999999999613</v>
      </c>
      <c r="E872" s="373">
        <f t="shared" si="46"/>
        <v>1621.3594999999598</v>
      </c>
      <c r="F872" s="373">
        <f t="shared" si="47"/>
        <v>1560.4999999999613</v>
      </c>
    </row>
    <row r="873" spans="4:6" x14ac:dyDescent="0.25">
      <c r="D873" s="105">
        <f t="shared" si="48"/>
        <v>1560.5499999999613</v>
      </c>
      <c r="E873" s="373">
        <f t="shared" si="46"/>
        <v>1621.4114499999598</v>
      </c>
      <c r="F873" s="373">
        <f t="shared" si="47"/>
        <v>1560.5499999999613</v>
      </c>
    </row>
    <row r="874" spans="4:6" x14ac:dyDescent="0.25">
      <c r="D874" s="105">
        <f t="shared" si="48"/>
        <v>1560.5999999999613</v>
      </c>
      <c r="E874" s="373">
        <f t="shared" si="46"/>
        <v>1621.4633999999598</v>
      </c>
      <c r="F874" s="373">
        <f t="shared" si="47"/>
        <v>1560.5999999999613</v>
      </c>
    </row>
    <row r="875" spans="4:6" x14ac:dyDescent="0.25">
      <c r="D875" s="105">
        <f t="shared" si="48"/>
        <v>1560.6499999999612</v>
      </c>
      <c r="E875" s="373">
        <f t="shared" si="46"/>
        <v>1621.5153499999597</v>
      </c>
      <c r="F875" s="373">
        <f t="shared" si="47"/>
        <v>1560.6499999999612</v>
      </c>
    </row>
    <row r="876" spans="4:6" x14ac:dyDescent="0.25">
      <c r="D876" s="105">
        <f t="shared" si="48"/>
        <v>1560.6999999999612</v>
      </c>
      <c r="E876" s="373">
        <f t="shared" si="46"/>
        <v>1621.5672999999597</v>
      </c>
      <c r="F876" s="373">
        <f t="shared" si="47"/>
        <v>1560.6999999999612</v>
      </c>
    </row>
    <row r="877" spans="4:6" x14ac:dyDescent="0.25">
      <c r="D877" s="105">
        <f t="shared" si="48"/>
        <v>1560.7499999999611</v>
      </c>
      <c r="E877" s="373">
        <f t="shared" si="46"/>
        <v>1621.6192499999595</v>
      </c>
      <c r="F877" s="373">
        <f t="shared" si="47"/>
        <v>1560.7499999999611</v>
      </c>
    </row>
    <row r="878" spans="4:6" x14ac:dyDescent="0.25">
      <c r="D878" s="105">
        <f t="shared" si="48"/>
        <v>1560.7999999999611</v>
      </c>
      <c r="E878" s="373">
        <f t="shared" si="46"/>
        <v>1621.6711999999595</v>
      </c>
      <c r="F878" s="373">
        <f t="shared" si="47"/>
        <v>1560.7999999999611</v>
      </c>
    </row>
    <row r="879" spans="4:6" x14ac:dyDescent="0.25">
      <c r="D879" s="105">
        <f t="shared" si="48"/>
        <v>1560.849999999961</v>
      </c>
      <c r="E879" s="373">
        <f t="shared" si="46"/>
        <v>1621.7231499999596</v>
      </c>
      <c r="F879" s="373">
        <f t="shared" si="47"/>
        <v>1560.849999999961</v>
      </c>
    </row>
    <row r="880" spans="4:6" x14ac:dyDescent="0.25">
      <c r="D880" s="105">
        <f t="shared" si="48"/>
        <v>1560.899999999961</v>
      </c>
      <c r="E880" s="373">
        <f t="shared" si="46"/>
        <v>1621.7750999999594</v>
      </c>
      <c r="F880" s="373">
        <f t="shared" si="47"/>
        <v>1560.899999999961</v>
      </c>
    </row>
    <row r="881" spans="4:6" x14ac:dyDescent="0.25">
      <c r="D881" s="105">
        <f t="shared" si="48"/>
        <v>1560.9499999999609</v>
      </c>
      <c r="E881" s="373">
        <f t="shared" si="46"/>
        <v>1621.8270499999594</v>
      </c>
      <c r="F881" s="373">
        <f t="shared" si="47"/>
        <v>1560.9499999999609</v>
      </c>
    </row>
    <row r="882" spans="4:6" x14ac:dyDescent="0.25">
      <c r="D882" s="105">
        <f t="shared" si="48"/>
        <v>1560.9999999999609</v>
      </c>
      <c r="E882" s="373">
        <f t="shared" si="46"/>
        <v>1621.8789999999594</v>
      </c>
      <c r="F882" s="373">
        <f t="shared" si="47"/>
        <v>1560.9999999999609</v>
      </c>
    </row>
    <row r="883" spans="4:6" x14ac:dyDescent="0.25">
      <c r="D883" s="105">
        <f t="shared" si="48"/>
        <v>1561.0499999999608</v>
      </c>
      <c r="E883" s="373">
        <f t="shared" si="46"/>
        <v>1621.9309499999592</v>
      </c>
      <c r="F883" s="373">
        <f t="shared" si="47"/>
        <v>1561.0499999999608</v>
      </c>
    </row>
    <row r="884" spans="4:6" x14ac:dyDescent="0.25">
      <c r="D884" s="105">
        <f t="shared" si="48"/>
        <v>1561.0999999999608</v>
      </c>
      <c r="E884" s="373">
        <f t="shared" si="46"/>
        <v>1621.9828999999593</v>
      </c>
      <c r="F884" s="373">
        <f t="shared" si="47"/>
        <v>1561.0999999999608</v>
      </c>
    </row>
    <row r="885" spans="4:6" x14ac:dyDescent="0.25">
      <c r="D885" s="105">
        <f t="shared" si="48"/>
        <v>1561.1499999999608</v>
      </c>
      <c r="E885" s="373">
        <f t="shared" si="46"/>
        <v>1622.0348499999593</v>
      </c>
      <c r="F885" s="373">
        <f t="shared" si="47"/>
        <v>1561.1499999999608</v>
      </c>
    </row>
    <row r="886" spans="4:6" x14ac:dyDescent="0.25">
      <c r="D886" s="105">
        <f t="shared" si="48"/>
        <v>1561.1999999999607</v>
      </c>
      <c r="E886" s="373">
        <f t="shared" si="46"/>
        <v>1622.0867999999591</v>
      </c>
      <c r="F886" s="373">
        <f t="shared" si="47"/>
        <v>1561.1999999999607</v>
      </c>
    </row>
    <row r="887" spans="4:6" x14ac:dyDescent="0.25">
      <c r="D887" s="105">
        <f t="shared" si="48"/>
        <v>1561.2499999999607</v>
      </c>
      <c r="E887" s="373">
        <f t="shared" si="46"/>
        <v>1622.1387499999591</v>
      </c>
      <c r="F887" s="373">
        <f t="shared" si="47"/>
        <v>1561.2499999999607</v>
      </c>
    </row>
    <row r="888" spans="4:6" x14ac:dyDescent="0.25">
      <c r="D888" s="105">
        <f t="shared" si="48"/>
        <v>1561.2999999999606</v>
      </c>
      <c r="E888" s="373">
        <f t="shared" si="46"/>
        <v>1622.1906999999592</v>
      </c>
      <c r="F888" s="373">
        <f t="shared" si="47"/>
        <v>1561.2999999999606</v>
      </c>
    </row>
    <row r="889" spans="4:6" x14ac:dyDescent="0.25">
      <c r="D889" s="105">
        <f t="shared" si="48"/>
        <v>1561.3499999999606</v>
      </c>
      <c r="E889" s="373">
        <f t="shared" si="46"/>
        <v>1622.242649999959</v>
      </c>
      <c r="F889" s="373">
        <f t="shared" si="47"/>
        <v>1561.3499999999606</v>
      </c>
    </row>
    <row r="890" spans="4:6" x14ac:dyDescent="0.25">
      <c r="D890" s="105">
        <f t="shared" si="48"/>
        <v>1561.3999999999605</v>
      </c>
      <c r="E890" s="373">
        <f t="shared" si="46"/>
        <v>1622.294599999959</v>
      </c>
      <c r="F890" s="373">
        <f t="shared" si="47"/>
        <v>1561.3999999999605</v>
      </c>
    </row>
    <row r="891" spans="4:6" x14ac:dyDescent="0.25">
      <c r="D891" s="105">
        <f t="shared" si="48"/>
        <v>1561.4499999999605</v>
      </c>
      <c r="E891" s="373">
        <f t="shared" si="46"/>
        <v>1622.3465499999588</v>
      </c>
      <c r="F891" s="373">
        <f t="shared" si="47"/>
        <v>1561.4499999999605</v>
      </c>
    </row>
    <row r="892" spans="4:6" x14ac:dyDescent="0.25">
      <c r="D892" s="105">
        <f t="shared" si="48"/>
        <v>1561.4999999999604</v>
      </c>
      <c r="E892" s="373">
        <f t="shared" si="46"/>
        <v>1622.3984999999589</v>
      </c>
      <c r="F892" s="373">
        <f t="shared" si="47"/>
        <v>1561.4999999999604</v>
      </c>
    </row>
    <row r="893" spans="4:6" x14ac:dyDescent="0.25">
      <c r="D893" s="105">
        <f t="shared" si="48"/>
        <v>1561.5499999999604</v>
      </c>
      <c r="E893" s="373">
        <f t="shared" si="46"/>
        <v>1622.4504499999589</v>
      </c>
      <c r="F893" s="373">
        <f t="shared" si="47"/>
        <v>1561.5499999999604</v>
      </c>
    </row>
    <row r="894" spans="4:6" x14ac:dyDescent="0.25">
      <c r="D894" s="105">
        <f t="shared" si="48"/>
        <v>1561.5999999999603</v>
      </c>
      <c r="E894" s="373">
        <f t="shared" si="46"/>
        <v>1622.5023999999587</v>
      </c>
      <c r="F894" s="373">
        <f t="shared" si="47"/>
        <v>1561.5999999999603</v>
      </c>
    </row>
    <row r="895" spans="4:6" x14ac:dyDescent="0.25">
      <c r="D895" s="105">
        <f t="shared" si="48"/>
        <v>1561.6499999999603</v>
      </c>
      <c r="E895" s="373">
        <f t="shared" si="46"/>
        <v>1622.5543499999587</v>
      </c>
      <c r="F895" s="373">
        <f t="shared" si="47"/>
        <v>1561.6499999999603</v>
      </c>
    </row>
    <row r="896" spans="4:6" x14ac:dyDescent="0.25">
      <c r="D896" s="105">
        <f t="shared" si="48"/>
        <v>1561.6999999999603</v>
      </c>
      <c r="E896" s="373">
        <f t="shared" si="46"/>
        <v>1622.6062999999588</v>
      </c>
      <c r="F896" s="373">
        <f t="shared" si="47"/>
        <v>1561.6999999999603</v>
      </c>
    </row>
    <row r="897" spans="4:6" x14ac:dyDescent="0.25">
      <c r="D897" s="105">
        <f t="shared" si="48"/>
        <v>1561.7499999999602</v>
      </c>
      <c r="E897" s="373">
        <f t="shared" si="46"/>
        <v>1622.6582499999586</v>
      </c>
      <c r="F897" s="373">
        <f t="shared" si="47"/>
        <v>1561.7499999999602</v>
      </c>
    </row>
    <row r="898" spans="4:6" x14ac:dyDescent="0.25">
      <c r="D898" s="105">
        <f t="shared" si="48"/>
        <v>1561.7999999999602</v>
      </c>
      <c r="E898" s="373">
        <f t="shared" si="46"/>
        <v>1622.7101999999586</v>
      </c>
      <c r="F898" s="373">
        <f t="shared" si="47"/>
        <v>1561.7999999999602</v>
      </c>
    </row>
    <row r="899" spans="4:6" x14ac:dyDescent="0.25">
      <c r="D899" s="105">
        <f t="shared" si="48"/>
        <v>1561.8499999999601</v>
      </c>
      <c r="E899" s="373">
        <f t="shared" si="46"/>
        <v>1622.7621499999586</v>
      </c>
      <c r="F899" s="373">
        <f t="shared" si="47"/>
        <v>1561.8499999999601</v>
      </c>
    </row>
    <row r="900" spans="4:6" x14ac:dyDescent="0.25">
      <c r="D900" s="105">
        <f t="shared" si="48"/>
        <v>1561.8999999999601</v>
      </c>
      <c r="E900" s="373">
        <f t="shared" si="46"/>
        <v>1622.8140999999584</v>
      </c>
      <c r="F900" s="373">
        <f t="shared" si="47"/>
        <v>1561.8999999999601</v>
      </c>
    </row>
    <row r="901" spans="4:6" x14ac:dyDescent="0.25">
      <c r="D901" s="105">
        <f t="shared" si="48"/>
        <v>1561.94999999996</v>
      </c>
      <c r="E901" s="373">
        <f t="shared" si="46"/>
        <v>1622.8660499999585</v>
      </c>
      <c r="F901" s="373">
        <f t="shared" si="47"/>
        <v>1561.94999999996</v>
      </c>
    </row>
    <row r="902" spans="4:6" x14ac:dyDescent="0.25">
      <c r="D902" s="105">
        <f t="shared" si="48"/>
        <v>1561.99999999996</v>
      </c>
      <c r="E902" s="373">
        <f t="shared" si="46"/>
        <v>1622.9179999999585</v>
      </c>
      <c r="F902" s="373">
        <f t="shared" si="47"/>
        <v>1561.99999999996</v>
      </c>
    </row>
    <row r="903" spans="4:6" x14ac:dyDescent="0.25">
      <c r="D903" s="105">
        <f t="shared" si="48"/>
        <v>1562.0499999999599</v>
      </c>
      <c r="E903" s="373">
        <f t="shared" si="46"/>
        <v>1622.9699499999583</v>
      </c>
      <c r="F903" s="373">
        <f t="shared" si="47"/>
        <v>1562.0499999999599</v>
      </c>
    </row>
    <row r="904" spans="4:6" x14ac:dyDescent="0.25">
      <c r="D904" s="105">
        <f t="shared" si="48"/>
        <v>1562.0999999999599</v>
      </c>
      <c r="E904" s="373">
        <f t="shared" si="46"/>
        <v>1623.0218999999584</v>
      </c>
      <c r="F904" s="373">
        <f t="shared" si="47"/>
        <v>1562.0999999999599</v>
      </c>
    </row>
    <row r="905" spans="4:6" x14ac:dyDescent="0.25">
      <c r="D905" s="105">
        <f t="shared" si="48"/>
        <v>1562.1499999999598</v>
      </c>
      <c r="E905" s="373">
        <f t="shared" si="46"/>
        <v>1623.0738499999584</v>
      </c>
      <c r="F905" s="373">
        <f t="shared" si="47"/>
        <v>1562.1499999999598</v>
      </c>
    </row>
    <row r="906" spans="4:6" x14ac:dyDescent="0.25">
      <c r="D906" s="105">
        <f t="shared" si="48"/>
        <v>1562.1999999999598</v>
      </c>
      <c r="E906" s="373">
        <f t="shared" si="46"/>
        <v>1623.1257999999582</v>
      </c>
      <c r="F906" s="373">
        <f t="shared" si="47"/>
        <v>1562.1999999999598</v>
      </c>
    </row>
    <row r="907" spans="4:6" x14ac:dyDescent="0.25">
      <c r="D907" s="105">
        <f t="shared" si="48"/>
        <v>1562.2499999999598</v>
      </c>
      <c r="E907" s="373">
        <f t="shared" si="46"/>
        <v>1623.1777499999582</v>
      </c>
      <c r="F907" s="373">
        <f t="shared" si="47"/>
        <v>1562.2499999999598</v>
      </c>
    </row>
    <row r="908" spans="4:6" x14ac:dyDescent="0.25">
      <c r="D908" s="105">
        <f t="shared" si="48"/>
        <v>1562.2999999999597</v>
      </c>
      <c r="E908" s="373">
        <f t="shared" si="46"/>
        <v>1623.229699999958</v>
      </c>
      <c r="F908" s="373">
        <f t="shared" si="47"/>
        <v>1562.2999999999597</v>
      </c>
    </row>
    <row r="909" spans="4:6" x14ac:dyDescent="0.25">
      <c r="D909" s="105">
        <f t="shared" si="48"/>
        <v>1562.3499999999597</v>
      </c>
      <c r="E909" s="373">
        <f t="shared" si="46"/>
        <v>1623.2816499999581</v>
      </c>
      <c r="F909" s="373">
        <f t="shared" si="47"/>
        <v>1562.3499999999597</v>
      </c>
    </row>
    <row r="910" spans="4:6" x14ac:dyDescent="0.25">
      <c r="D910" s="105">
        <f t="shared" si="48"/>
        <v>1562.3999999999596</v>
      </c>
      <c r="E910" s="373">
        <f t="shared" si="46"/>
        <v>1623.3335999999581</v>
      </c>
      <c r="F910" s="373">
        <f t="shared" si="47"/>
        <v>1562.3999999999596</v>
      </c>
    </row>
    <row r="911" spans="4:6" x14ac:dyDescent="0.25">
      <c r="D911" s="105">
        <f t="shared" si="48"/>
        <v>1562.4499999999596</v>
      </c>
      <c r="E911" s="373">
        <f t="shared" si="46"/>
        <v>1623.3855499999579</v>
      </c>
      <c r="F911" s="373">
        <f t="shared" si="47"/>
        <v>1562.4499999999596</v>
      </c>
    </row>
    <row r="912" spans="4:6" x14ac:dyDescent="0.25">
      <c r="D912" s="105">
        <f t="shared" si="48"/>
        <v>1562.4999999999595</v>
      </c>
      <c r="E912" s="373">
        <f t="shared" si="46"/>
        <v>1623.4374999999579</v>
      </c>
      <c r="F912" s="373">
        <f t="shared" si="47"/>
        <v>1562.4999999999595</v>
      </c>
    </row>
    <row r="913" spans="4:6" x14ac:dyDescent="0.25">
      <c r="D913" s="105">
        <f t="shared" si="48"/>
        <v>1562.5499999999595</v>
      </c>
      <c r="E913" s="373">
        <f t="shared" si="46"/>
        <v>1623.489449999958</v>
      </c>
      <c r="F913" s="373">
        <f t="shared" si="47"/>
        <v>1562.5499999999595</v>
      </c>
    </row>
    <row r="914" spans="4:6" x14ac:dyDescent="0.25">
      <c r="D914" s="105">
        <f t="shared" si="48"/>
        <v>1562.5999999999594</v>
      </c>
      <c r="E914" s="373">
        <f t="shared" si="46"/>
        <v>1623.5413999999578</v>
      </c>
      <c r="F914" s="373">
        <f t="shared" si="47"/>
        <v>1562.5999999999594</v>
      </c>
    </row>
    <row r="915" spans="4:6" x14ac:dyDescent="0.25">
      <c r="D915" s="105">
        <f t="shared" si="48"/>
        <v>1562.6499999999594</v>
      </c>
      <c r="E915" s="373">
        <f t="shared" si="46"/>
        <v>1623.5933499999578</v>
      </c>
      <c r="F915" s="373">
        <f t="shared" si="47"/>
        <v>1562.6499999999594</v>
      </c>
    </row>
    <row r="916" spans="4:6" x14ac:dyDescent="0.25">
      <c r="D916" s="105">
        <f t="shared" si="48"/>
        <v>1562.6999999999593</v>
      </c>
      <c r="E916" s="373">
        <f t="shared" si="46"/>
        <v>1623.6452999999578</v>
      </c>
      <c r="F916" s="373">
        <f t="shared" si="47"/>
        <v>1562.6999999999593</v>
      </c>
    </row>
    <row r="917" spans="4:6" x14ac:dyDescent="0.25">
      <c r="D917" s="105">
        <f t="shared" si="48"/>
        <v>1562.7499999999593</v>
      </c>
      <c r="E917" s="373">
        <f t="shared" si="46"/>
        <v>1623.6972499999576</v>
      </c>
      <c r="F917" s="373">
        <f t="shared" si="47"/>
        <v>1562.7499999999593</v>
      </c>
    </row>
    <row r="918" spans="4:6" x14ac:dyDescent="0.25">
      <c r="D918" s="105">
        <f t="shared" si="48"/>
        <v>1562.7999999999593</v>
      </c>
      <c r="E918" s="373">
        <f t="shared" si="46"/>
        <v>1623.7491999999577</v>
      </c>
      <c r="F918" s="373">
        <f t="shared" si="47"/>
        <v>1562.7999999999593</v>
      </c>
    </row>
    <row r="919" spans="4:6" x14ac:dyDescent="0.25">
      <c r="D919" s="105">
        <f t="shared" si="48"/>
        <v>1562.8499999999592</v>
      </c>
      <c r="E919" s="373">
        <f t="shared" ref="E919:E982" si="49">D919*$C$2 + D919</f>
        <v>1623.8011499999577</v>
      </c>
      <c r="F919" s="373">
        <f t="shared" ref="F919:F982" si="50">D919</f>
        <v>1562.8499999999592</v>
      </c>
    </row>
    <row r="920" spans="4:6" x14ac:dyDescent="0.25">
      <c r="D920" s="105">
        <f t="shared" ref="D920:D983" si="51">D919+0.05</f>
        <v>1562.8999999999592</v>
      </c>
      <c r="E920" s="373">
        <f t="shared" si="49"/>
        <v>1623.8530999999575</v>
      </c>
      <c r="F920" s="373">
        <f t="shared" si="50"/>
        <v>1562.8999999999592</v>
      </c>
    </row>
    <row r="921" spans="4:6" x14ac:dyDescent="0.25">
      <c r="D921" s="105">
        <f t="shared" si="51"/>
        <v>1562.9499999999591</v>
      </c>
      <c r="E921" s="373">
        <f t="shared" si="49"/>
        <v>1623.9050499999576</v>
      </c>
      <c r="F921" s="373">
        <f t="shared" si="50"/>
        <v>1562.9499999999591</v>
      </c>
    </row>
    <row r="922" spans="4:6" x14ac:dyDescent="0.25">
      <c r="D922" s="105">
        <f t="shared" si="51"/>
        <v>1562.9999999999591</v>
      </c>
      <c r="E922" s="373">
        <f t="shared" si="49"/>
        <v>1623.9569999999576</v>
      </c>
      <c r="F922" s="373">
        <f t="shared" si="50"/>
        <v>1562.9999999999591</v>
      </c>
    </row>
    <row r="923" spans="4:6" x14ac:dyDescent="0.25">
      <c r="D923" s="105">
        <f t="shared" si="51"/>
        <v>1563.049999999959</v>
      </c>
      <c r="E923" s="373">
        <f t="shared" si="49"/>
        <v>1624.0089499999574</v>
      </c>
      <c r="F923" s="373">
        <f t="shared" si="50"/>
        <v>1563.049999999959</v>
      </c>
    </row>
    <row r="924" spans="4:6" x14ac:dyDescent="0.25">
      <c r="D924" s="105">
        <f t="shared" si="51"/>
        <v>1563.099999999959</v>
      </c>
      <c r="E924" s="373">
        <f t="shared" si="49"/>
        <v>1624.0608999999574</v>
      </c>
      <c r="F924" s="373">
        <f t="shared" si="50"/>
        <v>1563.099999999959</v>
      </c>
    </row>
    <row r="925" spans="4:6" x14ac:dyDescent="0.25">
      <c r="D925" s="105">
        <f t="shared" si="51"/>
        <v>1563.1499999999589</v>
      </c>
      <c r="E925" s="373">
        <f t="shared" si="49"/>
        <v>1624.1128499999572</v>
      </c>
      <c r="F925" s="373">
        <f t="shared" si="50"/>
        <v>1563.1499999999589</v>
      </c>
    </row>
    <row r="926" spans="4:6" x14ac:dyDescent="0.25">
      <c r="D926" s="105">
        <f t="shared" si="51"/>
        <v>1563.1999999999589</v>
      </c>
      <c r="E926" s="373">
        <f t="shared" si="49"/>
        <v>1624.1647999999573</v>
      </c>
      <c r="F926" s="373">
        <f t="shared" si="50"/>
        <v>1563.1999999999589</v>
      </c>
    </row>
    <row r="927" spans="4:6" x14ac:dyDescent="0.25">
      <c r="D927" s="105">
        <f t="shared" si="51"/>
        <v>1563.2499999999588</v>
      </c>
      <c r="E927" s="373">
        <f t="shared" si="49"/>
        <v>1624.2167499999573</v>
      </c>
      <c r="F927" s="373">
        <f t="shared" si="50"/>
        <v>1563.2499999999588</v>
      </c>
    </row>
    <row r="928" spans="4:6" x14ac:dyDescent="0.25">
      <c r="D928" s="105">
        <f t="shared" si="51"/>
        <v>1563.2999999999588</v>
      </c>
      <c r="E928" s="373">
        <f t="shared" si="49"/>
        <v>1624.2686999999571</v>
      </c>
      <c r="F928" s="373">
        <f t="shared" si="50"/>
        <v>1563.2999999999588</v>
      </c>
    </row>
    <row r="929" spans="4:6" x14ac:dyDescent="0.25">
      <c r="D929" s="105">
        <f t="shared" si="51"/>
        <v>1563.3499999999588</v>
      </c>
      <c r="E929" s="373">
        <f t="shared" si="49"/>
        <v>1624.3206499999571</v>
      </c>
      <c r="F929" s="373">
        <f t="shared" si="50"/>
        <v>1563.3499999999588</v>
      </c>
    </row>
    <row r="930" spans="4:6" x14ac:dyDescent="0.25">
      <c r="D930" s="105">
        <f t="shared" si="51"/>
        <v>1563.3999999999587</v>
      </c>
      <c r="E930" s="373">
        <f t="shared" si="49"/>
        <v>1624.3725999999572</v>
      </c>
      <c r="F930" s="373">
        <f t="shared" si="50"/>
        <v>1563.3999999999587</v>
      </c>
    </row>
    <row r="931" spans="4:6" x14ac:dyDescent="0.25">
      <c r="D931" s="105">
        <f t="shared" si="51"/>
        <v>1563.4499999999587</v>
      </c>
      <c r="E931" s="373">
        <f t="shared" si="49"/>
        <v>1624.424549999957</v>
      </c>
      <c r="F931" s="373">
        <f t="shared" si="50"/>
        <v>1563.4499999999587</v>
      </c>
    </row>
    <row r="932" spans="4:6" x14ac:dyDescent="0.25">
      <c r="D932" s="105">
        <f t="shared" si="51"/>
        <v>1563.4999999999586</v>
      </c>
      <c r="E932" s="373">
        <f t="shared" si="49"/>
        <v>1624.476499999957</v>
      </c>
      <c r="F932" s="373">
        <f t="shared" si="50"/>
        <v>1563.4999999999586</v>
      </c>
    </row>
    <row r="933" spans="4:6" x14ac:dyDescent="0.25">
      <c r="D933" s="105">
        <f t="shared" si="51"/>
        <v>1563.5499999999586</v>
      </c>
      <c r="E933" s="373">
        <f t="shared" si="49"/>
        <v>1624.528449999957</v>
      </c>
      <c r="F933" s="373">
        <f t="shared" si="50"/>
        <v>1563.5499999999586</v>
      </c>
    </row>
    <row r="934" spans="4:6" x14ac:dyDescent="0.25">
      <c r="D934" s="105">
        <f t="shared" si="51"/>
        <v>1563.5999999999585</v>
      </c>
      <c r="E934" s="373">
        <f t="shared" si="49"/>
        <v>1624.5803999999569</v>
      </c>
      <c r="F934" s="373">
        <f t="shared" si="50"/>
        <v>1563.5999999999585</v>
      </c>
    </row>
    <row r="935" spans="4:6" x14ac:dyDescent="0.25">
      <c r="D935" s="105">
        <f t="shared" si="51"/>
        <v>1563.6499999999585</v>
      </c>
      <c r="E935" s="373">
        <f t="shared" si="49"/>
        <v>1624.6323499999569</v>
      </c>
      <c r="F935" s="373">
        <f t="shared" si="50"/>
        <v>1563.6499999999585</v>
      </c>
    </row>
    <row r="936" spans="4:6" x14ac:dyDescent="0.25">
      <c r="D936" s="105">
        <f t="shared" si="51"/>
        <v>1563.6999999999584</v>
      </c>
      <c r="E936" s="373">
        <f t="shared" si="49"/>
        <v>1624.6842999999569</v>
      </c>
      <c r="F936" s="373">
        <f t="shared" si="50"/>
        <v>1563.6999999999584</v>
      </c>
    </row>
    <row r="937" spans="4:6" x14ac:dyDescent="0.25">
      <c r="D937" s="105">
        <f t="shared" si="51"/>
        <v>1563.7499999999584</v>
      </c>
      <c r="E937" s="373">
        <f t="shared" si="49"/>
        <v>1624.7362499999567</v>
      </c>
      <c r="F937" s="373">
        <f t="shared" si="50"/>
        <v>1563.7499999999584</v>
      </c>
    </row>
    <row r="938" spans="4:6" x14ac:dyDescent="0.25">
      <c r="D938" s="105">
        <f t="shared" si="51"/>
        <v>1563.7999999999583</v>
      </c>
      <c r="E938" s="373">
        <f t="shared" si="49"/>
        <v>1624.7881999999568</v>
      </c>
      <c r="F938" s="373">
        <f t="shared" si="50"/>
        <v>1563.7999999999583</v>
      </c>
    </row>
    <row r="939" spans="4:6" x14ac:dyDescent="0.25">
      <c r="D939" s="105">
        <f t="shared" si="51"/>
        <v>1563.8499999999583</v>
      </c>
      <c r="E939" s="373">
        <f t="shared" si="49"/>
        <v>1624.8401499999566</v>
      </c>
      <c r="F939" s="373">
        <f t="shared" si="50"/>
        <v>1563.8499999999583</v>
      </c>
    </row>
    <row r="940" spans="4:6" x14ac:dyDescent="0.25">
      <c r="D940" s="105">
        <f t="shared" si="51"/>
        <v>1563.8999999999583</v>
      </c>
      <c r="E940" s="373">
        <f t="shared" si="49"/>
        <v>1624.8920999999566</v>
      </c>
      <c r="F940" s="373">
        <f t="shared" si="50"/>
        <v>1563.8999999999583</v>
      </c>
    </row>
    <row r="941" spans="4:6" x14ac:dyDescent="0.25">
      <c r="D941" s="105">
        <f t="shared" si="51"/>
        <v>1563.9499999999582</v>
      </c>
      <c r="E941" s="373">
        <f t="shared" si="49"/>
        <v>1624.9440499999566</v>
      </c>
      <c r="F941" s="373">
        <f t="shared" si="50"/>
        <v>1563.9499999999582</v>
      </c>
    </row>
    <row r="942" spans="4:6" x14ac:dyDescent="0.25">
      <c r="D942" s="105">
        <f t="shared" si="51"/>
        <v>1563.9999999999582</v>
      </c>
      <c r="E942" s="373">
        <f t="shared" si="49"/>
        <v>1624.9959999999564</v>
      </c>
      <c r="F942" s="373">
        <f t="shared" si="50"/>
        <v>1563.9999999999582</v>
      </c>
    </row>
    <row r="943" spans="4:6" x14ac:dyDescent="0.25">
      <c r="D943" s="105">
        <f t="shared" si="51"/>
        <v>1564.0499999999581</v>
      </c>
      <c r="E943" s="373">
        <f t="shared" si="49"/>
        <v>1625.0479499999565</v>
      </c>
      <c r="F943" s="373">
        <f t="shared" si="50"/>
        <v>1564.0499999999581</v>
      </c>
    </row>
    <row r="944" spans="4:6" x14ac:dyDescent="0.25">
      <c r="D944" s="105">
        <f t="shared" si="51"/>
        <v>1564.0999999999581</v>
      </c>
      <c r="E944" s="373">
        <f t="shared" si="49"/>
        <v>1625.0998999999565</v>
      </c>
      <c r="F944" s="373">
        <f t="shared" si="50"/>
        <v>1564.0999999999581</v>
      </c>
    </row>
    <row r="945" spans="4:6" x14ac:dyDescent="0.25">
      <c r="D945" s="105">
        <f t="shared" si="51"/>
        <v>1564.149999999958</v>
      </c>
      <c r="E945" s="373">
        <f t="shared" si="49"/>
        <v>1625.1518499999563</v>
      </c>
      <c r="F945" s="373">
        <f t="shared" si="50"/>
        <v>1564.149999999958</v>
      </c>
    </row>
    <row r="946" spans="4:6" x14ac:dyDescent="0.25">
      <c r="D946" s="105">
        <f t="shared" si="51"/>
        <v>1564.199999999958</v>
      </c>
      <c r="E946" s="373">
        <f t="shared" si="49"/>
        <v>1625.2037999999563</v>
      </c>
      <c r="F946" s="373">
        <f t="shared" si="50"/>
        <v>1564.199999999958</v>
      </c>
    </row>
    <row r="947" spans="4:6" x14ac:dyDescent="0.25">
      <c r="D947" s="105">
        <f t="shared" si="51"/>
        <v>1564.2499999999579</v>
      </c>
      <c r="E947" s="373">
        <f t="shared" si="49"/>
        <v>1625.2557499999564</v>
      </c>
      <c r="F947" s="373">
        <f t="shared" si="50"/>
        <v>1564.2499999999579</v>
      </c>
    </row>
    <row r="948" spans="4:6" x14ac:dyDescent="0.25">
      <c r="D948" s="105">
        <f t="shared" si="51"/>
        <v>1564.2999999999579</v>
      </c>
      <c r="E948" s="373">
        <f t="shared" si="49"/>
        <v>1625.3076999999562</v>
      </c>
      <c r="F948" s="373">
        <f t="shared" si="50"/>
        <v>1564.2999999999579</v>
      </c>
    </row>
    <row r="949" spans="4:6" x14ac:dyDescent="0.25">
      <c r="D949" s="105">
        <f t="shared" si="51"/>
        <v>1564.3499999999578</v>
      </c>
      <c r="E949" s="373">
        <f t="shared" si="49"/>
        <v>1625.3596499999562</v>
      </c>
      <c r="F949" s="373">
        <f t="shared" si="50"/>
        <v>1564.3499999999578</v>
      </c>
    </row>
    <row r="950" spans="4:6" x14ac:dyDescent="0.25">
      <c r="D950" s="105">
        <f t="shared" si="51"/>
        <v>1564.3999999999578</v>
      </c>
      <c r="E950" s="373">
        <f t="shared" si="49"/>
        <v>1625.4115999999563</v>
      </c>
      <c r="F950" s="373">
        <f t="shared" si="50"/>
        <v>1564.3999999999578</v>
      </c>
    </row>
    <row r="951" spans="4:6" x14ac:dyDescent="0.25">
      <c r="D951" s="105">
        <f t="shared" si="51"/>
        <v>1564.4499999999578</v>
      </c>
      <c r="E951" s="373">
        <f t="shared" si="49"/>
        <v>1625.4635499999561</v>
      </c>
      <c r="F951" s="373">
        <f t="shared" si="50"/>
        <v>1564.4499999999578</v>
      </c>
    </row>
    <row r="952" spans="4:6" x14ac:dyDescent="0.25">
      <c r="D952" s="105">
        <f t="shared" si="51"/>
        <v>1564.4999999999577</v>
      </c>
      <c r="E952" s="373">
        <f t="shared" si="49"/>
        <v>1625.5154999999561</v>
      </c>
      <c r="F952" s="373">
        <f t="shared" si="50"/>
        <v>1564.4999999999577</v>
      </c>
    </row>
    <row r="953" spans="4:6" x14ac:dyDescent="0.25">
      <c r="D953" s="105">
        <f t="shared" si="51"/>
        <v>1564.5499999999577</v>
      </c>
      <c r="E953" s="373">
        <f t="shared" si="49"/>
        <v>1625.5674499999559</v>
      </c>
      <c r="F953" s="373">
        <f t="shared" si="50"/>
        <v>1564.5499999999577</v>
      </c>
    </row>
    <row r="954" spans="4:6" x14ac:dyDescent="0.25">
      <c r="D954" s="105">
        <f t="shared" si="51"/>
        <v>1564.5999999999576</v>
      </c>
      <c r="E954" s="373">
        <f t="shared" si="49"/>
        <v>1625.6193999999559</v>
      </c>
      <c r="F954" s="373">
        <f t="shared" si="50"/>
        <v>1564.5999999999576</v>
      </c>
    </row>
    <row r="955" spans="4:6" x14ac:dyDescent="0.25">
      <c r="D955" s="105">
        <f t="shared" si="51"/>
        <v>1564.6499999999576</v>
      </c>
      <c r="E955" s="373">
        <f t="shared" si="49"/>
        <v>1625.671349999956</v>
      </c>
      <c r="F955" s="373">
        <f t="shared" si="50"/>
        <v>1564.6499999999576</v>
      </c>
    </row>
    <row r="956" spans="4:6" x14ac:dyDescent="0.25">
      <c r="D956" s="105">
        <f t="shared" si="51"/>
        <v>1564.6999999999575</v>
      </c>
      <c r="E956" s="373">
        <f t="shared" si="49"/>
        <v>1625.7232999999558</v>
      </c>
      <c r="F956" s="373">
        <f t="shared" si="50"/>
        <v>1564.6999999999575</v>
      </c>
    </row>
    <row r="957" spans="4:6" x14ac:dyDescent="0.25">
      <c r="D957" s="105">
        <f t="shared" si="51"/>
        <v>1564.7499999999575</v>
      </c>
      <c r="E957" s="373">
        <f t="shared" si="49"/>
        <v>1625.7752499999558</v>
      </c>
      <c r="F957" s="373">
        <f t="shared" si="50"/>
        <v>1564.7499999999575</v>
      </c>
    </row>
    <row r="958" spans="4:6" x14ac:dyDescent="0.25">
      <c r="D958" s="105">
        <f t="shared" si="51"/>
        <v>1564.7999999999574</v>
      </c>
      <c r="E958" s="373">
        <f t="shared" si="49"/>
        <v>1625.8271999999558</v>
      </c>
      <c r="F958" s="373">
        <f t="shared" si="50"/>
        <v>1564.7999999999574</v>
      </c>
    </row>
    <row r="959" spans="4:6" x14ac:dyDescent="0.25">
      <c r="D959" s="105">
        <f t="shared" si="51"/>
        <v>1564.8499999999574</v>
      </c>
      <c r="E959" s="373">
        <f t="shared" si="49"/>
        <v>1625.8791499999556</v>
      </c>
      <c r="F959" s="373">
        <f t="shared" si="50"/>
        <v>1564.8499999999574</v>
      </c>
    </row>
    <row r="960" spans="4:6" x14ac:dyDescent="0.25">
      <c r="D960" s="105">
        <f t="shared" si="51"/>
        <v>1564.8999999999573</v>
      </c>
      <c r="E960" s="373">
        <f t="shared" si="49"/>
        <v>1625.9310999999557</v>
      </c>
      <c r="F960" s="373">
        <f t="shared" si="50"/>
        <v>1564.8999999999573</v>
      </c>
    </row>
    <row r="961" spans="4:6" x14ac:dyDescent="0.25">
      <c r="D961" s="105">
        <f t="shared" si="51"/>
        <v>1564.9499999999573</v>
      </c>
      <c r="E961" s="373">
        <f t="shared" si="49"/>
        <v>1625.9830499999557</v>
      </c>
      <c r="F961" s="373">
        <f t="shared" si="50"/>
        <v>1564.9499999999573</v>
      </c>
    </row>
    <row r="962" spans="4:6" x14ac:dyDescent="0.25">
      <c r="D962" s="105">
        <f t="shared" si="51"/>
        <v>1564.9999999999573</v>
      </c>
      <c r="E962" s="373">
        <f t="shared" si="49"/>
        <v>1626.0349999999555</v>
      </c>
      <c r="F962" s="373">
        <f t="shared" si="50"/>
        <v>1564.9999999999573</v>
      </c>
    </row>
    <row r="963" spans="4:6" x14ac:dyDescent="0.25">
      <c r="D963" s="105">
        <f t="shared" si="51"/>
        <v>1565.0499999999572</v>
      </c>
      <c r="E963" s="373">
        <f t="shared" si="49"/>
        <v>1626.0869499999556</v>
      </c>
      <c r="F963" s="373">
        <f t="shared" si="50"/>
        <v>1565.0499999999572</v>
      </c>
    </row>
    <row r="964" spans="4:6" x14ac:dyDescent="0.25">
      <c r="D964" s="105">
        <f t="shared" si="51"/>
        <v>1565.0999999999572</v>
      </c>
      <c r="E964" s="373">
        <f t="shared" si="49"/>
        <v>1626.1388999999556</v>
      </c>
      <c r="F964" s="373">
        <f t="shared" si="50"/>
        <v>1565.0999999999572</v>
      </c>
    </row>
    <row r="965" spans="4:6" x14ac:dyDescent="0.25">
      <c r="D965" s="105">
        <f t="shared" si="51"/>
        <v>1565.1499999999571</v>
      </c>
      <c r="E965" s="373">
        <f t="shared" si="49"/>
        <v>1626.1908499999554</v>
      </c>
      <c r="F965" s="373">
        <f t="shared" si="50"/>
        <v>1565.1499999999571</v>
      </c>
    </row>
    <row r="966" spans="4:6" x14ac:dyDescent="0.25">
      <c r="D966" s="105">
        <f t="shared" si="51"/>
        <v>1565.1999999999571</v>
      </c>
      <c r="E966" s="373">
        <f t="shared" si="49"/>
        <v>1626.2427999999554</v>
      </c>
      <c r="F966" s="373">
        <f t="shared" si="50"/>
        <v>1565.1999999999571</v>
      </c>
    </row>
    <row r="967" spans="4:6" x14ac:dyDescent="0.25">
      <c r="D967" s="105">
        <f t="shared" si="51"/>
        <v>1565.249999999957</v>
      </c>
      <c r="E967" s="373">
        <f t="shared" si="49"/>
        <v>1626.2947499999555</v>
      </c>
      <c r="F967" s="373">
        <f t="shared" si="50"/>
        <v>1565.249999999957</v>
      </c>
    </row>
    <row r="968" spans="4:6" x14ac:dyDescent="0.25">
      <c r="D968" s="105">
        <f t="shared" si="51"/>
        <v>1565.299999999957</v>
      </c>
      <c r="E968" s="373">
        <f t="shared" si="49"/>
        <v>1626.3466999999553</v>
      </c>
      <c r="F968" s="373">
        <f t="shared" si="50"/>
        <v>1565.299999999957</v>
      </c>
    </row>
    <row r="969" spans="4:6" x14ac:dyDescent="0.25">
      <c r="D969" s="105">
        <f t="shared" si="51"/>
        <v>1565.3499999999569</v>
      </c>
      <c r="E969" s="373">
        <f t="shared" si="49"/>
        <v>1626.3986499999553</v>
      </c>
      <c r="F969" s="373">
        <f t="shared" si="50"/>
        <v>1565.3499999999569</v>
      </c>
    </row>
    <row r="970" spans="4:6" x14ac:dyDescent="0.25">
      <c r="D970" s="105">
        <f t="shared" si="51"/>
        <v>1565.3999999999569</v>
      </c>
      <c r="E970" s="373">
        <f t="shared" si="49"/>
        <v>1626.4505999999551</v>
      </c>
      <c r="F970" s="373">
        <f t="shared" si="50"/>
        <v>1565.3999999999569</v>
      </c>
    </row>
    <row r="971" spans="4:6" x14ac:dyDescent="0.25">
      <c r="D971" s="105">
        <f t="shared" si="51"/>
        <v>1565.4499999999568</v>
      </c>
      <c r="E971" s="373">
        <f t="shared" si="49"/>
        <v>1626.5025499999551</v>
      </c>
      <c r="F971" s="373">
        <f t="shared" si="50"/>
        <v>1565.4499999999568</v>
      </c>
    </row>
    <row r="972" spans="4:6" x14ac:dyDescent="0.25">
      <c r="D972" s="105">
        <f t="shared" si="51"/>
        <v>1565.4999999999568</v>
      </c>
      <c r="E972" s="373">
        <f t="shared" si="49"/>
        <v>1626.5544999999552</v>
      </c>
      <c r="F972" s="373">
        <f t="shared" si="50"/>
        <v>1565.4999999999568</v>
      </c>
    </row>
    <row r="973" spans="4:6" x14ac:dyDescent="0.25">
      <c r="D973" s="105">
        <f t="shared" si="51"/>
        <v>1565.5499999999568</v>
      </c>
      <c r="E973" s="373">
        <f t="shared" si="49"/>
        <v>1626.606449999955</v>
      </c>
      <c r="F973" s="373">
        <f t="shared" si="50"/>
        <v>1565.5499999999568</v>
      </c>
    </row>
    <row r="974" spans="4:6" x14ac:dyDescent="0.25">
      <c r="D974" s="105">
        <f t="shared" si="51"/>
        <v>1565.5999999999567</v>
      </c>
      <c r="E974" s="373">
        <f t="shared" si="49"/>
        <v>1626.658399999955</v>
      </c>
      <c r="F974" s="373">
        <f t="shared" si="50"/>
        <v>1565.5999999999567</v>
      </c>
    </row>
    <row r="975" spans="4:6" x14ac:dyDescent="0.25">
      <c r="D975" s="105">
        <f t="shared" si="51"/>
        <v>1565.6499999999567</v>
      </c>
      <c r="E975" s="373">
        <f t="shared" si="49"/>
        <v>1626.710349999955</v>
      </c>
      <c r="F975" s="373">
        <f t="shared" si="50"/>
        <v>1565.6499999999567</v>
      </c>
    </row>
    <row r="976" spans="4:6" x14ac:dyDescent="0.25">
      <c r="D976" s="105">
        <f t="shared" si="51"/>
        <v>1565.6999999999566</v>
      </c>
      <c r="E976" s="373">
        <f t="shared" si="49"/>
        <v>1626.7622999999548</v>
      </c>
      <c r="F976" s="373">
        <f t="shared" si="50"/>
        <v>1565.6999999999566</v>
      </c>
    </row>
    <row r="977" spans="4:6" x14ac:dyDescent="0.25">
      <c r="D977" s="105">
        <f t="shared" si="51"/>
        <v>1565.7499999999566</v>
      </c>
      <c r="E977" s="373">
        <f t="shared" si="49"/>
        <v>1626.8142499999549</v>
      </c>
      <c r="F977" s="373">
        <f t="shared" si="50"/>
        <v>1565.7499999999566</v>
      </c>
    </row>
    <row r="978" spans="4:6" x14ac:dyDescent="0.25">
      <c r="D978" s="105">
        <f t="shared" si="51"/>
        <v>1565.7999999999565</v>
      </c>
      <c r="E978" s="373">
        <f t="shared" si="49"/>
        <v>1626.8661999999549</v>
      </c>
      <c r="F978" s="373">
        <f t="shared" si="50"/>
        <v>1565.7999999999565</v>
      </c>
    </row>
    <row r="979" spans="4:6" x14ac:dyDescent="0.25">
      <c r="D979" s="105">
        <f t="shared" si="51"/>
        <v>1565.8499999999565</v>
      </c>
      <c r="E979" s="373">
        <f t="shared" si="49"/>
        <v>1626.9181499999547</v>
      </c>
      <c r="F979" s="373">
        <f t="shared" si="50"/>
        <v>1565.8499999999565</v>
      </c>
    </row>
    <row r="980" spans="4:6" x14ac:dyDescent="0.25">
      <c r="D980" s="105">
        <f t="shared" si="51"/>
        <v>1565.8999999999564</v>
      </c>
      <c r="E980" s="373">
        <f t="shared" si="49"/>
        <v>1626.9700999999548</v>
      </c>
      <c r="F980" s="373">
        <f t="shared" si="50"/>
        <v>1565.8999999999564</v>
      </c>
    </row>
    <row r="981" spans="4:6" x14ac:dyDescent="0.25">
      <c r="D981" s="105">
        <f t="shared" si="51"/>
        <v>1565.9499999999564</v>
      </c>
      <c r="E981" s="373">
        <f t="shared" si="49"/>
        <v>1627.0220499999548</v>
      </c>
      <c r="F981" s="373">
        <f t="shared" si="50"/>
        <v>1565.9499999999564</v>
      </c>
    </row>
    <row r="982" spans="4:6" x14ac:dyDescent="0.25">
      <c r="D982" s="105">
        <f t="shared" si="51"/>
        <v>1565.9999999999563</v>
      </c>
      <c r="E982" s="373">
        <f t="shared" si="49"/>
        <v>1627.0739999999546</v>
      </c>
      <c r="F982" s="373">
        <f t="shared" si="50"/>
        <v>1565.9999999999563</v>
      </c>
    </row>
    <row r="983" spans="4:6" x14ac:dyDescent="0.25">
      <c r="D983" s="105">
        <f t="shared" si="51"/>
        <v>1566.0499999999563</v>
      </c>
      <c r="E983" s="373">
        <f t="shared" ref="E983:E1046" si="52">D983*$C$2 + D983</f>
        <v>1627.1259499999546</v>
      </c>
      <c r="F983" s="373">
        <f t="shared" ref="F983:F1046" si="53">D983</f>
        <v>1566.0499999999563</v>
      </c>
    </row>
    <row r="984" spans="4:6" x14ac:dyDescent="0.25">
      <c r="D984" s="105">
        <f t="shared" ref="D984:D1047" si="54">D983+0.05</f>
        <v>1566.0999999999563</v>
      </c>
      <c r="E984" s="373">
        <f t="shared" si="52"/>
        <v>1627.1778999999547</v>
      </c>
      <c r="F984" s="373">
        <f t="shared" si="53"/>
        <v>1566.0999999999563</v>
      </c>
    </row>
    <row r="985" spans="4:6" x14ac:dyDescent="0.25">
      <c r="D985" s="105">
        <f t="shared" si="54"/>
        <v>1566.1499999999562</v>
      </c>
      <c r="E985" s="373">
        <f t="shared" si="52"/>
        <v>1627.2298499999545</v>
      </c>
      <c r="F985" s="373">
        <f t="shared" si="53"/>
        <v>1566.1499999999562</v>
      </c>
    </row>
    <row r="986" spans="4:6" x14ac:dyDescent="0.25">
      <c r="D986" s="105">
        <f t="shared" si="54"/>
        <v>1566.1999999999562</v>
      </c>
      <c r="E986" s="373">
        <f t="shared" si="52"/>
        <v>1627.2817999999545</v>
      </c>
      <c r="F986" s="373">
        <f t="shared" si="53"/>
        <v>1566.1999999999562</v>
      </c>
    </row>
    <row r="987" spans="4:6" x14ac:dyDescent="0.25">
      <c r="D987" s="105">
        <f t="shared" si="54"/>
        <v>1566.2499999999561</v>
      </c>
      <c r="E987" s="373">
        <f t="shared" si="52"/>
        <v>1627.3337499999543</v>
      </c>
      <c r="F987" s="373">
        <f t="shared" si="53"/>
        <v>1566.2499999999561</v>
      </c>
    </row>
    <row r="988" spans="4:6" x14ac:dyDescent="0.25">
      <c r="D988" s="105">
        <f t="shared" si="54"/>
        <v>1566.2999999999561</v>
      </c>
      <c r="E988" s="373">
        <f t="shared" si="52"/>
        <v>1627.3856999999543</v>
      </c>
      <c r="F988" s="373">
        <f t="shared" si="53"/>
        <v>1566.2999999999561</v>
      </c>
    </row>
    <row r="989" spans="4:6" x14ac:dyDescent="0.25">
      <c r="D989" s="105">
        <f t="shared" si="54"/>
        <v>1566.349999999956</v>
      </c>
      <c r="E989" s="373">
        <f t="shared" si="52"/>
        <v>1627.4376499999544</v>
      </c>
      <c r="F989" s="373">
        <f t="shared" si="53"/>
        <v>1566.349999999956</v>
      </c>
    </row>
    <row r="990" spans="4:6" x14ac:dyDescent="0.25">
      <c r="D990" s="105">
        <f t="shared" si="54"/>
        <v>1566.399999999956</v>
      </c>
      <c r="E990" s="373">
        <f t="shared" si="52"/>
        <v>1627.4895999999542</v>
      </c>
      <c r="F990" s="373">
        <f t="shared" si="53"/>
        <v>1566.399999999956</v>
      </c>
    </row>
    <row r="991" spans="4:6" x14ac:dyDescent="0.25">
      <c r="D991" s="105">
        <f t="shared" si="54"/>
        <v>1566.4499999999559</v>
      </c>
      <c r="E991" s="373">
        <f t="shared" si="52"/>
        <v>1627.5415499999542</v>
      </c>
      <c r="F991" s="373">
        <f t="shared" si="53"/>
        <v>1566.4499999999559</v>
      </c>
    </row>
    <row r="992" spans="4:6" x14ac:dyDescent="0.25">
      <c r="D992" s="105">
        <f t="shared" si="54"/>
        <v>1566.4999999999559</v>
      </c>
      <c r="E992" s="373">
        <f t="shared" si="52"/>
        <v>1627.5934999999542</v>
      </c>
      <c r="F992" s="373">
        <f t="shared" si="53"/>
        <v>1566.4999999999559</v>
      </c>
    </row>
    <row r="993" spans="4:6" x14ac:dyDescent="0.25">
      <c r="D993" s="105">
        <f t="shared" si="54"/>
        <v>1566.5499999999558</v>
      </c>
      <c r="E993" s="373">
        <f t="shared" si="52"/>
        <v>1627.6454499999541</v>
      </c>
      <c r="F993" s="373">
        <f t="shared" si="53"/>
        <v>1566.5499999999558</v>
      </c>
    </row>
    <row r="994" spans="4:6" x14ac:dyDescent="0.25">
      <c r="D994" s="105">
        <f t="shared" si="54"/>
        <v>1566.5999999999558</v>
      </c>
      <c r="E994" s="373">
        <f t="shared" si="52"/>
        <v>1627.6973999999541</v>
      </c>
      <c r="F994" s="373">
        <f t="shared" si="53"/>
        <v>1566.5999999999558</v>
      </c>
    </row>
    <row r="995" spans="4:6" x14ac:dyDescent="0.25">
      <c r="D995" s="105">
        <f t="shared" si="54"/>
        <v>1566.6499999999558</v>
      </c>
      <c r="E995" s="373">
        <f t="shared" si="52"/>
        <v>1627.7493499999541</v>
      </c>
      <c r="F995" s="373">
        <f t="shared" si="53"/>
        <v>1566.6499999999558</v>
      </c>
    </row>
    <row r="996" spans="4:6" x14ac:dyDescent="0.25">
      <c r="D996" s="105">
        <f t="shared" si="54"/>
        <v>1566.6999999999557</v>
      </c>
      <c r="E996" s="373">
        <f t="shared" si="52"/>
        <v>1627.8012999999539</v>
      </c>
      <c r="F996" s="373">
        <f t="shared" si="53"/>
        <v>1566.6999999999557</v>
      </c>
    </row>
    <row r="997" spans="4:6" x14ac:dyDescent="0.25">
      <c r="D997" s="105">
        <f t="shared" si="54"/>
        <v>1566.7499999999557</v>
      </c>
      <c r="E997" s="373">
        <f t="shared" si="52"/>
        <v>1627.853249999954</v>
      </c>
      <c r="F997" s="373">
        <f t="shared" si="53"/>
        <v>1566.7499999999557</v>
      </c>
    </row>
    <row r="998" spans="4:6" x14ac:dyDescent="0.25">
      <c r="D998" s="105">
        <f t="shared" si="54"/>
        <v>1566.7999999999556</v>
      </c>
      <c r="E998" s="373">
        <f t="shared" si="52"/>
        <v>1627.905199999954</v>
      </c>
      <c r="F998" s="373">
        <f t="shared" si="53"/>
        <v>1566.7999999999556</v>
      </c>
    </row>
    <row r="999" spans="4:6" x14ac:dyDescent="0.25">
      <c r="D999" s="105">
        <f t="shared" si="54"/>
        <v>1566.8499999999556</v>
      </c>
      <c r="E999" s="373">
        <f t="shared" si="52"/>
        <v>1627.9571499999538</v>
      </c>
      <c r="F999" s="373">
        <f t="shared" si="53"/>
        <v>1566.8499999999556</v>
      </c>
    </row>
    <row r="1000" spans="4:6" x14ac:dyDescent="0.25">
      <c r="D1000" s="105">
        <f t="shared" si="54"/>
        <v>1566.8999999999555</v>
      </c>
      <c r="E1000" s="373">
        <f t="shared" si="52"/>
        <v>1628.0090999999538</v>
      </c>
      <c r="F1000" s="373">
        <f t="shared" si="53"/>
        <v>1566.8999999999555</v>
      </c>
    </row>
    <row r="1001" spans="4:6" x14ac:dyDescent="0.25">
      <c r="D1001" s="105">
        <f t="shared" si="54"/>
        <v>1566.9499999999555</v>
      </c>
      <c r="E1001" s="373">
        <f t="shared" si="52"/>
        <v>1628.0610499999536</v>
      </c>
      <c r="F1001" s="373">
        <f t="shared" si="53"/>
        <v>1566.9499999999555</v>
      </c>
    </row>
    <row r="1002" spans="4:6" x14ac:dyDescent="0.25">
      <c r="D1002" s="105">
        <f t="shared" si="54"/>
        <v>1566.9999999999554</v>
      </c>
      <c r="E1002" s="373">
        <f t="shared" si="52"/>
        <v>1628.1129999999537</v>
      </c>
      <c r="F1002" s="373">
        <f t="shared" si="53"/>
        <v>1566.9999999999554</v>
      </c>
    </row>
    <row r="1003" spans="4:6" x14ac:dyDescent="0.25">
      <c r="D1003" s="105">
        <f t="shared" si="54"/>
        <v>1567.0499999999554</v>
      </c>
      <c r="E1003" s="373">
        <f t="shared" si="52"/>
        <v>1628.1649499999537</v>
      </c>
      <c r="F1003" s="373">
        <f t="shared" si="53"/>
        <v>1567.0499999999554</v>
      </c>
    </row>
    <row r="1004" spans="4:6" x14ac:dyDescent="0.25">
      <c r="D1004" s="105">
        <f t="shared" si="54"/>
        <v>1567.0999999999553</v>
      </c>
      <c r="E1004" s="373">
        <f t="shared" si="52"/>
        <v>1628.2168999999535</v>
      </c>
      <c r="F1004" s="373">
        <f t="shared" si="53"/>
        <v>1567.0999999999553</v>
      </c>
    </row>
    <row r="1005" spans="4:6" x14ac:dyDescent="0.25">
      <c r="D1005" s="105">
        <f t="shared" si="54"/>
        <v>1567.1499999999553</v>
      </c>
      <c r="E1005" s="373">
        <f t="shared" si="52"/>
        <v>1628.2688499999535</v>
      </c>
      <c r="F1005" s="373">
        <f t="shared" si="53"/>
        <v>1567.1499999999553</v>
      </c>
    </row>
    <row r="1006" spans="4:6" x14ac:dyDescent="0.25">
      <c r="D1006" s="105">
        <f t="shared" si="54"/>
        <v>1567.1999999999553</v>
      </c>
      <c r="E1006" s="373">
        <f t="shared" si="52"/>
        <v>1628.3207999999536</v>
      </c>
      <c r="F1006" s="373">
        <f t="shared" si="53"/>
        <v>1567.1999999999553</v>
      </c>
    </row>
    <row r="1007" spans="4:6" x14ac:dyDescent="0.25">
      <c r="D1007" s="105">
        <f t="shared" si="54"/>
        <v>1567.2499999999552</v>
      </c>
      <c r="E1007" s="373">
        <f t="shared" si="52"/>
        <v>1628.3727499999534</v>
      </c>
      <c r="F1007" s="373">
        <f t="shared" si="53"/>
        <v>1567.2499999999552</v>
      </c>
    </row>
    <row r="1008" spans="4:6" x14ac:dyDescent="0.25">
      <c r="D1008" s="105">
        <f t="shared" si="54"/>
        <v>1567.2999999999552</v>
      </c>
      <c r="E1008" s="373">
        <f t="shared" si="52"/>
        <v>1628.4246999999534</v>
      </c>
      <c r="F1008" s="373">
        <f t="shared" si="53"/>
        <v>1567.2999999999552</v>
      </c>
    </row>
    <row r="1009" spans="4:6" x14ac:dyDescent="0.25">
      <c r="D1009" s="105">
        <f t="shared" si="54"/>
        <v>1567.3499999999551</v>
      </c>
      <c r="E1009" s="373">
        <f t="shared" si="52"/>
        <v>1628.4766499999535</v>
      </c>
      <c r="F1009" s="373">
        <f t="shared" si="53"/>
        <v>1567.3499999999551</v>
      </c>
    </row>
    <row r="1010" spans="4:6" x14ac:dyDescent="0.25">
      <c r="D1010" s="105">
        <f t="shared" si="54"/>
        <v>1567.3999999999551</v>
      </c>
      <c r="E1010" s="373">
        <f t="shared" si="52"/>
        <v>1628.5285999999533</v>
      </c>
      <c r="F1010" s="373">
        <f t="shared" si="53"/>
        <v>1567.3999999999551</v>
      </c>
    </row>
    <row r="1011" spans="4:6" x14ac:dyDescent="0.25">
      <c r="D1011" s="105">
        <f t="shared" si="54"/>
        <v>1567.449999999955</v>
      </c>
      <c r="E1011" s="373">
        <f t="shared" si="52"/>
        <v>1628.5805499999533</v>
      </c>
      <c r="F1011" s="373">
        <f t="shared" si="53"/>
        <v>1567.449999999955</v>
      </c>
    </row>
    <row r="1012" spans="4:6" x14ac:dyDescent="0.25">
      <c r="D1012" s="105">
        <f t="shared" si="54"/>
        <v>1567.499999999955</v>
      </c>
      <c r="E1012" s="373">
        <f t="shared" si="52"/>
        <v>1628.6324999999533</v>
      </c>
      <c r="F1012" s="373">
        <f t="shared" si="53"/>
        <v>1567.499999999955</v>
      </c>
    </row>
    <row r="1013" spans="4:6" x14ac:dyDescent="0.25">
      <c r="D1013" s="105">
        <f t="shared" si="54"/>
        <v>1567.5499999999549</v>
      </c>
      <c r="E1013" s="373">
        <f t="shared" si="52"/>
        <v>1628.6844499999531</v>
      </c>
      <c r="F1013" s="373">
        <f t="shared" si="53"/>
        <v>1567.5499999999549</v>
      </c>
    </row>
    <row r="1014" spans="4:6" x14ac:dyDescent="0.25">
      <c r="D1014" s="105">
        <f t="shared" si="54"/>
        <v>1567.5999999999549</v>
      </c>
      <c r="E1014" s="373">
        <f t="shared" si="52"/>
        <v>1628.7363999999532</v>
      </c>
      <c r="F1014" s="373">
        <f t="shared" si="53"/>
        <v>1567.5999999999549</v>
      </c>
    </row>
    <row r="1015" spans="4:6" x14ac:dyDescent="0.25">
      <c r="D1015" s="105">
        <f t="shared" si="54"/>
        <v>1567.6499999999548</v>
      </c>
      <c r="E1015" s="373">
        <f t="shared" si="52"/>
        <v>1628.788349999953</v>
      </c>
      <c r="F1015" s="373">
        <f t="shared" si="53"/>
        <v>1567.6499999999548</v>
      </c>
    </row>
    <row r="1016" spans="4:6" x14ac:dyDescent="0.25">
      <c r="D1016" s="105">
        <f t="shared" si="54"/>
        <v>1567.6999999999548</v>
      </c>
      <c r="E1016" s="373">
        <f t="shared" si="52"/>
        <v>1628.840299999953</v>
      </c>
      <c r="F1016" s="373">
        <f t="shared" si="53"/>
        <v>1567.6999999999548</v>
      </c>
    </row>
    <row r="1017" spans="4:6" x14ac:dyDescent="0.25">
      <c r="D1017" s="105">
        <f t="shared" si="54"/>
        <v>1567.7499999999548</v>
      </c>
      <c r="E1017" s="373">
        <f t="shared" si="52"/>
        <v>1628.892249999953</v>
      </c>
      <c r="F1017" s="373">
        <f t="shared" si="53"/>
        <v>1567.7499999999548</v>
      </c>
    </row>
    <row r="1018" spans="4:6" x14ac:dyDescent="0.25">
      <c r="D1018" s="105">
        <f t="shared" si="54"/>
        <v>1567.7999999999547</v>
      </c>
      <c r="E1018" s="373">
        <f t="shared" si="52"/>
        <v>1628.9441999999528</v>
      </c>
      <c r="F1018" s="373">
        <f t="shared" si="53"/>
        <v>1567.7999999999547</v>
      </c>
    </row>
    <row r="1019" spans="4:6" x14ac:dyDescent="0.25">
      <c r="D1019" s="105">
        <f t="shared" si="54"/>
        <v>1567.8499999999547</v>
      </c>
      <c r="E1019" s="373">
        <f t="shared" si="52"/>
        <v>1628.9961499999529</v>
      </c>
      <c r="F1019" s="373">
        <f t="shared" si="53"/>
        <v>1567.8499999999547</v>
      </c>
    </row>
    <row r="1020" spans="4:6" x14ac:dyDescent="0.25">
      <c r="D1020" s="105">
        <f t="shared" si="54"/>
        <v>1567.8999999999546</v>
      </c>
      <c r="E1020" s="373">
        <f t="shared" si="52"/>
        <v>1629.0480999999529</v>
      </c>
      <c r="F1020" s="373">
        <f t="shared" si="53"/>
        <v>1567.8999999999546</v>
      </c>
    </row>
    <row r="1021" spans="4:6" x14ac:dyDescent="0.25">
      <c r="D1021" s="105">
        <f t="shared" si="54"/>
        <v>1567.9499999999546</v>
      </c>
      <c r="E1021" s="373">
        <f t="shared" si="52"/>
        <v>1629.1000499999527</v>
      </c>
      <c r="F1021" s="373">
        <f t="shared" si="53"/>
        <v>1567.9499999999546</v>
      </c>
    </row>
    <row r="1022" spans="4:6" x14ac:dyDescent="0.25">
      <c r="D1022" s="105">
        <f t="shared" si="54"/>
        <v>1567.9999999999545</v>
      </c>
      <c r="E1022" s="373">
        <f t="shared" si="52"/>
        <v>1629.1519999999527</v>
      </c>
      <c r="F1022" s="373">
        <f t="shared" si="53"/>
        <v>1567.9999999999545</v>
      </c>
    </row>
    <row r="1023" spans="4:6" x14ac:dyDescent="0.25">
      <c r="D1023" s="105">
        <f t="shared" si="54"/>
        <v>1568.0499999999545</v>
      </c>
      <c r="E1023" s="373">
        <f t="shared" si="52"/>
        <v>1629.2039499999528</v>
      </c>
      <c r="F1023" s="373">
        <f t="shared" si="53"/>
        <v>1568.0499999999545</v>
      </c>
    </row>
    <row r="1024" spans="4:6" x14ac:dyDescent="0.25">
      <c r="D1024" s="105">
        <f t="shared" si="54"/>
        <v>1568.0999999999544</v>
      </c>
      <c r="E1024" s="373">
        <f t="shared" si="52"/>
        <v>1629.2558999999526</v>
      </c>
      <c r="F1024" s="373">
        <f t="shared" si="53"/>
        <v>1568.0999999999544</v>
      </c>
    </row>
    <row r="1025" spans="4:6" x14ac:dyDescent="0.25">
      <c r="D1025" s="105">
        <f t="shared" si="54"/>
        <v>1568.1499999999544</v>
      </c>
      <c r="E1025" s="373">
        <f t="shared" si="52"/>
        <v>1629.3078499999526</v>
      </c>
      <c r="F1025" s="373">
        <f t="shared" si="53"/>
        <v>1568.1499999999544</v>
      </c>
    </row>
    <row r="1026" spans="4:6" x14ac:dyDescent="0.25">
      <c r="D1026" s="105">
        <f t="shared" si="54"/>
        <v>1568.1999999999543</v>
      </c>
      <c r="E1026" s="373">
        <f t="shared" si="52"/>
        <v>1629.3597999999527</v>
      </c>
      <c r="F1026" s="373">
        <f t="shared" si="53"/>
        <v>1568.1999999999543</v>
      </c>
    </row>
    <row r="1027" spans="4:6" x14ac:dyDescent="0.25">
      <c r="D1027" s="105">
        <f t="shared" si="54"/>
        <v>1568.2499999999543</v>
      </c>
      <c r="E1027" s="373">
        <f t="shared" si="52"/>
        <v>1629.4117499999525</v>
      </c>
      <c r="F1027" s="373">
        <f t="shared" si="53"/>
        <v>1568.2499999999543</v>
      </c>
    </row>
    <row r="1028" spans="4:6" x14ac:dyDescent="0.25">
      <c r="D1028" s="105">
        <f t="shared" si="54"/>
        <v>1568.2999999999543</v>
      </c>
      <c r="E1028" s="373">
        <f t="shared" si="52"/>
        <v>1629.4636999999525</v>
      </c>
      <c r="F1028" s="373">
        <f t="shared" si="53"/>
        <v>1568.2999999999543</v>
      </c>
    </row>
    <row r="1029" spans="4:6" x14ac:dyDescent="0.25">
      <c r="D1029" s="105">
        <f t="shared" si="54"/>
        <v>1568.3499999999542</v>
      </c>
      <c r="E1029" s="373">
        <f t="shared" si="52"/>
        <v>1629.5156499999525</v>
      </c>
      <c r="F1029" s="373">
        <f t="shared" si="53"/>
        <v>1568.3499999999542</v>
      </c>
    </row>
    <row r="1030" spans="4:6" x14ac:dyDescent="0.25">
      <c r="D1030" s="105">
        <f t="shared" si="54"/>
        <v>1568.3999999999542</v>
      </c>
      <c r="E1030" s="373">
        <f t="shared" si="52"/>
        <v>1629.5675999999523</v>
      </c>
      <c r="F1030" s="373">
        <f t="shared" si="53"/>
        <v>1568.3999999999542</v>
      </c>
    </row>
    <row r="1031" spans="4:6" x14ac:dyDescent="0.25">
      <c r="D1031" s="105">
        <f t="shared" si="54"/>
        <v>1568.4499999999541</v>
      </c>
      <c r="E1031" s="373">
        <f t="shared" si="52"/>
        <v>1629.6195499999524</v>
      </c>
      <c r="F1031" s="373">
        <f t="shared" si="53"/>
        <v>1568.4499999999541</v>
      </c>
    </row>
    <row r="1032" spans="4:6" x14ac:dyDescent="0.25">
      <c r="D1032" s="105">
        <f t="shared" si="54"/>
        <v>1568.4999999999541</v>
      </c>
      <c r="E1032" s="373">
        <f t="shared" si="52"/>
        <v>1629.6714999999522</v>
      </c>
      <c r="F1032" s="373">
        <f t="shared" si="53"/>
        <v>1568.4999999999541</v>
      </c>
    </row>
    <row r="1033" spans="4:6" x14ac:dyDescent="0.25">
      <c r="D1033" s="105">
        <f t="shared" si="54"/>
        <v>1568.549999999954</v>
      </c>
      <c r="E1033" s="373">
        <f t="shared" si="52"/>
        <v>1629.7234499999522</v>
      </c>
      <c r="F1033" s="373">
        <f t="shared" si="53"/>
        <v>1568.549999999954</v>
      </c>
    </row>
    <row r="1034" spans="4:6" x14ac:dyDescent="0.25">
      <c r="D1034" s="105">
        <f t="shared" si="54"/>
        <v>1568.599999999954</v>
      </c>
      <c r="E1034" s="373">
        <f t="shared" si="52"/>
        <v>1629.7753999999522</v>
      </c>
      <c r="F1034" s="373">
        <f t="shared" si="53"/>
        <v>1568.599999999954</v>
      </c>
    </row>
    <row r="1035" spans="4:6" x14ac:dyDescent="0.25">
      <c r="D1035" s="105">
        <f t="shared" si="54"/>
        <v>1568.6499999999539</v>
      </c>
      <c r="E1035" s="373">
        <f t="shared" si="52"/>
        <v>1629.827349999952</v>
      </c>
      <c r="F1035" s="373">
        <f t="shared" si="53"/>
        <v>1568.6499999999539</v>
      </c>
    </row>
    <row r="1036" spans="4:6" x14ac:dyDescent="0.25">
      <c r="D1036" s="105">
        <f t="shared" si="54"/>
        <v>1568.6999999999539</v>
      </c>
      <c r="E1036" s="373">
        <f t="shared" si="52"/>
        <v>1629.8792999999521</v>
      </c>
      <c r="F1036" s="373">
        <f t="shared" si="53"/>
        <v>1568.6999999999539</v>
      </c>
    </row>
    <row r="1037" spans="4:6" x14ac:dyDescent="0.25">
      <c r="D1037" s="105">
        <f t="shared" si="54"/>
        <v>1568.7499999999538</v>
      </c>
      <c r="E1037" s="373">
        <f t="shared" si="52"/>
        <v>1629.9312499999521</v>
      </c>
      <c r="F1037" s="373">
        <f t="shared" si="53"/>
        <v>1568.7499999999538</v>
      </c>
    </row>
    <row r="1038" spans="4:6" x14ac:dyDescent="0.25">
      <c r="D1038" s="105">
        <f t="shared" si="54"/>
        <v>1568.7999999999538</v>
      </c>
      <c r="E1038" s="373">
        <f t="shared" si="52"/>
        <v>1629.9831999999519</v>
      </c>
      <c r="F1038" s="373">
        <f t="shared" si="53"/>
        <v>1568.7999999999538</v>
      </c>
    </row>
    <row r="1039" spans="4:6" x14ac:dyDescent="0.25">
      <c r="D1039" s="105">
        <f t="shared" si="54"/>
        <v>1568.8499999999538</v>
      </c>
      <c r="E1039" s="373">
        <f t="shared" si="52"/>
        <v>1630.035149999952</v>
      </c>
      <c r="F1039" s="373">
        <f t="shared" si="53"/>
        <v>1568.8499999999538</v>
      </c>
    </row>
    <row r="1040" spans="4:6" x14ac:dyDescent="0.25">
      <c r="D1040" s="105">
        <f t="shared" si="54"/>
        <v>1568.8999999999537</v>
      </c>
      <c r="E1040" s="373">
        <f t="shared" si="52"/>
        <v>1630.087099999952</v>
      </c>
      <c r="F1040" s="373">
        <f t="shared" si="53"/>
        <v>1568.8999999999537</v>
      </c>
    </row>
    <row r="1041" spans="4:6" x14ac:dyDescent="0.25">
      <c r="D1041" s="105">
        <f t="shared" si="54"/>
        <v>1568.9499999999537</v>
      </c>
      <c r="E1041" s="373">
        <f t="shared" si="52"/>
        <v>1630.1390499999518</v>
      </c>
      <c r="F1041" s="373">
        <f t="shared" si="53"/>
        <v>1568.9499999999537</v>
      </c>
    </row>
    <row r="1042" spans="4:6" x14ac:dyDescent="0.25">
      <c r="D1042" s="105">
        <f t="shared" si="54"/>
        <v>1568.9999999999536</v>
      </c>
      <c r="E1042" s="373">
        <f t="shared" si="52"/>
        <v>1630.1909999999518</v>
      </c>
      <c r="F1042" s="373">
        <f t="shared" si="53"/>
        <v>1568.9999999999536</v>
      </c>
    </row>
    <row r="1043" spans="4:6" x14ac:dyDescent="0.25">
      <c r="D1043" s="105">
        <f t="shared" si="54"/>
        <v>1569.0499999999536</v>
      </c>
      <c r="E1043" s="373">
        <f t="shared" si="52"/>
        <v>1630.2429499999519</v>
      </c>
      <c r="F1043" s="373">
        <f t="shared" si="53"/>
        <v>1569.0499999999536</v>
      </c>
    </row>
    <row r="1044" spans="4:6" x14ac:dyDescent="0.25">
      <c r="D1044" s="105">
        <f t="shared" si="54"/>
        <v>1569.0999999999535</v>
      </c>
      <c r="E1044" s="373">
        <f t="shared" si="52"/>
        <v>1630.2948999999517</v>
      </c>
      <c r="F1044" s="373">
        <f t="shared" si="53"/>
        <v>1569.0999999999535</v>
      </c>
    </row>
    <row r="1045" spans="4:6" x14ac:dyDescent="0.25">
      <c r="D1045" s="105">
        <f t="shared" si="54"/>
        <v>1569.1499999999535</v>
      </c>
      <c r="E1045" s="373">
        <f t="shared" si="52"/>
        <v>1630.3468499999517</v>
      </c>
      <c r="F1045" s="373">
        <f t="shared" si="53"/>
        <v>1569.1499999999535</v>
      </c>
    </row>
    <row r="1046" spans="4:6" x14ac:dyDescent="0.25">
      <c r="D1046" s="105">
        <f t="shared" si="54"/>
        <v>1569.1999999999534</v>
      </c>
      <c r="E1046" s="373">
        <f t="shared" si="52"/>
        <v>1630.3987999999517</v>
      </c>
      <c r="F1046" s="373">
        <f t="shared" si="53"/>
        <v>1569.1999999999534</v>
      </c>
    </row>
    <row r="1047" spans="4:6" x14ac:dyDescent="0.25">
      <c r="D1047" s="105">
        <f t="shared" si="54"/>
        <v>1569.2499999999534</v>
      </c>
      <c r="E1047" s="373">
        <f t="shared" ref="E1047:E1110" si="55">D1047*$C$2 + D1047</f>
        <v>1630.4507499999515</v>
      </c>
      <c r="F1047" s="373">
        <f t="shared" ref="F1047:F1110" si="56">D1047</f>
        <v>1569.2499999999534</v>
      </c>
    </row>
    <row r="1048" spans="4:6" x14ac:dyDescent="0.25">
      <c r="D1048" s="105">
        <f t="shared" ref="D1048:D1111" si="57">D1047+0.05</f>
        <v>1569.2999999999533</v>
      </c>
      <c r="E1048" s="373">
        <f t="shared" si="55"/>
        <v>1630.5026999999516</v>
      </c>
      <c r="F1048" s="373">
        <f t="shared" si="56"/>
        <v>1569.2999999999533</v>
      </c>
    </row>
    <row r="1049" spans="4:6" x14ac:dyDescent="0.25">
      <c r="D1049" s="105">
        <f t="shared" si="57"/>
        <v>1569.3499999999533</v>
      </c>
      <c r="E1049" s="373">
        <f t="shared" si="55"/>
        <v>1630.5546499999514</v>
      </c>
      <c r="F1049" s="373">
        <f t="shared" si="56"/>
        <v>1569.3499999999533</v>
      </c>
    </row>
    <row r="1050" spans="4:6" x14ac:dyDescent="0.25">
      <c r="D1050" s="105">
        <f t="shared" si="57"/>
        <v>1569.3999999999533</v>
      </c>
      <c r="E1050" s="373">
        <f t="shared" si="55"/>
        <v>1630.6065999999514</v>
      </c>
      <c r="F1050" s="373">
        <f t="shared" si="56"/>
        <v>1569.3999999999533</v>
      </c>
    </row>
    <row r="1051" spans="4:6" x14ac:dyDescent="0.25">
      <c r="D1051" s="105">
        <f t="shared" si="57"/>
        <v>1569.4499999999532</v>
      </c>
      <c r="E1051" s="373">
        <f t="shared" si="55"/>
        <v>1630.6585499999514</v>
      </c>
      <c r="F1051" s="373">
        <f t="shared" si="56"/>
        <v>1569.4499999999532</v>
      </c>
    </row>
    <row r="1052" spans="4:6" x14ac:dyDescent="0.25">
      <c r="D1052" s="105">
        <f t="shared" si="57"/>
        <v>1569.4999999999532</v>
      </c>
      <c r="E1052" s="373">
        <f t="shared" si="55"/>
        <v>1630.7104999999513</v>
      </c>
      <c r="F1052" s="373">
        <f t="shared" si="56"/>
        <v>1569.4999999999532</v>
      </c>
    </row>
    <row r="1053" spans="4:6" x14ac:dyDescent="0.25">
      <c r="D1053" s="105">
        <f t="shared" si="57"/>
        <v>1569.5499999999531</v>
      </c>
      <c r="E1053" s="373">
        <f t="shared" si="55"/>
        <v>1630.7624499999513</v>
      </c>
      <c r="F1053" s="373">
        <f t="shared" si="56"/>
        <v>1569.5499999999531</v>
      </c>
    </row>
    <row r="1054" spans="4:6" x14ac:dyDescent="0.25">
      <c r="D1054" s="105">
        <f t="shared" si="57"/>
        <v>1569.5999999999531</v>
      </c>
      <c r="E1054" s="373">
        <f t="shared" si="55"/>
        <v>1630.8143999999513</v>
      </c>
      <c r="F1054" s="373">
        <f t="shared" si="56"/>
        <v>1569.5999999999531</v>
      </c>
    </row>
    <row r="1055" spans="4:6" x14ac:dyDescent="0.25">
      <c r="D1055" s="105">
        <f t="shared" si="57"/>
        <v>1569.649999999953</v>
      </c>
      <c r="E1055" s="373">
        <f t="shared" si="55"/>
        <v>1630.8663499999511</v>
      </c>
      <c r="F1055" s="373">
        <f t="shared" si="56"/>
        <v>1569.649999999953</v>
      </c>
    </row>
    <row r="1056" spans="4:6" x14ac:dyDescent="0.25">
      <c r="D1056" s="105">
        <f t="shared" si="57"/>
        <v>1569.699999999953</v>
      </c>
      <c r="E1056" s="373">
        <f t="shared" si="55"/>
        <v>1630.9182999999512</v>
      </c>
      <c r="F1056" s="373">
        <f t="shared" si="56"/>
        <v>1569.699999999953</v>
      </c>
    </row>
    <row r="1057" spans="4:6" x14ac:dyDescent="0.25">
      <c r="D1057" s="105">
        <f t="shared" si="57"/>
        <v>1569.7499999999529</v>
      </c>
      <c r="E1057" s="373">
        <f t="shared" si="55"/>
        <v>1630.9702499999512</v>
      </c>
      <c r="F1057" s="373">
        <f t="shared" si="56"/>
        <v>1569.7499999999529</v>
      </c>
    </row>
    <row r="1058" spans="4:6" x14ac:dyDescent="0.25">
      <c r="D1058" s="105">
        <f t="shared" si="57"/>
        <v>1569.7999999999529</v>
      </c>
      <c r="E1058" s="373">
        <f t="shared" si="55"/>
        <v>1631.022199999951</v>
      </c>
      <c r="F1058" s="373">
        <f t="shared" si="56"/>
        <v>1569.7999999999529</v>
      </c>
    </row>
    <row r="1059" spans="4:6" x14ac:dyDescent="0.25">
      <c r="D1059" s="105">
        <f t="shared" si="57"/>
        <v>1569.8499999999528</v>
      </c>
      <c r="E1059" s="373">
        <f t="shared" si="55"/>
        <v>1631.074149999951</v>
      </c>
      <c r="F1059" s="373">
        <f t="shared" si="56"/>
        <v>1569.8499999999528</v>
      </c>
    </row>
    <row r="1060" spans="4:6" x14ac:dyDescent="0.25">
      <c r="D1060" s="105">
        <f t="shared" si="57"/>
        <v>1569.8999999999528</v>
      </c>
      <c r="E1060" s="373">
        <f t="shared" si="55"/>
        <v>1631.1260999999511</v>
      </c>
      <c r="F1060" s="373">
        <f t="shared" si="56"/>
        <v>1569.8999999999528</v>
      </c>
    </row>
    <row r="1061" spans="4:6" x14ac:dyDescent="0.25">
      <c r="D1061" s="105">
        <f t="shared" si="57"/>
        <v>1569.9499999999528</v>
      </c>
      <c r="E1061" s="373">
        <f t="shared" si="55"/>
        <v>1631.1780499999509</v>
      </c>
      <c r="F1061" s="373">
        <f t="shared" si="56"/>
        <v>1569.9499999999528</v>
      </c>
    </row>
    <row r="1062" spans="4:6" x14ac:dyDescent="0.25">
      <c r="D1062" s="105">
        <f t="shared" si="57"/>
        <v>1569.9999999999527</v>
      </c>
      <c r="E1062" s="373">
        <f t="shared" si="55"/>
        <v>1631.2299999999509</v>
      </c>
      <c r="F1062" s="373">
        <f t="shared" si="56"/>
        <v>1569.9999999999527</v>
      </c>
    </row>
    <row r="1063" spans="4:6" x14ac:dyDescent="0.25">
      <c r="D1063" s="105">
        <f t="shared" si="57"/>
        <v>1570.0499999999527</v>
      </c>
      <c r="E1063" s="373">
        <f t="shared" si="55"/>
        <v>1631.2819499999507</v>
      </c>
      <c r="F1063" s="373">
        <f t="shared" si="56"/>
        <v>1570.0499999999527</v>
      </c>
    </row>
    <row r="1064" spans="4:6" x14ac:dyDescent="0.25">
      <c r="D1064" s="105">
        <f t="shared" si="57"/>
        <v>1570.0999999999526</v>
      </c>
      <c r="E1064" s="373">
        <f t="shared" si="55"/>
        <v>1631.3338999999507</v>
      </c>
      <c r="F1064" s="373">
        <f t="shared" si="56"/>
        <v>1570.0999999999526</v>
      </c>
    </row>
    <row r="1065" spans="4:6" x14ac:dyDescent="0.25">
      <c r="D1065" s="105">
        <f t="shared" si="57"/>
        <v>1570.1499999999526</v>
      </c>
      <c r="E1065" s="373">
        <f t="shared" si="55"/>
        <v>1631.3858499999508</v>
      </c>
      <c r="F1065" s="373">
        <f t="shared" si="56"/>
        <v>1570.1499999999526</v>
      </c>
    </row>
    <row r="1066" spans="4:6" x14ac:dyDescent="0.25">
      <c r="D1066" s="105">
        <f t="shared" si="57"/>
        <v>1570.1999999999525</v>
      </c>
      <c r="E1066" s="373">
        <f t="shared" si="55"/>
        <v>1631.4377999999506</v>
      </c>
      <c r="F1066" s="373">
        <f t="shared" si="56"/>
        <v>1570.1999999999525</v>
      </c>
    </row>
    <row r="1067" spans="4:6" x14ac:dyDescent="0.25">
      <c r="D1067" s="105">
        <f t="shared" si="57"/>
        <v>1570.2499999999525</v>
      </c>
      <c r="E1067" s="373">
        <f t="shared" si="55"/>
        <v>1631.4897499999506</v>
      </c>
      <c r="F1067" s="373">
        <f t="shared" si="56"/>
        <v>1570.2499999999525</v>
      </c>
    </row>
    <row r="1068" spans="4:6" x14ac:dyDescent="0.25">
      <c r="D1068" s="105">
        <f t="shared" si="57"/>
        <v>1570.2999999999524</v>
      </c>
      <c r="E1068" s="373">
        <f t="shared" si="55"/>
        <v>1631.5416999999507</v>
      </c>
      <c r="F1068" s="373">
        <f t="shared" si="56"/>
        <v>1570.2999999999524</v>
      </c>
    </row>
    <row r="1069" spans="4:6" x14ac:dyDescent="0.25">
      <c r="D1069" s="105">
        <f t="shared" si="57"/>
        <v>1570.3499999999524</v>
      </c>
      <c r="E1069" s="373">
        <f t="shared" si="55"/>
        <v>1631.5936499999505</v>
      </c>
      <c r="F1069" s="373">
        <f t="shared" si="56"/>
        <v>1570.3499999999524</v>
      </c>
    </row>
    <row r="1070" spans="4:6" x14ac:dyDescent="0.25">
      <c r="D1070" s="105">
        <f t="shared" si="57"/>
        <v>1570.3999999999523</v>
      </c>
      <c r="E1070" s="373">
        <f t="shared" si="55"/>
        <v>1631.6455999999505</v>
      </c>
      <c r="F1070" s="373">
        <f t="shared" si="56"/>
        <v>1570.3999999999523</v>
      </c>
    </row>
    <row r="1071" spans="4:6" x14ac:dyDescent="0.25">
      <c r="D1071" s="105">
        <f t="shared" si="57"/>
        <v>1570.4499999999523</v>
      </c>
      <c r="E1071" s="373">
        <f t="shared" si="55"/>
        <v>1631.6975499999505</v>
      </c>
      <c r="F1071" s="373">
        <f t="shared" si="56"/>
        <v>1570.4499999999523</v>
      </c>
    </row>
    <row r="1072" spans="4:6" x14ac:dyDescent="0.25">
      <c r="D1072" s="105">
        <f t="shared" si="57"/>
        <v>1570.4999999999523</v>
      </c>
      <c r="E1072" s="373">
        <f t="shared" si="55"/>
        <v>1631.7494999999503</v>
      </c>
      <c r="F1072" s="373">
        <f t="shared" si="56"/>
        <v>1570.4999999999523</v>
      </c>
    </row>
    <row r="1073" spans="4:6" x14ac:dyDescent="0.25">
      <c r="D1073" s="105">
        <f t="shared" si="57"/>
        <v>1570.5499999999522</v>
      </c>
      <c r="E1073" s="373">
        <f t="shared" si="55"/>
        <v>1631.8014499999504</v>
      </c>
      <c r="F1073" s="373">
        <f t="shared" si="56"/>
        <v>1570.5499999999522</v>
      </c>
    </row>
    <row r="1074" spans="4:6" x14ac:dyDescent="0.25">
      <c r="D1074" s="105">
        <f t="shared" si="57"/>
        <v>1570.5999999999522</v>
      </c>
      <c r="E1074" s="373">
        <f t="shared" si="55"/>
        <v>1631.8533999999504</v>
      </c>
      <c r="F1074" s="373">
        <f t="shared" si="56"/>
        <v>1570.5999999999522</v>
      </c>
    </row>
    <row r="1075" spans="4:6" x14ac:dyDescent="0.25">
      <c r="D1075" s="105">
        <f t="shared" si="57"/>
        <v>1570.6499999999521</v>
      </c>
      <c r="E1075" s="373">
        <f t="shared" si="55"/>
        <v>1631.9053499999502</v>
      </c>
      <c r="F1075" s="373">
        <f t="shared" si="56"/>
        <v>1570.6499999999521</v>
      </c>
    </row>
    <row r="1076" spans="4:6" x14ac:dyDescent="0.25">
      <c r="D1076" s="105">
        <f t="shared" si="57"/>
        <v>1570.6999999999521</v>
      </c>
      <c r="E1076" s="373">
        <f t="shared" si="55"/>
        <v>1631.9572999999502</v>
      </c>
      <c r="F1076" s="373">
        <f t="shared" si="56"/>
        <v>1570.6999999999521</v>
      </c>
    </row>
    <row r="1077" spans="4:6" x14ac:dyDescent="0.25">
      <c r="D1077" s="105">
        <f t="shared" si="57"/>
        <v>1570.749999999952</v>
      </c>
      <c r="E1077" s="373">
        <f t="shared" si="55"/>
        <v>1632.00924999995</v>
      </c>
      <c r="F1077" s="373">
        <f t="shared" si="56"/>
        <v>1570.749999999952</v>
      </c>
    </row>
    <row r="1078" spans="4:6" x14ac:dyDescent="0.25">
      <c r="D1078" s="105">
        <f t="shared" si="57"/>
        <v>1570.799999999952</v>
      </c>
      <c r="E1078" s="373">
        <f t="shared" si="55"/>
        <v>1632.0611999999501</v>
      </c>
      <c r="F1078" s="373">
        <f t="shared" si="56"/>
        <v>1570.799999999952</v>
      </c>
    </row>
    <row r="1079" spans="4:6" x14ac:dyDescent="0.25">
      <c r="D1079" s="105">
        <f t="shared" si="57"/>
        <v>1570.8499999999519</v>
      </c>
      <c r="E1079" s="373">
        <f t="shared" si="55"/>
        <v>1632.1131499999501</v>
      </c>
      <c r="F1079" s="373">
        <f t="shared" si="56"/>
        <v>1570.8499999999519</v>
      </c>
    </row>
    <row r="1080" spans="4:6" x14ac:dyDescent="0.25">
      <c r="D1080" s="105">
        <f t="shared" si="57"/>
        <v>1570.8999999999519</v>
      </c>
      <c r="E1080" s="373">
        <f t="shared" si="55"/>
        <v>1632.1650999999499</v>
      </c>
      <c r="F1080" s="373">
        <f t="shared" si="56"/>
        <v>1570.8999999999519</v>
      </c>
    </row>
    <row r="1081" spans="4:6" x14ac:dyDescent="0.25">
      <c r="D1081" s="105">
        <f t="shared" si="57"/>
        <v>1570.9499999999518</v>
      </c>
      <c r="E1081" s="373">
        <f t="shared" si="55"/>
        <v>1632.2170499999499</v>
      </c>
      <c r="F1081" s="373">
        <f t="shared" si="56"/>
        <v>1570.9499999999518</v>
      </c>
    </row>
    <row r="1082" spans="4:6" x14ac:dyDescent="0.25">
      <c r="D1082" s="105">
        <f t="shared" si="57"/>
        <v>1570.9999999999518</v>
      </c>
      <c r="E1082" s="373">
        <f t="shared" si="55"/>
        <v>1632.26899999995</v>
      </c>
      <c r="F1082" s="373">
        <f t="shared" si="56"/>
        <v>1570.9999999999518</v>
      </c>
    </row>
    <row r="1083" spans="4:6" x14ac:dyDescent="0.25">
      <c r="D1083" s="105">
        <f t="shared" si="57"/>
        <v>1571.0499999999518</v>
      </c>
      <c r="E1083" s="373">
        <f t="shared" si="55"/>
        <v>1632.3209499999498</v>
      </c>
      <c r="F1083" s="373">
        <f t="shared" si="56"/>
        <v>1571.0499999999518</v>
      </c>
    </row>
    <row r="1084" spans="4:6" x14ac:dyDescent="0.25">
      <c r="D1084" s="105">
        <f t="shared" si="57"/>
        <v>1571.0999999999517</v>
      </c>
      <c r="E1084" s="373">
        <f t="shared" si="55"/>
        <v>1632.3728999999498</v>
      </c>
      <c r="F1084" s="373">
        <f t="shared" si="56"/>
        <v>1571.0999999999517</v>
      </c>
    </row>
    <row r="1085" spans="4:6" x14ac:dyDescent="0.25">
      <c r="D1085" s="105">
        <f t="shared" si="57"/>
        <v>1571.1499999999517</v>
      </c>
      <c r="E1085" s="373">
        <f t="shared" si="55"/>
        <v>1632.4248499999499</v>
      </c>
      <c r="F1085" s="373">
        <f t="shared" si="56"/>
        <v>1571.1499999999517</v>
      </c>
    </row>
    <row r="1086" spans="4:6" x14ac:dyDescent="0.25">
      <c r="D1086" s="105">
        <f t="shared" si="57"/>
        <v>1571.1999999999516</v>
      </c>
      <c r="E1086" s="373">
        <f t="shared" si="55"/>
        <v>1632.4767999999497</v>
      </c>
      <c r="F1086" s="373">
        <f t="shared" si="56"/>
        <v>1571.1999999999516</v>
      </c>
    </row>
    <row r="1087" spans="4:6" x14ac:dyDescent="0.25">
      <c r="D1087" s="105">
        <f t="shared" si="57"/>
        <v>1571.2499999999516</v>
      </c>
      <c r="E1087" s="373">
        <f t="shared" si="55"/>
        <v>1632.5287499999497</v>
      </c>
      <c r="F1087" s="373">
        <f t="shared" si="56"/>
        <v>1571.2499999999516</v>
      </c>
    </row>
    <row r="1088" spans="4:6" x14ac:dyDescent="0.25">
      <c r="D1088" s="105">
        <f t="shared" si="57"/>
        <v>1571.2999999999515</v>
      </c>
      <c r="E1088" s="373">
        <f t="shared" si="55"/>
        <v>1632.5806999999497</v>
      </c>
      <c r="F1088" s="373">
        <f t="shared" si="56"/>
        <v>1571.2999999999515</v>
      </c>
    </row>
    <row r="1089" spans="4:6" x14ac:dyDescent="0.25">
      <c r="D1089" s="105">
        <f t="shared" si="57"/>
        <v>1571.3499999999515</v>
      </c>
      <c r="E1089" s="373">
        <f t="shared" si="55"/>
        <v>1632.6326499999495</v>
      </c>
      <c r="F1089" s="373">
        <f t="shared" si="56"/>
        <v>1571.3499999999515</v>
      </c>
    </row>
    <row r="1090" spans="4:6" x14ac:dyDescent="0.25">
      <c r="D1090" s="105">
        <f t="shared" si="57"/>
        <v>1571.3999999999514</v>
      </c>
      <c r="E1090" s="373">
        <f t="shared" si="55"/>
        <v>1632.6845999999496</v>
      </c>
      <c r="F1090" s="373">
        <f t="shared" si="56"/>
        <v>1571.3999999999514</v>
      </c>
    </row>
    <row r="1091" spans="4:6" x14ac:dyDescent="0.25">
      <c r="D1091" s="105">
        <f t="shared" si="57"/>
        <v>1571.4499999999514</v>
      </c>
      <c r="E1091" s="373">
        <f t="shared" si="55"/>
        <v>1632.7365499999496</v>
      </c>
      <c r="F1091" s="373">
        <f t="shared" si="56"/>
        <v>1571.4499999999514</v>
      </c>
    </row>
    <row r="1092" spans="4:6" x14ac:dyDescent="0.25">
      <c r="D1092" s="105">
        <f t="shared" si="57"/>
        <v>1571.4999999999513</v>
      </c>
      <c r="E1092" s="373">
        <f t="shared" si="55"/>
        <v>1632.7884999999494</v>
      </c>
      <c r="F1092" s="373">
        <f t="shared" si="56"/>
        <v>1571.4999999999513</v>
      </c>
    </row>
    <row r="1093" spans="4:6" x14ac:dyDescent="0.25">
      <c r="D1093" s="105">
        <f t="shared" si="57"/>
        <v>1571.5499999999513</v>
      </c>
      <c r="E1093" s="373">
        <f t="shared" si="55"/>
        <v>1632.8404499999494</v>
      </c>
      <c r="F1093" s="373">
        <f t="shared" si="56"/>
        <v>1571.5499999999513</v>
      </c>
    </row>
    <row r="1094" spans="4:6" x14ac:dyDescent="0.25">
      <c r="D1094" s="105">
        <f t="shared" si="57"/>
        <v>1571.5999999999513</v>
      </c>
      <c r="E1094" s="373">
        <f t="shared" si="55"/>
        <v>1632.8923999999492</v>
      </c>
      <c r="F1094" s="373">
        <f t="shared" si="56"/>
        <v>1571.5999999999513</v>
      </c>
    </row>
    <row r="1095" spans="4:6" x14ac:dyDescent="0.25">
      <c r="D1095" s="105">
        <f t="shared" si="57"/>
        <v>1571.6499999999512</v>
      </c>
      <c r="E1095" s="373">
        <f t="shared" si="55"/>
        <v>1632.9443499999493</v>
      </c>
      <c r="F1095" s="373">
        <f t="shared" si="56"/>
        <v>1571.6499999999512</v>
      </c>
    </row>
    <row r="1096" spans="4:6" x14ac:dyDescent="0.25">
      <c r="D1096" s="105">
        <f t="shared" si="57"/>
        <v>1571.6999999999512</v>
      </c>
      <c r="E1096" s="373">
        <f t="shared" si="55"/>
        <v>1632.9962999999493</v>
      </c>
      <c r="F1096" s="373">
        <f t="shared" si="56"/>
        <v>1571.6999999999512</v>
      </c>
    </row>
    <row r="1097" spans="4:6" x14ac:dyDescent="0.25">
      <c r="D1097" s="105">
        <f t="shared" si="57"/>
        <v>1571.7499999999511</v>
      </c>
      <c r="E1097" s="373">
        <f t="shared" si="55"/>
        <v>1633.0482499999491</v>
      </c>
      <c r="F1097" s="373">
        <f t="shared" si="56"/>
        <v>1571.7499999999511</v>
      </c>
    </row>
    <row r="1098" spans="4:6" x14ac:dyDescent="0.25">
      <c r="D1098" s="105">
        <f t="shared" si="57"/>
        <v>1571.7999999999511</v>
      </c>
      <c r="E1098" s="373">
        <f t="shared" si="55"/>
        <v>1633.1001999999492</v>
      </c>
      <c r="F1098" s="373">
        <f t="shared" si="56"/>
        <v>1571.7999999999511</v>
      </c>
    </row>
    <row r="1099" spans="4:6" x14ac:dyDescent="0.25">
      <c r="D1099" s="105">
        <f t="shared" si="57"/>
        <v>1571.849999999951</v>
      </c>
      <c r="E1099" s="373">
        <f t="shared" si="55"/>
        <v>1633.1521499999492</v>
      </c>
      <c r="F1099" s="373">
        <f t="shared" si="56"/>
        <v>1571.849999999951</v>
      </c>
    </row>
    <row r="1100" spans="4:6" x14ac:dyDescent="0.25">
      <c r="D1100" s="105">
        <f t="shared" si="57"/>
        <v>1571.899999999951</v>
      </c>
      <c r="E1100" s="373">
        <f t="shared" si="55"/>
        <v>1633.204099999949</v>
      </c>
      <c r="F1100" s="373">
        <f t="shared" si="56"/>
        <v>1571.899999999951</v>
      </c>
    </row>
    <row r="1101" spans="4:6" x14ac:dyDescent="0.25">
      <c r="D1101" s="105">
        <f t="shared" si="57"/>
        <v>1571.9499999999509</v>
      </c>
      <c r="E1101" s="373">
        <f t="shared" si="55"/>
        <v>1633.256049999949</v>
      </c>
      <c r="F1101" s="373">
        <f t="shared" si="56"/>
        <v>1571.9499999999509</v>
      </c>
    </row>
    <row r="1102" spans="4:6" x14ac:dyDescent="0.25">
      <c r="D1102" s="105">
        <f t="shared" si="57"/>
        <v>1571.9999999999509</v>
      </c>
      <c r="E1102" s="373">
        <f t="shared" si="55"/>
        <v>1633.3079999999491</v>
      </c>
      <c r="F1102" s="373">
        <f t="shared" si="56"/>
        <v>1571.9999999999509</v>
      </c>
    </row>
    <row r="1103" spans="4:6" x14ac:dyDescent="0.25">
      <c r="D1103" s="105">
        <f t="shared" si="57"/>
        <v>1572.0499999999508</v>
      </c>
      <c r="E1103" s="373">
        <f t="shared" si="55"/>
        <v>1633.3599499999489</v>
      </c>
      <c r="F1103" s="373">
        <f t="shared" si="56"/>
        <v>1572.0499999999508</v>
      </c>
    </row>
    <row r="1104" spans="4:6" x14ac:dyDescent="0.25">
      <c r="D1104" s="105">
        <f t="shared" si="57"/>
        <v>1572.0999999999508</v>
      </c>
      <c r="E1104" s="373">
        <f t="shared" si="55"/>
        <v>1633.4118999999489</v>
      </c>
      <c r="F1104" s="373">
        <f t="shared" si="56"/>
        <v>1572.0999999999508</v>
      </c>
    </row>
    <row r="1105" spans="4:6" x14ac:dyDescent="0.25">
      <c r="D1105" s="105">
        <f t="shared" si="57"/>
        <v>1572.1499999999508</v>
      </c>
      <c r="E1105" s="373">
        <f t="shared" si="55"/>
        <v>1633.4638499999489</v>
      </c>
      <c r="F1105" s="373">
        <f t="shared" si="56"/>
        <v>1572.1499999999508</v>
      </c>
    </row>
    <row r="1106" spans="4:6" x14ac:dyDescent="0.25">
      <c r="D1106" s="105">
        <f t="shared" si="57"/>
        <v>1572.1999999999507</v>
      </c>
      <c r="E1106" s="373">
        <f t="shared" si="55"/>
        <v>1633.5157999999487</v>
      </c>
      <c r="F1106" s="373">
        <f t="shared" si="56"/>
        <v>1572.1999999999507</v>
      </c>
    </row>
    <row r="1107" spans="4:6" x14ac:dyDescent="0.25">
      <c r="D1107" s="105">
        <f t="shared" si="57"/>
        <v>1572.2499999999507</v>
      </c>
      <c r="E1107" s="373">
        <f t="shared" si="55"/>
        <v>1633.5677499999488</v>
      </c>
      <c r="F1107" s="373">
        <f t="shared" si="56"/>
        <v>1572.2499999999507</v>
      </c>
    </row>
    <row r="1108" spans="4:6" x14ac:dyDescent="0.25">
      <c r="D1108" s="105">
        <f t="shared" si="57"/>
        <v>1572.2999999999506</v>
      </c>
      <c r="E1108" s="373">
        <f t="shared" si="55"/>
        <v>1633.6196999999486</v>
      </c>
      <c r="F1108" s="373">
        <f t="shared" si="56"/>
        <v>1572.2999999999506</v>
      </c>
    </row>
    <row r="1109" spans="4:6" x14ac:dyDescent="0.25">
      <c r="D1109" s="105">
        <f t="shared" si="57"/>
        <v>1572.3499999999506</v>
      </c>
      <c r="E1109" s="373">
        <f t="shared" si="55"/>
        <v>1633.6716499999486</v>
      </c>
      <c r="F1109" s="373">
        <f t="shared" si="56"/>
        <v>1572.3499999999506</v>
      </c>
    </row>
    <row r="1110" spans="4:6" x14ac:dyDescent="0.25">
      <c r="D1110" s="105">
        <f t="shared" si="57"/>
        <v>1572.3999999999505</v>
      </c>
      <c r="E1110" s="373">
        <f t="shared" si="55"/>
        <v>1633.7235999999486</v>
      </c>
      <c r="F1110" s="373">
        <f t="shared" si="56"/>
        <v>1572.3999999999505</v>
      </c>
    </row>
    <row r="1111" spans="4:6" x14ac:dyDescent="0.25">
      <c r="D1111" s="105">
        <f t="shared" si="57"/>
        <v>1572.4499999999505</v>
      </c>
      <c r="E1111" s="373">
        <f t="shared" ref="E1111:E1174" si="58">D1111*$C$2 + D1111</f>
        <v>1633.7755499999485</v>
      </c>
      <c r="F1111" s="373">
        <f t="shared" ref="F1111:F1174" si="59">D1111</f>
        <v>1572.4499999999505</v>
      </c>
    </row>
    <row r="1112" spans="4:6" x14ac:dyDescent="0.25">
      <c r="D1112" s="105">
        <f t="shared" ref="D1112:D1175" si="60">D1111+0.05</f>
        <v>1572.4999999999504</v>
      </c>
      <c r="E1112" s="373">
        <f t="shared" si="58"/>
        <v>1633.8274999999485</v>
      </c>
      <c r="F1112" s="373">
        <f t="shared" si="59"/>
        <v>1572.4999999999504</v>
      </c>
    </row>
    <row r="1113" spans="4:6" x14ac:dyDescent="0.25">
      <c r="D1113" s="105">
        <f t="shared" si="60"/>
        <v>1572.5499999999504</v>
      </c>
      <c r="E1113" s="373">
        <f t="shared" si="58"/>
        <v>1633.8794499999485</v>
      </c>
      <c r="F1113" s="373">
        <f t="shared" si="59"/>
        <v>1572.5499999999504</v>
      </c>
    </row>
    <row r="1114" spans="4:6" x14ac:dyDescent="0.25">
      <c r="D1114" s="105">
        <f t="shared" si="60"/>
        <v>1572.5999999999503</v>
      </c>
      <c r="E1114" s="373">
        <f t="shared" si="58"/>
        <v>1633.9313999999483</v>
      </c>
      <c r="F1114" s="373">
        <f t="shared" si="59"/>
        <v>1572.5999999999503</v>
      </c>
    </row>
    <row r="1115" spans="4:6" x14ac:dyDescent="0.25">
      <c r="D1115" s="105">
        <f t="shared" si="60"/>
        <v>1572.6499999999503</v>
      </c>
      <c r="E1115" s="373">
        <f t="shared" si="58"/>
        <v>1633.9833499999484</v>
      </c>
      <c r="F1115" s="373">
        <f t="shared" si="59"/>
        <v>1572.6499999999503</v>
      </c>
    </row>
    <row r="1116" spans="4:6" x14ac:dyDescent="0.25">
      <c r="D1116" s="105">
        <f t="shared" si="60"/>
        <v>1572.6999999999503</v>
      </c>
      <c r="E1116" s="373">
        <f t="shared" si="58"/>
        <v>1634.0352999999484</v>
      </c>
      <c r="F1116" s="373">
        <f t="shared" si="59"/>
        <v>1572.6999999999503</v>
      </c>
    </row>
    <row r="1117" spans="4:6" x14ac:dyDescent="0.25">
      <c r="D1117" s="105">
        <f t="shared" si="60"/>
        <v>1572.7499999999502</v>
      </c>
      <c r="E1117" s="373">
        <f t="shared" si="58"/>
        <v>1634.0872499999482</v>
      </c>
      <c r="F1117" s="373">
        <f t="shared" si="59"/>
        <v>1572.7499999999502</v>
      </c>
    </row>
    <row r="1118" spans="4:6" x14ac:dyDescent="0.25">
      <c r="D1118" s="105">
        <f t="shared" si="60"/>
        <v>1572.7999999999502</v>
      </c>
      <c r="E1118" s="373">
        <f t="shared" si="58"/>
        <v>1634.1391999999482</v>
      </c>
      <c r="F1118" s="373">
        <f t="shared" si="59"/>
        <v>1572.7999999999502</v>
      </c>
    </row>
    <row r="1119" spans="4:6" x14ac:dyDescent="0.25">
      <c r="D1119" s="105">
        <f t="shared" si="60"/>
        <v>1572.8499999999501</v>
      </c>
      <c r="E1119" s="373">
        <f t="shared" si="58"/>
        <v>1634.1911499999483</v>
      </c>
      <c r="F1119" s="373">
        <f t="shared" si="59"/>
        <v>1572.8499999999501</v>
      </c>
    </row>
    <row r="1120" spans="4:6" x14ac:dyDescent="0.25">
      <c r="D1120" s="105">
        <f t="shared" si="60"/>
        <v>1572.8999999999501</v>
      </c>
      <c r="E1120" s="373">
        <f t="shared" si="58"/>
        <v>1634.2430999999481</v>
      </c>
      <c r="F1120" s="373">
        <f t="shared" si="59"/>
        <v>1572.8999999999501</v>
      </c>
    </row>
    <row r="1121" spans="4:6" x14ac:dyDescent="0.25">
      <c r="D1121" s="105">
        <f t="shared" si="60"/>
        <v>1572.94999999995</v>
      </c>
      <c r="E1121" s="373">
        <f t="shared" si="58"/>
        <v>1634.2950499999481</v>
      </c>
      <c r="F1121" s="373">
        <f t="shared" si="59"/>
        <v>1572.94999999995</v>
      </c>
    </row>
    <row r="1122" spans="4:6" x14ac:dyDescent="0.25">
      <c r="D1122" s="105">
        <f t="shared" si="60"/>
        <v>1572.99999999995</v>
      </c>
      <c r="E1122" s="373">
        <f t="shared" si="58"/>
        <v>1634.3469999999479</v>
      </c>
      <c r="F1122" s="373">
        <f t="shared" si="59"/>
        <v>1572.99999999995</v>
      </c>
    </row>
    <row r="1123" spans="4:6" x14ac:dyDescent="0.25">
      <c r="D1123" s="105">
        <f t="shared" si="60"/>
        <v>1573.0499999999499</v>
      </c>
      <c r="E1123" s="373">
        <f t="shared" si="58"/>
        <v>1634.3989499999479</v>
      </c>
      <c r="F1123" s="373">
        <f t="shared" si="59"/>
        <v>1573.0499999999499</v>
      </c>
    </row>
    <row r="1124" spans="4:6" x14ac:dyDescent="0.25">
      <c r="D1124" s="105">
        <f t="shared" si="60"/>
        <v>1573.0999999999499</v>
      </c>
      <c r="E1124" s="373">
        <f t="shared" si="58"/>
        <v>1634.450899999948</v>
      </c>
      <c r="F1124" s="373">
        <f t="shared" si="59"/>
        <v>1573.0999999999499</v>
      </c>
    </row>
    <row r="1125" spans="4:6" x14ac:dyDescent="0.25">
      <c r="D1125" s="105">
        <f t="shared" si="60"/>
        <v>1573.1499999999498</v>
      </c>
      <c r="E1125" s="373">
        <f t="shared" si="58"/>
        <v>1634.5028499999478</v>
      </c>
      <c r="F1125" s="373">
        <f t="shared" si="59"/>
        <v>1573.1499999999498</v>
      </c>
    </row>
    <row r="1126" spans="4:6" x14ac:dyDescent="0.25">
      <c r="D1126" s="105">
        <f t="shared" si="60"/>
        <v>1573.1999999999498</v>
      </c>
      <c r="E1126" s="373">
        <f t="shared" si="58"/>
        <v>1634.5547999999478</v>
      </c>
      <c r="F1126" s="373">
        <f t="shared" si="59"/>
        <v>1573.1999999999498</v>
      </c>
    </row>
    <row r="1127" spans="4:6" x14ac:dyDescent="0.25">
      <c r="D1127" s="105">
        <f t="shared" si="60"/>
        <v>1573.2499999999498</v>
      </c>
      <c r="E1127" s="373">
        <f t="shared" si="58"/>
        <v>1634.6067499999479</v>
      </c>
      <c r="F1127" s="373">
        <f t="shared" si="59"/>
        <v>1573.2499999999498</v>
      </c>
    </row>
    <row r="1128" spans="4:6" x14ac:dyDescent="0.25">
      <c r="D1128" s="105">
        <f t="shared" si="60"/>
        <v>1573.2999999999497</v>
      </c>
      <c r="E1128" s="373">
        <f t="shared" si="58"/>
        <v>1634.6586999999477</v>
      </c>
      <c r="F1128" s="373">
        <f t="shared" si="59"/>
        <v>1573.2999999999497</v>
      </c>
    </row>
    <row r="1129" spans="4:6" x14ac:dyDescent="0.25">
      <c r="D1129" s="105">
        <f t="shared" si="60"/>
        <v>1573.3499999999497</v>
      </c>
      <c r="E1129" s="373">
        <f t="shared" si="58"/>
        <v>1634.7106499999477</v>
      </c>
      <c r="F1129" s="373">
        <f t="shared" si="59"/>
        <v>1573.3499999999497</v>
      </c>
    </row>
    <row r="1130" spans="4:6" x14ac:dyDescent="0.25">
      <c r="D1130" s="105">
        <f t="shared" si="60"/>
        <v>1573.3999999999496</v>
      </c>
      <c r="E1130" s="373">
        <f t="shared" si="58"/>
        <v>1634.7625999999477</v>
      </c>
      <c r="F1130" s="373">
        <f t="shared" si="59"/>
        <v>1573.3999999999496</v>
      </c>
    </row>
    <row r="1131" spans="4:6" x14ac:dyDescent="0.25">
      <c r="D1131" s="105">
        <f t="shared" si="60"/>
        <v>1573.4499999999496</v>
      </c>
      <c r="E1131" s="373">
        <f t="shared" si="58"/>
        <v>1634.8145499999475</v>
      </c>
      <c r="F1131" s="373">
        <f t="shared" si="59"/>
        <v>1573.4499999999496</v>
      </c>
    </row>
    <row r="1132" spans="4:6" x14ac:dyDescent="0.25">
      <c r="D1132" s="105">
        <f t="shared" si="60"/>
        <v>1573.4999999999495</v>
      </c>
      <c r="E1132" s="373">
        <f t="shared" si="58"/>
        <v>1634.8664999999476</v>
      </c>
      <c r="F1132" s="373">
        <f t="shared" si="59"/>
        <v>1573.4999999999495</v>
      </c>
    </row>
    <row r="1133" spans="4:6" x14ac:dyDescent="0.25">
      <c r="D1133" s="105">
        <f t="shared" si="60"/>
        <v>1573.5499999999495</v>
      </c>
      <c r="E1133" s="373">
        <f t="shared" si="58"/>
        <v>1634.9184499999476</v>
      </c>
      <c r="F1133" s="373">
        <f t="shared" si="59"/>
        <v>1573.5499999999495</v>
      </c>
    </row>
    <row r="1134" spans="4:6" x14ac:dyDescent="0.25">
      <c r="D1134" s="105">
        <f t="shared" si="60"/>
        <v>1573.5999999999494</v>
      </c>
      <c r="E1134" s="373">
        <f t="shared" si="58"/>
        <v>1634.9703999999474</v>
      </c>
      <c r="F1134" s="373">
        <f t="shared" si="59"/>
        <v>1573.5999999999494</v>
      </c>
    </row>
    <row r="1135" spans="4:6" x14ac:dyDescent="0.25">
      <c r="D1135" s="105">
        <f t="shared" si="60"/>
        <v>1573.6499999999494</v>
      </c>
      <c r="E1135" s="373">
        <f t="shared" si="58"/>
        <v>1635.0223499999474</v>
      </c>
      <c r="F1135" s="373">
        <f t="shared" si="59"/>
        <v>1573.6499999999494</v>
      </c>
    </row>
    <row r="1136" spans="4:6" x14ac:dyDescent="0.25">
      <c r="D1136" s="105">
        <f t="shared" si="60"/>
        <v>1573.6999999999493</v>
      </c>
      <c r="E1136" s="373">
        <f t="shared" si="58"/>
        <v>1635.0742999999475</v>
      </c>
      <c r="F1136" s="373">
        <f t="shared" si="59"/>
        <v>1573.6999999999493</v>
      </c>
    </row>
    <row r="1137" spans="4:6" x14ac:dyDescent="0.25">
      <c r="D1137" s="105">
        <f t="shared" si="60"/>
        <v>1573.7499999999493</v>
      </c>
      <c r="E1137" s="373">
        <f t="shared" si="58"/>
        <v>1635.1262499999473</v>
      </c>
      <c r="F1137" s="373">
        <f t="shared" si="59"/>
        <v>1573.7499999999493</v>
      </c>
    </row>
    <row r="1138" spans="4:6" x14ac:dyDescent="0.25">
      <c r="D1138" s="105">
        <f t="shared" si="60"/>
        <v>1573.7999999999493</v>
      </c>
      <c r="E1138" s="373">
        <f t="shared" si="58"/>
        <v>1635.1781999999473</v>
      </c>
      <c r="F1138" s="373">
        <f t="shared" si="59"/>
        <v>1573.7999999999493</v>
      </c>
    </row>
    <row r="1139" spans="4:6" x14ac:dyDescent="0.25">
      <c r="D1139" s="105">
        <f t="shared" si="60"/>
        <v>1573.8499999999492</v>
      </c>
      <c r="E1139" s="373">
        <f t="shared" si="58"/>
        <v>1635.2301499999471</v>
      </c>
      <c r="F1139" s="373">
        <f t="shared" si="59"/>
        <v>1573.8499999999492</v>
      </c>
    </row>
    <row r="1140" spans="4:6" x14ac:dyDescent="0.25">
      <c r="D1140" s="105">
        <f t="shared" si="60"/>
        <v>1573.8999999999492</v>
      </c>
      <c r="E1140" s="373">
        <f t="shared" si="58"/>
        <v>1635.2820999999471</v>
      </c>
      <c r="F1140" s="373">
        <f t="shared" si="59"/>
        <v>1573.8999999999492</v>
      </c>
    </row>
    <row r="1141" spans="4:6" x14ac:dyDescent="0.25">
      <c r="D1141" s="105">
        <f t="shared" si="60"/>
        <v>1573.9499999999491</v>
      </c>
      <c r="E1141" s="373">
        <f t="shared" si="58"/>
        <v>1635.3340499999472</v>
      </c>
      <c r="F1141" s="373">
        <f t="shared" si="59"/>
        <v>1573.9499999999491</v>
      </c>
    </row>
    <row r="1142" spans="4:6" x14ac:dyDescent="0.25">
      <c r="D1142" s="105">
        <f t="shared" si="60"/>
        <v>1573.9999999999491</v>
      </c>
      <c r="E1142" s="373">
        <f t="shared" si="58"/>
        <v>1635.385999999947</v>
      </c>
      <c r="F1142" s="373">
        <f t="shared" si="59"/>
        <v>1573.9999999999491</v>
      </c>
    </row>
    <row r="1143" spans="4:6" x14ac:dyDescent="0.25">
      <c r="D1143" s="105">
        <f t="shared" si="60"/>
        <v>1574.049999999949</v>
      </c>
      <c r="E1143" s="373">
        <f t="shared" si="58"/>
        <v>1635.437949999947</v>
      </c>
      <c r="F1143" s="373">
        <f t="shared" si="59"/>
        <v>1574.049999999949</v>
      </c>
    </row>
    <row r="1144" spans="4:6" x14ac:dyDescent="0.25">
      <c r="D1144" s="105">
        <f t="shared" si="60"/>
        <v>1574.099999999949</v>
      </c>
      <c r="E1144" s="373">
        <f t="shared" si="58"/>
        <v>1635.4898999999471</v>
      </c>
      <c r="F1144" s="373">
        <f t="shared" si="59"/>
        <v>1574.099999999949</v>
      </c>
    </row>
    <row r="1145" spans="4:6" x14ac:dyDescent="0.25">
      <c r="D1145" s="105">
        <f t="shared" si="60"/>
        <v>1574.1499999999489</v>
      </c>
      <c r="E1145" s="373">
        <f t="shared" si="58"/>
        <v>1635.5418499999469</v>
      </c>
      <c r="F1145" s="373">
        <f t="shared" si="59"/>
        <v>1574.1499999999489</v>
      </c>
    </row>
    <row r="1146" spans="4:6" x14ac:dyDescent="0.25">
      <c r="D1146" s="105">
        <f t="shared" si="60"/>
        <v>1574.1999999999489</v>
      </c>
      <c r="E1146" s="373">
        <f t="shared" si="58"/>
        <v>1635.5937999999469</v>
      </c>
      <c r="F1146" s="373">
        <f t="shared" si="59"/>
        <v>1574.1999999999489</v>
      </c>
    </row>
    <row r="1147" spans="4:6" x14ac:dyDescent="0.25">
      <c r="D1147" s="105">
        <f t="shared" si="60"/>
        <v>1574.2499999999488</v>
      </c>
      <c r="E1147" s="373">
        <f t="shared" si="58"/>
        <v>1635.6457499999469</v>
      </c>
      <c r="F1147" s="373">
        <f t="shared" si="59"/>
        <v>1574.2499999999488</v>
      </c>
    </row>
    <row r="1148" spans="4:6" x14ac:dyDescent="0.25">
      <c r="D1148" s="105">
        <f t="shared" si="60"/>
        <v>1574.2999999999488</v>
      </c>
      <c r="E1148" s="373">
        <f t="shared" si="58"/>
        <v>1635.6976999999467</v>
      </c>
      <c r="F1148" s="373">
        <f t="shared" si="59"/>
        <v>1574.2999999999488</v>
      </c>
    </row>
    <row r="1149" spans="4:6" x14ac:dyDescent="0.25">
      <c r="D1149" s="105">
        <f t="shared" si="60"/>
        <v>1574.3499999999487</v>
      </c>
      <c r="E1149" s="373">
        <f t="shared" si="58"/>
        <v>1635.7496499999468</v>
      </c>
      <c r="F1149" s="373">
        <f t="shared" si="59"/>
        <v>1574.3499999999487</v>
      </c>
    </row>
    <row r="1150" spans="4:6" x14ac:dyDescent="0.25">
      <c r="D1150" s="105">
        <f t="shared" si="60"/>
        <v>1574.3999999999487</v>
      </c>
      <c r="E1150" s="373">
        <f t="shared" si="58"/>
        <v>1635.8015999999468</v>
      </c>
      <c r="F1150" s="373">
        <f t="shared" si="59"/>
        <v>1574.3999999999487</v>
      </c>
    </row>
    <row r="1151" spans="4:6" x14ac:dyDescent="0.25">
      <c r="D1151" s="105">
        <f t="shared" si="60"/>
        <v>1574.4499999999487</v>
      </c>
      <c r="E1151" s="373">
        <f t="shared" si="58"/>
        <v>1635.8535499999466</v>
      </c>
      <c r="F1151" s="373">
        <f t="shared" si="59"/>
        <v>1574.4499999999487</v>
      </c>
    </row>
    <row r="1152" spans="4:6" x14ac:dyDescent="0.25">
      <c r="D1152" s="105">
        <f t="shared" si="60"/>
        <v>1574.4999999999486</v>
      </c>
      <c r="E1152" s="373">
        <f t="shared" si="58"/>
        <v>1635.9054999999466</v>
      </c>
      <c r="F1152" s="373">
        <f t="shared" si="59"/>
        <v>1574.4999999999486</v>
      </c>
    </row>
    <row r="1153" spans="4:6" x14ac:dyDescent="0.25">
      <c r="D1153" s="105">
        <f t="shared" si="60"/>
        <v>1574.5499999999486</v>
      </c>
      <c r="E1153" s="373">
        <f t="shared" si="58"/>
        <v>1635.9574499999467</v>
      </c>
      <c r="F1153" s="373">
        <f t="shared" si="59"/>
        <v>1574.5499999999486</v>
      </c>
    </row>
    <row r="1154" spans="4:6" x14ac:dyDescent="0.25">
      <c r="D1154" s="105">
        <f t="shared" si="60"/>
        <v>1574.5999999999485</v>
      </c>
      <c r="E1154" s="373">
        <f t="shared" si="58"/>
        <v>1636.0093999999465</v>
      </c>
      <c r="F1154" s="373">
        <f t="shared" si="59"/>
        <v>1574.5999999999485</v>
      </c>
    </row>
    <row r="1155" spans="4:6" x14ac:dyDescent="0.25">
      <c r="D1155" s="105">
        <f t="shared" si="60"/>
        <v>1574.6499999999485</v>
      </c>
      <c r="E1155" s="373">
        <f t="shared" si="58"/>
        <v>1636.0613499999465</v>
      </c>
      <c r="F1155" s="373">
        <f t="shared" si="59"/>
        <v>1574.6499999999485</v>
      </c>
    </row>
    <row r="1156" spans="4:6" x14ac:dyDescent="0.25">
      <c r="D1156" s="105">
        <f t="shared" si="60"/>
        <v>1574.6999999999484</v>
      </c>
      <c r="E1156" s="373">
        <f t="shared" si="58"/>
        <v>1636.1132999999463</v>
      </c>
      <c r="F1156" s="373">
        <f t="shared" si="59"/>
        <v>1574.6999999999484</v>
      </c>
    </row>
    <row r="1157" spans="4:6" x14ac:dyDescent="0.25">
      <c r="D1157" s="105">
        <f t="shared" si="60"/>
        <v>1574.7499999999484</v>
      </c>
      <c r="E1157" s="373">
        <f t="shared" si="58"/>
        <v>1636.1652499999464</v>
      </c>
      <c r="F1157" s="373">
        <f t="shared" si="59"/>
        <v>1574.7499999999484</v>
      </c>
    </row>
    <row r="1158" spans="4:6" x14ac:dyDescent="0.25">
      <c r="D1158" s="105">
        <f t="shared" si="60"/>
        <v>1574.7999999999483</v>
      </c>
      <c r="E1158" s="373">
        <f t="shared" si="58"/>
        <v>1636.2171999999464</v>
      </c>
      <c r="F1158" s="373">
        <f t="shared" si="59"/>
        <v>1574.7999999999483</v>
      </c>
    </row>
    <row r="1159" spans="4:6" x14ac:dyDescent="0.25">
      <c r="D1159" s="105">
        <f t="shared" si="60"/>
        <v>1574.8499999999483</v>
      </c>
      <c r="E1159" s="373">
        <f t="shared" si="58"/>
        <v>1636.2691499999462</v>
      </c>
      <c r="F1159" s="373">
        <f t="shared" si="59"/>
        <v>1574.8499999999483</v>
      </c>
    </row>
    <row r="1160" spans="4:6" x14ac:dyDescent="0.25">
      <c r="D1160" s="105">
        <f t="shared" si="60"/>
        <v>1574.8999999999482</v>
      </c>
      <c r="E1160" s="373">
        <f t="shared" si="58"/>
        <v>1636.3210999999462</v>
      </c>
      <c r="F1160" s="373">
        <f t="shared" si="59"/>
        <v>1574.8999999999482</v>
      </c>
    </row>
    <row r="1161" spans="4:6" x14ac:dyDescent="0.25">
      <c r="D1161" s="105">
        <f t="shared" si="60"/>
        <v>1574.9499999999482</v>
      </c>
      <c r="E1161" s="373">
        <f t="shared" si="58"/>
        <v>1636.3730499999463</v>
      </c>
      <c r="F1161" s="373">
        <f t="shared" si="59"/>
        <v>1574.9499999999482</v>
      </c>
    </row>
    <row r="1162" spans="4:6" x14ac:dyDescent="0.25">
      <c r="D1162" s="105">
        <f t="shared" si="60"/>
        <v>1574.9999999999482</v>
      </c>
      <c r="E1162" s="373">
        <f t="shared" si="58"/>
        <v>1636.4249999999461</v>
      </c>
      <c r="F1162" s="373">
        <f t="shared" si="59"/>
        <v>1574.9999999999482</v>
      </c>
    </row>
    <row r="1163" spans="4:6" x14ac:dyDescent="0.25">
      <c r="D1163" s="105">
        <f t="shared" si="60"/>
        <v>1575.0499999999481</v>
      </c>
      <c r="E1163" s="373">
        <f t="shared" si="58"/>
        <v>1636.4769499999461</v>
      </c>
      <c r="F1163" s="373">
        <f t="shared" si="59"/>
        <v>1575.0499999999481</v>
      </c>
    </row>
    <row r="1164" spans="4:6" x14ac:dyDescent="0.25">
      <c r="D1164" s="105">
        <f t="shared" si="60"/>
        <v>1575.0999999999481</v>
      </c>
      <c r="E1164" s="373">
        <f t="shared" si="58"/>
        <v>1636.5288999999461</v>
      </c>
      <c r="F1164" s="373">
        <f t="shared" si="59"/>
        <v>1575.0999999999481</v>
      </c>
    </row>
    <row r="1165" spans="4:6" x14ac:dyDescent="0.25">
      <c r="D1165" s="105">
        <f t="shared" si="60"/>
        <v>1575.149999999948</v>
      </c>
      <c r="E1165" s="373">
        <f t="shared" si="58"/>
        <v>1636.5808499999459</v>
      </c>
      <c r="F1165" s="373">
        <f t="shared" si="59"/>
        <v>1575.149999999948</v>
      </c>
    </row>
    <row r="1166" spans="4:6" x14ac:dyDescent="0.25">
      <c r="D1166" s="105">
        <f t="shared" si="60"/>
        <v>1575.199999999948</v>
      </c>
      <c r="E1166" s="373">
        <f t="shared" si="58"/>
        <v>1636.632799999946</v>
      </c>
      <c r="F1166" s="373">
        <f t="shared" si="59"/>
        <v>1575.199999999948</v>
      </c>
    </row>
    <row r="1167" spans="4:6" x14ac:dyDescent="0.25">
      <c r="D1167" s="105">
        <f t="shared" si="60"/>
        <v>1575.2499999999479</v>
      </c>
      <c r="E1167" s="373">
        <f t="shared" si="58"/>
        <v>1636.684749999946</v>
      </c>
      <c r="F1167" s="373">
        <f t="shared" si="59"/>
        <v>1575.2499999999479</v>
      </c>
    </row>
    <row r="1168" spans="4:6" x14ac:dyDescent="0.25">
      <c r="D1168" s="105">
        <f t="shared" si="60"/>
        <v>1575.2999999999479</v>
      </c>
      <c r="E1168" s="373">
        <f t="shared" si="58"/>
        <v>1636.7366999999458</v>
      </c>
      <c r="F1168" s="373">
        <f t="shared" si="59"/>
        <v>1575.2999999999479</v>
      </c>
    </row>
    <row r="1169" spans="4:6" x14ac:dyDescent="0.25">
      <c r="D1169" s="105">
        <f t="shared" si="60"/>
        <v>1575.3499999999478</v>
      </c>
      <c r="E1169" s="373">
        <f t="shared" si="58"/>
        <v>1636.7886499999458</v>
      </c>
      <c r="F1169" s="373">
        <f t="shared" si="59"/>
        <v>1575.3499999999478</v>
      </c>
    </row>
    <row r="1170" spans="4:6" x14ac:dyDescent="0.25">
      <c r="D1170" s="105">
        <f t="shared" si="60"/>
        <v>1575.3999999999478</v>
      </c>
      <c r="E1170" s="373">
        <f t="shared" si="58"/>
        <v>1636.8405999999457</v>
      </c>
      <c r="F1170" s="373">
        <f t="shared" si="59"/>
        <v>1575.3999999999478</v>
      </c>
    </row>
    <row r="1171" spans="4:6" x14ac:dyDescent="0.25">
      <c r="D1171" s="105">
        <f t="shared" si="60"/>
        <v>1575.4499999999477</v>
      </c>
      <c r="E1171" s="373">
        <f t="shared" si="58"/>
        <v>1636.8925499999457</v>
      </c>
      <c r="F1171" s="373">
        <f t="shared" si="59"/>
        <v>1575.4499999999477</v>
      </c>
    </row>
    <row r="1172" spans="4:6" x14ac:dyDescent="0.25">
      <c r="D1172" s="105">
        <f t="shared" si="60"/>
        <v>1575.4999999999477</v>
      </c>
      <c r="E1172" s="373">
        <f t="shared" si="58"/>
        <v>1636.9444999999457</v>
      </c>
      <c r="F1172" s="373">
        <f t="shared" si="59"/>
        <v>1575.4999999999477</v>
      </c>
    </row>
    <row r="1173" spans="4:6" x14ac:dyDescent="0.25">
      <c r="D1173" s="105">
        <f t="shared" si="60"/>
        <v>1575.5499999999477</v>
      </c>
      <c r="E1173" s="373">
        <f t="shared" si="58"/>
        <v>1636.9964499999455</v>
      </c>
      <c r="F1173" s="373">
        <f t="shared" si="59"/>
        <v>1575.5499999999477</v>
      </c>
    </row>
    <row r="1174" spans="4:6" x14ac:dyDescent="0.25">
      <c r="D1174" s="105">
        <f t="shared" si="60"/>
        <v>1575.5999999999476</v>
      </c>
      <c r="E1174" s="373">
        <f t="shared" si="58"/>
        <v>1637.0483999999456</v>
      </c>
      <c r="F1174" s="373">
        <f t="shared" si="59"/>
        <v>1575.5999999999476</v>
      </c>
    </row>
    <row r="1175" spans="4:6" x14ac:dyDescent="0.25">
      <c r="D1175" s="105">
        <f t="shared" si="60"/>
        <v>1575.6499999999476</v>
      </c>
      <c r="E1175" s="373">
        <f t="shared" ref="E1175:E1238" si="61">D1175*$C$2 + D1175</f>
        <v>1637.1003499999456</v>
      </c>
      <c r="F1175" s="373">
        <f t="shared" ref="F1175:F1238" si="62">D1175</f>
        <v>1575.6499999999476</v>
      </c>
    </row>
    <row r="1176" spans="4:6" x14ac:dyDescent="0.25">
      <c r="D1176" s="105">
        <f t="shared" ref="D1176:D1239" si="63">D1175+0.05</f>
        <v>1575.6999999999475</v>
      </c>
      <c r="E1176" s="373">
        <f t="shared" si="61"/>
        <v>1637.1522999999454</v>
      </c>
      <c r="F1176" s="373">
        <f t="shared" si="62"/>
        <v>1575.6999999999475</v>
      </c>
    </row>
    <row r="1177" spans="4:6" x14ac:dyDescent="0.25">
      <c r="D1177" s="105">
        <f t="shared" si="63"/>
        <v>1575.7499999999475</v>
      </c>
      <c r="E1177" s="373">
        <f t="shared" si="61"/>
        <v>1637.2042499999454</v>
      </c>
      <c r="F1177" s="373">
        <f t="shared" si="62"/>
        <v>1575.7499999999475</v>
      </c>
    </row>
    <row r="1178" spans="4:6" x14ac:dyDescent="0.25">
      <c r="D1178" s="105">
        <f t="shared" si="63"/>
        <v>1575.7999999999474</v>
      </c>
      <c r="E1178" s="373">
        <f t="shared" si="61"/>
        <v>1637.2561999999455</v>
      </c>
      <c r="F1178" s="373">
        <f t="shared" si="62"/>
        <v>1575.7999999999474</v>
      </c>
    </row>
    <row r="1179" spans="4:6" x14ac:dyDescent="0.25">
      <c r="D1179" s="105">
        <f t="shared" si="63"/>
        <v>1575.8499999999474</v>
      </c>
      <c r="E1179" s="373">
        <f t="shared" si="61"/>
        <v>1637.3081499999453</v>
      </c>
      <c r="F1179" s="373">
        <f t="shared" si="62"/>
        <v>1575.8499999999474</v>
      </c>
    </row>
    <row r="1180" spans="4:6" x14ac:dyDescent="0.25">
      <c r="D1180" s="105">
        <f t="shared" si="63"/>
        <v>1575.8999999999473</v>
      </c>
      <c r="E1180" s="373">
        <f t="shared" si="61"/>
        <v>1637.3600999999453</v>
      </c>
      <c r="F1180" s="373">
        <f t="shared" si="62"/>
        <v>1575.8999999999473</v>
      </c>
    </row>
    <row r="1181" spans="4:6" x14ac:dyDescent="0.25">
      <c r="D1181" s="105">
        <f t="shared" si="63"/>
        <v>1575.9499999999473</v>
      </c>
      <c r="E1181" s="373">
        <f t="shared" si="61"/>
        <v>1637.4120499999453</v>
      </c>
      <c r="F1181" s="373">
        <f t="shared" si="62"/>
        <v>1575.9499999999473</v>
      </c>
    </row>
    <row r="1182" spans="4:6" x14ac:dyDescent="0.25">
      <c r="D1182" s="105">
        <f t="shared" si="63"/>
        <v>1575.9999999999472</v>
      </c>
      <c r="E1182" s="373">
        <f t="shared" si="61"/>
        <v>1637.4639999999451</v>
      </c>
      <c r="F1182" s="373">
        <f t="shared" si="62"/>
        <v>1575.9999999999472</v>
      </c>
    </row>
    <row r="1183" spans="4:6" x14ac:dyDescent="0.25">
      <c r="D1183" s="105">
        <f t="shared" si="63"/>
        <v>1576.0499999999472</v>
      </c>
      <c r="E1183" s="373">
        <f t="shared" si="61"/>
        <v>1637.5159499999452</v>
      </c>
      <c r="F1183" s="373">
        <f t="shared" si="62"/>
        <v>1576.0499999999472</v>
      </c>
    </row>
    <row r="1184" spans="4:6" x14ac:dyDescent="0.25">
      <c r="D1184" s="105">
        <f t="shared" si="63"/>
        <v>1576.0999999999472</v>
      </c>
      <c r="E1184" s="373">
        <f t="shared" si="61"/>
        <v>1637.567899999945</v>
      </c>
      <c r="F1184" s="373">
        <f t="shared" si="62"/>
        <v>1576.0999999999472</v>
      </c>
    </row>
    <row r="1185" spans="4:6" x14ac:dyDescent="0.25">
      <c r="D1185" s="105">
        <f t="shared" si="63"/>
        <v>1576.1499999999471</v>
      </c>
      <c r="E1185" s="373">
        <f t="shared" si="61"/>
        <v>1637.619849999945</v>
      </c>
      <c r="F1185" s="373">
        <f t="shared" si="62"/>
        <v>1576.1499999999471</v>
      </c>
    </row>
    <row r="1186" spans="4:6" x14ac:dyDescent="0.25">
      <c r="D1186" s="105">
        <f t="shared" si="63"/>
        <v>1576.1999999999471</v>
      </c>
      <c r="E1186" s="373">
        <f t="shared" si="61"/>
        <v>1637.6717999999451</v>
      </c>
      <c r="F1186" s="373">
        <f t="shared" si="62"/>
        <v>1576.1999999999471</v>
      </c>
    </row>
    <row r="1187" spans="4:6" x14ac:dyDescent="0.25">
      <c r="D1187" s="105">
        <f t="shared" si="63"/>
        <v>1576.249999999947</v>
      </c>
      <c r="E1187" s="373">
        <f t="shared" si="61"/>
        <v>1637.7237499999449</v>
      </c>
      <c r="F1187" s="373">
        <f t="shared" si="62"/>
        <v>1576.249999999947</v>
      </c>
    </row>
    <row r="1188" spans="4:6" x14ac:dyDescent="0.25">
      <c r="D1188" s="105">
        <f t="shared" si="63"/>
        <v>1576.299999999947</v>
      </c>
      <c r="E1188" s="373">
        <f t="shared" si="61"/>
        <v>1637.7756999999449</v>
      </c>
      <c r="F1188" s="373">
        <f t="shared" si="62"/>
        <v>1576.299999999947</v>
      </c>
    </row>
    <row r="1189" spans="4:6" x14ac:dyDescent="0.25">
      <c r="D1189" s="105">
        <f t="shared" si="63"/>
        <v>1576.3499999999469</v>
      </c>
      <c r="E1189" s="373">
        <f t="shared" si="61"/>
        <v>1637.8276499999449</v>
      </c>
      <c r="F1189" s="373">
        <f t="shared" si="62"/>
        <v>1576.3499999999469</v>
      </c>
    </row>
    <row r="1190" spans="4:6" x14ac:dyDescent="0.25">
      <c r="D1190" s="105">
        <f t="shared" si="63"/>
        <v>1576.3999999999469</v>
      </c>
      <c r="E1190" s="373">
        <f t="shared" si="61"/>
        <v>1637.8795999999447</v>
      </c>
      <c r="F1190" s="373">
        <f t="shared" si="62"/>
        <v>1576.3999999999469</v>
      </c>
    </row>
    <row r="1191" spans="4:6" x14ac:dyDescent="0.25">
      <c r="D1191" s="105">
        <f t="shared" si="63"/>
        <v>1576.4499999999468</v>
      </c>
      <c r="E1191" s="373">
        <f t="shared" si="61"/>
        <v>1637.9315499999448</v>
      </c>
      <c r="F1191" s="373">
        <f t="shared" si="62"/>
        <v>1576.4499999999468</v>
      </c>
    </row>
    <row r="1192" spans="4:6" x14ac:dyDescent="0.25">
      <c r="D1192" s="105">
        <f t="shared" si="63"/>
        <v>1576.4999999999468</v>
      </c>
      <c r="E1192" s="373">
        <f t="shared" si="61"/>
        <v>1637.9834999999448</v>
      </c>
      <c r="F1192" s="373">
        <f t="shared" si="62"/>
        <v>1576.4999999999468</v>
      </c>
    </row>
    <row r="1193" spans="4:6" x14ac:dyDescent="0.25">
      <c r="D1193" s="105">
        <f t="shared" si="63"/>
        <v>1576.5499999999467</v>
      </c>
      <c r="E1193" s="373">
        <f t="shared" si="61"/>
        <v>1638.0354499999446</v>
      </c>
      <c r="F1193" s="373">
        <f t="shared" si="62"/>
        <v>1576.5499999999467</v>
      </c>
    </row>
    <row r="1194" spans="4:6" x14ac:dyDescent="0.25">
      <c r="D1194" s="105">
        <f t="shared" si="63"/>
        <v>1576.5999999999467</v>
      </c>
      <c r="E1194" s="373">
        <f t="shared" si="61"/>
        <v>1638.0873999999446</v>
      </c>
      <c r="F1194" s="373">
        <f t="shared" si="62"/>
        <v>1576.5999999999467</v>
      </c>
    </row>
    <row r="1195" spans="4:6" x14ac:dyDescent="0.25">
      <c r="D1195" s="105">
        <f t="shared" si="63"/>
        <v>1576.6499999999467</v>
      </c>
      <c r="E1195" s="373">
        <f t="shared" si="61"/>
        <v>1638.1393499999447</v>
      </c>
      <c r="F1195" s="373">
        <f t="shared" si="62"/>
        <v>1576.6499999999467</v>
      </c>
    </row>
    <row r="1196" spans="4:6" x14ac:dyDescent="0.25">
      <c r="D1196" s="105">
        <f t="shared" si="63"/>
        <v>1576.6999999999466</v>
      </c>
      <c r="E1196" s="373">
        <f t="shared" si="61"/>
        <v>1638.1912999999445</v>
      </c>
      <c r="F1196" s="373">
        <f t="shared" si="62"/>
        <v>1576.6999999999466</v>
      </c>
    </row>
    <row r="1197" spans="4:6" x14ac:dyDescent="0.25">
      <c r="D1197" s="105">
        <f t="shared" si="63"/>
        <v>1576.7499999999466</v>
      </c>
      <c r="E1197" s="373">
        <f t="shared" si="61"/>
        <v>1638.2432499999445</v>
      </c>
      <c r="F1197" s="373">
        <f t="shared" si="62"/>
        <v>1576.7499999999466</v>
      </c>
    </row>
    <row r="1198" spans="4:6" x14ac:dyDescent="0.25">
      <c r="D1198" s="105">
        <f t="shared" si="63"/>
        <v>1576.7999999999465</v>
      </c>
      <c r="E1198" s="373">
        <f t="shared" si="61"/>
        <v>1638.2951999999445</v>
      </c>
      <c r="F1198" s="373">
        <f t="shared" si="62"/>
        <v>1576.7999999999465</v>
      </c>
    </row>
    <row r="1199" spans="4:6" x14ac:dyDescent="0.25">
      <c r="D1199" s="105">
        <f t="shared" si="63"/>
        <v>1576.8499999999465</v>
      </c>
      <c r="E1199" s="373">
        <f t="shared" si="61"/>
        <v>1638.3471499999443</v>
      </c>
      <c r="F1199" s="373">
        <f t="shared" si="62"/>
        <v>1576.8499999999465</v>
      </c>
    </row>
    <row r="1200" spans="4:6" x14ac:dyDescent="0.25">
      <c r="D1200" s="105">
        <f t="shared" si="63"/>
        <v>1576.8999999999464</v>
      </c>
      <c r="E1200" s="373">
        <f t="shared" si="61"/>
        <v>1638.3990999999444</v>
      </c>
      <c r="F1200" s="373">
        <f t="shared" si="62"/>
        <v>1576.8999999999464</v>
      </c>
    </row>
    <row r="1201" spans="4:6" x14ac:dyDescent="0.25">
      <c r="D1201" s="105">
        <f t="shared" si="63"/>
        <v>1576.9499999999464</v>
      </c>
      <c r="E1201" s="373">
        <f t="shared" si="61"/>
        <v>1638.4510499999442</v>
      </c>
      <c r="F1201" s="373">
        <f t="shared" si="62"/>
        <v>1576.9499999999464</v>
      </c>
    </row>
    <row r="1202" spans="4:6" x14ac:dyDescent="0.25">
      <c r="D1202" s="105">
        <f t="shared" si="63"/>
        <v>1576.9999999999463</v>
      </c>
      <c r="E1202" s="373">
        <f t="shared" si="61"/>
        <v>1638.5029999999442</v>
      </c>
      <c r="F1202" s="373">
        <f t="shared" si="62"/>
        <v>1576.9999999999463</v>
      </c>
    </row>
    <row r="1203" spans="4:6" x14ac:dyDescent="0.25">
      <c r="D1203" s="105">
        <f t="shared" si="63"/>
        <v>1577.0499999999463</v>
      </c>
      <c r="E1203" s="373">
        <f t="shared" si="61"/>
        <v>1638.5549499999443</v>
      </c>
      <c r="F1203" s="373">
        <f t="shared" si="62"/>
        <v>1577.0499999999463</v>
      </c>
    </row>
    <row r="1204" spans="4:6" x14ac:dyDescent="0.25">
      <c r="D1204" s="105">
        <f t="shared" si="63"/>
        <v>1577.0999999999462</v>
      </c>
      <c r="E1204" s="373">
        <f t="shared" si="61"/>
        <v>1638.6068999999441</v>
      </c>
      <c r="F1204" s="373">
        <f t="shared" si="62"/>
        <v>1577.0999999999462</v>
      </c>
    </row>
    <row r="1205" spans="4:6" x14ac:dyDescent="0.25">
      <c r="D1205" s="105">
        <f t="shared" si="63"/>
        <v>1577.1499999999462</v>
      </c>
      <c r="E1205" s="373">
        <f t="shared" si="61"/>
        <v>1638.6588499999441</v>
      </c>
      <c r="F1205" s="373">
        <f t="shared" si="62"/>
        <v>1577.1499999999462</v>
      </c>
    </row>
    <row r="1206" spans="4:6" x14ac:dyDescent="0.25">
      <c r="D1206" s="105">
        <f t="shared" si="63"/>
        <v>1577.1999999999462</v>
      </c>
      <c r="E1206" s="373">
        <f t="shared" si="61"/>
        <v>1638.7107999999441</v>
      </c>
      <c r="F1206" s="373">
        <f t="shared" si="62"/>
        <v>1577.1999999999462</v>
      </c>
    </row>
    <row r="1207" spans="4:6" x14ac:dyDescent="0.25">
      <c r="D1207" s="105">
        <f t="shared" si="63"/>
        <v>1577.2499999999461</v>
      </c>
      <c r="E1207" s="373">
        <f t="shared" si="61"/>
        <v>1638.7627499999439</v>
      </c>
      <c r="F1207" s="373">
        <f t="shared" si="62"/>
        <v>1577.2499999999461</v>
      </c>
    </row>
    <row r="1208" spans="4:6" x14ac:dyDescent="0.25">
      <c r="D1208" s="105">
        <f t="shared" si="63"/>
        <v>1577.2999999999461</v>
      </c>
      <c r="E1208" s="373">
        <f t="shared" si="61"/>
        <v>1638.814699999944</v>
      </c>
      <c r="F1208" s="373">
        <f t="shared" si="62"/>
        <v>1577.2999999999461</v>
      </c>
    </row>
    <row r="1209" spans="4:6" x14ac:dyDescent="0.25">
      <c r="D1209" s="105">
        <f t="shared" si="63"/>
        <v>1577.349999999946</v>
      </c>
      <c r="E1209" s="373">
        <f t="shared" si="61"/>
        <v>1638.866649999944</v>
      </c>
      <c r="F1209" s="373">
        <f t="shared" si="62"/>
        <v>1577.349999999946</v>
      </c>
    </row>
    <row r="1210" spans="4:6" x14ac:dyDescent="0.25">
      <c r="D1210" s="105">
        <f t="shared" si="63"/>
        <v>1577.399999999946</v>
      </c>
      <c r="E1210" s="373">
        <f t="shared" si="61"/>
        <v>1638.9185999999438</v>
      </c>
      <c r="F1210" s="373">
        <f t="shared" si="62"/>
        <v>1577.399999999946</v>
      </c>
    </row>
    <row r="1211" spans="4:6" x14ac:dyDescent="0.25">
      <c r="D1211" s="105">
        <f t="shared" si="63"/>
        <v>1577.4499999999459</v>
      </c>
      <c r="E1211" s="373">
        <f t="shared" si="61"/>
        <v>1638.9705499999438</v>
      </c>
      <c r="F1211" s="373">
        <f t="shared" si="62"/>
        <v>1577.4499999999459</v>
      </c>
    </row>
    <row r="1212" spans="4:6" x14ac:dyDescent="0.25">
      <c r="D1212" s="105">
        <f t="shared" si="63"/>
        <v>1577.4999999999459</v>
      </c>
      <c r="E1212" s="373">
        <f t="shared" si="61"/>
        <v>1639.0224999999439</v>
      </c>
      <c r="F1212" s="373">
        <f t="shared" si="62"/>
        <v>1577.4999999999459</v>
      </c>
    </row>
    <row r="1213" spans="4:6" x14ac:dyDescent="0.25">
      <c r="D1213" s="105">
        <f t="shared" si="63"/>
        <v>1577.5499999999458</v>
      </c>
      <c r="E1213" s="373">
        <f t="shared" si="61"/>
        <v>1639.0744499999437</v>
      </c>
      <c r="F1213" s="373">
        <f t="shared" si="62"/>
        <v>1577.5499999999458</v>
      </c>
    </row>
    <row r="1214" spans="4:6" x14ac:dyDescent="0.25">
      <c r="D1214" s="105">
        <f t="shared" si="63"/>
        <v>1577.5999999999458</v>
      </c>
      <c r="E1214" s="373">
        <f t="shared" si="61"/>
        <v>1639.1263999999437</v>
      </c>
      <c r="F1214" s="373">
        <f t="shared" si="62"/>
        <v>1577.5999999999458</v>
      </c>
    </row>
    <row r="1215" spans="4:6" x14ac:dyDescent="0.25">
      <c r="D1215" s="105">
        <f t="shared" si="63"/>
        <v>1577.6499999999457</v>
      </c>
      <c r="E1215" s="373">
        <f t="shared" si="61"/>
        <v>1639.1783499999437</v>
      </c>
      <c r="F1215" s="373">
        <f t="shared" si="62"/>
        <v>1577.6499999999457</v>
      </c>
    </row>
    <row r="1216" spans="4:6" x14ac:dyDescent="0.25">
      <c r="D1216" s="105">
        <f t="shared" si="63"/>
        <v>1577.6999999999457</v>
      </c>
      <c r="E1216" s="373">
        <f t="shared" si="61"/>
        <v>1639.2302999999436</v>
      </c>
      <c r="F1216" s="373">
        <f t="shared" si="62"/>
        <v>1577.6999999999457</v>
      </c>
    </row>
    <row r="1217" spans="4:6" x14ac:dyDescent="0.25">
      <c r="D1217" s="105">
        <f t="shared" si="63"/>
        <v>1577.7499999999457</v>
      </c>
      <c r="E1217" s="373">
        <f t="shared" si="61"/>
        <v>1639.2822499999436</v>
      </c>
      <c r="F1217" s="373">
        <f t="shared" si="62"/>
        <v>1577.7499999999457</v>
      </c>
    </row>
    <row r="1218" spans="4:6" x14ac:dyDescent="0.25">
      <c r="D1218" s="105">
        <f t="shared" si="63"/>
        <v>1577.7999999999456</v>
      </c>
      <c r="E1218" s="373">
        <f t="shared" si="61"/>
        <v>1639.3341999999434</v>
      </c>
      <c r="F1218" s="373">
        <f t="shared" si="62"/>
        <v>1577.7999999999456</v>
      </c>
    </row>
    <row r="1219" spans="4:6" x14ac:dyDescent="0.25">
      <c r="D1219" s="105">
        <f t="shared" si="63"/>
        <v>1577.8499999999456</v>
      </c>
      <c r="E1219" s="373">
        <f t="shared" si="61"/>
        <v>1639.3861499999434</v>
      </c>
      <c r="F1219" s="373">
        <f t="shared" si="62"/>
        <v>1577.8499999999456</v>
      </c>
    </row>
    <row r="1220" spans="4:6" x14ac:dyDescent="0.25">
      <c r="D1220" s="105">
        <f t="shared" si="63"/>
        <v>1577.8999999999455</v>
      </c>
      <c r="E1220" s="373">
        <f t="shared" si="61"/>
        <v>1639.4380999999435</v>
      </c>
      <c r="F1220" s="373">
        <f t="shared" si="62"/>
        <v>1577.8999999999455</v>
      </c>
    </row>
    <row r="1221" spans="4:6" x14ac:dyDescent="0.25">
      <c r="D1221" s="105">
        <f t="shared" si="63"/>
        <v>1577.9499999999455</v>
      </c>
      <c r="E1221" s="373">
        <f t="shared" si="61"/>
        <v>1639.4900499999433</v>
      </c>
      <c r="F1221" s="373">
        <f t="shared" si="62"/>
        <v>1577.9499999999455</v>
      </c>
    </row>
    <row r="1222" spans="4:6" x14ac:dyDescent="0.25">
      <c r="D1222" s="105">
        <f t="shared" si="63"/>
        <v>1577.9999999999454</v>
      </c>
      <c r="E1222" s="373">
        <f t="shared" si="61"/>
        <v>1639.5419999999433</v>
      </c>
      <c r="F1222" s="373">
        <f t="shared" si="62"/>
        <v>1577.9999999999454</v>
      </c>
    </row>
    <row r="1223" spans="4:6" x14ac:dyDescent="0.25">
      <c r="D1223" s="105">
        <f t="shared" si="63"/>
        <v>1578.0499999999454</v>
      </c>
      <c r="E1223" s="373">
        <f t="shared" si="61"/>
        <v>1639.5939499999433</v>
      </c>
      <c r="F1223" s="373">
        <f t="shared" si="62"/>
        <v>1578.0499999999454</v>
      </c>
    </row>
    <row r="1224" spans="4:6" x14ac:dyDescent="0.25">
      <c r="D1224" s="105">
        <f t="shared" si="63"/>
        <v>1578.0999999999453</v>
      </c>
      <c r="E1224" s="373">
        <f t="shared" si="61"/>
        <v>1639.6458999999431</v>
      </c>
      <c r="F1224" s="373">
        <f t="shared" si="62"/>
        <v>1578.0999999999453</v>
      </c>
    </row>
    <row r="1225" spans="4:6" x14ac:dyDescent="0.25">
      <c r="D1225" s="105">
        <f t="shared" si="63"/>
        <v>1578.1499999999453</v>
      </c>
      <c r="E1225" s="373">
        <f t="shared" si="61"/>
        <v>1639.6978499999432</v>
      </c>
      <c r="F1225" s="373">
        <f t="shared" si="62"/>
        <v>1578.1499999999453</v>
      </c>
    </row>
    <row r="1226" spans="4:6" x14ac:dyDescent="0.25">
      <c r="D1226" s="105">
        <f t="shared" si="63"/>
        <v>1578.1999999999452</v>
      </c>
      <c r="E1226" s="373">
        <f t="shared" si="61"/>
        <v>1639.7497999999432</v>
      </c>
      <c r="F1226" s="373">
        <f t="shared" si="62"/>
        <v>1578.1999999999452</v>
      </c>
    </row>
    <row r="1227" spans="4:6" x14ac:dyDescent="0.25">
      <c r="D1227" s="105">
        <f t="shared" si="63"/>
        <v>1578.2499999999452</v>
      </c>
      <c r="E1227" s="373">
        <f t="shared" si="61"/>
        <v>1639.801749999943</v>
      </c>
      <c r="F1227" s="373">
        <f t="shared" si="62"/>
        <v>1578.2499999999452</v>
      </c>
    </row>
    <row r="1228" spans="4:6" x14ac:dyDescent="0.25">
      <c r="D1228" s="105">
        <f t="shared" si="63"/>
        <v>1578.2999999999452</v>
      </c>
      <c r="E1228" s="373">
        <f t="shared" si="61"/>
        <v>1639.853699999943</v>
      </c>
      <c r="F1228" s="373">
        <f t="shared" si="62"/>
        <v>1578.2999999999452</v>
      </c>
    </row>
    <row r="1229" spans="4:6" x14ac:dyDescent="0.25">
      <c r="D1229" s="105">
        <f t="shared" si="63"/>
        <v>1578.3499999999451</v>
      </c>
      <c r="E1229" s="373">
        <f t="shared" si="61"/>
        <v>1639.9056499999431</v>
      </c>
      <c r="F1229" s="373">
        <f t="shared" si="62"/>
        <v>1578.3499999999451</v>
      </c>
    </row>
    <row r="1230" spans="4:6" x14ac:dyDescent="0.25">
      <c r="D1230" s="105">
        <f t="shared" si="63"/>
        <v>1578.3999999999451</v>
      </c>
      <c r="E1230" s="373">
        <f t="shared" si="61"/>
        <v>1639.9575999999429</v>
      </c>
      <c r="F1230" s="373">
        <f t="shared" si="62"/>
        <v>1578.3999999999451</v>
      </c>
    </row>
    <row r="1231" spans="4:6" x14ac:dyDescent="0.25">
      <c r="D1231" s="105">
        <f t="shared" si="63"/>
        <v>1578.449999999945</v>
      </c>
      <c r="E1231" s="373">
        <f t="shared" si="61"/>
        <v>1640.0095499999429</v>
      </c>
      <c r="F1231" s="373">
        <f t="shared" si="62"/>
        <v>1578.449999999945</v>
      </c>
    </row>
    <row r="1232" spans="4:6" x14ac:dyDescent="0.25">
      <c r="D1232" s="105">
        <f t="shared" si="63"/>
        <v>1578.499999999945</v>
      </c>
      <c r="E1232" s="373">
        <f t="shared" si="61"/>
        <v>1640.0614999999427</v>
      </c>
      <c r="F1232" s="373">
        <f t="shared" si="62"/>
        <v>1578.499999999945</v>
      </c>
    </row>
    <row r="1233" spans="4:6" x14ac:dyDescent="0.25">
      <c r="D1233" s="105">
        <f t="shared" si="63"/>
        <v>1578.5499999999449</v>
      </c>
      <c r="E1233" s="373">
        <f t="shared" si="61"/>
        <v>1640.1134499999428</v>
      </c>
      <c r="F1233" s="373">
        <f t="shared" si="62"/>
        <v>1578.5499999999449</v>
      </c>
    </row>
    <row r="1234" spans="4:6" x14ac:dyDescent="0.25">
      <c r="D1234" s="105">
        <f t="shared" si="63"/>
        <v>1578.5999999999449</v>
      </c>
      <c r="E1234" s="373">
        <f t="shared" si="61"/>
        <v>1640.1653999999428</v>
      </c>
      <c r="F1234" s="373">
        <f t="shared" si="62"/>
        <v>1578.5999999999449</v>
      </c>
    </row>
    <row r="1235" spans="4:6" x14ac:dyDescent="0.25">
      <c r="D1235" s="105">
        <f t="shared" si="63"/>
        <v>1578.6499999999448</v>
      </c>
      <c r="E1235" s="373">
        <f t="shared" si="61"/>
        <v>1640.2173499999426</v>
      </c>
      <c r="F1235" s="373">
        <f t="shared" si="62"/>
        <v>1578.6499999999448</v>
      </c>
    </row>
    <row r="1236" spans="4:6" x14ac:dyDescent="0.25">
      <c r="D1236" s="105">
        <f t="shared" si="63"/>
        <v>1578.6999999999448</v>
      </c>
      <c r="E1236" s="373">
        <f t="shared" si="61"/>
        <v>1640.2692999999426</v>
      </c>
      <c r="F1236" s="373">
        <f t="shared" si="62"/>
        <v>1578.6999999999448</v>
      </c>
    </row>
    <row r="1237" spans="4:6" x14ac:dyDescent="0.25">
      <c r="D1237" s="105">
        <f t="shared" si="63"/>
        <v>1578.7499999999447</v>
      </c>
      <c r="E1237" s="373">
        <f t="shared" si="61"/>
        <v>1640.3212499999427</v>
      </c>
      <c r="F1237" s="373">
        <f t="shared" si="62"/>
        <v>1578.7499999999447</v>
      </c>
    </row>
    <row r="1238" spans="4:6" x14ac:dyDescent="0.25">
      <c r="D1238" s="105">
        <f t="shared" si="63"/>
        <v>1578.7999999999447</v>
      </c>
      <c r="E1238" s="373">
        <f t="shared" si="61"/>
        <v>1640.3731999999425</v>
      </c>
      <c r="F1238" s="373">
        <f t="shared" si="62"/>
        <v>1578.7999999999447</v>
      </c>
    </row>
    <row r="1239" spans="4:6" x14ac:dyDescent="0.25">
      <c r="D1239" s="105">
        <f t="shared" si="63"/>
        <v>1578.8499999999447</v>
      </c>
      <c r="E1239" s="373">
        <f t="shared" ref="E1239:E1302" si="64">D1239*$C$2 + D1239</f>
        <v>1640.4251499999425</v>
      </c>
      <c r="F1239" s="373">
        <f t="shared" ref="F1239:F1302" si="65">D1239</f>
        <v>1578.8499999999447</v>
      </c>
    </row>
    <row r="1240" spans="4:6" x14ac:dyDescent="0.25">
      <c r="D1240" s="105">
        <f t="shared" ref="D1240:D1303" si="66">D1239+0.05</f>
        <v>1578.8999999999446</v>
      </c>
      <c r="E1240" s="373">
        <f t="shared" si="64"/>
        <v>1640.4770999999425</v>
      </c>
      <c r="F1240" s="373">
        <f t="shared" si="65"/>
        <v>1578.8999999999446</v>
      </c>
    </row>
    <row r="1241" spans="4:6" x14ac:dyDescent="0.25">
      <c r="D1241" s="105">
        <f t="shared" si="66"/>
        <v>1578.9499999999446</v>
      </c>
      <c r="E1241" s="373">
        <f t="shared" si="64"/>
        <v>1640.5290499999423</v>
      </c>
      <c r="F1241" s="373">
        <f t="shared" si="65"/>
        <v>1578.9499999999446</v>
      </c>
    </row>
    <row r="1242" spans="4:6" x14ac:dyDescent="0.25">
      <c r="D1242" s="105">
        <f t="shared" si="66"/>
        <v>1578.9999999999445</v>
      </c>
      <c r="E1242" s="373">
        <f t="shared" si="64"/>
        <v>1640.5809999999424</v>
      </c>
      <c r="F1242" s="373">
        <f t="shared" si="65"/>
        <v>1578.9999999999445</v>
      </c>
    </row>
    <row r="1243" spans="4:6" x14ac:dyDescent="0.25">
      <c r="D1243" s="105">
        <f t="shared" si="66"/>
        <v>1579.0499999999445</v>
      </c>
      <c r="E1243" s="373">
        <f t="shared" si="64"/>
        <v>1640.6329499999424</v>
      </c>
      <c r="F1243" s="373">
        <f t="shared" si="65"/>
        <v>1579.0499999999445</v>
      </c>
    </row>
    <row r="1244" spans="4:6" x14ac:dyDescent="0.25">
      <c r="D1244" s="105">
        <f t="shared" si="66"/>
        <v>1579.0999999999444</v>
      </c>
      <c r="E1244" s="373">
        <f t="shared" si="64"/>
        <v>1640.6848999999422</v>
      </c>
      <c r="F1244" s="373">
        <f t="shared" si="65"/>
        <v>1579.0999999999444</v>
      </c>
    </row>
    <row r="1245" spans="4:6" x14ac:dyDescent="0.25">
      <c r="D1245" s="105">
        <f t="shared" si="66"/>
        <v>1579.1499999999444</v>
      </c>
      <c r="E1245" s="373">
        <f t="shared" si="64"/>
        <v>1640.7368499999423</v>
      </c>
      <c r="F1245" s="373">
        <f t="shared" si="65"/>
        <v>1579.1499999999444</v>
      </c>
    </row>
    <row r="1246" spans="4:6" x14ac:dyDescent="0.25">
      <c r="D1246" s="105">
        <f t="shared" si="66"/>
        <v>1579.1999999999443</v>
      </c>
      <c r="E1246" s="373">
        <f t="shared" si="64"/>
        <v>1640.7887999999421</v>
      </c>
      <c r="F1246" s="373">
        <f t="shared" si="65"/>
        <v>1579.1999999999443</v>
      </c>
    </row>
    <row r="1247" spans="4:6" x14ac:dyDescent="0.25">
      <c r="D1247" s="105">
        <f t="shared" si="66"/>
        <v>1579.2499999999443</v>
      </c>
      <c r="E1247" s="373">
        <f t="shared" si="64"/>
        <v>1640.8407499999421</v>
      </c>
      <c r="F1247" s="373">
        <f t="shared" si="65"/>
        <v>1579.2499999999443</v>
      </c>
    </row>
    <row r="1248" spans="4:6" x14ac:dyDescent="0.25">
      <c r="D1248" s="105">
        <f t="shared" si="66"/>
        <v>1579.2999999999442</v>
      </c>
      <c r="E1248" s="373">
        <f t="shared" si="64"/>
        <v>1640.8926999999421</v>
      </c>
      <c r="F1248" s="373">
        <f t="shared" si="65"/>
        <v>1579.2999999999442</v>
      </c>
    </row>
    <row r="1249" spans="4:6" x14ac:dyDescent="0.25">
      <c r="D1249" s="105">
        <f t="shared" si="66"/>
        <v>1579.3499999999442</v>
      </c>
      <c r="E1249" s="373">
        <f t="shared" si="64"/>
        <v>1640.9446499999419</v>
      </c>
      <c r="F1249" s="373">
        <f t="shared" si="65"/>
        <v>1579.3499999999442</v>
      </c>
    </row>
    <row r="1250" spans="4:6" x14ac:dyDescent="0.25">
      <c r="D1250" s="105">
        <f t="shared" si="66"/>
        <v>1579.3999999999442</v>
      </c>
      <c r="E1250" s="373">
        <f t="shared" si="64"/>
        <v>1640.996599999942</v>
      </c>
      <c r="F1250" s="373">
        <f t="shared" si="65"/>
        <v>1579.3999999999442</v>
      </c>
    </row>
    <row r="1251" spans="4:6" x14ac:dyDescent="0.25">
      <c r="D1251" s="105">
        <f t="shared" si="66"/>
        <v>1579.4499999999441</v>
      </c>
      <c r="E1251" s="373">
        <f t="shared" si="64"/>
        <v>1641.048549999942</v>
      </c>
      <c r="F1251" s="373">
        <f t="shared" si="65"/>
        <v>1579.4499999999441</v>
      </c>
    </row>
    <row r="1252" spans="4:6" x14ac:dyDescent="0.25">
      <c r="D1252" s="105">
        <f t="shared" si="66"/>
        <v>1579.4999999999441</v>
      </c>
      <c r="E1252" s="373">
        <f t="shared" si="64"/>
        <v>1641.1004999999418</v>
      </c>
      <c r="F1252" s="373">
        <f t="shared" si="65"/>
        <v>1579.4999999999441</v>
      </c>
    </row>
    <row r="1253" spans="4:6" x14ac:dyDescent="0.25">
      <c r="D1253" s="105">
        <f t="shared" si="66"/>
        <v>1579.549999999944</v>
      </c>
      <c r="E1253" s="373">
        <f t="shared" si="64"/>
        <v>1641.1524499999418</v>
      </c>
      <c r="F1253" s="373">
        <f t="shared" si="65"/>
        <v>1579.549999999944</v>
      </c>
    </row>
    <row r="1254" spans="4:6" x14ac:dyDescent="0.25">
      <c r="D1254" s="105">
        <f t="shared" si="66"/>
        <v>1579.599999999944</v>
      </c>
      <c r="E1254" s="373">
        <f t="shared" si="64"/>
        <v>1641.2043999999419</v>
      </c>
      <c r="F1254" s="373">
        <f t="shared" si="65"/>
        <v>1579.599999999944</v>
      </c>
    </row>
    <row r="1255" spans="4:6" x14ac:dyDescent="0.25">
      <c r="D1255" s="105">
        <f t="shared" si="66"/>
        <v>1579.6499999999439</v>
      </c>
      <c r="E1255" s="373">
        <f t="shared" si="64"/>
        <v>1641.2563499999417</v>
      </c>
      <c r="F1255" s="373">
        <f t="shared" si="65"/>
        <v>1579.6499999999439</v>
      </c>
    </row>
    <row r="1256" spans="4:6" x14ac:dyDescent="0.25">
      <c r="D1256" s="105">
        <f t="shared" si="66"/>
        <v>1579.6999999999439</v>
      </c>
      <c r="E1256" s="373">
        <f t="shared" si="64"/>
        <v>1641.3082999999417</v>
      </c>
      <c r="F1256" s="373">
        <f t="shared" si="65"/>
        <v>1579.6999999999439</v>
      </c>
    </row>
    <row r="1257" spans="4:6" x14ac:dyDescent="0.25">
      <c r="D1257" s="105">
        <f t="shared" si="66"/>
        <v>1579.7499999999438</v>
      </c>
      <c r="E1257" s="373">
        <f t="shared" si="64"/>
        <v>1641.3602499999417</v>
      </c>
      <c r="F1257" s="373">
        <f t="shared" si="65"/>
        <v>1579.7499999999438</v>
      </c>
    </row>
    <row r="1258" spans="4:6" x14ac:dyDescent="0.25">
      <c r="D1258" s="105">
        <f t="shared" si="66"/>
        <v>1579.7999999999438</v>
      </c>
      <c r="E1258" s="373">
        <f t="shared" si="64"/>
        <v>1641.4121999999415</v>
      </c>
      <c r="F1258" s="373">
        <f t="shared" si="65"/>
        <v>1579.7999999999438</v>
      </c>
    </row>
    <row r="1259" spans="4:6" x14ac:dyDescent="0.25">
      <c r="D1259" s="105">
        <f t="shared" si="66"/>
        <v>1579.8499999999437</v>
      </c>
      <c r="E1259" s="373">
        <f t="shared" si="64"/>
        <v>1641.4641499999416</v>
      </c>
      <c r="F1259" s="373">
        <f t="shared" si="65"/>
        <v>1579.8499999999437</v>
      </c>
    </row>
    <row r="1260" spans="4:6" x14ac:dyDescent="0.25">
      <c r="D1260" s="105">
        <f t="shared" si="66"/>
        <v>1579.8999999999437</v>
      </c>
      <c r="E1260" s="373">
        <f t="shared" si="64"/>
        <v>1641.5160999999416</v>
      </c>
      <c r="F1260" s="373">
        <f t="shared" si="65"/>
        <v>1579.8999999999437</v>
      </c>
    </row>
    <row r="1261" spans="4:6" x14ac:dyDescent="0.25">
      <c r="D1261" s="105">
        <f t="shared" si="66"/>
        <v>1579.9499999999437</v>
      </c>
      <c r="E1261" s="373">
        <f t="shared" si="64"/>
        <v>1641.5680499999414</v>
      </c>
      <c r="F1261" s="373">
        <f t="shared" si="65"/>
        <v>1579.9499999999437</v>
      </c>
    </row>
    <row r="1262" spans="4:6" x14ac:dyDescent="0.25">
      <c r="D1262" s="105">
        <f t="shared" si="66"/>
        <v>1579.9999999999436</v>
      </c>
      <c r="E1262" s="373">
        <f t="shared" si="64"/>
        <v>1641.6199999999415</v>
      </c>
      <c r="F1262" s="373">
        <f t="shared" si="65"/>
        <v>1579.9999999999436</v>
      </c>
    </row>
    <row r="1263" spans="4:6" x14ac:dyDescent="0.25">
      <c r="D1263" s="105">
        <f t="shared" si="66"/>
        <v>1580.0499999999436</v>
      </c>
      <c r="E1263" s="373">
        <f t="shared" si="64"/>
        <v>1641.6719499999413</v>
      </c>
      <c r="F1263" s="373">
        <f t="shared" si="65"/>
        <v>1580.0499999999436</v>
      </c>
    </row>
    <row r="1264" spans="4:6" x14ac:dyDescent="0.25">
      <c r="D1264" s="105">
        <f t="shared" si="66"/>
        <v>1580.0999999999435</v>
      </c>
      <c r="E1264" s="373">
        <f t="shared" si="64"/>
        <v>1641.7238999999413</v>
      </c>
      <c r="F1264" s="373">
        <f t="shared" si="65"/>
        <v>1580.0999999999435</v>
      </c>
    </row>
    <row r="1265" spans="4:6" x14ac:dyDescent="0.25">
      <c r="D1265" s="105">
        <f t="shared" si="66"/>
        <v>1580.1499999999435</v>
      </c>
      <c r="E1265" s="373">
        <f t="shared" si="64"/>
        <v>1641.7758499999413</v>
      </c>
      <c r="F1265" s="373">
        <f t="shared" si="65"/>
        <v>1580.1499999999435</v>
      </c>
    </row>
    <row r="1266" spans="4:6" x14ac:dyDescent="0.25">
      <c r="D1266" s="105">
        <f t="shared" si="66"/>
        <v>1580.1999999999434</v>
      </c>
      <c r="E1266" s="373">
        <f t="shared" si="64"/>
        <v>1641.8277999999411</v>
      </c>
      <c r="F1266" s="373">
        <f t="shared" si="65"/>
        <v>1580.1999999999434</v>
      </c>
    </row>
    <row r="1267" spans="4:6" x14ac:dyDescent="0.25">
      <c r="D1267" s="105">
        <f t="shared" si="66"/>
        <v>1580.2499999999434</v>
      </c>
      <c r="E1267" s="373">
        <f t="shared" si="64"/>
        <v>1641.8797499999412</v>
      </c>
      <c r="F1267" s="373">
        <f t="shared" si="65"/>
        <v>1580.2499999999434</v>
      </c>
    </row>
    <row r="1268" spans="4:6" x14ac:dyDescent="0.25">
      <c r="D1268" s="105">
        <f t="shared" si="66"/>
        <v>1580.2999999999433</v>
      </c>
      <c r="E1268" s="373">
        <f t="shared" si="64"/>
        <v>1641.9316999999412</v>
      </c>
      <c r="F1268" s="373">
        <f t="shared" si="65"/>
        <v>1580.2999999999433</v>
      </c>
    </row>
    <row r="1269" spans="4:6" x14ac:dyDescent="0.25">
      <c r="D1269" s="105">
        <f t="shared" si="66"/>
        <v>1580.3499999999433</v>
      </c>
      <c r="E1269" s="373">
        <f t="shared" si="64"/>
        <v>1641.983649999941</v>
      </c>
      <c r="F1269" s="373">
        <f t="shared" si="65"/>
        <v>1580.3499999999433</v>
      </c>
    </row>
    <row r="1270" spans="4:6" x14ac:dyDescent="0.25">
      <c r="D1270" s="105">
        <f t="shared" si="66"/>
        <v>1580.3999999999432</v>
      </c>
      <c r="E1270" s="373">
        <f t="shared" si="64"/>
        <v>1642.035599999941</v>
      </c>
      <c r="F1270" s="373">
        <f t="shared" si="65"/>
        <v>1580.3999999999432</v>
      </c>
    </row>
    <row r="1271" spans="4:6" x14ac:dyDescent="0.25">
      <c r="D1271" s="105">
        <f t="shared" si="66"/>
        <v>1580.4499999999432</v>
      </c>
      <c r="E1271" s="373">
        <f t="shared" si="64"/>
        <v>1642.0875499999411</v>
      </c>
      <c r="F1271" s="373">
        <f t="shared" si="65"/>
        <v>1580.4499999999432</v>
      </c>
    </row>
    <row r="1272" spans="4:6" x14ac:dyDescent="0.25">
      <c r="D1272" s="105">
        <f t="shared" si="66"/>
        <v>1580.4999999999432</v>
      </c>
      <c r="E1272" s="373">
        <f t="shared" si="64"/>
        <v>1642.1394999999409</v>
      </c>
      <c r="F1272" s="373">
        <f t="shared" si="65"/>
        <v>1580.4999999999432</v>
      </c>
    </row>
    <row r="1273" spans="4:6" x14ac:dyDescent="0.25">
      <c r="D1273" s="105">
        <f t="shared" si="66"/>
        <v>1580.5499999999431</v>
      </c>
      <c r="E1273" s="373">
        <f t="shared" si="64"/>
        <v>1642.1914499999409</v>
      </c>
      <c r="F1273" s="373">
        <f t="shared" si="65"/>
        <v>1580.5499999999431</v>
      </c>
    </row>
    <row r="1274" spans="4:6" x14ac:dyDescent="0.25">
      <c r="D1274" s="105">
        <f t="shared" si="66"/>
        <v>1580.5999999999431</v>
      </c>
      <c r="E1274" s="373">
        <f t="shared" si="64"/>
        <v>1642.2433999999409</v>
      </c>
      <c r="F1274" s="373">
        <f t="shared" si="65"/>
        <v>1580.5999999999431</v>
      </c>
    </row>
    <row r="1275" spans="4:6" x14ac:dyDescent="0.25">
      <c r="D1275" s="105">
        <f t="shared" si="66"/>
        <v>1580.649999999943</v>
      </c>
      <c r="E1275" s="373">
        <f t="shared" si="64"/>
        <v>1642.2953499999408</v>
      </c>
      <c r="F1275" s="373">
        <f t="shared" si="65"/>
        <v>1580.649999999943</v>
      </c>
    </row>
    <row r="1276" spans="4:6" x14ac:dyDescent="0.25">
      <c r="D1276" s="105">
        <f t="shared" si="66"/>
        <v>1580.699999999943</v>
      </c>
      <c r="E1276" s="373">
        <f t="shared" si="64"/>
        <v>1642.3472999999408</v>
      </c>
      <c r="F1276" s="373">
        <f t="shared" si="65"/>
        <v>1580.699999999943</v>
      </c>
    </row>
    <row r="1277" spans="4:6" x14ac:dyDescent="0.25">
      <c r="D1277" s="105">
        <f t="shared" si="66"/>
        <v>1580.7499999999429</v>
      </c>
      <c r="E1277" s="373">
        <f t="shared" si="64"/>
        <v>1642.3992499999406</v>
      </c>
      <c r="F1277" s="373">
        <f t="shared" si="65"/>
        <v>1580.7499999999429</v>
      </c>
    </row>
    <row r="1278" spans="4:6" x14ac:dyDescent="0.25">
      <c r="D1278" s="105">
        <f t="shared" si="66"/>
        <v>1580.7999999999429</v>
      </c>
      <c r="E1278" s="373">
        <f t="shared" si="64"/>
        <v>1642.4511999999406</v>
      </c>
      <c r="F1278" s="373">
        <f t="shared" si="65"/>
        <v>1580.7999999999429</v>
      </c>
    </row>
    <row r="1279" spans="4:6" x14ac:dyDescent="0.25">
      <c r="D1279" s="105">
        <f t="shared" si="66"/>
        <v>1580.8499999999428</v>
      </c>
      <c r="E1279" s="373">
        <f t="shared" si="64"/>
        <v>1642.5031499999407</v>
      </c>
      <c r="F1279" s="373">
        <f t="shared" si="65"/>
        <v>1580.8499999999428</v>
      </c>
    </row>
    <row r="1280" spans="4:6" x14ac:dyDescent="0.25">
      <c r="D1280" s="105">
        <f t="shared" si="66"/>
        <v>1580.8999999999428</v>
      </c>
      <c r="E1280" s="373">
        <f t="shared" si="64"/>
        <v>1642.5550999999405</v>
      </c>
      <c r="F1280" s="373">
        <f t="shared" si="65"/>
        <v>1580.8999999999428</v>
      </c>
    </row>
    <row r="1281" spans="4:6" x14ac:dyDescent="0.25">
      <c r="D1281" s="105">
        <f t="shared" si="66"/>
        <v>1580.9499999999427</v>
      </c>
      <c r="E1281" s="373">
        <f t="shared" si="64"/>
        <v>1642.6070499999405</v>
      </c>
      <c r="F1281" s="373">
        <f t="shared" si="65"/>
        <v>1580.9499999999427</v>
      </c>
    </row>
    <row r="1282" spans="4:6" x14ac:dyDescent="0.25">
      <c r="D1282" s="105">
        <f t="shared" si="66"/>
        <v>1580.9999999999427</v>
      </c>
      <c r="E1282" s="373">
        <f t="shared" si="64"/>
        <v>1642.6589999999405</v>
      </c>
      <c r="F1282" s="373">
        <f t="shared" si="65"/>
        <v>1580.9999999999427</v>
      </c>
    </row>
    <row r="1283" spans="4:6" x14ac:dyDescent="0.25">
      <c r="D1283" s="105">
        <f t="shared" si="66"/>
        <v>1581.0499999999427</v>
      </c>
      <c r="E1283" s="373">
        <f t="shared" si="64"/>
        <v>1642.7109499999403</v>
      </c>
      <c r="F1283" s="373">
        <f t="shared" si="65"/>
        <v>1581.0499999999427</v>
      </c>
    </row>
    <row r="1284" spans="4:6" x14ac:dyDescent="0.25">
      <c r="D1284" s="105">
        <f t="shared" si="66"/>
        <v>1581.0999999999426</v>
      </c>
      <c r="E1284" s="373">
        <f t="shared" si="64"/>
        <v>1642.7628999999404</v>
      </c>
      <c r="F1284" s="373">
        <f t="shared" si="65"/>
        <v>1581.0999999999426</v>
      </c>
    </row>
    <row r="1285" spans="4:6" x14ac:dyDescent="0.25">
      <c r="D1285" s="105">
        <f t="shared" si="66"/>
        <v>1581.1499999999426</v>
      </c>
      <c r="E1285" s="373">
        <f t="shared" si="64"/>
        <v>1642.8148499999404</v>
      </c>
      <c r="F1285" s="373">
        <f t="shared" si="65"/>
        <v>1581.1499999999426</v>
      </c>
    </row>
    <row r="1286" spans="4:6" x14ac:dyDescent="0.25">
      <c r="D1286" s="105">
        <f t="shared" si="66"/>
        <v>1581.1999999999425</v>
      </c>
      <c r="E1286" s="373">
        <f t="shared" si="64"/>
        <v>1642.8667999999402</v>
      </c>
      <c r="F1286" s="373">
        <f t="shared" si="65"/>
        <v>1581.1999999999425</v>
      </c>
    </row>
    <row r="1287" spans="4:6" x14ac:dyDescent="0.25">
      <c r="D1287" s="105">
        <f t="shared" si="66"/>
        <v>1581.2499999999425</v>
      </c>
      <c r="E1287" s="373">
        <f t="shared" si="64"/>
        <v>1642.9187499999402</v>
      </c>
      <c r="F1287" s="373">
        <f t="shared" si="65"/>
        <v>1581.2499999999425</v>
      </c>
    </row>
    <row r="1288" spans="4:6" x14ac:dyDescent="0.25">
      <c r="D1288" s="105">
        <f t="shared" si="66"/>
        <v>1581.2999999999424</v>
      </c>
      <c r="E1288" s="373">
        <f t="shared" si="64"/>
        <v>1642.9706999999403</v>
      </c>
      <c r="F1288" s="373">
        <f t="shared" si="65"/>
        <v>1581.2999999999424</v>
      </c>
    </row>
    <row r="1289" spans="4:6" x14ac:dyDescent="0.25">
      <c r="D1289" s="105">
        <f t="shared" si="66"/>
        <v>1581.3499999999424</v>
      </c>
      <c r="E1289" s="373">
        <f t="shared" si="64"/>
        <v>1643.0226499999401</v>
      </c>
      <c r="F1289" s="373">
        <f t="shared" si="65"/>
        <v>1581.3499999999424</v>
      </c>
    </row>
    <row r="1290" spans="4:6" x14ac:dyDescent="0.25">
      <c r="D1290" s="105">
        <f t="shared" si="66"/>
        <v>1581.3999999999423</v>
      </c>
      <c r="E1290" s="373">
        <f t="shared" si="64"/>
        <v>1643.0745999999401</v>
      </c>
      <c r="F1290" s="373">
        <f t="shared" si="65"/>
        <v>1581.3999999999423</v>
      </c>
    </row>
    <row r="1291" spans="4:6" x14ac:dyDescent="0.25">
      <c r="D1291" s="105">
        <f t="shared" si="66"/>
        <v>1581.4499999999423</v>
      </c>
      <c r="E1291" s="373">
        <f t="shared" si="64"/>
        <v>1643.1265499999399</v>
      </c>
      <c r="F1291" s="373">
        <f t="shared" si="65"/>
        <v>1581.4499999999423</v>
      </c>
    </row>
    <row r="1292" spans="4:6" x14ac:dyDescent="0.25">
      <c r="D1292" s="105">
        <f t="shared" si="66"/>
        <v>1581.4999999999422</v>
      </c>
      <c r="E1292" s="373">
        <f t="shared" si="64"/>
        <v>1643.17849999994</v>
      </c>
      <c r="F1292" s="373">
        <f t="shared" si="65"/>
        <v>1581.4999999999422</v>
      </c>
    </row>
    <row r="1293" spans="4:6" x14ac:dyDescent="0.25">
      <c r="D1293" s="105">
        <f t="shared" si="66"/>
        <v>1581.5499999999422</v>
      </c>
      <c r="E1293" s="373">
        <f t="shared" si="64"/>
        <v>1643.23044999994</v>
      </c>
      <c r="F1293" s="373">
        <f t="shared" si="65"/>
        <v>1581.5499999999422</v>
      </c>
    </row>
    <row r="1294" spans="4:6" x14ac:dyDescent="0.25">
      <c r="D1294" s="105">
        <f t="shared" si="66"/>
        <v>1581.5999999999422</v>
      </c>
      <c r="E1294" s="373">
        <f t="shared" si="64"/>
        <v>1643.2823999999398</v>
      </c>
      <c r="F1294" s="373">
        <f t="shared" si="65"/>
        <v>1581.5999999999422</v>
      </c>
    </row>
    <row r="1295" spans="4:6" x14ac:dyDescent="0.25">
      <c r="D1295" s="105">
        <f t="shared" si="66"/>
        <v>1581.6499999999421</v>
      </c>
      <c r="E1295" s="373">
        <f t="shared" si="64"/>
        <v>1643.3343499999398</v>
      </c>
      <c r="F1295" s="373">
        <f t="shared" si="65"/>
        <v>1581.6499999999421</v>
      </c>
    </row>
    <row r="1296" spans="4:6" x14ac:dyDescent="0.25">
      <c r="D1296" s="105">
        <f t="shared" si="66"/>
        <v>1581.6999999999421</v>
      </c>
      <c r="E1296" s="373">
        <f t="shared" si="64"/>
        <v>1643.3862999999399</v>
      </c>
      <c r="F1296" s="373">
        <f t="shared" si="65"/>
        <v>1581.6999999999421</v>
      </c>
    </row>
    <row r="1297" spans="4:6" x14ac:dyDescent="0.25">
      <c r="D1297" s="105">
        <f t="shared" si="66"/>
        <v>1581.749999999942</v>
      </c>
      <c r="E1297" s="373">
        <f t="shared" si="64"/>
        <v>1643.4382499999397</v>
      </c>
      <c r="F1297" s="373">
        <f t="shared" si="65"/>
        <v>1581.749999999942</v>
      </c>
    </row>
    <row r="1298" spans="4:6" x14ac:dyDescent="0.25">
      <c r="D1298" s="105">
        <f t="shared" si="66"/>
        <v>1581.799999999942</v>
      </c>
      <c r="E1298" s="373">
        <f t="shared" si="64"/>
        <v>1643.4901999999397</v>
      </c>
      <c r="F1298" s="373">
        <f t="shared" si="65"/>
        <v>1581.799999999942</v>
      </c>
    </row>
    <row r="1299" spans="4:6" x14ac:dyDescent="0.25">
      <c r="D1299" s="105">
        <f t="shared" si="66"/>
        <v>1581.8499999999419</v>
      </c>
      <c r="E1299" s="373">
        <f t="shared" si="64"/>
        <v>1643.5421499999397</v>
      </c>
      <c r="F1299" s="373">
        <f t="shared" si="65"/>
        <v>1581.8499999999419</v>
      </c>
    </row>
    <row r="1300" spans="4:6" x14ac:dyDescent="0.25">
      <c r="D1300" s="105">
        <f t="shared" si="66"/>
        <v>1581.8999999999419</v>
      </c>
      <c r="E1300" s="373">
        <f t="shared" si="64"/>
        <v>1643.5940999999395</v>
      </c>
      <c r="F1300" s="373">
        <f t="shared" si="65"/>
        <v>1581.8999999999419</v>
      </c>
    </row>
    <row r="1301" spans="4:6" x14ac:dyDescent="0.25">
      <c r="D1301" s="105">
        <f t="shared" si="66"/>
        <v>1581.9499999999418</v>
      </c>
      <c r="E1301" s="373">
        <f t="shared" si="64"/>
        <v>1643.6460499999396</v>
      </c>
      <c r="F1301" s="373">
        <f t="shared" si="65"/>
        <v>1581.9499999999418</v>
      </c>
    </row>
    <row r="1302" spans="4:6" x14ac:dyDescent="0.25">
      <c r="D1302" s="105">
        <f t="shared" si="66"/>
        <v>1581.9999999999418</v>
      </c>
      <c r="E1302" s="373">
        <f t="shared" si="64"/>
        <v>1643.6979999999396</v>
      </c>
      <c r="F1302" s="373">
        <f t="shared" si="65"/>
        <v>1581.9999999999418</v>
      </c>
    </row>
    <row r="1303" spans="4:6" x14ac:dyDescent="0.25">
      <c r="D1303" s="105">
        <f t="shared" si="66"/>
        <v>1582.0499999999417</v>
      </c>
      <c r="E1303" s="373">
        <f t="shared" ref="E1303:E1366" si="67">D1303*$C$2 + D1303</f>
        <v>1643.7499499999394</v>
      </c>
      <c r="F1303" s="373">
        <f t="shared" ref="F1303:F1366" si="68">D1303</f>
        <v>1582.0499999999417</v>
      </c>
    </row>
    <row r="1304" spans="4:6" x14ac:dyDescent="0.25">
      <c r="D1304" s="105">
        <f t="shared" ref="D1304:D1367" si="69">D1303+0.05</f>
        <v>1582.0999999999417</v>
      </c>
      <c r="E1304" s="373">
        <f t="shared" si="67"/>
        <v>1643.8018999999395</v>
      </c>
      <c r="F1304" s="373">
        <f t="shared" si="68"/>
        <v>1582.0999999999417</v>
      </c>
    </row>
    <row r="1305" spans="4:6" x14ac:dyDescent="0.25">
      <c r="D1305" s="105">
        <f t="shared" si="69"/>
        <v>1582.1499999999417</v>
      </c>
      <c r="E1305" s="373">
        <f t="shared" si="67"/>
        <v>1643.8538499999395</v>
      </c>
      <c r="F1305" s="373">
        <f t="shared" si="68"/>
        <v>1582.1499999999417</v>
      </c>
    </row>
    <row r="1306" spans="4:6" x14ac:dyDescent="0.25">
      <c r="D1306" s="105">
        <f t="shared" si="69"/>
        <v>1582.1999999999416</v>
      </c>
      <c r="E1306" s="373">
        <f t="shared" si="67"/>
        <v>1643.9057999999393</v>
      </c>
      <c r="F1306" s="373">
        <f t="shared" si="68"/>
        <v>1582.1999999999416</v>
      </c>
    </row>
    <row r="1307" spans="4:6" x14ac:dyDescent="0.25">
      <c r="D1307" s="105">
        <f t="shared" si="69"/>
        <v>1582.2499999999416</v>
      </c>
      <c r="E1307" s="373">
        <f t="shared" si="67"/>
        <v>1643.9577499999393</v>
      </c>
      <c r="F1307" s="373">
        <f t="shared" si="68"/>
        <v>1582.2499999999416</v>
      </c>
    </row>
    <row r="1308" spans="4:6" x14ac:dyDescent="0.25">
      <c r="D1308" s="105">
        <f t="shared" si="69"/>
        <v>1582.2999999999415</v>
      </c>
      <c r="E1308" s="373">
        <f t="shared" si="67"/>
        <v>1644.0096999999391</v>
      </c>
      <c r="F1308" s="373">
        <f t="shared" si="68"/>
        <v>1582.2999999999415</v>
      </c>
    </row>
    <row r="1309" spans="4:6" x14ac:dyDescent="0.25">
      <c r="D1309" s="105">
        <f t="shared" si="69"/>
        <v>1582.3499999999415</v>
      </c>
      <c r="E1309" s="373">
        <f t="shared" si="67"/>
        <v>1644.0616499999392</v>
      </c>
      <c r="F1309" s="373">
        <f t="shared" si="68"/>
        <v>1582.3499999999415</v>
      </c>
    </row>
    <row r="1310" spans="4:6" x14ac:dyDescent="0.25">
      <c r="D1310" s="105">
        <f t="shared" si="69"/>
        <v>1582.3999999999414</v>
      </c>
      <c r="E1310" s="373">
        <f t="shared" si="67"/>
        <v>1644.1135999999392</v>
      </c>
      <c r="F1310" s="373">
        <f t="shared" si="68"/>
        <v>1582.3999999999414</v>
      </c>
    </row>
    <row r="1311" spans="4:6" x14ac:dyDescent="0.25">
      <c r="D1311" s="105">
        <f t="shared" si="69"/>
        <v>1582.4499999999414</v>
      </c>
      <c r="E1311" s="373">
        <f t="shared" si="67"/>
        <v>1644.165549999939</v>
      </c>
      <c r="F1311" s="373">
        <f t="shared" si="68"/>
        <v>1582.4499999999414</v>
      </c>
    </row>
    <row r="1312" spans="4:6" x14ac:dyDescent="0.25">
      <c r="D1312" s="105">
        <f t="shared" si="69"/>
        <v>1582.4999999999413</v>
      </c>
      <c r="E1312" s="373">
        <f t="shared" si="67"/>
        <v>1644.217499999939</v>
      </c>
      <c r="F1312" s="373">
        <f t="shared" si="68"/>
        <v>1582.4999999999413</v>
      </c>
    </row>
    <row r="1313" spans="4:6" x14ac:dyDescent="0.25">
      <c r="D1313" s="105">
        <f t="shared" si="69"/>
        <v>1582.5499999999413</v>
      </c>
      <c r="E1313" s="373">
        <f t="shared" si="67"/>
        <v>1644.2694499999391</v>
      </c>
      <c r="F1313" s="373">
        <f t="shared" si="68"/>
        <v>1582.5499999999413</v>
      </c>
    </row>
    <row r="1314" spans="4:6" x14ac:dyDescent="0.25">
      <c r="D1314" s="105">
        <f t="shared" si="69"/>
        <v>1582.5999999999412</v>
      </c>
      <c r="E1314" s="373">
        <f t="shared" si="67"/>
        <v>1644.3213999999389</v>
      </c>
      <c r="F1314" s="373">
        <f t="shared" si="68"/>
        <v>1582.5999999999412</v>
      </c>
    </row>
    <row r="1315" spans="4:6" x14ac:dyDescent="0.25">
      <c r="D1315" s="105">
        <f t="shared" si="69"/>
        <v>1582.6499999999412</v>
      </c>
      <c r="E1315" s="373">
        <f t="shared" si="67"/>
        <v>1644.3733499999389</v>
      </c>
      <c r="F1315" s="373">
        <f t="shared" si="68"/>
        <v>1582.6499999999412</v>
      </c>
    </row>
    <row r="1316" spans="4:6" x14ac:dyDescent="0.25">
      <c r="D1316" s="105">
        <f t="shared" si="69"/>
        <v>1582.6999999999412</v>
      </c>
      <c r="E1316" s="373">
        <f t="shared" si="67"/>
        <v>1644.4252999999389</v>
      </c>
      <c r="F1316" s="373">
        <f t="shared" si="68"/>
        <v>1582.6999999999412</v>
      </c>
    </row>
    <row r="1317" spans="4:6" x14ac:dyDescent="0.25">
      <c r="D1317" s="105">
        <f t="shared" si="69"/>
        <v>1582.7499999999411</v>
      </c>
      <c r="E1317" s="373">
        <f t="shared" si="67"/>
        <v>1644.4772499999387</v>
      </c>
      <c r="F1317" s="373">
        <f t="shared" si="68"/>
        <v>1582.7499999999411</v>
      </c>
    </row>
    <row r="1318" spans="4:6" x14ac:dyDescent="0.25">
      <c r="D1318" s="105">
        <f t="shared" si="69"/>
        <v>1582.7999999999411</v>
      </c>
      <c r="E1318" s="373">
        <f t="shared" si="67"/>
        <v>1644.5291999999388</v>
      </c>
      <c r="F1318" s="373">
        <f t="shared" si="68"/>
        <v>1582.7999999999411</v>
      </c>
    </row>
    <row r="1319" spans="4:6" x14ac:dyDescent="0.25">
      <c r="D1319" s="105">
        <f t="shared" si="69"/>
        <v>1582.849999999941</v>
      </c>
      <c r="E1319" s="373">
        <f t="shared" si="67"/>
        <v>1644.5811499999388</v>
      </c>
      <c r="F1319" s="373">
        <f t="shared" si="68"/>
        <v>1582.849999999941</v>
      </c>
    </row>
    <row r="1320" spans="4:6" x14ac:dyDescent="0.25">
      <c r="D1320" s="105">
        <f t="shared" si="69"/>
        <v>1582.899999999941</v>
      </c>
      <c r="E1320" s="373">
        <f t="shared" si="67"/>
        <v>1644.6330999999386</v>
      </c>
      <c r="F1320" s="373">
        <f t="shared" si="68"/>
        <v>1582.899999999941</v>
      </c>
    </row>
    <row r="1321" spans="4:6" x14ac:dyDescent="0.25">
      <c r="D1321" s="105">
        <f t="shared" si="69"/>
        <v>1582.9499999999409</v>
      </c>
      <c r="E1321" s="373">
        <f t="shared" si="67"/>
        <v>1644.6850499999387</v>
      </c>
      <c r="F1321" s="373">
        <f t="shared" si="68"/>
        <v>1582.9499999999409</v>
      </c>
    </row>
    <row r="1322" spans="4:6" x14ac:dyDescent="0.25">
      <c r="D1322" s="105">
        <f t="shared" si="69"/>
        <v>1582.9999999999409</v>
      </c>
      <c r="E1322" s="373">
        <f t="shared" si="67"/>
        <v>1644.7369999999387</v>
      </c>
      <c r="F1322" s="373">
        <f t="shared" si="68"/>
        <v>1582.9999999999409</v>
      </c>
    </row>
    <row r="1323" spans="4:6" x14ac:dyDescent="0.25">
      <c r="D1323" s="105">
        <f t="shared" si="69"/>
        <v>1583.0499999999408</v>
      </c>
      <c r="E1323" s="373">
        <f t="shared" si="67"/>
        <v>1644.7889499999385</v>
      </c>
      <c r="F1323" s="373">
        <f t="shared" si="68"/>
        <v>1583.0499999999408</v>
      </c>
    </row>
    <row r="1324" spans="4:6" x14ac:dyDescent="0.25">
      <c r="D1324" s="105">
        <f t="shared" si="69"/>
        <v>1583.0999999999408</v>
      </c>
      <c r="E1324" s="373">
        <f t="shared" si="67"/>
        <v>1644.8408999999385</v>
      </c>
      <c r="F1324" s="373">
        <f t="shared" si="68"/>
        <v>1583.0999999999408</v>
      </c>
    </row>
    <row r="1325" spans="4:6" x14ac:dyDescent="0.25">
      <c r="D1325" s="105">
        <f t="shared" si="69"/>
        <v>1583.1499999999407</v>
      </c>
      <c r="E1325" s="373">
        <f t="shared" si="67"/>
        <v>1644.8928499999383</v>
      </c>
      <c r="F1325" s="373">
        <f t="shared" si="68"/>
        <v>1583.1499999999407</v>
      </c>
    </row>
    <row r="1326" spans="4:6" x14ac:dyDescent="0.25">
      <c r="D1326" s="105">
        <f t="shared" si="69"/>
        <v>1583.1999999999407</v>
      </c>
      <c r="E1326" s="373">
        <f t="shared" si="67"/>
        <v>1644.9447999999384</v>
      </c>
      <c r="F1326" s="373">
        <f t="shared" si="68"/>
        <v>1583.1999999999407</v>
      </c>
    </row>
    <row r="1327" spans="4:6" x14ac:dyDescent="0.25">
      <c r="D1327" s="105">
        <f t="shared" si="69"/>
        <v>1583.2499999999407</v>
      </c>
      <c r="E1327" s="373">
        <f t="shared" si="67"/>
        <v>1644.9967499999384</v>
      </c>
      <c r="F1327" s="373">
        <f t="shared" si="68"/>
        <v>1583.2499999999407</v>
      </c>
    </row>
    <row r="1328" spans="4:6" x14ac:dyDescent="0.25">
      <c r="D1328" s="105">
        <f t="shared" si="69"/>
        <v>1583.2999999999406</v>
      </c>
      <c r="E1328" s="373">
        <f t="shared" si="67"/>
        <v>1645.0486999999382</v>
      </c>
      <c r="F1328" s="373">
        <f t="shared" si="68"/>
        <v>1583.2999999999406</v>
      </c>
    </row>
    <row r="1329" spans="4:6" x14ac:dyDescent="0.25">
      <c r="D1329" s="105">
        <f t="shared" si="69"/>
        <v>1583.3499999999406</v>
      </c>
      <c r="E1329" s="373">
        <f t="shared" si="67"/>
        <v>1645.1006499999382</v>
      </c>
      <c r="F1329" s="373">
        <f t="shared" si="68"/>
        <v>1583.3499999999406</v>
      </c>
    </row>
    <row r="1330" spans="4:6" x14ac:dyDescent="0.25">
      <c r="D1330" s="105">
        <f t="shared" si="69"/>
        <v>1583.3999999999405</v>
      </c>
      <c r="E1330" s="373">
        <f t="shared" si="67"/>
        <v>1645.1525999999383</v>
      </c>
      <c r="F1330" s="373">
        <f t="shared" si="68"/>
        <v>1583.3999999999405</v>
      </c>
    </row>
    <row r="1331" spans="4:6" x14ac:dyDescent="0.25">
      <c r="D1331" s="105">
        <f t="shared" si="69"/>
        <v>1583.4499999999405</v>
      </c>
      <c r="E1331" s="373">
        <f t="shared" si="67"/>
        <v>1645.2045499999381</v>
      </c>
      <c r="F1331" s="373">
        <f t="shared" si="68"/>
        <v>1583.4499999999405</v>
      </c>
    </row>
    <row r="1332" spans="4:6" x14ac:dyDescent="0.25">
      <c r="D1332" s="105">
        <f t="shared" si="69"/>
        <v>1583.4999999999404</v>
      </c>
      <c r="E1332" s="373">
        <f t="shared" si="67"/>
        <v>1645.2564999999381</v>
      </c>
      <c r="F1332" s="373">
        <f t="shared" si="68"/>
        <v>1583.4999999999404</v>
      </c>
    </row>
    <row r="1333" spans="4:6" x14ac:dyDescent="0.25">
      <c r="D1333" s="105">
        <f t="shared" si="69"/>
        <v>1583.5499999999404</v>
      </c>
      <c r="E1333" s="373">
        <f t="shared" si="67"/>
        <v>1645.3084499999381</v>
      </c>
      <c r="F1333" s="373">
        <f t="shared" si="68"/>
        <v>1583.5499999999404</v>
      </c>
    </row>
    <row r="1334" spans="4:6" x14ac:dyDescent="0.25">
      <c r="D1334" s="105">
        <f t="shared" si="69"/>
        <v>1583.5999999999403</v>
      </c>
      <c r="E1334" s="373">
        <f t="shared" si="67"/>
        <v>1645.360399999938</v>
      </c>
      <c r="F1334" s="373">
        <f t="shared" si="68"/>
        <v>1583.5999999999403</v>
      </c>
    </row>
    <row r="1335" spans="4:6" x14ac:dyDescent="0.25">
      <c r="D1335" s="105">
        <f t="shared" si="69"/>
        <v>1583.6499999999403</v>
      </c>
      <c r="E1335" s="373">
        <f t="shared" si="67"/>
        <v>1645.412349999938</v>
      </c>
      <c r="F1335" s="373">
        <f t="shared" si="68"/>
        <v>1583.6499999999403</v>
      </c>
    </row>
    <row r="1336" spans="4:6" x14ac:dyDescent="0.25">
      <c r="D1336" s="105">
        <f t="shared" si="69"/>
        <v>1583.6999999999402</v>
      </c>
      <c r="E1336" s="373">
        <f t="shared" si="67"/>
        <v>1645.464299999938</v>
      </c>
      <c r="F1336" s="373">
        <f t="shared" si="68"/>
        <v>1583.6999999999402</v>
      </c>
    </row>
    <row r="1337" spans="4:6" x14ac:dyDescent="0.25">
      <c r="D1337" s="105">
        <f t="shared" si="69"/>
        <v>1583.7499999999402</v>
      </c>
      <c r="E1337" s="373">
        <f t="shared" si="67"/>
        <v>1645.5162499999378</v>
      </c>
      <c r="F1337" s="373">
        <f t="shared" si="68"/>
        <v>1583.7499999999402</v>
      </c>
    </row>
    <row r="1338" spans="4:6" x14ac:dyDescent="0.25">
      <c r="D1338" s="105">
        <f t="shared" si="69"/>
        <v>1583.7999999999402</v>
      </c>
      <c r="E1338" s="373">
        <f t="shared" si="67"/>
        <v>1645.5681999999379</v>
      </c>
      <c r="F1338" s="373">
        <f t="shared" si="68"/>
        <v>1583.7999999999402</v>
      </c>
    </row>
    <row r="1339" spans="4:6" x14ac:dyDescent="0.25">
      <c r="D1339" s="105">
        <f t="shared" si="69"/>
        <v>1583.8499999999401</v>
      </c>
      <c r="E1339" s="373">
        <f t="shared" si="67"/>
        <v>1645.6201499999377</v>
      </c>
      <c r="F1339" s="373">
        <f t="shared" si="68"/>
        <v>1583.8499999999401</v>
      </c>
    </row>
    <row r="1340" spans="4:6" x14ac:dyDescent="0.25">
      <c r="D1340" s="105">
        <f t="shared" si="69"/>
        <v>1583.8999999999401</v>
      </c>
      <c r="E1340" s="373">
        <f t="shared" si="67"/>
        <v>1645.6720999999377</v>
      </c>
      <c r="F1340" s="373">
        <f t="shared" si="68"/>
        <v>1583.8999999999401</v>
      </c>
    </row>
    <row r="1341" spans="4:6" x14ac:dyDescent="0.25">
      <c r="D1341" s="105">
        <f t="shared" si="69"/>
        <v>1583.94999999994</v>
      </c>
      <c r="E1341" s="373">
        <f t="shared" si="67"/>
        <v>1645.7240499999377</v>
      </c>
      <c r="F1341" s="373">
        <f t="shared" si="68"/>
        <v>1583.94999999994</v>
      </c>
    </row>
    <row r="1342" spans="4:6" x14ac:dyDescent="0.25">
      <c r="D1342" s="105">
        <f t="shared" si="69"/>
        <v>1583.99999999994</v>
      </c>
      <c r="E1342" s="373">
        <f t="shared" si="67"/>
        <v>1645.7759999999375</v>
      </c>
      <c r="F1342" s="373">
        <f t="shared" si="68"/>
        <v>1583.99999999994</v>
      </c>
    </row>
    <row r="1343" spans="4:6" x14ac:dyDescent="0.25">
      <c r="D1343" s="105">
        <f t="shared" si="69"/>
        <v>1584.0499999999399</v>
      </c>
      <c r="E1343" s="373">
        <f t="shared" si="67"/>
        <v>1645.8279499999376</v>
      </c>
      <c r="F1343" s="373">
        <f t="shared" si="68"/>
        <v>1584.0499999999399</v>
      </c>
    </row>
    <row r="1344" spans="4:6" x14ac:dyDescent="0.25">
      <c r="D1344" s="105">
        <f t="shared" si="69"/>
        <v>1584.0999999999399</v>
      </c>
      <c r="E1344" s="373">
        <f t="shared" si="67"/>
        <v>1645.8798999999376</v>
      </c>
      <c r="F1344" s="373">
        <f t="shared" si="68"/>
        <v>1584.0999999999399</v>
      </c>
    </row>
    <row r="1345" spans="4:6" x14ac:dyDescent="0.25">
      <c r="D1345" s="105">
        <f t="shared" si="69"/>
        <v>1584.1499999999398</v>
      </c>
      <c r="E1345" s="373">
        <f t="shared" si="67"/>
        <v>1645.9318499999374</v>
      </c>
      <c r="F1345" s="373">
        <f t="shared" si="68"/>
        <v>1584.1499999999398</v>
      </c>
    </row>
    <row r="1346" spans="4:6" x14ac:dyDescent="0.25">
      <c r="D1346" s="105">
        <f t="shared" si="69"/>
        <v>1584.1999999999398</v>
      </c>
      <c r="E1346" s="373">
        <f t="shared" si="67"/>
        <v>1645.9837999999374</v>
      </c>
      <c r="F1346" s="373">
        <f t="shared" si="68"/>
        <v>1584.1999999999398</v>
      </c>
    </row>
    <row r="1347" spans="4:6" x14ac:dyDescent="0.25">
      <c r="D1347" s="105">
        <f t="shared" si="69"/>
        <v>1584.2499999999397</v>
      </c>
      <c r="E1347" s="373">
        <f t="shared" si="67"/>
        <v>1646.0357499999375</v>
      </c>
      <c r="F1347" s="373">
        <f t="shared" si="68"/>
        <v>1584.2499999999397</v>
      </c>
    </row>
    <row r="1348" spans="4:6" x14ac:dyDescent="0.25">
      <c r="D1348" s="105">
        <f t="shared" si="69"/>
        <v>1584.2999999999397</v>
      </c>
      <c r="E1348" s="373">
        <f t="shared" si="67"/>
        <v>1646.0876999999373</v>
      </c>
      <c r="F1348" s="373">
        <f t="shared" si="68"/>
        <v>1584.2999999999397</v>
      </c>
    </row>
    <row r="1349" spans="4:6" x14ac:dyDescent="0.25">
      <c r="D1349" s="105">
        <f t="shared" si="69"/>
        <v>1584.3499999999397</v>
      </c>
      <c r="E1349" s="373">
        <f t="shared" si="67"/>
        <v>1646.1396499999373</v>
      </c>
      <c r="F1349" s="373">
        <f t="shared" si="68"/>
        <v>1584.3499999999397</v>
      </c>
    </row>
    <row r="1350" spans="4:6" x14ac:dyDescent="0.25">
      <c r="D1350" s="105">
        <f t="shared" si="69"/>
        <v>1584.3999999999396</v>
      </c>
      <c r="E1350" s="373">
        <f t="shared" si="67"/>
        <v>1646.1915999999374</v>
      </c>
      <c r="F1350" s="373">
        <f t="shared" si="68"/>
        <v>1584.3999999999396</v>
      </c>
    </row>
    <row r="1351" spans="4:6" x14ac:dyDescent="0.25">
      <c r="D1351" s="105">
        <f t="shared" si="69"/>
        <v>1584.4499999999396</v>
      </c>
      <c r="E1351" s="373">
        <f t="shared" si="67"/>
        <v>1646.2435499999372</v>
      </c>
      <c r="F1351" s="373">
        <f t="shared" si="68"/>
        <v>1584.4499999999396</v>
      </c>
    </row>
    <row r="1352" spans="4:6" x14ac:dyDescent="0.25">
      <c r="D1352" s="105">
        <f t="shared" si="69"/>
        <v>1584.4999999999395</v>
      </c>
      <c r="E1352" s="373">
        <f t="shared" si="67"/>
        <v>1646.2954999999372</v>
      </c>
      <c r="F1352" s="373">
        <f t="shared" si="68"/>
        <v>1584.4999999999395</v>
      </c>
    </row>
    <row r="1353" spans="4:6" x14ac:dyDescent="0.25">
      <c r="D1353" s="105">
        <f t="shared" si="69"/>
        <v>1584.5499999999395</v>
      </c>
      <c r="E1353" s="373">
        <f t="shared" si="67"/>
        <v>1646.347449999937</v>
      </c>
      <c r="F1353" s="373">
        <f t="shared" si="68"/>
        <v>1584.5499999999395</v>
      </c>
    </row>
    <row r="1354" spans="4:6" x14ac:dyDescent="0.25">
      <c r="D1354" s="105">
        <f t="shared" si="69"/>
        <v>1584.5999999999394</v>
      </c>
      <c r="E1354" s="373">
        <f t="shared" si="67"/>
        <v>1646.399399999937</v>
      </c>
      <c r="F1354" s="373">
        <f t="shared" si="68"/>
        <v>1584.5999999999394</v>
      </c>
    </row>
    <row r="1355" spans="4:6" x14ac:dyDescent="0.25">
      <c r="D1355" s="105">
        <f t="shared" si="69"/>
        <v>1584.6499999999394</v>
      </c>
      <c r="E1355" s="373">
        <f t="shared" si="67"/>
        <v>1646.4513499999371</v>
      </c>
      <c r="F1355" s="373">
        <f t="shared" si="68"/>
        <v>1584.6499999999394</v>
      </c>
    </row>
    <row r="1356" spans="4:6" x14ac:dyDescent="0.25">
      <c r="D1356" s="105">
        <f t="shared" si="69"/>
        <v>1584.6999999999393</v>
      </c>
      <c r="E1356" s="373">
        <f t="shared" si="67"/>
        <v>1646.5032999999369</v>
      </c>
      <c r="F1356" s="373">
        <f t="shared" si="68"/>
        <v>1584.6999999999393</v>
      </c>
    </row>
    <row r="1357" spans="4:6" x14ac:dyDescent="0.25">
      <c r="D1357" s="105">
        <f t="shared" si="69"/>
        <v>1584.7499999999393</v>
      </c>
      <c r="E1357" s="373">
        <f t="shared" si="67"/>
        <v>1646.5552499999369</v>
      </c>
      <c r="F1357" s="373">
        <f t="shared" si="68"/>
        <v>1584.7499999999393</v>
      </c>
    </row>
    <row r="1358" spans="4:6" x14ac:dyDescent="0.25">
      <c r="D1358" s="105">
        <f t="shared" si="69"/>
        <v>1584.7999999999392</v>
      </c>
      <c r="E1358" s="373">
        <f t="shared" si="67"/>
        <v>1646.6071999999369</v>
      </c>
      <c r="F1358" s="373">
        <f t="shared" si="68"/>
        <v>1584.7999999999392</v>
      </c>
    </row>
    <row r="1359" spans="4:6" x14ac:dyDescent="0.25">
      <c r="D1359" s="105">
        <f t="shared" si="69"/>
        <v>1584.8499999999392</v>
      </c>
      <c r="E1359" s="373">
        <f t="shared" si="67"/>
        <v>1646.6591499999367</v>
      </c>
      <c r="F1359" s="373">
        <f t="shared" si="68"/>
        <v>1584.8499999999392</v>
      </c>
    </row>
    <row r="1360" spans="4:6" x14ac:dyDescent="0.25">
      <c r="D1360" s="105">
        <f t="shared" si="69"/>
        <v>1584.8999999999392</v>
      </c>
      <c r="E1360" s="373">
        <f t="shared" si="67"/>
        <v>1646.7110999999368</v>
      </c>
      <c r="F1360" s="373">
        <f t="shared" si="68"/>
        <v>1584.8999999999392</v>
      </c>
    </row>
    <row r="1361" spans="4:6" x14ac:dyDescent="0.25">
      <c r="D1361" s="105">
        <f t="shared" si="69"/>
        <v>1584.9499999999391</v>
      </c>
      <c r="E1361" s="373">
        <f t="shared" si="67"/>
        <v>1646.7630499999368</v>
      </c>
      <c r="F1361" s="373">
        <f t="shared" si="68"/>
        <v>1584.9499999999391</v>
      </c>
    </row>
    <row r="1362" spans="4:6" x14ac:dyDescent="0.25">
      <c r="D1362" s="105">
        <f t="shared" si="69"/>
        <v>1584.9999999999391</v>
      </c>
      <c r="E1362" s="373">
        <f t="shared" si="67"/>
        <v>1646.8149999999366</v>
      </c>
      <c r="F1362" s="373">
        <f t="shared" si="68"/>
        <v>1584.9999999999391</v>
      </c>
    </row>
    <row r="1363" spans="4:6" x14ac:dyDescent="0.25">
      <c r="D1363" s="105">
        <f t="shared" si="69"/>
        <v>1585.049999999939</v>
      </c>
      <c r="E1363" s="373">
        <f t="shared" si="67"/>
        <v>1646.8669499999367</v>
      </c>
      <c r="F1363" s="373">
        <f t="shared" si="68"/>
        <v>1585.049999999939</v>
      </c>
    </row>
    <row r="1364" spans="4:6" x14ac:dyDescent="0.25">
      <c r="D1364" s="105">
        <f t="shared" si="69"/>
        <v>1585.099999999939</v>
      </c>
      <c r="E1364" s="373">
        <f t="shared" si="67"/>
        <v>1646.9188999999367</v>
      </c>
      <c r="F1364" s="373">
        <f t="shared" si="68"/>
        <v>1585.099999999939</v>
      </c>
    </row>
    <row r="1365" spans="4:6" x14ac:dyDescent="0.25">
      <c r="D1365" s="105">
        <f t="shared" si="69"/>
        <v>1585.1499999999389</v>
      </c>
      <c r="E1365" s="373">
        <f t="shared" si="67"/>
        <v>1646.9708499999365</v>
      </c>
      <c r="F1365" s="373">
        <f t="shared" si="68"/>
        <v>1585.1499999999389</v>
      </c>
    </row>
    <row r="1366" spans="4:6" x14ac:dyDescent="0.25">
      <c r="D1366" s="105">
        <f t="shared" si="69"/>
        <v>1585.1999999999389</v>
      </c>
      <c r="E1366" s="373">
        <f t="shared" si="67"/>
        <v>1647.0227999999365</v>
      </c>
      <c r="F1366" s="373">
        <f t="shared" si="68"/>
        <v>1585.1999999999389</v>
      </c>
    </row>
    <row r="1367" spans="4:6" x14ac:dyDescent="0.25">
      <c r="D1367" s="105">
        <f t="shared" si="69"/>
        <v>1585.2499999999388</v>
      </c>
      <c r="E1367" s="373">
        <f t="shared" ref="E1367:E1430" si="70">D1367*$C$2 + D1367</f>
        <v>1647.0747499999366</v>
      </c>
      <c r="F1367" s="373">
        <f t="shared" ref="F1367:F1430" si="71">D1367</f>
        <v>1585.2499999999388</v>
      </c>
    </row>
    <row r="1368" spans="4:6" x14ac:dyDescent="0.25">
      <c r="D1368" s="105">
        <f t="shared" ref="D1368:D1431" si="72">D1367+0.05</f>
        <v>1585.2999999999388</v>
      </c>
      <c r="E1368" s="373">
        <f t="shared" si="70"/>
        <v>1647.1266999999364</v>
      </c>
      <c r="F1368" s="373">
        <f t="shared" si="71"/>
        <v>1585.2999999999388</v>
      </c>
    </row>
    <row r="1369" spans="4:6" x14ac:dyDescent="0.25">
      <c r="D1369" s="105">
        <f t="shared" si="72"/>
        <v>1585.3499999999387</v>
      </c>
      <c r="E1369" s="373">
        <f t="shared" si="70"/>
        <v>1647.1786499999364</v>
      </c>
      <c r="F1369" s="373">
        <f t="shared" si="71"/>
        <v>1585.3499999999387</v>
      </c>
    </row>
    <row r="1370" spans="4:6" x14ac:dyDescent="0.25">
      <c r="D1370" s="105">
        <f t="shared" si="72"/>
        <v>1585.3999999999387</v>
      </c>
      <c r="E1370" s="373">
        <f t="shared" si="70"/>
        <v>1647.2305999999362</v>
      </c>
      <c r="F1370" s="373">
        <f t="shared" si="71"/>
        <v>1585.3999999999387</v>
      </c>
    </row>
    <row r="1371" spans="4:6" x14ac:dyDescent="0.25">
      <c r="D1371" s="105">
        <f t="shared" si="72"/>
        <v>1585.4499999999387</v>
      </c>
      <c r="E1371" s="373">
        <f t="shared" si="70"/>
        <v>1647.2825499999362</v>
      </c>
      <c r="F1371" s="373">
        <f t="shared" si="71"/>
        <v>1585.4499999999387</v>
      </c>
    </row>
    <row r="1372" spans="4:6" x14ac:dyDescent="0.25">
      <c r="D1372" s="105">
        <f t="shared" si="72"/>
        <v>1585.4999999999386</v>
      </c>
      <c r="E1372" s="373">
        <f t="shared" si="70"/>
        <v>1647.3344999999363</v>
      </c>
      <c r="F1372" s="373">
        <f t="shared" si="71"/>
        <v>1585.4999999999386</v>
      </c>
    </row>
    <row r="1373" spans="4:6" x14ac:dyDescent="0.25">
      <c r="D1373" s="105">
        <f t="shared" si="72"/>
        <v>1585.5499999999386</v>
      </c>
      <c r="E1373" s="373">
        <f t="shared" si="70"/>
        <v>1647.3864499999361</v>
      </c>
      <c r="F1373" s="373">
        <f t="shared" si="71"/>
        <v>1585.5499999999386</v>
      </c>
    </row>
    <row r="1374" spans="4:6" x14ac:dyDescent="0.25">
      <c r="D1374" s="105">
        <f t="shared" si="72"/>
        <v>1585.5999999999385</v>
      </c>
      <c r="E1374" s="373">
        <f t="shared" si="70"/>
        <v>1647.4383999999361</v>
      </c>
      <c r="F1374" s="373">
        <f t="shared" si="71"/>
        <v>1585.5999999999385</v>
      </c>
    </row>
    <row r="1375" spans="4:6" x14ac:dyDescent="0.25">
      <c r="D1375" s="105">
        <f t="shared" si="72"/>
        <v>1585.6499999999385</v>
      </c>
      <c r="E1375" s="373">
        <f t="shared" si="70"/>
        <v>1647.4903499999361</v>
      </c>
      <c r="F1375" s="373">
        <f t="shared" si="71"/>
        <v>1585.6499999999385</v>
      </c>
    </row>
    <row r="1376" spans="4:6" x14ac:dyDescent="0.25">
      <c r="D1376" s="105">
        <f t="shared" si="72"/>
        <v>1585.6999999999384</v>
      </c>
      <c r="E1376" s="373">
        <f t="shared" si="70"/>
        <v>1647.5422999999359</v>
      </c>
      <c r="F1376" s="373">
        <f t="shared" si="71"/>
        <v>1585.6999999999384</v>
      </c>
    </row>
    <row r="1377" spans="4:6" x14ac:dyDescent="0.25">
      <c r="D1377" s="105">
        <f t="shared" si="72"/>
        <v>1585.7499999999384</v>
      </c>
      <c r="E1377" s="373">
        <f t="shared" si="70"/>
        <v>1647.594249999936</v>
      </c>
      <c r="F1377" s="373">
        <f t="shared" si="71"/>
        <v>1585.7499999999384</v>
      </c>
    </row>
    <row r="1378" spans="4:6" x14ac:dyDescent="0.25">
      <c r="D1378" s="105">
        <f t="shared" si="72"/>
        <v>1585.7999999999383</v>
      </c>
      <c r="E1378" s="373">
        <f t="shared" si="70"/>
        <v>1647.646199999936</v>
      </c>
      <c r="F1378" s="373">
        <f t="shared" si="71"/>
        <v>1585.7999999999383</v>
      </c>
    </row>
    <row r="1379" spans="4:6" x14ac:dyDescent="0.25">
      <c r="D1379" s="105">
        <f t="shared" si="72"/>
        <v>1585.8499999999383</v>
      </c>
      <c r="E1379" s="373">
        <f t="shared" si="70"/>
        <v>1647.6981499999358</v>
      </c>
      <c r="F1379" s="373">
        <f t="shared" si="71"/>
        <v>1585.8499999999383</v>
      </c>
    </row>
    <row r="1380" spans="4:6" x14ac:dyDescent="0.25">
      <c r="D1380" s="105">
        <f t="shared" si="72"/>
        <v>1585.8999999999382</v>
      </c>
      <c r="E1380" s="373">
        <f t="shared" si="70"/>
        <v>1647.7500999999359</v>
      </c>
      <c r="F1380" s="373">
        <f t="shared" si="71"/>
        <v>1585.8999999999382</v>
      </c>
    </row>
    <row r="1381" spans="4:6" x14ac:dyDescent="0.25">
      <c r="D1381" s="105">
        <f t="shared" si="72"/>
        <v>1585.9499999999382</v>
      </c>
      <c r="E1381" s="373">
        <f t="shared" si="70"/>
        <v>1647.8020499999359</v>
      </c>
      <c r="F1381" s="373">
        <f t="shared" si="71"/>
        <v>1585.9499999999382</v>
      </c>
    </row>
    <row r="1382" spans="4:6" x14ac:dyDescent="0.25">
      <c r="D1382" s="105">
        <f t="shared" si="72"/>
        <v>1585.9999999999382</v>
      </c>
      <c r="E1382" s="373">
        <f t="shared" si="70"/>
        <v>1647.8539999999357</v>
      </c>
      <c r="F1382" s="373">
        <f t="shared" si="71"/>
        <v>1585.9999999999382</v>
      </c>
    </row>
    <row r="1383" spans="4:6" x14ac:dyDescent="0.25">
      <c r="D1383" s="105">
        <f t="shared" si="72"/>
        <v>1586.0499999999381</v>
      </c>
      <c r="E1383" s="373">
        <f t="shared" si="70"/>
        <v>1647.9059499999357</v>
      </c>
      <c r="F1383" s="373">
        <f t="shared" si="71"/>
        <v>1586.0499999999381</v>
      </c>
    </row>
    <row r="1384" spans="4:6" x14ac:dyDescent="0.25">
      <c r="D1384" s="105">
        <f t="shared" si="72"/>
        <v>1586.0999999999381</v>
      </c>
      <c r="E1384" s="373">
        <f t="shared" si="70"/>
        <v>1647.9578999999358</v>
      </c>
      <c r="F1384" s="373">
        <f t="shared" si="71"/>
        <v>1586.0999999999381</v>
      </c>
    </row>
    <row r="1385" spans="4:6" x14ac:dyDescent="0.25">
      <c r="D1385" s="105">
        <f t="shared" si="72"/>
        <v>1586.149999999938</v>
      </c>
      <c r="E1385" s="373">
        <f t="shared" si="70"/>
        <v>1648.0098499999356</v>
      </c>
      <c r="F1385" s="373">
        <f t="shared" si="71"/>
        <v>1586.149999999938</v>
      </c>
    </row>
    <row r="1386" spans="4:6" x14ac:dyDescent="0.25">
      <c r="D1386" s="105">
        <f t="shared" si="72"/>
        <v>1586.199999999938</v>
      </c>
      <c r="E1386" s="373">
        <f t="shared" si="70"/>
        <v>1648.0617999999356</v>
      </c>
      <c r="F1386" s="373">
        <f t="shared" si="71"/>
        <v>1586.199999999938</v>
      </c>
    </row>
    <row r="1387" spans="4:6" x14ac:dyDescent="0.25">
      <c r="D1387" s="105">
        <f t="shared" si="72"/>
        <v>1586.2499999999379</v>
      </c>
      <c r="E1387" s="373">
        <f t="shared" si="70"/>
        <v>1648.1137499999354</v>
      </c>
      <c r="F1387" s="373">
        <f t="shared" si="71"/>
        <v>1586.2499999999379</v>
      </c>
    </row>
    <row r="1388" spans="4:6" x14ac:dyDescent="0.25">
      <c r="D1388" s="105">
        <f t="shared" si="72"/>
        <v>1586.2999999999379</v>
      </c>
      <c r="E1388" s="373">
        <f t="shared" si="70"/>
        <v>1648.1656999999354</v>
      </c>
      <c r="F1388" s="373">
        <f t="shared" si="71"/>
        <v>1586.2999999999379</v>
      </c>
    </row>
    <row r="1389" spans="4:6" x14ac:dyDescent="0.25">
      <c r="D1389" s="105">
        <f t="shared" si="72"/>
        <v>1586.3499999999378</v>
      </c>
      <c r="E1389" s="373">
        <f t="shared" si="70"/>
        <v>1648.2176499999355</v>
      </c>
      <c r="F1389" s="373">
        <f t="shared" si="71"/>
        <v>1586.3499999999378</v>
      </c>
    </row>
    <row r="1390" spans="4:6" x14ac:dyDescent="0.25">
      <c r="D1390" s="105">
        <f t="shared" si="72"/>
        <v>1586.3999999999378</v>
      </c>
      <c r="E1390" s="373">
        <f t="shared" si="70"/>
        <v>1648.2695999999353</v>
      </c>
      <c r="F1390" s="373">
        <f t="shared" si="71"/>
        <v>1586.3999999999378</v>
      </c>
    </row>
    <row r="1391" spans="4:6" x14ac:dyDescent="0.25">
      <c r="D1391" s="105">
        <f t="shared" si="72"/>
        <v>1586.4499999999377</v>
      </c>
      <c r="E1391" s="373">
        <f t="shared" si="70"/>
        <v>1648.3215499999353</v>
      </c>
      <c r="F1391" s="373">
        <f t="shared" si="71"/>
        <v>1586.4499999999377</v>
      </c>
    </row>
    <row r="1392" spans="4:6" x14ac:dyDescent="0.25">
      <c r="D1392" s="105">
        <f t="shared" si="72"/>
        <v>1586.4999999999377</v>
      </c>
      <c r="E1392" s="373">
        <f t="shared" si="70"/>
        <v>1648.3734999999353</v>
      </c>
      <c r="F1392" s="373">
        <f t="shared" si="71"/>
        <v>1586.4999999999377</v>
      </c>
    </row>
    <row r="1393" spans="4:6" x14ac:dyDescent="0.25">
      <c r="D1393" s="105">
        <f t="shared" si="72"/>
        <v>1586.5499999999377</v>
      </c>
      <c r="E1393" s="373">
        <f t="shared" si="70"/>
        <v>1648.4254499999352</v>
      </c>
      <c r="F1393" s="373">
        <f t="shared" si="71"/>
        <v>1586.5499999999377</v>
      </c>
    </row>
    <row r="1394" spans="4:6" x14ac:dyDescent="0.25">
      <c r="D1394" s="105">
        <f t="shared" si="72"/>
        <v>1586.5999999999376</v>
      </c>
      <c r="E1394" s="373">
        <f t="shared" si="70"/>
        <v>1648.4773999999352</v>
      </c>
      <c r="F1394" s="373">
        <f t="shared" si="71"/>
        <v>1586.5999999999376</v>
      </c>
    </row>
    <row r="1395" spans="4:6" x14ac:dyDescent="0.25">
      <c r="D1395" s="105">
        <f t="shared" si="72"/>
        <v>1586.6499999999376</v>
      </c>
      <c r="E1395" s="373">
        <f t="shared" si="70"/>
        <v>1648.5293499999352</v>
      </c>
      <c r="F1395" s="373">
        <f t="shared" si="71"/>
        <v>1586.6499999999376</v>
      </c>
    </row>
    <row r="1396" spans="4:6" x14ac:dyDescent="0.25">
      <c r="D1396" s="105">
        <f t="shared" si="72"/>
        <v>1586.6999999999375</v>
      </c>
      <c r="E1396" s="373">
        <f t="shared" si="70"/>
        <v>1648.581299999935</v>
      </c>
      <c r="F1396" s="373">
        <f t="shared" si="71"/>
        <v>1586.6999999999375</v>
      </c>
    </row>
    <row r="1397" spans="4:6" x14ac:dyDescent="0.25">
      <c r="D1397" s="105">
        <f t="shared" si="72"/>
        <v>1586.7499999999375</v>
      </c>
      <c r="E1397" s="373">
        <f t="shared" si="70"/>
        <v>1648.6332499999351</v>
      </c>
      <c r="F1397" s="373">
        <f t="shared" si="71"/>
        <v>1586.7499999999375</v>
      </c>
    </row>
    <row r="1398" spans="4:6" x14ac:dyDescent="0.25">
      <c r="D1398" s="105">
        <f t="shared" si="72"/>
        <v>1586.7999999999374</v>
      </c>
      <c r="E1398" s="373">
        <f t="shared" si="70"/>
        <v>1648.6851999999351</v>
      </c>
      <c r="F1398" s="373">
        <f t="shared" si="71"/>
        <v>1586.7999999999374</v>
      </c>
    </row>
    <row r="1399" spans="4:6" x14ac:dyDescent="0.25">
      <c r="D1399" s="105">
        <f t="shared" si="72"/>
        <v>1586.8499999999374</v>
      </c>
      <c r="E1399" s="373">
        <f t="shared" si="70"/>
        <v>1648.7371499999349</v>
      </c>
      <c r="F1399" s="373">
        <f t="shared" si="71"/>
        <v>1586.8499999999374</v>
      </c>
    </row>
    <row r="1400" spans="4:6" x14ac:dyDescent="0.25">
      <c r="D1400" s="105">
        <f t="shared" si="72"/>
        <v>1586.8999999999373</v>
      </c>
      <c r="E1400" s="373">
        <f t="shared" si="70"/>
        <v>1648.7890999999349</v>
      </c>
      <c r="F1400" s="373">
        <f t="shared" si="71"/>
        <v>1586.8999999999373</v>
      </c>
    </row>
    <row r="1401" spans="4:6" x14ac:dyDescent="0.25">
      <c r="D1401" s="105">
        <f t="shared" si="72"/>
        <v>1586.9499999999373</v>
      </c>
      <c r="E1401" s="373">
        <f t="shared" si="70"/>
        <v>1648.8410499999347</v>
      </c>
      <c r="F1401" s="373">
        <f t="shared" si="71"/>
        <v>1586.9499999999373</v>
      </c>
    </row>
    <row r="1402" spans="4:6" x14ac:dyDescent="0.25">
      <c r="D1402" s="105">
        <f t="shared" si="72"/>
        <v>1586.9999999999372</v>
      </c>
      <c r="E1402" s="373">
        <f t="shared" si="70"/>
        <v>1648.8929999999348</v>
      </c>
      <c r="F1402" s="373">
        <f t="shared" si="71"/>
        <v>1586.9999999999372</v>
      </c>
    </row>
    <row r="1403" spans="4:6" x14ac:dyDescent="0.25">
      <c r="D1403" s="105">
        <f t="shared" si="72"/>
        <v>1587.0499999999372</v>
      </c>
      <c r="E1403" s="373">
        <f t="shared" si="70"/>
        <v>1648.9449499999348</v>
      </c>
      <c r="F1403" s="373">
        <f t="shared" si="71"/>
        <v>1587.0499999999372</v>
      </c>
    </row>
    <row r="1404" spans="4:6" x14ac:dyDescent="0.25">
      <c r="D1404" s="105">
        <f t="shared" si="72"/>
        <v>1587.0999999999372</v>
      </c>
      <c r="E1404" s="373">
        <f t="shared" si="70"/>
        <v>1648.9968999999346</v>
      </c>
      <c r="F1404" s="373">
        <f t="shared" si="71"/>
        <v>1587.0999999999372</v>
      </c>
    </row>
    <row r="1405" spans="4:6" x14ac:dyDescent="0.25">
      <c r="D1405" s="105">
        <f t="shared" si="72"/>
        <v>1587.1499999999371</v>
      </c>
      <c r="E1405" s="373">
        <f t="shared" si="70"/>
        <v>1649.0488499999346</v>
      </c>
      <c r="F1405" s="373">
        <f t="shared" si="71"/>
        <v>1587.1499999999371</v>
      </c>
    </row>
    <row r="1406" spans="4:6" x14ac:dyDescent="0.25">
      <c r="D1406" s="105">
        <f t="shared" si="72"/>
        <v>1587.1999999999371</v>
      </c>
      <c r="E1406" s="373">
        <f t="shared" si="70"/>
        <v>1649.1007999999347</v>
      </c>
      <c r="F1406" s="373">
        <f t="shared" si="71"/>
        <v>1587.1999999999371</v>
      </c>
    </row>
    <row r="1407" spans="4:6" x14ac:dyDescent="0.25">
      <c r="D1407" s="105">
        <f t="shared" si="72"/>
        <v>1587.249999999937</v>
      </c>
      <c r="E1407" s="373">
        <f t="shared" si="70"/>
        <v>1649.1527499999345</v>
      </c>
      <c r="F1407" s="373">
        <f t="shared" si="71"/>
        <v>1587.249999999937</v>
      </c>
    </row>
    <row r="1408" spans="4:6" x14ac:dyDescent="0.25">
      <c r="D1408" s="105">
        <f t="shared" si="72"/>
        <v>1587.299999999937</v>
      </c>
      <c r="E1408" s="373">
        <f t="shared" si="70"/>
        <v>1649.2046999999345</v>
      </c>
      <c r="F1408" s="373">
        <f t="shared" si="71"/>
        <v>1587.299999999937</v>
      </c>
    </row>
    <row r="1409" spans="4:6" x14ac:dyDescent="0.25">
      <c r="D1409" s="105">
        <f t="shared" si="72"/>
        <v>1587.3499999999369</v>
      </c>
      <c r="E1409" s="373">
        <f t="shared" si="70"/>
        <v>1649.2566499999346</v>
      </c>
      <c r="F1409" s="373">
        <f t="shared" si="71"/>
        <v>1587.3499999999369</v>
      </c>
    </row>
    <row r="1410" spans="4:6" x14ac:dyDescent="0.25">
      <c r="D1410" s="105">
        <f t="shared" si="72"/>
        <v>1587.3999999999369</v>
      </c>
      <c r="E1410" s="373">
        <f t="shared" si="70"/>
        <v>1649.3085999999344</v>
      </c>
      <c r="F1410" s="373">
        <f t="shared" si="71"/>
        <v>1587.3999999999369</v>
      </c>
    </row>
    <row r="1411" spans="4:6" x14ac:dyDescent="0.25">
      <c r="D1411" s="105">
        <f t="shared" si="72"/>
        <v>1587.4499999999368</v>
      </c>
      <c r="E1411" s="373">
        <f t="shared" si="70"/>
        <v>1649.3605499999344</v>
      </c>
      <c r="F1411" s="373">
        <f t="shared" si="71"/>
        <v>1587.4499999999368</v>
      </c>
    </row>
    <row r="1412" spans="4:6" x14ac:dyDescent="0.25">
      <c r="D1412" s="105">
        <f t="shared" si="72"/>
        <v>1587.4999999999368</v>
      </c>
      <c r="E1412" s="373">
        <f t="shared" si="70"/>
        <v>1649.4124999999344</v>
      </c>
      <c r="F1412" s="373">
        <f t="shared" si="71"/>
        <v>1587.4999999999368</v>
      </c>
    </row>
    <row r="1413" spans="4:6" x14ac:dyDescent="0.25">
      <c r="D1413" s="105">
        <f t="shared" si="72"/>
        <v>1587.5499999999367</v>
      </c>
      <c r="E1413" s="373">
        <f t="shared" si="70"/>
        <v>1649.4644499999342</v>
      </c>
      <c r="F1413" s="373">
        <f t="shared" si="71"/>
        <v>1587.5499999999367</v>
      </c>
    </row>
    <row r="1414" spans="4:6" x14ac:dyDescent="0.25">
      <c r="D1414" s="105">
        <f t="shared" si="72"/>
        <v>1587.5999999999367</v>
      </c>
      <c r="E1414" s="373">
        <f t="shared" si="70"/>
        <v>1649.5163999999343</v>
      </c>
      <c r="F1414" s="373">
        <f t="shared" si="71"/>
        <v>1587.5999999999367</v>
      </c>
    </row>
    <row r="1415" spans="4:6" x14ac:dyDescent="0.25">
      <c r="D1415" s="105">
        <f t="shared" si="72"/>
        <v>1587.6499999999367</v>
      </c>
      <c r="E1415" s="373">
        <f t="shared" si="70"/>
        <v>1649.5683499999341</v>
      </c>
      <c r="F1415" s="373">
        <f t="shared" si="71"/>
        <v>1587.6499999999367</v>
      </c>
    </row>
    <row r="1416" spans="4:6" x14ac:dyDescent="0.25">
      <c r="D1416" s="105">
        <f t="shared" si="72"/>
        <v>1587.6999999999366</v>
      </c>
      <c r="E1416" s="373">
        <f t="shared" si="70"/>
        <v>1649.6202999999341</v>
      </c>
      <c r="F1416" s="373">
        <f t="shared" si="71"/>
        <v>1587.6999999999366</v>
      </c>
    </row>
    <row r="1417" spans="4:6" x14ac:dyDescent="0.25">
      <c r="D1417" s="105">
        <f t="shared" si="72"/>
        <v>1587.7499999999366</v>
      </c>
      <c r="E1417" s="373">
        <f t="shared" si="70"/>
        <v>1649.6722499999341</v>
      </c>
      <c r="F1417" s="373">
        <f t="shared" si="71"/>
        <v>1587.7499999999366</v>
      </c>
    </row>
    <row r="1418" spans="4:6" x14ac:dyDescent="0.25">
      <c r="D1418" s="105">
        <f t="shared" si="72"/>
        <v>1587.7999999999365</v>
      </c>
      <c r="E1418" s="373">
        <f t="shared" si="70"/>
        <v>1649.7241999999339</v>
      </c>
      <c r="F1418" s="373">
        <f t="shared" si="71"/>
        <v>1587.7999999999365</v>
      </c>
    </row>
    <row r="1419" spans="4:6" x14ac:dyDescent="0.25">
      <c r="D1419" s="105">
        <f t="shared" si="72"/>
        <v>1587.8499999999365</v>
      </c>
      <c r="E1419" s="373">
        <f t="shared" si="70"/>
        <v>1649.776149999934</v>
      </c>
      <c r="F1419" s="373">
        <f t="shared" si="71"/>
        <v>1587.8499999999365</v>
      </c>
    </row>
    <row r="1420" spans="4:6" x14ac:dyDescent="0.25">
      <c r="D1420" s="105">
        <f t="shared" si="72"/>
        <v>1587.8999999999364</v>
      </c>
      <c r="E1420" s="373">
        <f t="shared" si="70"/>
        <v>1649.828099999934</v>
      </c>
      <c r="F1420" s="373">
        <f t="shared" si="71"/>
        <v>1587.8999999999364</v>
      </c>
    </row>
    <row r="1421" spans="4:6" x14ac:dyDescent="0.25">
      <c r="D1421" s="105">
        <f t="shared" si="72"/>
        <v>1587.9499999999364</v>
      </c>
      <c r="E1421" s="373">
        <f t="shared" si="70"/>
        <v>1649.8800499999338</v>
      </c>
      <c r="F1421" s="373">
        <f t="shared" si="71"/>
        <v>1587.9499999999364</v>
      </c>
    </row>
    <row r="1422" spans="4:6" x14ac:dyDescent="0.25">
      <c r="D1422" s="105">
        <f t="shared" si="72"/>
        <v>1587.9999999999363</v>
      </c>
      <c r="E1422" s="373">
        <f t="shared" si="70"/>
        <v>1649.9319999999339</v>
      </c>
      <c r="F1422" s="373">
        <f t="shared" si="71"/>
        <v>1587.9999999999363</v>
      </c>
    </row>
    <row r="1423" spans="4:6" x14ac:dyDescent="0.25">
      <c r="D1423" s="105">
        <f t="shared" si="72"/>
        <v>1588.0499999999363</v>
      </c>
      <c r="E1423" s="373">
        <f t="shared" si="70"/>
        <v>1649.9839499999339</v>
      </c>
      <c r="F1423" s="373">
        <f t="shared" si="71"/>
        <v>1588.0499999999363</v>
      </c>
    </row>
    <row r="1424" spans="4:6" x14ac:dyDescent="0.25">
      <c r="D1424" s="105">
        <f t="shared" si="72"/>
        <v>1588.0999999999362</v>
      </c>
      <c r="E1424" s="373">
        <f t="shared" si="70"/>
        <v>1650.0358999999337</v>
      </c>
      <c r="F1424" s="373">
        <f t="shared" si="71"/>
        <v>1588.0999999999362</v>
      </c>
    </row>
    <row r="1425" spans="4:6" x14ac:dyDescent="0.25">
      <c r="D1425" s="105">
        <f t="shared" si="72"/>
        <v>1588.1499999999362</v>
      </c>
      <c r="E1425" s="373">
        <f t="shared" si="70"/>
        <v>1650.0878499999337</v>
      </c>
      <c r="F1425" s="373">
        <f t="shared" si="71"/>
        <v>1588.1499999999362</v>
      </c>
    </row>
    <row r="1426" spans="4:6" x14ac:dyDescent="0.25">
      <c r="D1426" s="105">
        <f t="shared" si="72"/>
        <v>1588.1999999999362</v>
      </c>
      <c r="E1426" s="373">
        <f t="shared" si="70"/>
        <v>1650.1397999999338</v>
      </c>
      <c r="F1426" s="373">
        <f t="shared" si="71"/>
        <v>1588.1999999999362</v>
      </c>
    </row>
    <row r="1427" spans="4:6" x14ac:dyDescent="0.25">
      <c r="D1427" s="105">
        <f t="shared" si="72"/>
        <v>1588.2499999999361</v>
      </c>
      <c r="E1427" s="373">
        <f t="shared" si="70"/>
        <v>1650.1917499999336</v>
      </c>
      <c r="F1427" s="373">
        <f t="shared" si="71"/>
        <v>1588.2499999999361</v>
      </c>
    </row>
    <row r="1428" spans="4:6" x14ac:dyDescent="0.25">
      <c r="D1428" s="105">
        <f t="shared" si="72"/>
        <v>1588.2999999999361</v>
      </c>
      <c r="E1428" s="373">
        <f t="shared" si="70"/>
        <v>1650.2436999999336</v>
      </c>
      <c r="F1428" s="373">
        <f t="shared" si="71"/>
        <v>1588.2999999999361</v>
      </c>
    </row>
    <row r="1429" spans="4:6" x14ac:dyDescent="0.25">
      <c r="D1429" s="105">
        <f t="shared" si="72"/>
        <v>1588.349999999936</v>
      </c>
      <c r="E1429" s="373">
        <f t="shared" si="70"/>
        <v>1650.2956499999336</v>
      </c>
      <c r="F1429" s="373">
        <f t="shared" si="71"/>
        <v>1588.349999999936</v>
      </c>
    </row>
    <row r="1430" spans="4:6" x14ac:dyDescent="0.25">
      <c r="D1430" s="105">
        <f t="shared" si="72"/>
        <v>1588.399999999936</v>
      </c>
      <c r="E1430" s="373">
        <f t="shared" si="70"/>
        <v>1650.3475999999334</v>
      </c>
      <c r="F1430" s="373">
        <f t="shared" si="71"/>
        <v>1588.399999999936</v>
      </c>
    </row>
    <row r="1431" spans="4:6" x14ac:dyDescent="0.25">
      <c r="D1431" s="105">
        <f t="shared" si="72"/>
        <v>1588.4499999999359</v>
      </c>
      <c r="E1431" s="373">
        <f t="shared" ref="E1431:E1494" si="73">D1431*$C$2 + D1431</f>
        <v>1650.3995499999335</v>
      </c>
      <c r="F1431" s="373">
        <f t="shared" ref="F1431:F1494" si="74">D1431</f>
        <v>1588.4499999999359</v>
      </c>
    </row>
    <row r="1432" spans="4:6" x14ac:dyDescent="0.25">
      <c r="D1432" s="105">
        <f t="shared" ref="D1432:D1495" si="75">D1431+0.05</f>
        <v>1588.4999999999359</v>
      </c>
      <c r="E1432" s="373">
        <f t="shared" si="73"/>
        <v>1650.4514999999333</v>
      </c>
      <c r="F1432" s="373">
        <f t="shared" si="74"/>
        <v>1588.4999999999359</v>
      </c>
    </row>
    <row r="1433" spans="4:6" x14ac:dyDescent="0.25">
      <c r="D1433" s="105">
        <f t="shared" si="75"/>
        <v>1588.5499999999358</v>
      </c>
      <c r="E1433" s="373">
        <f t="shared" si="73"/>
        <v>1650.5034499999333</v>
      </c>
      <c r="F1433" s="373">
        <f t="shared" si="74"/>
        <v>1588.5499999999358</v>
      </c>
    </row>
    <row r="1434" spans="4:6" x14ac:dyDescent="0.25">
      <c r="D1434" s="105">
        <f t="shared" si="75"/>
        <v>1588.5999999999358</v>
      </c>
      <c r="E1434" s="373">
        <f t="shared" si="73"/>
        <v>1650.5553999999333</v>
      </c>
      <c r="F1434" s="373">
        <f t="shared" si="74"/>
        <v>1588.5999999999358</v>
      </c>
    </row>
    <row r="1435" spans="4:6" x14ac:dyDescent="0.25">
      <c r="D1435" s="105">
        <f t="shared" si="75"/>
        <v>1588.6499999999357</v>
      </c>
      <c r="E1435" s="373">
        <f t="shared" si="73"/>
        <v>1650.6073499999331</v>
      </c>
      <c r="F1435" s="373">
        <f t="shared" si="74"/>
        <v>1588.6499999999357</v>
      </c>
    </row>
    <row r="1436" spans="4:6" x14ac:dyDescent="0.25">
      <c r="D1436" s="105">
        <f t="shared" si="75"/>
        <v>1588.6999999999357</v>
      </c>
      <c r="E1436" s="373">
        <f t="shared" si="73"/>
        <v>1650.6592999999332</v>
      </c>
      <c r="F1436" s="373">
        <f t="shared" si="74"/>
        <v>1588.6999999999357</v>
      </c>
    </row>
    <row r="1437" spans="4:6" x14ac:dyDescent="0.25">
      <c r="D1437" s="105">
        <f t="shared" si="75"/>
        <v>1588.7499999999357</v>
      </c>
      <c r="E1437" s="373">
        <f t="shared" si="73"/>
        <v>1650.7112499999332</v>
      </c>
      <c r="F1437" s="373">
        <f t="shared" si="74"/>
        <v>1588.7499999999357</v>
      </c>
    </row>
    <row r="1438" spans="4:6" x14ac:dyDescent="0.25">
      <c r="D1438" s="105">
        <f t="shared" si="75"/>
        <v>1588.7999999999356</v>
      </c>
      <c r="E1438" s="373">
        <f t="shared" si="73"/>
        <v>1650.763199999933</v>
      </c>
      <c r="F1438" s="373">
        <f t="shared" si="74"/>
        <v>1588.7999999999356</v>
      </c>
    </row>
    <row r="1439" spans="4:6" x14ac:dyDescent="0.25">
      <c r="D1439" s="105">
        <f t="shared" si="75"/>
        <v>1588.8499999999356</v>
      </c>
      <c r="E1439" s="373">
        <f t="shared" si="73"/>
        <v>1650.8151499999331</v>
      </c>
      <c r="F1439" s="373">
        <f t="shared" si="74"/>
        <v>1588.8499999999356</v>
      </c>
    </row>
    <row r="1440" spans="4:6" x14ac:dyDescent="0.25">
      <c r="D1440" s="105">
        <f t="shared" si="75"/>
        <v>1588.8999999999355</v>
      </c>
      <c r="E1440" s="373">
        <f t="shared" si="73"/>
        <v>1650.8670999999331</v>
      </c>
      <c r="F1440" s="373">
        <f t="shared" si="74"/>
        <v>1588.8999999999355</v>
      </c>
    </row>
    <row r="1441" spans="4:6" x14ac:dyDescent="0.25">
      <c r="D1441" s="105">
        <f t="shared" si="75"/>
        <v>1588.9499999999355</v>
      </c>
      <c r="E1441" s="373">
        <f t="shared" si="73"/>
        <v>1650.9190499999329</v>
      </c>
      <c r="F1441" s="373">
        <f t="shared" si="74"/>
        <v>1588.9499999999355</v>
      </c>
    </row>
    <row r="1442" spans="4:6" x14ac:dyDescent="0.25">
      <c r="D1442" s="105">
        <f t="shared" si="75"/>
        <v>1588.9999999999354</v>
      </c>
      <c r="E1442" s="373">
        <f t="shared" si="73"/>
        <v>1650.9709999999329</v>
      </c>
      <c r="F1442" s="373">
        <f t="shared" si="74"/>
        <v>1588.9999999999354</v>
      </c>
    </row>
    <row r="1443" spans="4:6" x14ac:dyDescent="0.25">
      <c r="D1443" s="105">
        <f t="shared" si="75"/>
        <v>1589.0499999999354</v>
      </c>
      <c r="E1443" s="373">
        <f t="shared" si="73"/>
        <v>1651.022949999933</v>
      </c>
      <c r="F1443" s="373">
        <f t="shared" si="74"/>
        <v>1589.0499999999354</v>
      </c>
    </row>
    <row r="1444" spans="4:6" x14ac:dyDescent="0.25">
      <c r="D1444" s="105">
        <f t="shared" si="75"/>
        <v>1589.0999999999353</v>
      </c>
      <c r="E1444" s="373">
        <f t="shared" si="73"/>
        <v>1651.0748999999328</v>
      </c>
      <c r="F1444" s="373">
        <f t="shared" si="74"/>
        <v>1589.0999999999353</v>
      </c>
    </row>
    <row r="1445" spans="4:6" x14ac:dyDescent="0.25">
      <c r="D1445" s="105">
        <f t="shared" si="75"/>
        <v>1589.1499999999353</v>
      </c>
      <c r="E1445" s="373">
        <f t="shared" si="73"/>
        <v>1651.1268499999328</v>
      </c>
      <c r="F1445" s="373">
        <f t="shared" si="74"/>
        <v>1589.1499999999353</v>
      </c>
    </row>
    <row r="1446" spans="4:6" x14ac:dyDescent="0.25">
      <c r="D1446" s="105">
        <f t="shared" si="75"/>
        <v>1589.1999999999352</v>
      </c>
      <c r="E1446" s="373">
        <f t="shared" si="73"/>
        <v>1651.1787999999328</v>
      </c>
      <c r="F1446" s="373">
        <f t="shared" si="74"/>
        <v>1589.1999999999352</v>
      </c>
    </row>
    <row r="1447" spans="4:6" x14ac:dyDescent="0.25">
      <c r="D1447" s="105">
        <f t="shared" si="75"/>
        <v>1589.2499999999352</v>
      </c>
      <c r="E1447" s="373">
        <f t="shared" si="73"/>
        <v>1651.2307499999326</v>
      </c>
      <c r="F1447" s="373">
        <f t="shared" si="74"/>
        <v>1589.2499999999352</v>
      </c>
    </row>
    <row r="1448" spans="4:6" x14ac:dyDescent="0.25">
      <c r="D1448" s="105">
        <f t="shared" si="75"/>
        <v>1589.2999999999352</v>
      </c>
      <c r="E1448" s="373">
        <f t="shared" si="73"/>
        <v>1651.2826999999327</v>
      </c>
      <c r="F1448" s="373">
        <f t="shared" si="74"/>
        <v>1589.2999999999352</v>
      </c>
    </row>
    <row r="1449" spans="4:6" x14ac:dyDescent="0.25">
      <c r="D1449" s="105">
        <f t="shared" si="75"/>
        <v>1589.3499999999351</v>
      </c>
      <c r="E1449" s="373">
        <f t="shared" si="73"/>
        <v>1651.3346499999325</v>
      </c>
      <c r="F1449" s="373">
        <f t="shared" si="74"/>
        <v>1589.3499999999351</v>
      </c>
    </row>
    <row r="1450" spans="4:6" x14ac:dyDescent="0.25">
      <c r="D1450" s="105">
        <f t="shared" si="75"/>
        <v>1589.3999999999351</v>
      </c>
      <c r="E1450" s="373">
        <f t="shared" si="73"/>
        <v>1651.3865999999325</v>
      </c>
      <c r="F1450" s="373">
        <f t="shared" si="74"/>
        <v>1589.3999999999351</v>
      </c>
    </row>
    <row r="1451" spans="4:6" x14ac:dyDescent="0.25">
      <c r="D1451" s="105">
        <f t="shared" si="75"/>
        <v>1589.449999999935</v>
      </c>
      <c r="E1451" s="373">
        <f t="shared" si="73"/>
        <v>1651.4385499999325</v>
      </c>
      <c r="F1451" s="373">
        <f t="shared" si="74"/>
        <v>1589.449999999935</v>
      </c>
    </row>
    <row r="1452" spans="4:6" x14ac:dyDescent="0.25">
      <c r="D1452" s="105">
        <f t="shared" si="75"/>
        <v>1589.499999999935</v>
      </c>
      <c r="E1452" s="373">
        <f t="shared" si="73"/>
        <v>1651.4904999999324</v>
      </c>
      <c r="F1452" s="373">
        <f t="shared" si="74"/>
        <v>1589.499999999935</v>
      </c>
    </row>
    <row r="1453" spans="4:6" x14ac:dyDescent="0.25">
      <c r="D1453" s="105">
        <f t="shared" si="75"/>
        <v>1589.5499999999349</v>
      </c>
      <c r="E1453" s="373">
        <f t="shared" si="73"/>
        <v>1651.5424499999324</v>
      </c>
      <c r="F1453" s="373">
        <f t="shared" si="74"/>
        <v>1589.5499999999349</v>
      </c>
    </row>
    <row r="1454" spans="4:6" x14ac:dyDescent="0.25">
      <c r="D1454" s="105">
        <f t="shared" si="75"/>
        <v>1589.5999999999349</v>
      </c>
      <c r="E1454" s="373">
        <f t="shared" si="73"/>
        <v>1651.5943999999324</v>
      </c>
      <c r="F1454" s="373">
        <f t="shared" si="74"/>
        <v>1589.5999999999349</v>
      </c>
    </row>
    <row r="1455" spans="4:6" x14ac:dyDescent="0.25">
      <c r="D1455" s="105">
        <f t="shared" si="75"/>
        <v>1589.6499999999348</v>
      </c>
      <c r="E1455" s="373">
        <f t="shared" si="73"/>
        <v>1651.6463499999322</v>
      </c>
      <c r="F1455" s="373">
        <f t="shared" si="74"/>
        <v>1589.6499999999348</v>
      </c>
    </row>
    <row r="1456" spans="4:6" x14ac:dyDescent="0.25">
      <c r="D1456" s="105">
        <f t="shared" si="75"/>
        <v>1589.6999999999348</v>
      </c>
      <c r="E1456" s="373">
        <f t="shared" si="73"/>
        <v>1651.6982999999323</v>
      </c>
      <c r="F1456" s="373">
        <f t="shared" si="74"/>
        <v>1589.6999999999348</v>
      </c>
    </row>
    <row r="1457" spans="4:6" x14ac:dyDescent="0.25">
      <c r="D1457" s="105">
        <f t="shared" si="75"/>
        <v>1589.7499999999347</v>
      </c>
      <c r="E1457" s="373">
        <f t="shared" si="73"/>
        <v>1651.7502499999323</v>
      </c>
      <c r="F1457" s="373">
        <f t="shared" si="74"/>
        <v>1589.7499999999347</v>
      </c>
    </row>
    <row r="1458" spans="4:6" x14ac:dyDescent="0.25">
      <c r="D1458" s="105">
        <f t="shared" si="75"/>
        <v>1589.7999999999347</v>
      </c>
      <c r="E1458" s="373">
        <f t="shared" si="73"/>
        <v>1651.8021999999321</v>
      </c>
      <c r="F1458" s="373">
        <f t="shared" si="74"/>
        <v>1589.7999999999347</v>
      </c>
    </row>
    <row r="1459" spans="4:6" x14ac:dyDescent="0.25">
      <c r="D1459" s="105">
        <f t="shared" si="75"/>
        <v>1589.8499999999347</v>
      </c>
      <c r="E1459" s="373">
        <f t="shared" si="73"/>
        <v>1651.8541499999321</v>
      </c>
      <c r="F1459" s="373">
        <f t="shared" si="74"/>
        <v>1589.8499999999347</v>
      </c>
    </row>
    <row r="1460" spans="4:6" x14ac:dyDescent="0.25">
      <c r="D1460" s="105">
        <f t="shared" si="75"/>
        <v>1589.8999999999346</v>
      </c>
      <c r="E1460" s="373">
        <f t="shared" si="73"/>
        <v>1651.9060999999322</v>
      </c>
      <c r="F1460" s="373">
        <f t="shared" si="74"/>
        <v>1589.8999999999346</v>
      </c>
    </row>
    <row r="1461" spans="4:6" x14ac:dyDescent="0.25">
      <c r="D1461" s="105">
        <f t="shared" si="75"/>
        <v>1589.9499999999346</v>
      </c>
      <c r="E1461" s="373">
        <f t="shared" si="73"/>
        <v>1651.958049999932</v>
      </c>
      <c r="F1461" s="373">
        <f t="shared" si="74"/>
        <v>1589.9499999999346</v>
      </c>
    </row>
    <row r="1462" spans="4:6" x14ac:dyDescent="0.25">
      <c r="D1462" s="105">
        <f t="shared" si="75"/>
        <v>1589.9999999999345</v>
      </c>
      <c r="E1462" s="373">
        <f t="shared" si="73"/>
        <v>1652.009999999932</v>
      </c>
      <c r="F1462" s="373">
        <f t="shared" si="74"/>
        <v>1589.9999999999345</v>
      </c>
    </row>
    <row r="1463" spans="4:6" x14ac:dyDescent="0.25">
      <c r="D1463" s="105">
        <f t="shared" si="75"/>
        <v>1590.0499999999345</v>
      </c>
      <c r="E1463" s="373">
        <f t="shared" si="73"/>
        <v>1652.0619499999318</v>
      </c>
      <c r="F1463" s="373">
        <f t="shared" si="74"/>
        <v>1590.0499999999345</v>
      </c>
    </row>
    <row r="1464" spans="4:6" x14ac:dyDescent="0.25">
      <c r="D1464" s="105">
        <f t="shared" si="75"/>
        <v>1590.0999999999344</v>
      </c>
      <c r="E1464" s="373">
        <f t="shared" si="73"/>
        <v>1652.1138999999318</v>
      </c>
      <c r="F1464" s="373">
        <f t="shared" si="74"/>
        <v>1590.0999999999344</v>
      </c>
    </row>
    <row r="1465" spans="4:6" x14ac:dyDescent="0.25">
      <c r="D1465" s="105">
        <f t="shared" si="75"/>
        <v>1590.1499999999344</v>
      </c>
      <c r="E1465" s="373">
        <f t="shared" si="73"/>
        <v>1652.1658499999319</v>
      </c>
      <c r="F1465" s="373">
        <f t="shared" si="74"/>
        <v>1590.1499999999344</v>
      </c>
    </row>
    <row r="1466" spans="4:6" x14ac:dyDescent="0.25">
      <c r="D1466" s="105">
        <f t="shared" si="75"/>
        <v>1590.1999999999343</v>
      </c>
      <c r="E1466" s="373">
        <f t="shared" si="73"/>
        <v>1652.2177999999317</v>
      </c>
      <c r="F1466" s="373">
        <f t="shared" si="74"/>
        <v>1590.1999999999343</v>
      </c>
    </row>
    <row r="1467" spans="4:6" x14ac:dyDescent="0.25">
      <c r="D1467" s="105">
        <f t="shared" si="75"/>
        <v>1590.2499999999343</v>
      </c>
      <c r="E1467" s="373">
        <f t="shared" si="73"/>
        <v>1652.2697499999317</v>
      </c>
      <c r="F1467" s="373">
        <f t="shared" si="74"/>
        <v>1590.2499999999343</v>
      </c>
    </row>
    <row r="1468" spans="4:6" x14ac:dyDescent="0.25">
      <c r="D1468" s="105">
        <f t="shared" si="75"/>
        <v>1590.2999999999342</v>
      </c>
      <c r="E1468" s="373">
        <f t="shared" si="73"/>
        <v>1652.3216999999318</v>
      </c>
      <c r="F1468" s="373">
        <f t="shared" si="74"/>
        <v>1590.2999999999342</v>
      </c>
    </row>
    <row r="1469" spans="4:6" x14ac:dyDescent="0.25">
      <c r="D1469" s="105">
        <f t="shared" si="75"/>
        <v>1590.3499999999342</v>
      </c>
      <c r="E1469" s="373">
        <f t="shared" si="73"/>
        <v>1652.3736499999316</v>
      </c>
      <c r="F1469" s="373">
        <f t="shared" si="74"/>
        <v>1590.3499999999342</v>
      </c>
    </row>
    <row r="1470" spans="4:6" x14ac:dyDescent="0.25">
      <c r="D1470" s="105">
        <f t="shared" si="75"/>
        <v>1590.3999999999342</v>
      </c>
      <c r="E1470" s="373">
        <f t="shared" si="73"/>
        <v>1652.4255999999316</v>
      </c>
      <c r="F1470" s="373">
        <f t="shared" si="74"/>
        <v>1590.3999999999342</v>
      </c>
    </row>
    <row r="1471" spans="4:6" x14ac:dyDescent="0.25">
      <c r="D1471" s="105">
        <f t="shared" si="75"/>
        <v>1590.4499999999341</v>
      </c>
      <c r="E1471" s="373">
        <f t="shared" si="73"/>
        <v>1652.4775499999316</v>
      </c>
      <c r="F1471" s="373">
        <f t="shared" si="74"/>
        <v>1590.4499999999341</v>
      </c>
    </row>
    <row r="1472" spans="4:6" x14ac:dyDescent="0.25">
      <c r="D1472" s="105">
        <f t="shared" si="75"/>
        <v>1590.4999999999341</v>
      </c>
      <c r="E1472" s="373">
        <f t="shared" si="73"/>
        <v>1652.5294999999314</v>
      </c>
      <c r="F1472" s="373">
        <f t="shared" si="74"/>
        <v>1590.4999999999341</v>
      </c>
    </row>
    <row r="1473" spans="4:6" x14ac:dyDescent="0.25">
      <c r="D1473" s="105">
        <f t="shared" si="75"/>
        <v>1590.549999999934</v>
      </c>
      <c r="E1473" s="373">
        <f t="shared" si="73"/>
        <v>1652.5814499999315</v>
      </c>
      <c r="F1473" s="373">
        <f t="shared" si="74"/>
        <v>1590.549999999934</v>
      </c>
    </row>
    <row r="1474" spans="4:6" x14ac:dyDescent="0.25">
      <c r="D1474" s="105">
        <f t="shared" si="75"/>
        <v>1590.599999999934</v>
      </c>
      <c r="E1474" s="373">
        <f t="shared" si="73"/>
        <v>1652.6333999999315</v>
      </c>
      <c r="F1474" s="373">
        <f t="shared" si="74"/>
        <v>1590.599999999934</v>
      </c>
    </row>
    <row r="1475" spans="4:6" x14ac:dyDescent="0.25">
      <c r="D1475" s="105">
        <f t="shared" si="75"/>
        <v>1590.6499999999339</v>
      </c>
      <c r="E1475" s="373">
        <f t="shared" si="73"/>
        <v>1652.6853499999313</v>
      </c>
      <c r="F1475" s="373">
        <f t="shared" si="74"/>
        <v>1590.6499999999339</v>
      </c>
    </row>
    <row r="1476" spans="4:6" x14ac:dyDescent="0.25">
      <c r="D1476" s="105">
        <f t="shared" si="75"/>
        <v>1590.6999999999339</v>
      </c>
      <c r="E1476" s="373">
        <f t="shared" si="73"/>
        <v>1652.7372999999313</v>
      </c>
      <c r="F1476" s="373">
        <f t="shared" si="74"/>
        <v>1590.6999999999339</v>
      </c>
    </row>
    <row r="1477" spans="4:6" x14ac:dyDescent="0.25">
      <c r="D1477" s="105">
        <f t="shared" si="75"/>
        <v>1590.7499999999338</v>
      </c>
      <c r="E1477" s="373">
        <f t="shared" si="73"/>
        <v>1652.7892499999311</v>
      </c>
      <c r="F1477" s="373">
        <f t="shared" si="74"/>
        <v>1590.7499999999338</v>
      </c>
    </row>
    <row r="1478" spans="4:6" x14ac:dyDescent="0.25">
      <c r="D1478" s="105">
        <f t="shared" si="75"/>
        <v>1590.7999999999338</v>
      </c>
      <c r="E1478" s="373">
        <f t="shared" si="73"/>
        <v>1652.8411999999312</v>
      </c>
      <c r="F1478" s="373">
        <f t="shared" si="74"/>
        <v>1590.7999999999338</v>
      </c>
    </row>
    <row r="1479" spans="4:6" x14ac:dyDescent="0.25">
      <c r="D1479" s="105">
        <f t="shared" si="75"/>
        <v>1590.8499999999337</v>
      </c>
      <c r="E1479" s="373">
        <f t="shared" si="73"/>
        <v>1652.8931499999312</v>
      </c>
      <c r="F1479" s="373">
        <f t="shared" si="74"/>
        <v>1590.8499999999337</v>
      </c>
    </row>
    <row r="1480" spans="4:6" x14ac:dyDescent="0.25">
      <c r="D1480" s="105">
        <f t="shared" si="75"/>
        <v>1590.8999999999337</v>
      </c>
      <c r="E1480" s="373">
        <f t="shared" si="73"/>
        <v>1652.945099999931</v>
      </c>
      <c r="F1480" s="373">
        <f t="shared" si="74"/>
        <v>1590.8999999999337</v>
      </c>
    </row>
    <row r="1481" spans="4:6" x14ac:dyDescent="0.25">
      <c r="D1481" s="105">
        <f t="shared" si="75"/>
        <v>1590.9499999999337</v>
      </c>
      <c r="E1481" s="373">
        <f t="shared" si="73"/>
        <v>1652.9970499999311</v>
      </c>
      <c r="F1481" s="373">
        <f t="shared" si="74"/>
        <v>1590.9499999999337</v>
      </c>
    </row>
    <row r="1482" spans="4:6" x14ac:dyDescent="0.25">
      <c r="D1482" s="105">
        <f t="shared" si="75"/>
        <v>1590.9999999999336</v>
      </c>
      <c r="E1482" s="373">
        <f t="shared" si="73"/>
        <v>1653.0489999999311</v>
      </c>
      <c r="F1482" s="373">
        <f t="shared" si="74"/>
        <v>1590.9999999999336</v>
      </c>
    </row>
    <row r="1483" spans="4:6" x14ac:dyDescent="0.25">
      <c r="D1483" s="105">
        <f t="shared" si="75"/>
        <v>1591.0499999999336</v>
      </c>
      <c r="E1483" s="373">
        <f t="shared" si="73"/>
        <v>1653.1009499999309</v>
      </c>
      <c r="F1483" s="373">
        <f t="shared" si="74"/>
        <v>1591.0499999999336</v>
      </c>
    </row>
    <row r="1484" spans="4:6" x14ac:dyDescent="0.25">
      <c r="D1484" s="105">
        <f t="shared" si="75"/>
        <v>1591.0999999999335</v>
      </c>
      <c r="E1484" s="373">
        <f t="shared" si="73"/>
        <v>1653.1528999999309</v>
      </c>
      <c r="F1484" s="373">
        <f t="shared" si="74"/>
        <v>1591.0999999999335</v>
      </c>
    </row>
    <row r="1485" spans="4:6" x14ac:dyDescent="0.25">
      <c r="D1485" s="105">
        <f t="shared" si="75"/>
        <v>1591.1499999999335</v>
      </c>
      <c r="E1485" s="373">
        <f t="shared" si="73"/>
        <v>1653.204849999931</v>
      </c>
      <c r="F1485" s="373">
        <f t="shared" si="74"/>
        <v>1591.1499999999335</v>
      </c>
    </row>
    <row r="1486" spans="4:6" x14ac:dyDescent="0.25">
      <c r="D1486" s="105">
        <f t="shared" si="75"/>
        <v>1591.1999999999334</v>
      </c>
      <c r="E1486" s="373">
        <f t="shared" si="73"/>
        <v>1653.2567999999308</v>
      </c>
      <c r="F1486" s="373">
        <f t="shared" si="74"/>
        <v>1591.1999999999334</v>
      </c>
    </row>
    <row r="1487" spans="4:6" x14ac:dyDescent="0.25">
      <c r="D1487" s="105">
        <f t="shared" si="75"/>
        <v>1591.2499999999334</v>
      </c>
      <c r="E1487" s="373">
        <f t="shared" si="73"/>
        <v>1653.3087499999308</v>
      </c>
      <c r="F1487" s="373">
        <f t="shared" si="74"/>
        <v>1591.2499999999334</v>
      </c>
    </row>
    <row r="1488" spans="4:6" x14ac:dyDescent="0.25">
      <c r="D1488" s="105">
        <f t="shared" si="75"/>
        <v>1591.2999999999333</v>
      </c>
      <c r="E1488" s="373">
        <f t="shared" si="73"/>
        <v>1653.3606999999308</v>
      </c>
      <c r="F1488" s="373">
        <f t="shared" si="74"/>
        <v>1591.2999999999333</v>
      </c>
    </row>
    <row r="1489" spans="4:6" x14ac:dyDescent="0.25">
      <c r="D1489" s="105">
        <f t="shared" si="75"/>
        <v>1591.3499999999333</v>
      </c>
      <c r="E1489" s="373">
        <f t="shared" si="73"/>
        <v>1653.4126499999306</v>
      </c>
      <c r="F1489" s="373">
        <f t="shared" si="74"/>
        <v>1591.3499999999333</v>
      </c>
    </row>
    <row r="1490" spans="4:6" x14ac:dyDescent="0.25">
      <c r="D1490" s="105">
        <f t="shared" si="75"/>
        <v>1591.3999999999332</v>
      </c>
      <c r="E1490" s="373">
        <f t="shared" si="73"/>
        <v>1653.4645999999307</v>
      </c>
      <c r="F1490" s="373">
        <f t="shared" si="74"/>
        <v>1591.3999999999332</v>
      </c>
    </row>
    <row r="1491" spans="4:6" x14ac:dyDescent="0.25">
      <c r="D1491" s="105">
        <f t="shared" si="75"/>
        <v>1591.4499999999332</v>
      </c>
      <c r="E1491" s="373">
        <f t="shared" si="73"/>
        <v>1653.5165499999307</v>
      </c>
      <c r="F1491" s="373">
        <f t="shared" si="74"/>
        <v>1591.4499999999332</v>
      </c>
    </row>
    <row r="1492" spans="4:6" x14ac:dyDescent="0.25">
      <c r="D1492" s="105">
        <f t="shared" si="75"/>
        <v>1591.4999999999332</v>
      </c>
      <c r="E1492" s="373">
        <f t="shared" si="73"/>
        <v>1653.5684999999305</v>
      </c>
      <c r="F1492" s="373">
        <f t="shared" si="74"/>
        <v>1591.4999999999332</v>
      </c>
    </row>
    <row r="1493" spans="4:6" x14ac:dyDescent="0.25">
      <c r="D1493" s="105">
        <f t="shared" si="75"/>
        <v>1591.5499999999331</v>
      </c>
      <c r="E1493" s="373">
        <f t="shared" si="73"/>
        <v>1653.6204499999305</v>
      </c>
      <c r="F1493" s="373">
        <f t="shared" si="74"/>
        <v>1591.5499999999331</v>
      </c>
    </row>
    <row r="1494" spans="4:6" x14ac:dyDescent="0.25">
      <c r="D1494" s="105">
        <f t="shared" si="75"/>
        <v>1591.5999999999331</v>
      </c>
      <c r="E1494" s="373">
        <f t="shared" si="73"/>
        <v>1653.6723999999303</v>
      </c>
      <c r="F1494" s="373">
        <f t="shared" si="74"/>
        <v>1591.5999999999331</v>
      </c>
    </row>
    <row r="1495" spans="4:6" x14ac:dyDescent="0.25">
      <c r="D1495" s="105">
        <f t="shared" si="75"/>
        <v>1591.649999999933</v>
      </c>
      <c r="E1495" s="373">
        <f t="shared" ref="E1495:E1558" si="76">D1495*$C$2 + D1495</f>
        <v>1653.7243499999304</v>
      </c>
      <c r="F1495" s="373">
        <f t="shared" ref="F1495:F1558" si="77">D1495</f>
        <v>1591.649999999933</v>
      </c>
    </row>
    <row r="1496" spans="4:6" x14ac:dyDescent="0.25">
      <c r="D1496" s="105">
        <f t="shared" ref="D1496:D1559" si="78">D1495+0.05</f>
        <v>1591.699999999933</v>
      </c>
      <c r="E1496" s="373">
        <f t="shared" si="76"/>
        <v>1653.7762999999304</v>
      </c>
      <c r="F1496" s="373">
        <f t="shared" si="77"/>
        <v>1591.699999999933</v>
      </c>
    </row>
    <row r="1497" spans="4:6" x14ac:dyDescent="0.25">
      <c r="D1497" s="105">
        <f t="shared" si="78"/>
        <v>1591.7499999999329</v>
      </c>
      <c r="E1497" s="373">
        <f t="shared" si="76"/>
        <v>1653.8282499999302</v>
      </c>
      <c r="F1497" s="373">
        <f t="shared" si="77"/>
        <v>1591.7499999999329</v>
      </c>
    </row>
    <row r="1498" spans="4:6" x14ac:dyDescent="0.25">
      <c r="D1498" s="105">
        <f t="shared" si="78"/>
        <v>1591.7999999999329</v>
      </c>
      <c r="E1498" s="373">
        <f t="shared" si="76"/>
        <v>1653.8801999999303</v>
      </c>
      <c r="F1498" s="373">
        <f t="shared" si="77"/>
        <v>1591.7999999999329</v>
      </c>
    </row>
    <row r="1499" spans="4:6" x14ac:dyDescent="0.25">
      <c r="D1499" s="105">
        <f t="shared" si="78"/>
        <v>1591.8499999999328</v>
      </c>
      <c r="E1499" s="373">
        <f t="shared" si="76"/>
        <v>1653.9321499999303</v>
      </c>
      <c r="F1499" s="373">
        <f t="shared" si="77"/>
        <v>1591.8499999999328</v>
      </c>
    </row>
    <row r="1500" spans="4:6" x14ac:dyDescent="0.25">
      <c r="D1500" s="105">
        <f t="shared" si="78"/>
        <v>1591.8999999999328</v>
      </c>
      <c r="E1500" s="373">
        <f t="shared" si="76"/>
        <v>1653.9840999999301</v>
      </c>
      <c r="F1500" s="373">
        <f t="shared" si="77"/>
        <v>1591.8999999999328</v>
      </c>
    </row>
    <row r="1501" spans="4:6" x14ac:dyDescent="0.25">
      <c r="D1501" s="105">
        <f t="shared" si="78"/>
        <v>1591.9499999999327</v>
      </c>
      <c r="E1501" s="373">
        <f t="shared" si="76"/>
        <v>1654.0360499999301</v>
      </c>
      <c r="F1501" s="373">
        <f t="shared" si="77"/>
        <v>1591.9499999999327</v>
      </c>
    </row>
    <row r="1502" spans="4:6" x14ac:dyDescent="0.25">
      <c r="D1502" s="105">
        <f t="shared" si="78"/>
        <v>1591.9999999999327</v>
      </c>
      <c r="E1502" s="373">
        <f t="shared" si="76"/>
        <v>1654.0879999999302</v>
      </c>
      <c r="F1502" s="373">
        <f t="shared" si="77"/>
        <v>1591.9999999999327</v>
      </c>
    </row>
    <row r="1503" spans="4:6" x14ac:dyDescent="0.25">
      <c r="D1503" s="105">
        <f t="shared" si="78"/>
        <v>1592.0499999999327</v>
      </c>
      <c r="E1503" s="373">
        <f t="shared" si="76"/>
        <v>1654.13994999993</v>
      </c>
      <c r="F1503" s="373">
        <f t="shared" si="77"/>
        <v>1592.0499999999327</v>
      </c>
    </row>
    <row r="1504" spans="4:6" x14ac:dyDescent="0.25">
      <c r="D1504" s="105">
        <f t="shared" si="78"/>
        <v>1592.0999999999326</v>
      </c>
      <c r="E1504" s="373">
        <f t="shared" si="76"/>
        <v>1654.19189999993</v>
      </c>
      <c r="F1504" s="373">
        <f t="shared" si="77"/>
        <v>1592.0999999999326</v>
      </c>
    </row>
    <row r="1505" spans="4:6" x14ac:dyDescent="0.25">
      <c r="D1505" s="105">
        <f t="shared" si="78"/>
        <v>1592.1499999999326</v>
      </c>
      <c r="E1505" s="373">
        <f t="shared" si="76"/>
        <v>1654.24384999993</v>
      </c>
      <c r="F1505" s="373">
        <f t="shared" si="77"/>
        <v>1592.1499999999326</v>
      </c>
    </row>
    <row r="1506" spans="4:6" x14ac:dyDescent="0.25">
      <c r="D1506" s="105">
        <f t="shared" si="78"/>
        <v>1592.1999999999325</v>
      </c>
      <c r="E1506" s="373">
        <f t="shared" si="76"/>
        <v>1654.2957999999298</v>
      </c>
      <c r="F1506" s="373">
        <f t="shared" si="77"/>
        <v>1592.1999999999325</v>
      </c>
    </row>
    <row r="1507" spans="4:6" x14ac:dyDescent="0.25">
      <c r="D1507" s="105">
        <f t="shared" si="78"/>
        <v>1592.2499999999325</v>
      </c>
      <c r="E1507" s="373">
        <f t="shared" si="76"/>
        <v>1654.3477499999299</v>
      </c>
      <c r="F1507" s="373">
        <f t="shared" si="77"/>
        <v>1592.2499999999325</v>
      </c>
    </row>
    <row r="1508" spans="4:6" x14ac:dyDescent="0.25">
      <c r="D1508" s="105">
        <f t="shared" si="78"/>
        <v>1592.2999999999324</v>
      </c>
      <c r="E1508" s="373">
        <f t="shared" si="76"/>
        <v>1654.3996999999297</v>
      </c>
      <c r="F1508" s="373">
        <f t="shared" si="77"/>
        <v>1592.2999999999324</v>
      </c>
    </row>
    <row r="1509" spans="4:6" x14ac:dyDescent="0.25">
      <c r="D1509" s="105">
        <f t="shared" si="78"/>
        <v>1592.3499999999324</v>
      </c>
      <c r="E1509" s="373">
        <f t="shared" si="76"/>
        <v>1654.4516499999297</v>
      </c>
      <c r="F1509" s="373">
        <f t="shared" si="77"/>
        <v>1592.3499999999324</v>
      </c>
    </row>
    <row r="1510" spans="4:6" x14ac:dyDescent="0.25">
      <c r="D1510" s="105">
        <f t="shared" si="78"/>
        <v>1592.3999999999323</v>
      </c>
      <c r="E1510" s="373">
        <f t="shared" si="76"/>
        <v>1654.5035999999297</v>
      </c>
      <c r="F1510" s="373">
        <f t="shared" si="77"/>
        <v>1592.3999999999323</v>
      </c>
    </row>
    <row r="1511" spans="4:6" x14ac:dyDescent="0.25">
      <c r="D1511" s="105">
        <f t="shared" si="78"/>
        <v>1592.4499999999323</v>
      </c>
      <c r="E1511" s="373">
        <f t="shared" si="76"/>
        <v>1654.5555499999296</v>
      </c>
      <c r="F1511" s="373">
        <f t="shared" si="77"/>
        <v>1592.4499999999323</v>
      </c>
    </row>
    <row r="1512" spans="4:6" x14ac:dyDescent="0.25">
      <c r="D1512" s="105">
        <f t="shared" si="78"/>
        <v>1592.4999999999322</v>
      </c>
      <c r="E1512" s="373">
        <f t="shared" si="76"/>
        <v>1654.6074999999296</v>
      </c>
      <c r="F1512" s="373">
        <f t="shared" si="77"/>
        <v>1592.4999999999322</v>
      </c>
    </row>
    <row r="1513" spans="4:6" x14ac:dyDescent="0.25">
      <c r="D1513" s="105">
        <f t="shared" si="78"/>
        <v>1592.5499999999322</v>
      </c>
      <c r="E1513" s="373">
        <f t="shared" si="76"/>
        <v>1654.6594499999296</v>
      </c>
      <c r="F1513" s="373">
        <f t="shared" si="77"/>
        <v>1592.5499999999322</v>
      </c>
    </row>
    <row r="1514" spans="4:6" x14ac:dyDescent="0.25">
      <c r="D1514" s="105">
        <f t="shared" si="78"/>
        <v>1592.5999999999322</v>
      </c>
      <c r="E1514" s="373">
        <f t="shared" si="76"/>
        <v>1654.7113999999294</v>
      </c>
      <c r="F1514" s="373">
        <f t="shared" si="77"/>
        <v>1592.5999999999322</v>
      </c>
    </row>
    <row r="1515" spans="4:6" x14ac:dyDescent="0.25">
      <c r="D1515" s="105">
        <f t="shared" si="78"/>
        <v>1592.6499999999321</v>
      </c>
      <c r="E1515" s="373">
        <f t="shared" si="76"/>
        <v>1654.7633499999295</v>
      </c>
      <c r="F1515" s="373">
        <f t="shared" si="77"/>
        <v>1592.6499999999321</v>
      </c>
    </row>
    <row r="1516" spans="4:6" x14ac:dyDescent="0.25">
      <c r="D1516" s="105">
        <f t="shared" si="78"/>
        <v>1592.6999999999321</v>
      </c>
      <c r="E1516" s="373">
        <f t="shared" si="76"/>
        <v>1654.8152999999295</v>
      </c>
      <c r="F1516" s="373">
        <f t="shared" si="77"/>
        <v>1592.6999999999321</v>
      </c>
    </row>
    <row r="1517" spans="4:6" x14ac:dyDescent="0.25">
      <c r="D1517" s="105">
        <f t="shared" si="78"/>
        <v>1592.749999999932</v>
      </c>
      <c r="E1517" s="373">
        <f t="shared" si="76"/>
        <v>1654.8672499999293</v>
      </c>
      <c r="F1517" s="373">
        <f t="shared" si="77"/>
        <v>1592.749999999932</v>
      </c>
    </row>
    <row r="1518" spans="4:6" x14ac:dyDescent="0.25">
      <c r="D1518" s="105">
        <f t="shared" si="78"/>
        <v>1592.799999999932</v>
      </c>
      <c r="E1518" s="373">
        <f t="shared" si="76"/>
        <v>1654.9191999999293</v>
      </c>
      <c r="F1518" s="373">
        <f t="shared" si="77"/>
        <v>1592.799999999932</v>
      </c>
    </row>
    <row r="1519" spans="4:6" x14ac:dyDescent="0.25">
      <c r="D1519" s="105">
        <f t="shared" si="78"/>
        <v>1592.8499999999319</v>
      </c>
      <c r="E1519" s="373">
        <f t="shared" si="76"/>
        <v>1654.9711499999294</v>
      </c>
      <c r="F1519" s="373">
        <f t="shared" si="77"/>
        <v>1592.8499999999319</v>
      </c>
    </row>
    <row r="1520" spans="4:6" x14ac:dyDescent="0.25">
      <c r="D1520" s="105">
        <f t="shared" si="78"/>
        <v>1592.8999999999319</v>
      </c>
      <c r="E1520" s="373">
        <f t="shared" si="76"/>
        <v>1655.0230999999292</v>
      </c>
      <c r="F1520" s="373">
        <f t="shared" si="77"/>
        <v>1592.8999999999319</v>
      </c>
    </row>
    <row r="1521" spans="4:6" x14ac:dyDescent="0.25">
      <c r="D1521" s="105">
        <f t="shared" si="78"/>
        <v>1592.9499999999318</v>
      </c>
      <c r="E1521" s="373">
        <f t="shared" si="76"/>
        <v>1655.0750499999292</v>
      </c>
      <c r="F1521" s="373">
        <f t="shared" si="77"/>
        <v>1592.9499999999318</v>
      </c>
    </row>
    <row r="1522" spans="4:6" x14ac:dyDescent="0.25">
      <c r="D1522" s="105">
        <f t="shared" si="78"/>
        <v>1592.9999999999318</v>
      </c>
      <c r="E1522" s="373">
        <f t="shared" si="76"/>
        <v>1655.126999999929</v>
      </c>
      <c r="F1522" s="373">
        <f t="shared" si="77"/>
        <v>1592.9999999999318</v>
      </c>
    </row>
    <row r="1523" spans="4:6" x14ac:dyDescent="0.25">
      <c r="D1523" s="105">
        <f t="shared" si="78"/>
        <v>1593.0499999999317</v>
      </c>
      <c r="E1523" s="373">
        <f t="shared" si="76"/>
        <v>1655.178949999929</v>
      </c>
      <c r="F1523" s="373">
        <f t="shared" si="77"/>
        <v>1593.0499999999317</v>
      </c>
    </row>
    <row r="1524" spans="4:6" x14ac:dyDescent="0.25">
      <c r="D1524" s="105">
        <f t="shared" si="78"/>
        <v>1593.0999999999317</v>
      </c>
      <c r="E1524" s="373">
        <f t="shared" si="76"/>
        <v>1655.2308999999291</v>
      </c>
      <c r="F1524" s="373">
        <f t="shared" si="77"/>
        <v>1593.0999999999317</v>
      </c>
    </row>
    <row r="1525" spans="4:6" x14ac:dyDescent="0.25">
      <c r="D1525" s="105">
        <f t="shared" si="78"/>
        <v>1593.1499999999317</v>
      </c>
      <c r="E1525" s="373">
        <f t="shared" si="76"/>
        <v>1655.2828499999289</v>
      </c>
      <c r="F1525" s="373">
        <f t="shared" si="77"/>
        <v>1593.1499999999317</v>
      </c>
    </row>
    <row r="1526" spans="4:6" x14ac:dyDescent="0.25">
      <c r="D1526" s="105">
        <f t="shared" si="78"/>
        <v>1593.1999999999316</v>
      </c>
      <c r="E1526" s="373">
        <f t="shared" si="76"/>
        <v>1655.3347999999289</v>
      </c>
      <c r="F1526" s="373">
        <f t="shared" si="77"/>
        <v>1593.1999999999316</v>
      </c>
    </row>
    <row r="1527" spans="4:6" x14ac:dyDescent="0.25">
      <c r="D1527" s="105">
        <f t="shared" si="78"/>
        <v>1593.2499999999316</v>
      </c>
      <c r="E1527" s="373">
        <f t="shared" si="76"/>
        <v>1655.386749999929</v>
      </c>
      <c r="F1527" s="373">
        <f t="shared" si="77"/>
        <v>1593.2499999999316</v>
      </c>
    </row>
    <row r="1528" spans="4:6" x14ac:dyDescent="0.25">
      <c r="D1528" s="105">
        <f t="shared" si="78"/>
        <v>1593.2999999999315</v>
      </c>
      <c r="E1528" s="373">
        <f t="shared" si="76"/>
        <v>1655.4386999999288</v>
      </c>
      <c r="F1528" s="373">
        <f t="shared" si="77"/>
        <v>1593.2999999999315</v>
      </c>
    </row>
    <row r="1529" spans="4:6" x14ac:dyDescent="0.25">
      <c r="D1529" s="105">
        <f t="shared" si="78"/>
        <v>1593.3499999999315</v>
      </c>
      <c r="E1529" s="373">
        <f t="shared" si="76"/>
        <v>1655.4906499999288</v>
      </c>
      <c r="F1529" s="373">
        <f t="shared" si="77"/>
        <v>1593.3499999999315</v>
      </c>
    </row>
    <row r="1530" spans="4:6" x14ac:dyDescent="0.25">
      <c r="D1530" s="105">
        <f t="shared" si="78"/>
        <v>1593.3999999999314</v>
      </c>
      <c r="E1530" s="373">
        <f t="shared" si="76"/>
        <v>1655.5425999999288</v>
      </c>
      <c r="F1530" s="373">
        <f t="shared" si="77"/>
        <v>1593.3999999999314</v>
      </c>
    </row>
    <row r="1531" spans="4:6" x14ac:dyDescent="0.25">
      <c r="D1531" s="105">
        <f t="shared" si="78"/>
        <v>1593.4499999999314</v>
      </c>
      <c r="E1531" s="373">
        <f t="shared" si="76"/>
        <v>1655.5945499999286</v>
      </c>
      <c r="F1531" s="373">
        <f t="shared" si="77"/>
        <v>1593.4499999999314</v>
      </c>
    </row>
    <row r="1532" spans="4:6" x14ac:dyDescent="0.25">
      <c r="D1532" s="105">
        <f t="shared" si="78"/>
        <v>1593.4999999999313</v>
      </c>
      <c r="E1532" s="373">
        <f t="shared" si="76"/>
        <v>1655.6464999999287</v>
      </c>
      <c r="F1532" s="373">
        <f t="shared" si="77"/>
        <v>1593.4999999999313</v>
      </c>
    </row>
    <row r="1533" spans="4:6" x14ac:dyDescent="0.25">
      <c r="D1533" s="105">
        <f t="shared" si="78"/>
        <v>1593.5499999999313</v>
      </c>
      <c r="E1533" s="373">
        <f t="shared" si="76"/>
        <v>1655.6984499999287</v>
      </c>
      <c r="F1533" s="373">
        <f t="shared" si="77"/>
        <v>1593.5499999999313</v>
      </c>
    </row>
    <row r="1534" spans="4:6" x14ac:dyDescent="0.25">
      <c r="D1534" s="105">
        <f t="shared" si="78"/>
        <v>1593.5999999999312</v>
      </c>
      <c r="E1534" s="373">
        <f t="shared" si="76"/>
        <v>1655.7503999999285</v>
      </c>
      <c r="F1534" s="373">
        <f t="shared" si="77"/>
        <v>1593.5999999999312</v>
      </c>
    </row>
    <row r="1535" spans="4:6" x14ac:dyDescent="0.25">
      <c r="D1535" s="105">
        <f t="shared" si="78"/>
        <v>1593.6499999999312</v>
      </c>
      <c r="E1535" s="373">
        <f t="shared" si="76"/>
        <v>1655.8023499999285</v>
      </c>
      <c r="F1535" s="373">
        <f t="shared" si="77"/>
        <v>1593.6499999999312</v>
      </c>
    </row>
    <row r="1536" spans="4:6" x14ac:dyDescent="0.25">
      <c r="D1536" s="105">
        <f t="shared" si="78"/>
        <v>1593.6999999999312</v>
      </c>
      <c r="E1536" s="373">
        <f t="shared" si="76"/>
        <v>1655.8542999999286</v>
      </c>
      <c r="F1536" s="373">
        <f t="shared" si="77"/>
        <v>1593.6999999999312</v>
      </c>
    </row>
    <row r="1537" spans="4:6" x14ac:dyDescent="0.25">
      <c r="D1537" s="105">
        <f t="shared" si="78"/>
        <v>1593.7499999999311</v>
      </c>
      <c r="E1537" s="373">
        <f t="shared" si="76"/>
        <v>1655.9062499999284</v>
      </c>
      <c r="F1537" s="373">
        <f t="shared" si="77"/>
        <v>1593.7499999999311</v>
      </c>
    </row>
    <row r="1538" spans="4:6" x14ac:dyDescent="0.25">
      <c r="D1538" s="105">
        <f t="shared" si="78"/>
        <v>1593.7999999999311</v>
      </c>
      <c r="E1538" s="373">
        <f t="shared" si="76"/>
        <v>1655.9581999999284</v>
      </c>
      <c r="F1538" s="373">
        <f t="shared" si="77"/>
        <v>1593.7999999999311</v>
      </c>
    </row>
    <row r="1539" spans="4:6" x14ac:dyDescent="0.25">
      <c r="D1539" s="105">
        <f t="shared" si="78"/>
        <v>1593.849999999931</v>
      </c>
      <c r="E1539" s="373">
        <f t="shared" si="76"/>
        <v>1656.0101499999282</v>
      </c>
      <c r="F1539" s="373">
        <f t="shared" si="77"/>
        <v>1593.849999999931</v>
      </c>
    </row>
    <row r="1540" spans="4:6" x14ac:dyDescent="0.25">
      <c r="D1540" s="105">
        <f t="shared" si="78"/>
        <v>1593.899999999931</v>
      </c>
      <c r="E1540" s="373">
        <f t="shared" si="76"/>
        <v>1656.0620999999283</v>
      </c>
      <c r="F1540" s="373">
        <f t="shared" si="77"/>
        <v>1593.899999999931</v>
      </c>
    </row>
    <row r="1541" spans="4:6" x14ac:dyDescent="0.25">
      <c r="D1541" s="105">
        <f t="shared" si="78"/>
        <v>1593.9499999999309</v>
      </c>
      <c r="E1541" s="373">
        <f t="shared" si="76"/>
        <v>1656.1140499999283</v>
      </c>
      <c r="F1541" s="373">
        <f t="shared" si="77"/>
        <v>1593.9499999999309</v>
      </c>
    </row>
    <row r="1542" spans="4:6" x14ac:dyDescent="0.25">
      <c r="D1542" s="105">
        <f t="shared" si="78"/>
        <v>1593.9999999999309</v>
      </c>
      <c r="E1542" s="373">
        <f t="shared" si="76"/>
        <v>1656.1659999999281</v>
      </c>
      <c r="F1542" s="373">
        <f t="shared" si="77"/>
        <v>1593.9999999999309</v>
      </c>
    </row>
    <row r="1543" spans="4:6" x14ac:dyDescent="0.25">
      <c r="D1543" s="105">
        <f t="shared" si="78"/>
        <v>1594.0499999999308</v>
      </c>
      <c r="E1543" s="373">
        <f t="shared" si="76"/>
        <v>1656.2179499999281</v>
      </c>
      <c r="F1543" s="373">
        <f t="shared" si="77"/>
        <v>1594.0499999999308</v>
      </c>
    </row>
    <row r="1544" spans="4:6" x14ac:dyDescent="0.25">
      <c r="D1544" s="105">
        <f t="shared" si="78"/>
        <v>1594.0999999999308</v>
      </c>
      <c r="E1544" s="373">
        <f t="shared" si="76"/>
        <v>1656.2698999999282</v>
      </c>
      <c r="F1544" s="373">
        <f t="shared" si="77"/>
        <v>1594.0999999999308</v>
      </c>
    </row>
    <row r="1545" spans="4:6" x14ac:dyDescent="0.25">
      <c r="D1545" s="105">
        <f t="shared" si="78"/>
        <v>1594.1499999999307</v>
      </c>
      <c r="E1545" s="373">
        <f t="shared" si="76"/>
        <v>1656.321849999928</v>
      </c>
      <c r="F1545" s="373">
        <f t="shared" si="77"/>
        <v>1594.1499999999307</v>
      </c>
    </row>
    <row r="1546" spans="4:6" x14ac:dyDescent="0.25">
      <c r="D1546" s="105">
        <f t="shared" si="78"/>
        <v>1594.1999999999307</v>
      </c>
      <c r="E1546" s="373">
        <f t="shared" si="76"/>
        <v>1656.373799999928</v>
      </c>
      <c r="F1546" s="373">
        <f t="shared" si="77"/>
        <v>1594.1999999999307</v>
      </c>
    </row>
    <row r="1547" spans="4:6" x14ac:dyDescent="0.25">
      <c r="D1547" s="105">
        <f t="shared" si="78"/>
        <v>1594.2499999999307</v>
      </c>
      <c r="E1547" s="373">
        <f t="shared" si="76"/>
        <v>1656.425749999928</v>
      </c>
      <c r="F1547" s="373">
        <f t="shared" si="77"/>
        <v>1594.2499999999307</v>
      </c>
    </row>
    <row r="1548" spans="4:6" x14ac:dyDescent="0.25">
      <c r="D1548" s="105">
        <f t="shared" si="78"/>
        <v>1594.2999999999306</v>
      </c>
      <c r="E1548" s="373">
        <f t="shared" si="76"/>
        <v>1656.4776999999278</v>
      </c>
      <c r="F1548" s="373">
        <f t="shared" si="77"/>
        <v>1594.2999999999306</v>
      </c>
    </row>
    <row r="1549" spans="4:6" x14ac:dyDescent="0.25">
      <c r="D1549" s="105">
        <f t="shared" si="78"/>
        <v>1594.3499999999306</v>
      </c>
      <c r="E1549" s="373">
        <f t="shared" si="76"/>
        <v>1656.5296499999279</v>
      </c>
      <c r="F1549" s="373">
        <f t="shared" si="77"/>
        <v>1594.3499999999306</v>
      </c>
    </row>
    <row r="1550" spans="4:6" x14ac:dyDescent="0.25">
      <c r="D1550" s="105">
        <f t="shared" si="78"/>
        <v>1594.3999999999305</v>
      </c>
      <c r="E1550" s="373">
        <f t="shared" si="76"/>
        <v>1656.5815999999279</v>
      </c>
      <c r="F1550" s="373">
        <f t="shared" si="77"/>
        <v>1594.3999999999305</v>
      </c>
    </row>
    <row r="1551" spans="4:6" x14ac:dyDescent="0.25">
      <c r="D1551" s="105">
        <f t="shared" si="78"/>
        <v>1594.4499999999305</v>
      </c>
      <c r="E1551" s="373">
        <f t="shared" si="76"/>
        <v>1656.6335499999277</v>
      </c>
      <c r="F1551" s="373">
        <f t="shared" si="77"/>
        <v>1594.4499999999305</v>
      </c>
    </row>
    <row r="1552" spans="4:6" x14ac:dyDescent="0.25">
      <c r="D1552" s="105">
        <f t="shared" si="78"/>
        <v>1594.4999999999304</v>
      </c>
      <c r="E1552" s="373">
        <f t="shared" si="76"/>
        <v>1656.6854999999277</v>
      </c>
      <c r="F1552" s="373">
        <f t="shared" si="77"/>
        <v>1594.4999999999304</v>
      </c>
    </row>
    <row r="1553" spans="4:6" x14ac:dyDescent="0.25">
      <c r="D1553" s="105">
        <f t="shared" si="78"/>
        <v>1594.5499999999304</v>
      </c>
      <c r="E1553" s="373">
        <f t="shared" si="76"/>
        <v>1656.7374499999278</v>
      </c>
      <c r="F1553" s="373">
        <f t="shared" si="77"/>
        <v>1594.5499999999304</v>
      </c>
    </row>
    <row r="1554" spans="4:6" x14ac:dyDescent="0.25">
      <c r="D1554" s="105">
        <f t="shared" si="78"/>
        <v>1594.5999999999303</v>
      </c>
      <c r="E1554" s="373">
        <f t="shared" si="76"/>
        <v>1656.7893999999276</v>
      </c>
      <c r="F1554" s="373">
        <f t="shared" si="77"/>
        <v>1594.5999999999303</v>
      </c>
    </row>
    <row r="1555" spans="4:6" x14ac:dyDescent="0.25">
      <c r="D1555" s="105">
        <f t="shared" si="78"/>
        <v>1594.6499999999303</v>
      </c>
      <c r="E1555" s="373">
        <f t="shared" si="76"/>
        <v>1656.8413499999276</v>
      </c>
      <c r="F1555" s="373">
        <f t="shared" si="77"/>
        <v>1594.6499999999303</v>
      </c>
    </row>
    <row r="1556" spans="4:6" x14ac:dyDescent="0.25">
      <c r="D1556" s="105">
        <f t="shared" si="78"/>
        <v>1594.6999999999302</v>
      </c>
      <c r="E1556" s="373">
        <f t="shared" si="76"/>
        <v>1656.8932999999274</v>
      </c>
      <c r="F1556" s="373">
        <f t="shared" si="77"/>
        <v>1594.6999999999302</v>
      </c>
    </row>
    <row r="1557" spans="4:6" x14ac:dyDescent="0.25">
      <c r="D1557" s="105">
        <f t="shared" si="78"/>
        <v>1594.7499999999302</v>
      </c>
      <c r="E1557" s="373">
        <f t="shared" si="76"/>
        <v>1656.9452499999275</v>
      </c>
      <c r="F1557" s="373">
        <f t="shared" si="77"/>
        <v>1594.7499999999302</v>
      </c>
    </row>
    <row r="1558" spans="4:6" x14ac:dyDescent="0.25">
      <c r="D1558" s="105">
        <f t="shared" si="78"/>
        <v>1594.7999999999302</v>
      </c>
      <c r="E1558" s="373">
        <f t="shared" si="76"/>
        <v>1656.9971999999275</v>
      </c>
      <c r="F1558" s="373">
        <f t="shared" si="77"/>
        <v>1594.7999999999302</v>
      </c>
    </row>
    <row r="1559" spans="4:6" x14ac:dyDescent="0.25">
      <c r="D1559" s="105">
        <f t="shared" si="78"/>
        <v>1594.8499999999301</v>
      </c>
      <c r="E1559" s="373">
        <f t="shared" ref="E1559:E1622" si="79">D1559*$C$2 + D1559</f>
        <v>1657.0491499999273</v>
      </c>
      <c r="F1559" s="373">
        <f t="shared" ref="F1559:F1622" si="80">D1559</f>
        <v>1594.8499999999301</v>
      </c>
    </row>
    <row r="1560" spans="4:6" x14ac:dyDescent="0.25">
      <c r="D1560" s="105">
        <f t="shared" ref="D1560:D1623" si="81">D1559+0.05</f>
        <v>1594.8999999999301</v>
      </c>
      <c r="E1560" s="373">
        <f t="shared" si="79"/>
        <v>1657.1010999999273</v>
      </c>
      <c r="F1560" s="373">
        <f t="shared" si="80"/>
        <v>1594.8999999999301</v>
      </c>
    </row>
    <row r="1561" spans="4:6" x14ac:dyDescent="0.25">
      <c r="D1561" s="105">
        <f t="shared" si="81"/>
        <v>1594.94999999993</v>
      </c>
      <c r="E1561" s="373">
        <f t="shared" si="79"/>
        <v>1657.1530499999274</v>
      </c>
      <c r="F1561" s="373">
        <f t="shared" si="80"/>
        <v>1594.94999999993</v>
      </c>
    </row>
    <row r="1562" spans="4:6" x14ac:dyDescent="0.25">
      <c r="D1562" s="105">
        <f t="shared" si="81"/>
        <v>1594.99999999993</v>
      </c>
      <c r="E1562" s="373">
        <f t="shared" si="79"/>
        <v>1657.2049999999272</v>
      </c>
      <c r="F1562" s="373">
        <f t="shared" si="80"/>
        <v>1594.99999999993</v>
      </c>
    </row>
    <row r="1563" spans="4:6" x14ac:dyDescent="0.25">
      <c r="D1563" s="105">
        <f t="shared" si="81"/>
        <v>1595.0499999999299</v>
      </c>
      <c r="E1563" s="373">
        <f t="shared" si="79"/>
        <v>1657.2569499999272</v>
      </c>
      <c r="F1563" s="373">
        <f t="shared" si="80"/>
        <v>1595.0499999999299</v>
      </c>
    </row>
    <row r="1564" spans="4:6" x14ac:dyDescent="0.25">
      <c r="D1564" s="105">
        <f t="shared" si="81"/>
        <v>1595.0999999999299</v>
      </c>
      <c r="E1564" s="373">
        <f t="shared" si="79"/>
        <v>1657.3088999999272</v>
      </c>
      <c r="F1564" s="373">
        <f t="shared" si="80"/>
        <v>1595.0999999999299</v>
      </c>
    </row>
    <row r="1565" spans="4:6" x14ac:dyDescent="0.25">
      <c r="D1565" s="105">
        <f t="shared" si="81"/>
        <v>1595.1499999999298</v>
      </c>
      <c r="E1565" s="373">
        <f t="shared" si="79"/>
        <v>1657.360849999927</v>
      </c>
      <c r="F1565" s="373">
        <f t="shared" si="80"/>
        <v>1595.1499999999298</v>
      </c>
    </row>
    <row r="1566" spans="4:6" x14ac:dyDescent="0.25">
      <c r="D1566" s="105">
        <f t="shared" si="81"/>
        <v>1595.1999999999298</v>
      </c>
      <c r="E1566" s="373">
        <f t="shared" si="79"/>
        <v>1657.4127999999271</v>
      </c>
      <c r="F1566" s="373">
        <f t="shared" si="80"/>
        <v>1595.1999999999298</v>
      </c>
    </row>
    <row r="1567" spans="4:6" x14ac:dyDescent="0.25">
      <c r="D1567" s="105">
        <f t="shared" si="81"/>
        <v>1595.2499999999297</v>
      </c>
      <c r="E1567" s="373">
        <f t="shared" si="79"/>
        <v>1657.4647499999271</v>
      </c>
      <c r="F1567" s="373">
        <f t="shared" si="80"/>
        <v>1595.2499999999297</v>
      </c>
    </row>
    <row r="1568" spans="4:6" x14ac:dyDescent="0.25">
      <c r="D1568" s="105">
        <f t="shared" si="81"/>
        <v>1595.2999999999297</v>
      </c>
      <c r="E1568" s="373">
        <f t="shared" si="79"/>
        <v>1657.5166999999269</v>
      </c>
      <c r="F1568" s="373">
        <f t="shared" si="80"/>
        <v>1595.2999999999297</v>
      </c>
    </row>
    <row r="1569" spans="4:6" x14ac:dyDescent="0.25">
      <c r="D1569" s="105">
        <f t="shared" si="81"/>
        <v>1595.3499999999297</v>
      </c>
      <c r="E1569" s="373">
        <f t="shared" si="79"/>
        <v>1657.5686499999269</v>
      </c>
      <c r="F1569" s="373">
        <f t="shared" si="80"/>
        <v>1595.3499999999297</v>
      </c>
    </row>
    <row r="1570" spans="4:6" x14ac:dyDescent="0.25">
      <c r="D1570" s="105">
        <f t="shared" si="81"/>
        <v>1595.3999999999296</v>
      </c>
      <c r="E1570" s="373">
        <f t="shared" si="79"/>
        <v>1657.6205999999268</v>
      </c>
      <c r="F1570" s="373">
        <f t="shared" si="80"/>
        <v>1595.3999999999296</v>
      </c>
    </row>
    <row r="1571" spans="4:6" x14ac:dyDescent="0.25">
      <c r="D1571" s="105">
        <f t="shared" si="81"/>
        <v>1595.4499999999296</v>
      </c>
      <c r="E1571" s="373">
        <f t="shared" si="79"/>
        <v>1657.6725499999268</v>
      </c>
      <c r="F1571" s="373">
        <f t="shared" si="80"/>
        <v>1595.4499999999296</v>
      </c>
    </row>
    <row r="1572" spans="4:6" x14ac:dyDescent="0.25">
      <c r="D1572" s="105">
        <f t="shared" si="81"/>
        <v>1595.4999999999295</v>
      </c>
      <c r="E1572" s="373">
        <f t="shared" si="79"/>
        <v>1657.7244999999268</v>
      </c>
      <c r="F1572" s="373">
        <f t="shared" si="80"/>
        <v>1595.4999999999295</v>
      </c>
    </row>
    <row r="1573" spans="4:6" x14ac:dyDescent="0.25">
      <c r="D1573" s="105">
        <f t="shared" si="81"/>
        <v>1595.5499999999295</v>
      </c>
      <c r="E1573" s="373">
        <f t="shared" si="79"/>
        <v>1657.7764499999266</v>
      </c>
      <c r="F1573" s="373">
        <f t="shared" si="80"/>
        <v>1595.5499999999295</v>
      </c>
    </row>
    <row r="1574" spans="4:6" x14ac:dyDescent="0.25">
      <c r="D1574" s="105">
        <f t="shared" si="81"/>
        <v>1595.5999999999294</v>
      </c>
      <c r="E1574" s="373">
        <f t="shared" si="79"/>
        <v>1657.8283999999267</v>
      </c>
      <c r="F1574" s="373">
        <f t="shared" si="80"/>
        <v>1595.5999999999294</v>
      </c>
    </row>
    <row r="1575" spans="4:6" x14ac:dyDescent="0.25">
      <c r="D1575" s="105">
        <f t="shared" si="81"/>
        <v>1595.6499999999294</v>
      </c>
      <c r="E1575" s="373">
        <f t="shared" si="79"/>
        <v>1657.8803499999267</v>
      </c>
      <c r="F1575" s="373">
        <f t="shared" si="80"/>
        <v>1595.6499999999294</v>
      </c>
    </row>
    <row r="1576" spans="4:6" x14ac:dyDescent="0.25">
      <c r="D1576" s="105">
        <f t="shared" si="81"/>
        <v>1595.6999999999293</v>
      </c>
      <c r="E1576" s="373">
        <f t="shared" si="79"/>
        <v>1657.9322999999265</v>
      </c>
      <c r="F1576" s="373">
        <f t="shared" si="80"/>
        <v>1595.6999999999293</v>
      </c>
    </row>
    <row r="1577" spans="4:6" x14ac:dyDescent="0.25">
      <c r="D1577" s="105">
        <f t="shared" si="81"/>
        <v>1595.7499999999293</v>
      </c>
      <c r="E1577" s="373">
        <f t="shared" si="79"/>
        <v>1657.9842499999265</v>
      </c>
      <c r="F1577" s="373">
        <f t="shared" si="80"/>
        <v>1595.7499999999293</v>
      </c>
    </row>
    <row r="1578" spans="4:6" x14ac:dyDescent="0.25">
      <c r="D1578" s="105">
        <f t="shared" si="81"/>
        <v>1595.7999999999292</v>
      </c>
      <c r="E1578" s="373">
        <f t="shared" si="79"/>
        <v>1658.0361999999266</v>
      </c>
      <c r="F1578" s="373">
        <f t="shared" si="80"/>
        <v>1595.7999999999292</v>
      </c>
    </row>
    <row r="1579" spans="4:6" x14ac:dyDescent="0.25">
      <c r="D1579" s="105">
        <f t="shared" si="81"/>
        <v>1595.8499999999292</v>
      </c>
      <c r="E1579" s="373">
        <f t="shared" si="79"/>
        <v>1658.0881499999264</v>
      </c>
      <c r="F1579" s="373">
        <f t="shared" si="80"/>
        <v>1595.8499999999292</v>
      </c>
    </row>
    <row r="1580" spans="4:6" x14ac:dyDescent="0.25">
      <c r="D1580" s="105">
        <f t="shared" si="81"/>
        <v>1595.8999999999292</v>
      </c>
      <c r="E1580" s="373">
        <f t="shared" si="79"/>
        <v>1658.1400999999264</v>
      </c>
      <c r="F1580" s="373">
        <f t="shared" si="80"/>
        <v>1595.8999999999292</v>
      </c>
    </row>
    <row r="1581" spans="4:6" x14ac:dyDescent="0.25">
      <c r="D1581" s="105">
        <f t="shared" si="81"/>
        <v>1595.9499999999291</v>
      </c>
      <c r="E1581" s="373">
        <f t="shared" si="79"/>
        <v>1658.1920499999264</v>
      </c>
      <c r="F1581" s="373">
        <f t="shared" si="80"/>
        <v>1595.9499999999291</v>
      </c>
    </row>
    <row r="1582" spans="4:6" x14ac:dyDescent="0.25">
      <c r="D1582" s="105">
        <f t="shared" si="81"/>
        <v>1595.9999999999291</v>
      </c>
      <c r="E1582" s="373">
        <f t="shared" si="79"/>
        <v>1658.2439999999262</v>
      </c>
      <c r="F1582" s="373">
        <f t="shared" si="80"/>
        <v>1595.9999999999291</v>
      </c>
    </row>
    <row r="1583" spans="4:6" x14ac:dyDescent="0.25">
      <c r="D1583" s="105">
        <f t="shared" si="81"/>
        <v>1596.049999999929</v>
      </c>
      <c r="E1583" s="373">
        <f t="shared" si="79"/>
        <v>1658.2959499999263</v>
      </c>
      <c r="F1583" s="373">
        <f t="shared" si="80"/>
        <v>1596.049999999929</v>
      </c>
    </row>
    <row r="1584" spans="4:6" x14ac:dyDescent="0.25">
      <c r="D1584" s="105">
        <f t="shared" si="81"/>
        <v>1596.099999999929</v>
      </c>
      <c r="E1584" s="373">
        <f t="shared" si="79"/>
        <v>1658.3478999999261</v>
      </c>
      <c r="F1584" s="373">
        <f t="shared" si="80"/>
        <v>1596.099999999929</v>
      </c>
    </row>
    <row r="1585" spans="4:6" x14ac:dyDescent="0.25">
      <c r="D1585" s="105">
        <f t="shared" si="81"/>
        <v>1596.1499999999289</v>
      </c>
      <c r="E1585" s="373">
        <f t="shared" si="79"/>
        <v>1658.3998499999261</v>
      </c>
      <c r="F1585" s="373">
        <f t="shared" si="80"/>
        <v>1596.1499999999289</v>
      </c>
    </row>
    <row r="1586" spans="4:6" x14ac:dyDescent="0.25">
      <c r="D1586" s="105">
        <f t="shared" si="81"/>
        <v>1596.1999999999289</v>
      </c>
      <c r="E1586" s="373">
        <f t="shared" si="79"/>
        <v>1658.4517999999262</v>
      </c>
      <c r="F1586" s="373">
        <f t="shared" si="80"/>
        <v>1596.1999999999289</v>
      </c>
    </row>
    <row r="1587" spans="4:6" x14ac:dyDescent="0.25">
      <c r="D1587" s="105">
        <f t="shared" si="81"/>
        <v>1596.2499999999288</v>
      </c>
      <c r="E1587" s="373">
        <f t="shared" si="79"/>
        <v>1658.503749999926</v>
      </c>
      <c r="F1587" s="373">
        <f t="shared" si="80"/>
        <v>1596.2499999999288</v>
      </c>
    </row>
    <row r="1588" spans="4:6" x14ac:dyDescent="0.25">
      <c r="D1588" s="105">
        <f t="shared" si="81"/>
        <v>1596.2999999999288</v>
      </c>
      <c r="E1588" s="373">
        <f t="shared" si="79"/>
        <v>1658.555699999926</v>
      </c>
      <c r="F1588" s="373">
        <f t="shared" si="80"/>
        <v>1596.2999999999288</v>
      </c>
    </row>
    <row r="1589" spans="4:6" x14ac:dyDescent="0.25">
      <c r="D1589" s="105">
        <f t="shared" si="81"/>
        <v>1596.3499999999287</v>
      </c>
      <c r="E1589" s="373">
        <f t="shared" si="79"/>
        <v>1658.607649999926</v>
      </c>
      <c r="F1589" s="373">
        <f t="shared" si="80"/>
        <v>1596.3499999999287</v>
      </c>
    </row>
    <row r="1590" spans="4:6" x14ac:dyDescent="0.25">
      <c r="D1590" s="105">
        <f t="shared" si="81"/>
        <v>1596.3999999999287</v>
      </c>
      <c r="E1590" s="373">
        <f t="shared" si="79"/>
        <v>1658.6595999999258</v>
      </c>
      <c r="F1590" s="373">
        <f t="shared" si="80"/>
        <v>1596.3999999999287</v>
      </c>
    </row>
    <row r="1591" spans="4:6" x14ac:dyDescent="0.25">
      <c r="D1591" s="105">
        <f t="shared" si="81"/>
        <v>1596.4499999999287</v>
      </c>
      <c r="E1591" s="373">
        <f t="shared" si="79"/>
        <v>1658.7115499999259</v>
      </c>
      <c r="F1591" s="373">
        <f t="shared" si="80"/>
        <v>1596.4499999999287</v>
      </c>
    </row>
    <row r="1592" spans="4:6" x14ac:dyDescent="0.25">
      <c r="D1592" s="105">
        <f t="shared" si="81"/>
        <v>1596.4999999999286</v>
      </c>
      <c r="E1592" s="373">
        <f t="shared" si="79"/>
        <v>1658.7634999999259</v>
      </c>
      <c r="F1592" s="373">
        <f t="shared" si="80"/>
        <v>1596.4999999999286</v>
      </c>
    </row>
    <row r="1593" spans="4:6" x14ac:dyDescent="0.25">
      <c r="D1593" s="105">
        <f t="shared" si="81"/>
        <v>1596.5499999999286</v>
      </c>
      <c r="E1593" s="373">
        <f t="shared" si="79"/>
        <v>1658.8154499999257</v>
      </c>
      <c r="F1593" s="373">
        <f t="shared" si="80"/>
        <v>1596.5499999999286</v>
      </c>
    </row>
    <row r="1594" spans="4:6" x14ac:dyDescent="0.25">
      <c r="D1594" s="105">
        <f t="shared" si="81"/>
        <v>1596.5999999999285</v>
      </c>
      <c r="E1594" s="373">
        <f t="shared" si="79"/>
        <v>1658.8673999999257</v>
      </c>
      <c r="F1594" s="373">
        <f t="shared" si="80"/>
        <v>1596.5999999999285</v>
      </c>
    </row>
    <row r="1595" spans="4:6" x14ac:dyDescent="0.25">
      <c r="D1595" s="105">
        <f t="shared" si="81"/>
        <v>1596.6499999999285</v>
      </c>
      <c r="E1595" s="373">
        <f t="shared" si="79"/>
        <v>1658.9193499999258</v>
      </c>
      <c r="F1595" s="373">
        <f t="shared" si="80"/>
        <v>1596.6499999999285</v>
      </c>
    </row>
    <row r="1596" spans="4:6" x14ac:dyDescent="0.25">
      <c r="D1596" s="105">
        <f t="shared" si="81"/>
        <v>1596.6999999999284</v>
      </c>
      <c r="E1596" s="373">
        <f t="shared" si="79"/>
        <v>1658.9712999999256</v>
      </c>
      <c r="F1596" s="373">
        <f t="shared" si="80"/>
        <v>1596.6999999999284</v>
      </c>
    </row>
    <row r="1597" spans="4:6" x14ac:dyDescent="0.25">
      <c r="D1597" s="105">
        <f t="shared" si="81"/>
        <v>1596.7499999999284</v>
      </c>
      <c r="E1597" s="373">
        <f t="shared" si="79"/>
        <v>1659.0232499999256</v>
      </c>
      <c r="F1597" s="373">
        <f t="shared" si="80"/>
        <v>1596.7499999999284</v>
      </c>
    </row>
    <row r="1598" spans="4:6" x14ac:dyDescent="0.25">
      <c r="D1598" s="105">
        <f t="shared" si="81"/>
        <v>1596.7999999999283</v>
      </c>
      <c r="E1598" s="373">
        <f t="shared" si="79"/>
        <v>1659.0751999999256</v>
      </c>
      <c r="F1598" s="373">
        <f t="shared" si="80"/>
        <v>1596.7999999999283</v>
      </c>
    </row>
    <row r="1599" spans="4:6" x14ac:dyDescent="0.25">
      <c r="D1599" s="105">
        <f t="shared" si="81"/>
        <v>1596.8499999999283</v>
      </c>
      <c r="E1599" s="373">
        <f t="shared" si="79"/>
        <v>1659.1271499999255</v>
      </c>
      <c r="F1599" s="373">
        <f t="shared" si="80"/>
        <v>1596.8499999999283</v>
      </c>
    </row>
    <row r="1600" spans="4:6" x14ac:dyDescent="0.25">
      <c r="D1600" s="105">
        <f t="shared" si="81"/>
        <v>1596.8999999999282</v>
      </c>
      <c r="E1600" s="373">
        <f t="shared" si="79"/>
        <v>1659.1790999999255</v>
      </c>
      <c r="F1600" s="373">
        <f t="shared" si="80"/>
        <v>1596.8999999999282</v>
      </c>
    </row>
    <row r="1601" spans="4:6" x14ac:dyDescent="0.25">
      <c r="D1601" s="105">
        <f t="shared" si="81"/>
        <v>1596.9499999999282</v>
      </c>
      <c r="E1601" s="373">
        <f t="shared" si="79"/>
        <v>1659.2310499999253</v>
      </c>
      <c r="F1601" s="373">
        <f t="shared" si="80"/>
        <v>1596.9499999999282</v>
      </c>
    </row>
    <row r="1602" spans="4:6" x14ac:dyDescent="0.25">
      <c r="D1602" s="105">
        <f t="shared" si="81"/>
        <v>1596.9999999999281</v>
      </c>
      <c r="E1602" s="373">
        <f t="shared" si="79"/>
        <v>1659.2829999999253</v>
      </c>
      <c r="F1602" s="373">
        <f t="shared" si="80"/>
        <v>1596.9999999999281</v>
      </c>
    </row>
    <row r="1603" spans="4:6" x14ac:dyDescent="0.25">
      <c r="D1603" s="105">
        <f t="shared" si="81"/>
        <v>1597.0499999999281</v>
      </c>
      <c r="E1603" s="373">
        <f t="shared" si="79"/>
        <v>1659.3349499999254</v>
      </c>
      <c r="F1603" s="373">
        <f t="shared" si="80"/>
        <v>1597.0499999999281</v>
      </c>
    </row>
    <row r="1604" spans="4:6" x14ac:dyDescent="0.25">
      <c r="D1604" s="105">
        <f t="shared" si="81"/>
        <v>1597.0999999999281</v>
      </c>
      <c r="E1604" s="373">
        <f t="shared" si="79"/>
        <v>1659.3868999999252</v>
      </c>
      <c r="F1604" s="373">
        <f t="shared" si="80"/>
        <v>1597.0999999999281</v>
      </c>
    </row>
    <row r="1605" spans="4:6" x14ac:dyDescent="0.25">
      <c r="D1605" s="105">
        <f t="shared" si="81"/>
        <v>1597.149999999928</v>
      </c>
      <c r="E1605" s="373">
        <f t="shared" si="79"/>
        <v>1659.4388499999252</v>
      </c>
      <c r="F1605" s="373">
        <f t="shared" si="80"/>
        <v>1597.149999999928</v>
      </c>
    </row>
    <row r="1606" spans="4:6" x14ac:dyDescent="0.25">
      <c r="D1606" s="105">
        <f t="shared" si="81"/>
        <v>1597.199999999928</v>
      </c>
      <c r="E1606" s="373">
        <f t="shared" si="79"/>
        <v>1659.4907999999252</v>
      </c>
      <c r="F1606" s="373">
        <f t="shared" si="80"/>
        <v>1597.199999999928</v>
      </c>
    </row>
    <row r="1607" spans="4:6" x14ac:dyDescent="0.25">
      <c r="D1607" s="105">
        <f t="shared" si="81"/>
        <v>1597.2499999999279</v>
      </c>
      <c r="E1607" s="373">
        <f t="shared" si="79"/>
        <v>1659.542749999925</v>
      </c>
      <c r="F1607" s="373">
        <f t="shared" si="80"/>
        <v>1597.2499999999279</v>
      </c>
    </row>
    <row r="1608" spans="4:6" x14ac:dyDescent="0.25">
      <c r="D1608" s="105">
        <f t="shared" si="81"/>
        <v>1597.2999999999279</v>
      </c>
      <c r="E1608" s="373">
        <f t="shared" si="79"/>
        <v>1659.5946999999251</v>
      </c>
      <c r="F1608" s="373">
        <f t="shared" si="80"/>
        <v>1597.2999999999279</v>
      </c>
    </row>
    <row r="1609" spans="4:6" x14ac:dyDescent="0.25">
      <c r="D1609" s="105">
        <f t="shared" si="81"/>
        <v>1597.3499999999278</v>
      </c>
      <c r="E1609" s="373">
        <f t="shared" si="79"/>
        <v>1659.6466499999251</v>
      </c>
      <c r="F1609" s="373">
        <f t="shared" si="80"/>
        <v>1597.3499999999278</v>
      </c>
    </row>
    <row r="1610" spans="4:6" x14ac:dyDescent="0.25">
      <c r="D1610" s="105">
        <f t="shared" si="81"/>
        <v>1597.3999999999278</v>
      </c>
      <c r="E1610" s="373">
        <f t="shared" si="79"/>
        <v>1659.6985999999249</v>
      </c>
      <c r="F1610" s="373">
        <f t="shared" si="80"/>
        <v>1597.3999999999278</v>
      </c>
    </row>
    <row r="1611" spans="4:6" x14ac:dyDescent="0.25">
      <c r="D1611" s="105">
        <f t="shared" si="81"/>
        <v>1597.4499999999277</v>
      </c>
      <c r="E1611" s="373">
        <f t="shared" si="79"/>
        <v>1659.7505499999249</v>
      </c>
      <c r="F1611" s="373">
        <f t="shared" si="80"/>
        <v>1597.4499999999277</v>
      </c>
    </row>
    <row r="1612" spans="4:6" x14ac:dyDescent="0.25">
      <c r="D1612" s="105">
        <f t="shared" si="81"/>
        <v>1597.4999999999277</v>
      </c>
      <c r="E1612" s="373">
        <f t="shared" si="79"/>
        <v>1659.802499999925</v>
      </c>
      <c r="F1612" s="373">
        <f t="shared" si="80"/>
        <v>1597.4999999999277</v>
      </c>
    </row>
    <row r="1613" spans="4:6" x14ac:dyDescent="0.25">
      <c r="D1613" s="105">
        <f t="shared" si="81"/>
        <v>1597.5499999999276</v>
      </c>
      <c r="E1613" s="373">
        <f t="shared" si="79"/>
        <v>1659.8544499999248</v>
      </c>
      <c r="F1613" s="373">
        <f t="shared" si="80"/>
        <v>1597.5499999999276</v>
      </c>
    </row>
    <row r="1614" spans="4:6" x14ac:dyDescent="0.25">
      <c r="D1614" s="105">
        <f t="shared" si="81"/>
        <v>1597.5999999999276</v>
      </c>
      <c r="E1614" s="373">
        <f t="shared" si="79"/>
        <v>1659.9063999999248</v>
      </c>
      <c r="F1614" s="373">
        <f t="shared" si="80"/>
        <v>1597.5999999999276</v>
      </c>
    </row>
    <row r="1615" spans="4:6" x14ac:dyDescent="0.25">
      <c r="D1615" s="105">
        <f t="shared" si="81"/>
        <v>1597.6499999999276</v>
      </c>
      <c r="E1615" s="373">
        <f t="shared" si="79"/>
        <v>1659.9583499999248</v>
      </c>
      <c r="F1615" s="373">
        <f t="shared" si="80"/>
        <v>1597.6499999999276</v>
      </c>
    </row>
    <row r="1616" spans="4:6" x14ac:dyDescent="0.25">
      <c r="D1616" s="105">
        <f t="shared" si="81"/>
        <v>1597.6999999999275</v>
      </c>
      <c r="E1616" s="373">
        <f t="shared" si="79"/>
        <v>1660.0102999999247</v>
      </c>
      <c r="F1616" s="373">
        <f t="shared" si="80"/>
        <v>1597.6999999999275</v>
      </c>
    </row>
    <row r="1617" spans="4:6" x14ac:dyDescent="0.25">
      <c r="D1617" s="105">
        <f t="shared" si="81"/>
        <v>1597.7499999999275</v>
      </c>
      <c r="E1617" s="373">
        <f t="shared" si="79"/>
        <v>1660.0622499999247</v>
      </c>
      <c r="F1617" s="373">
        <f t="shared" si="80"/>
        <v>1597.7499999999275</v>
      </c>
    </row>
    <row r="1618" spans="4:6" x14ac:dyDescent="0.25">
      <c r="D1618" s="105">
        <f t="shared" si="81"/>
        <v>1597.7999999999274</v>
      </c>
      <c r="E1618" s="373">
        <f t="shared" si="79"/>
        <v>1660.1141999999245</v>
      </c>
      <c r="F1618" s="373">
        <f t="shared" si="80"/>
        <v>1597.7999999999274</v>
      </c>
    </row>
    <row r="1619" spans="4:6" x14ac:dyDescent="0.25">
      <c r="D1619" s="105">
        <f t="shared" si="81"/>
        <v>1597.8499999999274</v>
      </c>
      <c r="E1619" s="373">
        <f t="shared" si="79"/>
        <v>1660.1661499999245</v>
      </c>
      <c r="F1619" s="373">
        <f t="shared" si="80"/>
        <v>1597.8499999999274</v>
      </c>
    </row>
    <row r="1620" spans="4:6" x14ac:dyDescent="0.25">
      <c r="D1620" s="105">
        <f t="shared" si="81"/>
        <v>1597.8999999999273</v>
      </c>
      <c r="E1620" s="373">
        <f t="shared" si="79"/>
        <v>1660.2180999999246</v>
      </c>
      <c r="F1620" s="373">
        <f t="shared" si="80"/>
        <v>1597.8999999999273</v>
      </c>
    </row>
    <row r="1621" spans="4:6" x14ac:dyDescent="0.25">
      <c r="D1621" s="105">
        <f t="shared" si="81"/>
        <v>1597.9499999999273</v>
      </c>
      <c r="E1621" s="373">
        <f t="shared" si="79"/>
        <v>1660.2700499999244</v>
      </c>
      <c r="F1621" s="373">
        <f t="shared" si="80"/>
        <v>1597.9499999999273</v>
      </c>
    </row>
    <row r="1622" spans="4:6" x14ac:dyDescent="0.25">
      <c r="D1622" s="105">
        <f t="shared" si="81"/>
        <v>1597.9999999999272</v>
      </c>
      <c r="E1622" s="373">
        <f t="shared" si="79"/>
        <v>1660.3219999999244</v>
      </c>
      <c r="F1622" s="373">
        <f t="shared" si="80"/>
        <v>1597.9999999999272</v>
      </c>
    </row>
    <row r="1623" spans="4:6" x14ac:dyDescent="0.25">
      <c r="D1623" s="105">
        <f t="shared" si="81"/>
        <v>1598.0499999999272</v>
      </c>
      <c r="E1623" s="373">
        <f t="shared" ref="E1623:E1686" si="82">D1623*$C$2 + D1623</f>
        <v>1660.3739499999244</v>
      </c>
      <c r="F1623" s="373">
        <f t="shared" ref="F1623:F1686" si="83">D1623</f>
        <v>1598.0499999999272</v>
      </c>
    </row>
    <row r="1624" spans="4:6" x14ac:dyDescent="0.25">
      <c r="D1624" s="105">
        <f t="shared" ref="D1624:D1687" si="84">D1623+0.05</f>
        <v>1598.0999999999271</v>
      </c>
      <c r="E1624" s="373">
        <f t="shared" si="82"/>
        <v>1660.4258999999242</v>
      </c>
      <c r="F1624" s="373">
        <f t="shared" si="83"/>
        <v>1598.0999999999271</v>
      </c>
    </row>
    <row r="1625" spans="4:6" x14ac:dyDescent="0.25">
      <c r="D1625" s="105">
        <f t="shared" si="84"/>
        <v>1598.1499999999271</v>
      </c>
      <c r="E1625" s="373">
        <f t="shared" si="82"/>
        <v>1660.4778499999243</v>
      </c>
      <c r="F1625" s="373">
        <f t="shared" si="83"/>
        <v>1598.1499999999271</v>
      </c>
    </row>
    <row r="1626" spans="4:6" x14ac:dyDescent="0.25">
      <c r="D1626" s="105">
        <f t="shared" si="84"/>
        <v>1598.1999999999271</v>
      </c>
      <c r="E1626" s="373">
        <f t="shared" si="82"/>
        <v>1660.5297999999243</v>
      </c>
      <c r="F1626" s="373">
        <f t="shared" si="83"/>
        <v>1598.1999999999271</v>
      </c>
    </row>
    <row r="1627" spans="4:6" x14ac:dyDescent="0.25">
      <c r="D1627" s="105">
        <f t="shared" si="84"/>
        <v>1598.249999999927</v>
      </c>
      <c r="E1627" s="373">
        <f t="shared" si="82"/>
        <v>1660.5817499999241</v>
      </c>
      <c r="F1627" s="373">
        <f t="shared" si="83"/>
        <v>1598.249999999927</v>
      </c>
    </row>
    <row r="1628" spans="4:6" x14ac:dyDescent="0.25">
      <c r="D1628" s="105">
        <f t="shared" si="84"/>
        <v>1598.299999999927</v>
      </c>
      <c r="E1628" s="373">
        <f t="shared" si="82"/>
        <v>1660.6336999999241</v>
      </c>
      <c r="F1628" s="373">
        <f t="shared" si="83"/>
        <v>1598.299999999927</v>
      </c>
    </row>
    <row r="1629" spans="4:6" x14ac:dyDescent="0.25">
      <c r="D1629" s="105">
        <f t="shared" si="84"/>
        <v>1598.3499999999269</v>
      </c>
      <c r="E1629" s="373">
        <f t="shared" si="82"/>
        <v>1660.6856499999242</v>
      </c>
      <c r="F1629" s="373">
        <f t="shared" si="83"/>
        <v>1598.3499999999269</v>
      </c>
    </row>
    <row r="1630" spans="4:6" x14ac:dyDescent="0.25">
      <c r="D1630" s="105">
        <f t="shared" si="84"/>
        <v>1598.3999999999269</v>
      </c>
      <c r="E1630" s="373">
        <f t="shared" si="82"/>
        <v>1660.737599999924</v>
      </c>
      <c r="F1630" s="373">
        <f t="shared" si="83"/>
        <v>1598.3999999999269</v>
      </c>
    </row>
    <row r="1631" spans="4:6" x14ac:dyDescent="0.25">
      <c r="D1631" s="105">
        <f t="shared" si="84"/>
        <v>1598.4499999999268</v>
      </c>
      <c r="E1631" s="373">
        <f t="shared" si="82"/>
        <v>1660.789549999924</v>
      </c>
      <c r="F1631" s="373">
        <f t="shared" si="83"/>
        <v>1598.4499999999268</v>
      </c>
    </row>
    <row r="1632" spans="4:6" x14ac:dyDescent="0.25">
      <c r="D1632" s="105">
        <f t="shared" si="84"/>
        <v>1598.4999999999268</v>
      </c>
      <c r="E1632" s="373">
        <f t="shared" si="82"/>
        <v>1660.8414999999238</v>
      </c>
      <c r="F1632" s="373">
        <f t="shared" si="83"/>
        <v>1598.4999999999268</v>
      </c>
    </row>
    <row r="1633" spans="4:6" x14ac:dyDescent="0.25">
      <c r="D1633" s="105">
        <f t="shared" si="84"/>
        <v>1598.5499999999267</v>
      </c>
      <c r="E1633" s="373">
        <f t="shared" si="82"/>
        <v>1660.8934499999239</v>
      </c>
      <c r="F1633" s="373">
        <f t="shared" si="83"/>
        <v>1598.5499999999267</v>
      </c>
    </row>
    <row r="1634" spans="4:6" x14ac:dyDescent="0.25">
      <c r="D1634" s="105">
        <f t="shared" si="84"/>
        <v>1598.5999999999267</v>
      </c>
      <c r="E1634" s="373">
        <f t="shared" si="82"/>
        <v>1660.9453999999239</v>
      </c>
      <c r="F1634" s="373">
        <f t="shared" si="83"/>
        <v>1598.5999999999267</v>
      </c>
    </row>
    <row r="1635" spans="4:6" x14ac:dyDescent="0.25">
      <c r="D1635" s="105">
        <f t="shared" si="84"/>
        <v>1598.6499999999266</v>
      </c>
      <c r="E1635" s="373">
        <f t="shared" si="82"/>
        <v>1660.9973499999237</v>
      </c>
      <c r="F1635" s="373">
        <f t="shared" si="83"/>
        <v>1598.6499999999266</v>
      </c>
    </row>
    <row r="1636" spans="4:6" x14ac:dyDescent="0.25">
      <c r="D1636" s="105">
        <f t="shared" si="84"/>
        <v>1598.6999999999266</v>
      </c>
      <c r="E1636" s="373">
        <f t="shared" si="82"/>
        <v>1661.0492999999237</v>
      </c>
      <c r="F1636" s="373">
        <f t="shared" si="83"/>
        <v>1598.6999999999266</v>
      </c>
    </row>
    <row r="1637" spans="4:6" x14ac:dyDescent="0.25">
      <c r="D1637" s="105">
        <f t="shared" si="84"/>
        <v>1598.7499999999266</v>
      </c>
      <c r="E1637" s="373">
        <f t="shared" si="82"/>
        <v>1661.1012499999238</v>
      </c>
      <c r="F1637" s="373">
        <f t="shared" si="83"/>
        <v>1598.7499999999266</v>
      </c>
    </row>
    <row r="1638" spans="4:6" x14ac:dyDescent="0.25">
      <c r="D1638" s="105">
        <f t="shared" si="84"/>
        <v>1598.7999999999265</v>
      </c>
      <c r="E1638" s="373">
        <f t="shared" si="82"/>
        <v>1661.1531999999236</v>
      </c>
      <c r="F1638" s="373">
        <f t="shared" si="83"/>
        <v>1598.7999999999265</v>
      </c>
    </row>
    <row r="1639" spans="4:6" x14ac:dyDescent="0.25">
      <c r="D1639" s="105">
        <f t="shared" si="84"/>
        <v>1598.8499999999265</v>
      </c>
      <c r="E1639" s="373">
        <f t="shared" si="82"/>
        <v>1661.2051499999236</v>
      </c>
      <c r="F1639" s="373">
        <f t="shared" si="83"/>
        <v>1598.8499999999265</v>
      </c>
    </row>
    <row r="1640" spans="4:6" x14ac:dyDescent="0.25">
      <c r="D1640" s="105">
        <f t="shared" si="84"/>
        <v>1598.8999999999264</v>
      </c>
      <c r="E1640" s="373">
        <f t="shared" si="82"/>
        <v>1661.2570999999236</v>
      </c>
      <c r="F1640" s="373">
        <f t="shared" si="83"/>
        <v>1598.8999999999264</v>
      </c>
    </row>
    <row r="1641" spans="4:6" x14ac:dyDescent="0.25">
      <c r="D1641" s="105">
        <f t="shared" si="84"/>
        <v>1598.9499999999264</v>
      </c>
      <c r="E1641" s="373">
        <f t="shared" si="82"/>
        <v>1661.3090499999234</v>
      </c>
      <c r="F1641" s="373">
        <f t="shared" si="83"/>
        <v>1598.9499999999264</v>
      </c>
    </row>
    <row r="1642" spans="4:6" x14ac:dyDescent="0.25">
      <c r="D1642" s="105">
        <f t="shared" si="84"/>
        <v>1598.9999999999263</v>
      </c>
      <c r="E1642" s="373">
        <f t="shared" si="82"/>
        <v>1661.3609999999235</v>
      </c>
      <c r="F1642" s="373">
        <f t="shared" si="83"/>
        <v>1598.9999999999263</v>
      </c>
    </row>
    <row r="1643" spans="4:6" x14ac:dyDescent="0.25">
      <c r="D1643" s="105">
        <f t="shared" si="84"/>
        <v>1599.0499999999263</v>
      </c>
      <c r="E1643" s="373">
        <f t="shared" si="82"/>
        <v>1661.4129499999235</v>
      </c>
      <c r="F1643" s="373">
        <f t="shared" si="83"/>
        <v>1599.0499999999263</v>
      </c>
    </row>
    <row r="1644" spans="4:6" x14ac:dyDescent="0.25">
      <c r="D1644" s="105">
        <f t="shared" si="84"/>
        <v>1599.0999999999262</v>
      </c>
      <c r="E1644" s="373">
        <f t="shared" si="82"/>
        <v>1661.4648999999233</v>
      </c>
      <c r="F1644" s="373">
        <f t="shared" si="83"/>
        <v>1599.0999999999262</v>
      </c>
    </row>
    <row r="1645" spans="4:6" x14ac:dyDescent="0.25">
      <c r="D1645" s="105">
        <f t="shared" si="84"/>
        <v>1599.1499999999262</v>
      </c>
      <c r="E1645" s="373">
        <f t="shared" si="82"/>
        <v>1661.5168499999234</v>
      </c>
      <c r="F1645" s="373">
        <f t="shared" si="83"/>
        <v>1599.1499999999262</v>
      </c>
    </row>
    <row r="1646" spans="4:6" x14ac:dyDescent="0.25">
      <c r="D1646" s="105">
        <f t="shared" si="84"/>
        <v>1599.1999999999261</v>
      </c>
      <c r="E1646" s="373">
        <f t="shared" si="82"/>
        <v>1661.5687999999232</v>
      </c>
      <c r="F1646" s="373">
        <f t="shared" si="83"/>
        <v>1599.1999999999261</v>
      </c>
    </row>
    <row r="1647" spans="4:6" x14ac:dyDescent="0.25">
      <c r="D1647" s="105">
        <f t="shared" si="84"/>
        <v>1599.2499999999261</v>
      </c>
      <c r="E1647" s="373">
        <f t="shared" si="82"/>
        <v>1661.6207499999232</v>
      </c>
      <c r="F1647" s="373">
        <f t="shared" si="83"/>
        <v>1599.2499999999261</v>
      </c>
    </row>
    <row r="1648" spans="4:6" x14ac:dyDescent="0.25">
      <c r="D1648" s="105">
        <f t="shared" si="84"/>
        <v>1599.2999999999261</v>
      </c>
      <c r="E1648" s="373">
        <f t="shared" si="82"/>
        <v>1661.6726999999232</v>
      </c>
      <c r="F1648" s="373">
        <f t="shared" si="83"/>
        <v>1599.2999999999261</v>
      </c>
    </row>
    <row r="1649" spans="4:6" x14ac:dyDescent="0.25">
      <c r="D1649" s="105">
        <f t="shared" si="84"/>
        <v>1599.349999999926</v>
      </c>
      <c r="E1649" s="373">
        <f t="shared" si="82"/>
        <v>1661.724649999923</v>
      </c>
      <c r="F1649" s="373">
        <f t="shared" si="83"/>
        <v>1599.349999999926</v>
      </c>
    </row>
    <row r="1650" spans="4:6" x14ac:dyDescent="0.25">
      <c r="D1650" s="105">
        <f t="shared" si="84"/>
        <v>1599.399999999926</v>
      </c>
      <c r="E1650" s="373">
        <f t="shared" si="82"/>
        <v>1661.7765999999231</v>
      </c>
      <c r="F1650" s="373">
        <f t="shared" si="83"/>
        <v>1599.399999999926</v>
      </c>
    </row>
    <row r="1651" spans="4:6" x14ac:dyDescent="0.25">
      <c r="D1651" s="105">
        <f t="shared" si="84"/>
        <v>1599.4499999999259</v>
      </c>
      <c r="E1651" s="373">
        <f t="shared" si="82"/>
        <v>1661.8285499999231</v>
      </c>
      <c r="F1651" s="373">
        <f t="shared" si="83"/>
        <v>1599.4499999999259</v>
      </c>
    </row>
    <row r="1652" spans="4:6" x14ac:dyDescent="0.25">
      <c r="D1652" s="105">
        <f t="shared" si="84"/>
        <v>1599.4999999999259</v>
      </c>
      <c r="E1652" s="373">
        <f t="shared" si="82"/>
        <v>1661.8804999999229</v>
      </c>
      <c r="F1652" s="373">
        <f t="shared" si="83"/>
        <v>1599.4999999999259</v>
      </c>
    </row>
    <row r="1653" spans="4:6" x14ac:dyDescent="0.25">
      <c r="D1653" s="105">
        <f t="shared" si="84"/>
        <v>1599.5499999999258</v>
      </c>
      <c r="E1653" s="373">
        <f t="shared" si="82"/>
        <v>1661.9324499999229</v>
      </c>
      <c r="F1653" s="373">
        <f t="shared" si="83"/>
        <v>1599.5499999999258</v>
      </c>
    </row>
    <row r="1654" spans="4:6" x14ac:dyDescent="0.25">
      <c r="D1654" s="105">
        <f t="shared" si="84"/>
        <v>1599.5999999999258</v>
      </c>
      <c r="E1654" s="373">
        <f t="shared" si="82"/>
        <v>1661.984399999923</v>
      </c>
      <c r="F1654" s="373">
        <f t="shared" si="83"/>
        <v>1599.5999999999258</v>
      </c>
    </row>
    <row r="1655" spans="4:6" x14ac:dyDescent="0.25">
      <c r="D1655" s="105">
        <f t="shared" si="84"/>
        <v>1599.6499999999257</v>
      </c>
      <c r="E1655" s="373">
        <f t="shared" si="82"/>
        <v>1662.0363499999228</v>
      </c>
      <c r="F1655" s="373">
        <f t="shared" si="83"/>
        <v>1599.6499999999257</v>
      </c>
    </row>
    <row r="1656" spans="4:6" x14ac:dyDescent="0.25">
      <c r="D1656" s="105">
        <f t="shared" si="84"/>
        <v>1599.6999999999257</v>
      </c>
      <c r="E1656" s="373">
        <f t="shared" si="82"/>
        <v>1662.0882999999228</v>
      </c>
      <c r="F1656" s="373">
        <f t="shared" si="83"/>
        <v>1599.6999999999257</v>
      </c>
    </row>
    <row r="1657" spans="4:6" x14ac:dyDescent="0.25">
      <c r="D1657" s="105">
        <f t="shared" si="84"/>
        <v>1599.7499999999256</v>
      </c>
      <c r="E1657" s="373">
        <f t="shared" si="82"/>
        <v>1662.1402499999228</v>
      </c>
      <c r="F1657" s="373">
        <f t="shared" si="83"/>
        <v>1599.7499999999256</v>
      </c>
    </row>
    <row r="1658" spans="4:6" x14ac:dyDescent="0.25">
      <c r="D1658" s="105">
        <f t="shared" si="84"/>
        <v>1599.7999999999256</v>
      </c>
      <c r="E1658" s="373">
        <f t="shared" si="82"/>
        <v>1662.1921999999227</v>
      </c>
      <c r="F1658" s="373">
        <f t="shared" si="83"/>
        <v>1599.7999999999256</v>
      </c>
    </row>
    <row r="1659" spans="4:6" x14ac:dyDescent="0.25">
      <c r="D1659" s="105">
        <f t="shared" si="84"/>
        <v>1599.8499999999256</v>
      </c>
      <c r="E1659" s="373">
        <f t="shared" si="82"/>
        <v>1662.2441499999227</v>
      </c>
      <c r="F1659" s="373">
        <f t="shared" si="83"/>
        <v>1599.8499999999256</v>
      </c>
    </row>
    <row r="1660" spans="4:6" x14ac:dyDescent="0.25">
      <c r="D1660" s="105">
        <f t="shared" si="84"/>
        <v>1599.8999999999255</v>
      </c>
      <c r="E1660" s="373">
        <f t="shared" si="82"/>
        <v>1662.2960999999227</v>
      </c>
      <c r="F1660" s="373">
        <f t="shared" si="83"/>
        <v>1599.8999999999255</v>
      </c>
    </row>
    <row r="1661" spans="4:6" x14ac:dyDescent="0.25">
      <c r="D1661" s="105">
        <f t="shared" si="84"/>
        <v>1599.9499999999255</v>
      </c>
      <c r="E1661" s="373">
        <f t="shared" si="82"/>
        <v>1662.3480499999225</v>
      </c>
      <c r="F1661" s="373">
        <f t="shared" si="83"/>
        <v>1599.9499999999255</v>
      </c>
    </row>
    <row r="1662" spans="4:6" x14ac:dyDescent="0.25">
      <c r="D1662" s="105">
        <f t="shared" si="84"/>
        <v>1599.9999999999254</v>
      </c>
      <c r="E1662" s="373">
        <f t="shared" si="82"/>
        <v>1662.3999999999226</v>
      </c>
      <c r="F1662" s="373">
        <f t="shared" si="83"/>
        <v>1599.9999999999254</v>
      </c>
    </row>
    <row r="1663" spans="4:6" x14ac:dyDescent="0.25">
      <c r="D1663" s="105">
        <f t="shared" si="84"/>
        <v>1600.0499999999254</v>
      </c>
      <c r="E1663" s="373">
        <f t="shared" si="82"/>
        <v>1662.4519499999224</v>
      </c>
      <c r="F1663" s="373">
        <f t="shared" si="83"/>
        <v>1600.0499999999254</v>
      </c>
    </row>
    <row r="1664" spans="4:6" x14ac:dyDescent="0.25">
      <c r="D1664" s="105">
        <f t="shared" si="84"/>
        <v>1600.0999999999253</v>
      </c>
      <c r="E1664" s="373">
        <f t="shared" si="82"/>
        <v>1662.5038999999224</v>
      </c>
      <c r="F1664" s="373">
        <f t="shared" si="83"/>
        <v>1600.0999999999253</v>
      </c>
    </row>
    <row r="1665" spans="4:6" x14ac:dyDescent="0.25">
      <c r="D1665" s="105">
        <f t="shared" si="84"/>
        <v>1600.1499999999253</v>
      </c>
      <c r="E1665" s="373">
        <f t="shared" si="82"/>
        <v>1662.5558499999224</v>
      </c>
      <c r="F1665" s="373">
        <f t="shared" si="83"/>
        <v>1600.1499999999253</v>
      </c>
    </row>
    <row r="1666" spans="4:6" x14ac:dyDescent="0.25">
      <c r="D1666" s="105">
        <f t="shared" si="84"/>
        <v>1600.1999999999252</v>
      </c>
      <c r="E1666" s="373">
        <f t="shared" si="82"/>
        <v>1662.6077999999222</v>
      </c>
      <c r="F1666" s="373">
        <f t="shared" si="83"/>
        <v>1600.1999999999252</v>
      </c>
    </row>
    <row r="1667" spans="4:6" x14ac:dyDescent="0.25">
      <c r="D1667" s="105">
        <f t="shared" si="84"/>
        <v>1600.2499999999252</v>
      </c>
      <c r="E1667" s="373">
        <f t="shared" si="82"/>
        <v>1662.6597499999223</v>
      </c>
      <c r="F1667" s="373">
        <f t="shared" si="83"/>
        <v>1600.2499999999252</v>
      </c>
    </row>
    <row r="1668" spans="4:6" x14ac:dyDescent="0.25">
      <c r="D1668" s="105">
        <f t="shared" si="84"/>
        <v>1600.2999999999251</v>
      </c>
      <c r="E1668" s="373">
        <f t="shared" si="82"/>
        <v>1662.7116999999223</v>
      </c>
      <c r="F1668" s="373">
        <f t="shared" si="83"/>
        <v>1600.2999999999251</v>
      </c>
    </row>
    <row r="1669" spans="4:6" x14ac:dyDescent="0.25">
      <c r="D1669" s="105">
        <f t="shared" si="84"/>
        <v>1600.3499999999251</v>
      </c>
      <c r="E1669" s="373">
        <f t="shared" si="82"/>
        <v>1662.7636499999221</v>
      </c>
      <c r="F1669" s="373">
        <f t="shared" si="83"/>
        <v>1600.3499999999251</v>
      </c>
    </row>
    <row r="1670" spans="4:6" x14ac:dyDescent="0.25">
      <c r="D1670" s="105">
        <f t="shared" si="84"/>
        <v>1600.3999999999251</v>
      </c>
      <c r="E1670" s="373">
        <f t="shared" si="82"/>
        <v>1662.8155999999221</v>
      </c>
      <c r="F1670" s="373">
        <f t="shared" si="83"/>
        <v>1600.3999999999251</v>
      </c>
    </row>
    <row r="1671" spans="4:6" x14ac:dyDescent="0.25">
      <c r="D1671" s="105">
        <f t="shared" si="84"/>
        <v>1600.449999999925</v>
      </c>
      <c r="E1671" s="373">
        <f t="shared" si="82"/>
        <v>1662.8675499999222</v>
      </c>
      <c r="F1671" s="373">
        <f t="shared" si="83"/>
        <v>1600.449999999925</v>
      </c>
    </row>
    <row r="1672" spans="4:6" x14ac:dyDescent="0.25">
      <c r="D1672" s="105">
        <f t="shared" si="84"/>
        <v>1600.499999999925</v>
      </c>
      <c r="E1672" s="373">
        <f t="shared" si="82"/>
        <v>1662.919499999922</v>
      </c>
      <c r="F1672" s="373">
        <f t="shared" si="83"/>
        <v>1600.499999999925</v>
      </c>
    </row>
    <row r="1673" spans="4:6" x14ac:dyDescent="0.25">
      <c r="D1673" s="105">
        <f t="shared" si="84"/>
        <v>1600.5499999999249</v>
      </c>
      <c r="E1673" s="373">
        <f t="shared" si="82"/>
        <v>1662.971449999922</v>
      </c>
      <c r="F1673" s="373">
        <f t="shared" si="83"/>
        <v>1600.5499999999249</v>
      </c>
    </row>
    <row r="1674" spans="4:6" x14ac:dyDescent="0.25">
      <c r="D1674" s="105">
        <f t="shared" si="84"/>
        <v>1600.5999999999249</v>
      </c>
      <c r="E1674" s="373">
        <f t="shared" si="82"/>
        <v>1663.023399999922</v>
      </c>
      <c r="F1674" s="373">
        <f t="shared" si="83"/>
        <v>1600.5999999999249</v>
      </c>
    </row>
    <row r="1675" spans="4:6" x14ac:dyDescent="0.25">
      <c r="D1675" s="105">
        <f t="shared" si="84"/>
        <v>1600.6499999999248</v>
      </c>
      <c r="E1675" s="373">
        <f t="shared" si="82"/>
        <v>1663.0753499999219</v>
      </c>
      <c r="F1675" s="373">
        <f t="shared" si="83"/>
        <v>1600.6499999999248</v>
      </c>
    </row>
    <row r="1676" spans="4:6" x14ac:dyDescent="0.25">
      <c r="D1676" s="105">
        <f t="shared" si="84"/>
        <v>1600.6999999999248</v>
      </c>
      <c r="E1676" s="373">
        <f t="shared" si="82"/>
        <v>1663.1272999999219</v>
      </c>
      <c r="F1676" s="373">
        <f t="shared" si="83"/>
        <v>1600.6999999999248</v>
      </c>
    </row>
    <row r="1677" spans="4:6" x14ac:dyDescent="0.25">
      <c r="D1677" s="105">
        <f t="shared" si="84"/>
        <v>1600.7499999999247</v>
      </c>
      <c r="E1677" s="373">
        <f t="shared" si="82"/>
        <v>1663.1792499999217</v>
      </c>
      <c r="F1677" s="373">
        <f t="shared" si="83"/>
        <v>1600.7499999999247</v>
      </c>
    </row>
    <row r="1678" spans="4:6" x14ac:dyDescent="0.25">
      <c r="D1678" s="105">
        <f t="shared" si="84"/>
        <v>1600.7999999999247</v>
      </c>
      <c r="E1678" s="373">
        <f t="shared" si="82"/>
        <v>1663.2311999999217</v>
      </c>
      <c r="F1678" s="373">
        <f t="shared" si="83"/>
        <v>1600.7999999999247</v>
      </c>
    </row>
    <row r="1679" spans="4:6" x14ac:dyDescent="0.25">
      <c r="D1679" s="105">
        <f t="shared" si="84"/>
        <v>1600.8499999999246</v>
      </c>
      <c r="E1679" s="373">
        <f t="shared" si="82"/>
        <v>1663.2831499999218</v>
      </c>
      <c r="F1679" s="373">
        <f t="shared" si="83"/>
        <v>1600.8499999999246</v>
      </c>
    </row>
    <row r="1680" spans="4:6" x14ac:dyDescent="0.25">
      <c r="D1680" s="105">
        <f t="shared" si="84"/>
        <v>1600.8999999999246</v>
      </c>
      <c r="E1680" s="373">
        <f t="shared" si="82"/>
        <v>1663.3350999999216</v>
      </c>
      <c r="F1680" s="373">
        <f t="shared" si="83"/>
        <v>1600.8999999999246</v>
      </c>
    </row>
    <row r="1681" spans="4:6" x14ac:dyDescent="0.25">
      <c r="D1681" s="105">
        <f t="shared" si="84"/>
        <v>1600.9499999999246</v>
      </c>
      <c r="E1681" s="373">
        <f t="shared" si="82"/>
        <v>1663.3870499999216</v>
      </c>
      <c r="F1681" s="373">
        <f t="shared" si="83"/>
        <v>1600.9499999999246</v>
      </c>
    </row>
    <row r="1682" spans="4:6" x14ac:dyDescent="0.25">
      <c r="D1682" s="105">
        <f t="shared" si="84"/>
        <v>1600.9999999999245</v>
      </c>
      <c r="E1682" s="373">
        <f t="shared" si="82"/>
        <v>1663.4389999999216</v>
      </c>
      <c r="F1682" s="373">
        <f t="shared" si="83"/>
        <v>1600.9999999999245</v>
      </c>
    </row>
    <row r="1683" spans="4:6" x14ac:dyDescent="0.25">
      <c r="D1683" s="105">
        <f t="shared" si="84"/>
        <v>1601.0499999999245</v>
      </c>
      <c r="E1683" s="373">
        <f t="shared" si="82"/>
        <v>1663.4909499999214</v>
      </c>
      <c r="F1683" s="373">
        <f t="shared" si="83"/>
        <v>1601.0499999999245</v>
      </c>
    </row>
    <row r="1684" spans="4:6" x14ac:dyDescent="0.25">
      <c r="D1684" s="105">
        <f t="shared" si="84"/>
        <v>1601.0999999999244</v>
      </c>
      <c r="E1684" s="373">
        <f t="shared" si="82"/>
        <v>1663.5428999999215</v>
      </c>
      <c r="F1684" s="373">
        <f t="shared" si="83"/>
        <v>1601.0999999999244</v>
      </c>
    </row>
    <row r="1685" spans="4:6" x14ac:dyDescent="0.25">
      <c r="D1685" s="105">
        <f t="shared" si="84"/>
        <v>1601.1499999999244</v>
      </c>
      <c r="E1685" s="373">
        <f t="shared" si="82"/>
        <v>1663.5948499999215</v>
      </c>
      <c r="F1685" s="373">
        <f t="shared" si="83"/>
        <v>1601.1499999999244</v>
      </c>
    </row>
    <row r="1686" spans="4:6" x14ac:dyDescent="0.25">
      <c r="D1686" s="105">
        <f t="shared" si="84"/>
        <v>1601.1999999999243</v>
      </c>
      <c r="E1686" s="373">
        <f t="shared" si="82"/>
        <v>1663.6467999999213</v>
      </c>
      <c r="F1686" s="373">
        <f t="shared" si="83"/>
        <v>1601.1999999999243</v>
      </c>
    </row>
    <row r="1687" spans="4:6" x14ac:dyDescent="0.25">
      <c r="D1687" s="105">
        <f t="shared" si="84"/>
        <v>1601.2499999999243</v>
      </c>
      <c r="E1687" s="373">
        <f t="shared" ref="E1687:E1750" si="85">D1687*$C$2 + D1687</f>
        <v>1663.6987499999213</v>
      </c>
      <c r="F1687" s="373">
        <f t="shared" ref="F1687:F1750" si="86">D1687</f>
        <v>1601.2499999999243</v>
      </c>
    </row>
    <row r="1688" spans="4:6" x14ac:dyDescent="0.25">
      <c r="D1688" s="105">
        <f t="shared" ref="D1688:D1751" si="87">D1687+0.05</f>
        <v>1601.2999999999242</v>
      </c>
      <c r="E1688" s="373">
        <f t="shared" si="85"/>
        <v>1663.7506999999214</v>
      </c>
      <c r="F1688" s="373">
        <f t="shared" si="86"/>
        <v>1601.2999999999242</v>
      </c>
    </row>
    <row r="1689" spans="4:6" x14ac:dyDescent="0.25">
      <c r="D1689" s="105">
        <f t="shared" si="87"/>
        <v>1601.3499999999242</v>
      </c>
      <c r="E1689" s="373">
        <f t="shared" si="85"/>
        <v>1663.8026499999212</v>
      </c>
      <c r="F1689" s="373">
        <f t="shared" si="86"/>
        <v>1601.3499999999242</v>
      </c>
    </row>
    <row r="1690" spans="4:6" x14ac:dyDescent="0.25">
      <c r="D1690" s="105">
        <f t="shared" si="87"/>
        <v>1601.3999999999241</v>
      </c>
      <c r="E1690" s="373">
        <f t="shared" si="85"/>
        <v>1663.8545999999212</v>
      </c>
      <c r="F1690" s="373">
        <f t="shared" si="86"/>
        <v>1601.3999999999241</v>
      </c>
    </row>
    <row r="1691" spans="4:6" x14ac:dyDescent="0.25">
      <c r="D1691" s="105">
        <f t="shared" si="87"/>
        <v>1601.4499999999241</v>
      </c>
      <c r="E1691" s="373">
        <f t="shared" si="85"/>
        <v>1663.906549999921</v>
      </c>
      <c r="F1691" s="373">
        <f t="shared" si="86"/>
        <v>1601.4499999999241</v>
      </c>
    </row>
    <row r="1692" spans="4:6" x14ac:dyDescent="0.25">
      <c r="D1692" s="105">
        <f t="shared" si="87"/>
        <v>1601.4999999999241</v>
      </c>
      <c r="E1692" s="373">
        <f t="shared" si="85"/>
        <v>1663.9584999999211</v>
      </c>
      <c r="F1692" s="373">
        <f t="shared" si="86"/>
        <v>1601.4999999999241</v>
      </c>
    </row>
    <row r="1693" spans="4:6" x14ac:dyDescent="0.25">
      <c r="D1693" s="105">
        <f t="shared" si="87"/>
        <v>1601.549999999924</v>
      </c>
      <c r="E1693" s="373">
        <f t="shared" si="85"/>
        <v>1664.0104499999211</v>
      </c>
      <c r="F1693" s="373">
        <f t="shared" si="86"/>
        <v>1601.549999999924</v>
      </c>
    </row>
    <row r="1694" spans="4:6" x14ac:dyDescent="0.25">
      <c r="D1694" s="105">
        <f t="shared" si="87"/>
        <v>1601.599999999924</v>
      </c>
      <c r="E1694" s="373">
        <f t="shared" si="85"/>
        <v>1664.0623999999209</v>
      </c>
      <c r="F1694" s="373">
        <f t="shared" si="86"/>
        <v>1601.599999999924</v>
      </c>
    </row>
    <row r="1695" spans="4:6" x14ac:dyDescent="0.25">
      <c r="D1695" s="105">
        <f t="shared" si="87"/>
        <v>1601.6499999999239</v>
      </c>
      <c r="E1695" s="373">
        <f t="shared" si="85"/>
        <v>1664.1143499999209</v>
      </c>
      <c r="F1695" s="373">
        <f t="shared" si="86"/>
        <v>1601.6499999999239</v>
      </c>
    </row>
    <row r="1696" spans="4:6" x14ac:dyDescent="0.25">
      <c r="D1696" s="105">
        <f t="shared" si="87"/>
        <v>1601.6999999999239</v>
      </c>
      <c r="E1696" s="373">
        <f t="shared" si="85"/>
        <v>1664.166299999921</v>
      </c>
      <c r="F1696" s="373">
        <f t="shared" si="86"/>
        <v>1601.6999999999239</v>
      </c>
    </row>
    <row r="1697" spans="4:6" x14ac:dyDescent="0.25">
      <c r="D1697" s="105">
        <f t="shared" si="87"/>
        <v>1601.7499999999238</v>
      </c>
      <c r="E1697" s="373">
        <f t="shared" si="85"/>
        <v>1664.2182499999208</v>
      </c>
      <c r="F1697" s="373">
        <f t="shared" si="86"/>
        <v>1601.7499999999238</v>
      </c>
    </row>
    <row r="1698" spans="4:6" x14ac:dyDescent="0.25">
      <c r="D1698" s="105">
        <f t="shared" si="87"/>
        <v>1601.7999999999238</v>
      </c>
      <c r="E1698" s="373">
        <f t="shared" si="85"/>
        <v>1664.2701999999208</v>
      </c>
      <c r="F1698" s="373">
        <f t="shared" si="86"/>
        <v>1601.7999999999238</v>
      </c>
    </row>
    <row r="1699" spans="4:6" x14ac:dyDescent="0.25">
      <c r="D1699" s="105">
        <f t="shared" si="87"/>
        <v>1601.8499999999237</v>
      </c>
      <c r="E1699" s="373">
        <f t="shared" si="85"/>
        <v>1664.3221499999208</v>
      </c>
      <c r="F1699" s="373">
        <f t="shared" si="86"/>
        <v>1601.8499999999237</v>
      </c>
    </row>
    <row r="1700" spans="4:6" x14ac:dyDescent="0.25">
      <c r="D1700" s="105">
        <f t="shared" si="87"/>
        <v>1601.8999999999237</v>
      </c>
      <c r="E1700" s="373">
        <f t="shared" si="85"/>
        <v>1664.3740999999206</v>
      </c>
      <c r="F1700" s="373">
        <f t="shared" si="86"/>
        <v>1601.8999999999237</v>
      </c>
    </row>
    <row r="1701" spans="4:6" x14ac:dyDescent="0.25">
      <c r="D1701" s="105">
        <f t="shared" si="87"/>
        <v>1601.9499999999236</v>
      </c>
      <c r="E1701" s="373">
        <f t="shared" si="85"/>
        <v>1664.4260499999207</v>
      </c>
      <c r="F1701" s="373">
        <f t="shared" si="86"/>
        <v>1601.9499999999236</v>
      </c>
    </row>
    <row r="1702" spans="4:6" x14ac:dyDescent="0.25">
      <c r="D1702" s="105">
        <f t="shared" si="87"/>
        <v>1601.9999999999236</v>
      </c>
      <c r="E1702" s="373">
        <f t="shared" si="85"/>
        <v>1664.4779999999207</v>
      </c>
      <c r="F1702" s="373">
        <f t="shared" si="86"/>
        <v>1601.9999999999236</v>
      </c>
    </row>
    <row r="1703" spans="4:6" x14ac:dyDescent="0.25">
      <c r="D1703" s="105">
        <f t="shared" si="87"/>
        <v>1602.0499999999236</v>
      </c>
      <c r="E1703" s="373">
        <f t="shared" si="85"/>
        <v>1664.5299499999205</v>
      </c>
      <c r="F1703" s="373">
        <f t="shared" si="86"/>
        <v>1602.0499999999236</v>
      </c>
    </row>
    <row r="1704" spans="4:6" x14ac:dyDescent="0.25">
      <c r="D1704" s="105">
        <f t="shared" si="87"/>
        <v>1602.0999999999235</v>
      </c>
      <c r="E1704" s="373">
        <f t="shared" si="85"/>
        <v>1664.5818999999206</v>
      </c>
      <c r="F1704" s="373">
        <f t="shared" si="86"/>
        <v>1602.0999999999235</v>
      </c>
    </row>
    <row r="1705" spans="4:6" x14ac:dyDescent="0.25">
      <c r="D1705" s="105">
        <f t="shared" si="87"/>
        <v>1602.1499999999235</v>
      </c>
      <c r="E1705" s="373">
        <f t="shared" si="85"/>
        <v>1664.6338499999206</v>
      </c>
      <c r="F1705" s="373">
        <f t="shared" si="86"/>
        <v>1602.1499999999235</v>
      </c>
    </row>
    <row r="1706" spans="4:6" x14ac:dyDescent="0.25">
      <c r="D1706" s="105">
        <f t="shared" si="87"/>
        <v>1602.1999999999234</v>
      </c>
      <c r="E1706" s="373">
        <f t="shared" si="85"/>
        <v>1664.6857999999204</v>
      </c>
      <c r="F1706" s="373">
        <f t="shared" si="86"/>
        <v>1602.1999999999234</v>
      </c>
    </row>
    <row r="1707" spans="4:6" x14ac:dyDescent="0.25">
      <c r="D1707" s="105">
        <f t="shared" si="87"/>
        <v>1602.2499999999234</v>
      </c>
      <c r="E1707" s="373">
        <f t="shared" si="85"/>
        <v>1664.7377499999204</v>
      </c>
      <c r="F1707" s="373">
        <f t="shared" si="86"/>
        <v>1602.2499999999234</v>
      </c>
    </row>
    <row r="1708" spans="4:6" x14ac:dyDescent="0.25">
      <c r="D1708" s="105">
        <f t="shared" si="87"/>
        <v>1602.2999999999233</v>
      </c>
      <c r="E1708" s="373">
        <f t="shared" si="85"/>
        <v>1664.7896999999202</v>
      </c>
      <c r="F1708" s="373">
        <f t="shared" si="86"/>
        <v>1602.2999999999233</v>
      </c>
    </row>
    <row r="1709" spans="4:6" x14ac:dyDescent="0.25">
      <c r="D1709" s="105">
        <f t="shared" si="87"/>
        <v>1602.3499999999233</v>
      </c>
      <c r="E1709" s="373">
        <f t="shared" si="85"/>
        <v>1664.8416499999203</v>
      </c>
      <c r="F1709" s="373">
        <f t="shared" si="86"/>
        <v>1602.3499999999233</v>
      </c>
    </row>
    <row r="1710" spans="4:6" x14ac:dyDescent="0.25">
      <c r="D1710" s="105">
        <f t="shared" si="87"/>
        <v>1602.3999999999232</v>
      </c>
      <c r="E1710" s="373">
        <f t="shared" si="85"/>
        <v>1664.8935999999203</v>
      </c>
      <c r="F1710" s="373">
        <f t="shared" si="86"/>
        <v>1602.3999999999232</v>
      </c>
    </row>
    <row r="1711" spans="4:6" x14ac:dyDescent="0.25">
      <c r="D1711" s="105">
        <f t="shared" si="87"/>
        <v>1602.4499999999232</v>
      </c>
      <c r="E1711" s="373">
        <f t="shared" si="85"/>
        <v>1664.9455499999201</v>
      </c>
      <c r="F1711" s="373">
        <f t="shared" si="86"/>
        <v>1602.4499999999232</v>
      </c>
    </row>
    <row r="1712" spans="4:6" x14ac:dyDescent="0.25">
      <c r="D1712" s="105">
        <f t="shared" si="87"/>
        <v>1602.4999999999231</v>
      </c>
      <c r="E1712" s="373">
        <f t="shared" si="85"/>
        <v>1664.9974999999201</v>
      </c>
      <c r="F1712" s="373">
        <f t="shared" si="86"/>
        <v>1602.4999999999231</v>
      </c>
    </row>
    <row r="1713" spans="4:6" x14ac:dyDescent="0.25">
      <c r="D1713" s="105">
        <f t="shared" si="87"/>
        <v>1602.5499999999231</v>
      </c>
      <c r="E1713" s="373">
        <f t="shared" si="85"/>
        <v>1665.0494499999202</v>
      </c>
      <c r="F1713" s="373">
        <f t="shared" si="86"/>
        <v>1602.5499999999231</v>
      </c>
    </row>
    <row r="1714" spans="4:6" x14ac:dyDescent="0.25">
      <c r="D1714" s="105">
        <f t="shared" si="87"/>
        <v>1602.5999999999231</v>
      </c>
      <c r="E1714" s="373">
        <f t="shared" si="85"/>
        <v>1665.10139999992</v>
      </c>
      <c r="F1714" s="373">
        <f t="shared" si="86"/>
        <v>1602.5999999999231</v>
      </c>
    </row>
    <row r="1715" spans="4:6" x14ac:dyDescent="0.25">
      <c r="D1715" s="105">
        <f t="shared" si="87"/>
        <v>1602.649999999923</v>
      </c>
      <c r="E1715" s="373">
        <f t="shared" si="85"/>
        <v>1665.15334999992</v>
      </c>
      <c r="F1715" s="373">
        <f t="shared" si="86"/>
        <v>1602.649999999923</v>
      </c>
    </row>
    <row r="1716" spans="4:6" x14ac:dyDescent="0.25">
      <c r="D1716" s="105">
        <f t="shared" si="87"/>
        <v>1602.699999999923</v>
      </c>
      <c r="E1716" s="373">
        <f t="shared" si="85"/>
        <v>1665.20529999992</v>
      </c>
      <c r="F1716" s="373">
        <f t="shared" si="86"/>
        <v>1602.699999999923</v>
      </c>
    </row>
    <row r="1717" spans="4:6" x14ac:dyDescent="0.25">
      <c r="D1717" s="105">
        <f t="shared" si="87"/>
        <v>1602.7499999999229</v>
      </c>
      <c r="E1717" s="373">
        <f t="shared" si="85"/>
        <v>1665.2572499999198</v>
      </c>
      <c r="F1717" s="373">
        <f t="shared" si="86"/>
        <v>1602.7499999999229</v>
      </c>
    </row>
    <row r="1718" spans="4:6" x14ac:dyDescent="0.25">
      <c r="D1718" s="105">
        <f t="shared" si="87"/>
        <v>1602.7999999999229</v>
      </c>
      <c r="E1718" s="373">
        <f t="shared" si="85"/>
        <v>1665.3091999999199</v>
      </c>
      <c r="F1718" s="373">
        <f t="shared" si="86"/>
        <v>1602.7999999999229</v>
      </c>
    </row>
    <row r="1719" spans="4:6" x14ac:dyDescent="0.25">
      <c r="D1719" s="105">
        <f t="shared" si="87"/>
        <v>1602.8499999999228</v>
      </c>
      <c r="E1719" s="373">
        <f t="shared" si="85"/>
        <v>1665.3611499999199</v>
      </c>
      <c r="F1719" s="373">
        <f t="shared" si="86"/>
        <v>1602.8499999999228</v>
      </c>
    </row>
    <row r="1720" spans="4:6" x14ac:dyDescent="0.25">
      <c r="D1720" s="105">
        <f t="shared" si="87"/>
        <v>1602.8999999999228</v>
      </c>
      <c r="E1720" s="373">
        <f t="shared" si="85"/>
        <v>1665.4130999999197</v>
      </c>
      <c r="F1720" s="373">
        <f t="shared" si="86"/>
        <v>1602.8999999999228</v>
      </c>
    </row>
    <row r="1721" spans="4:6" x14ac:dyDescent="0.25">
      <c r="D1721" s="105">
        <f t="shared" si="87"/>
        <v>1602.9499999999227</v>
      </c>
      <c r="E1721" s="373">
        <f t="shared" si="85"/>
        <v>1665.4650499999198</v>
      </c>
      <c r="F1721" s="373">
        <f t="shared" si="86"/>
        <v>1602.9499999999227</v>
      </c>
    </row>
    <row r="1722" spans="4:6" x14ac:dyDescent="0.25">
      <c r="D1722" s="105">
        <f t="shared" si="87"/>
        <v>1602.9999999999227</v>
      </c>
      <c r="E1722" s="373">
        <f t="shared" si="85"/>
        <v>1665.5169999999198</v>
      </c>
      <c r="F1722" s="373">
        <f t="shared" si="86"/>
        <v>1602.9999999999227</v>
      </c>
    </row>
    <row r="1723" spans="4:6" x14ac:dyDescent="0.25">
      <c r="D1723" s="105">
        <f t="shared" si="87"/>
        <v>1603.0499999999226</v>
      </c>
      <c r="E1723" s="373">
        <f t="shared" si="85"/>
        <v>1665.5689499999196</v>
      </c>
      <c r="F1723" s="373">
        <f t="shared" si="86"/>
        <v>1603.0499999999226</v>
      </c>
    </row>
    <row r="1724" spans="4:6" x14ac:dyDescent="0.25">
      <c r="D1724" s="105">
        <f t="shared" si="87"/>
        <v>1603.0999999999226</v>
      </c>
      <c r="E1724" s="373">
        <f t="shared" si="85"/>
        <v>1665.6208999999196</v>
      </c>
      <c r="F1724" s="373">
        <f t="shared" si="86"/>
        <v>1603.0999999999226</v>
      </c>
    </row>
    <row r="1725" spans="4:6" x14ac:dyDescent="0.25">
      <c r="D1725" s="105">
        <f t="shared" si="87"/>
        <v>1603.1499999999226</v>
      </c>
      <c r="E1725" s="373">
        <f t="shared" si="85"/>
        <v>1665.6728499999194</v>
      </c>
      <c r="F1725" s="373">
        <f t="shared" si="86"/>
        <v>1603.1499999999226</v>
      </c>
    </row>
    <row r="1726" spans="4:6" x14ac:dyDescent="0.25">
      <c r="D1726" s="105">
        <f t="shared" si="87"/>
        <v>1603.1999999999225</v>
      </c>
      <c r="E1726" s="373">
        <f t="shared" si="85"/>
        <v>1665.7247999999195</v>
      </c>
      <c r="F1726" s="373">
        <f t="shared" si="86"/>
        <v>1603.1999999999225</v>
      </c>
    </row>
    <row r="1727" spans="4:6" x14ac:dyDescent="0.25">
      <c r="D1727" s="105">
        <f t="shared" si="87"/>
        <v>1603.2499999999225</v>
      </c>
      <c r="E1727" s="373">
        <f t="shared" si="85"/>
        <v>1665.7767499999195</v>
      </c>
      <c r="F1727" s="373">
        <f t="shared" si="86"/>
        <v>1603.2499999999225</v>
      </c>
    </row>
    <row r="1728" spans="4:6" x14ac:dyDescent="0.25">
      <c r="D1728" s="105">
        <f t="shared" si="87"/>
        <v>1603.2999999999224</v>
      </c>
      <c r="E1728" s="373">
        <f t="shared" si="85"/>
        <v>1665.8286999999193</v>
      </c>
      <c r="F1728" s="373">
        <f t="shared" si="86"/>
        <v>1603.2999999999224</v>
      </c>
    </row>
    <row r="1729" spans="4:6" x14ac:dyDescent="0.25">
      <c r="D1729" s="105">
        <f t="shared" si="87"/>
        <v>1603.3499999999224</v>
      </c>
      <c r="E1729" s="373">
        <f t="shared" si="85"/>
        <v>1665.8806499999193</v>
      </c>
      <c r="F1729" s="373">
        <f t="shared" si="86"/>
        <v>1603.3499999999224</v>
      </c>
    </row>
    <row r="1730" spans="4:6" x14ac:dyDescent="0.25">
      <c r="D1730" s="105">
        <f t="shared" si="87"/>
        <v>1603.3999999999223</v>
      </c>
      <c r="E1730" s="373">
        <f t="shared" si="85"/>
        <v>1665.9325999999194</v>
      </c>
      <c r="F1730" s="373">
        <f t="shared" si="86"/>
        <v>1603.3999999999223</v>
      </c>
    </row>
    <row r="1731" spans="4:6" x14ac:dyDescent="0.25">
      <c r="D1731" s="105">
        <f t="shared" si="87"/>
        <v>1603.4499999999223</v>
      </c>
      <c r="E1731" s="373">
        <f t="shared" si="85"/>
        <v>1665.9845499999192</v>
      </c>
      <c r="F1731" s="373">
        <f t="shared" si="86"/>
        <v>1603.4499999999223</v>
      </c>
    </row>
    <row r="1732" spans="4:6" x14ac:dyDescent="0.25">
      <c r="D1732" s="105">
        <f t="shared" si="87"/>
        <v>1603.4999999999222</v>
      </c>
      <c r="E1732" s="373">
        <f t="shared" si="85"/>
        <v>1666.0364999999192</v>
      </c>
      <c r="F1732" s="373">
        <f t="shared" si="86"/>
        <v>1603.4999999999222</v>
      </c>
    </row>
    <row r="1733" spans="4:6" x14ac:dyDescent="0.25">
      <c r="D1733" s="105">
        <f t="shared" si="87"/>
        <v>1603.5499999999222</v>
      </c>
      <c r="E1733" s="373">
        <f t="shared" si="85"/>
        <v>1666.0884499999192</v>
      </c>
      <c r="F1733" s="373">
        <f t="shared" si="86"/>
        <v>1603.5499999999222</v>
      </c>
    </row>
    <row r="1734" spans="4:6" x14ac:dyDescent="0.25">
      <c r="D1734" s="105">
        <f t="shared" si="87"/>
        <v>1603.5999999999221</v>
      </c>
      <c r="E1734" s="373">
        <f t="shared" si="85"/>
        <v>1666.1403999999191</v>
      </c>
      <c r="F1734" s="373">
        <f t="shared" si="86"/>
        <v>1603.5999999999221</v>
      </c>
    </row>
    <row r="1735" spans="4:6" x14ac:dyDescent="0.25">
      <c r="D1735" s="105">
        <f t="shared" si="87"/>
        <v>1603.6499999999221</v>
      </c>
      <c r="E1735" s="373">
        <f t="shared" si="85"/>
        <v>1666.1923499999191</v>
      </c>
      <c r="F1735" s="373">
        <f t="shared" si="86"/>
        <v>1603.6499999999221</v>
      </c>
    </row>
    <row r="1736" spans="4:6" x14ac:dyDescent="0.25">
      <c r="D1736" s="105">
        <f t="shared" si="87"/>
        <v>1603.6999999999221</v>
      </c>
      <c r="E1736" s="373">
        <f t="shared" si="85"/>
        <v>1666.2442999999191</v>
      </c>
      <c r="F1736" s="373">
        <f t="shared" si="86"/>
        <v>1603.6999999999221</v>
      </c>
    </row>
    <row r="1737" spans="4:6" x14ac:dyDescent="0.25">
      <c r="D1737" s="105">
        <f t="shared" si="87"/>
        <v>1603.749999999922</v>
      </c>
      <c r="E1737" s="373">
        <f t="shared" si="85"/>
        <v>1666.2962499999189</v>
      </c>
      <c r="F1737" s="373">
        <f t="shared" si="86"/>
        <v>1603.749999999922</v>
      </c>
    </row>
    <row r="1738" spans="4:6" x14ac:dyDescent="0.25">
      <c r="D1738" s="105">
        <f t="shared" si="87"/>
        <v>1603.799999999922</v>
      </c>
      <c r="E1738" s="373">
        <f t="shared" si="85"/>
        <v>1666.348199999919</v>
      </c>
      <c r="F1738" s="373">
        <f t="shared" si="86"/>
        <v>1603.799999999922</v>
      </c>
    </row>
    <row r="1739" spans="4:6" x14ac:dyDescent="0.25">
      <c r="D1739" s="105">
        <f t="shared" si="87"/>
        <v>1603.8499999999219</v>
      </c>
      <c r="E1739" s="373">
        <f t="shared" si="85"/>
        <v>1666.4001499999188</v>
      </c>
      <c r="F1739" s="373">
        <f t="shared" si="86"/>
        <v>1603.8499999999219</v>
      </c>
    </row>
    <row r="1740" spans="4:6" x14ac:dyDescent="0.25">
      <c r="D1740" s="105">
        <f t="shared" si="87"/>
        <v>1603.8999999999219</v>
      </c>
      <c r="E1740" s="373">
        <f t="shared" si="85"/>
        <v>1666.4520999999188</v>
      </c>
      <c r="F1740" s="373">
        <f t="shared" si="86"/>
        <v>1603.8999999999219</v>
      </c>
    </row>
    <row r="1741" spans="4:6" x14ac:dyDescent="0.25">
      <c r="D1741" s="105">
        <f t="shared" si="87"/>
        <v>1603.9499999999218</v>
      </c>
      <c r="E1741" s="373">
        <f t="shared" si="85"/>
        <v>1666.5040499999188</v>
      </c>
      <c r="F1741" s="373">
        <f t="shared" si="86"/>
        <v>1603.9499999999218</v>
      </c>
    </row>
    <row r="1742" spans="4:6" x14ac:dyDescent="0.25">
      <c r="D1742" s="105">
        <f t="shared" si="87"/>
        <v>1603.9999999999218</v>
      </c>
      <c r="E1742" s="373">
        <f t="shared" si="85"/>
        <v>1666.5559999999186</v>
      </c>
      <c r="F1742" s="373">
        <f t="shared" si="86"/>
        <v>1603.9999999999218</v>
      </c>
    </row>
    <row r="1743" spans="4:6" x14ac:dyDescent="0.25">
      <c r="D1743" s="105">
        <f t="shared" si="87"/>
        <v>1604.0499999999217</v>
      </c>
      <c r="E1743" s="373">
        <f t="shared" si="85"/>
        <v>1666.6079499999187</v>
      </c>
      <c r="F1743" s="373">
        <f t="shared" si="86"/>
        <v>1604.0499999999217</v>
      </c>
    </row>
    <row r="1744" spans="4:6" x14ac:dyDescent="0.25">
      <c r="D1744" s="105">
        <f t="shared" si="87"/>
        <v>1604.0999999999217</v>
      </c>
      <c r="E1744" s="373">
        <f t="shared" si="85"/>
        <v>1666.6598999999187</v>
      </c>
      <c r="F1744" s="373">
        <f t="shared" si="86"/>
        <v>1604.0999999999217</v>
      </c>
    </row>
    <row r="1745" spans="4:6" x14ac:dyDescent="0.25">
      <c r="D1745" s="105">
        <f t="shared" si="87"/>
        <v>1604.1499999999216</v>
      </c>
      <c r="E1745" s="373">
        <f t="shared" si="85"/>
        <v>1666.7118499999185</v>
      </c>
      <c r="F1745" s="373">
        <f t="shared" si="86"/>
        <v>1604.1499999999216</v>
      </c>
    </row>
    <row r="1746" spans="4:6" x14ac:dyDescent="0.25">
      <c r="D1746" s="105">
        <f t="shared" si="87"/>
        <v>1604.1999999999216</v>
      </c>
      <c r="E1746" s="373">
        <f t="shared" si="85"/>
        <v>1666.7637999999185</v>
      </c>
      <c r="F1746" s="373">
        <f t="shared" si="86"/>
        <v>1604.1999999999216</v>
      </c>
    </row>
    <row r="1747" spans="4:6" x14ac:dyDescent="0.25">
      <c r="D1747" s="105">
        <f t="shared" si="87"/>
        <v>1604.2499999999216</v>
      </c>
      <c r="E1747" s="373">
        <f t="shared" si="85"/>
        <v>1666.8157499999186</v>
      </c>
      <c r="F1747" s="373">
        <f t="shared" si="86"/>
        <v>1604.2499999999216</v>
      </c>
    </row>
    <row r="1748" spans="4:6" x14ac:dyDescent="0.25">
      <c r="D1748" s="105">
        <f t="shared" si="87"/>
        <v>1604.2999999999215</v>
      </c>
      <c r="E1748" s="373">
        <f t="shared" si="85"/>
        <v>1666.8676999999184</v>
      </c>
      <c r="F1748" s="373">
        <f t="shared" si="86"/>
        <v>1604.2999999999215</v>
      </c>
    </row>
    <row r="1749" spans="4:6" x14ac:dyDescent="0.25">
      <c r="D1749" s="105">
        <f t="shared" si="87"/>
        <v>1604.3499999999215</v>
      </c>
      <c r="E1749" s="373">
        <f t="shared" si="85"/>
        <v>1666.9196499999184</v>
      </c>
      <c r="F1749" s="373">
        <f t="shared" si="86"/>
        <v>1604.3499999999215</v>
      </c>
    </row>
    <row r="1750" spans="4:6" x14ac:dyDescent="0.25">
      <c r="D1750" s="105">
        <f t="shared" si="87"/>
        <v>1604.3999999999214</v>
      </c>
      <c r="E1750" s="373">
        <f t="shared" si="85"/>
        <v>1666.9715999999185</v>
      </c>
      <c r="F1750" s="373">
        <f t="shared" si="86"/>
        <v>1604.3999999999214</v>
      </c>
    </row>
    <row r="1751" spans="4:6" x14ac:dyDescent="0.25">
      <c r="D1751" s="105">
        <f t="shared" si="87"/>
        <v>1604.4499999999214</v>
      </c>
      <c r="E1751" s="373">
        <f t="shared" ref="E1751:E1814" si="88">D1751*$C$2 + D1751</f>
        <v>1667.0235499999183</v>
      </c>
      <c r="F1751" s="373">
        <f t="shared" ref="F1751:F1814" si="89">D1751</f>
        <v>1604.4499999999214</v>
      </c>
    </row>
    <row r="1752" spans="4:6" x14ac:dyDescent="0.25">
      <c r="D1752" s="105">
        <f t="shared" ref="D1752:D1815" si="90">D1751+0.05</f>
        <v>1604.4999999999213</v>
      </c>
      <c r="E1752" s="373">
        <f t="shared" si="88"/>
        <v>1667.0754999999183</v>
      </c>
      <c r="F1752" s="373">
        <f t="shared" si="89"/>
        <v>1604.4999999999213</v>
      </c>
    </row>
    <row r="1753" spans="4:6" x14ac:dyDescent="0.25">
      <c r="D1753" s="105">
        <f t="shared" si="90"/>
        <v>1604.5499999999213</v>
      </c>
      <c r="E1753" s="373">
        <f t="shared" si="88"/>
        <v>1667.1274499999181</v>
      </c>
      <c r="F1753" s="373">
        <f t="shared" si="89"/>
        <v>1604.5499999999213</v>
      </c>
    </row>
    <row r="1754" spans="4:6" x14ac:dyDescent="0.25">
      <c r="D1754" s="105">
        <f t="shared" si="90"/>
        <v>1604.5999999999212</v>
      </c>
      <c r="E1754" s="373">
        <f t="shared" si="88"/>
        <v>1667.1793999999181</v>
      </c>
      <c r="F1754" s="373">
        <f t="shared" si="89"/>
        <v>1604.5999999999212</v>
      </c>
    </row>
    <row r="1755" spans="4:6" x14ac:dyDescent="0.25">
      <c r="D1755" s="105">
        <f t="shared" si="90"/>
        <v>1604.6499999999212</v>
      </c>
      <c r="E1755" s="373">
        <f t="shared" si="88"/>
        <v>1667.2313499999182</v>
      </c>
      <c r="F1755" s="373">
        <f t="shared" si="89"/>
        <v>1604.6499999999212</v>
      </c>
    </row>
    <row r="1756" spans="4:6" x14ac:dyDescent="0.25">
      <c r="D1756" s="105">
        <f t="shared" si="90"/>
        <v>1604.6999999999211</v>
      </c>
      <c r="E1756" s="373">
        <f t="shared" si="88"/>
        <v>1667.283299999918</v>
      </c>
      <c r="F1756" s="373">
        <f t="shared" si="89"/>
        <v>1604.6999999999211</v>
      </c>
    </row>
    <row r="1757" spans="4:6" x14ac:dyDescent="0.25">
      <c r="D1757" s="105">
        <f t="shared" si="90"/>
        <v>1604.7499999999211</v>
      </c>
      <c r="E1757" s="373">
        <f t="shared" si="88"/>
        <v>1667.335249999918</v>
      </c>
      <c r="F1757" s="373">
        <f t="shared" si="89"/>
        <v>1604.7499999999211</v>
      </c>
    </row>
    <row r="1758" spans="4:6" x14ac:dyDescent="0.25">
      <c r="D1758" s="105">
        <f t="shared" si="90"/>
        <v>1604.7999999999211</v>
      </c>
      <c r="E1758" s="373">
        <f t="shared" si="88"/>
        <v>1667.387199999918</v>
      </c>
      <c r="F1758" s="373">
        <f t="shared" si="89"/>
        <v>1604.7999999999211</v>
      </c>
    </row>
    <row r="1759" spans="4:6" x14ac:dyDescent="0.25">
      <c r="D1759" s="105">
        <f t="shared" si="90"/>
        <v>1604.849999999921</v>
      </c>
      <c r="E1759" s="373">
        <f t="shared" si="88"/>
        <v>1667.4391499999178</v>
      </c>
      <c r="F1759" s="373">
        <f t="shared" si="89"/>
        <v>1604.849999999921</v>
      </c>
    </row>
    <row r="1760" spans="4:6" x14ac:dyDescent="0.25">
      <c r="D1760" s="105">
        <f t="shared" si="90"/>
        <v>1604.899999999921</v>
      </c>
      <c r="E1760" s="373">
        <f t="shared" si="88"/>
        <v>1667.4910999999179</v>
      </c>
      <c r="F1760" s="373">
        <f t="shared" si="89"/>
        <v>1604.899999999921</v>
      </c>
    </row>
    <row r="1761" spans="4:6" x14ac:dyDescent="0.25">
      <c r="D1761" s="105">
        <f t="shared" si="90"/>
        <v>1604.9499999999209</v>
      </c>
      <c r="E1761" s="373">
        <f t="shared" si="88"/>
        <v>1667.5430499999179</v>
      </c>
      <c r="F1761" s="373">
        <f t="shared" si="89"/>
        <v>1604.9499999999209</v>
      </c>
    </row>
    <row r="1762" spans="4:6" x14ac:dyDescent="0.25">
      <c r="D1762" s="105">
        <f t="shared" si="90"/>
        <v>1604.9999999999209</v>
      </c>
      <c r="E1762" s="373">
        <f t="shared" si="88"/>
        <v>1667.5949999999177</v>
      </c>
      <c r="F1762" s="373">
        <f t="shared" si="89"/>
        <v>1604.9999999999209</v>
      </c>
    </row>
    <row r="1763" spans="4:6" x14ac:dyDescent="0.25">
      <c r="D1763" s="105">
        <f t="shared" si="90"/>
        <v>1605.0499999999208</v>
      </c>
      <c r="E1763" s="373">
        <f t="shared" si="88"/>
        <v>1667.6469499999178</v>
      </c>
      <c r="F1763" s="373">
        <f t="shared" si="89"/>
        <v>1605.0499999999208</v>
      </c>
    </row>
    <row r="1764" spans="4:6" x14ac:dyDescent="0.25">
      <c r="D1764" s="105">
        <f t="shared" si="90"/>
        <v>1605.0999999999208</v>
      </c>
      <c r="E1764" s="373">
        <f t="shared" si="88"/>
        <v>1667.6988999999178</v>
      </c>
      <c r="F1764" s="373">
        <f t="shared" si="89"/>
        <v>1605.0999999999208</v>
      </c>
    </row>
    <row r="1765" spans="4:6" x14ac:dyDescent="0.25">
      <c r="D1765" s="105">
        <f t="shared" si="90"/>
        <v>1605.1499999999207</v>
      </c>
      <c r="E1765" s="373">
        <f t="shared" si="88"/>
        <v>1667.7508499999176</v>
      </c>
      <c r="F1765" s="373">
        <f t="shared" si="89"/>
        <v>1605.1499999999207</v>
      </c>
    </row>
    <row r="1766" spans="4:6" x14ac:dyDescent="0.25">
      <c r="D1766" s="105">
        <f t="shared" si="90"/>
        <v>1605.1999999999207</v>
      </c>
      <c r="E1766" s="373">
        <f t="shared" si="88"/>
        <v>1667.8027999999176</v>
      </c>
      <c r="F1766" s="373">
        <f t="shared" si="89"/>
        <v>1605.1999999999207</v>
      </c>
    </row>
    <row r="1767" spans="4:6" x14ac:dyDescent="0.25">
      <c r="D1767" s="105">
        <f t="shared" si="90"/>
        <v>1605.2499999999206</v>
      </c>
      <c r="E1767" s="373">
        <f t="shared" si="88"/>
        <v>1667.8547499999177</v>
      </c>
      <c r="F1767" s="373">
        <f t="shared" si="89"/>
        <v>1605.2499999999206</v>
      </c>
    </row>
    <row r="1768" spans="4:6" x14ac:dyDescent="0.25">
      <c r="D1768" s="105">
        <f t="shared" si="90"/>
        <v>1605.2999999999206</v>
      </c>
      <c r="E1768" s="373">
        <f t="shared" si="88"/>
        <v>1667.9066999999175</v>
      </c>
      <c r="F1768" s="373">
        <f t="shared" si="89"/>
        <v>1605.2999999999206</v>
      </c>
    </row>
    <row r="1769" spans="4:6" x14ac:dyDescent="0.25">
      <c r="D1769" s="105">
        <f t="shared" si="90"/>
        <v>1605.3499999999206</v>
      </c>
      <c r="E1769" s="373">
        <f t="shared" si="88"/>
        <v>1667.9586499999175</v>
      </c>
      <c r="F1769" s="373">
        <f t="shared" si="89"/>
        <v>1605.3499999999206</v>
      </c>
    </row>
    <row r="1770" spans="4:6" x14ac:dyDescent="0.25">
      <c r="D1770" s="105">
        <f t="shared" si="90"/>
        <v>1605.3999999999205</v>
      </c>
      <c r="E1770" s="373">
        <f t="shared" si="88"/>
        <v>1668.0105999999173</v>
      </c>
      <c r="F1770" s="373">
        <f t="shared" si="89"/>
        <v>1605.3999999999205</v>
      </c>
    </row>
    <row r="1771" spans="4:6" x14ac:dyDescent="0.25">
      <c r="D1771" s="105">
        <f t="shared" si="90"/>
        <v>1605.4499999999205</v>
      </c>
      <c r="E1771" s="373">
        <f t="shared" si="88"/>
        <v>1668.0625499999173</v>
      </c>
      <c r="F1771" s="373">
        <f t="shared" si="89"/>
        <v>1605.4499999999205</v>
      </c>
    </row>
    <row r="1772" spans="4:6" x14ac:dyDescent="0.25">
      <c r="D1772" s="105">
        <f t="shared" si="90"/>
        <v>1605.4999999999204</v>
      </c>
      <c r="E1772" s="373">
        <f t="shared" si="88"/>
        <v>1668.1144999999174</v>
      </c>
      <c r="F1772" s="373">
        <f t="shared" si="89"/>
        <v>1605.4999999999204</v>
      </c>
    </row>
    <row r="1773" spans="4:6" x14ac:dyDescent="0.25">
      <c r="D1773" s="105">
        <f t="shared" si="90"/>
        <v>1605.5499999999204</v>
      </c>
      <c r="E1773" s="373">
        <f t="shared" si="88"/>
        <v>1668.1664499999172</v>
      </c>
      <c r="F1773" s="373">
        <f t="shared" si="89"/>
        <v>1605.5499999999204</v>
      </c>
    </row>
    <row r="1774" spans="4:6" x14ac:dyDescent="0.25">
      <c r="D1774" s="105">
        <f t="shared" si="90"/>
        <v>1605.5999999999203</v>
      </c>
      <c r="E1774" s="373">
        <f t="shared" si="88"/>
        <v>1668.2183999999172</v>
      </c>
      <c r="F1774" s="373">
        <f t="shared" si="89"/>
        <v>1605.5999999999203</v>
      </c>
    </row>
    <row r="1775" spans="4:6" x14ac:dyDescent="0.25">
      <c r="D1775" s="105">
        <f t="shared" si="90"/>
        <v>1605.6499999999203</v>
      </c>
      <c r="E1775" s="373">
        <f t="shared" si="88"/>
        <v>1668.2703499999172</v>
      </c>
      <c r="F1775" s="373">
        <f t="shared" si="89"/>
        <v>1605.6499999999203</v>
      </c>
    </row>
    <row r="1776" spans="4:6" x14ac:dyDescent="0.25">
      <c r="D1776" s="105">
        <f t="shared" si="90"/>
        <v>1605.6999999999202</v>
      </c>
      <c r="E1776" s="373">
        <f t="shared" si="88"/>
        <v>1668.322299999917</v>
      </c>
      <c r="F1776" s="373">
        <f t="shared" si="89"/>
        <v>1605.6999999999202</v>
      </c>
    </row>
    <row r="1777" spans="4:6" x14ac:dyDescent="0.25">
      <c r="D1777" s="105">
        <f t="shared" si="90"/>
        <v>1605.7499999999202</v>
      </c>
      <c r="E1777" s="373">
        <f t="shared" si="88"/>
        <v>1668.3742499999171</v>
      </c>
      <c r="F1777" s="373">
        <f t="shared" si="89"/>
        <v>1605.7499999999202</v>
      </c>
    </row>
    <row r="1778" spans="4:6" x14ac:dyDescent="0.25">
      <c r="D1778" s="105">
        <f t="shared" si="90"/>
        <v>1605.7999999999201</v>
      </c>
      <c r="E1778" s="373">
        <f t="shared" si="88"/>
        <v>1668.4261999999171</v>
      </c>
      <c r="F1778" s="373">
        <f t="shared" si="89"/>
        <v>1605.7999999999201</v>
      </c>
    </row>
    <row r="1779" spans="4:6" x14ac:dyDescent="0.25">
      <c r="D1779" s="105">
        <f t="shared" si="90"/>
        <v>1605.8499999999201</v>
      </c>
      <c r="E1779" s="373">
        <f t="shared" si="88"/>
        <v>1668.4781499999169</v>
      </c>
      <c r="F1779" s="373">
        <f t="shared" si="89"/>
        <v>1605.8499999999201</v>
      </c>
    </row>
    <row r="1780" spans="4:6" x14ac:dyDescent="0.25">
      <c r="D1780" s="105">
        <f t="shared" si="90"/>
        <v>1605.8999999999201</v>
      </c>
      <c r="E1780" s="373">
        <f t="shared" si="88"/>
        <v>1668.530099999917</v>
      </c>
      <c r="F1780" s="373">
        <f t="shared" si="89"/>
        <v>1605.8999999999201</v>
      </c>
    </row>
    <row r="1781" spans="4:6" x14ac:dyDescent="0.25">
      <c r="D1781" s="105">
        <f t="shared" si="90"/>
        <v>1605.94999999992</v>
      </c>
      <c r="E1781" s="373">
        <f t="shared" si="88"/>
        <v>1668.582049999917</v>
      </c>
      <c r="F1781" s="373">
        <f t="shared" si="89"/>
        <v>1605.94999999992</v>
      </c>
    </row>
    <row r="1782" spans="4:6" x14ac:dyDescent="0.25">
      <c r="D1782" s="105">
        <f t="shared" si="90"/>
        <v>1605.99999999992</v>
      </c>
      <c r="E1782" s="373">
        <f t="shared" si="88"/>
        <v>1668.6339999999168</v>
      </c>
      <c r="F1782" s="373">
        <f t="shared" si="89"/>
        <v>1605.99999999992</v>
      </c>
    </row>
    <row r="1783" spans="4:6" x14ac:dyDescent="0.25">
      <c r="D1783" s="105">
        <f t="shared" si="90"/>
        <v>1606.0499999999199</v>
      </c>
      <c r="E1783" s="373">
        <f t="shared" si="88"/>
        <v>1668.6859499999168</v>
      </c>
      <c r="F1783" s="373">
        <f t="shared" si="89"/>
        <v>1606.0499999999199</v>
      </c>
    </row>
    <row r="1784" spans="4:6" x14ac:dyDescent="0.25">
      <c r="D1784" s="105">
        <f t="shared" si="90"/>
        <v>1606.0999999999199</v>
      </c>
      <c r="E1784" s="373">
        <f t="shared" si="88"/>
        <v>1668.7378999999169</v>
      </c>
      <c r="F1784" s="373">
        <f t="shared" si="89"/>
        <v>1606.0999999999199</v>
      </c>
    </row>
    <row r="1785" spans="4:6" x14ac:dyDescent="0.25">
      <c r="D1785" s="105">
        <f t="shared" si="90"/>
        <v>1606.1499999999198</v>
      </c>
      <c r="E1785" s="373">
        <f t="shared" si="88"/>
        <v>1668.7898499999167</v>
      </c>
      <c r="F1785" s="373">
        <f t="shared" si="89"/>
        <v>1606.1499999999198</v>
      </c>
    </row>
    <row r="1786" spans="4:6" x14ac:dyDescent="0.25">
      <c r="D1786" s="105">
        <f t="shared" si="90"/>
        <v>1606.1999999999198</v>
      </c>
      <c r="E1786" s="373">
        <f t="shared" si="88"/>
        <v>1668.8417999999167</v>
      </c>
      <c r="F1786" s="373">
        <f t="shared" si="89"/>
        <v>1606.1999999999198</v>
      </c>
    </row>
    <row r="1787" spans="4:6" x14ac:dyDescent="0.25">
      <c r="D1787" s="105">
        <f t="shared" si="90"/>
        <v>1606.2499999999197</v>
      </c>
      <c r="E1787" s="373">
        <f t="shared" si="88"/>
        <v>1668.8937499999165</v>
      </c>
      <c r="F1787" s="373">
        <f t="shared" si="89"/>
        <v>1606.2499999999197</v>
      </c>
    </row>
    <row r="1788" spans="4:6" x14ac:dyDescent="0.25">
      <c r="D1788" s="105">
        <f t="shared" si="90"/>
        <v>1606.2999999999197</v>
      </c>
      <c r="E1788" s="373">
        <f t="shared" si="88"/>
        <v>1668.9456999999165</v>
      </c>
      <c r="F1788" s="373">
        <f t="shared" si="89"/>
        <v>1606.2999999999197</v>
      </c>
    </row>
    <row r="1789" spans="4:6" x14ac:dyDescent="0.25">
      <c r="D1789" s="105">
        <f t="shared" si="90"/>
        <v>1606.3499999999196</v>
      </c>
      <c r="E1789" s="373">
        <f t="shared" si="88"/>
        <v>1668.9976499999166</v>
      </c>
      <c r="F1789" s="373">
        <f t="shared" si="89"/>
        <v>1606.3499999999196</v>
      </c>
    </row>
    <row r="1790" spans="4:6" x14ac:dyDescent="0.25">
      <c r="D1790" s="105">
        <f t="shared" si="90"/>
        <v>1606.3999999999196</v>
      </c>
      <c r="E1790" s="373">
        <f t="shared" si="88"/>
        <v>1669.0495999999164</v>
      </c>
      <c r="F1790" s="373">
        <f t="shared" si="89"/>
        <v>1606.3999999999196</v>
      </c>
    </row>
    <row r="1791" spans="4:6" x14ac:dyDescent="0.25">
      <c r="D1791" s="105">
        <f t="shared" si="90"/>
        <v>1606.4499999999196</v>
      </c>
      <c r="E1791" s="373">
        <f t="shared" si="88"/>
        <v>1669.1015499999164</v>
      </c>
      <c r="F1791" s="373">
        <f t="shared" si="89"/>
        <v>1606.4499999999196</v>
      </c>
    </row>
    <row r="1792" spans="4:6" x14ac:dyDescent="0.25">
      <c r="D1792" s="105">
        <f t="shared" si="90"/>
        <v>1606.4999999999195</v>
      </c>
      <c r="E1792" s="373">
        <f t="shared" si="88"/>
        <v>1669.1534999999164</v>
      </c>
      <c r="F1792" s="373">
        <f t="shared" si="89"/>
        <v>1606.4999999999195</v>
      </c>
    </row>
    <row r="1793" spans="4:6" x14ac:dyDescent="0.25">
      <c r="D1793" s="105">
        <f t="shared" si="90"/>
        <v>1606.5499999999195</v>
      </c>
      <c r="E1793" s="373">
        <f t="shared" si="88"/>
        <v>1669.2054499999163</v>
      </c>
      <c r="F1793" s="373">
        <f t="shared" si="89"/>
        <v>1606.5499999999195</v>
      </c>
    </row>
    <row r="1794" spans="4:6" x14ac:dyDescent="0.25">
      <c r="D1794" s="105">
        <f t="shared" si="90"/>
        <v>1606.5999999999194</v>
      </c>
      <c r="E1794" s="373">
        <f t="shared" si="88"/>
        <v>1669.2573999999163</v>
      </c>
      <c r="F1794" s="373">
        <f t="shared" si="89"/>
        <v>1606.5999999999194</v>
      </c>
    </row>
    <row r="1795" spans="4:6" x14ac:dyDescent="0.25">
      <c r="D1795" s="105">
        <f t="shared" si="90"/>
        <v>1606.6499999999194</v>
      </c>
      <c r="E1795" s="373">
        <f t="shared" si="88"/>
        <v>1669.3093499999163</v>
      </c>
      <c r="F1795" s="373">
        <f t="shared" si="89"/>
        <v>1606.6499999999194</v>
      </c>
    </row>
    <row r="1796" spans="4:6" x14ac:dyDescent="0.25">
      <c r="D1796" s="105">
        <f t="shared" si="90"/>
        <v>1606.6999999999193</v>
      </c>
      <c r="E1796" s="373">
        <f t="shared" si="88"/>
        <v>1669.3612999999161</v>
      </c>
      <c r="F1796" s="373">
        <f t="shared" si="89"/>
        <v>1606.6999999999193</v>
      </c>
    </row>
    <row r="1797" spans="4:6" x14ac:dyDescent="0.25">
      <c r="D1797" s="105">
        <f t="shared" si="90"/>
        <v>1606.7499999999193</v>
      </c>
      <c r="E1797" s="373">
        <f t="shared" si="88"/>
        <v>1669.4132499999162</v>
      </c>
      <c r="F1797" s="373">
        <f t="shared" si="89"/>
        <v>1606.7499999999193</v>
      </c>
    </row>
    <row r="1798" spans="4:6" x14ac:dyDescent="0.25">
      <c r="D1798" s="105">
        <f t="shared" si="90"/>
        <v>1606.7999999999192</v>
      </c>
      <c r="E1798" s="373">
        <f t="shared" si="88"/>
        <v>1669.4651999999162</v>
      </c>
      <c r="F1798" s="373">
        <f t="shared" si="89"/>
        <v>1606.7999999999192</v>
      </c>
    </row>
    <row r="1799" spans="4:6" x14ac:dyDescent="0.25">
      <c r="D1799" s="105">
        <f t="shared" si="90"/>
        <v>1606.8499999999192</v>
      </c>
      <c r="E1799" s="373">
        <f t="shared" si="88"/>
        <v>1669.517149999916</v>
      </c>
      <c r="F1799" s="373">
        <f t="shared" si="89"/>
        <v>1606.8499999999192</v>
      </c>
    </row>
    <row r="1800" spans="4:6" x14ac:dyDescent="0.25">
      <c r="D1800" s="105">
        <f t="shared" si="90"/>
        <v>1606.8999999999191</v>
      </c>
      <c r="E1800" s="373">
        <f t="shared" si="88"/>
        <v>1669.569099999916</v>
      </c>
      <c r="F1800" s="373">
        <f t="shared" si="89"/>
        <v>1606.8999999999191</v>
      </c>
    </row>
    <row r="1801" spans="4:6" x14ac:dyDescent="0.25">
      <c r="D1801" s="105">
        <f t="shared" si="90"/>
        <v>1606.9499999999191</v>
      </c>
      <c r="E1801" s="373">
        <f t="shared" si="88"/>
        <v>1669.6210499999158</v>
      </c>
      <c r="F1801" s="373">
        <f t="shared" si="89"/>
        <v>1606.9499999999191</v>
      </c>
    </row>
    <row r="1802" spans="4:6" x14ac:dyDescent="0.25">
      <c r="D1802" s="105">
        <f t="shared" si="90"/>
        <v>1606.9999999999191</v>
      </c>
      <c r="E1802" s="373">
        <f t="shared" si="88"/>
        <v>1669.6729999999159</v>
      </c>
      <c r="F1802" s="373">
        <f t="shared" si="89"/>
        <v>1606.9999999999191</v>
      </c>
    </row>
    <row r="1803" spans="4:6" x14ac:dyDescent="0.25">
      <c r="D1803" s="105">
        <f t="shared" si="90"/>
        <v>1607.049999999919</v>
      </c>
      <c r="E1803" s="373">
        <f t="shared" si="88"/>
        <v>1669.7249499999159</v>
      </c>
      <c r="F1803" s="373">
        <f t="shared" si="89"/>
        <v>1607.049999999919</v>
      </c>
    </row>
    <row r="1804" spans="4:6" x14ac:dyDescent="0.25">
      <c r="D1804" s="105">
        <f t="shared" si="90"/>
        <v>1607.099999999919</v>
      </c>
      <c r="E1804" s="373">
        <f t="shared" si="88"/>
        <v>1669.7768999999157</v>
      </c>
      <c r="F1804" s="373">
        <f t="shared" si="89"/>
        <v>1607.099999999919</v>
      </c>
    </row>
    <row r="1805" spans="4:6" x14ac:dyDescent="0.25">
      <c r="D1805" s="105">
        <f t="shared" si="90"/>
        <v>1607.1499999999189</v>
      </c>
      <c r="E1805" s="373">
        <f t="shared" si="88"/>
        <v>1669.8288499999157</v>
      </c>
      <c r="F1805" s="373">
        <f t="shared" si="89"/>
        <v>1607.1499999999189</v>
      </c>
    </row>
    <row r="1806" spans="4:6" x14ac:dyDescent="0.25">
      <c r="D1806" s="105">
        <f t="shared" si="90"/>
        <v>1607.1999999999189</v>
      </c>
      <c r="E1806" s="373">
        <f t="shared" si="88"/>
        <v>1669.8807999999158</v>
      </c>
      <c r="F1806" s="373">
        <f t="shared" si="89"/>
        <v>1607.1999999999189</v>
      </c>
    </row>
    <row r="1807" spans="4:6" x14ac:dyDescent="0.25">
      <c r="D1807" s="105">
        <f t="shared" si="90"/>
        <v>1607.2499999999188</v>
      </c>
      <c r="E1807" s="373">
        <f t="shared" si="88"/>
        <v>1669.9327499999156</v>
      </c>
      <c r="F1807" s="373">
        <f t="shared" si="89"/>
        <v>1607.2499999999188</v>
      </c>
    </row>
    <row r="1808" spans="4:6" x14ac:dyDescent="0.25">
      <c r="D1808" s="105">
        <f t="shared" si="90"/>
        <v>1607.2999999999188</v>
      </c>
      <c r="E1808" s="373">
        <f t="shared" si="88"/>
        <v>1669.9846999999156</v>
      </c>
      <c r="F1808" s="373">
        <f t="shared" si="89"/>
        <v>1607.2999999999188</v>
      </c>
    </row>
    <row r="1809" spans="4:6" x14ac:dyDescent="0.25">
      <c r="D1809" s="105">
        <f t="shared" si="90"/>
        <v>1607.3499999999187</v>
      </c>
      <c r="E1809" s="373">
        <f t="shared" si="88"/>
        <v>1670.0366499999157</v>
      </c>
      <c r="F1809" s="373">
        <f t="shared" si="89"/>
        <v>1607.3499999999187</v>
      </c>
    </row>
    <row r="1810" spans="4:6" x14ac:dyDescent="0.25">
      <c r="D1810" s="105">
        <f t="shared" si="90"/>
        <v>1607.3999999999187</v>
      </c>
      <c r="E1810" s="373">
        <f t="shared" si="88"/>
        <v>1670.0885999999155</v>
      </c>
      <c r="F1810" s="373">
        <f t="shared" si="89"/>
        <v>1607.3999999999187</v>
      </c>
    </row>
    <row r="1811" spans="4:6" x14ac:dyDescent="0.25">
      <c r="D1811" s="105">
        <f t="shared" si="90"/>
        <v>1607.4499999999186</v>
      </c>
      <c r="E1811" s="373">
        <f t="shared" si="88"/>
        <v>1670.1405499999155</v>
      </c>
      <c r="F1811" s="373">
        <f t="shared" si="89"/>
        <v>1607.4499999999186</v>
      </c>
    </row>
    <row r="1812" spans="4:6" x14ac:dyDescent="0.25">
      <c r="D1812" s="105">
        <f t="shared" si="90"/>
        <v>1607.4999999999186</v>
      </c>
      <c r="E1812" s="373">
        <f t="shared" si="88"/>
        <v>1670.1924999999155</v>
      </c>
      <c r="F1812" s="373">
        <f t="shared" si="89"/>
        <v>1607.4999999999186</v>
      </c>
    </row>
    <row r="1813" spans="4:6" x14ac:dyDescent="0.25">
      <c r="D1813" s="105">
        <f t="shared" si="90"/>
        <v>1607.5499999999186</v>
      </c>
      <c r="E1813" s="373">
        <f t="shared" si="88"/>
        <v>1670.2444499999153</v>
      </c>
      <c r="F1813" s="373">
        <f t="shared" si="89"/>
        <v>1607.5499999999186</v>
      </c>
    </row>
    <row r="1814" spans="4:6" x14ac:dyDescent="0.25">
      <c r="D1814" s="105">
        <f t="shared" si="90"/>
        <v>1607.5999999999185</v>
      </c>
      <c r="E1814" s="373">
        <f t="shared" si="88"/>
        <v>1670.2963999999154</v>
      </c>
      <c r="F1814" s="373">
        <f t="shared" si="89"/>
        <v>1607.5999999999185</v>
      </c>
    </row>
    <row r="1815" spans="4:6" x14ac:dyDescent="0.25">
      <c r="D1815" s="105">
        <f t="shared" si="90"/>
        <v>1607.6499999999185</v>
      </c>
      <c r="E1815" s="373">
        <f t="shared" ref="E1815:E1878" si="91">D1815*$C$2 + D1815</f>
        <v>1670.3483499999152</v>
      </c>
      <c r="F1815" s="373">
        <f t="shared" ref="F1815:F1878" si="92">D1815</f>
        <v>1607.6499999999185</v>
      </c>
    </row>
    <row r="1816" spans="4:6" x14ac:dyDescent="0.25">
      <c r="D1816" s="105">
        <f t="shared" ref="D1816:D1879" si="93">D1815+0.05</f>
        <v>1607.6999999999184</v>
      </c>
      <c r="E1816" s="373">
        <f t="shared" si="91"/>
        <v>1670.4002999999152</v>
      </c>
      <c r="F1816" s="373">
        <f t="shared" si="92"/>
        <v>1607.6999999999184</v>
      </c>
    </row>
    <row r="1817" spans="4:6" x14ac:dyDescent="0.25">
      <c r="D1817" s="105">
        <f t="shared" si="93"/>
        <v>1607.7499999999184</v>
      </c>
      <c r="E1817" s="373">
        <f t="shared" si="91"/>
        <v>1670.4522499999152</v>
      </c>
      <c r="F1817" s="373">
        <f t="shared" si="92"/>
        <v>1607.7499999999184</v>
      </c>
    </row>
    <row r="1818" spans="4:6" x14ac:dyDescent="0.25">
      <c r="D1818" s="105">
        <f t="shared" si="93"/>
        <v>1607.7999999999183</v>
      </c>
      <c r="E1818" s="373">
        <f t="shared" si="91"/>
        <v>1670.504199999915</v>
      </c>
      <c r="F1818" s="373">
        <f t="shared" si="92"/>
        <v>1607.7999999999183</v>
      </c>
    </row>
    <row r="1819" spans="4:6" x14ac:dyDescent="0.25">
      <c r="D1819" s="105">
        <f t="shared" si="93"/>
        <v>1607.8499999999183</v>
      </c>
      <c r="E1819" s="373">
        <f t="shared" si="91"/>
        <v>1670.5561499999151</v>
      </c>
      <c r="F1819" s="373">
        <f t="shared" si="92"/>
        <v>1607.8499999999183</v>
      </c>
    </row>
    <row r="1820" spans="4:6" x14ac:dyDescent="0.25">
      <c r="D1820" s="105">
        <f t="shared" si="93"/>
        <v>1607.8999999999182</v>
      </c>
      <c r="E1820" s="373">
        <f t="shared" si="91"/>
        <v>1670.6080999999151</v>
      </c>
      <c r="F1820" s="373">
        <f t="shared" si="92"/>
        <v>1607.8999999999182</v>
      </c>
    </row>
    <row r="1821" spans="4:6" x14ac:dyDescent="0.25">
      <c r="D1821" s="105">
        <f t="shared" si="93"/>
        <v>1607.9499999999182</v>
      </c>
      <c r="E1821" s="373">
        <f t="shared" si="91"/>
        <v>1670.6600499999149</v>
      </c>
      <c r="F1821" s="373">
        <f t="shared" si="92"/>
        <v>1607.9499999999182</v>
      </c>
    </row>
    <row r="1822" spans="4:6" x14ac:dyDescent="0.25">
      <c r="D1822" s="416">
        <f t="shared" si="93"/>
        <v>1607.9999999999181</v>
      </c>
      <c r="E1822" s="417">
        <f t="shared" si="91"/>
        <v>1670.711999999915</v>
      </c>
      <c r="F1822" s="417">
        <f t="shared" si="92"/>
        <v>1607.9999999999181</v>
      </c>
    </row>
    <row r="1823" spans="4:6" x14ac:dyDescent="0.25">
      <c r="D1823" s="105">
        <f t="shared" si="93"/>
        <v>1608.0499999999181</v>
      </c>
      <c r="E1823" s="373">
        <f t="shared" si="91"/>
        <v>1670.763949999915</v>
      </c>
      <c r="F1823" s="373">
        <f t="shared" si="92"/>
        <v>1608.0499999999181</v>
      </c>
    </row>
    <row r="1824" spans="4:6" x14ac:dyDescent="0.25">
      <c r="D1824" s="105">
        <f t="shared" si="93"/>
        <v>1608.0999999999181</v>
      </c>
      <c r="E1824" s="373">
        <f t="shared" si="91"/>
        <v>1670.8158999999148</v>
      </c>
      <c r="F1824" s="373">
        <f t="shared" si="92"/>
        <v>1608.0999999999181</v>
      </c>
    </row>
    <row r="1825" spans="4:6" x14ac:dyDescent="0.25">
      <c r="D1825" s="105">
        <f t="shared" si="93"/>
        <v>1608.149999999918</v>
      </c>
      <c r="E1825" s="373">
        <f t="shared" si="91"/>
        <v>1670.8678499999148</v>
      </c>
      <c r="F1825" s="373">
        <f t="shared" si="92"/>
        <v>1608.149999999918</v>
      </c>
    </row>
    <row r="1826" spans="4:6" x14ac:dyDescent="0.25">
      <c r="D1826" s="105">
        <f t="shared" si="93"/>
        <v>1608.199999999918</v>
      </c>
      <c r="E1826" s="373">
        <f t="shared" si="91"/>
        <v>1670.9197999999149</v>
      </c>
      <c r="F1826" s="373">
        <f t="shared" si="92"/>
        <v>1608.199999999918</v>
      </c>
    </row>
    <row r="1827" spans="4:6" x14ac:dyDescent="0.25">
      <c r="D1827" s="105">
        <f t="shared" si="93"/>
        <v>1608.2499999999179</v>
      </c>
      <c r="E1827" s="373">
        <f t="shared" si="91"/>
        <v>1670.9717499999147</v>
      </c>
      <c r="F1827" s="373">
        <f t="shared" si="92"/>
        <v>1608.2499999999179</v>
      </c>
    </row>
    <row r="1828" spans="4:6" x14ac:dyDescent="0.25">
      <c r="D1828" s="105">
        <f t="shared" si="93"/>
        <v>1608.2999999999179</v>
      </c>
      <c r="E1828" s="373">
        <f t="shared" si="91"/>
        <v>1671.0236999999147</v>
      </c>
      <c r="F1828" s="373">
        <f t="shared" si="92"/>
        <v>1608.2999999999179</v>
      </c>
    </row>
    <row r="1829" spans="4:6" x14ac:dyDescent="0.25">
      <c r="D1829" s="105">
        <f t="shared" si="93"/>
        <v>1608.3499999999178</v>
      </c>
      <c r="E1829" s="373">
        <f t="shared" si="91"/>
        <v>1671.0756499999147</v>
      </c>
      <c r="F1829" s="373">
        <f t="shared" si="92"/>
        <v>1608.3499999999178</v>
      </c>
    </row>
    <row r="1830" spans="4:6" x14ac:dyDescent="0.25">
      <c r="D1830" s="105">
        <f t="shared" si="93"/>
        <v>1608.3999999999178</v>
      </c>
      <c r="E1830" s="373">
        <f t="shared" si="91"/>
        <v>1671.1275999999145</v>
      </c>
      <c r="F1830" s="373">
        <f t="shared" si="92"/>
        <v>1608.3999999999178</v>
      </c>
    </row>
    <row r="1831" spans="4:6" x14ac:dyDescent="0.25">
      <c r="D1831" s="105">
        <f t="shared" si="93"/>
        <v>1608.4499999999177</v>
      </c>
      <c r="E1831" s="373">
        <f t="shared" si="91"/>
        <v>1671.1795499999146</v>
      </c>
      <c r="F1831" s="373">
        <f t="shared" si="92"/>
        <v>1608.4499999999177</v>
      </c>
    </row>
    <row r="1832" spans="4:6" x14ac:dyDescent="0.25">
      <c r="D1832" s="105">
        <f t="shared" si="93"/>
        <v>1608.4999999999177</v>
      </c>
      <c r="E1832" s="373">
        <f t="shared" si="91"/>
        <v>1671.2314999999144</v>
      </c>
      <c r="F1832" s="373">
        <f t="shared" si="92"/>
        <v>1608.4999999999177</v>
      </c>
    </row>
    <row r="1833" spans="4:6" x14ac:dyDescent="0.25">
      <c r="D1833" s="105">
        <f t="shared" si="93"/>
        <v>1608.5499999999176</v>
      </c>
      <c r="E1833" s="373">
        <f t="shared" si="91"/>
        <v>1671.2834499999144</v>
      </c>
      <c r="F1833" s="373">
        <f t="shared" si="92"/>
        <v>1608.5499999999176</v>
      </c>
    </row>
    <row r="1834" spans="4:6" x14ac:dyDescent="0.25">
      <c r="D1834" s="105">
        <f t="shared" si="93"/>
        <v>1608.5999999999176</v>
      </c>
      <c r="E1834" s="373">
        <f t="shared" si="91"/>
        <v>1671.3353999999144</v>
      </c>
      <c r="F1834" s="373">
        <f t="shared" si="92"/>
        <v>1608.5999999999176</v>
      </c>
    </row>
    <row r="1835" spans="4:6" x14ac:dyDescent="0.25">
      <c r="D1835" s="105">
        <f t="shared" si="93"/>
        <v>1608.6499999999176</v>
      </c>
      <c r="E1835" s="373">
        <f t="shared" si="91"/>
        <v>1671.3873499999142</v>
      </c>
      <c r="F1835" s="373">
        <f t="shared" si="92"/>
        <v>1608.6499999999176</v>
      </c>
    </row>
    <row r="1836" spans="4:6" x14ac:dyDescent="0.25">
      <c r="D1836" s="105">
        <f t="shared" si="93"/>
        <v>1608.6999999999175</v>
      </c>
      <c r="E1836" s="373">
        <f t="shared" si="91"/>
        <v>1671.4392999999143</v>
      </c>
      <c r="F1836" s="373">
        <f t="shared" si="92"/>
        <v>1608.6999999999175</v>
      </c>
    </row>
    <row r="1837" spans="4:6" x14ac:dyDescent="0.25">
      <c r="D1837" s="105">
        <f t="shared" si="93"/>
        <v>1608.7499999999175</v>
      </c>
      <c r="E1837" s="373">
        <f t="shared" si="91"/>
        <v>1671.4912499999143</v>
      </c>
      <c r="F1837" s="373">
        <f t="shared" si="92"/>
        <v>1608.7499999999175</v>
      </c>
    </row>
    <row r="1838" spans="4:6" x14ac:dyDescent="0.25">
      <c r="D1838" s="105">
        <f t="shared" si="93"/>
        <v>1608.7999999999174</v>
      </c>
      <c r="E1838" s="373">
        <f t="shared" si="91"/>
        <v>1671.5431999999141</v>
      </c>
      <c r="F1838" s="373">
        <f t="shared" si="92"/>
        <v>1608.7999999999174</v>
      </c>
    </row>
    <row r="1839" spans="4:6" x14ac:dyDescent="0.25">
      <c r="D1839" s="105">
        <f t="shared" si="93"/>
        <v>1608.8499999999174</v>
      </c>
      <c r="E1839" s="373">
        <f t="shared" si="91"/>
        <v>1671.5951499999142</v>
      </c>
      <c r="F1839" s="373">
        <f t="shared" si="92"/>
        <v>1608.8499999999174</v>
      </c>
    </row>
    <row r="1840" spans="4:6" x14ac:dyDescent="0.25">
      <c r="D1840" s="105">
        <f t="shared" si="93"/>
        <v>1608.8999999999173</v>
      </c>
      <c r="E1840" s="373">
        <f t="shared" si="91"/>
        <v>1671.6470999999142</v>
      </c>
      <c r="F1840" s="373">
        <f t="shared" si="92"/>
        <v>1608.8999999999173</v>
      </c>
    </row>
    <row r="1841" spans="4:6" x14ac:dyDescent="0.25">
      <c r="D1841" s="105">
        <f t="shared" si="93"/>
        <v>1608.9499999999173</v>
      </c>
      <c r="E1841" s="373">
        <f t="shared" si="91"/>
        <v>1671.699049999914</v>
      </c>
      <c r="F1841" s="373">
        <f t="shared" si="92"/>
        <v>1608.9499999999173</v>
      </c>
    </row>
    <row r="1842" spans="4:6" x14ac:dyDescent="0.25">
      <c r="D1842" s="105">
        <f t="shared" si="93"/>
        <v>1608.9999999999172</v>
      </c>
      <c r="E1842" s="373">
        <f t="shared" si="91"/>
        <v>1671.750999999914</v>
      </c>
      <c r="F1842" s="373">
        <f t="shared" si="92"/>
        <v>1608.9999999999172</v>
      </c>
    </row>
    <row r="1843" spans="4:6" x14ac:dyDescent="0.25">
      <c r="D1843" s="105">
        <f t="shared" si="93"/>
        <v>1609.0499999999172</v>
      </c>
      <c r="E1843" s="373">
        <f t="shared" si="91"/>
        <v>1671.8029499999141</v>
      </c>
      <c r="F1843" s="373">
        <f t="shared" si="92"/>
        <v>1609.0499999999172</v>
      </c>
    </row>
    <row r="1844" spans="4:6" x14ac:dyDescent="0.25">
      <c r="D1844" s="105">
        <f t="shared" si="93"/>
        <v>1609.0999999999171</v>
      </c>
      <c r="E1844" s="373">
        <f t="shared" si="91"/>
        <v>1671.8548999999139</v>
      </c>
      <c r="F1844" s="373">
        <f t="shared" si="92"/>
        <v>1609.0999999999171</v>
      </c>
    </row>
    <row r="1845" spans="4:6" x14ac:dyDescent="0.25">
      <c r="D1845" s="105">
        <f t="shared" si="93"/>
        <v>1609.1499999999171</v>
      </c>
      <c r="E1845" s="373">
        <f t="shared" si="91"/>
        <v>1671.9068499999139</v>
      </c>
      <c r="F1845" s="373">
        <f t="shared" si="92"/>
        <v>1609.1499999999171</v>
      </c>
    </row>
    <row r="1846" spans="4:6" x14ac:dyDescent="0.25">
      <c r="D1846" s="105">
        <f t="shared" si="93"/>
        <v>1609.1999999999171</v>
      </c>
      <c r="E1846" s="373">
        <f t="shared" si="91"/>
        <v>1671.9587999999139</v>
      </c>
      <c r="F1846" s="373">
        <f t="shared" si="92"/>
        <v>1609.1999999999171</v>
      </c>
    </row>
    <row r="1847" spans="4:6" x14ac:dyDescent="0.25">
      <c r="D1847" s="105">
        <f t="shared" si="93"/>
        <v>1609.249999999917</v>
      </c>
      <c r="E1847" s="373">
        <f t="shared" si="91"/>
        <v>1672.0107499999137</v>
      </c>
      <c r="F1847" s="373">
        <f t="shared" si="92"/>
        <v>1609.249999999917</v>
      </c>
    </row>
    <row r="1848" spans="4:6" x14ac:dyDescent="0.25">
      <c r="D1848" s="105">
        <f t="shared" si="93"/>
        <v>1609.299999999917</v>
      </c>
      <c r="E1848" s="373">
        <f t="shared" si="91"/>
        <v>1672.0626999999138</v>
      </c>
      <c r="F1848" s="373">
        <f t="shared" si="92"/>
        <v>1609.299999999917</v>
      </c>
    </row>
    <row r="1849" spans="4:6" x14ac:dyDescent="0.25">
      <c r="D1849" s="105">
        <f t="shared" si="93"/>
        <v>1609.3499999999169</v>
      </c>
      <c r="E1849" s="373">
        <f t="shared" si="91"/>
        <v>1672.1146499999136</v>
      </c>
      <c r="F1849" s="373">
        <f t="shared" si="92"/>
        <v>1609.3499999999169</v>
      </c>
    </row>
    <row r="1850" spans="4:6" x14ac:dyDescent="0.25">
      <c r="D1850" s="105">
        <f t="shared" si="93"/>
        <v>1609.3999999999169</v>
      </c>
      <c r="E1850" s="373">
        <f t="shared" si="91"/>
        <v>1672.1665999999136</v>
      </c>
      <c r="F1850" s="373">
        <f t="shared" si="92"/>
        <v>1609.3999999999169</v>
      </c>
    </row>
    <row r="1851" spans="4:6" x14ac:dyDescent="0.25">
      <c r="D1851" s="105">
        <f t="shared" si="93"/>
        <v>1609.4499999999168</v>
      </c>
      <c r="E1851" s="373">
        <f t="shared" si="91"/>
        <v>1672.2185499999136</v>
      </c>
      <c r="F1851" s="373">
        <f t="shared" si="92"/>
        <v>1609.4499999999168</v>
      </c>
    </row>
    <row r="1852" spans="4:6" x14ac:dyDescent="0.25">
      <c r="D1852" s="105">
        <f t="shared" si="93"/>
        <v>1609.4999999999168</v>
      </c>
      <c r="E1852" s="373">
        <f t="shared" si="91"/>
        <v>1672.2704999999135</v>
      </c>
      <c r="F1852" s="373">
        <f t="shared" si="92"/>
        <v>1609.4999999999168</v>
      </c>
    </row>
    <row r="1853" spans="4:6" x14ac:dyDescent="0.25">
      <c r="D1853" s="105">
        <f t="shared" si="93"/>
        <v>1609.5499999999167</v>
      </c>
      <c r="E1853" s="373">
        <f t="shared" si="91"/>
        <v>1672.3224499999135</v>
      </c>
      <c r="F1853" s="373">
        <f t="shared" si="92"/>
        <v>1609.5499999999167</v>
      </c>
    </row>
    <row r="1854" spans="4:6" x14ac:dyDescent="0.25">
      <c r="D1854" s="105">
        <f t="shared" si="93"/>
        <v>1609.5999999999167</v>
      </c>
      <c r="E1854" s="373">
        <f t="shared" si="91"/>
        <v>1672.3743999999135</v>
      </c>
      <c r="F1854" s="373">
        <f t="shared" si="92"/>
        <v>1609.5999999999167</v>
      </c>
    </row>
    <row r="1855" spans="4:6" x14ac:dyDescent="0.25">
      <c r="D1855" s="105">
        <f t="shared" si="93"/>
        <v>1609.6499999999166</v>
      </c>
      <c r="E1855" s="373">
        <f t="shared" si="91"/>
        <v>1672.4263499999133</v>
      </c>
      <c r="F1855" s="373">
        <f t="shared" si="92"/>
        <v>1609.6499999999166</v>
      </c>
    </row>
    <row r="1856" spans="4:6" x14ac:dyDescent="0.25">
      <c r="D1856" s="105">
        <f t="shared" si="93"/>
        <v>1609.6999999999166</v>
      </c>
      <c r="E1856" s="373">
        <f t="shared" si="91"/>
        <v>1672.4782999999134</v>
      </c>
      <c r="F1856" s="373">
        <f t="shared" si="92"/>
        <v>1609.6999999999166</v>
      </c>
    </row>
    <row r="1857" spans="4:6" x14ac:dyDescent="0.25">
      <c r="D1857" s="105">
        <f t="shared" si="93"/>
        <v>1609.7499999999166</v>
      </c>
      <c r="E1857" s="373">
        <f t="shared" si="91"/>
        <v>1672.5302499999134</v>
      </c>
      <c r="F1857" s="373">
        <f t="shared" si="92"/>
        <v>1609.7499999999166</v>
      </c>
    </row>
    <row r="1858" spans="4:6" x14ac:dyDescent="0.25">
      <c r="D1858" s="105">
        <f t="shared" si="93"/>
        <v>1609.7999999999165</v>
      </c>
      <c r="E1858" s="373">
        <f t="shared" si="91"/>
        <v>1672.5821999999132</v>
      </c>
      <c r="F1858" s="373">
        <f t="shared" si="92"/>
        <v>1609.7999999999165</v>
      </c>
    </row>
    <row r="1859" spans="4:6" x14ac:dyDescent="0.25">
      <c r="D1859" s="105">
        <f t="shared" si="93"/>
        <v>1609.8499999999165</v>
      </c>
      <c r="E1859" s="373">
        <f t="shared" si="91"/>
        <v>1672.6341499999132</v>
      </c>
      <c r="F1859" s="373">
        <f t="shared" si="92"/>
        <v>1609.8499999999165</v>
      </c>
    </row>
    <row r="1860" spans="4:6" x14ac:dyDescent="0.25">
      <c r="D1860" s="105">
        <f t="shared" si="93"/>
        <v>1609.8999999999164</v>
      </c>
      <c r="E1860" s="373">
        <f t="shared" si="91"/>
        <v>1672.6860999999133</v>
      </c>
      <c r="F1860" s="373">
        <f t="shared" si="92"/>
        <v>1609.8999999999164</v>
      </c>
    </row>
    <row r="1861" spans="4:6" x14ac:dyDescent="0.25">
      <c r="D1861" s="105">
        <f t="shared" si="93"/>
        <v>1609.9499999999164</v>
      </c>
      <c r="E1861" s="373">
        <f t="shared" si="91"/>
        <v>1672.7380499999131</v>
      </c>
      <c r="F1861" s="373">
        <f t="shared" si="92"/>
        <v>1609.9499999999164</v>
      </c>
    </row>
    <row r="1862" spans="4:6" x14ac:dyDescent="0.25">
      <c r="D1862" s="105">
        <f t="shared" si="93"/>
        <v>1609.9999999999163</v>
      </c>
      <c r="E1862" s="373">
        <f t="shared" si="91"/>
        <v>1672.7899999999131</v>
      </c>
      <c r="F1862" s="373">
        <f t="shared" si="92"/>
        <v>1609.9999999999163</v>
      </c>
    </row>
    <row r="1863" spans="4:6" x14ac:dyDescent="0.25">
      <c r="D1863" s="105">
        <f t="shared" si="93"/>
        <v>1610.0499999999163</v>
      </c>
      <c r="E1863" s="373">
        <f t="shared" si="91"/>
        <v>1672.8419499999129</v>
      </c>
      <c r="F1863" s="373">
        <f t="shared" si="92"/>
        <v>1610.0499999999163</v>
      </c>
    </row>
    <row r="1864" spans="4:6" x14ac:dyDescent="0.25">
      <c r="D1864" s="105">
        <f t="shared" si="93"/>
        <v>1610.0999999999162</v>
      </c>
      <c r="E1864" s="373">
        <f t="shared" si="91"/>
        <v>1672.8938999999129</v>
      </c>
      <c r="F1864" s="373">
        <f t="shared" si="92"/>
        <v>1610.0999999999162</v>
      </c>
    </row>
    <row r="1865" spans="4:6" x14ac:dyDescent="0.25">
      <c r="D1865" s="105">
        <f t="shared" si="93"/>
        <v>1610.1499999999162</v>
      </c>
      <c r="E1865" s="373">
        <f t="shared" si="91"/>
        <v>1672.945849999913</v>
      </c>
      <c r="F1865" s="373">
        <f t="shared" si="92"/>
        <v>1610.1499999999162</v>
      </c>
    </row>
    <row r="1866" spans="4:6" x14ac:dyDescent="0.25">
      <c r="D1866" s="105">
        <f t="shared" si="93"/>
        <v>1610.1999999999161</v>
      </c>
      <c r="E1866" s="373">
        <f t="shared" si="91"/>
        <v>1672.9977999999128</v>
      </c>
      <c r="F1866" s="373">
        <f t="shared" si="92"/>
        <v>1610.1999999999161</v>
      </c>
    </row>
    <row r="1867" spans="4:6" x14ac:dyDescent="0.25">
      <c r="D1867" s="105">
        <f t="shared" si="93"/>
        <v>1610.2499999999161</v>
      </c>
      <c r="E1867" s="373">
        <f t="shared" si="91"/>
        <v>1673.0497499999128</v>
      </c>
      <c r="F1867" s="373">
        <f t="shared" si="92"/>
        <v>1610.2499999999161</v>
      </c>
    </row>
    <row r="1868" spans="4:6" x14ac:dyDescent="0.25">
      <c r="D1868" s="105">
        <f t="shared" si="93"/>
        <v>1610.2999999999161</v>
      </c>
      <c r="E1868" s="373">
        <f t="shared" si="91"/>
        <v>1673.1016999999129</v>
      </c>
      <c r="F1868" s="373">
        <f t="shared" si="92"/>
        <v>1610.2999999999161</v>
      </c>
    </row>
    <row r="1869" spans="4:6" x14ac:dyDescent="0.25">
      <c r="D1869" s="105">
        <f t="shared" si="93"/>
        <v>1610.349999999916</v>
      </c>
      <c r="E1869" s="373">
        <f t="shared" si="91"/>
        <v>1673.1536499999127</v>
      </c>
      <c r="F1869" s="373">
        <f t="shared" si="92"/>
        <v>1610.349999999916</v>
      </c>
    </row>
    <row r="1870" spans="4:6" x14ac:dyDescent="0.25">
      <c r="D1870" s="105">
        <f t="shared" si="93"/>
        <v>1610.399999999916</v>
      </c>
      <c r="E1870" s="373">
        <f t="shared" si="91"/>
        <v>1673.2055999999127</v>
      </c>
      <c r="F1870" s="373">
        <f t="shared" si="92"/>
        <v>1610.399999999916</v>
      </c>
    </row>
    <row r="1871" spans="4:6" x14ac:dyDescent="0.25">
      <c r="D1871" s="105">
        <f t="shared" si="93"/>
        <v>1610.4499999999159</v>
      </c>
      <c r="E1871" s="373">
        <f t="shared" si="91"/>
        <v>1673.2575499999127</v>
      </c>
      <c r="F1871" s="373">
        <f t="shared" si="92"/>
        <v>1610.4499999999159</v>
      </c>
    </row>
    <row r="1872" spans="4:6" x14ac:dyDescent="0.25">
      <c r="D1872" s="105">
        <f t="shared" si="93"/>
        <v>1610.4999999999159</v>
      </c>
      <c r="E1872" s="373">
        <f t="shared" si="91"/>
        <v>1673.3094999999125</v>
      </c>
      <c r="F1872" s="373">
        <f t="shared" si="92"/>
        <v>1610.4999999999159</v>
      </c>
    </row>
    <row r="1873" spans="4:6" x14ac:dyDescent="0.25">
      <c r="D1873" s="105">
        <f t="shared" si="93"/>
        <v>1610.5499999999158</v>
      </c>
      <c r="E1873" s="373">
        <f t="shared" si="91"/>
        <v>1673.3614499999126</v>
      </c>
      <c r="F1873" s="373">
        <f t="shared" si="92"/>
        <v>1610.5499999999158</v>
      </c>
    </row>
    <row r="1874" spans="4:6" x14ac:dyDescent="0.25">
      <c r="D1874" s="105">
        <f t="shared" si="93"/>
        <v>1610.5999999999158</v>
      </c>
      <c r="E1874" s="373">
        <f t="shared" si="91"/>
        <v>1673.4133999999126</v>
      </c>
      <c r="F1874" s="373">
        <f t="shared" si="92"/>
        <v>1610.5999999999158</v>
      </c>
    </row>
    <row r="1875" spans="4:6" x14ac:dyDescent="0.25">
      <c r="D1875" s="105">
        <f t="shared" si="93"/>
        <v>1610.6499999999157</v>
      </c>
      <c r="E1875" s="373">
        <f t="shared" si="91"/>
        <v>1673.4653499999124</v>
      </c>
      <c r="F1875" s="373">
        <f t="shared" si="92"/>
        <v>1610.6499999999157</v>
      </c>
    </row>
    <row r="1876" spans="4:6" x14ac:dyDescent="0.25">
      <c r="D1876" s="105">
        <f t="shared" si="93"/>
        <v>1610.6999999999157</v>
      </c>
      <c r="E1876" s="373">
        <f t="shared" si="91"/>
        <v>1673.5172999999124</v>
      </c>
      <c r="F1876" s="373">
        <f t="shared" si="92"/>
        <v>1610.6999999999157</v>
      </c>
    </row>
    <row r="1877" spans="4:6" x14ac:dyDescent="0.25">
      <c r="D1877" s="105">
        <f t="shared" si="93"/>
        <v>1610.7499999999156</v>
      </c>
      <c r="E1877" s="373">
        <f t="shared" si="91"/>
        <v>1673.5692499999122</v>
      </c>
      <c r="F1877" s="373">
        <f t="shared" si="92"/>
        <v>1610.7499999999156</v>
      </c>
    </row>
    <row r="1878" spans="4:6" x14ac:dyDescent="0.25">
      <c r="D1878" s="105">
        <f t="shared" si="93"/>
        <v>1610.7999999999156</v>
      </c>
      <c r="E1878" s="373">
        <f t="shared" si="91"/>
        <v>1673.6211999999123</v>
      </c>
      <c r="F1878" s="373">
        <f t="shared" si="92"/>
        <v>1610.7999999999156</v>
      </c>
    </row>
    <row r="1879" spans="4:6" x14ac:dyDescent="0.25">
      <c r="D1879" s="105">
        <f t="shared" si="93"/>
        <v>1610.8499999999156</v>
      </c>
      <c r="E1879" s="373">
        <f t="shared" ref="E1879:E1942" si="94">D1879*$C$2 + D1879</f>
        <v>1673.6731499999123</v>
      </c>
      <c r="F1879" s="373">
        <f t="shared" ref="F1879:F1942" si="95">D1879</f>
        <v>1610.8499999999156</v>
      </c>
    </row>
    <row r="1880" spans="4:6" x14ac:dyDescent="0.25">
      <c r="D1880" s="105">
        <f t="shared" ref="D1880:D1943" si="96">D1879+0.05</f>
        <v>1610.8999999999155</v>
      </c>
      <c r="E1880" s="373">
        <f t="shared" si="94"/>
        <v>1673.7250999999121</v>
      </c>
      <c r="F1880" s="373">
        <f t="shared" si="95"/>
        <v>1610.8999999999155</v>
      </c>
    </row>
    <row r="1881" spans="4:6" x14ac:dyDescent="0.25">
      <c r="D1881" s="105">
        <f t="shared" si="96"/>
        <v>1610.9499999999155</v>
      </c>
      <c r="E1881" s="373">
        <f t="shared" si="94"/>
        <v>1673.7770499999122</v>
      </c>
      <c r="F1881" s="373">
        <f t="shared" si="95"/>
        <v>1610.9499999999155</v>
      </c>
    </row>
    <row r="1882" spans="4:6" x14ac:dyDescent="0.25">
      <c r="D1882" s="105">
        <f t="shared" si="96"/>
        <v>1610.9999999999154</v>
      </c>
      <c r="E1882" s="373">
        <f t="shared" si="94"/>
        <v>1673.8289999999122</v>
      </c>
      <c r="F1882" s="373">
        <f t="shared" si="95"/>
        <v>1610.9999999999154</v>
      </c>
    </row>
    <row r="1883" spans="4:6" x14ac:dyDescent="0.25">
      <c r="D1883" s="105">
        <f t="shared" si="96"/>
        <v>1611.0499999999154</v>
      </c>
      <c r="E1883" s="373">
        <f t="shared" si="94"/>
        <v>1673.880949999912</v>
      </c>
      <c r="F1883" s="373">
        <f t="shared" si="95"/>
        <v>1611.0499999999154</v>
      </c>
    </row>
    <row r="1884" spans="4:6" x14ac:dyDescent="0.25">
      <c r="D1884" s="105">
        <f t="shared" si="96"/>
        <v>1611.0999999999153</v>
      </c>
      <c r="E1884" s="373">
        <f t="shared" si="94"/>
        <v>1673.932899999912</v>
      </c>
      <c r="F1884" s="373">
        <f t="shared" si="95"/>
        <v>1611.0999999999153</v>
      </c>
    </row>
    <row r="1885" spans="4:6" x14ac:dyDescent="0.25">
      <c r="D1885" s="105">
        <f t="shared" si="96"/>
        <v>1611.1499999999153</v>
      </c>
      <c r="E1885" s="373">
        <f t="shared" si="94"/>
        <v>1673.9848499999121</v>
      </c>
      <c r="F1885" s="373">
        <f t="shared" si="95"/>
        <v>1611.1499999999153</v>
      </c>
    </row>
    <row r="1886" spans="4:6" x14ac:dyDescent="0.25">
      <c r="D1886" s="105">
        <f t="shared" si="96"/>
        <v>1611.1999999999152</v>
      </c>
      <c r="E1886" s="373">
        <f t="shared" si="94"/>
        <v>1674.0367999999119</v>
      </c>
      <c r="F1886" s="373">
        <f t="shared" si="95"/>
        <v>1611.1999999999152</v>
      </c>
    </row>
    <row r="1887" spans="4:6" x14ac:dyDescent="0.25">
      <c r="D1887" s="105">
        <f t="shared" si="96"/>
        <v>1611.2499999999152</v>
      </c>
      <c r="E1887" s="373">
        <f t="shared" si="94"/>
        <v>1674.0887499999119</v>
      </c>
      <c r="F1887" s="373">
        <f t="shared" si="95"/>
        <v>1611.2499999999152</v>
      </c>
    </row>
    <row r="1888" spans="4:6" x14ac:dyDescent="0.25">
      <c r="D1888" s="105">
        <f t="shared" si="96"/>
        <v>1611.2999999999151</v>
      </c>
      <c r="E1888" s="373">
        <f t="shared" si="94"/>
        <v>1674.1406999999119</v>
      </c>
      <c r="F1888" s="373">
        <f t="shared" si="95"/>
        <v>1611.2999999999151</v>
      </c>
    </row>
    <row r="1889" spans="4:6" x14ac:dyDescent="0.25">
      <c r="D1889" s="105">
        <f t="shared" si="96"/>
        <v>1611.3499999999151</v>
      </c>
      <c r="E1889" s="373">
        <f t="shared" si="94"/>
        <v>1674.1926499999117</v>
      </c>
      <c r="F1889" s="373">
        <f t="shared" si="95"/>
        <v>1611.3499999999151</v>
      </c>
    </row>
    <row r="1890" spans="4:6" x14ac:dyDescent="0.25">
      <c r="D1890" s="105">
        <f t="shared" si="96"/>
        <v>1611.3999999999151</v>
      </c>
      <c r="E1890" s="373">
        <f t="shared" si="94"/>
        <v>1674.2445999999118</v>
      </c>
      <c r="F1890" s="373">
        <f t="shared" si="95"/>
        <v>1611.3999999999151</v>
      </c>
    </row>
    <row r="1891" spans="4:6" x14ac:dyDescent="0.25">
      <c r="D1891" s="105">
        <f t="shared" si="96"/>
        <v>1611.449999999915</v>
      </c>
      <c r="E1891" s="373">
        <f t="shared" si="94"/>
        <v>1674.2965499999118</v>
      </c>
      <c r="F1891" s="373">
        <f t="shared" si="95"/>
        <v>1611.449999999915</v>
      </c>
    </row>
    <row r="1892" spans="4:6" x14ac:dyDescent="0.25">
      <c r="D1892" s="105">
        <f t="shared" si="96"/>
        <v>1611.499999999915</v>
      </c>
      <c r="E1892" s="373">
        <f t="shared" si="94"/>
        <v>1674.3484999999116</v>
      </c>
      <c r="F1892" s="373">
        <f t="shared" si="95"/>
        <v>1611.499999999915</v>
      </c>
    </row>
    <row r="1893" spans="4:6" x14ac:dyDescent="0.25">
      <c r="D1893" s="105">
        <f t="shared" si="96"/>
        <v>1611.5499999999149</v>
      </c>
      <c r="E1893" s="373">
        <f t="shared" si="94"/>
        <v>1674.4004499999116</v>
      </c>
      <c r="F1893" s="373">
        <f t="shared" si="95"/>
        <v>1611.5499999999149</v>
      </c>
    </row>
    <row r="1894" spans="4:6" x14ac:dyDescent="0.25">
      <c r="D1894" s="105">
        <f t="shared" si="96"/>
        <v>1611.5999999999149</v>
      </c>
      <c r="E1894" s="373">
        <f t="shared" si="94"/>
        <v>1674.4523999999114</v>
      </c>
      <c r="F1894" s="373">
        <f t="shared" si="95"/>
        <v>1611.5999999999149</v>
      </c>
    </row>
    <row r="1895" spans="4:6" x14ac:dyDescent="0.25">
      <c r="D1895" s="105">
        <f t="shared" si="96"/>
        <v>1611.6499999999148</v>
      </c>
      <c r="E1895" s="373">
        <f t="shared" si="94"/>
        <v>1674.5043499999115</v>
      </c>
      <c r="F1895" s="373">
        <f t="shared" si="95"/>
        <v>1611.6499999999148</v>
      </c>
    </row>
    <row r="1896" spans="4:6" x14ac:dyDescent="0.25">
      <c r="D1896" s="105">
        <f t="shared" si="96"/>
        <v>1611.6999999999148</v>
      </c>
      <c r="E1896" s="373">
        <f t="shared" si="94"/>
        <v>1674.5562999999115</v>
      </c>
      <c r="F1896" s="373">
        <f t="shared" si="95"/>
        <v>1611.6999999999148</v>
      </c>
    </row>
    <row r="1897" spans="4:6" x14ac:dyDescent="0.25">
      <c r="D1897" s="105">
        <f t="shared" si="96"/>
        <v>1611.7499999999147</v>
      </c>
      <c r="E1897" s="373">
        <f t="shared" si="94"/>
        <v>1674.6082499999113</v>
      </c>
      <c r="F1897" s="373">
        <f t="shared" si="95"/>
        <v>1611.7499999999147</v>
      </c>
    </row>
    <row r="1898" spans="4:6" x14ac:dyDescent="0.25">
      <c r="D1898" s="105">
        <f t="shared" si="96"/>
        <v>1611.7999999999147</v>
      </c>
      <c r="E1898" s="373">
        <f t="shared" si="94"/>
        <v>1674.6601999999114</v>
      </c>
      <c r="F1898" s="373">
        <f t="shared" si="95"/>
        <v>1611.7999999999147</v>
      </c>
    </row>
    <row r="1899" spans="4:6" x14ac:dyDescent="0.25">
      <c r="D1899" s="105">
        <f t="shared" si="96"/>
        <v>1611.8499999999146</v>
      </c>
      <c r="E1899" s="373">
        <f t="shared" si="94"/>
        <v>1674.7121499999114</v>
      </c>
      <c r="F1899" s="373">
        <f t="shared" si="95"/>
        <v>1611.8499999999146</v>
      </c>
    </row>
    <row r="1900" spans="4:6" x14ac:dyDescent="0.25">
      <c r="D1900" s="105">
        <f t="shared" si="96"/>
        <v>1611.8999999999146</v>
      </c>
      <c r="E1900" s="373">
        <f t="shared" si="94"/>
        <v>1674.7640999999112</v>
      </c>
      <c r="F1900" s="373">
        <f t="shared" si="95"/>
        <v>1611.8999999999146</v>
      </c>
    </row>
    <row r="1901" spans="4:6" x14ac:dyDescent="0.25">
      <c r="D1901" s="105">
        <f t="shared" si="96"/>
        <v>1611.9499999999146</v>
      </c>
      <c r="E1901" s="373">
        <f t="shared" si="94"/>
        <v>1674.8160499999112</v>
      </c>
      <c r="F1901" s="373">
        <f t="shared" si="95"/>
        <v>1611.9499999999146</v>
      </c>
    </row>
    <row r="1902" spans="4:6" x14ac:dyDescent="0.25">
      <c r="D1902" s="105">
        <f t="shared" si="96"/>
        <v>1611.9999999999145</v>
      </c>
      <c r="E1902" s="373">
        <f t="shared" si="94"/>
        <v>1674.8679999999113</v>
      </c>
      <c r="F1902" s="373">
        <f t="shared" si="95"/>
        <v>1611.9999999999145</v>
      </c>
    </row>
    <row r="1903" spans="4:6" x14ac:dyDescent="0.25">
      <c r="D1903" s="105">
        <f t="shared" si="96"/>
        <v>1612.0499999999145</v>
      </c>
      <c r="E1903" s="373">
        <f t="shared" si="94"/>
        <v>1674.9199499999111</v>
      </c>
      <c r="F1903" s="373">
        <f t="shared" si="95"/>
        <v>1612.0499999999145</v>
      </c>
    </row>
    <row r="1904" spans="4:6" x14ac:dyDescent="0.25">
      <c r="D1904" s="105">
        <f t="shared" si="96"/>
        <v>1612.0999999999144</v>
      </c>
      <c r="E1904" s="373">
        <f t="shared" si="94"/>
        <v>1674.9718999999111</v>
      </c>
      <c r="F1904" s="373">
        <f t="shared" si="95"/>
        <v>1612.0999999999144</v>
      </c>
    </row>
    <row r="1905" spans="4:6" x14ac:dyDescent="0.25">
      <c r="D1905" s="105">
        <f t="shared" si="96"/>
        <v>1612.1499999999144</v>
      </c>
      <c r="E1905" s="373">
        <f t="shared" si="94"/>
        <v>1675.0238499999111</v>
      </c>
      <c r="F1905" s="373">
        <f t="shared" si="95"/>
        <v>1612.1499999999144</v>
      </c>
    </row>
    <row r="1906" spans="4:6" x14ac:dyDescent="0.25">
      <c r="D1906" s="105">
        <f t="shared" si="96"/>
        <v>1612.1999999999143</v>
      </c>
      <c r="E1906" s="373">
        <f t="shared" si="94"/>
        <v>1675.0757999999109</v>
      </c>
      <c r="F1906" s="373">
        <f t="shared" si="95"/>
        <v>1612.1999999999143</v>
      </c>
    </row>
    <row r="1907" spans="4:6" x14ac:dyDescent="0.25">
      <c r="D1907" s="105">
        <f t="shared" si="96"/>
        <v>1612.2499999999143</v>
      </c>
      <c r="E1907" s="373">
        <f t="shared" si="94"/>
        <v>1675.127749999911</v>
      </c>
      <c r="F1907" s="373">
        <f t="shared" si="95"/>
        <v>1612.2499999999143</v>
      </c>
    </row>
    <row r="1908" spans="4:6" x14ac:dyDescent="0.25">
      <c r="D1908" s="105">
        <f t="shared" si="96"/>
        <v>1612.2999999999142</v>
      </c>
      <c r="E1908" s="373">
        <f t="shared" si="94"/>
        <v>1675.1796999999108</v>
      </c>
      <c r="F1908" s="373">
        <f t="shared" si="95"/>
        <v>1612.2999999999142</v>
      </c>
    </row>
    <row r="1909" spans="4:6" x14ac:dyDescent="0.25">
      <c r="D1909" s="105">
        <f t="shared" si="96"/>
        <v>1612.3499999999142</v>
      </c>
      <c r="E1909" s="373">
        <f t="shared" si="94"/>
        <v>1675.2316499999108</v>
      </c>
      <c r="F1909" s="373">
        <f t="shared" si="95"/>
        <v>1612.3499999999142</v>
      </c>
    </row>
    <row r="1910" spans="4:6" x14ac:dyDescent="0.25">
      <c r="D1910" s="105">
        <f t="shared" si="96"/>
        <v>1612.3999999999141</v>
      </c>
      <c r="E1910" s="373">
        <f t="shared" si="94"/>
        <v>1675.2835999999108</v>
      </c>
      <c r="F1910" s="373">
        <f t="shared" si="95"/>
        <v>1612.3999999999141</v>
      </c>
    </row>
    <row r="1911" spans="4:6" x14ac:dyDescent="0.25">
      <c r="D1911" s="105">
        <f t="shared" si="96"/>
        <v>1612.4499999999141</v>
      </c>
      <c r="E1911" s="373">
        <f t="shared" si="94"/>
        <v>1675.3355499999107</v>
      </c>
      <c r="F1911" s="373">
        <f t="shared" si="95"/>
        <v>1612.4499999999141</v>
      </c>
    </row>
    <row r="1912" spans="4:6" x14ac:dyDescent="0.25">
      <c r="D1912" s="105">
        <f t="shared" si="96"/>
        <v>1612.4999999999141</v>
      </c>
      <c r="E1912" s="373">
        <f t="shared" si="94"/>
        <v>1675.3874999999107</v>
      </c>
      <c r="F1912" s="373">
        <f t="shared" si="95"/>
        <v>1612.4999999999141</v>
      </c>
    </row>
    <row r="1913" spans="4:6" x14ac:dyDescent="0.25">
      <c r="D1913" s="105">
        <f t="shared" si="96"/>
        <v>1612.549999999914</v>
      </c>
      <c r="E1913" s="373">
        <f t="shared" si="94"/>
        <v>1675.4394499999107</v>
      </c>
      <c r="F1913" s="373">
        <f t="shared" si="95"/>
        <v>1612.549999999914</v>
      </c>
    </row>
    <row r="1914" spans="4:6" x14ac:dyDescent="0.25">
      <c r="D1914" s="105">
        <f t="shared" si="96"/>
        <v>1612.599999999914</v>
      </c>
      <c r="E1914" s="373">
        <f t="shared" si="94"/>
        <v>1675.4913999999105</v>
      </c>
      <c r="F1914" s="373">
        <f t="shared" si="95"/>
        <v>1612.599999999914</v>
      </c>
    </row>
    <row r="1915" spans="4:6" x14ac:dyDescent="0.25">
      <c r="D1915" s="105">
        <f t="shared" si="96"/>
        <v>1612.6499999999139</v>
      </c>
      <c r="E1915" s="373">
        <f t="shared" si="94"/>
        <v>1675.5433499999106</v>
      </c>
      <c r="F1915" s="373">
        <f t="shared" si="95"/>
        <v>1612.6499999999139</v>
      </c>
    </row>
    <row r="1916" spans="4:6" x14ac:dyDescent="0.25">
      <c r="D1916" s="105">
        <f t="shared" si="96"/>
        <v>1612.6999999999139</v>
      </c>
      <c r="E1916" s="373">
        <f t="shared" si="94"/>
        <v>1675.5952999999106</v>
      </c>
      <c r="F1916" s="373">
        <f t="shared" si="95"/>
        <v>1612.6999999999139</v>
      </c>
    </row>
    <row r="1917" spans="4:6" x14ac:dyDescent="0.25">
      <c r="D1917" s="105">
        <f t="shared" si="96"/>
        <v>1612.7499999999138</v>
      </c>
      <c r="E1917" s="373">
        <f t="shared" si="94"/>
        <v>1675.6472499999104</v>
      </c>
      <c r="F1917" s="373">
        <f t="shared" si="95"/>
        <v>1612.7499999999138</v>
      </c>
    </row>
    <row r="1918" spans="4:6" x14ac:dyDescent="0.25">
      <c r="D1918" s="105">
        <f t="shared" si="96"/>
        <v>1612.7999999999138</v>
      </c>
      <c r="E1918" s="373">
        <f t="shared" si="94"/>
        <v>1675.6991999999104</v>
      </c>
      <c r="F1918" s="373">
        <f t="shared" si="95"/>
        <v>1612.7999999999138</v>
      </c>
    </row>
    <row r="1919" spans="4:6" x14ac:dyDescent="0.25">
      <c r="D1919" s="105">
        <f t="shared" si="96"/>
        <v>1612.8499999999137</v>
      </c>
      <c r="E1919" s="373">
        <f t="shared" si="94"/>
        <v>1675.7511499999105</v>
      </c>
      <c r="F1919" s="373">
        <f t="shared" si="95"/>
        <v>1612.8499999999137</v>
      </c>
    </row>
    <row r="1920" spans="4:6" x14ac:dyDescent="0.25">
      <c r="D1920" s="105">
        <f t="shared" si="96"/>
        <v>1612.8999999999137</v>
      </c>
      <c r="E1920" s="373">
        <f t="shared" si="94"/>
        <v>1675.8030999999103</v>
      </c>
      <c r="F1920" s="373">
        <f t="shared" si="95"/>
        <v>1612.8999999999137</v>
      </c>
    </row>
    <row r="1921" spans="4:6" x14ac:dyDescent="0.25">
      <c r="D1921" s="105">
        <f t="shared" si="96"/>
        <v>1612.9499999999136</v>
      </c>
      <c r="E1921" s="373">
        <f t="shared" si="94"/>
        <v>1675.8550499999103</v>
      </c>
      <c r="F1921" s="373">
        <f t="shared" si="95"/>
        <v>1612.9499999999136</v>
      </c>
    </row>
    <row r="1922" spans="4:6" x14ac:dyDescent="0.25">
      <c r="D1922" s="105">
        <f t="shared" si="96"/>
        <v>1612.9999999999136</v>
      </c>
      <c r="E1922" s="373">
        <f t="shared" si="94"/>
        <v>1675.9069999999101</v>
      </c>
      <c r="F1922" s="373">
        <f t="shared" si="95"/>
        <v>1612.9999999999136</v>
      </c>
    </row>
    <row r="1923" spans="4:6" x14ac:dyDescent="0.25">
      <c r="D1923" s="105">
        <f t="shared" si="96"/>
        <v>1613.0499999999136</v>
      </c>
      <c r="E1923" s="373">
        <f t="shared" si="94"/>
        <v>1675.9589499999101</v>
      </c>
      <c r="F1923" s="373">
        <f t="shared" si="95"/>
        <v>1613.0499999999136</v>
      </c>
    </row>
    <row r="1924" spans="4:6" x14ac:dyDescent="0.25">
      <c r="D1924" s="105">
        <f t="shared" si="96"/>
        <v>1613.0999999999135</v>
      </c>
      <c r="E1924" s="373">
        <f t="shared" si="94"/>
        <v>1676.0108999999102</v>
      </c>
      <c r="F1924" s="373">
        <f t="shared" si="95"/>
        <v>1613.0999999999135</v>
      </c>
    </row>
    <row r="1925" spans="4:6" x14ac:dyDescent="0.25">
      <c r="D1925" s="105">
        <f t="shared" si="96"/>
        <v>1613.1499999999135</v>
      </c>
      <c r="E1925" s="373">
        <f t="shared" si="94"/>
        <v>1676.06284999991</v>
      </c>
      <c r="F1925" s="373">
        <f t="shared" si="95"/>
        <v>1613.1499999999135</v>
      </c>
    </row>
    <row r="1926" spans="4:6" x14ac:dyDescent="0.25">
      <c r="D1926" s="105">
        <f t="shared" si="96"/>
        <v>1613.1999999999134</v>
      </c>
      <c r="E1926" s="373">
        <f t="shared" si="94"/>
        <v>1676.11479999991</v>
      </c>
      <c r="F1926" s="373">
        <f t="shared" si="95"/>
        <v>1613.1999999999134</v>
      </c>
    </row>
    <row r="1927" spans="4:6" x14ac:dyDescent="0.25">
      <c r="D1927" s="105">
        <f t="shared" si="96"/>
        <v>1613.2499999999134</v>
      </c>
      <c r="E1927" s="373">
        <f t="shared" si="94"/>
        <v>1676.1667499999101</v>
      </c>
      <c r="F1927" s="373">
        <f t="shared" si="95"/>
        <v>1613.2499999999134</v>
      </c>
    </row>
    <row r="1928" spans="4:6" x14ac:dyDescent="0.25">
      <c r="D1928" s="105">
        <f t="shared" si="96"/>
        <v>1613.2999999999133</v>
      </c>
      <c r="E1928" s="373">
        <f t="shared" si="94"/>
        <v>1676.2186999999099</v>
      </c>
      <c r="F1928" s="373">
        <f t="shared" si="95"/>
        <v>1613.2999999999133</v>
      </c>
    </row>
    <row r="1929" spans="4:6" x14ac:dyDescent="0.25">
      <c r="D1929" s="105">
        <f t="shared" si="96"/>
        <v>1613.3499999999133</v>
      </c>
      <c r="E1929" s="373">
        <f t="shared" si="94"/>
        <v>1676.2706499999099</v>
      </c>
      <c r="F1929" s="373">
        <f t="shared" si="95"/>
        <v>1613.3499999999133</v>
      </c>
    </row>
    <row r="1930" spans="4:6" x14ac:dyDescent="0.25">
      <c r="D1930" s="105">
        <f t="shared" si="96"/>
        <v>1613.3999999999132</v>
      </c>
      <c r="E1930" s="373">
        <f t="shared" si="94"/>
        <v>1676.3225999999099</v>
      </c>
      <c r="F1930" s="373">
        <f t="shared" si="95"/>
        <v>1613.3999999999132</v>
      </c>
    </row>
    <row r="1931" spans="4:6" x14ac:dyDescent="0.25">
      <c r="D1931" s="105">
        <f t="shared" si="96"/>
        <v>1613.4499999999132</v>
      </c>
      <c r="E1931" s="373">
        <f t="shared" si="94"/>
        <v>1676.3745499999097</v>
      </c>
      <c r="F1931" s="373">
        <f t="shared" si="95"/>
        <v>1613.4499999999132</v>
      </c>
    </row>
    <row r="1932" spans="4:6" x14ac:dyDescent="0.25">
      <c r="D1932" s="105">
        <f t="shared" si="96"/>
        <v>1613.4999999999131</v>
      </c>
      <c r="E1932" s="373">
        <f t="shared" si="94"/>
        <v>1676.4264999999098</v>
      </c>
      <c r="F1932" s="373">
        <f t="shared" si="95"/>
        <v>1613.4999999999131</v>
      </c>
    </row>
    <row r="1933" spans="4:6" x14ac:dyDescent="0.25">
      <c r="D1933" s="105">
        <f t="shared" si="96"/>
        <v>1613.5499999999131</v>
      </c>
      <c r="E1933" s="373">
        <f t="shared" si="94"/>
        <v>1676.4784499999098</v>
      </c>
      <c r="F1933" s="373">
        <f t="shared" si="95"/>
        <v>1613.5499999999131</v>
      </c>
    </row>
    <row r="1934" spans="4:6" x14ac:dyDescent="0.25">
      <c r="D1934" s="105">
        <f t="shared" si="96"/>
        <v>1613.5999999999131</v>
      </c>
      <c r="E1934" s="373">
        <f t="shared" si="94"/>
        <v>1676.5303999999096</v>
      </c>
      <c r="F1934" s="373">
        <f t="shared" si="95"/>
        <v>1613.5999999999131</v>
      </c>
    </row>
    <row r="1935" spans="4:6" x14ac:dyDescent="0.25">
      <c r="D1935" s="105">
        <f t="shared" si="96"/>
        <v>1613.649999999913</v>
      </c>
      <c r="E1935" s="373">
        <f t="shared" si="94"/>
        <v>1676.5823499999096</v>
      </c>
      <c r="F1935" s="373">
        <f t="shared" si="95"/>
        <v>1613.649999999913</v>
      </c>
    </row>
    <row r="1936" spans="4:6" x14ac:dyDescent="0.25">
      <c r="D1936" s="105">
        <f t="shared" si="96"/>
        <v>1613.699999999913</v>
      </c>
      <c r="E1936" s="373">
        <f t="shared" si="94"/>
        <v>1676.6342999999097</v>
      </c>
      <c r="F1936" s="373">
        <f t="shared" si="95"/>
        <v>1613.699999999913</v>
      </c>
    </row>
    <row r="1937" spans="4:6" x14ac:dyDescent="0.25">
      <c r="D1937" s="105">
        <f t="shared" si="96"/>
        <v>1613.7499999999129</v>
      </c>
      <c r="E1937" s="373">
        <f t="shared" si="94"/>
        <v>1676.6862499999095</v>
      </c>
      <c r="F1937" s="373">
        <f t="shared" si="95"/>
        <v>1613.7499999999129</v>
      </c>
    </row>
    <row r="1938" spans="4:6" x14ac:dyDescent="0.25">
      <c r="D1938" s="105">
        <f t="shared" si="96"/>
        <v>1613.7999999999129</v>
      </c>
      <c r="E1938" s="373">
        <f t="shared" si="94"/>
        <v>1676.7381999999095</v>
      </c>
      <c r="F1938" s="373">
        <f t="shared" si="95"/>
        <v>1613.7999999999129</v>
      </c>
    </row>
    <row r="1939" spans="4:6" x14ac:dyDescent="0.25">
      <c r="D1939" s="105">
        <f t="shared" si="96"/>
        <v>1613.8499999999128</v>
      </c>
      <c r="E1939" s="373">
        <f t="shared" si="94"/>
        <v>1676.7901499999093</v>
      </c>
      <c r="F1939" s="373">
        <f t="shared" si="95"/>
        <v>1613.8499999999128</v>
      </c>
    </row>
    <row r="1940" spans="4:6" x14ac:dyDescent="0.25">
      <c r="D1940" s="105">
        <f t="shared" si="96"/>
        <v>1613.8999999999128</v>
      </c>
      <c r="E1940" s="373">
        <f t="shared" si="94"/>
        <v>1676.8420999999094</v>
      </c>
      <c r="F1940" s="373">
        <f t="shared" si="95"/>
        <v>1613.8999999999128</v>
      </c>
    </row>
    <row r="1941" spans="4:6" x14ac:dyDescent="0.25">
      <c r="D1941" s="105">
        <f t="shared" si="96"/>
        <v>1613.9499999999127</v>
      </c>
      <c r="E1941" s="373">
        <f t="shared" si="94"/>
        <v>1676.8940499999094</v>
      </c>
      <c r="F1941" s="373">
        <f t="shared" si="95"/>
        <v>1613.9499999999127</v>
      </c>
    </row>
    <row r="1942" spans="4:6" x14ac:dyDescent="0.25">
      <c r="D1942" s="105">
        <f t="shared" si="96"/>
        <v>1613.9999999999127</v>
      </c>
      <c r="E1942" s="373">
        <f t="shared" si="94"/>
        <v>1676.9459999999092</v>
      </c>
      <c r="F1942" s="373">
        <f t="shared" si="95"/>
        <v>1613.9999999999127</v>
      </c>
    </row>
    <row r="1943" spans="4:6" x14ac:dyDescent="0.25">
      <c r="D1943" s="105">
        <f t="shared" si="96"/>
        <v>1614.0499999999126</v>
      </c>
      <c r="E1943" s="373">
        <f t="shared" ref="E1943:E1971" si="97">D1943*$C$2 + D1943</f>
        <v>1676.9979499999092</v>
      </c>
      <c r="F1943" s="373">
        <f t="shared" ref="F1943:F1971" si="98">D1943</f>
        <v>1614.0499999999126</v>
      </c>
    </row>
    <row r="1944" spans="4:6" x14ac:dyDescent="0.25">
      <c r="D1944" s="105">
        <f t="shared" ref="D1944:D1971" si="99">D1943+0.05</f>
        <v>1614.0999999999126</v>
      </c>
      <c r="E1944" s="373">
        <f t="shared" si="97"/>
        <v>1677.0498999999093</v>
      </c>
      <c r="F1944" s="373">
        <f t="shared" si="98"/>
        <v>1614.0999999999126</v>
      </c>
    </row>
    <row r="1945" spans="4:6" x14ac:dyDescent="0.25">
      <c r="D1945" s="105">
        <f t="shared" si="99"/>
        <v>1614.1499999999126</v>
      </c>
      <c r="E1945" s="373">
        <f t="shared" si="97"/>
        <v>1677.1018499999091</v>
      </c>
      <c r="F1945" s="373">
        <f t="shared" si="98"/>
        <v>1614.1499999999126</v>
      </c>
    </row>
    <row r="1946" spans="4:6" x14ac:dyDescent="0.25">
      <c r="D1946" s="105">
        <f t="shared" si="99"/>
        <v>1614.1999999999125</v>
      </c>
      <c r="E1946" s="373">
        <f t="shared" si="97"/>
        <v>1677.1537999999091</v>
      </c>
      <c r="F1946" s="373">
        <f t="shared" si="98"/>
        <v>1614.1999999999125</v>
      </c>
    </row>
    <row r="1947" spans="4:6" x14ac:dyDescent="0.25">
      <c r="D1947" s="105">
        <f t="shared" si="99"/>
        <v>1614.2499999999125</v>
      </c>
      <c r="E1947" s="373">
        <f t="shared" si="97"/>
        <v>1677.2057499999091</v>
      </c>
      <c r="F1947" s="373">
        <f t="shared" si="98"/>
        <v>1614.2499999999125</v>
      </c>
    </row>
    <row r="1948" spans="4:6" x14ac:dyDescent="0.25">
      <c r="D1948" s="105">
        <f t="shared" si="99"/>
        <v>1614.2999999999124</v>
      </c>
      <c r="E1948" s="373">
        <f t="shared" si="97"/>
        <v>1677.2576999999089</v>
      </c>
      <c r="F1948" s="373">
        <f t="shared" si="98"/>
        <v>1614.2999999999124</v>
      </c>
    </row>
    <row r="1949" spans="4:6" x14ac:dyDescent="0.25">
      <c r="D1949" s="105">
        <f t="shared" si="99"/>
        <v>1614.3499999999124</v>
      </c>
      <c r="E1949" s="373">
        <f t="shared" si="97"/>
        <v>1677.309649999909</v>
      </c>
      <c r="F1949" s="373">
        <f t="shared" si="98"/>
        <v>1614.3499999999124</v>
      </c>
    </row>
    <row r="1950" spans="4:6" x14ac:dyDescent="0.25">
      <c r="D1950" s="105">
        <f t="shared" si="99"/>
        <v>1614.3999999999123</v>
      </c>
      <c r="E1950" s="373">
        <f t="shared" si="97"/>
        <v>1677.361599999909</v>
      </c>
      <c r="F1950" s="373">
        <f t="shared" si="98"/>
        <v>1614.3999999999123</v>
      </c>
    </row>
    <row r="1951" spans="4:6" x14ac:dyDescent="0.25">
      <c r="D1951" s="105">
        <f t="shared" si="99"/>
        <v>1614.4499999999123</v>
      </c>
      <c r="E1951" s="373">
        <f t="shared" si="97"/>
        <v>1677.4135499999088</v>
      </c>
      <c r="F1951" s="373">
        <f t="shared" si="98"/>
        <v>1614.4499999999123</v>
      </c>
    </row>
    <row r="1952" spans="4:6" x14ac:dyDescent="0.25">
      <c r="D1952" s="105">
        <f t="shared" si="99"/>
        <v>1614.4999999999122</v>
      </c>
      <c r="E1952" s="373">
        <f t="shared" si="97"/>
        <v>1677.4654999999088</v>
      </c>
      <c r="F1952" s="373">
        <f t="shared" si="98"/>
        <v>1614.4999999999122</v>
      </c>
    </row>
    <row r="1953" spans="4:6" x14ac:dyDescent="0.25">
      <c r="D1953" s="105">
        <f t="shared" si="99"/>
        <v>1614.5499999999122</v>
      </c>
      <c r="E1953" s="373">
        <f t="shared" si="97"/>
        <v>1677.5174499999089</v>
      </c>
      <c r="F1953" s="373">
        <f t="shared" si="98"/>
        <v>1614.5499999999122</v>
      </c>
    </row>
    <row r="1954" spans="4:6" x14ac:dyDescent="0.25">
      <c r="D1954" s="105">
        <f t="shared" si="99"/>
        <v>1614.5999999999121</v>
      </c>
      <c r="E1954" s="373">
        <f t="shared" si="97"/>
        <v>1677.5693999999087</v>
      </c>
      <c r="F1954" s="373">
        <f t="shared" si="98"/>
        <v>1614.5999999999121</v>
      </c>
    </row>
    <row r="1955" spans="4:6" x14ac:dyDescent="0.25">
      <c r="D1955" s="105">
        <f t="shared" si="99"/>
        <v>1614.6499999999121</v>
      </c>
      <c r="E1955" s="373">
        <f t="shared" si="97"/>
        <v>1677.6213499999087</v>
      </c>
      <c r="F1955" s="373">
        <f t="shared" si="98"/>
        <v>1614.6499999999121</v>
      </c>
    </row>
    <row r="1956" spans="4:6" x14ac:dyDescent="0.25">
      <c r="D1956" s="105">
        <f t="shared" si="99"/>
        <v>1614.6999999999121</v>
      </c>
      <c r="E1956" s="373">
        <f t="shared" si="97"/>
        <v>1677.6732999999085</v>
      </c>
      <c r="F1956" s="373">
        <f t="shared" si="98"/>
        <v>1614.6999999999121</v>
      </c>
    </row>
    <row r="1957" spans="4:6" x14ac:dyDescent="0.25">
      <c r="D1957" s="105">
        <f t="shared" si="99"/>
        <v>1614.749999999912</v>
      </c>
      <c r="E1957" s="373">
        <f t="shared" si="97"/>
        <v>1677.7252499999086</v>
      </c>
      <c r="F1957" s="373">
        <f t="shared" si="98"/>
        <v>1614.749999999912</v>
      </c>
    </row>
    <row r="1958" spans="4:6" x14ac:dyDescent="0.25">
      <c r="D1958" s="105">
        <f t="shared" si="99"/>
        <v>1614.799999999912</v>
      </c>
      <c r="E1958" s="373">
        <f t="shared" si="97"/>
        <v>1677.7771999999086</v>
      </c>
      <c r="F1958" s="373">
        <f t="shared" si="98"/>
        <v>1614.799999999912</v>
      </c>
    </row>
    <row r="1959" spans="4:6" x14ac:dyDescent="0.25">
      <c r="D1959" s="105">
        <f t="shared" si="99"/>
        <v>1614.8499999999119</v>
      </c>
      <c r="E1959" s="373">
        <f t="shared" si="97"/>
        <v>1677.8291499999084</v>
      </c>
      <c r="F1959" s="373">
        <f t="shared" si="98"/>
        <v>1614.8499999999119</v>
      </c>
    </row>
    <row r="1960" spans="4:6" x14ac:dyDescent="0.25">
      <c r="D1960" s="105">
        <f t="shared" si="99"/>
        <v>1614.8999999999119</v>
      </c>
      <c r="E1960" s="373">
        <f t="shared" si="97"/>
        <v>1677.8810999999084</v>
      </c>
      <c r="F1960" s="373">
        <f t="shared" si="98"/>
        <v>1614.8999999999119</v>
      </c>
    </row>
    <row r="1961" spans="4:6" x14ac:dyDescent="0.25">
      <c r="D1961" s="105">
        <f t="shared" si="99"/>
        <v>1614.9499999999118</v>
      </c>
      <c r="E1961" s="373">
        <f t="shared" si="97"/>
        <v>1677.9330499999085</v>
      </c>
      <c r="F1961" s="373">
        <f t="shared" si="98"/>
        <v>1614.9499999999118</v>
      </c>
    </row>
    <row r="1962" spans="4:6" x14ac:dyDescent="0.25">
      <c r="D1962" s="105">
        <f t="shared" si="99"/>
        <v>1614.9999999999118</v>
      </c>
      <c r="E1962" s="373">
        <f t="shared" si="97"/>
        <v>1677.9849999999083</v>
      </c>
      <c r="F1962" s="373">
        <f t="shared" si="98"/>
        <v>1614.9999999999118</v>
      </c>
    </row>
    <row r="1963" spans="4:6" x14ac:dyDescent="0.25">
      <c r="D1963" s="105">
        <f t="shared" si="99"/>
        <v>1615.0499999999117</v>
      </c>
      <c r="E1963" s="373">
        <f t="shared" si="97"/>
        <v>1678.0369499999083</v>
      </c>
      <c r="F1963" s="373">
        <f t="shared" si="98"/>
        <v>1615.0499999999117</v>
      </c>
    </row>
    <row r="1964" spans="4:6" x14ac:dyDescent="0.25">
      <c r="D1964" s="105">
        <f t="shared" si="99"/>
        <v>1615.0999999999117</v>
      </c>
      <c r="E1964" s="373">
        <f t="shared" si="97"/>
        <v>1678.0888999999083</v>
      </c>
      <c r="F1964" s="373">
        <f t="shared" si="98"/>
        <v>1615.0999999999117</v>
      </c>
    </row>
    <row r="1965" spans="4:6" x14ac:dyDescent="0.25">
      <c r="D1965" s="105">
        <f t="shared" si="99"/>
        <v>1615.1499999999116</v>
      </c>
      <c r="E1965" s="373">
        <f t="shared" si="97"/>
        <v>1678.1408499999081</v>
      </c>
      <c r="F1965" s="373">
        <f t="shared" si="98"/>
        <v>1615.1499999999116</v>
      </c>
    </row>
    <row r="1966" spans="4:6" x14ac:dyDescent="0.25">
      <c r="D1966" s="105">
        <f t="shared" si="99"/>
        <v>1615.1999999999116</v>
      </c>
      <c r="E1966" s="373">
        <f t="shared" si="97"/>
        <v>1678.1927999999082</v>
      </c>
      <c r="F1966" s="373">
        <f t="shared" si="98"/>
        <v>1615.1999999999116</v>
      </c>
    </row>
    <row r="1967" spans="4:6" x14ac:dyDescent="0.25">
      <c r="D1967" s="105">
        <f t="shared" si="99"/>
        <v>1615.2499999999116</v>
      </c>
      <c r="E1967" s="373">
        <f t="shared" si="97"/>
        <v>1678.2447499999082</v>
      </c>
      <c r="F1967" s="373">
        <f t="shared" si="98"/>
        <v>1615.2499999999116</v>
      </c>
    </row>
    <row r="1968" spans="4:6" x14ac:dyDescent="0.25">
      <c r="D1968" s="105">
        <f t="shared" si="99"/>
        <v>1615.2999999999115</v>
      </c>
      <c r="E1968" s="373">
        <f t="shared" si="97"/>
        <v>1678.296699999908</v>
      </c>
      <c r="F1968" s="373">
        <f t="shared" si="98"/>
        <v>1615.2999999999115</v>
      </c>
    </row>
    <row r="1969" spans="4:6" x14ac:dyDescent="0.25">
      <c r="D1969" s="105">
        <f t="shared" si="99"/>
        <v>1615.3499999999115</v>
      </c>
      <c r="E1969" s="373">
        <f t="shared" si="97"/>
        <v>1678.348649999908</v>
      </c>
      <c r="F1969" s="373">
        <f t="shared" si="98"/>
        <v>1615.3499999999115</v>
      </c>
    </row>
    <row r="1970" spans="4:6" x14ac:dyDescent="0.25">
      <c r="D1970" s="105">
        <f t="shared" si="99"/>
        <v>1615.3999999999114</v>
      </c>
      <c r="E1970" s="373">
        <f t="shared" si="97"/>
        <v>1678.4005999999079</v>
      </c>
      <c r="F1970" s="373">
        <f t="shared" si="98"/>
        <v>1615.3999999999114</v>
      </c>
    </row>
    <row r="1971" spans="4:6" x14ac:dyDescent="0.25">
      <c r="D1971" s="105">
        <f t="shared" si="99"/>
        <v>1615.4499999999114</v>
      </c>
      <c r="E1971" s="373">
        <f t="shared" si="97"/>
        <v>1678.4525499999079</v>
      </c>
      <c r="F1971" s="373">
        <f t="shared" si="98"/>
        <v>1615.4499999999114</v>
      </c>
    </row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H3:H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BE5D-EB97-4D38-A0B4-EC97D8E5320E}">
  <sheetPr codeName="Planilha5"/>
  <dimension ref="A1:FL286"/>
  <sheetViews>
    <sheetView showGridLines="0" topLeftCell="E1" workbookViewId="0">
      <pane xSplit="2" ySplit="10" topLeftCell="G11" activePane="bottomRight" state="frozen"/>
      <selection activeCell="E1" sqref="E1"/>
      <selection pane="topRight" activeCell="G1" sqref="G1"/>
      <selection pane="bottomLeft" activeCell="E11" sqref="E11"/>
      <selection pane="bottomRight" activeCell="M7" sqref="M7"/>
    </sheetView>
  </sheetViews>
  <sheetFormatPr defaultRowHeight="15" x14ac:dyDescent="0.25"/>
  <cols>
    <col min="1" max="4" width="9.140625" hidden="1" customWidth="1"/>
    <col min="5" max="5" width="15" customWidth="1"/>
    <col min="6" max="6" width="12.42578125" style="12" customWidth="1"/>
    <col min="7" max="7" width="11" bestFit="1" customWidth="1"/>
    <col min="8" max="8" width="10.140625" bestFit="1" customWidth="1"/>
    <col min="9" max="9" width="10.5703125" customWidth="1"/>
    <col min="10" max="10" width="11.7109375" customWidth="1"/>
    <col min="11" max="11" width="8.85546875" bestFit="1" customWidth="1"/>
    <col min="12" max="12" width="10.140625" customWidth="1"/>
    <col min="13" max="13" width="8.85546875" bestFit="1" customWidth="1"/>
    <col min="14" max="14" width="12" bestFit="1" customWidth="1"/>
    <col min="15" max="15" width="10.7109375" bestFit="1" customWidth="1"/>
    <col min="16" max="16" width="12.7109375" bestFit="1" customWidth="1"/>
    <col min="17" max="17" width="24.140625" bestFit="1" customWidth="1"/>
    <col min="18" max="18" width="9.5703125" bestFit="1" customWidth="1"/>
    <col min="19" max="19" width="13.28515625" bestFit="1" customWidth="1"/>
    <col min="20" max="20" width="17" bestFit="1" customWidth="1"/>
    <col min="21" max="21" width="11.7109375" bestFit="1" customWidth="1"/>
    <col min="22" max="22" width="7.85546875" bestFit="1" customWidth="1"/>
    <col min="23" max="23" width="11.5703125" bestFit="1" customWidth="1"/>
    <col min="24" max="24" width="5.5703125" bestFit="1" customWidth="1"/>
    <col min="25" max="25" width="18.140625" bestFit="1" customWidth="1"/>
    <col min="26" max="26" width="14.5703125" bestFit="1" customWidth="1"/>
    <col min="27" max="102" width="8.85546875" bestFit="1" customWidth="1"/>
    <col min="103" max="125" width="9.140625" customWidth="1"/>
    <col min="126" max="126" width="9.28515625" customWidth="1"/>
    <col min="127" max="154" width="9.140625" customWidth="1"/>
    <col min="155" max="155" width="16.42578125" customWidth="1"/>
    <col min="156" max="156" width="18.7109375" customWidth="1"/>
    <col min="157" max="157" width="8" customWidth="1"/>
    <col min="158" max="158" width="9.140625" customWidth="1"/>
    <col min="159" max="159" width="9.140625" style="27" customWidth="1"/>
    <col min="160" max="161" width="9.140625" customWidth="1"/>
    <col min="162" max="162" width="23.7109375" style="67" bestFit="1" customWidth="1"/>
    <col min="163" max="163" width="27.5703125" style="6" customWidth="1"/>
    <col min="164" max="164" width="14.7109375" style="6" customWidth="1"/>
    <col min="165" max="165" width="13.140625" style="6" customWidth="1"/>
    <col min="166" max="166" width="18.5703125" style="82" customWidth="1"/>
    <col min="167" max="167" width="9.140625" style="71" customWidth="1"/>
    <col min="168" max="174" width="9.140625" customWidth="1"/>
  </cols>
  <sheetData>
    <row r="1" spans="5:168" hidden="1" x14ac:dyDescent="0.25"/>
    <row r="2" spans="5:168" hidden="1" x14ac:dyDescent="0.25"/>
    <row r="3" spans="5:168" hidden="1" x14ac:dyDescent="0.25"/>
    <row r="4" spans="5:168" ht="9" customHeight="1" thickBot="1" x14ac:dyDescent="0.3"/>
    <row r="5" spans="5:168" s="60" customFormat="1" ht="36" customHeight="1" thickBot="1" x14ac:dyDescent="0.3">
      <c r="F5" s="61"/>
      <c r="H5" s="633" t="s">
        <v>34</v>
      </c>
      <c r="I5" s="634"/>
      <c r="J5" s="63" t="s">
        <v>62</v>
      </c>
      <c r="K5" s="63" t="s">
        <v>36</v>
      </c>
      <c r="L5" s="63" t="s">
        <v>61</v>
      </c>
      <c r="N5" s="353">
        <f>K6</f>
        <v>96</v>
      </c>
      <c r="O5" s="226">
        <f ca="1">T7/30</f>
        <v>2.7333333333333334</v>
      </c>
      <c r="P5" s="225"/>
      <c r="Q5" s="225"/>
      <c r="R5" s="225"/>
      <c r="S5" s="225"/>
      <c r="T5" s="225">
        <f ca="1">N7-O7</f>
        <v>21</v>
      </c>
      <c r="U5" s="225">
        <f ca="1">T5/30</f>
        <v>0.7</v>
      </c>
      <c r="V5" s="225"/>
      <c r="W5" s="225">
        <f ca="1">N5-(G9+U5)</f>
        <v>94.3</v>
      </c>
      <c r="X5" s="225"/>
      <c r="Y5" s="225"/>
      <c r="Z5" s="225"/>
      <c r="AA5" s="225"/>
      <c r="AB5" s="225"/>
      <c r="AC5" s="225"/>
      <c r="FC5" s="62"/>
      <c r="FF5" s="85"/>
      <c r="FG5" s="83"/>
      <c r="FH5" s="83"/>
      <c r="FI5" s="83"/>
      <c r="FJ5" s="84"/>
      <c r="FK5" s="72"/>
    </row>
    <row r="6" spans="5:168" ht="16.5" customHeight="1" thickBot="1" x14ac:dyDescent="0.3">
      <c r="H6" s="635" t="str">
        <f>'CALCULAR SALDO APROXIMADO '!E8</f>
        <v>INSS</v>
      </c>
      <c r="I6" s="636"/>
      <c r="J6" s="51">
        <f>VLOOKUP(H6,$FF:$FL,2,FALSE)</f>
        <v>1.8500000000000003E-2</v>
      </c>
      <c r="K6" s="52">
        <f>VLOOKUP(H6,$FF:$FI,3,FALSE)</f>
        <v>96</v>
      </c>
      <c r="L6" s="53">
        <f>VLOOKUP(H6,$FF:$FI,4,FALSE)</f>
        <v>1.5600000000000001E-2</v>
      </c>
      <c r="M6" s="4">
        <f>L6</f>
        <v>1.5600000000000001E-2</v>
      </c>
      <c r="N6" s="227">
        <f ca="1">K6-(AB7/30)</f>
        <v>93.266666666666666</v>
      </c>
      <c r="O6" s="228">
        <f>VLOOKUP(H6,'Base tabelas'!$A:$I,9,0)</f>
        <v>10</v>
      </c>
      <c r="P6" s="229" t="s">
        <v>304</v>
      </c>
      <c r="Q6" s="229" t="s">
        <v>307</v>
      </c>
      <c r="R6" s="230" t="s">
        <v>308</v>
      </c>
      <c r="S6" s="230" t="s">
        <v>309</v>
      </c>
      <c r="T6" s="230" t="s">
        <v>310</v>
      </c>
      <c r="U6" s="230" t="s">
        <v>311</v>
      </c>
      <c r="V6" s="230" t="s">
        <v>312</v>
      </c>
      <c r="W6" s="230"/>
      <c r="X6" s="230"/>
      <c r="Y6" s="230" t="s">
        <v>313</v>
      </c>
      <c r="Z6" s="230" t="s">
        <v>314</v>
      </c>
      <c r="AA6" s="227"/>
      <c r="AB6" s="227" t="s">
        <v>315</v>
      </c>
      <c r="AC6" s="227"/>
    </row>
    <row r="7" spans="5:168" ht="15" customHeight="1" x14ac:dyDescent="0.25">
      <c r="F7" s="637" t="s">
        <v>47</v>
      </c>
      <c r="N7" s="231">
        <f ca="1">IF(DAY(O7)&gt;=O6,EDATE(O7-DAY(O7)+O6,1),EDATE(O7-DAY(O7)+O6,0))</f>
        <v>46183</v>
      </c>
      <c r="O7" s="231">
        <f ca="1">'CALCULAR SALDO APROXIMADO '!H54</f>
        <v>46162</v>
      </c>
      <c r="P7" s="232">
        <f ca="1">VLOOKUP(O7,CALENDARIO!$C:$G,5,FALSE)</f>
        <v>13</v>
      </c>
      <c r="Q7" s="233">
        <f>_xlfn.NUMBERVALUE(VLOOKUP(H6,'Base tabelas'!$A:$N,12,FALSE))</f>
        <v>1.44</v>
      </c>
      <c r="R7" s="234">
        <f>VLOOKUP(H6,'Base tabelas'!$A:$M,13,FALSE)</f>
        <v>3</v>
      </c>
      <c r="S7" s="235"/>
      <c r="T7" s="236">
        <f ca="1">IF(Q7=3,Y7,Z7)-O7</f>
        <v>82</v>
      </c>
      <c r="U7" s="234">
        <f ca="1">_xlfn.NUMBERVALUE(DAY(O7))</f>
        <v>20</v>
      </c>
      <c r="V7" s="234">
        <f>_xlfn.NUMBERVALUE(R7)</f>
        <v>3</v>
      </c>
      <c r="W7" s="237" t="str">
        <f ca="1">IF(DAY(O7)&gt;O6,"ALEM VENCIMENTO","")</f>
        <v>ALEM VENCIMENTO</v>
      </c>
      <c r="X7" s="238" t="str">
        <f>IF(AND(Q7=2,R7&gt;=28),"FINAL MÊS","")</f>
        <v/>
      </c>
      <c r="Y7" s="231" t="b">
        <f>IF(Q7=3,IF(AND(P7&gt;=R7,U7&lt;AA7),EDATE(N7,2),IF(AND(U7&gt;=AA7),EDATE(N7,1),EDATE(N7,1))))</f>
        <v>0</v>
      </c>
      <c r="Z7" s="239">
        <f ca="1">IF(AND(Q7=2,X7&lt;&gt;"FINAL MÊS",U7&lt;=V7,U7&gt;=AA7),EDATE(N7,0),IF(AND(Q7=2,X7&lt;&gt;"FINAL MÊS",U7&lt;=V7,U7&lt;AA7),EDATE(N7,1),IF(AND(Q7=2,X7&lt;&gt;"FINAL MÊS",U7&gt;V7,U7&gt;=AA7),EDATE(N7,1),IF(AND(Q7=2,X7&lt;&gt;"FINAL MÊS",U7&gt;V7,U7&lt;AA7),EDATE(N7,2),IF(AND(X7="FINAL MÊS",U7&gt;AA7,U7&lt;V7),EDATE(N7,1),IF(AND(X7="FINAL MÊS",U7&lt;=V7,U7&gt;=AA7),EDATE(N7,1),EDATE(N7,2)))))))</f>
        <v>46244</v>
      </c>
      <c r="AA7" s="240">
        <f>_xlfn.NUMBERVALUE(O6)</f>
        <v>10</v>
      </c>
      <c r="AB7" s="241">
        <f ca="1">T7</f>
        <v>82</v>
      </c>
      <c r="AC7" s="227"/>
    </row>
    <row r="8" spans="5:168" ht="15.75" thickBot="1" x14ac:dyDescent="0.3">
      <c r="F8" s="638"/>
    </row>
    <row r="9" spans="5:168" s="29" customFormat="1" ht="26.25" thickBot="1" x14ac:dyDescent="0.3">
      <c r="E9" s="75" t="s">
        <v>53</v>
      </c>
      <c r="F9" s="639" t="s">
        <v>28</v>
      </c>
      <c r="G9" s="47">
        <v>1</v>
      </c>
      <c r="H9" s="48">
        <f>IF($K$6-G9&gt;0,G9+1,$K$6)</f>
        <v>2</v>
      </c>
      <c r="I9" s="48">
        <f t="shared" ref="I9:BT9" si="0">IF($K$6-H9&gt;0,H9+1,$K$6)</f>
        <v>3</v>
      </c>
      <c r="J9" s="48">
        <f t="shared" si="0"/>
        <v>4</v>
      </c>
      <c r="K9" s="48">
        <f t="shared" si="0"/>
        <v>5</v>
      </c>
      <c r="L9" s="48">
        <f t="shared" si="0"/>
        <v>6</v>
      </c>
      <c r="M9" s="48">
        <f t="shared" si="0"/>
        <v>7</v>
      </c>
      <c r="N9" s="48">
        <f t="shared" si="0"/>
        <v>8</v>
      </c>
      <c r="O9" s="48">
        <f t="shared" si="0"/>
        <v>9</v>
      </c>
      <c r="P9" s="48">
        <f t="shared" si="0"/>
        <v>10</v>
      </c>
      <c r="Q9" s="48">
        <f t="shared" si="0"/>
        <v>11</v>
      </c>
      <c r="R9" s="48">
        <f t="shared" si="0"/>
        <v>12</v>
      </c>
      <c r="S9" s="48">
        <f t="shared" si="0"/>
        <v>13</v>
      </c>
      <c r="T9" s="48">
        <f t="shared" si="0"/>
        <v>14</v>
      </c>
      <c r="U9" s="48">
        <f t="shared" si="0"/>
        <v>15</v>
      </c>
      <c r="V9" s="48">
        <f t="shared" si="0"/>
        <v>16</v>
      </c>
      <c r="W9" s="48">
        <f t="shared" si="0"/>
        <v>17</v>
      </c>
      <c r="X9" s="48">
        <f t="shared" si="0"/>
        <v>18</v>
      </c>
      <c r="Y9" s="48">
        <f t="shared" si="0"/>
        <v>19</v>
      </c>
      <c r="Z9" s="48">
        <f t="shared" si="0"/>
        <v>20</v>
      </c>
      <c r="AA9" s="48">
        <f t="shared" si="0"/>
        <v>21</v>
      </c>
      <c r="AB9" s="48">
        <f t="shared" si="0"/>
        <v>22</v>
      </c>
      <c r="AC9" s="48">
        <f t="shared" si="0"/>
        <v>23</v>
      </c>
      <c r="AD9" s="48">
        <f t="shared" si="0"/>
        <v>24</v>
      </c>
      <c r="AE9" s="48">
        <f t="shared" si="0"/>
        <v>25</v>
      </c>
      <c r="AF9" s="48">
        <f t="shared" si="0"/>
        <v>26</v>
      </c>
      <c r="AG9" s="48">
        <f t="shared" si="0"/>
        <v>27</v>
      </c>
      <c r="AH9" s="48">
        <f t="shared" si="0"/>
        <v>28</v>
      </c>
      <c r="AI9" s="48">
        <f t="shared" si="0"/>
        <v>29</v>
      </c>
      <c r="AJ9" s="48">
        <f t="shared" si="0"/>
        <v>30</v>
      </c>
      <c r="AK9" s="48">
        <f t="shared" si="0"/>
        <v>31</v>
      </c>
      <c r="AL9" s="48">
        <f t="shared" si="0"/>
        <v>32</v>
      </c>
      <c r="AM9" s="48">
        <f t="shared" si="0"/>
        <v>33</v>
      </c>
      <c r="AN9" s="48">
        <f t="shared" si="0"/>
        <v>34</v>
      </c>
      <c r="AO9" s="48">
        <f t="shared" si="0"/>
        <v>35</v>
      </c>
      <c r="AP9" s="48">
        <f t="shared" si="0"/>
        <v>36</v>
      </c>
      <c r="AQ9" s="48">
        <f t="shared" si="0"/>
        <v>37</v>
      </c>
      <c r="AR9" s="48">
        <f t="shared" si="0"/>
        <v>38</v>
      </c>
      <c r="AS9" s="48">
        <f t="shared" si="0"/>
        <v>39</v>
      </c>
      <c r="AT9" s="48">
        <f t="shared" si="0"/>
        <v>40</v>
      </c>
      <c r="AU9" s="48">
        <f t="shared" si="0"/>
        <v>41</v>
      </c>
      <c r="AV9" s="48">
        <f t="shared" si="0"/>
        <v>42</v>
      </c>
      <c r="AW9" s="48">
        <f t="shared" si="0"/>
        <v>43</v>
      </c>
      <c r="AX9" s="48">
        <f t="shared" si="0"/>
        <v>44</v>
      </c>
      <c r="AY9" s="48">
        <f t="shared" si="0"/>
        <v>45</v>
      </c>
      <c r="AZ9" s="48">
        <f t="shared" si="0"/>
        <v>46</v>
      </c>
      <c r="BA9" s="48">
        <f t="shared" si="0"/>
        <v>47</v>
      </c>
      <c r="BB9" s="48">
        <f t="shared" si="0"/>
        <v>48</v>
      </c>
      <c r="BC9" s="48">
        <f t="shared" si="0"/>
        <v>49</v>
      </c>
      <c r="BD9" s="49">
        <f t="shared" si="0"/>
        <v>50</v>
      </c>
      <c r="BE9" s="48">
        <f t="shared" si="0"/>
        <v>51</v>
      </c>
      <c r="BF9" s="48">
        <f t="shared" si="0"/>
        <v>52</v>
      </c>
      <c r="BG9" s="48">
        <f t="shared" si="0"/>
        <v>53</v>
      </c>
      <c r="BH9" s="48">
        <f t="shared" si="0"/>
        <v>54</v>
      </c>
      <c r="BI9" s="48">
        <f t="shared" si="0"/>
        <v>55</v>
      </c>
      <c r="BJ9" s="48">
        <f t="shared" si="0"/>
        <v>56</v>
      </c>
      <c r="BK9" s="48">
        <f t="shared" si="0"/>
        <v>57</v>
      </c>
      <c r="BL9" s="48">
        <f t="shared" si="0"/>
        <v>58</v>
      </c>
      <c r="BM9" s="48">
        <f t="shared" si="0"/>
        <v>59</v>
      </c>
      <c r="BN9" s="48">
        <f t="shared" si="0"/>
        <v>60</v>
      </c>
      <c r="BO9" s="48">
        <f t="shared" si="0"/>
        <v>61</v>
      </c>
      <c r="BP9" s="48">
        <f t="shared" si="0"/>
        <v>62</v>
      </c>
      <c r="BQ9" s="48">
        <f t="shared" si="0"/>
        <v>63</v>
      </c>
      <c r="BR9" s="48">
        <f t="shared" si="0"/>
        <v>64</v>
      </c>
      <c r="BS9" s="48">
        <f t="shared" si="0"/>
        <v>65</v>
      </c>
      <c r="BT9" s="48">
        <f t="shared" si="0"/>
        <v>66</v>
      </c>
      <c r="BU9" s="48">
        <f t="shared" ref="BU9:EF9" si="1">IF($K$6-BT9&gt;0,BT9+1,$K$6)</f>
        <v>67</v>
      </c>
      <c r="BV9" s="48">
        <f t="shared" si="1"/>
        <v>68</v>
      </c>
      <c r="BW9" s="48">
        <f t="shared" si="1"/>
        <v>69</v>
      </c>
      <c r="BX9" s="48">
        <f t="shared" si="1"/>
        <v>70</v>
      </c>
      <c r="BY9" s="48">
        <f t="shared" si="1"/>
        <v>71</v>
      </c>
      <c r="BZ9" s="48">
        <f t="shared" si="1"/>
        <v>72</v>
      </c>
      <c r="CA9" s="48">
        <f t="shared" si="1"/>
        <v>73</v>
      </c>
      <c r="CB9" s="48">
        <f t="shared" si="1"/>
        <v>74</v>
      </c>
      <c r="CC9" s="48">
        <f t="shared" si="1"/>
        <v>75</v>
      </c>
      <c r="CD9" s="48">
        <f t="shared" si="1"/>
        <v>76</v>
      </c>
      <c r="CE9" s="48">
        <f t="shared" si="1"/>
        <v>77</v>
      </c>
      <c r="CF9" s="48">
        <f t="shared" si="1"/>
        <v>78</v>
      </c>
      <c r="CG9" s="48">
        <f t="shared" si="1"/>
        <v>79</v>
      </c>
      <c r="CH9" s="48">
        <f t="shared" si="1"/>
        <v>80</v>
      </c>
      <c r="CI9" s="48">
        <f t="shared" si="1"/>
        <v>81</v>
      </c>
      <c r="CJ9" s="48">
        <f t="shared" si="1"/>
        <v>82</v>
      </c>
      <c r="CK9" s="48">
        <f t="shared" si="1"/>
        <v>83</v>
      </c>
      <c r="CL9" s="48">
        <f t="shared" si="1"/>
        <v>84</v>
      </c>
      <c r="CM9" s="48">
        <f t="shared" si="1"/>
        <v>85</v>
      </c>
      <c r="CN9" s="49">
        <f t="shared" si="1"/>
        <v>86</v>
      </c>
      <c r="CO9" s="48">
        <f t="shared" si="1"/>
        <v>87</v>
      </c>
      <c r="CP9" s="48">
        <f t="shared" si="1"/>
        <v>88</v>
      </c>
      <c r="CQ9" s="48">
        <f t="shared" si="1"/>
        <v>89</v>
      </c>
      <c r="CR9" s="48">
        <f t="shared" si="1"/>
        <v>90</v>
      </c>
      <c r="CS9" s="48">
        <f t="shared" si="1"/>
        <v>91</v>
      </c>
      <c r="CT9" s="48">
        <f t="shared" si="1"/>
        <v>92</v>
      </c>
      <c r="CU9" s="48">
        <f t="shared" si="1"/>
        <v>93</v>
      </c>
      <c r="CV9" s="48">
        <f t="shared" si="1"/>
        <v>94</v>
      </c>
      <c r="CW9" s="48">
        <f t="shared" si="1"/>
        <v>95</v>
      </c>
      <c r="CX9" s="48">
        <f t="shared" si="1"/>
        <v>96</v>
      </c>
      <c r="CY9" s="48">
        <f t="shared" si="1"/>
        <v>96</v>
      </c>
      <c r="CZ9" s="48">
        <f t="shared" si="1"/>
        <v>96</v>
      </c>
      <c r="DA9" s="48">
        <f t="shared" si="1"/>
        <v>96</v>
      </c>
      <c r="DB9" s="48">
        <f t="shared" si="1"/>
        <v>96</v>
      </c>
      <c r="DC9" s="48">
        <f t="shared" si="1"/>
        <v>96</v>
      </c>
      <c r="DD9" s="48">
        <f t="shared" si="1"/>
        <v>96</v>
      </c>
      <c r="DE9" s="48">
        <f t="shared" si="1"/>
        <v>96</v>
      </c>
      <c r="DF9" s="48">
        <f t="shared" si="1"/>
        <v>96</v>
      </c>
      <c r="DG9" s="48">
        <f t="shared" si="1"/>
        <v>96</v>
      </c>
      <c r="DH9" s="48">
        <f t="shared" si="1"/>
        <v>96</v>
      </c>
      <c r="DI9" s="48">
        <f t="shared" si="1"/>
        <v>96</v>
      </c>
      <c r="DJ9" s="48">
        <f t="shared" si="1"/>
        <v>96</v>
      </c>
      <c r="DK9" s="48">
        <f t="shared" si="1"/>
        <v>96</v>
      </c>
      <c r="DL9" s="48">
        <f t="shared" si="1"/>
        <v>96</v>
      </c>
      <c r="DM9" s="48">
        <f t="shared" si="1"/>
        <v>96</v>
      </c>
      <c r="DN9" s="48">
        <f t="shared" si="1"/>
        <v>96</v>
      </c>
      <c r="DO9" s="48">
        <f t="shared" si="1"/>
        <v>96</v>
      </c>
      <c r="DP9" s="48">
        <f t="shared" si="1"/>
        <v>96</v>
      </c>
      <c r="DQ9" s="48">
        <f t="shared" si="1"/>
        <v>96</v>
      </c>
      <c r="DR9" s="48">
        <f t="shared" si="1"/>
        <v>96</v>
      </c>
      <c r="DS9" s="48">
        <f t="shared" si="1"/>
        <v>96</v>
      </c>
      <c r="DT9" s="48">
        <f t="shared" si="1"/>
        <v>96</v>
      </c>
      <c r="DU9" s="48">
        <f t="shared" si="1"/>
        <v>96</v>
      </c>
      <c r="DV9" s="48">
        <f t="shared" si="1"/>
        <v>96</v>
      </c>
      <c r="DW9" s="48">
        <f t="shared" si="1"/>
        <v>96</v>
      </c>
      <c r="DX9" s="48">
        <f t="shared" si="1"/>
        <v>96</v>
      </c>
      <c r="DY9" s="48">
        <f t="shared" si="1"/>
        <v>96</v>
      </c>
      <c r="DZ9" s="48">
        <f t="shared" si="1"/>
        <v>96</v>
      </c>
      <c r="EA9" s="48">
        <f t="shared" si="1"/>
        <v>96</v>
      </c>
      <c r="EB9" s="48">
        <f t="shared" si="1"/>
        <v>96</v>
      </c>
      <c r="EC9" s="48">
        <f t="shared" si="1"/>
        <v>96</v>
      </c>
      <c r="ED9" s="48">
        <f t="shared" si="1"/>
        <v>96</v>
      </c>
      <c r="EE9" s="48">
        <f t="shared" si="1"/>
        <v>96</v>
      </c>
      <c r="EF9" s="48">
        <f t="shared" si="1"/>
        <v>96</v>
      </c>
      <c r="EG9" s="48">
        <f t="shared" ref="EG9:ET9" si="2">IF($K$6-EF9&gt;0,EF9+1,$K$6)</f>
        <v>96</v>
      </c>
      <c r="EH9" s="48">
        <f t="shared" si="2"/>
        <v>96</v>
      </c>
      <c r="EI9" s="48">
        <f t="shared" si="2"/>
        <v>96</v>
      </c>
      <c r="EJ9" s="48">
        <f t="shared" si="2"/>
        <v>96</v>
      </c>
      <c r="EK9" s="48">
        <f t="shared" si="2"/>
        <v>96</v>
      </c>
      <c r="EL9" s="48">
        <f t="shared" si="2"/>
        <v>96</v>
      </c>
      <c r="EM9" s="48">
        <f t="shared" si="2"/>
        <v>96</v>
      </c>
      <c r="EN9" s="48">
        <f t="shared" si="2"/>
        <v>96</v>
      </c>
      <c r="EO9" s="48">
        <f t="shared" si="2"/>
        <v>96</v>
      </c>
      <c r="EP9" s="48">
        <f t="shared" si="2"/>
        <v>96</v>
      </c>
      <c r="EQ9" s="48">
        <f t="shared" si="2"/>
        <v>96</v>
      </c>
      <c r="ER9" s="48">
        <f t="shared" si="2"/>
        <v>96</v>
      </c>
      <c r="ES9" s="48">
        <f t="shared" si="2"/>
        <v>96</v>
      </c>
      <c r="ET9" s="48">
        <f t="shared" si="2"/>
        <v>96</v>
      </c>
      <c r="EY9" s="29" t="s">
        <v>34</v>
      </c>
      <c r="EZ9" s="29" t="s">
        <v>3</v>
      </c>
      <c r="FA9" s="29" t="s">
        <v>35</v>
      </c>
      <c r="FB9" s="29" t="s">
        <v>36</v>
      </c>
      <c r="FC9" s="30" t="s">
        <v>39</v>
      </c>
      <c r="FF9" s="86"/>
      <c r="FJ9" s="73"/>
      <c r="FK9" s="68"/>
    </row>
    <row r="10" spans="5:168" s="29" customFormat="1" ht="24.75" customHeight="1" thickBot="1" x14ac:dyDescent="0.3">
      <c r="E10" s="76" t="s">
        <v>48</v>
      </c>
      <c r="F10" s="640"/>
      <c r="G10" s="47">
        <f>IF(G9&lt;=$K$6,$K$6-G9,"")</f>
        <v>95</v>
      </c>
      <c r="H10" s="48">
        <f t="shared" ref="H10:BS10" si="3">IF(H9&lt;=$K$6,$K$6-H9,"")</f>
        <v>94</v>
      </c>
      <c r="I10" s="48">
        <f t="shared" si="3"/>
        <v>93</v>
      </c>
      <c r="J10" s="48">
        <f t="shared" si="3"/>
        <v>92</v>
      </c>
      <c r="K10" s="48">
        <f t="shared" si="3"/>
        <v>91</v>
      </c>
      <c r="L10" s="48">
        <f t="shared" si="3"/>
        <v>90</v>
      </c>
      <c r="M10" s="48">
        <f t="shared" si="3"/>
        <v>89</v>
      </c>
      <c r="N10" s="48">
        <f t="shared" si="3"/>
        <v>88</v>
      </c>
      <c r="O10" s="48">
        <f t="shared" si="3"/>
        <v>87</v>
      </c>
      <c r="P10" s="48">
        <f t="shared" si="3"/>
        <v>86</v>
      </c>
      <c r="Q10" s="48">
        <f t="shared" si="3"/>
        <v>85</v>
      </c>
      <c r="R10" s="48">
        <f t="shared" si="3"/>
        <v>84</v>
      </c>
      <c r="S10" s="48">
        <f t="shared" si="3"/>
        <v>83</v>
      </c>
      <c r="T10" s="48">
        <f t="shared" si="3"/>
        <v>82</v>
      </c>
      <c r="U10" s="48">
        <f t="shared" si="3"/>
        <v>81</v>
      </c>
      <c r="V10" s="48">
        <f t="shared" si="3"/>
        <v>80</v>
      </c>
      <c r="W10" s="48">
        <f t="shared" si="3"/>
        <v>79</v>
      </c>
      <c r="X10" s="48">
        <f t="shared" si="3"/>
        <v>78</v>
      </c>
      <c r="Y10" s="50">
        <f t="shared" si="3"/>
        <v>77</v>
      </c>
      <c r="Z10" s="48">
        <f t="shared" si="3"/>
        <v>76</v>
      </c>
      <c r="AA10" s="48">
        <f t="shared" si="3"/>
        <v>75</v>
      </c>
      <c r="AB10" s="48">
        <f t="shared" si="3"/>
        <v>74</v>
      </c>
      <c r="AC10" s="48">
        <f t="shared" si="3"/>
        <v>73</v>
      </c>
      <c r="AD10" s="50">
        <f t="shared" si="3"/>
        <v>72</v>
      </c>
      <c r="AE10" s="48">
        <f t="shared" si="3"/>
        <v>71</v>
      </c>
      <c r="AF10" s="48">
        <f t="shared" si="3"/>
        <v>70</v>
      </c>
      <c r="AG10" s="48">
        <f t="shared" si="3"/>
        <v>69</v>
      </c>
      <c r="AH10" s="48">
        <f t="shared" si="3"/>
        <v>68</v>
      </c>
      <c r="AI10" s="48">
        <f t="shared" si="3"/>
        <v>67</v>
      </c>
      <c r="AJ10" s="48">
        <f t="shared" si="3"/>
        <v>66</v>
      </c>
      <c r="AK10" s="48">
        <f t="shared" si="3"/>
        <v>65</v>
      </c>
      <c r="AL10" s="48">
        <f t="shared" si="3"/>
        <v>64</v>
      </c>
      <c r="AM10" s="50">
        <f t="shared" si="3"/>
        <v>63</v>
      </c>
      <c r="AN10" s="48">
        <f t="shared" si="3"/>
        <v>62</v>
      </c>
      <c r="AO10" s="48">
        <f t="shared" si="3"/>
        <v>61</v>
      </c>
      <c r="AP10" s="48">
        <f t="shared" si="3"/>
        <v>60</v>
      </c>
      <c r="AQ10" s="48">
        <f t="shared" si="3"/>
        <v>59</v>
      </c>
      <c r="AR10" s="48">
        <f t="shared" si="3"/>
        <v>58</v>
      </c>
      <c r="AS10" s="48">
        <f t="shared" si="3"/>
        <v>57</v>
      </c>
      <c r="AT10" s="48">
        <f t="shared" si="3"/>
        <v>56</v>
      </c>
      <c r="AU10" s="48">
        <f t="shared" si="3"/>
        <v>55</v>
      </c>
      <c r="AV10" s="48">
        <f t="shared" si="3"/>
        <v>54</v>
      </c>
      <c r="AW10" s="48">
        <f t="shared" si="3"/>
        <v>53</v>
      </c>
      <c r="AX10" s="48">
        <f t="shared" si="3"/>
        <v>52</v>
      </c>
      <c r="AY10" s="50">
        <f t="shared" si="3"/>
        <v>51</v>
      </c>
      <c r="AZ10" s="48">
        <f t="shared" si="3"/>
        <v>50</v>
      </c>
      <c r="BA10" s="48">
        <f t="shared" si="3"/>
        <v>49</v>
      </c>
      <c r="BB10" s="48">
        <f t="shared" si="3"/>
        <v>48</v>
      </c>
      <c r="BC10" s="48">
        <f t="shared" si="3"/>
        <v>47</v>
      </c>
      <c r="BD10" s="48">
        <f t="shared" si="3"/>
        <v>46</v>
      </c>
      <c r="BE10" s="48">
        <f t="shared" si="3"/>
        <v>45</v>
      </c>
      <c r="BF10" s="50">
        <f t="shared" si="3"/>
        <v>44</v>
      </c>
      <c r="BG10" s="48">
        <f t="shared" si="3"/>
        <v>43</v>
      </c>
      <c r="BH10" s="50">
        <f t="shared" si="3"/>
        <v>42</v>
      </c>
      <c r="BI10" s="48">
        <f t="shared" si="3"/>
        <v>41</v>
      </c>
      <c r="BJ10" s="48">
        <f t="shared" si="3"/>
        <v>40</v>
      </c>
      <c r="BK10" s="48">
        <f t="shared" si="3"/>
        <v>39</v>
      </c>
      <c r="BL10" s="48">
        <f t="shared" si="3"/>
        <v>38</v>
      </c>
      <c r="BM10" s="48">
        <f t="shared" si="3"/>
        <v>37</v>
      </c>
      <c r="BN10" s="48">
        <f t="shared" si="3"/>
        <v>36</v>
      </c>
      <c r="BO10" s="48">
        <f t="shared" si="3"/>
        <v>35</v>
      </c>
      <c r="BP10" s="50">
        <f t="shared" si="3"/>
        <v>34</v>
      </c>
      <c r="BQ10" s="48">
        <f t="shared" si="3"/>
        <v>33</v>
      </c>
      <c r="BR10" s="48">
        <f t="shared" si="3"/>
        <v>32</v>
      </c>
      <c r="BS10" s="48">
        <f t="shared" si="3"/>
        <v>31</v>
      </c>
      <c r="BT10" s="48">
        <f t="shared" ref="BT10:CQ10" si="4">IF(BT9&lt;=$K$6,$K$6-BT9,"")</f>
        <v>30</v>
      </c>
      <c r="BU10" s="48">
        <f t="shared" si="4"/>
        <v>29</v>
      </c>
      <c r="BV10" s="48">
        <f t="shared" si="4"/>
        <v>28</v>
      </c>
      <c r="BW10" s="48">
        <f t="shared" si="4"/>
        <v>27</v>
      </c>
      <c r="BX10" s="48">
        <f t="shared" si="4"/>
        <v>26</v>
      </c>
      <c r="BY10" s="48">
        <f t="shared" si="4"/>
        <v>25</v>
      </c>
      <c r="BZ10" s="48">
        <f t="shared" si="4"/>
        <v>24</v>
      </c>
      <c r="CA10" s="48">
        <f t="shared" si="4"/>
        <v>23</v>
      </c>
      <c r="CB10" s="48">
        <f t="shared" si="4"/>
        <v>22</v>
      </c>
      <c r="CC10" s="48">
        <f t="shared" si="4"/>
        <v>21</v>
      </c>
      <c r="CD10" s="48">
        <f t="shared" si="4"/>
        <v>20</v>
      </c>
      <c r="CE10" s="48">
        <f t="shared" si="4"/>
        <v>19</v>
      </c>
      <c r="CF10" s="48">
        <f t="shared" si="4"/>
        <v>18</v>
      </c>
      <c r="CG10" s="48">
        <f t="shared" si="4"/>
        <v>17</v>
      </c>
      <c r="CH10" s="48">
        <f t="shared" si="4"/>
        <v>16</v>
      </c>
      <c r="CI10" s="48">
        <f t="shared" si="4"/>
        <v>15</v>
      </c>
      <c r="CJ10" s="48">
        <f t="shared" si="4"/>
        <v>14</v>
      </c>
      <c r="CK10" s="48">
        <f t="shared" si="4"/>
        <v>13</v>
      </c>
      <c r="CL10" s="48">
        <f t="shared" si="4"/>
        <v>12</v>
      </c>
      <c r="CM10" s="48">
        <f t="shared" si="4"/>
        <v>11</v>
      </c>
      <c r="CN10" s="48">
        <f t="shared" si="4"/>
        <v>10</v>
      </c>
      <c r="CO10" s="48">
        <f t="shared" si="4"/>
        <v>9</v>
      </c>
      <c r="CP10" s="48">
        <f t="shared" si="4"/>
        <v>8</v>
      </c>
      <c r="CQ10" s="48">
        <f t="shared" si="4"/>
        <v>7</v>
      </c>
      <c r="CR10" s="48">
        <f>IF(CR9&lt;=$K$6,$K$6-CR9,"")</f>
        <v>6</v>
      </c>
      <c r="CS10" s="48">
        <f t="shared" ref="CS10:ET10" si="5">IF(CS9&lt;=$K$6,$K$6-CS9,"")</f>
        <v>5</v>
      </c>
      <c r="CT10" s="48">
        <f t="shared" si="5"/>
        <v>4</v>
      </c>
      <c r="CU10" s="48">
        <f t="shared" si="5"/>
        <v>3</v>
      </c>
      <c r="CV10" s="48">
        <f t="shared" si="5"/>
        <v>2</v>
      </c>
      <c r="CW10" s="48">
        <f t="shared" si="5"/>
        <v>1</v>
      </c>
      <c r="CX10" s="48">
        <f t="shared" si="5"/>
        <v>0</v>
      </c>
      <c r="CY10" s="48">
        <f t="shared" si="5"/>
        <v>0</v>
      </c>
      <c r="CZ10" s="48">
        <f t="shared" si="5"/>
        <v>0</v>
      </c>
      <c r="DA10" s="48">
        <f t="shared" si="5"/>
        <v>0</v>
      </c>
      <c r="DB10" s="48">
        <f t="shared" si="5"/>
        <v>0</v>
      </c>
      <c r="DC10" s="48">
        <f t="shared" si="5"/>
        <v>0</v>
      </c>
      <c r="DD10" s="48">
        <f t="shared" si="5"/>
        <v>0</v>
      </c>
      <c r="DE10" s="48">
        <f t="shared" si="5"/>
        <v>0</v>
      </c>
      <c r="DF10" s="48">
        <f t="shared" si="5"/>
        <v>0</v>
      </c>
      <c r="DG10" s="48">
        <f t="shared" si="5"/>
        <v>0</v>
      </c>
      <c r="DH10" s="48">
        <f t="shared" si="5"/>
        <v>0</v>
      </c>
      <c r="DI10" s="48">
        <f t="shared" si="5"/>
        <v>0</v>
      </c>
      <c r="DJ10" s="48">
        <f t="shared" si="5"/>
        <v>0</v>
      </c>
      <c r="DK10" s="48">
        <f t="shared" si="5"/>
        <v>0</v>
      </c>
      <c r="DL10" s="48">
        <f t="shared" si="5"/>
        <v>0</v>
      </c>
      <c r="DM10" s="48">
        <f t="shared" si="5"/>
        <v>0</v>
      </c>
      <c r="DN10" s="48">
        <f t="shared" si="5"/>
        <v>0</v>
      </c>
      <c r="DO10" s="48">
        <f t="shared" si="5"/>
        <v>0</v>
      </c>
      <c r="DP10" s="48">
        <f t="shared" si="5"/>
        <v>0</v>
      </c>
      <c r="DQ10" s="48">
        <f t="shared" si="5"/>
        <v>0</v>
      </c>
      <c r="DR10" s="48">
        <f t="shared" si="5"/>
        <v>0</v>
      </c>
      <c r="DS10" s="48">
        <f t="shared" si="5"/>
        <v>0</v>
      </c>
      <c r="DT10" s="48">
        <f t="shared" si="5"/>
        <v>0</v>
      </c>
      <c r="DU10" s="48">
        <f t="shared" si="5"/>
        <v>0</v>
      </c>
      <c r="DV10" s="48">
        <f t="shared" si="5"/>
        <v>0</v>
      </c>
      <c r="DW10" s="48">
        <f t="shared" si="5"/>
        <v>0</v>
      </c>
      <c r="DX10" s="48">
        <f t="shared" si="5"/>
        <v>0</v>
      </c>
      <c r="DY10" s="48">
        <f t="shared" si="5"/>
        <v>0</v>
      </c>
      <c r="DZ10" s="48">
        <f t="shared" si="5"/>
        <v>0</v>
      </c>
      <c r="EA10" s="48">
        <f t="shared" si="5"/>
        <v>0</v>
      </c>
      <c r="EB10" s="48">
        <f t="shared" si="5"/>
        <v>0</v>
      </c>
      <c r="EC10" s="48">
        <f t="shared" si="5"/>
        <v>0</v>
      </c>
      <c r="ED10" s="48">
        <f t="shared" si="5"/>
        <v>0</v>
      </c>
      <c r="EE10" s="48">
        <f t="shared" si="5"/>
        <v>0</v>
      </c>
      <c r="EF10" s="48">
        <f t="shared" si="5"/>
        <v>0</v>
      </c>
      <c r="EG10" s="48">
        <f t="shared" si="5"/>
        <v>0</v>
      </c>
      <c r="EH10" s="48">
        <f t="shared" si="5"/>
        <v>0</v>
      </c>
      <c r="EI10" s="48">
        <f t="shared" si="5"/>
        <v>0</v>
      </c>
      <c r="EJ10" s="48">
        <f t="shared" si="5"/>
        <v>0</v>
      </c>
      <c r="EK10" s="48">
        <f t="shared" si="5"/>
        <v>0</v>
      </c>
      <c r="EL10" s="48">
        <f t="shared" si="5"/>
        <v>0</v>
      </c>
      <c r="EM10" s="48">
        <f t="shared" si="5"/>
        <v>0</v>
      </c>
      <c r="EN10" s="48">
        <f t="shared" si="5"/>
        <v>0</v>
      </c>
      <c r="EO10" s="48">
        <f t="shared" si="5"/>
        <v>0</v>
      </c>
      <c r="EP10" s="48">
        <f t="shared" si="5"/>
        <v>0</v>
      </c>
      <c r="EQ10" s="48">
        <f t="shared" si="5"/>
        <v>0</v>
      </c>
      <c r="ER10" s="48">
        <f t="shared" si="5"/>
        <v>0</v>
      </c>
      <c r="ES10" s="48">
        <f t="shared" si="5"/>
        <v>0</v>
      </c>
      <c r="ET10" s="48">
        <f t="shared" si="5"/>
        <v>0</v>
      </c>
      <c r="EY10" s="29" t="s">
        <v>34</v>
      </c>
      <c r="EZ10" s="29" t="s">
        <v>3</v>
      </c>
      <c r="FA10" s="29" t="s">
        <v>35</v>
      </c>
      <c r="FB10" s="29" t="s">
        <v>36</v>
      </c>
      <c r="FC10" s="30" t="s">
        <v>39</v>
      </c>
      <c r="FD10" s="29" t="s">
        <v>60</v>
      </c>
      <c r="FF10" s="254" t="s">
        <v>85</v>
      </c>
      <c r="FG10" s="6" t="s">
        <v>101</v>
      </c>
      <c r="FH10" s="6" t="s">
        <v>87</v>
      </c>
      <c r="FI10" s="6" t="s">
        <v>88</v>
      </c>
      <c r="FJ10" s="6" t="s">
        <v>96</v>
      </c>
      <c r="FK10" s="68"/>
    </row>
    <row r="11" spans="5:168" ht="18" customHeight="1" x14ac:dyDescent="0.25">
      <c r="E11" s="77"/>
      <c r="F11" s="96">
        <f>VLOOKUP(H6,$FF:$FJ,5,FALSE)</f>
        <v>1.44E-2</v>
      </c>
      <c r="G11" s="79">
        <f>IF(G$9&lt;=$K$6,RATE($K$6,1,G57,0),"")</f>
        <v>1.849742711818065E-2</v>
      </c>
      <c r="H11" s="79">
        <f t="shared" ref="H11:BS15" si="6">IF(H$9&lt;=$K$6,RATE($K$6,1,H57,0),"")</f>
        <v>1.8492365654669631E-2</v>
      </c>
      <c r="I11" s="79">
        <f t="shared" si="6"/>
        <v>1.8484898814215975E-2</v>
      </c>
      <c r="J11" s="79">
        <f t="shared" si="6"/>
        <v>1.8475108643582636E-2</v>
      </c>
      <c r="K11" s="79">
        <f t="shared" si="6"/>
        <v>1.8463075974574982E-2</v>
      </c>
      <c r="L11" s="79">
        <f t="shared" si="6"/>
        <v>1.8448880372525341E-2</v>
      </c>
      <c r="M11" s="79">
        <f t="shared" si="6"/>
        <v>1.8432600090046509E-2</v>
      </c>
      <c r="N11" s="79">
        <f t="shared" si="6"/>
        <v>1.8414312025861742E-2</v>
      </c>
      <c r="O11" s="79">
        <f t="shared" si="6"/>
        <v>1.8394091688510961E-2</v>
      </c>
      <c r="P11" s="79">
        <f t="shared" si="6"/>
        <v>1.8372013164727918E-2</v>
      </c>
      <c r="Q11" s="79">
        <f t="shared" si="6"/>
        <v>1.834814909228151E-2</v>
      </c>
      <c r="R11" s="79">
        <f t="shared" si="6"/>
        <v>1.8322570637071389E-2</v>
      </c>
      <c r="S11" s="79">
        <f t="shared" si="6"/>
        <v>1.8295347474267382E-2</v>
      </c>
      <c r="T11" s="79">
        <f t="shared" si="6"/>
        <v>1.8266547773284885E-2</v>
      </c>
      <c r="U11" s="79">
        <f t="shared" si="6"/>
        <v>1.8236238186383844E-2</v>
      </c>
      <c r="V11" s="79">
        <f t="shared" si="6"/>
        <v>1.8204483840691118E-2</v>
      </c>
      <c r="W11" s="79">
        <f t="shared" si="6"/>
        <v>1.8171348333437948E-2</v>
      </c>
      <c r="X11" s="79">
        <f t="shared" si="6"/>
        <v>1.8136893730216451E-2</v>
      </c>
      <c r="Y11" s="79">
        <f t="shared" si="6"/>
        <v>1.810118056606045E-2</v>
      </c>
      <c r="Z11" s="79">
        <f t="shared" si="6"/>
        <v>1.8064267849158978E-2</v>
      </c>
      <c r="AA11" s="79">
        <f t="shared" si="6"/>
        <v>1.8026213067020576E-2</v>
      </c>
      <c r="AB11" s="79">
        <f t="shared" si="6"/>
        <v>1.7987072194906903E-2</v>
      </c>
      <c r="AC11" s="79">
        <f t="shared" si="6"/>
        <v>1.7946899706365389E-2</v>
      </c>
      <c r="AD11" s="79">
        <f t="shared" si="6"/>
        <v>1.7905748585692879E-2</v>
      </c>
      <c r="AE11" s="79">
        <f t="shared" si="6"/>
        <v>1.7863670342171286E-2</v>
      </c>
      <c r="AF11" s="79">
        <f t="shared" si="6"/>
        <v>1.7820715025920687E-2</v>
      </c>
      <c r="AG11" s="79">
        <f t="shared" si="6"/>
        <v>1.7776931245224892E-2</v>
      </c>
      <c r="AH11" s="79">
        <f t="shared" si="6"/>
        <v>1.7732366185186282E-2</v>
      </c>
      <c r="AI11" s="79">
        <f t="shared" si="6"/>
        <v>1.7687065627581201E-2</v>
      </c>
      <c r="AJ11" s="79">
        <f t="shared" si="6"/>
        <v>1.7641073971783341E-2</v>
      </c>
      <c r="AK11" s="79">
        <f t="shared" si="6"/>
        <v>1.7594434256639854E-2</v>
      </c>
      <c r="AL11" s="79">
        <f t="shared" si="6"/>
        <v>1.7547188183184195E-2</v>
      </c>
      <c r="AM11" s="79">
        <f t="shared" si="6"/>
        <v>1.7499376138077467E-2</v>
      </c>
      <c r="AN11" s="79">
        <f t="shared" si="6"/>
        <v>1.7451037217679616E-2</v>
      </c>
      <c r="AO11" s="79">
        <f t="shared" si="6"/>
        <v>1.7402209252653605E-2</v>
      </c>
      <c r="AP11" s="79">
        <f t="shared" si="6"/>
        <v>1.7352928833012371E-2</v>
      </c>
      <c r="AQ11" s="79">
        <f t="shared" si="6"/>
        <v>1.7303231333528995E-2</v>
      </c>
      <c r="AR11" s="79">
        <f t="shared" si="6"/>
        <v>1.7253150939426816E-2</v>
      </c>
      <c r="AS11" s="79">
        <f t="shared" si="6"/>
        <v>1.7202720672281919E-2</v>
      </c>
      <c r="AT11" s="79">
        <f t="shared" si="6"/>
        <v>1.715197241606671E-2</v>
      </c>
      <c r="AU11" s="79">
        <f t="shared" si="6"/>
        <v>1.7100936943273724E-2</v>
      </c>
      <c r="AV11" s="79">
        <f t="shared" si="6"/>
        <v>1.7049643941061413E-2</v>
      </c>
      <c r="AW11" s="79">
        <f t="shared" si="6"/>
        <v>1.6998122037368824E-2</v>
      </c>
      <c r="AX11" s="79">
        <f t="shared" si="6"/>
        <v>1.6946398826949396E-2</v>
      </c>
      <c r="AY11" s="79">
        <f t="shared" si="6"/>
        <v>1.6894500897278817E-2</v>
      </c>
      <c r="AZ11" s="79">
        <f t="shared" si="6"/>
        <v>1.6842453854296741E-2</v>
      </c>
      <c r="BA11" s="79">
        <f t="shared" si="6"/>
        <v>1.6790282347943736E-2</v>
      </c>
      <c r="BB11" s="79">
        <f t="shared" si="6"/>
        <v>1.673801009745943E-2</v>
      </c>
      <c r="BC11" s="79">
        <f t="shared" si="6"/>
        <v>1.6685659916412431E-2</v>
      </c>
      <c r="BD11" s="79">
        <f t="shared" si="6"/>
        <v>1.6633253737431776E-2</v>
      </c>
      <c r="BE11" s="79">
        <f t="shared" si="6"/>
        <v>1.6580812636618848E-2</v>
      </c>
      <c r="BF11" s="79">
        <f t="shared" si="6"/>
        <v>1.6528356857612881E-2</v>
      </c>
      <c r="BG11" s="79">
        <f t="shared" si="6"/>
        <v>1.6475905835295845E-2</v>
      </c>
      <c r="BH11" s="79">
        <f t="shared" si="6"/>
        <v>1.6423478219114905E-2</v>
      </c>
      <c r="BI11" s="79">
        <f t="shared" si="6"/>
        <v>1.6371091896010437E-2</v>
      </c>
      <c r="BJ11" s="79">
        <f t="shared" si="6"/>
        <v>1.6318764012936658E-2</v>
      </c>
      <c r="BK11" s="79">
        <f t="shared" si="6"/>
        <v>1.6266510998961876E-2</v>
      </c>
      <c r="BL11" s="79">
        <f t="shared" si="6"/>
        <v>1.6214348586942418E-2</v>
      </c>
      <c r="BM11" s="79">
        <f t="shared" si="6"/>
        <v>1.6162291834760197E-2</v>
      </c>
      <c r="BN11" s="79">
        <f t="shared" si="6"/>
        <v>1.6110355146120407E-2</v>
      </c>
      <c r="BO11" s="79">
        <f t="shared" si="6"/>
        <v>1.6058552290901924E-2</v>
      </c>
      <c r="BP11" s="79">
        <f t="shared" si="6"/>
        <v>1.6006896425062228E-2</v>
      </c>
      <c r="BQ11" s="79">
        <f t="shared" si="6"/>
        <v>1.5955400110088707E-2</v>
      </c>
      <c r="BR11" s="79">
        <f t="shared" si="6"/>
        <v>1.5904075332001749E-2</v>
      </c>
      <c r="BS11" s="79">
        <f t="shared" si="6"/>
        <v>1.5852933519905764E-2</v>
      </c>
      <c r="BT11" s="79">
        <f t="shared" ref="BT11:EE14" si="7">IF(BT$9&lt;=$K$6,RATE($K$6,1,BT57,0),"")</f>
        <v>1.5801985564091122E-2</v>
      </c>
      <c r="BU11" s="79">
        <f t="shared" si="7"/>
        <v>1.5751241833688666E-2</v>
      </c>
      <c r="BV11" s="79">
        <f t="shared" si="7"/>
        <v>1.5700712193880272E-2</v>
      </c>
      <c r="BW11" s="79">
        <f t="shared" si="7"/>
        <v>1.5650406022668043E-2</v>
      </c>
      <c r="BX11" s="79">
        <f t="shared" si="7"/>
        <v>1.5600332227206231E-2</v>
      </c>
      <c r="BY11" s="79">
        <f t="shared" si="7"/>
        <v>1.5550499259703237E-2</v>
      </c>
      <c r="BZ11" s="79">
        <f t="shared" si="7"/>
        <v>1.5500915132893698E-2</v>
      </c>
      <c r="CA11" s="79">
        <f t="shared" si="7"/>
        <v>1.5451587435092642E-2</v>
      </c>
      <c r="CB11" s="79">
        <f t="shared" si="7"/>
        <v>1.5402523344832995E-2</v>
      </c>
      <c r="CC11" s="79">
        <f t="shared" si="7"/>
        <v>1.5353729645094513E-2</v>
      </c>
      <c r="CD11" s="79">
        <f t="shared" si="7"/>
        <v>1.5305212737131474E-2</v>
      </c>
      <c r="CE11" s="79">
        <f t="shared" si="7"/>
        <v>1.5256978653905675E-2</v>
      </c>
      <c r="CF11" s="79">
        <f t="shared" si="7"/>
        <v>1.5209033073130932E-2</v>
      </c>
      <c r="CG11" s="79">
        <f t="shared" si="7"/>
        <v>1.5161381329938042E-2</v>
      </c>
      <c r="CH11" s="79">
        <f t="shared" si="7"/>
        <v>1.5114028429166837E-2</v>
      </c>
      <c r="CI11" s="79">
        <f t="shared" si="7"/>
        <v>1.5066979057293463E-2</v>
      </c>
      <c r="CJ11" s="79">
        <f t="shared" si="7"/>
        <v>1.5020237593999106E-2</v>
      </c>
      <c r="CK11" s="79">
        <f t="shared" si="7"/>
        <v>1.4973808123391096E-2</v>
      </c>
      <c r="CL11" s="79">
        <f t="shared" si="7"/>
        <v>1.4927694444881292E-2</v>
      </c>
      <c r="CM11" s="79">
        <f t="shared" si="7"/>
        <v>1.4881900083729527E-2</v>
      </c>
      <c r="CN11" s="79">
        <f t="shared" si="7"/>
        <v>1.4836428301263813E-2</v>
      </c>
      <c r="CO11" s="79">
        <f t="shared" si="7"/>
        <v>1.4791282104779971E-2</v>
      </c>
      <c r="CP11" s="79">
        <f t="shared" si="7"/>
        <v>1.4746464257132441E-2</v>
      </c>
      <c r="CQ11" s="79">
        <f t="shared" si="7"/>
        <v>1.4701977286021708E-2</v>
      </c>
      <c r="CR11" s="79">
        <f t="shared" si="7"/>
        <v>1.4657823492987533E-2</v>
      </c>
      <c r="CS11" s="79">
        <f t="shared" si="7"/>
        <v>1.4614004962115672E-2</v>
      </c>
      <c r="CT11" s="79">
        <f t="shared" si="7"/>
        <v>1.4570523568462578E-2</v>
      </c>
      <c r="CU11" s="79">
        <f t="shared" si="7"/>
        <v>1.452738098621098E-2</v>
      </c>
      <c r="CV11" s="79">
        <f t="shared" si="7"/>
        <v>1.4484578696559086E-2</v>
      </c>
      <c r="CW11" s="79">
        <f t="shared" si="7"/>
        <v>1.4442117995352059E-2</v>
      </c>
      <c r="CX11" s="79">
        <f t="shared" si="7"/>
        <v>1.4400000000464229E-2</v>
      </c>
      <c r="CY11" s="79">
        <f t="shared" si="7"/>
        <v>1.4400000000464229E-2</v>
      </c>
      <c r="CZ11" s="79">
        <f t="shared" si="7"/>
        <v>1.4400000000464229E-2</v>
      </c>
      <c r="DA11" s="79">
        <f t="shared" si="7"/>
        <v>1.4400000000464229E-2</v>
      </c>
      <c r="DB11" s="79">
        <f t="shared" si="7"/>
        <v>1.4400000000464229E-2</v>
      </c>
      <c r="DC11" s="79">
        <f t="shared" si="7"/>
        <v>1.4400000000464229E-2</v>
      </c>
      <c r="DD11" s="79">
        <f t="shared" si="7"/>
        <v>1.4400000000464229E-2</v>
      </c>
      <c r="DE11" s="79">
        <f t="shared" si="7"/>
        <v>1.4400000000464229E-2</v>
      </c>
      <c r="DF11" s="79">
        <f t="shared" si="7"/>
        <v>1.4400000000464229E-2</v>
      </c>
      <c r="DG11" s="79">
        <f t="shared" si="7"/>
        <v>1.4400000000464229E-2</v>
      </c>
      <c r="DH11" s="79">
        <f t="shared" si="7"/>
        <v>1.4400000000464229E-2</v>
      </c>
      <c r="DI11" s="79">
        <f t="shared" si="7"/>
        <v>1.4400000000464229E-2</v>
      </c>
      <c r="DJ11" s="79">
        <f t="shared" si="7"/>
        <v>1.4400000000464229E-2</v>
      </c>
      <c r="DK11" s="79">
        <f t="shared" si="7"/>
        <v>1.4400000000464229E-2</v>
      </c>
      <c r="DL11" s="79">
        <f t="shared" si="7"/>
        <v>1.4400000000464229E-2</v>
      </c>
      <c r="DM11" s="79">
        <f t="shared" si="7"/>
        <v>1.4400000000464229E-2</v>
      </c>
      <c r="DN11" s="79">
        <f t="shared" si="7"/>
        <v>1.4400000000464229E-2</v>
      </c>
      <c r="DO11" s="79">
        <f t="shared" si="7"/>
        <v>1.4400000000464229E-2</v>
      </c>
      <c r="DP11" s="79">
        <f t="shared" si="7"/>
        <v>1.4400000000464229E-2</v>
      </c>
      <c r="DQ11" s="79">
        <f t="shared" si="7"/>
        <v>1.4400000000464229E-2</v>
      </c>
      <c r="DR11" s="79">
        <f t="shared" si="7"/>
        <v>1.4400000000464229E-2</v>
      </c>
      <c r="DS11" s="79">
        <f t="shared" si="7"/>
        <v>1.4400000000464229E-2</v>
      </c>
      <c r="DT11" s="79">
        <f t="shared" si="7"/>
        <v>1.4400000000464229E-2</v>
      </c>
      <c r="DU11" s="79">
        <f t="shared" si="7"/>
        <v>1.4400000000464229E-2</v>
      </c>
      <c r="DV11" s="79">
        <f t="shared" si="7"/>
        <v>1.4400000000464229E-2</v>
      </c>
      <c r="DW11" s="79">
        <f t="shared" si="7"/>
        <v>1.4400000000464229E-2</v>
      </c>
      <c r="DX11" s="79">
        <f t="shared" si="7"/>
        <v>1.4400000000464229E-2</v>
      </c>
      <c r="DY11" s="79">
        <f t="shared" si="7"/>
        <v>1.4400000000464229E-2</v>
      </c>
      <c r="DZ11" s="79">
        <f t="shared" si="7"/>
        <v>1.4400000000464229E-2</v>
      </c>
      <c r="EA11" s="79">
        <f t="shared" si="7"/>
        <v>1.4400000000464229E-2</v>
      </c>
      <c r="EB11" s="79">
        <f t="shared" si="7"/>
        <v>1.4400000000464229E-2</v>
      </c>
      <c r="EC11" s="79">
        <f t="shared" si="7"/>
        <v>1.4400000000464229E-2</v>
      </c>
      <c r="ED11" s="79">
        <f t="shared" si="7"/>
        <v>1.4400000000464229E-2</v>
      </c>
      <c r="EE11" s="79">
        <f t="shared" si="7"/>
        <v>1.4400000000464229E-2</v>
      </c>
      <c r="EF11" s="79">
        <f t="shared" ref="EF11:ET13" si="8">IF(EF$9&lt;=$K$6,RATE($K$6,1,EF57,0),"")</f>
        <v>1.4400000000464229E-2</v>
      </c>
      <c r="EG11" s="79">
        <f t="shared" si="8"/>
        <v>1.4400000000464229E-2</v>
      </c>
      <c r="EH11" s="79">
        <f t="shared" si="8"/>
        <v>1.4400000000464229E-2</v>
      </c>
      <c r="EI11" s="79">
        <f t="shared" si="8"/>
        <v>1.4400000000464229E-2</v>
      </c>
      <c r="EJ11" s="79">
        <f t="shared" si="8"/>
        <v>1.4400000000464229E-2</v>
      </c>
      <c r="EK11" s="79">
        <f t="shared" si="8"/>
        <v>1.4400000000464229E-2</v>
      </c>
      <c r="EL11" s="79">
        <f t="shared" si="8"/>
        <v>1.4400000000464229E-2</v>
      </c>
      <c r="EM11" s="79">
        <f t="shared" si="8"/>
        <v>1.4400000000464229E-2</v>
      </c>
      <c r="EN11" s="79">
        <f t="shared" si="8"/>
        <v>1.4400000000464229E-2</v>
      </c>
      <c r="EO11" s="79">
        <f t="shared" si="8"/>
        <v>1.4400000000464229E-2</v>
      </c>
      <c r="EP11" s="79">
        <f t="shared" si="8"/>
        <v>1.4400000000464229E-2</v>
      </c>
      <c r="EQ11" s="79">
        <f t="shared" si="8"/>
        <v>1.4400000000464229E-2</v>
      </c>
      <c r="ER11" s="79">
        <f t="shared" si="8"/>
        <v>1.4400000000464229E-2</v>
      </c>
      <c r="ES11" s="79">
        <f t="shared" si="8"/>
        <v>1.4400000000464229E-2</v>
      </c>
      <c r="ET11" s="79">
        <f t="shared" si="8"/>
        <v>1.4400000000464229E-2</v>
      </c>
      <c r="EY11" t="s">
        <v>70</v>
      </c>
      <c r="FA11" s="27">
        <v>1.6E-2</v>
      </c>
      <c r="FB11">
        <v>96</v>
      </c>
      <c r="FC11" s="27">
        <v>1.9E-2</v>
      </c>
      <c r="FF11" s="6" t="s">
        <v>319</v>
      </c>
      <c r="FG11" s="696">
        <v>2.1600000000000001E-2</v>
      </c>
      <c r="FH11" s="696">
        <v>96</v>
      </c>
      <c r="FI11" s="696">
        <v>1.61E-2</v>
      </c>
      <c r="FJ11" s="255">
        <v>1.34E-2</v>
      </c>
      <c r="FK11" s="71">
        <f>(FG11-FJ11)/42</f>
        <v>1.9523809523809525E-4</v>
      </c>
      <c r="FL11" t="e">
        <f>VLOOKUP(FF11,'SIMULADOR COM SALDO'!$BX$22:$CK$1000,13,FALSE)</f>
        <v>#N/A</v>
      </c>
    </row>
    <row r="12" spans="5:168" ht="18" customHeight="1" x14ac:dyDescent="0.25">
      <c r="E12" s="77"/>
      <c r="F12" s="97">
        <f>IF(F11&lt;$J$6,F11+VLOOKUP($H$6,$FF:$FK,6,FALSE),$J$6)</f>
        <v>1.4497619047619047E-2</v>
      </c>
      <c r="G12" s="79">
        <f t="shared" ref="G12:V27" si="9">IF(G$9&lt;=$K$6,RATE($K$6,1,G58,0),"")</f>
        <v>1.8497488614782554E-2</v>
      </c>
      <c r="H12" s="79">
        <f t="shared" si="9"/>
        <v>1.8492548343367509E-2</v>
      </c>
      <c r="I12" s="79">
        <f t="shared" si="9"/>
        <v>1.8485260582306994E-2</v>
      </c>
      <c r="J12" s="79">
        <f t="shared" si="9"/>
        <v>1.8475705567200792E-2</v>
      </c>
      <c r="K12" s="79">
        <f t="shared" si="9"/>
        <v>1.8463962319606828E-2</v>
      </c>
      <c r="L12" s="79">
        <f t="shared" si="9"/>
        <v>1.8450108599167323E-2</v>
      </c>
      <c r="M12" s="79">
        <f t="shared" si="9"/>
        <v>1.8434220860768246E-2</v>
      </c>
      <c r="N12" s="79">
        <f t="shared" si="9"/>
        <v>1.8416374216540618E-2</v>
      </c>
      <c r="O12" s="79">
        <f t="shared" si="9"/>
        <v>1.839664240250781E-2</v>
      </c>
      <c r="P12" s="79">
        <f t="shared" si="9"/>
        <v>1.8375097749680512E-2</v>
      </c>
      <c r="Q12" s="79">
        <f t="shared" si="9"/>
        <v>1.8351811159397002E-2</v>
      </c>
      <c r="R12" s="79">
        <f t="shared" si="9"/>
        <v>1.8326852082705288E-2</v>
      </c>
      <c r="S12" s="79">
        <f t="shared" si="9"/>
        <v>1.8300288503584176E-2</v>
      </c>
      <c r="T12" s="79">
        <f t="shared" si="9"/>
        <v>1.8272186925802562E-2</v>
      </c>
      <c r="U12" s="79">
        <f t="shared" si="9"/>
        <v>1.8242612363212712E-2</v>
      </c>
      <c r="V12" s="79">
        <f t="shared" si="9"/>
        <v>1.8211628333283367E-2</v>
      </c>
      <c r="W12" s="79">
        <f t="shared" si="6"/>
        <v>1.8179296853676405E-2</v>
      </c>
      <c r="X12" s="79">
        <f t="shared" si="6"/>
        <v>1.8145678441675188E-2</v>
      </c>
      <c r="Y12" s="79">
        <f t="shared" si="6"/>
        <v>1.8110832116280774E-2</v>
      </c>
      <c r="Z12" s="79">
        <f t="shared" si="6"/>
        <v>1.8074815402791714E-2</v>
      </c>
      <c r="AA12" s="79">
        <f t="shared" si="6"/>
        <v>1.8037684339693799E-2</v>
      </c>
      <c r="AB12" s="79">
        <f t="shared" si="6"/>
        <v>1.7999493487687538E-2</v>
      </c>
      <c r="AC12" s="79">
        <f t="shared" si="6"/>
        <v>1.7960295940689763E-2</v>
      </c>
      <c r="AD12" s="79">
        <f t="shared" si="6"/>
        <v>1.7920143338650284E-2</v>
      </c>
      <c r="AE12" s="79">
        <f t="shared" si="6"/>
        <v>1.7879085882032002E-2</v>
      </c>
      <c r="AF12" s="79">
        <f t="shared" si="6"/>
        <v>1.7837172347806896E-2</v>
      </c>
      <c r="AG12" s="79">
        <f t="shared" si="6"/>
        <v>1.7794450106831956E-2</v>
      </c>
      <c r="AH12" s="79">
        <f t="shared" si="6"/>
        <v>1.7750965142467292E-2</v>
      </c>
      <c r="AI12" s="79">
        <f t="shared" si="6"/>
        <v>1.7706762070313894E-2</v>
      </c>
      <c r="AJ12" s="79">
        <f t="shared" si="6"/>
        <v>1.7661884158948274E-2</v>
      </c>
      <c r="AK12" s="79">
        <f t="shared" si="6"/>
        <v>1.761637335154102E-2</v>
      </c>
      <c r="AL12" s="79">
        <f t="shared" si="6"/>
        <v>1.7570270288252542E-2</v>
      </c>
      <c r="AM12" s="79">
        <f t="shared" si="6"/>
        <v>1.7523614329300954E-2</v>
      </c>
      <c r="AN12" s="79">
        <f t="shared" si="6"/>
        <v>1.7476443578610456E-2</v>
      </c>
      <c r="AO12" s="79">
        <f t="shared" si="6"/>
        <v>1.7428794907947427E-2</v>
      </c>
      <c r="AP12" s="79">
        <f t="shared" si="6"/>
        <v>1.7380703981461257E-2</v>
      </c>
      <c r="AQ12" s="79">
        <f t="shared" si="6"/>
        <v>1.7332205280550208E-2</v>
      </c>
      <c r="AR12" s="79">
        <f t="shared" si="6"/>
        <v>1.7283332128979218E-2</v>
      </c>
      <c r="AS12" s="79">
        <f t="shared" si="6"/>
        <v>1.7234116718180207E-2</v>
      </c>
      <c r="AT12" s="79">
        <f t="shared" si="6"/>
        <v>1.7184590132673157E-2</v>
      </c>
      <c r="AU12" s="79">
        <f t="shared" si="6"/>
        <v>1.7134782375545589E-2</v>
      </c>
      <c r="AV12" s="79">
        <f t="shared" si="6"/>
        <v>1.7084722393939326E-2</v>
      </c>
      <c r="AW12" s="79">
        <f t="shared" si="6"/>
        <v>1.7034438104491251E-2</v>
      </c>
      <c r="AX12" s="79">
        <f t="shared" si="6"/>
        <v>1.69839564186842E-2</v>
      </c>
      <c r="AY12" s="79">
        <f t="shared" si="6"/>
        <v>1.6933303268063367E-2</v>
      </c>
      <c r="AZ12" s="79">
        <f t="shared" si="6"/>
        <v>1.6882503629281658E-2</v>
      </c>
      <c r="BA12" s="79">
        <f t="shared" si="6"/>
        <v>1.6831581548935826E-2</v>
      </c>
      <c r="BB12" s="79">
        <f t="shared" si="6"/>
        <v>1.6780560168164364E-2</v>
      </c>
      <c r="BC12" s="79">
        <f t="shared" si="6"/>
        <v>1.67294617469773E-2</v>
      </c>
      <c r="BD12" s="79">
        <f t="shared" si="6"/>
        <v>1.6678307688289342E-2</v>
      </c>
      <c r="BE12" s="79">
        <f t="shared" si="6"/>
        <v>1.662711856163808E-2</v>
      </c>
      <c r="BF12" s="79">
        <f t="shared" si="6"/>
        <v>1.6575914126561016E-2</v>
      </c>
      <c r="BG12" s="79">
        <f t="shared" si="6"/>
        <v>1.6524713355618757E-2</v>
      </c>
      <c r="BH12" s="79">
        <f t="shared" si="6"/>
        <v>1.6473534457042787E-2</v>
      </c>
      <c r="BI12" s="79">
        <f t="shared" si="6"/>
        <v>1.6422394896998656E-2</v>
      </c>
      <c r="BJ12" s="79">
        <f t="shared" si="6"/>
        <v>1.6371311421450596E-2</v>
      </c>
      <c r="BK12" s="79">
        <f t="shared" si="6"/>
        <v>1.6320300077616527E-2</v>
      </c>
      <c r="BL12" s="79">
        <f t="shared" si="6"/>
        <v>1.6269376235007311E-2</v>
      </c>
      <c r="BM12" s="79">
        <f t="shared" si="6"/>
        <v>1.6218554606042563E-2</v>
      </c>
      <c r="BN12" s="79">
        <f t="shared" si="6"/>
        <v>1.6167849266236559E-2</v>
      </c>
      <c r="BO12" s="79">
        <f t="shared" si="6"/>
        <v>1.6117273673952579E-2</v>
      </c>
      <c r="BP12" s="79">
        <f t="shared" si="6"/>
        <v>1.6066840689720887E-2</v>
      </c>
      <c r="BQ12" s="79">
        <f t="shared" si="6"/>
        <v>1.6016562595120954E-2</v>
      </c>
      <c r="BR12" s="79">
        <f t="shared" si="6"/>
        <v>1.5966451111223811E-2</v>
      </c>
      <c r="BS12" s="79">
        <f t="shared" si="6"/>
        <v>1.5916517416600245E-2</v>
      </c>
      <c r="BT12" s="79">
        <f t="shared" si="7"/>
        <v>1.5866772164891307E-2</v>
      </c>
      <c r="BU12" s="79">
        <f t="shared" si="7"/>
        <v>1.5817225501945937E-2</v>
      </c>
      <c r="BV12" s="79">
        <f t="shared" si="7"/>
        <v>1.5767887082528791E-2</v>
      </c>
      <c r="BW12" s="79">
        <f t="shared" si="7"/>
        <v>1.5718766086598744E-2</v>
      </c>
      <c r="BX12" s="79">
        <f t="shared" si="7"/>
        <v>1.5669871235167176E-2</v>
      </c>
      <c r="BY12" s="79">
        <f t="shared" si="7"/>
        <v>1.5621210805736042E-2</v>
      </c>
      <c r="BZ12" s="79">
        <f t="shared" si="7"/>
        <v>1.5572792647323161E-2</v>
      </c>
      <c r="CA12" s="79">
        <f t="shared" si="7"/>
        <v>1.5524624195081124E-2</v>
      </c>
      <c r="CB12" s="79">
        <f t="shared" si="7"/>
        <v>1.5476712484512059E-2</v>
      </c>
      <c r="CC12" s="79">
        <f t="shared" si="7"/>
        <v>1.5429064165289417E-2</v>
      </c>
      <c r="CD12" s="79">
        <f t="shared" si="7"/>
        <v>1.538168551468919E-2</v>
      </c>
      <c r="CE12" s="79">
        <f t="shared" si="7"/>
        <v>1.5334582450640347E-2</v>
      </c>
      <c r="CF12" s="79">
        <f t="shared" si="7"/>
        <v>1.5287760544398028E-2</v>
      </c>
      <c r="CG12" s="79">
        <f t="shared" si="7"/>
        <v>1.5241225032851462E-2</v>
      </c>
      <c r="CH12" s="79">
        <f t="shared" si="7"/>
        <v>1.5194980830468149E-2</v>
      </c>
      <c r="CI12" s="79">
        <f t="shared" si="7"/>
        <v>1.5149032540887428E-2</v>
      </c>
      <c r="CJ12" s="79">
        <f t="shared" si="7"/>
        <v>1.5103384468166354E-2</v>
      </c>
      <c r="CK12" s="79">
        <f t="shared" si="7"/>
        <v>1.5058040627687888E-2</v>
      </c>
      <c r="CL12" s="79">
        <f t="shared" si="7"/>
        <v>1.501300475673803E-2</v>
      </c>
      <c r="CM12" s="79">
        <f t="shared" si="7"/>
        <v>1.4968280324760403E-2</v>
      </c>
      <c r="CN12" s="79">
        <f t="shared" si="7"/>
        <v>1.4923870543294604E-2</v>
      </c>
      <c r="CO12" s="79">
        <f t="shared" si="7"/>
        <v>1.4879778375606851E-2</v>
      </c>
      <c r="CP12" s="79">
        <f t="shared" si="7"/>
        <v>1.4836006546020521E-2</v>
      </c>
      <c r="CQ12" s="79">
        <f t="shared" si="7"/>
        <v>1.4792557548952827E-2</v>
      </c>
      <c r="CR12" s="79">
        <f t="shared" si="7"/>
        <v>1.4749433657667E-2</v>
      </c>
      <c r="CS12" s="79">
        <f t="shared" si="7"/>
        <v>1.4706636932745619E-2</v>
      </c>
      <c r="CT12" s="79">
        <f t="shared" si="7"/>
        <v>1.4664169230293745E-2</v>
      </c>
      <c r="CU12" s="79">
        <f t="shared" si="7"/>
        <v>1.4622032209877824E-2</v>
      </c>
      <c r="CV12" s="79">
        <f t="shared" si="7"/>
        <v>1.4580227342207999E-2</v>
      </c>
      <c r="CW12" s="79">
        <f t="shared" si="7"/>
        <v>1.4538755916571841E-2</v>
      </c>
      <c r="CX12" s="79">
        <f t="shared" si="7"/>
        <v>1.4497619048024558E-2</v>
      </c>
      <c r="CY12" s="79">
        <f t="shared" si="7"/>
        <v>1.4497619048024558E-2</v>
      </c>
      <c r="CZ12" s="79">
        <f t="shared" si="7"/>
        <v>1.4497619048024558E-2</v>
      </c>
      <c r="DA12" s="79">
        <f t="shared" si="7"/>
        <v>1.4497619048024558E-2</v>
      </c>
      <c r="DB12" s="79">
        <f t="shared" si="7"/>
        <v>1.4497619048024558E-2</v>
      </c>
      <c r="DC12" s="79">
        <f t="shared" si="7"/>
        <v>1.4497619048024558E-2</v>
      </c>
      <c r="DD12" s="79">
        <f t="shared" si="7"/>
        <v>1.4497619048024558E-2</v>
      </c>
      <c r="DE12" s="79">
        <f t="shared" si="7"/>
        <v>1.4497619048024558E-2</v>
      </c>
      <c r="DF12" s="79">
        <f t="shared" si="7"/>
        <v>1.4497619048024558E-2</v>
      </c>
      <c r="DG12" s="79">
        <f t="shared" si="7"/>
        <v>1.4497619048024558E-2</v>
      </c>
      <c r="DH12" s="79">
        <f t="shared" si="7"/>
        <v>1.4497619048024558E-2</v>
      </c>
      <c r="DI12" s="79">
        <f t="shared" si="7"/>
        <v>1.4497619048024558E-2</v>
      </c>
      <c r="DJ12" s="79">
        <f t="shared" si="7"/>
        <v>1.4497619048024558E-2</v>
      </c>
      <c r="DK12" s="79">
        <f t="shared" si="7"/>
        <v>1.4497619048024558E-2</v>
      </c>
      <c r="DL12" s="79">
        <f t="shared" si="7"/>
        <v>1.4497619048024558E-2</v>
      </c>
      <c r="DM12" s="79">
        <f t="shared" si="7"/>
        <v>1.4497619048024558E-2</v>
      </c>
      <c r="DN12" s="79">
        <f t="shared" si="7"/>
        <v>1.4497619048024558E-2</v>
      </c>
      <c r="DO12" s="79">
        <f t="shared" si="7"/>
        <v>1.4497619048024558E-2</v>
      </c>
      <c r="DP12" s="79">
        <f t="shared" si="7"/>
        <v>1.4497619048024558E-2</v>
      </c>
      <c r="DQ12" s="79">
        <f t="shared" si="7"/>
        <v>1.4497619048024558E-2</v>
      </c>
      <c r="DR12" s="79">
        <f t="shared" si="7"/>
        <v>1.4497619048024558E-2</v>
      </c>
      <c r="DS12" s="79">
        <f t="shared" si="7"/>
        <v>1.4497619048024558E-2</v>
      </c>
      <c r="DT12" s="79">
        <f t="shared" si="7"/>
        <v>1.4497619048024558E-2</v>
      </c>
      <c r="DU12" s="79">
        <f t="shared" si="7"/>
        <v>1.4497619048024558E-2</v>
      </c>
      <c r="DV12" s="79">
        <f t="shared" si="7"/>
        <v>1.4497619048024558E-2</v>
      </c>
      <c r="DW12" s="79">
        <f t="shared" si="7"/>
        <v>1.4497619048024558E-2</v>
      </c>
      <c r="DX12" s="79">
        <f t="shared" si="7"/>
        <v>1.4497619048024558E-2</v>
      </c>
      <c r="DY12" s="79">
        <f t="shared" si="7"/>
        <v>1.4497619048024558E-2</v>
      </c>
      <c r="DZ12" s="79">
        <f t="shared" si="7"/>
        <v>1.4497619048024558E-2</v>
      </c>
      <c r="EA12" s="79">
        <f t="shared" si="7"/>
        <v>1.4497619048024558E-2</v>
      </c>
      <c r="EB12" s="79">
        <f t="shared" si="7"/>
        <v>1.4497619048024558E-2</v>
      </c>
      <c r="EC12" s="79">
        <f t="shared" si="7"/>
        <v>1.4497619048024558E-2</v>
      </c>
      <c r="ED12" s="79">
        <f t="shared" si="7"/>
        <v>1.4497619048024558E-2</v>
      </c>
      <c r="EE12" s="79">
        <f t="shared" si="7"/>
        <v>1.4497619048024558E-2</v>
      </c>
      <c r="EF12" s="79">
        <f t="shared" si="8"/>
        <v>1.4497619048024558E-2</v>
      </c>
      <c r="EG12" s="79">
        <f t="shared" si="8"/>
        <v>1.4497619048024558E-2</v>
      </c>
      <c r="EH12" s="79">
        <f t="shared" si="8"/>
        <v>1.4497619048024558E-2</v>
      </c>
      <c r="EI12" s="79">
        <f t="shared" si="8"/>
        <v>1.4497619048024558E-2</v>
      </c>
      <c r="EJ12" s="79">
        <f t="shared" si="8"/>
        <v>1.4497619048024558E-2</v>
      </c>
      <c r="EK12" s="79">
        <f t="shared" si="8"/>
        <v>1.4497619048024558E-2</v>
      </c>
      <c r="EL12" s="79">
        <f t="shared" si="8"/>
        <v>1.4497619048024558E-2</v>
      </c>
      <c r="EM12" s="79">
        <f t="shared" si="8"/>
        <v>1.4497619048024558E-2</v>
      </c>
      <c r="EN12" s="79">
        <f t="shared" si="8"/>
        <v>1.4497619048024558E-2</v>
      </c>
      <c r="EO12" s="79">
        <f t="shared" si="8"/>
        <v>1.4497619048024558E-2</v>
      </c>
      <c r="EP12" s="79">
        <f t="shared" si="8"/>
        <v>1.4497619048024558E-2</v>
      </c>
      <c r="EQ12" s="79">
        <f t="shared" si="8"/>
        <v>1.4497619048024558E-2</v>
      </c>
      <c r="ER12" s="79">
        <f t="shared" si="8"/>
        <v>1.4497619048024558E-2</v>
      </c>
      <c r="ES12" s="79">
        <f t="shared" si="8"/>
        <v>1.4497619048024558E-2</v>
      </c>
      <c r="ET12" s="79">
        <f t="shared" si="8"/>
        <v>1.4497619048024558E-2</v>
      </c>
      <c r="EY12" t="s">
        <v>32</v>
      </c>
      <c r="FA12" s="27">
        <v>1.61E-2</v>
      </c>
      <c r="FB12">
        <v>72</v>
      </c>
      <c r="FC12" s="27">
        <v>2.0500000000000001E-2</v>
      </c>
      <c r="FF12" s="6" t="s">
        <v>213</v>
      </c>
      <c r="FG12" s="696">
        <v>2.5000000000000001E-2</v>
      </c>
      <c r="FH12" s="696">
        <v>120</v>
      </c>
      <c r="FI12" s="696">
        <v>1.8000000000000002E-2</v>
      </c>
      <c r="FJ12" s="255">
        <v>1.6399999999999998E-2</v>
      </c>
      <c r="FK12" s="71">
        <f t="shared" ref="FK12:FK75" si="10">(FG12-FJ12)/42</f>
        <v>2.0476190476190485E-4</v>
      </c>
      <c r="FL12" t="e">
        <f>VLOOKUP(FF12,'SIMULADOR COM SALDO'!$BX$22:$CK$1000,13,FALSE)</f>
        <v>#N/A</v>
      </c>
    </row>
    <row r="13" spans="5:168" ht="18" customHeight="1" x14ac:dyDescent="0.25">
      <c r="E13" s="77"/>
      <c r="F13" s="97">
        <f t="shared" ref="F13:F52" si="11">IF(F12&lt;$J$6,F12+VLOOKUP($H$6,$FF:$FK,6,FALSE),$J$6)</f>
        <v>1.4595238095238095E-2</v>
      </c>
      <c r="G13" s="79">
        <f t="shared" si="9"/>
        <v>1.8497550099754675E-2</v>
      </c>
      <c r="H13" s="79">
        <f t="shared" si="9"/>
        <v>1.8492730987050746E-2</v>
      </c>
      <c r="I13" s="79">
        <f t="shared" si="9"/>
        <v>1.8485622241720796E-2</v>
      </c>
      <c r="J13" s="79">
        <f t="shared" si="9"/>
        <v>1.8476302281164217E-2</v>
      </c>
      <c r="K13" s="79">
        <f t="shared" si="9"/>
        <v>1.8464848311025978E-2</v>
      </c>
      <c r="L13" s="79">
        <f t="shared" si="9"/>
        <v>1.8451336280855195E-2</v>
      </c>
      <c r="M13" s="79">
        <f t="shared" si="9"/>
        <v>1.8435840844561336E-2</v>
      </c>
      <c r="N13" s="79">
        <f t="shared" si="9"/>
        <v>1.8418435325483998E-2</v>
      </c>
      <c r="O13" s="79">
        <f t="shared" si="9"/>
        <v>1.8399191685881958E-2</v>
      </c>
      <c r="P13" s="79">
        <f t="shared" si="9"/>
        <v>1.8378180500650838E-2</v>
      </c>
      <c r="Q13" s="79">
        <f t="shared" si="9"/>
        <v>1.8355470935071651E-2</v>
      </c>
      <c r="R13" s="79">
        <f t="shared" si="9"/>
        <v>1.8331130726393211E-2</v>
      </c>
      <c r="S13" s="79">
        <f t="shared" si="9"/>
        <v>1.830522616905414E-2</v>
      </c>
      <c r="T13" s="79">
        <f t="shared" si="9"/>
        <v>1.8277822103348738E-2</v>
      </c>
      <c r="U13" s="79">
        <f t="shared" si="9"/>
        <v>1.8248981907343084E-2</v>
      </c>
      <c r="V13" s="79">
        <f t="shared" si="9"/>
        <v>1.8218767491852531E-2</v>
      </c>
      <c r="W13" s="79">
        <f t="shared" si="6"/>
        <v>1.8187239298293009E-2</v>
      </c>
      <c r="X13" s="79">
        <f t="shared" si="6"/>
        <v>1.8154456299225647E-2</v>
      </c>
      <c r="Y13" s="79">
        <f t="shared" si="6"/>
        <v>1.8120476001412603E-2</v>
      </c>
      <c r="Z13" s="79">
        <f t="shared" si="6"/>
        <v>1.8085354451215032E-2</v>
      </c>
      <c r="AA13" s="79">
        <f t="shared" si="6"/>
        <v>1.8049146242162875E-2</v>
      </c>
      <c r="AB13" s="79">
        <f t="shared" si="6"/>
        <v>1.8011904524535174E-2</v>
      </c>
      <c r="AC13" s="79">
        <f t="shared" si="6"/>
        <v>1.7973681016793117E-2</v>
      </c>
      <c r="AD13" s="79">
        <f t="shared" si="6"/>
        <v>1.7934526018715792E-2</v>
      </c>
      <c r="AE13" s="79">
        <f t="shared" si="6"/>
        <v>1.78944884260945E-2</v>
      </c>
      <c r="AF13" s="79">
        <f t="shared" si="6"/>
        <v>1.7853615746845377E-2</v>
      </c>
      <c r="AG13" s="79">
        <f t="shared" si="6"/>
        <v>1.7811954118410758E-2</v>
      </c>
      <c r="AH13" s="79">
        <f t="shared" si="6"/>
        <v>1.776954832631986E-2</v>
      </c>
      <c r="AI13" s="79">
        <f t="shared" si="6"/>
        <v>1.7726441823791132E-2</v>
      </c>
      <c r="AJ13" s="79">
        <f t="shared" si="6"/>
        <v>1.7682676752262122E-2</v>
      </c>
      <c r="AK13" s="79">
        <f t="shared" si="6"/>
        <v>1.763829396273724E-2</v>
      </c>
      <c r="AL13" s="79">
        <f t="shared" si="6"/>
        <v>1.7593333037854271E-2</v>
      </c>
      <c r="AM13" s="79">
        <f t="shared" si="6"/>
        <v>1.7547832314571177E-2</v>
      </c>
      <c r="AN13" s="79">
        <f t="shared" si="6"/>
        <v>1.7501828907383263E-2</v>
      </c>
      <c r="AO13" s="79">
        <f t="shared" si="6"/>
        <v>1.7455358731986802E-2</v>
      </c>
      <c r="AP13" s="79">
        <f t="shared" si="6"/>
        <v>1.7408456529307972E-2</v>
      </c>
      <c r="AQ13" s="79">
        <f t="shared" si="6"/>
        <v>1.7361155889823544E-2</v>
      </c>
      <c r="AR13" s="79">
        <f t="shared" si="6"/>
        <v>1.7313489278103413E-2</v>
      </c>
      <c r="AS13" s="79">
        <f t="shared" si="6"/>
        <v>1.7265488057511096E-2</v>
      </c>
      <c r="AT13" s="79">
        <f t="shared" si="6"/>
        <v>1.7217182515000182E-2</v>
      </c>
      <c r="AU13" s="79">
        <f t="shared" si="6"/>
        <v>1.7168601885953705E-2</v>
      </c>
      <c r="AV13" s="79">
        <f t="shared" si="6"/>
        <v>1.7119774379012995E-2</v>
      </c>
      <c r="AW13" s="79">
        <f t="shared" si="6"/>
        <v>1.7070727200849206E-2</v>
      </c>
      <c r="AX13" s="79">
        <f t="shared" si="6"/>
        <v>1.7021486580834137E-2</v>
      </c>
      <c r="AY13" s="79">
        <f t="shared" si="6"/>
        <v>1.6972077795570632E-2</v>
      </c>
      <c r="AZ13" s="79">
        <f t="shared" si="6"/>
        <v>1.6922525193245001E-2</v>
      </c>
      <c r="BA13" s="79">
        <f t="shared" si="6"/>
        <v>1.6872852217770677E-2</v>
      </c>
      <c r="BB13" s="79">
        <f t="shared" si="6"/>
        <v>1.682308143268909E-2</v>
      </c>
      <c r="BC13" s="79">
        <f t="shared" si="6"/>
        <v>1.6773234544805723E-2</v>
      </c>
      <c r="BD13" s="79">
        <f t="shared" si="6"/>
        <v>1.6723332427531899E-2</v>
      </c>
      <c r="BE13" s="79">
        <f t="shared" si="6"/>
        <v>1.6673395143915262E-2</v>
      </c>
      <c r="BF13" s="79">
        <f t="shared" si="6"/>
        <v>1.6623441969334754E-2</v>
      </c>
      <c r="BG13" s="79">
        <f t="shared" si="6"/>
        <v>1.6573491413848517E-2</v>
      </c>
      <c r="BH13" s="79">
        <f t="shared" si="6"/>
        <v>1.6523561244174013E-2</v>
      </c>
      <c r="BI13" s="79">
        <f t="shared" si="6"/>
        <v>1.6473668505292628E-2</v>
      </c>
      <c r="BJ13" s="79">
        <f t="shared" si="6"/>
        <v>1.6423829541664336E-2</v>
      </c>
      <c r="BK13" s="79">
        <f t="shared" si="6"/>
        <v>1.6374060018044683E-2</v>
      </c>
      <c r="BL13" s="79">
        <f t="shared" si="6"/>
        <v>1.6324374939895359E-2</v>
      </c>
      <c r="BM13" s="79">
        <f t="shared" si="6"/>
        <v>1.6274788673384392E-2</v>
      </c>
      <c r="BN13" s="79">
        <f t="shared" si="6"/>
        <v>1.622531496496675E-2</v>
      </c>
      <c r="BO13" s="79">
        <f t="shared" si="6"/>
        <v>1.6175966960548276E-2</v>
      </c>
      <c r="BP13" s="79">
        <f t="shared" si="6"/>
        <v>1.612675722422327E-2</v>
      </c>
      <c r="BQ13" s="79">
        <f t="shared" si="6"/>
        <v>1.6077697756591292E-2</v>
      </c>
      <c r="BR13" s="79">
        <f t="shared" si="6"/>
        <v>1.6028800012647216E-2</v>
      </c>
      <c r="BS13" s="79">
        <f t="shared" si="6"/>
        <v>1.5980074919249902E-2</v>
      </c>
      <c r="BT13" s="79">
        <f t="shared" si="7"/>
        <v>1.5931532892166329E-2</v>
      </c>
      <c r="BU13" s="79">
        <f t="shared" si="7"/>
        <v>1.5883183852698497E-2</v>
      </c>
      <c r="BV13" s="79">
        <f t="shared" si="7"/>
        <v>1.5835037243891681E-2</v>
      </c>
      <c r="BW13" s="79">
        <f t="shared" si="7"/>
        <v>1.5787102046328945E-2</v>
      </c>
      <c r="BX13" s="79">
        <f t="shared" si="7"/>
        <v>1.5739386793517319E-2</v>
      </c>
      <c r="BY13" s="79">
        <f t="shared" si="7"/>
        <v>1.5691899586869101E-2</v>
      </c>
      <c r="BZ13" s="79">
        <f t="shared" si="7"/>
        <v>1.5644648110281708E-2</v>
      </c>
      <c r="CA13" s="79">
        <f t="shared" si="7"/>
        <v>1.5597639644326085E-2</v>
      </c>
      <c r="CB13" s="79">
        <f t="shared" si="7"/>
        <v>1.5550881080043289E-2</v>
      </c>
      <c r="CC13" s="79">
        <f t="shared" si="7"/>
        <v>1.5504378932360695E-2</v>
      </c>
      <c r="CD13" s="79">
        <f t="shared" si="7"/>
        <v>1.5458139353131601E-2</v>
      </c>
      <c r="CE13" s="79">
        <f t="shared" si="7"/>
        <v>1.541216814380396E-2</v>
      </c>
      <c r="CF13" s="79">
        <f t="shared" si="7"/>
        <v>1.5366470767728214E-2</v>
      </c>
      <c r="CG13" s="79">
        <f t="shared" si="7"/>
        <v>1.5321052362107367E-2</v>
      </c>
      <c r="CH13" s="79">
        <f t="shared" si="7"/>
        <v>1.5275917749598559E-2</v>
      </c>
      <c r="CI13" s="79">
        <f t="shared" si="7"/>
        <v>1.5231071449574288E-2</v>
      </c>
      <c r="CJ13" s="79">
        <f t="shared" si="7"/>
        <v>1.5186517689046186E-2</v>
      </c>
      <c r="CK13" s="79">
        <f t="shared" si="7"/>
        <v>1.5142260413264665E-2</v>
      </c>
      <c r="CL13" s="79">
        <f t="shared" si="7"/>
        <v>1.5098303295995709E-2</v>
      </c>
      <c r="CM13" s="79">
        <f t="shared" si="7"/>
        <v>1.5054649749487458E-2</v>
      </c>
      <c r="CN13" s="79">
        <f t="shared" si="7"/>
        <v>1.5011302934129989E-2</v>
      </c>
      <c r="CO13" s="79">
        <f t="shared" si="7"/>
        <v>1.4968265767816905E-2</v>
      </c>
      <c r="CP13" s="79">
        <f t="shared" si="7"/>
        <v>1.4925540935017937E-2</v>
      </c>
      <c r="CQ13" s="79">
        <f t="shared" si="7"/>
        <v>1.4883130895565456E-2</v>
      </c>
      <c r="CR13" s="79">
        <f t="shared" si="7"/>
        <v>1.4841037893167012E-2</v>
      </c>
      <c r="CS13" s="79">
        <f t="shared" si="7"/>
        <v>1.4799263963647304E-2</v>
      </c>
      <c r="CT13" s="79">
        <f t="shared" si="7"/>
        <v>1.475781094292823E-2</v>
      </c>
      <c r="CU13" s="79">
        <f t="shared" si="7"/>
        <v>1.4716680474753717E-2</v>
      </c>
      <c r="CV13" s="79">
        <f t="shared" si="7"/>
        <v>1.4675874018166836E-2</v>
      </c>
      <c r="CW13" s="79">
        <f t="shared" si="7"/>
        <v>1.463539285474311E-2</v>
      </c>
      <c r="CX13" s="79">
        <f t="shared" si="7"/>
        <v>1.4595238095591996E-2</v>
      </c>
      <c r="CY13" s="79">
        <f t="shared" si="7"/>
        <v>1.4595238095591996E-2</v>
      </c>
      <c r="CZ13" s="79">
        <f t="shared" si="7"/>
        <v>1.4595238095591996E-2</v>
      </c>
      <c r="DA13" s="79">
        <f t="shared" si="7"/>
        <v>1.4595238095591996E-2</v>
      </c>
      <c r="DB13" s="79">
        <f t="shared" si="7"/>
        <v>1.4595238095591996E-2</v>
      </c>
      <c r="DC13" s="79">
        <f t="shared" si="7"/>
        <v>1.4595238095591996E-2</v>
      </c>
      <c r="DD13" s="79">
        <f t="shared" si="7"/>
        <v>1.4595238095591996E-2</v>
      </c>
      <c r="DE13" s="79">
        <f t="shared" si="7"/>
        <v>1.4595238095591996E-2</v>
      </c>
      <c r="DF13" s="79">
        <f t="shared" si="7"/>
        <v>1.4595238095591996E-2</v>
      </c>
      <c r="DG13" s="79">
        <f t="shared" si="7"/>
        <v>1.4595238095591996E-2</v>
      </c>
      <c r="DH13" s="79">
        <f t="shared" si="7"/>
        <v>1.4595238095591996E-2</v>
      </c>
      <c r="DI13" s="79">
        <f t="shared" si="7"/>
        <v>1.4595238095591996E-2</v>
      </c>
      <c r="DJ13" s="79">
        <f t="shared" si="7"/>
        <v>1.4595238095591996E-2</v>
      </c>
      <c r="DK13" s="79">
        <f t="shared" si="7"/>
        <v>1.4595238095591996E-2</v>
      </c>
      <c r="DL13" s="79">
        <f t="shared" si="7"/>
        <v>1.4595238095591996E-2</v>
      </c>
      <c r="DM13" s="79">
        <f t="shared" si="7"/>
        <v>1.4595238095591996E-2</v>
      </c>
      <c r="DN13" s="79">
        <f t="shared" si="7"/>
        <v>1.4595238095591996E-2</v>
      </c>
      <c r="DO13" s="79">
        <f t="shared" si="7"/>
        <v>1.4595238095591996E-2</v>
      </c>
      <c r="DP13" s="79">
        <f t="shared" si="7"/>
        <v>1.4595238095591996E-2</v>
      </c>
      <c r="DQ13" s="79">
        <f t="shared" si="7"/>
        <v>1.4595238095591996E-2</v>
      </c>
      <c r="DR13" s="79">
        <f t="shared" si="7"/>
        <v>1.4595238095591996E-2</v>
      </c>
      <c r="DS13" s="79">
        <f t="shared" si="7"/>
        <v>1.4595238095591996E-2</v>
      </c>
      <c r="DT13" s="79">
        <f t="shared" si="7"/>
        <v>1.4595238095591996E-2</v>
      </c>
      <c r="DU13" s="79">
        <f t="shared" si="7"/>
        <v>1.4595238095591996E-2</v>
      </c>
      <c r="DV13" s="79">
        <f t="shared" si="7"/>
        <v>1.4595238095591996E-2</v>
      </c>
      <c r="DW13" s="79">
        <f t="shared" si="7"/>
        <v>1.4595238095591996E-2</v>
      </c>
      <c r="DX13" s="79">
        <f t="shared" si="7"/>
        <v>1.4595238095591996E-2</v>
      </c>
      <c r="DY13" s="79">
        <f t="shared" si="7"/>
        <v>1.4595238095591996E-2</v>
      </c>
      <c r="DZ13" s="79">
        <f t="shared" si="7"/>
        <v>1.4595238095591996E-2</v>
      </c>
      <c r="EA13" s="79">
        <f t="shared" si="7"/>
        <v>1.4595238095591996E-2</v>
      </c>
      <c r="EB13" s="79">
        <f t="shared" si="7"/>
        <v>1.4595238095591996E-2</v>
      </c>
      <c r="EC13" s="79">
        <f t="shared" si="7"/>
        <v>1.4595238095591996E-2</v>
      </c>
      <c r="ED13" s="79">
        <f t="shared" si="7"/>
        <v>1.4595238095591996E-2</v>
      </c>
      <c r="EE13" s="79">
        <f t="shared" si="7"/>
        <v>1.4595238095591996E-2</v>
      </c>
      <c r="EF13" s="79">
        <f t="shared" si="8"/>
        <v>1.4595238095591996E-2</v>
      </c>
      <c r="EG13" s="79">
        <f t="shared" si="8"/>
        <v>1.4595238095591996E-2</v>
      </c>
      <c r="EH13" s="79">
        <f t="shared" si="8"/>
        <v>1.4595238095591996E-2</v>
      </c>
      <c r="EI13" s="79">
        <f t="shared" si="8"/>
        <v>1.4595238095591996E-2</v>
      </c>
      <c r="EJ13" s="79">
        <f t="shared" si="8"/>
        <v>1.4595238095591996E-2</v>
      </c>
      <c r="EK13" s="79">
        <f t="shared" si="8"/>
        <v>1.4595238095591996E-2</v>
      </c>
      <c r="EL13" s="79">
        <f t="shared" si="8"/>
        <v>1.4595238095591996E-2</v>
      </c>
      <c r="EM13" s="79">
        <f t="shared" si="8"/>
        <v>1.4595238095591996E-2</v>
      </c>
      <c r="EN13" s="79">
        <f t="shared" si="8"/>
        <v>1.4595238095591996E-2</v>
      </c>
      <c r="EO13" s="79">
        <f t="shared" si="8"/>
        <v>1.4595238095591996E-2</v>
      </c>
      <c r="EP13" s="79">
        <f t="shared" si="8"/>
        <v>1.4595238095591996E-2</v>
      </c>
      <c r="EQ13" s="79">
        <f t="shared" si="8"/>
        <v>1.4595238095591996E-2</v>
      </c>
      <c r="ER13" s="79">
        <f t="shared" si="8"/>
        <v>1.4595238095591996E-2</v>
      </c>
      <c r="ES13" s="79">
        <f t="shared" si="8"/>
        <v>1.4595238095591996E-2</v>
      </c>
      <c r="ET13" s="79">
        <f t="shared" si="8"/>
        <v>1.4595238095591996E-2</v>
      </c>
      <c r="EY13" t="s">
        <v>72</v>
      </c>
      <c r="FA13" s="27">
        <v>1.6299999999999999E-2</v>
      </c>
      <c r="FB13">
        <v>72</v>
      </c>
      <c r="FC13" s="27">
        <v>1.95E-2</v>
      </c>
      <c r="FF13" s="6" t="s">
        <v>2994</v>
      </c>
      <c r="FG13" s="696">
        <v>2.5000000000000001E-2</v>
      </c>
      <c r="FH13" s="696">
        <v>120</v>
      </c>
      <c r="FI13" s="696">
        <v>1.6E-2</v>
      </c>
      <c r="FJ13" s="255">
        <v>1.3000000000000001E-2</v>
      </c>
      <c r="FK13" s="71">
        <f t="shared" si="10"/>
        <v>2.8571428571428574E-4</v>
      </c>
      <c r="FL13" t="e">
        <f>VLOOKUP(FF13,'SIMULADOR COM SALDO'!$BX$22:$CK$1000,13,FALSE)</f>
        <v>#N/A</v>
      </c>
    </row>
    <row r="14" spans="5:168" ht="18" customHeight="1" x14ac:dyDescent="0.25">
      <c r="E14" s="77"/>
      <c r="F14" s="97">
        <f t="shared" si="11"/>
        <v>1.4692857142857143E-2</v>
      </c>
      <c r="G14" s="79">
        <f t="shared" si="9"/>
        <v>1.8497611573100394E-2</v>
      </c>
      <c r="H14" s="79">
        <f t="shared" si="6"/>
        <v>1.8492913585735325E-2</v>
      </c>
      <c r="I14" s="79">
        <f t="shared" si="6"/>
        <v>1.8485983792501041E-2</v>
      </c>
      <c r="J14" s="79">
        <f t="shared" si="6"/>
        <v>1.847689878556695E-2</v>
      </c>
      <c r="K14" s="79">
        <f t="shared" si="6"/>
        <v>1.8465733949007076E-2</v>
      </c>
      <c r="L14" s="79">
        <f t="shared" si="6"/>
        <v>1.8452563417879111E-2</v>
      </c>
      <c r="M14" s="79">
        <f t="shared" si="6"/>
        <v>1.8437460041871266E-2</v>
      </c>
      <c r="N14" s="79">
        <f t="shared" si="6"/>
        <v>1.8420495353334763E-2</v>
      </c>
      <c r="O14" s="79">
        <f t="shared" si="6"/>
        <v>1.840173953951699E-2</v>
      </c>
      <c r="P14" s="79">
        <f t="shared" si="6"/>
        <v>1.8381261418805916E-2</v>
      </c>
      <c r="Q14" s="79">
        <f t="shared" si="6"/>
        <v>1.8359128420795148E-2</v>
      </c>
      <c r="R14" s="79">
        <f t="shared" si="6"/>
        <v>1.8335406569983045E-2</v>
      </c>
      <c r="S14" s="79">
        <f t="shared" si="6"/>
        <v>1.8310160472912458E-2</v>
      </c>
      <c r="T14" s="79">
        <f t="shared" si="6"/>
        <v>1.8283453308567833E-2</v>
      </c>
      <c r="U14" s="79">
        <f t="shared" si="6"/>
        <v>1.8255346821842131E-2</v>
      </c>
      <c r="V14" s="79">
        <f t="shared" si="6"/>
        <v>1.822590131989121E-2</v>
      </c>
      <c r="W14" s="79">
        <f t="shared" si="6"/>
        <v>1.8195175671199652E-2</v>
      </c>
      <c r="X14" s="79">
        <f t="shared" si="6"/>
        <v>1.8163227307180011E-2</v>
      </c>
      <c r="Y14" s="79">
        <f t="shared" si="6"/>
        <v>1.8130112226138771E-2</v>
      </c>
      <c r="Z14" s="79">
        <f t="shared" si="6"/>
        <v>1.8095884999440988E-2</v>
      </c>
      <c r="AA14" s="79">
        <f t="shared" si="6"/>
        <v>1.8060598779716545E-2</v>
      </c>
      <c r="AB14" s="79">
        <f t="shared" si="6"/>
        <v>1.8024305310950811E-2</v>
      </c>
      <c r="AC14" s="79">
        <f t="shared" si="6"/>
        <v>1.7987054940313434E-2</v>
      </c>
      <c r="AD14" s="79">
        <f t="shared" si="6"/>
        <v>1.7948896631578715E-2</v>
      </c>
      <c r="AE14" s="79">
        <f t="shared" si="6"/>
        <v>1.7909877980004197E-2</v>
      </c>
      <c r="AF14" s="79">
        <f t="shared" si="6"/>
        <v>1.7870045228533589E-2</v>
      </c>
      <c r="AG14" s="79">
        <f t="shared" si="6"/>
        <v>1.7829443285198573E-2</v>
      </c>
      <c r="AH14" s="79">
        <f t="shared" si="6"/>
        <v>1.7788115741602269E-2</v>
      </c>
      <c r="AI14" s="79">
        <f t="shared" si="6"/>
        <v>1.7746104892368029E-2</v>
      </c>
      <c r="AJ14" s="79">
        <f t="shared" si="6"/>
        <v>1.7703451755447346E-2</v>
      </c>
      <c r="AK14" s="79">
        <f t="shared" si="6"/>
        <v>1.7660196093185216E-2</v>
      </c>
      <c r="AL14" s="79">
        <f t="shared" si="6"/>
        <v>1.761637643404558E-2</v>
      </c>
      <c r="AM14" s="79">
        <f t="shared" si="6"/>
        <v>1.7572030094907817E-2</v>
      </c>
      <c r="AN14" s="79">
        <f t="shared" si="6"/>
        <v>1.7527193203845368E-2</v>
      </c>
      <c r="AO14" s="79">
        <f t="shared" si="6"/>
        <v>1.7481900723311853E-2</v>
      </c>
      <c r="AP14" s="79">
        <f t="shared" si="6"/>
        <v>1.7436186473652963E-2</v>
      </c>
      <c r="AQ14" s="79">
        <f t="shared" si="6"/>
        <v>1.7390083156880995E-2</v>
      </c>
      <c r="AR14" s="79">
        <f t="shared" si="6"/>
        <v>1.7343622380639346E-2</v>
      </c>
      <c r="AS14" s="79">
        <f t="shared" si="6"/>
        <v>1.729683468230311E-2</v>
      </c>
      <c r="AT14" s="79">
        <f t="shared" si="6"/>
        <v>1.7249749553152963E-2</v>
      </c>
      <c r="AU14" s="79">
        <f t="shared" si="6"/>
        <v>1.7202395462574918E-2</v>
      </c>
      <c r="AV14" s="79">
        <f t="shared" si="6"/>
        <v>1.7154799882234523E-2</v>
      </c>
      <c r="AW14" s="79">
        <f t="shared" si="6"/>
        <v>1.7106989310181713E-2</v>
      </c>
      <c r="AX14" s="79">
        <f t="shared" si="6"/>
        <v>1.705898929484689E-2</v>
      </c>
      <c r="AY14" s="79">
        <f t="shared" si="6"/>
        <v>1.7010824458888209E-2</v>
      </c>
      <c r="AZ14" s="79">
        <f t="shared" si="6"/>
        <v>1.6962518522857933E-2</v>
      </c>
      <c r="BA14" s="79">
        <f t="shared" si="6"/>
        <v>1.6914094328655781E-2</v>
      </c>
      <c r="BB14" s="79">
        <f t="shared" si="6"/>
        <v>1.6865573862742091E-2</v>
      </c>
      <c r="BC14" s="79">
        <f t="shared" si="6"/>
        <v>1.6816978279083936E-2</v>
      </c>
      <c r="BD14" s="79">
        <f t="shared" si="6"/>
        <v>1.6768327921812026E-2</v>
      </c>
      <c r="BE14" s="79">
        <f t="shared" si="6"/>
        <v>1.6719642347569664E-2</v>
      </c>
      <c r="BF14" s="79">
        <f t="shared" si="6"/>
        <v>1.6670940347533084E-2</v>
      </c>
      <c r="BG14" s="79">
        <f t="shared" si="6"/>
        <v>1.6622239969088636E-2</v>
      </c>
      <c r="BH14" s="79">
        <f t="shared" si="6"/>
        <v>1.657355853715373E-2</v>
      </c>
      <c r="BI14" s="79">
        <f t="shared" si="6"/>
        <v>1.6524912675128064E-2</v>
      </c>
      <c r="BJ14" s="79">
        <f t="shared" si="6"/>
        <v>1.6476318325465249E-2</v>
      </c>
      <c r="BK14" s="79">
        <f t="shared" si="6"/>
        <v>1.6427790769858005E-2</v>
      </c>
      <c r="BL14" s="79">
        <f t="shared" si="6"/>
        <v>1.6379344649027402E-2</v>
      </c>
      <c r="BM14" s="79">
        <f t="shared" si="6"/>
        <v>1.6330993982110815E-2</v>
      </c>
      <c r="BN14" s="79">
        <f t="shared" si="6"/>
        <v>1.628275218564763E-2</v>
      </c>
      <c r="BO14" s="79">
        <f t="shared" si="6"/>
        <v>1.6234632092154318E-2</v>
      </c>
      <c r="BP14" s="79">
        <f t="shared" si="6"/>
        <v>1.6186645968290437E-2</v>
      </c>
      <c r="BQ14" s="79">
        <f t="shared" si="6"/>
        <v>1.6138805532614642E-2</v>
      </c>
      <c r="BR14" s="79">
        <f t="shared" si="6"/>
        <v>1.6091121972927443E-2</v>
      </c>
      <c r="BS14" s="79">
        <f t="shared" si="6"/>
        <v>1.6043605963206049E-2</v>
      </c>
      <c r="BT14" s="79">
        <f t="shared" si="7"/>
        <v>1.5996267680128216E-2</v>
      </c>
      <c r="BU14" s="79">
        <f t="shared" si="7"/>
        <v>1.5949116819191551E-2</v>
      </c>
      <c r="BV14" s="79">
        <f t="shared" si="7"/>
        <v>1.5902162610427772E-2</v>
      </c>
      <c r="BW14" s="79">
        <f t="shared" si="7"/>
        <v>1.5855413833718138E-2</v>
      </c>
      <c r="BX14" s="79">
        <f t="shared" si="7"/>
        <v>1.5808878833711508E-2</v>
      </c>
      <c r="BY14" s="79">
        <f t="shared" si="7"/>
        <v>1.5762565534352371E-2</v>
      </c>
      <c r="BZ14" s="79">
        <f t="shared" si="7"/>
        <v>1.5716481453020341E-2</v>
      </c>
      <c r="CA14" s="79">
        <f t="shared" si="7"/>
        <v>1.5670633714291136E-2</v>
      </c>
      <c r="CB14" s="79">
        <f t="shared" si="7"/>
        <v>1.562502906331855E-2</v>
      </c>
      <c r="CC14" s="79">
        <f t="shared" si="7"/>
        <v>1.557967387884905E-2</v>
      </c>
      <c r="CD14" s="79">
        <f t="shared" si="7"/>
        <v>1.5534574185871331E-2</v>
      </c>
      <c r="CE14" s="79">
        <f t="shared" si="7"/>
        <v>1.5489735667909323E-2</v>
      </c>
      <c r="CF14" s="79">
        <f t="shared" si="7"/>
        <v>1.5445163678963909E-2</v>
      </c>
      <c r="CG14" s="79">
        <f t="shared" si="7"/>
        <v>1.5400863255110539E-2</v>
      </c>
      <c r="CH14" s="79">
        <f t="shared" si="7"/>
        <v>1.5356839125760127E-2</v>
      </c>
      <c r="CI14" s="79">
        <f t="shared" si="7"/>
        <v>1.5313095724588428E-2</v>
      </c>
      <c r="CJ14" s="79">
        <f t="shared" si="7"/>
        <v>1.5269637200143141E-2</v>
      </c>
      <c r="CK14" s="79">
        <f t="shared" si="7"/>
        <v>1.5226467426133703E-2</v>
      </c>
      <c r="CL14" s="79">
        <f t="shared" si="7"/>
        <v>1.5183590011413142E-2</v>
      </c>
      <c r="CM14" s="79">
        <f t="shared" si="7"/>
        <v>1.5141008309654385E-2</v>
      </c>
      <c r="CN14" s="79">
        <f t="shared" si="7"/>
        <v>1.5098725428736271E-2</v>
      </c>
      <c r="CO14" s="79">
        <f t="shared" si="7"/>
        <v>1.505674423983672E-2</v>
      </c>
      <c r="CP14" s="79">
        <f t="shared" si="7"/>
        <v>1.5015067386247648E-2</v>
      </c>
      <c r="CQ14" s="79">
        <f t="shared" si="7"/>
        <v>1.4973697291914112E-2</v>
      </c>
      <c r="CR14" s="79">
        <f t="shared" si="7"/>
        <v>1.4932636169707702E-2</v>
      </c>
      <c r="CS14" s="79">
        <f t="shared" si="7"/>
        <v>1.4891886029437622E-2</v>
      </c>
      <c r="CT14" s="79">
        <f t="shared" si="7"/>
        <v>1.4851448685609574E-2</v>
      </c>
      <c r="CU14" s="79">
        <f t="shared" si="7"/>
        <v>1.4811325764936926E-2</v>
      </c>
      <c r="CV14" s="79">
        <f t="shared" si="7"/>
        <v>1.4771518713612295E-2</v>
      </c>
      <c r="CW14" s="79">
        <f t="shared" si="7"/>
        <v>1.4732028804343949E-2</v>
      </c>
      <c r="CX14" s="79">
        <f t="shared" si="7"/>
        <v>1.4692857143165754E-2</v>
      </c>
      <c r="CY14" s="79">
        <f t="shared" si="7"/>
        <v>1.4692857143165754E-2</v>
      </c>
      <c r="CZ14" s="79">
        <f t="shared" si="7"/>
        <v>1.4692857143165754E-2</v>
      </c>
      <c r="DA14" s="79">
        <f t="shared" si="7"/>
        <v>1.4692857143165754E-2</v>
      </c>
      <c r="DB14" s="79">
        <f t="shared" si="7"/>
        <v>1.4692857143165754E-2</v>
      </c>
      <c r="DC14" s="79">
        <f t="shared" si="7"/>
        <v>1.4692857143165754E-2</v>
      </c>
      <c r="DD14" s="79">
        <f t="shared" si="7"/>
        <v>1.4692857143165754E-2</v>
      </c>
      <c r="DE14" s="79">
        <f t="shared" si="7"/>
        <v>1.4692857143165754E-2</v>
      </c>
      <c r="DF14" s="79">
        <f t="shared" si="7"/>
        <v>1.4692857143165754E-2</v>
      </c>
      <c r="DG14" s="79">
        <f t="shared" si="7"/>
        <v>1.4692857143165754E-2</v>
      </c>
      <c r="DH14" s="79">
        <f t="shared" si="7"/>
        <v>1.4692857143165754E-2</v>
      </c>
      <c r="DI14" s="79">
        <f t="shared" si="7"/>
        <v>1.4692857143165754E-2</v>
      </c>
      <c r="DJ14" s="79">
        <f t="shared" si="7"/>
        <v>1.4692857143165754E-2</v>
      </c>
      <c r="DK14" s="79">
        <f t="shared" si="7"/>
        <v>1.4692857143165754E-2</v>
      </c>
      <c r="DL14" s="79">
        <f t="shared" si="7"/>
        <v>1.4692857143165754E-2</v>
      </c>
      <c r="DM14" s="79">
        <f t="shared" si="7"/>
        <v>1.4692857143165754E-2</v>
      </c>
      <c r="DN14" s="79">
        <f t="shared" si="7"/>
        <v>1.4692857143165754E-2</v>
      </c>
      <c r="DO14" s="79">
        <f t="shared" si="7"/>
        <v>1.4692857143165754E-2</v>
      </c>
      <c r="DP14" s="79">
        <f t="shared" si="7"/>
        <v>1.4692857143165754E-2</v>
      </c>
      <c r="DQ14" s="79">
        <f t="shared" si="7"/>
        <v>1.4692857143165754E-2</v>
      </c>
      <c r="DR14" s="79">
        <f t="shared" si="7"/>
        <v>1.4692857143165754E-2</v>
      </c>
      <c r="DS14" s="79">
        <f t="shared" si="7"/>
        <v>1.4692857143165754E-2</v>
      </c>
      <c r="DT14" s="79">
        <f t="shared" si="7"/>
        <v>1.4692857143165754E-2</v>
      </c>
      <c r="DU14" s="79">
        <f t="shared" si="7"/>
        <v>1.4692857143165754E-2</v>
      </c>
      <c r="DV14" s="79">
        <f t="shared" si="7"/>
        <v>1.4692857143165754E-2</v>
      </c>
      <c r="DW14" s="79">
        <f t="shared" si="7"/>
        <v>1.4692857143165754E-2</v>
      </c>
      <c r="DX14" s="79">
        <f t="shared" si="7"/>
        <v>1.4692857143165754E-2</v>
      </c>
      <c r="DY14" s="79">
        <f t="shared" si="7"/>
        <v>1.4692857143165754E-2</v>
      </c>
      <c r="DZ14" s="79">
        <f t="shared" si="7"/>
        <v>1.4692857143165754E-2</v>
      </c>
      <c r="EA14" s="79">
        <f t="shared" si="7"/>
        <v>1.4692857143165754E-2</v>
      </c>
      <c r="EB14" s="79">
        <f t="shared" si="7"/>
        <v>1.4692857143165754E-2</v>
      </c>
      <c r="EC14" s="79">
        <f t="shared" si="7"/>
        <v>1.4692857143165754E-2</v>
      </c>
      <c r="ED14" s="79">
        <f t="shared" si="7"/>
        <v>1.4692857143165754E-2</v>
      </c>
      <c r="EE14" s="79">
        <f t="shared" ref="EE14:ET29" si="12">IF(EE$9&lt;=$K$6,RATE($K$6,1,EE60,0),"")</f>
        <v>1.4692857143165754E-2</v>
      </c>
      <c r="EF14" s="79">
        <f t="shared" si="12"/>
        <v>1.4692857143165754E-2</v>
      </c>
      <c r="EG14" s="79">
        <f t="shared" si="12"/>
        <v>1.4692857143165754E-2</v>
      </c>
      <c r="EH14" s="79">
        <f t="shared" si="12"/>
        <v>1.4692857143165754E-2</v>
      </c>
      <c r="EI14" s="79">
        <f t="shared" si="12"/>
        <v>1.4692857143165754E-2</v>
      </c>
      <c r="EJ14" s="79">
        <f t="shared" si="12"/>
        <v>1.4692857143165754E-2</v>
      </c>
      <c r="EK14" s="79">
        <f t="shared" si="12"/>
        <v>1.4692857143165754E-2</v>
      </c>
      <c r="EL14" s="79">
        <f t="shared" si="12"/>
        <v>1.4692857143165754E-2</v>
      </c>
      <c r="EM14" s="79">
        <f t="shared" si="12"/>
        <v>1.4692857143165754E-2</v>
      </c>
      <c r="EN14" s="79">
        <f t="shared" si="12"/>
        <v>1.4692857143165754E-2</v>
      </c>
      <c r="EO14" s="79">
        <f t="shared" si="12"/>
        <v>1.4692857143165754E-2</v>
      </c>
      <c r="EP14" s="79">
        <f t="shared" si="12"/>
        <v>1.4692857143165754E-2</v>
      </c>
      <c r="EQ14" s="79">
        <f t="shared" si="12"/>
        <v>1.4692857143165754E-2</v>
      </c>
      <c r="ER14" s="79">
        <f t="shared" si="12"/>
        <v>1.4692857143165754E-2</v>
      </c>
      <c r="ES14" s="79">
        <f t="shared" si="12"/>
        <v>1.4692857143165754E-2</v>
      </c>
      <c r="ET14" s="79">
        <f t="shared" si="12"/>
        <v>1.4692857143165754E-2</v>
      </c>
      <c r="EY14" t="s">
        <v>76</v>
      </c>
      <c r="FA14" s="4">
        <v>1.6500000000000001E-2</v>
      </c>
      <c r="FB14">
        <v>84</v>
      </c>
      <c r="FC14" s="27">
        <v>1.9699999999999999E-2</v>
      </c>
      <c r="FF14" s="6" t="s">
        <v>941</v>
      </c>
      <c r="FG14" s="696">
        <v>2.5000000000000001E-2</v>
      </c>
      <c r="FH14" s="696">
        <v>120</v>
      </c>
      <c r="FI14" s="696">
        <v>2.0099999999999996E-2</v>
      </c>
      <c r="FJ14" s="255">
        <v>1.8000000000000002E-2</v>
      </c>
      <c r="FK14" s="71">
        <f t="shared" si="10"/>
        <v>1.6666666666666666E-4</v>
      </c>
      <c r="FL14" t="e">
        <f>VLOOKUP(FF14,'SIMULADOR COM SALDO'!$BX$22:$CK$1000,13,FALSE)</f>
        <v>#N/A</v>
      </c>
    </row>
    <row r="15" spans="5:168" ht="18" customHeight="1" x14ac:dyDescent="0.25">
      <c r="E15" s="77"/>
      <c r="F15" s="97">
        <f t="shared" si="11"/>
        <v>1.4790476190476191E-2</v>
      </c>
      <c r="G15" s="79">
        <f t="shared" si="9"/>
        <v>1.8497673034823012E-2</v>
      </c>
      <c r="H15" s="79">
        <f t="shared" si="6"/>
        <v>1.8493096139436355E-2</v>
      </c>
      <c r="I15" s="79">
        <f t="shared" si="6"/>
        <v>1.8486345234691039E-2</v>
      </c>
      <c r="J15" s="79">
        <f t="shared" si="6"/>
        <v>1.8477495080503292E-2</v>
      </c>
      <c r="K15" s="79">
        <f t="shared" si="6"/>
        <v>1.8466619233724606E-2</v>
      </c>
      <c r="L15" s="79">
        <f t="shared" si="6"/>
        <v>1.8453790010529342E-2</v>
      </c>
      <c r="M15" s="79">
        <f t="shared" si="6"/>
        <v>1.8439078453143139E-2</v>
      </c>
      <c r="N15" s="79">
        <f t="shared" si="6"/>
        <v>1.8422554300735521E-2</v>
      </c>
      <c r="O15" s="79">
        <f t="shared" si="6"/>
        <v>1.8404285964296382E-2</v>
      </c>
      <c r="P15" s="79">
        <f t="shared" si="6"/>
        <v>1.8384340505311698E-2</v>
      </c>
      <c r="Q15" s="79">
        <f t="shared" si="6"/>
        <v>1.8362783618056593E-2</v>
      </c>
      <c r="R15" s="79">
        <f t="shared" si="6"/>
        <v>1.8339679615321874E-2</v>
      </c>
      <c r="S15" s="79">
        <f t="shared" si="6"/>
        <v>1.8315091417393587E-2</v>
      </c>
      <c r="T15" s="79">
        <f t="shared" si="6"/>
        <v>1.8289080544103581E-2</v>
      </c>
      <c r="U15" s="79">
        <f t="shared" si="6"/>
        <v>1.8261707109775933E-2</v>
      </c>
      <c r="V15" s="79">
        <f t="shared" si="6"/>
        <v>1.8233029820892248E-2</v>
      </c>
      <c r="W15" s="79">
        <f t="shared" si="6"/>
        <v>1.8203105976307879E-2</v>
      </c>
      <c r="X15" s="79">
        <f t="shared" si="6"/>
        <v>1.8171991469851257E-2</v>
      </c>
      <c r="Y15" s="79">
        <f t="shared" si="6"/>
        <v>1.8139740795143945E-2</v>
      </c>
      <c r="Z15" s="79">
        <f t="shared" si="6"/>
        <v>1.8106407052485254E-2</v>
      </c>
      <c r="AA15" s="79">
        <f t="shared" si="6"/>
        <v>1.8072041957648267E-2</v>
      </c>
      <c r="AB15" s="79">
        <f t="shared" si="6"/>
        <v>1.8036695852442129E-2</v>
      </c>
      <c r="AC15" s="79">
        <f t="shared" si="6"/>
        <v>1.8000417716897418E-2</v>
      </c>
      <c r="AD15" s="79">
        <f t="shared" si="6"/>
        <v>1.796325518293955E-2</v>
      </c>
      <c r="AE15" s="79">
        <f t="shared" si="6"/>
        <v>1.7925254549420854E-2</v>
      </c>
      <c r="AF15" s="79">
        <f t="shared" si="6"/>
        <v>1.788646079838619E-2</v>
      </c>
      <c r="AG15" s="79">
        <f t="shared" si="6"/>
        <v>1.7846917612453883E-2</v>
      </c>
      <c r="AH15" s="79">
        <f t="shared" si="6"/>
        <v>1.7806667393198541E-2</v>
      </c>
      <c r="AI15" s="79">
        <f t="shared" si="6"/>
        <v>1.7765751280429089E-2</v>
      </c>
      <c r="AJ15" s="79">
        <f t="shared" si="6"/>
        <v>1.7724209172260235E-2</v>
      </c>
      <c r="AK15" s="79">
        <f t="shared" ref="AK15:BP15" si="13">IF(AK$9&lt;=$K$6,RATE($K$6,1,AK61,0),"")</f>
        <v>1.7682079745880565E-2</v>
      </c>
      <c r="AL15" s="79">
        <f t="shared" si="13"/>
        <v>1.7639400478926988E-2</v>
      </c>
      <c r="AM15" s="79">
        <f t="shared" si="13"/>
        <v>1.7596207671379916E-2</v>
      </c>
      <c r="AN15" s="79">
        <f t="shared" si="13"/>
        <v>1.7552536467899109E-2</v>
      </c>
      <c r="AO15" s="79">
        <f t="shared" si="13"/>
        <v>1.7508420880522971E-2</v>
      </c>
      <c r="AP15" s="79">
        <f t="shared" si="13"/>
        <v>1.7463893811663141E-2</v>
      </c>
      <c r="AQ15" s="79">
        <f t="shared" si="13"/>
        <v>1.741898707732667E-2</v>
      </c>
      <c r="AR15" s="79">
        <f t="shared" si="13"/>
        <v>1.7373731430504167E-2</v>
      </c>
      <c r="AS15" s="79">
        <f t="shared" si="13"/>
        <v>1.732815658466768E-2</v>
      </c>
      <c r="AT15" s="79">
        <f t="shared" si="13"/>
        <v>1.7282291237325043E-2</v>
      </c>
      <c r="AU15" s="79">
        <f t="shared" si="13"/>
        <v>1.7236163093579684E-2</v>
      </c>
      <c r="AV15" s="79">
        <f t="shared" si="13"/>
        <v>1.7189798889654103E-2</v>
      </c>
      <c r="AW15" s="79">
        <f t="shared" si="13"/>
        <v>1.7143224416331083E-2</v>
      </c>
      <c r="AX15" s="79">
        <f t="shared" si="13"/>
        <v>1.7096464542278214E-2</v>
      </c>
      <c r="AY15" s="79">
        <f t="shared" si="13"/>
        <v>1.7049543237216719E-2</v>
      </c>
      <c r="AZ15" s="79">
        <f t="shared" si="13"/>
        <v>1.7002483594907136E-2</v>
      </c>
      <c r="BA15" s="79">
        <f t="shared" si="13"/>
        <v>1.6955307855917756E-2</v>
      </c>
      <c r="BB15" s="79">
        <f t="shared" si="13"/>
        <v>1.6908037430154087E-2</v>
      </c>
      <c r="BC15" s="79">
        <f t="shared" si="13"/>
        <v>1.6860692919122552E-2</v>
      </c>
      <c r="BD15" s="79">
        <f t="shared" si="13"/>
        <v>1.6813294137908073E-2</v>
      </c>
      <c r="BE15" s="79">
        <f t="shared" si="13"/>
        <v>1.6765860136848009E-2</v>
      </c>
      <c r="BF15" s="79">
        <f t="shared" si="13"/>
        <v>1.6718409222882407E-2</v>
      </c>
      <c r="BG15" s="79">
        <f t="shared" si="13"/>
        <v>1.667095898057008E-2</v>
      </c>
      <c r="BH15" s="79">
        <f t="shared" si="13"/>
        <v>1.6623526292753796E-2</v>
      </c>
      <c r="BI15" s="79">
        <f t="shared" si="13"/>
        <v>1.6576127360866017E-2</v>
      </c>
      <c r="BJ15" s="79">
        <f t="shared" si="13"/>
        <v>1.6528777724864559E-2</v>
      </c>
      <c r="BK15" s="79">
        <f t="shared" si="13"/>
        <v>1.6481492282790354E-2</v>
      </c>
      <c r="BL15" s="79">
        <f t="shared" si="13"/>
        <v>1.6434285309942606E-2</v>
      </c>
      <c r="BM15" s="79">
        <f t="shared" si="13"/>
        <v>1.6387170477662874E-2</v>
      </c>
      <c r="BN15" s="79">
        <f t="shared" si="13"/>
        <v>1.6340160871727273E-2</v>
      </c>
      <c r="BO15" s="79">
        <f t="shared" si="13"/>
        <v>1.6293269010342622E-2</v>
      </c>
      <c r="BP15" s="79">
        <f t="shared" si="13"/>
        <v>1.6246506861745447E-2</v>
      </c>
      <c r="BQ15" s="79">
        <f t="shared" ref="BQ15:CV15" si="14">IF(BQ$9&lt;=$K$6,RATE($K$6,1,BQ61,0),"")</f>
        <v>1.6199885861401576E-2</v>
      </c>
      <c r="BR15" s="79">
        <f t="shared" si="14"/>
        <v>1.6153416928809432E-2</v>
      </c>
      <c r="BS15" s="79">
        <f t="shared" si="14"/>
        <v>1.6107110483903953E-2</v>
      </c>
      <c r="BT15" s="79">
        <f t="shared" si="14"/>
        <v>1.6060976463066298E-2</v>
      </c>
      <c r="BU15" s="79">
        <f t="shared" si="14"/>
        <v>1.6015024334740623E-2</v>
      </c>
      <c r="BV15" s="79">
        <f t="shared" si="14"/>
        <v>1.5969263114659554E-2</v>
      </c>
      <c r="BW15" s="79">
        <f t="shared" si="14"/>
        <v>1.5923701380682546E-2</v>
      </c>
      <c r="BX15" s="79">
        <f t="shared" si="14"/>
        <v>1.5878347287253486E-2</v>
      </c>
      <c r="BY15" s="79">
        <f t="shared" si="14"/>
        <v>1.5833208579477214E-2</v>
      </c>
      <c r="BZ15" s="79">
        <f t="shared" si="14"/>
        <v>1.5788292606824465E-2</v>
      </c>
      <c r="CA15" s="79">
        <f t="shared" si="14"/>
        <v>1.574360633646674E-2</v>
      </c>
      <c r="CB15" s="79">
        <f t="shared" si="14"/>
        <v>1.5699156366249613E-2</v>
      </c>
      <c r="CC15" s="79">
        <f t="shared" si="14"/>
        <v>1.5654948937307234E-2</v>
      </c>
      <c r="CD15" s="79">
        <f t="shared" si="14"/>
        <v>1.561098994632709E-2</v>
      </c>
      <c r="CE15" s="79">
        <f t="shared" si="14"/>
        <v>1.5567284957467816E-2</v>
      </c>
      <c r="CF15" s="79">
        <f t="shared" si="14"/>
        <v>1.5523839213939945E-2</v>
      </c>
      <c r="CG15" s="79">
        <f t="shared" si="14"/>
        <v>1.5480657649252567E-2</v>
      </c>
      <c r="CH15" s="79">
        <f t="shared" si="14"/>
        <v>1.5437744898135168E-2</v>
      </c>
      <c r="CI15" s="79">
        <f t="shared" si="14"/>
        <v>1.53951053071403E-2</v>
      </c>
      <c r="CJ15" s="79">
        <f t="shared" si="14"/>
        <v>1.5352742944933261E-2</v>
      </c>
      <c r="CK15" s="79">
        <f t="shared" si="14"/>
        <v>1.531066161227628E-2</v>
      </c>
      <c r="CL15" s="79">
        <f t="shared" si="14"/>
        <v>1.5268864851714045E-2</v>
      </c>
      <c r="CM15" s="79">
        <f t="shared" si="14"/>
        <v>1.5227355956967581E-2</v>
      </c>
      <c r="CN15" s="79">
        <f t="shared" si="14"/>
        <v>1.5186137982041225E-2</v>
      </c>
      <c r="CO15" s="79">
        <f t="shared" si="14"/>
        <v>1.5145213750053196E-2</v>
      </c>
      <c r="CP15" s="79">
        <f t="shared" si="14"/>
        <v>1.510458586179334E-2</v>
      </c>
      <c r="CQ15" s="79">
        <f t="shared" si="14"/>
        <v>1.5064256704015528E-2</v>
      </c>
      <c r="CR15" s="79">
        <f t="shared" si="14"/>
        <v>1.5024228457473168E-2</v>
      </c>
      <c r="CS15" s="79">
        <f t="shared" si="14"/>
        <v>1.4984503104700819E-2</v>
      </c>
      <c r="CT15" s="79">
        <f t="shared" si="14"/>
        <v>1.4945082437552866E-2</v>
      </c>
      <c r="CU15" s="79">
        <f t="shared" si="14"/>
        <v>1.4905968064501918E-2</v>
      </c>
      <c r="CV15" s="79">
        <f t="shared" si="14"/>
        <v>1.486716141770522E-2</v>
      </c>
      <c r="CW15" s="79">
        <f t="shared" ref="CW15:EE22" si="15">IF(CW$9&lt;=$K$6,RATE($K$6,1,CW61,0),"")</f>
        <v>1.4828663759843935E-2</v>
      </c>
      <c r="CX15" s="79">
        <f t="shared" si="15"/>
        <v>1.4790476190745029E-2</v>
      </c>
      <c r="CY15" s="79">
        <f t="shared" si="15"/>
        <v>1.4790476190745029E-2</v>
      </c>
      <c r="CZ15" s="79">
        <f t="shared" si="15"/>
        <v>1.4790476190745029E-2</v>
      </c>
      <c r="DA15" s="79">
        <f t="shared" si="15"/>
        <v>1.4790476190745029E-2</v>
      </c>
      <c r="DB15" s="79">
        <f t="shared" si="15"/>
        <v>1.4790476190745029E-2</v>
      </c>
      <c r="DC15" s="79">
        <f t="shared" si="15"/>
        <v>1.4790476190745029E-2</v>
      </c>
      <c r="DD15" s="79">
        <f t="shared" si="15"/>
        <v>1.4790476190745029E-2</v>
      </c>
      <c r="DE15" s="79">
        <f t="shared" si="15"/>
        <v>1.4790476190745029E-2</v>
      </c>
      <c r="DF15" s="79">
        <f t="shared" si="15"/>
        <v>1.4790476190745029E-2</v>
      </c>
      <c r="DG15" s="79">
        <f t="shared" si="15"/>
        <v>1.4790476190745029E-2</v>
      </c>
      <c r="DH15" s="79">
        <f t="shared" si="15"/>
        <v>1.4790476190745029E-2</v>
      </c>
      <c r="DI15" s="79">
        <f t="shared" si="15"/>
        <v>1.4790476190745029E-2</v>
      </c>
      <c r="DJ15" s="79">
        <f t="shared" si="15"/>
        <v>1.4790476190745029E-2</v>
      </c>
      <c r="DK15" s="79">
        <f t="shared" si="15"/>
        <v>1.4790476190745029E-2</v>
      </c>
      <c r="DL15" s="79">
        <f t="shared" si="15"/>
        <v>1.4790476190745029E-2</v>
      </c>
      <c r="DM15" s="79">
        <f t="shared" si="15"/>
        <v>1.4790476190745029E-2</v>
      </c>
      <c r="DN15" s="79">
        <f t="shared" si="15"/>
        <v>1.4790476190745029E-2</v>
      </c>
      <c r="DO15" s="79">
        <f t="shared" si="15"/>
        <v>1.4790476190745029E-2</v>
      </c>
      <c r="DP15" s="79">
        <f t="shared" si="15"/>
        <v>1.4790476190745029E-2</v>
      </c>
      <c r="DQ15" s="79">
        <f t="shared" si="15"/>
        <v>1.4790476190745029E-2</v>
      </c>
      <c r="DR15" s="79">
        <f t="shared" si="15"/>
        <v>1.4790476190745029E-2</v>
      </c>
      <c r="DS15" s="79">
        <f t="shared" si="15"/>
        <v>1.4790476190745029E-2</v>
      </c>
      <c r="DT15" s="79">
        <f t="shared" si="15"/>
        <v>1.4790476190745029E-2</v>
      </c>
      <c r="DU15" s="79">
        <f t="shared" si="15"/>
        <v>1.4790476190745029E-2</v>
      </c>
      <c r="DV15" s="79">
        <f t="shared" si="15"/>
        <v>1.4790476190745029E-2</v>
      </c>
      <c r="DW15" s="79">
        <f t="shared" si="15"/>
        <v>1.4790476190745029E-2</v>
      </c>
      <c r="DX15" s="79">
        <f t="shared" si="15"/>
        <v>1.4790476190745029E-2</v>
      </c>
      <c r="DY15" s="79">
        <f t="shared" si="15"/>
        <v>1.4790476190745029E-2</v>
      </c>
      <c r="DZ15" s="79">
        <f t="shared" si="15"/>
        <v>1.4790476190745029E-2</v>
      </c>
      <c r="EA15" s="79">
        <f t="shared" si="15"/>
        <v>1.4790476190745029E-2</v>
      </c>
      <c r="EB15" s="79">
        <f t="shared" si="15"/>
        <v>1.4790476190745029E-2</v>
      </c>
      <c r="EC15" s="79">
        <f t="shared" si="15"/>
        <v>1.4790476190745029E-2</v>
      </c>
      <c r="ED15" s="79">
        <f t="shared" si="15"/>
        <v>1.4790476190745029E-2</v>
      </c>
      <c r="EE15" s="79">
        <f t="shared" si="15"/>
        <v>1.4790476190745029E-2</v>
      </c>
      <c r="EF15" s="79">
        <f t="shared" si="12"/>
        <v>1.4790476190745029E-2</v>
      </c>
      <c r="EG15" s="79">
        <f t="shared" si="12"/>
        <v>1.4790476190745029E-2</v>
      </c>
      <c r="EH15" s="79">
        <f t="shared" si="12"/>
        <v>1.4790476190745029E-2</v>
      </c>
      <c r="EI15" s="79">
        <f t="shared" si="12"/>
        <v>1.4790476190745029E-2</v>
      </c>
      <c r="EJ15" s="79">
        <f t="shared" si="12"/>
        <v>1.4790476190745029E-2</v>
      </c>
      <c r="EK15" s="79">
        <f t="shared" si="12"/>
        <v>1.4790476190745029E-2</v>
      </c>
      <c r="EL15" s="79">
        <f t="shared" si="12"/>
        <v>1.4790476190745029E-2</v>
      </c>
      <c r="EM15" s="79">
        <f t="shared" si="12"/>
        <v>1.4790476190745029E-2</v>
      </c>
      <c r="EN15" s="79">
        <f t="shared" si="12"/>
        <v>1.4790476190745029E-2</v>
      </c>
      <c r="EO15" s="79">
        <f t="shared" si="12"/>
        <v>1.4790476190745029E-2</v>
      </c>
      <c r="EP15" s="79">
        <f t="shared" si="12"/>
        <v>1.4790476190745029E-2</v>
      </c>
      <c r="EQ15" s="79">
        <f t="shared" si="12"/>
        <v>1.4790476190745029E-2</v>
      </c>
      <c r="ER15" s="79">
        <f t="shared" si="12"/>
        <v>1.4790476190745029E-2</v>
      </c>
      <c r="ES15" s="79">
        <f t="shared" si="12"/>
        <v>1.4790476190745029E-2</v>
      </c>
      <c r="ET15" s="79">
        <f t="shared" si="12"/>
        <v>1.4790476190745029E-2</v>
      </c>
      <c r="EY15" t="s">
        <v>33</v>
      </c>
      <c r="FA15" s="27">
        <v>1.8100000000000002E-2</v>
      </c>
      <c r="FB15">
        <v>96</v>
      </c>
      <c r="FC15" s="27">
        <v>2.0500000000000001E-2</v>
      </c>
      <c r="FF15" s="6" t="s">
        <v>500</v>
      </c>
      <c r="FG15" s="696">
        <v>2.5000000000000001E-2</v>
      </c>
      <c r="FH15" s="696">
        <v>96</v>
      </c>
      <c r="FI15" s="696">
        <v>2.2000000000000002E-2</v>
      </c>
      <c r="FJ15" s="255">
        <v>1.6E-2</v>
      </c>
      <c r="FK15" s="71">
        <f t="shared" si="10"/>
        <v>2.142857142857143E-4</v>
      </c>
      <c r="FL15" t="e">
        <f>VLOOKUP(FF15,'SIMULADOR COM SALDO'!$BX$22:$CK$1000,13,FALSE)</f>
        <v>#N/A</v>
      </c>
    </row>
    <row r="16" spans="5:168" ht="18" customHeight="1" x14ac:dyDescent="0.25">
      <c r="E16" s="77"/>
      <c r="F16" s="97">
        <f t="shared" si="11"/>
        <v>1.4888095238095238E-2</v>
      </c>
      <c r="G16" s="79">
        <f t="shared" si="9"/>
        <v>1.849773448492574E-2</v>
      </c>
      <c r="H16" s="79">
        <f t="shared" si="9"/>
        <v>1.8493278648169475E-2</v>
      </c>
      <c r="I16" s="79">
        <f t="shared" si="9"/>
        <v>1.8486706568334232E-2</v>
      </c>
      <c r="J16" s="79">
        <f t="shared" si="9"/>
        <v>1.8478091166067485E-2</v>
      </c>
      <c r="K16" s="79">
        <f t="shared" si="9"/>
        <v>1.846750416535331E-2</v>
      </c>
      <c r="L16" s="79">
        <f t="shared" si="9"/>
        <v>1.8455016059095979E-2</v>
      </c>
      <c r="M16" s="79">
        <f t="shared" si="9"/>
        <v>1.8440696078822042E-2</v>
      </c>
      <c r="N16" s="79">
        <f t="shared" si="9"/>
        <v>1.8424612168328646E-2</v>
      </c>
      <c r="O16" s="79">
        <f t="shared" si="9"/>
        <v>1.8406830961102922E-2</v>
      </c>
      <c r="P16" s="79">
        <f t="shared" si="9"/>
        <v>1.8387417761334346E-2</v>
      </c>
      <c r="Q16" s="79">
        <f t="shared" si="9"/>
        <v>1.8366436528344174E-2</v>
      </c>
      <c r="R16" s="79">
        <f t="shared" si="9"/>
        <v>1.8343949864256113E-2</v>
      </c>
      <c r="S16" s="79">
        <f t="shared" si="9"/>
        <v>1.8320019004731292E-2</v>
      </c>
      <c r="T16" s="79">
        <f t="shared" si="9"/>
        <v>1.8294703812599355E-2</v>
      </c>
      <c r="U16" s="79">
        <f t="shared" si="9"/>
        <v>1.8268062774210787E-2</v>
      </c>
      <c r="V16" s="79">
        <f t="shared" si="9"/>
        <v>1.8240152998348053E-2</v>
      </c>
      <c r="W16" s="79">
        <f t="shared" ref="W16:CD20" si="16">IF(W$9&lt;=$K$6,RATE($K$6,1,W62,0),"")</f>
        <v>1.8211030217530091E-2</v>
      </c>
      <c r="X16" s="79">
        <f t="shared" si="16"/>
        <v>1.8180748791553632E-2</v>
      </c>
      <c r="Y16" s="79">
        <f t="shared" si="16"/>
        <v>1.8149361713115313E-2</v>
      </c>
      <c r="Z16" s="79">
        <f t="shared" si="16"/>
        <v>1.811692061536662E-2</v>
      </c>
      <c r="AA16" s="79">
        <f t="shared" si="16"/>
        <v>1.8083475781256575E-2</v>
      </c>
      <c r="AB16" s="79">
        <f t="shared" si="16"/>
        <v>1.8049076154523443E-2</v>
      </c>
      <c r="AC16" s="79">
        <f t="shared" si="16"/>
        <v>1.801376935220101E-2</v>
      </c>
      <c r="AD16" s="79">
        <f t="shared" si="16"/>
        <v>1.7977601678510678E-2</v>
      </c>
      <c r="AE16" s="79">
        <f t="shared" si="16"/>
        <v>1.794061814001844E-2</v>
      </c>
      <c r="AF16" s="79">
        <f t="shared" si="16"/>
        <v>1.7902862461935953E-2</v>
      </c>
      <c r="AG16" s="79">
        <f t="shared" si="16"/>
        <v>1.7864377105456408E-2</v>
      </c>
      <c r="AH16" s="79">
        <f t="shared" si="16"/>
        <v>1.7825203286016958E-2</v>
      </c>
      <c r="AI16" s="79">
        <f t="shared" si="16"/>
        <v>1.7785380992387974E-2</v>
      </c>
      <c r="AJ16" s="79">
        <f t="shared" si="16"/>
        <v>1.7744949006491144E-2</v>
      </c>
      <c r="AK16" s="79">
        <f t="shared" si="16"/>
        <v>1.7703944923858139E-2</v>
      </c>
      <c r="AL16" s="79">
        <f t="shared" si="16"/>
        <v>1.766240517464265E-2</v>
      </c>
      <c r="AM16" s="79">
        <f t="shared" si="16"/>
        <v>1.7620365045106185E-2</v>
      </c>
      <c r="AN16" s="79">
        <f t="shared" si="16"/>
        <v>1.7577858699501101E-2</v>
      </c>
      <c r="AO16" s="79">
        <f t="shared" si="16"/>
        <v>1.7534919202281108E-2</v>
      </c>
      <c r="AP16" s="79">
        <f t="shared" si="16"/>
        <v>1.7491578540571009E-2</v>
      </c>
      <c r="AQ16" s="79">
        <f t="shared" si="16"/>
        <v>1.7447867646836441E-2</v>
      </c>
      <c r="AR16" s="79">
        <f t="shared" si="16"/>
        <v>1.7403816421692385E-2</v>
      </c>
      <c r="AS16" s="79">
        <f t="shared" si="16"/>
        <v>1.7359453756799682E-2</v>
      </c>
      <c r="AT16" s="79">
        <f t="shared" si="16"/>
        <v>1.73148075577986E-2</v>
      </c>
      <c r="AU16" s="79">
        <f t="shared" si="16"/>
        <v>1.7269904767232586E-2</v>
      </c>
      <c r="AV16" s="79">
        <f t="shared" si="16"/>
        <v>1.7224771387421536E-2</v>
      </c>
      <c r="AW16" s="79">
        <f t="shared" si="16"/>
        <v>1.7179432503243844E-2</v>
      </c>
      <c r="AX16" s="79">
        <f t="shared" si="16"/>
        <v>1.7133912304791936E-2</v>
      </c>
      <c r="AY16" s="79">
        <f t="shared" si="16"/>
        <v>1.7088234109868983E-2</v>
      </c>
      <c r="AZ16" s="79">
        <f t="shared" si="16"/>
        <v>1.7042420386295918E-2</v>
      </c>
      <c r="BA16" s="79">
        <f t="shared" si="16"/>
        <v>1.6996492774002545E-2</v>
      </c>
      <c r="BB16" s="79">
        <f t="shared" si="16"/>
        <v>1.6950472106877806E-2</v>
      </c>
      <c r="BC16" s="79">
        <f t="shared" si="16"/>
        <v>1.6904378434356833E-2</v>
      </c>
      <c r="BD16" s="79">
        <f t="shared" si="16"/>
        <v>1.6858231042725425E-2</v>
      </c>
      <c r="BE16" s="79">
        <f t="shared" si="16"/>
        <v>1.6812048476124303E-2</v>
      </c>
      <c r="BF16" s="79">
        <f t="shared" si="16"/>
        <v>1.6765848557237843E-2</v>
      </c>
      <c r="BG16" s="79">
        <f t="shared" si="16"/>
        <v>1.6719648407652183E-2</v>
      </c>
      <c r="BH16" s="79">
        <f t="shared" si="16"/>
        <v>1.667346446787394E-2</v>
      </c>
      <c r="BI16" s="79">
        <f t="shared" si="16"/>
        <v>1.6627312516994761E-2</v>
      </c>
      <c r="BJ16" s="79">
        <f t="shared" si="16"/>
        <v>1.6581207691998195E-2</v>
      </c>
      <c r="BK16" s="79">
        <f t="shared" si="16"/>
        <v>1.6535164506697342E-2</v>
      </c>
      <c r="BL16" s="79">
        <f t="shared" si="16"/>
        <v>1.6489196870300201E-2</v>
      </c>
      <c r="BM16" s="79">
        <f t="shared" si="16"/>
        <v>1.6443318105596891E-2</v>
      </c>
      <c r="BN16" s="79">
        <f t="shared" si="16"/>
        <v>1.6397540966765045E-2</v>
      </c>
      <c r="BO16" s="79">
        <f t="shared" si="16"/>
        <v>1.6351877656792298E-2</v>
      </c>
      <c r="BP16" s="79">
        <f t="shared" si="16"/>
        <v>1.6306339844513223E-2</v>
      </c>
      <c r="BQ16" s="79">
        <f t="shared" si="16"/>
        <v>1.6260938681260179E-2</v>
      </c>
      <c r="BR16" s="79">
        <f t="shared" si="16"/>
        <v>1.6215684817129723E-2</v>
      </c>
      <c r="BS16" s="79">
        <f t="shared" ref="BS16:CV16" si="17">IF(BS$9&lt;=$K$6,RATE($K$6,1,BS62,0),"")</f>
        <v>1.6170588416863783E-2</v>
      </c>
      <c r="BT16" s="79">
        <f t="shared" si="17"/>
        <v>1.6125659175348368E-2</v>
      </c>
      <c r="BU16" s="79">
        <f t="shared" si="17"/>
        <v>1.6080906332733499E-2</v>
      </c>
      <c r="BV16" s="79">
        <f t="shared" si="17"/>
        <v>1.6036338689173309E-2</v>
      </c>
      <c r="BW16" s="79">
        <f t="shared" si="17"/>
        <v>1.5991964619195165E-2</v>
      </c>
      <c r="BX16" s="79">
        <f t="shared" si="17"/>
        <v>1.5947792085696431E-2</v>
      </c>
      <c r="BY16" s="79">
        <f t="shared" si="17"/>
        <v>1.5903828653577822E-2</v>
      </c>
      <c r="BZ16" s="79">
        <f t="shared" si="17"/>
        <v>1.5860081503014323E-2</v>
      </c>
      <c r="CA16" s="79">
        <f t="shared" si="17"/>
        <v>1.5816557442370802E-2</v>
      </c>
      <c r="CB16" s="79">
        <f t="shared" si="17"/>
        <v>1.577326292076793E-2</v>
      </c>
      <c r="CC16" s="79">
        <f t="shared" si="17"/>
        <v>1.5730204040301312E-2</v>
      </c>
      <c r="CD16" s="79">
        <f t="shared" si="17"/>
        <v>1.5687386567923376E-2</v>
      </c>
      <c r="CE16" s="79">
        <f t="shared" si="17"/>
        <v>1.5644815946990867E-2</v>
      </c>
      <c r="CF16" s="79">
        <f t="shared" si="17"/>
        <v>1.5602497308484897E-2</v>
      </c>
      <c r="CG16" s="79">
        <f t="shared" si="17"/>
        <v>1.5560435481912355E-2</v>
      </c>
      <c r="CH16" s="79">
        <f t="shared" si="17"/>
        <v>1.5518635005888817E-2</v>
      </c>
      <c r="CI16" s="79">
        <f t="shared" si="17"/>
        <v>1.5477100138418225E-2</v>
      </c>
      <c r="CJ16" s="79">
        <f t="shared" si="17"/>
        <v>1.5435834866866114E-2</v>
      </c>
      <c r="CK16" s="79">
        <f t="shared" si="17"/>
        <v>1.5394842917641781E-2</v>
      </c>
      <c r="CL16" s="79">
        <f t="shared" si="17"/>
        <v>1.535412776558904E-2</v>
      </c>
      <c r="CM16" s="79">
        <f t="shared" si="17"/>
        <v>1.5313692643097272E-2</v>
      </c>
      <c r="CN16" s="79">
        <f t="shared" si="17"/>
        <v>1.5273540548934886E-2</v>
      </c>
      <c r="CO16" s="79">
        <f t="shared" si="17"/>
        <v>1.5233674256815408E-2</v>
      </c>
      <c r="CP16" s="79">
        <f t="shared" si="17"/>
        <v>1.5194096323701015E-2</v>
      </c>
      <c r="CQ16" s="79">
        <f t="shared" si="17"/>
        <v>1.5154809097849678E-2</v>
      </c>
      <c r="CR16" s="79">
        <f t="shared" si="17"/>
        <v>1.5115814726612515E-2</v>
      </c>
      <c r="CS16" s="79">
        <f t="shared" si="17"/>
        <v>1.5077115163989746E-2</v>
      </c>
      <c r="CT16" s="79">
        <f t="shared" si="17"/>
        <v>1.5038712177946431E-2</v>
      </c>
      <c r="CU16" s="79">
        <f t="shared" si="17"/>
        <v>1.5000607357502008E-2</v>
      </c>
      <c r="CV16" s="79">
        <f t="shared" si="17"/>
        <v>1.4962802119590021E-2</v>
      </c>
      <c r="CW16" s="79">
        <f t="shared" si="15"/>
        <v>1.4925297715704467E-2</v>
      </c>
      <c r="CX16" s="79">
        <f t="shared" si="15"/>
        <v>1.4888095238329254E-2</v>
      </c>
      <c r="CY16" s="79">
        <f t="shared" si="15"/>
        <v>1.4888095238329254E-2</v>
      </c>
      <c r="CZ16" s="79">
        <f t="shared" si="15"/>
        <v>1.4888095238329254E-2</v>
      </c>
      <c r="DA16" s="79">
        <f t="shared" si="15"/>
        <v>1.4888095238329254E-2</v>
      </c>
      <c r="DB16" s="79">
        <f t="shared" si="15"/>
        <v>1.4888095238329254E-2</v>
      </c>
      <c r="DC16" s="79">
        <f t="shared" si="15"/>
        <v>1.4888095238329254E-2</v>
      </c>
      <c r="DD16" s="79">
        <f t="shared" si="15"/>
        <v>1.4888095238329254E-2</v>
      </c>
      <c r="DE16" s="79">
        <f t="shared" si="15"/>
        <v>1.4888095238329254E-2</v>
      </c>
      <c r="DF16" s="79">
        <f t="shared" si="15"/>
        <v>1.4888095238329254E-2</v>
      </c>
      <c r="DG16" s="79">
        <f t="shared" si="15"/>
        <v>1.4888095238329254E-2</v>
      </c>
      <c r="DH16" s="79">
        <f t="shared" si="15"/>
        <v>1.4888095238329254E-2</v>
      </c>
      <c r="DI16" s="79">
        <f t="shared" si="15"/>
        <v>1.4888095238329254E-2</v>
      </c>
      <c r="DJ16" s="79">
        <f t="shared" si="15"/>
        <v>1.4888095238329254E-2</v>
      </c>
      <c r="DK16" s="79">
        <f t="shared" si="15"/>
        <v>1.4888095238329254E-2</v>
      </c>
      <c r="DL16" s="79">
        <f t="shared" si="15"/>
        <v>1.4888095238329254E-2</v>
      </c>
      <c r="DM16" s="79">
        <f t="shared" si="15"/>
        <v>1.4888095238329254E-2</v>
      </c>
      <c r="DN16" s="79">
        <f t="shared" si="15"/>
        <v>1.4888095238329254E-2</v>
      </c>
      <c r="DO16" s="79">
        <f t="shared" si="15"/>
        <v>1.4888095238329254E-2</v>
      </c>
      <c r="DP16" s="79">
        <f t="shared" si="15"/>
        <v>1.4888095238329254E-2</v>
      </c>
      <c r="DQ16" s="79">
        <f t="shared" si="15"/>
        <v>1.4888095238329254E-2</v>
      </c>
      <c r="DR16" s="79">
        <f t="shared" si="15"/>
        <v>1.4888095238329254E-2</v>
      </c>
      <c r="DS16" s="79">
        <f t="shared" si="15"/>
        <v>1.4888095238329254E-2</v>
      </c>
      <c r="DT16" s="79">
        <f t="shared" si="15"/>
        <v>1.4888095238329254E-2</v>
      </c>
      <c r="DU16" s="79">
        <f t="shared" si="15"/>
        <v>1.4888095238329254E-2</v>
      </c>
      <c r="DV16" s="79">
        <f t="shared" si="15"/>
        <v>1.4888095238329254E-2</v>
      </c>
      <c r="DW16" s="79">
        <f t="shared" si="15"/>
        <v>1.4888095238329254E-2</v>
      </c>
      <c r="DX16" s="79">
        <f t="shared" si="15"/>
        <v>1.4888095238329254E-2</v>
      </c>
      <c r="DY16" s="79">
        <f t="shared" si="15"/>
        <v>1.4888095238329254E-2</v>
      </c>
      <c r="DZ16" s="79">
        <f t="shared" si="15"/>
        <v>1.4888095238329254E-2</v>
      </c>
      <c r="EA16" s="79">
        <f t="shared" si="15"/>
        <v>1.4888095238329254E-2</v>
      </c>
      <c r="EB16" s="79">
        <f t="shared" si="15"/>
        <v>1.4888095238329254E-2</v>
      </c>
      <c r="EC16" s="79">
        <f t="shared" si="15"/>
        <v>1.4888095238329254E-2</v>
      </c>
      <c r="ED16" s="79">
        <f t="shared" si="15"/>
        <v>1.4888095238329254E-2</v>
      </c>
      <c r="EE16" s="79">
        <f t="shared" si="15"/>
        <v>1.4888095238329254E-2</v>
      </c>
      <c r="EF16" s="79">
        <f t="shared" si="12"/>
        <v>1.4888095238329254E-2</v>
      </c>
      <c r="EG16" s="79">
        <f t="shared" si="12"/>
        <v>1.4888095238329254E-2</v>
      </c>
      <c r="EH16" s="79">
        <f t="shared" si="12"/>
        <v>1.4888095238329254E-2</v>
      </c>
      <c r="EI16" s="79">
        <f t="shared" si="12"/>
        <v>1.4888095238329254E-2</v>
      </c>
      <c r="EJ16" s="79">
        <f t="shared" si="12"/>
        <v>1.4888095238329254E-2</v>
      </c>
      <c r="EK16" s="79">
        <f t="shared" si="12"/>
        <v>1.4888095238329254E-2</v>
      </c>
      <c r="EL16" s="79">
        <f t="shared" si="12"/>
        <v>1.4888095238329254E-2</v>
      </c>
      <c r="EM16" s="79">
        <f t="shared" si="12"/>
        <v>1.4888095238329254E-2</v>
      </c>
      <c r="EN16" s="79">
        <f t="shared" si="12"/>
        <v>1.4888095238329254E-2</v>
      </c>
      <c r="EO16" s="79">
        <f t="shared" si="12"/>
        <v>1.4888095238329254E-2</v>
      </c>
      <c r="EP16" s="79">
        <f t="shared" si="12"/>
        <v>1.4888095238329254E-2</v>
      </c>
      <c r="EQ16" s="79">
        <f t="shared" si="12"/>
        <v>1.4888095238329254E-2</v>
      </c>
      <c r="ER16" s="79">
        <f t="shared" si="12"/>
        <v>1.4888095238329254E-2</v>
      </c>
      <c r="ES16" s="79">
        <f t="shared" si="12"/>
        <v>1.4888095238329254E-2</v>
      </c>
      <c r="ET16" s="79">
        <f t="shared" si="12"/>
        <v>1.4888095238329254E-2</v>
      </c>
      <c r="FA16" s="27"/>
      <c r="FF16" s="6" t="s">
        <v>3841</v>
      </c>
      <c r="FG16" s="696">
        <v>2.5000000000000001E-2</v>
      </c>
      <c r="FH16" s="696">
        <v>120</v>
      </c>
      <c r="FI16" s="696">
        <v>2.0400000000000001E-2</v>
      </c>
      <c r="FJ16" s="255">
        <v>1.4999999999999999E-2</v>
      </c>
      <c r="FK16" s="71">
        <f t="shared" si="10"/>
        <v>2.3809523809523815E-4</v>
      </c>
      <c r="FL16" t="e">
        <f>VLOOKUP(FF16,'SIMULADOR COM SALDO'!$BX$22:$CK$1000,13,FALSE)</f>
        <v>#N/A</v>
      </c>
    </row>
    <row r="17" spans="5:168" ht="18" customHeight="1" x14ac:dyDescent="0.25">
      <c r="E17" s="77"/>
      <c r="F17" s="97">
        <f t="shared" si="11"/>
        <v>1.4985714285714286E-2</v>
      </c>
      <c r="G17" s="79">
        <f t="shared" si="9"/>
        <v>1.8497795923411942E-2</v>
      </c>
      <c r="H17" s="79">
        <f t="shared" si="9"/>
        <v>1.8493461111950139E-2</v>
      </c>
      <c r="I17" s="79">
        <f t="shared" si="9"/>
        <v>1.848706779347431E-2</v>
      </c>
      <c r="J17" s="79">
        <f t="shared" si="9"/>
        <v>1.8478687042353868E-2</v>
      </c>
      <c r="K17" s="79">
        <f t="shared" si="9"/>
        <v>1.8468388744067449E-2</v>
      </c>
      <c r="L17" s="79">
        <f t="shared" si="9"/>
        <v>1.845624156386861E-2</v>
      </c>
      <c r="M17" s="79">
        <f t="shared" si="9"/>
        <v>1.8442312919352503E-2</v>
      </c>
      <c r="N17" s="79">
        <f t="shared" si="9"/>
        <v>1.8426668956755824E-2</v>
      </c>
      <c r="O17" s="79">
        <f t="shared" si="9"/>
        <v>1.8409374530818746E-2</v>
      </c>
      <c r="P17" s="79">
        <f t="shared" si="9"/>
        <v>1.8390493188038468E-2</v>
      </c>
      <c r="Q17" s="79">
        <f t="shared" si="9"/>
        <v>1.8370087153145722E-2</v>
      </c>
      <c r="R17" s="79">
        <f t="shared" si="9"/>
        <v>1.8348217318631014E-2</v>
      </c>
      <c r="S17" s="79">
        <f t="shared" si="9"/>
        <v>1.832494323715848E-2</v>
      </c>
      <c r="T17" s="79">
        <f t="shared" si="9"/>
        <v>1.8300323116697215E-2</v>
      </c>
      <c r="U17" s="79">
        <f t="shared" si="9"/>
        <v>1.8274413818211755E-2</v>
      </c>
      <c r="V17" s="79">
        <f t="shared" si="9"/>
        <v>1.824727085575063E-2</v>
      </c>
      <c r="W17" s="79">
        <f t="shared" si="16"/>
        <v>1.8218948398778526E-2</v>
      </c>
      <c r="X17" s="79">
        <f t="shared" si="16"/>
        <v>1.8189499276601968E-2</v>
      </c>
      <c r="Y17" s="79">
        <f t="shared" si="16"/>
        <v>1.815897498474129E-2</v>
      </c>
      <c r="Z17" s="79">
        <f t="shared" si="16"/>
        <v>1.8127425693106915E-2</v>
      </c>
      <c r="AA17" s="79">
        <f t="shared" si="16"/>
        <v>1.8094900255844419E-2</v>
      </c>
      <c r="AB17" s="79">
        <f t="shared" si="16"/>
        <v>1.806144622271549E-2</v>
      </c>
      <c r="AC17" s="79">
        <f t="shared" si="16"/>
        <v>1.8027109851888021E-2</v>
      </c>
      <c r="AD17" s="79">
        <f t="shared" si="16"/>
        <v>1.799193612401501E-2</v>
      </c>
      <c r="AE17" s="79">
        <f t="shared" si="16"/>
        <v>1.7955968757484814E-2</v>
      </c>
      <c r="AF17" s="79">
        <f t="shared" si="16"/>
        <v>1.7919250224732432E-2</v>
      </c>
      <c r="AG17" s="79">
        <f t="shared" si="16"/>
        <v>1.7881821769506707E-2</v>
      </c>
      <c r="AH17" s="79">
        <f t="shared" si="16"/>
        <v>1.7843723424991458E-2</v>
      </c>
      <c r="AI17" s="79">
        <f t="shared" si="16"/>
        <v>1.7804994032687784E-2</v>
      </c>
      <c r="AJ17" s="79">
        <f t="shared" si="16"/>
        <v>1.7765671261963777E-2</v>
      </c>
      <c r="AK17" s="79">
        <f t="shared" si="16"/>
        <v>1.772579163019064E-2</v>
      </c>
      <c r="AL17" s="79">
        <f t="shared" si="16"/>
        <v>1.7685390523380418E-2</v>
      </c>
      <c r="AM17" s="79">
        <f t="shared" si="16"/>
        <v>1.7644502217253475E-2</v>
      </c>
      <c r="AN17" s="79">
        <f t="shared" si="16"/>
        <v>1.7603159898662662E-2</v>
      </c>
      <c r="AO17" s="79">
        <f t="shared" si="16"/>
        <v>1.7561395687306899E-2</v>
      </c>
      <c r="AP17" s="79">
        <f t="shared" si="16"/>
        <v>1.7519240657674965E-2</v>
      </c>
      <c r="AQ17" s="79">
        <f t="shared" si="16"/>
        <v>1.7476724861157471E-2</v>
      </c>
      <c r="AR17" s="79">
        <f t="shared" si="16"/>
        <v>1.7433877348275773E-2</v>
      </c>
      <c r="AS17" s="79">
        <f t="shared" si="16"/>
        <v>1.7390726190976272E-2</v>
      </c>
      <c r="AT17" s="79">
        <f t="shared" si="16"/>
        <v>1.7347298504943917E-2</v>
      </c>
      <c r="AU17" s="79">
        <f t="shared" si="16"/>
        <v>1.7303620471891362E-2</v>
      </c>
      <c r="AV17" s="79">
        <f t="shared" si="16"/>
        <v>1.7259717361784908E-2</v>
      </c>
      <c r="AW17" s="79">
        <f t="shared" si="16"/>
        <v>1.7215613554969315E-2</v>
      </c>
      <c r="AX17" s="79">
        <f t="shared" si="16"/>
        <v>1.7171332564160063E-2</v>
      </c>
      <c r="AY17" s="79">
        <f t="shared" si="16"/>
        <v>1.7126897056269658E-2</v>
      </c>
      <c r="AZ17" s="79">
        <f t="shared" si="16"/>
        <v>1.7082328874042992E-2</v>
      </c>
      <c r="BA17" s="79">
        <f t="shared" si="16"/>
        <v>1.703764905747544E-2</v>
      </c>
      <c r="BB17" s="79">
        <f t="shared" si="16"/>
        <v>1.6992877864988164E-2</v>
      </c>
      <c r="BC17" s="79">
        <f t="shared" si="16"/>
        <v>1.6948034794346277E-2</v>
      </c>
      <c r="BD17" s="79">
        <f t="shared" si="16"/>
        <v>1.69031386032946E-2</v>
      </c>
      <c r="BE17" s="79">
        <f t="shared" si="16"/>
        <v>1.6858207329899913E-2</v>
      </c>
      <c r="BF17" s="79">
        <f t="shared" si="16"/>
        <v>1.6813258312581649E-2</v>
      </c>
      <c r="BG17" s="79">
        <f t="shared" si="16"/>
        <v>1.6768308209821989E-2</v>
      </c>
      <c r="BH17" s="79">
        <f t="shared" si="16"/>
        <v>1.6723373019540723E-2</v>
      </c>
      <c r="BI17" s="79">
        <f t="shared" si="16"/>
        <v>1.6678468098128056E-2</v>
      </c>
      <c r="BJ17" s="79">
        <f t="shared" si="16"/>
        <v>1.6633608179126732E-2</v>
      </c>
      <c r="BK17" s="79">
        <f t="shared" si="16"/>
        <v>1.6588807391557027E-2</v>
      </c>
      <c r="BL17" s="79">
        <f t="shared" si="16"/>
        <v>1.6544079277878411E-2</v>
      </c>
      <c r="BM17" s="79">
        <f t="shared" si="16"/>
        <v>1.6499436811585493E-2</v>
      </c>
      <c r="BN17" s="79">
        <f t="shared" si="16"/>
        <v>1.6454892414432903E-2</v>
      </c>
      <c r="BO17" s="79">
        <f t="shared" si="16"/>
        <v>1.6410457973290216E-2</v>
      </c>
      <c r="BP17" s="79">
        <f t="shared" si="16"/>
        <v>1.6366144856621859E-2</v>
      </c>
      <c r="BQ17" s="79">
        <f t="shared" si="16"/>
        <v>1.6321963930595269E-2</v>
      </c>
      <c r="BR17" s="79">
        <f t="shared" si="16"/>
        <v>1.6277925574816207E-2</v>
      </c>
      <c r="BS17" s="79">
        <f t="shared" si="16"/>
        <v>1.6234039697690824E-2</v>
      </c>
      <c r="BT17" s="79">
        <f t="shared" ref="BT17:CV17" si="18">IF(BT$9&lt;=$K$6,RATE($K$6,1,BT63,0),"")</f>
        <v>1.6190315751420908E-2</v>
      </c>
      <c r="BU17" s="79">
        <f t="shared" si="18"/>
        <v>1.6146762746629028E-2</v>
      </c>
      <c r="BV17" s="79">
        <f t="shared" si="18"/>
        <v>1.6103389266621033E-2</v>
      </c>
      <c r="BW17" s="79">
        <f t="shared" si="18"/>
        <v>1.6060203481286933E-2</v>
      </c>
      <c r="BX17" s="79">
        <f t="shared" si="18"/>
        <v>1.6017213160644587E-2</v>
      </c>
      <c r="BY17" s="79">
        <f t="shared" si="18"/>
        <v>1.5974425688031223E-2</v>
      </c>
      <c r="BZ17" s="79">
        <f t="shared" si="18"/>
        <v>1.5931848072945919E-2</v>
      </c>
      <c r="CA17" s="79">
        <f t="shared" si="18"/>
        <v>1.5889486963549838E-2</v>
      </c>
      <c r="CB17" s="79">
        <f t="shared" si="18"/>
        <v>1.5847348658826695E-2</v>
      </c>
      <c r="CC17" s="79">
        <f t="shared" si="18"/>
        <v>1.5805439120411342E-2</v>
      </c>
      <c r="CD17" s="79">
        <f t="shared" si="18"/>
        <v>1.5763763984092235E-2</v>
      </c>
      <c r="CE17" s="79">
        <f t="shared" si="18"/>
        <v>1.5722328570989767E-2</v>
      </c>
      <c r="CF17" s="79">
        <f t="shared" si="18"/>
        <v>1.5681137898421588E-2</v>
      </c>
      <c r="CG17" s="79">
        <f t="shared" si="18"/>
        <v>1.5640196690457079E-2</v>
      </c>
      <c r="CH17" s="79">
        <f t="shared" si="18"/>
        <v>1.559950938816904E-2</v>
      </c>
      <c r="CI17" s="79">
        <f t="shared" si="18"/>
        <v>1.5559080159587856E-2</v>
      </c>
      <c r="CJ17" s="79">
        <f t="shared" si="18"/>
        <v>1.5518912909364616E-2</v>
      </c>
      <c r="CK17" s="79">
        <f t="shared" si="18"/>
        <v>1.5479011288150215E-2</v>
      </c>
      <c r="CL17" s="79">
        <f t="shared" si="18"/>
        <v>1.5439378701695067E-2</v>
      </c>
      <c r="CM17" s="79">
        <f t="shared" si="18"/>
        <v>1.5400018319678469E-2</v>
      </c>
      <c r="CN17" s="79">
        <f t="shared" si="18"/>
        <v>1.5360933084270098E-2</v>
      </c>
      <c r="CO17" s="79">
        <f t="shared" si="18"/>
        <v>1.5322125718434172E-2</v>
      </c>
      <c r="CP17" s="79">
        <f t="shared" si="18"/>
        <v>1.5283598733978816E-2</v>
      </c>
      <c r="CQ17" s="79">
        <f t="shared" si="18"/>
        <v>1.524535443935927E-2</v>
      </c>
      <c r="CR17" s="79">
        <f t="shared" si="18"/>
        <v>1.5207394947240861E-2</v>
      </c>
      <c r="CS17" s="79">
        <f t="shared" si="18"/>
        <v>1.5169722181825057E-2</v>
      </c>
      <c r="CT17" s="79">
        <f t="shared" si="18"/>
        <v>1.5132337885950463E-2</v>
      </c>
      <c r="CU17" s="79">
        <f t="shared" si="18"/>
        <v>1.5095243627966553E-2</v>
      </c>
      <c r="CV17" s="79">
        <f t="shared" si="18"/>
        <v>1.5058440808395185E-2</v>
      </c>
      <c r="CW17" s="79">
        <f t="shared" si="15"/>
        <v>1.5021930666377749E-2</v>
      </c>
      <c r="CX17" s="79">
        <f t="shared" si="15"/>
        <v>1.4985714285917887E-2</v>
      </c>
      <c r="CY17" s="79">
        <f t="shared" si="15"/>
        <v>1.4985714285917887E-2</v>
      </c>
      <c r="CZ17" s="79">
        <f t="shared" si="15"/>
        <v>1.4985714285917887E-2</v>
      </c>
      <c r="DA17" s="79">
        <f t="shared" si="15"/>
        <v>1.4985714285917887E-2</v>
      </c>
      <c r="DB17" s="79">
        <f t="shared" si="15"/>
        <v>1.4985714285917887E-2</v>
      </c>
      <c r="DC17" s="79">
        <f t="shared" si="15"/>
        <v>1.4985714285917887E-2</v>
      </c>
      <c r="DD17" s="79">
        <f t="shared" si="15"/>
        <v>1.4985714285917887E-2</v>
      </c>
      <c r="DE17" s="79">
        <f t="shared" si="15"/>
        <v>1.4985714285917887E-2</v>
      </c>
      <c r="DF17" s="79">
        <f t="shared" si="15"/>
        <v>1.4985714285917887E-2</v>
      </c>
      <c r="DG17" s="79">
        <f t="shared" si="15"/>
        <v>1.4985714285917887E-2</v>
      </c>
      <c r="DH17" s="79">
        <f t="shared" si="15"/>
        <v>1.4985714285917887E-2</v>
      </c>
      <c r="DI17" s="79">
        <f t="shared" si="15"/>
        <v>1.4985714285917887E-2</v>
      </c>
      <c r="DJ17" s="79">
        <f t="shared" si="15"/>
        <v>1.4985714285917887E-2</v>
      </c>
      <c r="DK17" s="79">
        <f t="shared" si="15"/>
        <v>1.4985714285917887E-2</v>
      </c>
      <c r="DL17" s="79">
        <f t="shared" si="15"/>
        <v>1.4985714285917887E-2</v>
      </c>
      <c r="DM17" s="79">
        <f t="shared" si="15"/>
        <v>1.4985714285917887E-2</v>
      </c>
      <c r="DN17" s="79">
        <f t="shared" si="15"/>
        <v>1.4985714285917887E-2</v>
      </c>
      <c r="DO17" s="79">
        <f t="shared" si="15"/>
        <v>1.4985714285917887E-2</v>
      </c>
      <c r="DP17" s="79">
        <f t="shared" si="15"/>
        <v>1.4985714285917887E-2</v>
      </c>
      <c r="DQ17" s="79">
        <f t="shared" si="15"/>
        <v>1.4985714285917887E-2</v>
      </c>
      <c r="DR17" s="79">
        <f t="shared" si="15"/>
        <v>1.4985714285917887E-2</v>
      </c>
      <c r="DS17" s="79">
        <f t="shared" si="15"/>
        <v>1.4985714285917887E-2</v>
      </c>
      <c r="DT17" s="79">
        <f t="shared" si="15"/>
        <v>1.4985714285917887E-2</v>
      </c>
      <c r="DU17" s="79">
        <f t="shared" si="15"/>
        <v>1.4985714285917887E-2</v>
      </c>
      <c r="DV17" s="79">
        <f t="shared" si="15"/>
        <v>1.4985714285917887E-2</v>
      </c>
      <c r="DW17" s="79">
        <f t="shared" si="15"/>
        <v>1.4985714285917887E-2</v>
      </c>
      <c r="DX17" s="79">
        <f t="shared" si="15"/>
        <v>1.4985714285917887E-2</v>
      </c>
      <c r="DY17" s="79">
        <f t="shared" si="15"/>
        <v>1.4985714285917887E-2</v>
      </c>
      <c r="DZ17" s="79">
        <f t="shared" si="15"/>
        <v>1.4985714285917887E-2</v>
      </c>
      <c r="EA17" s="79">
        <f t="shared" si="15"/>
        <v>1.4985714285917887E-2</v>
      </c>
      <c r="EB17" s="79">
        <f t="shared" si="15"/>
        <v>1.4985714285917887E-2</v>
      </c>
      <c r="EC17" s="79">
        <f t="shared" si="15"/>
        <v>1.4985714285917887E-2</v>
      </c>
      <c r="ED17" s="79">
        <f t="shared" si="15"/>
        <v>1.4985714285917887E-2</v>
      </c>
      <c r="EE17" s="79">
        <f t="shared" si="15"/>
        <v>1.4985714285917887E-2</v>
      </c>
      <c r="EF17" s="79">
        <f t="shared" si="12"/>
        <v>1.4985714285917887E-2</v>
      </c>
      <c r="EG17" s="79">
        <f t="shared" si="12"/>
        <v>1.4985714285917887E-2</v>
      </c>
      <c r="EH17" s="79">
        <f t="shared" si="12"/>
        <v>1.4985714285917887E-2</v>
      </c>
      <c r="EI17" s="79">
        <f t="shared" si="12"/>
        <v>1.4985714285917887E-2</v>
      </c>
      <c r="EJ17" s="79">
        <f t="shared" si="12"/>
        <v>1.4985714285917887E-2</v>
      </c>
      <c r="EK17" s="79">
        <f t="shared" si="12"/>
        <v>1.4985714285917887E-2</v>
      </c>
      <c r="EL17" s="79">
        <f t="shared" si="12"/>
        <v>1.4985714285917887E-2</v>
      </c>
      <c r="EM17" s="79">
        <f t="shared" si="12"/>
        <v>1.4985714285917887E-2</v>
      </c>
      <c r="EN17" s="79">
        <f t="shared" si="12"/>
        <v>1.4985714285917887E-2</v>
      </c>
      <c r="EO17" s="79">
        <f t="shared" si="12"/>
        <v>1.4985714285917887E-2</v>
      </c>
      <c r="EP17" s="79">
        <f t="shared" si="12"/>
        <v>1.4985714285917887E-2</v>
      </c>
      <c r="EQ17" s="79">
        <f t="shared" si="12"/>
        <v>1.4985714285917887E-2</v>
      </c>
      <c r="ER17" s="79">
        <f t="shared" si="12"/>
        <v>1.4985714285917887E-2</v>
      </c>
      <c r="ES17" s="79">
        <f t="shared" si="12"/>
        <v>1.4985714285917887E-2</v>
      </c>
      <c r="ET17" s="79">
        <f t="shared" si="12"/>
        <v>1.4985714285917887E-2</v>
      </c>
      <c r="FA17" s="27"/>
      <c r="FF17" s="6" t="s">
        <v>2331</v>
      </c>
      <c r="FG17" s="696">
        <v>2.35E-2</v>
      </c>
      <c r="FH17" s="696">
        <v>120</v>
      </c>
      <c r="FI17" s="696">
        <v>0.02</v>
      </c>
      <c r="FJ17" s="255">
        <v>1.4999999999999999E-2</v>
      </c>
      <c r="FK17" s="71">
        <f t="shared" si="10"/>
        <v>2.0238095238095239E-4</v>
      </c>
      <c r="FL17" t="e">
        <f>VLOOKUP(FF17,'SIMULADOR COM SALDO'!$BX$22:$CK$1000,13,FALSE)</f>
        <v>#N/A</v>
      </c>
    </row>
    <row r="18" spans="5:168" ht="18" customHeight="1" x14ac:dyDescent="0.25">
      <c r="E18" s="77"/>
      <c r="F18" s="97">
        <f t="shared" si="11"/>
        <v>1.5083333333333334E-2</v>
      </c>
      <c r="G18" s="79">
        <f t="shared" si="9"/>
        <v>1.8497857350284985E-2</v>
      </c>
      <c r="H18" s="79">
        <f t="shared" si="9"/>
        <v>1.8493643530794104E-2</v>
      </c>
      <c r="I18" s="79">
        <f t="shared" si="9"/>
        <v>1.8487428910154386E-2</v>
      </c>
      <c r="J18" s="79">
        <f t="shared" si="9"/>
        <v>1.8479282709456341E-2</v>
      </c>
      <c r="K18" s="79">
        <f t="shared" si="9"/>
        <v>1.8469272970041396E-2</v>
      </c>
      <c r="L18" s="79">
        <f t="shared" si="9"/>
        <v>1.8457466525136915E-2</v>
      </c>
      <c r="M18" s="79">
        <f t="shared" si="9"/>
        <v>1.844392897517922E-2</v>
      </c>
      <c r="N18" s="79">
        <f t="shared" si="9"/>
        <v>1.8428724666658812E-2</v>
      </c>
      <c r="O18" s="79">
        <f t="shared" si="9"/>
        <v>1.8411916674325634E-2</v>
      </c>
      <c r="P18" s="79">
        <f t="shared" si="9"/>
        <v>1.8393566786588988E-2</v>
      </c>
      <c r="Q18" s="79">
        <f t="shared" si="9"/>
        <v>1.8373735493947878E-2</v>
      </c>
      <c r="R18" s="79">
        <f t="shared" si="9"/>
        <v>1.8352481980291692E-2</v>
      </c>
      <c r="S18" s="79">
        <f t="shared" si="9"/>
        <v>1.8329864116907207E-2</v>
      </c>
      <c r="T18" s="79">
        <f t="shared" si="9"/>
        <v>1.8305938459038742E-2</v>
      </c>
      <c r="U18" s="79">
        <f t="shared" si="9"/>
        <v>1.8280760244843475E-2</v>
      </c>
      <c r="V18" s="79">
        <f t="shared" si="9"/>
        <v>1.8254383396591772E-2</v>
      </c>
      <c r="W18" s="79">
        <f t="shared" si="16"/>
        <v>1.8226860523965726E-2</v>
      </c>
      <c r="X18" s="79">
        <f t="shared" si="16"/>
        <v>1.819824292931245E-2</v>
      </c>
      <c r="Y18" s="79">
        <f t="shared" si="16"/>
        <v>1.8168580614712725E-2</v>
      </c>
      <c r="Z18" s="79">
        <f t="shared" si="16"/>
        <v>1.8137922290731218E-2</v>
      </c>
      <c r="AA18" s="79">
        <f t="shared" si="16"/>
        <v>1.8106315386719467E-2</v>
      </c>
      <c r="AB18" s="79">
        <f t="shared" si="16"/>
        <v>1.807380606254538E-2</v>
      </c>
      <c r="AC18" s="79">
        <f t="shared" si="16"/>
        <v>1.8040439221631663E-2</v>
      </c>
      <c r="AD18" s="79">
        <f t="shared" si="16"/>
        <v>1.800625852518728E-2</v>
      </c>
      <c r="AE18" s="79">
        <f t="shared" si="16"/>
        <v>1.7971306407522359E-2</v>
      </c>
      <c r="AF18" s="79">
        <f t="shared" si="16"/>
        <v>1.7935624092342846E-2</v>
      </c>
      <c r="AG18" s="79">
        <f t="shared" si="16"/>
        <v>1.7899251609926354E-2</v>
      </c>
      <c r="AH18" s="79">
        <f t="shared" si="16"/>
        <v>1.7862227815080404E-2</v>
      </c>
      <c r="AI18" s="79">
        <f t="shared" si="16"/>
        <v>1.7824590405800436E-2</v>
      </c>
      <c r="AJ18" s="79">
        <f t="shared" si="16"/>
        <v>1.7786375942536108E-2</v>
      </c>
      <c r="AK18" s="79">
        <f t="shared" si="16"/>
        <v>1.7747619867990064E-2</v>
      </c>
      <c r="AL18" s="79">
        <f t="shared" si="16"/>
        <v>1.7708356527372116E-2</v>
      </c>
      <c r="AM18" s="79">
        <f t="shared" si="16"/>
        <v>1.7668619189038608E-2</v>
      </c>
      <c r="AN18" s="79">
        <f t="shared" si="16"/>
        <v>1.7628440065449492E-2</v>
      </c>
      <c r="AO18" s="79">
        <f t="shared" si="16"/>
        <v>1.7587850334381504E-2</v>
      </c>
      <c r="AP18" s="79">
        <f t="shared" si="16"/>
        <v>1.7546880160339201E-2</v>
      </c>
      <c r="AQ18" s="79">
        <f t="shared" si="16"/>
        <v>1.750555871610858E-2</v>
      </c>
      <c r="AR18" s="79">
        <f t="shared" si="16"/>
        <v>1.7463914204403453E-2</v>
      </c>
      <c r="AS18" s="79">
        <f t="shared" si="16"/>
        <v>1.742197387955793E-2</v>
      </c>
      <c r="AT18" s="79">
        <f t="shared" si="16"/>
        <v>1.7379764069219976E-2</v>
      </c>
      <c r="AU18" s="79">
        <f t="shared" si="16"/>
        <v>1.7337310196008225E-2</v>
      </c>
      <c r="AV18" s="79">
        <f t="shared" si="16"/>
        <v>1.72946367990915E-2</v>
      </c>
      <c r="AW18" s="79">
        <f t="shared" si="16"/>
        <v>1.725176755566156E-2</v>
      </c>
      <c r="AX18" s="79">
        <f t="shared" si="16"/>
        <v>1.7208725302263129E-2</v>
      </c>
      <c r="AY18" s="79">
        <f t="shared" si="16"/>
        <v>1.7165532055956528E-2</v>
      </c>
      <c r="AZ18" s="79">
        <f t="shared" si="16"/>
        <v>1.7122209035284382E-2</v>
      </c>
      <c r="BA18" s="79">
        <f t="shared" si="16"/>
        <v>1.7078776681021236E-2</v>
      </c>
      <c r="BB18" s="79">
        <f t="shared" si="16"/>
        <v>1.7035254676682477E-2</v>
      </c>
      <c r="BC18" s="79">
        <f t="shared" si="16"/>
        <v>1.6991661968775197E-2</v>
      </c>
      <c r="BD18" s="79">
        <f t="shared" si="16"/>
        <v>1.6948016786773538E-2</v>
      </c>
      <c r="BE18" s="79">
        <f t="shared" si="16"/>
        <v>1.6904336662804009E-2</v>
      </c>
      <c r="BF18" s="79">
        <f t="shared" si="16"/>
        <v>1.6860638451025763E-2</v>
      </c>
      <c r="BG18" s="79">
        <f t="shared" si="16"/>
        <v>1.6816938346695877E-2</v>
      </c>
      <c r="BH18" s="79">
        <f t="shared" si="16"/>
        <v>1.6773251904909955E-2</v>
      </c>
      <c r="BI18" s="79">
        <f t="shared" si="16"/>
        <v>1.6729594059007594E-2</v>
      </c>
      <c r="BJ18" s="79">
        <f t="shared" si="16"/>
        <v>1.6685979138636647E-2</v>
      </c>
      <c r="BK18" s="79">
        <f t="shared" si="16"/>
        <v>1.664242088747122E-2</v>
      </c>
      <c r="BL18" s="79">
        <f t="shared" si="16"/>
        <v>1.6598932480576593E-2</v>
      </c>
      <c r="BM18" s="79">
        <f t="shared" si="16"/>
        <v>1.6555526541418765E-2</v>
      </c>
      <c r="BN18" s="79">
        <f t="shared" si="16"/>
        <v>1.6512215158516561E-2</v>
      </c>
      <c r="BO18" s="79">
        <f t="shared" si="16"/>
        <v>1.6469009901732466E-2</v>
      </c>
      <c r="BP18" s="79">
        <f t="shared" si="16"/>
        <v>1.6425921838203662E-2</v>
      </c>
      <c r="BQ18" s="79">
        <f t="shared" si="16"/>
        <v>1.6382961547911086E-2</v>
      </c>
      <c r="BR18" s="79">
        <f t="shared" si="16"/>
        <v>1.6340139138889622E-2</v>
      </c>
      <c r="BS18" s="79">
        <f t="shared" si="16"/>
        <v>1.6297464262077718E-2</v>
      </c>
      <c r="BT18" s="79">
        <f t="shared" ref="BT18:CV18" si="19">IF(BT$9&lt;=$K$6,RATE($K$6,1,BT64,0),"")</f>
        <v>1.6254946125811021E-2</v>
      </c>
      <c r="BU18" s="79">
        <f t="shared" si="19"/>
        <v>1.6212593509960883E-2</v>
      </c>
      <c r="BV18" s="79">
        <f t="shared" si="19"/>
        <v>1.6170414779721694E-2</v>
      </c>
      <c r="BW18" s="79">
        <f t="shared" si="19"/>
        <v>1.6128417899048897E-2</v>
      </c>
      <c r="BX18" s="79">
        <f t="shared" si="19"/>
        <v>1.60866104437545E-2</v>
      </c>
      <c r="BY18" s="79">
        <f t="shared" si="19"/>
        <v>1.6044999614259467E-2</v>
      </c>
      <c r="BZ18" s="79">
        <f t="shared" si="19"/>
        <v>1.6003592248013305E-2</v>
      </c>
      <c r="CA18" s="79">
        <f t="shared" si="19"/>
        <v>1.5962394831580524E-2</v>
      </c>
      <c r="CB18" s="79">
        <f t="shared" si="19"/>
        <v>1.5921413512401523E-2</v>
      </c>
      <c r="CC18" s="79">
        <f t="shared" si="19"/>
        <v>1.5880654110233393E-2</v>
      </c>
      <c r="CD18" s="79">
        <f t="shared" si="19"/>
        <v>1.5840122128274452E-2</v>
      </c>
      <c r="CE18" s="79">
        <f t="shared" si="19"/>
        <v>1.5799822763978767E-2</v>
      </c>
      <c r="CF18" s="79">
        <f t="shared" si="19"/>
        <v>1.5759760919568305E-2</v>
      </c>
      <c r="CG18" s="79">
        <f t="shared" si="19"/>
        <v>1.5719941212244334E-2</v>
      </c>
      <c r="CH18" s="79">
        <f t="shared" si="19"/>
        <v>1.5680367984108171E-2</v>
      </c>
      <c r="CI18" s="79">
        <f t="shared" si="19"/>
        <v>1.5641045311794912E-2</v>
      </c>
      <c r="CJ18" s="79">
        <f t="shared" si="19"/>
        <v>1.5601977015826938E-2</v>
      </c>
      <c r="CK18" s="79">
        <f t="shared" si="19"/>
        <v>1.5563166669692645E-2</v>
      </c>
      <c r="CL18" s="79">
        <f t="shared" si="19"/>
        <v>1.5524617608657289E-2</v>
      </c>
      <c r="CM18" s="79">
        <f t="shared" si="19"/>
        <v>1.548633293831155E-2</v>
      </c>
      <c r="CN18" s="79">
        <f t="shared" si="19"/>
        <v>1.5448315542864089E-2</v>
      </c>
      <c r="CO18" s="79">
        <f t="shared" si="19"/>
        <v>1.5410568093183934E-2</v>
      </c>
      <c r="CP18" s="79">
        <f t="shared" si="19"/>
        <v>1.5373093054598006E-2</v>
      </c>
      <c r="CQ18" s="79">
        <f t="shared" si="19"/>
        <v>1.5335892694451972E-2</v>
      </c>
      <c r="CR18" s="79">
        <f t="shared" si="19"/>
        <v>1.5298969089438631E-2</v>
      </c>
      <c r="CS18" s="79">
        <f t="shared" si="19"/>
        <v>1.5262324132697404E-2</v>
      </c>
      <c r="CT18" s="79">
        <f t="shared" si="19"/>
        <v>1.5225959540698008E-2</v>
      </c>
      <c r="CU18" s="79">
        <f t="shared" si="19"/>
        <v>1.5189876859904593E-2</v>
      </c>
      <c r="CV18" s="79">
        <f t="shared" si="19"/>
        <v>1.5154077473233923E-2</v>
      </c>
      <c r="CW18" s="79">
        <f t="shared" si="15"/>
        <v>1.5118562606308152E-2</v>
      </c>
      <c r="CX18" s="79">
        <f t="shared" si="15"/>
        <v>1.5083333333510316E-2</v>
      </c>
      <c r="CY18" s="79">
        <f t="shared" si="15"/>
        <v>1.5083333333510316E-2</v>
      </c>
      <c r="CZ18" s="79">
        <f t="shared" si="15"/>
        <v>1.5083333333510316E-2</v>
      </c>
      <c r="DA18" s="79">
        <f t="shared" si="15"/>
        <v>1.5083333333510316E-2</v>
      </c>
      <c r="DB18" s="79">
        <f t="shared" si="15"/>
        <v>1.5083333333510316E-2</v>
      </c>
      <c r="DC18" s="79">
        <f t="shared" si="15"/>
        <v>1.5083333333510316E-2</v>
      </c>
      <c r="DD18" s="79">
        <f t="shared" si="15"/>
        <v>1.5083333333510316E-2</v>
      </c>
      <c r="DE18" s="79">
        <f t="shared" si="15"/>
        <v>1.5083333333510316E-2</v>
      </c>
      <c r="DF18" s="79">
        <f t="shared" si="15"/>
        <v>1.5083333333510316E-2</v>
      </c>
      <c r="DG18" s="79">
        <f t="shared" si="15"/>
        <v>1.5083333333510316E-2</v>
      </c>
      <c r="DH18" s="79">
        <f t="shared" si="15"/>
        <v>1.5083333333510316E-2</v>
      </c>
      <c r="DI18" s="79">
        <f t="shared" si="15"/>
        <v>1.5083333333510316E-2</v>
      </c>
      <c r="DJ18" s="79">
        <f t="shared" si="15"/>
        <v>1.5083333333510316E-2</v>
      </c>
      <c r="DK18" s="79">
        <f t="shared" si="15"/>
        <v>1.5083333333510316E-2</v>
      </c>
      <c r="DL18" s="79">
        <f t="shared" si="15"/>
        <v>1.5083333333510316E-2</v>
      </c>
      <c r="DM18" s="79">
        <f t="shared" si="15"/>
        <v>1.5083333333510316E-2</v>
      </c>
      <c r="DN18" s="79">
        <f t="shared" si="15"/>
        <v>1.5083333333510316E-2</v>
      </c>
      <c r="DO18" s="79">
        <f t="shared" si="15"/>
        <v>1.5083333333510316E-2</v>
      </c>
      <c r="DP18" s="79">
        <f t="shared" si="15"/>
        <v>1.5083333333510316E-2</v>
      </c>
      <c r="DQ18" s="79">
        <f t="shared" si="15"/>
        <v>1.5083333333510316E-2</v>
      </c>
      <c r="DR18" s="79">
        <f t="shared" si="15"/>
        <v>1.5083333333510316E-2</v>
      </c>
      <c r="DS18" s="79">
        <f t="shared" si="15"/>
        <v>1.5083333333510316E-2</v>
      </c>
      <c r="DT18" s="79">
        <f t="shared" si="15"/>
        <v>1.5083333333510316E-2</v>
      </c>
      <c r="DU18" s="79">
        <f t="shared" si="15"/>
        <v>1.5083333333510316E-2</v>
      </c>
      <c r="DV18" s="79">
        <f t="shared" si="15"/>
        <v>1.5083333333510316E-2</v>
      </c>
      <c r="DW18" s="79">
        <f t="shared" si="15"/>
        <v>1.5083333333510316E-2</v>
      </c>
      <c r="DX18" s="79">
        <f t="shared" si="15"/>
        <v>1.5083333333510316E-2</v>
      </c>
      <c r="DY18" s="79">
        <f t="shared" si="15"/>
        <v>1.5083333333510316E-2</v>
      </c>
      <c r="DZ18" s="79">
        <f t="shared" si="15"/>
        <v>1.5083333333510316E-2</v>
      </c>
      <c r="EA18" s="79">
        <f t="shared" si="15"/>
        <v>1.5083333333510316E-2</v>
      </c>
      <c r="EB18" s="79">
        <f t="shared" si="15"/>
        <v>1.5083333333510316E-2</v>
      </c>
      <c r="EC18" s="79">
        <f t="shared" si="15"/>
        <v>1.5083333333510316E-2</v>
      </c>
      <c r="ED18" s="79">
        <f t="shared" si="15"/>
        <v>1.5083333333510316E-2</v>
      </c>
      <c r="EE18" s="79">
        <f t="shared" si="15"/>
        <v>1.5083333333510316E-2</v>
      </c>
      <c r="EF18" s="79">
        <f t="shared" si="12"/>
        <v>1.5083333333510316E-2</v>
      </c>
      <c r="EG18" s="79">
        <f t="shared" si="12"/>
        <v>1.5083333333510316E-2</v>
      </c>
      <c r="EH18" s="79">
        <f t="shared" si="12"/>
        <v>1.5083333333510316E-2</v>
      </c>
      <c r="EI18" s="79">
        <f t="shared" si="12"/>
        <v>1.5083333333510316E-2</v>
      </c>
      <c r="EJ18" s="79">
        <f t="shared" si="12"/>
        <v>1.5083333333510316E-2</v>
      </c>
      <c r="EK18" s="79">
        <f t="shared" si="12"/>
        <v>1.5083333333510316E-2</v>
      </c>
      <c r="EL18" s="79">
        <f t="shared" si="12"/>
        <v>1.5083333333510316E-2</v>
      </c>
      <c r="EM18" s="79">
        <f t="shared" si="12"/>
        <v>1.5083333333510316E-2</v>
      </c>
      <c r="EN18" s="79">
        <f t="shared" si="12"/>
        <v>1.5083333333510316E-2</v>
      </c>
      <c r="EO18" s="79">
        <f t="shared" si="12"/>
        <v>1.5083333333510316E-2</v>
      </c>
      <c r="EP18" s="79">
        <f t="shared" si="12"/>
        <v>1.5083333333510316E-2</v>
      </c>
      <c r="EQ18" s="79">
        <f t="shared" si="12"/>
        <v>1.5083333333510316E-2</v>
      </c>
      <c r="ER18" s="79">
        <f t="shared" si="12"/>
        <v>1.5083333333510316E-2</v>
      </c>
      <c r="ES18" s="79">
        <f t="shared" si="12"/>
        <v>1.5083333333510316E-2</v>
      </c>
      <c r="ET18" s="79">
        <f t="shared" si="12"/>
        <v>1.5083333333510316E-2</v>
      </c>
      <c r="FA18" s="27"/>
      <c r="FF18" s="6" t="s">
        <v>3439</v>
      </c>
      <c r="FG18" s="696">
        <v>2.5000000000000001E-2</v>
      </c>
      <c r="FH18" s="696">
        <v>120</v>
      </c>
      <c r="FI18" s="696">
        <v>1.8500000000000003E-2</v>
      </c>
      <c r="FJ18" s="255">
        <v>1.3999999999999999E-2</v>
      </c>
      <c r="FK18" s="71">
        <f t="shared" si="10"/>
        <v>2.6190476190476197E-4</v>
      </c>
      <c r="FL18" t="e">
        <f>VLOOKUP(FF18,'SIMULADOR COM SALDO'!$BX$22:$CK$1000,13,FALSE)</f>
        <v>#N/A</v>
      </c>
    </row>
    <row r="19" spans="5:168" ht="18" customHeight="1" x14ac:dyDescent="0.25">
      <c r="E19" s="77"/>
      <c r="F19" s="97">
        <f t="shared" si="11"/>
        <v>1.5180952380952382E-2</v>
      </c>
      <c r="G19" s="79">
        <f t="shared" si="9"/>
        <v>1.849791876554796E-2</v>
      </c>
      <c r="H19" s="79">
        <f t="shared" si="9"/>
        <v>1.8493825904716522E-2</v>
      </c>
      <c r="I19" s="79">
        <f t="shared" si="9"/>
        <v>1.8487789918418013E-2</v>
      </c>
      <c r="J19" s="79">
        <f t="shared" si="9"/>
        <v>1.8479878167469183E-2</v>
      </c>
      <c r="K19" s="79">
        <f t="shared" si="9"/>
        <v>1.8470156843449281E-2</v>
      </c>
      <c r="L19" s="79">
        <f t="shared" si="9"/>
        <v>1.8458690943190529E-2</v>
      </c>
      <c r="M19" s="79">
        <f t="shared" si="9"/>
        <v>1.8445544246746354E-2</v>
      </c>
      <c r="N19" s="79">
        <f t="shared" si="9"/>
        <v>1.8430779298678739E-2</v>
      </c>
      <c r="O19" s="79">
        <f t="shared" si="9"/>
        <v>1.8414457392505072E-2</v>
      </c>
      <c r="P19" s="79">
        <f t="shared" si="9"/>
        <v>1.839663855814919E-2</v>
      </c>
      <c r="Q19" s="79">
        <f t="shared" si="9"/>
        <v>1.8377381552236852E-2</v>
      </c>
      <c r="R19" s="79">
        <f t="shared" si="9"/>
        <v>1.8356743851081457E-2</v>
      </c>
      <c r="S19" s="79">
        <f t="shared" si="9"/>
        <v>1.8334781646208359E-2</v>
      </c>
      <c r="T19" s="79">
        <f t="shared" si="9"/>
        <v>1.8311549842264706E-2</v>
      </c>
      <c r="U19" s="79">
        <f t="shared" si="9"/>
        <v>1.8287102057170008E-2</v>
      </c>
      <c r="V19" s="79">
        <f t="shared" si="9"/>
        <v>1.8261490624362921E-2</v>
      </c>
      <c r="W19" s="79">
        <f t="shared" si="16"/>
        <v>1.823476659700447E-2</v>
      </c>
      <c r="X19" s="79">
        <f t="shared" si="16"/>
        <v>1.8206979754001731E-2</v>
      </c>
      <c r="Y19" s="79">
        <f t="shared" si="16"/>
        <v>1.8178178607721959E-2</v>
      </c>
      <c r="Z19" s="79">
        <f t="shared" si="16"/>
        <v>1.814841041326775E-2</v>
      </c>
      <c r="AA19" s="79">
        <f t="shared" si="16"/>
        <v>1.8117721179194017E-2</v>
      </c>
      <c r="AB19" s="79">
        <f t="shared" si="16"/>
        <v>1.8086155679547116E-2</v>
      </c>
      <c r="AC19" s="79">
        <f t="shared" si="16"/>
        <v>1.8053757467113695E-2</v>
      </c>
      <c r="AD19" s="79">
        <f t="shared" si="16"/>
        <v>1.8020568887773127E-2</v>
      </c>
      <c r="AE19" s="79">
        <f t="shared" si="16"/>
        <v>1.7986631095846858E-2</v>
      </c>
      <c r="AF19" s="79">
        <f t="shared" si="16"/>
        <v>1.7951984070351715E-2</v>
      </c>
      <c r="AG19" s="79">
        <f t="shared" si="16"/>
        <v>1.7916666632057633E-2</v>
      </c>
      <c r="AH19" s="79">
        <f t="shared" si="16"/>
        <v>1.7880716461267012E-2</v>
      </c>
      <c r="AI19" s="79">
        <f t="shared" si="16"/>
        <v>1.784417011622727E-2</v>
      </c>
      <c r="AJ19" s="79">
        <f t="shared" si="16"/>
        <v>1.7807063052099333E-2</v>
      </c>
      <c r="AK19" s="79">
        <f t="shared" si="16"/>
        <v>1.7769429640406245E-2</v>
      </c>
      <c r="AL19" s="79">
        <f t="shared" si="16"/>
        <v>1.7731303188892756E-2</v>
      </c>
      <c r="AM19" s="79">
        <f t="shared" si="16"/>
        <v>1.7692715961726398E-2</v>
      </c>
      <c r="AN19" s="79">
        <f t="shared" si="16"/>
        <v>1.7653699199981603E-2</v>
      </c>
      <c r="AO19" s="79">
        <f t="shared" si="16"/>
        <v>1.7614283142345793E-2</v>
      </c>
      <c r="AP19" s="79">
        <f t="shared" si="16"/>
        <v>1.757449704599361E-2</v>
      </c>
      <c r="AQ19" s="79">
        <f t="shared" si="16"/>
        <v>1.7534369207579822E-2</v>
      </c>
      <c r="AR19" s="79">
        <f t="shared" si="16"/>
        <v>1.7493926984301428E-2</v>
      </c>
      <c r="AS19" s="79">
        <f t="shared" si="16"/>
        <v>1.7453196814987408E-2</v>
      </c>
      <c r="AT19" s="79">
        <f t="shared" si="16"/>
        <v>1.7412204241173911E-2</v>
      </c>
      <c r="AU19" s="79">
        <f t="shared" si="16"/>
        <v>1.7370973928128329E-2</v>
      </c>
      <c r="AV19" s="79">
        <f t="shared" si="16"/>
        <v>1.732952968578734E-2</v>
      </c>
      <c r="AW19" s="79">
        <f t="shared" si="16"/>
        <v>1.7287894489577751E-2</v>
      </c>
      <c r="AX19" s="79">
        <f t="shared" si="16"/>
        <v>1.7246090501089776E-2</v>
      </c>
      <c r="AY19" s="79">
        <f t="shared" si="16"/>
        <v>1.7204139088579526E-2</v>
      </c>
      <c r="AZ19" s="79">
        <f t="shared" si="16"/>
        <v>1.7162060847271395E-2</v>
      </c>
      <c r="BA19" s="79">
        <f t="shared" si="16"/>
        <v>1.7119875619444943E-2</v>
      </c>
      <c r="BB19" s="79">
        <f t="shared" si="16"/>
        <v>1.7077602514281004E-2</v>
      </c>
      <c r="BC19" s="79">
        <f t="shared" si="16"/>
        <v>1.7035259927453177E-2</v>
      </c>
      <c r="BD19" s="79">
        <f t="shared" si="16"/>
        <v>1.6992865560447247E-2</v>
      </c>
      <c r="BE19" s="79">
        <f t="shared" si="16"/>
        <v>1.6950436439594836E-2</v>
      </c>
      <c r="BF19" s="79">
        <f t="shared" si="16"/>
        <v>1.6907988934810658E-2</v>
      </c>
      <c r="BG19" s="79">
        <f t="shared" si="16"/>
        <v>1.6865538778019152E-2</v>
      </c>
      <c r="BH19" s="79">
        <f t="shared" si="16"/>
        <v>1.6823101081266001E-2</v>
      </c>
      <c r="BI19" s="79">
        <f t="shared" si="16"/>
        <v>1.6780690354502747E-2</v>
      </c>
      <c r="BJ19" s="79">
        <f t="shared" si="16"/>
        <v>1.6738320523040657E-2</v>
      </c>
      <c r="BK19" s="79">
        <f t="shared" si="16"/>
        <v>1.6696004944665964E-2</v>
      </c>
      <c r="BL19" s="79">
        <f t="shared" si="16"/>
        <v>1.6653756426415006E-2</v>
      </c>
      <c r="BM19" s="79">
        <f t="shared" si="16"/>
        <v>1.6611587241004803E-2</v>
      </c>
      <c r="BN19" s="79">
        <f t="shared" si="16"/>
        <v>1.6569509142915294E-2</v>
      </c>
      <c r="BO19" s="79">
        <f t="shared" si="16"/>
        <v>1.6527533384124746E-2</v>
      </c>
      <c r="BP19" s="79">
        <f t="shared" si="16"/>
        <v>1.6485670729495337E-2</v>
      </c>
      <c r="BQ19" s="79">
        <f t="shared" si="16"/>
        <v>1.6443931471810905E-2</v>
      </c>
      <c r="BR19" s="79">
        <f t="shared" si="16"/>
        <v>1.6402325446465055E-2</v>
      </c>
      <c r="BS19" s="79">
        <f t="shared" si="16"/>
        <v>1.6360862045804676E-2</v>
      </c>
      <c r="BT19" s="79">
        <f t="shared" ref="BT19:CV19" si="20">IF(BT$9&lt;=$K$6,RATE($K$6,1,BT65,0),"")</f>
        <v>1.6319550233127218E-2</v>
      </c>
      <c r="BU19" s="79">
        <f t="shared" si="20"/>
        <v>1.6278398556336827E-2</v>
      </c>
      <c r="BV19" s="79">
        <f t="shared" si="20"/>
        <v>1.6237415161261176E-2</v>
      </c>
      <c r="BW19" s="79">
        <f t="shared" si="20"/>
        <v>1.6196607804632279E-2</v>
      </c>
      <c r="BX19" s="79">
        <f t="shared" si="20"/>
        <v>1.6155983866735592E-2</v>
      </c>
      <c r="BY19" s="79">
        <f t="shared" si="20"/>
        <v>1.6115550363730594E-2</v>
      </c>
      <c r="BZ19" s="79">
        <f t="shared" si="20"/>
        <v>1.6075313959648438E-2</v>
      </c>
      <c r="CA19" s="79">
        <f t="shared" si="20"/>
        <v>1.6035280978070495E-2</v>
      </c>
      <c r="CB19" s="79">
        <f t="shared" si="20"/>
        <v>1.5995457413492422E-2</v>
      </c>
      <c r="CC19" s="79">
        <f t="shared" si="20"/>
        <v>1.5955848942380054E-2</v>
      </c>
      <c r="CD19" s="79">
        <f t="shared" si="20"/>
        <v>1.5916460933920344E-2</v>
      </c>
      <c r="CE19" s="79">
        <f t="shared" si="20"/>
        <v>1.5877298460474958E-2</v>
      </c>
      <c r="CF19" s="79">
        <f t="shared" si="20"/>
        <v>1.5838366307740558E-2</v>
      </c>
      <c r="CG19" s="79">
        <f t="shared" si="20"/>
        <v>1.5799668984621977E-2</v>
      </c>
      <c r="CH19" s="79">
        <f t="shared" si="20"/>
        <v>1.5761210732823543E-2</v>
      </c>
      <c r="CI19" s="79">
        <f t="shared" si="20"/>
        <v>1.5722995536165098E-2</v>
      </c>
      <c r="CJ19" s="79">
        <f t="shared" si="20"/>
        <v>1.5685027129627001E-2</v>
      </c>
      <c r="CK19" s="79">
        <f t="shared" si="20"/>
        <v>1.5647309008132278E-2</v>
      </c>
      <c r="CL19" s="79">
        <f t="shared" si="20"/>
        <v>1.5609844435069636E-2</v>
      </c>
      <c r="CM19" s="79">
        <f t="shared" si="20"/>
        <v>1.5572636450563509E-2</v>
      </c>
      <c r="CN19" s="79">
        <f t="shared" si="20"/>
        <v>1.55356878794986E-2</v>
      </c>
      <c r="CO19" s="79">
        <f t="shared" si="20"/>
        <v>1.5499001339302555E-2</v>
      </c>
      <c r="CP19" s="79">
        <f t="shared" si="20"/>
        <v>1.5462579247493773E-2</v>
      </c>
      <c r="CQ19" s="79">
        <f t="shared" si="20"/>
        <v>1.5426423829000032E-2</v>
      </c>
      <c r="CR19" s="79">
        <f t="shared" si="20"/>
        <v>1.5390537123253176E-2</v>
      </c>
      <c r="CS19" s="79">
        <f t="shared" si="20"/>
        <v>1.5354920991065994E-2</v>
      </c>
      <c r="CT19" s="79">
        <f t="shared" si="20"/>
        <v>1.5319577121295867E-2</v>
      </c>
      <c r="CU19" s="79">
        <f t="shared" si="20"/>
        <v>1.5284507037302535E-2</v>
      </c>
      <c r="CV19" s="79">
        <f t="shared" si="20"/>
        <v>1.5249712103202964E-2</v>
      </c>
      <c r="CW19" s="79">
        <f t="shared" si="15"/>
        <v>1.5215193529931221E-2</v>
      </c>
      <c r="CX19" s="79">
        <f t="shared" si="15"/>
        <v>1.5180952381106148E-2</v>
      </c>
      <c r="CY19" s="79">
        <f t="shared" si="15"/>
        <v>1.5180952381106148E-2</v>
      </c>
      <c r="CZ19" s="79">
        <f t="shared" si="15"/>
        <v>1.5180952381106148E-2</v>
      </c>
      <c r="DA19" s="79">
        <f t="shared" si="15"/>
        <v>1.5180952381106148E-2</v>
      </c>
      <c r="DB19" s="79">
        <f t="shared" si="15"/>
        <v>1.5180952381106148E-2</v>
      </c>
      <c r="DC19" s="79">
        <f t="shared" si="15"/>
        <v>1.5180952381106148E-2</v>
      </c>
      <c r="DD19" s="79">
        <f t="shared" si="15"/>
        <v>1.5180952381106148E-2</v>
      </c>
      <c r="DE19" s="79">
        <f t="shared" si="15"/>
        <v>1.5180952381106148E-2</v>
      </c>
      <c r="DF19" s="79">
        <f t="shared" si="15"/>
        <v>1.5180952381106148E-2</v>
      </c>
      <c r="DG19" s="79">
        <f t="shared" si="15"/>
        <v>1.5180952381106148E-2</v>
      </c>
      <c r="DH19" s="79">
        <f t="shared" si="15"/>
        <v>1.5180952381106148E-2</v>
      </c>
      <c r="DI19" s="79">
        <f t="shared" si="15"/>
        <v>1.5180952381106148E-2</v>
      </c>
      <c r="DJ19" s="79">
        <f t="shared" si="15"/>
        <v>1.5180952381106148E-2</v>
      </c>
      <c r="DK19" s="79">
        <f t="shared" si="15"/>
        <v>1.5180952381106148E-2</v>
      </c>
      <c r="DL19" s="79">
        <f t="shared" si="15"/>
        <v>1.5180952381106148E-2</v>
      </c>
      <c r="DM19" s="79">
        <f t="shared" si="15"/>
        <v>1.5180952381106148E-2</v>
      </c>
      <c r="DN19" s="79">
        <f t="shared" si="15"/>
        <v>1.5180952381106148E-2</v>
      </c>
      <c r="DO19" s="79">
        <f t="shared" si="15"/>
        <v>1.5180952381106148E-2</v>
      </c>
      <c r="DP19" s="79">
        <f t="shared" si="15"/>
        <v>1.5180952381106148E-2</v>
      </c>
      <c r="DQ19" s="79">
        <f t="shared" si="15"/>
        <v>1.5180952381106148E-2</v>
      </c>
      <c r="DR19" s="79">
        <f t="shared" si="15"/>
        <v>1.5180952381106148E-2</v>
      </c>
      <c r="DS19" s="79">
        <f t="shared" si="15"/>
        <v>1.5180952381106148E-2</v>
      </c>
      <c r="DT19" s="79">
        <f t="shared" si="15"/>
        <v>1.5180952381106148E-2</v>
      </c>
      <c r="DU19" s="79">
        <f t="shared" si="15"/>
        <v>1.5180952381106148E-2</v>
      </c>
      <c r="DV19" s="79">
        <f t="shared" si="15"/>
        <v>1.5180952381106148E-2</v>
      </c>
      <c r="DW19" s="79">
        <f t="shared" si="15"/>
        <v>1.5180952381106148E-2</v>
      </c>
      <c r="DX19" s="79">
        <f t="shared" si="15"/>
        <v>1.5180952381106148E-2</v>
      </c>
      <c r="DY19" s="79">
        <f t="shared" si="15"/>
        <v>1.5180952381106148E-2</v>
      </c>
      <c r="DZ19" s="79">
        <f t="shared" si="15"/>
        <v>1.5180952381106148E-2</v>
      </c>
      <c r="EA19" s="79">
        <f t="shared" si="15"/>
        <v>1.5180952381106148E-2</v>
      </c>
      <c r="EB19" s="79">
        <f t="shared" si="15"/>
        <v>1.5180952381106148E-2</v>
      </c>
      <c r="EC19" s="79">
        <f t="shared" si="15"/>
        <v>1.5180952381106148E-2</v>
      </c>
      <c r="ED19" s="79">
        <f t="shared" si="15"/>
        <v>1.5180952381106148E-2</v>
      </c>
      <c r="EE19" s="79">
        <f t="shared" si="15"/>
        <v>1.5180952381106148E-2</v>
      </c>
      <c r="EF19" s="79">
        <f t="shared" si="12"/>
        <v>1.5180952381106148E-2</v>
      </c>
      <c r="EG19" s="79">
        <f t="shared" si="12"/>
        <v>1.5180952381106148E-2</v>
      </c>
      <c r="EH19" s="79">
        <f t="shared" si="12"/>
        <v>1.5180952381106148E-2</v>
      </c>
      <c r="EI19" s="79">
        <f t="shared" si="12"/>
        <v>1.5180952381106148E-2</v>
      </c>
      <c r="EJ19" s="79">
        <f t="shared" si="12"/>
        <v>1.5180952381106148E-2</v>
      </c>
      <c r="EK19" s="79">
        <f t="shared" si="12"/>
        <v>1.5180952381106148E-2</v>
      </c>
      <c r="EL19" s="79">
        <f t="shared" si="12"/>
        <v>1.5180952381106148E-2</v>
      </c>
      <c r="EM19" s="79">
        <f t="shared" si="12"/>
        <v>1.5180952381106148E-2</v>
      </c>
      <c r="EN19" s="79">
        <f t="shared" si="12"/>
        <v>1.5180952381106148E-2</v>
      </c>
      <c r="EO19" s="79">
        <f t="shared" si="12"/>
        <v>1.5180952381106148E-2</v>
      </c>
      <c r="EP19" s="79">
        <f t="shared" si="12"/>
        <v>1.5180952381106148E-2</v>
      </c>
      <c r="EQ19" s="79">
        <f t="shared" si="12"/>
        <v>1.5180952381106148E-2</v>
      </c>
      <c r="ER19" s="79">
        <f t="shared" si="12"/>
        <v>1.5180952381106148E-2</v>
      </c>
      <c r="ES19" s="79">
        <f t="shared" si="12"/>
        <v>1.5180952381106148E-2</v>
      </c>
      <c r="ET19" s="79">
        <f t="shared" si="12"/>
        <v>1.5180952381106148E-2</v>
      </c>
      <c r="FA19" s="27"/>
      <c r="FF19" s="6" t="s">
        <v>2995</v>
      </c>
      <c r="FG19" s="696">
        <v>2.5000000000000001E-2</v>
      </c>
      <c r="FH19" s="696">
        <v>96</v>
      </c>
      <c r="FI19" s="696">
        <v>1.7500000000000002E-2</v>
      </c>
      <c r="FJ19" s="255">
        <v>1.3999999999999999E-2</v>
      </c>
      <c r="FK19" s="71">
        <f t="shared" si="10"/>
        <v>2.6190476190476197E-4</v>
      </c>
      <c r="FL19" t="e">
        <f>VLOOKUP(FF19,'SIMULADOR COM SALDO'!$BX$22:$CK$1000,13,FALSE)</f>
        <v>#N/A</v>
      </c>
    </row>
    <row r="20" spans="5:168" ht="18" customHeight="1" x14ac:dyDescent="0.25">
      <c r="E20" s="77"/>
      <c r="F20" s="97">
        <f t="shared" si="11"/>
        <v>1.527857142857143E-2</v>
      </c>
      <c r="G20" s="79">
        <f t="shared" si="9"/>
        <v>1.8497980169204353E-2</v>
      </c>
      <c r="H20" s="79">
        <f t="shared" si="9"/>
        <v>1.849400823373315E-2</v>
      </c>
      <c r="I20" s="79">
        <f t="shared" si="9"/>
        <v>1.8488150818308551E-2</v>
      </c>
      <c r="J20" s="79">
        <f t="shared" si="9"/>
        <v>1.8480473416486252E-2</v>
      </c>
      <c r="K20" s="79">
        <f t="shared" si="9"/>
        <v>1.8471040364465219E-2</v>
      </c>
      <c r="L20" s="79">
        <f t="shared" si="9"/>
        <v>1.8459914818318501E-2</v>
      </c>
      <c r="M20" s="79">
        <f t="shared" si="9"/>
        <v>1.8447158734497763E-2</v>
      </c>
      <c r="N20" s="79">
        <f t="shared" si="9"/>
        <v>1.8432832853456052E-2</v>
      </c>
      <c r="O20" s="79">
        <f t="shared" si="9"/>
        <v>1.8416996686237593E-2</v>
      </c>
      <c r="P20" s="79">
        <f t="shared" si="9"/>
        <v>1.8399708503882443E-2</v>
      </c>
      <c r="Q20" s="79">
        <f t="shared" si="9"/>
        <v>1.8381025329497702E-2</v>
      </c>
      <c r="R20" s="79">
        <f t="shared" si="9"/>
        <v>1.8361002932843474E-2</v>
      </c>
      <c r="S20" s="79">
        <f t="shared" si="9"/>
        <v>1.833969582729247E-2</v>
      </c>
      <c r="T20" s="79">
        <f t="shared" si="9"/>
        <v>1.8317157269014957E-2</v>
      </c>
      <c r="U20" s="79">
        <f t="shared" si="9"/>
        <v>1.8293439258254711E-2</v>
      </c>
      <c r="V20" s="79">
        <f t="shared" si="9"/>
        <v>1.8268592542555407E-2</v>
      </c>
      <c r="W20" s="79">
        <f t="shared" si="16"/>
        <v>1.8242666621807558E-2</v>
      </c>
      <c r="X20" s="79">
        <f t="shared" si="16"/>
        <v>1.8215709754987704E-2</v>
      </c>
      <c r="Y20" s="79">
        <f t="shared" si="16"/>
        <v>1.8187768968463257E-2</v>
      </c>
      <c r="Z20" s="79">
        <f t="shared" si="16"/>
        <v>1.8158890065747248E-2</v>
      </c>
      <c r="AA20" s="79">
        <f t="shared" si="16"/>
        <v>1.812911763858463E-2</v>
      </c>
      <c r="AB20" s="79">
        <f t="shared" si="16"/>
        <v>1.8098495079260282E-2</v>
      </c>
      <c r="AC20" s="79">
        <f t="shared" si="16"/>
        <v>1.8067064594023904E-2</v>
      </c>
      <c r="AD20" s="79">
        <f t="shared" si="16"/>
        <v>1.8034867217528783E-2</v>
      </c>
      <c r="AE20" s="79">
        <f t="shared" si="16"/>
        <v>1.8001942828188584E-2</v>
      </c>
      <c r="AF20" s="79">
        <f t="shared" si="16"/>
        <v>1.7968330164359923E-2</v>
      </c>
      <c r="AG20" s="79">
        <f t="shared" si="16"/>
        <v>1.7934066841263561E-2</v>
      </c>
      <c r="AH20" s="79">
        <f t="shared" si="16"/>
        <v>1.7899189368559023E-2</v>
      </c>
      <c r="AI20" s="79">
        <f t="shared" si="16"/>
        <v>1.7863733168498069E-2</v>
      </c>
      <c r="AJ20" s="79">
        <f t="shared" si="16"/>
        <v>1.7827732594577903E-2</v>
      </c>
      <c r="AK20" s="79">
        <f t="shared" si="16"/>
        <v>1.7791220950627625E-2</v>
      </c>
      <c r="AL20" s="79">
        <f t="shared" si="16"/>
        <v>1.7754230510260677E-2</v>
      </c>
      <c r="AM20" s="79">
        <f t="shared" si="16"/>
        <v>1.7716792536630634E-2</v>
      </c>
      <c r="AN20" s="79">
        <f t="shared" si="16"/>
        <v>1.7678937302433178E-2</v>
      </c>
      <c r="AO20" s="79">
        <f t="shared" si="16"/>
        <v>1.7640694110100261E-2</v>
      </c>
      <c r="AP20" s="79">
        <f t="shared" si="16"/>
        <v>1.7602091312133361E-2</v>
      </c>
      <c r="AQ20" s="79">
        <f t="shared" si="16"/>
        <v>1.7563156331532579E-2</v>
      </c>
      <c r="AR20" s="79">
        <f t="shared" si="16"/>
        <v>1.7523915682272764E-2</v>
      </c>
      <c r="AS20" s="79">
        <f t="shared" si="16"/>
        <v>1.7484394989790614E-2</v>
      </c>
      <c r="AT20" s="79">
        <f t="shared" si="16"/>
        <v>1.7444619011440971E-2</v>
      </c>
      <c r="AU20" s="79">
        <f t="shared" si="16"/>
        <v>1.7404611656891014E-2</v>
      </c>
      <c r="AV20" s="79">
        <f t="shared" si="16"/>
        <v>1.7364396008417288E-2</v>
      </c>
      <c r="AW20" s="79">
        <f t="shared" si="16"/>
        <v>1.7323994341078775E-2</v>
      </c>
      <c r="AX20" s="79">
        <f t="shared" si="16"/>
        <v>1.7283428142737166E-2</v>
      </c>
      <c r="AY20" s="79">
        <f t="shared" si="16"/>
        <v>1.7242718133901262E-2</v>
      </c>
      <c r="AZ20" s="79">
        <f t="shared" si="16"/>
        <v>1.7201884287372307E-2</v>
      </c>
      <c r="BA20" s="79">
        <f t="shared" si="16"/>
        <v>1.7160945847670982E-2</v>
      </c>
      <c r="BB20" s="79">
        <f t="shared" si="16"/>
        <v>1.7119921350226632E-2</v>
      </c>
      <c r="BC20" s="79">
        <f t="shared" si="16"/>
        <v>1.7078828640315104E-2</v>
      </c>
      <c r="BD20" s="79">
        <f t="shared" si="16"/>
        <v>1.703768489172729E-2</v>
      </c>
      <c r="BE20" s="79">
        <f t="shared" si="16"/>
        <v>1.6996506625158486E-2</v>
      </c>
      <c r="BF20" s="79">
        <f t="shared" si="16"/>
        <v>1.6955309726306132E-2</v>
      </c>
      <c r="BG20" s="79">
        <f t="shared" si="16"/>
        <v>1.6914109463666629E-2</v>
      </c>
      <c r="BH20" s="79">
        <f t="shared" si="16"/>
        <v>1.6872920506022182E-2</v>
      </c>
      <c r="BI20" s="79">
        <f t="shared" si="16"/>
        <v>1.6831756939611423E-2</v>
      </c>
      <c r="BJ20" s="79">
        <f t="shared" si="16"/>
        <v>1.6790632284978093E-2</v>
      </c>
      <c r="BK20" s="79">
        <f t="shared" si="16"/>
        <v>1.6749559513491278E-2</v>
      </c>
      <c r="BL20" s="79">
        <f t="shared" si="16"/>
        <v>1.6708551063536171E-2</v>
      </c>
      <c r="BM20" s="79">
        <f t="shared" si="16"/>
        <v>1.6667618856370085E-2</v>
      </c>
      <c r="BN20" s="79">
        <f t="shared" si="16"/>
        <v>1.6626774311643406E-2</v>
      </c>
      <c r="BO20" s="79">
        <f t="shared" si="16"/>
        <v>1.6586028362583143E-2</v>
      </c>
      <c r="BP20" s="79">
        <f t="shared" si="16"/>
        <v>1.6545391470839957E-2</v>
      </c>
      <c r="BQ20" s="79">
        <f t="shared" si="16"/>
        <v>1.6504873640998837E-2</v>
      </c>
      <c r="BR20" s="79">
        <f t="shared" si="16"/>
        <v>1.6464484434752121E-2</v>
      </c>
      <c r="BS20" s="79">
        <f t="shared" si="16"/>
        <v>1.6424232984740442E-2</v>
      </c>
      <c r="BT20" s="79">
        <f t="shared" si="16"/>
        <v>1.6384128008059877E-2</v>
      </c>
      <c r="BU20" s="79">
        <f t="shared" si="16"/>
        <v>1.634417781943984E-2</v>
      </c>
      <c r="BV20" s="79">
        <f t="shared" si="16"/>
        <v>1.6304390344094304E-2</v>
      </c>
      <c r="BW20" s="79">
        <f t="shared" si="16"/>
        <v>1.626477313024979E-2</v>
      </c>
      <c r="BX20" s="79">
        <f t="shared" si="16"/>
        <v>1.6225333361351978E-2</v>
      </c>
      <c r="BY20" s="79">
        <f t="shared" si="16"/>
        <v>1.6186077867959361E-2</v>
      </c>
      <c r="BZ20" s="79">
        <f t="shared" si="16"/>
        <v>1.6147013139322847E-2</v>
      </c>
      <c r="CA20" s="79">
        <f t="shared" si="16"/>
        <v>1.6108145334659527E-2</v>
      </c>
      <c r="CB20" s="79">
        <f t="shared" si="16"/>
        <v>1.6069480294123792E-2</v>
      </c>
      <c r="CC20" s="79">
        <f t="shared" si="16"/>
        <v>1.6031023549481445E-2</v>
      </c>
      <c r="CD20" s="79">
        <f t="shared" si="16"/>
        <v>1.5992780334491318E-2</v>
      </c>
      <c r="CE20" s="79">
        <f t="shared" ref="CE20:CV20" si="21">IF(CE$9&lt;=$K$6,RATE($K$6,1,CE66,0),"")</f>
        <v>1.5954755594999339E-2</v>
      </c>
      <c r="CF20" s="79">
        <f t="shared" si="21"/>
        <v>1.5916953998751367E-2</v>
      </c>
      <c r="CG20" s="79">
        <f t="shared" si="21"/>
        <v>1.5879379944930151E-2</v>
      </c>
      <c r="CH20" s="79">
        <f t="shared" si="21"/>
        <v>1.5842037573419492E-2</v>
      </c>
      <c r="CI20" s="79">
        <f t="shared" si="21"/>
        <v>1.5804930773805244E-2</v>
      </c>
      <c r="CJ20" s="79">
        <f t="shared" si="21"/>
        <v>1.5768063194115115E-2</v>
      </c>
      <c r="CK20" s="79">
        <f t="shared" si="21"/>
        <v>1.5731438249304851E-2</v>
      </c>
      <c r="CL20" s="79">
        <f t="shared" si="21"/>
        <v>1.5695059129495485E-2</v>
      </c>
      <c r="CM20" s="79">
        <f t="shared" si="21"/>
        <v>1.5658928807968014E-2</v>
      </c>
      <c r="CN20" s="79">
        <f t="shared" si="21"/>
        <v>1.5623050048920348E-2</v>
      </c>
      <c r="CO20" s="79">
        <f t="shared" si="21"/>
        <v>1.5587425414992436E-2</v>
      </c>
      <c r="CP20" s="79">
        <f t="shared" si="21"/>
        <v>1.555205727456564E-2</v>
      </c>
      <c r="CQ20" s="79">
        <f t="shared" si="21"/>
        <v>1.5516947808840303E-2</v>
      </c>
      <c r="CR20" s="79">
        <f t="shared" si="21"/>
        <v>1.5482099018699076E-2</v>
      </c>
      <c r="CS20" s="79">
        <f t="shared" si="21"/>
        <v>1.5447512731360023E-2</v>
      </c>
      <c r="CT20" s="79">
        <f t="shared" si="21"/>
        <v>1.5413190606824273E-2</v>
      </c>
      <c r="CU20" s="79">
        <f t="shared" si="21"/>
        <v>1.5379134144125237E-2</v>
      </c>
      <c r="CV20" s="79">
        <f t="shared" si="21"/>
        <v>1.5345344687384081E-2</v>
      </c>
      <c r="CW20" s="79">
        <f t="shared" si="15"/>
        <v>1.5311823431674296E-2</v>
      </c>
      <c r="CX20" s="79">
        <f t="shared" si="15"/>
        <v>1.5278571428704684E-2</v>
      </c>
      <c r="CY20" s="79">
        <f t="shared" si="15"/>
        <v>1.5278571428704684E-2</v>
      </c>
      <c r="CZ20" s="79">
        <f t="shared" si="15"/>
        <v>1.5278571428704684E-2</v>
      </c>
      <c r="DA20" s="79">
        <f t="shared" si="15"/>
        <v>1.5278571428704684E-2</v>
      </c>
      <c r="DB20" s="79">
        <f t="shared" si="15"/>
        <v>1.5278571428704684E-2</v>
      </c>
      <c r="DC20" s="79">
        <f t="shared" si="15"/>
        <v>1.5278571428704684E-2</v>
      </c>
      <c r="DD20" s="79">
        <f t="shared" si="15"/>
        <v>1.5278571428704684E-2</v>
      </c>
      <c r="DE20" s="79">
        <f t="shared" si="15"/>
        <v>1.5278571428704684E-2</v>
      </c>
      <c r="DF20" s="79">
        <f t="shared" si="15"/>
        <v>1.5278571428704684E-2</v>
      </c>
      <c r="DG20" s="79">
        <f t="shared" si="15"/>
        <v>1.5278571428704684E-2</v>
      </c>
      <c r="DH20" s="79">
        <f t="shared" si="15"/>
        <v>1.5278571428704684E-2</v>
      </c>
      <c r="DI20" s="79">
        <f t="shared" si="15"/>
        <v>1.5278571428704684E-2</v>
      </c>
      <c r="DJ20" s="79">
        <f t="shared" si="15"/>
        <v>1.5278571428704684E-2</v>
      </c>
      <c r="DK20" s="79">
        <f t="shared" si="15"/>
        <v>1.5278571428704684E-2</v>
      </c>
      <c r="DL20" s="79">
        <f t="shared" si="15"/>
        <v>1.5278571428704684E-2</v>
      </c>
      <c r="DM20" s="79">
        <f t="shared" si="15"/>
        <v>1.5278571428704684E-2</v>
      </c>
      <c r="DN20" s="79">
        <f t="shared" si="15"/>
        <v>1.5278571428704684E-2</v>
      </c>
      <c r="DO20" s="79">
        <f t="shared" si="15"/>
        <v>1.5278571428704684E-2</v>
      </c>
      <c r="DP20" s="79">
        <f t="shared" si="15"/>
        <v>1.5278571428704684E-2</v>
      </c>
      <c r="DQ20" s="79">
        <f t="shared" si="15"/>
        <v>1.5278571428704684E-2</v>
      </c>
      <c r="DR20" s="79">
        <f t="shared" si="15"/>
        <v>1.5278571428704684E-2</v>
      </c>
      <c r="DS20" s="79">
        <f t="shared" si="15"/>
        <v>1.5278571428704684E-2</v>
      </c>
      <c r="DT20" s="79">
        <f t="shared" si="15"/>
        <v>1.5278571428704684E-2</v>
      </c>
      <c r="DU20" s="79">
        <f t="shared" si="15"/>
        <v>1.5278571428704684E-2</v>
      </c>
      <c r="DV20" s="79">
        <f t="shared" si="15"/>
        <v>1.5278571428704684E-2</v>
      </c>
      <c r="DW20" s="79">
        <f t="shared" si="15"/>
        <v>1.5278571428704684E-2</v>
      </c>
      <c r="DX20" s="79">
        <f t="shared" si="15"/>
        <v>1.5278571428704684E-2</v>
      </c>
      <c r="DY20" s="79">
        <f t="shared" si="15"/>
        <v>1.5278571428704684E-2</v>
      </c>
      <c r="DZ20" s="79">
        <f t="shared" si="15"/>
        <v>1.5278571428704684E-2</v>
      </c>
      <c r="EA20" s="79">
        <f t="shared" si="15"/>
        <v>1.5278571428704684E-2</v>
      </c>
      <c r="EB20" s="79">
        <f t="shared" si="15"/>
        <v>1.5278571428704684E-2</v>
      </c>
      <c r="EC20" s="79">
        <f t="shared" si="15"/>
        <v>1.5278571428704684E-2</v>
      </c>
      <c r="ED20" s="79">
        <f t="shared" si="15"/>
        <v>1.5278571428704684E-2</v>
      </c>
      <c r="EE20" s="79">
        <f t="shared" si="15"/>
        <v>1.5278571428704684E-2</v>
      </c>
      <c r="EF20" s="79">
        <f t="shared" si="12"/>
        <v>1.5278571428704684E-2</v>
      </c>
      <c r="EG20" s="79">
        <f t="shared" si="12"/>
        <v>1.5278571428704684E-2</v>
      </c>
      <c r="EH20" s="79">
        <f t="shared" si="12"/>
        <v>1.5278571428704684E-2</v>
      </c>
      <c r="EI20" s="79">
        <f t="shared" si="12"/>
        <v>1.5278571428704684E-2</v>
      </c>
      <c r="EJ20" s="79">
        <f t="shared" si="12"/>
        <v>1.5278571428704684E-2</v>
      </c>
      <c r="EK20" s="79">
        <f t="shared" si="12"/>
        <v>1.5278571428704684E-2</v>
      </c>
      <c r="EL20" s="79">
        <f t="shared" si="12"/>
        <v>1.5278571428704684E-2</v>
      </c>
      <c r="EM20" s="79">
        <f t="shared" si="12"/>
        <v>1.5278571428704684E-2</v>
      </c>
      <c r="EN20" s="79">
        <f t="shared" si="12"/>
        <v>1.5278571428704684E-2</v>
      </c>
      <c r="EO20" s="79">
        <f t="shared" si="12"/>
        <v>1.5278571428704684E-2</v>
      </c>
      <c r="EP20" s="79">
        <f t="shared" si="12"/>
        <v>1.5278571428704684E-2</v>
      </c>
      <c r="EQ20" s="79">
        <f t="shared" si="12"/>
        <v>1.5278571428704684E-2</v>
      </c>
      <c r="ER20" s="79">
        <f t="shared" si="12"/>
        <v>1.5278571428704684E-2</v>
      </c>
      <c r="ES20" s="79">
        <f t="shared" si="12"/>
        <v>1.5278571428704684E-2</v>
      </c>
      <c r="ET20" s="79">
        <f t="shared" si="12"/>
        <v>1.5278571428704684E-2</v>
      </c>
      <c r="FA20" s="27"/>
      <c r="FF20" s="6" t="s">
        <v>2996</v>
      </c>
      <c r="FG20" s="696">
        <v>2.5000000000000001E-2</v>
      </c>
      <c r="FH20" s="696">
        <v>120</v>
      </c>
      <c r="FI20" s="696">
        <v>2.1000000000000001E-2</v>
      </c>
      <c r="FJ20" s="255">
        <v>1.4999999999999999E-2</v>
      </c>
      <c r="FK20" s="71">
        <f t="shared" si="10"/>
        <v>2.3809523809523815E-4</v>
      </c>
      <c r="FL20" t="e">
        <f>VLOOKUP(FF20,'SIMULADOR COM SALDO'!$BX$22:$CK$1000,13,FALSE)</f>
        <v>#N/A</v>
      </c>
    </row>
    <row r="21" spans="5:168" ht="18" customHeight="1" x14ac:dyDescent="0.25">
      <c r="E21" s="77"/>
      <c r="F21" s="97">
        <f t="shared" si="11"/>
        <v>1.5376190476190477E-2</v>
      </c>
      <c r="G21" s="79">
        <f t="shared" si="9"/>
        <v>1.8498041561257346E-2</v>
      </c>
      <c r="H21" s="79">
        <f t="shared" si="9"/>
        <v>1.849419051785919E-2</v>
      </c>
      <c r="I21" s="79">
        <f t="shared" si="9"/>
        <v>1.8488511609869186E-2</v>
      </c>
      <c r="J21" s="79">
        <f t="shared" si="9"/>
        <v>1.8481068456601791E-2</v>
      </c>
      <c r="K21" s="79">
        <f t="shared" si="9"/>
        <v>1.8471923533263313E-2</v>
      </c>
      <c r="L21" s="79">
        <f t="shared" si="9"/>
        <v>1.8461138150810168E-2</v>
      </c>
      <c r="M21" s="79">
        <f t="shared" si="9"/>
        <v>1.8448772438877225E-2</v>
      </c>
      <c r="N21" s="79">
        <f t="shared" si="9"/>
        <v>1.8434885331631699E-2</v>
      </c>
      <c r="O21" s="79">
        <f t="shared" si="9"/>
        <v>1.8419534556403615E-2</v>
      </c>
      <c r="P21" s="79">
        <f t="shared" si="9"/>
        <v>1.8402776624951354E-2</v>
      </c>
      <c r="Q21" s="79">
        <f t="shared" si="9"/>
        <v>1.8384666827215252E-2</v>
      </c>
      <c r="R21" s="79">
        <f t="shared" si="9"/>
        <v>1.8365259227420137E-2</v>
      </c>
      <c r="S21" s="79">
        <f t="shared" si="9"/>
        <v>1.834460666238891E-2</v>
      </c>
      <c r="T21" s="79">
        <f t="shared" si="9"/>
        <v>1.8322760741928876E-2</v>
      </c>
      <c r="U21" s="79">
        <f t="shared" si="9"/>
        <v>1.8299771851160492E-2</v>
      </c>
      <c r="V21" s="79">
        <f t="shared" si="9"/>
        <v>1.8275689154660147E-2</v>
      </c>
      <c r="W21" s="79">
        <f t="shared" ref="W21:CH24" si="22">IF(W$9&lt;=$K$6,RATE($K$6,1,W67,0),"")</f>
        <v>1.8250560602288704E-2</v>
      </c>
      <c r="X21" s="79">
        <f t="shared" si="22"/>
        <v>1.8224432936589253E-2</v>
      </c>
      <c r="Y21" s="79">
        <f t="shared" si="22"/>
        <v>1.8197351701633158E-2</v>
      </c>
      <c r="Z21" s="79">
        <f t="shared" si="22"/>
        <v>1.8169361253204574E-2</v>
      </c>
      <c r="AA21" s="79">
        <f t="shared" si="22"/>
        <v>1.8140504770213332E-2</v>
      </c>
      <c r="AB21" s="79">
        <f t="shared" si="22"/>
        <v>1.8110824267232199E-2</v>
      </c>
      <c r="AC21" s="79">
        <f t="shared" si="22"/>
        <v>1.8080360608061691E-2</v>
      </c>
      <c r="AD21" s="79">
        <f t="shared" si="22"/>
        <v>1.804915352022279E-2</v>
      </c>
      <c r="AE21" s="79">
        <f t="shared" si="22"/>
        <v>1.8017241610291865E-2</v>
      </c>
      <c r="AF21" s="79">
        <f t="shared" si="22"/>
        <v>1.7984662379987203E-2</v>
      </c>
      <c r="AG21" s="79">
        <f t="shared" si="22"/>
        <v>1.7951452242928413E-2</v>
      </c>
      <c r="AH21" s="79">
        <f t="shared" si="22"/>
        <v>1.7917646541989556E-2</v>
      </c>
      <c r="AI21" s="79">
        <f t="shared" si="22"/>
        <v>1.7883279567172356E-2</v>
      </c>
      <c r="AJ21" s="79">
        <f t="shared" si="22"/>
        <v>1.784838457393062E-2</v>
      </c>
      <c r="AK21" s="79">
        <f t="shared" si="22"/>
        <v>1.7812993801881401E-2</v>
      </c>
      <c r="AL21" s="79">
        <f t="shared" si="22"/>
        <v>1.7777138493838673E-2</v>
      </c>
      <c r="AM21" s="79">
        <f t="shared" si="22"/>
        <v>1.7740848915114692E-2</v>
      </c>
      <c r="AN21" s="79">
        <f t="shared" si="22"/>
        <v>1.7704154373033628E-2</v>
      </c>
      <c r="AO21" s="79">
        <f t="shared" si="22"/>
        <v>1.7667083236606273E-2</v>
      </c>
      <c r="AP21" s="79">
        <f t="shared" si="22"/>
        <v>1.7629662956320288E-2</v>
      </c>
      <c r="AQ21" s="79">
        <f t="shared" si="22"/>
        <v>1.7591920084000259E-2</v>
      </c>
      <c r="AR21" s="79">
        <f t="shared" si="22"/>
        <v>1.7553880292698516E-2</v>
      </c>
      <c r="AS21" s="79">
        <f t="shared" si="22"/>
        <v>1.751556839657669E-2</v>
      </c>
      <c r="AT21" s="79">
        <f t="shared" si="22"/>
        <v>1.7477008370745822E-2</v>
      </c>
      <c r="AU21" s="79">
        <f t="shared" si="22"/>
        <v>1.7438223371030032E-2</v>
      </c>
      <c r="AV21" s="79">
        <f t="shared" si="22"/>
        <v>1.739923575362606E-2</v>
      </c>
      <c r="AW21" s="79">
        <f t="shared" si="22"/>
        <v>1.7360067094630678E-2</v>
      </c>
      <c r="AX21" s="79">
        <f t="shared" si="22"/>
        <v>1.7320738209411778E-2</v>
      </c>
      <c r="AY21" s="79">
        <f t="shared" si="22"/>
        <v>1.7281269171798418E-2</v>
      </c>
      <c r="AZ21" s="79">
        <f t="shared" si="22"/>
        <v>1.7241679333073277E-2</v>
      </c>
      <c r="BA21" s="79">
        <f t="shared" si="22"/>
        <v>1.7201987340745083E-2</v>
      </c>
      <c r="BB21" s="79">
        <f t="shared" si="22"/>
        <v>1.7162211157086597E-2</v>
      </c>
      <c r="BC21" s="79">
        <f t="shared" si="22"/>
        <v>1.7122368077422581E-2</v>
      </c>
      <c r="BD21" s="79">
        <f t="shared" si="22"/>
        <v>1.7082474748154629E-2</v>
      </c>
      <c r="BE21" s="79">
        <f t="shared" si="22"/>
        <v>1.7042547184511248E-2</v>
      </c>
      <c r="BF21" s="79">
        <f t="shared" si="22"/>
        <v>1.7002600788013311E-2</v>
      </c>
      <c r="BG21" s="79">
        <f t="shared" si="22"/>
        <v>1.6962650363644836E-2</v>
      </c>
      <c r="BH21" s="79">
        <f t="shared" si="22"/>
        <v>1.6922710136723123E-2</v>
      </c>
      <c r="BI21" s="79">
        <f t="shared" si="22"/>
        <v>1.6882793769461221E-2</v>
      </c>
      <c r="BJ21" s="79">
        <f t="shared" si="22"/>
        <v>1.6842914377216699E-2</v>
      </c>
      <c r="BK21" s="79">
        <f t="shared" si="22"/>
        <v>1.6803084544424144E-2</v>
      </c>
      <c r="BL21" s="79">
        <f t="shared" si="22"/>
        <v>1.6763316340206082E-2</v>
      </c>
      <c r="BM21" s="79">
        <f t="shared" si="22"/>
        <v>1.6723621333661853E-2</v>
      </c>
      <c r="BN21" s="79">
        <f t="shared" si="22"/>
        <v>1.6684010608832046E-2</v>
      </c>
      <c r="BO21" s="79">
        <f t="shared" si="22"/>
        <v>1.6644494779336348E-2</v>
      </c>
      <c r="BP21" s="79">
        <f t="shared" si="22"/>
        <v>1.6605084002687887E-2</v>
      </c>
      <c r="BQ21" s="79">
        <f t="shared" si="22"/>
        <v>1.656578799428135E-2</v>
      </c>
      <c r="BR21" s="79">
        <f t="shared" si="22"/>
        <v>1.6526616041057193E-2</v>
      </c>
      <c r="BS21" s="79">
        <f t="shared" si="22"/>
        <v>1.648757701484499E-2</v>
      </c>
      <c r="BT21" s="79">
        <f t="shared" si="22"/>
        <v>1.6448679385384513E-2</v>
      </c>
      <c r="BU21" s="79">
        <f t="shared" si="22"/>
        <v>1.6409931233031572E-2</v>
      </c>
      <c r="BV21" s="79">
        <f t="shared" si="22"/>
        <v>1.6371340261147452E-2</v>
      </c>
      <c r="BW21" s="79">
        <f t="shared" si="22"/>
        <v>1.6332913808177873E-2</v>
      </c>
      <c r="BX21" s="79">
        <f t="shared" si="22"/>
        <v>1.629465885942397E-2</v>
      </c>
      <c r="BY21" s="79">
        <f t="shared" si="22"/>
        <v>1.6256582058509956E-2</v>
      </c>
      <c r="BZ21" s="79">
        <f t="shared" si="22"/>
        <v>1.6218689718550283E-2</v>
      </c>
      <c r="CA21" s="79">
        <f t="shared" si="22"/>
        <v>1.6180987833022159E-2</v>
      </c>
      <c r="CB21" s="79">
        <f t="shared" si="22"/>
        <v>1.6143482086347472E-2</v>
      </c>
      <c r="CC21" s="79">
        <f t="shared" si="22"/>
        <v>1.6106177864188328E-2</v>
      </c>
      <c r="CD21" s="79">
        <f t="shared" si="22"/>
        <v>1.6069080263462116E-2</v>
      </c>
      <c r="CE21" s="79">
        <f t="shared" si="22"/>
        <v>1.6032194102079764E-2</v>
      </c>
      <c r="CF21" s="79">
        <f t="shared" si="22"/>
        <v>1.5995523928414534E-2</v>
      </c>
      <c r="CG21" s="79">
        <f t="shared" si="22"/>
        <v>1.5959074030502979E-2</v>
      </c>
      <c r="CH21" s="79">
        <f t="shared" si="22"/>
        <v>1.5922848444988331E-2</v>
      </c>
      <c r="CI21" s="79">
        <f t="shared" ref="CI21:CV21" si="23">IF(CI$9&lt;=$K$6,RATE($K$6,1,CI67,0),"")</f>
        <v>1.588685096580603E-2</v>
      </c>
      <c r="CJ21" s="79">
        <f t="shared" si="23"/>
        <v>1.5851085152621139E-2</v>
      </c>
      <c r="CK21" s="79">
        <f t="shared" si="23"/>
        <v>1.5815554339021355E-2</v>
      </c>
      <c r="CL21" s="79">
        <f t="shared" si="23"/>
        <v>1.5780261640470524E-2</v>
      </c>
      <c r="CM21" s="79">
        <f t="shared" si="23"/>
        <v>1.5745209962028359E-2</v>
      </c>
      <c r="CN21" s="79">
        <f t="shared" si="23"/>
        <v>1.5710402005843869E-2</v>
      </c>
      <c r="CO21" s="79">
        <f t="shared" si="23"/>
        <v>1.5675840278422403E-2</v>
      </c>
      <c r="CP21" s="79">
        <f t="shared" si="23"/>
        <v>1.5641527097679058E-2</v>
      </c>
      <c r="CQ21" s="79">
        <f t="shared" si="23"/>
        <v>1.5607464599776834E-2</v>
      </c>
      <c r="CR21" s="79">
        <f t="shared" si="23"/>
        <v>1.5573654745759162E-2</v>
      </c>
      <c r="CS21" s="79">
        <f t="shared" si="23"/>
        <v>1.5540099327980108E-2</v>
      </c>
      <c r="CT21" s="79">
        <f t="shared" si="23"/>
        <v>1.5506799976338114E-2</v>
      </c>
      <c r="CU21" s="79">
        <f t="shared" si="23"/>
        <v>1.547375816431785E-2</v>
      </c>
      <c r="CV21" s="79">
        <f t="shared" si="23"/>
        <v>1.5440975214844357E-2</v>
      </c>
      <c r="CW21" s="79">
        <f t="shared" si="15"/>
        <v>1.540845230595733E-2</v>
      </c>
      <c r="CX21" s="79">
        <f t="shared" si="15"/>
        <v>1.5376190476306336E-2</v>
      </c>
      <c r="CY21" s="79">
        <f t="shared" si="15"/>
        <v>1.5376190476306336E-2</v>
      </c>
      <c r="CZ21" s="79">
        <f t="shared" si="15"/>
        <v>1.5376190476306336E-2</v>
      </c>
      <c r="DA21" s="79">
        <f t="shared" si="15"/>
        <v>1.5376190476306336E-2</v>
      </c>
      <c r="DB21" s="79">
        <f t="shared" si="15"/>
        <v>1.5376190476306336E-2</v>
      </c>
      <c r="DC21" s="79">
        <f t="shared" si="15"/>
        <v>1.5376190476306336E-2</v>
      </c>
      <c r="DD21" s="79">
        <f t="shared" si="15"/>
        <v>1.5376190476306336E-2</v>
      </c>
      <c r="DE21" s="79">
        <f t="shared" si="15"/>
        <v>1.5376190476306336E-2</v>
      </c>
      <c r="DF21" s="79">
        <f t="shared" si="15"/>
        <v>1.5376190476306336E-2</v>
      </c>
      <c r="DG21" s="79">
        <f t="shared" si="15"/>
        <v>1.5376190476306336E-2</v>
      </c>
      <c r="DH21" s="79">
        <f t="shared" si="15"/>
        <v>1.5376190476306336E-2</v>
      </c>
      <c r="DI21" s="79">
        <f t="shared" si="15"/>
        <v>1.5376190476306336E-2</v>
      </c>
      <c r="DJ21" s="79">
        <f t="shared" si="15"/>
        <v>1.5376190476306336E-2</v>
      </c>
      <c r="DK21" s="79">
        <f t="shared" si="15"/>
        <v>1.5376190476306336E-2</v>
      </c>
      <c r="DL21" s="79">
        <f t="shared" si="15"/>
        <v>1.5376190476306336E-2</v>
      </c>
      <c r="DM21" s="79">
        <f t="shared" si="15"/>
        <v>1.5376190476306336E-2</v>
      </c>
      <c r="DN21" s="79">
        <f t="shared" si="15"/>
        <v>1.5376190476306336E-2</v>
      </c>
      <c r="DO21" s="79">
        <f t="shared" si="15"/>
        <v>1.5376190476306336E-2</v>
      </c>
      <c r="DP21" s="79">
        <f t="shared" si="15"/>
        <v>1.5376190476306336E-2</v>
      </c>
      <c r="DQ21" s="79">
        <f t="shared" si="15"/>
        <v>1.5376190476306336E-2</v>
      </c>
      <c r="DR21" s="79">
        <f t="shared" si="15"/>
        <v>1.5376190476306336E-2</v>
      </c>
      <c r="DS21" s="79">
        <f t="shared" si="15"/>
        <v>1.5376190476306336E-2</v>
      </c>
      <c r="DT21" s="79">
        <f t="shared" si="15"/>
        <v>1.5376190476306336E-2</v>
      </c>
      <c r="DU21" s="79">
        <f t="shared" si="15"/>
        <v>1.5376190476306336E-2</v>
      </c>
      <c r="DV21" s="79">
        <f t="shared" si="15"/>
        <v>1.5376190476306336E-2</v>
      </c>
      <c r="DW21" s="79">
        <f t="shared" si="15"/>
        <v>1.5376190476306336E-2</v>
      </c>
      <c r="DX21" s="79">
        <f t="shared" si="15"/>
        <v>1.5376190476306336E-2</v>
      </c>
      <c r="DY21" s="79">
        <f t="shared" si="15"/>
        <v>1.5376190476306336E-2</v>
      </c>
      <c r="DZ21" s="79">
        <f t="shared" si="15"/>
        <v>1.5376190476306336E-2</v>
      </c>
      <c r="EA21" s="79">
        <f t="shared" si="15"/>
        <v>1.5376190476306336E-2</v>
      </c>
      <c r="EB21" s="79">
        <f t="shared" si="15"/>
        <v>1.5376190476306336E-2</v>
      </c>
      <c r="EC21" s="79">
        <f t="shared" si="15"/>
        <v>1.5376190476306336E-2</v>
      </c>
      <c r="ED21" s="79">
        <f t="shared" si="15"/>
        <v>1.5376190476306336E-2</v>
      </c>
      <c r="EE21" s="79">
        <f t="shared" si="15"/>
        <v>1.5376190476306336E-2</v>
      </c>
      <c r="EF21" s="79">
        <f t="shared" si="12"/>
        <v>1.5376190476306336E-2</v>
      </c>
      <c r="EG21" s="79">
        <f t="shared" si="12"/>
        <v>1.5376190476306336E-2</v>
      </c>
      <c r="EH21" s="79">
        <f t="shared" si="12"/>
        <v>1.5376190476306336E-2</v>
      </c>
      <c r="EI21" s="79">
        <f t="shared" si="12"/>
        <v>1.5376190476306336E-2</v>
      </c>
      <c r="EJ21" s="79">
        <f t="shared" si="12"/>
        <v>1.5376190476306336E-2</v>
      </c>
      <c r="EK21" s="79">
        <f t="shared" si="12"/>
        <v>1.5376190476306336E-2</v>
      </c>
      <c r="EL21" s="79">
        <f t="shared" si="12"/>
        <v>1.5376190476306336E-2</v>
      </c>
      <c r="EM21" s="79">
        <f t="shared" si="12"/>
        <v>1.5376190476306336E-2</v>
      </c>
      <c r="EN21" s="79">
        <f t="shared" si="12"/>
        <v>1.5376190476306336E-2</v>
      </c>
      <c r="EO21" s="79">
        <f t="shared" si="12"/>
        <v>1.5376190476306336E-2</v>
      </c>
      <c r="EP21" s="79">
        <f t="shared" si="12"/>
        <v>1.5376190476306336E-2</v>
      </c>
      <c r="EQ21" s="79">
        <f t="shared" si="12"/>
        <v>1.5376190476306336E-2</v>
      </c>
      <c r="ER21" s="79">
        <f t="shared" si="12"/>
        <v>1.5376190476306336E-2</v>
      </c>
      <c r="ES21" s="79">
        <f t="shared" si="12"/>
        <v>1.5376190476306336E-2</v>
      </c>
      <c r="ET21" s="79">
        <f t="shared" si="12"/>
        <v>1.5376190476306336E-2</v>
      </c>
      <c r="FA21" s="27"/>
      <c r="FF21" s="6" t="s">
        <v>651</v>
      </c>
      <c r="FG21" s="696">
        <v>2.5000000000000001E-2</v>
      </c>
      <c r="FH21" s="696">
        <v>96</v>
      </c>
      <c r="FI21" s="696">
        <v>2.3199999999999998E-2</v>
      </c>
      <c r="FJ21" s="255">
        <v>1.67E-2</v>
      </c>
      <c r="FK21" s="71">
        <f t="shared" si="10"/>
        <v>1.9761904761904765E-4</v>
      </c>
      <c r="FL21" t="e">
        <f>VLOOKUP(FF21,'SIMULADOR COM SALDO'!$BX$22:$CK$1000,13,FALSE)</f>
        <v>#N/A</v>
      </c>
    </row>
    <row r="22" spans="5:168" ht="18" customHeight="1" x14ac:dyDescent="0.25">
      <c r="E22" s="77"/>
      <c r="F22" s="97">
        <f t="shared" si="11"/>
        <v>1.5473809523809525E-2</v>
      </c>
      <c r="G22" s="79">
        <f t="shared" si="9"/>
        <v>1.8498102941710341E-2</v>
      </c>
      <c r="H22" s="79">
        <f t="shared" si="9"/>
        <v>1.849437275711038E-2</v>
      </c>
      <c r="I22" s="79">
        <f t="shared" si="9"/>
        <v>1.8488872293143499E-2</v>
      </c>
      <c r="J22" s="79">
        <f t="shared" si="9"/>
        <v>1.8481663287909542E-2</v>
      </c>
      <c r="K22" s="79">
        <f t="shared" si="9"/>
        <v>1.8472806350017513E-2</v>
      </c>
      <c r="L22" s="79">
        <f t="shared" si="9"/>
        <v>1.8462360940954388E-2</v>
      </c>
      <c r="M22" s="79">
        <f t="shared" si="9"/>
        <v>1.8450385360328034E-2</v>
      </c>
      <c r="N22" s="79">
        <f t="shared" si="9"/>
        <v>1.8436936733845048E-2</v>
      </c>
      <c r="O22" s="79">
        <f t="shared" si="9"/>
        <v>1.8422071003882851E-2</v>
      </c>
      <c r="P22" s="79">
        <f t="shared" si="9"/>
        <v>1.84058429225177E-2</v>
      </c>
      <c r="Q22" s="79">
        <f t="shared" si="9"/>
        <v>1.8388306046873151E-2</v>
      </c>
      <c r="R22" s="79">
        <f t="shared" si="9"/>
        <v>1.8369512736652532E-2</v>
      </c>
      <c r="S22" s="79">
        <f t="shared" si="9"/>
        <v>1.8349514153726234E-2</v>
      </c>
      <c r="T22" s="79">
        <f t="shared" si="9"/>
        <v>1.8328360263644379E-2</v>
      </c>
      <c r="U22" s="79">
        <f t="shared" si="9"/>
        <v>1.8306099838949486E-2</v>
      </c>
      <c r="V22" s="79">
        <f t="shared" si="9"/>
        <v>1.8282780464167529E-2</v>
      </c>
      <c r="W22" s="79">
        <f t="shared" si="22"/>
        <v>1.8258448542360629E-2</v>
      </c>
      <c r="X22" s="79">
        <f t="shared" si="22"/>
        <v>1.8233149303125553E-2</v>
      </c>
      <c r="Y22" s="79">
        <f t="shared" si="22"/>
        <v>1.8206926811929317E-2</v>
      </c>
      <c r="Z22" s="79">
        <f t="shared" si="22"/>
        <v>1.8179823980676756E-2</v>
      </c>
      <c r="AA22" s="79">
        <f t="shared" si="22"/>
        <v>1.8151882579405469E-2</v>
      </c>
      <c r="AB22" s="79">
        <f t="shared" si="22"/>
        <v>1.8123143249015379E-2</v>
      </c>
      <c r="AC22" s="79">
        <f t="shared" si="22"/>
        <v>1.8093645514933778E-2</v>
      </c>
      <c r="AD22" s="79">
        <f t="shared" si="22"/>
        <v>1.8063427801633548E-2</v>
      </c>
      <c r="AE22" s="79">
        <f t="shared" si="22"/>
        <v>1.8032527447914479E-2</v>
      </c>
      <c r="AF22" s="79">
        <f t="shared" si="22"/>
        <v>1.8000980722868837E-2</v>
      </c>
      <c r="AG22" s="79">
        <f t="shared" si="22"/>
        <v>1.7968822842456673E-2</v>
      </c>
      <c r="AH22" s="79">
        <f t="shared" si="22"/>
        <v>1.7936087986615504E-2</v>
      </c>
      <c r="AI22" s="79">
        <f t="shared" si="22"/>
        <v>1.7902809316837544E-2</v>
      </c>
      <c r="AJ22" s="79">
        <f t="shared" si="22"/>
        <v>1.7869018994149079E-2</v>
      </c>
      <c r="AK22" s="79">
        <f t="shared" si="22"/>
        <v>1.783474819743245E-2</v>
      </c>
      <c r="AL22" s="79">
        <f t="shared" si="22"/>
        <v>1.7800027142031643E-2</v>
      </c>
      <c r="AM22" s="79">
        <f t="shared" si="22"/>
        <v>1.7764885098589586E-2</v>
      </c>
      <c r="AN22" s="79">
        <f t="shared" si="22"/>
        <v>1.7729350412065005E-2</v>
      </c>
      <c r="AO22" s="79">
        <f t="shared" si="22"/>
        <v>1.769345052088394E-2</v>
      </c>
      <c r="AP22" s="79">
        <f t="shared" si="22"/>
        <v>1.7657211976180327E-2</v>
      </c>
      <c r="AQ22" s="79">
        <f t="shared" si="22"/>
        <v>1.7620660461086828E-2</v>
      </c>
      <c r="AR22" s="79">
        <f t="shared" si="22"/>
        <v>1.7583820810035511E-2</v>
      </c>
      <c r="AS22" s="79">
        <f t="shared" si="22"/>
        <v>1.7546717028036736E-2</v>
      </c>
      <c r="AT22" s="79">
        <f t="shared" si="22"/>
        <v>1.7509372309900181E-2</v>
      </c>
      <c r="AU22" s="79">
        <f t="shared" si="22"/>
        <v>1.7471809059371627E-2</v>
      </c>
      <c r="AV22" s="79">
        <f t="shared" si="22"/>
        <v>1.743404890815603E-2</v>
      </c>
      <c r="AW22" s="79">
        <f t="shared" si="22"/>
        <v>1.7396112734802266E-2</v>
      </c>
      <c r="AX22" s="79">
        <f t="shared" si="22"/>
        <v>1.735802068342748E-2</v>
      </c>
      <c r="AY22" s="79">
        <f t="shared" si="22"/>
        <v>1.7319792182259038E-2</v>
      </c>
      <c r="AZ22" s="79">
        <f t="shared" si="22"/>
        <v>1.728144596197578E-2</v>
      </c>
      <c r="BA22" s="79">
        <f t="shared" si="22"/>
        <v>1.7243000073832379E-2</v>
      </c>
      <c r="BB22" s="79">
        <f t="shared" si="22"/>
        <v>1.7204471907550121E-2</v>
      </c>
      <c r="BC22" s="79">
        <f t="shared" si="22"/>
        <v>1.7165878208961725E-2</v>
      </c>
      <c r="BD22" s="79">
        <f t="shared" si="22"/>
        <v>1.7127235097396509E-2</v>
      </c>
      <c r="BE22" s="79">
        <f t="shared" si="22"/>
        <v>1.7088558082797935E-2</v>
      </c>
      <c r="BF22" s="79">
        <f t="shared" si="22"/>
        <v>1.7049862082562192E-2</v>
      </c>
      <c r="BG22" s="79">
        <f t="shared" si="22"/>
        <v>1.7011161438089173E-2</v>
      </c>
      <c r="BH22" s="79">
        <f t="shared" si="22"/>
        <v>1.6972469931042393E-2</v>
      </c>
      <c r="BI22" s="79">
        <f t="shared" si="22"/>
        <v>1.693380079930789E-2</v>
      </c>
      <c r="BJ22" s="79">
        <f t="shared" si="22"/>
        <v>1.6895166752651306E-2</v>
      </c>
      <c r="BK22" s="79">
        <f t="shared" si="22"/>
        <v>1.6856579988066084E-2</v>
      </c>
      <c r="BL22" s="79">
        <f t="shared" si="22"/>
        <v>1.6818052204813052E-2</v>
      </c>
      <c r="BM22" s="79">
        <f t="shared" si="22"/>
        <v>1.6779594619146364E-2</v>
      </c>
      <c r="BN22" s="79">
        <f t="shared" si="22"/>
        <v>1.6741217978727661E-2</v>
      </c>
      <c r="BO22" s="79">
        <f t="shared" si="22"/>
        <v>1.670293257672438E-2</v>
      </c>
      <c r="BP22" s="79">
        <f t="shared" si="22"/>
        <v>1.6664748265596031E-2</v>
      </c>
      <c r="BQ22" s="79">
        <f t="shared" si="22"/>
        <v>1.6626674470566104E-2</v>
      </c>
      <c r="BR22" s="79">
        <f t="shared" si="22"/>
        <v>1.6588720202782743E-2</v>
      </c>
      <c r="BS22" s="79">
        <f t="shared" si="22"/>
        <v>1.6550894072167612E-2</v>
      </c>
      <c r="BT22" s="79">
        <f t="shared" si="22"/>
        <v>1.6513204299959731E-2</v>
      </c>
      <c r="BU22" s="79">
        <f t="shared" si="22"/>
        <v>1.6475658730949933E-2</v>
      </c>
      <c r="BV22" s="79">
        <f t="shared" si="22"/>
        <v>1.6438264845416075E-2</v>
      </c>
      <c r="BW22" s="79">
        <f t="shared" si="22"/>
        <v>1.6401029770756147E-2</v>
      </c>
      <c r="BX22" s="79">
        <f t="shared" si="22"/>
        <v>1.6363960292827873E-2</v>
      </c>
      <c r="BY22" s="79">
        <f t="shared" si="22"/>
        <v>1.6327062866994976E-2</v>
      </c>
      <c r="BZ22" s="79">
        <f t="shared" si="22"/>
        <v>1.6290343628885151E-2</v>
      </c>
      <c r="CA22" s="79">
        <f t="shared" si="22"/>
        <v>1.6253808404866503E-2</v>
      </c>
      <c r="CB22" s="79">
        <f t="shared" si="22"/>
        <v>1.6217462722241748E-2</v>
      </c>
      <c r="CC22" s="79">
        <f t="shared" si="22"/>
        <v>1.6181311819170398E-2</v>
      </c>
      <c r="CD22" s="79">
        <f t="shared" si="22"/>
        <v>1.6145360654319298E-2</v>
      </c>
      <c r="CE22" s="79">
        <f t="shared" si="22"/>
        <v>1.610961391624971E-2</v>
      </c>
      <c r="CF22" s="79">
        <f t="shared" si="22"/>
        <v>1.6074076032541802E-2</v>
      </c>
      <c r="CG22" s="79">
        <f t="shared" si="22"/>
        <v>1.6038751178667831E-2</v>
      </c>
      <c r="CH22" s="79">
        <f t="shared" si="22"/>
        <v>1.6003643286610223E-2</v>
      </c>
      <c r="CI22" s="79">
        <f t="shared" ref="CI22:CV22" si="24">IF(CI$9&lt;=$K$6,RATE($K$6,1,CI68,0),"")</f>
        <v>1.5968756053240222E-2</v>
      </c>
      <c r="CJ22" s="79">
        <f t="shared" si="24"/>
        <v>1.5934092948452456E-2</v>
      </c>
      <c r="CK22" s="79">
        <f t="shared" si="24"/>
        <v>1.5899657223066507E-2</v>
      </c>
      <c r="CL22" s="79">
        <f t="shared" si="24"/>
        <v>1.5865451916500111E-2</v>
      </c>
      <c r="CM22" s="79">
        <f t="shared" si="24"/>
        <v>1.5831479864215625E-2</v>
      </c>
      <c r="CN22" s="79">
        <f t="shared" si="24"/>
        <v>1.5797743704949407E-2</v>
      </c>
      <c r="CO22" s="79">
        <f t="shared" si="24"/>
        <v>1.5764245887726076E-2</v>
      </c>
      <c r="CP22" s="79">
        <f t="shared" si="24"/>
        <v>1.5730988678664522E-2</v>
      </c>
      <c r="CQ22" s="79">
        <f t="shared" si="24"/>
        <v>1.569797416757918E-2</v>
      </c>
      <c r="CR22" s="79">
        <f t="shared" si="24"/>
        <v>1.5665204274383046E-2</v>
      </c>
      <c r="CS22" s="79">
        <f t="shared" si="24"/>
        <v>1.5632680755296075E-2</v>
      </c>
      <c r="CT22" s="79">
        <f t="shared" si="24"/>
        <v>1.5600405208866207E-2</v>
      </c>
      <c r="CU22" s="79">
        <f t="shared" si="24"/>
        <v>1.5568379081802799E-2</v>
      </c>
      <c r="CV22" s="79">
        <f t="shared" si="24"/>
        <v>1.553660367463483E-2</v>
      </c>
      <c r="CW22" s="79">
        <f t="shared" si="15"/>
        <v>1.5505080147190707E-2</v>
      </c>
      <c r="CX22" s="79">
        <f t="shared" si="15"/>
        <v>1.5473809523909735E-2</v>
      </c>
      <c r="CY22" s="79">
        <f t="shared" si="15"/>
        <v>1.5473809523909735E-2</v>
      </c>
      <c r="CZ22" s="79">
        <f t="shared" si="15"/>
        <v>1.5473809523909735E-2</v>
      </c>
      <c r="DA22" s="79">
        <f t="shared" si="15"/>
        <v>1.5473809523909735E-2</v>
      </c>
      <c r="DB22" s="79">
        <f t="shared" si="15"/>
        <v>1.5473809523909735E-2</v>
      </c>
      <c r="DC22" s="79">
        <f t="shared" si="15"/>
        <v>1.5473809523909735E-2</v>
      </c>
      <c r="DD22" s="79">
        <f t="shared" si="15"/>
        <v>1.5473809523909735E-2</v>
      </c>
      <c r="DE22" s="79">
        <f t="shared" si="15"/>
        <v>1.5473809523909735E-2</v>
      </c>
      <c r="DF22" s="79">
        <f t="shared" si="15"/>
        <v>1.5473809523909735E-2</v>
      </c>
      <c r="DG22" s="79">
        <f t="shared" ref="DG22:EE22" si="25">IF(DG$9&lt;=$K$6,RATE($K$6,1,DG68,0),"")</f>
        <v>1.5473809523909735E-2</v>
      </c>
      <c r="DH22" s="79">
        <f t="shared" si="25"/>
        <v>1.5473809523909735E-2</v>
      </c>
      <c r="DI22" s="79">
        <f t="shared" si="25"/>
        <v>1.5473809523909735E-2</v>
      </c>
      <c r="DJ22" s="79">
        <f t="shared" si="25"/>
        <v>1.5473809523909735E-2</v>
      </c>
      <c r="DK22" s="79">
        <f t="shared" si="25"/>
        <v>1.5473809523909735E-2</v>
      </c>
      <c r="DL22" s="79">
        <f t="shared" si="25"/>
        <v>1.5473809523909735E-2</v>
      </c>
      <c r="DM22" s="79">
        <f t="shared" si="25"/>
        <v>1.5473809523909735E-2</v>
      </c>
      <c r="DN22" s="79">
        <f t="shared" si="25"/>
        <v>1.5473809523909735E-2</v>
      </c>
      <c r="DO22" s="79">
        <f t="shared" si="25"/>
        <v>1.5473809523909735E-2</v>
      </c>
      <c r="DP22" s="79">
        <f t="shared" si="25"/>
        <v>1.5473809523909735E-2</v>
      </c>
      <c r="DQ22" s="79">
        <f t="shared" si="25"/>
        <v>1.5473809523909735E-2</v>
      </c>
      <c r="DR22" s="79">
        <f t="shared" si="25"/>
        <v>1.5473809523909735E-2</v>
      </c>
      <c r="DS22" s="79">
        <f t="shared" si="25"/>
        <v>1.5473809523909735E-2</v>
      </c>
      <c r="DT22" s="79">
        <f t="shared" si="25"/>
        <v>1.5473809523909735E-2</v>
      </c>
      <c r="DU22" s="79">
        <f t="shared" si="25"/>
        <v>1.5473809523909735E-2</v>
      </c>
      <c r="DV22" s="79">
        <f t="shared" si="25"/>
        <v>1.5473809523909735E-2</v>
      </c>
      <c r="DW22" s="79">
        <f t="shared" si="25"/>
        <v>1.5473809523909735E-2</v>
      </c>
      <c r="DX22" s="79">
        <f t="shared" si="25"/>
        <v>1.5473809523909735E-2</v>
      </c>
      <c r="DY22" s="79">
        <f t="shared" si="25"/>
        <v>1.5473809523909735E-2</v>
      </c>
      <c r="DZ22" s="79">
        <f t="shared" si="25"/>
        <v>1.5473809523909735E-2</v>
      </c>
      <c r="EA22" s="79">
        <f t="shared" si="25"/>
        <v>1.5473809523909735E-2</v>
      </c>
      <c r="EB22" s="79">
        <f t="shared" si="25"/>
        <v>1.5473809523909735E-2</v>
      </c>
      <c r="EC22" s="79">
        <f t="shared" si="25"/>
        <v>1.5473809523909735E-2</v>
      </c>
      <c r="ED22" s="79">
        <f t="shared" si="25"/>
        <v>1.5473809523909735E-2</v>
      </c>
      <c r="EE22" s="79">
        <f t="shared" si="25"/>
        <v>1.5473809523909735E-2</v>
      </c>
      <c r="EF22" s="79">
        <f t="shared" si="12"/>
        <v>1.5473809523909735E-2</v>
      </c>
      <c r="EG22" s="79">
        <f t="shared" si="12"/>
        <v>1.5473809523909735E-2</v>
      </c>
      <c r="EH22" s="79">
        <f t="shared" si="12"/>
        <v>1.5473809523909735E-2</v>
      </c>
      <c r="EI22" s="79">
        <f t="shared" si="12"/>
        <v>1.5473809523909735E-2</v>
      </c>
      <c r="EJ22" s="79">
        <f t="shared" si="12"/>
        <v>1.5473809523909735E-2</v>
      </c>
      <c r="EK22" s="79">
        <f t="shared" si="12"/>
        <v>1.5473809523909735E-2</v>
      </c>
      <c r="EL22" s="79">
        <f t="shared" si="12"/>
        <v>1.5473809523909735E-2</v>
      </c>
      <c r="EM22" s="79">
        <f t="shared" si="12"/>
        <v>1.5473809523909735E-2</v>
      </c>
      <c r="EN22" s="79">
        <f t="shared" si="12"/>
        <v>1.5473809523909735E-2</v>
      </c>
      <c r="EO22" s="79">
        <f t="shared" si="12"/>
        <v>1.5473809523909735E-2</v>
      </c>
      <c r="EP22" s="79">
        <f t="shared" si="12"/>
        <v>1.5473809523909735E-2</v>
      </c>
      <c r="EQ22" s="79">
        <f t="shared" si="12"/>
        <v>1.5473809523909735E-2</v>
      </c>
      <c r="ER22" s="79">
        <f t="shared" si="12"/>
        <v>1.5473809523909735E-2</v>
      </c>
      <c r="ES22" s="79">
        <f t="shared" si="12"/>
        <v>1.5473809523909735E-2</v>
      </c>
      <c r="ET22" s="79">
        <f t="shared" si="12"/>
        <v>1.5473809523909735E-2</v>
      </c>
      <c r="FA22" s="27"/>
      <c r="FF22" s="6" t="s">
        <v>2997</v>
      </c>
      <c r="FG22" s="696">
        <v>2.5000000000000001E-2</v>
      </c>
      <c r="FH22" s="696">
        <v>120</v>
      </c>
      <c r="FI22" s="696">
        <v>1.9599999999999999E-2</v>
      </c>
      <c r="FJ22" s="255">
        <v>1.3500000000000002E-2</v>
      </c>
      <c r="FK22" s="71">
        <f t="shared" si="10"/>
        <v>2.7380952380952383E-4</v>
      </c>
      <c r="FL22" t="e">
        <f>VLOOKUP(FF22,'SIMULADOR COM SALDO'!$BX$22:$CK$1000,13,FALSE)</f>
        <v>#N/A</v>
      </c>
    </row>
    <row r="23" spans="5:168" ht="18" customHeight="1" x14ac:dyDescent="0.25">
      <c r="E23" s="77"/>
      <c r="F23" s="97">
        <f t="shared" si="11"/>
        <v>1.5571428571428573E-2</v>
      </c>
      <c r="G23" s="79">
        <f t="shared" si="9"/>
        <v>1.8498164310566511E-2</v>
      </c>
      <c r="H23" s="79">
        <f t="shared" si="9"/>
        <v>1.8494554951502023E-2</v>
      </c>
      <c r="I23" s="79">
        <f t="shared" si="9"/>
        <v>1.8489232868174624E-2</v>
      </c>
      <c r="J23" s="79">
        <f t="shared" si="9"/>
        <v>1.848225791050331E-2</v>
      </c>
      <c r="K23" s="79">
        <f t="shared" si="9"/>
        <v>1.8473688814901461E-2</v>
      </c>
      <c r="L23" s="79">
        <f t="shared" si="9"/>
        <v>1.8463583189039966E-2</v>
      </c>
      <c r="M23" s="79">
        <f t="shared" si="9"/>
        <v>1.8451997499293517E-2</v>
      </c>
      <c r="N23" s="79">
        <f t="shared" si="9"/>
        <v>1.8438987060736264E-2</v>
      </c>
      <c r="O23" s="79">
        <f t="shared" si="9"/>
        <v>1.8424606029554511E-2</v>
      </c>
      <c r="P23" s="79">
        <f t="shared" si="9"/>
        <v>1.840890739774283E-2</v>
      </c>
      <c r="Q23" s="79">
        <f t="shared" si="9"/>
        <v>1.8391942989954668E-2</v>
      </c>
      <c r="R23" s="79">
        <f t="shared" si="9"/>
        <v>1.8373763462381166E-2</v>
      </c>
      <c r="S23" s="79">
        <f t="shared" si="9"/>
        <v>1.8354418303532231E-2</v>
      </c>
      <c r="T23" s="79">
        <f t="shared" si="9"/>
        <v>1.83339558367994E-2</v>
      </c>
      <c r="U23" s="79">
        <f t="shared" si="9"/>
        <v>1.8312423224683228E-2</v>
      </c>
      <c r="V23" s="79">
        <f t="shared" si="9"/>
        <v>1.8289866474568327E-2</v>
      </c>
      <c r="W23" s="79">
        <f t="shared" si="22"/>
        <v>1.8266330445937434E-2</v>
      </c>
      <c r="X23" s="79">
        <f t="shared" si="22"/>
        <v>1.8241858858917558E-2</v>
      </c>
      <c r="Y23" s="79">
        <f t="shared" si="22"/>
        <v>1.82164943040522E-2</v>
      </c>
      <c r="Z23" s="79">
        <f t="shared" si="22"/>
        <v>1.8190278253204215E-2</v>
      </c>
      <c r="AA23" s="79">
        <f t="shared" si="22"/>
        <v>1.8163251071492328E-2</v>
      </c>
      <c r="AB23" s="79">
        <f t="shared" si="22"/>
        <v>1.8135452030169159E-2</v>
      </c>
      <c r="AC23" s="79">
        <f t="shared" si="22"/>
        <v>1.8106919320356341E-2</v>
      </c>
      <c r="AD23" s="79">
        <f t="shared" si="22"/>
        <v>1.8077690067551253E-2</v>
      </c>
      <c r="AE23" s="79">
        <f t="shared" si="22"/>
        <v>1.8047800346828288E-2</v>
      </c>
      <c r="AF23" s="79">
        <f t="shared" si="22"/>
        <v>1.8017285198657935E-2</v>
      </c>
      <c r="AG23" s="79">
        <f t="shared" si="22"/>
        <v>1.7986178645273621E-2</v>
      </c>
      <c r="AH23" s="79">
        <f t="shared" si="22"/>
        <v>1.7954513707519149E-2</v>
      </c>
      <c r="AI23" s="79">
        <f t="shared" si="22"/>
        <v>1.7922322422110892E-2</v>
      </c>
      <c r="AJ23" s="79">
        <f t="shared" si="22"/>
        <v>1.7889635859258571E-2</v>
      </c>
      <c r="AK23" s="79">
        <f t="shared" si="22"/>
        <v>1.7856484140584217E-2</v>
      </c>
      <c r="AL23" s="79">
        <f t="shared" si="22"/>
        <v>1.7822896457288798E-2</v>
      </c>
      <c r="AM23" s="79">
        <f t="shared" si="22"/>
        <v>1.7788901088515802E-2</v>
      </c>
      <c r="AN23" s="79">
        <f t="shared" si="22"/>
        <v>1.7754525419864879E-2</v>
      </c>
      <c r="AO23" s="79">
        <f t="shared" si="22"/>
        <v>1.7719795962013889E-2</v>
      </c>
      <c r="AP23" s="79">
        <f t="shared" si="22"/>
        <v>1.7684738369406192E-2</v>
      </c>
      <c r="AQ23" s="79">
        <f t="shared" si="22"/>
        <v>1.7649377458967972E-2</v>
      </c>
      <c r="AR23" s="79">
        <f t="shared" si="22"/>
        <v>1.7613737228818923E-2</v>
      </c>
      <c r="AS23" s="79">
        <f t="shared" si="22"/>
        <v>1.7577840876945472E-2</v>
      </c>
      <c r="AT23" s="79">
        <f t="shared" si="22"/>
        <v>1.7541710819805247E-2</v>
      </c>
      <c r="AU23" s="79">
        <f t="shared" si="22"/>
        <v>1.7505368710837344E-2</v>
      </c>
      <c r="AV23" s="79">
        <f t="shared" si="22"/>
        <v>1.746883545885013E-2</v>
      </c>
      <c r="AW23" s="79">
        <f t="shared" si="22"/>
        <v>1.7432131246267392E-2</v>
      </c>
      <c r="AX23" s="79">
        <f t="shared" si="22"/>
        <v>1.7395275547208548E-2</v>
      </c>
      <c r="AY23" s="79">
        <f t="shared" si="22"/>
        <v>1.7358287145385624E-2</v>
      </c>
      <c r="AZ23" s="79">
        <f t="shared" si="22"/>
        <v>1.7321184151799618E-2</v>
      </c>
      <c r="BA23" s="79">
        <f t="shared" si="22"/>
        <v>1.7283984022219475E-2</v>
      </c>
      <c r="BB23" s="79">
        <f t="shared" si="22"/>
        <v>1.7246703574431557E-2</v>
      </c>
      <c r="BC23" s="79">
        <f t="shared" si="22"/>
        <v>1.7209359005246123E-2</v>
      </c>
      <c r="BD23" s="79">
        <f t="shared" si="22"/>
        <v>1.7171965907249717E-2</v>
      </c>
      <c r="BE23" s="79">
        <f t="shared" si="22"/>
        <v>1.7134539285294133E-2</v>
      </c>
      <c r="BF23" s="79">
        <f t="shared" si="22"/>
        <v>1.7097093572714637E-2</v>
      </c>
      <c r="BG23" s="79">
        <f t="shared" si="22"/>
        <v>1.705964264726785E-2</v>
      </c>
      <c r="BH23" s="79">
        <f t="shared" si="22"/>
        <v>1.7022199846785827E-2</v>
      </c>
      <c r="BI23" s="79">
        <f t="shared" si="22"/>
        <v>1.6984777984539123E-2</v>
      </c>
      <c r="BJ23" s="31">
        <f t="shared" si="22"/>
        <v>1.6947389364306533E-2</v>
      </c>
      <c r="BK23" s="79">
        <f t="shared" si="22"/>
        <v>1.6910045795146923E-2</v>
      </c>
      <c r="BL23" s="79">
        <f t="shared" si="22"/>
        <v>1.6872758605870893E-2</v>
      </c>
      <c r="BM23" s="79">
        <f t="shared" si="22"/>
        <v>1.6835538659212231E-2</v>
      </c>
      <c r="BN23" s="79">
        <f t="shared" si="22"/>
        <v>1.679839636569536E-2</v>
      </c>
      <c r="BO23" s="79">
        <f t="shared" si="22"/>
        <v>1.6761341697201636E-2</v>
      </c>
      <c r="BP23" s="79">
        <f t="shared" si="22"/>
        <v>1.672438420023124E-2</v>
      </c>
      <c r="BQ23" s="79">
        <f t="shared" si="22"/>
        <v>1.6687533008865937E-2</v>
      </c>
      <c r="BR23" s="79">
        <f t="shared" si="22"/>
        <v>1.6650796857429578E-2</v>
      </c>
      <c r="BS23" s="79">
        <f t="shared" si="22"/>
        <v>1.6614184092851127E-2</v>
      </c>
      <c r="BT23" s="79">
        <f t="shared" si="22"/>
        <v>1.6577702686730925E-2</v>
      </c>
      <c r="BU23" s="79">
        <f t="shared" si="22"/>
        <v>1.6541360247113397E-2</v>
      </c>
      <c r="BV23" s="79">
        <f t="shared" si="22"/>
        <v>1.6505164029969453E-2</v>
      </c>
      <c r="BW23" s="79">
        <f t="shared" si="22"/>
        <v>1.6469120950390635E-2</v>
      </c>
      <c r="BX23" s="79">
        <f t="shared" si="22"/>
        <v>1.6433237593499173E-2</v>
      </c>
      <c r="BY23" s="79">
        <f t="shared" si="22"/>
        <v>1.639752022507859E-2</v>
      </c>
      <c r="BZ23" s="79">
        <f t="shared" si="22"/>
        <v>1.6361974801926828E-2</v>
      </c>
      <c r="CA23" s="79">
        <f t="shared" si="22"/>
        <v>1.6326606981937827E-2</v>
      </c>
      <c r="CB23" s="79">
        <f t="shared" si="22"/>
        <v>1.6291422133914952E-2</v>
      </c>
      <c r="CC23" s="79">
        <f t="shared" si="22"/>
        <v>1.6256425347120042E-2</v>
      </c>
      <c r="CD23" s="79">
        <f t="shared" si="22"/>
        <v>1.6221621440565867E-2</v>
      </c>
      <c r="CE23" s="79">
        <f t="shared" si="22"/>
        <v>1.6187014972051241E-2</v>
      </c>
      <c r="CF23" s="79">
        <f t="shared" si="22"/>
        <v>1.6152610246949178E-2</v>
      </c>
      <c r="CG23" s="79">
        <f t="shared" si="22"/>
        <v>1.6118411326748287E-2</v>
      </c>
      <c r="CH23" s="79">
        <f t="shared" si="22"/>
        <v>1.60844220373563E-2</v>
      </c>
      <c r="CI23" s="79">
        <f t="shared" ref="CI23:CV23" si="26">IF(CI$9&lt;=$K$6,RATE($K$6,1,CI69,0),"")</f>
        <v>1.6050645977166791E-2</v>
      </c>
      <c r="CJ23" s="79">
        <f t="shared" si="26"/>
        <v>1.6017086524897483E-2</v>
      </c>
      <c r="CK23" s="79">
        <f t="shared" si="26"/>
        <v>1.5983746847202381E-2</v>
      </c>
      <c r="CL23" s="79">
        <f t="shared" si="26"/>
        <v>1.5950629906064176E-2</v>
      </c>
      <c r="CM23" s="79">
        <f t="shared" si="26"/>
        <v>1.5917738465971727E-2</v>
      </c>
      <c r="CN23" s="79">
        <f t="shared" si="26"/>
        <v>1.5885075100886423E-2</v>
      </c>
      <c r="CO23" s="79">
        <f t="shared" si="26"/>
        <v>1.5852642201005129E-2</v>
      </c>
      <c r="CP23" s="79">
        <f t="shared" si="26"/>
        <v>1.5820441979320261E-2</v>
      </c>
      <c r="CQ23" s="79">
        <f t="shared" si="26"/>
        <v>1.5788476477985355E-2</v>
      </c>
      <c r="CR23" s="79">
        <f t="shared" si="26"/>
        <v>1.5756747574490713E-2</v>
      </c>
      <c r="CS23" s="79">
        <f t="shared" si="26"/>
        <v>1.5725256987650853E-2</v>
      </c>
      <c r="CT23" s="79">
        <f t="shared" si="26"/>
        <v>1.5694006283412248E-2</v>
      </c>
      <c r="CU23" s="79">
        <f t="shared" si="26"/>
        <v>1.5662996880483511E-2</v>
      </c>
      <c r="CV23" s="79">
        <f t="shared" si="26"/>
        <v>1.5632230055792635E-2</v>
      </c>
      <c r="CW23" s="79">
        <f t="shared" ref="CW23:ED23" si="27">IF(CW$9&lt;=$K$6,RATE($K$6,1,CW69,0),"")</f>
        <v>1.5601706949778169E-2</v>
      </c>
      <c r="CX23" s="79">
        <f t="shared" si="27"/>
        <v>1.5571428571515283E-2</v>
      </c>
      <c r="CY23" s="79">
        <f t="shared" si="27"/>
        <v>1.5571428571515283E-2</v>
      </c>
      <c r="CZ23" s="79">
        <f t="shared" si="27"/>
        <v>1.5571428571515283E-2</v>
      </c>
      <c r="DA23" s="79">
        <f t="shared" si="27"/>
        <v>1.5571428571515283E-2</v>
      </c>
      <c r="DB23" s="79">
        <f t="shared" si="27"/>
        <v>1.5571428571515283E-2</v>
      </c>
      <c r="DC23" s="79">
        <f t="shared" si="27"/>
        <v>1.5571428571515283E-2</v>
      </c>
      <c r="DD23" s="79">
        <f t="shared" si="27"/>
        <v>1.5571428571515283E-2</v>
      </c>
      <c r="DE23" s="79">
        <f t="shared" si="27"/>
        <v>1.5571428571515283E-2</v>
      </c>
      <c r="DF23" s="79">
        <f t="shared" si="27"/>
        <v>1.5571428571515283E-2</v>
      </c>
      <c r="DG23" s="79">
        <f t="shared" si="27"/>
        <v>1.5571428571515283E-2</v>
      </c>
      <c r="DH23" s="79">
        <f t="shared" si="27"/>
        <v>1.5571428571515283E-2</v>
      </c>
      <c r="DI23" s="79">
        <f t="shared" si="27"/>
        <v>1.5571428571515283E-2</v>
      </c>
      <c r="DJ23" s="79">
        <f t="shared" si="27"/>
        <v>1.5571428571515283E-2</v>
      </c>
      <c r="DK23" s="79">
        <f t="shared" si="27"/>
        <v>1.5571428571515283E-2</v>
      </c>
      <c r="DL23" s="79">
        <f t="shared" si="27"/>
        <v>1.5571428571515283E-2</v>
      </c>
      <c r="DM23" s="79">
        <f t="shared" si="27"/>
        <v>1.5571428571515283E-2</v>
      </c>
      <c r="DN23" s="79">
        <f t="shared" si="27"/>
        <v>1.5571428571515283E-2</v>
      </c>
      <c r="DO23" s="79">
        <f t="shared" si="27"/>
        <v>1.5571428571515283E-2</v>
      </c>
      <c r="DP23" s="79">
        <f t="shared" si="27"/>
        <v>1.5571428571515283E-2</v>
      </c>
      <c r="DQ23" s="79">
        <f t="shared" si="27"/>
        <v>1.5571428571515283E-2</v>
      </c>
      <c r="DR23" s="79">
        <f t="shared" si="27"/>
        <v>1.5571428571515283E-2</v>
      </c>
      <c r="DS23" s="79">
        <f t="shared" si="27"/>
        <v>1.5571428571515283E-2</v>
      </c>
      <c r="DT23" s="79">
        <f t="shared" si="27"/>
        <v>1.5571428571515283E-2</v>
      </c>
      <c r="DU23" s="79">
        <f t="shared" si="27"/>
        <v>1.5571428571515283E-2</v>
      </c>
      <c r="DV23" s="79">
        <f t="shared" si="27"/>
        <v>1.5571428571515283E-2</v>
      </c>
      <c r="DW23" s="79">
        <f t="shared" si="27"/>
        <v>1.5571428571515283E-2</v>
      </c>
      <c r="DX23" s="79">
        <f t="shared" si="27"/>
        <v>1.5571428571515283E-2</v>
      </c>
      <c r="DY23" s="79">
        <f t="shared" si="27"/>
        <v>1.5571428571515283E-2</v>
      </c>
      <c r="DZ23" s="79">
        <f t="shared" si="27"/>
        <v>1.5571428571515283E-2</v>
      </c>
      <c r="EA23" s="79">
        <f t="shared" si="27"/>
        <v>1.5571428571515283E-2</v>
      </c>
      <c r="EB23" s="79">
        <f t="shared" si="27"/>
        <v>1.5571428571515283E-2</v>
      </c>
      <c r="EC23" s="79">
        <f t="shared" si="27"/>
        <v>1.5571428571515283E-2</v>
      </c>
      <c r="ED23" s="79">
        <f t="shared" si="27"/>
        <v>1.5571428571515283E-2</v>
      </c>
      <c r="EE23" s="79">
        <f t="shared" ref="EE23:EE45" si="28">IF(EE$9&lt;=$K$6,RATE($K$6,1,EE69,0),"")</f>
        <v>1.5571428571515283E-2</v>
      </c>
      <c r="EF23" s="79">
        <f t="shared" si="12"/>
        <v>1.5571428571515283E-2</v>
      </c>
      <c r="EG23" s="79">
        <f t="shared" si="12"/>
        <v>1.5571428571515283E-2</v>
      </c>
      <c r="EH23" s="79">
        <f t="shared" si="12"/>
        <v>1.5571428571515283E-2</v>
      </c>
      <c r="EI23" s="79">
        <f t="shared" si="12"/>
        <v>1.5571428571515283E-2</v>
      </c>
      <c r="EJ23" s="79">
        <f t="shared" si="12"/>
        <v>1.5571428571515283E-2</v>
      </c>
      <c r="EK23" s="79">
        <f t="shared" si="12"/>
        <v>1.5571428571515283E-2</v>
      </c>
      <c r="EL23" s="79">
        <f t="shared" si="12"/>
        <v>1.5571428571515283E-2</v>
      </c>
      <c r="EM23" s="79">
        <f t="shared" si="12"/>
        <v>1.5571428571515283E-2</v>
      </c>
      <c r="EN23" s="79">
        <f t="shared" si="12"/>
        <v>1.5571428571515283E-2</v>
      </c>
      <c r="EO23" s="79">
        <f t="shared" si="12"/>
        <v>1.5571428571515283E-2</v>
      </c>
      <c r="EP23" s="79">
        <f t="shared" si="12"/>
        <v>1.5571428571515283E-2</v>
      </c>
      <c r="EQ23" s="79">
        <f t="shared" si="12"/>
        <v>1.5571428571515283E-2</v>
      </c>
      <c r="ER23" s="79">
        <f t="shared" si="12"/>
        <v>1.5571428571515283E-2</v>
      </c>
      <c r="ES23" s="79">
        <f t="shared" si="12"/>
        <v>1.5571428571515283E-2</v>
      </c>
      <c r="ET23" s="79">
        <f t="shared" si="12"/>
        <v>1.5571428571515283E-2</v>
      </c>
      <c r="FA23" s="27"/>
      <c r="FF23" s="6" t="s">
        <v>2998</v>
      </c>
      <c r="FG23" s="696">
        <v>1.7500000000000002E-2</v>
      </c>
      <c r="FH23" s="696">
        <v>96</v>
      </c>
      <c r="FI23" s="696">
        <v>1.6799999999999999E-2</v>
      </c>
      <c r="FJ23" s="255">
        <v>1.3999999999999999E-2</v>
      </c>
      <c r="FK23" s="71">
        <f t="shared" si="10"/>
        <v>8.3333333333333412E-5</v>
      </c>
      <c r="FL23" t="e">
        <f>VLOOKUP(FF23,'SIMULADOR COM SALDO'!$BX$22:$CK$1000,13,FALSE)</f>
        <v>#N/A</v>
      </c>
    </row>
    <row r="24" spans="5:168" ht="18" customHeight="1" x14ac:dyDescent="0.25">
      <c r="E24" s="77"/>
      <c r="F24" s="97">
        <f t="shared" si="11"/>
        <v>1.5669047619047621E-2</v>
      </c>
      <c r="G24" s="79">
        <f t="shared" si="9"/>
        <v>1.8498225667829167E-2</v>
      </c>
      <c r="H24" s="79">
        <f t="shared" si="9"/>
        <v>1.849473710104968E-2</v>
      </c>
      <c r="I24" s="79">
        <f t="shared" si="9"/>
        <v>1.8489593335006053E-2</v>
      </c>
      <c r="J24" s="79">
        <f t="shared" si="9"/>
        <v>1.8482852324477057E-2</v>
      </c>
      <c r="K24" s="79">
        <f t="shared" si="9"/>
        <v>1.8474570928089042E-2</v>
      </c>
      <c r="L24" s="79">
        <f t="shared" si="9"/>
        <v>1.8464804895355746E-2</v>
      </c>
      <c r="M24" s="79">
        <f t="shared" si="9"/>
        <v>1.8453608856216455E-2</v>
      </c>
      <c r="N24" s="79">
        <f t="shared" si="9"/>
        <v>1.8441036312944373E-2</v>
      </c>
      <c r="O24" s="79">
        <f t="shared" si="9"/>
        <v>1.842713963429762E-2</v>
      </c>
      <c r="P24" s="79">
        <f t="shared" si="9"/>
        <v>1.8411970051787383E-2</v>
      </c>
      <c r="Q24" s="79">
        <f t="shared" si="9"/>
        <v>1.8395577657942263E-2</v>
      </c>
      <c r="R24" s="79">
        <f t="shared" si="9"/>
        <v>1.8378011406446002E-2</v>
      </c>
      <c r="S24" s="79">
        <f t="shared" si="9"/>
        <v>1.8359319114033702E-2</v>
      </c>
      <c r="T24" s="79">
        <f t="shared" si="9"/>
        <v>1.8339547464030742E-2</v>
      </c>
      <c r="U24" s="79">
        <f t="shared" si="9"/>
        <v>1.8318742011422747E-2</v>
      </c>
      <c r="V24" s="79">
        <f t="shared" si="9"/>
        <v>1.8296947189352163E-2</v>
      </c>
      <c r="W24" s="79">
        <f t="shared" si="22"/>
        <v>1.8274206316932797E-2</v>
      </c>
      <c r="X24" s="79">
        <f t="shared" si="22"/>
        <v>1.8250561608286579E-2</v>
      </c>
      <c r="Y24" s="79">
        <f t="shared" si="22"/>
        <v>1.8226054182703105E-2</v>
      </c>
      <c r="Z24" s="79">
        <f t="shared" si="22"/>
        <v>1.8200724075830545E-2</v>
      </c>
      <c r="AA24" s="79">
        <f t="shared" si="22"/>
        <v>1.817461025180862E-2</v>
      </c>
      <c r="AB24" s="79">
        <f t="shared" si="22"/>
        <v>1.8147750616259534E-2</v>
      </c>
      <c r="AC24" s="79">
        <f t="shared" si="22"/>
        <v>1.8120182030053882E-2</v>
      </c>
      <c r="AD24" s="79">
        <f t="shared" si="22"/>
        <v>1.809194032377686E-2</v>
      </c>
      <c r="AE24" s="79">
        <f t="shared" si="22"/>
        <v>1.8063060312819491E-2</v>
      </c>
      <c r="AF24" s="79">
        <f t="shared" si="22"/>
        <v>1.803357581302489E-2</v>
      </c>
      <c r="AG24" s="79">
        <f t="shared" si="22"/>
        <v>1.8003519656825652E-2</v>
      </c>
      <c r="AH24" s="79">
        <f t="shared" si="22"/>
        <v>1.7972923709806757E-2</v>
      </c>
      <c r="AI24" s="79">
        <f t="shared" si="22"/>
        <v>1.794181888763783E-2</v>
      </c>
      <c r="AJ24" s="79">
        <f t="shared" si="22"/>
        <v>1.7910235173317694E-2</v>
      </c>
      <c r="AK24" s="79">
        <f t="shared" si="22"/>
        <v>1.7878201634678542E-2</v>
      </c>
      <c r="AL24" s="79">
        <f t="shared" si="22"/>
        <v>1.7845746442102392E-2</v>
      </c>
      <c r="AM24" s="79">
        <f t="shared" si="22"/>
        <v>1.7812896886402033E-2</v>
      </c>
      <c r="AN24" s="79">
        <f t="shared" si="22"/>
        <v>1.7779679396824389E-2</v>
      </c>
      <c r="AO24" s="79">
        <f t="shared" si="22"/>
        <v>1.7746119559136443E-2</v>
      </c>
      <c r="AP24" s="79">
        <f t="shared" si="22"/>
        <v>1.7712242133755697E-2</v>
      </c>
      <c r="AQ24" s="79">
        <f t="shared" si="22"/>
        <v>1.7678071073890848E-2</v>
      </c>
      <c r="AR24" s="79">
        <f t="shared" si="22"/>
        <v>1.7643629543660291E-2</v>
      </c>
      <c r="AS24" s="79">
        <f t="shared" si="22"/>
        <v>1.7608939936159956E-2</v>
      </c>
      <c r="AT24" s="79">
        <f t="shared" si="22"/>
        <v>1.7574023891450487E-2</v>
      </c>
      <c r="AU24" s="79">
        <f t="shared" si="22"/>
        <v>1.7538902314441975E-2</v>
      </c>
      <c r="AV24" s="79">
        <f t="shared" si="22"/>
        <v>1.7503595392649996E-2</v>
      </c>
      <c r="AW24" s="79">
        <f t="shared" si="22"/>
        <v>1.7468122613803837E-2</v>
      </c>
      <c r="AX24" s="79">
        <f t="shared" si="22"/>
        <v>1.7432502783287111E-2</v>
      </c>
      <c r="AY24" s="79">
        <f t="shared" si="22"/>
        <v>1.7396754041393743E-2</v>
      </c>
      <c r="AZ24" s="79">
        <f t="shared" si="22"/>
        <v>1.7360893880381697E-2</v>
      </c>
      <c r="BA24" s="79">
        <f t="shared" si="22"/>
        <v>1.7324939161313536E-2</v>
      </c>
      <c r="BB24" s="79">
        <f t="shared" si="22"/>
        <v>1.7288906130668604E-2</v>
      </c>
      <c r="BC24" s="79">
        <f t="shared" si="22"/>
        <v>1.7252810436715844E-2</v>
      </c>
      <c r="BD24" s="79">
        <f t="shared" si="22"/>
        <v>1.7216667145639599E-2</v>
      </c>
      <c r="BE24" s="79">
        <f t="shared" si="22"/>
        <v>1.7180490757405385E-2</v>
      </c>
      <c r="BF24" s="79">
        <f t="shared" si="22"/>
        <v>1.7144295221363706E-2</v>
      </c>
      <c r="BG24" s="79">
        <f t="shared" si="22"/>
        <v>1.7108093951580243E-2</v>
      </c>
      <c r="BH24" s="79">
        <f t="shared" si="22"/>
        <v>1.7071899841890486E-2</v>
      </c>
      <c r="BI24" s="79">
        <f t="shared" si="22"/>
        <v>1.7035725280672685E-2</v>
      </c>
      <c r="BJ24" s="31">
        <f t="shared" si="22"/>
        <v>1.6999582165336407E-2</v>
      </c>
      <c r="BK24" s="79">
        <f t="shared" si="22"/>
        <v>1.696348191652329E-2</v>
      </c>
      <c r="BL24" s="79">
        <f t="shared" si="22"/>
        <v>1.6927435492018118E-2</v>
      </c>
      <c r="BM24" s="79">
        <f t="shared" si="22"/>
        <v>1.6891453400369436E-2</v>
      </c>
      <c r="BN24" s="79">
        <f t="shared" si="22"/>
        <v>1.6855545714218548E-2</v>
      </c>
      <c r="BO24" s="79">
        <f t="shared" si="22"/>
        <v>1.6819722083336094E-2</v>
      </c>
      <c r="BP24" s="79">
        <f t="shared" si="22"/>
        <v>1.6783991747369425E-2</v>
      </c>
      <c r="BQ24" s="79">
        <f t="shared" si="22"/>
        <v>1.6748363548297205E-2</v>
      </c>
      <c r="BR24" s="79">
        <f t="shared" si="22"/>
        <v>1.6712845942598226E-2</v>
      </c>
      <c r="BS24" s="79">
        <f t="shared" si="22"/>
        <v>1.6677447013131071E-2</v>
      </c>
      <c r="BT24" s="79">
        <f t="shared" si="22"/>
        <v>1.664217448073026E-2</v>
      </c>
      <c r="BU24" s="79">
        <f t="shared" si="22"/>
        <v>1.6607035715520271E-2</v>
      </c>
      <c r="BV24" s="79">
        <f t="shared" si="22"/>
        <v>1.6572037747950297E-2</v>
      </c>
      <c r="BW24" s="79">
        <f t="shared" si="22"/>
        <v>1.6537187279553299E-2</v>
      </c>
      <c r="BX24" s="79">
        <f t="shared" si="22"/>
        <v>1.6502490693432126E-2</v>
      </c>
      <c r="BY24" s="79">
        <f t="shared" si="22"/>
        <v>1.6467954064477073E-2</v>
      </c>
      <c r="BZ24" s="79">
        <f t="shared" si="22"/>
        <v>1.6433583169318644E-2</v>
      </c>
      <c r="CA24" s="79">
        <f t="shared" si="22"/>
        <v>1.6399383496018591E-2</v>
      </c>
      <c r="CB24" s="79">
        <f t="shared" si="22"/>
        <v>1.6365360253504758E-2</v>
      </c>
      <c r="CC24" s="79">
        <f t="shared" si="22"/>
        <v>1.6331518380752686E-2</v>
      </c>
      <c r="CD24" s="79">
        <f t="shared" si="22"/>
        <v>1.6297862555719973E-2</v>
      </c>
      <c r="CE24" s="79">
        <f t="shared" si="22"/>
        <v>1.6264397204036191E-2</v>
      </c>
      <c r="CF24" s="79">
        <f t="shared" si="22"/>
        <v>1.6231126507453821E-2</v>
      </c>
      <c r="CG24" s="79">
        <f t="shared" si="22"/>
        <v>1.6198054412065004E-2</v>
      </c>
      <c r="CH24" s="79">
        <f t="shared" ref="CH24:ED29" si="29">IF(CH$9&lt;=$K$6,RATE($K$6,1,CH70,0),"")</f>
        <v>1.6165184636288202E-2</v>
      </c>
      <c r="CI24" s="79">
        <f t="shared" si="29"/>
        <v>1.6132520678630028E-2</v>
      </c>
      <c r="CJ24" s="79">
        <f t="shared" si="29"/>
        <v>1.6100065825226301E-2</v>
      </c>
      <c r="CK24" s="79">
        <f t="shared" si="29"/>
        <v>1.6067823157167885E-2</v>
      </c>
      <c r="CL24" s="79">
        <f t="shared" si="29"/>
        <v>1.6035795557615831E-2</v>
      </c>
      <c r="CM24" s="79">
        <f t="shared" si="29"/>
        <v>1.6003985718709292E-2</v>
      </c>
      <c r="CN24" s="79">
        <f t="shared" si="29"/>
        <v>1.5972396148273314E-2</v>
      </c>
      <c r="CO24" s="79">
        <f t="shared" si="29"/>
        <v>1.5941029176328756E-2</v>
      </c>
      <c r="CP24" s="79">
        <f t="shared" si="29"/>
        <v>1.5909886961410935E-2</v>
      </c>
      <c r="CQ24" s="79">
        <f t="shared" si="29"/>
        <v>1.587897149670044E-2</v>
      </c>
      <c r="CR24" s="79">
        <f t="shared" si="29"/>
        <v>1.5848284615970931E-2</v>
      </c>
      <c r="CS24" s="79">
        <f t="shared" si="29"/>
        <v>1.5817827999358079E-2</v>
      </c>
      <c r="CT24" s="79">
        <f t="shared" si="29"/>
        <v>1.5787603178956146E-2</v>
      </c>
      <c r="CU24" s="79">
        <f t="shared" si="29"/>
        <v>1.5757611544242517E-2</v>
      </c>
      <c r="CV24" s="79">
        <f t="shared" si="29"/>
        <v>1.5727854347340059E-2</v>
      </c>
      <c r="CW24" s="79">
        <f t="shared" si="29"/>
        <v>1.5698332708115284E-2</v>
      </c>
      <c r="CX24" s="79">
        <f t="shared" si="29"/>
        <v>1.5669047619122779E-2</v>
      </c>
      <c r="CY24" s="79">
        <f t="shared" si="29"/>
        <v>1.5669047619122779E-2</v>
      </c>
      <c r="CZ24" s="79">
        <f t="shared" si="29"/>
        <v>1.5669047619122779E-2</v>
      </c>
      <c r="DA24" s="79">
        <f t="shared" si="29"/>
        <v>1.5669047619122779E-2</v>
      </c>
      <c r="DB24" s="79">
        <f t="shared" si="29"/>
        <v>1.5669047619122779E-2</v>
      </c>
      <c r="DC24" s="79">
        <f t="shared" si="29"/>
        <v>1.5669047619122779E-2</v>
      </c>
      <c r="DD24" s="79">
        <f t="shared" si="29"/>
        <v>1.5669047619122779E-2</v>
      </c>
      <c r="DE24" s="79">
        <f t="shared" si="29"/>
        <v>1.5669047619122779E-2</v>
      </c>
      <c r="DF24" s="79">
        <f t="shared" si="29"/>
        <v>1.5669047619122779E-2</v>
      </c>
      <c r="DG24" s="79">
        <f t="shared" si="29"/>
        <v>1.5669047619122779E-2</v>
      </c>
      <c r="DH24" s="79">
        <f t="shared" si="29"/>
        <v>1.5669047619122779E-2</v>
      </c>
      <c r="DI24" s="79">
        <f t="shared" si="29"/>
        <v>1.5669047619122779E-2</v>
      </c>
      <c r="DJ24" s="79">
        <f t="shared" si="29"/>
        <v>1.5669047619122779E-2</v>
      </c>
      <c r="DK24" s="79">
        <f t="shared" si="29"/>
        <v>1.5669047619122779E-2</v>
      </c>
      <c r="DL24" s="79">
        <f t="shared" si="29"/>
        <v>1.5669047619122779E-2</v>
      </c>
      <c r="DM24" s="79">
        <f t="shared" si="29"/>
        <v>1.5669047619122779E-2</v>
      </c>
      <c r="DN24" s="79">
        <f t="shared" si="29"/>
        <v>1.5669047619122779E-2</v>
      </c>
      <c r="DO24" s="79">
        <f t="shared" si="29"/>
        <v>1.5669047619122779E-2</v>
      </c>
      <c r="DP24" s="79">
        <f t="shared" si="29"/>
        <v>1.5669047619122779E-2</v>
      </c>
      <c r="DQ24" s="79">
        <f t="shared" si="29"/>
        <v>1.5669047619122779E-2</v>
      </c>
      <c r="DR24" s="79">
        <f t="shared" si="29"/>
        <v>1.5669047619122779E-2</v>
      </c>
      <c r="DS24" s="79">
        <f t="shared" si="29"/>
        <v>1.5669047619122779E-2</v>
      </c>
      <c r="DT24" s="79">
        <f t="shared" si="29"/>
        <v>1.5669047619122779E-2</v>
      </c>
      <c r="DU24" s="79">
        <f t="shared" si="29"/>
        <v>1.5669047619122779E-2</v>
      </c>
      <c r="DV24" s="79">
        <f t="shared" si="29"/>
        <v>1.5669047619122779E-2</v>
      </c>
      <c r="DW24" s="79">
        <f t="shared" si="29"/>
        <v>1.5669047619122779E-2</v>
      </c>
      <c r="DX24" s="79">
        <f t="shared" si="29"/>
        <v>1.5669047619122779E-2</v>
      </c>
      <c r="DY24" s="79">
        <f t="shared" si="29"/>
        <v>1.5669047619122779E-2</v>
      </c>
      <c r="DZ24" s="79">
        <f t="shared" si="29"/>
        <v>1.5669047619122779E-2</v>
      </c>
      <c r="EA24" s="79">
        <f t="shared" si="29"/>
        <v>1.5669047619122779E-2</v>
      </c>
      <c r="EB24" s="79">
        <f t="shared" si="29"/>
        <v>1.5669047619122779E-2</v>
      </c>
      <c r="EC24" s="79">
        <f t="shared" si="29"/>
        <v>1.5669047619122779E-2</v>
      </c>
      <c r="ED24" s="79">
        <f t="shared" si="29"/>
        <v>1.5669047619122779E-2</v>
      </c>
      <c r="EE24" s="79">
        <f t="shared" si="28"/>
        <v>1.5669047619122779E-2</v>
      </c>
      <c r="EF24" s="79">
        <f t="shared" si="12"/>
        <v>1.5669047619122779E-2</v>
      </c>
      <c r="EG24" s="79">
        <f t="shared" si="12"/>
        <v>1.5669047619122779E-2</v>
      </c>
      <c r="EH24" s="79">
        <f t="shared" si="12"/>
        <v>1.5669047619122779E-2</v>
      </c>
      <c r="EI24" s="79">
        <f t="shared" si="12"/>
        <v>1.5669047619122779E-2</v>
      </c>
      <c r="EJ24" s="79">
        <f t="shared" si="12"/>
        <v>1.5669047619122779E-2</v>
      </c>
      <c r="EK24" s="79">
        <f t="shared" si="12"/>
        <v>1.5669047619122779E-2</v>
      </c>
      <c r="EL24" s="79">
        <f t="shared" si="12"/>
        <v>1.5669047619122779E-2</v>
      </c>
      <c r="EM24" s="79">
        <f t="shared" si="12"/>
        <v>1.5669047619122779E-2</v>
      </c>
      <c r="EN24" s="79">
        <f t="shared" si="12"/>
        <v>1.5669047619122779E-2</v>
      </c>
      <c r="EO24" s="79">
        <f t="shared" si="12"/>
        <v>1.5669047619122779E-2</v>
      </c>
      <c r="EP24" s="79">
        <f t="shared" si="12"/>
        <v>1.5669047619122779E-2</v>
      </c>
      <c r="EQ24" s="79">
        <f t="shared" si="12"/>
        <v>1.5669047619122779E-2</v>
      </c>
      <c r="ER24" s="79">
        <f t="shared" si="12"/>
        <v>1.5669047619122779E-2</v>
      </c>
      <c r="ES24" s="79">
        <f t="shared" si="12"/>
        <v>1.5669047619122779E-2</v>
      </c>
      <c r="ET24" s="79">
        <f t="shared" si="12"/>
        <v>1.5669047619122779E-2</v>
      </c>
      <c r="FA24" s="27"/>
      <c r="FF24" s="67" t="s">
        <v>72</v>
      </c>
      <c r="FG24" s="696">
        <v>2.1600000000000001E-2</v>
      </c>
      <c r="FH24" s="696">
        <v>96</v>
      </c>
      <c r="FI24" s="696">
        <v>1.66E-2</v>
      </c>
      <c r="FJ24" s="255">
        <v>1.34E-2</v>
      </c>
      <c r="FK24" s="71">
        <f t="shared" si="10"/>
        <v>1.9523809523809525E-4</v>
      </c>
      <c r="FL24" t="e">
        <f>VLOOKUP(FF24,'SIMULADOR COM SALDO'!$BX$22:$CK$1000,13,FALSE)</f>
        <v>#N/A</v>
      </c>
    </row>
    <row r="25" spans="5:168" ht="18" customHeight="1" x14ac:dyDescent="0.25">
      <c r="E25" s="77"/>
      <c r="F25" s="97">
        <f t="shared" si="11"/>
        <v>1.5766666666666668E-2</v>
      </c>
      <c r="G25" s="79">
        <f t="shared" si="9"/>
        <v>1.8498287013501612E-2</v>
      </c>
      <c r="H25" s="79">
        <f t="shared" si="9"/>
        <v>1.8494919205768564E-2</v>
      </c>
      <c r="I25" s="79">
        <f t="shared" si="9"/>
        <v>1.84899536936807E-2</v>
      </c>
      <c r="J25" s="79">
        <f t="shared" si="9"/>
        <v>1.8483446529924646E-2</v>
      </c>
      <c r="K25" s="79">
        <f t="shared" si="9"/>
        <v>1.8475452689753931E-2</v>
      </c>
      <c r="L25" s="79">
        <f t="shared" si="9"/>
        <v>1.8466026060189916E-2</v>
      </c>
      <c r="M25" s="79">
        <f t="shared" si="9"/>
        <v>1.8455219431539355E-2</v>
      </c>
      <c r="N25" s="79">
        <f t="shared" si="9"/>
        <v>1.8443084491108323E-2</v>
      </c>
      <c r="O25" s="79">
        <f t="shared" si="9"/>
        <v>1.8429671818990145E-2</v>
      </c>
      <c r="P25" s="79">
        <f t="shared" si="9"/>
        <v>1.8415030885811385E-2</v>
      </c>
      <c r="Q25" s="79">
        <f t="shared" si="9"/>
        <v>1.8399210052317174E-2</v>
      </c>
      <c r="R25" s="79">
        <f t="shared" si="9"/>
        <v>1.838225657068553E-2</v>
      </c>
      <c r="S25" s="79">
        <f t="shared" si="9"/>
        <v>1.8364216587456787E-2</v>
      </c>
      <c r="T25" s="79">
        <f t="shared" si="9"/>
        <v>1.834513514797401E-2</v>
      </c>
      <c r="U25" s="79">
        <f t="shared" si="9"/>
        <v>1.8325056202228289E-2</v>
      </c>
      <c r="V25" s="79">
        <f t="shared" si="9"/>
        <v>1.8304022612008784E-2</v>
      </c>
      <c r="W25" s="79">
        <f t="shared" ref="W25:CH31" si="30">IF(W$9&lt;=$K$6,RATE($K$6,1,W71,0),"")</f>
        <v>1.8282076159260363E-2</v>
      </c>
      <c r="X25" s="79">
        <f t="shared" si="30"/>
        <v>1.8259257555554582E-2</v>
      </c>
      <c r="Y25" s="79">
        <f t="shared" si="30"/>
        <v>1.8235606452585571E-2</v>
      </c>
      <c r="Z25" s="79">
        <f t="shared" si="30"/>
        <v>1.8211161453601802E-2</v>
      </c>
      <c r="AA25" s="79">
        <f t="shared" si="30"/>
        <v>1.8185960125693942E-2</v>
      </c>
      <c r="AB25" s="79">
        <f t="shared" si="30"/>
        <v>1.8160039012858054E-2</v>
      </c>
      <c r="AC25" s="79">
        <f t="shared" si="30"/>
        <v>1.8133433649758817E-2</v>
      </c>
      <c r="AD25" s="79">
        <f t="shared" si="30"/>
        <v>1.8106178576121911E-2</v>
      </c>
      <c r="AE25" s="79">
        <f t="shared" si="30"/>
        <v>1.8078307351687032E-2</v>
      </c>
      <c r="AF25" s="79">
        <f t="shared" si="30"/>
        <v>1.8049852571656404E-2</v>
      </c>
      <c r="AG25" s="79">
        <f t="shared" si="30"/>
        <v>1.8020845882578608E-2</v>
      </c>
      <c r="AH25" s="79">
        <f t="shared" si="30"/>
        <v>1.7991317998608994E-2</v>
      </c>
      <c r="AI25" s="79">
        <f t="shared" si="30"/>
        <v>1.7961298718092593E-2</v>
      </c>
      <c r="AJ25" s="79">
        <f t="shared" si="30"/>
        <v>1.7930816940417996E-2</v>
      </c>
      <c r="AK25" s="79">
        <f t="shared" si="30"/>
        <v>1.7899900683094723E-2</v>
      </c>
      <c r="AL25" s="79">
        <f t="shared" si="30"/>
        <v>1.7868577099007285E-2</v>
      </c>
      <c r="AM25" s="79">
        <f t="shared" si="30"/>
        <v>1.7836872493805063E-2</v>
      </c>
      <c r="AN25" s="79">
        <f t="shared" si="30"/>
        <v>1.7804812343388009E-2</v>
      </c>
      <c r="AO25" s="79">
        <f t="shared" si="30"/>
        <v>1.7772421311450827E-2</v>
      </c>
      <c r="AP25" s="79">
        <f t="shared" si="30"/>
        <v>1.7739723267051456E-2</v>
      </c>
      <c r="AQ25" s="79">
        <f t="shared" si="30"/>
        <v>1.7706741302172927E-2</v>
      </c>
      <c r="AR25" s="79">
        <f t="shared" si="30"/>
        <v>1.7673497749247993E-2</v>
      </c>
      <c r="AS25" s="79">
        <f t="shared" si="30"/>
        <v>1.7640014198619724E-2</v>
      </c>
      <c r="AT25" s="79">
        <f t="shared" si="30"/>
        <v>1.7606311515913096E-2</v>
      </c>
      <c r="AU25" s="79">
        <f t="shared" si="30"/>
        <v>1.7572409859293855E-2</v>
      </c>
      <c r="AV25" s="79">
        <f t="shared" si="30"/>
        <v>1.7538328696595704E-2</v>
      </c>
      <c r="AW25" s="79">
        <f t="shared" si="30"/>
        <v>1.7504086822292854E-2</v>
      </c>
      <c r="AX25" s="79">
        <f t="shared" si="30"/>
        <v>1.7469702374304466E-2</v>
      </c>
      <c r="AY25" s="79">
        <f t="shared" si="30"/>
        <v>1.7435192850611611E-2</v>
      </c>
      <c r="AZ25" s="79">
        <f t="shared" si="30"/>
        <v>1.740057512567578E-2</v>
      </c>
      <c r="BA25" s="79">
        <f t="shared" si="30"/>
        <v>1.7365865466642632E-2</v>
      </c>
      <c r="BB25" s="79">
        <f t="shared" si="30"/>
        <v>1.7331079549322878E-2</v>
      </c>
      <c r="BC25" s="79">
        <f t="shared" si="30"/>
        <v>1.7296232473937544E-2</v>
      </c>
      <c r="BD25" s="79">
        <f t="shared" si="30"/>
        <v>1.726133878062007E-2</v>
      </c>
      <c r="BE25" s="79">
        <f t="shared" si="30"/>
        <v>1.722641246466762E-2</v>
      </c>
      <c r="BF25" s="79">
        <f t="shared" si="30"/>
        <v>1.7191466991533677E-2</v>
      </c>
      <c r="BG25" s="79">
        <f t="shared" si="30"/>
        <v>1.7156515311557315E-2</v>
      </c>
      <c r="BH25" s="79">
        <f t="shared" si="30"/>
        <v>1.7121569874424713E-2</v>
      </c>
      <c r="BI25" s="79">
        <f t="shared" si="30"/>
        <v>1.7086642643357196E-2</v>
      </c>
      <c r="BJ25" s="31">
        <f t="shared" si="30"/>
        <v>1.7051745109024196E-2</v>
      </c>
      <c r="BK25" s="79">
        <f t="shared" si="30"/>
        <v>1.7016888303179892E-2</v>
      </c>
      <c r="BL25" s="79">
        <f t="shared" si="30"/>
        <v>1.6982082812018486E-2</v>
      </c>
      <c r="BM25" s="79">
        <f t="shared" si="30"/>
        <v>1.6947338789250848E-2</v>
      </c>
      <c r="BN25" s="79">
        <f t="shared" si="30"/>
        <v>1.6912665968898913E-2</v>
      </c>
      <c r="BO25" s="79">
        <f t="shared" si="30"/>
        <v>1.6878073677811117E-2</v>
      </c>
      <c r="BP25" s="79">
        <f t="shared" si="30"/>
        <v>1.6843570847896665E-2</v>
      </c>
      <c r="BQ25" s="79">
        <f t="shared" si="30"/>
        <v>1.680916602808178E-2</v>
      </c>
      <c r="BR25" s="79">
        <f t="shared" si="30"/>
        <v>1.6774867395988012E-2</v>
      </c>
      <c r="BS25" s="79">
        <f t="shared" si="30"/>
        <v>1.6740682769336601E-2</v>
      </c>
      <c r="BT25" s="79">
        <f t="shared" si="30"/>
        <v>1.6706619617077336E-2</v>
      </c>
      <c r="BU25" s="79">
        <f t="shared" si="30"/>
        <v>1.6672685070249882E-2</v>
      </c>
      <c r="BV25" s="79">
        <f t="shared" si="30"/>
        <v>1.6638885932575093E-2</v>
      </c>
      <c r="BW25" s="79">
        <f t="shared" si="30"/>
        <v>1.6605228690783458E-2</v>
      </c>
      <c r="BX25" s="79">
        <f t="shared" si="30"/>
        <v>1.6571719524680995E-2</v>
      </c>
      <c r="BY25" s="79">
        <f t="shared" si="30"/>
        <v>1.6538364316959195E-2</v>
      </c>
      <c r="BZ25" s="79">
        <f t="shared" si="30"/>
        <v>1.6505168662749536E-2</v>
      </c>
      <c r="CA25" s="79">
        <f t="shared" si="30"/>
        <v>1.6472137878929094E-2</v>
      </c>
      <c r="CB25" s="79">
        <f t="shared" si="30"/>
        <v>1.6439277013180049E-2</v>
      </c>
      <c r="CC25" s="79">
        <f t="shared" si="30"/>
        <v>1.6406590852806803E-2</v>
      </c>
      <c r="CD25" s="79">
        <f t="shared" si="30"/>
        <v>1.6374083933316713E-2</v>
      </c>
      <c r="CE25" s="79">
        <f t="shared" si="30"/>
        <v>1.6341760546765664E-2</v>
      </c>
      <c r="CF25" s="79">
        <f t="shared" si="30"/>
        <v>1.6309624749877186E-2</v>
      </c>
      <c r="CG25" s="79">
        <f t="shared" si="30"/>
        <v>1.627768037193569E-2</v>
      </c>
      <c r="CH25" s="79">
        <f t="shared" si="30"/>
        <v>1.6245931022459748E-2</v>
      </c>
      <c r="CI25" s="79">
        <f t="shared" si="29"/>
        <v>1.6214380098660719E-2</v>
      </c>
      <c r="CJ25" s="79">
        <f t="shared" si="29"/>
        <v>1.6183030792689762E-2</v>
      </c>
      <c r="CK25" s="79">
        <f t="shared" si="29"/>
        <v>1.615188609867944E-2</v>
      </c>
      <c r="CL25" s="79">
        <f t="shared" si="29"/>
        <v>1.6120948819582207E-2</v>
      </c>
      <c r="CM25" s="79">
        <f t="shared" si="29"/>
        <v>1.6090221573812766E-2</v>
      </c>
      <c r="CN25" s="79">
        <f t="shared" si="29"/>
        <v>1.6059706801697281E-2</v>
      </c>
      <c r="CO25" s="79">
        <f t="shared" si="29"/>
        <v>1.6029406771733805E-2</v>
      </c>
      <c r="CP25" s="79">
        <f t="shared" si="29"/>
        <v>1.5999323586669487E-2</v>
      </c>
      <c r="CQ25" s="79">
        <f t="shared" si="29"/>
        <v>1.5969459189398152E-2</v>
      </c>
      <c r="CR25" s="79">
        <f t="shared" si="29"/>
        <v>1.5939815368681744E-2</v>
      </c>
      <c r="CS25" s="79">
        <f t="shared" si="29"/>
        <v>1.5910393764703594E-2</v>
      </c>
      <c r="CT25" s="79">
        <f t="shared" si="29"/>
        <v>1.5881195874451821E-2</v>
      </c>
      <c r="CU25" s="79">
        <f t="shared" si="29"/>
        <v>1.5852223056942578E-2</v>
      </c>
      <c r="CV25" s="79">
        <f t="shared" si="29"/>
        <v>1.5823476538284521E-2</v>
      </c>
      <c r="CW25" s="79">
        <f t="shared" si="29"/>
        <v>1.5794957416589251E-2</v>
      </c>
      <c r="CX25" s="79">
        <f t="shared" si="29"/>
        <v>1.5766666666731533E-2</v>
      </c>
      <c r="CY25" s="79">
        <f t="shared" si="29"/>
        <v>1.5766666666731533E-2</v>
      </c>
      <c r="CZ25" s="79">
        <f t="shared" si="29"/>
        <v>1.5766666666731533E-2</v>
      </c>
      <c r="DA25" s="79">
        <f t="shared" si="29"/>
        <v>1.5766666666731533E-2</v>
      </c>
      <c r="DB25" s="79">
        <f t="shared" si="29"/>
        <v>1.5766666666731533E-2</v>
      </c>
      <c r="DC25" s="79">
        <f t="shared" si="29"/>
        <v>1.5766666666731533E-2</v>
      </c>
      <c r="DD25" s="79">
        <f t="shared" si="29"/>
        <v>1.5766666666731533E-2</v>
      </c>
      <c r="DE25" s="79">
        <f t="shared" si="29"/>
        <v>1.5766666666731533E-2</v>
      </c>
      <c r="DF25" s="79">
        <f t="shared" si="29"/>
        <v>1.5766666666731533E-2</v>
      </c>
      <c r="DG25" s="79">
        <f t="shared" si="29"/>
        <v>1.5766666666731533E-2</v>
      </c>
      <c r="DH25" s="79">
        <f t="shared" si="29"/>
        <v>1.5766666666731533E-2</v>
      </c>
      <c r="DI25" s="79">
        <f t="shared" si="29"/>
        <v>1.5766666666731533E-2</v>
      </c>
      <c r="DJ25" s="79">
        <f t="shared" si="29"/>
        <v>1.5766666666731533E-2</v>
      </c>
      <c r="DK25" s="79">
        <f t="shared" si="29"/>
        <v>1.5766666666731533E-2</v>
      </c>
      <c r="DL25" s="79">
        <f t="shared" si="29"/>
        <v>1.5766666666731533E-2</v>
      </c>
      <c r="DM25" s="79">
        <f t="shared" si="29"/>
        <v>1.5766666666731533E-2</v>
      </c>
      <c r="DN25" s="79">
        <f t="shared" si="29"/>
        <v>1.5766666666731533E-2</v>
      </c>
      <c r="DO25" s="79">
        <f t="shared" si="29"/>
        <v>1.5766666666731533E-2</v>
      </c>
      <c r="DP25" s="79">
        <f t="shared" si="29"/>
        <v>1.5766666666731533E-2</v>
      </c>
      <c r="DQ25" s="79">
        <f t="shared" si="29"/>
        <v>1.5766666666731533E-2</v>
      </c>
      <c r="DR25" s="79">
        <f t="shared" si="29"/>
        <v>1.5766666666731533E-2</v>
      </c>
      <c r="DS25" s="79">
        <f t="shared" si="29"/>
        <v>1.5766666666731533E-2</v>
      </c>
      <c r="DT25" s="79">
        <f t="shared" si="29"/>
        <v>1.5766666666731533E-2</v>
      </c>
      <c r="DU25" s="79">
        <f t="shared" si="29"/>
        <v>1.5766666666731533E-2</v>
      </c>
      <c r="DV25" s="79">
        <f t="shared" si="29"/>
        <v>1.5766666666731533E-2</v>
      </c>
      <c r="DW25" s="79">
        <f t="shared" si="29"/>
        <v>1.5766666666731533E-2</v>
      </c>
      <c r="DX25" s="79">
        <f t="shared" si="29"/>
        <v>1.5766666666731533E-2</v>
      </c>
      <c r="DY25" s="79">
        <f t="shared" si="29"/>
        <v>1.5766666666731533E-2</v>
      </c>
      <c r="DZ25" s="79">
        <f t="shared" si="29"/>
        <v>1.5766666666731533E-2</v>
      </c>
      <c r="EA25" s="79">
        <f t="shared" si="29"/>
        <v>1.5766666666731533E-2</v>
      </c>
      <c r="EB25" s="79">
        <f t="shared" si="29"/>
        <v>1.5766666666731533E-2</v>
      </c>
      <c r="EC25" s="79">
        <f t="shared" si="29"/>
        <v>1.5766666666731533E-2</v>
      </c>
      <c r="ED25" s="79">
        <f t="shared" si="29"/>
        <v>1.5766666666731533E-2</v>
      </c>
      <c r="EE25" s="79">
        <f t="shared" si="28"/>
        <v>1.5766666666731533E-2</v>
      </c>
      <c r="EF25" s="79">
        <f t="shared" si="12"/>
        <v>1.5766666666731533E-2</v>
      </c>
      <c r="EG25" s="79">
        <f t="shared" si="12"/>
        <v>1.5766666666731533E-2</v>
      </c>
      <c r="EH25" s="79">
        <f t="shared" si="12"/>
        <v>1.5766666666731533E-2</v>
      </c>
      <c r="EI25" s="79">
        <f t="shared" si="12"/>
        <v>1.5766666666731533E-2</v>
      </c>
      <c r="EJ25" s="79">
        <f t="shared" si="12"/>
        <v>1.5766666666731533E-2</v>
      </c>
      <c r="EK25" s="79">
        <f t="shared" si="12"/>
        <v>1.5766666666731533E-2</v>
      </c>
      <c r="EL25" s="79">
        <f t="shared" si="12"/>
        <v>1.5766666666731533E-2</v>
      </c>
      <c r="EM25" s="79">
        <f t="shared" si="12"/>
        <v>1.5766666666731533E-2</v>
      </c>
      <c r="EN25" s="79">
        <f t="shared" si="12"/>
        <v>1.5766666666731533E-2</v>
      </c>
      <c r="EO25" s="79">
        <f t="shared" si="12"/>
        <v>1.5766666666731533E-2</v>
      </c>
      <c r="EP25" s="79">
        <f t="shared" si="12"/>
        <v>1.5766666666731533E-2</v>
      </c>
      <c r="EQ25" s="79">
        <f t="shared" si="12"/>
        <v>1.5766666666731533E-2</v>
      </c>
      <c r="ER25" s="79">
        <f t="shared" si="12"/>
        <v>1.5766666666731533E-2</v>
      </c>
      <c r="ES25" s="79">
        <f t="shared" si="12"/>
        <v>1.5766666666731533E-2</v>
      </c>
      <c r="ET25" s="79">
        <f t="shared" si="12"/>
        <v>1.5766666666731533E-2</v>
      </c>
      <c r="FF25" s="6" t="s">
        <v>2999</v>
      </c>
      <c r="FG25" s="696">
        <v>1.9E-2</v>
      </c>
      <c r="FH25" s="696">
        <v>120</v>
      </c>
      <c r="FI25" s="696">
        <v>1.8000000000000002E-2</v>
      </c>
      <c r="FJ25" s="255">
        <v>1.4499999999999999E-2</v>
      </c>
      <c r="FK25" s="71">
        <f t="shared" si="10"/>
        <v>1.0714285714285715E-4</v>
      </c>
      <c r="FL25" t="e">
        <f>VLOOKUP(FF25,'SIMULADOR COM SALDO'!$BX$22:$CK$1000,13,FALSE)</f>
        <v>#N/A</v>
      </c>
    </row>
    <row r="26" spans="5:168" ht="18" customHeight="1" x14ac:dyDescent="0.25">
      <c r="E26" s="77"/>
      <c r="F26" s="97">
        <f t="shared" si="11"/>
        <v>1.5864285714285716E-2</v>
      </c>
      <c r="G26" s="79">
        <f t="shared" si="9"/>
        <v>1.8498348347587141E-2</v>
      </c>
      <c r="H26" s="79">
        <f t="shared" si="9"/>
        <v>1.8495101265674448E-2</v>
      </c>
      <c r="I26" s="79">
        <f t="shared" si="9"/>
        <v>1.8490313944242231E-2</v>
      </c>
      <c r="J26" s="79">
        <f t="shared" si="9"/>
        <v>1.8484040526939575E-2</v>
      </c>
      <c r="K26" s="79">
        <f t="shared" si="9"/>
        <v>1.8476334100069412E-2</v>
      </c>
      <c r="L26" s="79">
        <f t="shared" si="9"/>
        <v>1.846724668383086E-2</v>
      </c>
      <c r="M26" s="79">
        <f t="shared" si="9"/>
        <v>1.8456829225704942E-2</v>
      </c>
      <c r="N26" s="79">
        <f t="shared" si="9"/>
        <v>1.8445131595866759E-2</v>
      </c>
      <c r="O26" s="79">
        <f t="shared" si="9"/>
        <v>1.8432202584510084E-2</v>
      </c>
      <c r="P26" s="79">
        <f t="shared" si="9"/>
        <v>1.841808990097412E-2</v>
      </c>
      <c r="Q26" s="79">
        <f t="shared" si="9"/>
        <v>1.8402840174560699E-2</v>
      </c>
      <c r="R26" s="79">
        <f t="shared" si="9"/>
        <v>1.8386498956938131E-2</v>
      </c>
      <c r="S26" s="79">
        <f t="shared" si="9"/>
        <v>1.8369110726026584E-2</v>
      </c>
      <c r="T26" s="79">
        <f t="shared" si="9"/>
        <v>1.8350718891264661E-2</v>
      </c>
      <c r="U26" s="79">
        <f t="shared" si="9"/>
        <v>1.8331365800159656E-2</v>
      </c>
      <c r="V26" s="79">
        <f t="shared" si="9"/>
        <v>1.8311092746027727E-2</v>
      </c>
      <c r="W26" s="79">
        <f t="shared" si="30"/>
        <v>1.8289939976834584E-2</v>
      </c>
      <c r="X26" s="79">
        <f t="shared" si="30"/>
        <v>1.8267946705045102E-2</v>
      </c>
      <c r="Y26" s="79">
        <f t="shared" si="30"/>
        <v>1.8245151118405273E-2</v>
      </c>
      <c r="Z26" s="79">
        <f t="shared" si="30"/>
        <v>1.8221590391567812E-2</v>
      </c>
      <c r="AA26" s="79">
        <f t="shared" si="30"/>
        <v>1.8197300698492593E-2</v>
      </c>
      <c r="AB26" s="79">
        <f t="shared" si="30"/>
        <v>1.8172317225543484E-2</v>
      </c>
      <c r="AC26" s="79">
        <f t="shared" si="30"/>
        <v>1.8146674185212854E-2</v>
      </c>
      <c r="AD26" s="79">
        <f t="shared" si="30"/>
        <v>1.8120404830409571E-2</v>
      </c>
      <c r="AE26" s="79">
        <f t="shared" si="30"/>
        <v>1.8093541469244752E-2</v>
      </c>
      <c r="AF26" s="79">
        <f t="shared" si="30"/>
        <v>1.8066115480256766E-2</v>
      </c>
      <c r="AG26" s="79">
        <f t="shared" si="30"/>
        <v>1.8038157328020069E-2</v>
      </c>
      <c r="AH26" s="79">
        <f t="shared" si="30"/>
        <v>1.8009696579081642E-2</v>
      </c>
      <c r="AI26" s="79">
        <f t="shared" si="30"/>
        <v>1.7980761918178201E-2</v>
      </c>
      <c r="AJ26" s="79">
        <f t="shared" si="30"/>
        <v>1.7951381164684761E-2</v>
      </c>
      <c r="AK26" s="79">
        <f t="shared" si="30"/>
        <v>1.7921581289250685E-2</v>
      </c>
      <c r="AL26" s="79">
        <f t="shared" si="30"/>
        <v>1.7891388430582189E-2</v>
      </c>
      <c r="AM26" s="79">
        <f t="shared" si="30"/>
        <v>1.7860827912331175E-2</v>
      </c>
      <c r="AN26" s="79">
        <f t="shared" si="30"/>
        <v>1.7829924260055807E-2</v>
      </c>
      <c r="AO26" s="79">
        <f t="shared" si="30"/>
        <v>1.7798701218217063E-2</v>
      </c>
      <c r="AP26" s="79">
        <f t="shared" si="30"/>
        <v>1.7767181767182411E-2</v>
      </c>
      <c r="AQ26" s="79">
        <f t="shared" si="30"/>
        <v>1.7735388140204051E-2</v>
      </c>
      <c r="AR26" s="79">
        <f t="shared" si="30"/>
        <v>1.7703341840348077E-2</v>
      </c>
      <c r="AS26" s="79">
        <f t="shared" si="30"/>
        <v>1.7671063657347989E-2</v>
      </c>
      <c r="AT26" s="79">
        <f t="shared" si="30"/>
        <v>1.7638573684359317E-2</v>
      </c>
      <c r="AU26" s="79">
        <f t="shared" si="30"/>
        <v>1.7605891334596072E-2</v>
      </c>
      <c r="AV26" s="79">
        <f t="shared" si="30"/>
        <v>1.7573035357827883E-2</v>
      </c>
      <c r="AW26" s="79">
        <f t="shared" si="30"/>
        <v>1.7540023856721629E-2</v>
      </c>
      <c r="AX26" s="79">
        <f t="shared" si="30"/>
        <v>1.7506874303011576E-2</v>
      </c>
      <c r="AY26" s="79">
        <f t="shared" si="30"/>
        <v>1.7473603553482413E-2</v>
      </c>
      <c r="AZ26" s="79">
        <f t="shared" si="30"/>
        <v>1.744022786575436E-2</v>
      </c>
      <c r="BA26" s="79">
        <f t="shared" si="30"/>
        <v>1.7406762913856816E-2</v>
      </c>
      <c r="BB26" s="79">
        <f t="shared" si="30"/>
        <v>1.7373223803581424E-2</v>
      </c>
      <c r="BC26" s="79">
        <f t="shared" si="30"/>
        <v>1.7339625087605153E-2</v>
      </c>
      <c r="BD26" s="79">
        <f t="shared" si="30"/>
        <v>1.7305980780375131E-2</v>
      </c>
      <c r="BE26" s="79">
        <f t="shared" si="30"/>
        <v>1.7272304372748279E-2</v>
      </c>
      <c r="BF26" s="79">
        <f t="shared" si="30"/>
        <v>1.723860884638161E-2</v>
      </c>
      <c r="BG26" s="79">
        <f t="shared" si="30"/>
        <v>1.7204906687864067E-2</v>
      </c>
      <c r="BH26" s="79">
        <f t="shared" si="30"/>
        <v>1.7171209902591151E-2</v>
      </c>
      <c r="BI26" s="79">
        <f t="shared" si="30"/>
        <v>1.7137530028374291E-2</v>
      </c>
      <c r="BJ26" s="31">
        <f t="shared" si="30"/>
        <v>1.7103878148785036E-2</v>
      </c>
      <c r="BK26" s="79">
        <f t="shared" si="30"/>
        <v>1.7070264906230925E-2</v>
      </c>
      <c r="BL26" s="79">
        <f t="shared" si="30"/>
        <v>1.7036700514763199E-2</v>
      </c>
      <c r="BM26" s="79">
        <f t="shared" si="30"/>
        <v>1.7003194772613049E-2</v>
      </c>
      <c r="BN26" s="79">
        <f t="shared" si="30"/>
        <v>1.6969757074459454E-2</v>
      </c>
      <c r="BO26" s="79">
        <f t="shared" si="30"/>
        <v>1.6936396423426297E-2</v>
      </c>
      <c r="BP26" s="79">
        <f t="shared" si="30"/>
        <v>1.6903121442811683E-2</v>
      </c>
      <c r="BQ26" s="79">
        <f t="shared" si="30"/>
        <v>1.6869940387548722E-2</v>
      </c>
      <c r="BR26" s="79">
        <f t="shared" si="30"/>
        <v>1.6836861155400843E-2</v>
      </c>
      <c r="BS26" s="79">
        <f t="shared" si="30"/>
        <v>1.6803891297892982E-2</v>
      </c>
      <c r="BT26" s="79">
        <f t="shared" si="30"/>
        <v>1.6771038030981636E-2</v>
      </c>
      <c r="BU26" s="79">
        <f t="shared" si="30"/>
        <v>1.6738308245465076E-2</v>
      </c>
      <c r="BV26" s="79">
        <f t="shared" si="30"/>
        <v>1.6705708517137322E-2</v>
      </c>
      <c r="BW26" s="79">
        <f t="shared" si="30"/>
        <v>1.6673245116690161E-2</v>
      </c>
      <c r="BX26" s="79">
        <f t="shared" si="30"/>
        <v>1.6640924019362974E-2</v>
      </c>
      <c r="BY26" s="79">
        <f t="shared" si="30"/>
        <v>1.6608750914349137E-2</v>
      </c>
      <c r="BZ26" s="79">
        <f t="shared" si="30"/>
        <v>1.6576731213956298E-2</v>
      </c>
      <c r="CA26" s="79">
        <f t="shared" si="30"/>
        <v>1.6544870062530515E-2</v>
      </c>
      <c r="CB26" s="79">
        <f t="shared" si="30"/>
        <v>1.6513172345143174E-2</v>
      </c>
      <c r="CC26" s="79">
        <f t="shared" si="30"/>
        <v>1.6481642696048168E-2</v>
      </c>
      <c r="CD26" s="79">
        <f t="shared" si="30"/>
        <v>1.645028550691045E-2</v>
      </c>
      <c r="CE26" s="79">
        <f t="shared" si="30"/>
        <v>1.6419104934813529E-2</v>
      </c>
      <c r="CF26" s="79">
        <f t="shared" si="30"/>
        <v>1.6388104910046643E-2</v>
      </c>
      <c r="CG26" s="79">
        <f t="shared" si="30"/>
        <v>1.6357289143678108E-2</v>
      </c>
      <c r="CH26" s="79">
        <f t="shared" si="30"/>
        <v>1.6326661134918652E-2</v>
      </c>
      <c r="CI26" s="79">
        <f t="shared" si="29"/>
        <v>1.6296224178278768E-2</v>
      </c>
      <c r="CJ26" s="79">
        <f t="shared" si="29"/>
        <v>1.6265981370523847E-2</v>
      </c>
      <c r="CK26" s="79">
        <f t="shared" si="29"/>
        <v>1.6235935617433639E-2</v>
      </c>
      <c r="CL26" s="79">
        <f t="shared" si="29"/>
        <v>1.6206089640367065E-2</v>
      </c>
      <c r="CM26" s="79">
        <f t="shared" si="29"/>
        <v>1.6176445982639866E-2</v>
      </c>
      <c r="CN26" s="79">
        <f t="shared" si="29"/>
        <v>1.6147007015717665E-2</v>
      </c>
      <c r="CO26" s="79">
        <f t="shared" si="29"/>
        <v>1.6117774945228126E-2</v>
      </c>
      <c r="CP26" s="79">
        <f t="shared" si="29"/>
        <v>1.6088751816798672E-2</v>
      </c>
      <c r="CQ26" s="79">
        <f t="shared" si="29"/>
        <v>1.6059939521721769E-2</v>
      </c>
      <c r="CR26" s="79">
        <f t="shared" si="29"/>
        <v>1.603133980245329E-2</v>
      </c>
      <c r="CS26" s="79">
        <f t="shared" si="29"/>
        <v>1.6002954257947177E-2</v>
      </c>
      <c r="CT26" s="79">
        <f t="shared" si="29"/>
        <v>1.597478434883105E-2</v>
      </c>
      <c r="CU26" s="79">
        <f t="shared" si="29"/>
        <v>1.5946831402426868E-2</v>
      </c>
      <c r="CV26" s="79">
        <f t="shared" si="29"/>
        <v>1.5919096617620056E-2</v>
      </c>
      <c r="CW26" s="79">
        <f t="shared" si="29"/>
        <v>1.5891581069580562E-2</v>
      </c>
      <c r="CX26" s="79">
        <f t="shared" si="29"/>
        <v>1.5864285714341862E-2</v>
      </c>
      <c r="CY26" s="79">
        <f t="shared" si="29"/>
        <v>1.5864285714341862E-2</v>
      </c>
      <c r="CZ26" s="79">
        <f t="shared" si="29"/>
        <v>1.5864285714341862E-2</v>
      </c>
      <c r="DA26" s="79">
        <f t="shared" si="29"/>
        <v>1.5864285714341862E-2</v>
      </c>
      <c r="DB26" s="79">
        <f t="shared" si="29"/>
        <v>1.5864285714341862E-2</v>
      </c>
      <c r="DC26" s="79">
        <f t="shared" si="29"/>
        <v>1.5864285714341862E-2</v>
      </c>
      <c r="DD26" s="79">
        <f t="shared" si="29"/>
        <v>1.5864285714341862E-2</v>
      </c>
      <c r="DE26" s="79">
        <f t="shared" si="29"/>
        <v>1.5864285714341862E-2</v>
      </c>
      <c r="DF26" s="79">
        <f t="shared" si="29"/>
        <v>1.5864285714341862E-2</v>
      </c>
      <c r="DG26" s="79">
        <f t="shared" si="29"/>
        <v>1.5864285714341862E-2</v>
      </c>
      <c r="DH26" s="79">
        <f t="shared" si="29"/>
        <v>1.5864285714341862E-2</v>
      </c>
      <c r="DI26" s="79">
        <f t="shared" si="29"/>
        <v>1.5864285714341862E-2</v>
      </c>
      <c r="DJ26" s="79">
        <f t="shared" si="29"/>
        <v>1.5864285714341862E-2</v>
      </c>
      <c r="DK26" s="79">
        <f t="shared" si="29"/>
        <v>1.5864285714341862E-2</v>
      </c>
      <c r="DL26" s="79">
        <f t="shared" si="29"/>
        <v>1.5864285714341862E-2</v>
      </c>
      <c r="DM26" s="79">
        <f t="shared" si="29"/>
        <v>1.5864285714341862E-2</v>
      </c>
      <c r="DN26" s="79">
        <f t="shared" si="29"/>
        <v>1.5864285714341862E-2</v>
      </c>
      <c r="DO26" s="79">
        <f t="shared" si="29"/>
        <v>1.5864285714341862E-2</v>
      </c>
      <c r="DP26" s="79">
        <f t="shared" si="29"/>
        <v>1.5864285714341862E-2</v>
      </c>
      <c r="DQ26" s="79">
        <f t="shared" si="29"/>
        <v>1.5864285714341862E-2</v>
      </c>
      <c r="DR26" s="79">
        <f t="shared" si="29"/>
        <v>1.5864285714341862E-2</v>
      </c>
      <c r="DS26" s="79">
        <f t="shared" si="29"/>
        <v>1.5864285714341862E-2</v>
      </c>
      <c r="DT26" s="79">
        <f t="shared" si="29"/>
        <v>1.5864285714341862E-2</v>
      </c>
      <c r="DU26" s="79">
        <f t="shared" si="29"/>
        <v>1.5864285714341862E-2</v>
      </c>
      <c r="DV26" s="79">
        <f t="shared" si="29"/>
        <v>1.5864285714341862E-2</v>
      </c>
      <c r="DW26" s="79">
        <f t="shared" si="29"/>
        <v>1.5864285714341862E-2</v>
      </c>
      <c r="DX26" s="79">
        <f t="shared" si="29"/>
        <v>1.5864285714341862E-2</v>
      </c>
      <c r="DY26" s="79">
        <f t="shared" si="29"/>
        <v>1.5864285714341862E-2</v>
      </c>
      <c r="DZ26" s="79">
        <f t="shared" si="29"/>
        <v>1.5864285714341862E-2</v>
      </c>
      <c r="EA26" s="79">
        <f t="shared" si="29"/>
        <v>1.5864285714341862E-2</v>
      </c>
      <c r="EB26" s="79">
        <f t="shared" si="29"/>
        <v>1.5864285714341862E-2</v>
      </c>
      <c r="EC26" s="79">
        <f t="shared" si="29"/>
        <v>1.5864285714341862E-2</v>
      </c>
      <c r="ED26" s="79">
        <f t="shared" si="29"/>
        <v>1.5864285714341862E-2</v>
      </c>
      <c r="EE26" s="79">
        <f t="shared" si="28"/>
        <v>1.5864285714341862E-2</v>
      </c>
      <c r="EF26" s="79">
        <f t="shared" si="12"/>
        <v>1.5864285714341862E-2</v>
      </c>
      <c r="EG26" s="79">
        <f t="shared" si="12"/>
        <v>1.5864285714341862E-2</v>
      </c>
      <c r="EH26" s="79">
        <f t="shared" si="12"/>
        <v>1.5864285714341862E-2</v>
      </c>
      <c r="EI26" s="79">
        <f t="shared" si="12"/>
        <v>1.5864285714341862E-2</v>
      </c>
      <c r="EJ26" s="79">
        <f t="shared" si="12"/>
        <v>1.5864285714341862E-2</v>
      </c>
      <c r="EK26" s="79">
        <f t="shared" si="12"/>
        <v>1.5864285714341862E-2</v>
      </c>
      <c r="EL26" s="79">
        <f t="shared" si="12"/>
        <v>1.5864285714341862E-2</v>
      </c>
      <c r="EM26" s="79">
        <f t="shared" si="12"/>
        <v>1.5864285714341862E-2</v>
      </c>
      <c r="EN26" s="79">
        <f t="shared" si="12"/>
        <v>1.5864285714341862E-2</v>
      </c>
      <c r="EO26" s="79">
        <f t="shared" si="12"/>
        <v>1.5864285714341862E-2</v>
      </c>
      <c r="EP26" s="79">
        <f t="shared" si="12"/>
        <v>1.5864285714341862E-2</v>
      </c>
      <c r="EQ26" s="79">
        <f t="shared" si="12"/>
        <v>1.5864285714341862E-2</v>
      </c>
      <c r="ER26" s="79">
        <f t="shared" si="12"/>
        <v>1.5864285714341862E-2</v>
      </c>
      <c r="ES26" s="79">
        <f t="shared" si="12"/>
        <v>1.5864285714341862E-2</v>
      </c>
      <c r="ET26" s="79">
        <f t="shared" si="12"/>
        <v>1.5864285714341862E-2</v>
      </c>
      <c r="EY26" t="s">
        <v>70</v>
      </c>
      <c r="EZ26" s="4">
        <v>1.2800000000000001E-2</v>
      </c>
      <c r="FA26" s="27">
        <f>VLOOKUP(EY26,$EY$11:$FC$24,5,FALSE)</f>
        <v>1.9E-2</v>
      </c>
      <c r="FB26" s="4">
        <f>(FA26-EZ26)/18</f>
        <v>3.4444444444444437E-4</v>
      </c>
      <c r="FF26" s="6" t="s">
        <v>3000</v>
      </c>
      <c r="FG26" s="696">
        <v>2.5000000000000001E-2</v>
      </c>
      <c r="FH26" s="696">
        <v>120</v>
      </c>
      <c r="FI26" s="696">
        <v>1.6399999999999998E-2</v>
      </c>
      <c r="FJ26" s="255">
        <v>1.3899999999999999E-2</v>
      </c>
      <c r="FK26" s="71">
        <f t="shared" si="10"/>
        <v>2.6428571428571435E-4</v>
      </c>
      <c r="FL26" t="e">
        <f>VLOOKUP(FF26,'SIMULADOR COM SALDO'!$BX$22:$CK$1000,13,FALSE)</f>
        <v>#N/A</v>
      </c>
    </row>
    <row r="27" spans="5:168" ht="18" customHeight="1" x14ac:dyDescent="0.25">
      <c r="E27" s="77"/>
      <c r="F27" s="97">
        <f t="shared" si="11"/>
        <v>1.5961904761904764E-2</v>
      </c>
      <c r="G27" s="79">
        <f t="shared" si="9"/>
        <v>1.8498409670088901E-2</v>
      </c>
      <c r="H27" s="79">
        <f t="shared" si="9"/>
        <v>1.8495283280782489E-2</v>
      </c>
      <c r="I27" s="79">
        <f t="shared" si="9"/>
        <v>1.849067408673355E-2</v>
      </c>
      <c r="J27" s="79">
        <f t="shared" si="9"/>
        <v>1.8484634315615728E-2</v>
      </c>
      <c r="K27" s="79">
        <f t="shared" si="9"/>
        <v>1.8477215159209154E-2</v>
      </c>
      <c r="L27" s="79">
        <f t="shared" si="9"/>
        <v>1.8468466766566816E-2</v>
      </c>
      <c r="M27" s="79">
        <f t="shared" si="9"/>
        <v>1.8458438239155016E-2</v>
      </c>
      <c r="N27" s="79">
        <f t="shared" si="9"/>
        <v>1.8447177627857546E-2</v>
      </c>
      <c r="O27" s="79">
        <f t="shared" si="9"/>
        <v>1.8434731931734633E-2</v>
      </c>
      <c r="P27" s="79">
        <f t="shared" si="9"/>
        <v>1.8421147098434423E-2</v>
      </c>
      <c r="Q27" s="79">
        <f t="shared" si="9"/>
        <v>1.8406468026152506E-2</v>
      </c>
      <c r="R27" s="79">
        <f t="shared" si="9"/>
        <v>1.8390738567040717E-2</v>
      </c>
      <c r="S27" s="79">
        <f t="shared" si="9"/>
        <v>1.837400153196752E-2</v>
      </c>
      <c r="T27" s="79">
        <f t="shared" si="9"/>
        <v>1.8356298696536995E-2</v>
      </c>
      <c r="U27" s="79">
        <f t="shared" si="9"/>
        <v>1.8337670808275579E-2</v>
      </c>
      <c r="V27" s="79">
        <f t="shared" si="9"/>
        <v>1.8318157594897858E-2</v>
      </c>
      <c r="W27" s="79">
        <f t="shared" si="30"/>
        <v>1.8297797773569293E-2</v>
      </c>
      <c r="X27" s="79">
        <f t="shared" si="30"/>
        <v>1.8276629061081986E-2</v>
      </c>
      <c r="Y27" s="79">
        <f t="shared" si="30"/>
        <v>1.8254688184869E-2</v>
      </c>
      <c r="Z27" s="79">
        <f t="shared" si="30"/>
        <v>1.8232010894780607E-2</v>
      </c>
      <c r="AA27" s="79">
        <f t="shared" si="30"/>
        <v>1.8208631975552992E-2</v>
      </c>
      <c r="AB27" s="79">
        <f t="shared" si="30"/>
        <v>1.8184585259899966E-2</v>
      </c>
      <c r="AC27" s="79">
        <f t="shared" si="30"/>
        <v>1.8159903642165295E-2</v>
      </c>
      <c r="AD27" s="79">
        <f t="shared" si="30"/>
        <v>1.8134619092473096E-2</v>
      </c>
      <c r="AE27" s="79">
        <f t="shared" si="30"/>
        <v>1.8108762671319147E-2</v>
      </c>
      <c r="AF27" s="79">
        <f t="shared" si="30"/>
        <v>1.8082364544546859E-2</v>
      </c>
      <c r="AG27" s="79">
        <f t="shared" si="30"/>
        <v>1.8055453998657246E-2</v>
      </c>
      <c r="AH27" s="79">
        <f t="shared" si="30"/>
        <v>1.8028059456404011E-2</v>
      </c>
      <c r="AI27" s="79">
        <f t="shared" si="30"/>
        <v>1.8000208492625958E-2</v>
      </c>
      <c r="AJ27" s="79">
        <f t="shared" si="30"/>
        <v>1.7971927850275647E-2</v>
      </c>
      <c r="AK27" s="79">
        <f t="shared" si="30"/>
        <v>1.7943243456601966E-2</v>
      </c>
      <c r="AL27" s="79">
        <f t="shared" si="30"/>
        <v>1.7914180439448601E-2</v>
      </c>
      <c r="AM27" s="79">
        <f t="shared" si="30"/>
        <v>1.7884763143634068E-2</v>
      </c>
      <c r="AN27" s="79">
        <f t="shared" si="30"/>
        <v>1.7855015147379919E-2</v>
      </c>
      <c r="AO27" s="79">
        <f t="shared" si="30"/>
        <v>1.7824959278753629E-2</v>
      </c>
      <c r="AP27" s="79">
        <f t="shared" si="30"/>
        <v>1.7794617632102053E-2</v>
      </c>
      <c r="AQ27" s="79">
        <f t="shared" si="30"/>
        <v>1.7764011584444055E-2</v>
      </c>
      <c r="AR27" s="79">
        <f t="shared" si="30"/>
        <v>1.7733161811802716E-2</v>
      </c>
      <c r="AS27" s="79">
        <f t="shared" si="30"/>
        <v>1.7702088305449597E-2</v>
      </c>
      <c r="AT27" s="79">
        <f t="shared" si="30"/>
        <v>1.7670810388043533E-2</v>
      </c>
      <c r="AU27" s="79">
        <f t="shared" si="30"/>
        <v>1.7639346729644938E-2</v>
      </c>
      <c r="AV27" s="79">
        <f t="shared" si="30"/>
        <v>1.7607715363585387E-2</v>
      </c>
      <c r="AW27" s="79">
        <f t="shared" si="30"/>
        <v>1.7575933702180326E-2</v>
      </c>
      <c r="AX27" s="79">
        <f t="shared" si="30"/>
        <v>1.7544018552267837E-2</v>
      </c>
      <c r="AY27" s="79">
        <f t="shared" si="30"/>
        <v>1.751198613056151E-2</v>
      </c>
      <c r="AZ27" s="79">
        <f t="shared" si="30"/>
        <v>1.7479852078806455E-2</v>
      </c>
      <c r="BA27" s="79">
        <f t="shared" si="30"/>
        <v>1.744763147872655E-2</v>
      </c>
      <c r="BB27" s="79">
        <f t="shared" si="30"/>
        <v>1.7415338866755243E-2</v>
      </c>
      <c r="BC27" s="79">
        <f t="shared" si="30"/>
        <v>1.7382988248540409E-2</v>
      </c>
      <c r="BD27" s="79">
        <f t="shared" si="30"/>
        <v>1.7350593113217967E-2</v>
      </c>
      <c r="BE27" s="79">
        <f t="shared" si="30"/>
        <v>1.7318166447446076E-2</v>
      </c>
      <c r="BF27" s="79">
        <f t="shared" si="30"/>
        <v>1.7285720749196494E-2</v>
      </c>
      <c r="BG27" s="79">
        <f t="shared" si="30"/>
        <v>1.7253268041297006E-2</v>
      </c>
      <c r="BH27" s="79">
        <f t="shared" si="30"/>
        <v>1.7220819884723564E-2</v>
      </c>
      <c r="BI27" s="79">
        <f t="shared" si="30"/>
        <v>1.7188387391637232E-2</v>
      </c>
      <c r="BJ27" s="99">
        <f t="shared" si="30"/>
        <v>1.7155981238164322E-2</v>
      </c>
      <c r="BK27" s="79">
        <f t="shared" si="30"/>
        <v>1.7123611676919885E-2</v>
      </c>
      <c r="BL27" s="79">
        <f t="shared" si="30"/>
        <v>1.7091288549269862E-2</v>
      </c>
      <c r="BM27" s="79">
        <f t="shared" si="30"/>
        <v>1.7059021297336576E-2</v>
      </c>
      <c r="BN27" s="79">
        <f t="shared" si="30"/>
        <v>1.7026818975742816E-2</v>
      </c>
      <c r="BO27" s="79">
        <f t="shared" si="30"/>
        <v>1.6994690263097544E-2</v>
      </c>
      <c r="BP27" s="79">
        <f t="shared" si="30"/>
        <v>1.6962643473224452E-2</v>
      </c>
      <c r="BQ27" s="79">
        <f t="shared" si="30"/>
        <v>1.6930686566133887E-2</v>
      </c>
      <c r="BR27" s="79">
        <f t="shared" si="30"/>
        <v>1.689882715873901E-2</v>
      </c>
      <c r="BS27" s="79">
        <f t="shared" si="30"/>
        <v>1.6867072535321083E-2</v>
      </c>
      <c r="BT27" s="79">
        <f t="shared" si="30"/>
        <v>1.6835429657742144E-2</v>
      </c>
      <c r="BU27" s="79">
        <f t="shared" si="30"/>
        <v>1.6803905175411464E-2</v>
      </c>
      <c r="BV27" s="79">
        <f t="shared" si="30"/>
        <v>1.6772505435006413E-2</v>
      </c>
      <c r="BW27" s="79">
        <f t="shared" si="30"/>
        <v>1.6741236489951447E-2</v>
      </c>
      <c r="BX27" s="79">
        <f t="shared" si="30"/>
        <v>1.6710104109657217E-2</v>
      </c>
      <c r="BY27" s="79">
        <f t="shared" si="30"/>
        <v>1.6679113788525976E-2</v>
      </c>
      <c r="BZ27" s="79">
        <f t="shared" si="30"/>
        <v>1.664827075472369E-2</v>
      </c>
      <c r="CA27" s="79">
        <f t="shared" si="30"/>
        <v>1.6617579978724317E-2</v>
      </c>
      <c r="CB27" s="79">
        <f t="shared" si="30"/>
        <v>1.658704618162947E-2</v>
      </c>
      <c r="CC27" s="79">
        <f t="shared" si="30"/>
        <v>1.6556673843267217E-2</v>
      </c>
      <c r="CD27" s="79">
        <f t="shared" si="30"/>
        <v>1.6526467210074346E-2</v>
      </c>
      <c r="CE27" s="79">
        <f t="shared" si="30"/>
        <v>1.6496430302765926E-2</v>
      </c>
      <c r="CF27" s="79">
        <f t="shared" si="30"/>
        <v>1.6466566923795022E-2</v>
      </c>
      <c r="CG27" s="79">
        <f t="shared" si="30"/>
        <v>1.643688066460949E-2</v>
      </c>
      <c r="CH27" s="79">
        <f t="shared" si="30"/>
        <v>1.6407374912706704E-2</v>
      </c>
      <c r="CI27" s="79">
        <f t="shared" si="29"/>
        <v>1.6378052858492712E-2</v>
      </c>
      <c r="CJ27" s="79">
        <f t="shared" si="29"/>
        <v>1.6348917501947939E-2</v>
      </c>
      <c r="CK27" s="79">
        <f t="shared" si="29"/>
        <v>1.631997165910648E-2</v>
      </c>
      <c r="CL27" s="79">
        <f t="shared" si="29"/>
        <v>1.6291217968350015E-2</v>
      </c>
      <c r="CM27" s="79">
        <f t="shared" si="29"/>
        <v>1.6262658896521499E-2</v>
      </c>
      <c r="CN27" s="79">
        <f t="shared" si="29"/>
        <v>1.6234296744864252E-2</v>
      </c>
      <c r="CO27" s="79">
        <f t="shared" si="29"/>
        <v>1.6206133654788273E-2</v>
      </c>
      <c r="CP27" s="79">
        <f t="shared" si="29"/>
        <v>1.6178171613469534E-2</v>
      </c>
      <c r="CQ27" s="79">
        <f t="shared" si="29"/>
        <v>1.6150412459284277E-2</v>
      </c>
      <c r="CR27" s="79">
        <f t="shared" si="29"/>
        <v>1.6122857887085087E-2</v>
      </c>
      <c r="CS27" s="79">
        <f t="shared" si="29"/>
        <v>1.609550945332015E-2</v>
      </c>
      <c r="CT27" s="79">
        <f t="shared" si="29"/>
        <v>1.6068368581000622E-2</v>
      </c>
      <c r="CU27" s="79">
        <f t="shared" si="29"/>
        <v>1.6041436564519135E-2</v>
      </c>
      <c r="CV27" s="79">
        <f t="shared" si="29"/>
        <v>1.6014714574325961E-2</v>
      </c>
      <c r="CW27" s="79">
        <f t="shared" si="29"/>
        <v>1.5988203661461236E-2</v>
      </c>
      <c r="CX27" s="79">
        <f t="shared" si="29"/>
        <v>1.5961904761953062E-2</v>
      </c>
      <c r="CY27" s="79">
        <f t="shared" si="29"/>
        <v>1.5961904761953062E-2</v>
      </c>
      <c r="CZ27" s="79">
        <f t="shared" si="29"/>
        <v>1.5961904761953062E-2</v>
      </c>
      <c r="DA27" s="79">
        <f t="shared" si="29"/>
        <v>1.5961904761953062E-2</v>
      </c>
      <c r="DB27" s="79">
        <f t="shared" si="29"/>
        <v>1.5961904761953062E-2</v>
      </c>
      <c r="DC27" s="79">
        <f t="shared" si="29"/>
        <v>1.5961904761953062E-2</v>
      </c>
      <c r="DD27" s="79">
        <f t="shared" si="29"/>
        <v>1.5961904761953062E-2</v>
      </c>
      <c r="DE27" s="79">
        <f t="shared" si="29"/>
        <v>1.5961904761953062E-2</v>
      </c>
      <c r="DF27" s="79">
        <f t="shared" si="29"/>
        <v>1.5961904761953062E-2</v>
      </c>
      <c r="DG27" s="79">
        <f t="shared" si="29"/>
        <v>1.5961904761953062E-2</v>
      </c>
      <c r="DH27" s="79">
        <f t="shared" si="29"/>
        <v>1.5961904761953062E-2</v>
      </c>
      <c r="DI27" s="79">
        <f t="shared" si="29"/>
        <v>1.5961904761953062E-2</v>
      </c>
      <c r="DJ27" s="79">
        <f t="shared" si="29"/>
        <v>1.5961904761953062E-2</v>
      </c>
      <c r="DK27" s="79">
        <f t="shared" si="29"/>
        <v>1.5961904761953062E-2</v>
      </c>
      <c r="DL27" s="79">
        <f t="shared" si="29"/>
        <v>1.5961904761953062E-2</v>
      </c>
      <c r="DM27" s="79">
        <f t="shared" si="29"/>
        <v>1.5961904761953062E-2</v>
      </c>
      <c r="DN27" s="79">
        <f t="shared" si="29"/>
        <v>1.5961904761953062E-2</v>
      </c>
      <c r="DO27" s="79">
        <f t="shared" si="29"/>
        <v>1.5961904761953062E-2</v>
      </c>
      <c r="DP27" s="79">
        <f t="shared" si="29"/>
        <v>1.5961904761953062E-2</v>
      </c>
      <c r="DQ27" s="79">
        <f t="shared" si="29"/>
        <v>1.5961904761953062E-2</v>
      </c>
      <c r="DR27" s="79">
        <f t="shared" si="29"/>
        <v>1.5961904761953062E-2</v>
      </c>
      <c r="DS27" s="79">
        <f t="shared" si="29"/>
        <v>1.5961904761953062E-2</v>
      </c>
      <c r="DT27" s="79">
        <f t="shared" si="29"/>
        <v>1.5961904761953062E-2</v>
      </c>
      <c r="DU27" s="79">
        <f t="shared" si="29"/>
        <v>1.5961904761953062E-2</v>
      </c>
      <c r="DV27" s="79">
        <f t="shared" si="29"/>
        <v>1.5961904761953062E-2</v>
      </c>
      <c r="DW27" s="79">
        <f t="shared" si="29"/>
        <v>1.5961904761953062E-2</v>
      </c>
      <c r="DX27" s="79">
        <f t="shared" si="29"/>
        <v>1.5961904761953062E-2</v>
      </c>
      <c r="DY27" s="79">
        <f t="shared" si="29"/>
        <v>1.5961904761953062E-2</v>
      </c>
      <c r="DZ27" s="79">
        <f t="shared" si="29"/>
        <v>1.5961904761953062E-2</v>
      </c>
      <c r="EA27" s="79">
        <f t="shared" si="29"/>
        <v>1.5961904761953062E-2</v>
      </c>
      <c r="EB27" s="79">
        <f t="shared" si="29"/>
        <v>1.5961904761953062E-2</v>
      </c>
      <c r="EC27" s="79">
        <f t="shared" si="29"/>
        <v>1.5961904761953062E-2</v>
      </c>
      <c r="ED27" s="79">
        <f t="shared" si="29"/>
        <v>1.5961904761953062E-2</v>
      </c>
      <c r="EE27" s="79">
        <f t="shared" si="28"/>
        <v>1.5961904761953062E-2</v>
      </c>
      <c r="EF27" s="79">
        <f t="shared" si="12"/>
        <v>1.5961904761953062E-2</v>
      </c>
      <c r="EG27" s="79">
        <f t="shared" si="12"/>
        <v>1.5961904761953062E-2</v>
      </c>
      <c r="EH27" s="79">
        <f t="shared" si="12"/>
        <v>1.5961904761953062E-2</v>
      </c>
      <c r="EI27" s="79">
        <f t="shared" si="12"/>
        <v>1.5961904761953062E-2</v>
      </c>
      <c r="EJ27" s="79">
        <f t="shared" si="12"/>
        <v>1.5961904761953062E-2</v>
      </c>
      <c r="EK27" s="79">
        <f t="shared" si="12"/>
        <v>1.5961904761953062E-2</v>
      </c>
      <c r="EL27" s="79">
        <f t="shared" si="12"/>
        <v>1.5961904761953062E-2</v>
      </c>
      <c r="EM27" s="79">
        <f t="shared" si="12"/>
        <v>1.5961904761953062E-2</v>
      </c>
      <c r="EN27" s="79">
        <f t="shared" si="12"/>
        <v>1.5961904761953062E-2</v>
      </c>
      <c r="EO27" s="79">
        <f t="shared" si="12"/>
        <v>1.5961904761953062E-2</v>
      </c>
      <c r="EP27" s="79">
        <f t="shared" si="12"/>
        <v>1.5961904761953062E-2</v>
      </c>
      <c r="EQ27" s="79">
        <f t="shared" si="12"/>
        <v>1.5961904761953062E-2</v>
      </c>
      <c r="ER27" s="79">
        <f t="shared" si="12"/>
        <v>1.5961904761953062E-2</v>
      </c>
      <c r="ES27" s="79">
        <f t="shared" si="12"/>
        <v>1.5961904761953062E-2</v>
      </c>
      <c r="ET27" s="79">
        <f t="shared" si="12"/>
        <v>1.5961904761953062E-2</v>
      </c>
      <c r="EY27" t="s">
        <v>32</v>
      </c>
      <c r="EZ27" s="4">
        <v>1.4500000000000001E-2</v>
      </c>
      <c r="FA27" s="27">
        <v>1.9E-2</v>
      </c>
      <c r="FB27" s="4">
        <f>(FA27-EZ27)/18</f>
        <v>2.4999999999999995E-4</v>
      </c>
      <c r="FF27" s="67" t="s">
        <v>3001</v>
      </c>
      <c r="FG27" s="696">
        <v>2.5000000000000001E-2</v>
      </c>
      <c r="FH27" s="696">
        <v>120</v>
      </c>
      <c r="FI27" s="696">
        <v>1.6200000000000003E-2</v>
      </c>
      <c r="FJ27" s="255">
        <v>1.3600000000000001E-2</v>
      </c>
      <c r="FK27" s="71">
        <f t="shared" si="10"/>
        <v>2.7142857142857144E-4</v>
      </c>
      <c r="FL27" t="e">
        <f>VLOOKUP(FF27,'SIMULADOR COM SALDO'!$BX$22:$CK$1000,13,FALSE)</f>
        <v>#N/A</v>
      </c>
    </row>
    <row r="28" spans="5:168" ht="18" customHeight="1" x14ac:dyDescent="0.25">
      <c r="E28" s="77"/>
      <c r="F28" s="97">
        <f t="shared" si="11"/>
        <v>1.6059523809523812E-2</v>
      </c>
      <c r="G28" s="79">
        <f t="shared" ref="G28:BR31" si="31">IF(G$9&lt;=$K$6,RATE($K$6,1,G74,0),"")</f>
        <v>1.8498470981010422E-2</v>
      </c>
      <c r="H28" s="79">
        <f t="shared" si="31"/>
        <v>1.8495465251108383E-2</v>
      </c>
      <c r="I28" s="79">
        <f t="shared" si="31"/>
        <v>1.8491034121197916E-2</v>
      </c>
      <c r="J28" s="79">
        <f t="shared" si="31"/>
        <v>1.8485227896046733E-2</v>
      </c>
      <c r="K28" s="79">
        <f t="shared" si="31"/>
        <v>1.8478095867346465E-2</v>
      </c>
      <c r="L28" s="79">
        <f t="shared" si="31"/>
        <v>1.8469686308685538E-2</v>
      </c>
      <c r="M28" s="79">
        <f t="shared" si="31"/>
        <v>1.8460046472331664E-2</v>
      </c>
      <c r="N28" s="79">
        <f t="shared" si="31"/>
        <v>1.8449222587718677E-2</v>
      </c>
      <c r="O28" s="79">
        <f t="shared" si="31"/>
        <v>1.8437259861540562E-2</v>
      </c>
      <c r="P28" s="79">
        <f t="shared" si="31"/>
        <v>1.8424202479350452E-2</v>
      </c>
      <c r="Q28" s="79">
        <f t="shared" si="31"/>
        <v>1.8410093608572327E-2</v>
      </c>
      <c r="R28" s="79">
        <f t="shared" si="31"/>
        <v>1.839497540282984E-2</v>
      </c>
      <c r="S28" s="79">
        <f t="shared" si="31"/>
        <v>1.8378889007502838E-2</v>
      </c>
      <c r="T28" s="79">
        <f t="shared" si="31"/>
        <v>1.8361874566424605E-2</v>
      </c>
      <c r="U28" s="79">
        <f t="shared" si="31"/>
        <v>1.8343971229634687E-2</v>
      </c>
      <c r="V28" s="79">
        <f t="shared" si="31"/>
        <v>1.8325217162108103E-2</v>
      </c>
      <c r="W28" s="79">
        <f t="shared" si="31"/>
        <v>1.8305649553379402E-2</v>
      </c>
      <c r="X28" s="79">
        <f t="shared" si="31"/>
        <v>1.8285304627989902E-2</v>
      </c>
      <c r="Y28" s="79">
        <f t="shared" si="31"/>
        <v>1.8264217656685698E-2</v>
      </c>
      <c r="Z28" s="79">
        <f t="shared" si="31"/>
        <v>1.8242422968295861E-2</v>
      </c>
      <c r="AA28" s="79">
        <f t="shared" si="31"/>
        <v>1.8219953962228259E-2</v>
      </c>
      <c r="AB28" s="79">
        <f t="shared" si="31"/>
        <v>1.8196843121518584E-2</v>
      </c>
      <c r="AC28" s="79">
        <f t="shared" si="31"/>
        <v>1.8173122026374403E-2</v>
      </c>
      <c r="AD28" s="79">
        <f t="shared" si="31"/>
        <v>1.8148821368157413E-2</v>
      </c>
      <c r="AE28" s="79">
        <f t="shared" si="31"/>
        <v>1.8123970963751533E-2</v>
      </c>
      <c r="AF28" s="79">
        <f t="shared" si="31"/>
        <v>1.8098599770264314E-2</v>
      </c>
      <c r="AG28" s="79">
        <f t="shared" si="31"/>
        <v>1.8072735900018001E-2</v>
      </c>
      <c r="AH28" s="79">
        <f t="shared" si="31"/>
        <v>1.804640663578002E-2</v>
      </c>
      <c r="AI28" s="79">
        <f t="shared" si="31"/>
        <v>1.8019638446195987E-2</v>
      </c>
      <c r="AJ28" s="79">
        <f t="shared" si="31"/>
        <v>1.7992457001382318E-2</v>
      </c>
      <c r="AK28" s="79">
        <f t="shared" si="31"/>
        <v>1.7964887188642191E-2</v>
      </c>
      <c r="AL28" s="79">
        <f t="shared" si="31"/>
        <v>1.7936953128270795E-2</v>
      </c>
      <c r="AM28" s="79">
        <f t="shared" si="31"/>
        <v>1.7908678189416421E-2</v>
      </c>
      <c r="AN28" s="79">
        <f t="shared" si="31"/>
        <v>1.7880085005967519E-2</v>
      </c>
      <c r="AO28" s="79">
        <f t="shared" si="31"/>
        <v>1.7851195492439249E-2</v>
      </c>
      <c r="AP28" s="79">
        <f t="shared" si="31"/>
        <v>1.7822030859829412E-2</v>
      </c>
      <c r="AQ28" s="79">
        <f t="shared" si="31"/>
        <v>1.7792611631424714E-2</v>
      </c>
      <c r="AR28" s="79">
        <f t="shared" si="31"/>
        <v>1.7762957658531805E-2</v>
      </c>
      <c r="AS28" s="79">
        <f t="shared" si="31"/>
        <v>1.7733088136112719E-2</v>
      </c>
      <c r="AT28" s="79">
        <f t="shared" si="31"/>
        <v>1.7703021618308806E-2</v>
      </c>
      <c r="AU28" s="79">
        <f t="shared" si="31"/>
        <v>1.767277603383112E-2</v>
      </c>
      <c r="AV28" s="79">
        <f t="shared" si="31"/>
        <v>1.764236870120706E-2</v>
      </c>
      <c r="AW28" s="79">
        <f t="shared" si="31"/>
        <v>1.7611816343864346E-2</v>
      </c>
      <c r="AX28" s="79">
        <f t="shared" si="31"/>
        <v>1.7581135105042604E-2</v>
      </c>
      <c r="AY28" s="79">
        <f t="shared" si="31"/>
        <v>1.7550340562519372E-2</v>
      </c>
      <c r="AZ28" s="79">
        <f t="shared" si="31"/>
        <v>1.7519447743140331E-2</v>
      </c>
      <c r="BA28" s="79">
        <f t="shared" si="31"/>
        <v>1.7488471137145228E-2</v>
      </c>
      <c r="BB28" s="79">
        <f t="shared" si="31"/>
        <v>1.7457424712280539E-2</v>
      </c>
      <c r="BC28" s="79">
        <f t="shared" si="31"/>
        <v>1.7426321927692268E-2</v>
      </c>
      <c r="BD28" s="79">
        <f t="shared" si="31"/>
        <v>1.7395175747592004E-2</v>
      </c>
      <c r="BE28" s="79">
        <f t="shared" si="31"/>
        <v>1.7363998654691411E-2</v>
      </c>
      <c r="BF28" s="79">
        <f t="shared" si="31"/>
        <v>1.7332802663400888E-2</v>
      </c>
      <c r="BG28" s="79">
        <f t="shared" si="31"/>
        <v>1.7301599332787621E-2</v>
      </c>
      <c r="BH28" s="79">
        <f t="shared" si="31"/>
        <v>1.7270399779291078E-2</v>
      </c>
      <c r="BI28" s="79">
        <f t="shared" si="31"/>
        <v>1.7239214689193094E-2</v>
      </c>
      <c r="BJ28" s="31">
        <f t="shared" si="31"/>
        <v>1.720805433084047E-2</v>
      </c>
      <c r="BK28" s="79">
        <f t="shared" si="31"/>
        <v>1.7176928566620293E-2</v>
      </c>
      <c r="BL28" s="79">
        <f t="shared" si="31"/>
        <v>1.7145846864684604E-2</v>
      </c>
      <c r="BM28" s="79">
        <f t="shared" si="31"/>
        <v>1.7114818310427826E-2</v>
      </c>
      <c r="BN28" s="79">
        <f t="shared" si="31"/>
        <v>1.7083851617714446E-2</v>
      </c>
      <c r="BO28" s="79">
        <f t="shared" si="31"/>
        <v>1.705295513985907E-2</v>
      </c>
      <c r="BP28" s="79">
        <f t="shared" si="31"/>
        <v>1.7022136880358991E-2</v>
      </c>
      <c r="BQ28" s="79">
        <f t="shared" si="31"/>
        <v>1.6991404503381807E-2</v>
      </c>
      <c r="BR28" s="79">
        <f t="shared" si="31"/>
        <v>1.6960765344009386E-2</v>
      </c>
      <c r="BS28" s="79">
        <f t="shared" si="30"/>
        <v>1.6930226418239727E-2</v>
      </c>
      <c r="BT28" s="79">
        <f t="shared" si="30"/>
        <v>1.6899794432749256E-2</v>
      </c>
      <c r="BU28" s="79">
        <f t="shared" si="30"/>
        <v>1.6869475794420056E-2</v>
      </c>
      <c r="BV28" s="79">
        <f t="shared" si="30"/>
        <v>1.6839276619630753E-2</v>
      </c>
      <c r="BW28" s="79">
        <f t="shared" si="30"/>
        <v>1.6809202743317445E-2</v>
      </c>
      <c r="BX28" s="79">
        <f t="shared" si="30"/>
        <v>1.677925972780717E-2</v>
      </c>
      <c r="BY28" s="79">
        <f t="shared" si="30"/>
        <v>1.6749452871426179E-2</v>
      </c>
      <c r="BZ28" s="79">
        <f t="shared" si="30"/>
        <v>1.6719787216886335E-2</v>
      </c>
      <c r="CA28" s="79">
        <f t="shared" si="30"/>
        <v>1.6690267559454783E-2</v>
      </c>
      <c r="CB28" s="79">
        <f t="shared" si="30"/>
        <v>1.6660898454909496E-2</v>
      </c>
      <c r="CC28" s="79">
        <f t="shared" si="30"/>
        <v>1.6631684227283654E-2</v>
      </c>
      <c r="CD28" s="79">
        <f t="shared" si="30"/>
        <v>1.660262897640338E-2</v>
      </c>
      <c r="CE28" s="79">
        <f t="shared" si="30"/>
        <v>1.6573736585223549E-2</v>
      </c>
      <c r="CF28" s="79">
        <f t="shared" si="30"/>
        <v>1.6545010726963651E-2</v>
      </c>
      <c r="CG28" s="79">
        <f t="shared" si="30"/>
        <v>1.6516454872048999E-2</v>
      </c>
      <c r="CH28" s="79">
        <f t="shared" si="30"/>
        <v>1.6488072294861638E-2</v>
      </c>
      <c r="CI28" s="79">
        <f t="shared" si="29"/>
        <v>1.6459866080301432E-2</v>
      </c>
      <c r="CJ28" s="79">
        <f t="shared" si="29"/>
        <v>1.6431839130167145E-2</v>
      </c>
      <c r="CK28" s="79">
        <f t="shared" si="29"/>
        <v>1.6403994169356024E-2</v>
      </c>
      <c r="CL28" s="79">
        <f t="shared" si="29"/>
        <v>1.6376333751888999E-2</v>
      </c>
      <c r="CM28" s="79">
        <f t="shared" si="29"/>
        <v>1.6348860266763361E-2</v>
      </c>
      <c r="CN28" s="79">
        <f t="shared" si="29"/>
        <v>1.6321575943639619E-2</v>
      </c>
      <c r="CO28" s="79">
        <f t="shared" si="29"/>
        <v>1.6294482858362481E-2</v>
      </c>
      <c r="CP28" s="79">
        <f t="shared" si="29"/>
        <v>1.6267582938324074E-2</v>
      </c>
      <c r="CQ28" s="79">
        <f t="shared" si="29"/>
        <v>1.6240877967669126E-2</v>
      </c>
      <c r="CR28" s="79">
        <f t="shared" si="29"/>
        <v>1.6214369592349523E-2</v>
      </c>
      <c r="CS28" s="79">
        <f t="shared" si="29"/>
        <v>1.6188059325029425E-2</v>
      </c>
      <c r="CT28" s="79">
        <f t="shared" si="29"/>
        <v>1.6161948549845099E-2</v>
      </c>
      <c r="CU28" s="79">
        <f t="shared" si="29"/>
        <v>1.6136038527024447E-2</v>
      </c>
      <c r="CV28" s="79">
        <f t="shared" si="29"/>
        <v>1.6110330397368328E-2</v>
      </c>
      <c r="CW28" s="79">
        <f t="shared" si="29"/>
        <v>1.6084825186596631E-2</v>
      </c>
      <c r="CX28" s="79">
        <f t="shared" si="29"/>
        <v>1.6059523809565466E-2</v>
      </c>
      <c r="CY28" s="79">
        <f t="shared" si="29"/>
        <v>1.6059523809565466E-2</v>
      </c>
      <c r="CZ28" s="79">
        <f t="shared" si="29"/>
        <v>1.6059523809565466E-2</v>
      </c>
      <c r="DA28" s="79">
        <f t="shared" si="29"/>
        <v>1.6059523809565466E-2</v>
      </c>
      <c r="DB28" s="79">
        <f t="shared" si="29"/>
        <v>1.6059523809565466E-2</v>
      </c>
      <c r="DC28" s="79">
        <f t="shared" si="29"/>
        <v>1.6059523809565466E-2</v>
      </c>
      <c r="DD28" s="79">
        <f t="shared" si="29"/>
        <v>1.6059523809565466E-2</v>
      </c>
      <c r="DE28" s="79">
        <f t="shared" si="29"/>
        <v>1.6059523809565466E-2</v>
      </c>
      <c r="DF28" s="79">
        <f t="shared" si="29"/>
        <v>1.6059523809565466E-2</v>
      </c>
      <c r="DG28" s="79">
        <f t="shared" si="29"/>
        <v>1.6059523809565466E-2</v>
      </c>
      <c r="DH28" s="79">
        <f t="shared" si="29"/>
        <v>1.6059523809565466E-2</v>
      </c>
      <c r="DI28" s="79">
        <f t="shared" si="29"/>
        <v>1.6059523809565466E-2</v>
      </c>
      <c r="DJ28" s="79">
        <f t="shared" si="29"/>
        <v>1.6059523809565466E-2</v>
      </c>
      <c r="DK28" s="79">
        <f t="shared" si="29"/>
        <v>1.6059523809565466E-2</v>
      </c>
      <c r="DL28" s="79">
        <f t="shared" si="29"/>
        <v>1.6059523809565466E-2</v>
      </c>
      <c r="DM28" s="79">
        <f t="shared" si="29"/>
        <v>1.6059523809565466E-2</v>
      </c>
      <c r="DN28" s="79">
        <f t="shared" si="29"/>
        <v>1.6059523809565466E-2</v>
      </c>
      <c r="DO28" s="79">
        <f t="shared" si="29"/>
        <v>1.6059523809565466E-2</v>
      </c>
      <c r="DP28" s="79">
        <f t="shared" si="29"/>
        <v>1.6059523809565466E-2</v>
      </c>
      <c r="DQ28" s="79">
        <f t="shared" si="29"/>
        <v>1.6059523809565466E-2</v>
      </c>
      <c r="DR28" s="79">
        <f t="shared" si="29"/>
        <v>1.6059523809565466E-2</v>
      </c>
      <c r="DS28" s="79">
        <f t="shared" si="29"/>
        <v>1.6059523809565466E-2</v>
      </c>
      <c r="DT28" s="79">
        <f t="shared" si="29"/>
        <v>1.6059523809565466E-2</v>
      </c>
      <c r="DU28" s="79">
        <f t="shared" si="29"/>
        <v>1.6059523809565466E-2</v>
      </c>
      <c r="DV28" s="79">
        <f t="shared" si="29"/>
        <v>1.6059523809565466E-2</v>
      </c>
      <c r="DW28" s="79">
        <f t="shared" si="29"/>
        <v>1.6059523809565466E-2</v>
      </c>
      <c r="DX28" s="79">
        <f t="shared" si="29"/>
        <v>1.6059523809565466E-2</v>
      </c>
      <c r="DY28" s="79">
        <f t="shared" si="29"/>
        <v>1.6059523809565466E-2</v>
      </c>
      <c r="DZ28" s="79">
        <f t="shared" si="29"/>
        <v>1.6059523809565466E-2</v>
      </c>
      <c r="EA28" s="79">
        <f t="shared" si="29"/>
        <v>1.6059523809565466E-2</v>
      </c>
      <c r="EB28" s="79">
        <f t="shared" si="29"/>
        <v>1.6059523809565466E-2</v>
      </c>
      <c r="EC28" s="79">
        <f t="shared" si="29"/>
        <v>1.6059523809565466E-2</v>
      </c>
      <c r="ED28" s="79">
        <f t="shared" si="29"/>
        <v>1.6059523809565466E-2</v>
      </c>
      <c r="EE28" s="79">
        <f t="shared" si="28"/>
        <v>1.6059523809565466E-2</v>
      </c>
      <c r="EF28" s="79">
        <f t="shared" si="12"/>
        <v>1.6059523809565466E-2</v>
      </c>
      <c r="EG28" s="79">
        <f t="shared" si="12"/>
        <v>1.6059523809565466E-2</v>
      </c>
      <c r="EH28" s="79">
        <f t="shared" si="12"/>
        <v>1.6059523809565466E-2</v>
      </c>
      <c r="EI28" s="79">
        <f t="shared" si="12"/>
        <v>1.6059523809565466E-2</v>
      </c>
      <c r="EJ28" s="79">
        <f t="shared" si="12"/>
        <v>1.6059523809565466E-2</v>
      </c>
      <c r="EK28" s="79">
        <f t="shared" si="12"/>
        <v>1.6059523809565466E-2</v>
      </c>
      <c r="EL28" s="79">
        <f t="shared" si="12"/>
        <v>1.6059523809565466E-2</v>
      </c>
      <c r="EM28" s="79">
        <f t="shared" si="12"/>
        <v>1.6059523809565466E-2</v>
      </c>
      <c r="EN28" s="79">
        <f t="shared" si="12"/>
        <v>1.6059523809565466E-2</v>
      </c>
      <c r="EO28" s="79">
        <f t="shared" si="12"/>
        <v>1.6059523809565466E-2</v>
      </c>
      <c r="EP28" s="79">
        <f t="shared" si="12"/>
        <v>1.6059523809565466E-2</v>
      </c>
      <c r="EQ28" s="79">
        <f t="shared" si="12"/>
        <v>1.6059523809565466E-2</v>
      </c>
      <c r="ER28" s="79">
        <f t="shared" si="12"/>
        <v>1.6059523809565466E-2</v>
      </c>
      <c r="ES28" s="79">
        <f t="shared" si="12"/>
        <v>1.6059523809565466E-2</v>
      </c>
      <c r="ET28" s="79">
        <f t="shared" si="12"/>
        <v>1.6059523809565466E-2</v>
      </c>
      <c r="EY28" t="s">
        <v>72</v>
      </c>
      <c r="EZ28" s="4">
        <v>1.4999999999999999E-2</v>
      </c>
      <c r="FA28" s="27">
        <v>1.95E-2</v>
      </c>
      <c r="FB28" s="4">
        <f>(FA28-EZ28)/18</f>
        <v>2.5000000000000001E-4</v>
      </c>
      <c r="FF28" s="6" t="s">
        <v>214</v>
      </c>
      <c r="FG28" s="696">
        <v>2.5000000000000001E-2</v>
      </c>
      <c r="FH28" s="696">
        <v>120</v>
      </c>
      <c r="FI28" s="696">
        <v>1.54E-2</v>
      </c>
      <c r="FJ28" s="255">
        <v>1.2800000000000001E-2</v>
      </c>
      <c r="FK28" s="71">
        <f t="shared" si="10"/>
        <v>2.904761904761905E-4</v>
      </c>
      <c r="FL28" t="e">
        <f>VLOOKUP(FF28,'SIMULADOR COM SALDO'!$BX$22:$CK$1000,13,FALSE)</f>
        <v>#N/A</v>
      </c>
    </row>
    <row r="29" spans="5:168" ht="18" customHeight="1" x14ac:dyDescent="0.25">
      <c r="E29" s="78"/>
      <c r="F29" s="97">
        <f t="shared" si="11"/>
        <v>1.6157142857142859E-2</v>
      </c>
      <c r="G29" s="79">
        <f t="shared" si="31"/>
        <v>1.8498532280354831E-2</v>
      </c>
      <c r="H29" s="79">
        <f t="shared" si="31"/>
        <v>1.8495647176667341E-2</v>
      </c>
      <c r="I29" s="79">
        <f t="shared" si="31"/>
        <v>1.8491394047678626E-2</v>
      </c>
      <c r="J29" s="79">
        <f t="shared" si="31"/>
        <v>1.848582126832608E-2</v>
      </c>
      <c r="K29" s="79">
        <f t="shared" si="31"/>
        <v>1.8478976224654359E-2</v>
      </c>
      <c r="L29" s="79">
        <f t="shared" si="31"/>
        <v>1.8470905310475141E-2</v>
      </c>
      <c r="M29" s="79">
        <f t="shared" si="31"/>
        <v>1.8461653925676329E-2</v>
      </c>
      <c r="N29" s="79">
        <f t="shared" si="31"/>
        <v>1.8451266476087583E-2</v>
      </c>
      <c r="O29" s="79">
        <f t="shared" si="31"/>
        <v>1.8439786374804087E-2</v>
      </c>
      <c r="P29" s="79">
        <f t="shared" si="31"/>
        <v>1.8427256044879669E-2</v>
      </c>
      <c r="Q29" s="79">
        <f t="shared" si="31"/>
        <v>1.8413716923298649E-2</v>
      </c>
      <c r="R29" s="79">
        <f t="shared" si="31"/>
        <v>1.8399209466141115E-2</v>
      </c>
      <c r="S29" s="79">
        <f t="shared" si="31"/>
        <v>1.8383773154855416E-2</v>
      </c>
      <c r="T29" s="79">
        <f t="shared" si="31"/>
        <v>1.8367446503560186E-2</v>
      </c>
      <c r="U29" s="79">
        <f t="shared" si="31"/>
        <v>1.8350267067294909E-2</v>
      </c>
      <c r="V29" s="79">
        <f t="shared" si="31"/>
        <v>1.833227145114678E-2</v>
      </c>
      <c r="W29" s="79">
        <f t="shared" si="31"/>
        <v>1.8313495320179212E-2</v>
      </c>
      <c r="X29" s="79">
        <f t="shared" si="31"/>
        <v>1.8293973410094731E-2</v>
      </c>
      <c r="Y29" s="79">
        <f t="shared" si="31"/>
        <v>1.8273739538566241E-2</v>
      </c>
      <c r="Z29" s="79">
        <f t="shared" si="31"/>
        <v>1.8252826617171848E-2</v>
      </c>
      <c r="AA29" s="79">
        <f t="shared" si="31"/>
        <v>1.8231266663875857E-2</v>
      </c>
      <c r="AB29" s="79">
        <f t="shared" si="31"/>
        <v>1.8209090815996264E-2</v>
      </c>
      <c r="AC29" s="79">
        <f t="shared" si="31"/>
        <v>1.818632934360646E-2</v>
      </c>
      <c r="AD29" s="79">
        <f t="shared" si="31"/>
        <v>1.8163011663317633E-2</v>
      </c>
      <c r="AE29" s="79">
        <f t="shared" si="31"/>
        <v>1.8139166352395847E-2</v>
      </c>
      <c r="AF29" s="79">
        <f t="shared" si="31"/>
        <v>1.8114821163164155E-2</v>
      </c>
      <c r="AG29" s="79">
        <f t="shared" si="31"/>
        <v>1.8090003037650973E-2</v>
      </c>
      <c r="AH29" s="79">
        <f t="shared" si="31"/>
        <v>1.8064738122438362E-2</v>
      </c>
      <c r="AI29" s="79">
        <f t="shared" si="31"/>
        <v>1.8039051783676995E-2</v>
      </c>
      <c r="AJ29" s="79">
        <f t="shared" si="31"/>
        <v>1.801296862222878E-2</v>
      </c>
      <c r="AK29" s="79">
        <f t="shared" si="31"/>
        <v>1.7986512488902831E-2</v>
      </c>
      <c r="AL29" s="79">
        <f t="shared" si="31"/>
        <v>1.7959706499756416E-2</v>
      </c>
      <c r="AM29" s="79">
        <f t="shared" si="31"/>
        <v>1.7932573051428476E-2</v>
      </c>
      <c r="AN29" s="79">
        <f t="shared" si="31"/>
        <v>1.7905133836479351E-2</v>
      </c>
      <c r="AO29" s="79">
        <f t="shared" si="31"/>
        <v>1.7877409858711793E-2</v>
      </c>
      <c r="AP29" s="79">
        <f t="shared" si="31"/>
        <v>1.7849421448448897E-2</v>
      </c>
      <c r="AQ29" s="79">
        <f t="shared" si="31"/>
        <v>1.7821188277748524E-2</v>
      </c>
      <c r="AR29" s="79">
        <f t="shared" si="31"/>
        <v>1.7792729375531488E-2</v>
      </c>
      <c r="AS29" s="79">
        <f t="shared" si="31"/>
        <v>1.7764063142608422E-2</v>
      </c>
      <c r="AT29" s="79">
        <f t="shared" si="31"/>
        <v>1.7735207366586202E-2</v>
      </c>
      <c r="AU29" s="79">
        <f t="shared" si="31"/>
        <v>1.7706179236639245E-2</v>
      </c>
      <c r="AV29" s="79">
        <f t="shared" si="31"/>
        <v>1.7676995358130859E-2</v>
      </c>
      <c r="AW29" s="79">
        <f t="shared" si="31"/>
        <v>1.7647671767073329E-2</v>
      </c>
      <c r="AX29" s="79">
        <f t="shared" si="31"/>
        <v>1.7618223944414521E-2</v>
      </c>
      <c r="AY29" s="79">
        <f t="shared" si="31"/>
        <v>1.758866683013972E-2</v>
      </c>
      <c r="AZ29" s="79">
        <f t="shared" si="31"/>
        <v>1.7559014837181419E-2</v>
      </c>
      <c r="BA29" s="79">
        <f t="shared" si="31"/>
        <v>1.752928186512721E-2</v>
      </c>
      <c r="BB29" s="79">
        <f t="shared" si="31"/>
        <v>1.749948131371901E-2</v>
      </c>
      <c r="BC29" s="79">
        <f t="shared" si="31"/>
        <v>1.7469626096138374E-2</v>
      </c>
      <c r="BD29" s="79">
        <f t="shared" si="31"/>
        <v>1.7439728652071208E-2</v>
      </c>
      <c r="BE29" s="79">
        <f t="shared" si="31"/>
        <v>1.7409800960547051E-2</v>
      </c>
      <c r="BF29" s="79">
        <f t="shared" si="31"/>
        <v>1.7379854552550582E-2</v>
      </c>
      <c r="BG29" s="79">
        <f t="shared" si="31"/>
        <v>1.734990052340088E-2</v>
      </c>
      <c r="BH29" s="79">
        <f t="shared" si="31"/>
        <v>1.7319949544896129E-2</v>
      </c>
      <c r="BI29" s="79">
        <f t="shared" si="31"/>
        <v>1.7290011877222258E-2</v>
      </c>
      <c r="BJ29" s="31">
        <f t="shared" si="31"/>
        <v>1.7260097380623916E-2</v>
      </c>
      <c r="BK29" s="79">
        <f t="shared" si="31"/>
        <v>1.7230215526837095E-2</v>
      </c>
      <c r="BL29" s="79">
        <f t="shared" si="31"/>
        <v>1.7200375410281799E-2</v>
      </c>
      <c r="BM29" s="79">
        <f t="shared" si="31"/>
        <v>1.717058575901801E-2</v>
      </c>
      <c r="BN29" s="79">
        <f t="shared" si="31"/>
        <v>1.7140854945461557E-2</v>
      </c>
      <c r="BO29" s="79">
        <f t="shared" si="31"/>
        <v>1.711119099686368E-2</v>
      </c>
      <c r="BP29" s="79">
        <f t="shared" si="31"/>
        <v>1.7081601605553269E-2</v>
      </c>
      <c r="BQ29" s="79">
        <f t="shared" si="31"/>
        <v>1.7052094138946771E-2</v>
      </c>
      <c r="BR29" s="79">
        <f t="shared" si="31"/>
        <v>1.7022675649322357E-2</v>
      </c>
      <c r="BS29" s="79">
        <f t="shared" si="30"/>
        <v>1.6993352883365533E-2</v>
      </c>
      <c r="BT29" s="79">
        <f t="shared" si="30"/>
        <v>1.696413229148612E-2</v>
      </c>
      <c r="BU29" s="79">
        <f t="shared" si="30"/>
        <v>1.693502003690792E-2</v>
      </c>
      <c r="BV29" s="79">
        <f t="shared" si="30"/>
        <v>1.6906022004537443E-2</v>
      </c>
      <c r="BW29" s="79">
        <f t="shared" si="30"/>
        <v>1.6877143809610307E-2</v>
      </c>
      <c r="BX29" s="79">
        <f t="shared" si="30"/>
        <v>1.6848390806122032E-2</v>
      </c>
      <c r="BY29" s="79">
        <f t="shared" si="30"/>
        <v>1.6819768095044121E-2</v>
      </c>
      <c r="BZ29" s="79">
        <f t="shared" si="30"/>
        <v>1.679128053232919E-2</v>
      </c>
      <c r="CA29" s="79">
        <f t="shared" si="30"/>
        <v>1.6762932736709493E-2</v>
      </c>
      <c r="CB29" s="79">
        <f t="shared" si="30"/>
        <v>1.6734729097290582E-2</v>
      </c>
      <c r="CC29" s="79">
        <f t="shared" si="30"/>
        <v>1.6706673780945924E-2</v>
      </c>
      <c r="CD29" s="79">
        <f t="shared" si="30"/>
        <v>1.6678770739513984E-2</v>
      </c>
      <c r="CE29" s="79">
        <f t="shared" si="30"/>
        <v>1.665102371680206E-2</v>
      </c>
      <c r="CF29" s="79">
        <f t="shared" si="30"/>
        <v>1.6623436255401979E-2</v>
      </c>
      <c r="CG29" s="79">
        <f t="shared" si="30"/>
        <v>1.6596011703318564E-2</v>
      </c>
      <c r="CH29" s="79">
        <f t="shared" si="30"/>
        <v>1.6568753220417645E-2</v>
      </c>
      <c r="CI29" s="79">
        <f t="shared" si="29"/>
        <v>1.6541663784695494E-2</v>
      </c>
      <c r="CJ29" s="79">
        <f t="shared" si="29"/>
        <v>1.6514746198373134E-2</v>
      </c>
      <c r="CK29" s="79">
        <f t="shared" si="29"/>
        <v>1.6488003093821962E-2</v>
      </c>
      <c r="CL29" s="79">
        <f t="shared" si="29"/>
        <v>1.6461436939319975E-2</v>
      </c>
      <c r="CM29" s="79">
        <f t="shared" si="29"/>
        <v>1.6435050044646956E-2</v>
      </c>
      <c r="CN29" s="79">
        <f t="shared" si="29"/>
        <v>1.6408844566519663E-2</v>
      </c>
      <c r="CO29" s="79">
        <f t="shared" si="29"/>
        <v>1.6382822513870552E-2</v>
      </c>
      <c r="CP29" s="79">
        <f t="shared" si="29"/>
        <v>1.6356985752975291E-2</v>
      </c>
      <c r="CQ29" s="79">
        <f t="shared" si="29"/>
        <v>1.6331336012431003E-2</v>
      </c>
      <c r="CR29" s="79">
        <f t="shared" si="29"/>
        <v>1.6305874887990641E-2</v>
      </c>
      <c r="CS29" s="79">
        <f t="shared" si="29"/>
        <v>1.6280603847254771E-2</v>
      </c>
      <c r="CT29" s="79">
        <f t="shared" si="29"/>
        <v>1.6255524234226063E-2</v>
      </c>
      <c r="CU29" s="79">
        <f t="shared" si="29"/>
        <v>1.6230637273728948E-2</v>
      </c>
      <c r="CV29" s="79">
        <f t="shared" si="29"/>
        <v>1.6205944075699419E-2</v>
      </c>
      <c r="CW29" s="79">
        <f t="shared" ref="CW29:ED29" si="32">IF(CW$9&lt;=$K$6,RATE($K$6,1,CW75,0),"")</f>
        <v>1.6181445639344236E-2</v>
      </c>
      <c r="CX29" s="79">
        <f t="shared" si="32"/>
        <v>1.6157142857178945E-2</v>
      </c>
      <c r="CY29" s="79">
        <f t="shared" si="32"/>
        <v>1.6157142857178945E-2</v>
      </c>
      <c r="CZ29" s="79">
        <f t="shared" si="32"/>
        <v>1.6157142857178945E-2</v>
      </c>
      <c r="DA29" s="79">
        <f t="shared" si="32"/>
        <v>1.6157142857178945E-2</v>
      </c>
      <c r="DB29" s="79">
        <f t="shared" si="32"/>
        <v>1.6157142857178945E-2</v>
      </c>
      <c r="DC29" s="79">
        <f t="shared" si="32"/>
        <v>1.6157142857178945E-2</v>
      </c>
      <c r="DD29" s="79">
        <f t="shared" si="32"/>
        <v>1.6157142857178945E-2</v>
      </c>
      <c r="DE29" s="79">
        <f t="shared" si="32"/>
        <v>1.6157142857178945E-2</v>
      </c>
      <c r="DF29" s="79">
        <f t="shared" si="32"/>
        <v>1.6157142857178945E-2</v>
      </c>
      <c r="DG29" s="79">
        <f t="shared" si="32"/>
        <v>1.6157142857178945E-2</v>
      </c>
      <c r="DH29" s="79">
        <f t="shared" si="32"/>
        <v>1.6157142857178945E-2</v>
      </c>
      <c r="DI29" s="79">
        <f t="shared" si="32"/>
        <v>1.6157142857178945E-2</v>
      </c>
      <c r="DJ29" s="79">
        <f t="shared" si="32"/>
        <v>1.6157142857178945E-2</v>
      </c>
      <c r="DK29" s="79">
        <f t="shared" si="32"/>
        <v>1.6157142857178945E-2</v>
      </c>
      <c r="DL29" s="79">
        <f t="shared" si="32"/>
        <v>1.6157142857178945E-2</v>
      </c>
      <c r="DM29" s="79">
        <f t="shared" si="32"/>
        <v>1.6157142857178945E-2</v>
      </c>
      <c r="DN29" s="79">
        <f t="shared" si="32"/>
        <v>1.6157142857178945E-2</v>
      </c>
      <c r="DO29" s="79">
        <f t="shared" si="32"/>
        <v>1.6157142857178945E-2</v>
      </c>
      <c r="DP29" s="79">
        <f t="shared" si="32"/>
        <v>1.6157142857178945E-2</v>
      </c>
      <c r="DQ29" s="79">
        <f t="shared" si="32"/>
        <v>1.6157142857178945E-2</v>
      </c>
      <c r="DR29" s="79">
        <f t="shared" si="32"/>
        <v>1.6157142857178945E-2</v>
      </c>
      <c r="DS29" s="79">
        <f t="shared" si="32"/>
        <v>1.6157142857178945E-2</v>
      </c>
      <c r="DT29" s="79">
        <f t="shared" si="32"/>
        <v>1.6157142857178945E-2</v>
      </c>
      <c r="DU29" s="79">
        <f t="shared" si="32"/>
        <v>1.6157142857178945E-2</v>
      </c>
      <c r="DV29" s="79">
        <f t="shared" si="32"/>
        <v>1.6157142857178945E-2</v>
      </c>
      <c r="DW29" s="79">
        <f t="shared" si="32"/>
        <v>1.6157142857178945E-2</v>
      </c>
      <c r="DX29" s="79">
        <f t="shared" si="32"/>
        <v>1.6157142857178945E-2</v>
      </c>
      <c r="DY29" s="79">
        <f t="shared" si="32"/>
        <v>1.6157142857178945E-2</v>
      </c>
      <c r="DZ29" s="79">
        <f t="shared" si="32"/>
        <v>1.6157142857178945E-2</v>
      </c>
      <c r="EA29" s="79">
        <f t="shared" si="32"/>
        <v>1.6157142857178945E-2</v>
      </c>
      <c r="EB29" s="79">
        <f t="shared" si="32"/>
        <v>1.6157142857178945E-2</v>
      </c>
      <c r="EC29" s="79">
        <f t="shared" si="32"/>
        <v>1.6157142857178945E-2</v>
      </c>
      <c r="ED29" s="79">
        <f t="shared" si="32"/>
        <v>1.6157142857178945E-2</v>
      </c>
      <c r="EE29" s="79">
        <f t="shared" si="28"/>
        <v>1.6157142857178945E-2</v>
      </c>
      <c r="EF29" s="79">
        <f t="shared" si="12"/>
        <v>1.6157142857178945E-2</v>
      </c>
      <c r="EG29" s="79">
        <f t="shared" si="12"/>
        <v>1.6157142857178945E-2</v>
      </c>
      <c r="EH29" s="79">
        <f t="shared" si="12"/>
        <v>1.6157142857178945E-2</v>
      </c>
      <c r="EI29" s="79">
        <f t="shared" si="12"/>
        <v>1.6157142857178945E-2</v>
      </c>
      <c r="EJ29" s="79">
        <f t="shared" si="12"/>
        <v>1.6157142857178945E-2</v>
      </c>
      <c r="EK29" s="79">
        <f t="shared" si="12"/>
        <v>1.6157142857178945E-2</v>
      </c>
      <c r="EL29" s="79">
        <f t="shared" si="12"/>
        <v>1.6157142857178945E-2</v>
      </c>
      <c r="EM29" s="79">
        <f t="shared" si="12"/>
        <v>1.6157142857178945E-2</v>
      </c>
      <c r="EN29" s="79">
        <f t="shared" si="12"/>
        <v>1.6157142857178945E-2</v>
      </c>
      <c r="EO29" s="79">
        <f t="shared" si="12"/>
        <v>1.6157142857178945E-2</v>
      </c>
      <c r="EP29" s="79">
        <f t="shared" si="12"/>
        <v>1.6157142857178945E-2</v>
      </c>
      <c r="EQ29" s="79">
        <f t="shared" si="12"/>
        <v>1.6157142857178945E-2</v>
      </c>
      <c r="ER29" s="79">
        <f t="shared" si="12"/>
        <v>1.6157142857178945E-2</v>
      </c>
      <c r="ES29" s="79">
        <f t="shared" si="12"/>
        <v>1.6157142857178945E-2</v>
      </c>
      <c r="ET29" s="79">
        <f t="shared" si="12"/>
        <v>1.6157142857178945E-2</v>
      </c>
      <c r="EY29" t="s">
        <v>76</v>
      </c>
      <c r="EZ29" s="4">
        <v>1.15E-2</v>
      </c>
      <c r="FA29" s="27">
        <f>VLOOKUP(EY29,$EY$11:$FC$24,5,FALSE)</f>
        <v>1.9699999999999999E-2</v>
      </c>
      <c r="FB29" s="4">
        <f>(FA29-EZ29)/18</f>
        <v>4.5555555555555551E-4</v>
      </c>
      <c r="FF29" s="6" t="s">
        <v>605</v>
      </c>
      <c r="FG29" s="696">
        <v>2.5000000000000001E-2</v>
      </c>
      <c r="FH29" s="696">
        <v>120</v>
      </c>
      <c r="FI29" s="696">
        <v>1.7000000000000001E-2</v>
      </c>
      <c r="FJ29" s="255">
        <v>1.55E-2</v>
      </c>
      <c r="FK29" s="71">
        <f t="shared" si="10"/>
        <v>2.2619047619047624E-4</v>
      </c>
      <c r="FL29" t="e">
        <f>VLOOKUP(FF29,'SIMULADOR COM SALDO'!$BX$22:$CK$1000,13,FALSE)</f>
        <v>#N/A</v>
      </c>
    </row>
    <row r="30" spans="5:168" x14ac:dyDescent="0.25">
      <c r="F30" s="97">
        <f t="shared" si="11"/>
        <v>1.6254761904761907E-2</v>
      </c>
      <c r="G30" s="79">
        <f t="shared" si="31"/>
        <v>1.8498593568125343E-2</v>
      </c>
      <c r="H30" s="79">
        <f t="shared" si="31"/>
        <v>1.8495829057474766E-2</v>
      </c>
      <c r="I30" s="79">
        <f t="shared" si="31"/>
        <v>1.8491753866218659E-2</v>
      </c>
      <c r="J30" s="79">
        <f t="shared" si="31"/>
        <v>1.8486414432547258E-2</v>
      </c>
      <c r="K30" s="79">
        <f t="shared" si="31"/>
        <v>1.847985623130623E-2</v>
      </c>
      <c r="L30" s="79">
        <f t="shared" si="31"/>
        <v>1.8472123772222956E-2</v>
      </c>
      <c r="M30" s="79">
        <f t="shared" si="31"/>
        <v>1.8463260599630535E-2</v>
      </c>
      <c r="N30" s="79">
        <f t="shared" si="31"/>
        <v>1.8453309293601224E-2</v>
      </c>
      <c r="O30" s="79">
        <f t="shared" si="31"/>
        <v>1.8442311472401034E-2</v>
      </c>
      <c r="P30" s="79">
        <f t="shared" si="31"/>
        <v>1.8430307796178751E-2</v>
      </c>
      <c r="Q30" s="79">
        <f t="shared" si="31"/>
        <v>1.8417337971809233E-2</v>
      </c>
      <c r="R30" s="79">
        <f t="shared" si="31"/>
        <v>1.8403440758808974E-2</v>
      </c>
      <c r="S30" s="79">
        <f t="shared" si="31"/>
        <v>1.8388653976246803E-2</v>
      </c>
      <c r="T30" s="79">
        <f t="shared" si="31"/>
        <v>1.8373014510575544E-2</v>
      </c>
      <c r="U30" s="79">
        <f t="shared" si="31"/>
        <v>1.8356558324312884E-2</v>
      </c>
      <c r="V30" s="79">
        <f t="shared" si="31"/>
        <v>1.8339320465501636E-2</v>
      </c>
      <c r="W30" s="79">
        <f t="shared" si="31"/>
        <v>1.8321335077883236E-2</v>
      </c>
      <c r="X30" s="79">
        <f t="shared" si="31"/>
        <v>1.8302635411722681E-2</v>
      </c>
      <c r="Y30" s="79">
        <f t="shared" si="31"/>
        <v>1.8283253835222463E-2</v>
      </c>
      <c r="Z30" s="79">
        <f t="shared" si="31"/>
        <v>1.8263221846469405E-2</v>
      </c>
      <c r="AA30" s="79">
        <f t="shared" si="31"/>
        <v>1.8242570085857227E-2</v>
      </c>
      <c r="AB30" s="79">
        <f t="shared" si="31"/>
        <v>1.8221328348936066E-2</v>
      </c>
      <c r="AC30" s="79">
        <f t="shared" si="31"/>
        <v>1.8199525599635946E-2</v>
      </c>
      <c r="AD30" s="79">
        <f t="shared" si="31"/>
        <v>1.817718998381973E-2</v>
      </c>
      <c r="AE30" s="79">
        <f t="shared" si="31"/>
        <v>1.8154348843119957E-2</v>
      </c>
      <c r="AF30" s="79">
        <f t="shared" si="31"/>
        <v>1.8131028729017333E-2</v>
      </c>
      <c r="AG30" s="79">
        <f t="shared" si="31"/>
        <v>1.8107255417123973E-2</v>
      </c>
      <c r="AH30" s="79">
        <f t="shared" si="31"/>
        <v>1.808305392163059E-2</v>
      </c>
      <c r="AI30" s="79">
        <f t="shared" si="31"/>
        <v>1.8058448509885538E-2</v>
      </c>
      <c r="AJ30" s="79">
        <f t="shared" si="31"/>
        <v>1.8033462717071711E-2</v>
      </c>
      <c r="AK30" s="79">
        <f t="shared" si="31"/>
        <v>1.8008119360952583E-2</v>
      </c>
      <c r="AL30" s="79">
        <f t="shared" si="31"/>
        <v>1.7982440556655453E-2</v>
      </c>
      <c r="AM30" s="79">
        <f t="shared" si="31"/>
        <v>1.7956447731469077E-2</v>
      </c>
      <c r="AN30" s="79">
        <f t="shared" si="31"/>
        <v>1.7930161639629023E-2</v>
      </c>
      <c r="AO30" s="79">
        <f t="shared" si="31"/>
        <v>1.7903602377067895E-2</v>
      </c>
      <c r="AP30" s="79">
        <f t="shared" si="31"/>
        <v>1.7876789396109427E-2</v>
      </c>
      <c r="AQ30" s="79">
        <f t="shared" si="31"/>
        <v>1.7849741520088294E-2</v>
      </c>
      <c r="AR30" s="79">
        <f t="shared" si="31"/>
        <v>1.782247695787445E-2</v>
      </c>
      <c r="AS30" s="79">
        <f t="shared" si="31"/>
        <v>1.7795013318289254E-2</v>
      </c>
      <c r="AT30" s="79">
        <f t="shared" si="31"/>
        <v>1.7767367624395101E-2</v>
      </c>
      <c r="AU30" s="79">
        <f t="shared" si="31"/>
        <v>1.7739556327647364E-2</v>
      </c>
      <c r="AV30" s="79">
        <f t="shared" si="31"/>
        <v>1.7711595321893692E-2</v>
      </c>
      <c r="AW30" s="79">
        <f t="shared" si="31"/>
        <v>1.7683499957211191E-2</v>
      </c>
      <c r="AX30" s="79">
        <f t="shared" si="31"/>
        <v>1.7655285053570891E-2</v>
      </c>
      <c r="AY30" s="79">
        <f t="shared" si="31"/>
        <v>1.7626964914320163E-2</v>
      </c>
      <c r="AZ30" s="79">
        <f t="shared" si="31"/>
        <v>1.7598553339473681E-2</v>
      </c>
      <c r="BA30" s="79">
        <f t="shared" si="31"/>
        <v>1.7570063638808728E-2</v>
      </c>
      <c r="BB30" s="79">
        <f t="shared" si="31"/>
        <v>1.7541508644756759E-2</v>
      </c>
      <c r="BC30" s="79">
        <f t="shared" si="31"/>
        <v>1.7512900725083668E-2</v>
      </c>
      <c r="BD30" s="79">
        <f t="shared" si="31"/>
        <v>1.7484251795359378E-2</v>
      </c>
      <c r="BE30" s="79">
        <f t="shared" si="31"/>
        <v>1.745557333120756E-2</v>
      </c>
      <c r="BF30" s="79">
        <f t="shared" si="31"/>
        <v>1.7426876380334431E-2</v>
      </c>
      <c r="BG30" s="79">
        <f t="shared" si="31"/>
        <v>1.7398171574335698E-2</v>
      </c>
      <c r="BH30" s="79">
        <f t="shared" si="31"/>
        <v>1.7369469140275415E-2</v>
      </c>
      <c r="BI30" s="79">
        <f t="shared" si="31"/>
        <v>1.7340778912038828E-2</v>
      </c>
      <c r="BJ30" s="31">
        <f t="shared" si="31"/>
        <v>1.7312110341457916E-2</v>
      </c>
      <c r="BK30" s="79">
        <f t="shared" si="31"/>
        <v>1.7283472509206005E-2</v>
      </c>
      <c r="BL30" s="79">
        <f t="shared" si="31"/>
        <v>1.7254874135465208E-2</v>
      </c>
      <c r="BM30" s="79">
        <f t="shared" si="31"/>
        <v>1.7226323590365526E-2</v>
      </c>
      <c r="BN30" s="79">
        <f t="shared" si="31"/>
        <v>1.7197828904194745E-2</v>
      </c>
      <c r="BO30" s="79">
        <f t="shared" si="31"/>
        <v>1.7169397777382855E-2</v>
      </c>
      <c r="BP30" s="79">
        <f t="shared" si="31"/>
        <v>1.7141037590260234E-2</v>
      </c>
      <c r="BQ30" s="79">
        <f t="shared" si="31"/>
        <v>1.7112755412592447E-2</v>
      </c>
      <c r="BR30" s="79">
        <f t="shared" si="31"/>
        <v>1.7084558012892707E-2</v>
      </c>
      <c r="BS30" s="79">
        <f t="shared" si="30"/>
        <v>1.7056451867514776E-2</v>
      </c>
      <c r="BT30" s="79">
        <f t="shared" si="30"/>
        <v>1.7028443169528153E-2</v>
      </c>
      <c r="BU30" s="79">
        <f t="shared" si="30"/>
        <v>1.7000537837378354E-2</v>
      </c>
      <c r="BV30" s="79">
        <f t="shared" si="30"/>
        <v>1.6972741523333723E-2</v>
      </c>
      <c r="BW30" s="79">
        <f t="shared" si="30"/>
        <v>1.6945059621725215E-2</v>
      </c>
      <c r="BX30" s="79">
        <f t="shared" si="30"/>
        <v>1.6917497276976525E-2</v>
      </c>
      <c r="BY30" s="79">
        <f t="shared" si="30"/>
        <v>1.6890059391433173E-2</v>
      </c>
      <c r="BZ30" s="79">
        <f t="shared" si="30"/>
        <v>1.6862750632989653E-2</v>
      </c>
      <c r="CA30" s="79">
        <f t="shared" si="30"/>
        <v>1.6835575442520449E-2</v>
      </c>
      <c r="CB30" s="79">
        <f t="shared" si="30"/>
        <v>1.6808538041116393E-2</v>
      </c>
      <c r="CC30" s="79">
        <f t="shared" si="30"/>
        <v>1.6781642437132219E-2</v>
      </c>
      <c r="CD30" s="79">
        <f t="shared" si="30"/>
        <v>1.67548924330457E-2</v>
      </c>
      <c r="CE30" s="79">
        <f t="shared" si="30"/>
        <v>1.6728291632133626E-2</v>
      </c>
      <c r="CF30" s="79">
        <f t="shared" si="30"/>
        <v>1.6701843444969458E-2</v>
      </c>
      <c r="CG30" s="79">
        <f t="shared" si="30"/>
        <v>1.667555109574281E-2</v>
      </c>
      <c r="CH30" s="79">
        <f t="shared" si="30"/>
        <v>1.6649417628406837E-2</v>
      </c>
      <c r="CI30" s="79">
        <f t="shared" ref="CI30:ED30" si="33">IF(CI$9&lt;=$K$6,RATE($K$6,1,CI76,0),"")</f>
        <v>1.6623445912657416E-2</v>
      </c>
      <c r="CJ30" s="79">
        <f t="shared" si="33"/>
        <v>1.6597638649745314E-2</v>
      </c>
      <c r="CK30" s="79">
        <f t="shared" si="33"/>
        <v>1.6571998378127357E-2</v>
      </c>
      <c r="CL30" s="79">
        <f t="shared" si="33"/>
        <v>1.6546527478958357E-2</v>
      </c>
      <c r="CM30" s="79">
        <f t="shared" si="33"/>
        <v>1.6521228181429717E-2</v>
      </c>
      <c r="CN30" s="79">
        <f t="shared" si="33"/>
        <v>1.6496102567954054E-2</v>
      </c>
      <c r="CO30" s="79">
        <f t="shared" si="33"/>
        <v>1.6471152579204389E-2</v>
      </c>
      <c r="CP30" s="79">
        <f t="shared" si="33"/>
        <v>1.6446380019007403E-2</v>
      </c>
      <c r="CQ30" s="79">
        <f t="shared" si="33"/>
        <v>1.6421786559096031E-2</v>
      </c>
      <c r="CR30" s="79">
        <f t="shared" si="33"/>
        <v>1.6397373743725015E-2</v>
      </c>
      <c r="CS30" s="79">
        <f t="shared" si="33"/>
        <v>1.6373142994150831E-2</v>
      </c>
      <c r="CT30" s="79">
        <f t="shared" si="33"/>
        <v>1.6349095612981996E-2</v>
      </c>
      <c r="CU30" s="79">
        <f t="shared" si="33"/>
        <v>1.6325232788399952E-2</v>
      </c>
      <c r="CV30" s="79">
        <f t="shared" si="33"/>
        <v>1.630155559825756E-2</v>
      </c>
      <c r="CW30" s="79">
        <f t="shared" si="33"/>
        <v>1.6278065014054065E-2</v>
      </c>
      <c r="CX30" s="79">
        <f t="shared" si="33"/>
        <v>1.6254761904792754E-2</v>
      </c>
      <c r="CY30" s="79">
        <f t="shared" si="33"/>
        <v>1.6254761904792754E-2</v>
      </c>
      <c r="CZ30" s="79">
        <f t="shared" si="33"/>
        <v>1.6254761904792754E-2</v>
      </c>
      <c r="DA30" s="79">
        <f t="shared" si="33"/>
        <v>1.6254761904792754E-2</v>
      </c>
      <c r="DB30" s="79">
        <f t="shared" si="33"/>
        <v>1.6254761904792754E-2</v>
      </c>
      <c r="DC30" s="79">
        <f t="shared" si="33"/>
        <v>1.6254761904792754E-2</v>
      </c>
      <c r="DD30" s="79">
        <f t="shared" si="33"/>
        <v>1.6254761904792754E-2</v>
      </c>
      <c r="DE30" s="79">
        <f t="shared" si="33"/>
        <v>1.6254761904792754E-2</v>
      </c>
      <c r="DF30" s="79">
        <f t="shared" si="33"/>
        <v>1.6254761904792754E-2</v>
      </c>
      <c r="DG30" s="79">
        <f t="shared" si="33"/>
        <v>1.6254761904792754E-2</v>
      </c>
      <c r="DH30" s="79">
        <f t="shared" si="33"/>
        <v>1.6254761904792754E-2</v>
      </c>
      <c r="DI30" s="79">
        <f t="shared" si="33"/>
        <v>1.6254761904792754E-2</v>
      </c>
      <c r="DJ30" s="79">
        <f t="shared" si="33"/>
        <v>1.6254761904792754E-2</v>
      </c>
      <c r="DK30" s="79">
        <f t="shared" si="33"/>
        <v>1.6254761904792754E-2</v>
      </c>
      <c r="DL30" s="79">
        <f t="shared" si="33"/>
        <v>1.6254761904792754E-2</v>
      </c>
      <c r="DM30" s="79">
        <f t="shared" si="33"/>
        <v>1.6254761904792754E-2</v>
      </c>
      <c r="DN30" s="79">
        <f t="shared" si="33"/>
        <v>1.6254761904792754E-2</v>
      </c>
      <c r="DO30" s="79">
        <f t="shared" si="33"/>
        <v>1.6254761904792754E-2</v>
      </c>
      <c r="DP30" s="79">
        <f t="shared" si="33"/>
        <v>1.6254761904792754E-2</v>
      </c>
      <c r="DQ30" s="79">
        <f t="shared" si="33"/>
        <v>1.6254761904792754E-2</v>
      </c>
      <c r="DR30" s="79">
        <f t="shared" si="33"/>
        <v>1.6254761904792754E-2</v>
      </c>
      <c r="DS30" s="79">
        <f t="shared" si="33"/>
        <v>1.6254761904792754E-2</v>
      </c>
      <c r="DT30" s="79">
        <f t="shared" si="33"/>
        <v>1.6254761904792754E-2</v>
      </c>
      <c r="DU30" s="79">
        <f t="shared" si="33"/>
        <v>1.6254761904792754E-2</v>
      </c>
      <c r="DV30" s="79">
        <f t="shared" si="33"/>
        <v>1.6254761904792754E-2</v>
      </c>
      <c r="DW30" s="79">
        <f t="shared" si="33"/>
        <v>1.6254761904792754E-2</v>
      </c>
      <c r="DX30" s="79">
        <f t="shared" si="33"/>
        <v>1.6254761904792754E-2</v>
      </c>
      <c r="DY30" s="79">
        <f t="shared" si="33"/>
        <v>1.6254761904792754E-2</v>
      </c>
      <c r="DZ30" s="79">
        <f t="shared" si="33"/>
        <v>1.6254761904792754E-2</v>
      </c>
      <c r="EA30" s="79">
        <f t="shared" si="33"/>
        <v>1.6254761904792754E-2</v>
      </c>
      <c r="EB30" s="79">
        <f t="shared" si="33"/>
        <v>1.6254761904792754E-2</v>
      </c>
      <c r="EC30" s="79">
        <f t="shared" si="33"/>
        <v>1.6254761904792754E-2</v>
      </c>
      <c r="ED30" s="79">
        <f t="shared" si="33"/>
        <v>1.6254761904792754E-2</v>
      </c>
      <c r="EE30" s="79">
        <f t="shared" si="28"/>
        <v>1.6254761904792754E-2</v>
      </c>
      <c r="EF30" s="79">
        <f t="shared" ref="EF30:ET30" si="34">IF(EF$9&lt;=$K$6,RATE($K$6,1,EF76,0),"")</f>
        <v>1.6254761904792754E-2</v>
      </c>
      <c r="EG30" s="79">
        <f t="shared" si="34"/>
        <v>1.6254761904792754E-2</v>
      </c>
      <c r="EH30" s="79">
        <f t="shared" si="34"/>
        <v>1.6254761904792754E-2</v>
      </c>
      <c r="EI30" s="79">
        <f t="shared" si="34"/>
        <v>1.6254761904792754E-2</v>
      </c>
      <c r="EJ30" s="79">
        <f t="shared" si="34"/>
        <v>1.6254761904792754E-2</v>
      </c>
      <c r="EK30" s="79">
        <f t="shared" si="34"/>
        <v>1.6254761904792754E-2</v>
      </c>
      <c r="EL30" s="79">
        <f t="shared" si="34"/>
        <v>1.6254761904792754E-2</v>
      </c>
      <c r="EM30" s="79">
        <f t="shared" si="34"/>
        <v>1.6254761904792754E-2</v>
      </c>
      <c r="EN30" s="79">
        <f t="shared" si="34"/>
        <v>1.6254761904792754E-2</v>
      </c>
      <c r="EO30" s="79">
        <f t="shared" si="34"/>
        <v>1.6254761904792754E-2</v>
      </c>
      <c r="EP30" s="79">
        <f t="shared" si="34"/>
        <v>1.6254761904792754E-2</v>
      </c>
      <c r="EQ30" s="79">
        <f t="shared" si="34"/>
        <v>1.6254761904792754E-2</v>
      </c>
      <c r="ER30" s="79">
        <f t="shared" si="34"/>
        <v>1.6254761904792754E-2</v>
      </c>
      <c r="ES30" s="79">
        <f t="shared" si="34"/>
        <v>1.6254761904792754E-2</v>
      </c>
      <c r="ET30" s="79">
        <f t="shared" si="34"/>
        <v>1.6254761904792754E-2</v>
      </c>
      <c r="EY30" t="s">
        <v>33</v>
      </c>
      <c r="EZ30" s="4">
        <v>1.5900000000000001E-2</v>
      </c>
      <c r="FA30" s="27">
        <f>VLOOKUP(EY30,$EY$11:$FC$24,5,FALSE)</f>
        <v>2.0500000000000001E-2</v>
      </c>
      <c r="FB30" s="4">
        <f>(FA30-EZ30)/18</f>
        <v>2.5555555555555553E-4</v>
      </c>
      <c r="FF30" s="67" t="s">
        <v>3450</v>
      </c>
      <c r="FG30" s="696">
        <v>1.8500000000000003E-2</v>
      </c>
      <c r="FH30" s="696">
        <v>120</v>
      </c>
      <c r="FI30" s="696">
        <v>1.5100000000000001E-2</v>
      </c>
      <c r="FJ30" s="255">
        <v>1.38E-2</v>
      </c>
      <c r="FK30" s="71">
        <f t="shared" si="10"/>
        <v>1.1190476190476197E-4</v>
      </c>
      <c r="FL30" t="e">
        <f>VLOOKUP(FF30,'SIMULADOR COM SALDO'!$BX$22:$CK$1000,13,FALSE)</f>
        <v>#N/A</v>
      </c>
    </row>
    <row r="31" spans="5:168" x14ac:dyDescent="0.25">
      <c r="E31" s="28"/>
      <c r="F31" s="97">
        <f t="shared" si="11"/>
        <v>1.6352380952380955E-2</v>
      </c>
      <c r="G31" s="79">
        <f t="shared" si="31"/>
        <v>1.8498654844325519E-2</v>
      </c>
      <c r="H31" s="79">
        <f t="shared" si="31"/>
        <v>1.8496010893546244E-2</v>
      </c>
      <c r="I31" s="79">
        <f t="shared" si="31"/>
        <v>1.8492113576861462E-2</v>
      </c>
      <c r="J31" s="79">
        <f t="shared" si="31"/>
        <v>1.8487007388803923E-2</v>
      </c>
      <c r="K31" s="79">
        <f t="shared" si="31"/>
        <v>1.8480735887475095E-2</v>
      </c>
      <c r="L31" s="79">
        <f t="shared" si="31"/>
        <v>1.8473341694216654E-2</v>
      </c>
      <c r="M31" s="79">
        <f t="shared" si="31"/>
        <v>1.8464866494635166E-2</v>
      </c>
      <c r="N31" s="79">
        <f t="shared" si="31"/>
        <v>1.8455351040896392E-2</v>
      </c>
      <c r="O31" s="79">
        <f t="shared" si="31"/>
        <v>1.8444835155206771E-2</v>
      </c>
      <c r="P31" s="79">
        <f t="shared" si="31"/>
        <v>1.8433357734404278E-2</v>
      </c>
      <c r="Q31" s="79">
        <f t="shared" si="31"/>
        <v>1.8420956755581502E-2</v>
      </c>
      <c r="R31" s="79">
        <f t="shared" si="31"/>
        <v>1.8407669282667585E-2</v>
      </c>
      <c r="S31" s="79">
        <f t="shared" si="31"/>
        <v>1.8393531473897811E-2</v>
      </c>
      <c r="T31" s="79">
        <f t="shared" si="31"/>
        <v>1.8378578590102064E-2</v>
      </c>
      <c r="U31" s="79">
        <f t="shared" si="31"/>
        <v>1.8362845003745645E-2</v>
      </c>
      <c r="V31" s="79">
        <f t="shared" si="31"/>
        <v>1.8346364208660745E-2</v>
      </c>
      <c r="W31" s="79">
        <f t="shared" si="31"/>
        <v>1.8329168830406611E-2</v>
      </c>
      <c r="X31" s="79">
        <f t="shared" si="31"/>
        <v>1.8311290637201258E-2</v>
      </c>
      <c r="Y31" s="79">
        <f t="shared" si="31"/>
        <v>1.8292760551369133E-2</v>
      </c>
      <c r="Z31" s="79">
        <f t="shared" si="31"/>
        <v>1.8273608661253181E-2</v>
      </c>
      <c r="AA31" s="79">
        <f t="shared" si="31"/>
        <v>1.825386423353911E-2</v>
      </c>
      <c r="AB31" s="79">
        <f t="shared" si="31"/>
        <v>1.8233555725947641E-2</v>
      </c>
      <c r="AC31" s="79">
        <f t="shared" si="31"/>
        <v>1.8212710800246293E-2</v>
      </c>
      <c r="AD31" s="79">
        <f t="shared" si="31"/>
        <v>1.8191356335540899E-2</v>
      </c>
      <c r="AE31" s="79">
        <f t="shared" si="31"/>
        <v>1.8169518441805591E-2</v>
      </c>
      <c r="AF31" s="79">
        <f t="shared" si="31"/>
        <v>1.8147222473612303E-2</v>
      </c>
      <c r="AG31" s="79">
        <f t="shared" si="31"/>
        <v>1.8124493044026593E-2</v>
      </c>
      <c r="AH31" s="79">
        <f t="shared" si="31"/>
        <v>1.8101354038634117E-2</v>
      </c>
      <c r="AI31" s="79">
        <f t="shared" si="31"/>
        <v>1.8077828629666979E-2</v>
      </c>
      <c r="AJ31" s="79">
        <f t="shared" si="31"/>
        <v>1.805393929020175E-2</v>
      </c>
      <c r="AK31" s="79">
        <f t="shared" si="31"/>
        <v>1.8029707808398888E-2</v>
      </c>
      <c r="AL31" s="79">
        <f t="shared" si="31"/>
        <v>1.8005155301761284E-2</v>
      </c>
      <c r="AM31" s="79">
        <f t="shared" si="31"/>
        <v>1.7980302231385466E-2</v>
      </c>
      <c r="AN31" s="79">
        <f t="shared" si="31"/>
        <v>1.7955168416185E-2</v>
      </c>
      <c r="AO31" s="79">
        <f t="shared" si="31"/>
        <v>1.792977304706465E-2</v>
      </c>
      <c r="AP31" s="79">
        <f t="shared" si="31"/>
        <v>1.7904134701025986E-2</v>
      </c>
      <c r="AQ31" s="79">
        <f t="shared" si="31"/>
        <v>1.7878271355189084E-2</v>
      </c>
      <c r="AR31" s="79">
        <f t="shared" si="31"/>
        <v>1.785220040071148E-2</v>
      </c>
      <c r="AS31" s="79">
        <f t="shared" si="31"/>
        <v>1.782593865659202E-2</v>
      </c>
      <c r="AT31" s="79">
        <f t="shared" si="31"/>
        <v>1.7799502383343994E-2</v>
      </c>
      <c r="AU31" s="79">
        <f t="shared" si="31"/>
        <v>1.7772907296528626E-2</v>
      </c>
      <c r="AV31" s="79">
        <f t="shared" si="31"/>
        <v>1.7746168580132938E-2</v>
      </c>
      <c r="AW31" s="79">
        <f t="shared" si="31"/>
        <v>1.7719300899787224E-2</v>
      </c>
      <c r="AX31" s="79">
        <f t="shared" si="31"/>
        <v>1.7692318415810145E-2</v>
      </c>
      <c r="AY31" s="79">
        <f t="shared" si="31"/>
        <v>1.7665234796073109E-2</v>
      </c>
      <c r="AZ31" s="79">
        <f t="shared" si="31"/>
        <v>1.7638063228679484E-2</v>
      </c>
      <c r="BA31" s="79">
        <f t="shared" si="31"/>
        <v>1.7610816434449634E-2</v>
      </c>
      <c r="BB31" s="79">
        <f t="shared" si="31"/>
        <v>1.758350667920686E-2</v>
      </c>
      <c r="BC31" s="79">
        <f t="shared" si="31"/>
        <v>1.7556145785862818E-2</v>
      </c>
      <c r="BD31" s="79">
        <f t="shared" si="31"/>
        <v>1.7528745146292657E-2</v>
      </c>
      <c r="BE31" s="79">
        <f t="shared" si="31"/>
        <v>1.7501315733001364E-2</v>
      </c>
      <c r="BF31" s="79">
        <f t="shared" si="31"/>
        <v>1.7473868110576857E-2</v>
      </c>
      <c r="BG31" s="79">
        <f t="shared" si="31"/>
        <v>1.744641244692734E-2</v>
      </c>
      <c r="BH31" s="79">
        <f t="shared" si="31"/>
        <v>1.7418958524301822E-2</v>
      </c>
      <c r="BI31" s="79">
        <f t="shared" si="31"/>
        <v>1.7391515750092974E-2</v>
      </c>
      <c r="BJ31" s="31">
        <f t="shared" si="31"/>
        <v>1.7364093167420373E-2</v>
      </c>
      <c r="BK31" s="79">
        <f t="shared" si="31"/>
        <v>1.7336699465495858E-2</v>
      </c>
      <c r="BL31" s="79">
        <f t="shared" si="31"/>
        <v>1.7309342989769331E-2</v>
      </c>
      <c r="BM31" s="79">
        <f t="shared" si="31"/>
        <v>1.7282031751856546E-2</v>
      </c>
      <c r="BN31" s="79">
        <f t="shared" si="31"/>
        <v>1.7254773439249294E-2</v>
      </c>
      <c r="BO31" s="79">
        <f t="shared" si="31"/>
        <v>1.7227575424809811E-2</v>
      </c>
      <c r="BP31" s="79">
        <f t="shared" si="31"/>
        <v>1.7200444776049321E-2</v>
      </c>
      <c r="BQ31" s="79">
        <f t="shared" si="31"/>
        <v>1.7173388264194685E-2</v>
      </c>
      <c r="BR31" s="79">
        <f t="shared" ref="BR31:EC35" si="35">IF(BR$9&lt;=$K$6,RATE($K$6,1,BR77,0),"")</f>
        <v>1.7146412373042423E-2</v>
      </c>
      <c r="BS31" s="79">
        <f t="shared" si="35"/>
        <v>1.7119523307604616E-2</v>
      </c>
      <c r="BT31" s="79">
        <f t="shared" si="30"/>
        <v>1.7092727002546906E-2</v>
      </c>
      <c r="BU31" s="79">
        <f t="shared" si="30"/>
        <v>1.7066029130423627E-2</v>
      </c>
      <c r="BV31" s="79">
        <f t="shared" si="30"/>
        <v>1.7039435109709386E-2</v>
      </c>
      <c r="BW31" s="79">
        <f t="shared" si="30"/>
        <v>1.7012950112633034E-2</v>
      </c>
      <c r="BX31" s="79">
        <f t="shared" si="30"/>
        <v>1.6986579072814187E-2</v>
      </c>
      <c r="BY31" s="79">
        <f t="shared" si="30"/>
        <v>1.6960326692708069E-2</v>
      </c>
      <c r="BZ31" s="79">
        <f t="shared" si="30"/>
        <v>1.6934197450858588E-2</v>
      </c>
      <c r="CA31" s="79">
        <f t="shared" si="30"/>
        <v>1.6908195608966409E-2</v>
      </c>
      <c r="CB31" s="79">
        <f t="shared" si="30"/>
        <v>1.6882325218770748E-2</v>
      </c>
      <c r="CC31" s="79">
        <f t="shared" si="30"/>
        <v>1.6856590128753499E-2</v>
      </c>
      <c r="CD31" s="79">
        <f t="shared" si="30"/>
        <v>1.6830993990663408E-2</v>
      </c>
      <c r="CE31" s="79">
        <f t="shared" si="30"/>
        <v>1.6805540265868727E-2</v>
      </c>
      <c r="CF31" s="79">
        <f t="shared" si="30"/>
        <v>1.6780232231537628E-2</v>
      </c>
      <c r="CG31" s="79">
        <f t="shared" si="30"/>
        <v>1.6755072986652884E-2</v>
      </c>
      <c r="CH31" s="79">
        <f t="shared" si="30"/>
        <v>1.6730065457861175E-2</v>
      </c>
      <c r="CI31" s="79">
        <f t="shared" ref="CI31:ED31" si="36">IF(CI$9&lt;=$K$6,RATE($K$6,1,CI77,0),"")</f>
        <v>1.6705212405164489E-2</v>
      </c>
      <c r="CJ31" s="79">
        <f t="shared" si="36"/>
        <v>1.6680516427451966E-2</v>
      </c>
      <c r="CK31" s="79">
        <f t="shared" si="36"/>
        <v>1.6655979967880059E-2</v>
      </c>
      <c r="CL31" s="79">
        <f t="shared" si="36"/>
        <v>1.6631605319101194E-2</v>
      </c>
      <c r="CM31" s="79">
        <f t="shared" si="36"/>
        <v>1.6607394628347347E-2</v>
      </c>
      <c r="CN31" s="79">
        <f t="shared" si="36"/>
        <v>1.6583349902368101E-2</v>
      </c>
      <c r="CO31" s="79">
        <f t="shared" si="36"/>
        <v>1.6559473012230017E-2</v>
      </c>
      <c r="CP31" s="79">
        <f t="shared" si="36"/>
        <v>1.6535765697977784E-2</v>
      </c>
      <c r="CQ31" s="79">
        <f t="shared" si="36"/>
        <v>1.6512229573163607E-2</v>
      </c>
      <c r="CR31" s="79">
        <f t="shared" si="36"/>
        <v>1.6488866129243475E-2</v>
      </c>
      <c r="CS31" s="79">
        <f t="shared" si="36"/>
        <v>1.6465676739848539E-2</v>
      </c>
      <c r="CT31" s="79">
        <f t="shared" si="36"/>
        <v>1.6442662664930704E-2</v>
      </c>
      <c r="CU31" s="79">
        <f t="shared" si="36"/>
        <v>1.6419825054787597E-2</v>
      </c>
      <c r="CV31" s="79">
        <f t="shared" si="36"/>
        <v>1.6397164953969211E-2</v>
      </c>
      <c r="CW31" s="79">
        <f t="shared" si="36"/>
        <v>1.6374683305069932E-2</v>
      </c>
      <c r="CX31" s="79">
        <f t="shared" si="36"/>
        <v>1.6352380952407628E-2</v>
      </c>
      <c r="CY31" s="79">
        <f t="shared" si="36"/>
        <v>1.6352380952407628E-2</v>
      </c>
      <c r="CZ31" s="79">
        <f t="shared" si="36"/>
        <v>1.6352380952407628E-2</v>
      </c>
      <c r="DA31" s="79">
        <f t="shared" si="36"/>
        <v>1.6352380952407628E-2</v>
      </c>
      <c r="DB31" s="79">
        <f t="shared" si="36"/>
        <v>1.6352380952407628E-2</v>
      </c>
      <c r="DC31" s="79">
        <f t="shared" si="36"/>
        <v>1.6352380952407628E-2</v>
      </c>
      <c r="DD31" s="79">
        <f t="shared" si="36"/>
        <v>1.6352380952407628E-2</v>
      </c>
      <c r="DE31" s="79">
        <f t="shared" si="36"/>
        <v>1.6352380952407628E-2</v>
      </c>
      <c r="DF31" s="79">
        <f t="shared" si="36"/>
        <v>1.6352380952407628E-2</v>
      </c>
      <c r="DG31" s="79">
        <f t="shared" si="36"/>
        <v>1.6352380952407628E-2</v>
      </c>
      <c r="DH31" s="79">
        <f t="shared" si="36"/>
        <v>1.6352380952407628E-2</v>
      </c>
      <c r="DI31" s="79">
        <f t="shared" si="36"/>
        <v>1.6352380952407628E-2</v>
      </c>
      <c r="DJ31" s="79">
        <f t="shared" si="36"/>
        <v>1.6352380952407628E-2</v>
      </c>
      <c r="DK31" s="79">
        <f t="shared" si="36"/>
        <v>1.6352380952407628E-2</v>
      </c>
      <c r="DL31" s="79">
        <f t="shared" si="36"/>
        <v>1.6352380952407628E-2</v>
      </c>
      <c r="DM31" s="79">
        <f t="shared" si="36"/>
        <v>1.6352380952407628E-2</v>
      </c>
      <c r="DN31" s="79">
        <f t="shared" si="36"/>
        <v>1.6352380952407628E-2</v>
      </c>
      <c r="DO31" s="79">
        <f t="shared" si="36"/>
        <v>1.6352380952407628E-2</v>
      </c>
      <c r="DP31" s="79">
        <f t="shared" si="36"/>
        <v>1.6352380952407628E-2</v>
      </c>
      <c r="DQ31" s="79">
        <f t="shared" si="36"/>
        <v>1.6352380952407628E-2</v>
      </c>
      <c r="DR31" s="79">
        <f t="shared" si="36"/>
        <v>1.6352380952407628E-2</v>
      </c>
      <c r="DS31" s="79">
        <f t="shared" si="36"/>
        <v>1.6352380952407628E-2</v>
      </c>
      <c r="DT31" s="79">
        <f t="shared" si="36"/>
        <v>1.6352380952407628E-2</v>
      </c>
      <c r="DU31" s="79">
        <f t="shared" si="36"/>
        <v>1.6352380952407628E-2</v>
      </c>
      <c r="DV31" s="79">
        <f t="shared" si="36"/>
        <v>1.6352380952407628E-2</v>
      </c>
      <c r="DW31" s="79">
        <f t="shared" si="36"/>
        <v>1.6352380952407628E-2</v>
      </c>
      <c r="DX31" s="79">
        <f t="shared" si="36"/>
        <v>1.6352380952407628E-2</v>
      </c>
      <c r="DY31" s="79">
        <f t="shared" si="36"/>
        <v>1.6352380952407628E-2</v>
      </c>
      <c r="DZ31" s="79">
        <f t="shared" si="36"/>
        <v>1.6352380952407628E-2</v>
      </c>
      <c r="EA31" s="79">
        <f t="shared" si="36"/>
        <v>1.6352380952407628E-2</v>
      </c>
      <c r="EB31" s="79">
        <f t="shared" si="36"/>
        <v>1.6352380952407628E-2</v>
      </c>
      <c r="EC31" s="79">
        <f t="shared" si="36"/>
        <v>1.6352380952407628E-2</v>
      </c>
      <c r="ED31" s="79">
        <f t="shared" si="36"/>
        <v>1.6352380952407628E-2</v>
      </c>
      <c r="EE31" s="79">
        <f t="shared" si="28"/>
        <v>1.6352380952407628E-2</v>
      </c>
      <c r="EF31" s="79">
        <f t="shared" ref="EF31:ET31" si="37">IF(EF$9&lt;=$K$6,RATE($K$6,1,EF77,0),"")</f>
        <v>1.6352380952407628E-2</v>
      </c>
      <c r="EG31" s="79">
        <f t="shared" si="37"/>
        <v>1.6352380952407628E-2</v>
      </c>
      <c r="EH31" s="79">
        <f t="shared" si="37"/>
        <v>1.6352380952407628E-2</v>
      </c>
      <c r="EI31" s="79">
        <f t="shared" si="37"/>
        <v>1.6352380952407628E-2</v>
      </c>
      <c r="EJ31" s="79">
        <f t="shared" si="37"/>
        <v>1.6352380952407628E-2</v>
      </c>
      <c r="EK31" s="79">
        <f t="shared" si="37"/>
        <v>1.6352380952407628E-2</v>
      </c>
      <c r="EL31" s="79">
        <f t="shared" si="37"/>
        <v>1.6352380952407628E-2</v>
      </c>
      <c r="EM31" s="79">
        <f t="shared" si="37"/>
        <v>1.6352380952407628E-2</v>
      </c>
      <c r="EN31" s="79">
        <f t="shared" si="37"/>
        <v>1.6352380952407628E-2</v>
      </c>
      <c r="EO31" s="79">
        <f t="shared" si="37"/>
        <v>1.6352380952407628E-2</v>
      </c>
      <c r="EP31" s="79">
        <f t="shared" si="37"/>
        <v>1.6352380952407628E-2</v>
      </c>
      <c r="EQ31" s="79">
        <f t="shared" si="37"/>
        <v>1.6352380952407628E-2</v>
      </c>
      <c r="ER31" s="79">
        <f t="shared" si="37"/>
        <v>1.6352380952407628E-2</v>
      </c>
      <c r="ES31" s="79">
        <f t="shared" si="37"/>
        <v>1.6352380952407628E-2</v>
      </c>
      <c r="ET31" s="79">
        <f t="shared" si="37"/>
        <v>1.6352380952407628E-2</v>
      </c>
      <c r="FF31" s="6" t="s">
        <v>3843</v>
      </c>
      <c r="FG31" s="696">
        <v>2.5000000000000001E-2</v>
      </c>
      <c r="FH31" s="696">
        <v>120</v>
      </c>
      <c r="FI31" s="696">
        <v>1.83E-2</v>
      </c>
      <c r="FJ31" s="255">
        <v>0</v>
      </c>
      <c r="FK31" s="71">
        <f t="shared" si="10"/>
        <v>5.9523809523809529E-4</v>
      </c>
      <c r="FL31" t="e">
        <f>VLOOKUP(FF31,'SIMULADOR COM SALDO'!$BX$22:$CK$1000,13,FALSE)</f>
        <v>#N/A</v>
      </c>
    </row>
    <row r="32" spans="5:168" x14ac:dyDescent="0.25">
      <c r="F32" s="97">
        <f t="shared" si="11"/>
        <v>1.6450000000000003E-2</v>
      </c>
      <c r="G32" s="79">
        <f t="shared" ref="G32:BR35" si="38">IF(G$9&lt;=$K$6,RATE($K$6,1,G78,0),"")</f>
        <v>1.8498716108958244E-2</v>
      </c>
      <c r="H32" s="79">
        <f t="shared" si="38"/>
        <v>1.8496192684897043E-2</v>
      </c>
      <c r="I32" s="79">
        <f t="shared" si="38"/>
        <v>1.8492473179649908E-2</v>
      </c>
      <c r="J32" s="79">
        <f t="shared" si="38"/>
        <v>1.8487600137189475E-2</v>
      </c>
      <c r="K32" s="79">
        <f t="shared" si="38"/>
        <v>1.8481615193333918E-2</v>
      </c>
      <c r="L32" s="79">
        <f t="shared" si="38"/>
        <v>1.8474559076743328E-2</v>
      </c>
      <c r="M32" s="79">
        <f t="shared" si="38"/>
        <v>1.8466471611131029E-2</v>
      </c>
      <c r="N32" s="79">
        <f t="shared" si="38"/>
        <v>1.8457391718609051E-2</v>
      </c>
      <c r="O32" s="79">
        <f t="shared" si="38"/>
        <v>1.844735742409602E-2</v>
      </c>
      <c r="P32" s="79">
        <f t="shared" si="38"/>
        <v>1.8436405860711672E-2</v>
      </c>
      <c r="Q32" s="79">
        <f t="shared" si="38"/>
        <v>1.8424573276091517E-2</v>
      </c>
      <c r="R32" s="79">
        <f t="shared" si="38"/>
        <v>1.8411895039549701E-2</v>
      </c>
      <c r="S32" s="79">
        <f t="shared" si="38"/>
        <v>1.83984056500286E-2</v>
      </c>
      <c r="T32" s="79">
        <f t="shared" si="38"/>
        <v>1.8384138744769851E-2</v>
      </c>
      <c r="U32" s="79">
        <f t="shared" si="38"/>
        <v>1.8369127108648482E-2</v>
      </c>
      <c r="V32" s="79">
        <f t="shared" si="38"/>
        <v>1.8353402684111224E-2</v>
      </c>
      <c r="W32" s="79">
        <f t="shared" si="38"/>
        <v>1.8336996581664079E-2</v>
      </c>
      <c r="X32" s="79">
        <f t="shared" si="38"/>
        <v>1.8319939090858411E-2</v>
      </c>
      <c r="Y32" s="79">
        <f t="shared" si="38"/>
        <v>1.8302259691721636E-2</v>
      </c>
      <c r="Z32" s="79">
        <f t="shared" si="38"/>
        <v>1.8283987066589763E-2</v>
      </c>
      <c r="AA32" s="79">
        <f t="shared" si="38"/>
        <v>1.8265149112291771E-2</v>
      </c>
      <c r="AB32" s="79">
        <f t="shared" si="38"/>
        <v>1.8245772952646112E-2</v>
      </c>
      <c r="AC32" s="79">
        <f t="shared" si="38"/>
        <v>1.8225884951228236E-2</v>
      </c>
      <c r="AD32" s="79">
        <f t="shared" si="38"/>
        <v>1.8205510724368313E-2</v>
      </c>
      <c r="AE32" s="79">
        <f t="shared" si="38"/>
        <v>1.8184675154347532E-2</v>
      </c>
      <c r="AF32" s="79">
        <f t="shared" si="38"/>
        <v>1.8163402402753524E-2</v>
      </c>
      <c r="AG32" s="79">
        <f t="shared" si="38"/>
        <v>1.8141715923967218E-2</v>
      </c>
      <c r="AH32" s="79">
        <f t="shared" si="38"/>
        <v>1.8119638478748763E-2</v>
      </c>
      <c r="AI32" s="79">
        <f t="shared" si="38"/>
        <v>1.8097192147894795E-2</v>
      </c>
      <c r="AJ32" s="79">
        <f t="shared" si="38"/>
        <v>1.8074398345941097E-2</v>
      </c>
      <c r="AK32" s="79">
        <f t="shared" si="38"/>
        <v>1.8051277834885703E-2</v>
      </c>
      <c r="AL32" s="79">
        <f t="shared" si="38"/>
        <v>1.8027850737909214E-2</v>
      </c>
      <c r="AM32" s="79">
        <f t="shared" si="38"/>
        <v>1.8004136553072099E-2</v>
      </c>
      <c r="AN32" s="79">
        <f t="shared" si="38"/>
        <v>1.7980154166968319E-2</v>
      </c>
      <c r="AO32" s="79">
        <f t="shared" si="38"/>
        <v>1.795592186831731E-2</v>
      </c>
      <c r="AP32" s="79">
        <f t="shared" si="38"/>
        <v>1.793145736147737E-2</v>
      </c>
      <c r="AQ32" s="79">
        <f t="shared" si="38"/>
        <v>1.7906777779865365E-2</v>
      </c>
      <c r="AR32" s="79">
        <f t="shared" si="38"/>
        <v>1.7881899699268646E-2</v>
      </c>
      <c r="AS32" s="79">
        <f t="shared" si="38"/>
        <v>1.7856839151034514E-2</v>
      </c>
      <c r="AT32" s="79">
        <f t="shared" si="38"/>
        <v>1.7831611635128804E-2</v>
      </c>
      <c r="AU32" s="79">
        <f t="shared" si="38"/>
        <v>1.7806232133049053E-2</v>
      </c>
      <c r="AV32" s="79">
        <f t="shared" si="38"/>
        <v>1.7780715120584215E-2</v>
      </c>
      <c r="AW32" s="79">
        <f t="shared" si="38"/>
        <v>1.7755074580414577E-2</v>
      </c>
      <c r="AX32" s="79">
        <f t="shared" si="38"/>
        <v>1.7729324014538611E-2</v>
      </c>
      <c r="AY32" s="79">
        <f t="shared" si="38"/>
        <v>1.7703476456524536E-2</v>
      </c>
      <c r="AZ32" s="79">
        <f t="shared" si="38"/>
        <v>1.7677544483579909E-2</v>
      </c>
      <c r="BA32" s="79">
        <f t="shared" si="38"/>
        <v>1.7651540228430275E-2</v>
      </c>
      <c r="BB32" s="79">
        <f t="shared" si="38"/>
        <v>1.7625475391007284E-2</v>
      </c>
      <c r="BC32" s="79">
        <f t="shared" si="38"/>
        <v>1.7599361249938481E-2</v>
      </c>
      <c r="BD32" s="79">
        <f t="shared" si="38"/>
        <v>1.7573208673837132E-2</v>
      </c>
      <c r="BE32" s="79">
        <f t="shared" si="38"/>
        <v>1.7547028132389366E-2</v>
      </c>
      <c r="BF32" s="79">
        <f t="shared" si="38"/>
        <v>1.7520829707235411E-2</v>
      </c>
      <c r="BG32" s="79">
        <f t="shared" si="38"/>
        <v>1.7494623102644921E-2</v>
      </c>
      <c r="BH32" s="79">
        <f t="shared" si="38"/>
        <v>1.7468417655983091E-2</v>
      </c>
      <c r="BI32" s="79">
        <f t="shared" si="38"/>
        <v>1.7442222347968685E-2</v>
      </c>
      <c r="BJ32" s="31">
        <f t="shared" si="38"/>
        <v>1.7416045812722707E-2</v>
      </c>
      <c r="BK32" s="79">
        <f t="shared" si="38"/>
        <v>1.7389896347607698E-2</v>
      </c>
      <c r="BL32" s="79">
        <f t="shared" si="38"/>
        <v>1.7363781922858566E-2</v>
      </c>
      <c r="BM32" s="79">
        <f t="shared" si="38"/>
        <v>1.7337710191004461E-2</v>
      </c>
      <c r="BN32" s="79">
        <f t="shared" si="38"/>
        <v>1.7311688496084523E-2</v>
      </c>
      <c r="BO32" s="79">
        <f t="shared" si="38"/>
        <v>1.7285723882657509E-2</v>
      </c>
      <c r="BP32" s="79">
        <f t="shared" si="38"/>
        <v>1.7259823104606466E-2</v>
      </c>
      <c r="BQ32" s="79">
        <f t="shared" si="38"/>
        <v>1.7233992633741087E-2</v>
      </c>
      <c r="BR32" s="79">
        <f t="shared" si="38"/>
        <v>1.7208238668199871E-2</v>
      </c>
      <c r="BS32" s="79">
        <f t="shared" si="35"/>
        <v>1.7182567140652617E-2</v>
      </c>
      <c r="BT32" s="79">
        <f t="shared" si="35"/>
        <v>1.7156983726307612E-2</v>
      </c>
      <c r="BU32" s="79">
        <f t="shared" si="35"/>
        <v>1.7131493850724669E-2</v>
      </c>
      <c r="BV32" s="79">
        <f t="shared" si="35"/>
        <v>1.710610269743593E-2</v>
      </c>
      <c r="BW32" s="79">
        <f t="shared" si="35"/>
        <v>1.708081521537964E-2</v>
      </c>
      <c r="BX32" s="79">
        <f t="shared" si="35"/>
        <v>1.7055636126146363E-2</v>
      </c>
      <c r="BY32" s="79">
        <f t="shared" si="35"/>
        <v>1.7030569931043991E-2</v>
      </c>
      <c r="BZ32" s="79">
        <f t="shared" si="35"/>
        <v>1.7005620917980583E-2</v>
      </c>
      <c r="CA32" s="79">
        <f t="shared" si="35"/>
        <v>1.6980793168172425E-2</v>
      </c>
      <c r="CB32" s="79">
        <f t="shared" si="35"/>
        <v>1.6956090562676399E-2</v>
      </c>
      <c r="CC32" s="79">
        <f t="shared" si="35"/>
        <v>1.6931516788752234E-2</v>
      </c>
      <c r="CD32" s="79">
        <f t="shared" si="35"/>
        <v>1.6907075346057131E-2</v>
      </c>
      <c r="CE32" s="79">
        <f t="shared" si="35"/>
        <v>1.6882769552675921E-2</v>
      </c>
      <c r="CF32" s="79">
        <f t="shared" si="35"/>
        <v>1.6858602550989258E-2</v>
      </c>
      <c r="CG32" s="79">
        <f t="shared" si="35"/>
        <v>1.6834577313384495E-2</v>
      </c>
      <c r="CH32" s="79">
        <f t="shared" si="35"/>
        <v>1.6810696647811776E-2</v>
      </c>
      <c r="CI32" s="79">
        <f t="shared" si="35"/>
        <v>1.6786963203187653E-2</v>
      </c>
      <c r="CJ32" s="79">
        <f t="shared" si="35"/>
        <v>1.676337947465072E-2</v>
      </c>
      <c r="CK32" s="79">
        <f t="shared" si="35"/>
        <v>1.6739947808672509E-2</v>
      </c>
      <c r="CL32" s="79">
        <f t="shared" si="35"/>
        <v>1.6716670408025623E-2</v>
      </c>
      <c r="CM32" s="79">
        <f t="shared" si="35"/>
        <v>1.6693549336612851E-2</v>
      </c>
      <c r="CN32" s="79">
        <f t="shared" si="35"/>
        <v>1.667058652416219E-2</v>
      </c>
      <c r="CO32" s="79">
        <f t="shared" si="35"/>
        <v>1.6647783770786677E-2</v>
      </c>
      <c r="CP32" s="79">
        <f t="shared" si="35"/>
        <v>1.6625142751416525E-2</v>
      </c>
      <c r="CQ32" s="79">
        <f t="shared" si="35"/>
        <v>1.6602665020105267E-2</v>
      </c>
      <c r="CR32" s="79">
        <f t="shared" si="35"/>
        <v>1.6580352014209807E-2</v>
      </c>
      <c r="CS32" s="79">
        <f t="shared" si="35"/>
        <v>1.6558205058453096E-2</v>
      </c>
      <c r="CT32" s="79">
        <f t="shared" si="35"/>
        <v>1.6536225368867348E-2</v>
      </c>
      <c r="CU32" s="79">
        <f t="shared" si="35"/>
        <v>1.6514414056623038E-2</v>
      </c>
      <c r="CV32" s="79">
        <f t="shared" si="35"/>
        <v>1.6492772131746405E-2</v>
      </c>
      <c r="CW32" s="79">
        <f t="shared" si="35"/>
        <v>1.6471300506727515E-2</v>
      </c>
      <c r="CX32" s="79">
        <f t="shared" si="35"/>
        <v>1.6450000000022842E-2</v>
      </c>
      <c r="CY32" s="79">
        <f t="shared" si="35"/>
        <v>1.6450000000022842E-2</v>
      </c>
      <c r="CZ32" s="79">
        <f t="shared" si="35"/>
        <v>1.6450000000022842E-2</v>
      </c>
      <c r="DA32" s="79">
        <f t="shared" si="35"/>
        <v>1.6450000000022842E-2</v>
      </c>
      <c r="DB32" s="79">
        <f t="shared" si="35"/>
        <v>1.6450000000022842E-2</v>
      </c>
      <c r="DC32" s="79">
        <f t="shared" si="35"/>
        <v>1.6450000000022842E-2</v>
      </c>
      <c r="DD32" s="79">
        <f t="shared" si="35"/>
        <v>1.6450000000022842E-2</v>
      </c>
      <c r="DE32" s="79">
        <f t="shared" si="35"/>
        <v>1.6450000000022842E-2</v>
      </c>
      <c r="DF32" s="79">
        <f t="shared" si="35"/>
        <v>1.6450000000022842E-2</v>
      </c>
      <c r="DG32" s="79">
        <f t="shared" si="35"/>
        <v>1.6450000000022842E-2</v>
      </c>
      <c r="DH32" s="79">
        <f t="shared" si="35"/>
        <v>1.6450000000022842E-2</v>
      </c>
      <c r="DI32" s="79">
        <f t="shared" si="35"/>
        <v>1.6450000000022842E-2</v>
      </c>
      <c r="DJ32" s="79">
        <f t="shared" si="35"/>
        <v>1.6450000000022842E-2</v>
      </c>
      <c r="DK32" s="79">
        <f t="shared" si="35"/>
        <v>1.6450000000022842E-2</v>
      </c>
      <c r="DL32" s="79">
        <f t="shared" si="35"/>
        <v>1.6450000000022842E-2</v>
      </c>
      <c r="DM32" s="79">
        <f t="shared" si="35"/>
        <v>1.6450000000022842E-2</v>
      </c>
      <c r="DN32" s="79">
        <f t="shared" si="35"/>
        <v>1.6450000000022842E-2</v>
      </c>
      <c r="DO32" s="79">
        <f t="shared" si="35"/>
        <v>1.6450000000022842E-2</v>
      </c>
      <c r="DP32" s="79">
        <f t="shared" si="35"/>
        <v>1.6450000000022842E-2</v>
      </c>
      <c r="DQ32" s="79">
        <f t="shared" si="35"/>
        <v>1.6450000000022842E-2</v>
      </c>
      <c r="DR32" s="79">
        <f t="shared" si="35"/>
        <v>1.6450000000022842E-2</v>
      </c>
      <c r="DS32" s="79">
        <f t="shared" si="35"/>
        <v>1.6450000000022842E-2</v>
      </c>
      <c r="DT32" s="79">
        <f t="shared" si="35"/>
        <v>1.6450000000022842E-2</v>
      </c>
      <c r="DU32" s="79">
        <f t="shared" si="35"/>
        <v>1.6450000000022842E-2</v>
      </c>
      <c r="DV32" s="79">
        <f t="shared" si="35"/>
        <v>1.6450000000022842E-2</v>
      </c>
      <c r="DW32" s="79">
        <f t="shared" si="35"/>
        <v>1.6450000000022842E-2</v>
      </c>
      <c r="DX32" s="79">
        <f t="shared" si="35"/>
        <v>1.6450000000022842E-2</v>
      </c>
      <c r="DY32" s="79">
        <f t="shared" si="35"/>
        <v>1.6450000000022842E-2</v>
      </c>
      <c r="DZ32" s="79">
        <f t="shared" si="35"/>
        <v>1.6450000000022842E-2</v>
      </c>
      <c r="EA32" s="79">
        <f t="shared" si="35"/>
        <v>1.6450000000022842E-2</v>
      </c>
      <c r="EB32" s="79">
        <f t="shared" si="35"/>
        <v>1.6450000000022842E-2</v>
      </c>
      <c r="EC32" s="79">
        <f t="shared" si="35"/>
        <v>1.6450000000022842E-2</v>
      </c>
      <c r="ED32" s="79">
        <f t="shared" ref="ED32:ED45" si="39">IF(ED$9&lt;=$K$6,RATE($K$6,1,ED78,0),"")</f>
        <v>1.6450000000022842E-2</v>
      </c>
      <c r="EE32" s="79">
        <f t="shared" si="28"/>
        <v>1.6450000000022842E-2</v>
      </c>
      <c r="EF32" s="79">
        <f t="shared" ref="EF32:ET32" si="40">IF(EF$9&lt;=$K$6,RATE($K$6,1,EF78,0),"")</f>
        <v>1.6450000000022842E-2</v>
      </c>
      <c r="EG32" s="79">
        <f t="shared" si="40"/>
        <v>1.6450000000022842E-2</v>
      </c>
      <c r="EH32" s="79">
        <f t="shared" si="40"/>
        <v>1.6450000000022842E-2</v>
      </c>
      <c r="EI32" s="79">
        <f t="shared" si="40"/>
        <v>1.6450000000022842E-2</v>
      </c>
      <c r="EJ32" s="79">
        <f t="shared" si="40"/>
        <v>1.6450000000022842E-2</v>
      </c>
      <c r="EK32" s="79">
        <f t="shared" si="40"/>
        <v>1.6450000000022842E-2</v>
      </c>
      <c r="EL32" s="79">
        <f t="shared" si="40"/>
        <v>1.6450000000022842E-2</v>
      </c>
      <c r="EM32" s="79">
        <f t="shared" si="40"/>
        <v>1.6450000000022842E-2</v>
      </c>
      <c r="EN32" s="79">
        <f t="shared" si="40"/>
        <v>1.6450000000022842E-2</v>
      </c>
      <c r="EO32" s="79">
        <f t="shared" si="40"/>
        <v>1.6450000000022842E-2</v>
      </c>
      <c r="EP32" s="79">
        <f t="shared" si="40"/>
        <v>1.6450000000022842E-2</v>
      </c>
      <c r="EQ32" s="79">
        <f t="shared" si="40"/>
        <v>1.6450000000022842E-2</v>
      </c>
      <c r="ER32" s="79">
        <f t="shared" si="40"/>
        <v>1.6450000000022842E-2</v>
      </c>
      <c r="ES32" s="79">
        <f t="shared" si="40"/>
        <v>1.6450000000022842E-2</v>
      </c>
      <c r="ET32" s="79">
        <f t="shared" si="40"/>
        <v>1.6450000000022842E-2</v>
      </c>
      <c r="FF32" s="6" t="s">
        <v>3844</v>
      </c>
      <c r="FG32" s="696">
        <v>2.5000000000000001E-2</v>
      </c>
      <c r="FH32" s="696">
        <v>120</v>
      </c>
      <c r="FI32" s="696">
        <v>1.83E-2</v>
      </c>
      <c r="FJ32" s="255">
        <v>0</v>
      </c>
      <c r="FK32" s="71">
        <f t="shared" si="10"/>
        <v>5.9523809523809529E-4</v>
      </c>
      <c r="FL32" t="e">
        <f>VLOOKUP(FF32,'SIMULADOR COM SALDO'!$BX$22:$CK$1000,13,FALSE)</f>
        <v>#N/A</v>
      </c>
    </row>
    <row r="33" spans="6:168" x14ac:dyDescent="0.25">
      <c r="F33" s="97">
        <f t="shared" si="11"/>
        <v>1.6547619047619051E-2</v>
      </c>
      <c r="G33" s="79">
        <f t="shared" si="38"/>
        <v>1.8498777362027114E-2</v>
      </c>
      <c r="H33" s="79">
        <f t="shared" si="38"/>
        <v>1.8496374431542634E-2</v>
      </c>
      <c r="I33" s="79">
        <f t="shared" si="38"/>
        <v>1.8492832674627063E-2</v>
      </c>
      <c r="J33" s="79">
        <f t="shared" si="38"/>
        <v>1.8488192677797225E-2</v>
      </c>
      <c r="K33" s="79">
        <f t="shared" si="38"/>
        <v>1.8482494149055406E-2</v>
      </c>
      <c r="L33" s="79">
        <f t="shared" si="38"/>
        <v>1.8475775920090389E-2</v>
      </c>
      <c r="M33" s="79">
        <f t="shared" si="38"/>
        <v>1.8468075949558873E-2</v>
      </c>
      <c r="N33" s="79">
        <f t="shared" si="38"/>
        <v>1.8459431327375601E-2</v>
      </c>
      <c r="O33" s="79">
        <f t="shared" si="38"/>
        <v>1.8449878279943033E-2</v>
      </c>
      <c r="P33" s="79">
        <f t="shared" si="38"/>
        <v>1.8439452176256099E-2</v>
      </c>
      <c r="Q33" s="79">
        <f t="shared" si="38"/>
        <v>1.8428187534815246E-2</v>
      </c>
      <c r="R33" s="79">
        <f t="shared" si="38"/>
        <v>1.8416118031287877E-2</v>
      </c>
      <c r="S33" s="79">
        <f t="shared" si="38"/>
        <v>1.8403276506858433E-2</v>
      </c>
      <c r="T33" s="79">
        <f t="shared" si="38"/>
        <v>1.8389694977208798E-2</v>
      </c>
      <c r="U33" s="79">
        <f t="shared" si="38"/>
        <v>1.837540464207706E-2</v>
      </c>
      <c r="V33" s="79">
        <f t="shared" si="38"/>
        <v>1.8360435895340203E-2</v>
      </c>
      <c r="W33" s="79">
        <f t="shared" si="38"/>
        <v>1.8344818335571042E-2</v>
      </c>
      <c r="X33" s="79">
        <f t="shared" si="38"/>
        <v>1.8328580777023189E-2</v>
      </c>
      <c r="Y33" s="79">
        <f t="shared" si="38"/>
        <v>1.831175126099786E-2</v>
      </c>
      <c r="Z33" s="79">
        <f t="shared" si="38"/>
        <v>1.8294357067549546E-2</v>
      </c>
      <c r="AA33" s="79">
        <f t="shared" si="38"/>
        <v>1.827642472749031E-2</v>
      </c>
      <c r="AB33" s="79">
        <f t="shared" si="38"/>
        <v>1.8257980034653558E-2</v>
      </c>
      <c r="AC33" s="79">
        <f t="shared" si="38"/>
        <v>1.8239048058381356E-2</v>
      </c>
      <c r="AD33" s="79">
        <f t="shared" si="38"/>
        <v>1.8219653156200482E-2</v>
      </c>
      <c r="AE33" s="79">
        <f t="shared" si="38"/>
        <v>1.8199818986654685E-2</v>
      </c>
      <c r="AF33" s="79">
        <f t="shared" si="38"/>
        <v>1.8179568522262941E-2</v>
      </c>
      <c r="AG33" s="79">
        <f t="shared" si="38"/>
        <v>1.8158924062575636E-2</v>
      </c>
      <c r="AH33" s="79">
        <f t="shared" si="38"/>
        <v>1.8137907247299793E-2</v>
      </c>
      <c r="AI33" s="79">
        <f t="shared" si="38"/>
        <v>1.8116539069470899E-2</v>
      </c>
      <c r="AJ33" s="79">
        <f t="shared" si="38"/>
        <v>1.8094839888645721E-2</v>
      </c>
      <c r="AK33" s="79">
        <f t="shared" si="38"/>
        <v>1.8072829444095339E-2</v>
      </c>
      <c r="AL33" s="79">
        <f t="shared" si="38"/>
        <v>1.8050526867977972E-2</v>
      </c>
      <c r="AM33" s="79">
        <f t="shared" si="38"/>
        <v>1.8027950698472132E-2</v>
      </c>
      <c r="AN33" s="79">
        <f t="shared" si="38"/>
        <v>1.8005118892854211E-2</v>
      </c>
      <c r="AO33" s="79">
        <f t="shared" si="38"/>
        <v>1.7982048840501232E-2</v>
      </c>
      <c r="AP33" s="79">
        <f t="shared" si="38"/>
        <v>1.7958757375808505E-2</v>
      </c>
      <c r="AQ33" s="79">
        <f t="shared" si="38"/>
        <v>1.7935260791003875E-2</v>
      </c>
      <c r="AR33" s="79">
        <f t="shared" si="38"/>
        <v>1.791157484884966E-2</v>
      </c>
      <c r="AS33" s="79">
        <f t="shared" si="38"/>
        <v>1.7887714795218515E-2</v>
      </c>
      <c r="AT33" s="79">
        <f t="shared" si="38"/>
        <v>1.7863695371534573E-2</v>
      </c>
      <c r="AU33" s="79">
        <f t="shared" si="38"/>
        <v>1.7839530827069225E-2</v>
      </c>
      <c r="AV33" s="79">
        <f t="shared" si="38"/>
        <v>1.7815234931083924E-2</v>
      </c>
      <c r="AW33" s="79">
        <f t="shared" si="38"/>
        <v>1.7790820984812192E-2</v>
      </c>
      <c r="AX33" s="79">
        <f t="shared" si="38"/>
        <v>1.7766301833273657E-2</v>
      </c>
      <c r="AY33" s="79">
        <f t="shared" si="38"/>
        <v>1.774168987691566E-2</v>
      </c>
      <c r="AZ33" s="79">
        <f t="shared" si="38"/>
        <v>1.7716997083074663E-2</v>
      </c>
      <c r="BA33" s="79">
        <f t="shared" si="38"/>
        <v>1.7692234997255377E-2</v>
      </c>
      <c r="BB33" s="79">
        <f t="shared" si="38"/>
        <v>1.7667414754222673E-2</v>
      </c>
      <c r="BC33" s="79">
        <f t="shared" si="38"/>
        <v>1.7642547088902831E-2</v>
      </c>
      <c r="BD33" s="79">
        <f t="shared" si="38"/>
        <v>1.7617642347091404E-2</v>
      </c>
      <c r="BE33" s="79">
        <f t="shared" si="38"/>
        <v>1.7592710495966574E-2</v>
      </c>
      <c r="BF33" s="79">
        <f t="shared" si="38"/>
        <v>1.7567761134403944E-2</v>
      </c>
      <c r="BG33" s="79">
        <f t="shared" si="38"/>
        <v>1.7542803503094884E-2</v>
      </c>
      <c r="BH33" s="79">
        <f t="shared" si="38"/>
        <v>1.7517846494463699E-2</v>
      </c>
      <c r="BI33" s="79">
        <f t="shared" si="38"/>
        <v>1.7492898662386996E-2</v>
      </c>
      <c r="BJ33" s="31">
        <f t="shared" si="38"/>
        <v>1.7467968231712063E-2</v>
      </c>
      <c r="BK33" s="79">
        <f t="shared" si="38"/>
        <v>1.7443063107576689E-2</v>
      </c>
      <c r="BL33" s="79">
        <f t="shared" si="38"/>
        <v>1.7418190884529568E-2</v>
      </c>
      <c r="BM33" s="79">
        <f t="shared" si="38"/>
        <v>1.7393358855452346E-2</v>
      </c>
      <c r="BN33" s="79">
        <f t="shared" si="38"/>
        <v>1.736857402028652E-2</v>
      </c>
      <c r="BO33" s="79">
        <f t="shared" si="38"/>
        <v>1.7343843094562304E-2</v>
      </c>
      <c r="BP33" s="79">
        <f t="shared" si="38"/>
        <v>1.7319172517736139E-2</v>
      </c>
      <c r="BQ33" s="79">
        <f t="shared" si="38"/>
        <v>1.7294568461333051E-2</v>
      </c>
      <c r="BR33" s="79">
        <f t="shared" si="38"/>
        <v>1.7270036836901811E-2</v>
      </c>
      <c r="BS33" s="79">
        <f t="shared" si="35"/>
        <v>1.7245583303780197E-2</v>
      </c>
      <c r="BT33" s="79">
        <f t="shared" si="35"/>
        <v>1.7221213276673902E-2</v>
      </c>
      <c r="BU33" s="79">
        <f t="shared" si="35"/>
        <v>1.7196931933053428E-2</v>
      </c>
      <c r="BV33" s="79">
        <f t="shared" si="35"/>
        <v>1.7172744220369299E-2</v>
      </c>
      <c r="BW33" s="79">
        <f t="shared" si="35"/>
        <v>1.7148654863088406E-2</v>
      </c>
      <c r="BX33" s="79">
        <f t="shared" si="35"/>
        <v>1.7124668369555424E-2</v>
      </c>
      <c r="BY33" s="79">
        <f t="shared" si="35"/>
        <v>1.7100789038680137E-2</v>
      </c>
      <c r="BZ33" s="79">
        <f t="shared" si="35"/>
        <v>1.7077020966456753E-2</v>
      </c>
      <c r="CA33" s="79">
        <f t="shared" si="35"/>
        <v>1.7053368052313087E-2</v>
      </c>
      <c r="CB33" s="79">
        <f t="shared" si="35"/>
        <v>1.7029834005297912E-2</v>
      </c>
      <c r="CC33" s="79">
        <f t="shared" si="35"/>
        <v>1.700642235010609E-2</v>
      </c>
      <c r="CD33" s="79">
        <f t="shared" si="35"/>
        <v>1.6983136432944593E-2</v>
      </c>
      <c r="CE33" s="79">
        <f t="shared" si="35"/>
        <v>1.6959979427244806E-2</v>
      </c>
      <c r="CF33" s="79">
        <f t="shared" si="35"/>
        <v>1.6936954339221426E-2</v>
      </c>
      <c r="CG33" s="79">
        <f t="shared" si="35"/>
        <v>1.6914064013282198E-2</v>
      </c>
      <c r="CH33" s="79">
        <f t="shared" si="35"/>
        <v>1.6891311137292135E-2</v>
      </c>
      <c r="CI33" s="79">
        <f t="shared" si="35"/>
        <v>1.6868698247694439E-2</v>
      </c>
      <c r="CJ33" s="79">
        <f t="shared" si="35"/>
        <v>1.684622773449064E-2</v>
      </c>
      <c r="CK33" s="79">
        <f t="shared" si="35"/>
        <v>1.6823901846084576E-2</v>
      </c>
      <c r="CL33" s="79">
        <f t="shared" si="35"/>
        <v>1.6801722693992181E-2</v>
      </c>
      <c r="CM33" s="79">
        <f t="shared" si="35"/>
        <v>1.6779692257419591E-2</v>
      </c>
      <c r="CN33" s="79">
        <f t="shared" si="35"/>
        <v>1.6757812387714205E-2</v>
      </c>
      <c r="CO33" s="79">
        <f t="shared" si="35"/>
        <v>1.6736084812689272E-2</v>
      </c>
      <c r="CP33" s="79">
        <f t="shared" si="35"/>
        <v>1.6714511140828087E-2</v>
      </c>
      <c r="CQ33" s="79">
        <f t="shared" si="35"/>
        <v>1.6693092865367021E-2</v>
      </c>
      <c r="CR33" s="79">
        <f t="shared" si="35"/>
        <v>1.6671831368263005E-2</v>
      </c>
      <c r="CS33" s="79">
        <f t="shared" si="35"/>
        <v>1.6650727924046874E-2</v>
      </c>
      <c r="CT33" s="79">
        <f t="shared" si="35"/>
        <v>1.6629783703566676E-2</v>
      </c>
      <c r="CU33" s="79">
        <f t="shared" si="35"/>
        <v>1.6608999777621272E-2</v>
      </c>
      <c r="CV33" s="79">
        <f t="shared" si="35"/>
        <v>1.658837712048962E-2</v>
      </c>
      <c r="CW33" s="79">
        <f t="shared" si="35"/>
        <v>1.6567916613356583E-2</v>
      </c>
      <c r="CX33" s="79">
        <f t="shared" si="35"/>
        <v>1.6547619047638785E-2</v>
      </c>
      <c r="CY33" s="79">
        <f t="shared" si="35"/>
        <v>1.6547619047638785E-2</v>
      </c>
      <c r="CZ33" s="79">
        <f t="shared" si="35"/>
        <v>1.6547619047638785E-2</v>
      </c>
      <c r="DA33" s="79">
        <f t="shared" si="35"/>
        <v>1.6547619047638785E-2</v>
      </c>
      <c r="DB33" s="79">
        <f t="shared" si="35"/>
        <v>1.6547619047638785E-2</v>
      </c>
      <c r="DC33" s="79">
        <f t="shared" si="35"/>
        <v>1.6547619047638785E-2</v>
      </c>
      <c r="DD33" s="79">
        <f t="shared" si="35"/>
        <v>1.6547619047638785E-2</v>
      </c>
      <c r="DE33" s="79">
        <f t="shared" si="35"/>
        <v>1.6547619047638785E-2</v>
      </c>
      <c r="DF33" s="79">
        <f t="shared" si="35"/>
        <v>1.6547619047638785E-2</v>
      </c>
      <c r="DG33" s="79">
        <f t="shared" si="35"/>
        <v>1.6547619047638785E-2</v>
      </c>
      <c r="DH33" s="79">
        <f t="shared" si="35"/>
        <v>1.6547619047638785E-2</v>
      </c>
      <c r="DI33" s="79">
        <f t="shared" si="35"/>
        <v>1.6547619047638785E-2</v>
      </c>
      <c r="DJ33" s="79">
        <f t="shared" si="35"/>
        <v>1.6547619047638785E-2</v>
      </c>
      <c r="DK33" s="79">
        <f t="shared" si="35"/>
        <v>1.6547619047638785E-2</v>
      </c>
      <c r="DL33" s="79">
        <f t="shared" si="35"/>
        <v>1.6547619047638785E-2</v>
      </c>
      <c r="DM33" s="79">
        <f t="shared" si="35"/>
        <v>1.6547619047638785E-2</v>
      </c>
      <c r="DN33" s="79">
        <f t="shared" si="35"/>
        <v>1.6547619047638785E-2</v>
      </c>
      <c r="DO33" s="79">
        <f t="shared" si="35"/>
        <v>1.6547619047638785E-2</v>
      </c>
      <c r="DP33" s="79">
        <f t="shared" si="35"/>
        <v>1.6547619047638785E-2</v>
      </c>
      <c r="DQ33" s="79">
        <f t="shared" si="35"/>
        <v>1.6547619047638785E-2</v>
      </c>
      <c r="DR33" s="79">
        <f t="shared" si="35"/>
        <v>1.6547619047638785E-2</v>
      </c>
      <c r="DS33" s="79">
        <f t="shared" si="35"/>
        <v>1.6547619047638785E-2</v>
      </c>
      <c r="DT33" s="79">
        <f t="shared" si="35"/>
        <v>1.6547619047638785E-2</v>
      </c>
      <c r="DU33" s="79">
        <f t="shared" si="35"/>
        <v>1.6547619047638785E-2</v>
      </c>
      <c r="DV33" s="79">
        <f t="shared" si="35"/>
        <v>1.6547619047638785E-2</v>
      </c>
      <c r="DW33" s="79">
        <f t="shared" si="35"/>
        <v>1.6547619047638785E-2</v>
      </c>
      <c r="DX33" s="79">
        <f t="shared" si="35"/>
        <v>1.6547619047638785E-2</v>
      </c>
      <c r="DY33" s="79">
        <f t="shared" si="35"/>
        <v>1.6547619047638785E-2</v>
      </c>
      <c r="DZ33" s="79">
        <f t="shared" si="35"/>
        <v>1.6547619047638785E-2</v>
      </c>
      <c r="EA33" s="79">
        <f t="shared" si="35"/>
        <v>1.6547619047638785E-2</v>
      </c>
      <c r="EB33" s="79">
        <f t="shared" si="35"/>
        <v>1.6547619047638785E-2</v>
      </c>
      <c r="EC33" s="79">
        <f t="shared" si="35"/>
        <v>1.6547619047638785E-2</v>
      </c>
      <c r="ED33" s="79">
        <f t="shared" si="39"/>
        <v>1.6547619047638785E-2</v>
      </c>
      <c r="EE33" s="79">
        <f t="shared" si="28"/>
        <v>1.6547619047638785E-2</v>
      </c>
      <c r="EF33" s="79">
        <f t="shared" ref="EF33:ET33" si="41">IF(EF$9&lt;=$K$6,RATE($K$6,1,EF79,0),"")</f>
        <v>1.6547619047638785E-2</v>
      </c>
      <c r="EG33" s="79">
        <f t="shared" si="41"/>
        <v>1.6547619047638785E-2</v>
      </c>
      <c r="EH33" s="79">
        <f t="shared" si="41"/>
        <v>1.6547619047638785E-2</v>
      </c>
      <c r="EI33" s="79">
        <f t="shared" si="41"/>
        <v>1.6547619047638785E-2</v>
      </c>
      <c r="EJ33" s="79">
        <f t="shared" si="41"/>
        <v>1.6547619047638785E-2</v>
      </c>
      <c r="EK33" s="79">
        <f t="shared" si="41"/>
        <v>1.6547619047638785E-2</v>
      </c>
      <c r="EL33" s="79">
        <f t="shared" si="41"/>
        <v>1.6547619047638785E-2</v>
      </c>
      <c r="EM33" s="79">
        <f t="shared" si="41"/>
        <v>1.6547619047638785E-2</v>
      </c>
      <c r="EN33" s="79">
        <f t="shared" si="41"/>
        <v>1.6547619047638785E-2</v>
      </c>
      <c r="EO33" s="79">
        <f t="shared" si="41"/>
        <v>1.6547619047638785E-2</v>
      </c>
      <c r="EP33" s="79">
        <f t="shared" si="41"/>
        <v>1.6547619047638785E-2</v>
      </c>
      <c r="EQ33" s="79">
        <f t="shared" si="41"/>
        <v>1.6547619047638785E-2</v>
      </c>
      <c r="ER33" s="79">
        <f t="shared" si="41"/>
        <v>1.6547619047638785E-2</v>
      </c>
      <c r="ES33" s="79">
        <f t="shared" si="41"/>
        <v>1.6547619047638785E-2</v>
      </c>
      <c r="ET33" s="79">
        <f t="shared" si="41"/>
        <v>1.6547619047638785E-2</v>
      </c>
      <c r="FF33" s="6" t="s">
        <v>3836</v>
      </c>
      <c r="FG33" s="696">
        <v>2.5000000000000001E-2</v>
      </c>
      <c r="FH33" s="696">
        <v>120</v>
      </c>
      <c r="FI33" s="696">
        <v>1.83E-2</v>
      </c>
      <c r="FJ33" s="255">
        <v>1.49E-2</v>
      </c>
      <c r="FK33" s="71">
        <f t="shared" si="10"/>
        <v>2.404761904761905E-4</v>
      </c>
      <c r="FL33" t="e">
        <f>VLOOKUP(FF33,'SIMULADOR COM SALDO'!$BX$22:$CK$1000,13,FALSE)</f>
        <v>#N/A</v>
      </c>
    </row>
    <row r="34" spans="6:168" x14ac:dyDescent="0.25">
      <c r="F34" s="97">
        <f t="shared" si="11"/>
        <v>1.6645238095238098E-2</v>
      </c>
      <c r="G34" s="79">
        <f t="shared" si="38"/>
        <v>1.8498838603535246E-2</v>
      </c>
      <c r="H34" s="79">
        <f t="shared" si="38"/>
        <v>1.8496556133498276E-2</v>
      </c>
      <c r="I34" s="79">
        <f t="shared" si="38"/>
        <v>1.8493192061836149E-2</v>
      </c>
      <c r="J34" s="79">
        <f t="shared" si="38"/>
        <v>1.8488785010720512E-2</v>
      </c>
      <c r="K34" s="79">
        <f t="shared" si="38"/>
        <v>1.848337275481237E-2</v>
      </c>
      <c r="L34" s="79">
        <f t="shared" si="38"/>
        <v>1.8476992224544561E-2</v>
      </c>
      <c r="M34" s="79">
        <f t="shared" si="38"/>
        <v>1.8469679510358914E-2</v>
      </c>
      <c r="N34" s="79">
        <f t="shared" si="38"/>
        <v>1.8461469867831242E-2</v>
      </c>
      <c r="O34" s="79">
        <f t="shared" si="38"/>
        <v>1.8452397723621526E-2</v>
      </c>
      <c r="P34" s="79">
        <f t="shared" si="38"/>
        <v>1.8442496682191559E-2</v>
      </c>
      <c r="Q34" s="79">
        <f t="shared" si="38"/>
        <v>1.843179953322728E-2</v>
      </c>
      <c r="R34" s="79">
        <f t="shared" si="38"/>
        <v>1.8420338259713342E-2</v>
      </c>
      <c r="S34" s="79">
        <f t="shared" si="38"/>
        <v>1.8408144046605273E-2</v>
      </c>
      <c r="T34" s="79">
        <f t="shared" si="38"/>
        <v>1.8395247290047084E-2</v>
      </c>
      <c r="U34" s="79">
        <f t="shared" si="38"/>
        <v>1.8381677607085548E-2</v>
      </c>
      <c r="V34" s="79">
        <f t="shared" si="38"/>
        <v>1.8367463845834275E-2</v>
      </c>
      <c r="W34" s="79">
        <f t="shared" si="38"/>
        <v>1.8352634096042292E-2</v>
      </c>
      <c r="X34" s="79">
        <f t="shared" si="38"/>
        <v>1.833721570002507E-2</v>
      </c>
      <c r="Y34" s="79">
        <f t="shared" si="38"/>
        <v>1.8321235263916717E-2</v>
      </c>
      <c r="Z34" s="79">
        <f t="shared" si="38"/>
        <v>1.8304718669204918E-2</v>
      </c>
      <c r="AA34" s="79">
        <f t="shared" si="38"/>
        <v>1.8287691084513759E-2</v>
      </c>
      <c r="AB34" s="79">
        <f t="shared" si="38"/>
        <v>1.8270176977597398E-2</v>
      </c>
      <c r="AC34" s="79">
        <f t="shared" si="38"/>
        <v>1.8252200127513395E-2</v>
      </c>
      <c r="AD34" s="79">
        <f t="shared" si="38"/>
        <v>1.8233783636946027E-2</v>
      </c>
      <c r="AE34" s="79">
        <f t="shared" si="38"/>
        <v>1.8214949944648368E-2</v>
      </c>
      <c r="AF34" s="79">
        <f t="shared" si="38"/>
        <v>1.8195720837978095E-2</v>
      </c>
      <c r="AG34" s="79">
        <f t="shared" si="38"/>
        <v>1.8176117465500564E-2</v>
      </c>
      <c r="AH34" s="79">
        <f t="shared" si="38"/>
        <v>1.8156160349635301E-2</v>
      </c>
      <c r="AI34" s="79">
        <f t="shared" si="38"/>
        <v>1.8135869399324947E-2</v>
      </c>
      <c r="AJ34" s="79">
        <f t="shared" si="38"/>
        <v>1.8115263922703573E-2</v>
      </c>
      <c r="AK34" s="79">
        <f t="shared" si="38"/>
        <v>1.8094362639747157E-2</v>
      </c>
      <c r="AL34" s="79">
        <f t="shared" si="38"/>
        <v>1.807318369488831E-2</v>
      </c>
      <c r="AM34" s="79">
        <f t="shared" si="38"/>
        <v>1.8051744669576323E-2</v>
      </c>
      <c r="AN34" s="79">
        <f t="shared" si="38"/>
        <v>1.8030062594770514E-2</v>
      </c>
      <c r="AO34" s="79">
        <f t="shared" si="38"/>
        <v>1.8008153963349847E-2</v>
      </c>
      <c r="AP34" s="79">
        <f t="shared" si="38"/>
        <v>1.7986034742428162E-2</v>
      </c>
      <c r="AQ34" s="79">
        <f t="shared" si="38"/>
        <v>1.7963720385560843E-2</v>
      </c>
      <c r="AR34" s="79">
        <f t="shared" si="38"/>
        <v>1.7941225844834333E-2</v>
      </c>
      <c r="AS34" s="79">
        <f t="shared" si="38"/>
        <v>1.7918565582827232E-2</v>
      </c>
      <c r="AT34" s="79">
        <f t="shared" si="38"/>
        <v>1.7895753584433922E-2</v>
      </c>
      <c r="AU34" s="79">
        <f t="shared" si="38"/>
        <v>1.7872803368543681E-2</v>
      </c>
      <c r="AV34" s="79">
        <f t="shared" si="38"/>
        <v>1.7849727999566741E-2</v>
      </c>
      <c r="AW34" s="79">
        <f t="shared" si="38"/>
        <v>1.782654009880244E-2</v>
      </c>
      <c r="AX34" s="79">
        <f t="shared" si="38"/>
        <v>1.78032518556419E-2</v>
      </c>
      <c r="AY34" s="79">
        <f t="shared" si="38"/>
        <v>1.7779875038601348E-2</v>
      </c>
      <c r="AZ34" s="79">
        <f t="shared" si="38"/>
        <v>1.775642100618206E-2</v>
      </c>
      <c r="BA34" s="79">
        <f t="shared" si="38"/>
        <v>1.773290071755124E-2</v>
      </c>
      <c r="BB34" s="79">
        <f t="shared" si="38"/>
        <v>1.7709324743043389E-2</v>
      </c>
      <c r="BC34" s="79">
        <f t="shared" si="38"/>
        <v>1.76857032744769E-2</v>
      </c>
      <c r="BD34" s="79">
        <f t="shared" si="38"/>
        <v>1.7662046135285315E-2</v>
      </c>
      <c r="BE34" s="79">
        <f t="shared" si="38"/>
        <v>1.7638362790461156E-2</v>
      </c>
      <c r="BF34" s="79">
        <f t="shared" si="38"/>
        <v>1.7614662356310595E-2</v>
      </c>
      <c r="BG34" s="79">
        <f t="shared" si="38"/>
        <v>1.7590953610018643E-2</v>
      </c>
      <c r="BH34" s="79">
        <f t="shared" si="38"/>
        <v>1.7567244999023939E-2</v>
      </c>
      <c r="BI34" s="79">
        <f t="shared" si="38"/>
        <v>1.7543544650204464E-2</v>
      </c>
      <c r="BJ34" s="79">
        <f t="shared" si="38"/>
        <v>1.7519860378870673E-2</v>
      </c>
      <c r="BK34" s="79">
        <f t="shared" si="38"/>
        <v>1.7496199697571588E-2</v>
      </c>
      <c r="BL34" s="79">
        <f t="shared" si="38"/>
        <v>1.7472569824710359E-2</v>
      </c>
      <c r="BM34" s="79">
        <f t="shared" si="38"/>
        <v>1.7448977692972475E-2</v>
      </c>
      <c r="BN34" s="79">
        <f t="shared" si="38"/>
        <v>1.7425429957566841E-2</v>
      </c>
      <c r="BO34" s="79">
        <f t="shared" si="38"/>
        <v>1.7401933004282451E-2</v>
      </c>
      <c r="BP34" s="79">
        <f t="shared" si="38"/>
        <v>1.7378492957360405E-2</v>
      </c>
      <c r="BQ34" s="79">
        <f t="shared" si="38"/>
        <v>1.7355115687185008E-2</v>
      </c>
      <c r="BR34" s="79">
        <f t="shared" si="38"/>
        <v>1.7331806817793914E-2</v>
      </c>
      <c r="BS34" s="79">
        <f t="shared" si="35"/>
        <v>1.7308571734211319E-2</v>
      </c>
      <c r="BT34" s="79">
        <f t="shared" si="35"/>
        <v>1.7285415589605418E-2</v>
      </c>
      <c r="BU34" s="79">
        <f t="shared" si="35"/>
        <v>1.7262343312272565E-2</v>
      </c>
      <c r="BV34" s="79">
        <f t="shared" si="35"/>
        <v>1.723935961244983E-2</v>
      </c>
      <c r="BW34" s="79">
        <f t="shared" si="35"/>
        <v>1.7216468988960756E-2</v>
      </c>
      <c r="BX34" s="79">
        <f t="shared" si="35"/>
        <v>1.7193675735693834E-2</v>
      </c>
      <c r="BY34" s="79">
        <f t="shared" si="35"/>
        <v>1.717098394791941E-2</v>
      </c>
      <c r="BZ34" s="79">
        <f t="shared" si="35"/>
        <v>1.7148397528444471E-2</v>
      </c>
      <c r="CA34" s="79">
        <f t="shared" si="35"/>
        <v>1.7125920193611435E-2</v>
      </c>
      <c r="CB34" s="79">
        <f t="shared" si="35"/>
        <v>1.7103555479141871E-2</v>
      </c>
      <c r="CC34" s="79">
        <f t="shared" si="35"/>
        <v>1.7081306745827075E-2</v>
      </c>
      <c r="CD34" s="79">
        <f t="shared" si="35"/>
        <v>1.7059177185070804E-2</v>
      </c>
      <c r="CE34" s="79">
        <f t="shared" si="35"/>
        <v>1.7037169824285714E-2</v>
      </c>
      <c r="CF34" s="79">
        <f t="shared" si="35"/>
        <v>1.7015287532145575E-2</v>
      </c>
      <c r="CG34" s="79">
        <f t="shared" si="35"/>
        <v>1.6993533023697559E-2</v>
      </c>
      <c r="CH34" s="79">
        <f t="shared" si="35"/>
        <v>1.6971908865337507E-2</v>
      </c>
      <c r="CI34" s="79">
        <f t="shared" si="35"/>
        <v>1.695041747964899E-2</v>
      </c>
      <c r="CJ34" s="79">
        <f t="shared" si="35"/>
        <v>1.6929061150112189E-2</v>
      </c>
      <c r="CK34" s="79">
        <f t="shared" si="35"/>
        <v>1.6907842025682754E-2</v>
      </c>
      <c r="CL34" s="79">
        <f t="shared" si="35"/>
        <v>1.6886762125244707E-2</v>
      </c>
      <c r="CM34" s="79">
        <f t="shared" si="35"/>
        <v>1.6865823341940232E-2</v>
      </c>
      <c r="CN34" s="79">
        <f t="shared" si="35"/>
        <v>1.6845027447378612E-2</v>
      </c>
      <c r="CO34" s="79">
        <f t="shared" si="35"/>
        <v>1.6824376095727959E-2</v>
      </c>
      <c r="CP34" s="79">
        <f t="shared" si="35"/>
        <v>1.6803870827690925E-2</v>
      </c>
      <c r="CQ34" s="79">
        <f t="shared" si="35"/>
        <v>1.6783513074369018E-2</v>
      </c>
      <c r="CR34" s="79">
        <f t="shared" si="35"/>
        <v>1.676330416101655E-2</v>
      </c>
      <c r="CS34" s="79">
        <f t="shared" si="35"/>
        <v>1.674324531068833E-2</v>
      </c>
      <c r="CT34" s="79">
        <f t="shared" si="35"/>
        <v>1.6723337647782107E-2</v>
      </c>
      <c r="CU34" s="79">
        <f t="shared" si="35"/>
        <v>1.6703582201479023E-2</v>
      </c>
      <c r="CV34" s="79">
        <f t="shared" si="35"/>
        <v>1.6683979909085805E-2</v>
      </c>
      <c r="CW34" s="79">
        <f t="shared" si="35"/>
        <v>1.6664531619279034E-2</v>
      </c>
      <c r="CX34" s="79">
        <f t="shared" si="35"/>
        <v>1.6645238095254936E-2</v>
      </c>
      <c r="CY34" s="79">
        <f t="shared" si="35"/>
        <v>1.6645238095254936E-2</v>
      </c>
      <c r="CZ34" s="79">
        <f t="shared" si="35"/>
        <v>1.6645238095254936E-2</v>
      </c>
      <c r="DA34" s="79">
        <f t="shared" si="35"/>
        <v>1.6645238095254936E-2</v>
      </c>
      <c r="DB34" s="79">
        <f t="shared" si="35"/>
        <v>1.6645238095254936E-2</v>
      </c>
      <c r="DC34" s="79">
        <f t="shared" si="35"/>
        <v>1.6645238095254936E-2</v>
      </c>
      <c r="DD34" s="79">
        <f t="shared" si="35"/>
        <v>1.6645238095254936E-2</v>
      </c>
      <c r="DE34" s="79">
        <f t="shared" si="35"/>
        <v>1.6645238095254936E-2</v>
      </c>
      <c r="DF34" s="79">
        <f t="shared" si="35"/>
        <v>1.6645238095254936E-2</v>
      </c>
      <c r="DG34" s="79">
        <f t="shared" si="35"/>
        <v>1.6645238095254936E-2</v>
      </c>
      <c r="DH34" s="79">
        <f t="shared" si="35"/>
        <v>1.6645238095254936E-2</v>
      </c>
      <c r="DI34" s="79">
        <f t="shared" si="35"/>
        <v>1.6645238095254936E-2</v>
      </c>
      <c r="DJ34" s="79">
        <f t="shared" si="35"/>
        <v>1.6645238095254936E-2</v>
      </c>
      <c r="DK34" s="79">
        <f t="shared" si="35"/>
        <v>1.6645238095254936E-2</v>
      </c>
      <c r="DL34" s="79">
        <f t="shared" si="35"/>
        <v>1.6645238095254936E-2</v>
      </c>
      <c r="DM34" s="79">
        <f t="shared" si="35"/>
        <v>1.6645238095254936E-2</v>
      </c>
      <c r="DN34" s="79">
        <f t="shared" si="35"/>
        <v>1.6645238095254936E-2</v>
      </c>
      <c r="DO34" s="79">
        <f t="shared" si="35"/>
        <v>1.6645238095254936E-2</v>
      </c>
      <c r="DP34" s="79">
        <f t="shared" si="35"/>
        <v>1.6645238095254936E-2</v>
      </c>
      <c r="DQ34" s="79">
        <f t="shared" si="35"/>
        <v>1.6645238095254936E-2</v>
      </c>
      <c r="DR34" s="79">
        <f t="shared" si="35"/>
        <v>1.6645238095254936E-2</v>
      </c>
      <c r="DS34" s="79">
        <f t="shared" si="35"/>
        <v>1.6645238095254936E-2</v>
      </c>
      <c r="DT34" s="79">
        <f t="shared" si="35"/>
        <v>1.6645238095254936E-2</v>
      </c>
      <c r="DU34" s="79">
        <f t="shared" si="35"/>
        <v>1.6645238095254936E-2</v>
      </c>
      <c r="DV34" s="79">
        <f t="shared" si="35"/>
        <v>1.6645238095254936E-2</v>
      </c>
      <c r="DW34" s="79">
        <f t="shared" si="35"/>
        <v>1.6645238095254936E-2</v>
      </c>
      <c r="DX34" s="79">
        <f t="shared" si="35"/>
        <v>1.6645238095254936E-2</v>
      </c>
      <c r="DY34" s="79">
        <f t="shared" si="35"/>
        <v>1.6645238095254936E-2</v>
      </c>
      <c r="DZ34" s="79">
        <f t="shared" si="35"/>
        <v>1.6645238095254936E-2</v>
      </c>
      <c r="EA34" s="79">
        <f t="shared" si="35"/>
        <v>1.6645238095254936E-2</v>
      </c>
      <c r="EB34" s="79">
        <f t="shared" si="35"/>
        <v>1.6645238095254936E-2</v>
      </c>
      <c r="EC34" s="79">
        <f t="shared" si="35"/>
        <v>1.6645238095254936E-2</v>
      </c>
      <c r="ED34" s="79">
        <f t="shared" si="39"/>
        <v>1.6645238095254936E-2</v>
      </c>
      <c r="EE34" s="79">
        <f t="shared" si="28"/>
        <v>1.6645238095254936E-2</v>
      </c>
      <c r="EF34" s="79">
        <f t="shared" ref="EF34:ET34" si="42">IF(EF$9&lt;=$K$6,RATE($K$6,1,EF80,0),"")</f>
        <v>1.6645238095254936E-2</v>
      </c>
      <c r="EG34" s="79">
        <f t="shared" si="42"/>
        <v>1.6645238095254936E-2</v>
      </c>
      <c r="EH34" s="79">
        <f t="shared" si="42"/>
        <v>1.6645238095254936E-2</v>
      </c>
      <c r="EI34" s="79">
        <f t="shared" si="42"/>
        <v>1.6645238095254936E-2</v>
      </c>
      <c r="EJ34" s="79">
        <f t="shared" si="42"/>
        <v>1.6645238095254936E-2</v>
      </c>
      <c r="EK34" s="79">
        <f t="shared" si="42"/>
        <v>1.6645238095254936E-2</v>
      </c>
      <c r="EL34" s="79">
        <f t="shared" si="42"/>
        <v>1.6645238095254936E-2</v>
      </c>
      <c r="EM34" s="79">
        <f t="shared" si="42"/>
        <v>1.6645238095254936E-2</v>
      </c>
      <c r="EN34" s="79">
        <f t="shared" si="42"/>
        <v>1.6645238095254936E-2</v>
      </c>
      <c r="EO34" s="79">
        <f t="shared" si="42"/>
        <v>1.6645238095254936E-2</v>
      </c>
      <c r="EP34" s="79">
        <f t="shared" si="42"/>
        <v>1.6645238095254936E-2</v>
      </c>
      <c r="EQ34" s="79">
        <f t="shared" si="42"/>
        <v>1.6645238095254936E-2</v>
      </c>
      <c r="ER34" s="79">
        <f t="shared" si="42"/>
        <v>1.6645238095254936E-2</v>
      </c>
      <c r="ES34" s="79">
        <f t="shared" si="42"/>
        <v>1.6645238095254936E-2</v>
      </c>
      <c r="ET34" s="79">
        <f t="shared" si="42"/>
        <v>1.6645238095254936E-2</v>
      </c>
      <c r="FF34" s="6" t="s">
        <v>3869</v>
      </c>
      <c r="FG34" s="696">
        <v>2.5000000000000001E-2</v>
      </c>
      <c r="FH34" s="696">
        <v>120</v>
      </c>
      <c r="FI34" s="696">
        <v>1.83E-2</v>
      </c>
      <c r="FJ34" s="255">
        <v>1.49E-2</v>
      </c>
      <c r="FK34" s="71">
        <f t="shared" si="10"/>
        <v>2.404761904761905E-4</v>
      </c>
      <c r="FL34" t="e">
        <f>VLOOKUP(FF34,'SIMULADOR COM SALDO'!$BX$22:$CK$1000,13,FALSE)</f>
        <v>#N/A</v>
      </c>
    </row>
    <row r="35" spans="6:168" x14ac:dyDescent="0.25">
      <c r="F35" s="97">
        <f t="shared" si="11"/>
        <v>1.6742857142857146E-2</v>
      </c>
      <c r="G35" s="79">
        <f t="shared" si="38"/>
        <v>1.849889983348597E-2</v>
      </c>
      <c r="H35" s="79">
        <f t="shared" si="38"/>
        <v>1.8496737790779511E-2</v>
      </c>
      <c r="I35" s="79">
        <f t="shared" si="38"/>
        <v>1.8493551341320115E-2</v>
      </c>
      <c r="J35" s="79">
        <f t="shared" si="38"/>
        <v>1.8489377136052736E-2</v>
      </c>
      <c r="K35" s="79">
        <f t="shared" si="38"/>
        <v>1.8484251010777594E-2</v>
      </c>
      <c r="L35" s="79">
        <f t="shared" si="38"/>
        <v>1.8478207990392917E-2</v>
      </c>
      <c r="M35" s="79">
        <f t="shared" si="38"/>
        <v>1.8471282293971325E-2</v>
      </c>
      <c r="N35" s="79">
        <f t="shared" si="38"/>
        <v>1.8463507340611036E-2</v>
      </c>
      <c r="O35" s="79">
        <f t="shared" si="38"/>
        <v>1.8454915756004952E-2</v>
      </c>
      <c r="P35" s="79">
        <f t="shared" si="38"/>
        <v>1.8445539379672169E-2</v>
      </c>
      <c r="Q35" s="79">
        <f t="shared" si="38"/>
        <v>1.8435409272801909E-2</v>
      </c>
      <c r="R35" s="79">
        <f t="shared" si="38"/>
        <v>1.842455572665655E-2</v>
      </c>
      <c r="S35" s="79">
        <f t="shared" si="38"/>
        <v>1.8413008271486682E-2</v>
      </c>
      <c r="T35" s="79">
        <f t="shared" si="38"/>
        <v>1.8400795685912748E-2</v>
      </c>
      <c r="U35" s="79">
        <f t="shared" si="38"/>
        <v>1.8387946006727694E-2</v>
      </c>
      <c r="V35" s="79">
        <f t="shared" si="38"/>
        <v>1.8374486539079537E-2</v>
      </c>
      <c r="W35" s="79">
        <f t="shared" si="38"/>
        <v>1.8360443866993384E-2</v>
      </c>
      <c r="X35" s="79">
        <f t="shared" si="38"/>
        <v>1.8345843864194706E-2</v>
      </c>
      <c r="Y35" s="79">
        <f t="shared" si="38"/>
        <v>1.8330711705199065E-2</v>
      </c>
      <c r="Z35" s="79">
        <f t="shared" si="38"/>
        <v>1.8315071876631551E-2</v>
      </c>
      <c r="AA35" s="79">
        <f t="shared" si="38"/>
        <v>1.8298948188745823E-2</v>
      </c>
      <c r="AB35" s="79">
        <f t="shared" si="38"/>
        <v>1.8282363787111341E-2</v>
      </c>
      <c r="AC35" s="79">
        <f t="shared" si="38"/>
        <v>1.826534116443998E-2</v>
      </c>
      <c r="AD35" s="79">
        <f t="shared" si="38"/>
        <v>1.8247902172524467E-2</v>
      </c>
      <c r="AE35" s="79">
        <f t="shared" si="38"/>
        <v>1.8230068034264177E-2</v>
      </c>
      <c r="AF35" s="79">
        <f t="shared" si="38"/>
        <v>1.8211859355753715E-2</v>
      </c>
      <c r="AG35" s="79">
        <f t="shared" si="38"/>
        <v>1.8193296138411356E-2</v>
      </c>
      <c r="AH35" s="79">
        <f t="shared" si="38"/>
        <v>1.8174397791127967E-2</v>
      </c>
      <c r="AI35" s="79">
        <f t="shared" si="38"/>
        <v>1.8155183142414957E-2</v>
      </c>
      <c r="AJ35" s="79">
        <f t="shared" si="38"/>
        <v>1.8135670452535283E-2</v>
      </c>
      <c r="AK35" s="79">
        <f t="shared" si="38"/>
        <v>1.8115877425598108E-2</v>
      </c>
      <c r="AL35" s="79">
        <f t="shared" si="38"/>
        <v>1.8095821221603688E-2</v>
      </c>
      <c r="AM35" s="79">
        <f t="shared" si="38"/>
        <v>1.8075518468423118E-2</v>
      </c>
      <c r="AN35" s="79">
        <f t="shared" si="38"/>
        <v>1.8054985273699087E-2</v>
      </c>
      <c r="AO35" s="79">
        <f t="shared" si="38"/>
        <v>1.8034237236656453E-2</v>
      </c>
      <c r="AP35" s="79">
        <f t="shared" si="38"/>
        <v>1.8013289459810684E-2</v>
      </c>
      <c r="AQ35" s="79">
        <f t="shared" si="38"/>
        <v>1.7992156560563834E-2</v>
      </c>
      <c r="AR35" s="79">
        <f t="shared" si="38"/>
        <v>1.7970852682679488E-2</v>
      </c>
      <c r="AS35" s="79">
        <f t="shared" si="38"/>
        <v>1.7949391507626908E-2</v>
      </c>
      <c r="AT35" s="79">
        <f t="shared" si="38"/>
        <v>1.792778626578833E-2</v>
      </c>
      <c r="AU35" s="79">
        <f t="shared" si="38"/>
        <v>1.7906049747520768E-2</v>
      </c>
      <c r="AV35" s="79">
        <f t="shared" si="38"/>
        <v>1.7884194314067542E-2</v>
      </c>
      <c r="AW35" s="79">
        <f t="shared" si="38"/>
        <v>1.7862231908313569E-2</v>
      </c>
      <c r="AX35" s="79">
        <f t="shared" si="38"/>
        <v>1.7840174065379674E-2</v>
      </c>
      <c r="AY35" s="79">
        <f t="shared" si="38"/>
        <v>1.7818031923051422E-2</v>
      </c>
      <c r="AZ35" s="79">
        <f t="shared" si="38"/>
        <v>1.7795816232039484E-2</v>
      </c>
      <c r="BA35" s="79">
        <f t="shared" si="38"/>
        <v>1.7773537366067522E-2</v>
      </c>
      <c r="BB35" s="79">
        <f t="shared" si="38"/>
        <v>1.7751205331786521E-2</v>
      </c>
      <c r="BC35" s="79">
        <f t="shared" si="38"/>
        <v>1.7728829778511618E-2</v>
      </c>
      <c r="BD35" s="79">
        <f t="shared" si="38"/>
        <v>1.7706420007781127E-2</v>
      </c>
      <c r="BE35" s="79">
        <f t="shared" si="38"/>
        <v>1.768398498273625E-2</v>
      </c>
      <c r="BF35" s="79">
        <f t="shared" si="38"/>
        <v>1.7661533337319846E-2</v>
      </c>
      <c r="BG35" s="79">
        <f t="shared" si="38"/>
        <v>1.7639073385295002E-2</v>
      </c>
      <c r="BH35" s="79">
        <f t="shared" si="38"/>
        <v>1.7616613129082064E-2</v>
      </c>
      <c r="BI35" s="79">
        <f t="shared" si="38"/>
        <v>1.7594160268415059E-2</v>
      </c>
      <c r="BJ35" s="79">
        <f t="shared" si="38"/>
        <v>1.7571722208817055E-2</v>
      </c>
      <c r="BK35" s="79">
        <f t="shared" si="38"/>
        <v>1.7549306069896145E-2</v>
      </c>
      <c r="BL35" s="79">
        <f t="shared" si="38"/>
        <v>1.7526918693462543E-2</v>
      </c>
      <c r="BM35" s="79">
        <f t="shared" si="38"/>
        <v>1.7504566651467462E-2</v>
      </c>
      <c r="BN35" s="79">
        <f t="shared" si="38"/>
        <v>1.748225625376499E-2</v>
      </c>
      <c r="BO35" s="79">
        <f t="shared" si="38"/>
        <v>1.7459993555700236E-2</v>
      </c>
      <c r="BP35" s="79">
        <f t="shared" si="38"/>
        <v>1.7437784365522221E-2</v>
      </c>
      <c r="BQ35" s="79">
        <f t="shared" si="38"/>
        <v>1.7415634251627326E-2</v>
      </c>
      <c r="BR35" s="79">
        <f t="shared" ref="BR35:EC39" si="43">IF(BR$9&lt;=$K$6,RATE($K$6,1,BR81,0),"")</f>
        <v>1.7393548549631453E-2</v>
      </c>
      <c r="BS35" s="79">
        <f t="shared" si="43"/>
        <v>1.7371532369274637E-2</v>
      </c>
      <c r="BT35" s="79">
        <f t="shared" si="35"/>
        <v>1.7349590601161625E-2</v>
      </c>
      <c r="BU35" s="79">
        <f t="shared" si="35"/>
        <v>1.7327727923337588E-2</v>
      </c>
      <c r="BV35" s="79">
        <f t="shared" si="35"/>
        <v>1.7305948807704079E-2</v>
      </c>
      <c r="BW35" s="79">
        <f t="shared" si="35"/>
        <v>1.7284257526277116E-2</v>
      </c>
      <c r="BX35" s="79">
        <f t="shared" si="35"/>
        <v>1.7262658157287517E-2</v>
      </c>
      <c r="BY35" s="79">
        <f t="shared" si="35"/>
        <v>1.7241154591129661E-2</v>
      </c>
      <c r="BZ35" s="79">
        <f t="shared" si="35"/>
        <v>1.7219750536159463E-2</v>
      </c>
      <c r="CA35" s="79">
        <f t="shared" si="35"/>
        <v>1.7198449524342355E-2</v>
      </c>
      <c r="CB35" s="79">
        <f t="shared" si="35"/>
        <v>1.717725491675871E-2</v>
      </c>
      <c r="CC35" s="79">
        <f t="shared" si="35"/>
        <v>1.7156169908964004E-2</v>
      </c>
      <c r="CD35" s="79">
        <f t="shared" si="35"/>
        <v>1.7135197536210792E-2</v>
      </c>
      <c r="CE35" s="79">
        <f t="shared" si="35"/>
        <v>1.7114340678531816E-2</v>
      </c>
      <c r="CF35" s="79">
        <f t="shared" si="35"/>
        <v>1.7093602065689353E-2</v>
      </c>
      <c r="CG35" s="79">
        <f t="shared" si="35"/>
        <v>1.7072984281992831E-2</v>
      </c>
      <c r="CH35" s="79">
        <f t="shared" si="35"/>
        <v>1.7052489770986969E-2</v>
      </c>
      <c r="CI35" s="79">
        <f t="shared" si="35"/>
        <v>1.7032120840013518E-2</v>
      </c>
      <c r="CJ35" s="79">
        <f t="shared" si="35"/>
        <v>1.7011879664649041E-2</v>
      </c>
      <c r="CK35" s="79">
        <f t="shared" si="35"/>
        <v>1.699176829302193E-2</v>
      </c>
      <c r="CL35" s="79">
        <f t="shared" si="35"/>
        <v>1.6971788650011227E-2</v>
      </c>
      <c r="CM35" s="79">
        <f t="shared" si="35"/>
        <v>1.6951942541328719E-2</v>
      </c>
      <c r="CN35" s="79">
        <f t="shared" si="35"/>
        <v>1.6932231657489267E-2</v>
      </c>
      <c r="CO35" s="79">
        <f t="shared" si="35"/>
        <v>1.6912657577669639E-2</v>
      </c>
      <c r="CP35" s="79">
        <f t="shared" si="35"/>
        <v>1.6893221773459234E-2</v>
      </c>
      <c r="CQ35" s="79">
        <f t="shared" si="35"/>
        <v>1.6873925612506255E-2</v>
      </c>
      <c r="CR35" s="79">
        <f t="shared" si="35"/>
        <v>1.6854770362060064E-2</v>
      </c>
      <c r="CS35" s="79">
        <f t="shared" si="35"/>
        <v>1.6835757192413398E-2</v>
      </c>
      <c r="CT35" s="79">
        <f t="shared" si="35"/>
        <v>1.681688718024683E-2</v>
      </c>
      <c r="CU35" s="79">
        <f t="shared" si="35"/>
        <v>1.6798161311876572E-2</v>
      </c>
      <c r="CV35" s="79">
        <f t="shared" si="35"/>
        <v>1.6779580486410255E-2</v>
      </c>
      <c r="CW35" s="79">
        <f t="shared" si="35"/>
        <v>1.6761145518810795E-2</v>
      </c>
      <c r="CX35" s="79">
        <f t="shared" si="35"/>
        <v>1.6742857142871551E-2</v>
      </c>
      <c r="CY35" s="79">
        <f t="shared" si="35"/>
        <v>1.6742857142871551E-2</v>
      </c>
      <c r="CZ35" s="79">
        <f t="shared" si="35"/>
        <v>1.6742857142871551E-2</v>
      </c>
      <c r="DA35" s="79">
        <f t="shared" si="35"/>
        <v>1.6742857142871551E-2</v>
      </c>
      <c r="DB35" s="79">
        <f t="shared" si="35"/>
        <v>1.6742857142871551E-2</v>
      </c>
      <c r="DC35" s="79">
        <f t="shared" si="35"/>
        <v>1.6742857142871551E-2</v>
      </c>
      <c r="DD35" s="79">
        <f t="shared" si="35"/>
        <v>1.6742857142871551E-2</v>
      </c>
      <c r="DE35" s="79">
        <f t="shared" si="35"/>
        <v>1.6742857142871551E-2</v>
      </c>
      <c r="DF35" s="79">
        <f t="shared" si="35"/>
        <v>1.6742857142871551E-2</v>
      </c>
      <c r="DG35" s="79">
        <f t="shared" si="35"/>
        <v>1.6742857142871551E-2</v>
      </c>
      <c r="DH35" s="79">
        <f t="shared" si="35"/>
        <v>1.6742857142871551E-2</v>
      </c>
      <c r="DI35" s="79">
        <f t="shared" si="35"/>
        <v>1.6742857142871551E-2</v>
      </c>
      <c r="DJ35" s="79">
        <f t="shared" si="35"/>
        <v>1.6742857142871551E-2</v>
      </c>
      <c r="DK35" s="79">
        <f t="shared" si="35"/>
        <v>1.6742857142871551E-2</v>
      </c>
      <c r="DL35" s="79">
        <f t="shared" si="35"/>
        <v>1.6742857142871551E-2</v>
      </c>
      <c r="DM35" s="79">
        <f t="shared" si="35"/>
        <v>1.6742857142871551E-2</v>
      </c>
      <c r="DN35" s="79">
        <f t="shared" si="35"/>
        <v>1.6742857142871551E-2</v>
      </c>
      <c r="DO35" s="79">
        <f t="shared" si="35"/>
        <v>1.6742857142871551E-2</v>
      </c>
      <c r="DP35" s="79">
        <f t="shared" si="35"/>
        <v>1.6742857142871551E-2</v>
      </c>
      <c r="DQ35" s="79">
        <f t="shared" si="35"/>
        <v>1.6742857142871551E-2</v>
      </c>
      <c r="DR35" s="79">
        <f t="shared" si="35"/>
        <v>1.6742857142871551E-2</v>
      </c>
      <c r="DS35" s="79">
        <f t="shared" si="35"/>
        <v>1.6742857142871551E-2</v>
      </c>
      <c r="DT35" s="79">
        <f t="shared" si="35"/>
        <v>1.6742857142871551E-2</v>
      </c>
      <c r="DU35" s="79">
        <f t="shared" si="35"/>
        <v>1.6742857142871551E-2</v>
      </c>
      <c r="DV35" s="79">
        <f t="shared" si="35"/>
        <v>1.6742857142871551E-2</v>
      </c>
      <c r="DW35" s="79">
        <f t="shared" si="35"/>
        <v>1.6742857142871551E-2</v>
      </c>
      <c r="DX35" s="79">
        <f t="shared" si="35"/>
        <v>1.6742857142871551E-2</v>
      </c>
      <c r="DY35" s="79">
        <f t="shared" si="35"/>
        <v>1.6742857142871551E-2</v>
      </c>
      <c r="DZ35" s="79">
        <f t="shared" si="35"/>
        <v>1.6742857142871551E-2</v>
      </c>
      <c r="EA35" s="79">
        <f t="shared" si="35"/>
        <v>1.6742857142871551E-2</v>
      </c>
      <c r="EB35" s="79">
        <f t="shared" si="35"/>
        <v>1.6742857142871551E-2</v>
      </c>
      <c r="EC35" s="79">
        <f t="shared" si="35"/>
        <v>1.6742857142871551E-2</v>
      </c>
      <c r="ED35" s="79">
        <f t="shared" si="39"/>
        <v>1.6742857142871551E-2</v>
      </c>
      <c r="EE35" s="79">
        <f t="shared" si="28"/>
        <v>1.6742857142871551E-2</v>
      </c>
      <c r="EF35" s="79">
        <f t="shared" ref="EF35:ET35" si="44">IF(EF$9&lt;=$K$6,RATE($K$6,1,EF81,0),"")</f>
        <v>1.6742857142871551E-2</v>
      </c>
      <c r="EG35" s="79">
        <f t="shared" si="44"/>
        <v>1.6742857142871551E-2</v>
      </c>
      <c r="EH35" s="79">
        <f t="shared" si="44"/>
        <v>1.6742857142871551E-2</v>
      </c>
      <c r="EI35" s="79">
        <f t="shared" si="44"/>
        <v>1.6742857142871551E-2</v>
      </c>
      <c r="EJ35" s="79">
        <f t="shared" si="44"/>
        <v>1.6742857142871551E-2</v>
      </c>
      <c r="EK35" s="79">
        <f t="shared" si="44"/>
        <v>1.6742857142871551E-2</v>
      </c>
      <c r="EL35" s="79">
        <f t="shared" si="44"/>
        <v>1.6742857142871551E-2</v>
      </c>
      <c r="EM35" s="79">
        <f t="shared" si="44"/>
        <v>1.6742857142871551E-2</v>
      </c>
      <c r="EN35" s="79">
        <f t="shared" si="44"/>
        <v>1.6742857142871551E-2</v>
      </c>
      <c r="EO35" s="79">
        <f t="shared" si="44"/>
        <v>1.6742857142871551E-2</v>
      </c>
      <c r="EP35" s="79">
        <f t="shared" si="44"/>
        <v>1.6742857142871551E-2</v>
      </c>
      <c r="EQ35" s="79">
        <f t="shared" si="44"/>
        <v>1.6742857142871551E-2</v>
      </c>
      <c r="ER35" s="79">
        <f t="shared" si="44"/>
        <v>1.6742857142871551E-2</v>
      </c>
      <c r="ES35" s="79">
        <f t="shared" si="44"/>
        <v>1.6742857142871551E-2</v>
      </c>
      <c r="ET35" s="79">
        <f t="shared" si="44"/>
        <v>1.6742857142871551E-2</v>
      </c>
      <c r="FF35" s="6" t="s">
        <v>215</v>
      </c>
      <c r="FG35" s="696">
        <v>2.5000000000000001E-2</v>
      </c>
      <c r="FH35" s="696">
        <v>120</v>
      </c>
      <c r="FI35" s="696">
        <v>1.7399999999999999E-2</v>
      </c>
      <c r="FJ35" s="255">
        <v>1.3999999999999999E-2</v>
      </c>
      <c r="FK35" s="71">
        <f t="shared" si="10"/>
        <v>2.6190476190476197E-4</v>
      </c>
      <c r="FL35" t="e">
        <f>VLOOKUP(FF35,'SIMULADOR COM SALDO'!$BX$22:$CK$1000,13,FALSE)</f>
        <v>#N/A</v>
      </c>
    </row>
    <row r="36" spans="6:168" x14ac:dyDescent="0.25">
      <c r="F36" s="97">
        <f t="shared" si="11"/>
        <v>1.6840476190476194E-2</v>
      </c>
      <c r="G36" s="79">
        <f t="shared" ref="G36:BR39" si="45">IF(G$9&lt;=$K$6,RATE($K$6,1,G82,0),"")</f>
        <v>1.8498961051882496E-2</v>
      </c>
      <c r="H36" s="79">
        <f t="shared" si="45"/>
        <v>1.8496919403401726E-2</v>
      </c>
      <c r="I36" s="79">
        <f t="shared" si="45"/>
        <v>1.8493910513122044E-2</v>
      </c>
      <c r="J36" s="79">
        <f t="shared" si="45"/>
        <v>1.8489969053886977E-2</v>
      </c>
      <c r="K36" s="79">
        <f t="shared" si="45"/>
        <v>1.8485128917123478E-2</v>
      </c>
      <c r="L36" s="79">
        <f t="shared" si="45"/>
        <v>1.8479423217921655E-2</v>
      </c>
      <c r="M36" s="79">
        <f t="shared" si="45"/>
        <v>1.8472884300835671E-2</v>
      </c>
      <c r="N36" s="79">
        <f t="shared" si="45"/>
        <v>1.8465543746350285E-2</v>
      </c>
      <c r="O36" s="79">
        <f t="shared" si="45"/>
        <v>1.8457432377965939E-2</v>
      </c>
      <c r="P36" s="79">
        <f t="shared" si="45"/>
        <v>1.8448580269850811E-2</v>
      </c>
      <c r="Q36" s="79">
        <f t="shared" si="45"/>
        <v>1.8439016755012576E-2</v>
      </c>
      <c r="R36" s="79">
        <f t="shared" si="45"/>
        <v>1.8428770433947247E-2</v>
      </c>
      <c r="S36" s="79">
        <f t="shared" si="45"/>
        <v>1.8417869183719276E-2</v>
      </c>
      <c r="T36" s="79">
        <f t="shared" si="45"/>
        <v>1.8406340167433054E-2</v>
      </c>
      <c r="U36" s="79">
        <f t="shared" si="45"/>
        <v>1.8394209844056989E-2</v>
      </c>
      <c r="V36" s="79">
        <f t="shared" si="45"/>
        <v>1.8381503978562277E-2</v>
      </c>
      <c r="W36" s="79">
        <f t="shared" si="45"/>
        <v>1.8368247652339378E-2</v>
      </c>
      <c r="X36" s="79">
        <f t="shared" si="45"/>
        <v>1.8354465273863245E-2</v>
      </c>
      <c r="Y36" s="79">
        <f t="shared" si="45"/>
        <v>1.8340180589567646E-2</v>
      </c>
      <c r="Z36" s="79">
        <f t="shared" si="45"/>
        <v>1.8325416694907903E-2</v>
      </c>
      <c r="AA36" s="79">
        <f t="shared" si="45"/>
        <v>1.8310196045574163E-2</v>
      </c>
      <c r="AB36" s="79">
        <f t="shared" si="45"/>
        <v>1.8294540468835493E-2</v>
      </c>
      <c r="AC36" s="79">
        <f t="shared" si="45"/>
        <v>1.8278471174984996E-2</v>
      </c>
      <c r="AD36" s="79">
        <f t="shared" si="45"/>
        <v>1.8262008768865818E-2</v>
      </c>
      <c r="AE36" s="79">
        <f t="shared" si="45"/>
        <v>1.8245173261450788E-2</v>
      </c>
      <c r="AF36" s="79">
        <f t="shared" si="45"/>
        <v>1.8227984081460872E-2</v>
      </c>
      <c r="AG36" s="79">
        <f t="shared" si="45"/>
        <v>1.821046008699757E-2</v>
      </c>
      <c r="AH36" s="79">
        <f t="shared" si="45"/>
        <v>1.8192619577173968E-2</v>
      </c>
      <c r="AI36" s="79">
        <f t="shared" si="45"/>
        <v>1.8174480303726998E-2</v>
      </c>
      <c r="AJ36" s="79">
        <f t="shared" si="45"/>
        <v>1.8156059482594543E-2</v>
      </c>
      <c r="AK36" s="79">
        <f t="shared" si="45"/>
        <v>1.8137373805442388E-2</v>
      </c>
      <c r="AL36" s="79">
        <f t="shared" si="45"/>
        <v>1.8118439451130119E-2</v>
      </c>
      <c r="AM36" s="79">
        <f t="shared" si="45"/>
        <v>1.8099272097099012E-2</v>
      </c>
      <c r="AN36" s="79">
        <f t="shared" si="45"/>
        <v>1.8079886930674974E-2</v>
      </c>
      <c r="AO36" s="79">
        <f t="shared" si="45"/>
        <v>1.806029866027287E-2</v>
      </c>
      <c r="AP36" s="79">
        <f t="shared" si="45"/>
        <v>1.8040521526494959E-2</v>
      </c>
      <c r="AQ36" s="79">
        <f t="shared" si="45"/>
        <v>1.8020569313111238E-2</v>
      </c>
      <c r="AR36" s="79">
        <f t="shared" si="45"/>
        <v>1.8000455357918384E-2</v>
      </c>
      <c r="AS36" s="79">
        <f t="shared" si="45"/>
        <v>1.7980192563466287E-2</v>
      </c>
      <c r="AT36" s="79">
        <f t="shared" si="45"/>
        <v>1.7959793407647581E-2</v>
      </c>
      <c r="AU36" s="79">
        <f t="shared" si="45"/>
        <v>1.7939269954143303E-2</v>
      </c>
      <c r="AV36" s="79">
        <f t="shared" si="45"/>
        <v>1.7918633862720714E-2</v>
      </c>
      <c r="AW36" s="79">
        <f t="shared" si="45"/>
        <v>1.7897896399378301E-2</v>
      </c>
      <c r="AX36" s="79">
        <f t="shared" si="45"/>
        <v>1.787706844633366E-2</v>
      </c>
      <c r="AY36" s="79">
        <f t="shared" si="45"/>
        <v>1.7856160511850641E-2</v>
      </c>
      <c r="AZ36" s="79">
        <f t="shared" si="45"/>
        <v>1.7835182739903699E-2</v>
      </c>
      <c r="BA36" s="79">
        <f t="shared" si="45"/>
        <v>1.7814144919677328E-2</v>
      </c>
      <c r="BB36" s="79">
        <f t="shared" si="45"/>
        <v>1.7793056494896205E-2</v>
      </c>
      <c r="BC36" s="79">
        <f t="shared" si="45"/>
        <v>1.7771926572987987E-2</v>
      </c>
      <c r="BD36" s="79">
        <f t="shared" si="45"/>
        <v>1.7750763934073734E-2</v>
      </c>
      <c r="BE36" s="79">
        <f t="shared" si="45"/>
        <v>1.7729577039789193E-2</v>
      </c>
      <c r="BF36" s="79">
        <f t="shared" si="45"/>
        <v>1.7708374041932245E-2</v>
      </c>
      <c r="BG36" s="79">
        <f t="shared" si="45"/>
        <v>1.7687162790940198E-2</v>
      </c>
      <c r="BH36" s="79">
        <f t="shared" si="45"/>
        <v>1.7665950844193756E-2</v>
      </c>
      <c r="BI36" s="79">
        <f t="shared" si="45"/>
        <v>1.7644745474150302E-2</v>
      </c>
      <c r="BJ36" s="79">
        <f t="shared" si="45"/>
        <v>1.7623553676306618E-2</v>
      </c>
      <c r="BK36" s="79">
        <f t="shared" si="45"/>
        <v>1.7602382176989777E-2</v>
      </c>
      <c r="BL36" s="79">
        <f t="shared" si="45"/>
        <v>1.7581237440981327E-2</v>
      </c>
      <c r="BM36" s="79">
        <f t="shared" si="45"/>
        <v>1.7560125678971656E-2</v>
      </c>
      <c r="BN36" s="79">
        <f t="shared" si="45"/>
        <v>1.7539052854848827E-2</v>
      </c>
      <c r="BO36" s="79">
        <f t="shared" si="45"/>
        <v>1.7518024692822706E-2</v>
      </c>
      <c r="BP36" s="79">
        <f t="shared" si="45"/>
        <v>1.7497046684384347E-2</v>
      </c>
      <c r="BQ36" s="79">
        <f t="shared" si="45"/>
        <v>1.7476124095106394E-2</v>
      </c>
      <c r="BR36" s="79">
        <f t="shared" si="45"/>
        <v>1.7455261971281524E-2</v>
      </c>
      <c r="BS36" s="79">
        <f t="shared" si="43"/>
        <v>1.74344651464051E-2</v>
      </c>
      <c r="BT36" s="79">
        <f t="shared" si="43"/>
        <v>1.7413738247501458E-2</v>
      </c>
      <c r="BU36" s="79">
        <f t="shared" si="43"/>
        <v>1.7393085701297623E-2</v>
      </c>
      <c r="BV36" s="79">
        <f t="shared" si="43"/>
        <v>1.7372511740246267E-2</v>
      </c>
      <c r="BW36" s="79">
        <f t="shared" si="43"/>
        <v>1.735202040839904E-2</v>
      </c>
      <c r="BX36" s="79">
        <f t="shared" si="43"/>
        <v>1.7331615567135399E-2</v>
      </c>
      <c r="BY36" s="79">
        <f t="shared" si="43"/>
        <v>1.7311300900746052E-2</v>
      </c>
      <c r="BZ36" s="79">
        <f t="shared" si="43"/>
        <v>1.7291079921876895E-2</v>
      </c>
      <c r="CA36" s="79">
        <f t="shared" si="43"/>
        <v>1.7270955976832127E-2</v>
      </c>
      <c r="CB36" s="79">
        <f t="shared" si="43"/>
        <v>1.7250932250743572E-2</v>
      </c>
      <c r="CC36" s="79">
        <f t="shared" si="43"/>
        <v>1.7231011772603992E-2</v>
      </c>
      <c r="CD36" s="79">
        <f t="shared" si="43"/>
        <v>1.7211197420170549E-2</v>
      </c>
      <c r="CE36" s="79">
        <f t="shared" si="43"/>
        <v>1.7191491924740235E-2</v>
      </c>
      <c r="CF36" s="79">
        <f t="shared" si="43"/>
        <v>1.7171897875797534E-2</v>
      </c>
      <c r="CG36" s="79">
        <f t="shared" si="43"/>
        <v>1.7152417725540683E-2</v>
      </c>
      <c r="CH36" s="79">
        <f t="shared" si="43"/>
        <v>1.7133053793285034E-2</v>
      </c>
      <c r="CI36" s="79">
        <f t="shared" si="43"/>
        <v>1.7113808269750102E-2</v>
      </c>
      <c r="CJ36" s="79">
        <f t="shared" si="43"/>
        <v>1.7094683221229357E-2</v>
      </c>
      <c r="CK36" s="79">
        <f t="shared" si="43"/>
        <v>1.7075680593647242E-2</v>
      </c>
      <c r="CL36" s="79">
        <f t="shared" si="43"/>
        <v>1.7056802216505702E-2</v>
      </c>
      <c r="CM36" s="79">
        <f t="shared" si="43"/>
        <v>1.7038049806721533E-2</v>
      </c>
      <c r="CN36" s="79">
        <f t="shared" si="43"/>
        <v>1.7019424972359039E-2</v>
      </c>
      <c r="CO36" s="79">
        <f t="shared" si="43"/>
        <v>1.7000929216258419E-2</v>
      </c>
      <c r="CP36" s="79">
        <f t="shared" si="43"/>
        <v>1.6982563939563426E-2</v>
      </c>
      <c r="CQ36" s="79">
        <f t="shared" si="43"/>
        <v>1.6964330445149875E-2</v>
      </c>
      <c r="CR36" s="79">
        <f t="shared" si="43"/>
        <v>1.6946229940959137E-2</v>
      </c>
      <c r="CS36" s="79">
        <f t="shared" si="43"/>
        <v>1.692826354323556E-2</v>
      </c>
      <c r="CT36" s="79">
        <f t="shared" si="43"/>
        <v>1.6910432279674283E-2</v>
      </c>
      <c r="CU36" s="79">
        <f t="shared" si="43"/>
        <v>1.6892737092477808E-2</v>
      </c>
      <c r="CV36" s="79">
        <f t="shared" si="43"/>
        <v>1.6875178841325892E-2</v>
      </c>
      <c r="CW36" s="79">
        <f t="shared" si="43"/>
        <v>1.6857758306260781E-2</v>
      </c>
      <c r="CX36" s="79">
        <f t="shared" si="43"/>
        <v>1.6840476190488576E-2</v>
      </c>
      <c r="CY36" s="79">
        <f t="shared" si="43"/>
        <v>1.6840476190488576E-2</v>
      </c>
      <c r="CZ36" s="79">
        <f t="shared" si="43"/>
        <v>1.6840476190488576E-2</v>
      </c>
      <c r="DA36" s="79">
        <f t="shared" si="43"/>
        <v>1.6840476190488576E-2</v>
      </c>
      <c r="DB36" s="79">
        <f t="shared" si="43"/>
        <v>1.6840476190488576E-2</v>
      </c>
      <c r="DC36" s="79">
        <f t="shared" si="43"/>
        <v>1.6840476190488576E-2</v>
      </c>
      <c r="DD36" s="79">
        <f t="shared" si="43"/>
        <v>1.6840476190488576E-2</v>
      </c>
      <c r="DE36" s="79">
        <f t="shared" si="43"/>
        <v>1.6840476190488576E-2</v>
      </c>
      <c r="DF36" s="79">
        <f t="shared" si="43"/>
        <v>1.6840476190488576E-2</v>
      </c>
      <c r="DG36" s="79">
        <f t="shared" si="43"/>
        <v>1.6840476190488576E-2</v>
      </c>
      <c r="DH36" s="79">
        <f t="shared" si="43"/>
        <v>1.6840476190488576E-2</v>
      </c>
      <c r="DI36" s="79">
        <f t="shared" si="43"/>
        <v>1.6840476190488576E-2</v>
      </c>
      <c r="DJ36" s="79">
        <f t="shared" si="43"/>
        <v>1.6840476190488576E-2</v>
      </c>
      <c r="DK36" s="79">
        <f t="shared" si="43"/>
        <v>1.6840476190488576E-2</v>
      </c>
      <c r="DL36" s="79">
        <f t="shared" si="43"/>
        <v>1.6840476190488576E-2</v>
      </c>
      <c r="DM36" s="79">
        <f t="shared" si="43"/>
        <v>1.6840476190488576E-2</v>
      </c>
      <c r="DN36" s="79">
        <f t="shared" si="43"/>
        <v>1.6840476190488576E-2</v>
      </c>
      <c r="DO36" s="79">
        <f t="shared" si="43"/>
        <v>1.6840476190488576E-2</v>
      </c>
      <c r="DP36" s="79">
        <f t="shared" si="43"/>
        <v>1.6840476190488576E-2</v>
      </c>
      <c r="DQ36" s="79">
        <f t="shared" si="43"/>
        <v>1.6840476190488576E-2</v>
      </c>
      <c r="DR36" s="79">
        <f t="shared" si="43"/>
        <v>1.6840476190488576E-2</v>
      </c>
      <c r="DS36" s="79">
        <f t="shared" si="43"/>
        <v>1.6840476190488576E-2</v>
      </c>
      <c r="DT36" s="79">
        <f t="shared" si="43"/>
        <v>1.6840476190488576E-2</v>
      </c>
      <c r="DU36" s="79">
        <f t="shared" si="43"/>
        <v>1.6840476190488576E-2</v>
      </c>
      <c r="DV36" s="79">
        <f t="shared" si="43"/>
        <v>1.6840476190488576E-2</v>
      </c>
      <c r="DW36" s="79">
        <f t="shared" si="43"/>
        <v>1.6840476190488576E-2</v>
      </c>
      <c r="DX36" s="79">
        <f t="shared" si="43"/>
        <v>1.6840476190488576E-2</v>
      </c>
      <c r="DY36" s="79">
        <f t="shared" si="43"/>
        <v>1.6840476190488576E-2</v>
      </c>
      <c r="DZ36" s="79">
        <f t="shared" si="43"/>
        <v>1.6840476190488576E-2</v>
      </c>
      <c r="EA36" s="79">
        <f t="shared" si="43"/>
        <v>1.6840476190488576E-2</v>
      </c>
      <c r="EB36" s="79">
        <f t="shared" si="43"/>
        <v>1.6840476190488576E-2</v>
      </c>
      <c r="EC36" s="79">
        <f t="shared" si="43"/>
        <v>1.6840476190488576E-2</v>
      </c>
      <c r="ED36" s="79">
        <f t="shared" si="39"/>
        <v>1.6840476190488576E-2</v>
      </c>
      <c r="EE36" s="79">
        <f t="shared" si="28"/>
        <v>1.6840476190488576E-2</v>
      </c>
      <c r="EF36" s="79">
        <f t="shared" ref="EF36:ET36" si="46">IF(EF$9&lt;=$K$6,RATE($K$6,1,EF82,0),"")</f>
        <v>1.6840476190488576E-2</v>
      </c>
      <c r="EG36" s="79">
        <f t="shared" si="46"/>
        <v>1.6840476190488576E-2</v>
      </c>
      <c r="EH36" s="79">
        <f t="shared" si="46"/>
        <v>1.6840476190488576E-2</v>
      </c>
      <c r="EI36" s="79">
        <f t="shared" si="46"/>
        <v>1.6840476190488576E-2</v>
      </c>
      <c r="EJ36" s="79">
        <f t="shared" si="46"/>
        <v>1.6840476190488576E-2</v>
      </c>
      <c r="EK36" s="79">
        <f t="shared" si="46"/>
        <v>1.6840476190488576E-2</v>
      </c>
      <c r="EL36" s="79">
        <f t="shared" si="46"/>
        <v>1.6840476190488576E-2</v>
      </c>
      <c r="EM36" s="79">
        <f t="shared" si="46"/>
        <v>1.6840476190488576E-2</v>
      </c>
      <c r="EN36" s="79">
        <f t="shared" si="46"/>
        <v>1.6840476190488576E-2</v>
      </c>
      <c r="EO36" s="79">
        <f t="shared" si="46"/>
        <v>1.6840476190488576E-2</v>
      </c>
      <c r="EP36" s="79">
        <f t="shared" si="46"/>
        <v>1.6840476190488576E-2</v>
      </c>
      <c r="EQ36" s="79">
        <f t="shared" si="46"/>
        <v>1.6840476190488576E-2</v>
      </c>
      <c r="ER36" s="79">
        <f t="shared" si="46"/>
        <v>1.6840476190488576E-2</v>
      </c>
      <c r="ES36" s="79">
        <f t="shared" si="46"/>
        <v>1.6840476190488576E-2</v>
      </c>
      <c r="ET36" s="79">
        <f t="shared" si="46"/>
        <v>1.6840476190488576E-2</v>
      </c>
      <c r="FF36" s="6" t="s">
        <v>3002</v>
      </c>
      <c r="FG36" s="696">
        <v>2.5000000000000001E-2</v>
      </c>
      <c r="FH36" s="696">
        <v>120</v>
      </c>
      <c r="FI36" s="696">
        <v>1.61E-2</v>
      </c>
      <c r="FJ36" s="255">
        <v>1.43E-2</v>
      </c>
      <c r="FK36" s="71">
        <f t="shared" si="10"/>
        <v>2.5476190476190477E-4</v>
      </c>
      <c r="FL36" t="e">
        <f>VLOOKUP(FF36,'SIMULADOR COM SALDO'!$BX$22:$CK$1000,13,FALSE)</f>
        <v>#N/A</v>
      </c>
    </row>
    <row r="37" spans="6:168" x14ac:dyDescent="0.25">
      <c r="F37" s="97">
        <f t="shared" si="11"/>
        <v>1.6938095238095242E-2</v>
      </c>
      <c r="G37" s="79">
        <f t="shared" si="45"/>
        <v>1.849902225872814E-2</v>
      </c>
      <c r="H37" s="79">
        <f t="shared" si="45"/>
        <v>1.8497100971380031E-2</v>
      </c>
      <c r="I37" s="79">
        <f t="shared" si="45"/>
        <v>1.8494269577284946E-2</v>
      </c>
      <c r="J37" s="79">
        <f t="shared" si="45"/>
        <v>1.8490560764316533E-2</v>
      </c>
      <c r="K37" s="79">
        <f t="shared" si="45"/>
        <v>1.8486006474022453E-2</v>
      </c>
      <c r="L37" s="79">
        <f t="shared" si="45"/>
        <v>1.8480637907417666E-2</v>
      </c>
      <c r="M37" s="79">
        <f t="shared" si="45"/>
        <v>1.8474485531391631E-2</v>
      </c>
      <c r="N37" s="79">
        <f t="shared" si="45"/>
        <v>1.8467579085682986E-2</v>
      </c>
      <c r="O37" s="79">
        <f t="shared" si="45"/>
        <v>1.845994759037695E-2</v>
      </c>
      <c r="P37" s="79">
        <f t="shared" si="45"/>
        <v>1.8451619353879897E-2</v>
      </c>
      <c r="Q37" s="79">
        <f t="shared" si="45"/>
        <v>1.84426219813318E-2</v>
      </c>
      <c r="R37" s="79">
        <f t="shared" si="45"/>
        <v>1.8432982383414422E-2</v>
      </c>
      <c r="S37" s="79">
        <f t="shared" si="45"/>
        <v>1.8422726785518564E-2</v>
      </c>
      <c r="T37" s="79">
        <f t="shared" si="45"/>
        <v>1.8411880737233891E-2</v>
      </c>
      <c r="U37" s="79">
        <f t="shared" si="45"/>
        <v>1.8400469122125784E-2</v>
      </c>
      <c r="V37" s="79">
        <f t="shared" si="45"/>
        <v>1.8388516167767439E-2</v>
      </c>
      <c r="W37" s="79">
        <f t="shared" si="45"/>
        <v>1.8376045455996116E-2</v>
      </c>
      <c r="X37" s="79">
        <f t="shared" si="45"/>
        <v>1.8363079933362302E-2</v>
      </c>
      <c r="Y37" s="79">
        <f t="shared" si="45"/>
        <v>1.8349641921746662E-2</v>
      </c>
      <c r="Z37" s="79">
        <f t="shared" si="45"/>
        <v>1.8335753129115291E-2</v>
      </c>
      <c r="AA37" s="79">
        <f t="shared" si="45"/>
        <v>1.8321434660390955E-2</v>
      </c>
      <c r="AB37" s="79">
        <f t="shared" si="45"/>
        <v>1.8306707028415234E-2</v>
      </c>
      <c r="AC37" s="79">
        <f t="shared" si="45"/>
        <v>1.8291590164980463E-2</v>
      </c>
      <c r="AD37" s="79">
        <f t="shared" si="45"/>
        <v>1.8276103431910457E-2</v>
      </c>
      <c r="AE37" s="79">
        <f t="shared" si="45"/>
        <v>1.826026563216988E-2</v>
      </c>
      <c r="AF37" s="79">
        <f t="shared" si="45"/>
        <v>1.8244095020986902E-2</v>
      </c>
      <c r="AG37" s="79">
        <f t="shared" si="45"/>
        <v>1.8227609316968183E-2</v>
      </c>
      <c r="AH37" s="79">
        <f t="shared" si="45"/>
        <v>1.8210825713193469E-2</v>
      </c>
      <c r="AI37" s="79">
        <f t="shared" si="45"/>
        <v>1.8193760888275061E-2</v>
      </c>
      <c r="AJ37" s="79">
        <f t="shared" si="45"/>
        <v>1.8176431017366879E-2</v>
      </c>
      <c r="AK37" s="79">
        <f t="shared" si="45"/>
        <v>1.8158851783111659E-2</v>
      </c>
      <c r="AL37" s="79">
        <f t="shared" si="45"/>
        <v>1.8141038386515682E-2</v>
      </c>
      <c r="AM37" s="79">
        <f t="shared" si="45"/>
        <v>1.8123005557737833E-2</v>
      </c>
      <c r="AN37" s="79">
        <f t="shared" si="45"/>
        <v>1.8104767566786008E-2</v>
      </c>
      <c r="AO37" s="79">
        <f t="shared" si="45"/>
        <v>1.8086338234109989E-2</v>
      </c>
      <c r="AP37" s="79">
        <f t="shared" si="45"/>
        <v>1.8067730941084499E-2</v>
      </c>
      <c r="AQ37" s="79">
        <f t="shared" si="45"/>
        <v>1.8048958640371482E-2</v>
      </c>
      <c r="AR37" s="79">
        <f t="shared" si="45"/>
        <v>1.8030033866160679E-2</v>
      </c>
      <c r="AS37" s="79">
        <f t="shared" si="45"/>
        <v>1.8010968744276424E-2</v>
      </c>
      <c r="AT37" s="79">
        <f t="shared" si="45"/>
        <v>1.7991775002149334E-2</v>
      </c>
      <c r="AU37" s="79">
        <f t="shared" si="45"/>
        <v>1.7972463978647324E-2</v>
      </c>
      <c r="AV37" s="79">
        <f t="shared" si="45"/>
        <v>1.795304663376001E-2</v>
      </c>
      <c r="AW37" s="79">
        <f t="shared" si="45"/>
        <v>1.7933533558134377E-2</v>
      </c>
      <c r="AX37" s="79">
        <f t="shared" si="45"/>
        <v>1.7913934982460303E-2</v>
      </c>
      <c r="AY37" s="79">
        <f t="shared" si="45"/>
        <v>1.7894260786697928E-2</v>
      </c>
      <c r="AZ37" s="79">
        <f t="shared" si="45"/>
        <v>1.7874520509150369E-2</v>
      </c>
      <c r="BA37" s="79">
        <f t="shared" si="45"/>
        <v>1.7854723355376276E-2</v>
      </c>
      <c r="BB37" s="79">
        <f t="shared" si="45"/>
        <v>1.7834878206943034E-2</v>
      </c>
      <c r="BC37" s="79">
        <f t="shared" si="45"/>
        <v>1.7814993630016498E-2</v>
      </c>
      <c r="BD37" s="79">
        <f t="shared" si="45"/>
        <v>1.7795077883790526E-2</v>
      </c>
      <c r="BE37" s="79">
        <f t="shared" si="45"/>
        <v>1.7775138928752165E-2</v>
      </c>
      <c r="BF37" s="79">
        <f t="shared" si="45"/>
        <v>1.7755184434784809E-2</v>
      </c>
      <c r="BG37" s="79">
        <f t="shared" si="45"/>
        <v>1.7735221789107469E-2</v>
      </c>
      <c r="BH37" s="79">
        <f t="shared" si="45"/>
        <v>1.7715258104052264E-2</v>
      </c>
      <c r="BI37" s="79">
        <f t="shared" si="45"/>
        <v>1.7695300224679494E-2</v>
      </c>
      <c r="BJ37" s="79">
        <f t="shared" si="45"/>
        <v>1.7675354736231913E-2</v>
      </c>
      <c r="BK37" s="79">
        <f t="shared" si="45"/>
        <v>1.7655427971427693E-2</v>
      </c>
      <c r="BL37" s="79">
        <f t="shared" si="45"/>
        <v>1.763552601759558E-2</v>
      </c>
      <c r="BM37" s="79">
        <f t="shared" si="45"/>
        <v>1.7615654723650457E-2</v>
      </c>
      <c r="BN37" s="79">
        <f t="shared" si="45"/>
        <v>1.7595819706914578E-2</v>
      </c>
      <c r="BO37" s="79">
        <f t="shared" si="45"/>
        <v>1.7576026359781997E-2</v>
      </c>
      <c r="BP37" s="79">
        <f t="shared" si="45"/>
        <v>1.7556279856231021E-2</v>
      </c>
      <c r="BQ37" s="79">
        <f t="shared" si="45"/>
        <v>1.7536585158184782E-2</v>
      </c>
      <c r="BR37" s="79">
        <f t="shared" si="45"/>
        <v>1.7516947021722511E-2</v>
      </c>
      <c r="BS37" s="79">
        <f t="shared" si="43"/>
        <v>1.7497370003143269E-2</v>
      </c>
      <c r="BT37" s="79">
        <f t="shared" si="43"/>
        <v>1.7477858464884467E-2</v>
      </c>
      <c r="BU37" s="79">
        <f t="shared" si="43"/>
        <v>1.7458416581296758E-2</v>
      </c>
      <c r="BV37" s="79">
        <f t="shared" si="43"/>
        <v>1.743904834427824E-2</v>
      </c>
      <c r="BW37" s="79">
        <f t="shared" si="43"/>
        <v>1.7419757568769147E-2</v>
      </c>
      <c r="BX37" s="79">
        <f t="shared" si="43"/>
        <v>1.7400547898111011E-2</v>
      </c>
      <c r="BY37" s="79">
        <f t="shared" si="43"/>
        <v>1.7381422809270582E-2</v>
      </c>
      <c r="BZ37" s="79">
        <f t="shared" si="43"/>
        <v>1.7362385617932137E-2</v>
      </c>
      <c r="CA37" s="79">
        <f t="shared" si="43"/>
        <v>1.7343439483460839E-2</v>
      </c>
      <c r="CB37" s="79">
        <f t="shared" si="43"/>
        <v>1.7324587413737959E-2</v>
      </c>
      <c r="CC37" s="79">
        <f t="shared" si="43"/>
        <v>1.730583226987192E-2</v>
      </c>
      <c r="CD37" s="79">
        <f t="shared" si="43"/>
        <v>1.7287176770787158E-2</v>
      </c>
      <c r="CE37" s="79">
        <f t="shared" si="43"/>
        <v>1.726862349769262E-2</v>
      </c>
      <c r="CF37" s="79">
        <f t="shared" si="43"/>
        <v>1.7250174898433251E-2</v>
      </c>
      <c r="CG37" s="79">
        <f t="shared" si="43"/>
        <v>1.7231833291725496E-2</v>
      </c>
      <c r="CH37" s="79">
        <f t="shared" si="43"/>
        <v>1.7213600871281261E-2</v>
      </c>
      <c r="CI37" s="79">
        <f t="shared" si="43"/>
        <v>1.7195479709820289E-2</v>
      </c>
      <c r="CJ37" s="79">
        <f t="shared" si="43"/>
        <v>1.7177471762975755E-2</v>
      </c>
      <c r="CK37" s="79">
        <f t="shared" si="43"/>
        <v>1.7159578873093519E-2</v>
      </c>
      <c r="CL37" s="79">
        <f t="shared" si="43"/>
        <v>1.7141802772928011E-2</v>
      </c>
      <c r="CM37" s="79">
        <f t="shared" si="43"/>
        <v>1.7124145089237503E-2</v>
      </c>
      <c r="CN37" s="79">
        <f t="shared" si="43"/>
        <v>1.7106607346280691E-2</v>
      </c>
      <c r="CO37" s="79">
        <f t="shared" si="43"/>
        <v>1.7089190969216569E-2</v>
      </c>
      <c r="CP37" s="79">
        <f t="shared" si="43"/>
        <v>1.7071897287410466E-2</v>
      </c>
      <c r="CQ37" s="79">
        <f t="shared" si="43"/>
        <v>1.7054727537647276E-2</v>
      </c>
      <c r="CR37" s="79">
        <f t="shared" si="43"/>
        <v>1.7037682867256168E-2</v>
      </c>
      <c r="CS37" s="79">
        <f t="shared" si="43"/>
        <v>1.7020764337146409E-2</v>
      </c>
      <c r="CT37" s="79">
        <f t="shared" si="43"/>
        <v>1.7003972924758137E-2</v>
      </c>
      <c r="CU37" s="79">
        <f t="shared" si="43"/>
        <v>1.6987309526929808E-2</v>
      </c>
      <c r="CV37" s="79">
        <f t="shared" si="43"/>
        <v>1.6970774962683517E-2</v>
      </c>
      <c r="CW37" s="79">
        <f t="shared" si="43"/>
        <v>1.6954369975931589E-2</v>
      </c>
      <c r="CX37" s="79">
        <f t="shared" si="43"/>
        <v>1.6938095238105817E-2</v>
      </c>
      <c r="CY37" s="79">
        <f t="shared" si="43"/>
        <v>1.6938095238105817E-2</v>
      </c>
      <c r="CZ37" s="79">
        <f t="shared" si="43"/>
        <v>1.6938095238105817E-2</v>
      </c>
      <c r="DA37" s="79">
        <f t="shared" si="43"/>
        <v>1.6938095238105817E-2</v>
      </c>
      <c r="DB37" s="79">
        <f t="shared" si="43"/>
        <v>1.6938095238105817E-2</v>
      </c>
      <c r="DC37" s="79">
        <f t="shared" si="43"/>
        <v>1.6938095238105817E-2</v>
      </c>
      <c r="DD37" s="79">
        <f t="shared" si="43"/>
        <v>1.6938095238105817E-2</v>
      </c>
      <c r="DE37" s="79">
        <f t="shared" si="43"/>
        <v>1.6938095238105817E-2</v>
      </c>
      <c r="DF37" s="79">
        <f t="shared" si="43"/>
        <v>1.6938095238105817E-2</v>
      </c>
      <c r="DG37" s="79">
        <f t="shared" si="43"/>
        <v>1.6938095238105817E-2</v>
      </c>
      <c r="DH37" s="79">
        <f t="shared" si="43"/>
        <v>1.6938095238105817E-2</v>
      </c>
      <c r="DI37" s="79">
        <f t="shared" si="43"/>
        <v>1.6938095238105817E-2</v>
      </c>
      <c r="DJ37" s="79">
        <f t="shared" si="43"/>
        <v>1.6938095238105817E-2</v>
      </c>
      <c r="DK37" s="79">
        <f t="shared" si="43"/>
        <v>1.6938095238105817E-2</v>
      </c>
      <c r="DL37" s="79">
        <f t="shared" si="43"/>
        <v>1.6938095238105817E-2</v>
      </c>
      <c r="DM37" s="79">
        <f t="shared" si="43"/>
        <v>1.6938095238105817E-2</v>
      </c>
      <c r="DN37" s="79">
        <f t="shared" si="43"/>
        <v>1.6938095238105817E-2</v>
      </c>
      <c r="DO37" s="79">
        <f t="shared" si="43"/>
        <v>1.6938095238105817E-2</v>
      </c>
      <c r="DP37" s="79">
        <f t="shared" si="43"/>
        <v>1.6938095238105817E-2</v>
      </c>
      <c r="DQ37" s="79">
        <f t="shared" si="43"/>
        <v>1.6938095238105817E-2</v>
      </c>
      <c r="DR37" s="79">
        <f t="shared" si="43"/>
        <v>1.6938095238105817E-2</v>
      </c>
      <c r="DS37" s="79">
        <f t="shared" si="43"/>
        <v>1.6938095238105817E-2</v>
      </c>
      <c r="DT37" s="79">
        <f t="shared" si="43"/>
        <v>1.6938095238105817E-2</v>
      </c>
      <c r="DU37" s="79">
        <f t="shared" si="43"/>
        <v>1.6938095238105817E-2</v>
      </c>
      <c r="DV37" s="79">
        <f t="shared" si="43"/>
        <v>1.6938095238105817E-2</v>
      </c>
      <c r="DW37" s="79">
        <f t="shared" si="43"/>
        <v>1.6938095238105817E-2</v>
      </c>
      <c r="DX37" s="79">
        <f t="shared" si="43"/>
        <v>1.6938095238105817E-2</v>
      </c>
      <c r="DY37" s="79">
        <f t="shared" si="43"/>
        <v>1.6938095238105817E-2</v>
      </c>
      <c r="DZ37" s="79">
        <f t="shared" si="43"/>
        <v>1.6938095238105817E-2</v>
      </c>
      <c r="EA37" s="79">
        <f t="shared" si="43"/>
        <v>1.6938095238105817E-2</v>
      </c>
      <c r="EB37" s="79">
        <f t="shared" si="43"/>
        <v>1.6938095238105817E-2</v>
      </c>
      <c r="EC37" s="79">
        <f t="shared" si="43"/>
        <v>1.6938095238105817E-2</v>
      </c>
      <c r="ED37" s="79">
        <f t="shared" si="39"/>
        <v>1.6938095238105817E-2</v>
      </c>
      <c r="EE37" s="79">
        <f t="shared" si="28"/>
        <v>1.6938095238105817E-2</v>
      </c>
      <c r="EF37" s="79">
        <f t="shared" ref="EF37:ET37" si="47">IF(EF$9&lt;=$K$6,RATE($K$6,1,EF83,0),"")</f>
        <v>1.6938095238105817E-2</v>
      </c>
      <c r="EG37" s="79">
        <f t="shared" si="47"/>
        <v>1.6938095238105817E-2</v>
      </c>
      <c r="EH37" s="79">
        <f t="shared" si="47"/>
        <v>1.6938095238105817E-2</v>
      </c>
      <c r="EI37" s="79">
        <f t="shared" si="47"/>
        <v>1.6938095238105817E-2</v>
      </c>
      <c r="EJ37" s="79">
        <f t="shared" si="47"/>
        <v>1.6938095238105817E-2</v>
      </c>
      <c r="EK37" s="79">
        <f t="shared" si="47"/>
        <v>1.6938095238105817E-2</v>
      </c>
      <c r="EL37" s="79">
        <f t="shared" si="47"/>
        <v>1.6938095238105817E-2</v>
      </c>
      <c r="EM37" s="79">
        <f t="shared" si="47"/>
        <v>1.6938095238105817E-2</v>
      </c>
      <c r="EN37" s="79">
        <f t="shared" si="47"/>
        <v>1.6938095238105817E-2</v>
      </c>
      <c r="EO37" s="79">
        <f t="shared" si="47"/>
        <v>1.6938095238105817E-2</v>
      </c>
      <c r="EP37" s="79">
        <f t="shared" si="47"/>
        <v>1.6938095238105817E-2</v>
      </c>
      <c r="EQ37" s="79">
        <f t="shared" si="47"/>
        <v>1.6938095238105817E-2</v>
      </c>
      <c r="ER37" s="79">
        <f t="shared" si="47"/>
        <v>1.6938095238105817E-2</v>
      </c>
      <c r="ES37" s="79">
        <f t="shared" si="47"/>
        <v>1.6938095238105817E-2</v>
      </c>
      <c r="ET37" s="79">
        <f t="shared" si="47"/>
        <v>1.6938095238105817E-2</v>
      </c>
      <c r="FF37" s="6" t="s">
        <v>3003</v>
      </c>
      <c r="FG37" s="696">
        <v>2.5000000000000001E-2</v>
      </c>
      <c r="FH37" s="696">
        <v>120</v>
      </c>
      <c r="FI37" s="696">
        <v>1.6500000000000001E-2</v>
      </c>
      <c r="FJ37" s="255">
        <v>1.4499999999999999E-2</v>
      </c>
      <c r="FK37" s="71">
        <f t="shared" si="10"/>
        <v>2.5000000000000006E-4</v>
      </c>
      <c r="FL37" t="e">
        <f>VLOOKUP(FF37,'SIMULADOR COM SALDO'!$BX$22:$CK$1000,13,FALSE)</f>
        <v>#N/A</v>
      </c>
    </row>
    <row r="38" spans="6:168" x14ac:dyDescent="0.25">
      <c r="F38" s="97">
        <f t="shared" si="11"/>
        <v>1.7035714285714289E-2</v>
      </c>
      <c r="G38" s="79">
        <f t="shared" si="45"/>
        <v>1.8499083454026042E-2</v>
      </c>
      <c r="H38" s="79">
        <f t="shared" si="45"/>
        <v>1.8497282494730108E-2</v>
      </c>
      <c r="I38" s="79">
        <f t="shared" si="45"/>
        <v>1.8494628533851951E-2</v>
      </c>
      <c r="J38" s="79">
        <f t="shared" si="45"/>
        <v>1.8491152267434474E-2</v>
      </c>
      <c r="K38" s="79">
        <f t="shared" si="45"/>
        <v>1.8486883681647207E-2</v>
      </c>
      <c r="L38" s="79">
        <f t="shared" si="45"/>
        <v>1.8481852059167053E-2</v>
      </c>
      <c r="M38" s="79">
        <f t="shared" si="45"/>
        <v>1.8476085986078493E-2</v>
      </c>
      <c r="N38" s="79">
        <f t="shared" si="45"/>
        <v>1.8469613359243447E-2</v>
      </c>
      <c r="O38" s="79">
        <f t="shared" si="45"/>
        <v>1.8462461394109599E-2</v>
      </c>
      <c r="P38" s="79">
        <f t="shared" si="45"/>
        <v>1.8454656632911518E-2</v>
      </c>
      <c r="Q38" s="79">
        <f t="shared" si="45"/>
        <v>1.844622495323164E-2</v>
      </c>
      <c r="R38" s="79">
        <f t="shared" si="45"/>
        <v>1.8437191576886048E-2</v>
      </c>
      <c r="S38" s="79">
        <f t="shared" si="45"/>
        <v>1.8427581079099663E-2</v>
      </c>
      <c r="T38" s="79">
        <f t="shared" si="45"/>
        <v>1.8417417397940977E-2</v>
      </c>
      <c r="U38" s="79">
        <f t="shared" si="45"/>
        <v>1.840672384398593E-2</v>
      </c>
      <c r="V38" s="79">
        <f t="shared" si="45"/>
        <v>1.839552311018074E-2</v>
      </c>
      <c r="W38" s="79">
        <f t="shared" si="45"/>
        <v>1.8383837281878989E-2</v>
      </c>
      <c r="X38" s="79">
        <f t="shared" si="45"/>
        <v>1.8371687847025198E-2</v>
      </c>
      <c r="Y38" s="79">
        <f t="shared" si="45"/>
        <v>1.8359095706462131E-2</v>
      </c>
      <c r="Z38" s="79">
        <f t="shared" si="45"/>
        <v>1.8346081184337823E-2</v>
      </c>
      <c r="AA38" s="79">
        <f t="shared" si="45"/>
        <v>1.8332664038592562E-2</v>
      </c>
      <c r="AB38" s="79">
        <f t="shared" si="45"/>
        <v>1.83188634715029E-2</v>
      </c>
      <c r="AC38" s="79">
        <f t="shared" si="45"/>
        <v>1.8304698140266706E-2</v>
      </c>
      <c r="AD38" s="79">
        <f t="shared" si="45"/>
        <v>1.8290186167609537E-2</v>
      </c>
      <c r="AE38" s="79">
        <f t="shared" si="45"/>
        <v>1.827534515239709E-2</v>
      </c>
      <c r="AF38" s="79">
        <f t="shared" si="45"/>
        <v>1.8260192180236126E-2</v>
      </c>
      <c r="AG38" s="79">
        <f t="shared" si="45"/>
        <v>1.8244743834052505E-2</v>
      </c>
      <c r="AH38" s="79">
        <f t="shared" si="45"/>
        <v>1.8229016204630421E-2</v>
      </c>
      <c r="AI38" s="79">
        <f t="shared" si="45"/>
        <v>1.8213024901101108E-2</v>
      </c>
      <c r="AJ38" s="79">
        <f t="shared" si="45"/>
        <v>1.8196785061370804E-2</v>
      </c>
      <c r="AK38" s="79">
        <f t="shared" si="45"/>
        <v>1.8180311362474857E-2</v>
      </c>
      <c r="AL38" s="79">
        <f t="shared" si="45"/>
        <v>1.8163618030851297E-2</v>
      </c>
      <c r="AM38" s="79">
        <f t="shared" si="45"/>
        <v>1.8146718852521608E-2</v>
      </c>
      <c r="AN38" s="79">
        <f t="shared" si="45"/>
        <v>1.8129627183173746E-2</v>
      </c>
      <c r="AO38" s="79">
        <f t="shared" si="45"/>
        <v>1.8112355958137816E-2</v>
      </c>
      <c r="AP38" s="79">
        <f t="shared" si="45"/>
        <v>1.8094917702247616E-2</v>
      </c>
      <c r="AQ38" s="79">
        <f t="shared" si="45"/>
        <v>1.8077324539584192E-2</v>
      </c>
      <c r="AR38" s="79">
        <f t="shared" si="45"/>
        <v>1.8059588203092919E-2</v>
      </c>
      <c r="AS38" s="79">
        <f t="shared" si="45"/>
        <v>1.8041720044070651E-2</v>
      </c>
      <c r="AT38" s="79">
        <f t="shared" si="45"/>
        <v>1.802373104152024E-2</v>
      </c>
      <c r="AU38" s="79">
        <f t="shared" si="45"/>
        <v>1.800563181136406E-2</v>
      </c>
      <c r="AV38" s="79">
        <f t="shared" si="45"/>
        <v>1.7987432615519001E-2</v>
      </c>
      <c r="AW38" s="79">
        <f t="shared" si="45"/>
        <v>1.7969143370824812E-2</v>
      </c>
      <c r="AX38" s="79">
        <f t="shared" si="45"/>
        <v>1.7950773657826529E-2</v>
      </c>
      <c r="AY38" s="79">
        <f t="shared" si="45"/>
        <v>1.7932332729408161E-2</v>
      </c>
      <c r="AZ38" s="79">
        <f t="shared" si="45"/>
        <v>1.791382951927499E-2</v>
      </c>
      <c r="BA38" s="79">
        <f t="shared" si="45"/>
        <v>1.7895272650284694E-2</v>
      </c>
      <c r="BB38" s="79">
        <f t="shared" si="45"/>
        <v>1.7876670442625097E-2</v>
      </c>
      <c r="BC38" s="79">
        <f t="shared" si="45"/>
        <v>1.7858030921838606E-2</v>
      </c>
      <c r="BD38" s="79">
        <f t="shared" si="45"/>
        <v>1.7839361826692199E-2</v>
      </c>
      <c r="BE38" s="79">
        <f t="shared" si="45"/>
        <v>1.78206706168932E-2</v>
      </c>
      <c r="BF38" s="79">
        <f t="shared" si="45"/>
        <v>1.7801964480651834E-2</v>
      </c>
      <c r="BG38" s="79">
        <f t="shared" si="45"/>
        <v>1.7783250342088709E-2</v>
      </c>
      <c r="BH38" s="79">
        <f t="shared" si="45"/>
        <v>1.7764534868490233E-2</v>
      </c>
      <c r="BI38" s="79">
        <f t="shared" si="45"/>
        <v>1.7745824477410847E-2</v>
      </c>
      <c r="BJ38" s="79">
        <f t="shared" si="45"/>
        <v>1.7727125343623928E-2</v>
      </c>
      <c r="BK38" s="79">
        <f t="shared" si="45"/>
        <v>1.7708443405922484E-2</v>
      </c>
      <c r="BL38" s="79">
        <f t="shared" si="45"/>
        <v>1.7689784373769769E-2</v>
      </c>
      <c r="BM38" s="79">
        <f t="shared" si="45"/>
        <v>1.7671153733802649E-2</v>
      </c>
      <c r="BN38" s="79">
        <f t="shared" si="45"/>
        <v>1.7652556756188615E-2</v>
      </c>
      <c r="BO38" s="79">
        <f t="shared" si="45"/>
        <v>1.7633998500837356E-2</v>
      </c>
      <c r="BP38" s="79">
        <f t="shared" si="45"/>
        <v>1.7615483823469388E-2</v>
      </c>
      <c r="BQ38" s="79">
        <f t="shared" si="45"/>
        <v>1.7597017381543928E-2</v>
      </c>
      <c r="BR38" s="79">
        <f t="shared" si="45"/>
        <v>1.7578603640046413E-2</v>
      </c>
      <c r="BS38" s="79">
        <f t="shared" si="43"/>
        <v>1.7560246877138266E-2</v>
      </c>
      <c r="BT38" s="79">
        <f t="shared" si="43"/>
        <v>1.7541951189672705E-2</v>
      </c>
      <c r="BU38" s="79">
        <f t="shared" si="43"/>
        <v>1.7523720498574792E-2</v>
      </c>
      <c r="BV38" s="79">
        <f t="shared" si="43"/>
        <v>1.7505558554091732E-2</v>
      </c>
      <c r="BW38" s="79">
        <f t="shared" si="43"/>
        <v>1.7487468940913228E-2</v>
      </c>
      <c r="BX38" s="79">
        <f t="shared" si="43"/>
        <v>1.7469455083164522E-2</v>
      </c>
      <c r="BY38" s="79">
        <f t="shared" si="43"/>
        <v>1.7451520249274807E-2</v>
      </c>
      <c r="BZ38" s="79">
        <f t="shared" si="43"/>
        <v>1.7433667556723081E-2</v>
      </c>
      <c r="CA38" s="79">
        <f t="shared" si="43"/>
        <v>1.7415899976663138E-2</v>
      </c>
      <c r="CB38" s="79">
        <f t="shared" si="43"/>
        <v>1.7398220338430692E-2</v>
      </c>
      <c r="CC38" s="79">
        <f t="shared" si="43"/>
        <v>1.7380631333933971E-2</v>
      </c>
      <c r="CD38" s="79">
        <f t="shared" si="43"/>
        <v>1.7363135521931458E-2</v>
      </c>
      <c r="CE38" s="79">
        <f t="shared" si="43"/>
        <v>1.7345735332197638E-2</v>
      </c>
      <c r="CF38" s="79">
        <f t="shared" si="43"/>
        <v>1.7328433069579461E-2</v>
      </c>
      <c r="CG38" s="79">
        <f t="shared" si="43"/>
        <v>1.73112309179458E-2</v>
      </c>
      <c r="CH38" s="79">
        <f t="shared" si="43"/>
        <v>1.7294130944033068E-2</v>
      </c>
      <c r="CI38" s="79">
        <f t="shared" si="43"/>
        <v>1.7277135101187856E-2</v>
      </c>
      <c r="CJ38" s="79">
        <f t="shared" si="43"/>
        <v>1.7260245233007933E-2</v>
      </c>
      <c r="CK38" s="79">
        <f t="shared" si="43"/>
        <v>1.7243463076887802E-2</v>
      </c>
      <c r="CL38" s="79">
        <f t="shared" si="43"/>
        <v>1.7226790267466069E-2</v>
      </c>
      <c r="CM38" s="79">
        <f t="shared" si="43"/>
        <v>1.7210228339979927E-2</v>
      </c>
      <c r="CN38" s="79">
        <f t="shared" si="43"/>
        <v>1.7193778733528585E-2</v>
      </c>
      <c r="CO38" s="79">
        <f t="shared" si="43"/>
        <v>1.7177442794245674E-2</v>
      </c>
      <c r="CP38" s="79">
        <f t="shared" si="43"/>
        <v>1.7161221778385319E-2</v>
      </c>
      <c r="CQ38" s="79">
        <f t="shared" si="43"/>
        <v>1.7145116855323082E-2</v>
      </c>
      <c r="CR38" s="79">
        <f t="shared" si="43"/>
        <v>1.7129129110471309E-2</v>
      </c>
      <c r="CS38" s="79">
        <f t="shared" si="43"/>
        <v>1.7113259548116381E-2</v>
      </c>
      <c r="CT38" s="79">
        <f t="shared" si="43"/>
        <v>1.7097509094173301E-2</v>
      </c>
      <c r="CU38" s="79">
        <f t="shared" si="43"/>
        <v>1.7081878598864446E-2</v>
      </c>
      <c r="CV38" s="79">
        <f t="shared" si="43"/>
        <v>1.7066368839322665E-2</v>
      </c>
      <c r="CW38" s="79">
        <f t="shared" si="43"/>
        <v>1.7050980522119619E-2</v>
      </c>
      <c r="CX38" s="79">
        <f t="shared" si="43"/>
        <v>1.7035714285723366E-2</v>
      </c>
      <c r="CY38" s="79">
        <f t="shared" si="43"/>
        <v>1.7035714285723366E-2</v>
      </c>
      <c r="CZ38" s="79">
        <f t="shared" si="43"/>
        <v>1.7035714285723366E-2</v>
      </c>
      <c r="DA38" s="79">
        <f t="shared" si="43"/>
        <v>1.7035714285723366E-2</v>
      </c>
      <c r="DB38" s="79">
        <f t="shared" si="43"/>
        <v>1.7035714285723366E-2</v>
      </c>
      <c r="DC38" s="79">
        <f t="shared" si="43"/>
        <v>1.7035714285723366E-2</v>
      </c>
      <c r="DD38" s="79">
        <f t="shared" si="43"/>
        <v>1.7035714285723366E-2</v>
      </c>
      <c r="DE38" s="79">
        <f t="shared" si="43"/>
        <v>1.7035714285723366E-2</v>
      </c>
      <c r="DF38" s="79">
        <f t="shared" si="43"/>
        <v>1.7035714285723366E-2</v>
      </c>
      <c r="DG38" s="79">
        <f t="shared" si="43"/>
        <v>1.7035714285723366E-2</v>
      </c>
      <c r="DH38" s="79">
        <f t="shared" si="43"/>
        <v>1.7035714285723366E-2</v>
      </c>
      <c r="DI38" s="79">
        <f t="shared" si="43"/>
        <v>1.7035714285723366E-2</v>
      </c>
      <c r="DJ38" s="79">
        <f t="shared" si="43"/>
        <v>1.7035714285723366E-2</v>
      </c>
      <c r="DK38" s="79">
        <f t="shared" si="43"/>
        <v>1.7035714285723366E-2</v>
      </c>
      <c r="DL38" s="79">
        <f t="shared" si="43"/>
        <v>1.7035714285723366E-2</v>
      </c>
      <c r="DM38" s="79">
        <f t="shared" si="43"/>
        <v>1.7035714285723366E-2</v>
      </c>
      <c r="DN38" s="79">
        <f t="shared" si="43"/>
        <v>1.7035714285723366E-2</v>
      </c>
      <c r="DO38" s="79">
        <f t="shared" si="43"/>
        <v>1.7035714285723366E-2</v>
      </c>
      <c r="DP38" s="79">
        <f t="shared" si="43"/>
        <v>1.7035714285723366E-2</v>
      </c>
      <c r="DQ38" s="79">
        <f t="shared" si="43"/>
        <v>1.7035714285723366E-2</v>
      </c>
      <c r="DR38" s="79">
        <f t="shared" si="43"/>
        <v>1.7035714285723366E-2</v>
      </c>
      <c r="DS38" s="79">
        <f t="shared" si="43"/>
        <v>1.7035714285723366E-2</v>
      </c>
      <c r="DT38" s="79">
        <f t="shared" si="43"/>
        <v>1.7035714285723366E-2</v>
      </c>
      <c r="DU38" s="79">
        <f t="shared" si="43"/>
        <v>1.7035714285723366E-2</v>
      </c>
      <c r="DV38" s="79">
        <f t="shared" si="43"/>
        <v>1.7035714285723366E-2</v>
      </c>
      <c r="DW38" s="79">
        <f t="shared" si="43"/>
        <v>1.7035714285723366E-2</v>
      </c>
      <c r="DX38" s="79">
        <f t="shared" si="43"/>
        <v>1.7035714285723366E-2</v>
      </c>
      <c r="DY38" s="79">
        <f t="shared" si="43"/>
        <v>1.7035714285723366E-2</v>
      </c>
      <c r="DZ38" s="79">
        <f t="shared" si="43"/>
        <v>1.7035714285723366E-2</v>
      </c>
      <c r="EA38" s="79">
        <f t="shared" si="43"/>
        <v>1.7035714285723366E-2</v>
      </c>
      <c r="EB38" s="79">
        <f t="shared" si="43"/>
        <v>1.7035714285723366E-2</v>
      </c>
      <c r="EC38" s="79">
        <f t="shared" si="43"/>
        <v>1.7035714285723366E-2</v>
      </c>
      <c r="ED38" s="79">
        <f t="shared" si="39"/>
        <v>1.7035714285723366E-2</v>
      </c>
      <c r="EE38" s="79">
        <f t="shared" si="28"/>
        <v>1.7035714285723366E-2</v>
      </c>
      <c r="EF38" s="79">
        <f t="shared" ref="EF38:ET38" si="48">IF(EF$9&lt;=$K$6,RATE($K$6,1,EF84,0),"")</f>
        <v>1.7035714285723366E-2</v>
      </c>
      <c r="EG38" s="79">
        <f t="shared" si="48"/>
        <v>1.7035714285723366E-2</v>
      </c>
      <c r="EH38" s="79">
        <f t="shared" si="48"/>
        <v>1.7035714285723366E-2</v>
      </c>
      <c r="EI38" s="79">
        <f t="shared" si="48"/>
        <v>1.7035714285723366E-2</v>
      </c>
      <c r="EJ38" s="79">
        <f t="shared" si="48"/>
        <v>1.7035714285723366E-2</v>
      </c>
      <c r="EK38" s="79">
        <f t="shared" si="48"/>
        <v>1.7035714285723366E-2</v>
      </c>
      <c r="EL38" s="79">
        <f t="shared" si="48"/>
        <v>1.7035714285723366E-2</v>
      </c>
      <c r="EM38" s="79">
        <f t="shared" si="48"/>
        <v>1.7035714285723366E-2</v>
      </c>
      <c r="EN38" s="79">
        <f t="shared" si="48"/>
        <v>1.7035714285723366E-2</v>
      </c>
      <c r="EO38" s="79">
        <f t="shared" si="48"/>
        <v>1.7035714285723366E-2</v>
      </c>
      <c r="EP38" s="79">
        <f t="shared" si="48"/>
        <v>1.7035714285723366E-2</v>
      </c>
      <c r="EQ38" s="79">
        <f t="shared" si="48"/>
        <v>1.7035714285723366E-2</v>
      </c>
      <c r="ER38" s="79">
        <f t="shared" si="48"/>
        <v>1.7035714285723366E-2</v>
      </c>
      <c r="ES38" s="79">
        <f t="shared" si="48"/>
        <v>1.7035714285723366E-2</v>
      </c>
      <c r="ET38" s="79">
        <f t="shared" si="48"/>
        <v>1.7035714285723366E-2</v>
      </c>
      <c r="FF38" s="6" t="s">
        <v>3004</v>
      </c>
      <c r="FG38" s="696">
        <v>2.5000000000000001E-2</v>
      </c>
      <c r="FH38" s="696">
        <v>120</v>
      </c>
      <c r="FI38" s="696">
        <v>1.6500000000000001E-2</v>
      </c>
      <c r="FJ38" s="255">
        <v>1.4499999999999999E-2</v>
      </c>
      <c r="FK38" s="71">
        <f t="shared" si="10"/>
        <v>2.5000000000000006E-4</v>
      </c>
      <c r="FL38" t="e">
        <f>VLOOKUP(FF38,'SIMULADOR COM SALDO'!$BX$22:$CK$1000,13,FALSE)</f>
        <v>#N/A</v>
      </c>
    </row>
    <row r="39" spans="6:168" x14ac:dyDescent="0.25">
      <c r="F39" s="97">
        <f t="shared" si="11"/>
        <v>1.7133333333333337E-2</v>
      </c>
      <c r="G39" s="79">
        <f t="shared" si="45"/>
        <v>1.84991446377798E-2</v>
      </c>
      <c r="H39" s="79">
        <f t="shared" si="45"/>
        <v>1.8497463973466993E-2</v>
      </c>
      <c r="I39" s="79">
        <f t="shared" si="45"/>
        <v>1.8494987382865761E-2</v>
      </c>
      <c r="J39" s="79">
        <f t="shared" si="45"/>
        <v>1.8491743563334058E-2</v>
      </c>
      <c r="K39" s="79">
        <f t="shared" si="45"/>
        <v>1.8487760540169651E-2</v>
      </c>
      <c r="L39" s="79">
        <f t="shared" si="45"/>
        <v>1.8483065673456058E-2</v>
      </c>
      <c r="M39" s="79">
        <f t="shared" si="45"/>
        <v>1.8477685665335086E-2</v>
      </c>
      <c r="N39" s="79">
        <f t="shared" si="45"/>
        <v>1.8471646567665142E-2</v>
      </c>
      <c r="O39" s="79">
        <f t="shared" si="45"/>
        <v>1.8464973790035179E-2</v>
      </c>
      <c r="P39" s="79">
        <f t="shared" si="45"/>
        <v>1.8457692108096484E-2</v>
      </c>
      <c r="Q39" s="79">
        <f t="shared" si="45"/>
        <v>1.8449825672183055E-2</v>
      </c>
      <c r="R39" s="79">
        <f t="shared" si="45"/>
        <v>1.8441398016189162E-2</v>
      </c>
      <c r="S39" s="79">
        <f t="shared" si="45"/>
        <v>1.8432432066676066E-2</v>
      </c>
      <c r="T39" s="79">
        <f t="shared" si="45"/>
        <v>1.8422950152178621E-2</v>
      </c>
      <c r="U39" s="79">
        <f t="shared" si="45"/>
        <v>1.8412974012688474E-2</v>
      </c>
      <c r="V39" s="79">
        <f t="shared" si="45"/>
        <v>1.8402524809286582E-2</v>
      </c>
      <c r="W39" s="79">
        <f t="shared" si="45"/>
        <v>1.8391623133903568E-2</v>
      </c>
      <c r="X39" s="79">
        <f t="shared" si="45"/>
        <v>1.8380289019184797E-2</v>
      </c>
      <c r="Y39" s="79">
        <f t="shared" si="45"/>
        <v>1.8368541948441033E-2</v>
      </c>
      <c r="Z39" s="79">
        <f t="shared" si="45"/>
        <v>1.835640086566221E-2</v>
      </c>
      <c r="AA39" s="79">
        <f t="shared" si="45"/>
        <v>1.83438841855794E-2</v>
      </c>
      <c r="AB39" s="79">
        <f t="shared" si="45"/>
        <v>1.8331009803755849E-2</v>
      </c>
      <c r="AC39" s="79">
        <f t="shared" si="45"/>
        <v>1.8317795106691282E-2</v>
      </c>
      <c r="AD39" s="79">
        <f t="shared" si="45"/>
        <v>1.8304256981924488E-2</v>
      </c>
      <c r="AE39" s="79">
        <f t="shared" si="45"/>
        <v>1.8290411828120443E-2</v>
      </c>
      <c r="AF39" s="79">
        <f t="shared" si="45"/>
        <v>1.8276275565128286E-2</v>
      </c>
      <c r="AG39" s="79">
        <f t="shared" si="45"/>
        <v>1.8261863643999298E-2</v>
      </c>
      <c r="AH39" s="79">
        <f t="shared" si="45"/>
        <v>1.8247191056951946E-2</v>
      </c>
      <c r="AI39" s="79">
        <f t="shared" si="45"/>
        <v>1.8232272347274699E-2</v>
      </c>
      <c r="AJ39" s="79">
        <f t="shared" si="45"/>
        <v>1.8217121619156552E-2</v>
      </c>
      <c r="AK39" s="79">
        <f t="shared" si="45"/>
        <v>1.8201752547437573E-2</v>
      </c>
      <c r="AL39" s="79">
        <f t="shared" si="45"/>
        <v>1.8186178387269217E-2</v>
      </c>
      <c r="AM39" s="79">
        <f t="shared" si="45"/>
        <v>1.8170411983679125E-2</v>
      </c>
      <c r="AN39" s="79">
        <f t="shared" si="45"/>
        <v>1.8154465781032417E-2</v>
      </c>
      <c r="AO39" s="79">
        <f t="shared" si="45"/>
        <v>1.8138351832384214E-2</v>
      </c>
      <c r="AP39" s="79">
        <f t="shared" si="45"/>
        <v>1.812208180871714E-2</v>
      </c>
      <c r="AQ39" s="79">
        <f t="shared" si="45"/>
        <v>1.8105667008059045E-2</v>
      </c>
      <c r="AR39" s="79">
        <f t="shared" si="45"/>
        <v>1.808911836447746E-2</v>
      </c>
      <c r="AS39" s="79">
        <f t="shared" si="45"/>
        <v>1.8072446456945009E-2</v>
      </c>
      <c r="AT39" s="79">
        <f t="shared" si="45"/>
        <v>1.8055661518074157E-2</v>
      </c>
      <c r="AU39" s="79">
        <f t="shared" si="45"/>
        <v>1.8038773442717475E-2</v>
      </c>
      <c r="AV39" s="79">
        <f t="shared" si="45"/>
        <v>1.8021791796430816E-2</v>
      </c>
      <c r="AW39" s="79">
        <f t="shared" si="45"/>
        <v>1.8004725823796985E-2</v>
      </c>
      <c r="AX39" s="79">
        <f t="shared" si="45"/>
        <v>1.79875844566088E-2</v>
      </c>
      <c r="AY39" s="79">
        <f t="shared" si="45"/>
        <v>1.7970376321910161E-2</v>
      </c>
      <c r="AZ39" s="79">
        <f t="shared" si="45"/>
        <v>1.7953109749891814E-2</v>
      </c>
      <c r="BA39" s="79">
        <f t="shared" si="45"/>
        <v>1.7935792781645109E-2</v>
      </c>
      <c r="BB39" s="79">
        <f t="shared" si="45"/>
        <v>1.7918433176767622E-2</v>
      </c>
      <c r="BC39" s="79">
        <f t="shared" si="45"/>
        <v>1.7901038420826066E-2</v>
      </c>
      <c r="BD39" s="79">
        <f t="shared" si="45"/>
        <v>1.7883615732672619E-2</v>
      </c>
      <c r="BE39" s="79">
        <f t="shared" si="45"/>
        <v>1.7866172071615293E-2</v>
      </c>
      <c r="BF39" s="79">
        <f t="shared" si="45"/>
        <v>1.7848714144444215E-2</v>
      </c>
      <c r="BG39" s="79">
        <f t="shared" si="45"/>
        <v>1.7831248412313684E-2</v>
      </c>
      <c r="BH39" s="79">
        <f t="shared" si="45"/>
        <v>1.7813781097478658E-2</v>
      </c>
      <c r="BI39" s="79">
        <f t="shared" si="45"/>
        <v>1.7796318189890817E-2</v>
      </c>
      <c r="BJ39" s="79">
        <f t="shared" si="45"/>
        <v>1.7778865453651323E-2</v>
      </c>
      <c r="BK39" s="79">
        <f t="shared" si="45"/>
        <v>1.7761428433323141E-2</v>
      </c>
      <c r="BL39" s="79">
        <f t="shared" si="45"/>
        <v>1.7744012460103351E-2</v>
      </c>
      <c r="BM39" s="79">
        <f t="shared" si="45"/>
        <v>1.7726622657859681E-2</v>
      </c>
      <c r="BN39" s="79">
        <f t="shared" si="45"/>
        <v>1.7709263949027367E-2</v>
      </c>
      <c r="BO39" s="79">
        <f t="shared" si="45"/>
        <v>1.7691941060373834E-2</v>
      </c>
      <c r="BP39" s="79">
        <f t="shared" si="45"/>
        <v>1.7674658528628935E-2</v>
      </c>
      <c r="BQ39" s="79">
        <f t="shared" si="45"/>
        <v>1.7657420705983338E-2</v>
      </c>
      <c r="BR39" s="79">
        <f t="shared" ref="BR39:EC43" si="49">IF(BR$9&lt;=$K$6,RATE($K$6,1,BR85,0),"")</f>
        <v>1.7640231765458321E-2</v>
      </c>
      <c r="BS39" s="79">
        <f t="shared" si="49"/>
        <v>1.7623095706147084E-2</v>
      </c>
      <c r="BT39" s="79">
        <f t="shared" si="43"/>
        <v>1.7606016358330433E-2</v>
      </c>
      <c r="BU39" s="79">
        <f t="shared" si="43"/>
        <v>1.7588997388468065E-2</v>
      </c>
      <c r="BV39" s="79">
        <f t="shared" si="43"/>
        <v>1.7572042304068888E-2</v>
      </c>
      <c r="BW39" s="79">
        <f t="shared" si="43"/>
        <v>1.7555154458440768E-2</v>
      </c>
      <c r="BX39" s="79">
        <f t="shared" si="43"/>
        <v>1.7538337055322251E-2</v>
      </c>
      <c r="BY39" s="79">
        <f t="shared" si="43"/>
        <v>1.7521593153399809E-2</v>
      </c>
      <c r="BZ39" s="79">
        <f t="shared" si="43"/>
        <v>1.7504925670709513E-2</v>
      </c>
      <c r="CA39" s="79">
        <f t="shared" si="43"/>
        <v>1.7488337388928955E-2</v>
      </c>
      <c r="CB39" s="79">
        <f t="shared" si="43"/>
        <v>1.7471830957558818E-2</v>
      </c>
      <c r="CC39" s="79">
        <f t="shared" si="43"/>
        <v>1.7455408897997068E-2</v>
      </c>
      <c r="CD39" s="79">
        <f t="shared" si="43"/>
        <v>1.7439073607508602E-2</v>
      </c>
      <c r="CE39" s="79">
        <f t="shared" si="43"/>
        <v>1.7422827363090625E-2</v>
      </c>
      <c r="CF39" s="79">
        <f t="shared" si="43"/>
        <v>1.7406672325239039E-2</v>
      </c>
      <c r="CG39" s="79">
        <f t="shared" si="43"/>
        <v>1.7390610541613189E-2</v>
      </c>
      <c r="CH39" s="79">
        <f t="shared" si="43"/>
        <v>1.7374643950605968E-2</v>
      </c>
      <c r="CI39" s="79">
        <f t="shared" si="43"/>
        <v>1.7358774384818552E-2</v>
      </c>
      <c r="CJ39" s="79">
        <f t="shared" si="43"/>
        <v>1.7343003574442305E-2</v>
      </c>
      <c r="CK39" s="79">
        <f t="shared" si="43"/>
        <v>1.7327333150549178E-2</v>
      </c>
      <c r="CL39" s="79">
        <f t="shared" si="43"/>
        <v>1.7311764648295484E-2</v>
      </c>
      <c r="CM39" s="79">
        <f t="shared" si="43"/>
        <v>1.7296299510036497E-2</v>
      </c>
      <c r="CN39" s="79">
        <f t="shared" si="43"/>
        <v>1.7280939088358465E-2</v>
      </c>
      <c r="CO39" s="79">
        <f t="shared" si="43"/>
        <v>1.7265684649026149E-2</v>
      </c>
      <c r="CP39" s="79">
        <f t="shared" si="43"/>
        <v>1.7250537373851037E-2</v>
      </c>
      <c r="CQ39" s="79">
        <f t="shared" si="43"/>
        <v>1.7235498363479033E-2</v>
      </c>
      <c r="CR39" s="79">
        <f t="shared" si="43"/>
        <v>1.722056864010215E-2</v>
      </c>
      <c r="CS39" s="79">
        <f t="shared" si="43"/>
        <v>1.7205749150094669E-2</v>
      </c>
      <c r="CT39" s="79">
        <f t="shared" si="43"/>
        <v>1.719104076657502E-2</v>
      </c>
      <c r="CU39" s="79">
        <f t="shared" si="43"/>
        <v>1.7176444291897051E-2</v>
      </c>
      <c r="CV39" s="79">
        <f t="shared" si="43"/>
        <v>1.7161960460070746E-2</v>
      </c>
      <c r="CW39" s="79">
        <f t="shared" si="43"/>
        <v>1.7147589939114347E-2</v>
      </c>
      <c r="CX39" s="79">
        <f t="shared" si="43"/>
        <v>1.7133333333341036E-2</v>
      </c>
      <c r="CY39" s="79">
        <f t="shared" si="43"/>
        <v>1.7133333333341036E-2</v>
      </c>
      <c r="CZ39" s="79">
        <f t="shared" si="43"/>
        <v>1.7133333333341036E-2</v>
      </c>
      <c r="DA39" s="79">
        <f t="shared" si="43"/>
        <v>1.7133333333341036E-2</v>
      </c>
      <c r="DB39" s="79">
        <f t="shared" si="43"/>
        <v>1.7133333333341036E-2</v>
      </c>
      <c r="DC39" s="79">
        <f t="shared" si="43"/>
        <v>1.7133333333341036E-2</v>
      </c>
      <c r="DD39" s="79">
        <f t="shared" si="43"/>
        <v>1.7133333333341036E-2</v>
      </c>
      <c r="DE39" s="79">
        <f t="shared" si="43"/>
        <v>1.7133333333341036E-2</v>
      </c>
      <c r="DF39" s="79">
        <f t="shared" si="43"/>
        <v>1.7133333333341036E-2</v>
      </c>
      <c r="DG39" s="79">
        <f t="shared" si="43"/>
        <v>1.7133333333341036E-2</v>
      </c>
      <c r="DH39" s="79">
        <f t="shared" si="43"/>
        <v>1.7133333333341036E-2</v>
      </c>
      <c r="DI39" s="79">
        <f t="shared" si="43"/>
        <v>1.7133333333341036E-2</v>
      </c>
      <c r="DJ39" s="79">
        <f t="shared" si="43"/>
        <v>1.7133333333341036E-2</v>
      </c>
      <c r="DK39" s="79">
        <f t="shared" si="43"/>
        <v>1.7133333333341036E-2</v>
      </c>
      <c r="DL39" s="79">
        <f t="shared" si="43"/>
        <v>1.7133333333341036E-2</v>
      </c>
      <c r="DM39" s="79">
        <f t="shared" si="43"/>
        <v>1.7133333333341036E-2</v>
      </c>
      <c r="DN39" s="79">
        <f t="shared" si="43"/>
        <v>1.7133333333341036E-2</v>
      </c>
      <c r="DO39" s="79">
        <f t="shared" si="43"/>
        <v>1.7133333333341036E-2</v>
      </c>
      <c r="DP39" s="79">
        <f t="shared" si="43"/>
        <v>1.7133333333341036E-2</v>
      </c>
      <c r="DQ39" s="79">
        <f t="shared" si="43"/>
        <v>1.7133333333341036E-2</v>
      </c>
      <c r="DR39" s="79">
        <f t="shared" si="43"/>
        <v>1.7133333333341036E-2</v>
      </c>
      <c r="DS39" s="79">
        <f t="shared" si="43"/>
        <v>1.7133333333341036E-2</v>
      </c>
      <c r="DT39" s="79">
        <f t="shared" si="43"/>
        <v>1.7133333333341036E-2</v>
      </c>
      <c r="DU39" s="79">
        <f t="shared" si="43"/>
        <v>1.7133333333341036E-2</v>
      </c>
      <c r="DV39" s="79">
        <f t="shared" si="43"/>
        <v>1.7133333333341036E-2</v>
      </c>
      <c r="DW39" s="79">
        <f t="shared" si="43"/>
        <v>1.7133333333341036E-2</v>
      </c>
      <c r="DX39" s="79">
        <f t="shared" si="43"/>
        <v>1.7133333333341036E-2</v>
      </c>
      <c r="DY39" s="79">
        <f t="shared" si="43"/>
        <v>1.7133333333341036E-2</v>
      </c>
      <c r="DZ39" s="79">
        <f t="shared" si="43"/>
        <v>1.7133333333341036E-2</v>
      </c>
      <c r="EA39" s="79">
        <f t="shared" si="43"/>
        <v>1.7133333333341036E-2</v>
      </c>
      <c r="EB39" s="79">
        <f t="shared" si="43"/>
        <v>1.7133333333341036E-2</v>
      </c>
      <c r="EC39" s="79">
        <f t="shared" si="43"/>
        <v>1.7133333333341036E-2</v>
      </c>
      <c r="ED39" s="79">
        <f t="shared" si="39"/>
        <v>1.7133333333341036E-2</v>
      </c>
      <c r="EE39" s="79">
        <f t="shared" si="28"/>
        <v>1.7133333333341036E-2</v>
      </c>
      <c r="EF39" s="79">
        <f t="shared" ref="EF39:ET39" si="50">IF(EF$9&lt;=$K$6,RATE($K$6,1,EF85,0),"")</f>
        <v>1.7133333333341036E-2</v>
      </c>
      <c r="EG39" s="79">
        <f t="shared" si="50"/>
        <v>1.7133333333341036E-2</v>
      </c>
      <c r="EH39" s="79">
        <f t="shared" si="50"/>
        <v>1.7133333333341036E-2</v>
      </c>
      <c r="EI39" s="79">
        <f t="shared" si="50"/>
        <v>1.7133333333341036E-2</v>
      </c>
      <c r="EJ39" s="79">
        <f t="shared" si="50"/>
        <v>1.7133333333341036E-2</v>
      </c>
      <c r="EK39" s="79">
        <f t="shared" si="50"/>
        <v>1.7133333333341036E-2</v>
      </c>
      <c r="EL39" s="79">
        <f t="shared" si="50"/>
        <v>1.7133333333341036E-2</v>
      </c>
      <c r="EM39" s="79">
        <f t="shared" si="50"/>
        <v>1.7133333333341036E-2</v>
      </c>
      <c r="EN39" s="79">
        <f t="shared" si="50"/>
        <v>1.7133333333341036E-2</v>
      </c>
      <c r="EO39" s="79">
        <f t="shared" si="50"/>
        <v>1.7133333333341036E-2</v>
      </c>
      <c r="EP39" s="79">
        <f t="shared" si="50"/>
        <v>1.7133333333341036E-2</v>
      </c>
      <c r="EQ39" s="79">
        <f t="shared" si="50"/>
        <v>1.7133333333341036E-2</v>
      </c>
      <c r="ER39" s="79">
        <f t="shared" si="50"/>
        <v>1.7133333333341036E-2</v>
      </c>
      <c r="ES39" s="79">
        <f t="shared" si="50"/>
        <v>1.7133333333341036E-2</v>
      </c>
      <c r="ET39" s="79">
        <f t="shared" si="50"/>
        <v>1.7133333333341036E-2</v>
      </c>
      <c r="FF39" s="6" t="s">
        <v>3005</v>
      </c>
      <c r="FG39" s="696">
        <v>2.5000000000000001E-2</v>
      </c>
      <c r="FH39" s="696">
        <v>120</v>
      </c>
      <c r="FI39" s="696">
        <v>1.61E-2</v>
      </c>
      <c r="FJ39" s="255">
        <v>1.43E-2</v>
      </c>
      <c r="FK39" s="71">
        <f t="shared" si="10"/>
        <v>2.5476190476190477E-4</v>
      </c>
      <c r="FL39" t="e">
        <f>VLOOKUP(FF39,'SIMULADOR COM SALDO'!$BX$22:$CK$1000,13,FALSE)</f>
        <v>#N/A</v>
      </c>
    </row>
    <row r="40" spans="6:168" x14ac:dyDescent="0.25">
      <c r="F40" s="97">
        <f t="shared" si="11"/>
        <v>1.7230952380952385E-2</v>
      </c>
      <c r="G40" s="79">
        <f t="shared" ref="G40:BR43" si="51">IF(G$9&lt;=$K$6,RATE($K$6,1,G86,0),"")</f>
        <v>1.8499205809992272E-2</v>
      </c>
      <c r="H40" s="79">
        <f t="shared" si="51"/>
        <v>1.8497645407606365E-2</v>
      </c>
      <c r="I40" s="79">
        <f t="shared" si="51"/>
        <v>1.8495346124369341E-2</v>
      </c>
      <c r="J40" s="79">
        <f t="shared" si="51"/>
        <v>1.8492334652108124E-2</v>
      </c>
      <c r="K40" s="79">
        <f t="shared" si="51"/>
        <v>1.8488637049762117E-2</v>
      </c>
      <c r="L40" s="79">
        <f t="shared" si="51"/>
        <v>1.8484278750570713E-2</v>
      </c>
      <c r="M40" s="79">
        <f t="shared" si="51"/>
        <v>1.8479284569600293E-2</v>
      </c>
      <c r="N40" s="79">
        <f t="shared" si="51"/>
        <v>1.84736787115816E-2</v>
      </c>
      <c r="O40" s="79">
        <f t="shared" si="51"/>
        <v>1.8467484779024764E-2</v>
      </c>
      <c r="P40" s="79">
        <f t="shared" si="51"/>
        <v>1.8460725780585874E-2</v>
      </c>
      <c r="Q40" s="79">
        <f t="shared" si="51"/>
        <v>1.8453424139656754E-2</v>
      </c>
      <c r="R40" s="79">
        <f t="shared" si="51"/>
        <v>1.8445601703150589E-2</v>
      </c>
      <c r="S40" s="79">
        <f t="shared" si="51"/>
        <v>1.8437279750461277E-2</v>
      </c>
      <c r="T40" s="79">
        <f t="shared" si="51"/>
        <v>1.8428479002570806E-2</v>
      </c>
      <c r="U40" s="79">
        <f t="shared" si="51"/>
        <v>1.8419219631284126E-2</v>
      </c>
      <c r="V40" s="79">
        <f t="shared" si="51"/>
        <v>1.8409521268569425E-2</v>
      </c>
      <c r="W40" s="79">
        <f t="shared" si="51"/>
        <v>1.8399403015985499E-2</v>
      </c>
      <c r="X40" s="79">
        <f t="shared" si="51"/>
        <v>1.8388883454175758E-2</v>
      </c>
      <c r="Y40" s="79">
        <f t="shared" si="51"/>
        <v>1.8377980652413032E-2</v>
      </c>
      <c r="Z40" s="79">
        <f t="shared" si="51"/>
        <v>1.8366712178178087E-2</v>
      </c>
      <c r="AA40" s="79">
        <f t="shared" si="51"/>
        <v>1.8355095106756231E-2</v>
      </c>
      <c r="AB40" s="79">
        <f t="shared" si="51"/>
        <v>1.8343146030838055E-2</v>
      </c>
      <c r="AC40" s="79">
        <f t="shared" si="51"/>
        <v>1.8330881070110772E-2</v>
      </c>
      <c r="AD40" s="79">
        <f t="shared" si="51"/>
        <v>1.8318315880827385E-2</v>
      </c>
      <c r="AE40" s="79">
        <f t="shared" si="51"/>
        <v>1.8305465665341726E-2</v>
      </c>
      <c r="AF40" s="79">
        <f t="shared" si="51"/>
        <v>1.8292345181600174E-2</v>
      </c>
      <c r="AG40" s="79">
        <f t="shared" si="51"/>
        <v>1.8278968752577621E-2</v>
      </c>
      <c r="AH40" s="79">
        <f t="shared" si="51"/>
        <v>1.8265350275649662E-2</v>
      </c>
      <c r="AI40" s="79">
        <f t="shared" si="51"/>
        <v>1.8251503231893441E-2</v>
      </c>
      <c r="AJ40" s="79">
        <f t="shared" si="51"/>
        <v>1.8237440695307305E-2</v>
      </c>
      <c r="AK40" s="79">
        <f t="shared" si="51"/>
        <v>1.822317534194301E-2</v>
      </c>
      <c r="AL40" s="79">
        <f t="shared" si="51"/>
        <v>1.8208719458944818E-2</v>
      </c>
      <c r="AM40" s="79">
        <f t="shared" si="51"/>
        <v>1.8194084953487222E-2</v>
      </c>
      <c r="AN40" s="79">
        <f t="shared" si="51"/>
        <v>1.8179283361609431E-2</v>
      </c>
      <c r="AO40" s="79">
        <f t="shared" si="51"/>
        <v>1.816432585693677E-2</v>
      </c>
      <c r="AP40" s="79">
        <f t="shared" si="51"/>
        <v>1.8149223259290415E-2</v>
      </c>
      <c r="AQ40" s="79">
        <f t="shared" si="51"/>
        <v>1.8133986043176273E-2</v>
      </c>
      <c r="AR40" s="79">
        <f t="shared" si="51"/>
        <v>1.8118624346153734E-2</v>
      </c>
      <c r="AS40" s="79">
        <f t="shared" si="51"/>
        <v>1.810314797707754E-2</v>
      </c>
      <c r="AT40" s="79">
        <f t="shared" si="51"/>
        <v>1.8087566424214108E-2</v>
      </c>
      <c r="AU40" s="79">
        <f t="shared" si="51"/>
        <v>1.807188886322654E-2</v>
      </c>
      <c r="AV40" s="79">
        <f t="shared" si="51"/>
        <v>1.8056124165028248E-2</v>
      </c>
      <c r="AW40" s="79">
        <f t="shared" si="51"/>
        <v>1.8040280903503753E-2</v>
      </c>
      <c r="AX40" s="79">
        <f t="shared" si="51"/>
        <v>1.8024367363094276E-2</v>
      </c>
      <c r="AY40" s="79">
        <f t="shared" si="51"/>
        <v>1.8008391546248354E-2</v>
      </c>
      <c r="AZ40" s="79">
        <f t="shared" si="51"/>
        <v>1.7992361180735827E-2</v>
      </c>
      <c r="BA40" s="79">
        <f t="shared" si="51"/>
        <v>1.7976283726824947E-2</v>
      </c>
      <c r="BB40" s="79">
        <f t="shared" si="51"/>
        <v>1.7960166384323368E-2</v>
      </c>
      <c r="BC40" s="79">
        <f t="shared" si="51"/>
        <v>1.794401609948142E-2</v>
      </c>
      <c r="BD40" s="79">
        <f t="shared" si="51"/>
        <v>1.7927839571759318E-2</v>
      </c>
      <c r="BE40" s="79">
        <f t="shared" si="51"/>
        <v>1.7911643260457469E-2</v>
      </c>
      <c r="BF40" s="79">
        <f t="shared" si="51"/>
        <v>1.7895433391211347E-2</v>
      </c>
      <c r="BG40" s="79">
        <f t="shared" si="51"/>
        <v>1.7879215962351397E-2</v>
      </c>
      <c r="BH40" s="79">
        <f t="shared" si="51"/>
        <v>1.7862996751128429E-2</v>
      </c>
      <c r="BI40" s="79">
        <f t="shared" si="51"/>
        <v>1.7846781319806458E-2</v>
      </c>
      <c r="BJ40" s="79">
        <f t="shared" si="51"/>
        <v>1.7830575021622778E-2</v>
      </c>
      <c r="BK40" s="79">
        <f t="shared" si="51"/>
        <v>1.7814383006617224E-2</v>
      </c>
      <c r="BL40" s="79">
        <f t="shared" si="51"/>
        <v>1.7798210227332946E-2</v>
      </c>
      <c r="BM40" s="79">
        <f t="shared" si="51"/>
        <v>1.7782061444387515E-2</v>
      </c>
      <c r="BN40" s="79">
        <f t="shared" si="51"/>
        <v>1.7765941231918762E-2</v>
      </c>
      <c r="BO40" s="79">
        <f t="shared" si="51"/>
        <v>1.7749853982905534E-2</v>
      </c>
      <c r="BP40" s="79">
        <f t="shared" si="51"/>
        <v>1.773380391436372E-2</v>
      </c>
      <c r="BQ40" s="79">
        <f t="shared" si="51"/>
        <v>1.7717795072422392E-2</v>
      </c>
      <c r="BR40" s="79">
        <f t="shared" si="51"/>
        <v>1.770183133727905E-2</v>
      </c>
      <c r="BS40" s="79">
        <f t="shared" si="49"/>
        <v>1.7685916428037012E-2</v>
      </c>
      <c r="BT40" s="79">
        <f t="shared" si="49"/>
        <v>1.7670053907426573E-2</v>
      </c>
      <c r="BU40" s="79">
        <f t="shared" si="49"/>
        <v>1.7654247186411565E-2</v>
      </c>
      <c r="BV40" s="79">
        <f t="shared" si="49"/>
        <v>1.7638499528683595E-2</v>
      </c>
      <c r="BW40" s="79">
        <f t="shared" si="49"/>
        <v>1.7622814055046419E-2</v>
      </c>
      <c r="BX40" s="79">
        <f t="shared" si="49"/>
        <v>1.7607193747689764E-2</v>
      </c>
      <c r="BY40" s="79">
        <f t="shared" si="49"/>
        <v>1.7591641454358549E-2</v>
      </c>
      <c r="BZ40" s="79">
        <f t="shared" si="49"/>
        <v>1.7576159892416308E-2</v>
      </c>
      <c r="CA40" s="79">
        <f t="shared" si="49"/>
        <v>1.7560751652805875E-2</v>
      </c>
      <c r="CB40" s="79">
        <f t="shared" si="49"/>
        <v>1.7545419203909732E-2</v>
      </c>
      <c r="CC40" s="79">
        <f t="shared" si="49"/>
        <v>1.7530164895311152E-2</v>
      </c>
      <c r="CD40" s="79">
        <f t="shared" si="49"/>
        <v>1.7514990961458945E-2</v>
      </c>
      <c r="CE40" s="79">
        <f t="shared" si="49"/>
        <v>1.7499899525236264E-2</v>
      </c>
      <c r="CF40" s="79">
        <f t="shared" si="49"/>
        <v>1.7484892601437978E-2</v>
      </c>
      <c r="CG40" s="79">
        <f t="shared" si="49"/>
        <v>1.7469972100155631E-2</v>
      </c>
      <c r="CH40" s="79">
        <f t="shared" si="49"/>
        <v>1.7455139830074521E-2</v>
      </c>
      <c r="CI40" s="79">
        <f t="shared" si="49"/>
        <v>1.7440397501682296E-2</v>
      </c>
      <c r="CJ40" s="79">
        <f t="shared" si="49"/>
        <v>1.7425746730393855E-2</v>
      </c>
      <c r="CK40" s="79">
        <f t="shared" si="49"/>
        <v>1.7411189039590907E-2</v>
      </c>
      <c r="CL40" s="79">
        <f t="shared" si="49"/>
        <v>1.7396725863581947E-2</v>
      </c>
      <c r="CM40" s="79">
        <f t="shared" si="49"/>
        <v>1.7382358550481005E-2</v>
      </c>
      <c r="CN40" s="79">
        <f t="shared" si="49"/>
        <v>1.7368088365009287E-2</v>
      </c>
      <c r="CO40" s="79">
        <f t="shared" si="49"/>
        <v>1.7353916491219895E-2</v>
      </c>
      <c r="CP40" s="79">
        <f t="shared" si="49"/>
        <v>1.7339844035149581E-2</v>
      </c>
      <c r="CQ40" s="79">
        <f t="shared" si="49"/>
        <v>1.7325872027395939E-2</v>
      </c>
      <c r="CR40" s="79">
        <f t="shared" si="49"/>
        <v>1.7312001425625282E-2</v>
      </c>
      <c r="CS40" s="79">
        <f t="shared" si="49"/>
        <v>1.7298233117010554E-2</v>
      </c>
      <c r="CT40" s="79">
        <f t="shared" si="49"/>
        <v>1.7284567920601328E-2</v>
      </c>
      <c r="CU40" s="79">
        <f t="shared" si="49"/>
        <v>1.7271006589628581E-2</v>
      </c>
      <c r="CV40" s="79">
        <f t="shared" si="49"/>
        <v>1.7257549813744489E-2</v>
      </c>
      <c r="CW40" s="79">
        <f t="shared" si="49"/>
        <v>1.7244198221199603E-2</v>
      </c>
      <c r="CX40" s="79">
        <f t="shared" si="49"/>
        <v>1.7230952380958963E-2</v>
      </c>
      <c r="CY40" s="79">
        <f t="shared" si="49"/>
        <v>1.7230952380958963E-2</v>
      </c>
      <c r="CZ40" s="79">
        <f t="shared" si="49"/>
        <v>1.7230952380958963E-2</v>
      </c>
      <c r="DA40" s="79">
        <f t="shared" si="49"/>
        <v>1.7230952380958963E-2</v>
      </c>
      <c r="DB40" s="79">
        <f t="shared" si="49"/>
        <v>1.7230952380958963E-2</v>
      </c>
      <c r="DC40" s="79">
        <f t="shared" si="49"/>
        <v>1.7230952380958963E-2</v>
      </c>
      <c r="DD40" s="79">
        <f t="shared" si="49"/>
        <v>1.7230952380958963E-2</v>
      </c>
      <c r="DE40" s="79">
        <f t="shared" si="49"/>
        <v>1.7230952380958963E-2</v>
      </c>
      <c r="DF40" s="79">
        <f t="shared" si="49"/>
        <v>1.7230952380958963E-2</v>
      </c>
      <c r="DG40" s="79">
        <f t="shared" si="49"/>
        <v>1.7230952380958963E-2</v>
      </c>
      <c r="DH40" s="79">
        <f t="shared" si="49"/>
        <v>1.7230952380958963E-2</v>
      </c>
      <c r="DI40" s="79">
        <f t="shared" si="49"/>
        <v>1.7230952380958963E-2</v>
      </c>
      <c r="DJ40" s="79">
        <f t="shared" si="49"/>
        <v>1.7230952380958963E-2</v>
      </c>
      <c r="DK40" s="79">
        <f t="shared" si="49"/>
        <v>1.7230952380958963E-2</v>
      </c>
      <c r="DL40" s="79">
        <f t="shared" si="49"/>
        <v>1.7230952380958963E-2</v>
      </c>
      <c r="DM40" s="79">
        <f t="shared" si="49"/>
        <v>1.7230952380958963E-2</v>
      </c>
      <c r="DN40" s="79">
        <f t="shared" si="49"/>
        <v>1.7230952380958963E-2</v>
      </c>
      <c r="DO40" s="79">
        <f t="shared" si="49"/>
        <v>1.7230952380958963E-2</v>
      </c>
      <c r="DP40" s="79">
        <f t="shared" si="49"/>
        <v>1.7230952380958963E-2</v>
      </c>
      <c r="DQ40" s="79">
        <f t="shared" si="49"/>
        <v>1.7230952380958963E-2</v>
      </c>
      <c r="DR40" s="79">
        <f t="shared" si="49"/>
        <v>1.7230952380958963E-2</v>
      </c>
      <c r="DS40" s="79">
        <f t="shared" si="49"/>
        <v>1.7230952380958963E-2</v>
      </c>
      <c r="DT40" s="79">
        <f t="shared" si="49"/>
        <v>1.7230952380958963E-2</v>
      </c>
      <c r="DU40" s="79">
        <f t="shared" si="49"/>
        <v>1.7230952380958963E-2</v>
      </c>
      <c r="DV40" s="79">
        <f t="shared" si="49"/>
        <v>1.7230952380958963E-2</v>
      </c>
      <c r="DW40" s="79">
        <f t="shared" si="49"/>
        <v>1.7230952380958963E-2</v>
      </c>
      <c r="DX40" s="79">
        <f t="shared" si="49"/>
        <v>1.7230952380958963E-2</v>
      </c>
      <c r="DY40" s="79">
        <f t="shared" si="49"/>
        <v>1.7230952380958963E-2</v>
      </c>
      <c r="DZ40" s="79">
        <f t="shared" si="49"/>
        <v>1.7230952380958963E-2</v>
      </c>
      <c r="EA40" s="79">
        <f t="shared" si="49"/>
        <v>1.7230952380958963E-2</v>
      </c>
      <c r="EB40" s="79">
        <f t="shared" si="49"/>
        <v>1.7230952380958963E-2</v>
      </c>
      <c r="EC40" s="79">
        <f t="shared" si="49"/>
        <v>1.7230952380958963E-2</v>
      </c>
      <c r="ED40" s="79">
        <f t="shared" si="39"/>
        <v>1.7230952380958963E-2</v>
      </c>
      <c r="EE40" s="79">
        <f t="shared" si="28"/>
        <v>1.7230952380958963E-2</v>
      </c>
      <c r="EF40" s="79">
        <f t="shared" ref="EF40:ET40" si="52">IF(EF$9&lt;=$K$6,RATE($K$6,1,EF86,0),"")</f>
        <v>1.7230952380958963E-2</v>
      </c>
      <c r="EG40" s="79">
        <f t="shared" si="52"/>
        <v>1.7230952380958963E-2</v>
      </c>
      <c r="EH40" s="79">
        <f t="shared" si="52"/>
        <v>1.7230952380958963E-2</v>
      </c>
      <c r="EI40" s="79">
        <f t="shared" si="52"/>
        <v>1.7230952380958963E-2</v>
      </c>
      <c r="EJ40" s="79">
        <f t="shared" si="52"/>
        <v>1.7230952380958963E-2</v>
      </c>
      <c r="EK40" s="79">
        <f t="shared" si="52"/>
        <v>1.7230952380958963E-2</v>
      </c>
      <c r="EL40" s="79">
        <f t="shared" si="52"/>
        <v>1.7230952380958963E-2</v>
      </c>
      <c r="EM40" s="79">
        <f t="shared" si="52"/>
        <v>1.7230952380958963E-2</v>
      </c>
      <c r="EN40" s="79">
        <f t="shared" si="52"/>
        <v>1.7230952380958963E-2</v>
      </c>
      <c r="EO40" s="79">
        <f t="shared" si="52"/>
        <v>1.7230952380958963E-2</v>
      </c>
      <c r="EP40" s="79">
        <f t="shared" si="52"/>
        <v>1.7230952380958963E-2</v>
      </c>
      <c r="EQ40" s="79">
        <f t="shared" si="52"/>
        <v>1.7230952380958963E-2</v>
      </c>
      <c r="ER40" s="79">
        <f t="shared" si="52"/>
        <v>1.7230952380958963E-2</v>
      </c>
      <c r="ES40" s="79">
        <f t="shared" si="52"/>
        <v>1.7230952380958963E-2</v>
      </c>
      <c r="ET40" s="79">
        <f t="shared" si="52"/>
        <v>1.7230952380958963E-2</v>
      </c>
      <c r="FF40" s="6" t="s">
        <v>3006</v>
      </c>
      <c r="FG40" s="696">
        <v>2.5000000000000001E-2</v>
      </c>
      <c r="FH40" s="696">
        <v>120</v>
      </c>
      <c r="FI40" s="696">
        <v>1.61E-2</v>
      </c>
      <c r="FJ40" s="255">
        <v>1.43E-2</v>
      </c>
      <c r="FK40" s="71">
        <f t="shared" si="10"/>
        <v>2.5476190476190477E-4</v>
      </c>
      <c r="FL40" t="e">
        <f>VLOOKUP(FF40,'SIMULADOR COM SALDO'!$BX$22:$CK$1000,13,FALSE)</f>
        <v>#N/A</v>
      </c>
    </row>
    <row r="41" spans="6:168" x14ac:dyDescent="0.25">
      <c r="F41" s="97">
        <f t="shared" si="11"/>
        <v>1.7328571428571433E-2</v>
      </c>
      <c r="G41" s="79">
        <f t="shared" si="51"/>
        <v>1.8499266970667005E-2</v>
      </c>
      <c r="H41" s="79">
        <f t="shared" si="51"/>
        <v>1.8497826797163379E-2</v>
      </c>
      <c r="I41" s="79">
        <f t="shared" si="51"/>
        <v>1.8495704758405861E-2</v>
      </c>
      <c r="J41" s="79">
        <f t="shared" si="51"/>
        <v>1.8492925533849722E-2</v>
      </c>
      <c r="K41" s="79">
        <f t="shared" si="51"/>
        <v>1.8489513210596671E-2</v>
      </c>
      <c r="L41" s="79">
        <f t="shared" si="51"/>
        <v>1.8485491290796616E-2</v>
      </c>
      <c r="M41" s="79">
        <f t="shared" si="51"/>
        <v>1.8480882699312876E-2</v>
      </c>
      <c r="N41" s="79">
        <f t="shared" si="51"/>
        <v>1.8475709791625754E-2</v>
      </c>
      <c r="O41" s="79">
        <f t="shared" si="51"/>
        <v>1.8469994361948381E-2</v>
      </c>
      <c r="P41" s="79">
        <f t="shared" si="51"/>
        <v>1.8463757651529317E-2</v>
      </c>
      <c r="Q41" s="79">
        <f t="shared" si="51"/>
        <v>1.8457020357122121E-2</v>
      </c>
      <c r="R41" s="79">
        <f t="shared" si="51"/>
        <v>1.8449802639595385E-2</v>
      </c>
      <c r="S41" s="79">
        <f t="shared" si="51"/>
        <v>1.8442124132667211E-2</v>
      </c>
      <c r="T41" s="79">
        <f t="shared" si="51"/>
        <v>1.8434003951740156E-2</v>
      </c>
      <c r="U41" s="79">
        <f t="shared" si="51"/>
        <v>1.8425460702822461E-2</v>
      </c>
      <c r="V41" s="79">
        <f t="shared" si="51"/>
        <v>1.8416512491513264E-2</v>
      </c>
      <c r="W41" s="79">
        <f t="shared" si="51"/>
        <v>1.8407176932040786E-2</v>
      </c>
      <c r="X41" s="79">
        <f t="shared" si="51"/>
        <v>1.8397471156332772E-2</v>
      </c>
      <c r="Y41" s="79">
        <f t="shared" si="51"/>
        <v>1.8387411823108664E-2</v>
      </c>
      <c r="Z41" s="79">
        <f t="shared" si="51"/>
        <v>1.8377015126977887E-2</v>
      </c>
      <c r="AA41" s="79">
        <f t="shared" si="51"/>
        <v>1.8366296807531962E-2</v>
      </c>
      <c r="AB41" s="79">
        <f t="shared" si="51"/>
        <v>1.8355272158419172E-2</v>
      </c>
      <c r="AC41" s="79">
        <f t="shared" si="51"/>
        <v>1.8343956036389102E-2</v>
      </c>
      <c r="AD41" s="79">
        <f t="shared" si="51"/>
        <v>1.8332362870300215E-2</v>
      </c>
      <c r="AE41" s="79">
        <f t="shared" si="51"/>
        <v>1.8320506670075686E-2</v>
      </c>
      <c r="AF41" s="79">
        <f t="shared" si="51"/>
        <v>1.8308401035604677E-2</v>
      </c>
      <c r="AG41" s="79">
        <f t="shared" si="51"/>
        <v>1.8296059165575605E-2</v>
      </c>
      <c r="AH41" s="79">
        <f t="shared" si="51"/>
        <v>1.8283493866237913E-2</v>
      </c>
      <c r="AI41" s="79">
        <f t="shared" si="51"/>
        <v>1.8270717560082722E-2</v>
      </c>
      <c r="AJ41" s="79">
        <f t="shared" si="51"/>
        <v>1.8257742294437995E-2</v>
      </c>
      <c r="AK41" s="79">
        <f t="shared" si="51"/>
        <v>1.8244579749971266E-2</v>
      </c>
      <c r="AL41" s="79">
        <f t="shared" si="51"/>
        <v>1.8231241249094785E-2</v>
      </c>
      <c r="AM41" s="79">
        <f t="shared" si="51"/>
        <v>1.821773776427011E-2</v>
      </c>
      <c r="AN41" s="79">
        <f t="shared" si="51"/>
        <v>1.8204079926204788E-2</v>
      </c>
      <c r="AO41" s="79">
        <f t="shared" si="51"/>
        <v>1.819027803194101E-2</v>
      </c>
      <c r="AP41" s="79">
        <f t="shared" si="51"/>
        <v>1.8176342052829114E-2</v>
      </c>
      <c r="AQ41" s="79">
        <f t="shared" si="51"/>
        <v>1.8162281642386674E-2</v>
      </c>
      <c r="AR41" s="79">
        <f t="shared" si="51"/>
        <v>1.8148106144037099E-2</v>
      </c>
      <c r="AS41" s="79">
        <f t="shared" si="51"/>
        <v>1.8133824598728959E-2</v>
      </c>
      <c r="AT41" s="79">
        <f t="shared" si="51"/>
        <v>1.811944575243116E-2</v>
      </c>
      <c r="AU41" s="79">
        <f t="shared" si="51"/>
        <v>1.810497806350371E-2</v>
      </c>
      <c r="AV41" s="79">
        <f t="shared" si="51"/>
        <v>1.8090429709943658E-2</v>
      </c>
      <c r="AW41" s="79">
        <f t="shared" si="51"/>
        <v>1.8075808596503137E-2</v>
      </c>
      <c r="AX41" s="79">
        <f t="shared" si="51"/>
        <v>1.8061122361680233E-2</v>
      </c>
      <c r="AY41" s="79">
        <f t="shared" si="51"/>
        <v>1.8046378384582659E-2</v>
      </c>
      <c r="AZ41" s="79">
        <f t="shared" si="51"/>
        <v>1.8031583791660762E-2</v>
      </c>
      <c r="BA41" s="79">
        <f t="shared" si="51"/>
        <v>1.8016745463315016E-2</v>
      </c>
      <c r="BB41" s="79">
        <f t="shared" si="51"/>
        <v>1.8001870040372875E-2</v>
      </c>
      <c r="BC41" s="79">
        <f t="shared" si="51"/>
        <v>1.7986963930438284E-2</v>
      </c>
      <c r="BD41" s="79">
        <f t="shared" si="51"/>
        <v>1.7972033314113855E-2</v>
      </c>
      <c r="BE41" s="79">
        <f t="shared" si="51"/>
        <v>1.7957084151095277E-2</v>
      </c>
      <c r="BF41" s="79">
        <f t="shared" si="51"/>
        <v>1.7942122186139983E-2</v>
      </c>
      <c r="BG41" s="79">
        <f t="shared" si="51"/>
        <v>1.7927152954910004E-2</v>
      </c>
      <c r="BH41" s="79">
        <f t="shared" si="51"/>
        <v>1.7912181789690534E-2</v>
      </c>
      <c r="BI41" s="79">
        <f t="shared" si="51"/>
        <v>1.7897213824984517E-2</v>
      </c>
      <c r="BJ41" s="79">
        <f t="shared" si="51"/>
        <v>1.7882254002985959E-2</v>
      </c>
      <c r="BK41" s="79">
        <f t="shared" si="51"/>
        <v>1.7867307078931131E-2</v>
      </c>
      <c r="BL41" s="79">
        <f t="shared" si="51"/>
        <v>1.7852377626331493E-2</v>
      </c>
      <c r="BM41" s="79">
        <f t="shared" si="51"/>
        <v>1.7837470042086814E-2</v>
      </c>
      <c r="BN41" s="79">
        <f t="shared" si="51"/>
        <v>1.7822588551483189E-2</v>
      </c>
      <c r="BO41" s="79">
        <f t="shared" si="51"/>
        <v>1.7807737213074878E-2</v>
      </c>
      <c r="BP41" s="79">
        <f t="shared" si="51"/>
        <v>1.779291992345277E-2</v>
      </c>
      <c r="BQ41" s="79">
        <f t="shared" si="51"/>
        <v>1.7778140421901338E-2</v>
      </c>
      <c r="BR41" s="79">
        <f t="shared" si="51"/>
        <v>1.7763402294944948E-2</v>
      </c>
      <c r="BS41" s="79">
        <f t="shared" si="49"/>
        <v>1.7748708980785486E-2</v>
      </c>
      <c r="BT41" s="79">
        <f t="shared" si="49"/>
        <v>1.7734063773634644E-2</v>
      </c>
      <c r="BU41" s="79">
        <f t="shared" si="49"/>
        <v>1.7719469827938615E-2</v>
      </c>
      <c r="BV41" s="79">
        <f t="shared" si="49"/>
        <v>1.770493016250255E-2</v>
      </c>
      <c r="BW41" s="79">
        <f t="shared" si="49"/>
        <v>1.7690447664511302E-2</v>
      </c>
      <c r="BX41" s="79">
        <f t="shared" si="49"/>
        <v>1.7676025093451373E-2</v>
      </c>
      <c r="BY41" s="79">
        <f t="shared" si="49"/>
        <v>1.7661665084936082E-2</v>
      </c>
      <c r="BZ41" s="79">
        <f t="shared" si="49"/>
        <v>1.7647370154433122E-2</v>
      </c>
      <c r="CA41" s="79">
        <f t="shared" si="49"/>
        <v>1.7633142700899038E-2</v>
      </c>
      <c r="CB41" s="79">
        <f t="shared" si="49"/>
        <v>1.7618985010321223E-2</v>
      </c>
      <c r="CC41" s="79">
        <f t="shared" si="49"/>
        <v>1.7604899259169842E-2</v>
      </c>
      <c r="CD41" s="79">
        <f t="shared" si="49"/>
        <v>1.7590887517759966E-2</v>
      </c>
      <c r="CE41" s="79">
        <f t="shared" si="49"/>
        <v>1.7576951753528424E-2</v>
      </c>
      <c r="CF41" s="79">
        <f t="shared" si="49"/>
        <v>1.7563093834224667E-2</v>
      </c>
      <c r="CG41" s="79">
        <f t="shared" si="49"/>
        <v>1.7549315531017885E-2</v>
      </c>
      <c r="CH41" s="79">
        <f t="shared" si="49"/>
        <v>1.753561852152433E-2</v>
      </c>
      <c r="CI41" s="79">
        <f t="shared" si="49"/>
        <v>1.7522004392753771E-2</v>
      </c>
      <c r="CJ41" s="79">
        <f t="shared" si="49"/>
        <v>1.7508474643977309E-2</v>
      </c>
      <c r="CK41" s="79">
        <f t="shared" si="49"/>
        <v>1.7495030689520588E-2</v>
      </c>
      <c r="CL41" s="79">
        <f t="shared" si="49"/>
        <v>1.748167386148132E-2</v>
      </c>
      <c r="CM41" s="79">
        <f t="shared" si="49"/>
        <v>1.7468405412373933E-2</v>
      </c>
      <c r="CN41" s="79">
        <f t="shared" si="49"/>
        <v>1.7455226517703638E-2</v>
      </c>
      <c r="CO41" s="79">
        <f t="shared" si="49"/>
        <v>1.744213827846983E-2</v>
      </c>
      <c r="CP41" s="79">
        <f t="shared" si="49"/>
        <v>1.7429141723602992E-2</v>
      </c>
      <c r="CQ41" s="79">
        <f t="shared" si="49"/>
        <v>1.7416237812333354E-2</v>
      </c>
      <c r="CR41" s="79">
        <f t="shared" si="49"/>
        <v>1.7403427436496286E-2</v>
      </c>
      <c r="CS41" s="79">
        <f t="shared" si="49"/>
        <v>1.7390711422773198E-2</v>
      </c>
      <c r="CT41" s="79">
        <f t="shared" si="49"/>
        <v>1.7378090534871698E-2</v>
      </c>
      <c r="CU41" s="79">
        <f t="shared" si="49"/>
        <v>1.7365565475644364E-2</v>
      </c>
      <c r="CV41" s="79">
        <f t="shared" si="49"/>
        <v>1.7353136889149315E-2</v>
      </c>
      <c r="CW41" s="79">
        <f t="shared" si="49"/>
        <v>1.7340805362652856E-2</v>
      </c>
      <c r="CX41" s="79">
        <f t="shared" si="49"/>
        <v>1.7328571428577171E-2</v>
      </c>
      <c r="CY41" s="79">
        <f t="shared" si="49"/>
        <v>1.7328571428577171E-2</v>
      </c>
      <c r="CZ41" s="79">
        <f t="shared" si="49"/>
        <v>1.7328571428577171E-2</v>
      </c>
      <c r="DA41" s="79">
        <f t="shared" si="49"/>
        <v>1.7328571428577171E-2</v>
      </c>
      <c r="DB41" s="79">
        <f t="shared" si="49"/>
        <v>1.7328571428577171E-2</v>
      </c>
      <c r="DC41" s="79">
        <f t="shared" si="49"/>
        <v>1.7328571428577171E-2</v>
      </c>
      <c r="DD41" s="79">
        <f t="shared" si="49"/>
        <v>1.7328571428577171E-2</v>
      </c>
      <c r="DE41" s="79">
        <f t="shared" si="49"/>
        <v>1.7328571428577171E-2</v>
      </c>
      <c r="DF41" s="79">
        <f t="shared" si="49"/>
        <v>1.7328571428577171E-2</v>
      </c>
      <c r="DG41" s="79">
        <f t="shared" si="49"/>
        <v>1.7328571428577171E-2</v>
      </c>
      <c r="DH41" s="79">
        <f t="shared" si="49"/>
        <v>1.7328571428577171E-2</v>
      </c>
      <c r="DI41" s="79">
        <f t="shared" si="49"/>
        <v>1.7328571428577171E-2</v>
      </c>
      <c r="DJ41" s="79">
        <f t="shared" si="49"/>
        <v>1.7328571428577171E-2</v>
      </c>
      <c r="DK41" s="79">
        <f t="shared" si="49"/>
        <v>1.7328571428577171E-2</v>
      </c>
      <c r="DL41" s="79">
        <f t="shared" si="49"/>
        <v>1.7328571428577171E-2</v>
      </c>
      <c r="DM41" s="79">
        <f t="shared" si="49"/>
        <v>1.7328571428577171E-2</v>
      </c>
      <c r="DN41" s="79">
        <f t="shared" si="49"/>
        <v>1.7328571428577171E-2</v>
      </c>
      <c r="DO41" s="79">
        <f t="shared" si="49"/>
        <v>1.7328571428577171E-2</v>
      </c>
      <c r="DP41" s="79">
        <f t="shared" si="49"/>
        <v>1.7328571428577171E-2</v>
      </c>
      <c r="DQ41" s="79">
        <f t="shared" si="49"/>
        <v>1.7328571428577171E-2</v>
      </c>
      <c r="DR41" s="79">
        <f t="shared" si="49"/>
        <v>1.7328571428577171E-2</v>
      </c>
      <c r="DS41" s="79">
        <f t="shared" si="49"/>
        <v>1.7328571428577171E-2</v>
      </c>
      <c r="DT41" s="79">
        <f t="shared" si="49"/>
        <v>1.7328571428577171E-2</v>
      </c>
      <c r="DU41" s="79">
        <f t="shared" si="49"/>
        <v>1.7328571428577171E-2</v>
      </c>
      <c r="DV41" s="79">
        <f t="shared" si="49"/>
        <v>1.7328571428577171E-2</v>
      </c>
      <c r="DW41" s="79">
        <f t="shared" si="49"/>
        <v>1.7328571428577171E-2</v>
      </c>
      <c r="DX41" s="79">
        <f t="shared" si="49"/>
        <v>1.7328571428577171E-2</v>
      </c>
      <c r="DY41" s="79">
        <f t="shared" si="49"/>
        <v>1.7328571428577171E-2</v>
      </c>
      <c r="DZ41" s="79">
        <f t="shared" si="49"/>
        <v>1.7328571428577171E-2</v>
      </c>
      <c r="EA41" s="79">
        <f t="shared" si="49"/>
        <v>1.7328571428577171E-2</v>
      </c>
      <c r="EB41" s="79">
        <f t="shared" si="49"/>
        <v>1.7328571428577171E-2</v>
      </c>
      <c r="EC41" s="79">
        <f t="shared" si="49"/>
        <v>1.7328571428577171E-2</v>
      </c>
      <c r="ED41" s="79">
        <f t="shared" si="39"/>
        <v>1.7328571428577171E-2</v>
      </c>
      <c r="EE41" s="79">
        <f t="shared" si="28"/>
        <v>1.7328571428577171E-2</v>
      </c>
      <c r="EF41" s="79">
        <f t="shared" ref="EF41:ET41" si="53">IF(EF$9&lt;=$K$6,RATE($K$6,1,EF87,0),"")</f>
        <v>1.7328571428577171E-2</v>
      </c>
      <c r="EG41" s="79">
        <f t="shared" si="53"/>
        <v>1.7328571428577171E-2</v>
      </c>
      <c r="EH41" s="79">
        <f t="shared" si="53"/>
        <v>1.7328571428577171E-2</v>
      </c>
      <c r="EI41" s="79">
        <f t="shared" si="53"/>
        <v>1.7328571428577171E-2</v>
      </c>
      <c r="EJ41" s="79">
        <f t="shared" si="53"/>
        <v>1.7328571428577171E-2</v>
      </c>
      <c r="EK41" s="79">
        <f t="shared" si="53"/>
        <v>1.7328571428577171E-2</v>
      </c>
      <c r="EL41" s="79">
        <f t="shared" si="53"/>
        <v>1.7328571428577171E-2</v>
      </c>
      <c r="EM41" s="79">
        <f t="shared" si="53"/>
        <v>1.7328571428577171E-2</v>
      </c>
      <c r="EN41" s="79">
        <f t="shared" si="53"/>
        <v>1.7328571428577171E-2</v>
      </c>
      <c r="EO41" s="79">
        <f t="shared" si="53"/>
        <v>1.7328571428577171E-2</v>
      </c>
      <c r="EP41" s="79">
        <f t="shared" si="53"/>
        <v>1.7328571428577171E-2</v>
      </c>
      <c r="EQ41" s="79">
        <f t="shared" si="53"/>
        <v>1.7328571428577171E-2</v>
      </c>
      <c r="ER41" s="79">
        <f t="shared" si="53"/>
        <v>1.7328571428577171E-2</v>
      </c>
      <c r="ES41" s="79">
        <f t="shared" si="53"/>
        <v>1.7328571428577171E-2</v>
      </c>
      <c r="ET41" s="79">
        <f t="shared" si="53"/>
        <v>1.7328571428577171E-2</v>
      </c>
      <c r="FF41" s="6" t="s">
        <v>366</v>
      </c>
      <c r="FG41" s="696">
        <v>2.5000000000000001E-2</v>
      </c>
      <c r="FH41" s="696">
        <v>120</v>
      </c>
      <c r="FI41" s="696">
        <v>1.6200000000000003E-2</v>
      </c>
      <c r="FJ41" s="255">
        <v>1.4199999999999999E-2</v>
      </c>
      <c r="FK41" s="71">
        <f t="shared" si="10"/>
        <v>2.5714285714285721E-4</v>
      </c>
      <c r="FL41">
        <f>VLOOKUP(FF41,'SIMULADOR COM SALDO'!$BX$22:$CK$1000,13,FALSE)</f>
        <v>0</v>
      </c>
    </row>
    <row r="42" spans="6:168" x14ac:dyDescent="0.25">
      <c r="F42" s="97">
        <f t="shared" si="11"/>
        <v>1.7426190476190481E-2</v>
      </c>
      <c r="G42" s="79">
        <f t="shared" si="51"/>
        <v>1.8499328119807219E-2</v>
      </c>
      <c r="H42" s="79">
        <f t="shared" si="51"/>
        <v>1.8498008142153369E-2</v>
      </c>
      <c r="I42" s="79">
        <f t="shared" si="51"/>
        <v>1.8496063285018172E-2</v>
      </c>
      <c r="J42" s="79">
        <f t="shared" si="51"/>
        <v>1.8493516208651889E-2</v>
      </c>
      <c r="K42" s="79">
        <f t="shared" si="51"/>
        <v>1.8490389022845267E-2</v>
      </c>
      <c r="L42" s="79">
        <f t="shared" si="51"/>
        <v>1.8486703294419399E-2</v>
      </c>
      <c r="M42" s="79">
        <f t="shared" si="51"/>
        <v>1.8482480054910603E-2</v>
      </c>
      <c r="N42" s="79">
        <f t="shared" si="51"/>
        <v>1.8477739808430097E-2</v>
      </c>
      <c r="O42" s="79">
        <f t="shared" si="51"/>
        <v>1.8472502539675768E-2</v>
      </c>
      <c r="P42" s="79">
        <f t="shared" si="51"/>
        <v>1.8466787722076276E-2</v>
      </c>
      <c r="Q42" s="79">
        <f t="shared" si="51"/>
        <v>1.8460614326048033E-2</v>
      </c>
      <c r="R42" s="79">
        <f t="shared" si="51"/>
        <v>1.8454000827348521E-2</v>
      </c>
      <c r="S42" s="79">
        <f t="shared" si="51"/>
        <v>1.8446965215505262E-2</v>
      </c>
      <c r="T42" s="79">
        <f t="shared" si="51"/>
        <v>1.8439525002309037E-2</v>
      </c>
      <c r="U42" s="79">
        <f t="shared" si="51"/>
        <v>1.843169723035264E-2</v>
      </c>
      <c r="V42" s="79">
        <f t="shared" si="51"/>
        <v>1.8423498481601686E-2</v>
      </c>
      <c r="W42" s="79">
        <f t="shared" si="51"/>
        <v>1.8414944885984979E-2</v>
      </c>
      <c r="X42" s="79">
        <f t="shared" si="51"/>
        <v>1.840605212999126E-2</v>
      </c>
      <c r="Y42" s="79">
        <f t="shared" si="51"/>
        <v>1.8396835465259942E-2</v>
      </c>
      <c r="Z42" s="79">
        <f t="shared" si="51"/>
        <v>1.8387309717156419E-2</v>
      </c>
      <c r="AA42" s="79">
        <f t="shared" si="51"/>
        <v>1.8377489293319546E-2</v>
      </c>
      <c r="AB42" s="79">
        <f t="shared" si="51"/>
        <v>1.8367388192174337E-2</v>
      </c>
      <c r="AC42" s="79">
        <f t="shared" si="51"/>
        <v>1.8357020011398242E-2</v>
      </c>
      <c r="AD42" s="79">
        <f t="shared" si="51"/>
        <v>1.8346397956335619E-2</v>
      </c>
      <c r="AE42" s="79">
        <f t="shared" si="51"/>
        <v>1.8335534848350078E-2</v>
      </c>
      <c r="AF42" s="79">
        <f t="shared" si="51"/>
        <v>1.8324443133110505E-2</v>
      </c>
      <c r="AG42" s="79">
        <f t="shared" si="51"/>
        <v>1.8313134888801371E-2</v>
      </c>
      <c r="AH42" s="79">
        <f t="shared" si="51"/>
        <v>1.830162183425477E-2</v>
      </c>
      <c r="AI42" s="79">
        <f t="shared" si="51"/>
        <v>1.8289915336995151E-2</v>
      </c>
      <c r="AJ42" s="79">
        <f t="shared" si="51"/>
        <v>1.8278026421195758E-2</v>
      </c>
      <c r="AK42" s="79">
        <f t="shared" si="51"/>
        <v>1.8265965775538909E-2</v>
      </c>
      <c r="AL42" s="79">
        <f t="shared" si="51"/>
        <v>1.8253743760978127E-2</v>
      </c>
      <c r="AM42" s="79">
        <f t="shared" si="51"/>
        <v>1.8241370418398704E-2</v>
      </c>
      <c r="AN42" s="79">
        <f t="shared" si="51"/>
        <v>1.8228855476171681E-2</v>
      </c>
      <c r="AO42" s="79">
        <f t="shared" si="51"/>
        <v>1.8216208357601325E-2</v>
      </c>
      <c r="AP42" s="79">
        <f t="shared" si="51"/>
        <v>1.8203438188259494E-2</v>
      </c>
      <c r="AQ42" s="79">
        <f t="shared" si="51"/>
        <v>1.8190553803210694E-2</v>
      </c>
      <c r="AR42" s="79">
        <f t="shared" si="51"/>
        <v>1.8177563754119132E-2</v>
      </c>
      <c r="AS42" s="79">
        <f t="shared" si="51"/>
        <v>1.8164476316241681E-2</v>
      </c>
      <c r="AT42" s="79">
        <f t="shared" si="51"/>
        <v>1.815129949530371E-2</v>
      </c>
      <c r="AU42" s="79">
        <f t="shared" si="51"/>
        <v>1.8138041034255297E-2</v>
      </c>
      <c r="AV42" s="79">
        <f t="shared" si="51"/>
        <v>1.8124708419908878E-2</v>
      </c>
      <c r="AW42" s="79">
        <f t="shared" si="51"/>
        <v>1.8111308889457878E-2</v>
      </c>
      <c r="AX42" s="79">
        <f t="shared" si="51"/>
        <v>1.8097849436874352E-2</v>
      </c>
      <c r="AY42" s="79">
        <f t="shared" si="51"/>
        <v>1.8084336819187443E-2</v>
      </c>
      <c r="AZ42" s="79">
        <f t="shared" si="51"/>
        <v>1.8070777562640587E-2</v>
      </c>
      <c r="BA42" s="79">
        <f t="shared" si="51"/>
        <v>1.8057177968730419E-2</v>
      </c>
      <c r="BB42" s="79">
        <f t="shared" si="51"/>
        <v>1.8043544120124561E-2</v>
      </c>
      <c r="BC42" s="79">
        <f t="shared" si="51"/>
        <v>1.802988188646143E-2</v>
      </c>
      <c r="BD42" s="79">
        <f t="shared" si="51"/>
        <v>1.8016196930031571E-2</v>
      </c>
      <c r="BE42" s="79">
        <f t="shared" si="51"/>
        <v>1.8002494711340362E-2</v>
      </c>
      <c r="BF42" s="79">
        <f t="shared" si="51"/>
        <v>1.798878049455551E-2</v>
      </c>
      <c r="BG42" s="79">
        <f t="shared" si="51"/>
        <v>1.7975059352837622E-2</v>
      </c>
      <c r="BH42" s="79">
        <f t="shared" si="51"/>
        <v>1.796133617355599E-2</v>
      </c>
      <c r="BI42" s="79">
        <f t="shared" si="51"/>
        <v>1.794761566339197E-2</v>
      </c>
      <c r="BJ42" s="79">
        <f t="shared" si="51"/>
        <v>1.7933902353328618E-2</v>
      </c>
      <c r="BK42" s="79">
        <f t="shared" si="51"/>
        <v>1.7920200603529734E-2</v>
      </c>
      <c r="BL42" s="79">
        <f t="shared" si="51"/>
        <v>1.7906514608109408E-2</v>
      </c>
      <c r="BM42" s="79">
        <f t="shared" si="51"/>
        <v>1.7892848399793423E-2</v>
      </c>
      <c r="BN42" s="79">
        <f t="shared" si="51"/>
        <v>1.7879205854472925E-2</v>
      </c>
      <c r="BO42" s="79">
        <f t="shared" si="51"/>
        <v>1.7865590695653643E-2</v>
      </c>
      <c r="BP42" s="79">
        <f t="shared" si="51"/>
        <v>1.7852006498800674E-2</v>
      </c>
      <c r="BQ42" s="79">
        <f t="shared" si="51"/>
        <v>1.7838456695581605E-2</v>
      </c>
      <c r="BR42" s="79">
        <f t="shared" si="51"/>
        <v>1.7824944578008574E-2</v>
      </c>
      <c r="BS42" s="79">
        <f t="shared" si="49"/>
        <v>1.7811473302481687E-2</v>
      </c>
      <c r="BT42" s="79">
        <f t="shared" si="49"/>
        <v>1.779804589373412E-2</v>
      </c>
      <c r="BU42" s="79">
        <f t="shared" si="49"/>
        <v>1.7784665248683149E-2</v>
      </c>
      <c r="BV42" s="79">
        <f t="shared" si="49"/>
        <v>1.777133414018604E-2</v>
      </c>
      <c r="BW42" s="79">
        <f t="shared" si="49"/>
        <v>1.7758055220703214E-2</v>
      </c>
      <c r="BX42" s="79">
        <f t="shared" si="49"/>
        <v>1.774483102587204E-2</v>
      </c>
      <c r="BY42" s="79">
        <f t="shared" si="49"/>
        <v>1.7731663977991086E-2</v>
      </c>
      <c r="BZ42" s="79">
        <f t="shared" si="49"/>
        <v>1.771855638941628E-2</v>
      </c>
      <c r="CA42" s="79">
        <f t="shared" si="49"/>
        <v>1.7705510465873143E-2</v>
      </c>
      <c r="CB42" s="79">
        <f t="shared" si="49"/>
        <v>1.7692528309683563E-2</v>
      </c>
      <c r="CC42" s="79">
        <f t="shared" si="49"/>
        <v>1.7679611922911394E-2</v>
      </c>
      <c r="CD42" s="79">
        <f t="shared" si="49"/>
        <v>1.7666763210426682E-2</v>
      </c>
      <c r="CE42" s="79">
        <f t="shared" si="49"/>
        <v>1.7653983982892425E-2</v>
      </c>
      <c r="CF42" s="79">
        <f t="shared" si="49"/>
        <v>1.7641275959671555E-2</v>
      </c>
      <c r="CG42" s="79">
        <f t="shared" si="49"/>
        <v>1.7628640771661697E-2</v>
      </c>
      <c r="CH42" s="79">
        <f t="shared" si="49"/>
        <v>1.7616079964052365E-2</v>
      </c>
      <c r="CI42" s="79">
        <f t="shared" si="49"/>
        <v>1.7603594999012918E-2</v>
      </c>
      <c r="CJ42" s="79">
        <f t="shared" si="49"/>
        <v>1.7591187258307463E-2</v>
      </c>
      <c r="CK42" s="79">
        <f t="shared" si="49"/>
        <v>1.7578858045841368E-2</v>
      </c>
      <c r="CL42" s="79">
        <f t="shared" si="49"/>
        <v>1.7566608590140281E-2</v>
      </c>
      <c r="CM42" s="79">
        <f t="shared" si="49"/>
        <v>1.755444004676289E-2</v>
      </c>
      <c r="CN42" s="79">
        <f t="shared" si="49"/>
        <v>1.7542353500648315E-2</v>
      </c>
      <c r="CO42" s="79">
        <f t="shared" si="49"/>
        <v>1.7530349968400891E-2</v>
      </c>
      <c r="CP42" s="79">
        <f t="shared" si="49"/>
        <v>1.7518430400513617E-2</v>
      </c>
      <c r="CQ42" s="79">
        <f t="shared" si="49"/>
        <v>1.7506595683530527E-2</v>
      </c>
      <c r="CR42" s="79">
        <f t="shared" si="49"/>
        <v>1.7494846642150057E-2</v>
      </c>
      <c r="CS42" s="79">
        <f t="shared" si="49"/>
        <v>1.7483184041272234E-2</v>
      </c>
      <c r="CT42" s="79">
        <f t="shared" si="49"/>
        <v>1.7471608587988015E-2</v>
      </c>
      <c r="CU42" s="79">
        <f t="shared" si="49"/>
        <v>1.7460120933514952E-2</v>
      </c>
      <c r="CV42" s="79">
        <f t="shared" si="49"/>
        <v>1.7448721675079364E-2</v>
      </c>
      <c r="CW42" s="79">
        <f t="shared" si="49"/>
        <v>1.7437411357745645E-2</v>
      </c>
      <c r="CX42" s="79">
        <f t="shared" si="49"/>
        <v>1.7426190476195244E-2</v>
      </c>
      <c r="CY42" s="79">
        <f t="shared" si="49"/>
        <v>1.7426190476195244E-2</v>
      </c>
      <c r="CZ42" s="79">
        <f t="shared" si="49"/>
        <v>1.7426190476195244E-2</v>
      </c>
      <c r="DA42" s="79">
        <f t="shared" si="49"/>
        <v>1.7426190476195244E-2</v>
      </c>
      <c r="DB42" s="79">
        <f t="shared" si="49"/>
        <v>1.7426190476195244E-2</v>
      </c>
      <c r="DC42" s="79">
        <f t="shared" si="49"/>
        <v>1.7426190476195244E-2</v>
      </c>
      <c r="DD42" s="79">
        <f t="shared" si="49"/>
        <v>1.7426190476195244E-2</v>
      </c>
      <c r="DE42" s="79">
        <f t="shared" si="49"/>
        <v>1.7426190476195244E-2</v>
      </c>
      <c r="DF42" s="79">
        <f t="shared" si="49"/>
        <v>1.7426190476195244E-2</v>
      </c>
      <c r="DG42" s="79">
        <f t="shared" si="49"/>
        <v>1.7426190476195244E-2</v>
      </c>
      <c r="DH42" s="79">
        <f t="shared" si="49"/>
        <v>1.7426190476195244E-2</v>
      </c>
      <c r="DI42" s="79">
        <f t="shared" si="49"/>
        <v>1.7426190476195244E-2</v>
      </c>
      <c r="DJ42" s="79">
        <f t="shared" si="49"/>
        <v>1.7426190476195244E-2</v>
      </c>
      <c r="DK42" s="79">
        <f t="shared" si="49"/>
        <v>1.7426190476195244E-2</v>
      </c>
      <c r="DL42" s="79">
        <f t="shared" si="49"/>
        <v>1.7426190476195244E-2</v>
      </c>
      <c r="DM42" s="79">
        <f t="shared" si="49"/>
        <v>1.7426190476195244E-2</v>
      </c>
      <c r="DN42" s="79">
        <f t="shared" si="49"/>
        <v>1.7426190476195244E-2</v>
      </c>
      <c r="DO42" s="79">
        <f t="shared" si="49"/>
        <v>1.7426190476195244E-2</v>
      </c>
      <c r="DP42" s="79">
        <f t="shared" si="49"/>
        <v>1.7426190476195244E-2</v>
      </c>
      <c r="DQ42" s="79">
        <f t="shared" si="49"/>
        <v>1.7426190476195244E-2</v>
      </c>
      <c r="DR42" s="79">
        <f t="shared" si="49"/>
        <v>1.7426190476195244E-2</v>
      </c>
      <c r="DS42" s="79">
        <f t="shared" si="49"/>
        <v>1.7426190476195244E-2</v>
      </c>
      <c r="DT42" s="79">
        <f t="shared" si="49"/>
        <v>1.7426190476195244E-2</v>
      </c>
      <c r="DU42" s="79">
        <f t="shared" si="49"/>
        <v>1.7426190476195244E-2</v>
      </c>
      <c r="DV42" s="79">
        <f t="shared" si="49"/>
        <v>1.7426190476195244E-2</v>
      </c>
      <c r="DW42" s="79">
        <f t="shared" si="49"/>
        <v>1.7426190476195244E-2</v>
      </c>
      <c r="DX42" s="79">
        <f t="shared" si="49"/>
        <v>1.7426190476195244E-2</v>
      </c>
      <c r="DY42" s="79">
        <f t="shared" si="49"/>
        <v>1.7426190476195244E-2</v>
      </c>
      <c r="DZ42" s="79">
        <f t="shared" si="49"/>
        <v>1.7426190476195244E-2</v>
      </c>
      <c r="EA42" s="79">
        <f t="shared" si="49"/>
        <v>1.7426190476195244E-2</v>
      </c>
      <c r="EB42" s="79">
        <f t="shared" si="49"/>
        <v>1.7426190476195244E-2</v>
      </c>
      <c r="EC42" s="79">
        <f t="shared" si="49"/>
        <v>1.7426190476195244E-2</v>
      </c>
      <c r="ED42" s="79">
        <f t="shared" si="39"/>
        <v>1.7426190476195244E-2</v>
      </c>
      <c r="EE42" s="79">
        <f t="shared" si="28"/>
        <v>1.7426190476195244E-2</v>
      </c>
      <c r="EF42" s="79">
        <f t="shared" ref="EF42:ET42" si="54">IF(EF$9&lt;=$K$6,RATE($K$6,1,EF88,0),"")</f>
        <v>1.7426190476195244E-2</v>
      </c>
      <c r="EG42" s="79">
        <f t="shared" si="54"/>
        <v>1.7426190476195244E-2</v>
      </c>
      <c r="EH42" s="79">
        <f t="shared" si="54"/>
        <v>1.7426190476195244E-2</v>
      </c>
      <c r="EI42" s="79">
        <f t="shared" si="54"/>
        <v>1.7426190476195244E-2</v>
      </c>
      <c r="EJ42" s="79">
        <f t="shared" si="54"/>
        <v>1.7426190476195244E-2</v>
      </c>
      <c r="EK42" s="79">
        <f t="shared" si="54"/>
        <v>1.7426190476195244E-2</v>
      </c>
      <c r="EL42" s="79">
        <f t="shared" si="54"/>
        <v>1.7426190476195244E-2</v>
      </c>
      <c r="EM42" s="79">
        <f t="shared" si="54"/>
        <v>1.7426190476195244E-2</v>
      </c>
      <c r="EN42" s="79">
        <f t="shared" si="54"/>
        <v>1.7426190476195244E-2</v>
      </c>
      <c r="EO42" s="79">
        <f t="shared" si="54"/>
        <v>1.7426190476195244E-2</v>
      </c>
      <c r="EP42" s="79">
        <f t="shared" si="54"/>
        <v>1.7426190476195244E-2</v>
      </c>
      <c r="EQ42" s="79">
        <f t="shared" si="54"/>
        <v>1.7426190476195244E-2</v>
      </c>
      <c r="ER42" s="79">
        <f t="shared" si="54"/>
        <v>1.7426190476195244E-2</v>
      </c>
      <c r="ES42" s="79">
        <f t="shared" si="54"/>
        <v>1.7426190476195244E-2</v>
      </c>
      <c r="ET42" s="79">
        <f t="shared" si="54"/>
        <v>1.7426190476195244E-2</v>
      </c>
      <c r="FF42" s="6" t="s">
        <v>3451</v>
      </c>
      <c r="FG42" s="696">
        <v>2.5000000000000001E-2</v>
      </c>
      <c r="FH42" s="696">
        <v>120</v>
      </c>
      <c r="FI42" s="696">
        <v>1.6200000000000003E-2</v>
      </c>
      <c r="FJ42" s="255">
        <v>1.4199999999999999E-2</v>
      </c>
      <c r="FK42" s="71">
        <f t="shared" si="10"/>
        <v>2.5714285714285721E-4</v>
      </c>
      <c r="FL42" t="e">
        <f>VLOOKUP(FF42,'SIMULADOR COM SALDO'!$BX$22:$CK$1000,13,FALSE)</f>
        <v>#N/A</v>
      </c>
    </row>
    <row r="43" spans="6:168" x14ac:dyDescent="0.25">
      <c r="F43" s="97">
        <f t="shared" si="11"/>
        <v>1.7523809523809528E-2</v>
      </c>
      <c r="G43" s="79">
        <f t="shared" si="51"/>
        <v>1.8499389257416149E-2</v>
      </c>
      <c r="H43" s="79">
        <f t="shared" si="51"/>
        <v>1.8498189442591618E-2</v>
      </c>
      <c r="I43" s="79">
        <f t="shared" si="51"/>
        <v>1.8496421704248922E-2</v>
      </c>
      <c r="J43" s="79">
        <f t="shared" si="51"/>
        <v>1.8494106676607367E-2</v>
      </c>
      <c r="K43" s="79">
        <f t="shared" si="51"/>
        <v>1.8491264486679856E-2</v>
      </c>
      <c r="L43" s="79">
        <f t="shared" si="51"/>
        <v>1.8487914761724806E-2</v>
      </c>
      <c r="M43" s="79">
        <f t="shared" si="51"/>
        <v>1.8484076636831829E-2</v>
      </c>
      <c r="N43" s="79">
        <f t="shared" si="51"/>
        <v>1.8479768762626872E-2</v>
      </c>
      <c r="O43" s="79">
        <f t="shared" si="51"/>
        <v>1.8475009313076485E-2</v>
      </c>
      <c r="P43" s="79">
        <f t="shared" si="51"/>
        <v>1.8469815993375341E-2</v>
      </c>
      <c r="Q43" s="79">
        <f t="shared" si="51"/>
        <v>1.8464206047902974E-2</v>
      </c>
      <c r="R43" s="79">
        <f t="shared" si="51"/>
        <v>1.8458196268233723E-2</v>
      </c>
      <c r="S43" s="79">
        <f t="shared" si="51"/>
        <v>1.8451803001185769E-2</v>
      </c>
      <c r="T43" s="79">
        <f t="shared" si="51"/>
        <v>1.8445042156898538E-2</v>
      </c>
      <c r="U43" s="79">
        <f t="shared" si="51"/>
        <v>1.8437929216923193E-2</v>
      </c>
      <c r="V43" s="79">
        <f t="shared" si="51"/>
        <v>1.8430479242317704E-2</v>
      </c>
      <c r="W43" s="79">
        <f t="shared" si="51"/>
        <v>1.8422706881734047E-2</v>
      </c>
      <c r="X43" s="79">
        <f t="shared" si="51"/>
        <v>1.8414626379487681E-2</v>
      </c>
      <c r="Y43" s="79">
        <f t="shared" si="51"/>
        <v>1.8406251583601044E-2</v>
      </c>
      <c r="Z43" s="79">
        <f t="shared" si="51"/>
        <v>1.8397595953811626E-2</v>
      </c>
      <c r="AA43" s="79">
        <f t="shared" si="51"/>
        <v>1.8388672569536319E-2</v>
      </c>
      <c r="AB43" s="79">
        <f t="shared" si="51"/>
        <v>1.8379494137785161E-2</v>
      </c>
      <c r="AC43" s="79">
        <f t="shared" si="51"/>
        <v>1.8370073001018162E-2</v>
      </c>
      <c r="AD43" s="79">
        <f t="shared" si="51"/>
        <v>1.836042114493654E-2</v>
      </c>
      <c r="AE43" s="79">
        <f t="shared" si="51"/>
        <v>1.8350550206206E-2</v>
      </c>
      <c r="AF43" s="79">
        <f t="shared" si="51"/>
        <v>1.8340471480103086E-2</v>
      </c>
      <c r="AG43" s="79">
        <f t="shared" si="51"/>
        <v>1.8330195928082979E-2</v>
      </c>
      <c r="AH43" s="79">
        <f t="shared" si="51"/>
        <v>1.8319734185262084E-2</v>
      </c>
      <c r="AI43" s="79">
        <f t="shared" si="51"/>
        <v>1.8309096567811489E-2</v>
      </c>
      <c r="AJ43" s="79">
        <f t="shared" si="51"/>
        <v>1.8298293080260059E-2</v>
      </c>
      <c r="AK43" s="79">
        <f t="shared" si="51"/>
        <v>1.8287333422699985E-2</v>
      </c>
      <c r="AL43" s="79">
        <f t="shared" si="51"/>
        <v>1.8276226997895849E-2</v>
      </c>
      <c r="AM43" s="79">
        <f t="shared" si="51"/>
        <v>1.8264982918291879E-2</v>
      </c>
      <c r="AN43" s="79">
        <f t="shared" si="51"/>
        <v>1.8253610012916272E-2</v>
      </c>
      <c r="AO43" s="79">
        <f t="shared" si="51"/>
        <v>1.8242116834180432E-2</v>
      </c>
      <c r="AP43" s="79">
        <f t="shared" si="51"/>
        <v>1.8230511664572343E-2</v>
      </c>
      <c r="AQ43" s="79">
        <f t="shared" si="51"/>
        <v>1.8218802523240103E-2</v>
      </c>
      <c r="AR43" s="79">
        <f t="shared" si="51"/>
        <v>1.8206997172467928E-2</v>
      </c>
      <c r="AS43" s="79">
        <f t="shared" si="51"/>
        <v>1.8195103124040921E-2</v>
      </c>
      <c r="AT43" s="79">
        <f t="shared" si="51"/>
        <v>1.8183127645499678E-2</v>
      </c>
      <c r="AU43" s="79">
        <f t="shared" si="51"/>
        <v>1.8171077766282333E-2</v>
      </c>
      <c r="AV43" s="79">
        <f t="shared" si="51"/>
        <v>1.8158960283756114E-2</v>
      </c>
      <c r="AW43" s="79">
        <f t="shared" si="51"/>
        <v>1.8146781769136595E-2</v>
      </c>
      <c r="AX43" s="79">
        <f t="shared" si="51"/>
        <v>1.8134548573294853E-2</v>
      </c>
      <c r="AY43" s="79">
        <f t="shared" si="51"/>
        <v>1.8122266832453406E-2</v>
      </c>
      <c r="AZ43" s="79">
        <f t="shared" si="51"/>
        <v>1.8109942473769566E-2</v>
      </c>
      <c r="BA43" s="79">
        <f t="shared" si="51"/>
        <v>1.8097581220810666E-2</v>
      </c>
      <c r="BB43" s="79">
        <f t="shared" si="51"/>
        <v>1.8085188598915228E-2</v>
      </c>
      <c r="BC43" s="79">
        <f t="shared" si="51"/>
        <v>1.8072769940447715E-2</v>
      </c>
      <c r="BD43" s="79">
        <f t="shared" si="51"/>
        <v>1.8060330389942904E-2</v>
      </c>
      <c r="BE43" s="79">
        <f t="shared" si="51"/>
        <v>1.8047874909141903E-2</v>
      </c>
      <c r="BF43" s="79">
        <f t="shared" si="51"/>
        <v>1.8035408281922446E-2</v>
      </c>
      <c r="BG43" s="79">
        <f t="shared" si="51"/>
        <v>1.8022935119122185E-2</v>
      </c>
      <c r="BH43" s="79">
        <f t="shared" si="51"/>
        <v>1.8010459863257181E-2</v>
      </c>
      <c r="BI43" s="79">
        <f t="shared" si="51"/>
        <v>1.7997986793137702E-2</v>
      </c>
      <c r="BJ43" s="79">
        <f t="shared" si="51"/>
        <v>1.7985520028380102E-2</v>
      </c>
      <c r="BK43" s="79">
        <f t="shared" si="51"/>
        <v>1.7973063533818341E-2</v>
      </c>
      <c r="BL43" s="79">
        <f t="shared" si="51"/>
        <v>1.7960621123816353E-2</v>
      </c>
      <c r="BM43" s="79">
        <f t="shared" si="51"/>
        <v>1.7948196466480108E-2</v>
      </c>
      <c r="BN43" s="79">
        <f t="shared" si="51"/>
        <v>1.7935793087774789E-2</v>
      </c>
      <c r="BO43" s="79">
        <f t="shared" si="51"/>
        <v>1.7923414375544372E-2</v>
      </c>
      <c r="BP43" s="79">
        <f t="shared" si="51"/>
        <v>1.7911063583438917E-2</v>
      </c>
      <c r="BQ43" s="79">
        <f t="shared" si="51"/>
        <v>1.7898743834747498E-2</v>
      </c>
      <c r="BR43" s="79">
        <f t="shared" ref="BR43:EC47" si="55">IF(BR$9&lt;=$K$6,RATE($K$6,1,BR89,0),"")</f>
        <v>1.7886458126141626E-2</v>
      </c>
      <c r="BS43" s="79">
        <f t="shared" si="55"/>
        <v>1.787420933132779E-2</v>
      </c>
      <c r="BT43" s="79">
        <f t="shared" si="49"/>
        <v>1.7862000204612347E-2</v>
      </c>
      <c r="BU43" s="79">
        <f t="shared" si="49"/>
        <v>1.7849833384380665E-2</v>
      </c>
      <c r="BV43" s="79">
        <f t="shared" si="49"/>
        <v>1.7837711396489816E-2</v>
      </c>
      <c r="BW43" s="79">
        <f t="shared" si="49"/>
        <v>1.7825636657579219E-2</v>
      </c>
      <c r="BX43" s="79">
        <f t="shared" si="49"/>
        <v>1.7813611478298921E-2</v>
      </c>
      <c r="BY43" s="79">
        <f t="shared" si="49"/>
        <v>1.7801638066457112E-2</v>
      </c>
      <c r="BZ43" s="79">
        <f t="shared" si="49"/>
        <v>1.7789718530090211E-2</v>
      </c>
      <c r="CA43" s="79">
        <f t="shared" si="49"/>
        <v>1.7777854880454021E-2</v>
      </c>
      <c r="CB43" s="79">
        <f t="shared" si="49"/>
        <v>1.7766049034940785E-2</v>
      </c>
      <c r="CC43" s="79">
        <f t="shared" si="49"/>
        <v>1.7754302819921103E-2</v>
      </c>
      <c r="CD43" s="79">
        <f t="shared" si="49"/>
        <v>1.7742617973514164E-2</v>
      </c>
      <c r="CE43" s="79">
        <f t="shared" si="49"/>
        <v>1.7730996148285827E-2</v>
      </c>
      <c r="CF43" s="79">
        <f t="shared" si="49"/>
        <v>1.7719438913877748E-2</v>
      </c>
      <c r="CG43" s="79">
        <f t="shared" si="49"/>
        <v>1.7707947759568847E-2</v>
      </c>
      <c r="CH43" s="79">
        <f t="shared" si="49"/>
        <v>1.7696524096768793E-2</v>
      </c>
      <c r="CI43" s="79">
        <f t="shared" si="49"/>
        <v>1.7685169261447902E-2</v>
      </c>
      <c r="CJ43" s="79">
        <f t="shared" si="49"/>
        <v>1.7673884516501363E-2</v>
      </c>
      <c r="CK43" s="79">
        <f t="shared" si="49"/>
        <v>1.7662671054053555E-2</v>
      </c>
      <c r="CL43" s="79">
        <f t="shared" si="49"/>
        <v>1.7651529997698926E-2</v>
      </c>
      <c r="CM43" s="79">
        <f t="shared" si="49"/>
        <v>1.7640462404684872E-2</v>
      </c>
      <c r="CN43" s="79">
        <f t="shared" si="49"/>
        <v>1.762946926803606E-2</v>
      </c>
      <c r="CO43" s="79">
        <f t="shared" si="49"/>
        <v>1.7618551518621305E-2</v>
      </c>
      <c r="CP43" s="79">
        <f t="shared" si="49"/>
        <v>1.7607710027165459E-2</v>
      </c>
      <c r="CQ43" s="79">
        <f t="shared" si="49"/>
        <v>1.7596945606207275E-2</v>
      </c>
      <c r="CR43" s="79">
        <f t="shared" si="49"/>
        <v>1.7586259012002677E-2</v>
      </c>
      <c r="CS43" s="79">
        <f t="shared" si="49"/>
        <v>1.7575650946378998E-2</v>
      </c>
      <c r="CT43" s="79">
        <f t="shared" si="49"/>
        <v>1.7565122058535484E-2</v>
      </c>
      <c r="CU43" s="79">
        <f t="shared" si="49"/>
        <v>1.755467294679712E-2</v>
      </c>
      <c r="CV43" s="79">
        <f t="shared" si="49"/>
        <v>1.7544304160319039E-2</v>
      </c>
      <c r="CW43" s="79">
        <f t="shared" si="49"/>
        <v>1.7534016200743775E-2</v>
      </c>
      <c r="CX43" s="79">
        <f t="shared" si="49"/>
        <v>1.7523809523813674E-2</v>
      </c>
      <c r="CY43" s="79">
        <f t="shared" si="49"/>
        <v>1.7523809523813674E-2</v>
      </c>
      <c r="CZ43" s="79">
        <f t="shared" si="49"/>
        <v>1.7523809523813674E-2</v>
      </c>
      <c r="DA43" s="79">
        <f t="shared" si="49"/>
        <v>1.7523809523813674E-2</v>
      </c>
      <c r="DB43" s="79">
        <f t="shared" si="49"/>
        <v>1.7523809523813674E-2</v>
      </c>
      <c r="DC43" s="79">
        <f t="shared" si="49"/>
        <v>1.7523809523813674E-2</v>
      </c>
      <c r="DD43" s="79">
        <f t="shared" si="49"/>
        <v>1.7523809523813674E-2</v>
      </c>
      <c r="DE43" s="79">
        <f t="shared" si="49"/>
        <v>1.7523809523813674E-2</v>
      </c>
      <c r="DF43" s="79">
        <f t="shared" si="49"/>
        <v>1.7523809523813674E-2</v>
      </c>
      <c r="DG43" s="79">
        <f t="shared" si="49"/>
        <v>1.7523809523813674E-2</v>
      </c>
      <c r="DH43" s="79">
        <f t="shared" si="49"/>
        <v>1.7523809523813674E-2</v>
      </c>
      <c r="DI43" s="79">
        <f t="shared" si="49"/>
        <v>1.7523809523813674E-2</v>
      </c>
      <c r="DJ43" s="79">
        <f t="shared" si="49"/>
        <v>1.7523809523813674E-2</v>
      </c>
      <c r="DK43" s="79">
        <f t="shared" si="49"/>
        <v>1.7523809523813674E-2</v>
      </c>
      <c r="DL43" s="79">
        <f t="shared" si="49"/>
        <v>1.7523809523813674E-2</v>
      </c>
      <c r="DM43" s="79">
        <f t="shared" si="49"/>
        <v>1.7523809523813674E-2</v>
      </c>
      <c r="DN43" s="79">
        <f t="shared" si="49"/>
        <v>1.7523809523813674E-2</v>
      </c>
      <c r="DO43" s="79">
        <f t="shared" si="49"/>
        <v>1.7523809523813674E-2</v>
      </c>
      <c r="DP43" s="79">
        <f t="shared" si="49"/>
        <v>1.7523809523813674E-2</v>
      </c>
      <c r="DQ43" s="79">
        <f t="shared" si="49"/>
        <v>1.7523809523813674E-2</v>
      </c>
      <c r="DR43" s="79">
        <f t="shared" si="49"/>
        <v>1.7523809523813674E-2</v>
      </c>
      <c r="DS43" s="79">
        <f t="shared" si="49"/>
        <v>1.7523809523813674E-2</v>
      </c>
      <c r="DT43" s="79">
        <f t="shared" si="49"/>
        <v>1.7523809523813674E-2</v>
      </c>
      <c r="DU43" s="79">
        <f t="shared" si="49"/>
        <v>1.7523809523813674E-2</v>
      </c>
      <c r="DV43" s="79">
        <f t="shared" si="49"/>
        <v>1.7523809523813674E-2</v>
      </c>
      <c r="DW43" s="79">
        <f t="shared" si="49"/>
        <v>1.7523809523813674E-2</v>
      </c>
      <c r="DX43" s="79">
        <f t="shared" si="49"/>
        <v>1.7523809523813674E-2</v>
      </c>
      <c r="DY43" s="79">
        <f t="shared" si="49"/>
        <v>1.7523809523813674E-2</v>
      </c>
      <c r="DZ43" s="79">
        <f t="shared" si="49"/>
        <v>1.7523809523813674E-2</v>
      </c>
      <c r="EA43" s="79">
        <f t="shared" si="49"/>
        <v>1.7523809523813674E-2</v>
      </c>
      <c r="EB43" s="79">
        <f t="shared" si="49"/>
        <v>1.7523809523813674E-2</v>
      </c>
      <c r="EC43" s="79">
        <f t="shared" si="49"/>
        <v>1.7523809523813674E-2</v>
      </c>
      <c r="ED43" s="79">
        <f t="shared" si="39"/>
        <v>1.7523809523813674E-2</v>
      </c>
      <c r="EE43" s="79">
        <f t="shared" si="28"/>
        <v>1.7523809523813674E-2</v>
      </c>
      <c r="EF43" s="79">
        <f t="shared" ref="EF43:ET43" si="56">IF(EF$9&lt;=$K$6,RATE($K$6,1,EF89,0),"")</f>
        <v>1.7523809523813674E-2</v>
      </c>
      <c r="EG43" s="79">
        <f t="shared" si="56"/>
        <v>1.7523809523813674E-2</v>
      </c>
      <c r="EH43" s="79">
        <f t="shared" si="56"/>
        <v>1.7523809523813674E-2</v>
      </c>
      <c r="EI43" s="79">
        <f t="shared" si="56"/>
        <v>1.7523809523813674E-2</v>
      </c>
      <c r="EJ43" s="79">
        <f t="shared" si="56"/>
        <v>1.7523809523813674E-2</v>
      </c>
      <c r="EK43" s="79">
        <f t="shared" si="56"/>
        <v>1.7523809523813674E-2</v>
      </c>
      <c r="EL43" s="79">
        <f t="shared" si="56"/>
        <v>1.7523809523813674E-2</v>
      </c>
      <c r="EM43" s="79">
        <f t="shared" si="56"/>
        <v>1.7523809523813674E-2</v>
      </c>
      <c r="EN43" s="79">
        <f t="shared" si="56"/>
        <v>1.7523809523813674E-2</v>
      </c>
      <c r="EO43" s="79">
        <f t="shared" si="56"/>
        <v>1.7523809523813674E-2</v>
      </c>
      <c r="EP43" s="79">
        <f t="shared" si="56"/>
        <v>1.7523809523813674E-2</v>
      </c>
      <c r="EQ43" s="79">
        <f t="shared" si="56"/>
        <v>1.7523809523813674E-2</v>
      </c>
      <c r="ER43" s="79">
        <f t="shared" si="56"/>
        <v>1.7523809523813674E-2</v>
      </c>
      <c r="ES43" s="79">
        <f t="shared" si="56"/>
        <v>1.7523809523813674E-2</v>
      </c>
      <c r="ET43" s="79">
        <f t="shared" si="56"/>
        <v>1.7523809523813674E-2</v>
      </c>
      <c r="FF43" s="67" t="s">
        <v>1046</v>
      </c>
      <c r="FG43" s="696">
        <v>1.9799999999999998E-2</v>
      </c>
      <c r="FH43" s="696">
        <v>120</v>
      </c>
      <c r="FI43" s="696">
        <v>1.6500000000000001E-2</v>
      </c>
      <c r="FJ43" s="255">
        <v>1.37E-2</v>
      </c>
      <c r="FK43" s="71">
        <f t="shared" si="10"/>
        <v>1.452380952380952E-4</v>
      </c>
      <c r="FL43">
        <f>VLOOKUP(FF43,'SIMULADOR COM SALDO'!$BX$22:$CK$1000,13,FALSE)</f>
        <v>0</v>
      </c>
    </row>
    <row r="44" spans="6:168" x14ac:dyDescent="0.25">
      <c r="F44" s="97">
        <f t="shared" si="11"/>
        <v>1.7621428571428576E-2</v>
      </c>
      <c r="G44" s="79">
        <f t="shared" ref="G44:BR47" si="57">IF(G$9&lt;=$K$6,RATE($K$6,1,G90,0),"")</f>
        <v>1.8499450383497044E-2</v>
      </c>
      <c r="H44" s="79">
        <f t="shared" si="57"/>
        <v>1.849837069849361E-2</v>
      </c>
      <c r="I44" s="79">
        <f t="shared" si="57"/>
        <v>1.8496780016141304E-2</v>
      </c>
      <c r="J44" s="79">
        <f t="shared" si="57"/>
        <v>1.8494696937809123E-2</v>
      </c>
      <c r="K44" s="79">
        <f t="shared" si="57"/>
        <v>1.8492139602272306E-2</v>
      </c>
      <c r="L44" s="79">
        <f t="shared" si="57"/>
        <v>1.8489125692997817E-2</v>
      </c>
      <c r="M44" s="79">
        <f t="shared" si="57"/>
        <v>1.848567244551394E-2</v>
      </c>
      <c r="N44" s="79">
        <f t="shared" si="57"/>
        <v>1.8481796654847879E-2</v>
      </c>
      <c r="O44" s="79">
        <f t="shared" si="57"/>
        <v>1.8477514683019065E-2</v>
      </c>
      <c r="P44" s="79">
        <f t="shared" si="57"/>
        <v>1.8472842466574591E-2</v>
      </c>
      <c r="Q44" s="79">
        <f t="shared" si="57"/>
        <v>1.846779552415416E-2</v>
      </c>
      <c r="R44" s="79">
        <f t="shared" si="57"/>
        <v>1.8462388964073952E-2</v>
      </c>
      <c r="S44" s="79">
        <f t="shared" si="57"/>
        <v>1.8456637491918518E-2</v>
      </c>
      <c r="T44" s="79">
        <f t="shared" si="57"/>
        <v>1.8450555418129008E-2</v>
      </c>
      <c r="U44" s="79">
        <f t="shared" si="57"/>
        <v>1.8444156665581708E-2</v>
      </c>
      <c r="V44" s="79">
        <f t="shared" si="57"/>
        <v>1.8437454777144258E-2</v>
      </c>
      <c r="W44" s="79">
        <f t="shared" si="57"/>
        <v>1.8430462923203873E-2</v>
      </c>
      <c r="X44" s="79">
        <f t="shared" si="57"/>
        <v>1.8423193909158829E-2</v>
      </c>
      <c r="Y44" s="79">
        <f t="shared" si="57"/>
        <v>1.8415660182867222E-2</v>
      </c>
      <c r="Z44" s="79">
        <f t="shared" si="57"/>
        <v>1.8407873842043881E-2</v>
      </c>
      <c r="AA44" s="79">
        <f t="shared" si="57"/>
        <v>1.8399846641603341E-2</v>
      </c>
      <c r="AB44" s="79">
        <f t="shared" si="57"/>
        <v>1.8391590000938925E-2</v>
      </c>
      <c r="AC44" s="79">
        <f t="shared" si="57"/>
        <v>1.8383115011136656E-2</v>
      </c>
      <c r="AD44" s="79">
        <f t="shared" si="57"/>
        <v>1.8374432442116274E-2</v>
      </c>
      <c r="AE44" s="79">
        <f t="shared" si="57"/>
        <v>1.836555274969719E-2</v>
      </c>
      <c r="AF44" s="79">
        <f t="shared" si="57"/>
        <v>1.8356486082583476E-2</v>
      </c>
      <c r="AG44" s="79">
        <f t="shared" si="57"/>
        <v>1.8347242289267585E-2</v>
      </c>
      <c r="AH44" s="79">
        <f t="shared" si="57"/>
        <v>1.8337830924844575E-2</v>
      </c>
      <c r="AI44" s="79">
        <f t="shared" si="57"/>
        <v>1.8328261257739547E-2</v>
      </c>
      <c r="AJ44" s="79">
        <f t="shared" si="57"/>
        <v>1.831854227634187E-2</v>
      </c>
      <c r="AK44" s="79">
        <f t="shared" si="57"/>
        <v>1.8308682695544889E-2</v>
      </c>
      <c r="AL44" s="79">
        <f t="shared" si="57"/>
        <v>1.8298690963190638E-2</v>
      </c>
      <c r="AM44" s="79">
        <f t="shared" si="57"/>
        <v>1.8288575266415297E-2</v>
      </c>
      <c r="AN44" s="79">
        <f t="shared" si="57"/>
        <v>1.8278343537896508E-2</v>
      </c>
      <c r="AO44" s="79">
        <f t="shared" si="57"/>
        <v>1.8268003461999614E-2</v>
      </c>
      <c r="AP44" s="79">
        <f t="shared" si="57"/>
        <v>1.8257562480821957E-2</v>
      </c>
      <c r="AQ44" s="79">
        <f t="shared" si="57"/>
        <v>1.8247027800135946E-2</v>
      </c>
      <c r="AR44" s="79">
        <f t="shared" si="57"/>
        <v>1.8236406395227642E-2</v>
      </c>
      <c r="AS44" s="79">
        <f t="shared" si="57"/>
        <v>1.8225705016633877E-2</v>
      </c>
      <c r="AT44" s="79">
        <f t="shared" si="57"/>
        <v>1.8214930195773901E-2</v>
      </c>
      <c r="AU44" s="79">
        <f t="shared" si="57"/>
        <v>1.8204088250478832E-2</v>
      </c>
      <c r="AV44" s="79">
        <f t="shared" si="57"/>
        <v>1.8193185290416317E-2</v>
      </c>
      <c r="AW44" s="79">
        <f t="shared" si="57"/>
        <v>1.8182227222412264E-2</v>
      </c>
      <c r="AX44" s="79">
        <f t="shared" si="57"/>
        <v>1.8171219755670247E-2</v>
      </c>
      <c r="AY44" s="79">
        <f t="shared" si="57"/>
        <v>1.816016840688589E-2</v>
      </c>
      <c r="AZ44" s="79">
        <f t="shared" si="57"/>
        <v>1.8149078505261811E-2</v>
      </c>
      <c r="BA44" s="79">
        <f t="shared" si="57"/>
        <v>1.8137955197419297E-2</v>
      </c>
      <c r="BB44" s="79">
        <f t="shared" si="57"/>
        <v>1.8126803452209444E-2</v>
      </c>
      <c r="BC44" s="79">
        <f t="shared" si="57"/>
        <v>1.8115628065425021E-2</v>
      </c>
      <c r="BD44" s="79">
        <f t="shared" si="57"/>
        <v>1.8104433664412355E-2</v>
      </c>
      <c r="BE44" s="79">
        <f t="shared" si="57"/>
        <v>1.8093224712585572E-2</v>
      </c>
      <c r="BF44" s="79">
        <f t="shared" si="57"/>
        <v>1.8082005513843927E-2</v>
      </c>
      <c r="BG44" s="79">
        <f t="shared" si="57"/>
        <v>1.8070780216892179E-2</v>
      </c>
      <c r="BH44" s="79">
        <f t="shared" si="57"/>
        <v>1.805955281946775E-2</v>
      </c>
      <c r="BI44" s="79">
        <f t="shared" si="57"/>
        <v>1.8048327172471592E-2</v>
      </c>
      <c r="BJ44" s="79">
        <f t="shared" si="57"/>
        <v>1.8037106984010249E-2</v>
      </c>
      <c r="BK44" s="79">
        <f t="shared" si="57"/>
        <v>1.8025895823342644E-2</v>
      </c>
      <c r="BL44" s="79">
        <f t="shared" si="57"/>
        <v>1.8014697124739985E-2</v>
      </c>
      <c r="BM44" s="79">
        <f t="shared" si="57"/>
        <v>1.8003514191255929E-2</v>
      </c>
      <c r="BN44" s="79">
        <f t="shared" si="57"/>
        <v>1.799235019840912E-2</v>
      </c>
      <c r="BO44" s="79">
        <f t="shared" si="57"/>
        <v>1.7981208197780593E-2</v>
      </c>
      <c r="BP44" s="79">
        <f t="shared" si="57"/>
        <v>1.7970091120526267E-2</v>
      </c>
      <c r="BQ44" s="79">
        <f t="shared" si="57"/>
        <v>1.795900178080629E-2</v>
      </c>
      <c r="BR44" s="79">
        <f t="shared" si="57"/>
        <v>1.7947942879133389E-2</v>
      </c>
      <c r="BS44" s="79">
        <f t="shared" si="55"/>
        <v>1.7936917005639139E-2</v>
      </c>
      <c r="BT44" s="79">
        <f t="shared" si="55"/>
        <v>1.7925926643264069E-2</v>
      </c>
      <c r="BU44" s="79">
        <f t="shared" si="55"/>
        <v>1.7914974170868011E-2</v>
      </c>
      <c r="BV44" s="79">
        <f t="shared" si="55"/>
        <v>1.7904061866265253E-2</v>
      </c>
      <c r="BW44" s="79">
        <f t="shared" si="55"/>
        <v>1.7893191909185556E-2</v>
      </c>
      <c r="BX44" s="79">
        <f t="shared" si="55"/>
        <v>1.7882366384161456E-2</v>
      </c>
      <c r="BY44" s="79">
        <f t="shared" si="55"/>
        <v>1.7871587283344006E-2</v>
      </c>
      <c r="BZ44" s="79">
        <f t="shared" si="55"/>
        <v>1.7860856509247867E-2</v>
      </c>
      <c r="CA44" s="79">
        <f t="shared" si="55"/>
        <v>1.7850175877428792E-2</v>
      </c>
      <c r="CB44" s="79">
        <f t="shared" si="55"/>
        <v>1.783954711909104E-2</v>
      </c>
      <c r="CC44" s="79">
        <f t="shared" si="55"/>
        <v>1.7828971883631532E-2</v>
      </c>
      <c r="CD44" s="79">
        <f t="shared" si="55"/>
        <v>1.7818451741117063E-2</v>
      </c>
      <c r="CE44" s="79">
        <f t="shared" si="55"/>
        <v>1.7807988184699503E-2</v>
      </c>
      <c r="CF44" s="79">
        <f t="shared" si="55"/>
        <v>1.7797582632968E-2</v>
      </c>
      <c r="CG44" s="79">
        <f t="shared" si="55"/>
        <v>1.7787236432240804E-2</v>
      </c>
      <c r="CH44" s="79">
        <f t="shared" si="55"/>
        <v>1.7776950858797505E-2</v>
      </c>
      <c r="CI44" s="79">
        <f t="shared" si="55"/>
        <v>1.7766727121053913E-2</v>
      </c>
      <c r="CJ44" s="79">
        <f t="shared" si="55"/>
        <v>1.7756566361678463E-2</v>
      </c>
      <c r="CK44" s="79">
        <f t="shared" si="55"/>
        <v>1.7746469659654988E-2</v>
      </c>
      <c r="CL44" s="79">
        <f t="shared" si="55"/>
        <v>1.7736438032289744E-2</v>
      </c>
      <c r="CM44" s="79">
        <f t="shared" si="55"/>
        <v>1.7726472437165863E-2</v>
      </c>
      <c r="CN44" s="79">
        <f t="shared" si="55"/>
        <v>1.771657377404565E-2</v>
      </c>
      <c r="CO44" s="79">
        <f t="shared" si="55"/>
        <v>1.7706742886722724E-2</v>
      </c>
      <c r="CP44" s="79">
        <f t="shared" si="55"/>
        <v>1.7696980564824133E-2</v>
      </c>
      <c r="CQ44" s="79">
        <f t="shared" si="55"/>
        <v>1.7687287545564052E-2</v>
      </c>
      <c r="CR44" s="79">
        <f t="shared" si="55"/>
        <v>1.7677664515450366E-2</v>
      </c>
      <c r="CS44" s="79">
        <f t="shared" si="55"/>
        <v>1.7668112111945702E-2</v>
      </c>
      <c r="CT44" s="79">
        <f t="shared" si="55"/>
        <v>1.7658630925082047E-2</v>
      </c>
      <c r="CU44" s="79">
        <f t="shared" si="55"/>
        <v>1.7649221499032797E-2</v>
      </c>
      <c r="CV44" s="79">
        <f t="shared" si="55"/>
        <v>1.7639884333641317E-2</v>
      </c>
      <c r="CW44" s="79">
        <f t="shared" si="55"/>
        <v>1.7630619885907053E-2</v>
      </c>
      <c r="CX44" s="79">
        <f t="shared" si="55"/>
        <v>1.762142857143198E-2</v>
      </c>
      <c r="CY44" s="79">
        <f t="shared" si="55"/>
        <v>1.762142857143198E-2</v>
      </c>
      <c r="CZ44" s="79">
        <f t="shared" si="55"/>
        <v>1.762142857143198E-2</v>
      </c>
      <c r="DA44" s="79">
        <f t="shared" si="55"/>
        <v>1.762142857143198E-2</v>
      </c>
      <c r="DB44" s="79">
        <f t="shared" si="55"/>
        <v>1.762142857143198E-2</v>
      </c>
      <c r="DC44" s="79">
        <f t="shared" si="55"/>
        <v>1.762142857143198E-2</v>
      </c>
      <c r="DD44" s="79">
        <f t="shared" si="55"/>
        <v>1.762142857143198E-2</v>
      </c>
      <c r="DE44" s="79">
        <f t="shared" si="55"/>
        <v>1.762142857143198E-2</v>
      </c>
      <c r="DF44" s="79">
        <f t="shared" si="55"/>
        <v>1.762142857143198E-2</v>
      </c>
      <c r="DG44" s="79">
        <f t="shared" si="55"/>
        <v>1.762142857143198E-2</v>
      </c>
      <c r="DH44" s="79">
        <f t="shared" si="55"/>
        <v>1.762142857143198E-2</v>
      </c>
      <c r="DI44" s="79">
        <f t="shared" si="55"/>
        <v>1.762142857143198E-2</v>
      </c>
      <c r="DJ44" s="79">
        <f t="shared" si="55"/>
        <v>1.762142857143198E-2</v>
      </c>
      <c r="DK44" s="79">
        <f t="shared" si="55"/>
        <v>1.762142857143198E-2</v>
      </c>
      <c r="DL44" s="79">
        <f t="shared" si="55"/>
        <v>1.762142857143198E-2</v>
      </c>
      <c r="DM44" s="79">
        <f t="shared" si="55"/>
        <v>1.762142857143198E-2</v>
      </c>
      <c r="DN44" s="79">
        <f t="shared" si="55"/>
        <v>1.762142857143198E-2</v>
      </c>
      <c r="DO44" s="79">
        <f t="shared" si="55"/>
        <v>1.762142857143198E-2</v>
      </c>
      <c r="DP44" s="79">
        <f t="shared" si="55"/>
        <v>1.762142857143198E-2</v>
      </c>
      <c r="DQ44" s="79">
        <f t="shared" si="55"/>
        <v>1.762142857143198E-2</v>
      </c>
      <c r="DR44" s="79">
        <f t="shared" si="55"/>
        <v>1.762142857143198E-2</v>
      </c>
      <c r="DS44" s="79">
        <f t="shared" si="55"/>
        <v>1.762142857143198E-2</v>
      </c>
      <c r="DT44" s="79">
        <f t="shared" si="55"/>
        <v>1.762142857143198E-2</v>
      </c>
      <c r="DU44" s="79">
        <f t="shared" si="55"/>
        <v>1.762142857143198E-2</v>
      </c>
      <c r="DV44" s="79">
        <f t="shared" si="55"/>
        <v>1.762142857143198E-2</v>
      </c>
      <c r="DW44" s="79">
        <f t="shared" si="55"/>
        <v>1.762142857143198E-2</v>
      </c>
      <c r="DX44" s="79">
        <f t="shared" si="55"/>
        <v>1.762142857143198E-2</v>
      </c>
      <c r="DY44" s="79">
        <f t="shared" si="55"/>
        <v>1.762142857143198E-2</v>
      </c>
      <c r="DZ44" s="79">
        <f t="shared" si="55"/>
        <v>1.762142857143198E-2</v>
      </c>
      <c r="EA44" s="79">
        <f t="shared" si="55"/>
        <v>1.762142857143198E-2</v>
      </c>
      <c r="EB44" s="79">
        <f t="shared" si="55"/>
        <v>1.762142857143198E-2</v>
      </c>
      <c r="EC44" s="79">
        <f t="shared" si="55"/>
        <v>1.762142857143198E-2</v>
      </c>
      <c r="ED44" s="79">
        <f t="shared" si="39"/>
        <v>1.762142857143198E-2</v>
      </c>
      <c r="EE44" s="79">
        <f t="shared" si="28"/>
        <v>1.762142857143198E-2</v>
      </c>
      <c r="EF44" s="79">
        <f t="shared" ref="EF44:ET44" si="58">IF(EF$9&lt;=$K$6,RATE($K$6,1,EF90,0),"")</f>
        <v>1.762142857143198E-2</v>
      </c>
      <c r="EG44" s="79">
        <f t="shared" si="58"/>
        <v>1.762142857143198E-2</v>
      </c>
      <c r="EH44" s="79">
        <f t="shared" si="58"/>
        <v>1.762142857143198E-2</v>
      </c>
      <c r="EI44" s="79">
        <f t="shared" si="58"/>
        <v>1.762142857143198E-2</v>
      </c>
      <c r="EJ44" s="79">
        <f t="shared" si="58"/>
        <v>1.762142857143198E-2</v>
      </c>
      <c r="EK44" s="79">
        <f t="shared" si="58"/>
        <v>1.762142857143198E-2</v>
      </c>
      <c r="EL44" s="79">
        <f t="shared" si="58"/>
        <v>1.762142857143198E-2</v>
      </c>
      <c r="EM44" s="79">
        <f t="shared" si="58"/>
        <v>1.762142857143198E-2</v>
      </c>
      <c r="EN44" s="79">
        <f t="shared" si="58"/>
        <v>1.762142857143198E-2</v>
      </c>
      <c r="EO44" s="79">
        <f t="shared" si="58"/>
        <v>1.762142857143198E-2</v>
      </c>
      <c r="EP44" s="79">
        <f t="shared" si="58"/>
        <v>1.762142857143198E-2</v>
      </c>
      <c r="EQ44" s="79">
        <f t="shared" si="58"/>
        <v>1.762142857143198E-2</v>
      </c>
      <c r="ER44" s="79">
        <f t="shared" si="58"/>
        <v>1.762142857143198E-2</v>
      </c>
      <c r="ES44" s="79">
        <f t="shared" si="58"/>
        <v>1.762142857143198E-2</v>
      </c>
      <c r="ET44" s="79">
        <f t="shared" si="58"/>
        <v>1.762142857143198E-2</v>
      </c>
      <c r="FF44" s="67" t="s">
        <v>74</v>
      </c>
      <c r="FG44" s="696">
        <v>2.5000000000000001E-2</v>
      </c>
      <c r="FH44" s="696">
        <v>120</v>
      </c>
      <c r="FI44" s="696">
        <v>2.1000000000000001E-2</v>
      </c>
      <c r="FJ44" s="255">
        <v>1.8000000000000002E-2</v>
      </c>
      <c r="FK44" s="71">
        <f t="shared" si="10"/>
        <v>1.6666666666666666E-4</v>
      </c>
      <c r="FL44" t="e">
        <f>VLOOKUP(FF44,'SIMULADOR COM SALDO'!$BX$22:$CK$1000,13,FALSE)</f>
        <v>#N/A</v>
      </c>
    </row>
    <row r="45" spans="6:168" x14ac:dyDescent="0.25">
      <c r="F45" s="97">
        <f t="shared" si="11"/>
        <v>1.7719047619047624E-2</v>
      </c>
      <c r="G45" s="79">
        <f t="shared" si="57"/>
        <v>1.8499511498053033E-2</v>
      </c>
      <c r="H45" s="79">
        <f t="shared" si="57"/>
        <v>1.8498551909874549E-2</v>
      </c>
      <c r="I45" s="79">
        <f t="shared" si="57"/>
        <v>1.8497138220737896E-2</v>
      </c>
      <c r="J45" s="79">
        <f t="shared" si="57"/>
        <v>1.8495286992349886E-2</v>
      </c>
      <c r="K45" s="79">
        <f t="shared" si="57"/>
        <v>1.8493014369794138E-2</v>
      </c>
      <c r="L45" s="79">
        <f t="shared" si="57"/>
        <v>1.8490336088523952E-2</v>
      </c>
      <c r="M45" s="79">
        <f t="shared" si="57"/>
        <v>1.8487267481394742E-2</v>
      </c>
      <c r="N45" s="79">
        <f t="shared" si="57"/>
        <v>1.8483823485724638E-2</v>
      </c>
      <c r="O45" s="79">
        <f t="shared" si="57"/>
        <v>1.8480018650372108E-2</v>
      </c>
      <c r="P45" s="79">
        <f t="shared" si="57"/>
        <v>1.8475867142821661E-2</v>
      </c>
      <c r="Q45" s="79">
        <f t="shared" si="57"/>
        <v>1.8471382756268372E-2</v>
      </c>
      <c r="R45" s="79">
        <f t="shared" si="57"/>
        <v>1.8466578916691664E-2</v>
      </c>
      <c r="S45" s="79">
        <f t="shared" si="57"/>
        <v>1.8461468689912039E-2</v>
      </c>
      <c r="T45" s="79">
        <f t="shared" si="57"/>
        <v>1.8456064788620202E-2</v>
      </c>
      <c r="U45" s="79">
        <f t="shared" si="57"/>
        <v>1.8450379579375415E-2</v>
      </c>
      <c r="V45" s="79">
        <f t="shared" si="57"/>
        <v>1.8444425089563662E-2</v>
      </c>
      <c r="W45" s="79">
        <f t="shared" si="57"/>
        <v>1.8438213014310426E-2</v>
      </c>
      <c r="X45" s="79">
        <f t="shared" si="57"/>
        <v>1.8431754723342773E-2</v>
      </c>
      <c r="Y45" s="79">
        <f t="shared" si="57"/>
        <v>1.842506126779574E-2</v>
      </c>
      <c r="Z45" s="79">
        <f t="shared" si="57"/>
        <v>1.8418143386956791E-2</v>
      </c>
      <c r="AA45" s="79">
        <f t="shared" si="57"/>
        <v>1.8411011514946344E-2</v>
      </c>
      <c r="AB45" s="79">
        <f t="shared" si="57"/>
        <v>1.8403675787328773E-2</v>
      </c>
      <c r="AC45" s="79">
        <f t="shared" si="57"/>
        <v>1.8396146047649706E-2</v>
      </c>
      <c r="AD45" s="79">
        <f t="shared" si="57"/>
        <v>1.8388431853898431E-2</v>
      </c>
      <c r="AE45" s="79">
        <f t="shared" si="57"/>
        <v>1.8380542484890763E-2</v>
      </c>
      <c r="AF45" s="79">
        <f t="shared" si="57"/>
        <v>1.8372486946569552E-2</v>
      </c>
      <c r="AG45" s="79">
        <f t="shared" si="57"/>
        <v>1.8364273978222094E-2</v>
      </c>
      <c r="AH45" s="79">
        <f t="shared" si="57"/>
        <v>1.8355912058610799E-2</v>
      </c>
      <c r="AI45" s="79">
        <f t="shared" si="57"/>
        <v>1.8347409412015094E-2</v>
      </c>
      <c r="AJ45" s="79">
        <f t="shared" si="57"/>
        <v>1.8338774014184843E-2</v>
      </c>
      <c r="AK45" s="79">
        <f t="shared" si="57"/>
        <v>1.8330013598201331E-2</v>
      </c>
      <c r="AL45" s="79">
        <f t="shared" si="57"/>
        <v>1.8321135660247293E-2</v>
      </c>
      <c r="AM45" s="79">
        <f t="shared" si="57"/>
        <v>1.8312147465282168E-2</v>
      </c>
      <c r="AN45" s="79">
        <f t="shared" si="57"/>
        <v>1.8303056052624344E-2</v>
      </c>
      <c r="AO45" s="79">
        <f t="shared" si="57"/>
        <v>1.8293868241438631E-2</v>
      </c>
      <c r="AP45" s="79">
        <f t="shared" si="57"/>
        <v>1.8284590636127938E-2</v>
      </c>
      <c r="AQ45" s="79">
        <f t="shared" si="57"/>
        <v>1.8275229631629974E-2</v>
      </c>
      <c r="AR45" s="79">
        <f t="shared" si="57"/>
        <v>1.8265791418618799E-2</v>
      </c>
      <c r="AS45" s="79">
        <f t="shared" si="57"/>
        <v>1.8256281988609849E-2</v>
      </c>
      <c r="AT45" s="79">
        <f t="shared" si="57"/>
        <v>1.8246707138970357E-2</v>
      </c>
      <c r="AU45" s="79">
        <f t="shared" si="57"/>
        <v>1.8237072477833863E-2</v>
      </c>
      <c r="AV45" s="79">
        <f t="shared" si="57"/>
        <v>1.8227383428920933E-2</v>
      </c>
      <c r="AW45" s="79">
        <f t="shared" si="57"/>
        <v>1.8217645236264086E-2</v>
      </c>
      <c r="AX45" s="79">
        <f t="shared" si="57"/>
        <v>1.8207862968839847E-2</v>
      </c>
      <c r="AY45" s="79">
        <f t="shared" si="57"/>
        <v>1.8198041525106668E-2</v>
      </c>
      <c r="AZ45" s="79">
        <f t="shared" si="57"/>
        <v>1.8188185637451955E-2</v>
      </c>
      <c r="BA45" s="79">
        <f t="shared" si="57"/>
        <v>1.8178299876545099E-2</v>
      </c>
      <c r="BB45" s="79">
        <f t="shared" si="57"/>
        <v>1.8168388655601157E-2</v>
      </c>
      <c r="BC45" s="79">
        <f t="shared" si="57"/>
        <v>1.8158456234553994E-2</v>
      </c>
      <c r="BD45" s="79">
        <f t="shared" si="57"/>
        <v>1.8148506724140274E-2</v>
      </c>
      <c r="BE45" s="79">
        <f t="shared" si="57"/>
        <v>1.8138544089895479E-2</v>
      </c>
      <c r="BF45" s="79">
        <f t="shared" si="57"/>
        <v>1.8128572156063213E-2</v>
      </c>
      <c r="BG45" s="79">
        <f t="shared" si="57"/>
        <v>1.81185946094179E-2</v>
      </c>
      <c r="BH45" s="79">
        <f t="shared" si="57"/>
        <v>1.8108615003003078E-2</v>
      </c>
      <c r="BI45" s="79">
        <f t="shared" si="57"/>
        <v>1.8098636759786475E-2</v>
      </c>
      <c r="BJ45" s="79">
        <f t="shared" si="57"/>
        <v>1.8088663176231697E-2</v>
      </c>
      <c r="BK45" s="79">
        <f t="shared" si="57"/>
        <v>1.8078697425789457E-2</v>
      </c>
      <c r="BL45" s="79">
        <f t="shared" si="57"/>
        <v>1.8068742562308591E-2</v>
      </c>
      <c r="BM45" s="79">
        <f t="shared" si="57"/>
        <v>1.8058801523368202E-2</v>
      </c>
      <c r="BN45" s="79">
        <f t="shared" si="57"/>
        <v>1.804887713353236E-2</v>
      </c>
      <c r="BO45" s="79">
        <f t="shared" si="57"/>
        <v>1.8038972107528337E-2</v>
      </c>
      <c r="BP45" s="79">
        <f t="shared" si="57"/>
        <v>1.802908905335043E-2</v>
      </c>
      <c r="BQ45" s="79">
        <f t="shared" si="57"/>
        <v>1.8019230475290256E-2</v>
      </c>
      <c r="BR45" s="79">
        <f t="shared" si="57"/>
        <v>1.8009398776893303E-2</v>
      </c>
      <c r="BS45" s="79">
        <f t="shared" si="55"/>
        <v>1.7999596263846389E-2</v>
      </c>
      <c r="BT45" s="79">
        <f t="shared" si="55"/>
        <v>1.7989825146793974E-2</v>
      </c>
      <c r="BU45" s="79">
        <f t="shared" si="55"/>
        <v>1.7980087544086486E-2</v>
      </c>
      <c r="BV45" s="79">
        <f t="shared" si="55"/>
        <v>1.7970385484461712E-2</v>
      </c>
      <c r="BW45" s="79">
        <f t="shared" si="55"/>
        <v>1.7960720909659729E-2</v>
      </c>
      <c r="BX45" s="79">
        <f t="shared" si="55"/>
        <v>1.7951095676974099E-2</v>
      </c>
      <c r="BY45" s="79">
        <f t="shared" si="55"/>
        <v>1.7941511561738625E-2</v>
      </c>
      <c r="BZ45" s="79">
        <f t="shared" si="55"/>
        <v>1.7931970259753106E-2</v>
      </c>
      <c r="CA45" s="79">
        <f t="shared" si="55"/>
        <v>1.7922473389648058E-2</v>
      </c>
      <c r="CB45" s="79">
        <f t="shared" si="55"/>
        <v>1.7913022495188925E-2</v>
      </c>
      <c r="CC45" s="79">
        <f t="shared" si="55"/>
        <v>1.7903619047523675E-2</v>
      </c>
      <c r="CD45" s="79">
        <f t="shared" si="55"/>
        <v>1.7894264447372247E-2</v>
      </c>
      <c r="CE45" s="79">
        <f t="shared" si="55"/>
        <v>1.7884960027159669E-2</v>
      </c>
      <c r="CF45" s="79">
        <f t="shared" si="55"/>
        <v>1.7875707053095911E-2</v>
      </c>
      <c r="CG45" s="79">
        <f t="shared" si="55"/>
        <v>1.7866506727200832E-2</v>
      </c>
      <c r="CH45" s="79">
        <f t="shared" si="55"/>
        <v>1.7857360189277978E-2</v>
      </c>
      <c r="CI45" s="79">
        <f t="shared" si="55"/>
        <v>1.7848268518836471E-2</v>
      </c>
      <c r="CJ45" s="79">
        <f t="shared" si="55"/>
        <v>1.7839232736962325E-2</v>
      </c>
      <c r="CK45" s="79">
        <f t="shared" si="55"/>
        <v>1.7830253808142862E-2</v>
      </c>
      <c r="CL45" s="79">
        <f t="shared" si="55"/>
        <v>1.7821332642040624E-2</v>
      </c>
      <c r="CM45" s="79">
        <f t="shared" si="55"/>
        <v>1.7812470095222795E-2</v>
      </c>
      <c r="CN45" s="79">
        <f t="shared" si="55"/>
        <v>1.7803666972843392E-2</v>
      </c>
      <c r="CO45" s="79">
        <f t="shared" si="55"/>
        <v>1.7794924030282246E-2</v>
      </c>
      <c r="CP45" s="79">
        <f t="shared" si="55"/>
        <v>1.7786241974738565E-2</v>
      </c>
      <c r="CQ45" s="79">
        <f t="shared" si="55"/>
        <v>1.7777621466783713E-2</v>
      </c>
      <c r="CR45" s="79">
        <f t="shared" si="55"/>
        <v>1.7769063121871459E-2</v>
      </c>
      <c r="CS45" s="79">
        <f t="shared" si="55"/>
        <v>1.7760567511807528E-2</v>
      </c>
      <c r="CT45" s="79">
        <f t="shared" si="55"/>
        <v>1.7752135166180127E-2</v>
      </c>
      <c r="CU45" s="79">
        <f t="shared" si="55"/>
        <v>1.7743766573751166E-2</v>
      </c>
      <c r="CV45" s="79">
        <f t="shared" si="55"/>
        <v>1.7735462183809839E-2</v>
      </c>
      <c r="CW45" s="79">
        <f t="shared" si="55"/>
        <v>1.7727222407490192E-2</v>
      </c>
      <c r="CX45" s="79">
        <f t="shared" si="55"/>
        <v>1.7719047619050524E-2</v>
      </c>
      <c r="CY45" s="79">
        <f t="shared" si="55"/>
        <v>1.7719047619050524E-2</v>
      </c>
      <c r="CZ45" s="79">
        <f t="shared" si="55"/>
        <v>1.7719047619050524E-2</v>
      </c>
      <c r="DA45" s="79">
        <f t="shared" si="55"/>
        <v>1.7719047619050524E-2</v>
      </c>
      <c r="DB45" s="79">
        <f t="shared" si="55"/>
        <v>1.7719047619050524E-2</v>
      </c>
      <c r="DC45" s="79">
        <f t="shared" si="55"/>
        <v>1.7719047619050524E-2</v>
      </c>
      <c r="DD45" s="79">
        <f t="shared" si="55"/>
        <v>1.7719047619050524E-2</v>
      </c>
      <c r="DE45" s="79">
        <f t="shared" si="55"/>
        <v>1.7719047619050524E-2</v>
      </c>
      <c r="DF45" s="79">
        <f t="shared" si="55"/>
        <v>1.7719047619050524E-2</v>
      </c>
      <c r="DG45" s="79">
        <f t="shared" si="55"/>
        <v>1.7719047619050524E-2</v>
      </c>
      <c r="DH45" s="79">
        <f t="shared" si="55"/>
        <v>1.7719047619050524E-2</v>
      </c>
      <c r="DI45" s="79">
        <f t="shared" si="55"/>
        <v>1.7719047619050524E-2</v>
      </c>
      <c r="DJ45" s="79">
        <f t="shared" si="55"/>
        <v>1.7719047619050524E-2</v>
      </c>
      <c r="DK45" s="79">
        <f t="shared" si="55"/>
        <v>1.7719047619050524E-2</v>
      </c>
      <c r="DL45" s="79">
        <f t="shared" si="55"/>
        <v>1.7719047619050524E-2</v>
      </c>
      <c r="DM45" s="79">
        <f t="shared" si="55"/>
        <v>1.7719047619050524E-2</v>
      </c>
      <c r="DN45" s="79">
        <f t="shared" si="55"/>
        <v>1.7719047619050524E-2</v>
      </c>
      <c r="DO45" s="79">
        <f t="shared" si="55"/>
        <v>1.7719047619050524E-2</v>
      </c>
      <c r="DP45" s="79">
        <f t="shared" si="55"/>
        <v>1.7719047619050524E-2</v>
      </c>
      <c r="DQ45" s="79">
        <f t="shared" si="55"/>
        <v>1.7719047619050524E-2</v>
      </c>
      <c r="DR45" s="79">
        <f t="shared" si="55"/>
        <v>1.7719047619050524E-2</v>
      </c>
      <c r="DS45" s="79">
        <f t="shared" si="55"/>
        <v>1.7719047619050524E-2</v>
      </c>
      <c r="DT45" s="79">
        <f t="shared" si="55"/>
        <v>1.7719047619050524E-2</v>
      </c>
      <c r="DU45" s="79">
        <f t="shared" si="55"/>
        <v>1.7719047619050524E-2</v>
      </c>
      <c r="DV45" s="79">
        <f t="shared" si="55"/>
        <v>1.7719047619050524E-2</v>
      </c>
      <c r="DW45" s="79">
        <f t="shared" si="55"/>
        <v>1.7719047619050524E-2</v>
      </c>
      <c r="DX45" s="79">
        <f t="shared" si="55"/>
        <v>1.7719047619050524E-2</v>
      </c>
      <c r="DY45" s="79">
        <f t="shared" si="55"/>
        <v>1.7719047619050524E-2</v>
      </c>
      <c r="DZ45" s="79">
        <f t="shared" si="55"/>
        <v>1.7719047619050524E-2</v>
      </c>
      <c r="EA45" s="79">
        <f t="shared" si="55"/>
        <v>1.7719047619050524E-2</v>
      </c>
      <c r="EB45" s="79">
        <f t="shared" si="55"/>
        <v>1.7719047619050524E-2</v>
      </c>
      <c r="EC45" s="79">
        <f t="shared" si="55"/>
        <v>1.7719047619050524E-2</v>
      </c>
      <c r="ED45" s="79">
        <f t="shared" si="39"/>
        <v>1.7719047619050524E-2</v>
      </c>
      <c r="EE45" s="79">
        <f t="shared" si="28"/>
        <v>1.7719047619050524E-2</v>
      </c>
      <c r="EF45" s="79">
        <f t="shared" ref="EF45:ET45" si="59">IF(EF$9&lt;=$K$6,RATE($K$6,1,EF91,0),"")</f>
        <v>1.7719047619050524E-2</v>
      </c>
      <c r="EG45" s="79">
        <f t="shared" si="59"/>
        <v>1.7719047619050524E-2</v>
      </c>
      <c r="EH45" s="79">
        <f t="shared" si="59"/>
        <v>1.7719047619050524E-2</v>
      </c>
      <c r="EI45" s="79">
        <f t="shared" si="59"/>
        <v>1.7719047619050524E-2</v>
      </c>
      <c r="EJ45" s="79">
        <f t="shared" si="59"/>
        <v>1.7719047619050524E-2</v>
      </c>
      <c r="EK45" s="79">
        <f t="shared" si="59"/>
        <v>1.7719047619050524E-2</v>
      </c>
      <c r="EL45" s="79">
        <f t="shared" si="59"/>
        <v>1.7719047619050524E-2</v>
      </c>
      <c r="EM45" s="79">
        <f t="shared" si="59"/>
        <v>1.7719047619050524E-2</v>
      </c>
      <c r="EN45" s="79">
        <f t="shared" si="59"/>
        <v>1.7719047619050524E-2</v>
      </c>
      <c r="EO45" s="79">
        <f t="shared" si="59"/>
        <v>1.7719047619050524E-2</v>
      </c>
      <c r="EP45" s="79">
        <f t="shared" si="59"/>
        <v>1.7719047619050524E-2</v>
      </c>
      <c r="EQ45" s="79">
        <f t="shared" si="59"/>
        <v>1.7719047619050524E-2</v>
      </c>
      <c r="ER45" s="79">
        <f t="shared" si="59"/>
        <v>1.7719047619050524E-2</v>
      </c>
      <c r="ES45" s="79">
        <f t="shared" si="59"/>
        <v>1.7719047619050524E-2</v>
      </c>
      <c r="ET45" s="79">
        <f t="shared" si="59"/>
        <v>1.7719047619050524E-2</v>
      </c>
      <c r="FF45" s="6" t="s">
        <v>216</v>
      </c>
      <c r="FG45" s="696">
        <v>2.8999999999999998E-2</v>
      </c>
      <c r="FH45" s="696">
        <v>120</v>
      </c>
      <c r="FI45" s="696">
        <v>1.5700000000000002E-2</v>
      </c>
      <c r="FJ45" s="255">
        <v>1.3999999999999999E-2</v>
      </c>
      <c r="FK45" s="71">
        <f t="shared" si="10"/>
        <v>3.5714285714285714E-4</v>
      </c>
      <c r="FL45" t="e">
        <f>VLOOKUP(FF45,'SIMULADOR COM SALDO'!$BX$22:$CK$1000,13,FALSE)</f>
        <v>#N/A</v>
      </c>
    </row>
    <row r="46" spans="6:168" x14ac:dyDescent="0.25">
      <c r="F46" s="97">
        <f t="shared" si="11"/>
        <v>1.7816666666666672E-2</v>
      </c>
      <c r="G46" s="79">
        <f t="shared" si="57"/>
        <v>1.8499572601087703E-2</v>
      </c>
      <c r="H46" s="79">
        <f t="shared" si="57"/>
        <v>1.8498733076749898E-2</v>
      </c>
      <c r="I46" s="79">
        <f t="shared" si="57"/>
        <v>1.8497496318081737E-2</v>
      </c>
      <c r="J46" s="79">
        <f t="shared" si="57"/>
        <v>1.8495876840322438E-2</v>
      </c>
      <c r="K46" s="79">
        <f t="shared" si="57"/>
        <v>1.8493888789416948E-2</v>
      </c>
      <c r="L46" s="79">
        <f t="shared" si="57"/>
        <v>1.8491545948587904E-2</v>
      </c>
      <c r="M46" s="79">
        <f t="shared" si="57"/>
        <v>1.8488861744911385E-2</v>
      </c>
      <c r="N46" s="79">
        <f t="shared" si="57"/>
        <v>1.8485849255888309E-2</v>
      </c>
      <c r="O46" s="79">
        <f t="shared" si="57"/>
        <v>1.8482521216003311E-2</v>
      </c>
      <c r="P46" s="79">
        <f t="shared" si="57"/>
        <v>1.8478890023263254E-2</v>
      </c>
      <c r="Q46" s="79">
        <f t="shared" si="57"/>
        <v>1.8474967745711373E-2</v>
      </c>
      <c r="R46" s="79">
        <f t="shared" si="57"/>
        <v>1.847076612790801E-2</v>
      </c>
      <c r="S46" s="79">
        <f t="shared" si="57"/>
        <v>1.8466296597374185E-2</v>
      </c>
      <c r="T46" s="79">
        <f t="shared" si="57"/>
        <v>1.8461570270990688E-2</v>
      </c>
      <c r="U46" s="79">
        <f t="shared" si="57"/>
        <v>1.8456597961350504E-2</v>
      </c>
      <c r="V46" s="79">
        <f t="shared" si="57"/>
        <v>1.84513901830578E-2</v>
      </c>
      <c r="W46" s="79">
        <f t="shared" si="57"/>
        <v>1.8445957158969673E-2</v>
      </c>
      <c r="X46" s="79">
        <f t="shared" si="57"/>
        <v>1.8440308826377583E-2</v>
      </c>
      <c r="Y46" s="79">
        <f t="shared" si="57"/>
        <v>1.8434454843124844E-2</v>
      </c>
      <c r="Z46" s="79">
        <f t="shared" si="57"/>
        <v>1.8428404593655683E-2</v>
      </c>
      <c r="AA46" s="79">
        <f t="shared" si="57"/>
        <v>1.8422167194994631E-2</v>
      </c>
      <c r="AB46" s="79">
        <f t="shared" si="57"/>
        <v>1.8415751502653323E-2</v>
      </c>
      <c r="AC46" s="79">
        <f t="shared" si="57"/>
        <v>1.8409166116460554E-2</v>
      </c>
      <c r="AD46" s="79">
        <f t="shared" si="57"/>
        <v>1.8402419386316534E-2</v>
      </c>
      <c r="AE46" s="79">
        <f t="shared" si="57"/>
        <v>1.8395519417866539E-2</v>
      </c>
      <c r="AF46" s="79">
        <f t="shared" si="57"/>
        <v>1.8388474078094321E-2</v>
      </c>
      <c r="AG46" s="79">
        <f t="shared" si="57"/>
        <v>1.8381291000833109E-2</v>
      </c>
      <c r="AH46" s="79">
        <f t="shared" si="57"/>
        <v>1.8373977592192295E-2</v>
      </c>
      <c r="AI46" s="79">
        <f t="shared" si="57"/>
        <v>1.8366541035900998E-2</v>
      </c>
      <c r="AJ46" s="79">
        <f t="shared" si="57"/>
        <v>1.8358988298563899E-2</v>
      </c>
      <c r="AK46" s="79">
        <f t="shared" si="57"/>
        <v>1.8351326134833073E-2</v>
      </c>
      <c r="AL46" s="79">
        <f t="shared" si="57"/>
        <v>1.8343561092491939E-2</v>
      </c>
      <c r="AM46" s="79">
        <f t="shared" si="57"/>
        <v>1.8335699517452102E-2</v>
      </c>
      <c r="AN46" s="79">
        <f t="shared" si="57"/>
        <v>1.8327747558663194E-2</v>
      </c>
      <c r="AO46" s="79">
        <f t="shared" si="57"/>
        <v>1.8319711172935155E-2</v>
      </c>
      <c r="AP46" s="79">
        <f t="shared" si="57"/>
        <v>1.8311596129673091E-2</v>
      </c>
      <c r="AQ46" s="79">
        <f t="shared" si="57"/>
        <v>1.8303408015523926E-2</v>
      </c>
      <c r="AR46" s="79">
        <f t="shared" si="57"/>
        <v>1.8295152238937868E-2</v>
      </c>
      <c r="AS46" s="79">
        <f t="shared" si="57"/>
        <v>1.8286834034640341E-2</v>
      </c>
      <c r="AT46" s="79">
        <f t="shared" si="57"/>
        <v>1.8278458468020242E-2</v>
      </c>
      <c r="AU46" s="79">
        <f t="shared" si="57"/>
        <v>1.8270030439429853E-2</v>
      </c>
      <c r="AV46" s="79">
        <f t="shared" si="57"/>
        <v>1.8261554688400992E-2</v>
      </c>
      <c r="AW46" s="79">
        <f t="shared" si="57"/>
        <v>1.8253035797775687E-2</v>
      </c>
      <c r="AX46" s="79">
        <f t="shared" si="57"/>
        <v>1.8244478197753076E-2</v>
      </c>
      <c r="AY46" s="79">
        <f t="shared" si="57"/>
        <v>1.8235886169852583E-2</v>
      </c>
      <c r="AZ46" s="79">
        <f t="shared" si="57"/>
        <v>1.8227263850794675E-2</v>
      </c>
      <c r="BA46" s="79">
        <f t="shared" si="57"/>
        <v>1.8218615236301038E-2</v>
      </c>
      <c r="BB46" s="79">
        <f t="shared" si="57"/>
        <v>1.8209944184812268E-2</v>
      </c>
      <c r="BC46" s="79">
        <f t="shared" si="57"/>
        <v>1.8201254421126849E-2</v>
      </c>
      <c r="BD46" s="79">
        <f t="shared" si="57"/>
        <v>1.8192549539961488E-2</v>
      </c>
      <c r="BE46" s="79">
        <f t="shared" si="57"/>
        <v>1.8183833009432711E-2</v>
      </c>
      <c r="BF46" s="79">
        <f t="shared" si="57"/>
        <v>1.8175108174463047E-2</v>
      </c>
      <c r="BG46" s="79">
        <f t="shared" si="57"/>
        <v>1.8166378260109858E-2</v>
      </c>
      <c r="BH46" s="79">
        <f t="shared" si="57"/>
        <v>1.8157646374821118E-2</v>
      </c>
      <c r="BI46" s="79">
        <f t="shared" si="57"/>
        <v>1.8148915513616998E-2</v>
      </c>
      <c r="BJ46" s="79">
        <f t="shared" si="57"/>
        <v>1.8140188561198582E-2</v>
      </c>
      <c r="BK46" s="79">
        <f t="shared" si="57"/>
        <v>1.8131468294986942E-2</v>
      </c>
      <c r="BL46" s="79">
        <f t="shared" si="57"/>
        <v>1.812275738808989E-2</v>
      </c>
      <c r="BM46" s="79">
        <f t="shared" si="57"/>
        <v>1.811405841220216E-2</v>
      </c>
      <c r="BN46" s="79">
        <f t="shared" si="57"/>
        <v>1.8105373840435899E-2</v>
      </c>
      <c r="BO46" s="79">
        <f t="shared" si="57"/>
        <v>1.8096706050085745E-2</v>
      </c>
      <c r="BP46" s="79">
        <f t="shared" si="57"/>
        <v>1.8088057325328057E-2</v>
      </c>
      <c r="BQ46" s="79">
        <f t="shared" si="57"/>
        <v>1.8079429859856017E-2</v>
      </c>
      <c r="BR46" s="79">
        <f t="shared" si="57"/>
        <v>1.8070825759451549E-2</v>
      </c>
      <c r="BS46" s="79">
        <f t="shared" si="55"/>
        <v>1.8062247044495276E-2</v>
      </c>
      <c r="BT46" s="79">
        <f t="shared" si="55"/>
        <v>1.805369565241622E-2</v>
      </c>
      <c r="BU46" s="79">
        <f t="shared" si="55"/>
        <v>1.8045173440081021E-2</v>
      </c>
      <c r="BV46" s="79">
        <f t="shared" si="55"/>
        <v>1.8036682186126043E-2</v>
      </c>
      <c r="BW46" s="79">
        <f t="shared" si="55"/>
        <v>1.802822359323069E-2</v>
      </c>
      <c r="BX46" s="79">
        <f t="shared" si="55"/>
        <v>1.801979929033572E-2</v>
      </c>
      <c r="BY46" s="79">
        <f t="shared" si="55"/>
        <v>1.8011410834806094E-2</v>
      </c>
      <c r="BZ46" s="79">
        <f t="shared" si="55"/>
        <v>1.8003059714540276E-2</v>
      </c>
      <c r="CA46" s="79">
        <f t="shared" si="55"/>
        <v>1.7994747350026184E-2</v>
      </c>
      <c r="CB46" s="79">
        <f t="shared" si="55"/>
        <v>1.798647509634561E-2</v>
      </c>
      <c r="CC46" s="79">
        <f t="shared" si="55"/>
        <v>1.797824424512898E-2</v>
      </c>
      <c r="CD46" s="79">
        <f t="shared" si="55"/>
        <v>1.797005602645917E-2</v>
      </c>
      <c r="CE46" s="79">
        <f t="shared" si="55"/>
        <v>1.7961911610727591E-2</v>
      </c>
      <c r="CF46" s="79">
        <f t="shared" si="55"/>
        <v>1.7953812110443227E-2</v>
      </c>
      <c r="CG46" s="79">
        <f t="shared" si="55"/>
        <v>1.7945758581994424E-2</v>
      </c>
      <c r="CH46" s="79">
        <f t="shared" si="55"/>
        <v>1.7937752027365611E-2</v>
      </c>
      <c r="CI46" s="79">
        <f t="shared" si="55"/>
        <v>1.7929793395810741E-2</v>
      </c>
      <c r="CJ46" s="79">
        <f t="shared" si="55"/>
        <v>1.792188358548117E-2</v>
      </c>
      <c r="CK46" s="79">
        <f t="shared" si="55"/>
        <v>1.7914023445013461E-2</v>
      </c>
      <c r="CL46" s="79">
        <f t="shared" si="55"/>
        <v>1.7906213775073811E-2</v>
      </c>
      <c r="CM46" s="79">
        <f t="shared" si="55"/>
        <v>1.7898455329863398E-2</v>
      </c>
      <c r="CN46" s="79">
        <f t="shared" si="55"/>
        <v>1.7890748818583338E-2</v>
      </c>
      <c r="CO46" s="79">
        <f t="shared" si="55"/>
        <v>1.788309490686156E-2</v>
      </c>
      <c r="CP46" s="79">
        <f t="shared" si="55"/>
        <v>1.7875494218140803E-2</v>
      </c>
      <c r="CQ46" s="79">
        <f t="shared" si="55"/>
        <v>1.786794733503113E-2</v>
      </c>
      <c r="CR46" s="79">
        <f t="shared" si="55"/>
        <v>1.7860454800625928E-2</v>
      </c>
      <c r="CS46" s="79">
        <f t="shared" si="55"/>
        <v>1.7853017119781715E-2</v>
      </c>
      <c r="CT46" s="79">
        <f t="shared" si="55"/>
        <v>1.7845634760365492E-2</v>
      </c>
      <c r="CU46" s="79">
        <f t="shared" si="55"/>
        <v>1.7838308154466773E-2</v>
      </c>
      <c r="CV46" s="79">
        <f t="shared" si="55"/>
        <v>1.7831037699577734E-2</v>
      </c>
      <c r="CW46" s="79">
        <f t="shared" si="55"/>
        <v>1.7823823759741595E-2</v>
      </c>
      <c r="CX46" s="79">
        <f t="shared" si="55"/>
        <v>1.7816666666669249E-2</v>
      </c>
      <c r="CY46" s="79">
        <f t="shared" si="55"/>
        <v>1.7816666666669249E-2</v>
      </c>
      <c r="CZ46" s="79">
        <f t="shared" si="55"/>
        <v>1.7816666666669249E-2</v>
      </c>
      <c r="DA46" s="79">
        <f t="shared" si="55"/>
        <v>1.7816666666669249E-2</v>
      </c>
      <c r="DB46" s="79">
        <f t="shared" si="55"/>
        <v>1.7816666666669249E-2</v>
      </c>
      <c r="DC46" s="79">
        <f t="shared" si="55"/>
        <v>1.7816666666669249E-2</v>
      </c>
      <c r="DD46" s="79">
        <f t="shared" si="55"/>
        <v>1.7816666666669249E-2</v>
      </c>
      <c r="DE46" s="79">
        <f t="shared" si="55"/>
        <v>1.7816666666669249E-2</v>
      </c>
      <c r="DF46" s="79">
        <f t="shared" si="55"/>
        <v>1.7816666666669249E-2</v>
      </c>
      <c r="DG46" s="79">
        <f t="shared" si="55"/>
        <v>1.7816666666669249E-2</v>
      </c>
      <c r="DH46" s="79">
        <f t="shared" si="55"/>
        <v>1.7816666666669249E-2</v>
      </c>
      <c r="DI46" s="79">
        <f t="shared" si="55"/>
        <v>1.7816666666669249E-2</v>
      </c>
      <c r="DJ46" s="79">
        <f t="shared" si="55"/>
        <v>1.7816666666669249E-2</v>
      </c>
      <c r="DK46" s="79">
        <f t="shared" si="55"/>
        <v>1.7816666666669249E-2</v>
      </c>
      <c r="DL46" s="79">
        <f t="shared" si="55"/>
        <v>1.7816666666669249E-2</v>
      </c>
      <c r="DM46" s="79">
        <f t="shared" si="55"/>
        <v>1.7816666666669249E-2</v>
      </c>
      <c r="DN46" s="79">
        <f t="shared" si="55"/>
        <v>1.7816666666669249E-2</v>
      </c>
      <c r="DO46" s="79">
        <f t="shared" si="55"/>
        <v>1.7816666666669249E-2</v>
      </c>
      <c r="DP46" s="79">
        <f t="shared" si="55"/>
        <v>1.7816666666669249E-2</v>
      </c>
      <c r="DQ46" s="79">
        <f t="shared" si="55"/>
        <v>1.7816666666669249E-2</v>
      </c>
      <c r="DR46" s="79">
        <f t="shared" si="55"/>
        <v>1.7816666666669249E-2</v>
      </c>
      <c r="DS46" s="79">
        <f t="shared" si="55"/>
        <v>1.7816666666669249E-2</v>
      </c>
      <c r="DT46" s="79">
        <f t="shared" si="55"/>
        <v>1.7816666666669249E-2</v>
      </c>
      <c r="DU46" s="79">
        <f t="shared" si="55"/>
        <v>1.7816666666669249E-2</v>
      </c>
      <c r="DV46" s="79">
        <f t="shared" si="55"/>
        <v>1.7816666666669249E-2</v>
      </c>
      <c r="DW46" s="79">
        <f t="shared" si="55"/>
        <v>1.7816666666669249E-2</v>
      </c>
      <c r="DX46" s="79">
        <f t="shared" si="55"/>
        <v>1.7816666666669249E-2</v>
      </c>
      <c r="DY46" s="79">
        <f t="shared" si="55"/>
        <v>1.7816666666669249E-2</v>
      </c>
      <c r="DZ46" s="79">
        <f t="shared" si="55"/>
        <v>1.7816666666669249E-2</v>
      </c>
      <c r="EA46" s="79">
        <f t="shared" si="55"/>
        <v>1.7816666666669249E-2</v>
      </c>
      <c r="EB46" s="79">
        <f t="shared" si="55"/>
        <v>1.7816666666669249E-2</v>
      </c>
      <c r="EC46" s="79">
        <f t="shared" si="55"/>
        <v>1.7816666666669249E-2</v>
      </c>
      <c r="ED46" s="79">
        <f t="shared" ref="ED46:ET53" si="60">IF(ED$9&lt;=$K$6,RATE($K$6,1,ED92,0),"")</f>
        <v>1.7816666666669249E-2</v>
      </c>
      <c r="EE46" s="79">
        <f t="shared" si="60"/>
        <v>1.7816666666669249E-2</v>
      </c>
      <c r="EF46" s="79">
        <f t="shared" si="60"/>
        <v>1.7816666666669249E-2</v>
      </c>
      <c r="EG46" s="79">
        <f t="shared" si="60"/>
        <v>1.7816666666669249E-2</v>
      </c>
      <c r="EH46" s="79">
        <f t="shared" si="60"/>
        <v>1.7816666666669249E-2</v>
      </c>
      <c r="EI46" s="79">
        <f t="shared" si="60"/>
        <v>1.7816666666669249E-2</v>
      </c>
      <c r="EJ46" s="79">
        <f t="shared" si="60"/>
        <v>1.7816666666669249E-2</v>
      </c>
      <c r="EK46" s="79">
        <f t="shared" si="60"/>
        <v>1.7816666666669249E-2</v>
      </c>
      <c r="EL46" s="79">
        <f t="shared" si="60"/>
        <v>1.7816666666669249E-2</v>
      </c>
      <c r="EM46" s="79">
        <f t="shared" si="60"/>
        <v>1.7816666666669249E-2</v>
      </c>
      <c r="EN46" s="79">
        <f t="shared" si="60"/>
        <v>1.7816666666669249E-2</v>
      </c>
      <c r="EO46" s="79">
        <f t="shared" si="60"/>
        <v>1.7816666666669249E-2</v>
      </c>
      <c r="EP46" s="79">
        <f t="shared" si="60"/>
        <v>1.7816666666669249E-2</v>
      </c>
      <c r="EQ46" s="79">
        <f t="shared" si="60"/>
        <v>1.7816666666669249E-2</v>
      </c>
      <c r="ER46" s="79">
        <f t="shared" si="60"/>
        <v>1.7816666666669249E-2</v>
      </c>
      <c r="ES46" s="79">
        <f t="shared" si="60"/>
        <v>1.7816666666669249E-2</v>
      </c>
      <c r="ET46" s="79">
        <f t="shared" si="60"/>
        <v>1.7816666666669249E-2</v>
      </c>
      <c r="FF46" s="6" t="s">
        <v>380</v>
      </c>
      <c r="FG46" s="696">
        <v>2.5000000000000001E-2</v>
      </c>
      <c r="FH46" s="696">
        <v>96</v>
      </c>
      <c r="FI46" s="696">
        <v>1.7500000000000002E-2</v>
      </c>
      <c r="FJ46" s="255">
        <v>1.47E-2</v>
      </c>
      <c r="FK46" s="71">
        <f t="shared" si="10"/>
        <v>2.452380952380953E-4</v>
      </c>
      <c r="FL46" t="e">
        <f>VLOOKUP(FF46,'SIMULADOR COM SALDO'!$BX$22:$CK$1000,13,FALSE)</f>
        <v>#N/A</v>
      </c>
    </row>
    <row r="47" spans="6:168" x14ac:dyDescent="0.25">
      <c r="F47" s="97">
        <f t="shared" si="11"/>
        <v>1.7914285714285719E-2</v>
      </c>
      <c r="G47" s="79">
        <f t="shared" si="57"/>
        <v>1.8499633692603896E-2</v>
      </c>
      <c r="H47" s="79">
        <f t="shared" si="57"/>
        <v>1.8498914199134651E-2</v>
      </c>
      <c r="I47" s="79">
        <f t="shared" si="57"/>
        <v>1.8497854308215395E-2</v>
      </c>
      <c r="J47" s="79">
        <f t="shared" si="57"/>
        <v>1.8496466481819556E-2</v>
      </c>
      <c r="K47" s="79">
        <f t="shared" si="57"/>
        <v>1.849476286131246E-2</v>
      </c>
      <c r="L47" s="79">
        <f t="shared" si="57"/>
        <v>1.8492755273474614E-2</v>
      </c>
      <c r="M47" s="79">
        <f t="shared" si="57"/>
        <v>1.8490455236500634E-2</v>
      </c>
      <c r="N47" s="79">
        <f t="shared" si="57"/>
        <v>1.8487873965969574E-2</v>
      </c>
      <c r="O47" s="79">
        <f t="shared" si="57"/>
        <v>1.8485022380779838E-2</v>
      </c>
      <c r="P47" s="79">
        <f t="shared" si="57"/>
        <v>1.8481911109045384E-2</v>
      </c>
      <c r="Q47" s="79">
        <f t="shared" si="57"/>
        <v>1.8478550493948389E-2</v>
      </c>
      <c r="R47" s="79">
        <f t="shared" si="57"/>
        <v>1.8474950599543589E-2</v>
      </c>
      <c r="S47" s="79">
        <f t="shared" si="57"/>
        <v>1.8471121216511878E-2</v>
      </c>
      <c r="T47" s="79">
        <f t="shared" si="57"/>
        <v>1.8467071867858391E-2</v>
      </c>
      <c r="U47" s="79">
        <f t="shared" si="57"/>
        <v>1.8462811814552681E-2</v>
      </c>
      <c r="V47" s="79">
        <f t="shared" si="57"/>
        <v>1.8458350061108159E-2</v>
      </c>
      <c r="W47" s="79">
        <f t="shared" si="57"/>
        <v>1.8453695361097405E-2</v>
      </c>
      <c r="X47" s="79">
        <f t="shared" si="57"/>
        <v>1.84488562226022E-2</v>
      </c>
      <c r="Y47" s="79">
        <f t="shared" si="57"/>
        <v>1.8443840913594637E-2</v>
      </c>
      <c r="Z47" s="79">
        <f t="shared" si="57"/>
        <v>1.8438657467249136E-2</v>
      </c>
      <c r="AA47" s="79">
        <f t="shared" si="57"/>
        <v>1.8433313687181686E-2</v>
      </c>
      <c r="AB47" s="79">
        <f t="shared" si="57"/>
        <v>1.8427817152616949E-2</v>
      </c>
      <c r="AC47" s="79">
        <f t="shared" si="57"/>
        <v>1.8422175223480358E-2</v>
      </c>
      <c r="AD47" s="79">
        <f t="shared" si="57"/>
        <v>1.8416395045414053E-2</v>
      </c>
      <c r="AE47" s="79">
        <f t="shared" si="57"/>
        <v>1.8410483554717052E-2</v>
      </c>
      <c r="AF47" s="79">
        <f t="shared" si="57"/>
        <v>1.8404447483207003E-2</v>
      </c>
      <c r="AG47" s="79">
        <f t="shared" si="57"/>
        <v>1.8398293363005809E-2</v>
      </c>
      <c r="AH47" s="79">
        <f t="shared" si="57"/>
        <v>1.8392027531243846E-2</v>
      </c>
      <c r="AI47" s="79">
        <f t="shared" si="57"/>
        <v>1.83856561346873E-2</v>
      </c>
      <c r="AJ47" s="79">
        <f t="shared" si="57"/>
        <v>1.8379185134285842E-2</v>
      </c>
      <c r="AK47" s="79">
        <f t="shared" si="57"/>
        <v>1.837262030964059E-2</v>
      </c>
      <c r="AL47" s="79">
        <f t="shared" si="57"/>
        <v>1.8365967263392437E-2</v>
      </c>
      <c r="AM47" s="79">
        <f t="shared" si="57"/>
        <v>1.8359231425531829E-2</v>
      </c>
      <c r="AN47" s="79">
        <f t="shared" si="57"/>
        <v>1.8352418057629015E-2</v>
      </c>
      <c r="AO47" s="79">
        <f t="shared" si="57"/>
        <v>1.8345532256985E-2</v>
      </c>
      <c r="AP47" s="79">
        <f t="shared" si="57"/>
        <v>1.8338578960704229E-2</v>
      </c>
      <c r="AQ47" s="79">
        <f t="shared" si="57"/>
        <v>1.8331562949689118E-2</v>
      </c>
      <c r="AR47" s="79">
        <f t="shared" si="57"/>
        <v>1.8324488852556924E-2</v>
      </c>
      <c r="AS47" s="79">
        <f t="shared" si="57"/>
        <v>1.8317361149478587E-2</v>
      </c>
      <c r="AT47" s="79">
        <f t="shared" si="57"/>
        <v>1.8310184175943132E-2</v>
      </c>
      <c r="AU47" s="79">
        <f t="shared" si="57"/>
        <v>1.8302962126442845E-2</v>
      </c>
      <c r="AV47" s="79">
        <f t="shared" si="57"/>
        <v>1.8295699058086687E-2</v>
      </c>
      <c r="AW47" s="79">
        <f t="shared" si="57"/>
        <v>1.8288398894136269E-2</v>
      </c>
      <c r="AX47" s="79">
        <f t="shared" si="57"/>
        <v>1.8281065427470492E-2</v>
      </c>
      <c r="AY47" s="79">
        <f t="shared" si="57"/>
        <v>1.8273702323975977E-2</v>
      </c>
      <c r="AZ47" s="79">
        <f t="shared" si="57"/>
        <v>1.8266313125865206E-2</v>
      </c>
      <c r="BA47" s="79">
        <f t="shared" si="57"/>
        <v>1.8258901254924995E-2</v>
      </c>
      <c r="BB47" s="79">
        <f t="shared" si="57"/>
        <v>1.8251470015693574E-2</v>
      </c>
      <c r="BC47" s="79">
        <f t="shared" si="57"/>
        <v>1.8244022598568391E-2</v>
      </c>
      <c r="BD47" s="79">
        <f t="shared" si="57"/>
        <v>1.8236562082846443E-2</v>
      </c>
      <c r="BE47" s="79">
        <f t="shared" si="57"/>
        <v>1.8229091439696667E-2</v>
      </c>
      <c r="BF47" s="79">
        <f t="shared" si="57"/>
        <v>1.822161353506609E-2</v>
      </c>
      <c r="BG47" s="79">
        <f t="shared" si="57"/>
        <v>1.8214131132520642E-2</v>
      </c>
      <c r="BH47" s="79">
        <f t="shared" si="57"/>
        <v>1.8206646896022131E-2</v>
      </c>
      <c r="BI47" s="79">
        <f t="shared" si="57"/>
        <v>1.8199163392641157E-2</v>
      </c>
      <c r="BJ47" s="79">
        <f t="shared" si="57"/>
        <v>1.8191683095208737E-2</v>
      </c>
      <c r="BK47" s="79">
        <f t="shared" si="57"/>
        <v>1.8184208384905694E-2</v>
      </c>
      <c r="BL47" s="79">
        <f t="shared" si="57"/>
        <v>1.8176741553792914E-2</v>
      </c>
      <c r="BM47" s="79">
        <f t="shared" si="57"/>
        <v>1.8169284807282079E-2</v>
      </c>
      <c r="BN47" s="79">
        <f t="shared" si="57"/>
        <v>1.8161840266548091E-2</v>
      </c>
      <c r="BO47" s="79">
        <f t="shared" si="57"/>
        <v>1.815440997088491E-2</v>
      </c>
      <c r="BP47" s="79">
        <f t="shared" si="57"/>
        <v>1.8146995880005526E-2</v>
      </c>
      <c r="BQ47" s="79">
        <f t="shared" si="57"/>
        <v>1.8139599876286588E-2</v>
      </c>
      <c r="BR47" s="79">
        <f t="shared" ref="BR47:EC51" si="61">IF(BR$9&lt;=$K$6,RATE($K$6,1,BR93,0),"")</f>
        <v>1.8132223766959506E-2</v>
      </c>
      <c r="BS47" s="79">
        <f t="shared" si="61"/>
        <v>1.8124869286248284E-2</v>
      </c>
      <c r="BT47" s="79">
        <f t="shared" si="55"/>
        <v>1.8117538097456583E-2</v>
      </c>
      <c r="BU47" s="79">
        <f t="shared" si="55"/>
        <v>1.8110231795002513E-2</v>
      </c>
      <c r="BV47" s="79">
        <f t="shared" si="55"/>
        <v>1.8102951906405013E-2</v>
      </c>
      <c r="BW47" s="79">
        <f t="shared" si="55"/>
        <v>1.8095699894220406E-2</v>
      </c>
      <c r="BX47" s="79">
        <f t="shared" si="55"/>
        <v>1.8088477157931684E-2</v>
      </c>
      <c r="BY47" s="79">
        <f t="shared" si="55"/>
        <v>1.8081285035791084E-2</v>
      </c>
      <c r="BZ47" s="79">
        <f t="shared" si="55"/>
        <v>1.8074124806616524E-2</v>
      </c>
      <c r="CA47" s="79">
        <f t="shared" si="55"/>
        <v>1.806699769154305E-2</v>
      </c>
      <c r="CB47" s="79">
        <f t="shared" si="55"/>
        <v>1.8059904855730891E-2</v>
      </c>
      <c r="CC47" s="79">
        <f t="shared" si="55"/>
        <v>1.8052847410029556E-2</v>
      </c>
      <c r="CD47" s="79">
        <f t="shared" si="55"/>
        <v>1.804582641260136E-2</v>
      </c>
      <c r="CE47" s="79">
        <f t="shared" si="55"/>
        <v>1.8038842870502159E-2</v>
      </c>
      <c r="CF47" s="79">
        <f t="shared" si="55"/>
        <v>1.8031897741222758E-2</v>
      </c>
      <c r="CG47" s="79">
        <f t="shared" si="55"/>
        <v>1.8024991934190587E-2</v>
      </c>
      <c r="CH47" s="79">
        <f t="shared" si="55"/>
        <v>1.8018126312233183E-2</v>
      </c>
      <c r="CI47" s="79">
        <f t="shared" si="55"/>
        <v>1.8011301693003624E-2</v>
      </c>
      <c r="CJ47" s="79">
        <f t="shared" si="55"/>
        <v>1.8004518850369057E-2</v>
      </c>
      <c r="CK47" s="79">
        <f t="shared" si="55"/>
        <v>1.7997778515764253E-2</v>
      </c>
      <c r="CL47" s="79">
        <f t="shared" si="55"/>
        <v>1.7991081379508184E-2</v>
      </c>
      <c r="CM47" s="79">
        <f t="shared" si="55"/>
        <v>1.7984428092088015E-2</v>
      </c>
      <c r="CN47" s="79">
        <f t="shared" si="55"/>
        <v>1.7977819265408562E-2</v>
      </c>
      <c r="CO47" s="79">
        <f t="shared" si="55"/>
        <v>1.7971255474008692E-2</v>
      </c>
      <c r="CP47" s="79">
        <f t="shared" si="55"/>
        <v>1.796473725624698E-2</v>
      </c>
      <c r="CQ47" s="79">
        <f t="shared" si="55"/>
        <v>1.7958265115453967E-2</v>
      </c>
      <c r="CR47" s="79">
        <f t="shared" si="55"/>
        <v>1.7951839521056303E-2</v>
      </c>
      <c r="CS47" s="79">
        <f t="shared" si="55"/>
        <v>1.7945460909668767E-2</v>
      </c>
      <c r="CT47" s="79">
        <f t="shared" si="55"/>
        <v>1.7939129686158829E-2</v>
      </c>
      <c r="CU47" s="79">
        <f t="shared" si="55"/>
        <v>1.7932846224681765E-2</v>
      </c>
      <c r="CV47" s="79">
        <f t="shared" si="55"/>
        <v>1.7926610869688178E-2</v>
      </c>
      <c r="CW47" s="79">
        <f t="shared" si="55"/>
        <v>1.7920423936904645E-2</v>
      </c>
      <c r="CX47" s="79">
        <f t="shared" si="55"/>
        <v>1.7914285714287791E-2</v>
      </c>
      <c r="CY47" s="79">
        <f t="shared" si="55"/>
        <v>1.7914285714287791E-2</v>
      </c>
      <c r="CZ47" s="79">
        <f t="shared" si="55"/>
        <v>1.7914285714287791E-2</v>
      </c>
      <c r="DA47" s="79">
        <f t="shared" si="55"/>
        <v>1.7914285714287791E-2</v>
      </c>
      <c r="DB47" s="79">
        <f t="shared" si="55"/>
        <v>1.7914285714287791E-2</v>
      </c>
      <c r="DC47" s="79">
        <f t="shared" si="55"/>
        <v>1.7914285714287791E-2</v>
      </c>
      <c r="DD47" s="79">
        <f t="shared" si="55"/>
        <v>1.7914285714287791E-2</v>
      </c>
      <c r="DE47" s="79">
        <f t="shared" si="55"/>
        <v>1.7914285714287791E-2</v>
      </c>
      <c r="DF47" s="79">
        <f t="shared" si="55"/>
        <v>1.7914285714287791E-2</v>
      </c>
      <c r="DG47" s="79">
        <f t="shared" si="55"/>
        <v>1.7914285714287791E-2</v>
      </c>
      <c r="DH47" s="79">
        <f t="shared" si="55"/>
        <v>1.7914285714287791E-2</v>
      </c>
      <c r="DI47" s="79">
        <f t="shared" si="55"/>
        <v>1.7914285714287791E-2</v>
      </c>
      <c r="DJ47" s="79">
        <f t="shared" si="55"/>
        <v>1.7914285714287791E-2</v>
      </c>
      <c r="DK47" s="79">
        <f t="shared" si="55"/>
        <v>1.7914285714287791E-2</v>
      </c>
      <c r="DL47" s="79">
        <f t="shared" si="55"/>
        <v>1.7914285714287791E-2</v>
      </c>
      <c r="DM47" s="79">
        <f t="shared" si="55"/>
        <v>1.7914285714287791E-2</v>
      </c>
      <c r="DN47" s="79">
        <f t="shared" si="55"/>
        <v>1.7914285714287791E-2</v>
      </c>
      <c r="DO47" s="79">
        <f t="shared" si="55"/>
        <v>1.7914285714287791E-2</v>
      </c>
      <c r="DP47" s="79">
        <f t="shared" si="55"/>
        <v>1.7914285714287791E-2</v>
      </c>
      <c r="DQ47" s="79">
        <f t="shared" si="55"/>
        <v>1.7914285714287791E-2</v>
      </c>
      <c r="DR47" s="79">
        <f t="shared" si="55"/>
        <v>1.7914285714287791E-2</v>
      </c>
      <c r="DS47" s="79">
        <f t="shared" si="55"/>
        <v>1.7914285714287791E-2</v>
      </c>
      <c r="DT47" s="79">
        <f t="shared" si="55"/>
        <v>1.7914285714287791E-2</v>
      </c>
      <c r="DU47" s="79">
        <f t="shared" si="55"/>
        <v>1.7914285714287791E-2</v>
      </c>
      <c r="DV47" s="79">
        <f t="shared" si="55"/>
        <v>1.7914285714287791E-2</v>
      </c>
      <c r="DW47" s="79">
        <f t="shared" si="55"/>
        <v>1.7914285714287791E-2</v>
      </c>
      <c r="DX47" s="79">
        <f t="shared" si="55"/>
        <v>1.7914285714287791E-2</v>
      </c>
      <c r="DY47" s="79">
        <f t="shared" si="55"/>
        <v>1.7914285714287791E-2</v>
      </c>
      <c r="DZ47" s="79">
        <f t="shared" si="55"/>
        <v>1.7914285714287791E-2</v>
      </c>
      <c r="EA47" s="79">
        <f t="shared" si="55"/>
        <v>1.7914285714287791E-2</v>
      </c>
      <c r="EB47" s="79">
        <f t="shared" si="55"/>
        <v>1.7914285714287791E-2</v>
      </c>
      <c r="EC47" s="79">
        <f t="shared" si="55"/>
        <v>1.7914285714287791E-2</v>
      </c>
      <c r="ED47" s="79">
        <f t="shared" si="60"/>
        <v>1.7914285714287791E-2</v>
      </c>
      <c r="EE47" s="79">
        <f t="shared" si="60"/>
        <v>1.7914285714287791E-2</v>
      </c>
      <c r="EF47" s="79">
        <f t="shared" si="60"/>
        <v>1.7914285714287791E-2</v>
      </c>
      <c r="EG47" s="79">
        <f t="shared" si="60"/>
        <v>1.7914285714287791E-2</v>
      </c>
      <c r="EH47" s="79">
        <f t="shared" si="60"/>
        <v>1.7914285714287791E-2</v>
      </c>
      <c r="EI47" s="79">
        <f t="shared" si="60"/>
        <v>1.7914285714287791E-2</v>
      </c>
      <c r="EJ47" s="79">
        <f t="shared" si="60"/>
        <v>1.7914285714287791E-2</v>
      </c>
      <c r="EK47" s="79">
        <f t="shared" si="60"/>
        <v>1.7914285714287791E-2</v>
      </c>
      <c r="EL47" s="79">
        <f t="shared" si="60"/>
        <v>1.7914285714287791E-2</v>
      </c>
      <c r="EM47" s="79">
        <f t="shared" si="60"/>
        <v>1.7914285714287791E-2</v>
      </c>
      <c r="EN47" s="79">
        <f t="shared" si="60"/>
        <v>1.7914285714287791E-2</v>
      </c>
      <c r="EO47" s="79">
        <f t="shared" si="60"/>
        <v>1.7914285714287791E-2</v>
      </c>
      <c r="EP47" s="79">
        <f t="shared" si="60"/>
        <v>1.7914285714287791E-2</v>
      </c>
      <c r="EQ47" s="79">
        <f t="shared" si="60"/>
        <v>1.7914285714287791E-2</v>
      </c>
      <c r="ER47" s="79">
        <f t="shared" si="60"/>
        <v>1.7914285714287791E-2</v>
      </c>
      <c r="ES47" s="79">
        <f t="shared" si="60"/>
        <v>1.7914285714287791E-2</v>
      </c>
      <c r="ET47" s="79">
        <f t="shared" si="60"/>
        <v>1.7914285714287791E-2</v>
      </c>
      <c r="FF47" s="67" t="s">
        <v>75</v>
      </c>
      <c r="FG47" s="696">
        <v>2.5000000000000001E-2</v>
      </c>
      <c r="FH47" s="696">
        <v>96</v>
      </c>
      <c r="FI47" s="696">
        <v>1.5800000000000002E-2</v>
      </c>
      <c r="FJ47" s="255">
        <v>1.3500000000000002E-2</v>
      </c>
      <c r="FK47" s="71">
        <f t="shared" si="10"/>
        <v>2.7380952380952383E-4</v>
      </c>
      <c r="FL47" t="e">
        <f>VLOOKUP(FF47,'SIMULADOR COM SALDO'!$BX$22:$CK$1000,13,FALSE)</f>
        <v>#N/A</v>
      </c>
    </row>
    <row r="48" spans="6:168" x14ac:dyDescent="0.25">
      <c r="F48" s="97">
        <f t="shared" si="11"/>
        <v>1.8011904761904767E-2</v>
      </c>
      <c r="G48" s="79">
        <f t="shared" ref="G48:BR51" si="62">IF(G$9&lt;=$K$6,RATE($K$6,1,G94,0),"")</f>
        <v>1.849969477260523E-2</v>
      </c>
      <c r="H48" s="79">
        <f t="shared" si="62"/>
        <v>1.8499095277044394E-2</v>
      </c>
      <c r="I48" s="79">
        <f t="shared" si="62"/>
        <v>1.8498212191181793E-2</v>
      </c>
      <c r="J48" s="79">
        <f t="shared" si="62"/>
        <v>1.8497055916933677E-2</v>
      </c>
      <c r="K48" s="79">
        <f t="shared" si="62"/>
        <v>1.8495636585651801E-2</v>
      </c>
      <c r="L48" s="79">
        <f t="shared" si="62"/>
        <v>1.8493964063468572E-2</v>
      </c>
      <c r="M48" s="79">
        <f t="shared" si="62"/>
        <v>1.8492047956599374E-2</v>
      </c>
      <c r="N48" s="79">
        <f t="shared" si="62"/>
        <v>1.848989761659877E-2</v>
      </c>
      <c r="O48" s="79">
        <f t="shared" si="62"/>
        <v>1.848752214556873E-2</v>
      </c>
      <c r="P48" s="79">
        <f t="shared" si="62"/>
        <v>1.8484930401313899E-2</v>
      </c>
      <c r="Q48" s="79">
        <f t="shared" si="62"/>
        <v>1.848213100244394E-2</v>
      </c>
      <c r="R48" s="79">
        <f t="shared" si="62"/>
        <v>1.8479132333417803E-2</v>
      </c>
      <c r="S48" s="79">
        <f t="shared" si="62"/>
        <v>1.8475942549531121E-2</v>
      </c>
      <c r="T48" s="79">
        <f t="shared" si="62"/>
        <v>1.8472569581840279E-2</v>
      </c>
      <c r="U48" s="79">
        <f t="shared" si="62"/>
        <v>1.8469021142026802E-2</v>
      </c>
      <c r="V48" s="79">
        <f t="shared" si="62"/>
        <v>1.8465304727195816E-2</v>
      </c>
      <c r="W48" s="79">
        <f t="shared" si="62"/>
        <v>1.8461427624609898E-2</v>
      </c>
      <c r="X48" s="79">
        <f t="shared" si="62"/>
        <v>1.8457396916356283E-2</v>
      </c>
      <c r="Y48" s="79">
        <f t="shared" si="62"/>
        <v>1.8453219483946823E-2</v>
      </c>
      <c r="Z48" s="79">
        <f t="shared" si="62"/>
        <v>1.8448902012848222E-2</v>
      </c>
      <c r="AA48" s="79">
        <f t="shared" si="62"/>
        <v>1.8444450996944969E-2</v>
      </c>
      <c r="AB48" s="79">
        <f t="shared" si="62"/>
        <v>1.8439872742930425E-2</v>
      </c>
      <c r="AC48" s="79">
        <f t="shared" si="62"/>
        <v>1.8435173374628661E-2</v>
      </c>
      <c r="AD48" s="79">
        <f t="shared" si="62"/>
        <v>1.8430358837245413E-2</v>
      </c>
      <c r="AE48" s="79">
        <f t="shared" si="62"/>
        <v>1.8425434901548042E-2</v>
      </c>
      <c r="AF48" s="79">
        <f t="shared" si="62"/>
        <v>1.842040716797335E-2</v>
      </c>
      <c r="AG48" s="79">
        <f t="shared" si="62"/>
        <v>1.8415281070665864E-2</v>
      </c>
      <c r="AH48" s="79">
        <f t="shared" si="62"/>
        <v>1.8410061881443195E-2</v>
      </c>
      <c r="AI48" s="79">
        <f t="shared" si="62"/>
        <v>1.8404754713691695E-2</v>
      </c>
      <c r="AJ48" s="79">
        <f t="shared" si="62"/>
        <v>1.8399364526189718E-2</v>
      </c>
      <c r="AK48" s="79">
        <f t="shared" si="62"/>
        <v>1.8393896126861028E-2</v>
      </c>
      <c r="AL48" s="79">
        <f t="shared" si="62"/>
        <v>1.838835417645833E-2</v>
      </c>
      <c r="AM48" s="79">
        <f t="shared" si="62"/>
        <v>1.8382743192175404E-2</v>
      </c>
      <c r="AN48" s="79">
        <f t="shared" si="62"/>
        <v>1.8377067551191072E-2</v>
      </c>
      <c r="AO48" s="79">
        <f t="shared" si="62"/>
        <v>1.8371331494142721E-2</v>
      </c>
      <c r="AP48" s="79">
        <f t="shared" si="62"/>
        <v>1.836553912853307E-2</v>
      </c>
      <c r="AQ48" s="79">
        <f t="shared" si="62"/>
        <v>1.8359694432067534E-2</v>
      </c>
      <c r="AR48" s="79">
        <f t="shared" si="62"/>
        <v>1.8353801255924649E-2</v>
      </c>
      <c r="AS48" s="79">
        <f t="shared" si="62"/>
        <v>1.8347863327960574E-2</v>
      </c>
      <c r="AT48" s="79">
        <f t="shared" si="62"/>
        <v>1.8341884255846808E-2</v>
      </c>
      <c r="AU48" s="79">
        <f t="shared" si="62"/>
        <v>1.8335867530143705E-2</v>
      </c>
      <c r="AV48" s="79">
        <f t="shared" si="62"/>
        <v>1.832981652730846E-2</v>
      </c>
      <c r="AW48" s="79">
        <f t="shared" si="62"/>
        <v>1.8323734512640414E-2</v>
      </c>
      <c r="AX48" s="79">
        <f t="shared" si="62"/>
        <v>1.8317624643163284E-2</v>
      </c>
      <c r="AY48" s="79">
        <f t="shared" si="62"/>
        <v>1.8311489970445585E-2</v>
      </c>
      <c r="AZ48" s="79">
        <f t="shared" si="62"/>
        <v>1.8305333443359651E-2</v>
      </c>
      <c r="BA48" s="79">
        <f t="shared" si="62"/>
        <v>1.8299157910780243E-2</v>
      </c>
      <c r="BB48" s="79">
        <f t="shared" si="62"/>
        <v>1.829296612422545E-2</v>
      </c>
      <c r="BC48" s="79">
        <f t="shared" si="62"/>
        <v>1.8286760740436375E-2</v>
      </c>
      <c r="BD48" s="79">
        <f t="shared" si="62"/>
        <v>1.8280544323901957E-2</v>
      </c>
      <c r="BE48" s="79">
        <f t="shared" si="62"/>
        <v>1.8274319349325475E-2</v>
      </c>
      <c r="BF48" s="79">
        <f t="shared" si="62"/>
        <v>1.8268088204036154E-2</v>
      </c>
      <c r="BG48" s="79">
        <f t="shared" si="62"/>
        <v>1.8261853190345508E-2</v>
      </c>
      <c r="BH48" s="79">
        <f t="shared" si="62"/>
        <v>1.8255616527850071E-2</v>
      </c>
      <c r="BI48" s="79">
        <f t="shared" si="62"/>
        <v>1.8249380355681338E-2</v>
      </c>
      <c r="BJ48" s="79">
        <f t="shared" si="62"/>
        <v>1.8243146734703394E-2</v>
      </c>
      <c r="BK48" s="79">
        <f t="shared" si="62"/>
        <v>1.8236917649659484E-2</v>
      </c>
      <c r="BL48" s="79">
        <f t="shared" si="62"/>
        <v>1.8230695011268581E-2</v>
      </c>
      <c r="BM48" s="79">
        <f t="shared" si="62"/>
        <v>1.8224480658272511E-2</v>
      </c>
      <c r="BN48" s="79">
        <f t="shared" si="62"/>
        <v>1.8218276359434842E-2</v>
      </c>
      <c r="BO48" s="79">
        <f t="shared" si="62"/>
        <v>1.8212083815492722E-2</v>
      </c>
      <c r="BP48" s="79">
        <f t="shared" si="62"/>
        <v>1.8205904661061006E-2</v>
      </c>
      <c r="BQ48" s="79">
        <f t="shared" si="62"/>
        <v>1.8199740466492385E-2</v>
      </c>
      <c r="BR48" s="79">
        <f t="shared" si="62"/>
        <v>1.8193592739691372E-2</v>
      </c>
      <c r="BS48" s="79">
        <f t="shared" si="61"/>
        <v>1.8187462927885686E-2</v>
      </c>
      <c r="BT48" s="79">
        <f t="shared" si="61"/>
        <v>1.8181352419353199E-2</v>
      </c>
      <c r="BU48" s="79">
        <f t="shared" si="61"/>
        <v>1.8175262545108241E-2</v>
      </c>
      <c r="BV48" s="79">
        <f t="shared" si="61"/>
        <v>1.8169194580545858E-2</v>
      </c>
      <c r="BW48" s="79">
        <f t="shared" si="61"/>
        <v>1.8163149747045328E-2</v>
      </c>
      <c r="BX48" s="79">
        <f t="shared" si="61"/>
        <v>1.8157129213535454E-2</v>
      </c>
      <c r="BY48" s="79">
        <f t="shared" si="61"/>
        <v>1.8151134098019439E-2</v>
      </c>
      <c r="BZ48" s="79">
        <f t="shared" si="61"/>
        <v>1.8145165469063213E-2</v>
      </c>
      <c r="CA48" s="79">
        <f t="shared" si="61"/>
        <v>1.8139224347245898E-2</v>
      </c>
      <c r="CB48" s="79">
        <f t="shared" si="61"/>
        <v>1.8133311706574021E-2</v>
      </c>
      <c r="CC48" s="79">
        <f t="shared" si="61"/>
        <v>1.8127428475860272E-2</v>
      </c>
      <c r="CD48" s="79">
        <f t="shared" si="61"/>
        <v>1.8121575540067939E-2</v>
      </c>
      <c r="CE48" s="79">
        <f t="shared" si="61"/>
        <v>1.8115753741620461E-2</v>
      </c>
      <c r="CF48" s="79">
        <f t="shared" si="61"/>
        <v>1.8109963881678549E-2</v>
      </c>
      <c r="CG48" s="79">
        <f t="shared" si="61"/>
        <v>1.8104206721383988E-2</v>
      </c>
      <c r="CH48" s="79">
        <f t="shared" si="61"/>
        <v>1.8098482983072494E-2</v>
      </c>
      <c r="CI48" s="79">
        <f t="shared" si="61"/>
        <v>1.8092793351454865E-2</v>
      </c>
      <c r="CJ48" s="79">
        <f t="shared" si="61"/>
        <v>1.8087138474767769E-2</v>
      </c>
      <c r="CK48" s="79">
        <f t="shared" si="61"/>
        <v>1.8081518965895022E-2</v>
      </c>
      <c r="CL48" s="79">
        <f t="shared" si="61"/>
        <v>1.8075935403460471E-2</v>
      </c>
      <c r="CM48" s="79">
        <f t="shared" si="61"/>
        <v>1.8070388332890687E-2</v>
      </c>
      <c r="CN48" s="79">
        <f t="shared" si="61"/>
        <v>1.8064878267452077E-2</v>
      </c>
      <c r="CO48" s="79">
        <f t="shared" si="61"/>
        <v>1.8059405689259438E-2</v>
      </c>
      <c r="CP48" s="79">
        <f t="shared" si="61"/>
        <v>1.8053971050258875E-2</v>
      </c>
      <c r="CQ48" s="79">
        <f t="shared" si="61"/>
        <v>1.8048574773184081E-2</v>
      </c>
      <c r="CR48" s="79">
        <f t="shared" si="61"/>
        <v>1.8043217252488888E-2</v>
      </c>
      <c r="CS48" s="79">
        <f t="shared" si="61"/>
        <v>1.8037898855253046E-2</v>
      </c>
      <c r="CT48" s="79">
        <f t="shared" si="61"/>
        <v>1.8032619922065903E-2</v>
      </c>
      <c r="CU48" s="79">
        <f t="shared" si="61"/>
        <v>1.8027380767885549E-2</v>
      </c>
      <c r="CV48" s="79">
        <f t="shared" si="61"/>
        <v>1.8022181682875272E-2</v>
      </c>
      <c r="CW48" s="79">
        <f t="shared" si="61"/>
        <v>1.8017022933217452E-2</v>
      </c>
      <c r="CX48" s="79">
        <f t="shared" si="61"/>
        <v>1.801190476190662E-2</v>
      </c>
      <c r="CY48" s="79">
        <f t="shared" si="61"/>
        <v>1.801190476190662E-2</v>
      </c>
      <c r="CZ48" s="79">
        <f t="shared" si="61"/>
        <v>1.801190476190662E-2</v>
      </c>
      <c r="DA48" s="79">
        <f t="shared" si="61"/>
        <v>1.801190476190662E-2</v>
      </c>
      <c r="DB48" s="79">
        <f t="shared" si="61"/>
        <v>1.801190476190662E-2</v>
      </c>
      <c r="DC48" s="79">
        <f t="shared" si="61"/>
        <v>1.801190476190662E-2</v>
      </c>
      <c r="DD48" s="79">
        <f t="shared" si="61"/>
        <v>1.801190476190662E-2</v>
      </c>
      <c r="DE48" s="79">
        <f t="shared" si="61"/>
        <v>1.801190476190662E-2</v>
      </c>
      <c r="DF48" s="79">
        <f t="shared" si="61"/>
        <v>1.801190476190662E-2</v>
      </c>
      <c r="DG48" s="79">
        <f t="shared" si="61"/>
        <v>1.801190476190662E-2</v>
      </c>
      <c r="DH48" s="79">
        <f t="shared" si="61"/>
        <v>1.801190476190662E-2</v>
      </c>
      <c r="DI48" s="79">
        <f t="shared" si="61"/>
        <v>1.801190476190662E-2</v>
      </c>
      <c r="DJ48" s="79">
        <f t="shared" si="61"/>
        <v>1.801190476190662E-2</v>
      </c>
      <c r="DK48" s="79">
        <f t="shared" si="61"/>
        <v>1.801190476190662E-2</v>
      </c>
      <c r="DL48" s="79">
        <f t="shared" si="61"/>
        <v>1.801190476190662E-2</v>
      </c>
      <c r="DM48" s="79">
        <f t="shared" si="61"/>
        <v>1.801190476190662E-2</v>
      </c>
      <c r="DN48" s="79">
        <f t="shared" si="61"/>
        <v>1.801190476190662E-2</v>
      </c>
      <c r="DO48" s="79">
        <f t="shared" si="61"/>
        <v>1.801190476190662E-2</v>
      </c>
      <c r="DP48" s="79">
        <f t="shared" si="61"/>
        <v>1.801190476190662E-2</v>
      </c>
      <c r="DQ48" s="79">
        <f t="shared" si="61"/>
        <v>1.801190476190662E-2</v>
      </c>
      <c r="DR48" s="79">
        <f t="shared" si="61"/>
        <v>1.801190476190662E-2</v>
      </c>
      <c r="DS48" s="79">
        <f t="shared" si="61"/>
        <v>1.801190476190662E-2</v>
      </c>
      <c r="DT48" s="79">
        <f t="shared" si="61"/>
        <v>1.801190476190662E-2</v>
      </c>
      <c r="DU48" s="79">
        <f t="shared" si="61"/>
        <v>1.801190476190662E-2</v>
      </c>
      <c r="DV48" s="79">
        <f t="shared" si="61"/>
        <v>1.801190476190662E-2</v>
      </c>
      <c r="DW48" s="79">
        <f t="shared" si="61"/>
        <v>1.801190476190662E-2</v>
      </c>
      <c r="DX48" s="79">
        <f t="shared" si="61"/>
        <v>1.801190476190662E-2</v>
      </c>
      <c r="DY48" s="79">
        <f t="shared" si="61"/>
        <v>1.801190476190662E-2</v>
      </c>
      <c r="DZ48" s="79">
        <f t="shared" si="61"/>
        <v>1.801190476190662E-2</v>
      </c>
      <c r="EA48" s="79">
        <f t="shared" si="61"/>
        <v>1.801190476190662E-2</v>
      </c>
      <c r="EB48" s="79">
        <f t="shared" si="61"/>
        <v>1.801190476190662E-2</v>
      </c>
      <c r="EC48" s="79">
        <f t="shared" si="61"/>
        <v>1.801190476190662E-2</v>
      </c>
      <c r="ED48" s="79">
        <f t="shared" si="60"/>
        <v>1.801190476190662E-2</v>
      </c>
      <c r="EE48" s="79">
        <f t="shared" si="60"/>
        <v>1.801190476190662E-2</v>
      </c>
      <c r="EF48" s="79">
        <f t="shared" si="60"/>
        <v>1.801190476190662E-2</v>
      </c>
      <c r="EG48" s="79">
        <f t="shared" si="60"/>
        <v>1.801190476190662E-2</v>
      </c>
      <c r="EH48" s="79">
        <f t="shared" si="60"/>
        <v>1.801190476190662E-2</v>
      </c>
      <c r="EI48" s="79">
        <f t="shared" si="60"/>
        <v>1.801190476190662E-2</v>
      </c>
      <c r="EJ48" s="79">
        <f t="shared" si="60"/>
        <v>1.801190476190662E-2</v>
      </c>
      <c r="EK48" s="79">
        <f t="shared" si="60"/>
        <v>1.801190476190662E-2</v>
      </c>
      <c r="EL48" s="79">
        <f t="shared" si="60"/>
        <v>1.801190476190662E-2</v>
      </c>
      <c r="EM48" s="79">
        <f t="shared" si="60"/>
        <v>1.801190476190662E-2</v>
      </c>
      <c r="EN48" s="79">
        <f t="shared" si="60"/>
        <v>1.801190476190662E-2</v>
      </c>
      <c r="EO48" s="79">
        <f t="shared" si="60"/>
        <v>1.801190476190662E-2</v>
      </c>
      <c r="EP48" s="79">
        <f t="shared" si="60"/>
        <v>1.801190476190662E-2</v>
      </c>
      <c r="EQ48" s="79">
        <f t="shared" si="60"/>
        <v>1.801190476190662E-2</v>
      </c>
      <c r="ER48" s="79">
        <f t="shared" si="60"/>
        <v>1.801190476190662E-2</v>
      </c>
      <c r="ES48" s="79">
        <f t="shared" si="60"/>
        <v>1.801190476190662E-2</v>
      </c>
      <c r="ET48" s="79">
        <f t="shared" si="60"/>
        <v>1.801190476190662E-2</v>
      </c>
      <c r="FF48" s="6" t="s">
        <v>573</v>
      </c>
      <c r="FG48" s="696">
        <v>2.5000000000000001E-2</v>
      </c>
      <c r="FH48" s="696">
        <v>120</v>
      </c>
      <c r="FI48" s="696">
        <v>1.8000000000000002E-2</v>
      </c>
      <c r="FJ48" s="255">
        <v>1.6E-2</v>
      </c>
      <c r="FK48" s="71">
        <f t="shared" si="10"/>
        <v>2.142857142857143E-4</v>
      </c>
      <c r="FL48" t="e">
        <f>VLOOKUP(FF48,'SIMULADOR COM SALDO'!$BX$22:$CK$1000,13,FALSE)</f>
        <v>#N/A</v>
      </c>
    </row>
    <row r="49" spans="5:168" x14ac:dyDescent="0.25">
      <c r="F49" s="97">
        <f t="shared" si="11"/>
        <v>1.8109523809523815E-2</v>
      </c>
      <c r="G49" s="79">
        <f t="shared" si="62"/>
        <v>1.8499755841094857E-2</v>
      </c>
      <c r="H49" s="79">
        <f t="shared" si="62"/>
        <v>1.8499276310494167E-2</v>
      </c>
      <c r="I49" s="79">
        <f t="shared" si="62"/>
        <v>1.8498569967023756E-2</v>
      </c>
      <c r="J49" s="79">
        <f t="shared" si="62"/>
        <v>1.8497645145757642E-2</v>
      </c>
      <c r="K49" s="79">
        <f t="shared" si="62"/>
        <v>1.849650996260644E-2</v>
      </c>
      <c r="L49" s="79">
        <f t="shared" si="62"/>
        <v>1.8495172318854423E-2</v>
      </c>
      <c r="M49" s="79">
        <f t="shared" si="62"/>
        <v>1.849363990564391E-2</v>
      </c>
      <c r="N49" s="79">
        <f t="shared" si="62"/>
        <v>1.8491920208405795E-2</v>
      </c>
      <c r="O49" s="79">
        <f t="shared" si="62"/>
        <v>1.8490020511236088E-2</v>
      </c>
      <c r="P49" s="79">
        <f t="shared" si="62"/>
        <v>1.8487947901213546E-2</v>
      </c>
      <c r="Q49" s="79">
        <f t="shared" si="62"/>
        <v>1.8485709272661428E-2</v>
      </c>
      <c r="R49" s="79">
        <f t="shared" si="62"/>
        <v>1.8483311331349811E-2</v>
      </c>
      <c r="S49" s="79">
        <f t="shared" si="62"/>
        <v>1.8480760598637007E-2</v>
      </c>
      <c r="T49" s="79">
        <f t="shared" si="62"/>
        <v>1.8478063415552616E-2</v>
      </c>
      <c r="U49" s="79">
        <f t="shared" si="62"/>
        <v>1.8475225946817164E-2</v>
      </c>
      <c r="V49" s="79">
        <f t="shared" si="62"/>
        <v>1.8472254184801411E-2</v>
      </c>
      <c r="W49" s="79">
        <f t="shared" si="62"/>
        <v>1.8469153953422839E-2</v>
      </c>
      <c r="X49" s="79">
        <f t="shared" si="62"/>
        <v>1.8465930911980129E-2</v>
      </c>
      <c r="Y49" s="79">
        <f t="shared" si="62"/>
        <v>1.8462590558924165E-2</v>
      </c>
      <c r="Z49" s="79">
        <f t="shared" si="62"/>
        <v>1.8459138235566743E-2</v>
      </c>
      <c r="AA49" s="79">
        <f t="shared" si="62"/>
        <v>1.8455579129726164E-2</v>
      </c>
      <c r="AB49" s="79">
        <f t="shared" si="62"/>
        <v>1.8451918279309299E-2</v>
      </c>
      <c r="AC49" s="79">
        <f t="shared" si="62"/>
        <v>1.8448160575831769E-2</v>
      </c>
      <c r="AD49" s="79">
        <f t="shared" si="62"/>
        <v>1.8444310767874474E-2</v>
      </c>
      <c r="AE49" s="79">
        <f t="shared" si="62"/>
        <v>1.8440373464477824E-2</v>
      </c>
      <c r="AF49" s="79">
        <f t="shared" si="62"/>
        <v>1.8436353138474162E-2</v>
      </c>
      <c r="AG49" s="79">
        <f t="shared" si="62"/>
        <v>1.8432254129757287E-2</v>
      </c>
      <c r="AH49" s="79">
        <f t="shared" si="62"/>
        <v>1.8428080648491663E-2</v>
      </c>
      <c r="AI49" s="79">
        <f t="shared" si="62"/>
        <v>1.8423836778258908E-2</v>
      </c>
      <c r="AJ49" s="79">
        <f t="shared" si="62"/>
        <v>1.8419526479145375E-2</v>
      </c>
      <c r="AK49" s="79">
        <f t="shared" si="62"/>
        <v>1.8415153590767733E-2</v>
      </c>
      <c r="AL49" s="79">
        <f t="shared" si="62"/>
        <v>1.8410721835240496E-2</v>
      </c>
      <c r="AM49" s="79">
        <f t="shared" si="62"/>
        <v>1.8406234820083141E-2</v>
      </c>
      <c r="AN49" s="79">
        <f t="shared" si="62"/>
        <v>1.8401696041069743E-2</v>
      </c>
      <c r="AO49" s="79">
        <f t="shared" si="62"/>
        <v>1.8397108885020136E-2</v>
      </c>
      <c r="AP49" s="79">
        <f t="shared" si="62"/>
        <v>1.8392476632534446E-2</v>
      </c>
      <c r="AQ49" s="79">
        <f t="shared" si="62"/>
        <v>1.8387802460670327E-2</v>
      </c>
      <c r="AR49" s="79">
        <f t="shared" si="62"/>
        <v>1.838308944556534E-2</v>
      </c>
      <c r="AS49" s="79">
        <f t="shared" si="62"/>
        <v>1.8378340565003239E-2</v>
      </c>
      <c r="AT49" s="79">
        <f t="shared" si="62"/>
        <v>1.8373558700926884E-2</v>
      </c>
      <c r="AU49" s="79">
        <f t="shared" si="62"/>
        <v>1.8368746641896472E-2</v>
      </c>
      <c r="AV49" s="79">
        <f t="shared" si="62"/>
        <v>1.8363907085496286E-2</v>
      </c>
      <c r="AW49" s="79">
        <f t="shared" si="62"/>
        <v>1.8359042640687946E-2</v>
      </c>
      <c r="AX49" s="79">
        <f t="shared" si="62"/>
        <v>1.8354155830113236E-2</v>
      </c>
      <c r="AY49" s="79">
        <f t="shared" si="62"/>
        <v>1.834924909234582E-2</v>
      </c>
      <c r="AZ49" s="79">
        <f t="shared" si="62"/>
        <v>1.8344324784094295E-2</v>
      </c>
      <c r="BA49" s="79">
        <f t="shared" si="62"/>
        <v>1.8339385182354929E-2</v>
      </c>
      <c r="BB49" s="79">
        <f t="shared" si="62"/>
        <v>1.8334432486516953E-2</v>
      </c>
      <c r="BC49" s="79">
        <f t="shared" si="62"/>
        <v>1.8329468820421062E-2</v>
      </c>
      <c r="BD49" s="79">
        <f t="shared" si="62"/>
        <v>1.8324496234370317E-2</v>
      </c>
      <c r="BE49" s="79">
        <f t="shared" si="62"/>
        <v>1.8319516707095793E-2</v>
      </c>
      <c r="BF49" s="79">
        <f t="shared" si="62"/>
        <v>1.8314532147677715E-2</v>
      </c>
      <c r="BG49" s="79">
        <f t="shared" si="62"/>
        <v>1.8309544397421544E-2</v>
      </c>
      <c r="BH49" s="79">
        <f t="shared" si="62"/>
        <v>1.8304555231691978E-2</v>
      </c>
      <c r="BI49" s="79">
        <f t="shared" si="62"/>
        <v>1.829956636170299E-2</v>
      </c>
      <c r="BJ49" s="79">
        <f t="shared" si="62"/>
        <v>1.8294579436267562E-2</v>
      </c>
      <c r="BK49" s="79">
        <f t="shared" si="62"/>
        <v>1.8289596043504979E-2</v>
      </c>
      <c r="BL49" s="79">
        <f t="shared" si="62"/>
        <v>1.8284617712509461E-2</v>
      </c>
      <c r="BM49" s="79">
        <f t="shared" si="62"/>
        <v>1.8279645914977844E-2</v>
      </c>
      <c r="BN49" s="79">
        <f t="shared" si="62"/>
        <v>1.8274682066800062E-2</v>
      </c>
      <c r="BO49" s="79">
        <f t="shared" si="62"/>
        <v>1.8269727529610716E-2</v>
      </c>
      <c r="BP49" s="79">
        <f t="shared" si="62"/>
        <v>1.8264783612303759E-2</v>
      </c>
      <c r="BQ49" s="79">
        <f t="shared" si="62"/>
        <v>1.8259851572510949E-2</v>
      </c>
      <c r="BR49" s="79">
        <f t="shared" si="62"/>
        <v>1.8254932618044756E-2</v>
      </c>
      <c r="BS49" s="79">
        <f t="shared" si="61"/>
        <v>1.825002790830604E-2</v>
      </c>
      <c r="BT49" s="79">
        <f t="shared" si="61"/>
        <v>1.8245138555657393E-2</v>
      </c>
      <c r="BU49" s="79">
        <f t="shared" si="61"/>
        <v>1.8240265626763084E-2</v>
      </c>
      <c r="BV49" s="79">
        <f t="shared" si="61"/>
        <v>1.8235410143897079E-2</v>
      </c>
      <c r="BW49" s="79">
        <f t="shared" si="61"/>
        <v>1.8230573086216839E-2</v>
      </c>
      <c r="BX49" s="79">
        <f t="shared" si="61"/>
        <v>1.8225755391008406E-2</v>
      </c>
      <c r="BY49" s="79">
        <f t="shared" si="61"/>
        <v>1.8220957954898191E-2</v>
      </c>
      <c r="BZ49" s="79">
        <f t="shared" si="61"/>
        <v>1.8216181635036174E-2</v>
      </c>
      <c r="CA49" s="79">
        <f t="shared" si="61"/>
        <v>1.8211427250249032E-2</v>
      </c>
      <c r="CB49" s="79">
        <f t="shared" si="61"/>
        <v>1.820669558216486E-2</v>
      </c>
      <c r="CC49" s="79">
        <f t="shared" si="61"/>
        <v>1.8201987376309302E-2</v>
      </c>
      <c r="CD49" s="79">
        <f t="shared" si="61"/>
        <v>1.8197303343173966E-2</v>
      </c>
      <c r="CE49" s="79">
        <f t="shared" si="61"/>
        <v>1.8192644159258965E-2</v>
      </c>
      <c r="CF49" s="79">
        <f t="shared" si="61"/>
        <v>1.8188010468087254E-2</v>
      </c>
      <c r="CG49" s="79">
        <f t="shared" si="61"/>
        <v>1.8183402881194896E-2</v>
      </c>
      <c r="CH49" s="79">
        <f t="shared" si="61"/>
        <v>1.8178821979094893E-2</v>
      </c>
      <c r="CI49" s="79">
        <f t="shared" si="61"/>
        <v>1.8174268312217801E-2</v>
      </c>
      <c r="CJ49" s="79">
        <f t="shared" si="61"/>
        <v>1.8169742401826356E-2</v>
      </c>
      <c r="CK49" s="79">
        <f t="shared" si="61"/>
        <v>1.816524474090821E-2</v>
      </c>
      <c r="CL49" s="79">
        <f t="shared" si="61"/>
        <v>1.8160775795045006E-2</v>
      </c>
      <c r="CM49" s="79">
        <f t="shared" si="61"/>
        <v>1.8156336003258999E-2</v>
      </c>
      <c r="CN49" s="79">
        <f t="shared" si="61"/>
        <v>1.8151925778837567E-2</v>
      </c>
      <c r="CO49" s="79">
        <f t="shared" si="61"/>
        <v>1.8147545510136816E-2</v>
      </c>
      <c r="CP49" s="79">
        <f t="shared" si="61"/>
        <v>1.8143195561363477E-2</v>
      </c>
      <c r="CQ49" s="79">
        <f t="shared" si="61"/>
        <v>1.8138876273337677E-2</v>
      </c>
      <c r="CR49" s="79">
        <f t="shared" si="61"/>
        <v>1.8134587964233499E-2</v>
      </c>
      <c r="CS49" s="79">
        <f t="shared" si="61"/>
        <v>1.8130330930302786E-2</v>
      </c>
      <c r="CT49" s="79">
        <f t="shared" si="61"/>
        <v>1.8126105446577501E-2</v>
      </c>
      <c r="CU49" s="79">
        <f t="shared" si="61"/>
        <v>1.8121911767554611E-2</v>
      </c>
      <c r="CV49" s="79">
        <f t="shared" si="61"/>
        <v>1.8117750127863125E-2</v>
      </c>
      <c r="CW49" s="79">
        <f t="shared" si="61"/>
        <v>1.8113620742912756E-2</v>
      </c>
      <c r="CX49" s="79">
        <f t="shared" si="61"/>
        <v>1.8109523809525362E-2</v>
      </c>
      <c r="CY49" s="79">
        <f t="shared" si="61"/>
        <v>1.8109523809525362E-2</v>
      </c>
      <c r="CZ49" s="79">
        <f t="shared" si="61"/>
        <v>1.8109523809525362E-2</v>
      </c>
      <c r="DA49" s="79">
        <f t="shared" si="61"/>
        <v>1.8109523809525362E-2</v>
      </c>
      <c r="DB49" s="79">
        <f t="shared" si="61"/>
        <v>1.8109523809525362E-2</v>
      </c>
      <c r="DC49" s="79">
        <f t="shared" si="61"/>
        <v>1.8109523809525362E-2</v>
      </c>
      <c r="DD49" s="79">
        <f t="shared" si="61"/>
        <v>1.8109523809525362E-2</v>
      </c>
      <c r="DE49" s="79">
        <f t="shared" si="61"/>
        <v>1.8109523809525362E-2</v>
      </c>
      <c r="DF49" s="79">
        <f t="shared" si="61"/>
        <v>1.8109523809525362E-2</v>
      </c>
      <c r="DG49" s="79">
        <f t="shared" si="61"/>
        <v>1.8109523809525362E-2</v>
      </c>
      <c r="DH49" s="79">
        <f t="shared" si="61"/>
        <v>1.8109523809525362E-2</v>
      </c>
      <c r="DI49" s="79">
        <f t="shared" si="61"/>
        <v>1.8109523809525362E-2</v>
      </c>
      <c r="DJ49" s="79">
        <f t="shared" si="61"/>
        <v>1.8109523809525362E-2</v>
      </c>
      <c r="DK49" s="79">
        <f t="shared" si="61"/>
        <v>1.8109523809525362E-2</v>
      </c>
      <c r="DL49" s="79">
        <f t="shared" si="61"/>
        <v>1.8109523809525362E-2</v>
      </c>
      <c r="DM49" s="79">
        <f t="shared" si="61"/>
        <v>1.8109523809525362E-2</v>
      </c>
      <c r="DN49" s="79">
        <f t="shared" si="61"/>
        <v>1.8109523809525362E-2</v>
      </c>
      <c r="DO49" s="79">
        <f t="shared" si="61"/>
        <v>1.8109523809525362E-2</v>
      </c>
      <c r="DP49" s="79">
        <f t="shared" si="61"/>
        <v>1.8109523809525362E-2</v>
      </c>
      <c r="DQ49" s="79">
        <f t="shared" si="61"/>
        <v>1.8109523809525362E-2</v>
      </c>
      <c r="DR49" s="79">
        <f t="shared" si="61"/>
        <v>1.8109523809525362E-2</v>
      </c>
      <c r="DS49" s="79">
        <f t="shared" si="61"/>
        <v>1.8109523809525362E-2</v>
      </c>
      <c r="DT49" s="79">
        <f t="shared" si="61"/>
        <v>1.8109523809525362E-2</v>
      </c>
      <c r="DU49" s="79">
        <f t="shared" si="61"/>
        <v>1.8109523809525362E-2</v>
      </c>
      <c r="DV49" s="79">
        <f t="shared" si="61"/>
        <v>1.8109523809525362E-2</v>
      </c>
      <c r="DW49" s="79">
        <f t="shared" si="61"/>
        <v>1.8109523809525362E-2</v>
      </c>
      <c r="DX49" s="79">
        <f t="shared" si="61"/>
        <v>1.8109523809525362E-2</v>
      </c>
      <c r="DY49" s="79">
        <f t="shared" si="61"/>
        <v>1.8109523809525362E-2</v>
      </c>
      <c r="DZ49" s="79">
        <f t="shared" si="61"/>
        <v>1.8109523809525362E-2</v>
      </c>
      <c r="EA49" s="79">
        <f t="shared" si="61"/>
        <v>1.8109523809525362E-2</v>
      </c>
      <c r="EB49" s="79">
        <f t="shared" si="61"/>
        <v>1.8109523809525362E-2</v>
      </c>
      <c r="EC49" s="79">
        <f t="shared" si="61"/>
        <v>1.8109523809525362E-2</v>
      </c>
      <c r="ED49" s="79">
        <f t="shared" si="60"/>
        <v>1.8109523809525362E-2</v>
      </c>
      <c r="EE49" s="79">
        <f t="shared" si="60"/>
        <v>1.8109523809525362E-2</v>
      </c>
      <c r="EF49" s="79">
        <f t="shared" si="60"/>
        <v>1.8109523809525362E-2</v>
      </c>
      <c r="EG49" s="79">
        <f t="shared" si="60"/>
        <v>1.8109523809525362E-2</v>
      </c>
      <c r="EH49" s="79">
        <f t="shared" si="60"/>
        <v>1.8109523809525362E-2</v>
      </c>
      <c r="EI49" s="79">
        <f t="shared" si="60"/>
        <v>1.8109523809525362E-2</v>
      </c>
      <c r="EJ49" s="79">
        <f t="shared" si="60"/>
        <v>1.8109523809525362E-2</v>
      </c>
      <c r="EK49" s="79">
        <f t="shared" si="60"/>
        <v>1.8109523809525362E-2</v>
      </c>
      <c r="EL49" s="79">
        <f t="shared" si="60"/>
        <v>1.8109523809525362E-2</v>
      </c>
      <c r="EM49" s="79">
        <f t="shared" si="60"/>
        <v>1.8109523809525362E-2</v>
      </c>
      <c r="EN49" s="79">
        <f t="shared" si="60"/>
        <v>1.8109523809525362E-2</v>
      </c>
      <c r="EO49" s="79">
        <f t="shared" si="60"/>
        <v>1.8109523809525362E-2</v>
      </c>
      <c r="EP49" s="79">
        <f t="shared" si="60"/>
        <v>1.8109523809525362E-2</v>
      </c>
      <c r="EQ49" s="79">
        <f t="shared" si="60"/>
        <v>1.8109523809525362E-2</v>
      </c>
      <c r="ER49" s="79">
        <f t="shared" si="60"/>
        <v>1.8109523809525362E-2</v>
      </c>
      <c r="ES49" s="79">
        <f t="shared" si="60"/>
        <v>1.8109523809525362E-2</v>
      </c>
      <c r="ET49" s="79">
        <f t="shared" si="60"/>
        <v>1.8109523809525362E-2</v>
      </c>
      <c r="FF49" s="6" t="s">
        <v>3007</v>
      </c>
      <c r="FG49" s="696">
        <v>2.5000000000000001E-2</v>
      </c>
      <c r="FH49" s="696">
        <v>120</v>
      </c>
      <c r="FI49" s="696">
        <v>1.8000000000000002E-2</v>
      </c>
      <c r="FJ49" s="255">
        <v>1.6E-2</v>
      </c>
      <c r="FK49" s="71">
        <f t="shared" si="10"/>
        <v>2.142857142857143E-4</v>
      </c>
      <c r="FL49" t="e">
        <f>VLOOKUP(FF49,'SIMULADOR COM SALDO'!$BX$22:$CK$1000,13,FALSE)</f>
        <v>#N/A</v>
      </c>
    </row>
    <row r="50" spans="5:168" x14ac:dyDescent="0.25">
      <c r="F50" s="97">
        <f t="shared" si="11"/>
        <v>1.8207142857142863E-2</v>
      </c>
      <c r="G50" s="79">
        <f t="shared" si="62"/>
        <v>1.8499816898075963E-2</v>
      </c>
      <c r="H50" s="79">
        <f t="shared" si="62"/>
        <v>1.8499457299499519E-2</v>
      </c>
      <c r="I50" s="79">
        <f t="shared" si="62"/>
        <v>1.8498927635783875E-2</v>
      </c>
      <c r="J50" s="79">
        <f t="shared" si="62"/>
        <v>1.8498234168383771E-2</v>
      </c>
      <c r="K50" s="79">
        <f t="shared" si="62"/>
        <v>1.8497382992347648E-2</v>
      </c>
      <c r="L50" s="79">
        <f t="shared" si="62"/>
        <v>1.8496380039916563E-2</v>
      </c>
      <c r="M50" s="79">
        <f t="shared" si="62"/>
        <v>1.8495231084070543E-2</v>
      </c>
      <c r="N50" s="79">
        <f t="shared" si="62"/>
        <v>1.8493941742020535E-2</v>
      </c>
      <c r="O50" s="79">
        <f t="shared" si="62"/>
        <v>1.8492517478647916E-2</v>
      </c>
      <c r="P50" s="79">
        <f t="shared" si="62"/>
        <v>1.8490963609888712E-2</v>
      </c>
      <c r="Q50" s="79">
        <f t="shared" si="62"/>
        <v>1.8489285306064123E-2</v>
      </c>
      <c r="R50" s="79">
        <f t="shared" si="62"/>
        <v>1.8487487595157292E-2</v>
      </c>
      <c r="S50" s="79">
        <f t="shared" si="62"/>
        <v>1.8485575366034093E-2</v>
      </c>
      <c r="T50" s="79">
        <f t="shared" si="62"/>
        <v>1.8483553371610919E-2</v>
      </c>
      <c r="U50" s="79">
        <f t="shared" si="62"/>
        <v>1.8481426231967298E-2</v>
      </c>
      <c r="V50" s="79">
        <f t="shared" si="62"/>
        <v>1.8479198437405191E-2</v>
      </c>
      <c r="W50" s="79">
        <f t="shared" si="62"/>
        <v>1.8476874351452514E-2</v>
      </c>
      <c r="X50" s="79">
        <f t="shared" si="62"/>
        <v>1.8474458213814712E-2</v>
      </c>
      <c r="Y50" s="79">
        <f t="shared" si="62"/>
        <v>1.8471954143271602E-2</v>
      </c>
      <c r="Z50" s="79">
        <f t="shared" si="62"/>
        <v>1.8469366140521179E-2</v>
      </c>
      <c r="AA50" s="79">
        <f t="shared" si="62"/>
        <v>1.8466698090970908E-2</v>
      </c>
      <c r="AB50" s="79">
        <f t="shared" si="62"/>
        <v>1.8463953767475682E-2</v>
      </c>
      <c r="AC50" s="79">
        <f t="shared" si="62"/>
        <v>1.8461136833024659E-2</v>
      </c>
      <c r="AD50" s="79">
        <f t="shared" si="62"/>
        <v>1.845825084337532E-2</v>
      </c>
      <c r="AE50" s="79">
        <f t="shared" si="62"/>
        <v>1.8455299249637829E-2</v>
      </c>
      <c r="AF50" s="79">
        <f t="shared" si="62"/>
        <v>1.8452285400806595E-2</v>
      </c>
      <c r="AG50" s="79">
        <f t="shared" si="62"/>
        <v>1.8449212546244136E-2</v>
      </c>
      <c r="AH50" s="79">
        <f t="shared" si="62"/>
        <v>1.8446083838113143E-2</v>
      </c>
      <c r="AI50" s="79">
        <f t="shared" si="62"/>
        <v>1.844290233376087E-2</v>
      </c>
      <c r="AJ50" s="79">
        <f t="shared" si="62"/>
        <v>1.8439670998055165E-2</v>
      </c>
      <c r="AK50" s="79">
        <f t="shared" si="62"/>
        <v>1.8436392705670879E-2</v>
      </c>
      <c r="AL50" s="79">
        <f t="shared" si="62"/>
        <v>1.8433070243331517E-2</v>
      </c>
      <c r="AM50" s="79">
        <f t="shared" si="62"/>
        <v>1.8429706312002303E-2</v>
      </c>
      <c r="AN50" s="79">
        <f t="shared" si="62"/>
        <v>1.8426303529038613E-2</v>
      </c>
      <c r="AO50" s="79">
        <f t="shared" si="62"/>
        <v>1.8422864430287685E-2</v>
      </c>
      <c r="AP50" s="79">
        <f t="shared" si="62"/>
        <v>1.8419391472147318E-2</v>
      </c>
      <c r="AQ50" s="79">
        <f t="shared" si="62"/>
        <v>1.841588703357926E-2</v>
      </c>
      <c r="AR50" s="79">
        <f t="shared" si="62"/>
        <v>1.841235341807938E-2</v>
      </c>
      <c r="AS50" s="79">
        <f t="shared" si="62"/>
        <v>1.8408792855606475E-2</v>
      </c>
      <c r="AT50" s="79">
        <f t="shared" si="62"/>
        <v>1.8405207504466805E-2</v>
      </c>
      <c r="AU50" s="79">
        <f t="shared" si="62"/>
        <v>1.8401599453159511E-2</v>
      </c>
      <c r="AV50" s="79">
        <f t="shared" si="62"/>
        <v>1.8397970722180253E-2</v>
      </c>
      <c r="AW50" s="79">
        <f t="shared" si="62"/>
        <v>1.8394323265784406E-2</v>
      </c>
      <c r="AX50" s="79">
        <f t="shared" si="62"/>
        <v>1.8390658973712993E-2</v>
      </c>
      <c r="AY50" s="79">
        <f t="shared" si="62"/>
        <v>1.8386979672877016E-2</v>
      </c>
      <c r="AZ50" s="79">
        <f t="shared" si="62"/>
        <v>1.8383287129006946E-2</v>
      </c>
      <c r="BA50" s="79">
        <f t="shared" si="62"/>
        <v>1.8379583048262396E-2</v>
      </c>
      <c r="BB50" s="79">
        <f t="shared" si="62"/>
        <v>1.8375869078807127E-2</v>
      </c>
      <c r="BC50" s="79">
        <f t="shared" si="62"/>
        <v>1.837214681234646E-2</v>
      </c>
      <c r="BD50" s="79">
        <f t="shared" si="62"/>
        <v>1.8368417785630718E-2</v>
      </c>
      <c r="BE50" s="79">
        <f t="shared" si="62"/>
        <v>1.836468348192365E-2</v>
      </c>
      <c r="BF50" s="79">
        <f t="shared" si="62"/>
        <v>1.8360945332436634E-2</v>
      </c>
      <c r="BG50" s="79">
        <f t="shared" si="62"/>
        <v>1.8357204717729472E-2</v>
      </c>
      <c r="BH50" s="79">
        <f t="shared" si="62"/>
        <v>1.8353462969079536E-2</v>
      </c>
      <c r="BI50" s="79">
        <f t="shared" si="62"/>
        <v>1.8349721369817121E-2</v>
      </c>
      <c r="BJ50" s="79">
        <f t="shared" si="62"/>
        <v>1.8345981156631375E-2</v>
      </c>
      <c r="BK50" s="79">
        <f t="shared" si="62"/>
        <v>1.834224352084356E-2</v>
      </c>
      <c r="BL50" s="79">
        <f t="shared" si="62"/>
        <v>1.8338509609651596E-2</v>
      </c>
      <c r="BM50" s="79">
        <f t="shared" si="62"/>
        <v>1.8334780527344326E-2</v>
      </c>
      <c r="BN50" s="79">
        <f t="shared" si="62"/>
        <v>1.833105733648667E-2</v>
      </c>
      <c r="BO50" s="79">
        <f t="shared" si="62"/>
        <v>1.8327341059077011E-2</v>
      </c>
      <c r="BP50" s="79">
        <f t="shared" si="62"/>
        <v>1.8323632677676099E-2</v>
      </c>
      <c r="BQ50" s="79">
        <f t="shared" si="62"/>
        <v>1.8319933136509325E-2</v>
      </c>
      <c r="BR50" s="79">
        <f t="shared" si="62"/>
        <v>1.8316243342541953E-2</v>
      </c>
      <c r="BS50" s="79">
        <f t="shared" si="61"/>
        <v>1.8312564166528073E-2</v>
      </c>
      <c r="BT50" s="79">
        <f t="shared" si="61"/>
        <v>1.8308896444034911E-2</v>
      </c>
      <c r="BU50" s="79">
        <f t="shared" si="61"/>
        <v>1.8305240976440987E-2</v>
      </c>
      <c r="BV50" s="79">
        <f t="shared" si="61"/>
        <v>1.8301598531910334E-2</v>
      </c>
      <c r="BW50" s="79">
        <f t="shared" si="61"/>
        <v>1.8297969846343274E-2</v>
      </c>
      <c r="BX50" s="79">
        <f t="shared" si="61"/>
        <v>1.8294355624302754E-2</v>
      </c>
      <c r="BY50" s="79">
        <f t="shared" si="61"/>
        <v>1.8290756539918213E-2</v>
      </c>
      <c r="BZ50" s="79">
        <f t="shared" si="61"/>
        <v>1.828717323776765E-2</v>
      </c>
      <c r="CA50" s="79">
        <f t="shared" si="61"/>
        <v>1.8283606333736217E-2</v>
      </c>
      <c r="CB50" s="79">
        <f t="shared" si="61"/>
        <v>1.828005641585562E-2</v>
      </c>
      <c r="CC50" s="79">
        <f t="shared" si="61"/>
        <v>1.8276524045119966E-2</v>
      </c>
      <c r="CD50" s="79">
        <f t="shared" si="61"/>
        <v>1.8273009756283213E-2</v>
      </c>
      <c r="CE50" s="79">
        <f t="shared" si="61"/>
        <v>1.8269514058635423E-2</v>
      </c>
      <c r="CF50" s="79">
        <f t="shared" si="61"/>
        <v>1.8266037436759947E-2</v>
      </c>
      <c r="CG50" s="79">
        <f t="shared" si="61"/>
        <v>1.8262580351270971E-2</v>
      </c>
      <c r="CH50" s="79">
        <f t="shared" si="61"/>
        <v>1.8259143239532875E-2</v>
      </c>
      <c r="CI50" s="79">
        <f t="shared" si="61"/>
        <v>1.8255726516360888E-2</v>
      </c>
      <c r="CJ50" s="79">
        <f t="shared" si="61"/>
        <v>1.8252330574704014E-2</v>
      </c>
      <c r="CK50" s="79">
        <f t="shared" si="61"/>
        <v>1.8248955786310566E-2</v>
      </c>
      <c r="CL50" s="79">
        <f t="shared" si="61"/>
        <v>1.8245602502376272E-2</v>
      </c>
      <c r="CM50" s="79">
        <f t="shared" si="61"/>
        <v>1.8242271054176366E-2</v>
      </c>
      <c r="CN50" s="79">
        <f t="shared" si="61"/>
        <v>1.8238961753680522E-2</v>
      </c>
      <c r="CO50" s="79">
        <f t="shared" si="61"/>
        <v>1.8235674894152804E-2</v>
      </c>
      <c r="CP50" s="79">
        <f t="shared" si="61"/>
        <v>1.8232410750734947E-2</v>
      </c>
      <c r="CQ50" s="79">
        <f t="shared" si="61"/>
        <v>1.8229169581015892E-2</v>
      </c>
      <c r="CR50" s="79">
        <f t="shared" si="61"/>
        <v>1.8225951625584817E-2</v>
      </c>
      <c r="CS50" s="79">
        <f t="shared" si="61"/>
        <v>1.8222757108571335E-2</v>
      </c>
      <c r="CT50" s="79">
        <f t="shared" si="61"/>
        <v>1.8219586238170452E-2</v>
      </c>
      <c r="CU50" s="79">
        <f t="shared" si="61"/>
        <v>1.8216439207153712E-2</v>
      </c>
      <c r="CV50" s="79">
        <f t="shared" si="61"/>
        <v>1.8213316193367638E-2</v>
      </c>
      <c r="CW50" s="79">
        <f t="shared" si="61"/>
        <v>1.8210217360218543E-2</v>
      </c>
      <c r="CX50" s="79">
        <f t="shared" si="61"/>
        <v>1.8207142857144133E-2</v>
      </c>
      <c r="CY50" s="79">
        <f t="shared" si="61"/>
        <v>1.8207142857144133E-2</v>
      </c>
      <c r="CZ50" s="79">
        <f t="shared" si="61"/>
        <v>1.8207142857144133E-2</v>
      </c>
      <c r="DA50" s="79">
        <f t="shared" si="61"/>
        <v>1.8207142857144133E-2</v>
      </c>
      <c r="DB50" s="79">
        <f t="shared" si="61"/>
        <v>1.8207142857144133E-2</v>
      </c>
      <c r="DC50" s="79">
        <f t="shared" si="61"/>
        <v>1.8207142857144133E-2</v>
      </c>
      <c r="DD50" s="79">
        <f t="shared" si="61"/>
        <v>1.8207142857144133E-2</v>
      </c>
      <c r="DE50" s="79">
        <f t="shared" si="61"/>
        <v>1.8207142857144133E-2</v>
      </c>
      <c r="DF50" s="79">
        <f t="shared" si="61"/>
        <v>1.8207142857144133E-2</v>
      </c>
      <c r="DG50" s="79">
        <f t="shared" si="61"/>
        <v>1.8207142857144133E-2</v>
      </c>
      <c r="DH50" s="79">
        <f t="shared" si="61"/>
        <v>1.8207142857144133E-2</v>
      </c>
      <c r="DI50" s="79">
        <f t="shared" si="61"/>
        <v>1.8207142857144133E-2</v>
      </c>
      <c r="DJ50" s="79">
        <f t="shared" si="61"/>
        <v>1.8207142857144133E-2</v>
      </c>
      <c r="DK50" s="79">
        <f t="shared" si="61"/>
        <v>1.8207142857144133E-2</v>
      </c>
      <c r="DL50" s="79">
        <f t="shared" si="61"/>
        <v>1.8207142857144133E-2</v>
      </c>
      <c r="DM50" s="79">
        <f t="shared" si="61"/>
        <v>1.8207142857144133E-2</v>
      </c>
      <c r="DN50" s="79">
        <f t="shared" si="61"/>
        <v>1.8207142857144133E-2</v>
      </c>
      <c r="DO50" s="79">
        <f t="shared" si="61"/>
        <v>1.8207142857144133E-2</v>
      </c>
      <c r="DP50" s="79">
        <f t="shared" si="61"/>
        <v>1.8207142857144133E-2</v>
      </c>
      <c r="DQ50" s="79">
        <f t="shared" si="61"/>
        <v>1.8207142857144133E-2</v>
      </c>
      <c r="DR50" s="79">
        <f t="shared" si="61"/>
        <v>1.8207142857144133E-2</v>
      </c>
      <c r="DS50" s="79">
        <f t="shared" si="61"/>
        <v>1.8207142857144133E-2</v>
      </c>
      <c r="DT50" s="79">
        <f t="shared" si="61"/>
        <v>1.8207142857144133E-2</v>
      </c>
      <c r="DU50" s="79">
        <f t="shared" si="61"/>
        <v>1.8207142857144133E-2</v>
      </c>
      <c r="DV50" s="79">
        <f t="shared" si="61"/>
        <v>1.8207142857144133E-2</v>
      </c>
      <c r="DW50" s="79">
        <f t="shared" si="61"/>
        <v>1.8207142857144133E-2</v>
      </c>
      <c r="DX50" s="79">
        <f t="shared" si="61"/>
        <v>1.8207142857144133E-2</v>
      </c>
      <c r="DY50" s="79">
        <f t="shared" si="61"/>
        <v>1.8207142857144133E-2</v>
      </c>
      <c r="DZ50" s="79">
        <f t="shared" si="61"/>
        <v>1.8207142857144133E-2</v>
      </c>
      <c r="EA50" s="79">
        <f t="shared" si="61"/>
        <v>1.8207142857144133E-2</v>
      </c>
      <c r="EB50" s="79">
        <f t="shared" si="61"/>
        <v>1.8207142857144133E-2</v>
      </c>
      <c r="EC50" s="79">
        <f t="shared" si="61"/>
        <v>1.8207142857144133E-2</v>
      </c>
      <c r="ED50" s="79">
        <f t="shared" si="60"/>
        <v>1.8207142857144133E-2</v>
      </c>
      <c r="EE50" s="79">
        <f t="shared" si="60"/>
        <v>1.8207142857144133E-2</v>
      </c>
      <c r="EF50" s="79">
        <f t="shared" si="60"/>
        <v>1.8207142857144133E-2</v>
      </c>
      <c r="EG50" s="79">
        <f t="shared" si="60"/>
        <v>1.8207142857144133E-2</v>
      </c>
      <c r="EH50" s="79">
        <f t="shared" si="60"/>
        <v>1.8207142857144133E-2</v>
      </c>
      <c r="EI50" s="79">
        <f t="shared" si="60"/>
        <v>1.8207142857144133E-2</v>
      </c>
      <c r="EJ50" s="79">
        <f t="shared" si="60"/>
        <v>1.8207142857144133E-2</v>
      </c>
      <c r="EK50" s="79">
        <f t="shared" si="60"/>
        <v>1.8207142857144133E-2</v>
      </c>
      <c r="EL50" s="79">
        <f t="shared" si="60"/>
        <v>1.8207142857144133E-2</v>
      </c>
      <c r="EM50" s="79">
        <f t="shared" si="60"/>
        <v>1.8207142857144133E-2</v>
      </c>
      <c r="EN50" s="79">
        <f t="shared" si="60"/>
        <v>1.8207142857144133E-2</v>
      </c>
      <c r="EO50" s="79">
        <f t="shared" si="60"/>
        <v>1.8207142857144133E-2</v>
      </c>
      <c r="EP50" s="79">
        <f t="shared" si="60"/>
        <v>1.8207142857144133E-2</v>
      </c>
      <c r="EQ50" s="79">
        <f t="shared" si="60"/>
        <v>1.8207142857144133E-2</v>
      </c>
      <c r="ER50" s="79">
        <f t="shared" si="60"/>
        <v>1.8207142857144133E-2</v>
      </c>
      <c r="ES50" s="79">
        <f t="shared" si="60"/>
        <v>1.8207142857144133E-2</v>
      </c>
      <c r="ET50" s="79">
        <f t="shared" si="60"/>
        <v>1.8207142857144133E-2</v>
      </c>
      <c r="FF50" s="6" t="s">
        <v>1013</v>
      </c>
      <c r="FG50" s="696">
        <v>2.0499999999999997E-2</v>
      </c>
      <c r="FH50" s="696">
        <v>120</v>
      </c>
      <c r="FI50" s="696">
        <v>1.6E-2</v>
      </c>
      <c r="FJ50" s="255">
        <v>1.43E-2</v>
      </c>
      <c r="FK50" s="71">
        <f t="shared" si="10"/>
        <v>1.4761904761904755E-4</v>
      </c>
      <c r="FL50" t="e">
        <f>VLOOKUP(FF50,'SIMULADOR COM SALDO'!$BX$22:$CK$1000,13,FALSE)</f>
        <v>#N/A</v>
      </c>
    </row>
    <row r="51" spans="5:168" x14ac:dyDescent="0.25">
      <c r="F51" s="97">
        <f t="shared" si="11"/>
        <v>1.830476190476191E-2</v>
      </c>
      <c r="G51" s="79">
        <f t="shared" si="62"/>
        <v>1.8499877943551749E-2</v>
      </c>
      <c r="H51" s="79">
        <f t="shared" si="62"/>
        <v>1.8499638244075516E-2</v>
      </c>
      <c r="I51" s="79">
        <f t="shared" si="62"/>
        <v>1.8499285197505037E-2</v>
      </c>
      <c r="J51" s="79">
        <f t="shared" si="62"/>
        <v>1.8498822984904767E-2</v>
      </c>
      <c r="K51" s="79">
        <f t="shared" si="62"/>
        <v>1.8498255675046482E-2</v>
      </c>
      <c r="L51" s="79">
        <f t="shared" si="62"/>
        <v>1.8497587226939022E-2</v>
      </c>
      <c r="M51" s="79">
        <f t="shared" si="62"/>
        <v>1.8496821492315206E-2</v>
      </c>
      <c r="N51" s="79">
        <f t="shared" si="62"/>
        <v>1.8495962218072152E-2</v>
      </c>
      <c r="O51" s="79">
        <f t="shared" si="62"/>
        <v>1.8495013048669569E-2</v>
      </c>
      <c r="P51" s="79">
        <f t="shared" si="62"/>
        <v>1.8493977528483023E-2</v>
      </c>
      <c r="Q51" s="79">
        <f t="shared" si="62"/>
        <v>1.8492859104114166E-2</v>
      </c>
      <c r="R51" s="79">
        <f t="shared" si="62"/>
        <v>1.8491661126657639E-2</v>
      </c>
      <c r="S51" s="79">
        <f t="shared" si="62"/>
        <v>1.849038685392556E-2</v>
      </c>
      <c r="T51" s="79">
        <f t="shared" si="62"/>
        <v>1.8489039452629332E-2</v>
      </c>
      <c r="U51" s="79">
        <f t="shared" si="62"/>
        <v>1.8487622000520128E-2</v>
      </c>
      <c r="V51" s="79">
        <f t="shared" si="62"/>
        <v>1.8486137488486949E-2</v>
      </c>
      <c r="W51" s="79">
        <f t="shared" si="62"/>
        <v>1.8484588822614778E-2</v>
      </c>
      <c r="X51" s="79">
        <f t="shared" si="62"/>
        <v>1.8482978826201441E-2</v>
      </c>
      <c r="Y51" s="79">
        <f t="shared" si="62"/>
        <v>1.8481310241735029E-2</v>
      </c>
      <c r="Z51" s="79">
        <f t="shared" si="62"/>
        <v>1.8479585732830237E-2</v>
      </c>
      <c r="AA51" s="79">
        <f t="shared" si="62"/>
        <v>1.847780788612869E-2</v>
      </c>
      <c r="AB51" s="79">
        <f t="shared" si="62"/>
        <v>1.8475979213156784E-2</v>
      </c>
      <c r="AC51" s="79">
        <f t="shared" si="62"/>
        <v>1.8474102152149334E-2</v>
      </c>
      <c r="AD51" s="79">
        <f t="shared" si="62"/>
        <v>1.8472179069832444E-2</v>
      </c>
      <c r="AE51" s="79">
        <f t="shared" si="62"/>
        <v>1.84702122631718E-2</v>
      </c>
      <c r="AF51" s="79">
        <f t="shared" si="62"/>
        <v>1.8468203961083667E-2</v>
      </c>
      <c r="AG51" s="79">
        <f t="shared" si="62"/>
        <v>1.8466156326109161E-2</v>
      </c>
      <c r="AH51" s="79">
        <f t="shared" si="62"/>
        <v>1.8464071456054661E-2</v>
      </c>
      <c r="AI51" s="79">
        <f t="shared" si="62"/>
        <v>1.8461951385596871E-2</v>
      </c>
      <c r="AJ51" s="79">
        <f t="shared" si="62"/>
        <v>1.8459798087852544E-2</v>
      </c>
      <c r="AK51" s="79">
        <f t="shared" si="62"/>
        <v>1.8457613475916609E-2</v>
      </c>
      <c r="AL51" s="79">
        <f t="shared" si="62"/>
        <v>1.8455399404365136E-2</v>
      </c>
      <c r="AM51" s="79">
        <f t="shared" si="62"/>
        <v>1.8453157670727121E-2</v>
      </c>
      <c r="AN51" s="79">
        <f t="shared" si="62"/>
        <v>1.8450890016923089E-2</v>
      </c>
      <c r="AO51" s="79">
        <f t="shared" si="62"/>
        <v>1.8448598130673531E-2</v>
      </c>
      <c r="AP51" s="79">
        <f t="shared" si="62"/>
        <v>1.8446283646874475E-2</v>
      </c>
      <c r="AQ51" s="79">
        <f t="shared" si="62"/>
        <v>1.8443948148945177E-2</v>
      </c>
      <c r="AR51" s="79">
        <f t="shared" si="62"/>
        <v>1.8441593170142989E-2</v>
      </c>
      <c r="AS51" s="79">
        <f t="shared" si="62"/>
        <v>1.8439220194851443E-2</v>
      </c>
      <c r="AT51" s="79">
        <f t="shared" si="62"/>
        <v>1.8436830659838335E-2</v>
      </c>
      <c r="AU51" s="79">
        <f t="shared" si="62"/>
        <v>1.8434425955485077E-2</v>
      </c>
      <c r="AV51" s="79">
        <f t="shared" si="62"/>
        <v>1.843200742698942E-2</v>
      </c>
      <c r="AW51" s="79">
        <f t="shared" si="62"/>
        <v>1.8429576375540439E-2</v>
      </c>
      <c r="AX51" s="79">
        <f t="shared" si="62"/>
        <v>1.8427134059466044E-2</v>
      </c>
      <c r="AY51" s="79">
        <f t="shared" si="62"/>
        <v>1.8424681695355632E-2</v>
      </c>
      <c r="AZ51" s="79">
        <f t="shared" si="62"/>
        <v>1.8422220459155883E-2</v>
      </c>
      <c r="BA51" s="79">
        <f t="shared" si="62"/>
        <v>1.8419751487242016E-2</v>
      </c>
      <c r="BB51" s="79">
        <f t="shared" si="62"/>
        <v>1.8417275877464157E-2</v>
      </c>
      <c r="BC51" s="79">
        <f t="shared" si="62"/>
        <v>1.8414794690168945E-2</v>
      </c>
      <c r="BD51" s="79">
        <f t="shared" si="62"/>
        <v>1.8412308949198181E-2</v>
      </c>
      <c r="BE51" s="79">
        <f t="shared" si="62"/>
        <v>1.8409819642863999E-2</v>
      </c>
      <c r="BF51" s="79">
        <f t="shared" si="62"/>
        <v>1.8407327724900252E-2</v>
      </c>
      <c r="BG51" s="79">
        <f t="shared" si="62"/>
        <v>1.8404834115393152E-2</v>
      </c>
      <c r="BH51" s="79">
        <f t="shared" si="62"/>
        <v>1.8402339701688777E-2</v>
      </c>
      <c r="BI51" s="79">
        <f t="shared" si="62"/>
        <v>1.8399845339279738E-2</v>
      </c>
      <c r="BJ51" s="79">
        <f t="shared" si="62"/>
        <v>1.8397351852670045E-2</v>
      </c>
      <c r="BK51" s="79">
        <f t="shared" si="62"/>
        <v>1.8394860036220855E-2</v>
      </c>
      <c r="BL51" s="79">
        <f t="shared" si="62"/>
        <v>1.839237065497451E-2</v>
      </c>
      <c r="BM51" s="79">
        <f t="shared" si="62"/>
        <v>1.8389884445459592E-2</v>
      </c>
      <c r="BN51" s="79">
        <f t="shared" si="62"/>
        <v>1.8387402116477054E-2</v>
      </c>
      <c r="BO51" s="79">
        <f t="shared" si="62"/>
        <v>1.8384924349866241E-2</v>
      </c>
      <c r="BP51" s="79">
        <f t="shared" si="62"/>
        <v>1.8382451801253932E-2</v>
      </c>
      <c r="BQ51" s="79">
        <f t="shared" si="62"/>
        <v>1.8379985100783983E-2</v>
      </c>
      <c r="BR51" s="79">
        <f t="shared" ref="BR51:EC53" si="63">IF(BR$9&lt;=$K$6,RATE($K$6,1,BR97,0),"")</f>
        <v>1.8377524853830107E-2</v>
      </c>
      <c r="BS51" s="79">
        <f t="shared" si="63"/>
        <v>1.8375071641690534E-2</v>
      </c>
      <c r="BT51" s="79">
        <f t="shared" si="61"/>
        <v>1.837262602226691E-2</v>
      </c>
      <c r="BU51" s="79">
        <f t="shared" si="61"/>
        <v>1.8370188530725185E-2</v>
      </c>
      <c r="BV51" s="79">
        <f t="shared" si="61"/>
        <v>1.8367759680141163E-2</v>
      </c>
      <c r="BW51" s="79">
        <f t="shared" si="61"/>
        <v>1.8365339962130148E-2</v>
      </c>
      <c r="BX51" s="79">
        <f t="shared" si="61"/>
        <v>1.836292984746098E-2</v>
      </c>
      <c r="BY51" s="79">
        <f t="shared" si="61"/>
        <v>1.8360529786654284E-2</v>
      </c>
      <c r="BZ51" s="79">
        <f t="shared" si="61"/>
        <v>1.8358140210567003E-2</v>
      </c>
      <c r="CA51" s="79">
        <f t="shared" si="61"/>
        <v>1.8355761530961717E-2</v>
      </c>
      <c r="CB51" s="79">
        <f t="shared" si="61"/>
        <v>1.8353394141061356E-2</v>
      </c>
      <c r="CC51" s="79">
        <f t="shared" si="61"/>
        <v>1.8351038416091477E-2</v>
      </c>
      <c r="CD51" s="79">
        <f t="shared" si="61"/>
        <v>1.8348694713807456E-2</v>
      </c>
      <c r="CE51" s="79">
        <f t="shared" si="61"/>
        <v>1.8346363375008872E-2</v>
      </c>
      <c r="CF51" s="79">
        <f t="shared" si="61"/>
        <v>1.8344044724042195E-2</v>
      </c>
      <c r="CG51" s="79">
        <f t="shared" si="61"/>
        <v>1.8341739069288394E-2</v>
      </c>
      <c r="CH51" s="79">
        <f t="shared" si="61"/>
        <v>1.8339446703640731E-2</v>
      </c>
      <c r="CI51" s="79">
        <f t="shared" si="61"/>
        <v>1.8337167904968546E-2</v>
      </c>
      <c r="CJ51" s="79">
        <f t="shared" si="61"/>
        <v>1.8334902936569902E-2</v>
      </c>
      <c r="CK51" s="79">
        <f t="shared" si="61"/>
        <v>1.8332652047613748E-2</v>
      </c>
      <c r="CL51" s="79">
        <f t="shared" si="61"/>
        <v>1.8330415473568555E-2</v>
      </c>
      <c r="CM51" s="79">
        <f t="shared" si="61"/>
        <v>1.8328193436621929E-2</v>
      </c>
      <c r="CN51" s="79">
        <f t="shared" si="61"/>
        <v>1.8325986146088845E-2</v>
      </c>
      <c r="CO51" s="79">
        <f t="shared" si="61"/>
        <v>1.8323793798808993E-2</v>
      </c>
      <c r="CP51" s="79">
        <f t="shared" si="61"/>
        <v>1.8321616579534111E-2</v>
      </c>
      <c r="CQ51" s="79">
        <f t="shared" si="61"/>
        <v>1.8319454661305742E-2</v>
      </c>
      <c r="CR51" s="79">
        <f t="shared" si="61"/>
        <v>1.8317308205822048E-2</v>
      </c>
      <c r="CS51" s="79">
        <f t="shared" si="61"/>
        <v>1.8315177363796963E-2</v>
      </c>
      <c r="CT51" s="79">
        <f t="shared" si="61"/>
        <v>1.8313062275307879E-2</v>
      </c>
      <c r="CU51" s="79">
        <f t="shared" si="61"/>
        <v>1.8310963070135567E-2</v>
      </c>
      <c r="CV51" s="79">
        <f t="shared" si="61"/>
        <v>1.8308879868095079E-2</v>
      </c>
      <c r="CW51" s="79">
        <f t="shared" si="61"/>
        <v>1.8306812779357334E-2</v>
      </c>
      <c r="CX51" s="79">
        <f t="shared" si="61"/>
        <v>1.8304761904763003E-2</v>
      </c>
      <c r="CY51" s="79">
        <f t="shared" si="61"/>
        <v>1.8304761904763003E-2</v>
      </c>
      <c r="CZ51" s="79">
        <f t="shared" si="61"/>
        <v>1.8304761904763003E-2</v>
      </c>
      <c r="DA51" s="79">
        <f t="shared" si="61"/>
        <v>1.8304761904763003E-2</v>
      </c>
      <c r="DB51" s="79">
        <f t="shared" si="61"/>
        <v>1.8304761904763003E-2</v>
      </c>
      <c r="DC51" s="79">
        <f t="shared" si="61"/>
        <v>1.8304761904763003E-2</v>
      </c>
      <c r="DD51" s="79">
        <f t="shared" si="61"/>
        <v>1.8304761904763003E-2</v>
      </c>
      <c r="DE51" s="79">
        <f t="shared" si="61"/>
        <v>1.8304761904763003E-2</v>
      </c>
      <c r="DF51" s="79">
        <f t="shared" si="61"/>
        <v>1.8304761904763003E-2</v>
      </c>
      <c r="DG51" s="79">
        <f t="shared" si="61"/>
        <v>1.8304761904763003E-2</v>
      </c>
      <c r="DH51" s="79">
        <f t="shared" si="61"/>
        <v>1.8304761904763003E-2</v>
      </c>
      <c r="DI51" s="79">
        <f t="shared" si="61"/>
        <v>1.8304761904763003E-2</v>
      </c>
      <c r="DJ51" s="79">
        <f t="shared" si="61"/>
        <v>1.8304761904763003E-2</v>
      </c>
      <c r="DK51" s="79">
        <f t="shared" si="61"/>
        <v>1.8304761904763003E-2</v>
      </c>
      <c r="DL51" s="79">
        <f t="shared" si="61"/>
        <v>1.8304761904763003E-2</v>
      </c>
      <c r="DM51" s="79">
        <f t="shared" si="61"/>
        <v>1.8304761904763003E-2</v>
      </c>
      <c r="DN51" s="79">
        <f t="shared" si="61"/>
        <v>1.8304761904763003E-2</v>
      </c>
      <c r="DO51" s="79">
        <f t="shared" si="61"/>
        <v>1.8304761904763003E-2</v>
      </c>
      <c r="DP51" s="79">
        <f t="shared" si="61"/>
        <v>1.8304761904763003E-2</v>
      </c>
      <c r="DQ51" s="79">
        <f t="shared" si="61"/>
        <v>1.8304761904763003E-2</v>
      </c>
      <c r="DR51" s="79">
        <f t="shared" si="61"/>
        <v>1.8304761904763003E-2</v>
      </c>
      <c r="DS51" s="79">
        <f t="shared" si="61"/>
        <v>1.8304761904763003E-2</v>
      </c>
      <c r="DT51" s="79">
        <f t="shared" si="61"/>
        <v>1.8304761904763003E-2</v>
      </c>
      <c r="DU51" s="79">
        <f t="shared" si="61"/>
        <v>1.8304761904763003E-2</v>
      </c>
      <c r="DV51" s="79">
        <f t="shared" si="61"/>
        <v>1.8304761904763003E-2</v>
      </c>
      <c r="DW51" s="79">
        <f t="shared" si="61"/>
        <v>1.8304761904763003E-2</v>
      </c>
      <c r="DX51" s="79">
        <f t="shared" si="61"/>
        <v>1.8304761904763003E-2</v>
      </c>
      <c r="DY51" s="79">
        <f t="shared" si="61"/>
        <v>1.8304761904763003E-2</v>
      </c>
      <c r="DZ51" s="79">
        <f t="shared" si="61"/>
        <v>1.8304761904763003E-2</v>
      </c>
      <c r="EA51" s="79">
        <f t="shared" si="61"/>
        <v>1.8304761904763003E-2</v>
      </c>
      <c r="EB51" s="79">
        <f t="shared" si="61"/>
        <v>1.8304761904763003E-2</v>
      </c>
      <c r="EC51" s="79">
        <f t="shared" si="61"/>
        <v>1.8304761904763003E-2</v>
      </c>
      <c r="ED51" s="79">
        <f t="shared" si="60"/>
        <v>1.8304761904763003E-2</v>
      </c>
      <c r="EE51" s="79">
        <f t="shared" si="60"/>
        <v>1.8304761904763003E-2</v>
      </c>
      <c r="EF51" s="79">
        <f t="shared" si="60"/>
        <v>1.8304761904763003E-2</v>
      </c>
      <c r="EG51" s="79">
        <f t="shared" si="60"/>
        <v>1.8304761904763003E-2</v>
      </c>
      <c r="EH51" s="79">
        <f t="shared" si="60"/>
        <v>1.8304761904763003E-2</v>
      </c>
      <c r="EI51" s="79">
        <f t="shared" si="60"/>
        <v>1.8304761904763003E-2</v>
      </c>
      <c r="EJ51" s="79">
        <f t="shared" si="60"/>
        <v>1.8304761904763003E-2</v>
      </c>
      <c r="EK51" s="79">
        <f t="shared" si="60"/>
        <v>1.8304761904763003E-2</v>
      </c>
      <c r="EL51" s="79">
        <f t="shared" si="60"/>
        <v>1.8304761904763003E-2</v>
      </c>
      <c r="EM51" s="79">
        <f t="shared" si="60"/>
        <v>1.8304761904763003E-2</v>
      </c>
      <c r="EN51" s="79">
        <f t="shared" si="60"/>
        <v>1.8304761904763003E-2</v>
      </c>
      <c r="EO51" s="79">
        <f t="shared" si="60"/>
        <v>1.8304761904763003E-2</v>
      </c>
      <c r="EP51" s="79">
        <f t="shared" si="60"/>
        <v>1.8304761904763003E-2</v>
      </c>
      <c r="EQ51" s="79">
        <f t="shared" si="60"/>
        <v>1.8304761904763003E-2</v>
      </c>
      <c r="ER51" s="79">
        <f t="shared" si="60"/>
        <v>1.8304761904763003E-2</v>
      </c>
      <c r="ES51" s="79">
        <f t="shared" si="60"/>
        <v>1.8304761904763003E-2</v>
      </c>
      <c r="ET51" s="79">
        <f t="shared" si="60"/>
        <v>1.8304761904763003E-2</v>
      </c>
      <c r="FF51" s="67" t="s">
        <v>66</v>
      </c>
      <c r="FG51" s="696">
        <v>2.5000000000000001E-2</v>
      </c>
      <c r="FH51" s="696">
        <v>96</v>
      </c>
      <c r="FI51" s="696">
        <v>1.55E-2</v>
      </c>
      <c r="FJ51" s="255">
        <v>1.4499999999999999E-2</v>
      </c>
      <c r="FK51" s="71">
        <f t="shared" si="10"/>
        <v>2.5000000000000006E-4</v>
      </c>
      <c r="FL51" t="e">
        <f>VLOOKUP(FF51,'SIMULADOR COM SALDO'!$BX$22:$CK$1000,13,FALSE)</f>
        <v>#N/A</v>
      </c>
    </row>
    <row r="52" spans="5:168" x14ac:dyDescent="0.25">
      <c r="F52" s="97">
        <f t="shared" si="11"/>
        <v>1.8402380952380958E-2</v>
      </c>
      <c r="G52" s="79">
        <f t="shared" ref="G52:BR53" si="64">IF(G$9&lt;=$K$6,RATE($K$6,1,G98,0),"")</f>
        <v>1.8499938977525603E-2</v>
      </c>
      <c r="H52" s="79">
        <f t="shared" si="64"/>
        <v>1.849981914423748E-2</v>
      </c>
      <c r="I52" s="79">
        <f t="shared" si="64"/>
        <v>1.8499642652229607E-2</v>
      </c>
      <c r="J52" s="79">
        <f t="shared" si="64"/>
        <v>1.8499411595412931E-2</v>
      </c>
      <c r="K52" s="79">
        <f t="shared" si="64"/>
        <v>1.8499128010873795E-2</v>
      </c>
      <c r="L52" s="79">
        <f t="shared" si="64"/>
        <v>1.8498793880205734E-2</v>
      </c>
      <c r="M52" s="79">
        <f t="shared" si="64"/>
        <v>1.8498411130813488E-2</v>
      </c>
      <c r="N52" s="79">
        <f t="shared" si="64"/>
        <v>1.8497981637189357E-2</v>
      </c>
      <c r="O52" s="79">
        <f t="shared" si="64"/>
        <v>1.8497507222165591E-2</v>
      </c>
      <c r="P52" s="79">
        <f t="shared" si="64"/>
        <v>1.8496989658139517E-2</v>
      </c>
      <c r="Q52" s="79">
        <f t="shared" si="64"/>
        <v>1.8496430668272699E-2</v>
      </c>
      <c r="R52" s="79">
        <f t="shared" si="64"/>
        <v>1.8495831927666944E-2</v>
      </c>
      <c r="S52" s="79">
        <f t="shared" si="64"/>
        <v>1.8495195064513827E-2</v>
      </c>
      <c r="T52" s="79">
        <f t="shared" si="64"/>
        <v>1.8494521661221695E-2</v>
      </c>
      <c r="U52" s="79">
        <f t="shared" si="64"/>
        <v>1.8493813255517376E-2</v>
      </c>
      <c r="V52" s="79">
        <f t="shared" si="64"/>
        <v>1.8493071341525801E-2</v>
      </c>
      <c r="W52" s="79">
        <f t="shared" si="64"/>
        <v>1.8492297370825448E-2</v>
      </c>
      <c r="X52" s="79">
        <f t="shared" si="64"/>
        <v>1.8491492753482566E-2</v>
      </c>
      <c r="Y52" s="79">
        <f t="shared" si="64"/>
        <v>1.8490658859061659E-2</v>
      </c>
      <c r="Z52" s="79">
        <f t="shared" si="64"/>
        <v>1.8489797017615422E-2</v>
      </c>
      <c r="AA52" s="79">
        <f t="shared" si="64"/>
        <v>1.8488908520652686E-2</v>
      </c>
      <c r="AB52" s="79">
        <f t="shared" si="64"/>
        <v>1.8487994622085526E-2</v>
      </c>
      <c r="AC52" s="79">
        <f t="shared" si="64"/>
        <v>1.8487056539155406E-2</v>
      </c>
      <c r="AD52" s="79">
        <f t="shared" si="64"/>
        <v>1.8486095453339384E-2</v>
      </c>
      <c r="AE52" s="79">
        <f t="shared" si="64"/>
        <v>1.8485112511236291E-2</v>
      </c>
      <c r="AF52" s="79">
        <f t="shared" si="64"/>
        <v>1.8484108825433585E-2</v>
      </c>
      <c r="AG52" s="79">
        <f t="shared" si="64"/>
        <v>1.8483085475354176E-2</v>
      </c>
      <c r="AH52" s="79">
        <f t="shared" si="64"/>
        <v>1.8482043508086264E-2</v>
      </c>
      <c r="AI52" s="79">
        <f t="shared" si="64"/>
        <v>1.8480983939192362E-2</v>
      </c>
      <c r="AJ52" s="79">
        <f t="shared" si="64"/>
        <v>1.8479907753502188E-2</v>
      </c>
      <c r="AK52" s="79">
        <f t="shared" si="64"/>
        <v>1.8478815905886847E-2</v>
      </c>
      <c r="AL52" s="79">
        <f t="shared" si="64"/>
        <v>1.8477709322016089E-2</v>
      </c>
      <c r="AM52" s="79">
        <f t="shared" si="64"/>
        <v>1.8476588899097479E-2</v>
      </c>
      <c r="AN52" s="79">
        <f t="shared" si="64"/>
        <v>1.8475455506600579E-2</v>
      </c>
      <c r="AO52" s="79">
        <f t="shared" si="64"/>
        <v>1.8474309986963158E-2</v>
      </c>
      <c r="AP52" s="79">
        <f t="shared" si="64"/>
        <v>1.8473153156282205E-2</v>
      </c>
      <c r="AQ52" s="79">
        <f t="shared" si="64"/>
        <v>1.8471985804988753E-2</v>
      </c>
      <c r="AR52" s="79">
        <f t="shared" si="64"/>
        <v>1.8470808698507535E-2</v>
      </c>
      <c r="AS52" s="79">
        <f t="shared" si="64"/>
        <v>1.8469622577901159E-2</v>
      </c>
      <c r="AT52" s="79">
        <f t="shared" si="64"/>
        <v>1.8468428160500462E-2</v>
      </c>
      <c r="AU52" s="79">
        <f t="shared" si="64"/>
        <v>1.8467226140518839E-2</v>
      </c>
      <c r="AV52" s="79">
        <f t="shared" si="64"/>
        <v>1.8466017189653294E-2</v>
      </c>
      <c r="AW52" s="79">
        <f t="shared" si="64"/>
        <v>1.8464801957671938E-2</v>
      </c>
      <c r="AX52" s="79">
        <f t="shared" si="64"/>
        <v>1.8463581072986835E-2</v>
      </c>
      <c r="AY52" s="79">
        <f t="shared" si="64"/>
        <v>1.8462355143213923E-2</v>
      </c>
      <c r="AZ52" s="79">
        <f t="shared" si="64"/>
        <v>1.8461124755720225E-2</v>
      </c>
      <c r="BA52" s="79">
        <f t="shared" si="64"/>
        <v>1.8459890478158058E-2</v>
      </c>
      <c r="BB52" s="79">
        <f t="shared" si="64"/>
        <v>1.845865285898592E-2</v>
      </c>
      <c r="BC52" s="79">
        <f t="shared" si="64"/>
        <v>1.8457412427979006E-2</v>
      </c>
      <c r="BD52" s="79">
        <f t="shared" si="64"/>
        <v>1.8456169696725162E-2</v>
      </c>
      <c r="BE52" s="79">
        <f t="shared" si="64"/>
        <v>1.8454925159111422E-2</v>
      </c>
      <c r="BF52" s="79">
        <f t="shared" si="64"/>
        <v>1.8453679291797639E-2</v>
      </c>
      <c r="BG52" s="79">
        <f t="shared" si="64"/>
        <v>1.845243255467956E-2</v>
      </c>
      <c r="BH52" s="79">
        <f t="shared" si="64"/>
        <v>1.8451185391340431E-2</v>
      </c>
      <c r="BI52" s="79">
        <f t="shared" si="64"/>
        <v>1.8449938229491619E-2</v>
      </c>
      <c r="BJ52" s="79">
        <f t="shared" si="64"/>
        <v>1.8448691481404059E-2</v>
      </c>
      <c r="BK52" s="79">
        <f t="shared" si="64"/>
        <v>1.8447445544327649E-2</v>
      </c>
      <c r="BL52" s="79">
        <f t="shared" si="64"/>
        <v>1.8446200800901428E-2</v>
      </c>
      <c r="BM52" s="79">
        <f t="shared" si="64"/>
        <v>1.8444957619553875E-2</v>
      </c>
      <c r="BN52" s="79">
        <f t="shared" si="64"/>
        <v>1.8443716354893724E-2</v>
      </c>
      <c r="BO52" s="79">
        <f t="shared" si="64"/>
        <v>1.8442477348090482E-2</v>
      </c>
      <c r="BP52" s="79">
        <f t="shared" si="64"/>
        <v>1.8441240927246964E-2</v>
      </c>
      <c r="BQ52" s="79">
        <f t="shared" si="64"/>
        <v>1.8440007407761555E-2</v>
      </c>
      <c r="BR52" s="79">
        <f t="shared" si="64"/>
        <v>1.8438777092682674E-2</v>
      </c>
      <c r="BS52" s="79">
        <f t="shared" si="63"/>
        <v>1.8437550273053719E-2</v>
      </c>
      <c r="BT52" s="79">
        <f t="shared" si="63"/>
        <v>1.8436327228250497E-2</v>
      </c>
      <c r="BU52" s="79">
        <f t="shared" si="63"/>
        <v>1.8435108226309675E-2</v>
      </c>
      <c r="BV52" s="79">
        <f t="shared" si="63"/>
        <v>1.8433893524249057E-2</v>
      </c>
      <c r="BW52" s="79">
        <f t="shared" si="63"/>
        <v>1.8432683368381227E-2</v>
      </c>
      <c r="BX52" s="79">
        <f t="shared" si="63"/>
        <v>1.8431477994617456E-2</v>
      </c>
      <c r="BY52" s="79">
        <f t="shared" si="63"/>
        <v>1.8430277628766027E-2</v>
      </c>
      <c r="BZ52" s="79">
        <f t="shared" si="63"/>
        <v>1.8429082486822113E-2</v>
      </c>
      <c r="CA52" s="79">
        <f t="shared" si="63"/>
        <v>1.8427892775250341E-2</v>
      </c>
      <c r="CB52" s="79">
        <f t="shared" si="63"/>
        <v>1.8426708691261329E-2</v>
      </c>
      <c r="CC52" s="79">
        <f t="shared" si="63"/>
        <v>1.842553042308006E-2</v>
      </c>
      <c r="CD52" s="79">
        <f t="shared" si="63"/>
        <v>1.842435815020858E-2</v>
      </c>
      <c r="CE52" s="79">
        <f t="shared" si="63"/>
        <v>1.8423192043681671E-2</v>
      </c>
      <c r="CF52" s="79">
        <f t="shared" si="63"/>
        <v>1.8422032266315776E-2</v>
      </c>
      <c r="CG52" s="79">
        <f t="shared" si="63"/>
        <v>1.8420878972952831E-2</v>
      </c>
      <c r="CH52" s="79">
        <f t="shared" si="63"/>
        <v>1.8419732310696053E-2</v>
      </c>
      <c r="CI52" s="79">
        <f t="shared" si="63"/>
        <v>1.8418592419141743E-2</v>
      </c>
      <c r="CJ52" s="79">
        <f t="shared" si="63"/>
        <v>1.8417459430604414E-2</v>
      </c>
      <c r="CK52" s="79">
        <f t="shared" si="63"/>
        <v>1.841633347033533E-2</v>
      </c>
      <c r="CL52" s="79">
        <f t="shared" si="63"/>
        <v>1.8415214656737244E-2</v>
      </c>
      <c r="CM52" s="79">
        <f t="shared" si="63"/>
        <v>1.8414103101571926E-2</v>
      </c>
      <c r="CN52" s="79">
        <f t="shared" si="63"/>
        <v>1.8412998910163653E-2</v>
      </c>
      <c r="CO52" s="79">
        <f t="shared" si="63"/>
        <v>1.8411902181597262E-2</v>
      </c>
      <c r="CP52" s="79">
        <f t="shared" si="63"/>
        <v>1.8410813008910006E-2</v>
      </c>
      <c r="CQ52" s="79">
        <f t="shared" si="63"/>
        <v>1.8409731479280423E-2</v>
      </c>
      <c r="CR52" s="79">
        <f t="shared" si="63"/>
        <v>1.8408657674210141E-2</v>
      </c>
      <c r="CS52" s="79">
        <f t="shared" si="63"/>
        <v>1.840759166970328E-2</v>
      </c>
      <c r="CT52" s="79">
        <f t="shared" si="63"/>
        <v>1.8406533536438913E-2</v>
      </c>
      <c r="CU52" s="79">
        <f t="shared" si="63"/>
        <v>1.8405483339941242E-2</v>
      </c>
      <c r="CV52" s="79">
        <f t="shared" si="63"/>
        <v>1.8404441140742907E-2</v>
      </c>
      <c r="CW52" s="79">
        <f t="shared" si="63"/>
        <v>1.8403406994546987E-2</v>
      </c>
      <c r="CX52" s="79">
        <f t="shared" si="63"/>
        <v>1.8402380952381923E-2</v>
      </c>
      <c r="CY52" s="79">
        <f t="shared" si="63"/>
        <v>1.8402380952381923E-2</v>
      </c>
      <c r="CZ52" s="79">
        <f t="shared" si="63"/>
        <v>1.8402380952381923E-2</v>
      </c>
      <c r="DA52" s="79">
        <f t="shared" si="63"/>
        <v>1.8402380952381923E-2</v>
      </c>
      <c r="DB52" s="79">
        <f t="shared" si="63"/>
        <v>1.8402380952381923E-2</v>
      </c>
      <c r="DC52" s="79">
        <f t="shared" si="63"/>
        <v>1.8402380952381923E-2</v>
      </c>
      <c r="DD52" s="79">
        <f t="shared" si="63"/>
        <v>1.8402380952381923E-2</v>
      </c>
      <c r="DE52" s="79">
        <f t="shared" si="63"/>
        <v>1.8402380952381923E-2</v>
      </c>
      <c r="DF52" s="79">
        <f t="shared" si="63"/>
        <v>1.8402380952381923E-2</v>
      </c>
      <c r="DG52" s="79">
        <f t="shared" si="63"/>
        <v>1.8402380952381923E-2</v>
      </c>
      <c r="DH52" s="79">
        <f t="shared" si="63"/>
        <v>1.8402380952381923E-2</v>
      </c>
      <c r="DI52" s="79">
        <f t="shared" si="63"/>
        <v>1.8402380952381923E-2</v>
      </c>
      <c r="DJ52" s="79">
        <f t="shared" si="63"/>
        <v>1.8402380952381923E-2</v>
      </c>
      <c r="DK52" s="79">
        <f t="shared" si="63"/>
        <v>1.8402380952381923E-2</v>
      </c>
      <c r="DL52" s="79">
        <f t="shared" si="63"/>
        <v>1.8402380952381923E-2</v>
      </c>
      <c r="DM52" s="79">
        <f t="shared" si="63"/>
        <v>1.8402380952381923E-2</v>
      </c>
      <c r="DN52" s="79">
        <f t="shared" si="63"/>
        <v>1.8402380952381923E-2</v>
      </c>
      <c r="DO52" s="79">
        <f t="shared" si="63"/>
        <v>1.8402380952381923E-2</v>
      </c>
      <c r="DP52" s="79">
        <f t="shared" si="63"/>
        <v>1.8402380952381923E-2</v>
      </c>
      <c r="DQ52" s="79">
        <f t="shared" si="63"/>
        <v>1.8402380952381923E-2</v>
      </c>
      <c r="DR52" s="79">
        <f t="shared" si="63"/>
        <v>1.8402380952381923E-2</v>
      </c>
      <c r="DS52" s="79">
        <f t="shared" si="63"/>
        <v>1.8402380952381923E-2</v>
      </c>
      <c r="DT52" s="79">
        <f t="shared" si="63"/>
        <v>1.8402380952381923E-2</v>
      </c>
      <c r="DU52" s="79">
        <f t="shared" si="63"/>
        <v>1.8402380952381923E-2</v>
      </c>
      <c r="DV52" s="79">
        <f t="shared" si="63"/>
        <v>1.8402380952381923E-2</v>
      </c>
      <c r="DW52" s="79">
        <f t="shared" si="63"/>
        <v>1.8402380952381923E-2</v>
      </c>
      <c r="DX52" s="79">
        <f t="shared" si="63"/>
        <v>1.8402380952381923E-2</v>
      </c>
      <c r="DY52" s="79">
        <f t="shared" si="63"/>
        <v>1.8402380952381923E-2</v>
      </c>
      <c r="DZ52" s="79">
        <f t="shared" si="63"/>
        <v>1.8402380952381923E-2</v>
      </c>
      <c r="EA52" s="79">
        <f t="shared" si="63"/>
        <v>1.8402380952381923E-2</v>
      </c>
      <c r="EB52" s="79">
        <f t="shared" si="63"/>
        <v>1.8402380952381923E-2</v>
      </c>
      <c r="EC52" s="79">
        <f t="shared" si="63"/>
        <v>1.8402380952381923E-2</v>
      </c>
      <c r="ED52" s="79">
        <f t="shared" si="60"/>
        <v>1.8402380952381923E-2</v>
      </c>
      <c r="EE52" s="79">
        <f t="shared" si="60"/>
        <v>1.8402380952381923E-2</v>
      </c>
      <c r="EF52" s="79">
        <f t="shared" si="60"/>
        <v>1.8402380952381923E-2</v>
      </c>
      <c r="EG52" s="79">
        <f t="shared" si="60"/>
        <v>1.8402380952381923E-2</v>
      </c>
      <c r="EH52" s="79">
        <f t="shared" si="60"/>
        <v>1.8402380952381923E-2</v>
      </c>
      <c r="EI52" s="79">
        <f t="shared" si="60"/>
        <v>1.8402380952381923E-2</v>
      </c>
      <c r="EJ52" s="79">
        <f t="shared" si="60"/>
        <v>1.8402380952381923E-2</v>
      </c>
      <c r="EK52" s="79">
        <f t="shared" si="60"/>
        <v>1.8402380952381923E-2</v>
      </c>
      <c r="EL52" s="79">
        <f t="shared" si="60"/>
        <v>1.8402380952381923E-2</v>
      </c>
      <c r="EM52" s="79">
        <f t="shared" si="60"/>
        <v>1.8402380952381923E-2</v>
      </c>
      <c r="EN52" s="79">
        <f t="shared" si="60"/>
        <v>1.8402380952381923E-2</v>
      </c>
      <c r="EO52" s="79">
        <f t="shared" si="60"/>
        <v>1.8402380952381923E-2</v>
      </c>
      <c r="EP52" s="79">
        <f t="shared" si="60"/>
        <v>1.8402380952381923E-2</v>
      </c>
      <c r="EQ52" s="79">
        <f t="shared" si="60"/>
        <v>1.8402380952381923E-2</v>
      </c>
      <c r="ER52" s="79">
        <f t="shared" si="60"/>
        <v>1.8402380952381923E-2</v>
      </c>
      <c r="ES52" s="79">
        <f t="shared" si="60"/>
        <v>1.8402380952381923E-2</v>
      </c>
      <c r="ET52" s="79">
        <f t="shared" si="60"/>
        <v>1.8402380952381923E-2</v>
      </c>
      <c r="FF52" s="6" t="s">
        <v>2775</v>
      </c>
      <c r="FG52" s="696">
        <v>2.5000000000000001E-2</v>
      </c>
      <c r="FH52" s="696">
        <v>96</v>
      </c>
      <c r="FI52" s="696">
        <v>1.6500000000000001E-2</v>
      </c>
      <c r="FJ52" s="255">
        <v>1.4499999999999999E-2</v>
      </c>
      <c r="FK52" s="71">
        <f t="shared" si="10"/>
        <v>2.5000000000000006E-4</v>
      </c>
      <c r="FL52" t="e">
        <f>VLOOKUP(FF52,'SIMULADOR COM SALDO'!$BX$22:$CK$1000,13,FALSE)</f>
        <v>#N/A</v>
      </c>
    </row>
    <row r="53" spans="5:168" x14ac:dyDescent="0.25">
      <c r="F53" s="97">
        <f>IF(F52&lt;$J$6,F52+VLOOKUP($H$6,$FF:$FK,6,FALSE),$J$6)</f>
        <v>1.8500000000000006E-2</v>
      </c>
      <c r="G53" s="79">
        <f t="shared" si="64"/>
        <v>1.85000000000007E-2</v>
      </c>
      <c r="H53" s="79">
        <f t="shared" si="64"/>
        <v>1.85000000000007E-2</v>
      </c>
      <c r="I53" s="79">
        <f t="shared" si="64"/>
        <v>1.85000000000007E-2</v>
      </c>
      <c r="J53" s="79">
        <f t="shared" si="64"/>
        <v>1.8500000000000696E-2</v>
      </c>
      <c r="K53" s="79">
        <f t="shared" si="64"/>
        <v>1.8500000000000696E-2</v>
      </c>
      <c r="L53" s="79">
        <f t="shared" si="64"/>
        <v>1.8500000000000696E-2</v>
      </c>
      <c r="M53" s="79">
        <f t="shared" si="64"/>
        <v>1.8500000000000696E-2</v>
      </c>
      <c r="N53" s="79">
        <f t="shared" si="64"/>
        <v>1.8500000000000696E-2</v>
      </c>
      <c r="O53" s="79">
        <f t="shared" si="64"/>
        <v>1.8500000000000696E-2</v>
      </c>
      <c r="P53" s="79">
        <f t="shared" si="64"/>
        <v>1.850000000000071E-2</v>
      </c>
      <c r="Q53" s="79">
        <f t="shared" si="64"/>
        <v>1.8500000000000696E-2</v>
      </c>
      <c r="R53" s="79">
        <f t="shared" si="64"/>
        <v>1.85000000000007E-2</v>
      </c>
      <c r="S53" s="79">
        <f t="shared" si="64"/>
        <v>1.8500000000000696E-2</v>
      </c>
      <c r="T53" s="79">
        <f t="shared" si="64"/>
        <v>1.85000000000007E-2</v>
      </c>
      <c r="U53" s="79">
        <f t="shared" si="64"/>
        <v>1.85000000000007E-2</v>
      </c>
      <c r="V53" s="79">
        <f t="shared" si="64"/>
        <v>1.8500000000000696E-2</v>
      </c>
      <c r="W53" s="79">
        <f t="shared" si="64"/>
        <v>1.85000000000007E-2</v>
      </c>
      <c r="X53" s="79">
        <f t="shared" si="64"/>
        <v>1.8500000000000696E-2</v>
      </c>
      <c r="Y53" s="79">
        <f t="shared" si="64"/>
        <v>1.8500000000000696E-2</v>
      </c>
      <c r="Z53" s="79">
        <f t="shared" si="64"/>
        <v>1.8500000000000696E-2</v>
      </c>
      <c r="AA53" s="79">
        <f t="shared" si="64"/>
        <v>1.85000000000007E-2</v>
      </c>
      <c r="AB53" s="79">
        <f t="shared" si="64"/>
        <v>1.85000000000007E-2</v>
      </c>
      <c r="AC53" s="79">
        <f t="shared" si="64"/>
        <v>1.8500000000000696E-2</v>
      </c>
      <c r="AD53" s="79">
        <f t="shared" si="64"/>
        <v>1.85000000000007E-2</v>
      </c>
      <c r="AE53" s="79">
        <f t="shared" si="64"/>
        <v>1.850000000000071E-2</v>
      </c>
      <c r="AF53" s="79">
        <f t="shared" si="64"/>
        <v>1.85000000000007E-2</v>
      </c>
      <c r="AG53" s="79">
        <f t="shared" si="64"/>
        <v>1.850000000000071E-2</v>
      </c>
      <c r="AH53" s="79">
        <f t="shared" si="64"/>
        <v>1.85000000000007E-2</v>
      </c>
      <c r="AI53" s="79">
        <f t="shared" si="64"/>
        <v>1.85000000000007E-2</v>
      </c>
      <c r="AJ53" s="79">
        <f t="shared" si="64"/>
        <v>1.85000000000007E-2</v>
      </c>
      <c r="AK53" s="79">
        <f t="shared" si="64"/>
        <v>1.85000000000007E-2</v>
      </c>
      <c r="AL53" s="79">
        <f t="shared" si="64"/>
        <v>1.85000000000007E-2</v>
      </c>
      <c r="AM53" s="79">
        <f t="shared" si="64"/>
        <v>1.850000000000071E-2</v>
      </c>
      <c r="AN53" s="79">
        <f t="shared" si="64"/>
        <v>1.85000000000007E-2</v>
      </c>
      <c r="AO53" s="79">
        <f t="shared" si="64"/>
        <v>1.850000000000071E-2</v>
      </c>
      <c r="AP53" s="79">
        <f t="shared" si="64"/>
        <v>1.850000000000071E-2</v>
      </c>
      <c r="AQ53" s="79">
        <f t="shared" si="64"/>
        <v>1.850000000000071E-2</v>
      </c>
      <c r="AR53" s="79">
        <f t="shared" si="64"/>
        <v>1.850000000000071E-2</v>
      </c>
      <c r="AS53" s="79">
        <f t="shared" si="64"/>
        <v>1.85000000000007E-2</v>
      </c>
      <c r="AT53" s="79">
        <f t="shared" si="64"/>
        <v>1.85000000000007E-2</v>
      </c>
      <c r="AU53" s="79">
        <f t="shared" si="64"/>
        <v>1.850000000000071E-2</v>
      </c>
      <c r="AV53" s="79">
        <f t="shared" si="64"/>
        <v>1.850000000000071E-2</v>
      </c>
      <c r="AW53" s="79">
        <f t="shared" si="64"/>
        <v>1.85000000000007E-2</v>
      </c>
      <c r="AX53" s="79">
        <f t="shared" si="64"/>
        <v>1.85000000000007E-2</v>
      </c>
      <c r="AY53" s="79">
        <f t="shared" si="64"/>
        <v>1.850000000000071E-2</v>
      </c>
      <c r="AZ53" s="79">
        <f t="shared" si="64"/>
        <v>1.850000000000071E-2</v>
      </c>
      <c r="BA53" s="79">
        <f t="shared" si="64"/>
        <v>1.850000000000071E-2</v>
      </c>
      <c r="BB53" s="79">
        <f t="shared" si="64"/>
        <v>1.850000000000071E-2</v>
      </c>
      <c r="BC53" s="79">
        <f t="shared" si="64"/>
        <v>1.850000000000071E-2</v>
      </c>
      <c r="BD53" s="79">
        <f t="shared" si="64"/>
        <v>1.850000000000071E-2</v>
      </c>
      <c r="BE53" s="79">
        <f t="shared" si="64"/>
        <v>1.850000000000071E-2</v>
      </c>
      <c r="BF53" s="79">
        <f t="shared" si="64"/>
        <v>1.850000000000071E-2</v>
      </c>
      <c r="BG53" s="79">
        <f t="shared" si="64"/>
        <v>1.850000000000071E-2</v>
      </c>
      <c r="BH53" s="79">
        <f t="shared" si="64"/>
        <v>1.85000000000007E-2</v>
      </c>
      <c r="BI53" s="79">
        <f t="shared" si="64"/>
        <v>1.85000000000007E-2</v>
      </c>
      <c r="BJ53" s="79">
        <f t="shared" si="64"/>
        <v>1.850000000000071E-2</v>
      </c>
      <c r="BK53" s="79">
        <f t="shared" si="64"/>
        <v>1.85000000000007E-2</v>
      </c>
      <c r="BL53" s="79">
        <f t="shared" si="64"/>
        <v>1.85000000000007E-2</v>
      </c>
      <c r="BM53" s="79">
        <f t="shared" si="64"/>
        <v>1.85000000000007E-2</v>
      </c>
      <c r="BN53" s="79">
        <f t="shared" si="64"/>
        <v>1.850000000000071E-2</v>
      </c>
      <c r="BO53" s="79">
        <f t="shared" si="64"/>
        <v>1.85000000000007E-2</v>
      </c>
      <c r="BP53" s="79">
        <f t="shared" si="64"/>
        <v>1.85000000000007E-2</v>
      </c>
      <c r="BQ53" s="79">
        <f t="shared" si="64"/>
        <v>1.850000000000071E-2</v>
      </c>
      <c r="BR53" s="79">
        <f t="shared" si="64"/>
        <v>1.85000000000007E-2</v>
      </c>
      <c r="BS53" s="79">
        <f t="shared" si="63"/>
        <v>1.850000000000071E-2</v>
      </c>
      <c r="BT53" s="79">
        <f t="shared" si="63"/>
        <v>1.850000000000071E-2</v>
      </c>
      <c r="BU53" s="79">
        <f t="shared" si="63"/>
        <v>1.85000000000007E-2</v>
      </c>
      <c r="BV53" s="79">
        <f t="shared" si="63"/>
        <v>1.85000000000007E-2</v>
      </c>
      <c r="BW53" s="79">
        <f t="shared" si="63"/>
        <v>1.85000000000007E-2</v>
      </c>
      <c r="BX53" s="79">
        <f t="shared" si="63"/>
        <v>1.85000000000007E-2</v>
      </c>
      <c r="BY53" s="79">
        <f t="shared" si="63"/>
        <v>1.85000000000007E-2</v>
      </c>
      <c r="BZ53" s="79">
        <f t="shared" si="63"/>
        <v>1.850000000000071E-2</v>
      </c>
      <c r="CA53" s="79">
        <f t="shared" si="63"/>
        <v>1.85000000000007E-2</v>
      </c>
      <c r="CB53" s="79">
        <f t="shared" si="63"/>
        <v>1.850000000000071E-2</v>
      </c>
      <c r="CC53" s="79">
        <f t="shared" si="63"/>
        <v>1.85000000000007E-2</v>
      </c>
      <c r="CD53" s="79">
        <f t="shared" si="63"/>
        <v>1.85000000000007E-2</v>
      </c>
      <c r="CE53" s="79">
        <f t="shared" si="63"/>
        <v>1.85000000000007E-2</v>
      </c>
      <c r="CF53" s="79">
        <f t="shared" si="63"/>
        <v>1.85000000000007E-2</v>
      </c>
      <c r="CG53" s="79">
        <f t="shared" si="63"/>
        <v>1.85000000000007E-2</v>
      </c>
      <c r="CH53" s="79">
        <f t="shared" si="63"/>
        <v>1.85000000000007E-2</v>
      </c>
      <c r="CI53" s="79">
        <f t="shared" si="63"/>
        <v>1.850000000000071E-2</v>
      </c>
      <c r="CJ53" s="79">
        <f t="shared" si="63"/>
        <v>1.85000000000007E-2</v>
      </c>
      <c r="CK53" s="79">
        <f t="shared" si="63"/>
        <v>1.85000000000007E-2</v>
      </c>
      <c r="CL53" s="79">
        <f t="shared" si="63"/>
        <v>1.85000000000007E-2</v>
      </c>
      <c r="CM53" s="79">
        <f t="shared" si="63"/>
        <v>1.850000000000071E-2</v>
      </c>
      <c r="CN53" s="79">
        <f t="shared" si="63"/>
        <v>1.85000000000007E-2</v>
      </c>
      <c r="CO53" s="79">
        <f t="shared" si="63"/>
        <v>1.85000000000007E-2</v>
      </c>
      <c r="CP53" s="79">
        <f t="shared" si="63"/>
        <v>1.85000000000007E-2</v>
      </c>
      <c r="CQ53" s="79">
        <f t="shared" si="63"/>
        <v>1.850000000000071E-2</v>
      </c>
      <c r="CR53" s="79">
        <f t="shared" si="63"/>
        <v>1.850000000000071E-2</v>
      </c>
      <c r="CS53" s="79">
        <f t="shared" si="63"/>
        <v>1.850000000000071E-2</v>
      </c>
      <c r="CT53" s="79">
        <f t="shared" si="63"/>
        <v>1.85000000000007E-2</v>
      </c>
      <c r="CU53" s="79">
        <f t="shared" si="63"/>
        <v>1.850000000000071E-2</v>
      </c>
      <c r="CV53" s="79">
        <f t="shared" si="63"/>
        <v>1.85000000000007E-2</v>
      </c>
      <c r="CW53" s="79">
        <f t="shared" si="63"/>
        <v>1.85000000000007E-2</v>
      </c>
      <c r="CX53" s="79">
        <f t="shared" si="63"/>
        <v>1.85000000000007E-2</v>
      </c>
      <c r="CY53" s="79">
        <f t="shared" si="63"/>
        <v>1.85000000000007E-2</v>
      </c>
      <c r="CZ53" s="79">
        <f t="shared" si="63"/>
        <v>1.85000000000007E-2</v>
      </c>
      <c r="DA53" s="79">
        <f t="shared" si="63"/>
        <v>1.85000000000007E-2</v>
      </c>
      <c r="DB53" s="79">
        <f t="shared" si="63"/>
        <v>1.85000000000007E-2</v>
      </c>
      <c r="DC53" s="79">
        <f t="shared" si="63"/>
        <v>1.85000000000007E-2</v>
      </c>
      <c r="DD53" s="79">
        <f t="shared" si="63"/>
        <v>1.85000000000007E-2</v>
      </c>
      <c r="DE53" s="79">
        <f t="shared" si="63"/>
        <v>1.85000000000007E-2</v>
      </c>
      <c r="DF53" s="79">
        <f t="shared" si="63"/>
        <v>1.85000000000007E-2</v>
      </c>
      <c r="DG53" s="79">
        <f t="shared" si="63"/>
        <v>1.85000000000007E-2</v>
      </c>
      <c r="DH53" s="79">
        <f t="shared" si="63"/>
        <v>1.85000000000007E-2</v>
      </c>
      <c r="DI53" s="79">
        <f t="shared" si="63"/>
        <v>1.85000000000007E-2</v>
      </c>
      <c r="DJ53" s="79">
        <f t="shared" si="63"/>
        <v>1.85000000000007E-2</v>
      </c>
      <c r="DK53" s="79">
        <f t="shared" si="63"/>
        <v>1.85000000000007E-2</v>
      </c>
      <c r="DL53" s="79">
        <f t="shared" si="63"/>
        <v>1.85000000000007E-2</v>
      </c>
      <c r="DM53" s="79">
        <f t="shared" si="63"/>
        <v>1.85000000000007E-2</v>
      </c>
      <c r="DN53" s="79">
        <f t="shared" si="63"/>
        <v>1.85000000000007E-2</v>
      </c>
      <c r="DO53" s="79">
        <f t="shared" si="63"/>
        <v>1.85000000000007E-2</v>
      </c>
      <c r="DP53" s="79">
        <f t="shared" si="63"/>
        <v>1.85000000000007E-2</v>
      </c>
      <c r="DQ53" s="79">
        <f t="shared" si="63"/>
        <v>1.85000000000007E-2</v>
      </c>
      <c r="DR53" s="79">
        <f t="shared" si="63"/>
        <v>1.85000000000007E-2</v>
      </c>
      <c r="DS53" s="79">
        <f t="shared" si="63"/>
        <v>1.85000000000007E-2</v>
      </c>
      <c r="DT53" s="79">
        <f t="shared" si="63"/>
        <v>1.85000000000007E-2</v>
      </c>
      <c r="DU53" s="79">
        <f t="shared" si="63"/>
        <v>1.85000000000007E-2</v>
      </c>
      <c r="DV53" s="79">
        <f t="shared" si="63"/>
        <v>1.85000000000007E-2</v>
      </c>
      <c r="DW53" s="79">
        <f t="shared" si="63"/>
        <v>1.85000000000007E-2</v>
      </c>
      <c r="DX53" s="79">
        <f t="shared" si="63"/>
        <v>1.85000000000007E-2</v>
      </c>
      <c r="DY53" s="79">
        <f t="shared" si="63"/>
        <v>1.85000000000007E-2</v>
      </c>
      <c r="DZ53" s="79">
        <f t="shared" si="63"/>
        <v>1.85000000000007E-2</v>
      </c>
      <c r="EA53" s="79">
        <f t="shared" si="63"/>
        <v>1.85000000000007E-2</v>
      </c>
      <c r="EB53" s="79">
        <f t="shared" si="63"/>
        <v>1.85000000000007E-2</v>
      </c>
      <c r="EC53" s="79">
        <f t="shared" si="63"/>
        <v>1.85000000000007E-2</v>
      </c>
      <c r="ED53" s="79">
        <f t="shared" si="60"/>
        <v>1.85000000000007E-2</v>
      </c>
      <c r="EE53" s="79">
        <f t="shared" si="60"/>
        <v>1.85000000000007E-2</v>
      </c>
      <c r="EF53" s="79">
        <f t="shared" si="60"/>
        <v>1.85000000000007E-2</v>
      </c>
      <c r="EG53" s="79">
        <f t="shared" si="60"/>
        <v>1.85000000000007E-2</v>
      </c>
      <c r="EH53" s="79">
        <f t="shared" si="60"/>
        <v>1.85000000000007E-2</v>
      </c>
      <c r="EI53" s="79">
        <f t="shared" si="60"/>
        <v>1.85000000000007E-2</v>
      </c>
      <c r="EJ53" s="79">
        <f t="shared" si="60"/>
        <v>1.85000000000007E-2</v>
      </c>
      <c r="EK53" s="79">
        <f t="shared" si="60"/>
        <v>1.85000000000007E-2</v>
      </c>
      <c r="EL53" s="79">
        <f t="shared" si="60"/>
        <v>1.85000000000007E-2</v>
      </c>
      <c r="EM53" s="79">
        <f t="shared" si="60"/>
        <v>1.85000000000007E-2</v>
      </c>
      <c r="EN53" s="79">
        <f t="shared" si="60"/>
        <v>1.85000000000007E-2</v>
      </c>
      <c r="EO53" s="79">
        <f t="shared" si="60"/>
        <v>1.85000000000007E-2</v>
      </c>
      <c r="EP53" s="79">
        <f t="shared" si="60"/>
        <v>1.85000000000007E-2</v>
      </c>
      <c r="EQ53" s="79">
        <f t="shared" si="60"/>
        <v>1.85000000000007E-2</v>
      </c>
      <c r="ER53" s="79">
        <f t="shared" si="60"/>
        <v>1.85000000000007E-2</v>
      </c>
      <c r="ES53" s="79">
        <f t="shared" si="60"/>
        <v>1.85000000000007E-2</v>
      </c>
      <c r="ET53" s="79">
        <f t="shared" si="60"/>
        <v>1.85000000000007E-2</v>
      </c>
      <c r="FF53" s="6" t="s">
        <v>788</v>
      </c>
      <c r="FG53" s="696">
        <v>2.5000000000000001E-2</v>
      </c>
      <c r="FH53" s="696">
        <v>96</v>
      </c>
      <c r="FI53" s="696">
        <v>1.7399999999999999E-2</v>
      </c>
      <c r="FJ53" s="255">
        <v>1.5600000000000001E-2</v>
      </c>
      <c r="FK53" s="71">
        <f t="shared" si="10"/>
        <v>2.2380952380952383E-4</v>
      </c>
      <c r="FL53" t="e">
        <f>VLOOKUP(FF53,'SIMULADOR COM SALDO'!$BX$22:$CK$1000,13,FALSE)</f>
        <v>#N/A</v>
      </c>
    </row>
    <row r="54" spans="5:168" x14ac:dyDescent="0.25">
      <c r="FF54" s="6" t="s">
        <v>3010</v>
      </c>
      <c r="FG54" s="696">
        <v>2.4900000000000002E-2</v>
      </c>
      <c r="FH54" s="696">
        <v>120</v>
      </c>
      <c r="FI54" s="696">
        <v>1.6899999999999998E-2</v>
      </c>
      <c r="FJ54" s="255">
        <v>1.4499999999999999E-2</v>
      </c>
      <c r="FK54" s="71">
        <f t="shared" si="10"/>
        <v>2.4761904761904768E-4</v>
      </c>
      <c r="FL54" t="e">
        <f>VLOOKUP(FF54,'SIMULADOR COM SALDO'!$BX$22:$CK$1000,13,FALSE)</f>
        <v>#N/A</v>
      </c>
    </row>
    <row r="55" spans="5:168" x14ac:dyDescent="0.25">
      <c r="FF55" s="6" t="s">
        <v>512</v>
      </c>
      <c r="FG55" s="696">
        <v>2.5000000000000001E-2</v>
      </c>
      <c r="FH55" s="696">
        <v>120</v>
      </c>
      <c r="FI55" s="696">
        <v>1.7500000000000002E-2</v>
      </c>
      <c r="FJ55" s="255">
        <v>1.4499999999999999E-2</v>
      </c>
      <c r="FK55" s="71">
        <f t="shared" si="10"/>
        <v>2.5000000000000006E-4</v>
      </c>
      <c r="FL55" t="e">
        <f>VLOOKUP(FF55,'SIMULADOR COM SALDO'!$BX$22:$CK$1000,13,FALSE)</f>
        <v>#N/A</v>
      </c>
    </row>
    <row r="56" spans="5:168" x14ac:dyDescent="0.25">
      <c r="FF56" s="67" t="s">
        <v>42</v>
      </c>
      <c r="FG56" s="696">
        <v>1.8500000000000003E-2</v>
      </c>
      <c r="FH56" s="696">
        <v>96</v>
      </c>
      <c r="FI56" s="696">
        <v>1.5600000000000001E-2</v>
      </c>
      <c r="FJ56" s="255">
        <v>1.44E-2</v>
      </c>
      <c r="FK56" s="71">
        <f t="shared" si="10"/>
        <v>9.7619047619047691E-5</v>
      </c>
      <c r="FL56" t="e">
        <f>VLOOKUP(FF56,'SIMULADOR COM SALDO'!$BX$22:$CK$1000,13,FALSE)</f>
        <v>#N/A</v>
      </c>
    </row>
    <row r="57" spans="5:168" x14ac:dyDescent="0.25">
      <c r="E57" s="27">
        <f>INT(J6*1000+0.5)/1000</f>
        <v>1.9E-2</v>
      </c>
      <c r="G57" s="205">
        <f>PV($F11,G$9,1,0)+(PV($J$6,$N$5-(G$9),1,0)/($J$6+1))^G$9</f>
        <v>-44.756178017654356</v>
      </c>
      <c r="H57" s="204">
        <f>PV($F11,H$9,1,0)+(PV($J$6,$N$5-(H$9),1,0)/($J$6+1)^H$9)</f>
        <v>-44.763986368607434</v>
      </c>
      <c r="I57" s="204">
        <f t="shared" ref="I57:BT57" si="65">PV($F11,I$9,1,0)+(PV($J$6,$N$5-(I$9),1,0)/($J$6+1)^I$9)</f>
        <v>-44.775509404617068</v>
      </c>
      <c r="J57" s="204">
        <f t="shared" si="65"/>
        <v>-44.79062490677714</v>
      </c>
      <c r="K57" s="204">
        <f t="shared" si="65"/>
        <v>-44.809213653305839</v>
      </c>
      <c r="L57" s="204">
        <f t="shared" si="65"/>
        <v>-44.831159354074011</v>
      </c>
      <c r="M57" s="204">
        <f t="shared" si="65"/>
        <v>-44.856348586479278</v>
      </c>
      <c r="N57" s="204">
        <f t="shared" si="65"/>
        <v>-44.884670732639357</v>
      </c>
      <c r="O57" s="204">
        <f t="shared" si="65"/>
        <v>-44.916017917878406</v>
      </c>
      <c r="P57" s="204">
        <f t="shared" si="65"/>
        <v>-44.950284950480722</v>
      </c>
      <c r="Q57" s="204">
        <f t="shared" si="65"/>
        <v>-44.987369262686556</v>
      </c>
      <c r="R57" s="204">
        <f t="shared" si="65"/>
        <v>-45.027170852905627</v>
      </c>
      <c r="S57" s="204">
        <f t="shared" si="65"/>
        <v>-45.069592229123927</v>
      </c>
      <c r="T57" s="204">
        <f t="shared" si="65"/>
        <v>-45.114538353480221</v>
      </c>
      <c r="U57" s="204">
        <f t="shared" si="65"/>
        <v>-45.161916587988799</v>
      </c>
      <c r="V57" s="204">
        <f t="shared" si="65"/>
        <v>-45.211636641386022</v>
      </c>
      <c r="W57" s="204">
        <f t="shared" si="65"/>
        <v>-45.263610517077893</v>
      </c>
      <c r="X57" s="204">
        <f t="shared" si="65"/>
        <v>-45.317752462167078</v>
      </c>
      <c r="Y57" s="204">
        <f t="shared" si="65"/>
        <v>-45.373978917537606</v>
      </c>
      <c r="Z57" s="204">
        <f t="shared" si="65"/>
        <v>-45.43220846897632</v>
      </c>
      <c r="AA57" s="204">
        <f t="shared" si="65"/>
        <v>-45.492361799310373</v>
      </c>
      <c r="AB57" s="204">
        <f t="shared" si="65"/>
        <v>-45.554361641540439</v>
      </c>
      <c r="AC57" s="204">
        <f t="shared" si="65"/>
        <v>-45.618132732949739</v>
      </c>
      <c r="AD57" s="204">
        <f t="shared" si="65"/>
        <v>-45.683601770169588</v>
      </c>
      <c r="AE57" s="204">
        <f t="shared" si="65"/>
        <v>-45.750697365182099</v>
      </c>
      <c r="AF57" s="204">
        <f t="shared" si="65"/>
        <v>-45.81935000224145</v>
      </c>
      <c r="AG57" s="204">
        <f t="shared" si="65"/>
        <v>-45.889491995695174</v>
      </c>
      <c r="AH57" s="204">
        <f t="shared" si="65"/>
        <v>-45.961057448687797</v>
      </c>
      <c r="AI57" s="204">
        <f t="shared" si="65"/>
        <v>-46.033982212728645</v>
      </c>
      <c r="AJ57" s="204">
        <f t="shared" si="65"/>
        <v>-46.108203848107067</v>
      </c>
      <c r="AK57" s="204">
        <f t="shared" si="65"/>
        <v>-46.1836615851376</v>
      </c>
      <c r="AL57" s="204">
        <f t="shared" si="65"/>
        <v>-46.260296286218569</v>
      </c>
      <c r="AM57" s="204">
        <f t="shared" si="65"/>
        <v>-46.338050408688076</v>
      </c>
      <c r="AN57" s="204">
        <f t="shared" si="65"/>
        <v>-46.416867968460949</v>
      </c>
      <c r="AO57" s="204">
        <f t="shared" si="65"/>
        <v>-46.496694504431069</v>
      </c>
      <c r="AP57" s="204">
        <f t="shared" si="65"/>
        <v>-46.577477043623993</v>
      </c>
      <c r="AQ57" s="204">
        <f t="shared" si="65"/>
        <v>-46.659164067084262</v>
      </c>
      <c r="AR57" s="204">
        <f t="shared" si="65"/>
        <v>-46.741705476483062</v>
      </c>
      <c r="AS57" s="204">
        <f t="shared" si="65"/>
        <v>-46.825052561431349</v>
      </c>
      <c r="AT57" s="204">
        <f t="shared" si="65"/>
        <v>-46.909157967484617</v>
      </c>
      <c r="AU57" s="204">
        <f t="shared" si="65"/>
        <v>-46.99397566482493</v>
      </c>
      <c r="AV57" s="204">
        <f t="shared" si="65"/>
        <v>-47.079460917606959</v>
      </c>
      <c r="AW57" s="204">
        <f t="shared" si="65"/>
        <v>-47.165570253954151</v>
      </c>
      <c r="AX57" s="204">
        <f t="shared" si="65"/>
        <v>-47.252261436592519</v>
      </c>
      <c r="AY57" s="204">
        <f t="shared" si="65"/>
        <v>-47.339493434108419</v>
      </c>
      <c r="AZ57" s="204">
        <f t="shared" si="65"/>
        <v>-47.427226392818383</v>
      </c>
      <c r="BA57" s="204">
        <f t="shared" si="65"/>
        <v>-47.515421609238103</v>
      </c>
      <c r="BB57" s="204">
        <f t="shared" si="65"/>
        <v>-47.604041503138731</v>
      </c>
      <c r="BC57" s="204">
        <f t="shared" si="65"/>
        <v>-47.693049591178422</v>
      </c>
      <c r="BD57" s="204">
        <f t="shared" si="65"/>
        <v>-47.782410461097612</v>
      </c>
      <c r="BE57" s="204">
        <f t="shared" si="65"/>
        <v>-47.872089746466372</v>
      </c>
      <c r="BF57" s="204">
        <f t="shared" si="65"/>
        <v>-47.962054101972853</v>
      </c>
      <c r="BG57" s="204">
        <f t="shared" si="65"/>
        <v>-48.052271179241714</v>
      </c>
      <c r="BH57" s="204">
        <f t="shared" si="65"/>
        <v>-48.142709603171674</v>
      </c>
      <c r="BI57" s="204">
        <f t="shared" si="65"/>
        <v>-48.233338948781771</v>
      </c>
      <c r="BJ57" s="204">
        <f t="shared" si="65"/>
        <v>-48.324129718555938</v>
      </c>
      <c r="BK57" s="204">
        <f t="shared" si="65"/>
        <v>-48.415053320275661</v>
      </c>
      <c r="BL57" s="204">
        <f t="shared" si="65"/>
        <v>-48.506082045330857</v>
      </c>
      <c r="BM57" s="204">
        <f t="shared" si="65"/>
        <v>-48.597189047499135</v>
      </c>
      <c r="BN57" s="204">
        <f t="shared" si="65"/>
        <v>-48.688348322183927</v>
      </c>
      <c r="BO57" s="204">
        <f t="shared" si="65"/>
        <v>-48.779534686102089</v>
      </c>
      <c r="BP57" s="204">
        <f t="shared" si="65"/>
        <v>-48.870723757411859</v>
      </c>
      <c r="BQ57" s="204">
        <f t="shared" si="65"/>
        <v>-48.961891936271961</v>
      </c>
      <c r="BR57" s="204">
        <f t="shared" si="65"/>
        <v>-49.053016385823327</v>
      </c>
      <c r="BS57" s="204">
        <f t="shared" si="65"/>
        <v>-49.144075013584391</v>
      </c>
      <c r="BT57" s="204">
        <f t="shared" si="65"/>
        <v>-49.235046453251911</v>
      </c>
      <c r="BU57" s="204">
        <f t="shared" ref="BU57:EF57" si="66">PV($F11,BU$9,1,0)+(PV($J$6,$N$5-(BU$9),1,0)/($J$6+1)^BU$9)</f>
        <v>-49.325910046898635</v>
      </c>
      <c r="BV57" s="204">
        <f t="shared" si="66"/>
        <v>-49.416645827559805</v>
      </c>
      <c r="BW57" s="204">
        <f t="shared" si="66"/>
        <v>-49.507234502200575</v>
      </c>
      <c r="BX57" s="204">
        <f t="shared" si="66"/>
        <v>-49.597657435056355</v>
      </c>
      <c r="BY57" s="204">
        <f t="shared" si="66"/>
        <v>-49.687896631338532</v>
      </c>
      <c r="BZ57" s="204">
        <f t="shared" si="66"/>
        <v>-49.777934721297946</v>
      </c>
      <c r="CA57" s="204">
        <f t="shared" si="66"/>
        <v>-49.867754944638861</v>
      </c>
      <c r="CB57" s="204">
        <f t="shared" si="66"/>
        <v>-49.95734113527606</v>
      </c>
      <c r="CC57" s="204">
        <f t="shared" si="66"/>
        <v>-50.046677706428014</v>
      </c>
      <c r="CD57" s="204">
        <f t="shared" si="66"/>
        <v>-50.135749636039392</v>
      </c>
      <c r="CE57" s="204">
        <f t="shared" si="66"/>
        <v>-50.224542452525668</v>
      </c>
      <c r="CF57" s="204">
        <f t="shared" si="66"/>
        <v>-50.313042220833665</v>
      </c>
      <c r="CG57" s="204">
        <f t="shared" si="66"/>
        <v>-50.401235528810986</v>
      </c>
      <c r="CH57" s="204">
        <f t="shared" si="66"/>
        <v>-50.489109473878422</v>
      </c>
      <c r="CI57" s="204">
        <f t="shared" si="66"/>
        <v>-50.576651649998603</v>
      </c>
      <c r="CJ57" s="204">
        <f t="shared" si="66"/>
        <v>-50.663850134935096</v>
      </c>
      <c r="CK57" s="204">
        <f t="shared" si="66"/>
        <v>-50.750693477795672</v>
      </c>
      <c r="CL57" s="204">
        <f t="shared" si="66"/>
        <v>-50.837170686853895</v>
      </c>
      <c r="CM57" s="204">
        <f t="shared" si="66"/>
        <v>-50.923271217643446</v>
      </c>
      <c r="CN57" s="204">
        <f t="shared" si="66"/>
        <v>-51.008984961319037</v>
      </c>
      <c r="CO57" s="204">
        <f t="shared" si="66"/>
        <v>-51.094302233278867</v>
      </c>
      <c r="CP57" s="204">
        <f t="shared" si="66"/>
        <v>-51.179213762042821</v>
      </c>
      <c r="CQ57" s="204">
        <f t="shared" si="66"/>
        <v>-51.26371067838118</v>
      </c>
      <c r="CR57" s="204">
        <f t="shared" si="66"/>
        <v>-51.347784504688661</v>
      </c>
      <c r="CS57" s="204">
        <f t="shared" si="66"/>
        <v>-51.431427144598437</v>
      </c>
      <c r="CT57" s="204">
        <f t="shared" si="66"/>
        <v>-51.514630872831503</v>
      </c>
      <c r="CU57" s="204">
        <f t="shared" si="66"/>
        <v>-51.597388325275951</v>
      </c>
      <c r="CV57" s="204">
        <f t="shared" si="66"/>
        <v>-51.679692489291796</v>
      </c>
      <c r="CW57" s="204">
        <f t="shared" si="66"/>
        <v>-51.761536694236291</v>
      </c>
      <c r="CX57" s="204">
        <f t="shared" si="66"/>
        <v>-51.842914602205255</v>
      </c>
      <c r="CY57" s="204">
        <f t="shared" si="66"/>
        <v>-51.842914602205255</v>
      </c>
      <c r="CZ57" s="204">
        <f t="shared" si="66"/>
        <v>-51.842914602205255</v>
      </c>
      <c r="DA57" s="204">
        <f t="shared" si="66"/>
        <v>-51.842914602205255</v>
      </c>
      <c r="DB57" s="204">
        <f t="shared" si="66"/>
        <v>-51.842914602205255</v>
      </c>
      <c r="DC57" s="204">
        <f t="shared" si="66"/>
        <v>-51.842914602205255</v>
      </c>
      <c r="DD57" s="204">
        <f t="shared" si="66"/>
        <v>-51.842914602205255</v>
      </c>
      <c r="DE57" s="204">
        <f t="shared" si="66"/>
        <v>-51.842914602205255</v>
      </c>
      <c r="DF57" s="204">
        <f t="shared" si="66"/>
        <v>-51.842914602205255</v>
      </c>
      <c r="DG57" s="204">
        <f t="shared" si="66"/>
        <v>-51.842914602205255</v>
      </c>
      <c r="DH57" s="204">
        <f t="shared" si="66"/>
        <v>-51.842914602205255</v>
      </c>
      <c r="DI57" s="204">
        <f t="shared" si="66"/>
        <v>-51.842914602205255</v>
      </c>
      <c r="DJ57" s="204">
        <f t="shared" si="66"/>
        <v>-51.842914602205255</v>
      </c>
      <c r="DK57" s="204">
        <f t="shared" si="66"/>
        <v>-51.842914602205255</v>
      </c>
      <c r="DL57" s="204">
        <f t="shared" si="66"/>
        <v>-51.842914602205255</v>
      </c>
      <c r="DM57" s="204">
        <f t="shared" si="66"/>
        <v>-51.842914602205255</v>
      </c>
      <c r="DN57" s="204">
        <f t="shared" si="66"/>
        <v>-51.842914602205255</v>
      </c>
      <c r="DO57" s="204">
        <f t="shared" si="66"/>
        <v>-51.842914602205255</v>
      </c>
      <c r="DP57" s="204">
        <f t="shared" si="66"/>
        <v>-51.842914602205255</v>
      </c>
      <c r="DQ57" s="204">
        <f t="shared" si="66"/>
        <v>-51.842914602205255</v>
      </c>
      <c r="DR57" s="204">
        <f t="shared" si="66"/>
        <v>-51.842914602205255</v>
      </c>
      <c r="DS57" s="204">
        <f t="shared" si="66"/>
        <v>-51.842914602205255</v>
      </c>
      <c r="DT57" s="204">
        <f t="shared" si="66"/>
        <v>-51.842914602205255</v>
      </c>
      <c r="DU57" s="204">
        <f t="shared" si="66"/>
        <v>-51.842914602205255</v>
      </c>
      <c r="DV57" s="204">
        <f t="shared" si="66"/>
        <v>-51.842914602205255</v>
      </c>
      <c r="DW57" s="204">
        <f t="shared" si="66"/>
        <v>-51.842914602205255</v>
      </c>
      <c r="DX57" s="204">
        <f t="shared" si="66"/>
        <v>-51.842914602205255</v>
      </c>
      <c r="DY57" s="204">
        <f t="shared" si="66"/>
        <v>-51.842914602205255</v>
      </c>
      <c r="DZ57" s="204">
        <f t="shared" si="66"/>
        <v>-51.842914602205255</v>
      </c>
      <c r="EA57" s="204">
        <f t="shared" si="66"/>
        <v>-51.842914602205255</v>
      </c>
      <c r="EB57" s="204">
        <f t="shared" si="66"/>
        <v>-51.842914602205255</v>
      </c>
      <c r="EC57" s="204">
        <f t="shared" si="66"/>
        <v>-51.842914602205255</v>
      </c>
      <c r="ED57" s="204">
        <f t="shared" si="66"/>
        <v>-51.842914602205255</v>
      </c>
      <c r="EE57" s="204">
        <f t="shared" si="66"/>
        <v>-51.842914602205255</v>
      </c>
      <c r="EF57" s="204">
        <f t="shared" si="66"/>
        <v>-51.842914602205255</v>
      </c>
      <c r="EG57" s="204">
        <f t="shared" ref="EG57:ET57" si="67">PV($F11,EG$9,1,0)+(PV($J$6,$N$5-(EG$9),1,0)/($J$6+1)^EG$9)</f>
        <v>-51.842914602205255</v>
      </c>
      <c r="EH57" s="204">
        <f t="shared" si="67"/>
        <v>-51.842914602205255</v>
      </c>
      <c r="EI57" s="204">
        <f t="shared" si="67"/>
        <v>-51.842914602205255</v>
      </c>
      <c r="EJ57" s="204">
        <f t="shared" si="67"/>
        <v>-51.842914602205255</v>
      </c>
      <c r="EK57" s="204">
        <f t="shared" si="67"/>
        <v>-51.842914602205255</v>
      </c>
      <c r="EL57" s="204">
        <f t="shared" si="67"/>
        <v>-51.842914602205255</v>
      </c>
      <c r="EM57" s="204">
        <f t="shared" si="67"/>
        <v>-51.842914602205255</v>
      </c>
      <c r="EN57" s="204">
        <f t="shared" si="67"/>
        <v>-51.842914602205255</v>
      </c>
      <c r="EO57" s="204">
        <f t="shared" si="67"/>
        <v>-51.842914602205255</v>
      </c>
      <c r="EP57" s="204">
        <f t="shared" si="67"/>
        <v>-51.842914602205255</v>
      </c>
      <c r="EQ57" s="204">
        <f t="shared" si="67"/>
        <v>-51.842914602205255</v>
      </c>
      <c r="ER57" s="204">
        <f t="shared" si="67"/>
        <v>-51.842914602205255</v>
      </c>
      <c r="ES57" s="204">
        <f t="shared" si="67"/>
        <v>-51.842914602205255</v>
      </c>
      <c r="ET57" s="204">
        <f t="shared" si="67"/>
        <v>-51.842914602205255</v>
      </c>
      <c r="FF57" s="6" t="s">
        <v>3011</v>
      </c>
      <c r="FG57" s="696">
        <v>2.5000000000000001E-2</v>
      </c>
      <c r="FH57" s="696">
        <v>120</v>
      </c>
      <c r="FI57" s="696">
        <v>1.67E-2</v>
      </c>
      <c r="FJ57" s="255">
        <v>1.4199999999999999E-2</v>
      </c>
      <c r="FK57" s="71">
        <f t="shared" si="10"/>
        <v>2.5714285714285721E-4</v>
      </c>
      <c r="FL57" t="e">
        <f>VLOOKUP(FF57,'SIMULADOR COM SALDO'!$BX$22:$CK$1000,13,FALSE)</f>
        <v>#N/A</v>
      </c>
    </row>
    <row r="58" spans="5:168" x14ac:dyDescent="0.25">
      <c r="G58" s="205">
        <f t="shared" ref="G58:G121" si="68">PV($F12,G$9,1,0)+(PV($J$6,$N$5-(G$9),1,0)/($J$6+1))^G$9</f>
        <v>-44.756083159582289</v>
      </c>
      <c r="H58" s="204">
        <f t="shared" ref="H58:BS58" si="69">PV($F12,H$9,1,0)+(PV($J$6,$N$5-(H$9),1,0)/($J$6+1)^H$9)</f>
        <v>-44.76370449652066</v>
      </c>
      <c r="I58" s="204">
        <f t="shared" si="69"/>
        <v>-44.774951006972479</v>
      </c>
      <c r="J58" s="204">
        <f t="shared" si="69"/>
        <v>-44.789703059797574</v>
      </c>
      <c r="K58" s="204">
        <f t="shared" si="69"/>
        <v>-44.807843965423366</v>
      </c>
      <c r="L58" s="204">
        <f t="shared" si="69"/>
        <v>-44.829259911430768</v>
      </c>
      <c r="M58" s="204">
        <f t="shared" si="69"/>
        <v>-44.853839899467161</v>
      </c>
      <c r="N58" s="204">
        <f t="shared" si="69"/>
        <v>-44.881475683459904</v>
      </c>
      <c r="O58" s="204">
        <f t="shared" si="69"/>
        <v>-44.912061709104762</v>
      </c>
      <c r="P58" s="204">
        <f t="shared" si="69"/>
        <v>-44.945495054603597</v>
      </c>
      <c r="Q58" s="204">
        <f t="shared" si="69"/>
        <v>-44.981675372626881</v>
      </c>
      <c r="R58" s="204">
        <f t="shared" si="69"/>
        <v>-45.020504833476252</v>
      </c>
      <c r="S58" s="204">
        <f t="shared" si="69"/>
        <v>-45.061888069423752</v>
      </c>
      <c r="T58" s="204">
        <f t="shared" si="69"/>
        <v>-45.105732120203541</v>
      </c>
      <c r="U58" s="204">
        <f t="shared" si="69"/>
        <v>-45.151946379634076</v>
      </c>
      <c r="V58" s="204">
        <f t="shared" si="69"/>
        <v>-45.200442543347322</v>
      </c>
      <c r="W58" s="204">
        <f t="shared" si="69"/>
        <v>-45.251134557603649</v>
      </c>
      <c r="X58" s="204">
        <f t="shared" si="69"/>
        <v>-45.303938569170143</v>
      </c>
      <c r="Y58" s="204">
        <f t="shared" si="69"/>
        <v>-45.358772876241659</v>
      </c>
      <c r="Z58" s="204">
        <f t="shared" si="69"/>
        <v>-45.415557880383233</v>
      </c>
      <c r="AA58" s="204">
        <f t="shared" si="69"/>
        <v>-45.474216039474058</v>
      </c>
      <c r="AB58" s="204">
        <f t="shared" si="69"/>
        <v>-45.534671821632301</v>
      </c>
      <c r="AC58" s="204">
        <f t="shared" si="69"/>
        <v>-45.596851660101819</v>
      </c>
      <c r="AD58" s="204">
        <f t="shared" si="69"/>
        <v>-45.660683909080944</v>
      </c>
      <c r="AE58" s="204">
        <f t="shared" si="69"/>
        <v>-45.726098800474944</v>
      </c>
      <c r="AF58" s="204">
        <f t="shared" si="69"/>
        <v>-45.793028401553329</v>
      </c>
      <c r="AG58" s="204">
        <f t="shared" si="69"/>
        <v>-45.861406573493838</v>
      </c>
      <c r="AH58" s="204">
        <f t="shared" si="69"/>
        <v>-45.931168930795778</v>
      </c>
      <c r="AI58" s="204">
        <f t="shared" si="69"/>
        <v>-46.0022528015446</v>
      </c>
      <c r="AJ58" s="204">
        <f t="shared" si="69"/>
        <v>-46.074597188511142</v>
      </c>
      <c r="AK58" s="204">
        <f t="shared" si="69"/>
        <v>-46.148142731068518</v>
      </c>
      <c r="AL58" s="204">
        <f t="shared" si="69"/>
        <v>-46.222831667910263</v>
      </c>
      <c r="AM58" s="204">
        <f t="shared" si="69"/>
        <v>-46.298607800553675</v>
      </c>
      <c r="AN58" s="204">
        <f t="shared" si="69"/>
        <v>-46.375416457612417</v>
      </c>
      <c r="AO58" s="204">
        <f t="shared" si="69"/>
        <v>-46.453204459823041</v>
      </c>
      <c r="AP58" s="204">
        <f t="shared" si="69"/>
        <v>-46.531920085810086</v>
      </c>
      <c r="AQ58" s="204">
        <f t="shared" si="69"/>
        <v>-46.611513038575097</v>
      </c>
      <c r="AR58" s="204">
        <f t="shared" si="69"/>
        <v>-46.69193441269455</v>
      </c>
      <c r="AS58" s="204">
        <f t="shared" si="69"/>
        <v>-46.773136662212849</v>
      </c>
      <c r="AT58" s="204">
        <f t="shared" si="69"/>
        <v>-46.855073569215989</v>
      </c>
      <c r="AU58" s="204">
        <f t="shared" si="69"/>
        <v>-46.937700213072333</v>
      </c>
      <c r="AV58" s="204">
        <f t="shared" si="69"/>
        <v>-47.020972940326956</v>
      </c>
      <c r="AW58" s="204">
        <f t="shared" si="69"/>
        <v>-47.104849335236132</v>
      </c>
      <c r="AX58" s="204">
        <f t="shared" si="69"/>
        <v>-47.189288190929474</v>
      </c>
      <c r="AY58" s="204">
        <f t="shared" si="69"/>
        <v>-47.274249481186523</v>
      </c>
      <c r="AZ58" s="204">
        <f t="shared" si="69"/>
        <v>-47.359694332815522</v>
      </c>
      <c r="BA58" s="204">
        <f t="shared" si="69"/>
        <v>-47.445584998622252</v>
      </c>
      <c r="BB58" s="204">
        <f t="shared" si="69"/>
        <v>-47.53188483095677</v>
      </c>
      <c r="BC58" s="204">
        <f t="shared" si="69"/>
        <v>-47.618558255826471</v>
      </c>
      <c r="BD58" s="204">
        <f t="shared" si="69"/>
        <v>-47.705570747563797</v>
      </c>
      <c r="BE58" s="204">
        <f t="shared" si="69"/>
        <v>-47.792888804037489</v>
      </c>
      <c r="BF58" s="204">
        <f t="shared" si="69"/>
        <v>-47.880479922396169</v>
      </c>
      <c r="BG58" s="204">
        <f t="shared" si="69"/>
        <v>-47.968312575333499</v>
      </c>
      <c r="BH58" s="204">
        <f t="shared" si="69"/>
        <v>-48.056356187864239</v>
      </c>
      <c r="BI58" s="204">
        <f t="shared" si="69"/>
        <v>-48.144581114600783</v>
      </c>
      <c r="BJ58" s="204">
        <f t="shared" si="69"/>
        <v>-48.23295861752004</v>
      </c>
      <c r="BK58" s="204">
        <f t="shared" si="69"/>
        <v>-48.321460844210534</v>
      </c>
      <c r="BL58" s="204">
        <f t="shared" si="69"/>
        <v>-48.410060806589932</v>
      </c>
      <c r="BM58" s="204">
        <f t="shared" si="69"/>
        <v>-48.49873236008348</v>
      </c>
      <c r="BN58" s="204">
        <f t="shared" si="69"/>
        <v>-48.587450183253736</v>
      </c>
      <c r="BO58" s="204">
        <f t="shared" si="69"/>
        <v>-48.676189757872585</v>
      </c>
      <c r="BP58" s="204">
        <f t="shared" si="69"/>
        <v>-48.764927349426202</v>
      </c>
      <c r="BQ58" s="204">
        <f t="shared" si="69"/>
        <v>-48.853639988044293</v>
      </c>
      <c r="BR58" s="204">
        <f t="shared" si="69"/>
        <v>-48.942305449844909</v>
      </c>
      <c r="BS58" s="204">
        <f t="shared" si="69"/>
        <v>-49.030902238686075</v>
      </c>
      <c r="BT58" s="204">
        <f t="shared" ref="BT58:EE58" si="70">PV($F12,BT$9,1,0)+(PV($J$6,$N$5-(BT$9),1,0)/($J$6+1)^BT$9)</f>
        <v>-49.119409568316108</v>
      </c>
      <c r="BU58" s="204">
        <f t="shared" si="70"/>
        <v>-49.207807344914372</v>
      </c>
      <c r="BV58" s="204">
        <f t="shared" si="70"/>
        <v>-49.296076150014279</v>
      </c>
      <c r="BW58" s="204">
        <f t="shared" si="70"/>
        <v>-49.384197223800925</v>
      </c>
      <c r="BX58" s="204">
        <f t="shared" si="70"/>
        <v>-49.472152448775347</v>
      </c>
      <c r="BY58" s="204">
        <f t="shared" si="70"/>
        <v>-49.559924333778085</v>
      </c>
      <c r="BZ58" s="204">
        <f t="shared" si="70"/>
        <v>-49.647495998364434</v>
      </c>
      <c r="CA58" s="204">
        <f t="shared" si="70"/>
        <v>-49.734851157524361</v>
      </c>
      <c r="CB58" s="204">
        <f t="shared" si="70"/>
        <v>-49.821974106739567</v>
      </c>
      <c r="CC58" s="204">
        <f t="shared" si="70"/>
        <v>-49.908849707371182</v>
      </c>
      <c r="CD58" s="204">
        <f t="shared" si="70"/>
        <v>-49.995463372370899</v>
      </c>
      <c r="CE58" s="204">
        <f t="shared" si="70"/>
        <v>-50.081801052308968</v>
      </c>
      <c r="CF58" s="204">
        <f t="shared" si="70"/>
        <v>-50.167849221712487</v>
      </c>
      <c r="CG58" s="204">
        <f t="shared" si="70"/>
        <v>-50.253594865707534</v>
      </c>
      <c r="CH58" s="204">
        <f t="shared" si="70"/>
        <v>-50.339025466958759</v>
      </c>
      <c r="CI58" s="204">
        <f t="shared" si="70"/>
        <v>-50.424128992900442</v>
      </c>
      <c r="CJ58" s="204">
        <f t="shared" si="70"/>
        <v>-50.50889388325259</v>
      </c>
      <c r="CK58" s="204">
        <f t="shared" si="70"/>
        <v>-50.593309037816589</v>
      </c>
      <c r="CL58" s="204">
        <f t="shared" si="70"/>
        <v>-50.677363804544207</v>
      </c>
      <c r="CM58" s="204">
        <f t="shared" si="70"/>
        <v>-50.761047967874447</v>
      </c>
      <c r="CN58" s="204">
        <f t="shared" si="70"/>
        <v>-50.844351737332566</v>
      </c>
      <c r="CO58" s="204">
        <f t="shared" si="70"/>
        <v>-50.927265736385813</v>
      </c>
      <c r="CP58" s="204">
        <f t="shared" si="70"/>
        <v>-51.009780991550521</v>
      </c>
      <c r="CQ58" s="204">
        <f t="shared" si="70"/>
        <v>-51.091888921745266</v>
      </c>
      <c r="CR58" s="204">
        <f t="shared" si="70"/>
        <v>-51.173581327884946</v>
      </c>
      <c r="CS58" s="204">
        <f t="shared" si="70"/>
        <v>-51.254850382710657</v>
      </c>
      <c r="CT58" s="204">
        <f t="shared" si="70"/>
        <v>-51.335688620850654</v>
      </c>
      <c r="CU58" s="204">
        <f t="shared" si="70"/>
        <v>-51.416088929107147</v>
      </c>
      <c r="CV58" s="204">
        <f t="shared" si="70"/>
        <v>-51.496044536964547</v>
      </c>
      <c r="CW58" s="204">
        <f t="shared" si="70"/>
        <v>-51.575549007314279</v>
      </c>
      <c r="CX58" s="204">
        <f t="shared" si="70"/>
        <v>-51.654596227391679</v>
      </c>
      <c r="CY58" s="204">
        <f t="shared" si="70"/>
        <v>-51.654596227391679</v>
      </c>
      <c r="CZ58" s="204">
        <f t="shared" si="70"/>
        <v>-51.654596227391679</v>
      </c>
      <c r="DA58" s="204">
        <f t="shared" si="70"/>
        <v>-51.654596227391679</v>
      </c>
      <c r="DB58" s="204">
        <f t="shared" si="70"/>
        <v>-51.654596227391679</v>
      </c>
      <c r="DC58" s="204">
        <f t="shared" si="70"/>
        <v>-51.654596227391679</v>
      </c>
      <c r="DD58" s="204">
        <f t="shared" si="70"/>
        <v>-51.654596227391679</v>
      </c>
      <c r="DE58" s="204">
        <f t="shared" si="70"/>
        <v>-51.654596227391679</v>
      </c>
      <c r="DF58" s="204">
        <f t="shared" si="70"/>
        <v>-51.654596227391679</v>
      </c>
      <c r="DG58" s="204">
        <f t="shared" si="70"/>
        <v>-51.654596227391679</v>
      </c>
      <c r="DH58" s="204">
        <f t="shared" si="70"/>
        <v>-51.654596227391679</v>
      </c>
      <c r="DI58" s="204">
        <f t="shared" si="70"/>
        <v>-51.654596227391679</v>
      </c>
      <c r="DJ58" s="204">
        <f t="shared" si="70"/>
        <v>-51.654596227391679</v>
      </c>
      <c r="DK58" s="204">
        <f t="shared" si="70"/>
        <v>-51.654596227391679</v>
      </c>
      <c r="DL58" s="204">
        <f t="shared" si="70"/>
        <v>-51.654596227391679</v>
      </c>
      <c r="DM58" s="204">
        <f t="shared" si="70"/>
        <v>-51.654596227391679</v>
      </c>
      <c r="DN58" s="204">
        <f t="shared" si="70"/>
        <v>-51.654596227391679</v>
      </c>
      <c r="DO58" s="204">
        <f t="shared" si="70"/>
        <v>-51.654596227391679</v>
      </c>
      <c r="DP58" s="204">
        <f t="shared" si="70"/>
        <v>-51.654596227391679</v>
      </c>
      <c r="DQ58" s="204">
        <f t="shared" si="70"/>
        <v>-51.654596227391679</v>
      </c>
      <c r="DR58" s="204">
        <f t="shared" si="70"/>
        <v>-51.654596227391679</v>
      </c>
      <c r="DS58" s="204">
        <f t="shared" si="70"/>
        <v>-51.654596227391679</v>
      </c>
      <c r="DT58" s="204">
        <f t="shared" si="70"/>
        <v>-51.654596227391679</v>
      </c>
      <c r="DU58" s="204">
        <f t="shared" si="70"/>
        <v>-51.654596227391679</v>
      </c>
      <c r="DV58" s="204">
        <f t="shared" si="70"/>
        <v>-51.654596227391679</v>
      </c>
      <c r="DW58" s="204">
        <f t="shared" si="70"/>
        <v>-51.654596227391679</v>
      </c>
      <c r="DX58" s="204">
        <f t="shared" si="70"/>
        <v>-51.654596227391679</v>
      </c>
      <c r="DY58" s="204">
        <f t="shared" si="70"/>
        <v>-51.654596227391679</v>
      </c>
      <c r="DZ58" s="204">
        <f t="shared" si="70"/>
        <v>-51.654596227391679</v>
      </c>
      <c r="EA58" s="204">
        <f t="shared" si="70"/>
        <v>-51.654596227391679</v>
      </c>
      <c r="EB58" s="204">
        <f t="shared" si="70"/>
        <v>-51.654596227391679</v>
      </c>
      <c r="EC58" s="204">
        <f t="shared" si="70"/>
        <v>-51.654596227391679</v>
      </c>
      <c r="ED58" s="204">
        <f t="shared" si="70"/>
        <v>-51.654596227391679</v>
      </c>
      <c r="EE58" s="204">
        <f t="shared" si="70"/>
        <v>-51.654596227391679</v>
      </c>
      <c r="EF58" s="204">
        <f t="shared" ref="EF58:ET58" si="71">PV($F12,EF$9,1,0)+(PV($J$6,$N$5-(EF$9),1,0)/($J$6+1)^EF$9)</f>
        <v>-51.654596227391679</v>
      </c>
      <c r="EG58" s="204">
        <f t="shared" si="71"/>
        <v>-51.654596227391679</v>
      </c>
      <c r="EH58" s="204">
        <f t="shared" si="71"/>
        <v>-51.654596227391679</v>
      </c>
      <c r="EI58" s="204">
        <f t="shared" si="71"/>
        <v>-51.654596227391679</v>
      </c>
      <c r="EJ58" s="204">
        <f t="shared" si="71"/>
        <v>-51.654596227391679</v>
      </c>
      <c r="EK58" s="204">
        <f t="shared" si="71"/>
        <v>-51.654596227391679</v>
      </c>
      <c r="EL58" s="204">
        <f t="shared" si="71"/>
        <v>-51.654596227391679</v>
      </c>
      <c r="EM58" s="204">
        <f t="shared" si="71"/>
        <v>-51.654596227391679</v>
      </c>
      <c r="EN58" s="204">
        <f t="shared" si="71"/>
        <v>-51.654596227391679</v>
      </c>
      <c r="EO58" s="204">
        <f t="shared" si="71"/>
        <v>-51.654596227391679</v>
      </c>
      <c r="EP58" s="204">
        <f t="shared" si="71"/>
        <v>-51.654596227391679</v>
      </c>
      <c r="EQ58" s="204">
        <f t="shared" si="71"/>
        <v>-51.654596227391679</v>
      </c>
      <c r="ER58" s="204">
        <f t="shared" si="71"/>
        <v>-51.654596227391679</v>
      </c>
      <c r="ES58" s="204">
        <f t="shared" si="71"/>
        <v>-51.654596227391679</v>
      </c>
      <c r="ET58" s="204">
        <f t="shared" si="71"/>
        <v>-51.654596227391679</v>
      </c>
      <c r="FF58" s="6" t="s">
        <v>2902</v>
      </c>
      <c r="FG58" s="696">
        <v>2.5000000000000001E-2</v>
      </c>
      <c r="FH58" s="696">
        <v>120</v>
      </c>
      <c r="FI58" s="696">
        <v>1.6799999999999999E-2</v>
      </c>
      <c r="FJ58" s="255">
        <v>1.3000000000000001E-2</v>
      </c>
      <c r="FK58" s="71">
        <f t="shared" si="10"/>
        <v>2.8571428571428574E-4</v>
      </c>
      <c r="FL58" t="e">
        <f>VLOOKUP(FF58,'SIMULADOR COM SALDO'!$BX$22:$CK$1000,13,FALSE)</f>
        <v>#N/A</v>
      </c>
    </row>
    <row r="59" spans="5:168" x14ac:dyDescent="0.25">
      <c r="G59" s="205">
        <f t="shared" si="68"/>
        <v>-44.755988319763709</v>
      </c>
      <c r="H59" s="204">
        <f t="shared" ref="H59:BS59" si="72">PV($F13,H$9,1,0)+(PV($J$6,$N$5-(H$9),1,0)/($J$6+1)^H$9)</f>
        <v>-44.76342269666528</v>
      </c>
      <c r="I59" s="204">
        <f t="shared" si="72"/>
        <v>-44.774392787972403</v>
      </c>
      <c r="J59" s="204">
        <f t="shared" si="72"/>
        <v>-44.788781566283255</v>
      </c>
      <c r="K59" s="204">
        <f t="shared" si="72"/>
        <v>-44.806474889489834</v>
      </c>
      <c r="L59" s="204">
        <f t="shared" si="72"/>
        <v>-44.827361437442271</v>
      </c>
      <c r="M59" s="204">
        <f t="shared" si="72"/>
        <v>-44.851332649920906</v>
      </c>
      <c r="N59" s="204">
        <f t="shared" si="72"/>
        <v>-44.878282665889806</v>
      </c>
      <c r="O59" s="204">
        <f t="shared" si="72"/>
        <v>-44.908108264006607</v>
      </c>
      <c r="P59" s="204">
        <f t="shared" si="72"/>
        <v>-44.940708804363176</v>
      </c>
      <c r="Q59" s="204">
        <f t="shared" si="72"/>
        <v>-44.975986171433021</v>
      </c>
      <c r="R59" s="204">
        <f t="shared" si="72"/>
        <v>-45.013844718201121</v>
      </c>
      <c r="S59" s="204">
        <f t="shared" si="72"/>
        <v>-45.054191211452746</v>
      </c>
      <c r="T59" s="204">
        <f t="shared" si="72"/>
        <v>-45.09693477819804</v>
      </c>
      <c r="U59" s="204">
        <f t="shared" si="72"/>
        <v>-45.14198685320968</v>
      </c>
      <c r="V59" s="204">
        <f t="shared" si="72"/>
        <v>-45.189261127651527</v>
      </c>
      <c r="W59" s="204">
        <f t="shared" si="72"/>
        <v>-45.238673498776357</v>
      </c>
      <c r="X59" s="204">
        <f t="shared" si="72"/>
        <v>-45.290142020671247</v>
      </c>
      <c r="Y59" s="204">
        <f t="shared" si="72"/>
        <v>-45.343586856029759</v>
      </c>
      <c r="Z59" s="204">
        <f t="shared" si="72"/>
        <v>-45.398930228930382</v>
      </c>
      <c r="AA59" s="204">
        <f t="shared" si="72"/>
        <v>-45.456096378600961</v>
      </c>
      <c r="AB59" s="204">
        <f t="shared" si="72"/>
        <v>-45.515011514149457</v>
      </c>
      <c r="AC59" s="204">
        <f t="shared" si="72"/>
        <v>-45.575603770241713</v>
      </c>
      <c r="AD59" s="204">
        <f t="shared" si="72"/>
        <v>-45.637803163706948</v>
      </c>
      <c r="AE59" s="204">
        <f t="shared" si="72"/>
        <v>-45.701541551052934</v>
      </c>
      <c r="AF59" s="204">
        <f t="shared" si="72"/>
        <v>-45.766752586871839</v>
      </c>
      <c r="AG59" s="204">
        <f t="shared" si="72"/>
        <v>-45.833371683119417</v>
      </c>
      <c r="AH59" s="204">
        <f t="shared" si="72"/>
        <v>-45.901335969249899</v>
      </c>
      <c r="AI59" s="204">
        <f t="shared" si="72"/>
        <v>-45.970584253188989</v>
      </c>
      <c r="AJ59" s="204">
        <f t="shared" si="72"/>
        <v>-46.041056983128769</v>
      </c>
      <c r="AK59" s="204">
        <f t="shared" si="72"/>
        <v>-46.11269621012719</v>
      </c>
      <c r="AL59" s="204">
        <f t="shared" si="72"/>
        <v>-46.185445551496571</v>
      </c>
      <c r="AM59" s="204">
        <f t="shared" si="72"/>
        <v>-46.259250154964974</v>
      </c>
      <c r="AN59" s="204">
        <f t="shared" si="72"/>
        <v>-46.334056663594623</v>
      </c>
      <c r="AO59" s="204">
        <f t="shared" si="72"/>
        <v>-46.409813181442594</v>
      </c>
      <c r="AP59" s="204">
        <f t="shared" si="72"/>
        <v>-46.486469239948235</v>
      </c>
      <c r="AQ59" s="204">
        <f t="shared" si="72"/>
        <v>-46.563975765033177</v>
      </c>
      <c r="AR59" s="204">
        <f t="shared" si="72"/>
        <v>-46.642285044898983</v>
      </c>
      <c r="AS59" s="204">
        <f t="shared" si="72"/>
        <v>-46.721350698508793</v>
      </c>
      <c r="AT59" s="204">
        <f t="shared" si="72"/>
        <v>-46.801127644738742</v>
      </c>
      <c r="AU59" s="204">
        <f t="shared" si="72"/>
        <v>-46.881572072185961</v>
      </c>
      <c r="AV59" s="204">
        <f t="shared" si="72"/>
        <v>-46.962641409619465</v>
      </c>
      <c r="AW59" s="204">
        <f t="shared" si="72"/>
        <v>-47.0442942970611</v>
      </c>
      <c r="AX59" s="204">
        <f t="shared" si="72"/>
        <v>-47.126490557483848</v>
      </c>
      <c r="AY59" s="204">
        <f t="shared" si="72"/>
        <v>-47.20919116911471</v>
      </c>
      <c r="AZ59" s="204">
        <f t="shared" si="72"/>
        <v>-47.292358238330124</v>
      </c>
      <c r="BA59" s="204">
        <f t="shared" si="72"/>
        <v>-47.375954973131584</v>
      </c>
      <c r="BB59" s="204">
        <f t="shared" si="72"/>
        <v>-47.459945657190076</v>
      </c>
      <c r="BC59" s="204">
        <f t="shared" si="72"/>
        <v>-47.544295624447258</v>
      </c>
      <c r="BD59" s="204">
        <f t="shared" si="72"/>
        <v>-47.628971234262451</v>
      </c>
      <c r="BE59" s="204">
        <f t="shared" si="72"/>
        <v>-47.713939847094053</v>
      </c>
      <c r="BF59" s="204">
        <f t="shared" si="72"/>
        <v>-47.799169800704661</v>
      </c>
      <c r="BG59" s="204">
        <f t="shared" si="72"/>
        <v>-47.88463038687901</v>
      </c>
      <c r="BH59" s="204">
        <f t="shared" si="72"/>
        <v>-47.970291828644413</v>
      </c>
      <c r="BI59" s="204">
        <f t="shared" si="72"/>
        <v>-48.05612525798346</v>
      </c>
      <c r="BJ59" s="204">
        <f t="shared" si="72"/>
        <v>-48.142102694028608</v>
      </c>
      <c r="BK59" s="204">
        <f t="shared" si="72"/>
        <v>-48.228197021729301</v>
      </c>
      <c r="BL59" s="204">
        <f t="shared" si="72"/>
        <v>-48.314381970981401</v>
      </c>
      <c r="BM59" s="204">
        <f t="shared" si="72"/>
        <v>-48.400632096209861</v>
      </c>
      <c r="BN59" s="204">
        <f t="shared" si="72"/>
        <v>-48.48692275639511</v>
      </c>
      <c r="BO59" s="204">
        <f t="shared" si="72"/>
        <v>-48.573230095534164</v>
      </c>
      <c r="BP59" s="204">
        <f t="shared" si="72"/>
        <v>-48.659531023527478</v>
      </c>
      <c r="BQ59" s="204">
        <f t="shared" si="72"/>
        <v>-48.745803197482758</v>
      </c>
      <c r="BR59" s="204">
        <f t="shared" si="72"/>
        <v>-48.832025003427248</v>
      </c>
      <c r="BS59" s="204">
        <f t="shared" si="72"/>
        <v>-48.918175538420037</v>
      </c>
      <c r="BT59" s="204">
        <f t="shared" ref="BT59:EE59" si="73">PV($F13,BT$9,1,0)+(PV($J$6,$N$5-(BT$9),1,0)/($J$6+1)^BT$9)</f>
        <v>-49.004234593056026</v>
      </c>
      <c r="BU59" s="204">
        <f t="shared" si="73"/>
        <v>-49.090182634353766</v>
      </c>
      <c r="BV59" s="204">
        <f t="shared" si="73"/>
        <v>-49.176000789018858</v>
      </c>
      <c r="BW59" s="204">
        <f t="shared" si="73"/>
        <v>-49.261670827075584</v>
      </c>
      <c r="BX59" s="204">
        <f t="shared" si="73"/>
        <v>-49.347175145858763</v>
      </c>
      <c r="BY59" s="204">
        <f t="shared" si="73"/>
        <v>-49.432496754358709</v>
      </c>
      <c r="BZ59" s="204">
        <f t="shared" si="73"/>
        <v>-49.517619257911697</v>
      </c>
      <c r="CA59" s="204">
        <f t="shared" si="73"/>
        <v>-49.602526843229093</v>
      </c>
      <c r="CB59" s="204">
        <f t="shared" si="73"/>
        <v>-49.687204263757771</v>
      </c>
      <c r="CC59" s="204">
        <f t="shared" si="73"/>
        <v>-49.771636825365235</v>
      </c>
      <c r="CD59" s="204">
        <f t="shared" si="73"/>
        <v>-49.855810372342589</v>
      </c>
      <c r="CE59" s="204">
        <f t="shared" si="73"/>
        <v>-49.939711273718736</v>
      </c>
      <c r="CF59" s="204">
        <f t="shared" si="73"/>
        <v>-50.023326409879324</v>
      </c>
      <c r="CG59" s="204">
        <f t="shared" si="73"/>
        <v>-50.106643159484229</v>
      </c>
      <c r="CH59" s="204">
        <f t="shared" si="73"/>
        <v>-50.189649386677068</v>
      </c>
      <c r="CI59" s="204">
        <f t="shared" si="73"/>
        <v>-50.272333428581064</v>
      </c>
      <c r="CJ59" s="204">
        <f t="shared" si="73"/>
        <v>-50.354684083074844</v>
      </c>
      <c r="CK59" s="204">
        <f t="shared" si="73"/>
        <v>-50.436690596842702</v>
      </c>
      <c r="CL59" s="204">
        <f t="shared" si="73"/>
        <v>-50.518342653693281</v>
      </c>
      <c r="CM59" s="204">
        <f t="shared" si="73"/>
        <v>-50.599630363141387</v>
      </c>
      <c r="CN59" s="204">
        <f t="shared" si="73"/>
        <v>-50.680544249246999</v>
      </c>
      <c r="CO59" s="204">
        <f t="shared" si="73"/>
        <v>-50.761075239706614</v>
      </c>
      <c r="CP59" s="204">
        <f t="shared" si="73"/>
        <v>-50.841214655190988</v>
      </c>
      <c r="CQ59" s="204">
        <f t="shared" si="73"/>
        <v>-50.920954198924861</v>
      </c>
      <c r="CR59" s="204">
        <f t="shared" si="73"/>
        <v>-51.000285946502828</v>
      </c>
      <c r="CS59" s="204">
        <f t="shared" si="73"/>
        <v>-51.079202335936927</v>
      </c>
      <c r="CT59" s="204">
        <f t="shared" si="73"/>
        <v>-51.157696157930815</v>
      </c>
      <c r="CU59" s="204">
        <f t="shared" si="73"/>
        <v>-51.235760546375801</v>
      </c>
      <c r="CV59" s="204">
        <f t="shared" si="73"/>
        <v>-51.313388969064164</v>
      </c>
      <c r="CW59" s="204">
        <f t="shared" si="73"/>
        <v>-51.390575218614892</v>
      </c>
      <c r="CX59" s="204">
        <f t="shared" si="73"/>
        <v>-51.467313403607704</v>
      </c>
      <c r="CY59" s="204">
        <f t="shared" si="73"/>
        <v>-51.467313403607704</v>
      </c>
      <c r="CZ59" s="204">
        <f t="shared" si="73"/>
        <v>-51.467313403607704</v>
      </c>
      <c r="DA59" s="204">
        <f t="shared" si="73"/>
        <v>-51.467313403607704</v>
      </c>
      <c r="DB59" s="204">
        <f t="shared" si="73"/>
        <v>-51.467313403607704</v>
      </c>
      <c r="DC59" s="204">
        <f t="shared" si="73"/>
        <v>-51.467313403607704</v>
      </c>
      <c r="DD59" s="204">
        <f t="shared" si="73"/>
        <v>-51.467313403607704</v>
      </c>
      <c r="DE59" s="204">
        <f t="shared" si="73"/>
        <v>-51.467313403607704</v>
      </c>
      <c r="DF59" s="204">
        <f t="shared" si="73"/>
        <v>-51.467313403607704</v>
      </c>
      <c r="DG59" s="204">
        <f t="shared" si="73"/>
        <v>-51.467313403607704</v>
      </c>
      <c r="DH59" s="204">
        <f t="shared" si="73"/>
        <v>-51.467313403607704</v>
      </c>
      <c r="DI59" s="204">
        <f t="shared" si="73"/>
        <v>-51.467313403607704</v>
      </c>
      <c r="DJ59" s="204">
        <f t="shared" si="73"/>
        <v>-51.467313403607704</v>
      </c>
      <c r="DK59" s="204">
        <f t="shared" si="73"/>
        <v>-51.467313403607704</v>
      </c>
      <c r="DL59" s="204">
        <f t="shared" si="73"/>
        <v>-51.467313403607704</v>
      </c>
      <c r="DM59" s="204">
        <f t="shared" si="73"/>
        <v>-51.467313403607704</v>
      </c>
      <c r="DN59" s="204">
        <f t="shared" si="73"/>
        <v>-51.467313403607704</v>
      </c>
      <c r="DO59" s="204">
        <f t="shared" si="73"/>
        <v>-51.467313403607704</v>
      </c>
      <c r="DP59" s="204">
        <f t="shared" si="73"/>
        <v>-51.467313403607704</v>
      </c>
      <c r="DQ59" s="204">
        <f t="shared" si="73"/>
        <v>-51.467313403607704</v>
      </c>
      <c r="DR59" s="204">
        <f t="shared" si="73"/>
        <v>-51.467313403607704</v>
      </c>
      <c r="DS59" s="204">
        <f t="shared" si="73"/>
        <v>-51.467313403607704</v>
      </c>
      <c r="DT59" s="204">
        <f t="shared" si="73"/>
        <v>-51.467313403607704</v>
      </c>
      <c r="DU59" s="204">
        <f t="shared" si="73"/>
        <v>-51.467313403607704</v>
      </c>
      <c r="DV59" s="204">
        <f t="shared" si="73"/>
        <v>-51.467313403607704</v>
      </c>
      <c r="DW59" s="204">
        <f t="shared" si="73"/>
        <v>-51.467313403607704</v>
      </c>
      <c r="DX59" s="204">
        <f t="shared" si="73"/>
        <v>-51.467313403607704</v>
      </c>
      <c r="DY59" s="204">
        <f t="shared" si="73"/>
        <v>-51.467313403607704</v>
      </c>
      <c r="DZ59" s="204">
        <f t="shared" si="73"/>
        <v>-51.467313403607704</v>
      </c>
      <c r="EA59" s="204">
        <f t="shared" si="73"/>
        <v>-51.467313403607704</v>
      </c>
      <c r="EB59" s="204">
        <f t="shared" si="73"/>
        <v>-51.467313403607704</v>
      </c>
      <c r="EC59" s="204">
        <f t="shared" si="73"/>
        <v>-51.467313403607704</v>
      </c>
      <c r="ED59" s="204">
        <f t="shared" si="73"/>
        <v>-51.467313403607704</v>
      </c>
      <c r="EE59" s="204">
        <f t="shared" si="73"/>
        <v>-51.467313403607704</v>
      </c>
      <c r="EF59" s="204">
        <f t="shared" ref="EF59:ET59" si="74">PV($F13,EF$9,1,0)+(PV($J$6,$N$5-(EF$9),1,0)/($J$6+1)^EF$9)</f>
        <v>-51.467313403607704</v>
      </c>
      <c r="EG59" s="204">
        <f t="shared" si="74"/>
        <v>-51.467313403607704</v>
      </c>
      <c r="EH59" s="204">
        <f t="shared" si="74"/>
        <v>-51.467313403607704</v>
      </c>
      <c r="EI59" s="204">
        <f t="shared" si="74"/>
        <v>-51.467313403607704</v>
      </c>
      <c r="EJ59" s="204">
        <f t="shared" si="74"/>
        <v>-51.467313403607704</v>
      </c>
      <c r="EK59" s="204">
        <f t="shared" si="74"/>
        <v>-51.467313403607704</v>
      </c>
      <c r="EL59" s="204">
        <f t="shared" si="74"/>
        <v>-51.467313403607704</v>
      </c>
      <c r="EM59" s="204">
        <f t="shared" si="74"/>
        <v>-51.467313403607704</v>
      </c>
      <c r="EN59" s="204">
        <f t="shared" si="74"/>
        <v>-51.467313403607704</v>
      </c>
      <c r="EO59" s="204">
        <f t="shared" si="74"/>
        <v>-51.467313403607704</v>
      </c>
      <c r="EP59" s="204">
        <f t="shared" si="74"/>
        <v>-51.467313403607704</v>
      </c>
      <c r="EQ59" s="204">
        <f t="shared" si="74"/>
        <v>-51.467313403607704</v>
      </c>
      <c r="ER59" s="204">
        <f t="shared" si="74"/>
        <v>-51.467313403607704</v>
      </c>
      <c r="ES59" s="204">
        <f t="shared" si="74"/>
        <v>-51.467313403607704</v>
      </c>
      <c r="ET59" s="204">
        <f t="shared" si="74"/>
        <v>-51.467313403607704</v>
      </c>
      <c r="FF59" s="6" t="s">
        <v>2514</v>
      </c>
      <c r="FG59" s="696">
        <v>2.5000000000000001E-2</v>
      </c>
      <c r="FH59" s="696">
        <v>96</v>
      </c>
      <c r="FI59" s="696">
        <v>1.95E-2</v>
      </c>
      <c r="FJ59" s="255">
        <v>1.6500000000000001E-2</v>
      </c>
      <c r="FK59" s="71">
        <f t="shared" si="10"/>
        <v>2.0238095238095239E-4</v>
      </c>
      <c r="FL59" t="e">
        <f>VLOOKUP(FF59,'SIMULADOR COM SALDO'!$BX$22:$CK$1000,13,FALSE)</f>
        <v>#N/A</v>
      </c>
    </row>
    <row r="60" spans="5:168" x14ac:dyDescent="0.25">
      <c r="G60" s="205">
        <f t="shared" si="68"/>
        <v>-44.755893498193345</v>
      </c>
      <c r="H60" s="204">
        <f t="shared" ref="H60:BS60" si="75">PV($F14,H$9,1,0)+(PV($J$6,$N$5-(H$9),1,0)/($J$6+1)^H$9)</f>
        <v>-44.763140969015296</v>
      </c>
      <c r="I60" s="204">
        <f t="shared" si="75"/>
        <v>-44.773834747539681</v>
      </c>
      <c r="J60" s="204">
        <f t="shared" si="75"/>
        <v>-44.787860426056142</v>
      </c>
      <c r="K60" s="204">
        <f t="shared" si="75"/>
        <v>-44.805106425153184</v>
      </c>
      <c r="L60" s="204">
        <f t="shared" si="75"/>
        <v>-44.825463931482005</v>
      </c>
      <c r="M60" s="204">
        <f t="shared" si="75"/>
        <v>-44.848826836808186</v>
      </c>
      <c r="N60" s="204">
        <f t="shared" si="75"/>
        <v>-44.875091678325347</v>
      </c>
      <c r="O60" s="204">
        <f t="shared" si="75"/>
        <v>-44.904157580205847</v>
      </c>
      <c r="P60" s="204">
        <f t="shared" si="75"/>
        <v>-44.935926196363589</v>
      </c>
      <c r="Q60" s="204">
        <f t="shared" si="75"/>
        <v>-44.970301654405048</v>
      </c>
      <c r="R60" s="204">
        <f t="shared" si="75"/>
        <v>-45.007190500744287</v>
      </c>
      <c r="S60" s="204">
        <f t="shared" si="75"/>
        <v>-45.046501646859397</v>
      </c>
      <c r="T60" s="204">
        <f t="shared" si="75"/>
        <v>-45.088146316666929</v>
      </c>
      <c r="U60" s="204">
        <f t="shared" si="75"/>
        <v>-45.132037994992203</v>
      </c>
      <c r="V60" s="204">
        <f t="shared" si="75"/>
        <v>-45.178092377113614</v>
      </c>
      <c r="W60" s="204">
        <f t="shared" si="75"/>
        <v>-45.22622731935931</v>
      </c>
      <c r="X60" s="204">
        <f t="shared" si="75"/>
        <v>-45.276362790735263</v>
      </c>
      <c r="Y60" s="204">
        <f t="shared" si="75"/>
        <v>-45.328420825563981</v>
      </c>
      <c r="Z60" s="204">
        <f t="shared" si="75"/>
        <v>-45.382325477113554</v>
      </c>
      <c r="AA60" s="204">
        <f t="shared" si="75"/>
        <v>-45.438002772197365</v>
      </c>
      <c r="AB60" s="204">
        <f t="shared" si="75"/>
        <v>-45.495380666724678</v>
      </c>
      <c r="AC60" s="204">
        <f t="shared" si="75"/>
        <v>-45.554389002183292</v>
      </c>
      <c r="AD60" s="204">
        <f t="shared" si="75"/>
        <v>-45.614959463035298</v>
      </c>
      <c r="AE60" s="204">
        <f t="shared" si="75"/>
        <v>-45.677025535007758</v>
      </c>
      <c r="AF60" s="204">
        <f t="shared" si="75"/>
        <v>-45.740522464260138</v>
      </c>
      <c r="AG60" s="204">
        <f t="shared" si="75"/>
        <v>-45.805387217410981</v>
      </c>
      <c r="AH60" s="204">
        <f t="shared" si="75"/>
        <v>-45.87155844240641</v>
      </c>
      <c r="AI60" s="204">
        <f t="shared" si="75"/>
        <v>-45.938976430213522</v>
      </c>
      <c r="AJ60" s="204">
        <f t="shared" si="75"/>
        <v>-46.007583077322145</v>
      </c>
      <c r="AK60" s="204">
        <f t="shared" si="75"/>
        <v>-46.077321849038427</v>
      </c>
      <c r="AL60" s="204">
        <f t="shared" si="75"/>
        <v>-46.148137743554457</v>
      </c>
      <c r="AM60" s="204">
        <f t="shared" si="75"/>
        <v>-46.219977256778137</v>
      </c>
      <c r="AN60" s="204">
        <f t="shared" si="75"/>
        <v>-46.292788347908058</v>
      </c>
      <c r="AO60" s="204">
        <f t="shared" si="75"/>
        <v>-46.366520405738164</v>
      </c>
      <c r="AP60" s="204">
        <f t="shared" si="75"/>
        <v>-46.441124215677462</v>
      </c>
      <c r="AQ60" s="204">
        <f t="shared" si="75"/>
        <v>-46.516551927470445</v>
      </c>
      <c r="AR60" s="204">
        <f t="shared" si="75"/>
        <v>-46.592757023603809</v>
      </c>
      <c r="AS60" s="204">
        <f t="shared" si="75"/>
        <v>-46.66969428838577</v>
      </c>
      <c r="AT60" s="204">
        <f t="shared" si="75"/>
        <v>-46.747319777684105</v>
      </c>
      <c r="AU60" s="204">
        <f t="shared" si="75"/>
        <v>-46.82559078930975</v>
      </c>
      <c r="AV60" s="204">
        <f t="shared" si="75"/>
        <v>-46.904465834032777</v>
      </c>
      <c r="AW60" s="204">
        <f t="shared" si="75"/>
        <v>-46.983904607217767</v>
      </c>
      <c r="AX60" s="204">
        <f t="shared" si="75"/>
        <v>-47.063867961066208</v>
      </c>
      <c r="AY60" s="204">
        <f t="shared" si="75"/>
        <v>-47.144317877453368</v>
      </c>
      <c r="AZ60" s="204">
        <f t="shared" si="75"/>
        <v>-47.225217441347695</v>
      </c>
      <c r="BA60" s="204">
        <f t="shared" si="75"/>
        <v>-47.306530814800695</v>
      </c>
      <c r="BB60" s="204">
        <f t="shared" si="75"/>
        <v>-47.388223211495813</v>
      </c>
      <c r="BC60" s="204">
        <f t="shared" si="75"/>
        <v>-47.470260871844872</v>
      </c>
      <c r="BD60" s="204">
        <f t="shared" si="75"/>
        <v>-47.55261103862081</v>
      </c>
      <c r="BE60" s="204">
        <f t="shared" si="75"/>
        <v>-47.635241933115893</v>
      </c>
      <c r="BF60" s="204">
        <f t="shared" si="75"/>
        <v>-47.718122731814461</v>
      </c>
      <c r="BG60" s="204">
        <f t="shared" si="75"/>
        <v>-47.801223543570003</v>
      </c>
      <c r="BH60" s="204">
        <f t="shared" si="75"/>
        <v>-47.884515387275805</v>
      </c>
      <c r="BI60" s="204">
        <f t="shared" si="75"/>
        <v>-47.967970170019434</v>
      </c>
      <c r="BJ60" s="204">
        <f t="shared" si="75"/>
        <v>-48.05156066571098</v>
      </c>
      <c r="BK60" s="204">
        <f t="shared" si="75"/>
        <v>-48.135260494175334</v>
      </c>
      <c r="BL60" s="204">
        <f t="shared" si="75"/>
        <v>-48.21904410069893</v>
      </c>
      <c r="BM60" s="204">
        <f t="shared" si="75"/>
        <v>-48.302886736021819</v>
      </c>
      <c r="BN60" s="204">
        <f t="shared" si="75"/>
        <v>-48.38676443676561</v>
      </c>
      <c r="BO60" s="204">
        <f t="shared" si="75"/>
        <v>-48.470654006288576</v>
      </c>
      <c r="BP60" s="204">
        <f t="shared" si="75"/>
        <v>-48.554532995959029</v>
      </c>
      <c r="BQ60" s="204">
        <f t="shared" si="75"/>
        <v>-48.638379686838284</v>
      </c>
      <c r="BR60" s="204">
        <f t="shared" si="75"/>
        <v>-48.722173071764885</v>
      </c>
      <c r="BS60" s="204">
        <f t="shared" si="75"/>
        <v>-48.80589283783172</v>
      </c>
      <c r="BT60" s="204">
        <f t="shared" ref="BT60:EE60" si="76">PV($F14,BT$9,1,0)+(PV($J$6,$N$5-(BT$9),1,0)/($J$6+1)^BT$9)</f>
        <v>-48.889519349247919</v>
      </c>
      <c r="BU60" s="204">
        <f t="shared" si="76"/>
        <v>-48.973033630577753</v>
      </c>
      <c r="BV60" s="204">
        <f t="shared" si="76"/>
        <v>-49.056417350348354</v>
      </c>
      <c r="BW60" s="204">
        <f t="shared" si="76"/>
        <v>-49.139652805019075</v>
      </c>
      <c r="BX60" s="204">
        <f t="shared" si="76"/>
        <v>-49.222722903304692</v>
      </c>
      <c r="BY60" s="204">
        <f t="shared" si="76"/>
        <v>-49.305611150845174</v>
      </c>
      <c r="BZ60" s="204">
        <f t="shared" si="76"/>
        <v>-49.388301635214916</v>
      </c>
      <c r="CA60" s="204">
        <f t="shared" si="76"/>
        <v>-49.470779011264334</v>
      </c>
      <c r="CB60" s="204">
        <f t="shared" si="76"/>
        <v>-49.553028486786879</v>
      </c>
      <c r="CC60" s="204">
        <f t="shared" si="76"/>
        <v>-49.635035808504753</v>
      </c>
      <c r="CD60" s="204">
        <f t="shared" si="76"/>
        <v>-49.716787248366614</v>
      </c>
      <c r="CE60" s="204">
        <f t="shared" si="76"/>
        <v>-49.798269590150987</v>
      </c>
      <c r="CF60" s="204">
        <f t="shared" si="76"/>
        <v>-49.879470116368658</v>
      </c>
      <c r="CG60" s="204">
        <f t="shared" si="76"/>
        <v>-49.9603765954582</v>
      </c>
      <c r="CH60" s="204">
        <f t="shared" si="76"/>
        <v>-50.040977269268126</v>
      </c>
      <c r="CI60" s="204">
        <f t="shared" si="76"/>
        <v>-50.121260840819993</v>
      </c>
      <c r="CJ60" s="204">
        <f t="shared" si="76"/>
        <v>-50.201216462346437</v>
      </c>
      <c r="CK60" s="204">
        <f t="shared" si="76"/>
        <v>-50.280833723598391</v>
      </c>
      <c r="CL60" s="204">
        <f t="shared" si="76"/>
        <v>-50.360102640415754</v>
      </c>
      <c r="CM60" s="204">
        <f t="shared" si="76"/>
        <v>-50.439013643556336</v>
      </c>
      <c r="CN60" s="204">
        <f t="shared" si="76"/>
        <v>-50.517557567777082</v>
      </c>
      <c r="CO60" s="204">
        <f t="shared" si="76"/>
        <v>-50.595725641162879</v>
      </c>
      <c r="CP60" s="204">
        <f t="shared" si="76"/>
        <v>-50.673509474697262</v>
      </c>
      <c r="CQ60" s="204">
        <f t="shared" si="76"/>
        <v>-50.750901052070226</v>
      </c>
      <c r="CR60" s="204">
        <f t="shared" si="76"/>
        <v>-50.827892719718051</v>
      </c>
      <c r="CS60" s="204">
        <f t="shared" si="76"/>
        <v>-50.904477177090136</v>
      </c>
      <c r="CT60" s="204">
        <f t="shared" si="76"/>
        <v>-50.98064746713829</v>
      </c>
      <c r="CU60" s="204">
        <f t="shared" si="76"/>
        <v>-51.056396967023531</v>
      </c>
      <c r="CV60" s="204">
        <f t="shared" si="76"/>
        <v>-51.131719379035992</v>
      </c>
      <c r="CW60" s="204">
        <f t="shared" si="76"/>
        <v>-51.206608721723256</v>
      </c>
      <c r="CX60" s="204">
        <f t="shared" si="76"/>
        <v>-51.281059321222862</v>
      </c>
      <c r="CY60" s="204">
        <f t="shared" si="76"/>
        <v>-51.281059321222862</v>
      </c>
      <c r="CZ60" s="204">
        <f t="shared" si="76"/>
        <v>-51.281059321222862</v>
      </c>
      <c r="DA60" s="204">
        <f t="shared" si="76"/>
        <v>-51.281059321222862</v>
      </c>
      <c r="DB60" s="204">
        <f t="shared" si="76"/>
        <v>-51.281059321222862</v>
      </c>
      <c r="DC60" s="204">
        <f t="shared" si="76"/>
        <v>-51.281059321222862</v>
      </c>
      <c r="DD60" s="204">
        <f t="shared" si="76"/>
        <v>-51.281059321222862</v>
      </c>
      <c r="DE60" s="204">
        <f t="shared" si="76"/>
        <v>-51.281059321222862</v>
      </c>
      <c r="DF60" s="204">
        <f t="shared" si="76"/>
        <v>-51.281059321222862</v>
      </c>
      <c r="DG60" s="204">
        <f t="shared" si="76"/>
        <v>-51.281059321222862</v>
      </c>
      <c r="DH60" s="204">
        <f t="shared" si="76"/>
        <v>-51.281059321222862</v>
      </c>
      <c r="DI60" s="204">
        <f t="shared" si="76"/>
        <v>-51.281059321222862</v>
      </c>
      <c r="DJ60" s="204">
        <f t="shared" si="76"/>
        <v>-51.281059321222862</v>
      </c>
      <c r="DK60" s="204">
        <f t="shared" si="76"/>
        <v>-51.281059321222862</v>
      </c>
      <c r="DL60" s="204">
        <f t="shared" si="76"/>
        <v>-51.281059321222862</v>
      </c>
      <c r="DM60" s="204">
        <f t="shared" si="76"/>
        <v>-51.281059321222862</v>
      </c>
      <c r="DN60" s="204">
        <f t="shared" si="76"/>
        <v>-51.281059321222862</v>
      </c>
      <c r="DO60" s="204">
        <f t="shared" si="76"/>
        <v>-51.281059321222862</v>
      </c>
      <c r="DP60" s="204">
        <f t="shared" si="76"/>
        <v>-51.281059321222862</v>
      </c>
      <c r="DQ60" s="204">
        <f t="shared" si="76"/>
        <v>-51.281059321222862</v>
      </c>
      <c r="DR60" s="204">
        <f t="shared" si="76"/>
        <v>-51.281059321222862</v>
      </c>
      <c r="DS60" s="204">
        <f t="shared" si="76"/>
        <v>-51.281059321222862</v>
      </c>
      <c r="DT60" s="204">
        <f t="shared" si="76"/>
        <v>-51.281059321222862</v>
      </c>
      <c r="DU60" s="204">
        <f t="shared" si="76"/>
        <v>-51.281059321222862</v>
      </c>
      <c r="DV60" s="204">
        <f t="shared" si="76"/>
        <v>-51.281059321222862</v>
      </c>
      <c r="DW60" s="204">
        <f t="shared" si="76"/>
        <v>-51.281059321222862</v>
      </c>
      <c r="DX60" s="204">
        <f t="shared" si="76"/>
        <v>-51.281059321222862</v>
      </c>
      <c r="DY60" s="204">
        <f t="shared" si="76"/>
        <v>-51.281059321222862</v>
      </c>
      <c r="DZ60" s="204">
        <f t="shared" si="76"/>
        <v>-51.281059321222862</v>
      </c>
      <c r="EA60" s="204">
        <f t="shared" si="76"/>
        <v>-51.281059321222862</v>
      </c>
      <c r="EB60" s="204">
        <f t="shared" si="76"/>
        <v>-51.281059321222862</v>
      </c>
      <c r="EC60" s="204">
        <f t="shared" si="76"/>
        <v>-51.281059321222862</v>
      </c>
      <c r="ED60" s="204">
        <f t="shared" si="76"/>
        <v>-51.281059321222862</v>
      </c>
      <c r="EE60" s="204">
        <f t="shared" si="76"/>
        <v>-51.281059321222862</v>
      </c>
      <c r="EF60" s="204">
        <f t="shared" ref="EF60:ET60" si="77">PV($F14,EF$9,1,0)+(PV($J$6,$N$5-(EF$9),1,0)/($J$6+1)^EF$9)</f>
        <v>-51.281059321222862</v>
      </c>
      <c r="EG60" s="204">
        <f t="shared" si="77"/>
        <v>-51.281059321222862</v>
      </c>
      <c r="EH60" s="204">
        <f t="shared" si="77"/>
        <v>-51.281059321222862</v>
      </c>
      <c r="EI60" s="204">
        <f t="shared" si="77"/>
        <v>-51.281059321222862</v>
      </c>
      <c r="EJ60" s="204">
        <f t="shared" si="77"/>
        <v>-51.281059321222862</v>
      </c>
      <c r="EK60" s="204">
        <f t="shared" si="77"/>
        <v>-51.281059321222862</v>
      </c>
      <c r="EL60" s="204">
        <f t="shared" si="77"/>
        <v>-51.281059321222862</v>
      </c>
      <c r="EM60" s="204">
        <f t="shared" si="77"/>
        <v>-51.281059321222862</v>
      </c>
      <c r="EN60" s="204">
        <f t="shared" si="77"/>
        <v>-51.281059321222862</v>
      </c>
      <c r="EO60" s="204">
        <f t="shared" si="77"/>
        <v>-51.281059321222862</v>
      </c>
      <c r="EP60" s="204">
        <f t="shared" si="77"/>
        <v>-51.281059321222862</v>
      </c>
      <c r="EQ60" s="204">
        <f t="shared" si="77"/>
        <v>-51.281059321222862</v>
      </c>
      <c r="ER60" s="204">
        <f t="shared" si="77"/>
        <v>-51.281059321222862</v>
      </c>
      <c r="ES60" s="204">
        <f t="shared" si="77"/>
        <v>-51.281059321222862</v>
      </c>
      <c r="ET60" s="204">
        <f t="shared" si="77"/>
        <v>-51.281059321222862</v>
      </c>
      <c r="FF60" s="6" t="s">
        <v>2523</v>
      </c>
      <c r="FG60" s="696">
        <v>2.5000000000000001E-2</v>
      </c>
      <c r="FH60" s="696">
        <v>96</v>
      </c>
      <c r="FI60" s="696">
        <v>1.95E-2</v>
      </c>
      <c r="FJ60" s="255">
        <v>1.6500000000000001E-2</v>
      </c>
      <c r="FK60" s="71">
        <f t="shared" si="10"/>
        <v>2.0238095238095239E-4</v>
      </c>
      <c r="FL60" t="e">
        <f>VLOOKUP(FF60,'SIMULADOR COM SALDO'!$BX$22:$CK$1000,13,FALSE)</f>
        <v>#N/A</v>
      </c>
    </row>
    <row r="61" spans="5:168" x14ac:dyDescent="0.25">
      <c r="G61" s="205">
        <f t="shared" si="68"/>
        <v>-44.755798694865966</v>
      </c>
      <c r="H61" s="204">
        <f t="shared" ref="H61:BS61" si="78">PV($F15,H$9,1,0)+(PV($J$6,$N$5-(H$9),1,0)/($J$6+1)^H$9)</f>
        <v>-44.762859313544709</v>
      </c>
      <c r="I61" s="204">
        <f t="shared" si="78"/>
        <v>-44.773276885597156</v>
      </c>
      <c r="J61" s="204">
        <f t="shared" si="78"/>
        <v>-44.786939638938236</v>
      </c>
      <c r="K61" s="204">
        <f t="shared" si="78"/>
        <v>-44.803738572061512</v>
      </c>
      <c r="L61" s="204">
        <f t="shared" si="78"/>
        <v>-44.823567392923863</v>
      </c>
      <c r="M61" s="204">
        <f t="shared" si="78"/>
        <v>-44.8463224590975</v>
      </c>
      <c r="N61" s="204">
        <f t="shared" si="78"/>
        <v>-44.871902719164197</v>
      </c>
      <c r="O61" s="204">
        <f t="shared" si="78"/>
        <v>-44.900209655326613</v>
      </c>
      <c r="P61" s="204">
        <f t="shared" si="78"/>
        <v>-44.931147227212534</v>
      </c>
      <c r="Q61" s="204">
        <f t="shared" si="78"/>
        <v>-44.964621816848265</v>
      </c>
      <c r="R61" s="204">
        <f t="shared" si="78"/>
        <v>-45.000542174777443</v>
      </c>
      <c r="S61" s="204">
        <f t="shared" si="78"/>
        <v>-45.038819367302835</v>
      </c>
      <c r="T61" s="204">
        <f t="shared" si="78"/>
        <v>-45.079366724828148</v>
      </c>
      <c r="U61" s="204">
        <f t="shared" si="78"/>
        <v>-45.122099791278018</v>
      </c>
      <c r="V61" s="204">
        <f t="shared" si="78"/>
        <v>-45.166936274574624</v>
      </c>
      <c r="W61" s="204">
        <f t="shared" si="78"/>
        <v>-45.213795998149585</v>
      </c>
      <c r="X61" s="204">
        <f t="shared" si="78"/>
        <v>-45.262600853470389</v>
      </c>
      <c r="Y61" s="204">
        <f t="shared" si="78"/>
        <v>-45.313274753561046</v>
      </c>
      <c r="Z61" s="204">
        <f t="shared" si="78"/>
        <v>-45.365743587496866</v>
      </c>
      <c r="AA61" s="204">
        <f t="shared" si="78"/>
        <v>-45.419935175853993</v>
      </c>
      <c r="AB61" s="204">
        <f t="shared" si="78"/>
        <v>-45.475779227094122</v>
      </c>
      <c r="AC61" s="204">
        <f t="shared" si="78"/>
        <v>-45.533207294865917</v>
      </c>
      <c r="AD61" s="204">
        <f t="shared" si="78"/>
        <v>-45.592152736204568</v>
      </c>
      <c r="AE61" s="204">
        <f t="shared" si="78"/>
        <v>-45.652550670611291</v>
      </c>
      <c r="AF61" s="204">
        <f t="shared" si="78"/>
        <v>-45.71433793999509</v>
      </c>
      <c r="AG61" s="204">
        <f t="shared" si="78"/>
        <v>-45.777453069459398</v>
      </c>
      <c r="AH61" s="204">
        <f t="shared" si="78"/>
        <v>-45.841836228916563</v>
      </c>
      <c r="AI61" s="204">
        <f t="shared" si="78"/>
        <v>-45.907429195513409</v>
      </c>
      <c r="AJ61" s="204">
        <f t="shared" si="78"/>
        <v>-45.974175316851486</v>
      </c>
      <c r="AK61" s="204">
        <f t="shared" si="78"/>
        <v>-46.042019474985985</v>
      </c>
      <c r="AL61" s="204">
        <f t="shared" si="78"/>
        <v>-46.110908051187423</v>
      </c>
      <c r="AM61" s="204">
        <f t="shared" si="78"/>
        <v>-46.180788891450973</v>
      </c>
      <c r="AN61" s="204">
        <f t="shared" si="78"/>
        <v>-46.25161127273784</v>
      </c>
      <c r="AO61" s="204">
        <f t="shared" si="78"/>
        <v>-46.323325869934251</v>
      </c>
      <c r="AP61" s="204">
        <f t="shared" si="78"/>
        <v>-46.395884723513262</v>
      </c>
      <c r="AQ61" s="204">
        <f t="shared" si="78"/>
        <v>-46.469241207885247</v>
      </c>
      <c r="AR61" s="204">
        <f t="shared" si="78"/>
        <v>-46.543350000423004</v>
      </c>
      <c r="AS61" s="204">
        <f t="shared" si="78"/>
        <v>-46.618167051147772</v>
      </c>
      <c r="AT61" s="204">
        <f t="shared" si="78"/>
        <v>-46.693649553062812</v>
      </c>
      <c r="AU61" s="204">
        <f t="shared" si="78"/>
        <v>-46.769755913121301</v>
      </c>
      <c r="AV61" s="204">
        <f t="shared" si="78"/>
        <v>-46.846445723815577</v>
      </c>
      <c r="AW61" s="204">
        <f t="shared" si="78"/>
        <v>-46.923679735375224</v>
      </c>
      <c r="AX61" s="204">
        <f t="shared" si="78"/>
        <v>-47.001419828561453</v>
      </c>
      <c r="AY61" s="204">
        <f t="shared" si="78"/>
        <v>-47.07962898804567</v>
      </c>
      <c r="AZ61" s="204">
        <f t="shared" si="78"/>
        <v>-47.158271276360352</v>
      </c>
      <c r="BA61" s="204">
        <f t="shared" si="78"/>
        <v>-47.237311808410425</v>
      </c>
      <c r="BB61" s="204">
        <f t="shared" si="78"/>
        <v>-47.316716726533784</v>
      </c>
      <c r="BC61" s="204">
        <f t="shared" si="78"/>
        <v>-47.396453176099755</v>
      </c>
      <c r="BD61" s="204">
        <f t="shared" si="78"/>
        <v>-47.476489281634358</v>
      </c>
      <c r="BE61" s="204">
        <f t="shared" si="78"/>
        <v>-47.556794123461685</v>
      </c>
      <c r="BF61" s="204">
        <f t="shared" si="78"/>
        <v>-47.637337714850808</v>
      </c>
      <c r="BG61" s="204">
        <f t="shared" si="78"/>
        <v>-47.718090979657887</v>
      </c>
      <c r="BH61" s="204">
        <f t="shared" si="78"/>
        <v>-47.79902573045311</v>
      </c>
      <c r="BI61" s="204">
        <f t="shared" si="78"/>
        <v>-47.880114647122802</v>
      </c>
      <c r="BJ61" s="204">
        <f t="shared" si="78"/>
        <v>-47.96133125593677</v>
      </c>
      <c r="BK61" s="204">
        <f t="shared" si="78"/>
        <v>-48.042649909071351</v>
      </c>
      <c r="BL61" s="204">
        <f t="shared" si="78"/>
        <v>-48.124045764578703</v>
      </c>
      <c r="BM61" s="204">
        <f t="shared" si="78"/>
        <v>-48.2054947667934</v>
      </c>
      <c r="BN61" s="204">
        <f t="shared" si="78"/>
        <v>-48.286973627166915</v>
      </c>
      <c r="BO61" s="204">
        <f t="shared" si="78"/>
        <v>-48.368459805521631</v>
      </c>
      <c r="BP61" s="204">
        <f t="shared" si="78"/>
        <v>-48.449931491715347</v>
      </c>
      <c r="BQ61" s="204">
        <f t="shared" si="78"/>
        <v>-48.53136758770799</v>
      </c>
      <c r="BR61" s="204">
        <f t="shared" si="78"/>
        <v>-48.612747690022154</v>
      </c>
      <c r="BS61" s="204">
        <f t="shared" si="78"/>
        <v>-48.6940520725894</v>
      </c>
      <c r="BT61" s="204">
        <f t="shared" ref="BT61:EE61" si="79">PV($F15,BT$9,1,0)+(PV($J$6,$N$5-(BT$9),1,0)/($J$6+1)^BT$9)</f>
        <v>-48.775261669974164</v>
      </c>
      <c r="BU61" s="204">
        <f t="shared" si="79"/>
        <v>-48.856358060967693</v>
      </c>
      <c r="BV61" s="204">
        <f t="shared" si="79"/>
        <v>-48.937323452544064</v>
      </c>
      <c r="BW61" s="204">
        <f t="shared" si="79"/>
        <v>-49.018140664171042</v>
      </c>
      <c r="BX61" s="204">
        <f t="shared" si="79"/>
        <v>-49.098793112468194</v>
      </c>
      <c r="BY61" s="204">
        <f t="shared" si="79"/>
        <v>-49.179264796205125</v>
      </c>
      <c r="BZ61" s="204">
        <f t="shared" si="79"/>
        <v>-49.259540281632852</v>
      </c>
      <c r="CA61" s="204">
        <f t="shared" si="79"/>
        <v>-49.339604688141208</v>
      </c>
      <c r="CB61" s="204">
        <f t="shared" si="79"/>
        <v>-49.41944367423558</v>
      </c>
      <c r="CC61" s="204">
        <f t="shared" si="79"/>
        <v>-49.499043423826386</v>
      </c>
      <c r="CD61" s="204">
        <f t="shared" si="79"/>
        <v>-49.5783906328246</v>
      </c>
      <c r="CE61" s="204">
        <f t="shared" si="79"/>
        <v>-49.657472496037116</v>
      </c>
      <c r="CF61" s="204">
        <f t="shared" si="79"/>
        <v>-49.736276694355517</v>
      </c>
      <c r="CG61" s="204">
        <f t="shared" si="79"/>
        <v>-49.814791382232272</v>
      </c>
      <c r="CH61" s="204">
        <f t="shared" si="79"/>
        <v>-49.893005175438212</v>
      </c>
      <c r="CI61" s="204">
        <f t="shared" si="79"/>
        <v>-49.970907139095424</v>
      </c>
      <c r="CJ61" s="204">
        <f t="shared" si="79"/>
        <v>-50.048486775979889</v>
      </c>
      <c r="CK61" s="204">
        <f t="shared" si="79"/>
        <v>-50.125734015088014</v>
      </c>
      <c r="CL61" s="204">
        <f t="shared" si="79"/>
        <v>-50.202639200461718</v>
      </c>
      <c r="CM61" s="204">
        <f t="shared" si="79"/>
        <v>-50.279193080266445</v>
      </c>
      <c r="CN61" s="204">
        <f t="shared" si="79"/>
        <v>-50.355386796116953</v>
      </c>
      <c r="CO61" s="204">
        <f t="shared" si="79"/>
        <v>-50.431211872645498</v>
      </c>
      <c r="CP61" s="204">
        <f t="shared" si="79"/>
        <v>-50.50666020730749</v>
      </c>
      <c r="CQ61" s="204">
        <f t="shared" si="79"/>
        <v>-50.581724060419354</v>
      </c>
      <c r="CR61" s="204">
        <f t="shared" si="79"/>
        <v>-50.656396045424003</v>
      </c>
      <c r="CS61" s="204">
        <f t="shared" si="79"/>
        <v>-50.730669119378781</v>
      </c>
      <c r="CT61" s="204">
        <f t="shared" si="79"/>
        <v>-50.804536573661501</v>
      </c>
      <c r="CU61" s="204">
        <f t="shared" si="79"/>
        <v>-50.877992024889629</v>
      </c>
      <c r="CV61" s="204">
        <f t="shared" si="79"/>
        <v>-50.951029406048391</v>
      </c>
      <c r="CW61" s="204">
        <f t="shared" si="79"/>
        <v>-51.023642957823157</v>
      </c>
      <c r="CX61" s="204">
        <f t="shared" si="79"/>
        <v>-51.095827220131824</v>
      </c>
      <c r="CY61" s="204">
        <f t="shared" si="79"/>
        <v>-51.095827220131824</v>
      </c>
      <c r="CZ61" s="204">
        <f t="shared" si="79"/>
        <v>-51.095827220131824</v>
      </c>
      <c r="DA61" s="204">
        <f t="shared" si="79"/>
        <v>-51.095827220131824</v>
      </c>
      <c r="DB61" s="204">
        <f t="shared" si="79"/>
        <v>-51.095827220131824</v>
      </c>
      <c r="DC61" s="204">
        <f t="shared" si="79"/>
        <v>-51.095827220131824</v>
      </c>
      <c r="DD61" s="204">
        <f t="shared" si="79"/>
        <v>-51.095827220131824</v>
      </c>
      <c r="DE61" s="204">
        <f t="shared" si="79"/>
        <v>-51.095827220131824</v>
      </c>
      <c r="DF61" s="204">
        <f t="shared" si="79"/>
        <v>-51.095827220131824</v>
      </c>
      <c r="DG61" s="204">
        <f t="shared" si="79"/>
        <v>-51.095827220131824</v>
      </c>
      <c r="DH61" s="204">
        <f t="shared" si="79"/>
        <v>-51.095827220131824</v>
      </c>
      <c r="DI61" s="204">
        <f t="shared" si="79"/>
        <v>-51.095827220131824</v>
      </c>
      <c r="DJ61" s="204">
        <f t="shared" si="79"/>
        <v>-51.095827220131824</v>
      </c>
      <c r="DK61" s="204">
        <f t="shared" si="79"/>
        <v>-51.095827220131824</v>
      </c>
      <c r="DL61" s="204">
        <f t="shared" si="79"/>
        <v>-51.095827220131824</v>
      </c>
      <c r="DM61" s="204">
        <f t="shared" si="79"/>
        <v>-51.095827220131824</v>
      </c>
      <c r="DN61" s="204">
        <f t="shared" si="79"/>
        <v>-51.095827220131824</v>
      </c>
      <c r="DO61" s="204">
        <f t="shared" si="79"/>
        <v>-51.095827220131824</v>
      </c>
      <c r="DP61" s="204">
        <f t="shared" si="79"/>
        <v>-51.095827220131824</v>
      </c>
      <c r="DQ61" s="204">
        <f t="shared" si="79"/>
        <v>-51.095827220131824</v>
      </c>
      <c r="DR61" s="204">
        <f t="shared" si="79"/>
        <v>-51.095827220131824</v>
      </c>
      <c r="DS61" s="204">
        <f t="shared" si="79"/>
        <v>-51.095827220131824</v>
      </c>
      <c r="DT61" s="204">
        <f t="shared" si="79"/>
        <v>-51.095827220131824</v>
      </c>
      <c r="DU61" s="204">
        <f t="shared" si="79"/>
        <v>-51.095827220131824</v>
      </c>
      <c r="DV61" s="204">
        <f t="shared" si="79"/>
        <v>-51.095827220131824</v>
      </c>
      <c r="DW61" s="204">
        <f t="shared" si="79"/>
        <v>-51.095827220131824</v>
      </c>
      <c r="DX61" s="204">
        <f t="shared" si="79"/>
        <v>-51.095827220131824</v>
      </c>
      <c r="DY61" s="204">
        <f t="shared" si="79"/>
        <v>-51.095827220131824</v>
      </c>
      <c r="DZ61" s="204">
        <f t="shared" si="79"/>
        <v>-51.095827220131824</v>
      </c>
      <c r="EA61" s="204">
        <f t="shared" si="79"/>
        <v>-51.095827220131824</v>
      </c>
      <c r="EB61" s="204">
        <f t="shared" si="79"/>
        <v>-51.095827220131824</v>
      </c>
      <c r="EC61" s="204">
        <f t="shared" si="79"/>
        <v>-51.095827220131824</v>
      </c>
      <c r="ED61" s="204">
        <f t="shared" si="79"/>
        <v>-51.095827220131824</v>
      </c>
      <c r="EE61" s="204">
        <f t="shared" si="79"/>
        <v>-51.095827220131824</v>
      </c>
      <c r="EF61" s="204">
        <f t="shared" ref="EF61:ET61" si="80">PV($F15,EF$9,1,0)+(PV($J$6,$N$5-(EF$9),1,0)/($J$6+1)^EF$9)</f>
        <v>-51.095827220131824</v>
      </c>
      <c r="EG61" s="204">
        <f t="shared" si="80"/>
        <v>-51.095827220131824</v>
      </c>
      <c r="EH61" s="204">
        <f t="shared" si="80"/>
        <v>-51.095827220131824</v>
      </c>
      <c r="EI61" s="204">
        <f t="shared" si="80"/>
        <v>-51.095827220131824</v>
      </c>
      <c r="EJ61" s="204">
        <f t="shared" si="80"/>
        <v>-51.095827220131824</v>
      </c>
      <c r="EK61" s="204">
        <f t="shared" si="80"/>
        <v>-51.095827220131824</v>
      </c>
      <c r="EL61" s="204">
        <f t="shared" si="80"/>
        <v>-51.095827220131824</v>
      </c>
      <c r="EM61" s="204">
        <f t="shared" si="80"/>
        <v>-51.095827220131824</v>
      </c>
      <c r="EN61" s="204">
        <f t="shared" si="80"/>
        <v>-51.095827220131824</v>
      </c>
      <c r="EO61" s="204">
        <f t="shared" si="80"/>
        <v>-51.095827220131824</v>
      </c>
      <c r="EP61" s="204">
        <f t="shared" si="80"/>
        <v>-51.095827220131824</v>
      </c>
      <c r="EQ61" s="204">
        <f t="shared" si="80"/>
        <v>-51.095827220131824</v>
      </c>
      <c r="ER61" s="204">
        <f t="shared" si="80"/>
        <v>-51.095827220131824</v>
      </c>
      <c r="ES61" s="204">
        <f t="shared" si="80"/>
        <v>-51.095827220131824</v>
      </c>
      <c r="ET61" s="204">
        <f t="shared" si="80"/>
        <v>-51.095827220131824</v>
      </c>
      <c r="FF61" s="6" t="s">
        <v>2611</v>
      </c>
      <c r="FG61" s="696">
        <v>2.5000000000000001E-2</v>
      </c>
      <c r="FH61" s="696">
        <v>96</v>
      </c>
      <c r="FI61" s="696">
        <v>1.9599999999999999E-2</v>
      </c>
      <c r="FJ61" s="255">
        <v>1.3500000000000002E-2</v>
      </c>
      <c r="FK61" s="71">
        <f t="shared" si="10"/>
        <v>2.7380952380952383E-4</v>
      </c>
      <c r="FL61" t="e">
        <f>VLOOKUP(FF61,'SIMULADOR COM SALDO'!$BX$22:$CK$1000,13,FALSE)</f>
        <v>#N/A</v>
      </c>
    </row>
    <row r="62" spans="5:168" x14ac:dyDescent="0.25">
      <c r="G62" s="205">
        <f t="shared" si="68"/>
        <v>-44.755703909776258</v>
      </c>
      <c r="H62" s="204">
        <f t="shared" ref="H62:BS62" si="81">PV($F16,H$9,1,0)+(PV($J$6,$N$5-(H$9),1,0)/($J$6+1)^H$9)</f>
        <v>-44.762577730227449</v>
      </c>
      <c r="I62" s="204">
        <f t="shared" si="81"/>
        <v>-44.772719202067613</v>
      </c>
      <c r="J62" s="204">
        <f t="shared" si="81"/>
        <v>-44.786019204751568</v>
      </c>
      <c r="K62" s="204">
        <f t="shared" si="81"/>
        <v>-44.802371329863078</v>
      </c>
      <c r="L62" s="204">
        <f t="shared" si="81"/>
        <v>-44.82167182114204</v>
      </c>
      <c r="M62" s="204">
        <f t="shared" si="81"/>
        <v>-44.843819515758</v>
      </c>
      <c r="N62" s="204">
        <f t="shared" si="81"/>
        <v>-44.868715786805318</v>
      </c>
      <c r="O62" s="204">
        <f t="shared" si="81"/>
        <v>-44.896264486995221</v>
      </c>
      <c r="P62" s="204">
        <f t="shared" si="81"/>
        <v>-44.926371893521086</v>
      </c>
      <c r="Q62" s="204">
        <f t="shared" si="81"/>
        <v>-44.958946654073152</v>
      </c>
      <c r="R62" s="204">
        <f t="shared" si="81"/>
        <v>-44.993899733979802</v>
      </c>
      <c r="S62" s="204">
        <f t="shared" si="81"/>
        <v>-45.0311443644528</v>
      </c>
      <c r="T62" s="204">
        <f t="shared" si="81"/>
        <v>-45.070595991914161</v>
      </c>
      <c r="U62" s="204">
        <f t="shared" si="81"/>
        <v>-45.112172228383038</v>
      </c>
      <c r="V62" s="204">
        <f t="shared" si="81"/>
        <v>-45.15579280290153</v>
      </c>
      <c r="W62" s="204">
        <f t="shared" si="81"/>
        <v>-45.201379513977997</v>
      </c>
      <c r="X62" s="204">
        <f t="shared" si="81"/>
        <v>-45.248856183027954</v>
      </c>
      <c r="Y62" s="204">
        <f t="shared" si="81"/>
        <v>-45.298148608792218</v>
      </c>
      <c r="Z62" s="204">
        <f t="shared" si="81"/>
        <v>-45.349184522712562</v>
      </c>
      <c r="AA62" s="204">
        <f t="shared" si="81"/>
        <v>-45.40189354524577</v>
      </c>
      <c r="AB62" s="204">
        <f t="shared" si="81"/>
        <v>-45.456207143096947</v>
      </c>
      <c r="AC62" s="204">
        <f t="shared" si="81"/>
        <v>-45.512058587353863</v>
      </c>
      <c r="AD62" s="204">
        <f t="shared" si="81"/>
        <v>-45.569382912503762</v>
      </c>
      <c r="AE62" s="204">
        <f t="shared" si="81"/>
        <v>-45.628116876315083</v>
      </c>
      <c r="AF62" s="204">
        <f t="shared" si="81"/>
        <v>-45.688198920566592</v>
      </c>
      <c r="AG62" s="204">
        <f t="shared" si="81"/>
        <v>-45.74956913260656</v>
      </c>
      <c r="AH62" s="204">
        <f t="shared" si="81"/>
        <v>-45.812169207725617</v>
      </c>
      <c r="AI62" s="204">
        <f t="shared" si="81"/>
        <v>-45.87594241232631</v>
      </c>
      <c r="AJ62" s="204">
        <f t="shared" si="81"/>
        <v>-45.940833547873737</v>
      </c>
      <c r="AK62" s="204">
        <f t="shared" si="81"/>
        <v>-46.006788915610933</v>
      </c>
      <c r="AL62" s="204">
        <f t="shared" si="81"/>
        <v>-46.073756282023965</v>
      </c>
      <c r="AM62" s="204">
        <f t="shared" si="81"/>
        <v>-46.141684845041112</v>
      </c>
      <c r="AN62" s="204">
        <f t="shared" si="81"/>
        <v>-46.210525200951594</v>
      </c>
      <c r="AO62" s="204">
        <f t="shared" si="81"/>
        <v>-46.280229312028908</v>
      </c>
      <c r="AP62" s="204">
        <f t="shared" si="81"/>
        <v>-46.350750474844723</v>
      </c>
      <c r="AQ62" s="204">
        <f t="shared" si="81"/>
        <v>-46.422043289259072</v>
      </c>
      <c r="AR62" s="204">
        <f t="shared" si="81"/>
        <v>-46.494063628073228</v>
      </c>
      <c r="AS62" s="204">
        <f t="shared" si="81"/>
        <v>-46.56676860733171</v>
      </c>
      <c r="AT62" s="204">
        <f t="shared" si="81"/>
        <v>-46.640116557260171</v>
      </c>
      <c r="AU62" s="204">
        <f t="shared" si="81"/>
        <v>-46.714066993826222</v>
      </c>
      <c r="AV62" s="204">
        <f t="shared" si="81"/>
        <v>-46.788580590910584</v>
      </c>
      <c r="AW62" s="204">
        <f t="shared" si="81"/>
        <v>-46.863619153075781</v>
      </c>
      <c r="AX62" s="204">
        <f t="shared" si="81"/>
        <v>-46.939145588920709</v>
      </c>
      <c r="AY62" s="204">
        <f t="shared" si="81"/>
        <v>-47.015123885008542</v>
      </c>
      <c r="AZ62" s="204">
        <f t="shared" si="81"/>
        <v>-47.091519080356619</v>
      </c>
      <c r="BA62" s="204">
        <f t="shared" si="81"/>
        <v>-47.168297241476623</v>
      </c>
      <c r="BB62" s="204">
        <f t="shared" si="81"/>
        <v>-47.245425437953912</v>
      </c>
      <c r="BC62" s="204">
        <f t="shared" si="81"/>
        <v>-47.32287171855485</v>
      </c>
      <c r="BD62" s="204">
        <f t="shared" si="81"/>
        <v>-47.400605087851346</v>
      </c>
      <c r="BE62" s="204">
        <f t="shared" si="81"/>
        <v>-47.478595483351938</v>
      </c>
      <c r="BF62" s="204">
        <f t="shared" si="81"/>
        <v>-47.556813753129148</v>
      </c>
      <c r="BG62" s="204">
        <f t="shared" si="81"/>
        <v>-47.635231633932804</v>
      </c>
      <c r="BH62" s="204">
        <f t="shared" si="81"/>
        <v>-47.713821729779255</v>
      </c>
      <c r="BI62" s="204">
        <f t="shared" si="81"/>
        <v>-47.792557491006889</v>
      </c>
      <c r="BJ62" s="204">
        <f t="shared" si="81"/>
        <v>-47.871413193788285</v>
      </c>
      <c r="BK62" s="204">
        <f t="shared" si="81"/>
        <v>-47.950363920089337</v>
      </c>
      <c r="BL62" s="204">
        <f t="shared" si="81"/>
        <v>-48.029385538066606</v>
      </c>
      <c r="BM62" s="204">
        <f t="shared" si="81"/>
        <v>-48.108454682893367</v>
      </c>
      <c r="BN62" s="204">
        <f t="shared" si="81"/>
        <v>-48.187548738005873</v>
      </c>
      <c r="BO62" s="204">
        <f t="shared" si="81"/>
        <v>-48.266645816760878</v>
      </c>
      <c r="BP62" s="204">
        <f t="shared" si="81"/>
        <v>-48.345724744496138</v>
      </c>
      <c r="BQ62" s="204">
        <f t="shared" si="81"/>
        <v>-48.424765040985292</v>
      </c>
      <c r="BR62" s="204">
        <f t="shared" si="81"/>
        <v>-48.503746903279342</v>
      </c>
      <c r="BS62" s="204">
        <f t="shared" si="81"/>
        <v>-48.582651188926135</v>
      </c>
      <c r="BT62" s="204">
        <f t="shared" ref="BT62:EE62" si="82">PV($F16,BT$9,1,0)+(PV($J$6,$N$5-(BT$9),1,0)/($J$6+1)^BT$9)</f>
        <v>-48.661459399560634</v>
      </c>
      <c r="BU62" s="204">
        <f t="shared" si="82"/>
        <v>-48.740153664857878</v>
      </c>
      <c r="BV62" s="204">
        <f t="shared" si="82"/>
        <v>-48.818716726841132</v>
      </c>
      <c r="BW62" s="204">
        <f t="shared" si="82"/>
        <v>-48.897131924538058</v>
      </c>
      <c r="BX62" s="204">
        <f t="shared" si="82"/>
        <v>-48.975383178977367</v>
      </c>
      <c r="BY62" s="204">
        <f t="shared" si="82"/>
        <v>-49.053454978519106</v>
      </c>
      <c r="BZ62" s="204">
        <f t="shared" si="82"/>
        <v>-49.131332364511501</v>
      </c>
      <c r="CA62" s="204">
        <f t="shared" si="82"/>
        <v>-49.209000917267531</v>
      </c>
      <c r="CB62" s="204">
        <f t="shared" si="82"/>
        <v>-49.286446742354684</v>
      </c>
      <c r="CC62" s="204">
        <f t="shared" si="82"/>
        <v>-49.363656457191091</v>
      </c>
      <c r="CD62" s="204">
        <f t="shared" si="82"/>
        <v>-49.440617177942023</v>
      </c>
      <c r="CE62" s="204">
        <f t="shared" si="82"/>
        <v>-49.517316506710031</v>
      </c>
      <c r="CF62" s="204">
        <f t="shared" si="82"/>
        <v>-49.593742519012899</v>
      </c>
      <c r="CG62" s="204">
        <f t="shared" si="82"/>
        <v>-49.669883751543253</v>
      </c>
      <c r="CH62" s="204">
        <f t="shared" si="82"/>
        <v>-49.745729190203882</v>
      </c>
      <c r="CI62" s="204">
        <f t="shared" si="82"/>
        <v>-49.821268258413021</v>
      </c>
      <c r="CJ62" s="204">
        <f t="shared" si="82"/>
        <v>-49.896490805673956</v>
      </c>
      <c r="CK62" s="204">
        <f t="shared" si="82"/>
        <v>-49.971387096403312</v>
      </c>
      <c r="CL62" s="204">
        <f t="shared" si="82"/>
        <v>-50.045947799012637</v>
      </c>
      <c r="CM62" s="204">
        <f t="shared" si="82"/>
        <v>-50.120163975237894</v>
      </c>
      <c r="CN62" s="204">
        <f t="shared" si="82"/>
        <v>-50.194027069711716</v>
      </c>
      <c r="CO62" s="204">
        <f t="shared" si="82"/>
        <v>-50.26752889977314</v>
      </c>
      <c r="CP62" s="204">
        <f t="shared" si="82"/>
        <v>-50.340661645510018</v>
      </c>
      <c r="CQ62" s="204">
        <f t="shared" si="82"/>
        <v>-50.413417840028934</v>
      </c>
      <c r="CR62" s="204">
        <f t="shared" si="82"/>
        <v>-50.485790359948041</v>
      </c>
      <c r="CS62" s="204">
        <f t="shared" si="82"/>
        <v>-50.55777241610793</v>
      </c>
      <c r="CT62" s="204">
        <f t="shared" si="82"/>
        <v>-50.629357544495974</v>
      </c>
      <c r="CU62" s="204">
        <f t="shared" si="82"/>
        <v>-50.700539597379631</v>
      </c>
      <c r="CV62" s="204">
        <f t="shared" si="82"/>
        <v>-50.771312734644205</v>
      </c>
      <c r="CW62" s="204">
        <f t="shared" si="82"/>
        <v>-50.841671415330694</v>
      </c>
      <c r="CX62" s="204">
        <f t="shared" si="82"/>
        <v>-50.911610389369663</v>
      </c>
      <c r="CY62" s="204">
        <f t="shared" si="82"/>
        <v>-50.911610389369663</v>
      </c>
      <c r="CZ62" s="204">
        <f t="shared" si="82"/>
        <v>-50.911610389369663</v>
      </c>
      <c r="DA62" s="204">
        <f t="shared" si="82"/>
        <v>-50.911610389369663</v>
      </c>
      <c r="DB62" s="204">
        <f t="shared" si="82"/>
        <v>-50.911610389369663</v>
      </c>
      <c r="DC62" s="204">
        <f t="shared" si="82"/>
        <v>-50.911610389369663</v>
      </c>
      <c r="DD62" s="204">
        <f t="shared" si="82"/>
        <v>-50.911610389369663</v>
      </c>
      <c r="DE62" s="204">
        <f t="shared" si="82"/>
        <v>-50.911610389369663</v>
      </c>
      <c r="DF62" s="204">
        <f t="shared" si="82"/>
        <v>-50.911610389369663</v>
      </c>
      <c r="DG62" s="204">
        <f t="shared" si="82"/>
        <v>-50.911610389369663</v>
      </c>
      <c r="DH62" s="204">
        <f t="shared" si="82"/>
        <v>-50.911610389369663</v>
      </c>
      <c r="DI62" s="204">
        <f t="shared" si="82"/>
        <v>-50.911610389369663</v>
      </c>
      <c r="DJ62" s="204">
        <f t="shared" si="82"/>
        <v>-50.911610389369663</v>
      </c>
      <c r="DK62" s="204">
        <f t="shared" si="82"/>
        <v>-50.911610389369663</v>
      </c>
      <c r="DL62" s="204">
        <f t="shared" si="82"/>
        <v>-50.911610389369663</v>
      </c>
      <c r="DM62" s="204">
        <f t="shared" si="82"/>
        <v>-50.911610389369663</v>
      </c>
      <c r="DN62" s="204">
        <f t="shared" si="82"/>
        <v>-50.911610389369663</v>
      </c>
      <c r="DO62" s="204">
        <f t="shared" si="82"/>
        <v>-50.911610389369663</v>
      </c>
      <c r="DP62" s="204">
        <f t="shared" si="82"/>
        <v>-50.911610389369663</v>
      </c>
      <c r="DQ62" s="204">
        <f t="shared" si="82"/>
        <v>-50.911610389369663</v>
      </c>
      <c r="DR62" s="204">
        <f t="shared" si="82"/>
        <v>-50.911610389369663</v>
      </c>
      <c r="DS62" s="204">
        <f t="shared" si="82"/>
        <v>-50.911610389369663</v>
      </c>
      <c r="DT62" s="204">
        <f t="shared" si="82"/>
        <v>-50.911610389369663</v>
      </c>
      <c r="DU62" s="204">
        <f t="shared" si="82"/>
        <v>-50.911610389369663</v>
      </c>
      <c r="DV62" s="204">
        <f t="shared" si="82"/>
        <v>-50.911610389369663</v>
      </c>
      <c r="DW62" s="204">
        <f t="shared" si="82"/>
        <v>-50.911610389369663</v>
      </c>
      <c r="DX62" s="204">
        <f t="shared" si="82"/>
        <v>-50.911610389369663</v>
      </c>
      <c r="DY62" s="204">
        <f t="shared" si="82"/>
        <v>-50.911610389369663</v>
      </c>
      <c r="DZ62" s="204">
        <f t="shared" si="82"/>
        <v>-50.911610389369663</v>
      </c>
      <c r="EA62" s="204">
        <f t="shared" si="82"/>
        <v>-50.911610389369663</v>
      </c>
      <c r="EB62" s="204">
        <f t="shared" si="82"/>
        <v>-50.911610389369663</v>
      </c>
      <c r="EC62" s="204">
        <f t="shared" si="82"/>
        <v>-50.911610389369663</v>
      </c>
      <c r="ED62" s="204">
        <f t="shared" si="82"/>
        <v>-50.911610389369663</v>
      </c>
      <c r="EE62" s="204">
        <f t="shared" si="82"/>
        <v>-50.911610389369663</v>
      </c>
      <c r="EF62" s="204">
        <f t="shared" ref="EF62:ET62" si="83">PV($F16,EF$9,1,0)+(PV($J$6,$N$5-(EF$9),1,0)/($J$6+1)^EF$9)</f>
        <v>-50.911610389369663</v>
      </c>
      <c r="EG62" s="204">
        <f t="shared" si="83"/>
        <v>-50.911610389369663</v>
      </c>
      <c r="EH62" s="204">
        <f t="shared" si="83"/>
        <v>-50.911610389369663</v>
      </c>
      <c r="EI62" s="204">
        <f t="shared" si="83"/>
        <v>-50.911610389369663</v>
      </c>
      <c r="EJ62" s="204">
        <f t="shared" si="83"/>
        <v>-50.911610389369663</v>
      </c>
      <c r="EK62" s="204">
        <f t="shared" si="83"/>
        <v>-50.911610389369663</v>
      </c>
      <c r="EL62" s="204">
        <f t="shared" si="83"/>
        <v>-50.911610389369663</v>
      </c>
      <c r="EM62" s="204">
        <f t="shared" si="83"/>
        <v>-50.911610389369663</v>
      </c>
      <c r="EN62" s="204">
        <f t="shared" si="83"/>
        <v>-50.911610389369663</v>
      </c>
      <c r="EO62" s="204">
        <f t="shared" si="83"/>
        <v>-50.911610389369663</v>
      </c>
      <c r="EP62" s="204">
        <f t="shared" si="83"/>
        <v>-50.911610389369663</v>
      </c>
      <c r="EQ62" s="204">
        <f t="shared" si="83"/>
        <v>-50.911610389369663</v>
      </c>
      <c r="ER62" s="204">
        <f t="shared" si="83"/>
        <v>-50.911610389369663</v>
      </c>
      <c r="ES62" s="204">
        <f t="shared" si="83"/>
        <v>-50.911610389369663</v>
      </c>
      <c r="ET62" s="204">
        <f t="shared" si="83"/>
        <v>-50.911610389369663</v>
      </c>
      <c r="FF62" s="6" t="s">
        <v>2338</v>
      </c>
      <c r="FG62" s="696">
        <v>1.9900000000000001E-2</v>
      </c>
      <c r="FH62" s="696">
        <v>96</v>
      </c>
      <c r="FI62" s="696">
        <v>1.9900000000000001E-2</v>
      </c>
      <c r="FJ62" s="255">
        <v>1.6E-2</v>
      </c>
      <c r="FK62" s="71">
        <f t="shared" si="10"/>
        <v>9.2857142857142872E-5</v>
      </c>
      <c r="FL62" t="e">
        <f>VLOOKUP(FF62,'SIMULADOR COM SALDO'!$BX$22:$CK$1000,13,FALSE)</f>
        <v>#N/A</v>
      </c>
    </row>
    <row r="63" spans="5:168" x14ac:dyDescent="0.25">
      <c r="G63" s="205">
        <f t="shared" si="68"/>
        <v>-44.755609142919006</v>
      </c>
      <c r="H63" s="204">
        <f t="shared" ref="H63:BS63" si="84">PV($F17,H$9,1,0)+(PV($J$6,$N$5-(H$9),1,0)/($J$6+1)^H$9)</f>
        <v>-44.762296219037545</v>
      </c>
      <c r="I63" s="204">
        <f t="shared" si="84"/>
        <v>-44.772161696874036</v>
      </c>
      <c r="J63" s="204">
        <f t="shared" si="84"/>
        <v>-44.785099123318396</v>
      </c>
      <c r="K63" s="204">
        <f t="shared" si="84"/>
        <v>-44.801004698206498</v>
      </c>
      <c r="L63" s="204">
        <f t="shared" si="84"/>
        <v>-44.819777215511444</v>
      </c>
      <c r="M63" s="204">
        <f t="shared" si="84"/>
        <v>-44.841318005760002</v>
      </c>
      <c r="N63" s="204">
        <f t="shared" si="84"/>
        <v>-44.865530879649427</v>
      </c>
      <c r="O63" s="204">
        <f t="shared" si="84"/>
        <v>-44.892322072840692</v>
      </c>
      <c r="P63" s="204">
        <f t="shared" si="84"/>
        <v>-44.921600191904304</v>
      </c>
      <c r="Q63" s="204">
        <f t="shared" si="84"/>
        <v>-44.953276161395948</v>
      </c>
      <c r="R63" s="204">
        <f t="shared" si="84"/>
        <v>-44.987263172038688</v>
      </c>
      <c r="S63" s="204">
        <f t="shared" si="84"/>
        <v>-45.023476629990242</v>
      </c>
      <c r="T63" s="204">
        <f t="shared" si="84"/>
        <v>-45.061834107172643</v>
      </c>
      <c r="U63" s="204">
        <f t="shared" si="84"/>
        <v>-45.10225529264352</v>
      </c>
      <c r="V63" s="204">
        <f t="shared" si="84"/>
        <v>-45.144661944987881</v>
      </c>
      <c r="W63" s="204">
        <f t="shared" si="84"/>
        <v>-45.188977845709665</v>
      </c>
      <c r="X63" s="204">
        <f t="shared" si="84"/>
        <v>-45.235128753603107</v>
      </c>
      <c r="Y63" s="204">
        <f t="shared" si="84"/>
        <v>-45.283042360084025</v>
      </c>
      <c r="Z63" s="204">
        <f t="shared" si="84"/>
        <v>-45.332648245461669</v>
      </c>
      <c r="AA63" s="204">
        <f t="shared" si="84"/>
        <v>-45.38387783613242</v>
      </c>
      <c r="AB63" s="204">
        <f t="shared" si="84"/>
        <v>-45.436664362676055</v>
      </c>
      <c r="AC63" s="204">
        <f t="shared" si="84"/>
        <v>-45.490942818837098</v>
      </c>
      <c r="AD63" s="204">
        <f t="shared" si="84"/>
        <v>-45.546649921372882</v>
      </c>
      <c r="AE63" s="204">
        <f t="shared" si="84"/>
        <v>-45.603724070750857</v>
      </c>
      <c r="AF63" s="204">
        <f t="shared" si="84"/>
        <v>-45.662105312678072</v>
      </c>
      <c r="AG63" s="204">
        <f t="shared" si="84"/>
        <v>-45.721735300445843</v>
      </c>
      <c r="AH63" s="204">
        <f t="shared" si="84"/>
        <v>-45.782557258073147</v>
      </c>
      <c r="AI63" s="204">
        <f t="shared" si="84"/>
        <v>-45.844515944232512</v>
      </c>
      <c r="AJ63" s="204">
        <f t="shared" si="84"/>
        <v>-45.907557616942597</v>
      </c>
      <c r="AK63" s="204">
        <f t="shared" si="84"/>
        <v>-45.971629999011654</v>
      </c>
      <c r="AL63" s="204">
        <f t="shared" si="84"/>
        <v>-46.036682244216998</v>
      </c>
      <c r="AM63" s="204">
        <f t="shared" si="84"/>
        <v>-46.102664904205191</v>
      </c>
      <c r="AN63" s="204">
        <f t="shared" si="84"/>
        <v>-46.169529896098354</v>
      </c>
      <c r="AO63" s="204">
        <f t="shared" si="84"/>
        <v>-46.23723047079239</v>
      </c>
      <c r="AP63" s="204">
        <f t="shared" si="84"/>
        <v>-46.305721181932753</v>
      </c>
      <c r="AQ63" s="204">
        <f t="shared" si="84"/>
        <v>-46.374957855554307</v>
      </c>
      <c r="AR63" s="204">
        <f t="shared" si="84"/>
        <v>-46.44489756037126</v>
      </c>
      <c r="AS63" s="204">
        <f t="shared" si="84"/>
        <v>-46.51549857870441</v>
      </c>
      <c r="AT63" s="204">
        <f t="shared" si="84"/>
        <v>-46.586720378032311</v>
      </c>
      <c r="AU63" s="204">
        <f t="shared" si="84"/>
        <v>-46.658523583153837</v>
      </c>
      <c r="AV63" s="204">
        <f t="shared" si="84"/>
        <v>-46.730869948949447</v>
      </c>
      <c r="AW63" s="204">
        <f t="shared" si="84"/>
        <v>-46.803722333729084</v>
      </c>
      <c r="AX63" s="204">
        <f t="shared" si="84"/>
        <v>-46.877044673154586</v>
      </c>
      <c r="AY63" s="204">
        <f t="shared" si="84"/>
        <v>-46.950801954724938</v>
      </c>
      <c r="AZ63" s="204">
        <f t="shared" si="84"/>
        <v>-47.024960192812657</v>
      </c>
      <c r="BA63" s="204">
        <f t="shared" si="84"/>
        <v>-47.099486404240139</v>
      </c>
      <c r="BB63" s="204">
        <f t="shared" si="84"/>
        <v>-47.174348584384944</v>
      </c>
      <c r="BC63" s="204">
        <f t="shared" si="84"/>
        <v>-47.249515683802912</v>
      </c>
      <c r="BD63" s="204">
        <f t="shared" si="84"/>
        <v>-47.324957585358703</v>
      </c>
      <c r="BE63" s="204">
        <f t="shared" si="84"/>
        <v>-47.400645081853213</v>
      </c>
      <c r="BF63" s="204">
        <f t="shared" si="84"/>
        <v>-47.476549854137637</v>
      </c>
      <c r="BG63" s="204">
        <f t="shared" si="84"/>
        <v>-47.552644449704268</v>
      </c>
      <c r="BH63" s="204">
        <f t="shared" si="84"/>
        <v>-47.628902261743931</v>
      </c>
      <c r="BI63" s="204">
        <f t="shared" si="84"/>
        <v>-47.705297508660713</v>
      </c>
      <c r="BJ63" s="204">
        <f t="shared" si="84"/>
        <v>-47.78180521403452</v>
      </c>
      <c r="BK63" s="204">
        <f t="shared" si="84"/>
        <v>-47.858401187022004</v>
      </c>
      <c r="BL63" s="204">
        <f t="shared" si="84"/>
        <v>-47.935062003186879</v>
      </c>
      <c r="BM63" s="204">
        <f t="shared" si="84"/>
        <v>-48.011764985751029</v>
      </c>
      <c r="BN63" s="204">
        <f t="shared" si="84"/>
        <v>-48.088488187257155</v>
      </c>
      <c r="BO63" s="204">
        <f t="shared" si="84"/>
        <v>-48.165210371634927</v>
      </c>
      <c r="BP63" s="204">
        <f t="shared" si="84"/>
        <v>-48.241910996662057</v>
      </c>
      <c r="BQ63" s="204">
        <f t="shared" si="84"/>
        <v>-48.318570196812004</v>
      </c>
      <c r="BR63" s="204">
        <f t="shared" si="84"/>
        <v>-48.395168766480602</v>
      </c>
      <c r="BS63" s="204">
        <f t="shared" si="84"/>
        <v>-48.4716881435833</v>
      </c>
      <c r="BT63" s="204">
        <f t="shared" ref="BT63:EE63" si="85">PV($F17,BT$9,1,0)+(PV($J$6,$N$5-(BT$9),1,0)/($J$6+1)^BT$9)</f>
        <v>-48.548110393515728</v>
      </c>
      <c r="BU63" s="204">
        <f t="shared" si="85"/>
        <v>-48.624418193469744</v>
      </c>
      <c r="BV63" s="204">
        <f t="shared" si="85"/>
        <v>-48.700594817097652</v>
      </c>
      <c r="BW63" s="204">
        <f t="shared" si="85"/>
        <v>-48.776624119517379</v>
      </c>
      <c r="BX63" s="204">
        <f t="shared" si="85"/>
        <v>-48.852490522651401</v>
      </c>
      <c r="BY63" s="204">
        <f t="shared" si="85"/>
        <v>-48.928179000892513</v>
      </c>
      <c r="BZ63" s="204">
        <f t="shared" si="85"/>
        <v>-49.00367506708961</v>
      </c>
      <c r="CA63" s="204">
        <f t="shared" si="85"/>
        <v>-49.078964758846759</v>
      </c>
      <c r="CB63" s="204">
        <f t="shared" si="85"/>
        <v>-49.154034625128993</v>
      </c>
      <c r="CC63" s="204">
        <f t="shared" si="85"/>
        <v>-49.228871713168495</v>
      </c>
      <c r="CD63" s="204">
        <f t="shared" si="85"/>
        <v>-49.303463555664706</v>
      </c>
      <c r="CE63" s="204">
        <f t="shared" si="85"/>
        <v>-49.377798158272398</v>
      </c>
      <c r="CF63" s="204">
        <f t="shared" si="85"/>
        <v>-49.451863987371468</v>
      </c>
      <c r="CG63" s="204">
        <f t="shared" si="85"/>
        <v>-49.525649958112595</v>
      </c>
      <c r="CH63" s="204">
        <f t="shared" si="85"/>
        <v>-49.599145422733123</v>
      </c>
      <c r="CI63" s="204">
        <f t="shared" si="85"/>
        <v>-49.672340159137143</v>
      </c>
      <c r="CJ63" s="204">
        <f t="shared" si="85"/>
        <v>-49.745224359734564</v>
      </c>
      <c r="CK63" s="204">
        <f t="shared" si="85"/>
        <v>-49.817788620533385</v>
      </c>
      <c r="CL63" s="204">
        <f t="shared" si="85"/>
        <v>-49.890023930480083</v>
      </c>
      <c r="CM63" s="204">
        <f t="shared" si="85"/>
        <v>-49.961921661042794</v>
      </c>
      <c r="CN63" s="204">
        <f t="shared" si="85"/>
        <v>-50.033473556032007</v>
      </c>
      <c r="CO63" s="204">
        <f t="shared" si="85"/>
        <v>-50.104671721653936</v>
      </c>
      <c r="CP63" s="204">
        <f t="shared" si="85"/>
        <v>-50.175508616791582</v>
      </c>
      <c r="CQ63" s="204">
        <f t="shared" si="85"/>
        <v>-50.245977043508582</v>
      </c>
      <c r="CR63" s="204">
        <f t="shared" si="85"/>
        <v>-50.316070137771206</v>
      </c>
      <c r="CS63" s="204">
        <f t="shared" si="85"/>
        <v>-50.385781360383852</v>
      </c>
      <c r="CT63" s="204">
        <f t="shared" si="85"/>
        <v>-50.455104488133358</v>
      </c>
      <c r="CU63" s="204">
        <f t="shared" si="85"/>
        <v>-50.524033605137959</v>
      </c>
      <c r="CV63" s="204">
        <f t="shared" si="85"/>
        <v>-50.592563094396311</v>
      </c>
      <c r="CW63" s="204">
        <f t="shared" si="85"/>
        <v>-50.660687629532283</v>
      </c>
      <c r="CX63" s="204">
        <f t="shared" si="85"/>
        <v>-50.728402166731541</v>
      </c>
      <c r="CY63" s="204">
        <f t="shared" si="85"/>
        <v>-50.728402166731541</v>
      </c>
      <c r="CZ63" s="204">
        <f t="shared" si="85"/>
        <v>-50.728402166731541</v>
      </c>
      <c r="DA63" s="204">
        <f t="shared" si="85"/>
        <v>-50.728402166731541</v>
      </c>
      <c r="DB63" s="204">
        <f t="shared" si="85"/>
        <v>-50.728402166731541</v>
      </c>
      <c r="DC63" s="204">
        <f t="shared" si="85"/>
        <v>-50.728402166731541</v>
      </c>
      <c r="DD63" s="204">
        <f t="shared" si="85"/>
        <v>-50.728402166731541</v>
      </c>
      <c r="DE63" s="204">
        <f t="shared" si="85"/>
        <v>-50.728402166731541</v>
      </c>
      <c r="DF63" s="204">
        <f t="shared" si="85"/>
        <v>-50.728402166731541</v>
      </c>
      <c r="DG63" s="204">
        <f t="shared" si="85"/>
        <v>-50.728402166731541</v>
      </c>
      <c r="DH63" s="204">
        <f t="shared" si="85"/>
        <v>-50.728402166731541</v>
      </c>
      <c r="DI63" s="204">
        <f t="shared" si="85"/>
        <v>-50.728402166731541</v>
      </c>
      <c r="DJ63" s="204">
        <f t="shared" si="85"/>
        <v>-50.728402166731541</v>
      </c>
      <c r="DK63" s="204">
        <f t="shared" si="85"/>
        <v>-50.728402166731541</v>
      </c>
      <c r="DL63" s="204">
        <f t="shared" si="85"/>
        <v>-50.728402166731541</v>
      </c>
      <c r="DM63" s="204">
        <f t="shared" si="85"/>
        <v>-50.728402166731541</v>
      </c>
      <c r="DN63" s="204">
        <f t="shared" si="85"/>
        <v>-50.728402166731541</v>
      </c>
      <c r="DO63" s="204">
        <f t="shared" si="85"/>
        <v>-50.728402166731541</v>
      </c>
      <c r="DP63" s="204">
        <f t="shared" si="85"/>
        <v>-50.728402166731541</v>
      </c>
      <c r="DQ63" s="204">
        <f t="shared" si="85"/>
        <v>-50.728402166731541</v>
      </c>
      <c r="DR63" s="204">
        <f t="shared" si="85"/>
        <v>-50.728402166731541</v>
      </c>
      <c r="DS63" s="204">
        <f t="shared" si="85"/>
        <v>-50.728402166731541</v>
      </c>
      <c r="DT63" s="204">
        <f t="shared" si="85"/>
        <v>-50.728402166731541</v>
      </c>
      <c r="DU63" s="204">
        <f t="shared" si="85"/>
        <v>-50.728402166731541</v>
      </c>
      <c r="DV63" s="204">
        <f t="shared" si="85"/>
        <v>-50.728402166731541</v>
      </c>
      <c r="DW63" s="204">
        <f t="shared" si="85"/>
        <v>-50.728402166731541</v>
      </c>
      <c r="DX63" s="204">
        <f t="shared" si="85"/>
        <v>-50.728402166731541</v>
      </c>
      <c r="DY63" s="204">
        <f t="shared" si="85"/>
        <v>-50.728402166731541</v>
      </c>
      <c r="DZ63" s="204">
        <f t="shared" si="85"/>
        <v>-50.728402166731541</v>
      </c>
      <c r="EA63" s="204">
        <f t="shared" si="85"/>
        <v>-50.728402166731541</v>
      </c>
      <c r="EB63" s="204">
        <f t="shared" si="85"/>
        <v>-50.728402166731541</v>
      </c>
      <c r="EC63" s="204">
        <f t="shared" si="85"/>
        <v>-50.728402166731541</v>
      </c>
      <c r="ED63" s="204">
        <f t="shared" si="85"/>
        <v>-50.728402166731541</v>
      </c>
      <c r="EE63" s="204">
        <f t="shared" si="85"/>
        <v>-50.728402166731541</v>
      </c>
      <c r="EF63" s="204">
        <f t="shared" ref="EF63:ET63" si="86">PV($F17,EF$9,1,0)+(PV($J$6,$N$5-(EF$9),1,0)/($J$6+1)^EF$9)</f>
        <v>-50.728402166731541</v>
      </c>
      <c r="EG63" s="204">
        <f t="shared" si="86"/>
        <v>-50.728402166731541</v>
      </c>
      <c r="EH63" s="204">
        <f t="shared" si="86"/>
        <v>-50.728402166731541</v>
      </c>
      <c r="EI63" s="204">
        <f t="shared" si="86"/>
        <v>-50.728402166731541</v>
      </c>
      <c r="EJ63" s="204">
        <f t="shared" si="86"/>
        <v>-50.728402166731541</v>
      </c>
      <c r="EK63" s="204">
        <f t="shared" si="86"/>
        <v>-50.728402166731541</v>
      </c>
      <c r="EL63" s="204">
        <f t="shared" si="86"/>
        <v>-50.728402166731541</v>
      </c>
      <c r="EM63" s="204">
        <f t="shared" si="86"/>
        <v>-50.728402166731541</v>
      </c>
      <c r="EN63" s="204">
        <f t="shared" si="86"/>
        <v>-50.728402166731541</v>
      </c>
      <c r="EO63" s="204">
        <f t="shared" si="86"/>
        <v>-50.728402166731541</v>
      </c>
      <c r="EP63" s="204">
        <f t="shared" si="86"/>
        <v>-50.728402166731541</v>
      </c>
      <c r="EQ63" s="204">
        <f t="shared" si="86"/>
        <v>-50.728402166731541</v>
      </c>
      <c r="ER63" s="204">
        <f t="shared" si="86"/>
        <v>-50.728402166731541</v>
      </c>
      <c r="ES63" s="204">
        <f t="shared" si="86"/>
        <v>-50.728402166731541</v>
      </c>
      <c r="ET63" s="204">
        <f t="shared" si="86"/>
        <v>-50.728402166731541</v>
      </c>
      <c r="FF63" s="6" t="s">
        <v>536</v>
      </c>
      <c r="FG63" s="696">
        <v>2.5000000000000001E-2</v>
      </c>
      <c r="FH63" s="696">
        <v>120</v>
      </c>
      <c r="FI63" s="696">
        <v>1.7000000000000001E-2</v>
      </c>
      <c r="FJ63" s="255">
        <v>1.3999999999999999E-2</v>
      </c>
      <c r="FK63" s="71">
        <f t="shared" si="10"/>
        <v>2.6190476190476197E-4</v>
      </c>
      <c r="FL63" t="e">
        <f>VLOOKUP(FF63,'SIMULADOR COM SALDO'!$BX$22:$CK$1000,13,FALSE)</f>
        <v>#N/A</v>
      </c>
    </row>
    <row r="64" spans="5:168" x14ac:dyDescent="0.25">
      <c r="G64" s="205">
        <f t="shared" si="68"/>
        <v>-44.755514394288916</v>
      </c>
      <c r="H64" s="204">
        <f t="shared" ref="H64:BS64" si="87">PV($F18,H$9,1,0)+(PV($J$6,$N$5-(H$9),1,0)/($J$6+1)^H$9)</f>
        <v>-44.762014779948977</v>
      </c>
      <c r="I64" s="204">
        <f t="shared" si="87"/>
        <v>-44.771604369939283</v>
      </c>
      <c r="J64" s="204">
        <f t="shared" si="87"/>
        <v>-44.784179394460999</v>
      </c>
      <c r="K64" s="204">
        <f t="shared" si="87"/>
        <v>-44.799638676740528</v>
      </c>
      <c r="L64" s="204">
        <f t="shared" si="87"/>
        <v>-44.817883575407286</v>
      </c>
      <c r="M64" s="204">
        <f t="shared" si="87"/>
        <v>-44.838817928074413</v>
      </c>
      <c r="N64" s="204">
        <f t="shared" si="87"/>
        <v>-44.862347996098464</v>
      </c>
      <c r="O64" s="204">
        <f t="shared" si="87"/>
        <v>-44.888382410494046</v>
      </c>
      <c r="P64" s="204">
        <f t="shared" si="87"/>
        <v>-44.916832118980558</v>
      </c>
      <c r="Q64" s="204">
        <f t="shared" si="87"/>
        <v>-44.947610334137877</v>
      </c>
      <c r="R64" s="204">
        <f t="shared" si="87"/>
        <v>-44.980632482648787</v>
      </c>
      <c r="S64" s="204">
        <f t="shared" si="87"/>
        <v>-45.015816155606586</v>
      </c>
      <c r="T64" s="204">
        <f t="shared" si="87"/>
        <v>-45.053081059865733</v>
      </c>
      <c r="U64" s="204">
        <f t="shared" si="87"/>
        <v>-45.092348970415102</v>
      </c>
      <c r="V64" s="204">
        <f t="shared" si="87"/>
        <v>-45.133543683752926</v>
      </c>
      <c r="W64" s="204">
        <f t="shared" si="87"/>
        <v>-45.176590972243204</v>
      </c>
      <c r="X64" s="204">
        <f t="shared" si="87"/>
        <v>-45.221418539433849</v>
      </c>
      <c r="Y64" s="204">
        <f t="shared" si="87"/>
        <v>-45.267955976317069</v>
      </c>
      <c r="Z64" s="204">
        <f t="shared" si="87"/>
        <v>-45.316134718512942</v>
      </c>
      <c r="AA64" s="204">
        <f t="shared" si="87"/>
        <v>-45.36588800435743</v>
      </c>
      <c r="AB64" s="204">
        <f t="shared" si="87"/>
        <v>-45.417150833876775</v>
      </c>
      <c r="AC64" s="204">
        <f t="shared" si="87"/>
        <v>-45.469859928629866</v>
      </c>
      <c r="AD64" s="204">
        <f t="shared" si="87"/>
        <v>-45.523953692401506</v>
      </c>
      <c r="AE64" s="204">
        <f t="shared" si="87"/>
        <v>-45.57937217272891</v>
      </c>
      <c r="AF64" s="204">
        <f t="shared" si="87"/>
        <v>-45.636057023244774</v>
      </c>
      <c r="AG64" s="204">
        <f t="shared" si="87"/>
        <v>-45.693951466820138</v>
      </c>
      <c r="AH64" s="204">
        <f t="shared" si="87"/>
        <v>-45.753000259491031</v>
      </c>
      <c r="AI64" s="204">
        <f t="shared" si="87"/>
        <v>-45.813149655152714</v>
      </c>
      <c r="AJ64" s="204">
        <f t="shared" si="87"/>
        <v>-45.874347371006138</v>
      </c>
      <c r="AK64" s="204">
        <f t="shared" si="87"/>
        <v>-45.936542553741077</v>
      </c>
      <c r="AL64" s="204">
        <f t="shared" si="87"/>
        <v>-45.999685746441145</v>
      </c>
      <c r="AM64" s="204">
        <f t="shared" si="87"/>
        <v>-46.06372885619583</v>
      </c>
      <c r="AN64" s="204">
        <f t="shared" si="87"/>
        <v>-46.128625122405239</v>
      </c>
      <c r="AO64" s="204">
        <f t="shared" si="87"/>
        <v>-46.194329085763371</v>
      </c>
      <c r="AP64" s="204">
        <f t="shared" si="87"/>
        <v>-46.260796557905998</v>
      </c>
      <c r="AQ64" s="204">
        <f t="shared" si="87"/>
        <v>-46.327984591709736</v>
      </c>
      <c r="AR64" s="204">
        <f t="shared" si="87"/>
        <v>-46.395851452228854</v>
      </c>
      <c r="AS64" s="204">
        <f t="shared" si="87"/>
        <v>-46.464356588256848</v>
      </c>
      <c r="AT64" s="204">
        <f t="shared" si="87"/>
        <v>-46.533460604499965</v>
      </c>
      <c r="AU64" s="204">
        <f t="shared" si="87"/>
        <v>-46.603125234350131</v>
      </c>
      <c r="AV64" s="204">
        <f t="shared" si="87"/>
        <v>-46.673313313245103</v>
      </c>
      <c r="AW64" s="204">
        <f t="shared" si="87"/>
        <v>-46.74398875260357</v>
      </c>
      <c r="AX64" s="204">
        <f t="shared" si="87"/>
        <v>-46.815116514323712</v>
      </c>
      <c r="AY64" s="204">
        <f t="shared" si="87"/>
        <v>-46.886662585833399</v>
      </c>
      <c r="AZ64" s="204">
        <f t="shared" si="87"/>
        <v>-46.958593955680783</v>
      </c>
      <c r="BA64" s="204">
        <f t="shared" si="87"/>
        <v>-47.03087858965425</v>
      </c>
      <c r="BB64" s="204">
        <f t="shared" si="87"/>
        <v>-47.103485407420621</v>
      </c>
      <c r="BC64" s="204">
        <f t="shared" si="87"/>
        <v>-47.176384259671252</v>
      </c>
      <c r="BD64" s="204">
        <f t="shared" si="87"/>
        <v>-47.249545905765231</v>
      </c>
      <c r="BE64" s="204">
        <f t="shared" si="87"/>
        <v>-47.322941991859693</v>
      </c>
      <c r="BF64" s="204">
        <f t="shared" si="87"/>
        <v>-47.396545029517014</v>
      </c>
      <c r="BG64" s="204">
        <f t="shared" si="87"/>
        <v>-47.470328374779164</v>
      </c>
      <c r="BH64" s="204">
        <f t="shared" si="87"/>
        <v>-47.544266207699508</v>
      </c>
      <c r="BI64" s="204">
        <f t="shared" si="87"/>
        <v>-47.618333512322543</v>
      </c>
      <c r="BJ64" s="204">
        <f t="shared" si="87"/>
        <v>-47.692506057102506</v>
      </c>
      <c r="BK64" s="204">
        <f t="shared" si="87"/>
        <v>-47.76676037575146</v>
      </c>
      <c r="BL64" s="204">
        <f t="shared" si="87"/>
        <v>-47.841073748508215</v>
      </c>
      <c r="BM64" s="204">
        <f t="shared" si="87"/>
        <v>-47.915424183819283</v>
      </c>
      <c r="BN64" s="204">
        <f t="shared" si="87"/>
        <v>-47.98979040042321</v>
      </c>
      <c r="BO64" s="204">
        <f t="shared" si="87"/>
        <v>-48.064151809830086</v>
      </c>
      <c r="BP64" s="204">
        <f t="shared" si="87"/>
        <v>-48.138488499187872</v>
      </c>
      <c r="BQ64" s="204">
        <f t="shared" si="87"/>
        <v>-48.212781214527546</v>
      </c>
      <c r="BR64" s="204">
        <f t="shared" si="87"/>
        <v>-48.287011344379295</v>
      </c>
      <c r="BS64" s="204">
        <f t="shared" si="87"/>
        <v>-48.361160903751724</v>
      </c>
      <c r="BT64" s="204">
        <f t="shared" ref="BT64:EE64" si="88">PV($F18,BT$9,1,0)+(PV($J$6,$N$5-(BT$9),1,0)/($J$6+1)^BT$9)</f>
        <v>-48.435212518466919</v>
      </c>
      <c r="BU64" s="204">
        <f t="shared" si="88"/>
        <v>-48.509149409843609</v>
      </c>
      <c r="BV64" s="204">
        <f t="shared" si="88"/>
        <v>-48.582955379721291</v>
      </c>
      <c r="BW64" s="204">
        <f t="shared" si="88"/>
        <v>-48.656614795818207</v>
      </c>
      <c r="BX64" s="204">
        <f t="shared" si="88"/>
        <v>-48.730112577416122</v>
      </c>
      <c r="BY64" s="204">
        <f t="shared" si="88"/>
        <v>-48.803434181365191</v>
      </c>
      <c r="BZ64" s="204">
        <f t="shared" si="88"/>
        <v>-48.876565588402002</v>
      </c>
      <c r="CA64" s="204">
        <f t="shared" si="88"/>
        <v>-48.949493289774452</v>
      </c>
      <c r="CB64" s="204">
        <f t="shared" si="88"/>
        <v>-49.022204274166853</v>
      </c>
      <c r="CC64" s="204">
        <f t="shared" si="88"/>
        <v>-49.094686014919056</v>
      </c>
      <c r="CD64" s="204">
        <f t="shared" si="88"/>
        <v>-49.166926457533322</v>
      </c>
      <c r="CE64" s="204">
        <f t="shared" si="88"/>
        <v>-49.23891400746308</v>
      </c>
      <c r="CF64" s="204">
        <f t="shared" si="88"/>
        <v>-49.310637518177352</v>
      </c>
      <c r="CG64" s="204">
        <f t="shared" si="88"/>
        <v>-49.382086279495255</v>
      </c>
      <c r="CH64" s="204">
        <f t="shared" si="88"/>
        <v>-49.453250006184824</v>
      </c>
      <c r="CI64" s="204">
        <f t="shared" si="88"/>
        <v>-49.524118826820526</v>
      </c>
      <c r="CJ64" s="204">
        <f t="shared" si="88"/>
        <v>-49.59468327289413</v>
      </c>
      <c r="CK64" s="204">
        <f t="shared" si="88"/>
        <v>-49.664934268173319</v>
      </c>
      <c r="CL64" s="204">
        <f t="shared" si="88"/>
        <v>-49.734863118303139</v>
      </c>
      <c r="CM64" s="204">
        <f t="shared" si="88"/>
        <v>-49.804461500644877</v>
      </c>
      <c r="CN64" s="204">
        <f t="shared" si="88"/>
        <v>-49.873721454347404</v>
      </c>
      <c r="CO64" s="204">
        <f t="shared" si="88"/>
        <v>-49.942635370646151</v>
      </c>
      <c r="CP64" s="204">
        <f t="shared" si="88"/>
        <v>-50.011195983384688</v>
      </c>
      <c r="CQ64" s="204">
        <f t="shared" si="88"/>
        <v>-50.079396359754391</v>
      </c>
      <c r="CR64" s="204">
        <f t="shared" si="88"/>
        <v>-50.147229891247349</v>
      </c>
      <c r="CS64" s="204">
        <f t="shared" si="88"/>
        <v>-50.214690284818133</v>
      </c>
      <c r="CT64" s="204">
        <f t="shared" si="88"/>
        <v>-50.281771554249843</v>
      </c>
      <c r="CU64" s="204">
        <f t="shared" si="88"/>
        <v>-50.3484680117202</v>
      </c>
      <c r="CV64" s="204">
        <f t="shared" si="88"/>
        <v>-50.414774259563281</v>
      </c>
      <c r="CW64" s="204">
        <f t="shared" si="88"/>
        <v>-50.480685182222786</v>
      </c>
      <c r="CX64" s="204">
        <f t="shared" si="88"/>
        <v>-50.546195938392742</v>
      </c>
      <c r="CY64" s="204">
        <f t="shared" si="88"/>
        <v>-50.546195938392742</v>
      </c>
      <c r="CZ64" s="204">
        <f t="shared" si="88"/>
        <v>-50.546195938392742</v>
      </c>
      <c r="DA64" s="204">
        <f t="shared" si="88"/>
        <v>-50.546195938392742</v>
      </c>
      <c r="DB64" s="204">
        <f t="shared" si="88"/>
        <v>-50.546195938392742</v>
      </c>
      <c r="DC64" s="204">
        <f t="shared" si="88"/>
        <v>-50.546195938392742</v>
      </c>
      <c r="DD64" s="204">
        <f t="shared" si="88"/>
        <v>-50.546195938392742</v>
      </c>
      <c r="DE64" s="204">
        <f t="shared" si="88"/>
        <v>-50.546195938392742</v>
      </c>
      <c r="DF64" s="204">
        <f t="shared" si="88"/>
        <v>-50.546195938392742</v>
      </c>
      <c r="DG64" s="204">
        <f t="shared" si="88"/>
        <v>-50.546195938392742</v>
      </c>
      <c r="DH64" s="204">
        <f t="shared" si="88"/>
        <v>-50.546195938392742</v>
      </c>
      <c r="DI64" s="204">
        <f t="shared" si="88"/>
        <v>-50.546195938392742</v>
      </c>
      <c r="DJ64" s="204">
        <f t="shared" si="88"/>
        <v>-50.546195938392742</v>
      </c>
      <c r="DK64" s="204">
        <f t="shared" si="88"/>
        <v>-50.546195938392742</v>
      </c>
      <c r="DL64" s="204">
        <f t="shared" si="88"/>
        <v>-50.546195938392742</v>
      </c>
      <c r="DM64" s="204">
        <f t="shared" si="88"/>
        <v>-50.546195938392742</v>
      </c>
      <c r="DN64" s="204">
        <f t="shared" si="88"/>
        <v>-50.546195938392742</v>
      </c>
      <c r="DO64" s="204">
        <f t="shared" si="88"/>
        <v>-50.546195938392742</v>
      </c>
      <c r="DP64" s="204">
        <f t="shared" si="88"/>
        <v>-50.546195938392742</v>
      </c>
      <c r="DQ64" s="204">
        <f t="shared" si="88"/>
        <v>-50.546195938392742</v>
      </c>
      <c r="DR64" s="204">
        <f t="shared" si="88"/>
        <v>-50.546195938392742</v>
      </c>
      <c r="DS64" s="204">
        <f t="shared" si="88"/>
        <v>-50.546195938392742</v>
      </c>
      <c r="DT64" s="204">
        <f t="shared" si="88"/>
        <v>-50.546195938392742</v>
      </c>
      <c r="DU64" s="204">
        <f t="shared" si="88"/>
        <v>-50.546195938392742</v>
      </c>
      <c r="DV64" s="204">
        <f t="shared" si="88"/>
        <v>-50.546195938392742</v>
      </c>
      <c r="DW64" s="204">
        <f t="shared" si="88"/>
        <v>-50.546195938392742</v>
      </c>
      <c r="DX64" s="204">
        <f t="shared" si="88"/>
        <v>-50.546195938392742</v>
      </c>
      <c r="DY64" s="204">
        <f t="shared" si="88"/>
        <v>-50.546195938392742</v>
      </c>
      <c r="DZ64" s="204">
        <f t="shared" si="88"/>
        <v>-50.546195938392742</v>
      </c>
      <c r="EA64" s="204">
        <f t="shared" si="88"/>
        <v>-50.546195938392742</v>
      </c>
      <c r="EB64" s="204">
        <f t="shared" si="88"/>
        <v>-50.546195938392742</v>
      </c>
      <c r="EC64" s="204">
        <f t="shared" si="88"/>
        <v>-50.546195938392742</v>
      </c>
      <c r="ED64" s="204">
        <f t="shared" si="88"/>
        <v>-50.546195938392742</v>
      </c>
      <c r="EE64" s="204">
        <f t="shared" si="88"/>
        <v>-50.546195938392742</v>
      </c>
      <c r="EF64" s="204">
        <f t="shared" ref="EF64:ET64" si="89">PV($F18,EF$9,1,0)+(PV($J$6,$N$5-(EF$9),1,0)/($J$6+1)^EF$9)</f>
        <v>-50.546195938392742</v>
      </c>
      <c r="EG64" s="204">
        <f t="shared" si="89"/>
        <v>-50.546195938392742</v>
      </c>
      <c r="EH64" s="204">
        <f t="shared" si="89"/>
        <v>-50.546195938392742</v>
      </c>
      <c r="EI64" s="204">
        <f t="shared" si="89"/>
        <v>-50.546195938392742</v>
      </c>
      <c r="EJ64" s="204">
        <f t="shared" si="89"/>
        <v>-50.546195938392742</v>
      </c>
      <c r="EK64" s="204">
        <f t="shared" si="89"/>
        <v>-50.546195938392742</v>
      </c>
      <c r="EL64" s="204">
        <f t="shared" si="89"/>
        <v>-50.546195938392742</v>
      </c>
      <c r="EM64" s="204">
        <f t="shared" si="89"/>
        <v>-50.546195938392742</v>
      </c>
      <c r="EN64" s="204">
        <f t="shared" si="89"/>
        <v>-50.546195938392742</v>
      </c>
      <c r="EO64" s="204">
        <f t="shared" si="89"/>
        <v>-50.546195938392742</v>
      </c>
      <c r="EP64" s="204">
        <f t="shared" si="89"/>
        <v>-50.546195938392742</v>
      </c>
      <c r="EQ64" s="204">
        <f t="shared" si="89"/>
        <v>-50.546195938392742</v>
      </c>
      <c r="ER64" s="204">
        <f t="shared" si="89"/>
        <v>-50.546195938392742</v>
      </c>
      <c r="ES64" s="204">
        <f t="shared" si="89"/>
        <v>-50.546195938392742</v>
      </c>
      <c r="ET64" s="204">
        <f t="shared" si="89"/>
        <v>-50.546195938392742</v>
      </c>
      <c r="FF64" s="6" t="s">
        <v>209</v>
      </c>
      <c r="FG64" s="696">
        <v>2.5000000000000001E-2</v>
      </c>
      <c r="FH64" s="696">
        <v>120</v>
      </c>
      <c r="FI64" s="696">
        <v>1.89E-2</v>
      </c>
      <c r="FJ64" s="255">
        <v>1.4199999999999999E-2</v>
      </c>
      <c r="FK64" s="71">
        <f t="shared" si="10"/>
        <v>2.5714285714285721E-4</v>
      </c>
      <c r="FL64" t="e">
        <f>VLOOKUP(FF64,'SIMULADOR COM SALDO'!$BX$22:$CK$1000,13,FALSE)</f>
        <v>#N/A</v>
      </c>
    </row>
    <row r="65" spans="7:168" x14ac:dyDescent="0.25">
      <c r="G65" s="205">
        <f t="shared" si="68"/>
        <v>-44.755419663880737</v>
      </c>
      <c r="H65" s="204">
        <f t="shared" ref="H65:BS65" si="90">PV($F19,H$9,1,0)+(PV($J$6,$N$5-(H$9),1,0)/($J$6+1)^H$9)</f>
        <v>-44.761733412935783</v>
      </c>
      <c r="I65" s="204">
        <f t="shared" si="90"/>
        <v>-44.771047221186379</v>
      </c>
      <c r="J65" s="204">
        <f t="shared" si="90"/>
        <v>-44.783260018001805</v>
      </c>
      <c r="K65" s="204">
        <f t="shared" si="90"/>
        <v>-44.798273265114254</v>
      </c>
      <c r="L65" s="204">
        <f t="shared" si="90"/>
        <v>-44.815990900205364</v>
      </c>
      <c r="M65" s="204">
        <f t="shared" si="90"/>
        <v>-44.836319281673219</v>
      </c>
      <c r="N65" s="204">
        <f t="shared" si="90"/>
        <v>-44.859167134555967</v>
      </c>
      <c r="O65" s="204">
        <f t="shared" si="90"/>
        <v>-44.884445497588921</v>
      </c>
      <c r="P65" s="204">
        <f t="shared" si="90"/>
        <v>-44.912067671372064</v>
      </c>
      <c r="Q65" s="204">
        <f t="shared" si="90"/>
        <v>-44.9419491676258</v>
      </c>
      <c r="R65" s="204">
        <f t="shared" si="90"/>
        <v>-44.974007659512722</v>
      </c>
      <c r="S65" s="204">
        <f t="shared" si="90"/>
        <v>-45.008162933004236</v>
      </c>
      <c r="T65" s="204">
        <f t="shared" si="90"/>
        <v>-45.044336839270521</v>
      </c>
      <c r="U65" s="204">
        <f t="shared" si="90"/>
        <v>-45.082453248073506</v>
      </c>
      <c r="V65" s="204">
        <f t="shared" si="90"/>
        <v>-45.122438002142246</v>
      </c>
      <c r="W65" s="204">
        <f t="shared" si="90"/>
        <v>-45.164218872511228</v>
      </c>
      <c r="X65" s="204">
        <f t="shared" si="90"/>
        <v>-45.207725514801631</v>
      </c>
      <c r="Y65" s="204">
        <f t="shared" si="90"/>
        <v>-45.252889426426876</v>
      </c>
      <c r="Z65" s="204">
        <f t="shared" si="90"/>
        <v>-45.299643904703387</v>
      </c>
      <c r="AA65" s="204">
        <f t="shared" si="90"/>
        <v>-45.347924005848554</v>
      </c>
      <c r="AB65" s="204">
        <f t="shared" si="90"/>
        <v>-45.397666504847464</v>
      </c>
      <c r="AC65" s="204">
        <f t="shared" si="90"/>
        <v>-45.448809856171252</v>
      </c>
      <c r="AD65" s="204">
        <f t="shared" si="90"/>
        <v>-45.50129415532929</v>
      </c>
      <c r="AE65" s="204">
        <f t="shared" si="90"/>
        <v>-45.555061101238678</v>
      </c>
      <c r="AF65" s="204">
        <f t="shared" si="90"/>
        <v>-45.610053959394172</v>
      </c>
      <c r="AG65" s="204">
        <f t="shared" si="90"/>
        <v>-45.666217525822276</v>
      </c>
      <c r="AH65" s="204">
        <f t="shared" si="90"/>
        <v>-45.723498091803648</v>
      </c>
      <c r="AI65" s="204">
        <f t="shared" si="90"/>
        <v>-45.781843409348078</v>
      </c>
      <c r="AJ65" s="204">
        <f t="shared" si="90"/>
        <v>-45.841202657406711</v>
      </c>
      <c r="AK65" s="204">
        <f t="shared" si="90"/>
        <v>-45.901526408806518</v>
      </c>
      <c r="AL65" s="204">
        <f t="shared" si="90"/>
        <v>-45.962766597892113</v>
      </c>
      <c r="AM65" s="204">
        <f t="shared" si="90"/>
        <v>-46.024876488860805</v>
      </c>
      <c r="AN65" s="204">
        <f t="shared" si="90"/>
        <v>-46.087810644776319</v>
      </c>
      <c r="AO65" s="204">
        <f t="shared" si="90"/>
        <v>-46.151524897247612</v>
      </c>
      <c r="AP65" s="204">
        <f t="shared" si="90"/>
        <v>-46.215976316758983</v>
      </c>
      <c r="AQ65" s="204">
        <f t="shared" si="90"/>
        <v>-46.2811231836383</v>
      </c>
      <c r="AR65" s="204">
        <f t="shared" si="90"/>
        <v>-46.346924959650138</v>
      </c>
      <c r="AS65" s="204">
        <f t="shared" si="90"/>
        <v>-46.413342260201091</v>
      </c>
      <c r="AT65" s="204">
        <f t="shared" si="90"/>
        <v>-46.480336827144654</v>
      </c>
      <c r="AU65" s="204">
        <f t="shared" si="90"/>
        <v>-46.547871502173436</v>
      </c>
      <c r="AV65" s="204">
        <f t="shared" si="90"/>
        <v>-46.615910200786601</v>
      </c>
      <c r="AW65" s="204">
        <f t="shared" si="90"/>
        <v>-46.68441788682064</v>
      </c>
      <c r="AX65" s="204">
        <f t="shared" si="90"/>
        <v>-46.75336054753204</v>
      </c>
      <c r="AY65" s="204">
        <f t="shared" si="90"/>
        <v>-46.822705169220391</v>
      </c>
      <c r="AZ65" s="204">
        <f t="shared" si="90"/>
        <v>-46.892419713380789</v>
      </c>
      <c r="BA65" s="204">
        <f t="shared" si="90"/>
        <v>-46.962473093374683</v>
      </c>
      <c r="BB65" s="204">
        <f t="shared" si="90"/>
        <v>-47.032835151608438</v>
      </c>
      <c r="BC65" s="204">
        <f t="shared" si="90"/>
        <v>-47.103476637209184</v>
      </c>
      <c r="BD65" s="204">
        <f t="shared" si="90"/>
        <v>-47.174369184187583</v>
      </c>
      <c r="BE65" s="204">
        <f t="shared" si="90"/>
        <v>-47.245485290077582</v>
      </c>
      <c r="BF65" s="204">
        <f t="shared" si="90"/>
        <v>-47.316798295043121</v>
      </c>
      <c r="BG65" s="204">
        <f t="shared" si="90"/>
        <v>-47.388282361442357</v>
      </c>
      <c r="BH65" s="204">
        <f t="shared" si="90"/>
        <v>-47.459912453839706</v>
      </c>
      <c r="BI65" s="204">
        <f t="shared" si="90"/>
        <v>-47.531664319456532</v>
      </c>
      <c r="BJ65" s="204">
        <f t="shared" si="90"/>
        <v>-47.603514469051419</v>
      </c>
      <c r="BK65" s="204">
        <f t="shared" si="90"/>
        <v>-47.675440158220972</v>
      </c>
      <c r="BL65" s="204">
        <f t="shared" si="90"/>
        <v>-47.747419369112635</v>
      </c>
      <c r="BM65" s="204">
        <f t="shared" si="90"/>
        <v>-47.819430792540707</v>
      </c>
      <c r="BN65" s="204">
        <f t="shared" si="90"/>
        <v>-47.891453810497289</v>
      </c>
      <c r="BO65" s="204">
        <f t="shared" si="90"/>
        <v>-47.963468479050057</v>
      </c>
      <c r="BP65" s="204">
        <f t="shared" si="90"/>
        <v>-48.035455511618586</v>
      </c>
      <c r="BQ65" s="204">
        <f t="shared" si="90"/>
        <v>-48.107396262621464</v>
      </c>
      <c r="BR65" s="204">
        <f t="shared" si="90"/>
        <v>-48.179272711486391</v>
      </c>
      <c r="BS65" s="204">
        <f t="shared" si="90"/>
        <v>-48.251067447015807</v>
      </c>
      <c r="BT65" s="204">
        <f t="shared" ref="BT65:EE65" si="91">PV($F19,BT$9,1,0)+(PV($J$6,$N$5-(BT$9),1,0)/($J$6+1)^BT$9)</f>
        <v>-48.322763652100427</v>
      </c>
      <c r="BU65" s="204">
        <f t="shared" si="91"/>
        <v>-48.394345088773605</v>
      </c>
      <c r="BV65" s="204">
        <f t="shared" si="91"/>
        <v>-48.465796083599223</v>
      </c>
      <c r="BW65" s="204">
        <f t="shared" si="91"/>
        <v>-48.537101513386219</v>
      </c>
      <c r="BX65" s="204">
        <f t="shared" si="91"/>
        <v>-48.608246791222932</v>
      </c>
      <c r="BY65" s="204">
        <f t="shared" si="91"/>
        <v>-48.679217852824408</v>
      </c>
      <c r="BZ65" s="204">
        <f t="shared" si="91"/>
        <v>-48.75000114318626</v>
      </c>
      <c r="CA65" s="204">
        <f t="shared" si="91"/>
        <v>-48.820583603538545</v>
      </c>
      <c r="CB65" s="204">
        <f t="shared" si="91"/>
        <v>-48.890952658593349</v>
      </c>
      <c r="CC65" s="204">
        <f t="shared" si="91"/>
        <v>-48.961096204079965</v>
      </c>
      <c r="CD65" s="204">
        <f t="shared" si="91"/>
        <v>-49.031002594561507</v>
      </c>
      <c r="CE65" s="204">
        <f t="shared" si="91"/>
        <v>-49.100660631527084</v>
      </c>
      <c r="CF65" s="204">
        <f t="shared" si="91"/>
        <v>-49.170059551753731</v>
      </c>
      <c r="CG65" s="204">
        <f t="shared" si="91"/>
        <v>-49.239189015932347</v>
      </c>
      <c r="CH65" s="204">
        <f t="shared" si="91"/>
        <v>-49.308039097552111</v>
      </c>
      <c r="CI65" s="204">
        <f t="shared" si="91"/>
        <v>-49.37660027203782</v>
      </c>
      <c r="CJ65" s="204">
        <f t="shared" si="91"/>
        <v>-49.444863406134935</v>
      </c>
      <c r="CK65" s="204">
        <f t="shared" si="91"/>
        <v>-49.512819747536945</v>
      </c>
      <c r="CL65" s="204">
        <f t="shared" si="91"/>
        <v>-49.580460914749906</v>
      </c>
      <c r="CM65" s="204">
        <f t="shared" si="91"/>
        <v>-49.647778887189347</v>
      </c>
      <c r="CN65" s="204">
        <f t="shared" si="91"/>
        <v>-49.714765995504202</v>
      </c>
      <c r="CO65" s="204">
        <f t="shared" si="91"/>
        <v>-49.781414912123331</v>
      </c>
      <c r="CP65" s="204">
        <f t="shared" si="91"/>
        <v>-49.847718642019629</v>
      </c>
      <c r="CQ65" s="204">
        <f t="shared" si="91"/>
        <v>-49.913670513687201</v>
      </c>
      <c r="CR65" s="204">
        <f t="shared" si="91"/>
        <v>-49.97926417032707</v>
      </c>
      <c r="CS65" s="204">
        <f t="shared" si="91"/>
        <v>-50.04449356123682</v>
      </c>
      <c r="CT65" s="204">
        <f t="shared" si="91"/>
        <v>-50.109352933399968</v>
      </c>
      <c r="CU65" s="204">
        <f t="shared" si="91"/>
        <v>-50.173836823270776</v>
      </c>
      <c r="CV65" s="204">
        <f t="shared" si="91"/>
        <v>-50.237940048750275</v>
      </c>
      <c r="CW65" s="204">
        <f t="shared" si="91"/>
        <v>-50.301657701349235</v>
      </c>
      <c r="CX65" s="204">
        <f t="shared" si="91"/>
        <v>-50.364985138534472</v>
      </c>
      <c r="CY65" s="204">
        <f t="shared" si="91"/>
        <v>-50.364985138534472</v>
      </c>
      <c r="CZ65" s="204">
        <f t="shared" si="91"/>
        <v>-50.364985138534472</v>
      </c>
      <c r="DA65" s="204">
        <f t="shared" si="91"/>
        <v>-50.364985138534472</v>
      </c>
      <c r="DB65" s="204">
        <f t="shared" si="91"/>
        <v>-50.364985138534472</v>
      </c>
      <c r="DC65" s="204">
        <f t="shared" si="91"/>
        <v>-50.364985138534472</v>
      </c>
      <c r="DD65" s="204">
        <f t="shared" si="91"/>
        <v>-50.364985138534472</v>
      </c>
      <c r="DE65" s="204">
        <f t="shared" si="91"/>
        <v>-50.364985138534472</v>
      </c>
      <c r="DF65" s="204">
        <f t="shared" si="91"/>
        <v>-50.364985138534472</v>
      </c>
      <c r="DG65" s="204">
        <f t="shared" si="91"/>
        <v>-50.364985138534472</v>
      </c>
      <c r="DH65" s="204">
        <f t="shared" si="91"/>
        <v>-50.364985138534472</v>
      </c>
      <c r="DI65" s="204">
        <f t="shared" si="91"/>
        <v>-50.364985138534472</v>
      </c>
      <c r="DJ65" s="204">
        <f t="shared" si="91"/>
        <v>-50.364985138534472</v>
      </c>
      <c r="DK65" s="204">
        <f t="shared" si="91"/>
        <v>-50.364985138534472</v>
      </c>
      <c r="DL65" s="204">
        <f t="shared" si="91"/>
        <v>-50.364985138534472</v>
      </c>
      <c r="DM65" s="204">
        <f t="shared" si="91"/>
        <v>-50.364985138534472</v>
      </c>
      <c r="DN65" s="204">
        <f t="shared" si="91"/>
        <v>-50.364985138534472</v>
      </c>
      <c r="DO65" s="204">
        <f t="shared" si="91"/>
        <v>-50.364985138534472</v>
      </c>
      <c r="DP65" s="204">
        <f t="shared" si="91"/>
        <v>-50.364985138534472</v>
      </c>
      <c r="DQ65" s="204">
        <f t="shared" si="91"/>
        <v>-50.364985138534472</v>
      </c>
      <c r="DR65" s="204">
        <f t="shared" si="91"/>
        <v>-50.364985138534472</v>
      </c>
      <c r="DS65" s="204">
        <f t="shared" si="91"/>
        <v>-50.364985138534472</v>
      </c>
      <c r="DT65" s="204">
        <f t="shared" si="91"/>
        <v>-50.364985138534472</v>
      </c>
      <c r="DU65" s="204">
        <f t="shared" si="91"/>
        <v>-50.364985138534472</v>
      </c>
      <c r="DV65" s="204">
        <f t="shared" si="91"/>
        <v>-50.364985138534472</v>
      </c>
      <c r="DW65" s="204">
        <f t="shared" si="91"/>
        <v>-50.364985138534472</v>
      </c>
      <c r="DX65" s="204">
        <f t="shared" si="91"/>
        <v>-50.364985138534472</v>
      </c>
      <c r="DY65" s="204">
        <f t="shared" si="91"/>
        <v>-50.364985138534472</v>
      </c>
      <c r="DZ65" s="204">
        <f t="shared" si="91"/>
        <v>-50.364985138534472</v>
      </c>
      <c r="EA65" s="204">
        <f t="shared" si="91"/>
        <v>-50.364985138534472</v>
      </c>
      <c r="EB65" s="204">
        <f t="shared" si="91"/>
        <v>-50.364985138534472</v>
      </c>
      <c r="EC65" s="204">
        <f t="shared" si="91"/>
        <v>-50.364985138534472</v>
      </c>
      <c r="ED65" s="204">
        <f t="shared" si="91"/>
        <v>-50.364985138534472</v>
      </c>
      <c r="EE65" s="204">
        <f t="shared" si="91"/>
        <v>-50.364985138534472</v>
      </c>
      <c r="EF65" s="204">
        <f t="shared" ref="EF65:ET65" si="92">PV($F19,EF$9,1,0)+(PV($J$6,$N$5-(EF$9),1,0)/($J$6+1)^EF$9)</f>
        <v>-50.364985138534472</v>
      </c>
      <c r="EG65" s="204">
        <f t="shared" si="92"/>
        <v>-50.364985138534472</v>
      </c>
      <c r="EH65" s="204">
        <f t="shared" si="92"/>
        <v>-50.364985138534472</v>
      </c>
      <c r="EI65" s="204">
        <f t="shared" si="92"/>
        <v>-50.364985138534472</v>
      </c>
      <c r="EJ65" s="204">
        <f t="shared" si="92"/>
        <v>-50.364985138534472</v>
      </c>
      <c r="EK65" s="204">
        <f t="shared" si="92"/>
        <v>-50.364985138534472</v>
      </c>
      <c r="EL65" s="204">
        <f t="shared" si="92"/>
        <v>-50.364985138534472</v>
      </c>
      <c r="EM65" s="204">
        <f t="shared" si="92"/>
        <v>-50.364985138534472</v>
      </c>
      <c r="EN65" s="204">
        <f t="shared" si="92"/>
        <v>-50.364985138534472</v>
      </c>
      <c r="EO65" s="204">
        <f t="shared" si="92"/>
        <v>-50.364985138534472</v>
      </c>
      <c r="EP65" s="204">
        <f t="shared" si="92"/>
        <v>-50.364985138534472</v>
      </c>
      <c r="EQ65" s="204">
        <f t="shared" si="92"/>
        <v>-50.364985138534472</v>
      </c>
      <c r="ER65" s="204">
        <f t="shared" si="92"/>
        <v>-50.364985138534472</v>
      </c>
      <c r="ES65" s="204">
        <f t="shared" si="92"/>
        <v>-50.364985138534472</v>
      </c>
      <c r="ET65" s="204">
        <f t="shared" si="92"/>
        <v>-50.364985138534472</v>
      </c>
      <c r="FF65" s="6" t="s">
        <v>3748</v>
      </c>
      <c r="FG65" s="696">
        <v>2.5000000000000001E-2</v>
      </c>
      <c r="FH65" s="696">
        <v>96</v>
      </c>
      <c r="FI65" s="696">
        <v>1.7000000000000001E-2</v>
      </c>
      <c r="FJ65" s="255">
        <v>1.4499999999999999E-2</v>
      </c>
      <c r="FK65" s="71">
        <f t="shared" si="10"/>
        <v>2.5000000000000006E-4</v>
      </c>
      <c r="FL65" t="e">
        <f>VLOOKUP(FF65,'SIMULADOR COM SALDO'!$BX$22:$CK$1000,13,FALSE)</f>
        <v>#N/A</v>
      </c>
    </row>
    <row r="66" spans="7:168" x14ac:dyDescent="0.25">
      <c r="G66" s="205">
        <f t="shared" si="68"/>
        <v>-44.755324951689232</v>
      </c>
      <c r="H66" s="204">
        <f t="shared" ref="H66:BS66" si="93">PV($F20,H$9,1,0)+(PV($J$6,$N$5-(H$9),1,0)/($J$6+1)^H$9)</f>
        <v>-44.761452117972027</v>
      </c>
      <c r="I66" s="204">
        <f t="shared" si="93"/>
        <v>-44.770490250538415</v>
      </c>
      <c r="J66" s="204">
        <f t="shared" si="93"/>
        <v>-44.782340993763448</v>
      </c>
      <c r="K66" s="204">
        <f t="shared" si="93"/>
        <v>-44.796908462977072</v>
      </c>
      <c r="L66" s="204">
        <f t="shared" si="93"/>
        <v>-44.814099189282075</v>
      </c>
      <c r="M66" s="204">
        <f t="shared" si="93"/>
        <v>-44.833822065529333</v>
      </c>
      <c r="N66" s="204">
        <f t="shared" si="93"/>
        <v>-44.855988293427131</v>
      </c>
      <c r="O66" s="204">
        <f t="shared" si="93"/>
        <v>-44.880511331761411</v>
      </c>
      <c r="P66" s="204">
        <f t="shared" si="93"/>
        <v>-44.907306845704802</v>
      </c>
      <c r="Q66" s="204">
        <f t="shared" si="93"/>
        <v>-44.936292657192119</v>
      </c>
      <c r="R66" s="204">
        <f t="shared" si="93"/>
        <v>-44.96738869634104</v>
      </c>
      <c r="S66" s="204">
        <f t="shared" si="93"/>
        <v>-45.000516953896621</v>
      </c>
      <c r="T66" s="204">
        <f t="shared" si="93"/>
        <v>-45.035601434679116</v>
      </c>
      <c r="U66" s="204">
        <f t="shared" si="93"/>
        <v>-45.072568112014409</v>
      </c>
      <c r="V66" s="204">
        <f t="shared" si="93"/>
        <v>-45.111344883127707</v>
      </c>
      <c r="W66" s="204">
        <f t="shared" si="93"/>
        <v>-45.151861525480399</v>
      </c>
      <c r="X66" s="204">
        <f t="shared" si="93"/>
        <v>-45.194049654031325</v>
      </c>
      <c r="Y66" s="204">
        <f t="shared" si="93"/>
        <v>-45.237842679403585</v>
      </c>
      <c r="Z66" s="204">
        <f t="shared" si="93"/>
        <v>-45.283175766938285</v>
      </c>
      <c r="AA66" s="204">
        <f t="shared" si="93"/>
        <v>-45.329985796617649</v>
      </c>
      <c r="AB66" s="204">
        <f t="shared" si="93"/>
        <v>-45.378211323839331</v>
      </c>
      <c r="AC66" s="204">
        <f t="shared" si="93"/>
        <v>-45.427792541024928</v>
      </c>
      <c r="AD66" s="204">
        <f t="shared" si="93"/>
        <v>-45.478671240045621</v>
      </c>
      <c r="AE66" s="204">
        <f t="shared" si="93"/>
        <v>-45.53079077544821</v>
      </c>
      <c r="AF66" s="204">
        <f t="shared" si="93"/>
        <v>-45.584096028465453</v>
      </c>
      <c r="AG66" s="204">
        <f t="shared" si="93"/>
        <v>-45.638533371794338</v>
      </c>
      <c r="AH66" s="204">
        <f t="shared" si="93"/>
        <v>-45.694050635127155</v>
      </c>
      <c r="AI66" s="204">
        <f t="shared" si="93"/>
        <v>-45.750597071419364</v>
      </c>
      <c r="AJ66" s="204">
        <f t="shared" si="93"/>
        <v>-45.80812332387989</v>
      </c>
      <c r="AK66" s="204">
        <f t="shared" si="93"/>
        <v>-45.866581393668326</v>
      </c>
      <c r="AL66" s="204">
        <f t="shared" si="93"/>
        <v>-45.9259246082853</v>
      </c>
      <c r="AM66" s="204">
        <f t="shared" si="93"/>
        <v>-45.986107590641367</v>
      </c>
      <c r="AN66" s="204">
        <f t="shared" si="93"/>
        <v>-46.047086228790612</v>
      </c>
      <c r="AO66" s="204">
        <f t="shared" si="93"/>
        <v>-46.108817646315508</v>
      </c>
      <c r="AP66" s="204">
        <f t="shared" si="93"/>
        <v>-46.171260173349424</v>
      </c>
      <c r="AQ66" s="204">
        <f t="shared" si="93"/>
        <v>-46.234373318223945</v>
      </c>
      <c r="AR66" s="204">
        <f t="shared" si="93"/>
        <v>-46.298117739727942</v>
      </c>
      <c r="AS66" s="204">
        <f t="shared" si="93"/>
        <v>-46.362455219966037</v>
      </c>
      <c r="AT66" s="204">
        <f t="shared" si="93"/>
        <v>-46.427348637804002</v>
      </c>
      <c r="AU66" s="204">
        <f t="shared" si="93"/>
        <v>-46.49276194288899</v>
      </c>
      <c r="AV66" s="204">
        <f t="shared" si="93"/>
        <v>-46.558660130233037</v>
      </c>
      <c r="AW66" s="204">
        <f t="shared" si="93"/>
        <v>-46.62500921534766</v>
      </c>
      <c r="AX66" s="204">
        <f t="shared" si="93"/>
        <v>-46.691776209918999</v>
      </c>
      <c r="AY66" s="204">
        <f t="shared" si="93"/>
        <v>-46.758929098011507</v>
      </c>
      <c r="AZ66" s="204">
        <f t="shared" si="93"/>
        <v>-46.826436812789979</v>
      </c>
      <c r="BA66" s="204">
        <f t="shared" si="93"/>
        <v>-46.894269213748657</v>
      </c>
      <c r="BB66" s="204">
        <f t="shared" si="93"/>
        <v>-46.96239706443744</v>
      </c>
      <c r="BC66" s="204">
        <f t="shared" si="93"/>
        <v>-47.03079201067446</v>
      </c>
      <c r="BD66" s="204">
        <f t="shared" si="93"/>
        <v>-47.099426559235212</v>
      </c>
      <c r="BE66" s="204">
        <f t="shared" si="93"/>
        <v>-47.168274057008404</v>
      </c>
      <c r="BF66" s="204">
        <f t="shared" si="93"/>
        <v>-47.237308670608613</v>
      </c>
      <c r="BG66" s="204">
        <f t="shared" si="93"/>
        <v>-47.306505366436518</v>
      </c>
      <c r="BH66" s="204">
        <f t="shared" si="93"/>
        <v>-47.375839891177328</v>
      </c>
      <c r="BI66" s="204">
        <f t="shared" si="93"/>
        <v>-47.44528875272816</v>
      </c>
      <c r="BJ66" s="204">
        <f t="shared" si="93"/>
        <v>-47.514829201545766</v>
      </c>
      <c r="BK66" s="204">
        <f t="shared" si="93"/>
        <v>-47.58443921240557</v>
      </c>
      <c r="BL66" s="204">
        <f t="shared" si="93"/>
        <v>-47.654097466563563</v>
      </c>
      <c r="BM66" s="204">
        <f t="shared" si="93"/>
        <v>-47.723783334312678</v>
      </c>
      <c r="BN66" s="204">
        <f t="shared" si="93"/>
        <v>-47.79347685792542</v>
      </c>
      <c r="BO66" s="204">
        <f t="shared" si="93"/>
        <v>-47.863158734974668</v>
      </c>
      <c r="BP66" s="204">
        <f t="shared" si="93"/>
        <v>-47.932810302024713</v>
      </c>
      <c r="BQ66" s="204">
        <f t="shared" si="93"/>
        <v>-48.002413518684868</v>
      </c>
      <c r="BR66" s="204">
        <f t="shared" si="93"/>
        <v>-48.071950952018071</v>
      </c>
      <c r="BS66" s="204">
        <f t="shared" si="93"/>
        <v>-48.141405761296944</v>
      </c>
      <c r="BT66" s="204">
        <f t="shared" ref="BT66:EE66" si="94">PV($F20,BT$9,1,0)+(PV($J$6,$N$5-(BT$9),1,0)/($J$6+1)^BT$9)</f>
        <v>-48.210761683100145</v>
      </c>
      <c r="BU66" s="204">
        <f t="shared" si="94"/>
        <v>-48.280003016741844</v>
      </c>
      <c r="BV66" s="204">
        <f t="shared" si="94"/>
        <v>-48.34911461002725</v>
      </c>
      <c r="BW66" s="204">
        <f t="shared" si="94"/>
        <v>-48.418081845327507</v>
      </c>
      <c r="BX66" s="204">
        <f t="shared" si="94"/>
        <v>-48.486890625967099</v>
      </c>
      <c r="BY66" s="204">
        <f t="shared" si="94"/>
        <v>-48.555527362917253</v>
      </c>
      <c r="BZ66" s="204">
        <f t="shared" si="94"/>
        <v>-48.623978961788872</v>
      </c>
      <c r="CA66" s="204">
        <f t="shared" si="94"/>
        <v>-48.692232810118774</v>
      </c>
      <c r="CB66" s="204">
        <f t="shared" si="94"/>
        <v>-48.760276764942894</v>
      </c>
      <c r="CC66" s="204">
        <f t="shared" si="94"/>
        <v>-48.828099140650515</v>
      </c>
      <c r="CD66" s="204">
        <f t="shared" si="94"/>
        <v>-48.895688697113613</v>
      </c>
      <c r="CE66" s="204">
        <f t="shared" si="94"/>
        <v>-48.963034628085317</v>
      </c>
      <c r="CF66" s="204">
        <f t="shared" si="94"/>
        <v>-49.030126549862075</v>
      </c>
      <c r="CG66" s="204">
        <f t="shared" si="94"/>
        <v>-49.096954490203629</v>
      </c>
      <c r="CH66" s="204">
        <f t="shared" si="94"/>
        <v>-49.16350887750562</v>
      </c>
      <c r="CI66" s="204">
        <f t="shared" si="94"/>
        <v>-49.229780530219195</v>
      </c>
      <c r="CJ66" s="204">
        <f t="shared" si="94"/>
        <v>-49.295760646512633</v>
      </c>
      <c r="CK66" s="204">
        <f t="shared" si="94"/>
        <v>-49.361440794169667</v>
      </c>
      <c r="CL66" s="204">
        <f t="shared" si="94"/>
        <v>-49.426812900719419</v>
      </c>
      <c r="CM66" s="204">
        <f t="shared" si="94"/>
        <v>-49.49186924379331</v>
      </c>
      <c r="CN66" s="204">
        <f t="shared" si="94"/>
        <v>-49.556602441703745</v>
      </c>
      <c r="CO66" s="204">
        <f t="shared" si="94"/>
        <v>-49.621005444240083</v>
      </c>
      <c r="CP66" s="204">
        <f t="shared" si="94"/>
        <v>-49.685071523677138</v>
      </c>
      <c r="CQ66" s="204">
        <f t="shared" si="94"/>
        <v>-49.748794265991705</v>
      </c>
      <c r="CR66" s="204">
        <f t="shared" si="94"/>
        <v>-49.812167562282767</v>
      </c>
      <c r="CS66" s="204">
        <f t="shared" si="94"/>
        <v>-49.875185600390665</v>
      </c>
      <c r="CT66" s="204">
        <f t="shared" si="94"/>
        <v>-49.937842856711505</v>
      </c>
      <c r="CU66" s="204">
        <f t="shared" si="94"/>
        <v>-50.000134088202088</v>
      </c>
      <c r="CV66" s="204">
        <f t="shared" si="94"/>
        <v>-50.062054324571697</v>
      </c>
      <c r="CW66" s="204">
        <f t="shared" si="94"/>
        <v>-50.123598860656294</v>
      </c>
      <c r="CX66" s="204">
        <f t="shared" si="94"/>
        <v>-50.184763248971642</v>
      </c>
      <c r="CY66" s="204">
        <f t="shared" si="94"/>
        <v>-50.184763248971642</v>
      </c>
      <c r="CZ66" s="204">
        <f t="shared" si="94"/>
        <v>-50.184763248971642</v>
      </c>
      <c r="DA66" s="204">
        <f t="shared" si="94"/>
        <v>-50.184763248971642</v>
      </c>
      <c r="DB66" s="204">
        <f t="shared" si="94"/>
        <v>-50.184763248971642</v>
      </c>
      <c r="DC66" s="204">
        <f t="shared" si="94"/>
        <v>-50.184763248971642</v>
      </c>
      <c r="DD66" s="204">
        <f t="shared" si="94"/>
        <v>-50.184763248971642</v>
      </c>
      <c r="DE66" s="204">
        <f t="shared" si="94"/>
        <v>-50.184763248971642</v>
      </c>
      <c r="DF66" s="204">
        <f t="shared" si="94"/>
        <v>-50.184763248971642</v>
      </c>
      <c r="DG66" s="204">
        <f t="shared" si="94"/>
        <v>-50.184763248971642</v>
      </c>
      <c r="DH66" s="204">
        <f t="shared" si="94"/>
        <v>-50.184763248971642</v>
      </c>
      <c r="DI66" s="204">
        <f t="shared" si="94"/>
        <v>-50.184763248971642</v>
      </c>
      <c r="DJ66" s="204">
        <f t="shared" si="94"/>
        <v>-50.184763248971642</v>
      </c>
      <c r="DK66" s="204">
        <f t="shared" si="94"/>
        <v>-50.184763248971642</v>
      </c>
      <c r="DL66" s="204">
        <f t="shared" si="94"/>
        <v>-50.184763248971642</v>
      </c>
      <c r="DM66" s="204">
        <f t="shared" si="94"/>
        <v>-50.184763248971642</v>
      </c>
      <c r="DN66" s="204">
        <f t="shared" si="94"/>
        <v>-50.184763248971642</v>
      </c>
      <c r="DO66" s="204">
        <f t="shared" si="94"/>
        <v>-50.184763248971642</v>
      </c>
      <c r="DP66" s="204">
        <f t="shared" si="94"/>
        <v>-50.184763248971642</v>
      </c>
      <c r="DQ66" s="204">
        <f t="shared" si="94"/>
        <v>-50.184763248971642</v>
      </c>
      <c r="DR66" s="204">
        <f t="shared" si="94"/>
        <v>-50.184763248971642</v>
      </c>
      <c r="DS66" s="204">
        <f t="shared" si="94"/>
        <v>-50.184763248971642</v>
      </c>
      <c r="DT66" s="204">
        <f t="shared" si="94"/>
        <v>-50.184763248971642</v>
      </c>
      <c r="DU66" s="204">
        <f t="shared" si="94"/>
        <v>-50.184763248971642</v>
      </c>
      <c r="DV66" s="204">
        <f t="shared" si="94"/>
        <v>-50.184763248971642</v>
      </c>
      <c r="DW66" s="204">
        <f t="shared" si="94"/>
        <v>-50.184763248971642</v>
      </c>
      <c r="DX66" s="204">
        <f t="shared" si="94"/>
        <v>-50.184763248971642</v>
      </c>
      <c r="DY66" s="204">
        <f t="shared" si="94"/>
        <v>-50.184763248971642</v>
      </c>
      <c r="DZ66" s="204">
        <f t="shared" si="94"/>
        <v>-50.184763248971642</v>
      </c>
      <c r="EA66" s="204">
        <f t="shared" si="94"/>
        <v>-50.184763248971642</v>
      </c>
      <c r="EB66" s="204">
        <f t="shared" si="94"/>
        <v>-50.184763248971642</v>
      </c>
      <c r="EC66" s="204">
        <f t="shared" si="94"/>
        <v>-50.184763248971642</v>
      </c>
      <c r="ED66" s="204">
        <f t="shared" si="94"/>
        <v>-50.184763248971642</v>
      </c>
      <c r="EE66" s="204">
        <f t="shared" si="94"/>
        <v>-50.184763248971642</v>
      </c>
      <c r="EF66" s="204">
        <f t="shared" ref="EF66:ET66" si="95">PV($F20,EF$9,1,0)+(PV($J$6,$N$5-(EF$9),1,0)/($J$6+1)^EF$9)</f>
        <v>-50.184763248971642</v>
      </c>
      <c r="EG66" s="204">
        <f t="shared" si="95"/>
        <v>-50.184763248971642</v>
      </c>
      <c r="EH66" s="204">
        <f t="shared" si="95"/>
        <v>-50.184763248971642</v>
      </c>
      <c r="EI66" s="204">
        <f t="shared" si="95"/>
        <v>-50.184763248971642</v>
      </c>
      <c r="EJ66" s="204">
        <f t="shared" si="95"/>
        <v>-50.184763248971642</v>
      </c>
      <c r="EK66" s="204">
        <f t="shared" si="95"/>
        <v>-50.184763248971642</v>
      </c>
      <c r="EL66" s="204">
        <f t="shared" si="95"/>
        <v>-50.184763248971642</v>
      </c>
      <c r="EM66" s="204">
        <f t="shared" si="95"/>
        <v>-50.184763248971642</v>
      </c>
      <c r="EN66" s="204">
        <f t="shared" si="95"/>
        <v>-50.184763248971642</v>
      </c>
      <c r="EO66" s="204">
        <f t="shared" si="95"/>
        <v>-50.184763248971642</v>
      </c>
      <c r="EP66" s="204">
        <f t="shared" si="95"/>
        <v>-50.184763248971642</v>
      </c>
      <c r="EQ66" s="204">
        <f t="shared" si="95"/>
        <v>-50.184763248971642</v>
      </c>
      <c r="ER66" s="204">
        <f t="shared" si="95"/>
        <v>-50.184763248971642</v>
      </c>
      <c r="ES66" s="204">
        <f t="shared" si="95"/>
        <v>-50.184763248971642</v>
      </c>
      <c r="ET66" s="204">
        <f t="shared" si="95"/>
        <v>-50.184763248971642</v>
      </c>
      <c r="FF66" s="6" t="s">
        <v>3012</v>
      </c>
      <c r="FG66" s="696">
        <v>2.1400000000000002E-2</v>
      </c>
      <c r="FH66" s="696">
        <v>96</v>
      </c>
      <c r="FI66" s="696">
        <v>1.9400000000000001E-2</v>
      </c>
      <c r="FJ66" s="255">
        <v>1.37E-2</v>
      </c>
      <c r="FK66" s="71">
        <f t="shared" si="10"/>
        <v>1.8333333333333339E-4</v>
      </c>
      <c r="FL66" t="e">
        <f>VLOOKUP(FF66,'SIMULADOR COM SALDO'!$BX$22:$CK$1000,13,FALSE)</f>
        <v>#N/A</v>
      </c>
    </row>
    <row r="67" spans="7:168" x14ac:dyDescent="0.25">
      <c r="G67" s="205">
        <f t="shared" si="68"/>
        <v>-44.755230257709123</v>
      </c>
      <c r="H67" s="204">
        <f t="shared" ref="H67:BS67" si="96">PV($F21,H$9,1,0)+(PV($J$6,$N$5-(H$9),1,0)/($J$6+1)^H$9)</f>
        <v>-44.76117089503169</v>
      </c>
      <c r="I67" s="204">
        <f t="shared" si="96"/>
        <v>-44.769933457918327</v>
      </c>
      <c r="J67" s="204">
        <f t="shared" si="96"/>
        <v>-44.7814223215684</v>
      </c>
      <c r="K67" s="204">
        <f t="shared" si="96"/>
        <v>-44.795544269978315</v>
      </c>
      <c r="L67" s="204">
        <f t="shared" si="96"/>
        <v>-44.812208442013869</v>
      </c>
      <c r="M67" s="204">
        <f t="shared" si="96"/>
        <v>-44.831326278616118</v>
      </c>
      <c r="N67" s="204">
        <f t="shared" si="96"/>
        <v>-44.852811471118059</v>
      </c>
      <c r="O67" s="204">
        <f t="shared" si="96"/>
        <v>-44.87657991064944</v>
      </c>
      <c r="P67" s="204">
        <f t="shared" si="96"/>
        <v>-44.902549638607745</v>
      </c>
      <c r="Q67" s="204">
        <f t="shared" si="96"/>
        <v>-44.930640798173911</v>
      </c>
      <c r="R67" s="204">
        <f t="shared" si="96"/>
        <v>-44.960775586851227</v>
      </c>
      <c r="S67" s="204">
        <f t="shared" si="96"/>
        <v>-44.992878210007177</v>
      </c>
      <c r="T67" s="204">
        <f t="shared" si="96"/>
        <v>-45.026874835397479</v>
      </c>
      <c r="U67" s="204">
        <f t="shared" si="96"/>
        <v>-45.062693548652398</v>
      </c>
      <c r="V67" s="204">
        <f t="shared" si="96"/>
        <v>-45.100264309706212</v>
      </c>
      <c r="W67" s="204">
        <f t="shared" si="96"/>
        <v>-45.139518910150052</v>
      </c>
      <c r="X67" s="204">
        <f t="shared" si="96"/>
        <v>-45.180390931489839</v>
      </c>
      <c r="Y67" s="204">
        <f t="shared" si="96"/>
        <v>-45.222815704290653</v>
      </c>
      <c r="Z67" s="204">
        <f t="shared" si="96"/>
        <v>-45.266730268189541</v>
      </c>
      <c r="AA67" s="204">
        <f t="shared" si="96"/>
        <v>-45.312073332759141</v>
      </c>
      <c r="AB67" s="204">
        <f t="shared" si="96"/>
        <v>-45.358785239204664</v>
      </c>
      <c r="AC67" s="204">
        <f t="shared" si="96"/>
        <v>-45.406807922877363</v>
      </c>
      <c r="AD67" s="204">
        <f t="shared" si="96"/>
        <v>-45.456084876587738</v>
      </c>
      <c r="AE67" s="204">
        <f t="shared" si="96"/>
        <v>-45.506561114702237</v>
      </c>
      <c r="AF67" s="204">
        <f t="shared" si="96"/>
        <v>-45.558183138007323</v>
      </c>
      <c r="AG67" s="204">
        <f t="shared" si="96"/>
        <v>-45.61089889932537</v>
      </c>
      <c r="AH67" s="204">
        <f t="shared" si="96"/>
        <v>-45.664657769866942</v>
      </c>
      <c r="AI67" s="204">
        <f t="shared" si="96"/>
        <v>-45.719410506304264</v>
      </c>
      <c r="AJ67" s="204">
        <f t="shared" si="96"/>
        <v>-45.775109218551513</v>
      </c>
      <c r="AK67" s="204">
        <f t="shared" si="96"/>
        <v>-45.831707338236782</v>
      </c>
      <c r="AL67" s="204">
        <f t="shared" si="96"/>
        <v>-45.889159587852319</v>
      </c>
      <c r="AM67" s="204">
        <f t="shared" si="96"/>
        <v>-45.947421950568454</v>
      </c>
      <c r="AN67" s="204">
        <f t="shared" si="96"/>
        <v>-46.006451640698039</v>
      </c>
      <c r="AO67" s="204">
        <f t="shared" si="96"/>
        <v>-46.066207074797759</v>
      </c>
      <c r="AP67" s="204">
        <f t="shared" si="96"/>
        <v>-46.126647843393442</v>
      </c>
      <c r="AQ67" s="204">
        <f t="shared" si="96"/>
        <v>-46.187734683316357</v>
      </c>
      <c r="AR67" s="204">
        <f t="shared" si="96"/>
        <v>-46.249429450638019</v>
      </c>
      <c r="AS67" s="204">
        <f t="shared" si="96"/>
        <v>-46.311695094191137</v>
      </c>
      <c r="AT67" s="204">
        <f t="shared" si="96"/>
        <v>-46.374495629664729</v>
      </c>
      <c r="AU67" s="204">
        <f t="shared" si="96"/>
        <v>-46.43779611426136</v>
      </c>
      <c r="AV67" s="204">
        <f t="shared" si="96"/>
        <v>-46.501562621905137</v>
      </c>
      <c r="AW67" s="204">
        <f t="shared" si="96"/>
        <v>-46.565762218988858</v>
      </c>
      <c r="AX67" s="204">
        <f t="shared" si="96"/>
        <v>-46.630362940649448</v>
      </c>
      <c r="AY67" s="204">
        <f t="shared" si="96"/>
        <v>-46.695333767560456</v>
      </c>
      <c r="AZ67" s="204">
        <f t="shared" si="96"/>
        <v>-46.760644603231171</v>
      </c>
      <c r="BA67" s="204">
        <f t="shared" si="96"/>
        <v>-46.82626625180167</v>
      </c>
      <c r="BB67" s="204">
        <f t="shared" si="96"/>
        <v>-46.892170396323749</v>
      </c>
      <c r="BC67" s="204">
        <f t="shared" si="96"/>
        <v>-46.958329577517361</v>
      </c>
      <c r="BD67" s="204">
        <f t="shared" si="96"/>
        <v>-47.024717172992979</v>
      </c>
      <c r="BE67" s="204">
        <f t="shared" si="96"/>
        <v>-47.091307376930061</v>
      </c>
      <c r="BF67" s="204">
        <f t="shared" si="96"/>
        <v>-47.158075180202182</v>
      </c>
      <c r="BG67" s="204">
        <f t="shared" si="96"/>
        <v>-47.224996350939527</v>
      </c>
      <c r="BH67" s="204">
        <f t="shared" si="96"/>
        <v>-47.292047415519633</v>
      </c>
      <c r="BI67" s="204">
        <f t="shared" si="96"/>
        <v>-47.359205639977517</v>
      </c>
      <c r="BJ67" s="204">
        <f t="shared" si="96"/>
        <v>-47.426449011826392</v>
      </c>
      <c r="BK67" s="204">
        <f t="shared" si="96"/>
        <v>-47.49375622228051</v>
      </c>
      <c r="BL67" s="204">
        <f t="shared" si="96"/>
        <v>-47.561106648871473</v>
      </c>
      <c r="BM67" s="204">
        <f t="shared" si="96"/>
        <v>-47.628480338450245</v>
      </c>
      <c r="BN67" s="204">
        <f t="shared" si="96"/>
        <v>-47.69585799056631</v>
      </c>
      <c r="BO67" s="204">
        <f t="shared" si="96"/>
        <v>-47.76322094121646</v>
      </c>
      <c r="BP67" s="204">
        <f t="shared" si="96"/>
        <v>-47.830551146955308</v>
      </c>
      <c r="BQ67" s="204">
        <f t="shared" si="96"/>
        <v>-47.897831169359868</v>
      </c>
      <c r="BR67" s="204">
        <f t="shared" si="96"/>
        <v>-47.965044159841113</v>
      </c>
      <c r="BS67" s="204">
        <f t="shared" si="96"/>
        <v>-48.032173844794748</v>
      </c>
      <c r="BT67" s="204">
        <f t="shared" ref="BT67:EE67" si="97">PV($F21,BT$9,1,0)+(PV($J$6,$N$5-(BT$9),1,0)/($J$6+1)^BT$9)</f>
        <v>-48.099204511084451</v>
      </c>
      <c r="BU67" s="204">
        <f t="shared" si="97"/>
        <v>-48.166120991850548</v>
      </c>
      <c r="BV67" s="204">
        <f t="shared" si="97"/>
        <v>-48.232908652636993</v>
      </c>
      <c r="BW67" s="204">
        <f t="shared" si="97"/>
        <v>-48.299553377830392</v>
      </c>
      <c r="BX67" s="204">
        <f t="shared" si="97"/>
        <v>-48.366041557404074</v>
      </c>
      <c r="BY67" s="204">
        <f t="shared" si="97"/>
        <v>-48.432360073961057</v>
      </c>
      <c r="BZ67" s="204">
        <f t="shared" si="97"/>
        <v>-48.498496290069518</v>
      </c>
      <c r="CA67" s="204">
        <f t="shared" si="97"/>
        <v>-48.564438035884564</v>
      </c>
      <c r="CB67" s="204">
        <f t="shared" si="97"/>
        <v>-48.630173597050209</v>
      </c>
      <c r="CC67" s="204">
        <f t="shared" si="97"/>
        <v>-48.695691702875799</v>
      </c>
      <c r="CD67" s="204">
        <f t="shared" si="97"/>
        <v>-48.760981514780852</v>
      </c>
      <c r="CE67" s="204">
        <f t="shared" si="97"/>
        <v>-48.826032615002831</v>
      </c>
      <c r="CF67" s="204">
        <f t="shared" si="97"/>
        <v>-48.890834995562095</v>
      </c>
      <c r="CG67" s="204">
        <f t="shared" si="97"/>
        <v>-48.955379047478658</v>
      </c>
      <c r="CH67" s="204">
        <f t="shared" si="97"/>
        <v>-49.019655550235463</v>
      </c>
      <c r="CI67" s="204">
        <f t="shared" si="97"/>
        <v>-49.083655661482766</v>
      </c>
      <c r="CJ67" s="204">
        <f t="shared" si="97"/>
        <v>-49.147370906978622</v>
      </c>
      <c r="CK67" s="204">
        <f t="shared" si="97"/>
        <v>-49.210793170760439</v>
      </c>
      <c r="CL67" s="204">
        <f t="shared" si="97"/>
        <v>-49.273914685542564</v>
      </c>
      <c r="CM67" s="204">
        <f t="shared" si="97"/>
        <v>-49.336728023335247</v>
      </c>
      <c r="CN67" s="204">
        <f t="shared" si="97"/>
        <v>-49.399226086280059</v>
      </c>
      <c r="CO67" s="204">
        <f t="shared" si="97"/>
        <v>-49.461402097697288</v>
      </c>
      <c r="CP67" s="204">
        <f t="shared" si="97"/>
        <v>-49.523249593340701</v>
      </c>
      <c r="CQ67" s="204">
        <f t="shared" si="97"/>
        <v>-49.584762412855248</v>
      </c>
      <c r="CR67" s="204">
        <f t="shared" si="97"/>
        <v>-49.645934691433325</v>
      </c>
      <c r="CS67" s="204">
        <f t="shared" si="97"/>
        <v>-49.706760851665358</v>
      </c>
      <c r="CT67" s="204">
        <f t="shared" si="97"/>
        <v>-49.767235595580587</v>
      </c>
      <c r="CU67" s="204">
        <f t="shared" si="97"/>
        <v>-49.827353896873809</v>
      </c>
      <c r="CV67" s="204">
        <f t="shared" si="97"/>
        <v>-49.887110993314231</v>
      </c>
      <c r="CW67" s="204">
        <f t="shared" si="97"/>
        <v>-49.946502379332372</v>
      </c>
      <c r="CX67" s="204">
        <f t="shared" si="97"/>
        <v>-50.00552379878134</v>
      </c>
      <c r="CY67" s="204">
        <f t="shared" si="97"/>
        <v>-50.00552379878134</v>
      </c>
      <c r="CZ67" s="204">
        <f t="shared" si="97"/>
        <v>-50.00552379878134</v>
      </c>
      <c r="DA67" s="204">
        <f t="shared" si="97"/>
        <v>-50.00552379878134</v>
      </c>
      <c r="DB67" s="204">
        <f t="shared" si="97"/>
        <v>-50.00552379878134</v>
      </c>
      <c r="DC67" s="204">
        <f t="shared" si="97"/>
        <v>-50.00552379878134</v>
      </c>
      <c r="DD67" s="204">
        <f t="shared" si="97"/>
        <v>-50.00552379878134</v>
      </c>
      <c r="DE67" s="204">
        <f t="shared" si="97"/>
        <v>-50.00552379878134</v>
      </c>
      <c r="DF67" s="204">
        <f t="shared" si="97"/>
        <v>-50.00552379878134</v>
      </c>
      <c r="DG67" s="204">
        <f t="shared" si="97"/>
        <v>-50.00552379878134</v>
      </c>
      <c r="DH67" s="204">
        <f t="shared" si="97"/>
        <v>-50.00552379878134</v>
      </c>
      <c r="DI67" s="204">
        <f t="shared" si="97"/>
        <v>-50.00552379878134</v>
      </c>
      <c r="DJ67" s="204">
        <f t="shared" si="97"/>
        <v>-50.00552379878134</v>
      </c>
      <c r="DK67" s="204">
        <f t="shared" si="97"/>
        <v>-50.00552379878134</v>
      </c>
      <c r="DL67" s="204">
        <f t="shared" si="97"/>
        <v>-50.00552379878134</v>
      </c>
      <c r="DM67" s="204">
        <f t="shared" si="97"/>
        <v>-50.00552379878134</v>
      </c>
      <c r="DN67" s="204">
        <f t="shared" si="97"/>
        <v>-50.00552379878134</v>
      </c>
      <c r="DO67" s="204">
        <f t="shared" si="97"/>
        <v>-50.00552379878134</v>
      </c>
      <c r="DP67" s="204">
        <f t="shared" si="97"/>
        <v>-50.00552379878134</v>
      </c>
      <c r="DQ67" s="204">
        <f t="shared" si="97"/>
        <v>-50.00552379878134</v>
      </c>
      <c r="DR67" s="204">
        <f t="shared" si="97"/>
        <v>-50.00552379878134</v>
      </c>
      <c r="DS67" s="204">
        <f t="shared" si="97"/>
        <v>-50.00552379878134</v>
      </c>
      <c r="DT67" s="204">
        <f t="shared" si="97"/>
        <v>-50.00552379878134</v>
      </c>
      <c r="DU67" s="204">
        <f t="shared" si="97"/>
        <v>-50.00552379878134</v>
      </c>
      <c r="DV67" s="204">
        <f t="shared" si="97"/>
        <v>-50.00552379878134</v>
      </c>
      <c r="DW67" s="204">
        <f t="shared" si="97"/>
        <v>-50.00552379878134</v>
      </c>
      <c r="DX67" s="204">
        <f t="shared" si="97"/>
        <v>-50.00552379878134</v>
      </c>
      <c r="DY67" s="204">
        <f t="shared" si="97"/>
        <v>-50.00552379878134</v>
      </c>
      <c r="DZ67" s="204">
        <f t="shared" si="97"/>
        <v>-50.00552379878134</v>
      </c>
      <c r="EA67" s="204">
        <f t="shared" si="97"/>
        <v>-50.00552379878134</v>
      </c>
      <c r="EB67" s="204">
        <f t="shared" si="97"/>
        <v>-50.00552379878134</v>
      </c>
      <c r="EC67" s="204">
        <f t="shared" si="97"/>
        <v>-50.00552379878134</v>
      </c>
      <c r="ED67" s="204">
        <f t="shared" si="97"/>
        <v>-50.00552379878134</v>
      </c>
      <c r="EE67" s="204">
        <f t="shared" si="97"/>
        <v>-50.00552379878134</v>
      </c>
      <c r="EF67" s="204">
        <f t="shared" ref="EF67:ET67" si="98">PV($F21,EF$9,1,0)+(PV($J$6,$N$5-(EF$9),1,0)/($J$6+1)^EF$9)</f>
        <v>-50.00552379878134</v>
      </c>
      <c r="EG67" s="204">
        <f t="shared" si="98"/>
        <v>-50.00552379878134</v>
      </c>
      <c r="EH67" s="204">
        <f t="shared" si="98"/>
        <v>-50.00552379878134</v>
      </c>
      <c r="EI67" s="204">
        <f t="shared" si="98"/>
        <v>-50.00552379878134</v>
      </c>
      <c r="EJ67" s="204">
        <f t="shared" si="98"/>
        <v>-50.00552379878134</v>
      </c>
      <c r="EK67" s="204">
        <f t="shared" si="98"/>
        <v>-50.00552379878134</v>
      </c>
      <c r="EL67" s="204">
        <f t="shared" si="98"/>
        <v>-50.00552379878134</v>
      </c>
      <c r="EM67" s="204">
        <f t="shared" si="98"/>
        <v>-50.00552379878134</v>
      </c>
      <c r="EN67" s="204">
        <f t="shared" si="98"/>
        <v>-50.00552379878134</v>
      </c>
      <c r="EO67" s="204">
        <f t="shared" si="98"/>
        <v>-50.00552379878134</v>
      </c>
      <c r="EP67" s="204">
        <f t="shared" si="98"/>
        <v>-50.00552379878134</v>
      </c>
      <c r="EQ67" s="204">
        <f t="shared" si="98"/>
        <v>-50.00552379878134</v>
      </c>
      <c r="ER67" s="204">
        <f t="shared" si="98"/>
        <v>-50.00552379878134</v>
      </c>
      <c r="ES67" s="204">
        <f t="shared" si="98"/>
        <v>-50.00552379878134</v>
      </c>
      <c r="ET67" s="204">
        <f t="shared" si="98"/>
        <v>-50.00552379878134</v>
      </c>
      <c r="FF67" s="6" t="s">
        <v>3013</v>
      </c>
      <c r="FG67" s="696">
        <v>2.1400000000000002E-2</v>
      </c>
      <c r="FH67" s="696">
        <v>96</v>
      </c>
      <c r="FI67" s="696">
        <v>1.72E-2</v>
      </c>
      <c r="FJ67" s="255">
        <v>1.37E-2</v>
      </c>
      <c r="FK67" s="71">
        <f t="shared" si="10"/>
        <v>1.8333333333333339E-4</v>
      </c>
      <c r="FL67" t="e">
        <f>VLOOKUP(FF67,'SIMULADOR COM SALDO'!$BX$22:$CK$1000,13,FALSE)</f>
        <v>#N/A</v>
      </c>
    </row>
    <row r="68" spans="7:168" x14ac:dyDescent="0.25">
      <c r="G68" s="205">
        <f t="shared" si="68"/>
        <v>-44.755135581935178</v>
      </c>
      <c r="H68" s="204">
        <f t="shared" ref="H68:BS68" si="99">PV($F22,H$9,1,0)+(PV($J$6,$N$5-(H$9),1,0)/($J$6+1)^H$9)</f>
        <v>-44.760889744088892</v>
      </c>
      <c r="I68" s="204">
        <f t="shared" si="99"/>
        <v>-44.769376843249361</v>
      </c>
      <c r="J68" s="204">
        <f t="shared" si="99"/>
        <v>-44.780504001239599</v>
      </c>
      <c r="K68" s="204">
        <f t="shared" si="99"/>
        <v>-44.794180685767998</v>
      </c>
      <c r="L68" s="204">
        <f t="shared" si="99"/>
        <v>-44.810318657778225</v>
      </c>
      <c r="M68" s="204">
        <f t="shared" si="99"/>
        <v>-44.828831919908396</v>
      </c>
      <c r="N68" s="204">
        <f t="shared" si="99"/>
        <v>-44.849636666037036</v>
      </c>
      <c r="O68" s="204">
        <f t="shared" si="99"/>
        <v>-44.872651231893983</v>
      </c>
      <c r="P68" s="204">
        <f t="shared" si="99"/>
        <v>-44.897796046714305</v>
      </c>
      <c r="Q68" s="204">
        <f t="shared" si="99"/>
        <v>-44.924993585914471</v>
      </c>
      <c r="R68" s="204">
        <f t="shared" si="99"/>
        <v>-44.954168324769427</v>
      </c>
      <c r="S68" s="204">
        <f t="shared" si="99"/>
        <v>-44.985246693071083</v>
      </c>
      <c r="T68" s="204">
        <f t="shared" si="99"/>
        <v>-45.018157030747361</v>
      </c>
      <c r="U68" s="204">
        <f t="shared" si="99"/>
        <v>-45.052829544422877</v>
      </c>
      <c r="V68" s="204">
        <f t="shared" si="99"/>
        <v>-45.089196264901837</v>
      </c>
      <c r="W68" s="204">
        <f t="shared" si="99"/>
        <v>-45.127191005554451</v>
      </c>
      <c r="X68" s="204">
        <f t="shared" si="99"/>
        <v>-45.166749321588341</v>
      </c>
      <c r="Y68" s="204">
        <f t="shared" si="99"/>
        <v>-45.207808470187118</v>
      </c>
      <c r="Z68" s="204">
        <f t="shared" si="99"/>
        <v>-45.250307371498124</v>
      </c>
      <c r="AA68" s="204">
        <f t="shared" si="99"/>
        <v>-45.294186570452382</v>
      </c>
      <c r="AB68" s="204">
        <f t="shared" si="99"/>
        <v>-45.339388199399366</v>
      </c>
      <c r="AC68" s="204">
        <f t="shared" si="99"/>
        <v>-45.385855941540285</v>
      </c>
      <c r="AD68" s="204">
        <f t="shared" si="99"/>
        <v>-45.433534995143205</v>
      </c>
      <c r="AE68" s="204">
        <f t="shared" si="99"/>
        <v>-45.482372038524545</v>
      </c>
      <c r="AF68" s="204">
        <f t="shared" si="99"/>
        <v>-45.532315195780498</v>
      </c>
      <c r="AG68" s="204">
        <f t="shared" si="99"/>
        <v>-45.583314003253776</v>
      </c>
      <c r="AH68" s="204">
        <f t="shared" si="99"/>
        <v>-45.635319376720034</v>
      </c>
      <c r="AI68" s="204">
        <f t="shared" si="99"/>
        <v>-45.688283579279613</v>
      </c>
      <c r="AJ68" s="204">
        <f t="shared" si="99"/>
        <v>-45.742160189939902</v>
      </c>
      <c r="AK68" s="204">
        <f t="shared" si="99"/>
        <v>-45.796904072874163</v>
      </c>
      <c r="AL68" s="204">
        <f t="shared" si="99"/>
        <v>-45.852471347342913</v>
      </c>
      <c r="AM68" s="204">
        <f t="shared" si="99"/>
        <v>-45.908819358264466</v>
      </c>
      <c r="AN68" s="204">
        <f t="shared" si="99"/>
        <v>-45.965906647420852</v>
      </c>
      <c r="AO68" s="204">
        <f t="shared" si="99"/>
        <v>-46.023692925286483</v>
      </c>
      <c r="AP68" s="204">
        <f t="shared" si="99"/>
        <v>-46.082139043466327</v>
      </c>
      <c r="AQ68" s="204">
        <f t="shared" si="99"/>
        <v>-46.141206967731421</v>
      </c>
      <c r="AR68" s="204">
        <f t="shared" si="99"/>
        <v>-46.200859751639086</v>
      </c>
      <c r="AS68" s="204">
        <f t="shared" si="99"/>
        <v>-46.261061510725931</v>
      </c>
      <c r="AT68" s="204">
        <f t="shared" si="99"/>
        <v>-46.321777397261727</v>
      </c>
      <c r="AU68" s="204">
        <f t="shared" si="99"/>
        <v>-46.382973575552768</v>
      </c>
      <c r="AV68" s="204">
        <f t="shared" si="99"/>
        <v>-46.444617197783032</v>
      </c>
      <c r="AW68" s="204">
        <f t="shared" si="99"/>
        <v>-46.506676380382224</v>
      </c>
      <c r="AX68" s="204">
        <f t="shared" si="99"/>
        <v>-46.569120180909806</v>
      </c>
      <c r="AY68" s="204">
        <f t="shared" si="99"/>
        <v>-46.631918575444224</v>
      </c>
      <c r="AZ68" s="204">
        <f t="shared" si="99"/>
        <v>-46.695042436466863</v>
      </c>
      <c r="BA68" s="204">
        <f t="shared" si="99"/>
        <v>-46.758463511230545</v>
      </c>
      <c r="BB68" s="204">
        <f t="shared" si="99"/>
        <v>-46.822154400602372</v>
      </c>
      <c r="BC68" s="204">
        <f t="shared" si="99"/>
        <v>-46.886088538371254</v>
      </c>
      <c r="BD68" s="204">
        <f t="shared" si="99"/>
        <v>-46.950240171010236</v>
      </c>
      <c r="BE68" s="204">
        <f t="shared" si="99"/>
        <v>-47.014584337884287</v>
      </c>
      <c r="BF68" s="204">
        <f t="shared" si="99"/>
        <v>-47.079096851894377</v>
      </c>
      <c r="BG68" s="204">
        <f t="shared" si="99"/>
        <v>-47.143754280548372</v>
      </c>
      <c r="BH68" s="204">
        <f t="shared" si="99"/>
        <v>-47.208533927450333</v>
      </c>
      <c r="BI68" s="204">
        <f t="shared" si="99"/>
        <v>-47.273413814199124</v>
      </c>
      <c r="BJ68" s="204">
        <f t="shared" si="99"/>
        <v>-47.338372662687902</v>
      </c>
      <c r="BK68" s="204">
        <f t="shared" si="99"/>
        <v>-47.403389877796258</v>
      </c>
      <c r="BL68" s="204">
        <f t="shared" si="99"/>
        <v>-47.468445530466362</v>
      </c>
      <c r="BM68" s="204">
        <f t="shared" si="99"/>
        <v>-47.533520341155686</v>
      </c>
      <c r="BN68" s="204">
        <f t="shared" si="99"/>
        <v>-47.598595663657775</v>
      </c>
      <c r="BO68" s="204">
        <f t="shared" si="99"/>
        <v>-47.66365346928395</v>
      </c>
      <c r="BP68" s="204">
        <f t="shared" si="99"/>
        <v>-47.728676331397843</v>
      </c>
      <c r="BQ68" s="204">
        <f t="shared" si="99"/>
        <v>-47.793647410295748</v>
      </c>
      <c r="BR68" s="204">
        <f t="shared" si="99"/>
        <v>-47.858550438425247</v>
      </c>
      <c r="BS68" s="204">
        <f t="shared" si="99"/>
        <v>-47.923369705935187</v>
      </c>
      <c r="BT68" s="204">
        <f t="shared" ref="BT68:EE68" si="100">PV($F22,BT$9,1,0)+(PV($J$6,$N$5-(BT$9),1,0)/($J$6+1)^BT$9)</f>
        <v>-47.988090046549942</v>
      </c>
      <c r="BU68" s="204">
        <f t="shared" si="100"/>
        <v>-48.052696823761117</v>
      </c>
      <c r="BV68" s="204">
        <f t="shared" si="100"/>
        <v>-48.117175917330023</v>
      </c>
      <c r="BW68" s="204">
        <f t="shared" si="100"/>
        <v>-48.1815137100944</v>
      </c>
      <c r="BX68" s="204">
        <f t="shared" si="100"/>
        <v>-48.24569707507289</v>
      </c>
      <c r="BY68" s="204">
        <f t="shared" si="100"/>
        <v>-48.309713362861018</v>
      </c>
      <c r="BZ68" s="204">
        <f t="shared" si="100"/>
        <v>-48.373550389312513</v>
      </c>
      <c r="CA68" s="204">
        <f t="shared" si="100"/>
        <v>-48.437196423499898</v>
      </c>
      <c r="CB68" s="204">
        <f t="shared" si="100"/>
        <v>-48.500640175948448</v>
      </c>
      <c r="CC68" s="204">
        <f t="shared" si="100"/>
        <v>-48.563870787137674</v>
      </c>
      <c r="CD68" s="204">
        <f t="shared" si="100"/>
        <v>-48.626877816264766</v>
      </c>
      <c r="CE68" s="204">
        <f t="shared" si="100"/>
        <v>-48.689651230264325</v>
      </c>
      <c r="CF68" s="204">
        <f t="shared" si="100"/>
        <v>-48.752181393078935</v>
      </c>
      <c r="CG68" s="204">
        <f t="shared" si="100"/>
        <v>-48.814459055175313</v>
      </c>
      <c r="CH68" s="204">
        <f t="shared" si="100"/>
        <v>-48.876475343300697</v>
      </c>
      <c r="CI68" s="204">
        <f t="shared" si="100"/>
        <v>-48.93822175047449</v>
      </c>
      <c r="CJ68" s="204">
        <f t="shared" si="100"/>
        <v>-48.999690126209977</v>
      </c>
      <c r="CK68" s="204">
        <f t="shared" si="100"/>
        <v>-49.060872666961302</v>
      </c>
      <c r="CL68" s="204">
        <f t="shared" si="100"/>
        <v>-49.121761906790844</v>
      </c>
      <c r="CM68" s="204">
        <f t="shared" si="100"/>
        <v>-49.182350708252436</v>
      </c>
      <c r="CN68" s="204">
        <f t="shared" si="100"/>
        <v>-49.242632253485382</v>
      </c>
      <c r="CO68" s="204">
        <f t="shared" si="100"/>
        <v>-49.302600035515304</v>
      </c>
      <c r="CP68" s="204">
        <f t="shared" si="100"/>
        <v>-49.362247849756955</v>
      </c>
      <c r="CQ68" s="204">
        <f t="shared" si="100"/>
        <v>-49.421569785714816</v>
      </c>
      <c r="CR68" s="204">
        <f t="shared" si="100"/>
        <v>-49.480560218877301</v>
      </c>
      <c r="CS68" s="204">
        <f t="shared" si="100"/>
        <v>-49.539213802800155</v>
      </c>
      <c r="CT68" s="204">
        <f t="shared" si="100"/>
        <v>-49.597525461375326</v>
      </c>
      <c r="CU68" s="204">
        <f t="shared" si="100"/>
        <v>-49.655490381280899</v>
      </c>
      <c r="CV68" s="204">
        <f t="shared" si="100"/>
        <v>-49.71310400460861</v>
      </c>
      <c r="CW68" s="204">
        <f t="shared" si="100"/>
        <v>-49.770362021664674</v>
      </c>
      <c r="CX68" s="204">
        <f t="shared" si="100"/>
        <v>-49.827260363940503</v>
      </c>
      <c r="CY68" s="204">
        <f t="shared" si="100"/>
        <v>-49.827260363940503</v>
      </c>
      <c r="CZ68" s="204">
        <f t="shared" si="100"/>
        <v>-49.827260363940503</v>
      </c>
      <c r="DA68" s="204">
        <f t="shared" si="100"/>
        <v>-49.827260363940503</v>
      </c>
      <c r="DB68" s="204">
        <f t="shared" si="100"/>
        <v>-49.827260363940503</v>
      </c>
      <c r="DC68" s="204">
        <f t="shared" si="100"/>
        <v>-49.827260363940503</v>
      </c>
      <c r="DD68" s="204">
        <f t="shared" si="100"/>
        <v>-49.827260363940503</v>
      </c>
      <c r="DE68" s="204">
        <f t="shared" si="100"/>
        <v>-49.827260363940503</v>
      </c>
      <c r="DF68" s="204">
        <f t="shared" si="100"/>
        <v>-49.827260363940503</v>
      </c>
      <c r="DG68" s="204">
        <f t="shared" si="100"/>
        <v>-49.827260363940503</v>
      </c>
      <c r="DH68" s="204">
        <f t="shared" si="100"/>
        <v>-49.827260363940503</v>
      </c>
      <c r="DI68" s="204">
        <f t="shared" si="100"/>
        <v>-49.827260363940503</v>
      </c>
      <c r="DJ68" s="204">
        <f t="shared" si="100"/>
        <v>-49.827260363940503</v>
      </c>
      <c r="DK68" s="204">
        <f t="shared" si="100"/>
        <v>-49.827260363940503</v>
      </c>
      <c r="DL68" s="204">
        <f t="shared" si="100"/>
        <v>-49.827260363940503</v>
      </c>
      <c r="DM68" s="204">
        <f t="shared" si="100"/>
        <v>-49.827260363940503</v>
      </c>
      <c r="DN68" s="204">
        <f t="shared" si="100"/>
        <v>-49.827260363940503</v>
      </c>
      <c r="DO68" s="204">
        <f t="shared" si="100"/>
        <v>-49.827260363940503</v>
      </c>
      <c r="DP68" s="204">
        <f t="shared" si="100"/>
        <v>-49.827260363940503</v>
      </c>
      <c r="DQ68" s="204">
        <f t="shared" si="100"/>
        <v>-49.827260363940503</v>
      </c>
      <c r="DR68" s="204">
        <f t="shared" si="100"/>
        <v>-49.827260363940503</v>
      </c>
      <c r="DS68" s="204">
        <f t="shared" si="100"/>
        <v>-49.827260363940503</v>
      </c>
      <c r="DT68" s="204">
        <f t="shared" si="100"/>
        <v>-49.827260363940503</v>
      </c>
      <c r="DU68" s="204">
        <f t="shared" si="100"/>
        <v>-49.827260363940503</v>
      </c>
      <c r="DV68" s="204">
        <f t="shared" si="100"/>
        <v>-49.827260363940503</v>
      </c>
      <c r="DW68" s="204">
        <f t="shared" si="100"/>
        <v>-49.827260363940503</v>
      </c>
      <c r="DX68" s="204">
        <f t="shared" si="100"/>
        <v>-49.827260363940503</v>
      </c>
      <c r="DY68" s="204">
        <f t="shared" si="100"/>
        <v>-49.827260363940503</v>
      </c>
      <c r="DZ68" s="204">
        <f t="shared" si="100"/>
        <v>-49.827260363940503</v>
      </c>
      <c r="EA68" s="204">
        <f t="shared" si="100"/>
        <v>-49.827260363940503</v>
      </c>
      <c r="EB68" s="204">
        <f t="shared" si="100"/>
        <v>-49.827260363940503</v>
      </c>
      <c r="EC68" s="204">
        <f t="shared" si="100"/>
        <v>-49.827260363940503</v>
      </c>
      <c r="ED68" s="204">
        <f t="shared" si="100"/>
        <v>-49.827260363940503</v>
      </c>
      <c r="EE68" s="204">
        <f t="shared" si="100"/>
        <v>-49.827260363940503</v>
      </c>
      <c r="EF68" s="204">
        <f t="shared" ref="EF68:ET68" si="101">PV($F22,EF$9,1,0)+(PV($J$6,$N$5-(EF$9),1,0)/($J$6+1)^EF$9)</f>
        <v>-49.827260363940503</v>
      </c>
      <c r="EG68" s="204">
        <f t="shared" si="101"/>
        <v>-49.827260363940503</v>
      </c>
      <c r="EH68" s="204">
        <f t="shared" si="101"/>
        <v>-49.827260363940503</v>
      </c>
      <c r="EI68" s="204">
        <f t="shared" si="101"/>
        <v>-49.827260363940503</v>
      </c>
      <c r="EJ68" s="204">
        <f t="shared" si="101"/>
        <v>-49.827260363940503</v>
      </c>
      <c r="EK68" s="204">
        <f t="shared" si="101"/>
        <v>-49.827260363940503</v>
      </c>
      <c r="EL68" s="204">
        <f t="shared" si="101"/>
        <v>-49.827260363940503</v>
      </c>
      <c r="EM68" s="204">
        <f t="shared" si="101"/>
        <v>-49.827260363940503</v>
      </c>
      <c r="EN68" s="204">
        <f t="shared" si="101"/>
        <v>-49.827260363940503</v>
      </c>
      <c r="EO68" s="204">
        <f t="shared" si="101"/>
        <v>-49.827260363940503</v>
      </c>
      <c r="EP68" s="204">
        <f t="shared" si="101"/>
        <v>-49.827260363940503</v>
      </c>
      <c r="EQ68" s="204">
        <f t="shared" si="101"/>
        <v>-49.827260363940503</v>
      </c>
      <c r="ER68" s="204">
        <f t="shared" si="101"/>
        <v>-49.827260363940503</v>
      </c>
      <c r="ES68" s="204">
        <f t="shared" si="101"/>
        <v>-49.827260363940503</v>
      </c>
      <c r="ET68" s="204">
        <f t="shared" si="101"/>
        <v>-49.827260363940503</v>
      </c>
      <c r="FF68" s="6" t="s">
        <v>810</v>
      </c>
      <c r="FG68" s="696">
        <v>2.4E-2</v>
      </c>
      <c r="FH68" s="696">
        <v>96</v>
      </c>
      <c r="FI68" s="696">
        <v>2.4E-2</v>
      </c>
      <c r="FJ68" s="255">
        <v>2.1499999999999998E-2</v>
      </c>
      <c r="FK68" s="71">
        <f t="shared" si="10"/>
        <v>5.9523809523809578E-5</v>
      </c>
      <c r="FL68" t="e">
        <f>VLOOKUP(FF68,'SIMULADOR COM SALDO'!$BX$22:$CK$1000,13,FALSE)</f>
        <v>#N/A</v>
      </c>
    </row>
    <row r="69" spans="7:168" x14ac:dyDescent="0.25">
      <c r="G69" s="205">
        <f t="shared" si="68"/>
        <v>-44.755040924362127</v>
      </c>
      <c r="H69" s="204">
        <f t="shared" ref="H69:BS69" si="102">PV($F23,H$9,1,0)+(PV($J$6,$N$5-(H$9),1,0)/($J$6+1)^H$9)</f>
        <v>-44.760608665117651</v>
      </c>
      <c r="I69" s="204">
        <f t="shared" si="102"/>
        <v>-44.768820406454573</v>
      </c>
      <c r="J69" s="204">
        <f t="shared" si="102"/>
        <v>-44.779586032599774</v>
      </c>
      <c r="K69" s="204">
        <f t="shared" si="102"/>
        <v>-44.792817709995965</v>
      </c>
      <c r="L69" s="204">
        <f t="shared" si="102"/>
        <v>-44.808429835952651</v>
      </c>
      <c r="M69" s="204">
        <f t="shared" si="102"/>
        <v>-44.826338988381323</v>
      </c>
      <c r="N69" s="204">
        <f t="shared" si="102"/>
        <v>-44.846463876593219</v>
      </c>
      <c r="O69" s="204">
        <f t="shared" si="102"/>
        <v>-44.868725293137778</v>
      </c>
      <c r="P69" s="204">
        <f t="shared" si="102"/>
        <v>-44.893046066660844</v>
      </c>
      <c r="Q69" s="204">
        <f t="shared" si="102"/>
        <v>-44.919351015761713</v>
      </c>
      <c r="R69" s="204">
        <f t="shared" si="102"/>
        <v>-44.947566903828665</v>
      </c>
      <c r="S69" s="204">
        <f t="shared" si="102"/>
        <v>-44.977622394833375</v>
      </c>
      <c r="T69" s="204">
        <f t="shared" si="102"/>
        <v>-45.009448010064304</v>
      </c>
      <c r="U69" s="204">
        <f t="shared" si="102"/>
        <v>-45.042976085779941</v>
      </c>
      <c r="V69" s="204">
        <f t="shared" si="102"/>
        <v>-45.07814073176354</v>
      </c>
      <c r="W69" s="204">
        <f t="shared" si="102"/>
        <v>-45.114877790760332</v>
      </c>
      <c r="X69" s="204">
        <f t="shared" si="102"/>
        <v>-45.1531247987798</v>
      </c>
      <c r="Y69" s="204">
        <f t="shared" si="102"/>
        <v>-45.19282094624495</v>
      </c>
      <c r="Z69" s="204">
        <f t="shared" si="102"/>
        <v>-45.233907039971314</v>
      </c>
      <c r="AA69" s="204">
        <f t="shared" si="102"/>
        <v>-45.27632546595882</v>
      </c>
      <c r="AB69" s="204">
        <f t="shared" si="102"/>
        <v>-45.320020152979936</v>
      </c>
      <c r="AC69" s="204">
        <f t="shared" si="102"/>
        <v>-45.364936536947496</v>
      </c>
      <c r="AD69" s="204">
        <f t="shared" si="102"/>
        <v>-45.411021526046611</v>
      </c>
      <c r="AE69" s="204">
        <f t="shared" si="102"/>
        <v>-45.458223466614633</v>
      </c>
      <c r="AF69" s="204">
        <f t="shared" si="102"/>
        <v>-45.506492109754113</v>
      </c>
      <c r="AG69" s="204">
        <f t="shared" si="102"/>
        <v>-45.555778578663514</v>
      </c>
      <c r="AH69" s="204">
        <f t="shared" si="102"/>
        <v>-45.60603533667107</v>
      </c>
      <c r="AI69" s="204">
        <f t="shared" si="102"/>
        <v>-45.657216155957173</v>
      </c>
      <c r="AJ69" s="204">
        <f t="shared" si="102"/>
        <v>-45.709276086951405</v>
      </c>
      <c r="AK69" s="204">
        <f t="shared" si="102"/>
        <v>-45.762171428389905</v>
      </c>
      <c r="AL69" s="204">
        <f t="shared" si="102"/>
        <v>-45.815859698019892</v>
      </c>
      <c r="AM69" s="204">
        <f t="shared" si="102"/>
        <v>-45.870299603937781</v>
      </c>
      <c r="AN69" s="204">
        <f t="shared" si="102"/>
        <v>-45.925451016547953</v>
      </c>
      <c r="AO69" s="204">
        <f t="shared" si="102"/>
        <v>-45.981274941129101</v>
      </c>
      <c r="AP69" s="204">
        <f t="shared" si="102"/>
        <v>-46.037733490996018</v>
      </c>
      <c r="AQ69" s="204">
        <f t="shared" si="102"/>
        <v>-46.094789861244195</v>
      </c>
      <c r="AR69" s="204">
        <f t="shared" si="102"/>
        <v>-46.152408303065336</v>
      </c>
      <c r="AS69" s="204">
        <f t="shared" si="102"/>
        <v>-46.210554098621927</v>
      </c>
      <c r="AT69" s="204">
        <f t="shared" si="102"/>
        <v>-46.269193536469295</v>
      </c>
      <c r="AU69" s="204">
        <f t="shared" si="102"/>
        <v>-46.32829388751378</v>
      </c>
      <c r="AV69" s="204">
        <f t="shared" si="102"/>
        <v>-46.387823381496091</v>
      </c>
      <c r="AW69" s="204">
        <f t="shared" si="102"/>
        <v>-46.447751183988565</v>
      </c>
      <c r="AX69" s="204">
        <f t="shared" si="102"/>
        <v>-46.508047373896176</v>
      </c>
      <c r="AY69" s="204">
        <f t="shared" si="102"/>
        <v>-46.568682921450261</v>
      </c>
      <c r="AZ69" s="204">
        <f t="shared" si="102"/>
        <v>-46.629629666685332</v>
      </c>
      <c r="BA69" s="204">
        <f t="shared" si="102"/>
        <v>-46.690860298388301</v>
      </c>
      <c r="BB69" s="204">
        <f t="shared" si="102"/>
        <v>-46.752348333510866</v>
      </c>
      <c r="BC69" s="204">
        <f t="shared" si="102"/>
        <v>-46.814068097034863</v>
      </c>
      <c r="BD69" s="204">
        <f t="shared" si="102"/>
        <v>-46.875994702281659</v>
      </c>
      <c r="BE69" s="204">
        <f t="shared" si="102"/>
        <v>-46.938104031655996</v>
      </c>
      <c r="BF69" s="204">
        <f t="shared" si="102"/>
        <v>-47.000372717815146</v>
      </c>
      <c r="BG69" s="204">
        <f t="shared" si="102"/>
        <v>-47.062778125254908</v>
      </c>
      <c r="BH69" s="204">
        <f t="shared" si="102"/>
        <v>-47.125298332303274</v>
      </c>
      <c r="BI69" s="204">
        <f t="shared" si="102"/>
        <v>-47.187912113513441</v>
      </c>
      <c r="BJ69" s="204">
        <f t="shared" si="102"/>
        <v>-47.250598922447921</v>
      </c>
      <c r="BK69" s="204">
        <f t="shared" si="102"/>
        <v>-47.313338874845329</v>
      </c>
      <c r="BL69" s="204">
        <f t="shared" si="102"/>
        <v>-47.376112732161843</v>
      </c>
      <c r="BM69" s="204">
        <f t="shared" si="102"/>
        <v>-47.438901885479773</v>
      </c>
      <c r="BN69" s="204">
        <f t="shared" si="102"/>
        <v>-47.501688339775072</v>
      </c>
      <c r="BO69" s="204">
        <f t="shared" si="102"/>
        <v>-47.56445469853665</v>
      </c>
      <c r="BP69" s="204">
        <f t="shared" si="102"/>
        <v>-47.627184148729853</v>
      </c>
      <c r="BQ69" s="204">
        <f t="shared" si="102"/>
        <v>-47.689860446096844</v>
      </c>
      <c r="BR69" s="204">
        <f t="shared" si="102"/>
        <v>-47.752467900787096</v>
      </c>
      <c r="BS69" s="204">
        <f t="shared" si="102"/>
        <v>-47.814991363310519</v>
      </c>
      <c r="BT69" s="204">
        <f t="shared" ref="BT69:EE69" si="103">PV($F23,BT$9,1,0)+(PV($J$6,$N$5-(BT$9),1,0)/($J$6+1)^BT$9)</f>
        <v>-47.877416210806977</v>
      </c>
      <c r="BU69" s="204">
        <f t="shared" si="103"/>
        <v>-47.939728333625055</v>
      </c>
      <c r="BV69" s="204">
        <f t="shared" si="103"/>
        <v>-48.001914122203821</v>
      </c>
      <c r="BW69" s="204">
        <f t="shared" si="103"/>
        <v>-48.063960454251017</v>
      </c>
      <c r="BX69" s="204">
        <f t="shared" si="103"/>
        <v>-48.125854682211497</v>
      </c>
      <c r="BY69" s="204">
        <f t="shared" si="103"/>
        <v>-48.187584621019717</v>
      </c>
      <c r="BZ69" s="204">
        <f t="shared" si="103"/>
        <v>-48.249138536130253</v>
      </c>
      <c r="CA69" s="204">
        <f t="shared" si="103"/>
        <v>-48.310505131820477</v>
      </c>
      <c r="CB69" s="204">
        <f t="shared" si="103"/>
        <v>-48.371673539759541</v>
      </c>
      <c r="CC69" s="204">
        <f t="shared" si="103"/>
        <v>-48.432633307838067</v>
      </c>
      <c r="CD69" s="204">
        <f t="shared" si="103"/>
        <v>-48.493374389253006</v>
      </c>
      <c r="CE69" s="204">
        <f t="shared" si="103"/>
        <v>-48.553887131842131</v>
      </c>
      <c r="CF69" s="204">
        <f t="shared" si="103"/>
        <v>-48.614162267663012</v>
      </c>
      <c r="CG69" s="204">
        <f t="shared" si="103"/>
        <v>-48.67419090281102</v>
      </c>
      <c r="CH69" s="204">
        <f t="shared" si="103"/>
        <v>-48.733964507471505</v>
      </c>
      <c r="CI69" s="204">
        <f t="shared" si="103"/>
        <v>-48.793474906200984</v>
      </c>
      <c r="CJ69" s="204">
        <f t="shared" si="103"/>
        <v>-48.852714268432429</v>
      </c>
      <c r="CK69" s="204">
        <f t="shared" si="103"/>
        <v>-48.911675099199961</v>
      </c>
      <c r="CL69" s="204">
        <f t="shared" si="103"/>
        <v>-48.970350230078182</v>
      </c>
      <c r="CM69" s="204">
        <f t="shared" si="103"/>
        <v>-49.028732810331512</v>
      </c>
      <c r="CN69" s="204">
        <f t="shared" si="103"/>
        <v>-49.086816298269085</v>
      </c>
      <c r="CO69" s="204">
        <f t="shared" si="103"/>
        <v>-49.144594452800717</v>
      </c>
      <c r="CP69" s="204">
        <f t="shared" si="103"/>
        <v>-49.202061325189661</v>
      </c>
      <c r="CQ69" s="204">
        <f t="shared" si="103"/>
        <v>-49.259211250997929</v>
      </c>
      <c r="CR69" s="204">
        <f t="shared" si="103"/>
        <v>-49.316038842219982</v>
      </c>
      <c r="CS69" s="204">
        <f t="shared" si="103"/>
        <v>-49.372538979600698</v>
      </c>
      <c r="CT69" s="204">
        <f t="shared" si="103"/>
        <v>-49.4287068051337</v>
      </c>
      <c r="CU69" s="204">
        <f t="shared" si="103"/>
        <v>-49.484537714736163</v>
      </c>
      <c r="CV69" s="204">
        <f t="shared" si="103"/>
        <v>-49.540027351096192</v>
      </c>
      <c r="CW69" s="204">
        <f t="shared" si="103"/>
        <v>-49.595171596689021</v>
      </c>
      <c r="CX69" s="204">
        <f t="shared" si="103"/>
        <v>-49.649966566958533</v>
      </c>
      <c r="CY69" s="204">
        <f t="shared" si="103"/>
        <v>-49.649966566958533</v>
      </c>
      <c r="CZ69" s="204">
        <f t="shared" si="103"/>
        <v>-49.649966566958533</v>
      </c>
      <c r="DA69" s="204">
        <f t="shared" si="103"/>
        <v>-49.649966566958533</v>
      </c>
      <c r="DB69" s="204">
        <f t="shared" si="103"/>
        <v>-49.649966566958533</v>
      </c>
      <c r="DC69" s="204">
        <f t="shared" si="103"/>
        <v>-49.649966566958533</v>
      </c>
      <c r="DD69" s="204">
        <f t="shared" si="103"/>
        <v>-49.649966566958533</v>
      </c>
      <c r="DE69" s="204">
        <f t="shared" si="103"/>
        <v>-49.649966566958533</v>
      </c>
      <c r="DF69" s="204">
        <f t="shared" si="103"/>
        <v>-49.649966566958533</v>
      </c>
      <c r="DG69" s="204">
        <f t="shared" si="103"/>
        <v>-49.649966566958533</v>
      </c>
      <c r="DH69" s="204">
        <f t="shared" si="103"/>
        <v>-49.649966566958533</v>
      </c>
      <c r="DI69" s="204">
        <f t="shared" si="103"/>
        <v>-49.649966566958533</v>
      </c>
      <c r="DJ69" s="204">
        <f t="shared" si="103"/>
        <v>-49.649966566958533</v>
      </c>
      <c r="DK69" s="204">
        <f t="shared" si="103"/>
        <v>-49.649966566958533</v>
      </c>
      <c r="DL69" s="204">
        <f t="shared" si="103"/>
        <v>-49.649966566958533</v>
      </c>
      <c r="DM69" s="204">
        <f t="shared" si="103"/>
        <v>-49.649966566958533</v>
      </c>
      <c r="DN69" s="204">
        <f t="shared" si="103"/>
        <v>-49.649966566958533</v>
      </c>
      <c r="DO69" s="204">
        <f t="shared" si="103"/>
        <v>-49.649966566958533</v>
      </c>
      <c r="DP69" s="204">
        <f t="shared" si="103"/>
        <v>-49.649966566958533</v>
      </c>
      <c r="DQ69" s="204">
        <f t="shared" si="103"/>
        <v>-49.649966566958533</v>
      </c>
      <c r="DR69" s="204">
        <f t="shared" si="103"/>
        <v>-49.649966566958533</v>
      </c>
      <c r="DS69" s="204">
        <f t="shared" si="103"/>
        <v>-49.649966566958533</v>
      </c>
      <c r="DT69" s="204">
        <f t="shared" si="103"/>
        <v>-49.649966566958533</v>
      </c>
      <c r="DU69" s="204">
        <f t="shared" si="103"/>
        <v>-49.649966566958533</v>
      </c>
      <c r="DV69" s="204">
        <f t="shared" si="103"/>
        <v>-49.649966566958533</v>
      </c>
      <c r="DW69" s="204">
        <f t="shared" si="103"/>
        <v>-49.649966566958533</v>
      </c>
      <c r="DX69" s="204">
        <f t="shared" si="103"/>
        <v>-49.649966566958533</v>
      </c>
      <c r="DY69" s="204">
        <f t="shared" si="103"/>
        <v>-49.649966566958533</v>
      </c>
      <c r="DZ69" s="204">
        <f t="shared" si="103"/>
        <v>-49.649966566958533</v>
      </c>
      <c r="EA69" s="204">
        <f t="shared" si="103"/>
        <v>-49.649966566958533</v>
      </c>
      <c r="EB69" s="204">
        <f t="shared" si="103"/>
        <v>-49.649966566958533</v>
      </c>
      <c r="EC69" s="204">
        <f t="shared" si="103"/>
        <v>-49.649966566958533</v>
      </c>
      <c r="ED69" s="204">
        <f t="shared" si="103"/>
        <v>-49.649966566958533</v>
      </c>
      <c r="EE69" s="204">
        <f t="shared" si="103"/>
        <v>-49.649966566958533</v>
      </c>
      <c r="EF69" s="204">
        <f t="shared" ref="EF69:ET69" si="104">PV($F23,EF$9,1,0)+(PV($J$6,$N$5-(EF$9),1,0)/($J$6+1)^EF$9)</f>
        <v>-49.649966566958533</v>
      </c>
      <c r="EG69" s="204">
        <f t="shared" si="104"/>
        <v>-49.649966566958533</v>
      </c>
      <c r="EH69" s="204">
        <f t="shared" si="104"/>
        <v>-49.649966566958533</v>
      </c>
      <c r="EI69" s="204">
        <f t="shared" si="104"/>
        <v>-49.649966566958533</v>
      </c>
      <c r="EJ69" s="204">
        <f t="shared" si="104"/>
        <v>-49.649966566958533</v>
      </c>
      <c r="EK69" s="204">
        <f t="shared" si="104"/>
        <v>-49.649966566958533</v>
      </c>
      <c r="EL69" s="204">
        <f t="shared" si="104"/>
        <v>-49.649966566958533</v>
      </c>
      <c r="EM69" s="204">
        <f t="shared" si="104"/>
        <v>-49.649966566958533</v>
      </c>
      <c r="EN69" s="204">
        <f t="shared" si="104"/>
        <v>-49.649966566958533</v>
      </c>
      <c r="EO69" s="204">
        <f t="shared" si="104"/>
        <v>-49.649966566958533</v>
      </c>
      <c r="EP69" s="204">
        <f t="shared" si="104"/>
        <v>-49.649966566958533</v>
      </c>
      <c r="EQ69" s="204">
        <f t="shared" si="104"/>
        <v>-49.649966566958533</v>
      </c>
      <c r="ER69" s="204">
        <f t="shared" si="104"/>
        <v>-49.649966566958533</v>
      </c>
      <c r="ES69" s="204">
        <f t="shared" si="104"/>
        <v>-49.649966566958533</v>
      </c>
      <c r="ET69" s="204">
        <f t="shared" si="104"/>
        <v>-49.649966566958533</v>
      </c>
      <c r="FF69" s="6" t="s">
        <v>610</v>
      </c>
      <c r="FG69" s="696">
        <v>2.5000000000000001E-2</v>
      </c>
      <c r="FH69" s="696">
        <v>96</v>
      </c>
      <c r="FI69" s="696">
        <v>2.2499999999999999E-2</v>
      </c>
      <c r="FJ69" s="255">
        <v>1.3999999999999999E-2</v>
      </c>
      <c r="FK69" s="71">
        <f t="shared" si="10"/>
        <v>2.6190476190476197E-4</v>
      </c>
      <c r="FL69" t="e">
        <f>VLOOKUP(FF69,'SIMULADOR COM SALDO'!$BX$22:$CK$1000,13,FALSE)</f>
        <v>#N/A</v>
      </c>
    </row>
    <row r="70" spans="7:168" x14ac:dyDescent="0.25">
      <c r="G70" s="205">
        <f t="shared" si="68"/>
        <v>-44.754946284984726</v>
      </c>
      <c r="H70" s="204">
        <f t="shared" ref="H70:BS70" si="105">PV($F24,H$9,1,0)+(PV($J$6,$N$5-(H$9),1,0)/($J$6+1)^H$9)</f>
        <v>-44.760327658092059</v>
      </c>
      <c r="I70" s="204">
        <f t="shared" si="105"/>
        <v>-44.768264147457181</v>
      </c>
      <c r="J70" s="204">
        <f t="shared" si="105"/>
        <v>-44.778668415471913</v>
      </c>
      <c r="K70" s="204">
        <f t="shared" si="105"/>
        <v>-44.791455342312531</v>
      </c>
      <c r="L70" s="204">
        <f t="shared" si="105"/>
        <v>-44.80654197591533</v>
      </c>
      <c r="M70" s="204">
        <f t="shared" si="105"/>
        <v>-44.823847483011178</v>
      </c>
      <c r="N70" s="204">
        <f t="shared" si="105"/>
        <v>-44.843293101197446</v>
      </c>
      <c r="O70" s="204">
        <f t="shared" si="105"/>
        <v>-44.864802092026146</v>
      </c>
      <c r="P70" s="204">
        <f t="shared" si="105"/>
        <v>-44.888299695087554</v>
      </c>
      <c r="Q70" s="204">
        <f t="shared" si="105"/>
        <v>-44.913713083069183</v>
      </c>
      <c r="R70" s="204">
        <f t="shared" si="105"/>
        <v>-44.940971317769908</v>
      </c>
      <c r="S70" s="204">
        <f t="shared" si="105"/>
        <v>-44.970005307050215</v>
      </c>
      <c r="T70" s="204">
        <f t="shared" si="105"/>
        <v>-45.000747762698843</v>
      </c>
      <c r="U70" s="204">
        <f t="shared" si="105"/>
        <v>-45.033133159197746</v>
      </c>
      <c r="V70" s="204">
        <f t="shared" si="105"/>
        <v>-45.067097693366463</v>
      </c>
      <c r="W70" s="204">
        <f t="shared" si="105"/>
        <v>-45.102579244868309</v>
      </c>
      <c r="X70" s="204">
        <f t="shared" si="105"/>
        <v>-45.139517337560385</v>
      </c>
      <c r="Y70" s="204">
        <f t="shared" si="105"/>
        <v>-45.177853101670607</v>
      </c>
      <c r="Z70" s="204">
        <f t="shared" si="105"/>
        <v>-45.217529236784138</v>
      </c>
      <c r="AA70" s="204">
        <f t="shared" si="105"/>
        <v>-45.258489975623448</v>
      </c>
      <c r="AB70" s="204">
        <f t="shared" si="105"/>
        <v>-45.300681048604901</v>
      </c>
      <c r="AC70" s="204">
        <f t="shared" si="105"/>
        <v>-45.344049649156531</v>
      </c>
      <c r="AD70" s="204">
        <f t="shared" si="105"/>
        <v>-45.388544399781082</v>
      </c>
      <c r="AE70" s="204">
        <f t="shared" si="105"/>
        <v>-45.434115318849123</v>
      </c>
      <c r="AF70" s="204">
        <f t="shared" si="105"/>
        <v>-45.480713788107046</v>
      </c>
      <c r="AG70" s="204">
        <f t="shared" si="105"/>
        <v>-45.528292520885486</v>
      </c>
      <c r="AH70" s="204">
        <f t="shared" si="105"/>
        <v>-45.576805530993582</v>
      </c>
      <c r="AI70" s="204">
        <f t="shared" si="105"/>
        <v>-45.626208102284906</v>
      </c>
      <c r="AJ70" s="204">
        <f t="shared" si="105"/>
        <v>-45.676456758881415</v>
      </c>
      <c r="AK70" s="204">
        <f t="shared" si="105"/>
        <v>-45.72750923604162</v>
      </c>
      <c r="AL70" s="204">
        <f t="shared" si="105"/>
        <v>-45.779324451659825</v>
      </c>
      <c r="AM70" s="204">
        <f t="shared" si="105"/>
        <v>-45.831862478383371</v>
      </c>
      <c r="AN70" s="204">
        <f t="shared" si="105"/>
        <v>-45.88508451633507</v>
      </c>
      <c r="AO70" s="204">
        <f t="shared" si="105"/>
        <v>-45.938952866428323</v>
      </c>
      <c r="AP70" s="204">
        <f t="shared" si="105"/>
        <v>-45.993430904262738</v>
      </c>
      <c r="AQ70" s="204">
        <f t="shared" si="105"/>
        <v>-46.048483054588147</v>
      </c>
      <c r="AR70" s="204">
        <f t="shared" si="105"/>
        <v>-46.104074766325162</v>
      </c>
      <c r="AS70" s="204">
        <f t="shared" si="105"/>
        <v>-46.160172488130982</v>
      </c>
      <c r="AT70" s="204">
        <f t="shared" si="105"/>
        <v>-46.216743644498848</v>
      </c>
      <c r="AU70" s="204">
        <f t="shared" si="105"/>
        <v>-46.273756612380311</v>
      </c>
      <c r="AV70" s="204">
        <f t="shared" si="105"/>
        <v>-46.331180698319287</v>
      </c>
      <c r="AW70" s="204">
        <f t="shared" si="105"/>
        <v>-46.388986116087189</v>
      </c>
      <c r="AX70" s="204">
        <f t="shared" si="105"/>
        <v>-46.447143964809129</v>
      </c>
      <c r="AY70" s="204">
        <f t="shared" si="105"/>
        <v>-46.505626207570366</v>
      </c>
      <c r="AZ70" s="204">
        <f t="shared" si="105"/>
        <v>-46.564405650493455</v>
      </c>
      <c r="BA70" s="204">
        <f t="shared" si="105"/>
        <v>-46.623455922276051</v>
      </c>
      <c r="BB70" s="204">
        <f t="shared" si="105"/>
        <v>-46.682751454179893</v>
      </c>
      <c r="BC70" s="204">
        <f t="shared" si="105"/>
        <v>-46.742267460461491</v>
      </c>
      <c r="BD70" s="204">
        <f t="shared" si="105"/>
        <v>-46.80197991923508</v>
      </c>
      <c r="BE70" s="204">
        <f t="shared" si="105"/>
        <v>-46.86186555375933</v>
      </c>
      <c r="BF70" s="204">
        <f t="shared" si="105"/>
        <v>-46.921901814138295</v>
      </c>
      <c r="BG70" s="204">
        <f t="shared" si="105"/>
        <v>-46.982066859428478</v>
      </c>
      <c r="BH70" s="204">
        <f t="shared" si="105"/>
        <v>-47.042339540143097</v>
      </c>
      <c r="BI70" s="204">
        <f t="shared" si="105"/>
        <v>-47.102699381145513</v>
      </c>
      <c r="BJ70" s="204">
        <f t="shared" si="105"/>
        <v>-47.163126564923417</v>
      </c>
      <c r="BK70" s="204">
        <f t="shared" si="105"/>
        <v>-47.223601915236081</v>
      </c>
      <c r="BL70" s="204">
        <f t="shared" si="105"/>
        <v>-47.284106881126334</v>
      </c>
      <c r="BM70" s="204">
        <f t="shared" si="105"/>
        <v>-47.344623521290238</v>
      </c>
      <c r="BN70" s="204">
        <f t="shared" si="105"/>
        <v>-47.405134488796307</v>
      </c>
      <c r="BO70" s="204">
        <f t="shared" si="105"/>
        <v>-47.465623016147397</v>
      </c>
      <c r="BP70" s="204">
        <f t="shared" si="105"/>
        <v>-47.526072900677676</v>
      </c>
      <c r="BQ70" s="204">
        <f t="shared" si="105"/>
        <v>-47.586468490277852</v>
      </c>
      <c r="BR70" s="204">
        <f t="shared" si="105"/>
        <v>-47.646794669441633</v>
      </c>
      <c r="BS70" s="204">
        <f t="shared" si="105"/>
        <v>-47.70703684562654</v>
      </c>
      <c r="BT70" s="204">
        <f t="shared" ref="BT70:EE70" si="106">PV($F24,BT$9,1,0)+(PV($J$6,$N$5-(BT$9),1,0)/($J$6+1)^BT$9)</f>
        <v>-47.767180935922596</v>
      </c>
      <c r="BU70" s="204">
        <f t="shared" si="106"/>
        <v>-47.827213354022284</v>
      </c>
      <c r="BV70" s="204">
        <f t="shared" si="106"/>
        <v>-47.887120997485304</v>
      </c>
      <c r="BW70" s="204">
        <f t="shared" si="106"/>
        <v>-47.946891235292085</v>
      </c>
      <c r="BX70" s="204">
        <f t="shared" si="106"/>
        <v>-48.006511895679694</v>
      </c>
      <c r="BY70" s="204">
        <f t="shared" si="106"/>
        <v>-48.065971254254315</v>
      </c>
      <c r="BZ70" s="204">
        <f t="shared" si="106"/>
        <v>-48.125258022374354</v>
      </c>
      <c r="CA70" s="204">
        <f t="shared" si="106"/>
        <v>-48.184361335798357</v>
      </c>
      <c r="CB70" s="204">
        <f t="shared" si="106"/>
        <v>-48.243270743592184</v>
      </c>
      <c r="CC70" s="204">
        <f t="shared" si="106"/>
        <v>-48.301976197289896</v>
      </c>
      <c r="CD70" s="204">
        <f t="shared" si="106"/>
        <v>-48.360468040302891</v>
      </c>
      <c r="CE70" s="204">
        <f t="shared" si="106"/>
        <v>-48.418736997572033</v>
      </c>
      <c r="CF70" s="204">
        <f t="shared" si="106"/>
        <v>-48.476774165457599</v>
      </c>
      <c r="CG70" s="204">
        <f t="shared" si="106"/>
        <v>-48.534571001861828</v>
      </c>
      <c r="CH70" s="204">
        <f t="shared" si="106"/>
        <v>-48.592119316579328</v>
      </c>
      <c r="CI70" s="204">
        <f t="shared" si="106"/>
        <v>-48.649411261870213</v>
      </c>
      <c r="CJ70" s="204">
        <f t="shared" si="106"/>
        <v>-48.706439323251274</v>
      </c>
      <c r="CK70" s="204">
        <f t="shared" si="106"/>
        <v>-48.763196310500625</v>
      </c>
      <c r="CL70" s="204">
        <f t="shared" si="106"/>
        <v>-48.819675348871009</v>
      </c>
      <c r="CM70" s="204">
        <f t="shared" si="106"/>
        <v>-48.875869870507508</v>
      </c>
      <c r="CN70" s="204">
        <f t="shared" si="106"/>
        <v>-48.93177360606505</v>
      </c>
      <c r="CO70" s="204">
        <f t="shared" si="106"/>
        <v>-48.987380576521538</v>
      </c>
      <c r="CP70" s="204">
        <f t="shared" si="106"/>
        <v>-49.042685085182363</v>
      </c>
      <c r="CQ70" s="204">
        <f t="shared" si="106"/>
        <v>-49.097681709872049</v>
      </c>
      <c r="CR70" s="204">
        <f t="shared" si="106"/>
        <v>-49.15236529530921</v>
      </c>
      <c r="CS70" s="204">
        <f t="shared" si="106"/>
        <v>-49.206730945660588</v>
      </c>
      <c r="CT70" s="204">
        <f t="shared" si="106"/>
        <v>-49.260774017270506</v>
      </c>
      <c r="CU70" s="204">
        <f t="shared" si="106"/>
        <v>-49.314490111561803</v>
      </c>
      <c r="CV70" s="204">
        <f t="shared" si="106"/>
        <v>-49.367875068104603</v>
      </c>
      <c r="CW70" s="204">
        <f t="shared" si="106"/>
        <v>-49.420924957849174</v>
      </c>
      <c r="CX70" s="204">
        <f t="shared" si="106"/>
        <v>-49.473636076519462</v>
      </c>
      <c r="CY70" s="204">
        <f t="shared" si="106"/>
        <v>-49.473636076519462</v>
      </c>
      <c r="CZ70" s="204">
        <f t="shared" si="106"/>
        <v>-49.473636076519462</v>
      </c>
      <c r="DA70" s="204">
        <f t="shared" si="106"/>
        <v>-49.473636076519462</v>
      </c>
      <c r="DB70" s="204">
        <f t="shared" si="106"/>
        <v>-49.473636076519462</v>
      </c>
      <c r="DC70" s="204">
        <f t="shared" si="106"/>
        <v>-49.473636076519462</v>
      </c>
      <c r="DD70" s="204">
        <f t="shared" si="106"/>
        <v>-49.473636076519462</v>
      </c>
      <c r="DE70" s="204">
        <f t="shared" si="106"/>
        <v>-49.473636076519462</v>
      </c>
      <c r="DF70" s="204">
        <f t="shared" si="106"/>
        <v>-49.473636076519462</v>
      </c>
      <c r="DG70" s="204">
        <f t="shared" si="106"/>
        <v>-49.473636076519462</v>
      </c>
      <c r="DH70" s="204">
        <f t="shared" si="106"/>
        <v>-49.473636076519462</v>
      </c>
      <c r="DI70" s="204">
        <f t="shared" si="106"/>
        <v>-49.473636076519462</v>
      </c>
      <c r="DJ70" s="204">
        <f t="shared" si="106"/>
        <v>-49.473636076519462</v>
      </c>
      <c r="DK70" s="204">
        <f t="shared" si="106"/>
        <v>-49.473636076519462</v>
      </c>
      <c r="DL70" s="204">
        <f t="shared" si="106"/>
        <v>-49.473636076519462</v>
      </c>
      <c r="DM70" s="204">
        <f t="shared" si="106"/>
        <v>-49.473636076519462</v>
      </c>
      <c r="DN70" s="204">
        <f t="shared" si="106"/>
        <v>-49.473636076519462</v>
      </c>
      <c r="DO70" s="204">
        <f t="shared" si="106"/>
        <v>-49.473636076519462</v>
      </c>
      <c r="DP70" s="204">
        <f t="shared" si="106"/>
        <v>-49.473636076519462</v>
      </c>
      <c r="DQ70" s="204">
        <f t="shared" si="106"/>
        <v>-49.473636076519462</v>
      </c>
      <c r="DR70" s="204">
        <f t="shared" si="106"/>
        <v>-49.473636076519462</v>
      </c>
      <c r="DS70" s="204">
        <f t="shared" si="106"/>
        <v>-49.473636076519462</v>
      </c>
      <c r="DT70" s="204">
        <f t="shared" si="106"/>
        <v>-49.473636076519462</v>
      </c>
      <c r="DU70" s="204">
        <f t="shared" si="106"/>
        <v>-49.473636076519462</v>
      </c>
      <c r="DV70" s="204">
        <f t="shared" si="106"/>
        <v>-49.473636076519462</v>
      </c>
      <c r="DW70" s="204">
        <f t="shared" si="106"/>
        <v>-49.473636076519462</v>
      </c>
      <c r="DX70" s="204">
        <f t="shared" si="106"/>
        <v>-49.473636076519462</v>
      </c>
      <c r="DY70" s="204">
        <f t="shared" si="106"/>
        <v>-49.473636076519462</v>
      </c>
      <c r="DZ70" s="204">
        <f t="shared" si="106"/>
        <v>-49.473636076519462</v>
      </c>
      <c r="EA70" s="204">
        <f t="shared" si="106"/>
        <v>-49.473636076519462</v>
      </c>
      <c r="EB70" s="204">
        <f t="shared" si="106"/>
        <v>-49.473636076519462</v>
      </c>
      <c r="EC70" s="204">
        <f t="shared" si="106"/>
        <v>-49.473636076519462</v>
      </c>
      <c r="ED70" s="204">
        <f t="shared" si="106"/>
        <v>-49.473636076519462</v>
      </c>
      <c r="EE70" s="204">
        <f t="shared" si="106"/>
        <v>-49.473636076519462</v>
      </c>
      <c r="EF70" s="204">
        <f t="shared" ref="EF70:ET70" si="107">PV($F24,EF$9,1,0)+(PV($J$6,$N$5-(EF$9),1,0)/($J$6+1)^EF$9)</f>
        <v>-49.473636076519462</v>
      </c>
      <c r="EG70" s="204">
        <f t="shared" si="107"/>
        <v>-49.473636076519462</v>
      </c>
      <c r="EH70" s="204">
        <f t="shared" si="107"/>
        <v>-49.473636076519462</v>
      </c>
      <c r="EI70" s="204">
        <f t="shared" si="107"/>
        <v>-49.473636076519462</v>
      </c>
      <c r="EJ70" s="204">
        <f t="shared" si="107"/>
        <v>-49.473636076519462</v>
      </c>
      <c r="EK70" s="204">
        <f t="shared" si="107"/>
        <v>-49.473636076519462</v>
      </c>
      <c r="EL70" s="204">
        <f t="shared" si="107"/>
        <v>-49.473636076519462</v>
      </c>
      <c r="EM70" s="204">
        <f t="shared" si="107"/>
        <v>-49.473636076519462</v>
      </c>
      <c r="EN70" s="204">
        <f t="shared" si="107"/>
        <v>-49.473636076519462</v>
      </c>
      <c r="EO70" s="204">
        <f t="shared" si="107"/>
        <v>-49.473636076519462</v>
      </c>
      <c r="EP70" s="204">
        <f t="shared" si="107"/>
        <v>-49.473636076519462</v>
      </c>
      <c r="EQ70" s="204">
        <f t="shared" si="107"/>
        <v>-49.473636076519462</v>
      </c>
      <c r="ER70" s="204">
        <f t="shared" si="107"/>
        <v>-49.473636076519462</v>
      </c>
      <c r="ES70" s="204">
        <f t="shared" si="107"/>
        <v>-49.473636076519462</v>
      </c>
      <c r="ET70" s="204">
        <f t="shared" si="107"/>
        <v>-49.473636076519462</v>
      </c>
      <c r="FF70" s="6" t="s">
        <v>1166</v>
      </c>
      <c r="FG70" s="696">
        <v>2.5000000000000001E-2</v>
      </c>
      <c r="FH70" s="696">
        <v>96</v>
      </c>
      <c r="FI70" s="696">
        <v>2.1499999999999998E-2</v>
      </c>
      <c r="FJ70" s="255">
        <v>1.4499999999999999E-2</v>
      </c>
      <c r="FK70" s="71">
        <f t="shared" si="10"/>
        <v>2.5000000000000006E-4</v>
      </c>
      <c r="FL70" t="e">
        <f>VLOOKUP(FF70,'SIMULADOR COM SALDO'!$BX$22:$CK$1000,13,FALSE)</f>
        <v>#N/A</v>
      </c>
    </row>
    <row r="71" spans="7:168" x14ac:dyDescent="0.25">
      <c r="G71" s="205">
        <f t="shared" si="68"/>
        <v>-44.754851663797751</v>
      </c>
      <c r="H71" s="204">
        <f t="shared" ref="H71:BS71" si="108">PV($F25,H$9,1,0)+(PV($J$6,$N$5-(H$9),1,0)/($J$6+1)^H$9)</f>
        <v>-44.760046722986253</v>
      </c>
      <c r="I71" s="204">
        <f t="shared" si="108"/>
        <v>-44.767708066180461</v>
      </c>
      <c r="J71" s="204">
        <f t="shared" si="108"/>
        <v>-44.777751149679204</v>
      </c>
      <c r="K71" s="204">
        <f t="shared" si="108"/>
        <v>-44.790093582368307</v>
      </c>
      <c r="L71" s="204">
        <f t="shared" si="108"/>
        <v>-44.804655077045027</v>
      </c>
      <c r="M71" s="204">
        <f t="shared" si="108"/>
        <v>-44.821357402775213</v>
      </c>
      <c r="N71" s="204">
        <f t="shared" si="108"/>
        <v>-44.84012433826225</v>
      </c>
      <c r="O71" s="204">
        <f t="shared" si="108"/>
        <v>-44.860881626206961</v>
      </c>
      <c r="P71" s="204">
        <f t="shared" si="108"/>
        <v>-44.883556928638484</v>
      </c>
      <c r="Q71" s="204">
        <f t="shared" si="108"/>
        <v>-44.908079783196015</v>
      </c>
      <c r="R71" s="204">
        <f t="shared" si="108"/>
        <v>-44.934381560342125</v>
      </c>
      <c r="S71" s="204">
        <f t="shared" si="108"/>
        <v>-44.962395421488694</v>
      </c>
      <c r="T71" s="204">
        <f t="shared" si="108"/>
        <v>-44.992056278016477</v>
      </c>
      <c r="U71" s="204">
        <f t="shared" si="108"/>
        <v>-45.023300751170339</v>
      </c>
      <c r="V71" s="204">
        <f t="shared" si="108"/>
        <v>-45.056067132812025</v>
      </c>
      <c r="W71" s="204">
        <f t="shared" si="108"/>
        <v>-45.090295347012891</v>
      </c>
      <c r="X71" s="204">
        <f t="shared" si="108"/>
        <v>-45.125926912469446</v>
      </c>
      <c r="Y71" s="204">
        <f t="shared" si="108"/>
        <v>-45.162904905724801</v>
      </c>
      <c r="Z71" s="204">
        <f t="shared" si="108"/>
        <v>-45.201173925179376</v>
      </c>
      <c r="AA71" s="204">
        <f t="shared" si="108"/>
        <v>-45.240680055874741</v>
      </c>
      <c r="AB71" s="204">
        <f t="shared" si="108"/>
        <v>-45.28137083503475</v>
      </c>
      <c r="AC71" s="204">
        <f t="shared" si="108"/>
        <v>-45.323195218348211</v>
      </c>
      <c r="AD71" s="204">
        <f t="shared" si="108"/>
        <v>-45.366103546977953</v>
      </c>
      <c r="AE71" s="204">
        <f t="shared" si="108"/>
        <v>-45.410047515281349</v>
      </c>
      <c r="AF71" s="204">
        <f t="shared" si="108"/>
        <v>-45.454980139227523</v>
      </c>
      <c r="AG71" s="204">
        <f t="shared" si="108"/>
        <v>-45.500855725496919</v>
      </c>
      <c r="AH71" s="204">
        <f t="shared" si="108"/>
        <v>-45.547629841249275</v>
      </c>
      <c r="AI71" s="204">
        <f t="shared" si="108"/>
        <v>-45.595259284545932</v>
      </c>
      <c r="AJ71" s="204">
        <f t="shared" si="108"/>
        <v>-45.643702055413279</v>
      </c>
      <c r="AK71" s="204">
        <f t="shared" si="108"/>
        <v>-45.692917327533728</v>
      </c>
      <c r="AL71" s="204">
        <f t="shared" si="108"/>
        <v>-45.74286542055161</v>
      </c>
      <c r="AM71" s="204">
        <f t="shared" si="108"/>
        <v>-45.793507772980931</v>
      </c>
      <c r="AN71" s="204">
        <f t="shared" si="108"/>
        <v>-45.844806915702726</v>
      </c>
      <c r="AO71" s="204">
        <f t="shared" si="108"/>
        <v>-45.896726446039693</v>
      </c>
      <c r="AP71" s="204">
        <f t="shared" si="108"/>
        <v>-45.949231002396218</v>
      </c>
      <c r="AQ71" s="204">
        <f t="shared" si="108"/>
        <v>-46.002286239451962</v>
      </c>
      <c r="AR71" s="204">
        <f t="shared" si="108"/>
        <v>-46.055858803897507</v>
      </c>
      <c r="AS71" s="204">
        <f t="shared" si="108"/>
        <v>-46.109916310700967</v>
      </c>
      <c r="AT71" s="204">
        <f t="shared" si="108"/>
        <v>-46.16442731989423</v>
      </c>
      <c r="AU71" s="204">
        <f t="shared" si="108"/>
        <v>-46.219361313868347</v>
      </c>
      <c r="AV71" s="204">
        <f t="shared" si="108"/>
        <v>-46.274688675167155</v>
      </c>
      <c r="AW71" s="204">
        <f t="shared" si="108"/>
        <v>-46.33038066476896</v>
      </c>
      <c r="AX71" s="204">
        <f t="shared" si="108"/>
        <v>-46.386409400846048</v>
      </c>
      <c r="AY71" s="204">
        <f t="shared" si="108"/>
        <v>-46.442747837992002</v>
      </c>
      <c r="AZ71" s="204">
        <f t="shared" si="108"/>
        <v>-46.499369746907036</v>
      </c>
      <c r="BA71" s="204">
        <f t="shared" si="108"/>
        <v>-46.556249694531985</v>
      </c>
      <c r="BB71" s="204">
        <f t="shared" si="108"/>
        <v>-46.613363024621236</v>
      </c>
      <c r="BC71" s="204">
        <f t="shared" si="108"/>
        <v>-46.670685838745698</v>
      </c>
      <c r="BD71" s="204">
        <f t="shared" si="108"/>
        <v>-46.728194977716598</v>
      </c>
      <c r="BE71" s="204">
        <f t="shared" si="108"/>
        <v>-46.78586800342147</v>
      </c>
      <c r="BF71" s="204">
        <f t="shared" si="108"/>
        <v>-46.84368318106354</v>
      </c>
      <c r="BG71" s="204">
        <f t="shared" si="108"/>
        <v>-46.901619461796088</v>
      </c>
      <c r="BH71" s="204">
        <f t="shared" si="108"/>
        <v>-46.959656465743514</v>
      </c>
      <c r="BI71" s="204">
        <f t="shared" si="108"/>
        <v>-47.017774465400962</v>
      </c>
      <c r="BJ71" s="204">
        <f t="shared" si="108"/>
        <v>-47.075954369404499</v>
      </c>
      <c r="BK71" s="204">
        <f t="shared" si="108"/>
        <v>-47.13417770666414</v>
      </c>
      <c r="BL71" s="204">
        <f t="shared" si="108"/>
        <v>-47.192426610851918</v>
      </c>
      <c r="BM71" s="204">
        <f t="shared" si="108"/>
        <v>-47.250683805237756</v>
      </c>
      <c r="BN71" s="204">
        <f t="shared" si="108"/>
        <v>-47.308932587865471</v>
      </c>
      <c r="BO71" s="204">
        <f t="shared" si="108"/>
        <v>-47.367156817062053</v>
      </c>
      <c r="BP71" s="204">
        <f t="shared" si="108"/>
        <v>-47.42534089727296</v>
      </c>
      <c r="BQ71" s="204">
        <f t="shared" si="108"/>
        <v>-47.483469765216562</v>
      </c>
      <c r="BR71" s="204">
        <f t="shared" si="108"/>
        <v>-47.541528876351137</v>
      </c>
      <c r="BS71" s="204">
        <f t="shared" si="108"/>
        <v>-47.599504191647512</v>
      </c>
      <c r="BT71" s="204">
        <f t="shared" ref="BT71:EE71" si="109">PV($F25,BT$9,1,0)+(PV($J$6,$N$5-(BT$9),1,0)/($J$6+1)^BT$9)</f>
        <v>-47.657382164661165</v>
      </c>
      <c r="BU71" s="204">
        <f t="shared" si="109"/>
        <v>-47.715149728897167</v>
      </c>
      <c r="BV71" s="204">
        <f t="shared" si="109"/>
        <v>-47.77279428546197</v>
      </c>
      <c r="BW71" s="204">
        <f t="shared" si="109"/>
        <v>-47.830303690995812</v>
      </c>
      <c r="BX71" s="204">
        <f t="shared" si="109"/>
        <v>-47.887666245879743</v>
      </c>
      <c r="BY71" s="204">
        <f t="shared" si="109"/>
        <v>-47.944870682711525</v>
      </c>
      <c r="BZ71" s="204">
        <f t="shared" si="109"/>
        <v>-48.00190615504463</v>
      </c>
      <c r="CA71" s="204">
        <f t="shared" si="109"/>
        <v>-48.05876222638468</v>
      </c>
      <c r="CB71" s="204">
        <f t="shared" si="109"/>
        <v>-48.115428859437884</v>
      </c>
      <c r="CC71" s="204">
        <f t="shared" si="109"/>
        <v>-48.171896405606084</v>
      </c>
      <c r="CD71" s="204">
        <f t="shared" si="109"/>
        <v>-48.228155594723084</v>
      </c>
      <c r="CE71" s="204">
        <f t="shared" si="109"/>
        <v>-48.284197525027167</v>
      </c>
      <c r="CF71" s="204">
        <f t="shared" si="109"/>
        <v>-48.340013653364686</v>
      </c>
      <c r="CG71" s="204">
        <f t="shared" si="109"/>
        <v>-48.395595785619783</v>
      </c>
      <c r="CH71" s="204">
        <f t="shared" si="109"/>
        <v>-48.450936067365419</v>
      </c>
      <c r="CI71" s="204">
        <f t="shared" si="109"/>
        <v>-48.506026974730837</v>
      </c>
      <c r="CJ71" s="204">
        <f t="shared" si="109"/>
        <v>-48.560861305481026</v>
      </c>
      <c r="CK71" s="204">
        <f t="shared" si="109"/>
        <v>-48.615432170303372</v>
      </c>
      <c r="CL71" s="204">
        <f t="shared" si="109"/>
        <v>-48.669732984297134</v>
      </c>
      <c r="CM71" s="204">
        <f t="shared" si="109"/>
        <v>-48.723757458661552</v>
      </c>
      <c r="CN71" s="204">
        <f t="shared" si="109"/>
        <v>-48.777499592577868</v>
      </c>
      <c r="CO71" s="204">
        <f t="shared" si="109"/>
        <v>-48.830953665281534</v>
      </c>
      <c r="CP71" s="204">
        <f t="shared" si="109"/>
        <v>-48.884114228320172</v>
      </c>
      <c r="CQ71" s="204">
        <f t="shared" si="109"/>
        <v>-48.936976097993416</v>
      </c>
      <c r="CR71" s="204">
        <f t="shared" si="109"/>
        <v>-48.989534347970633</v>
      </c>
      <c r="CS71" s="204">
        <f t="shared" si="109"/>
        <v>-49.041784302082704</v>
      </c>
      <c r="CT71" s="204">
        <f t="shared" si="109"/>
        <v>-49.093721527283989</v>
      </c>
      <c r="CU71" s="204">
        <f t="shared" si="109"/>
        <v>-49.145341826780928</v>
      </c>
      <c r="CV71" s="204">
        <f t="shared" si="109"/>
        <v>-49.196641233323533</v>
      </c>
      <c r="CW71" s="204">
        <f t="shared" si="109"/>
        <v>-49.247616002656223</v>
      </c>
      <c r="CX71" s="204">
        <f t="shared" si="109"/>
        <v>-49.298262607124599</v>
      </c>
      <c r="CY71" s="204">
        <f t="shared" si="109"/>
        <v>-49.298262607124599</v>
      </c>
      <c r="CZ71" s="204">
        <f t="shared" si="109"/>
        <v>-49.298262607124599</v>
      </c>
      <c r="DA71" s="204">
        <f t="shared" si="109"/>
        <v>-49.298262607124599</v>
      </c>
      <c r="DB71" s="204">
        <f t="shared" si="109"/>
        <v>-49.298262607124599</v>
      </c>
      <c r="DC71" s="204">
        <f t="shared" si="109"/>
        <v>-49.298262607124599</v>
      </c>
      <c r="DD71" s="204">
        <f t="shared" si="109"/>
        <v>-49.298262607124599</v>
      </c>
      <c r="DE71" s="204">
        <f t="shared" si="109"/>
        <v>-49.298262607124599</v>
      </c>
      <c r="DF71" s="204">
        <f t="shared" si="109"/>
        <v>-49.298262607124599</v>
      </c>
      <c r="DG71" s="204">
        <f t="shared" si="109"/>
        <v>-49.298262607124599</v>
      </c>
      <c r="DH71" s="204">
        <f t="shared" si="109"/>
        <v>-49.298262607124599</v>
      </c>
      <c r="DI71" s="204">
        <f t="shared" si="109"/>
        <v>-49.298262607124599</v>
      </c>
      <c r="DJ71" s="204">
        <f t="shared" si="109"/>
        <v>-49.298262607124599</v>
      </c>
      <c r="DK71" s="204">
        <f t="shared" si="109"/>
        <v>-49.298262607124599</v>
      </c>
      <c r="DL71" s="204">
        <f t="shared" si="109"/>
        <v>-49.298262607124599</v>
      </c>
      <c r="DM71" s="204">
        <f t="shared" si="109"/>
        <v>-49.298262607124599</v>
      </c>
      <c r="DN71" s="204">
        <f t="shared" si="109"/>
        <v>-49.298262607124599</v>
      </c>
      <c r="DO71" s="204">
        <f t="shared" si="109"/>
        <v>-49.298262607124599</v>
      </c>
      <c r="DP71" s="204">
        <f t="shared" si="109"/>
        <v>-49.298262607124599</v>
      </c>
      <c r="DQ71" s="204">
        <f t="shared" si="109"/>
        <v>-49.298262607124599</v>
      </c>
      <c r="DR71" s="204">
        <f t="shared" si="109"/>
        <v>-49.298262607124599</v>
      </c>
      <c r="DS71" s="204">
        <f t="shared" si="109"/>
        <v>-49.298262607124599</v>
      </c>
      <c r="DT71" s="204">
        <f t="shared" si="109"/>
        <v>-49.298262607124599</v>
      </c>
      <c r="DU71" s="204">
        <f t="shared" si="109"/>
        <v>-49.298262607124599</v>
      </c>
      <c r="DV71" s="204">
        <f t="shared" si="109"/>
        <v>-49.298262607124599</v>
      </c>
      <c r="DW71" s="204">
        <f t="shared" si="109"/>
        <v>-49.298262607124599</v>
      </c>
      <c r="DX71" s="204">
        <f t="shared" si="109"/>
        <v>-49.298262607124599</v>
      </c>
      <c r="DY71" s="204">
        <f t="shared" si="109"/>
        <v>-49.298262607124599</v>
      </c>
      <c r="DZ71" s="204">
        <f t="shared" si="109"/>
        <v>-49.298262607124599</v>
      </c>
      <c r="EA71" s="204">
        <f t="shared" si="109"/>
        <v>-49.298262607124599</v>
      </c>
      <c r="EB71" s="204">
        <f t="shared" si="109"/>
        <v>-49.298262607124599</v>
      </c>
      <c r="EC71" s="204">
        <f t="shared" si="109"/>
        <v>-49.298262607124599</v>
      </c>
      <c r="ED71" s="204">
        <f t="shared" si="109"/>
        <v>-49.298262607124599</v>
      </c>
      <c r="EE71" s="204">
        <f t="shared" si="109"/>
        <v>-49.298262607124599</v>
      </c>
      <c r="EF71" s="204">
        <f t="shared" ref="EF71:ET71" si="110">PV($F25,EF$9,1,0)+(PV($J$6,$N$5-(EF$9),1,0)/($J$6+1)^EF$9)</f>
        <v>-49.298262607124599</v>
      </c>
      <c r="EG71" s="204">
        <f t="shared" si="110"/>
        <v>-49.298262607124599</v>
      </c>
      <c r="EH71" s="204">
        <f t="shared" si="110"/>
        <v>-49.298262607124599</v>
      </c>
      <c r="EI71" s="204">
        <f t="shared" si="110"/>
        <v>-49.298262607124599</v>
      </c>
      <c r="EJ71" s="204">
        <f t="shared" si="110"/>
        <v>-49.298262607124599</v>
      </c>
      <c r="EK71" s="204">
        <f t="shared" si="110"/>
        <v>-49.298262607124599</v>
      </c>
      <c r="EL71" s="204">
        <f t="shared" si="110"/>
        <v>-49.298262607124599</v>
      </c>
      <c r="EM71" s="204">
        <f t="shared" si="110"/>
        <v>-49.298262607124599</v>
      </c>
      <c r="EN71" s="204">
        <f t="shared" si="110"/>
        <v>-49.298262607124599</v>
      </c>
      <c r="EO71" s="204">
        <f t="shared" si="110"/>
        <v>-49.298262607124599</v>
      </c>
      <c r="EP71" s="204">
        <f t="shared" si="110"/>
        <v>-49.298262607124599</v>
      </c>
      <c r="EQ71" s="204">
        <f t="shared" si="110"/>
        <v>-49.298262607124599</v>
      </c>
      <c r="ER71" s="204">
        <f t="shared" si="110"/>
        <v>-49.298262607124599</v>
      </c>
      <c r="ES71" s="204">
        <f t="shared" si="110"/>
        <v>-49.298262607124599</v>
      </c>
      <c r="ET71" s="204">
        <f t="shared" si="110"/>
        <v>-49.298262607124599</v>
      </c>
      <c r="FF71" s="6" t="s">
        <v>1509</v>
      </c>
      <c r="FG71" s="696">
        <v>2.5000000000000001E-2</v>
      </c>
      <c r="FH71" s="696">
        <v>96</v>
      </c>
      <c r="FI71" s="696">
        <v>2.1499999999999998E-2</v>
      </c>
      <c r="FJ71" s="255">
        <v>1.4499999999999999E-2</v>
      </c>
      <c r="FK71" s="71">
        <f t="shared" si="10"/>
        <v>2.5000000000000006E-4</v>
      </c>
      <c r="FL71" t="e">
        <f>VLOOKUP(FF71,'SIMULADOR COM SALDO'!$BX$22:$CK$1000,13,FALSE)</f>
        <v>#N/A</v>
      </c>
    </row>
    <row r="72" spans="7:168" x14ac:dyDescent="0.25">
      <c r="G72" s="205">
        <f t="shared" si="68"/>
        <v>-44.754757060795924</v>
      </c>
      <c r="H72" s="204">
        <f t="shared" ref="H72:BS72" si="111">PV($F26,H$9,1,0)+(PV($J$6,$N$5-(H$9),1,0)/($J$6+1)^H$9)</f>
        <v>-44.759765859774269</v>
      </c>
      <c r="I72" s="204">
        <f t="shared" si="111"/>
        <v>-44.767152162547603</v>
      </c>
      <c r="J72" s="204">
        <f t="shared" si="111"/>
        <v>-44.776834235044689</v>
      </c>
      <c r="K72" s="204">
        <f t="shared" si="111"/>
        <v>-44.788732429813876</v>
      </c>
      <c r="L72" s="204">
        <f t="shared" si="111"/>
        <v>-44.80276913872067</v>
      </c>
      <c r="M72" s="204">
        <f t="shared" si="111"/>
        <v>-44.818868746651184</v>
      </c>
      <c r="N72" s="204">
        <f t="shared" si="111"/>
        <v>-44.836957586201116</v>
      </c>
      <c r="O72" s="204">
        <f t="shared" si="111"/>
        <v>-44.856963893329933</v>
      </c>
      <c r="P72" s="204">
        <f t="shared" si="111"/>
        <v>-44.878817763960711</v>
      </c>
      <c r="Q72" s="204">
        <f t="shared" si="111"/>
        <v>-44.902451111506046</v>
      </c>
      <c r="R72" s="204">
        <f t="shared" si="111"/>
        <v>-44.92779762530121</v>
      </c>
      <c r="S72" s="204">
        <f t="shared" si="111"/>
        <v>-44.954792729925941</v>
      </c>
      <c r="T72" s="204">
        <f t="shared" si="111"/>
        <v>-44.983373545396546</v>
      </c>
      <c r="U72" s="204">
        <f t="shared" si="111"/>
        <v>-45.013478848210582</v>
      </c>
      <c r="V72" s="204">
        <f t="shared" si="111"/>
        <v>-45.045049033226476</v>
      </c>
      <c r="W72" s="204">
        <f t="shared" si="111"/>
        <v>-45.078026076361041</v>
      </c>
      <c r="X72" s="204">
        <f t="shared" si="111"/>
        <v>-45.112353498088012</v>
      </c>
      <c r="Y72" s="204">
        <f t="shared" si="111"/>
        <v>-45.147976327721167</v>
      </c>
      <c r="Z72" s="204">
        <f t="shared" si="111"/>
        <v>-45.184841068465822</v>
      </c>
      <c r="AA72" s="204">
        <f t="shared" si="111"/>
        <v>-45.222895663222886</v>
      </c>
      <c r="AB72" s="204">
        <f t="shared" si="111"/>
        <v>-45.262089461130074</v>
      </c>
      <c r="AC72" s="204">
        <f t="shared" si="111"/>
        <v>-45.302373184824916</v>
      </c>
      <c r="AD72" s="204">
        <f t="shared" si="111"/>
        <v>-45.343698898414786</v>
      </c>
      <c r="AE72" s="204">
        <f t="shared" si="111"/>
        <v>-45.386019976139295</v>
      </c>
      <c r="AF72" s="204">
        <f t="shared" si="111"/>
        <v>-45.429291071710814</v>
      </c>
      <c r="AG72" s="204">
        <f t="shared" si="111"/>
        <v>-45.473468088318917</v>
      </c>
      <c r="AH72" s="204">
        <f t="shared" si="111"/>
        <v>-45.518508149285395</v>
      </c>
      <c r="AI72" s="204">
        <f t="shared" si="111"/>
        <v>-45.564369569355897</v>
      </c>
      <c r="AJ72" s="204">
        <f t="shared" si="111"/>
        <v>-45.611011826615382</v>
      </c>
      <c r="AK72" s="204">
        <f t="shared" si="111"/>
        <v>-45.658395535014328</v>
      </c>
      <c r="AL72" s="204">
        <f t="shared" si="111"/>
        <v>-45.706482417492978</v>
      </c>
      <c r="AM72" s="204">
        <f t="shared" si="111"/>
        <v>-45.755235279691234</v>
      </c>
      <c r="AN72" s="204">
        <f t="shared" si="111"/>
        <v>-45.804617984232223</v>
      </c>
      <c r="AO72" s="204">
        <f t="shared" si="111"/>
        <v>-45.854595425567254</v>
      </c>
      <c r="AP72" s="204">
        <f t="shared" si="111"/>
        <v>-45.90513350537087</v>
      </c>
      <c r="AQ72" s="204">
        <f t="shared" si="111"/>
        <v>-45.956199108474294</v>
      </c>
      <c r="AR72" s="204">
        <f t="shared" si="111"/>
        <v>-46.007760079326189</v>
      </c>
      <c r="AS72" s="204">
        <f t="shared" si="111"/>
        <v>-46.059785198969649</v>
      </c>
      <c r="AT72" s="204">
        <f t="shared" si="111"/>
        <v>-46.112244162524803</v>
      </c>
      <c r="AU72" s="204">
        <f t="shared" si="111"/>
        <v>-46.165107557166301</v>
      </c>
      <c r="AV72" s="204">
        <f t="shared" si="111"/>
        <v>-46.218346840585554</v>
      </c>
      <c r="AW72" s="204">
        <f t="shared" si="111"/>
        <v>-46.27193431992734</v>
      </c>
      <c r="AX72" s="204">
        <f t="shared" si="111"/>
        <v>-46.325843131191164</v>
      </c>
      <c r="AY72" s="204">
        <f t="shared" si="111"/>
        <v>-46.380047219087444</v>
      </c>
      <c r="AZ72" s="204">
        <f t="shared" si="111"/>
        <v>-46.434521317338962</v>
      </c>
      <c r="BA72" s="204">
        <f t="shared" si="111"/>
        <v>-46.489240929418571</v>
      </c>
      <c r="BB72" s="204">
        <f t="shared" si="111"/>
        <v>-46.544182309713477</v>
      </c>
      <c r="BC72" s="204">
        <f t="shared" si="111"/>
        <v>-46.599322445107688</v>
      </c>
      <c r="BD72" s="204">
        <f t="shared" si="111"/>
        <v>-46.654639036973578</v>
      </c>
      <c r="BE72" s="204">
        <f t="shared" si="111"/>
        <v>-46.710110483563923</v>
      </c>
      <c r="BF72" s="204">
        <f t="shared" si="111"/>
        <v>-46.765715862796114</v>
      </c>
      <c r="BG72" s="204">
        <f t="shared" si="111"/>
        <v>-46.821434915420276</v>
      </c>
      <c r="BH72" s="204">
        <f t="shared" si="111"/>
        <v>-46.877248028563159</v>
      </c>
      <c r="BI72" s="204">
        <f t="shared" si="111"/>
        <v>-46.933136219639898</v>
      </c>
      <c r="BJ72" s="204">
        <f t="shared" si="111"/>
        <v>-46.989081120625954</v>
      </c>
      <c r="BK72" s="204">
        <f t="shared" si="111"/>
        <v>-47.045064962681472</v>
      </c>
      <c r="BL72" s="204">
        <f t="shared" si="111"/>
        <v>-47.101070561120771</v>
      </c>
      <c r="BM72" s="204">
        <f t="shared" si="111"/>
        <v>-47.157081300719639</v>
      </c>
      <c r="BN72" s="204">
        <f t="shared" si="111"/>
        <v>-47.213081121353149</v>
      </c>
      <c r="BO72" s="204">
        <f t="shared" si="111"/>
        <v>-47.269054503957221</v>
      </c>
      <c r="BP72" s="204">
        <f t="shared" si="111"/>
        <v>-47.324986456806869</v>
      </c>
      <c r="BQ72" s="204">
        <f t="shared" si="111"/>
        <v>-47.380862502104577</v>
      </c>
      <c r="BR72" s="204">
        <f t="shared" si="111"/>
        <v>-47.436668662872052</v>
      </c>
      <c r="BS72" s="204">
        <f t="shared" si="111"/>
        <v>-47.492391450139039</v>
      </c>
      <c r="BT72" s="204">
        <f t="shared" ref="BT72:EE72" si="112">PV($F26,BT$9,1,0)+(PV($J$6,$N$5-(BT$9),1,0)/($J$6+1)^BT$9)</f>
        <v>-47.548017850422873</v>
      </c>
      <c r="BU72" s="204">
        <f t="shared" si="112"/>
        <v>-47.603535313492543</v>
      </c>
      <c r="BV72" s="204">
        <f t="shared" si="112"/>
        <v>-47.658931740411148</v>
      </c>
      <c r="BW72" s="204">
        <f t="shared" si="112"/>
        <v>-47.714195471850978</v>
      </c>
      <c r="BX72" s="204">
        <f t="shared" si="112"/>
        <v>-47.769315276675215</v>
      </c>
      <c r="BY72" s="204">
        <f t="shared" si="112"/>
        <v>-47.824280340780717</v>
      </c>
      <c r="BZ72" s="204">
        <f t="shared" si="112"/>
        <v>-47.879080256196239</v>
      </c>
      <c r="CA72" s="204">
        <f t="shared" si="112"/>
        <v>-47.933705010430558</v>
      </c>
      <c r="CB72" s="204">
        <f t="shared" si="112"/>
        <v>-47.988144976065264</v>
      </c>
      <c r="CC72" s="204">
        <f t="shared" si="112"/>
        <v>-48.042390900586966</v>
      </c>
      <c r="CD72" s="204">
        <f t="shared" si="112"/>
        <v>-48.096433896453703</v>
      </c>
      <c r="CE72" s="204">
        <f t="shared" si="112"/>
        <v>-48.15026543139053</v>
      </c>
      <c r="CF72" s="204">
        <f t="shared" si="112"/>
        <v>-48.203877318909505</v>
      </c>
      <c r="CG72" s="204">
        <f t="shared" si="112"/>
        <v>-48.257261709049047</v>
      </c>
      <c r="CH72" s="204">
        <f t="shared" si="112"/>
        <v>-48.310411079328063</v>
      </c>
      <c r="CI72" s="204">
        <f t="shared" si="112"/>
        <v>-48.363318225910234</v>
      </c>
      <c r="CJ72" s="204">
        <f t="shared" si="112"/>
        <v>-48.415976254973799</v>
      </c>
      <c r="CK72" s="204">
        <f t="shared" si="112"/>
        <v>-48.468378574282575</v>
      </c>
      <c r="CL72" s="204">
        <f t="shared" si="112"/>
        <v>-48.520518884953688</v>
      </c>
      <c r="CM72" s="204">
        <f t="shared" si="112"/>
        <v>-48.572391173417977</v>
      </c>
      <c r="CN72" s="204">
        <f t="shared" si="112"/>
        <v>-48.623989703568562</v>
      </c>
      <c r="CO72" s="204">
        <f t="shared" si="112"/>
        <v>-48.67530900909393</v>
      </c>
      <c r="CP72" s="204">
        <f t="shared" si="112"/>
        <v>-48.726343885991163</v>
      </c>
      <c r="CQ72" s="204">
        <f t="shared" si="112"/>
        <v>-48.777089385255564</v>
      </c>
      <c r="CR72" s="204">
        <f t="shared" si="112"/>
        <v>-48.827540805742927</v>
      </c>
      <c r="CS72" s="204">
        <f t="shared" si="112"/>
        <v>-48.87769368720037</v>
      </c>
      <c r="CT72" s="204">
        <f t="shared" si="112"/>
        <v>-48.927543803462591</v>
      </c>
      <c r="CU72" s="204">
        <f t="shared" si="112"/>
        <v>-48.977087155809308</v>
      </c>
      <c r="CV72" s="204">
        <f t="shared" si="112"/>
        <v>-49.026319966480948</v>
      </c>
      <c r="CW72" s="204">
        <f t="shared" si="112"/>
        <v>-49.075238672348689</v>
      </c>
      <c r="CX72" s="204">
        <f t="shared" si="112"/>
        <v>-49.123839918735747</v>
      </c>
      <c r="CY72" s="204">
        <f t="shared" si="112"/>
        <v>-49.123839918735747</v>
      </c>
      <c r="CZ72" s="204">
        <f t="shared" si="112"/>
        <v>-49.123839918735747</v>
      </c>
      <c r="DA72" s="204">
        <f t="shared" si="112"/>
        <v>-49.123839918735747</v>
      </c>
      <c r="DB72" s="204">
        <f t="shared" si="112"/>
        <v>-49.123839918735747</v>
      </c>
      <c r="DC72" s="204">
        <f t="shared" si="112"/>
        <v>-49.123839918735747</v>
      </c>
      <c r="DD72" s="204">
        <f t="shared" si="112"/>
        <v>-49.123839918735747</v>
      </c>
      <c r="DE72" s="204">
        <f t="shared" si="112"/>
        <v>-49.123839918735747</v>
      </c>
      <c r="DF72" s="204">
        <f t="shared" si="112"/>
        <v>-49.123839918735747</v>
      </c>
      <c r="DG72" s="204">
        <f t="shared" si="112"/>
        <v>-49.123839918735747</v>
      </c>
      <c r="DH72" s="204">
        <f t="shared" si="112"/>
        <v>-49.123839918735747</v>
      </c>
      <c r="DI72" s="204">
        <f t="shared" si="112"/>
        <v>-49.123839918735747</v>
      </c>
      <c r="DJ72" s="204">
        <f t="shared" si="112"/>
        <v>-49.123839918735747</v>
      </c>
      <c r="DK72" s="204">
        <f t="shared" si="112"/>
        <v>-49.123839918735747</v>
      </c>
      <c r="DL72" s="204">
        <f t="shared" si="112"/>
        <v>-49.123839918735747</v>
      </c>
      <c r="DM72" s="204">
        <f t="shared" si="112"/>
        <v>-49.123839918735747</v>
      </c>
      <c r="DN72" s="204">
        <f t="shared" si="112"/>
        <v>-49.123839918735747</v>
      </c>
      <c r="DO72" s="204">
        <f t="shared" si="112"/>
        <v>-49.123839918735747</v>
      </c>
      <c r="DP72" s="204">
        <f t="shared" si="112"/>
        <v>-49.123839918735747</v>
      </c>
      <c r="DQ72" s="204">
        <f t="shared" si="112"/>
        <v>-49.123839918735747</v>
      </c>
      <c r="DR72" s="204">
        <f t="shared" si="112"/>
        <v>-49.123839918735747</v>
      </c>
      <c r="DS72" s="204">
        <f t="shared" si="112"/>
        <v>-49.123839918735747</v>
      </c>
      <c r="DT72" s="204">
        <f t="shared" si="112"/>
        <v>-49.123839918735747</v>
      </c>
      <c r="DU72" s="204">
        <f t="shared" si="112"/>
        <v>-49.123839918735747</v>
      </c>
      <c r="DV72" s="204">
        <f t="shared" si="112"/>
        <v>-49.123839918735747</v>
      </c>
      <c r="DW72" s="204">
        <f t="shared" si="112"/>
        <v>-49.123839918735747</v>
      </c>
      <c r="DX72" s="204">
        <f t="shared" si="112"/>
        <v>-49.123839918735747</v>
      </c>
      <c r="DY72" s="204">
        <f t="shared" si="112"/>
        <v>-49.123839918735747</v>
      </c>
      <c r="DZ72" s="204">
        <f t="shared" si="112"/>
        <v>-49.123839918735747</v>
      </c>
      <c r="EA72" s="204">
        <f t="shared" si="112"/>
        <v>-49.123839918735747</v>
      </c>
      <c r="EB72" s="204">
        <f t="shared" si="112"/>
        <v>-49.123839918735747</v>
      </c>
      <c r="EC72" s="204">
        <f t="shared" si="112"/>
        <v>-49.123839918735747</v>
      </c>
      <c r="ED72" s="204">
        <f t="shared" si="112"/>
        <v>-49.123839918735747</v>
      </c>
      <c r="EE72" s="204">
        <f t="shared" si="112"/>
        <v>-49.123839918735747</v>
      </c>
      <c r="EF72" s="204">
        <f t="shared" ref="EF72:ET72" si="113">PV($F26,EF$9,1,0)+(PV($J$6,$N$5-(EF$9),1,0)/($J$6+1)^EF$9)</f>
        <v>-49.123839918735747</v>
      </c>
      <c r="EG72" s="204">
        <f t="shared" si="113"/>
        <v>-49.123839918735747</v>
      </c>
      <c r="EH72" s="204">
        <f t="shared" si="113"/>
        <v>-49.123839918735747</v>
      </c>
      <c r="EI72" s="204">
        <f t="shared" si="113"/>
        <v>-49.123839918735747</v>
      </c>
      <c r="EJ72" s="204">
        <f t="shared" si="113"/>
        <v>-49.123839918735747</v>
      </c>
      <c r="EK72" s="204">
        <f t="shared" si="113"/>
        <v>-49.123839918735747</v>
      </c>
      <c r="EL72" s="204">
        <f t="shared" si="113"/>
        <v>-49.123839918735747</v>
      </c>
      <c r="EM72" s="204">
        <f t="shared" si="113"/>
        <v>-49.123839918735747</v>
      </c>
      <c r="EN72" s="204">
        <f t="shared" si="113"/>
        <v>-49.123839918735747</v>
      </c>
      <c r="EO72" s="204">
        <f t="shared" si="113"/>
        <v>-49.123839918735747</v>
      </c>
      <c r="EP72" s="204">
        <f t="shared" si="113"/>
        <v>-49.123839918735747</v>
      </c>
      <c r="EQ72" s="204">
        <f t="shared" si="113"/>
        <v>-49.123839918735747</v>
      </c>
      <c r="ER72" s="204">
        <f t="shared" si="113"/>
        <v>-49.123839918735747</v>
      </c>
      <c r="ES72" s="204">
        <f t="shared" si="113"/>
        <v>-49.123839918735747</v>
      </c>
      <c r="ET72" s="204">
        <f t="shared" si="113"/>
        <v>-49.123839918735747</v>
      </c>
      <c r="FF72" s="6" t="s">
        <v>3014</v>
      </c>
      <c r="FG72" s="696">
        <v>2.5000000000000001E-2</v>
      </c>
      <c r="FH72" s="696">
        <v>120</v>
      </c>
      <c r="FI72" s="696">
        <v>1.9400000000000001E-2</v>
      </c>
      <c r="FJ72" s="255">
        <v>1.4999999999999999E-2</v>
      </c>
      <c r="FK72" s="71">
        <f t="shared" si="10"/>
        <v>2.3809523809523815E-4</v>
      </c>
      <c r="FL72" t="e">
        <f>VLOOKUP(FF72,'SIMULADOR COM SALDO'!$BX$22:$CK$1000,13,FALSE)</f>
        <v>#N/A</v>
      </c>
    </row>
    <row r="73" spans="7:168" x14ac:dyDescent="0.25">
      <c r="G73" s="205">
        <f t="shared" si="68"/>
        <v>-44.754662475974044</v>
      </c>
      <c r="H73" s="204">
        <f t="shared" ref="H73:BS73" si="114">PV($F27,H$9,1,0)+(PV($J$6,$N$5-(H$9),1,0)/($J$6+1)^H$9)</f>
        <v>-44.759485068430287</v>
      </c>
      <c r="I73" s="204">
        <f t="shared" si="114"/>
        <v>-44.766596436482033</v>
      </c>
      <c r="J73" s="204">
        <f t="shared" si="114"/>
        <v>-44.775917671391774</v>
      </c>
      <c r="K73" s="204">
        <f t="shared" si="114"/>
        <v>-44.787371884300356</v>
      </c>
      <c r="L73" s="204">
        <f t="shared" si="114"/>
        <v>-44.800884160322013</v>
      </c>
      <c r="M73" s="204">
        <f t="shared" si="114"/>
        <v>-44.816381513618119</v>
      </c>
      <c r="N73" s="204">
        <f t="shared" si="114"/>
        <v>-44.833792843429499</v>
      </c>
      <c r="O73" s="204">
        <f t="shared" si="114"/>
        <v>-44.853048891047649</v>
      </c>
      <c r="P73" s="204">
        <f t="shared" si="114"/>
        <v>-44.874082197705491</v>
      </c>
      <c r="Q73" s="204">
        <f t="shared" si="114"/>
        <v>-44.896827063369088</v>
      </c>
      <c r="R73" s="204">
        <f t="shared" si="114"/>
        <v>-44.921219506411383</v>
      </c>
      <c r="S73" s="204">
        <f t="shared" si="114"/>
        <v>-44.94719722415045</v>
      </c>
      <c r="T73" s="204">
        <f t="shared" si="114"/>
        <v>-44.97469955423378</v>
      </c>
      <c r="U73" s="204">
        <f t="shared" si="114"/>
        <v>-45.003667436851693</v>
      </c>
      <c r="V73" s="204">
        <f t="shared" si="114"/>
        <v>-45.034043377762679</v>
      </c>
      <c r="W73" s="204">
        <f t="shared" si="114"/>
        <v>-45.065771412113932</v>
      </c>
      <c r="X73" s="204">
        <f t="shared" si="114"/>
        <v>-45.098797069040614</v>
      </c>
      <c r="Y73" s="204">
        <f t="shared" si="114"/>
        <v>-45.133067337027953</v>
      </c>
      <c r="Z73" s="204">
        <f t="shared" si="114"/>
        <v>-45.168530630020257</v>
      </c>
      <c r="AA73" s="204">
        <f t="shared" si="114"/>
        <v>-45.20513675426173</v>
      </c>
      <c r="AB73" s="204">
        <f t="shared" si="114"/>
        <v>-45.242836875853477</v>
      </c>
      <c r="AC73" s="204">
        <f t="shared" si="114"/>
        <v>-45.281583489012419</v>
      </c>
      <c r="AD73" s="204">
        <f t="shared" si="114"/>
        <v>-45.321330385017248</v>
      </c>
      <c r="AE73" s="204">
        <f t="shared" si="114"/>
        <v>-45.362032621827439</v>
      </c>
      <c r="AF73" s="204">
        <f t="shared" si="114"/>
        <v>-45.403646494361098</v>
      </c>
      <c r="AG73" s="204">
        <f t="shared" si="114"/>
        <v>-45.446129505418355</v>
      </c>
      <c r="AH73" s="204">
        <f t="shared" si="114"/>
        <v>-45.489440337236559</v>
      </c>
      <c r="AI73" s="204">
        <f t="shared" si="114"/>
        <v>-45.533538823664514</v>
      </c>
      <c r="AJ73" s="204">
        <f t="shared" si="114"/>
        <v>-45.578385922942644</v>
      </c>
      <c r="AK73" s="204">
        <f t="shared" si="114"/>
        <v>-45.623943691076519</v>
      </c>
      <c r="AL73" s="204">
        <f t="shared" si="114"/>
        <v>-45.670175255791612</v>
      </c>
      <c r="AM73" s="204">
        <f t="shared" si="114"/>
        <v>-45.71704479105702</v>
      </c>
      <c r="AN73" s="204">
        <f t="shared" si="114"/>
        <v>-45.764517492166291</v>
      </c>
      <c r="AO73" s="204">
        <f t="shared" si="114"/>
        <v>-45.81255955136389</v>
      </c>
      <c r="AP73" s="204">
        <f t="shared" si="114"/>
        <v>-45.861138134005849</v>
      </c>
      <c r="AQ73" s="204">
        <f t="shared" si="114"/>
        <v>-45.910221355243465</v>
      </c>
      <c r="AR73" s="204">
        <f t="shared" si="114"/>
        <v>-45.959778257219071</v>
      </c>
      <c r="AS73" s="204">
        <f t="shared" si="114"/>
        <v>-46.009778786763377</v>
      </c>
      <c r="AT73" s="204">
        <f t="shared" si="114"/>
        <v>-46.060193773583656</v>
      </c>
      <c r="AU73" s="204">
        <f t="shared" si="114"/>
        <v>-46.110994908932739</v>
      </c>
      <c r="AV73" s="204">
        <f t="shared" si="114"/>
        <v>-46.162154724748568</v>
      </c>
      <c r="AW73" s="204">
        <f t="shared" si="114"/>
        <v>-46.213646573254508</v>
      </c>
      <c r="AX73" s="204">
        <f t="shared" si="114"/>
        <v>-46.265444607010906</v>
      </c>
      <c r="AY73" s="204">
        <f t="shared" si="114"/>
        <v>-46.317523759408232</v>
      </c>
      <c r="AZ73" s="204">
        <f t="shared" si="114"/>
        <v>-46.369859725592633</v>
      </c>
      <c r="BA73" s="204">
        <f t="shared" si="114"/>
        <v>-46.422428943814765</v>
      </c>
      <c r="BB73" s="204">
        <f t="shared" si="114"/>
        <v>-46.475208577193143</v>
      </c>
      <c r="BC73" s="204">
        <f t="shared" si="114"/>
        <v>-46.528176495883159</v>
      </c>
      <c r="BD73" s="204">
        <f t="shared" si="114"/>
        <v>-46.581311259643158</v>
      </c>
      <c r="BE73" s="204">
        <f t="shared" si="114"/>
        <v>-46.634592100789519</v>
      </c>
      <c r="BF73" s="204">
        <f t="shared" si="114"/>
        <v>-46.687998907532112</v>
      </c>
      <c r="BG73" s="204">
        <f t="shared" si="114"/>
        <v>-46.741512207682575</v>
      </c>
      <c r="BH73" s="204">
        <f t="shared" si="114"/>
        <v>-46.795113152727097</v>
      </c>
      <c r="BI73" s="204">
        <f t="shared" si="114"/>
        <v>-46.848783502256261</v>
      </c>
      <c r="BJ73" s="204">
        <f t="shared" si="114"/>
        <v>-46.902505608744463</v>
      </c>
      <c r="BK73" s="204">
        <f t="shared" si="114"/>
        <v>-46.956262402671236</v>
      </c>
      <c r="BL73" s="204">
        <f t="shared" si="114"/>
        <v>-47.010037377977483</v>
      </c>
      <c r="BM73" s="204">
        <f t="shared" si="114"/>
        <v>-47.063814577849399</v>
      </c>
      <c r="BN73" s="204">
        <f t="shared" si="114"/>
        <v>-47.11757858082315</v>
      </c>
      <c r="BO73" s="204">
        <f t="shared" si="114"/>
        <v>-47.171314487203595</v>
      </c>
      <c r="BP73" s="204">
        <f t="shared" si="114"/>
        <v>-47.225007905790235</v>
      </c>
      <c r="BQ73" s="204">
        <f t="shared" si="114"/>
        <v>-47.27864494090386</v>
      </c>
      <c r="BR73" s="204">
        <f t="shared" si="114"/>
        <v>-47.332212179707739</v>
      </c>
      <c r="BS73" s="204">
        <f t="shared" si="114"/>
        <v>-47.385696679816697</v>
      </c>
      <c r="BT73" s="204">
        <f t="shared" ref="BT73:EE73" si="115">PV($F27,BT$9,1,0)+(PV($J$6,$N$5-(BT$9),1,0)/($J$6+1)^BT$9)</f>
        <v>-47.439085957188247</v>
      </c>
      <c r="BU73" s="204">
        <f t="shared" si="115"/>
        <v>-47.492367974289706</v>
      </c>
      <c r="BV73" s="204">
        <f t="shared" si="115"/>
        <v>-47.545531128535188</v>
      </c>
      <c r="BW73" s="204">
        <f t="shared" si="115"/>
        <v>-47.598564240987038</v>
      </c>
      <c r="BX73" s="204">
        <f t="shared" si="115"/>
        <v>-47.651456545315774</v>
      </c>
      <c r="BY73" s="204">
        <f t="shared" si="115"/>
        <v>-47.704197677013191</v>
      </c>
      <c r="BZ73" s="204">
        <f t="shared" si="115"/>
        <v>-47.756777662853032</v>
      </c>
      <c r="CA73" s="204">
        <f t="shared" si="115"/>
        <v>-47.809186910594121</v>
      </c>
      <c r="CB73" s="204">
        <f t="shared" si="115"/>
        <v>-47.86141619892053</v>
      </c>
      <c r="CC73" s="204">
        <f t="shared" si="115"/>
        <v>-47.913456667613886</v>
      </c>
      <c r="CD73" s="204">
        <f t="shared" si="115"/>
        <v>-47.965299807952668</v>
      </c>
      <c r="CE73" s="204">
        <f t="shared" si="115"/>
        <v>-48.016937453333746</v>
      </c>
      <c r="CF73" s="204">
        <f t="shared" si="115"/>
        <v>-48.068361770111288</v>
      </c>
      <c r="CG73" s="204">
        <f t="shared" si="115"/>
        <v>-48.119565248648307</v>
      </c>
      <c r="CH73" s="204">
        <f t="shared" si="115"/>
        <v>-48.170540694576417</v>
      </c>
      <c r="CI73" s="204">
        <f t="shared" si="115"/>
        <v>-48.221281220259122</v>
      </c>
      <c r="CJ73" s="204">
        <f t="shared" si="115"/>
        <v>-48.271780236454383</v>
      </c>
      <c r="CK73" s="204">
        <f t="shared" si="115"/>
        <v>-48.322031444172005</v>
      </c>
      <c r="CL73" s="204">
        <f t="shared" si="115"/>
        <v>-48.372028826721746</v>
      </c>
      <c r="CM73" s="204">
        <f t="shared" si="115"/>
        <v>-48.421766641948011</v>
      </c>
      <c r="CN73" s="204">
        <f t="shared" si="115"/>
        <v>-48.471239414646952</v>
      </c>
      <c r="CO73" s="204">
        <f t="shared" si="115"/>
        <v>-48.520441929162104</v>
      </c>
      <c r="CP73" s="204">
        <f t="shared" si="115"/>
        <v>-48.569369222154734</v>
      </c>
      <c r="CQ73" s="204">
        <f t="shared" si="115"/>
        <v>-48.618016575544956</v>
      </c>
      <c r="CR73" s="204">
        <f t="shared" si="115"/>
        <v>-48.66637950962</v>
      </c>
      <c r="CS73" s="204">
        <f t="shared" si="115"/>
        <v>-48.714453776305902</v>
      </c>
      <c r="CT73" s="204">
        <f t="shared" si="115"/>
        <v>-48.762235352599156</v>
      </c>
      <c r="CU73" s="204">
        <f t="shared" si="115"/>
        <v>-48.809720434154698</v>
      </c>
      <c r="CV73" s="204">
        <f t="shared" si="115"/>
        <v>-48.856905429026959</v>
      </c>
      <c r="CW73" s="204">
        <f t="shared" si="115"/>
        <v>-48.903786951560392</v>
      </c>
      <c r="CX73" s="204">
        <f t="shared" si="115"/>
        <v>-48.950361816426522</v>
      </c>
      <c r="CY73" s="204">
        <f t="shared" si="115"/>
        <v>-48.950361816426522</v>
      </c>
      <c r="CZ73" s="204">
        <f t="shared" si="115"/>
        <v>-48.950361816426522</v>
      </c>
      <c r="DA73" s="204">
        <f t="shared" si="115"/>
        <v>-48.950361816426522</v>
      </c>
      <c r="DB73" s="204">
        <f t="shared" si="115"/>
        <v>-48.950361816426522</v>
      </c>
      <c r="DC73" s="204">
        <f t="shared" si="115"/>
        <v>-48.950361816426522</v>
      </c>
      <c r="DD73" s="204">
        <f t="shared" si="115"/>
        <v>-48.950361816426522</v>
      </c>
      <c r="DE73" s="204">
        <f t="shared" si="115"/>
        <v>-48.950361816426522</v>
      </c>
      <c r="DF73" s="204">
        <f t="shared" si="115"/>
        <v>-48.950361816426522</v>
      </c>
      <c r="DG73" s="204">
        <f t="shared" si="115"/>
        <v>-48.950361816426522</v>
      </c>
      <c r="DH73" s="204">
        <f t="shared" si="115"/>
        <v>-48.950361816426522</v>
      </c>
      <c r="DI73" s="204">
        <f t="shared" si="115"/>
        <v>-48.950361816426522</v>
      </c>
      <c r="DJ73" s="204">
        <f t="shared" si="115"/>
        <v>-48.950361816426522</v>
      </c>
      <c r="DK73" s="204">
        <f t="shared" si="115"/>
        <v>-48.950361816426522</v>
      </c>
      <c r="DL73" s="204">
        <f t="shared" si="115"/>
        <v>-48.950361816426522</v>
      </c>
      <c r="DM73" s="204">
        <f t="shared" si="115"/>
        <v>-48.950361816426522</v>
      </c>
      <c r="DN73" s="204">
        <f t="shared" si="115"/>
        <v>-48.950361816426522</v>
      </c>
      <c r="DO73" s="204">
        <f t="shared" si="115"/>
        <v>-48.950361816426522</v>
      </c>
      <c r="DP73" s="204">
        <f t="shared" si="115"/>
        <v>-48.950361816426522</v>
      </c>
      <c r="DQ73" s="204">
        <f t="shared" si="115"/>
        <v>-48.950361816426522</v>
      </c>
      <c r="DR73" s="204">
        <f t="shared" si="115"/>
        <v>-48.950361816426522</v>
      </c>
      <c r="DS73" s="204">
        <f t="shared" si="115"/>
        <v>-48.950361816426522</v>
      </c>
      <c r="DT73" s="204">
        <f t="shared" si="115"/>
        <v>-48.950361816426522</v>
      </c>
      <c r="DU73" s="204">
        <f t="shared" si="115"/>
        <v>-48.950361816426522</v>
      </c>
      <c r="DV73" s="204">
        <f t="shared" si="115"/>
        <v>-48.950361816426522</v>
      </c>
      <c r="DW73" s="204">
        <f t="shared" si="115"/>
        <v>-48.950361816426522</v>
      </c>
      <c r="DX73" s="204">
        <f t="shared" si="115"/>
        <v>-48.950361816426522</v>
      </c>
      <c r="DY73" s="204">
        <f t="shared" si="115"/>
        <v>-48.950361816426522</v>
      </c>
      <c r="DZ73" s="204">
        <f t="shared" si="115"/>
        <v>-48.950361816426522</v>
      </c>
      <c r="EA73" s="204">
        <f t="shared" si="115"/>
        <v>-48.950361816426522</v>
      </c>
      <c r="EB73" s="204">
        <f t="shared" si="115"/>
        <v>-48.950361816426522</v>
      </c>
      <c r="EC73" s="204">
        <f t="shared" si="115"/>
        <v>-48.950361816426522</v>
      </c>
      <c r="ED73" s="204">
        <f t="shared" si="115"/>
        <v>-48.950361816426522</v>
      </c>
      <c r="EE73" s="204">
        <f t="shared" si="115"/>
        <v>-48.950361816426522</v>
      </c>
      <c r="EF73" s="204">
        <f t="shared" ref="EF73:ET73" si="116">PV($F27,EF$9,1,0)+(PV($J$6,$N$5-(EF$9),1,0)/($J$6+1)^EF$9)</f>
        <v>-48.950361816426522</v>
      </c>
      <c r="EG73" s="204">
        <f t="shared" si="116"/>
        <v>-48.950361816426522</v>
      </c>
      <c r="EH73" s="204">
        <f t="shared" si="116"/>
        <v>-48.950361816426522</v>
      </c>
      <c r="EI73" s="204">
        <f t="shared" si="116"/>
        <v>-48.950361816426522</v>
      </c>
      <c r="EJ73" s="204">
        <f t="shared" si="116"/>
        <v>-48.950361816426522</v>
      </c>
      <c r="EK73" s="204">
        <f t="shared" si="116"/>
        <v>-48.950361816426522</v>
      </c>
      <c r="EL73" s="204">
        <f t="shared" si="116"/>
        <v>-48.950361816426522</v>
      </c>
      <c r="EM73" s="204">
        <f t="shared" si="116"/>
        <v>-48.950361816426522</v>
      </c>
      <c r="EN73" s="204">
        <f t="shared" si="116"/>
        <v>-48.950361816426522</v>
      </c>
      <c r="EO73" s="204">
        <f t="shared" si="116"/>
        <v>-48.950361816426522</v>
      </c>
      <c r="EP73" s="204">
        <f t="shared" si="116"/>
        <v>-48.950361816426522</v>
      </c>
      <c r="EQ73" s="204">
        <f t="shared" si="116"/>
        <v>-48.950361816426522</v>
      </c>
      <c r="ER73" s="204">
        <f t="shared" si="116"/>
        <v>-48.950361816426522</v>
      </c>
      <c r="ES73" s="204">
        <f t="shared" si="116"/>
        <v>-48.950361816426522</v>
      </c>
      <c r="ET73" s="204">
        <f t="shared" si="116"/>
        <v>-48.950361816426522</v>
      </c>
      <c r="FF73" s="6" t="s">
        <v>3015</v>
      </c>
      <c r="FG73" s="696">
        <v>2.2499999999999999E-2</v>
      </c>
      <c r="FH73" s="696">
        <v>96</v>
      </c>
      <c r="FI73" s="696">
        <v>2.07E-2</v>
      </c>
      <c r="FJ73" s="255">
        <v>1.4999999999999999E-2</v>
      </c>
      <c r="FK73" s="71">
        <f t="shared" si="10"/>
        <v>1.7857142857142857E-4</v>
      </c>
      <c r="FL73" t="e">
        <f>VLOOKUP(FF73,'SIMULADOR COM SALDO'!$BX$22:$CK$1000,13,FALSE)</f>
        <v>#N/A</v>
      </c>
    </row>
    <row r="74" spans="7:168" x14ac:dyDescent="0.25">
      <c r="G74" s="205">
        <f t="shared" si="68"/>
        <v>-44.754567909326823</v>
      </c>
      <c r="H74" s="204">
        <f t="shared" ref="H74:BS74" si="117">PV($F28,H$9,1,0)+(PV($J$6,$N$5-(H$9),1,0)/($J$6+1)^H$9)</f>
        <v>-44.759204348928385</v>
      </c>
      <c r="I74" s="204">
        <f t="shared" si="117"/>
        <v>-44.766040887906996</v>
      </c>
      <c r="J74" s="204">
        <f t="shared" si="117"/>
        <v>-44.775001458543805</v>
      </c>
      <c r="K74" s="204">
        <f t="shared" si="117"/>
        <v>-44.786011945478904</v>
      </c>
      <c r="L74" s="204">
        <f t="shared" si="117"/>
        <v>-44.799000141229001</v>
      </c>
      <c r="M74" s="204">
        <f t="shared" si="117"/>
        <v>-44.813895702655543</v>
      </c>
      <c r="N74" s="204">
        <f t="shared" si="117"/>
        <v>-44.830630108363948</v>
      </c>
      <c r="O74" s="204">
        <f t="shared" si="117"/>
        <v>-44.849136617014622</v>
      </c>
      <c r="P74" s="204">
        <f t="shared" si="117"/>
        <v>-44.869350226527231</v>
      </c>
      <c r="Q74" s="204">
        <f t="shared" si="117"/>
        <v>-44.891207634159734</v>
      </c>
      <c r="R74" s="204">
        <f t="shared" si="117"/>
        <v>-44.914647197443983</v>
      </c>
      <c r="S74" s="204">
        <f t="shared" si="117"/>
        <v>-44.939608895960859</v>
      </c>
      <c r="T74" s="204">
        <f t="shared" si="117"/>
        <v>-44.966034293936865</v>
      </c>
      <c r="U74" s="204">
        <f t="shared" si="117"/>
        <v>-44.993866503645748</v>
      </c>
      <c r="V74" s="204">
        <f t="shared" si="117"/>
        <v>-45.023050149598539</v>
      </c>
      <c r="W74" s="204">
        <f t="shared" si="117"/>
        <v>-45.05353133350539</v>
      </c>
      <c r="X74" s="204">
        <f t="shared" si="117"/>
        <v>-45.085257599993625</v>
      </c>
      <c r="Y74" s="204">
        <f t="shared" si="117"/>
        <v>-45.118177903066254</v>
      </c>
      <c r="Z74" s="204">
        <f t="shared" si="117"/>
        <v>-45.152242573285562</v>
      </c>
      <c r="AA74" s="204">
        <f t="shared" si="117"/>
        <v>-45.187403285666818</v>
      </c>
      <c r="AB74" s="204">
        <f t="shared" si="117"/>
        <v>-45.223613028267565</v>
      </c>
      <c r="AC74" s="204">
        <f t="shared" si="117"/>
        <v>-45.260826071457757</v>
      </c>
      <c r="AD74" s="204">
        <f t="shared" si="117"/>
        <v>-45.298997937856925</v>
      </c>
      <c r="AE74" s="204">
        <f t="shared" si="117"/>
        <v>-45.338085372924368</v>
      </c>
      <c r="AF74" s="204">
        <f t="shared" si="117"/>
        <v>-45.378046316188971</v>
      </c>
      <c r="AG74" s="204">
        <f t="shared" si="117"/>
        <v>-45.418839873105071</v>
      </c>
      <c r="AH74" s="204">
        <f t="shared" si="117"/>
        <v>-45.460426287521784</v>
      </c>
      <c r="AI74" s="204">
        <f t="shared" si="117"/>
        <v>-45.502766914752613</v>
      </c>
      <c r="AJ74" s="204">
        <f t="shared" si="117"/>
        <v>-45.545824195233251</v>
      </c>
      <c r="AK74" s="204">
        <f t="shared" si="117"/>
        <v>-45.589561628754907</v>
      </c>
      <c r="AL74" s="204">
        <f t="shared" si="117"/>
        <v>-45.633943749261519</v>
      </c>
      <c r="AM74" s="204">
        <f t="shared" si="117"/>
        <v>-45.678936100198982</v>
      </c>
      <c r="AN74" s="204">
        <f t="shared" si="117"/>
        <v>-45.724505210404736</v>
      </c>
      <c r="AO74" s="204">
        <f t="shared" si="117"/>
        <v>-45.770618570526636</v>
      </c>
      <c r="AP74" s="204">
        <f t="shared" si="117"/>
        <v>-45.817244609960014</v>
      </c>
      <c r="AQ74" s="204">
        <f t="shared" si="117"/>
        <v>-45.864352674291908</v>
      </c>
      <c r="AR74" s="204">
        <f t="shared" si="117"/>
        <v>-45.91191300324212</v>
      </c>
      <c r="AS74" s="204">
        <f t="shared" si="117"/>
        <v>-45.959896709090529</v>
      </c>
      <c r="AT74" s="204">
        <f t="shared" si="117"/>
        <v>-46.008275755580513</v>
      </c>
      <c r="AU74" s="204">
        <f t="shared" si="117"/>
        <v>-46.057022937288501</v>
      </c>
      <c r="AV74" s="204">
        <f t="shared" si="117"/>
        <v>-46.106111859449982</v>
      </c>
      <c r="AW74" s="204">
        <f t="shared" si="117"/>
        <v>-46.155516918232081</v>
      </c>
      <c r="AX74" s="204">
        <f t="shared" si="117"/>
        <v>-46.205213281443761</v>
      </c>
      <c r="AY74" s="204">
        <f t="shared" si="117"/>
        <v>-46.255176869674074</v>
      </c>
      <c r="AZ74" s="204">
        <f t="shared" si="117"/>
        <v>-46.305384337849716</v>
      </c>
      <c r="BA74" s="204">
        <f t="shared" si="117"/>
        <v>-46.355813057202738</v>
      </c>
      <c r="BB74" s="204">
        <f t="shared" si="117"/>
        <v>-46.406441097640339</v>
      </c>
      <c r="BC74" s="204">
        <f t="shared" si="117"/>
        <v>-46.457247210507518</v>
      </c>
      <c r="BD74" s="204">
        <f t="shared" si="117"/>
        <v>-46.508210811734926</v>
      </c>
      <c r="BE74" s="204">
        <f t="shared" si="117"/>
        <v>-46.559311965363534</v>
      </c>
      <c r="BF74" s="204">
        <f t="shared" si="117"/>
        <v>-46.610531367438</v>
      </c>
      <c r="BG74" s="204">
        <f t="shared" si="117"/>
        <v>-46.661850330261316</v>
      </c>
      <c r="BH74" s="204">
        <f t="shared" si="117"/>
        <v>-46.713250767002734</v>
      </c>
      <c r="BI74" s="204">
        <f t="shared" si="117"/>
        <v>-46.764715176651649</v>
      </c>
      <c r="BJ74" s="204">
        <f t="shared" si="117"/>
        <v>-46.816226629310137</v>
      </c>
      <c r="BK74" s="204">
        <f t="shared" si="117"/>
        <v>-46.867768751816897</v>
      </c>
      <c r="BL74" s="204">
        <f t="shared" si="117"/>
        <v>-46.919325713695557</v>
      </c>
      <c r="BM74" s="204">
        <f t="shared" si="117"/>
        <v>-46.970882213420474</v>
      </c>
      <c r="BN74" s="204">
        <f t="shared" si="117"/>
        <v>-47.022423464993331</v>
      </c>
      <c r="BO74" s="204">
        <f t="shared" si="117"/>
        <v>-47.073935184823789</v>
      </c>
      <c r="BP74" s="204">
        <f t="shared" si="117"/>
        <v>-47.125403578907871</v>
      </c>
      <c r="BQ74" s="204">
        <f t="shared" si="117"/>
        <v>-47.176815330297551</v>
      </c>
      <c r="BR74" s="204">
        <f t="shared" si="117"/>
        <v>-47.228157586855609</v>
      </c>
      <c r="BS74" s="204">
        <f t="shared" si="117"/>
        <v>-47.279417949289261</v>
      </c>
      <c r="BT74" s="204">
        <f t="shared" ref="BT74:EE74" si="118">PV($F28,BT$9,1,0)+(PV($J$6,$N$5-(BT$9),1,0)/($J$6+1)^BT$9)</f>
        <v>-47.33058445945705</v>
      </c>
      <c r="BU74" s="204">
        <f t="shared" si="118"/>
        <v>-47.381645588942803</v>
      </c>
      <c r="BV74" s="204">
        <f t="shared" si="118"/>
        <v>-47.43259022789114</v>
      </c>
      <c r="BW74" s="204">
        <f t="shared" si="118"/>
        <v>-47.483407674098856</v>
      </c>
      <c r="BX74" s="204">
        <f t="shared" si="118"/>
        <v>-47.534087622356651</v>
      </c>
      <c r="BY74" s="204">
        <f t="shared" si="118"/>
        <v>-47.58462015403596</v>
      </c>
      <c r="BZ74" s="204">
        <f t="shared" si="118"/>
        <v>-47.634995726915484</v>
      </c>
      <c r="CA74" s="204">
        <f t="shared" si="118"/>
        <v>-47.685205165242365</v>
      </c>
      <c r="CB74" s="204">
        <f t="shared" si="118"/>
        <v>-47.735239650022862</v>
      </c>
      <c r="CC74" s="204">
        <f t="shared" si="118"/>
        <v>-47.785090709537677</v>
      </c>
      <c r="CD74" s="204">
        <f t="shared" si="118"/>
        <v>-47.83475021007704</v>
      </c>
      <c r="CE74" s="204">
        <f t="shared" si="118"/>
        <v>-47.884210346890868</v>
      </c>
      <c r="CF74" s="204">
        <f t="shared" si="118"/>
        <v>-47.933463635349177</v>
      </c>
      <c r="CG74" s="204">
        <f t="shared" si="118"/>
        <v>-47.982502902308461</v>
      </c>
      <c r="CH74" s="204">
        <f t="shared" si="118"/>
        <v>-48.031321277679396</v>
      </c>
      <c r="CI74" s="204">
        <f t="shared" si="118"/>
        <v>-48.079912186191542</v>
      </c>
      <c r="CJ74" s="204">
        <f t="shared" si="118"/>
        <v>-48.128269339350801</v>
      </c>
      <c r="CK74" s="204">
        <f t="shared" si="118"/>
        <v>-48.176386727585474</v>
      </c>
      <c r="CL74" s="204">
        <f t="shared" si="118"/>
        <v>-48.224258612576719</v>
      </c>
      <c r="CM74" s="204">
        <f t="shared" si="118"/>
        <v>-48.271879519769527</v>
      </c>
      <c r="CN74" s="204">
        <f t="shared" si="118"/>
        <v>-48.319244231060161</v>
      </c>
      <c r="CO74" s="204">
        <f t="shared" si="118"/>
        <v>-48.366347777656323</v>
      </c>
      <c r="CP74" s="204">
        <f t="shared" si="118"/>
        <v>-48.413185433106236</v>
      </c>
      <c r="CQ74" s="204">
        <f t="shared" si="118"/>
        <v>-48.459752706492871</v>
      </c>
      <c r="CR74" s="204">
        <f t="shared" si="118"/>
        <v>-48.506045335789935</v>
      </c>
      <c r="CS74" s="204">
        <f t="shared" si="118"/>
        <v>-48.552059281375747</v>
      </c>
      <c r="CT74" s="204">
        <f t="shared" si="118"/>
        <v>-48.597790719701919</v>
      </c>
      <c r="CU74" s="204">
        <f t="shared" si="118"/>
        <v>-48.643236037113098</v>
      </c>
      <c r="CV74" s="204">
        <f t="shared" si="118"/>
        <v>-48.688391823814776</v>
      </c>
      <c r="CW74" s="204">
        <f t="shared" si="118"/>
        <v>-48.733254867985565</v>
      </c>
      <c r="CX74" s="204">
        <f t="shared" si="118"/>
        <v>-48.777822150031135</v>
      </c>
      <c r="CY74" s="204">
        <f t="shared" si="118"/>
        <v>-48.777822150031135</v>
      </c>
      <c r="CZ74" s="204">
        <f t="shared" si="118"/>
        <v>-48.777822150031135</v>
      </c>
      <c r="DA74" s="204">
        <f t="shared" si="118"/>
        <v>-48.777822150031135</v>
      </c>
      <c r="DB74" s="204">
        <f t="shared" si="118"/>
        <v>-48.777822150031135</v>
      </c>
      <c r="DC74" s="204">
        <f t="shared" si="118"/>
        <v>-48.777822150031135</v>
      </c>
      <c r="DD74" s="204">
        <f t="shared" si="118"/>
        <v>-48.777822150031135</v>
      </c>
      <c r="DE74" s="204">
        <f t="shared" si="118"/>
        <v>-48.777822150031135</v>
      </c>
      <c r="DF74" s="204">
        <f t="shared" si="118"/>
        <v>-48.777822150031135</v>
      </c>
      <c r="DG74" s="204">
        <f t="shared" si="118"/>
        <v>-48.777822150031135</v>
      </c>
      <c r="DH74" s="204">
        <f t="shared" si="118"/>
        <v>-48.777822150031135</v>
      </c>
      <c r="DI74" s="204">
        <f t="shared" si="118"/>
        <v>-48.777822150031135</v>
      </c>
      <c r="DJ74" s="204">
        <f t="shared" si="118"/>
        <v>-48.777822150031135</v>
      </c>
      <c r="DK74" s="204">
        <f t="shared" si="118"/>
        <v>-48.777822150031135</v>
      </c>
      <c r="DL74" s="204">
        <f t="shared" si="118"/>
        <v>-48.777822150031135</v>
      </c>
      <c r="DM74" s="204">
        <f t="shared" si="118"/>
        <v>-48.777822150031135</v>
      </c>
      <c r="DN74" s="204">
        <f t="shared" si="118"/>
        <v>-48.777822150031135</v>
      </c>
      <c r="DO74" s="204">
        <f t="shared" si="118"/>
        <v>-48.777822150031135</v>
      </c>
      <c r="DP74" s="204">
        <f t="shared" si="118"/>
        <v>-48.777822150031135</v>
      </c>
      <c r="DQ74" s="204">
        <f t="shared" si="118"/>
        <v>-48.777822150031135</v>
      </c>
      <c r="DR74" s="204">
        <f t="shared" si="118"/>
        <v>-48.777822150031135</v>
      </c>
      <c r="DS74" s="204">
        <f t="shared" si="118"/>
        <v>-48.777822150031135</v>
      </c>
      <c r="DT74" s="204">
        <f t="shared" si="118"/>
        <v>-48.777822150031135</v>
      </c>
      <c r="DU74" s="204">
        <f t="shared" si="118"/>
        <v>-48.777822150031135</v>
      </c>
      <c r="DV74" s="204">
        <f t="shared" si="118"/>
        <v>-48.777822150031135</v>
      </c>
      <c r="DW74" s="204">
        <f t="shared" si="118"/>
        <v>-48.777822150031135</v>
      </c>
      <c r="DX74" s="204">
        <f t="shared" si="118"/>
        <v>-48.777822150031135</v>
      </c>
      <c r="DY74" s="204">
        <f t="shared" si="118"/>
        <v>-48.777822150031135</v>
      </c>
      <c r="DZ74" s="204">
        <f t="shared" si="118"/>
        <v>-48.777822150031135</v>
      </c>
      <c r="EA74" s="204">
        <f t="shared" si="118"/>
        <v>-48.777822150031135</v>
      </c>
      <c r="EB74" s="204">
        <f t="shared" si="118"/>
        <v>-48.777822150031135</v>
      </c>
      <c r="EC74" s="204">
        <f t="shared" si="118"/>
        <v>-48.777822150031135</v>
      </c>
      <c r="ED74" s="204">
        <f t="shared" si="118"/>
        <v>-48.777822150031135</v>
      </c>
      <c r="EE74" s="204">
        <f t="shared" si="118"/>
        <v>-48.777822150031135</v>
      </c>
      <c r="EF74" s="204">
        <f t="shared" ref="EF74:ET74" si="119">PV($F28,EF$9,1,0)+(PV($J$6,$N$5-(EF$9),1,0)/($J$6+1)^EF$9)</f>
        <v>-48.777822150031135</v>
      </c>
      <c r="EG74" s="204">
        <f t="shared" si="119"/>
        <v>-48.777822150031135</v>
      </c>
      <c r="EH74" s="204">
        <f t="shared" si="119"/>
        <v>-48.777822150031135</v>
      </c>
      <c r="EI74" s="204">
        <f t="shared" si="119"/>
        <v>-48.777822150031135</v>
      </c>
      <c r="EJ74" s="204">
        <f t="shared" si="119"/>
        <v>-48.777822150031135</v>
      </c>
      <c r="EK74" s="204">
        <f t="shared" si="119"/>
        <v>-48.777822150031135</v>
      </c>
      <c r="EL74" s="204">
        <f t="shared" si="119"/>
        <v>-48.777822150031135</v>
      </c>
      <c r="EM74" s="204">
        <f t="shared" si="119"/>
        <v>-48.777822150031135</v>
      </c>
      <c r="EN74" s="204">
        <f t="shared" si="119"/>
        <v>-48.777822150031135</v>
      </c>
      <c r="EO74" s="204">
        <f t="shared" si="119"/>
        <v>-48.777822150031135</v>
      </c>
      <c r="EP74" s="204">
        <f t="shared" si="119"/>
        <v>-48.777822150031135</v>
      </c>
      <c r="EQ74" s="204">
        <f t="shared" si="119"/>
        <v>-48.777822150031135</v>
      </c>
      <c r="ER74" s="204">
        <f t="shared" si="119"/>
        <v>-48.777822150031135</v>
      </c>
      <c r="ES74" s="204">
        <f t="shared" si="119"/>
        <v>-48.777822150031135</v>
      </c>
      <c r="ET74" s="204">
        <f t="shared" si="119"/>
        <v>-48.777822150031135</v>
      </c>
      <c r="FF74" s="6" t="s">
        <v>3016</v>
      </c>
      <c r="FG74" s="696">
        <v>2.4900000000000002E-2</v>
      </c>
      <c r="FH74" s="696">
        <v>120</v>
      </c>
      <c r="FI74" s="696">
        <v>1.5700000000000002E-2</v>
      </c>
      <c r="FJ74" s="255">
        <v>1.37E-2</v>
      </c>
      <c r="FK74" s="71">
        <f t="shared" si="10"/>
        <v>2.6666666666666668E-4</v>
      </c>
      <c r="FL74" t="e">
        <f>VLOOKUP(FF74,'SIMULADOR COM SALDO'!$BX$22:$CK$1000,13,FALSE)</f>
        <v>#N/A</v>
      </c>
    </row>
    <row r="75" spans="7:168" x14ac:dyDescent="0.25">
      <c r="G75" s="205">
        <f t="shared" si="68"/>
        <v>-44.754473360849055</v>
      </c>
      <c r="H75" s="204">
        <f t="shared" ref="H75:BS75" si="120">PV($F29,H$9,1,0)+(PV($J$6,$N$5-(H$9),1,0)/($J$6+1)^H$9)</f>
        <v>-44.758923701242708</v>
      </c>
      <c r="I75" s="204">
        <f t="shared" si="120"/>
        <v>-44.76548551674594</v>
      </c>
      <c r="J75" s="204">
        <f t="shared" si="120"/>
        <v>-44.774085596324284</v>
      </c>
      <c r="K75" s="204">
        <f t="shared" si="120"/>
        <v>-44.784652613000986</v>
      </c>
      <c r="L75" s="204">
        <f t="shared" si="120"/>
        <v>-44.797117080822176</v>
      </c>
      <c r="M75" s="204">
        <f t="shared" si="120"/>
        <v>-44.811411312744049</v>
      </c>
      <c r="N75" s="204">
        <f t="shared" si="120"/>
        <v>-44.827469379422567</v>
      </c>
      <c r="O75" s="204">
        <f t="shared" si="120"/>
        <v>-44.845227068887837</v>
      </c>
      <c r="P75" s="204">
        <f t="shared" si="120"/>
        <v>-44.864621847084088</v>
      </c>
      <c r="Q75" s="204">
        <f t="shared" si="120"/>
        <v>-44.885592819258108</v>
      </c>
      <c r="R75" s="204">
        <f t="shared" si="120"/>
        <v>-44.908080692178153</v>
      </c>
      <c r="S75" s="204">
        <f t="shared" si="120"/>
        <v>-44.932027737166621</v>
      </c>
      <c r="T75" s="204">
        <f t="shared" si="120"/>
        <v>-44.957377753929229</v>
      </c>
      <c r="U75" s="204">
        <f t="shared" si="120"/>
        <v>-44.984076035164591</v>
      </c>
      <c r="V75" s="204">
        <f t="shared" si="120"/>
        <v>-45.012069331937809</v>
      </c>
      <c r="W75" s="204">
        <f t="shared" si="120"/>
        <v>-45.041305819802616</v>
      </c>
      <c r="X75" s="204">
        <f t="shared" si="120"/>
        <v>-45.071735065656028</v>
      </c>
      <c r="Y75" s="204">
        <f t="shared" si="120"/>
        <v>-45.103307995310985</v>
      </c>
      <c r="Z75" s="204">
        <f t="shared" si="120"/>
        <v>-45.13597686177151</v>
      </c>
      <c r="AA75" s="204">
        <f t="shared" si="120"/>
        <v>-45.169695214196224</v>
      </c>
      <c r="AB75" s="204">
        <f t="shared" si="120"/>
        <v>-45.204417867535746</v>
      </c>
      <c r="AC75" s="204">
        <f t="shared" si="120"/>
        <v>-45.240100872830055</v>
      </c>
      <c r="AD75" s="204">
        <f t="shared" si="120"/>
        <v>-45.276701488151943</v>
      </c>
      <c r="AE75" s="204">
        <f t="shared" si="120"/>
        <v>-45.314178150183494</v>
      </c>
      <c r="AF75" s="204">
        <f t="shared" si="120"/>
        <v>-45.352490446411977</v>
      </c>
      <c r="AG75" s="204">
        <f t="shared" si="120"/>
        <v>-45.391599087932534</v>
      </c>
      <c r="AH75" s="204">
        <f t="shared" si="120"/>
        <v>-45.431465882844989</v>
      </c>
      <c r="AI75" s="204">
        <f t="shared" si="120"/>
        <v>-45.472053710232331</v>
      </c>
      <c r="AJ75" s="204">
        <f t="shared" si="120"/>
        <v>-45.513326494708792</v>
      </c>
      <c r="AK75" s="204">
        <f t="shared" si="120"/>
        <v>-45.555249181525582</v>
      </c>
      <c r="AL75" s="204">
        <f t="shared" si="120"/>
        <v>-45.59778771222269</v>
      </c>
      <c r="AM75" s="204">
        <f t="shared" si="120"/>
        <v>-45.640909000815313</v>
      </c>
      <c r="AN75" s="204">
        <f t="shared" si="120"/>
        <v>-45.684580910503726</v>
      </c>
      <c r="AO75" s="204">
        <f t="shared" si="120"/>
        <v>-45.728772230895665</v>
      </c>
      <c r="AP75" s="204">
        <f t="shared" si="120"/>
        <v>-45.773452655730438</v>
      </c>
      <c r="AQ75" s="204">
        <f t="shared" si="120"/>
        <v>-45.818592761094365</v>
      </c>
      <c r="AR75" s="204">
        <f t="shared" si="120"/>
        <v>-45.86416398411707</v>
      </c>
      <c r="AS75" s="204">
        <f t="shared" si="120"/>
        <v>-45.910138602138773</v>
      </c>
      <c r="AT75" s="204">
        <f t="shared" si="120"/>
        <v>-45.95648971233831</v>
      </c>
      <c r="AU75" s="204">
        <f t="shared" si="120"/>
        <v>-46.003191211812776</v>
      </c>
      <c r="AV75" s="204">
        <f t="shared" si="120"/>
        <v>-46.050217778098684</v>
      </c>
      <c r="AW75" s="204">
        <f t="shared" si="120"/>
        <v>-46.09754485012575</v>
      </c>
      <c r="AX75" s="204">
        <f t="shared" si="120"/>
        <v>-46.14514860959406</v>
      </c>
      <c r="AY75" s="204">
        <f t="shared" si="120"/>
        <v>-46.19300596276571</v>
      </c>
      <c r="AZ75" s="204">
        <f t="shared" si="120"/>
        <v>-46.241094522662166</v>
      </c>
      <c r="BA75" s="204">
        <f t="shared" si="120"/>
        <v>-46.28939259165881</v>
      </c>
      <c r="BB75" s="204">
        <f t="shared" si="120"/>
        <v>-46.337879144468232</v>
      </c>
      <c r="BC75" s="204">
        <f t="shared" si="120"/>
        <v>-46.386533811504194</v>
      </c>
      <c r="BD75" s="204">
        <f t="shared" si="120"/>
        <v>-46.435336862617902</v>
      </c>
      <c r="BE75" s="204">
        <f t="shared" si="120"/>
        <v>-46.484269191199175</v>
      </c>
      <c r="BF75" s="204">
        <f t="shared" si="120"/>
        <v>-46.533312298634343</v>
      </c>
      <c r="BG75" s="204">
        <f t="shared" si="120"/>
        <v>-46.5824482791135</v>
      </c>
      <c r="BH75" s="204">
        <f t="shared" si="120"/>
        <v>-46.631659804779787</v>
      </c>
      <c r="BI75" s="204">
        <f t="shared" si="120"/>
        <v>-46.680930111213236</v>
      </c>
      <c r="BJ75" s="204">
        <f t="shared" si="120"/>
        <v>-46.730242983242221</v>
      </c>
      <c r="BK75" s="204">
        <f t="shared" si="120"/>
        <v>-46.779582741075536</v>
      </c>
      <c r="BL75" s="204">
        <f t="shared" si="120"/>
        <v>-46.82893422674821</v>
      </c>
      <c r="BM75" s="204">
        <f t="shared" si="120"/>
        <v>-46.878282790874394</v>
      </c>
      <c r="BN75" s="204">
        <f t="shared" si="120"/>
        <v>-46.927614279700805</v>
      </c>
      <c r="BO75" s="204">
        <f t="shared" si="120"/>
        <v>-46.976915022454328</v>
      </c>
      <c r="BP75" s="204">
        <f t="shared" si="120"/>
        <v>-47.026171818977438</v>
      </c>
      <c r="BQ75" s="204">
        <f t="shared" si="120"/>
        <v>-47.075371927645307</v>
      </c>
      <c r="BR75" s="204">
        <f t="shared" si="120"/>
        <v>-47.124503053558662</v>
      </c>
      <c r="BS75" s="204">
        <f t="shared" si="120"/>
        <v>-47.173553337006297</v>
      </c>
      <c r="BT75" s="204">
        <f t="shared" ref="BT75:EE75" si="121">PV($F29,BT$9,1,0)+(PV($J$6,$N$5-(BT$9),1,0)/($J$6+1)^BT$9)</f>
        <v>-47.222511342191666</v>
      </c>
      <c r="BU75" s="204">
        <f t="shared" si="121"/>
        <v>-47.271366046217828</v>
      </c>
      <c r="BV75" s="204">
        <f t="shared" si="121"/>
        <v>-47.320106828325066</v>
      </c>
      <c r="BW75" s="204">
        <f t="shared" si="121"/>
        <v>-47.368723459376</v>
      </c>
      <c r="BX75" s="204">
        <f t="shared" si="121"/>
        <v>-47.417206091582642</v>
      </c>
      <c r="BY75" s="204">
        <f t="shared" si="121"/>
        <v>-47.465545248470342</v>
      </c>
      <c r="BZ75" s="204">
        <f t="shared" si="121"/>
        <v>-47.513731815073434</v>
      </c>
      <c r="CA75" s="204">
        <f t="shared" si="121"/>
        <v>-47.561757028357682</v>
      </c>
      <c r="CB75" s="204">
        <f t="shared" si="121"/>
        <v>-47.609612467864444</v>
      </c>
      <c r="CC75" s="204">
        <f t="shared" si="121"/>
        <v>-47.657290046572001</v>
      </c>
      <c r="CD75" s="204">
        <f t="shared" si="121"/>
        <v>-47.704782001969257</v>
      </c>
      <c r="CE75" s="204">
        <f t="shared" si="121"/>
        <v>-47.752080887337101</v>
      </c>
      <c r="CF75" s="204">
        <f t="shared" si="121"/>
        <v>-47.79917956323316</v>
      </c>
      <c r="CG75" s="204">
        <f t="shared" si="121"/>
        <v>-47.846071189175333</v>
      </c>
      <c r="CH75" s="204">
        <f t="shared" si="121"/>
        <v>-47.892749215519892</v>
      </c>
      <c r="CI75" s="204">
        <f t="shared" si="121"/>
        <v>-47.939207375529939</v>
      </c>
      <c r="CJ75" s="204">
        <f t="shared" si="121"/>
        <v>-47.985439677629991</v>
      </c>
      <c r="CK75" s="204">
        <f t="shared" si="121"/>
        <v>-48.031440397842765</v>
      </c>
      <c r="CL75" s="204">
        <f t="shared" si="121"/>
        <v>-48.077204072404037</v>
      </c>
      <c r="CM75" s="204">
        <f t="shared" si="121"/>
        <v>-48.122725490551915</v>
      </c>
      <c r="CN75" s="204">
        <f t="shared" si="121"/>
        <v>-48.16799968748645</v>
      </c>
      <c r="CO75" s="204">
        <f t="shared" si="121"/>
        <v>-48.213021937496094</v>
      </c>
      <c r="CP75" s="204">
        <f t="shared" si="121"/>
        <v>-48.257787747247228</v>
      </c>
      <c r="CQ75" s="204">
        <f t="shared" si="121"/>
        <v>-48.302292849233226</v>
      </c>
      <c r="CR75" s="204">
        <f t="shared" si="121"/>
        <v>-48.346533195379607</v>
      </c>
      <c r="CS75" s="204">
        <f t="shared" si="121"/>
        <v>-48.39050495080167</v>
      </c>
      <c r="CT75" s="204">
        <f t="shared" si="121"/>
        <v>-48.434204487711575</v>
      </c>
      <c r="CU75" s="204">
        <f t="shared" si="121"/>
        <v>-48.477628379471227</v>
      </c>
      <c r="CV75" s="204">
        <f t="shared" si="121"/>
        <v>-48.520773394788108</v>
      </c>
      <c r="CW75" s="204">
        <f t="shared" si="121"/>
        <v>-48.563636492050563</v>
      </c>
      <c r="CX75" s="204">
        <f t="shared" si="121"/>
        <v>-48.606214813799738</v>
      </c>
      <c r="CY75" s="204">
        <f t="shared" si="121"/>
        <v>-48.606214813799738</v>
      </c>
      <c r="CZ75" s="204">
        <f t="shared" si="121"/>
        <v>-48.606214813799738</v>
      </c>
      <c r="DA75" s="204">
        <f t="shared" si="121"/>
        <v>-48.606214813799738</v>
      </c>
      <c r="DB75" s="204">
        <f t="shared" si="121"/>
        <v>-48.606214813799738</v>
      </c>
      <c r="DC75" s="204">
        <f t="shared" si="121"/>
        <v>-48.606214813799738</v>
      </c>
      <c r="DD75" s="204">
        <f t="shared" si="121"/>
        <v>-48.606214813799738</v>
      </c>
      <c r="DE75" s="204">
        <f t="shared" si="121"/>
        <v>-48.606214813799738</v>
      </c>
      <c r="DF75" s="204">
        <f t="shared" si="121"/>
        <v>-48.606214813799738</v>
      </c>
      <c r="DG75" s="204">
        <f t="shared" si="121"/>
        <v>-48.606214813799738</v>
      </c>
      <c r="DH75" s="204">
        <f t="shared" si="121"/>
        <v>-48.606214813799738</v>
      </c>
      <c r="DI75" s="204">
        <f t="shared" si="121"/>
        <v>-48.606214813799738</v>
      </c>
      <c r="DJ75" s="204">
        <f t="shared" si="121"/>
        <v>-48.606214813799738</v>
      </c>
      <c r="DK75" s="204">
        <f t="shared" si="121"/>
        <v>-48.606214813799738</v>
      </c>
      <c r="DL75" s="204">
        <f t="shared" si="121"/>
        <v>-48.606214813799738</v>
      </c>
      <c r="DM75" s="204">
        <f t="shared" si="121"/>
        <v>-48.606214813799738</v>
      </c>
      <c r="DN75" s="204">
        <f t="shared" si="121"/>
        <v>-48.606214813799738</v>
      </c>
      <c r="DO75" s="204">
        <f t="shared" si="121"/>
        <v>-48.606214813799738</v>
      </c>
      <c r="DP75" s="204">
        <f t="shared" si="121"/>
        <v>-48.606214813799738</v>
      </c>
      <c r="DQ75" s="204">
        <f t="shared" si="121"/>
        <v>-48.606214813799738</v>
      </c>
      <c r="DR75" s="204">
        <f t="shared" si="121"/>
        <v>-48.606214813799738</v>
      </c>
      <c r="DS75" s="204">
        <f t="shared" si="121"/>
        <v>-48.606214813799738</v>
      </c>
      <c r="DT75" s="204">
        <f t="shared" si="121"/>
        <v>-48.606214813799738</v>
      </c>
      <c r="DU75" s="204">
        <f t="shared" si="121"/>
        <v>-48.606214813799738</v>
      </c>
      <c r="DV75" s="204">
        <f t="shared" si="121"/>
        <v>-48.606214813799738</v>
      </c>
      <c r="DW75" s="204">
        <f t="shared" si="121"/>
        <v>-48.606214813799738</v>
      </c>
      <c r="DX75" s="204">
        <f t="shared" si="121"/>
        <v>-48.606214813799738</v>
      </c>
      <c r="DY75" s="204">
        <f t="shared" si="121"/>
        <v>-48.606214813799738</v>
      </c>
      <c r="DZ75" s="204">
        <f t="shared" si="121"/>
        <v>-48.606214813799738</v>
      </c>
      <c r="EA75" s="204">
        <f t="shared" si="121"/>
        <v>-48.606214813799738</v>
      </c>
      <c r="EB75" s="204">
        <f t="shared" si="121"/>
        <v>-48.606214813799738</v>
      </c>
      <c r="EC75" s="204">
        <f t="shared" si="121"/>
        <v>-48.606214813799738</v>
      </c>
      <c r="ED75" s="204">
        <f t="shared" si="121"/>
        <v>-48.606214813799738</v>
      </c>
      <c r="EE75" s="204">
        <f t="shared" si="121"/>
        <v>-48.606214813799738</v>
      </c>
      <c r="EF75" s="204">
        <f t="shared" ref="EF75:ET75" si="122">PV($F29,EF$9,1,0)+(PV($J$6,$N$5-(EF$9),1,0)/($J$6+1)^EF$9)</f>
        <v>-48.606214813799738</v>
      </c>
      <c r="EG75" s="204">
        <f t="shared" si="122"/>
        <v>-48.606214813799738</v>
      </c>
      <c r="EH75" s="204">
        <f t="shared" si="122"/>
        <v>-48.606214813799738</v>
      </c>
      <c r="EI75" s="204">
        <f t="shared" si="122"/>
        <v>-48.606214813799738</v>
      </c>
      <c r="EJ75" s="204">
        <f t="shared" si="122"/>
        <v>-48.606214813799738</v>
      </c>
      <c r="EK75" s="204">
        <f t="shared" si="122"/>
        <v>-48.606214813799738</v>
      </c>
      <c r="EL75" s="204">
        <f t="shared" si="122"/>
        <v>-48.606214813799738</v>
      </c>
      <c r="EM75" s="204">
        <f t="shared" si="122"/>
        <v>-48.606214813799738</v>
      </c>
      <c r="EN75" s="204">
        <f t="shared" si="122"/>
        <v>-48.606214813799738</v>
      </c>
      <c r="EO75" s="204">
        <f t="shared" si="122"/>
        <v>-48.606214813799738</v>
      </c>
      <c r="EP75" s="204">
        <f t="shared" si="122"/>
        <v>-48.606214813799738</v>
      </c>
      <c r="EQ75" s="204">
        <f t="shared" si="122"/>
        <v>-48.606214813799738</v>
      </c>
      <c r="ER75" s="204">
        <f t="shared" si="122"/>
        <v>-48.606214813799738</v>
      </c>
      <c r="ES75" s="204">
        <f t="shared" si="122"/>
        <v>-48.606214813799738</v>
      </c>
      <c r="ET75" s="204">
        <f t="shared" si="122"/>
        <v>-48.606214813799738</v>
      </c>
      <c r="FF75" s="6" t="s">
        <v>3017</v>
      </c>
      <c r="FG75" s="696">
        <v>2.4900000000000002E-2</v>
      </c>
      <c r="FH75" s="696">
        <v>120</v>
      </c>
      <c r="FI75" s="696">
        <v>1.5700000000000002E-2</v>
      </c>
      <c r="FJ75" s="255">
        <v>1.37E-2</v>
      </c>
      <c r="FK75" s="71">
        <f t="shared" si="10"/>
        <v>2.6666666666666668E-4</v>
      </c>
      <c r="FL75" t="e">
        <f>VLOOKUP(FF75,'SIMULADOR COM SALDO'!$BX$22:$CK$1000,13,FALSE)</f>
        <v>#N/A</v>
      </c>
    </row>
    <row r="76" spans="7:168" x14ac:dyDescent="0.25">
      <c r="G76" s="205">
        <f t="shared" si="68"/>
        <v>-44.754378830535508</v>
      </c>
      <c r="H76" s="204">
        <f t="shared" ref="H76:BS76" si="123">PV($F30,H$9,1,0)+(PV($J$6,$N$5-(H$9),1,0)/($J$6+1)^H$9)</f>
        <v>-44.758643125347469</v>
      </c>
      <c r="I76" s="204">
        <f t="shared" si="123"/>
        <v>-44.764930322922353</v>
      </c>
      <c r="J76" s="204">
        <f t="shared" si="123"/>
        <v>-44.773170084556952</v>
      </c>
      <c r="K76" s="204">
        <f t="shared" si="123"/>
        <v>-44.783293886518436</v>
      </c>
      <c r="L76" s="204">
        <f t="shared" si="123"/>
        <v>-44.795234978482746</v>
      </c>
      <c r="M76" s="204">
        <f t="shared" si="123"/>
        <v>-44.80892834286518</v>
      </c>
      <c r="N76" s="204">
        <f t="shared" si="123"/>
        <v>-44.824310655025172</v>
      </c>
      <c r="O76" s="204">
        <f t="shared" si="123"/>
        <v>-44.841320244326873</v>
      </c>
      <c r="P76" s="204">
        <f t="shared" si="123"/>
        <v>-44.859897056038029</v>
      </c>
      <c r="Q76" s="204">
        <f t="shared" si="123"/>
        <v>-44.879982614049879</v>
      </c>
      <c r="R76" s="204">
        <f t="shared" si="123"/>
        <v>-44.901519984400927</v>
      </c>
      <c r="S76" s="204">
        <f t="shared" si="123"/>
        <v>-44.924453739588159</v>
      </c>
      <c r="T76" s="204">
        <f t="shared" si="123"/>
        <v>-44.948729923649246</v>
      </c>
      <c r="U76" s="204">
        <f t="shared" si="123"/>
        <v>-44.974296017999819</v>
      </c>
      <c r="V76" s="204">
        <f t="shared" si="123"/>
        <v>-45.001100908010251</v>
      </c>
      <c r="W76" s="204">
        <f t="shared" si="123"/>
        <v>-45.029094850306407</v>
      </c>
      <c r="X76" s="204">
        <f t="shared" si="123"/>
        <v>-45.058229440779606</v>
      </c>
      <c r="Y76" s="204">
        <f t="shared" si="123"/>
        <v>-45.088457583290833</v>
      </c>
      <c r="Z76" s="204">
        <f t="shared" si="123"/>
        <v>-45.119733459054935</v>
      </c>
      <c r="AA76" s="204">
        <f t="shared" si="123"/>
        <v>-45.152012496690595</v>
      </c>
      <c r="AB76" s="204">
        <f t="shared" si="123"/>
        <v>-45.185251342922271</v>
      </c>
      <c r="AC76" s="204">
        <f t="shared" si="123"/>
        <v>-45.219407833920428</v>
      </c>
      <c r="AD76" s="204">
        <f t="shared" si="123"/>
        <v>-45.254440967267016</v>
      </c>
      <c r="AE76" s="204">
        <f t="shared" si="123"/>
        <v>-45.290310874532878</v>
      </c>
      <c r="AF76" s="204">
        <f t="shared" si="123"/>
        <v>-45.326978794454476</v>
      </c>
      <c r="AG76" s="204">
        <f t="shared" si="123"/>
        <v>-45.364407046697401</v>
      </c>
      <c r="AH76" s="204">
        <f t="shared" si="123"/>
        <v>-45.402559006194551</v>
      </c>
      <c r="AI76" s="204">
        <f t="shared" si="123"/>
        <v>-45.441399078046601</v>
      </c>
      <c r="AJ76" s="204">
        <f t="shared" si="123"/>
        <v>-45.480892672973553</v>
      </c>
      <c r="AK76" s="204">
        <f t="shared" si="123"/>
        <v>-45.521006183305232</v>
      </c>
      <c r="AL76" s="204">
        <f t="shared" si="123"/>
        <v>-45.561706959500015</v>
      </c>
      <c r="AM76" s="204">
        <f t="shared" si="123"/>
        <v>-45.602963287180295</v>
      </c>
      <c r="AN76" s="204">
        <f t="shared" si="123"/>
        <v>-45.644744364674125</v>
      </c>
      <c r="AO76" s="204">
        <f t="shared" si="123"/>
        <v>-45.687020281052199</v>
      </c>
      <c r="AP76" s="204">
        <f t="shared" si="123"/>
        <v>-45.729761994650097</v>
      </c>
      <c r="AQ76" s="204">
        <f t="shared" si="123"/>
        <v>-45.772941312065129</v>
      </c>
      <c r="AR76" s="204">
        <f t="shared" si="123"/>
        <v>-45.816530867618319</v>
      </c>
      <c r="AS76" s="204">
        <f t="shared" si="123"/>
        <v>-45.860504103271339</v>
      </c>
      <c r="AT76" s="204">
        <f t="shared" si="123"/>
        <v>-45.904835248989073</v>
      </c>
      <c r="AU76" s="204">
        <f t="shared" si="123"/>
        <v>-45.949499303538246</v>
      </c>
      <c r="AV76" s="204">
        <f t="shared" si="123"/>
        <v>-45.994472015713107</v>
      </c>
      <c r="AW76" s="204">
        <f t="shared" si="123"/>
        <v>-46.039729865978934</v>
      </c>
      <c r="AX76" s="204">
        <f t="shared" si="123"/>
        <v>-46.085250048524827</v>
      </c>
      <c r="AY76" s="204">
        <f t="shared" si="123"/>
        <v>-46.131010453716812</v>
      </c>
      <c r="AZ76" s="204">
        <f t="shared" si="123"/>
        <v>-46.176989650943142</v>
      </c>
      <c r="BA76" s="204">
        <f t="shared" si="123"/>
        <v>-46.223166871843119</v>
      </c>
      <c r="BB76" s="204">
        <f t="shared" si="123"/>
        <v>-46.269521993911781</v>
      </c>
      <c r="BC76" s="204">
        <f t="shared" si="123"/>
        <v>-46.316035524471971</v>
      </c>
      <c r="BD76" s="204">
        <f t="shared" si="123"/>
        <v>-46.36268858500641</v>
      </c>
      <c r="BE76" s="204">
        <f t="shared" si="123"/>
        <v>-46.409462895841955</v>
      </c>
      <c r="BF76" s="204">
        <f t="shared" si="123"/>
        <v>-46.456340761178616</v>
      </c>
      <c r="BG76" s="204">
        <f t="shared" si="123"/>
        <v>-46.503305054455879</v>
      </c>
      <c r="BH76" s="204">
        <f t="shared" si="123"/>
        <v>-46.550339204049429</v>
      </c>
      <c r="BI76" s="204">
        <f t="shared" si="123"/>
        <v>-46.597427179290861</v>
      </c>
      <c r="BJ76" s="204">
        <f t="shared" si="123"/>
        <v>-46.644553476803978</v>
      </c>
      <c r="BK76" s="204">
        <f t="shared" si="123"/>
        <v>-46.691703107150424</v>
      </c>
      <c r="BL76" s="204">
        <f t="shared" si="123"/>
        <v>-46.738861581778437</v>
      </c>
      <c r="BM76" s="204">
        <f t="shared" si="123"/>
        <v>-46.786014900268022</v>
      </c>
      <c r="BN76" s="204">
        <f t="shared" si="123"/>
        <v>-46.833149537866348</v>
      </c>
      <c r="BO76" s="204">
        <f t="shared" si="123"/>
        <v>-46.880252433307049</v>
      </c>
      <c r="BP76" s="204">
        <f t="shared" si="123"/>
        <v>-46.927310976907492</v>
      </c>
      <c r="BQ76" s="204">
        <f t="shared" si="123"/>
        <v>-46.974312998937833</v>
      </c>
      <c r="BR76" s="204">
        <f t="shared" si="123"/>
        <v>-47.021246758256353</v>
      </c>
      <c r="BS76" s="204">
        <f t="shared" si="123"/>
        <v>-47.068100931205009</v>
      </c>
      <c r="BT76" s="204">
        <f t="shared" ref="BT76:EE76" si="124">PV($F30,BT$9,1,0)+(PV($J$6,$N$5-(BT$9),1,0)/($J$6+1)^BT$9)</f>
        <v>-47.114864600759887</v>
      </c>
      <c r="BU76" s="204">
        <f t="shared" si="124"/>
        <v>-47.161527245930927</v>
      </c>
      <c r="BV76" s="204">
        <f t="shared" si="124"/>
        <v>-47.208078731405628</v>
      </c>
      <c r="BW76" s="204">
        <f t="shared" si="124"/>
        <v>-47.254509297431433</v>
      </c>
      <c r="BX76" s="204">
        <f t="shared" si="124"/>
        <v>-47.300809549931643</v>
      </c>
      <c r="BY76" s="204">
        <f t="shared" si="124"/>
        <v>-47.346970450849923</v>
      </c>
      <c r="BZ76" s="204">
        <f t="shared" si="124"/>
        <v>-47.3929833087183</v>
      </c>
      <c r="CA76" s="204">
        <f t="shared" si="124"/>
        <v>-47.438839769444009</v>
      </c>
      <c r="CB76" s="204">
        <f t="shared" si="124"/>
        <v>-47.484531807310233</v>
      </c>
      <c r="CC76" s="204">
        <f t="shared" si="124"/>
        <v>-47.530051716186357</v>
      </c>
      <c r="CD76" s="204">
        <f t="shared" si="124"/>
        <v>-47.57539210094297</v>
      </c>
      <c r="CE76" s="204">
        <f t="shared" si="124"/>
        <v>-47.620545869067314</v>
      </c>
      <c r="CF76" s="204">
        <f t="shared" si="124"/>
        <v>-47.665506222474782</v>
      </c>
      <c r="CG76" s="204">
        <f t="shared" si="124"/>
        <v>-47.710266649512214</v>
      </c>
      <c r="CH76" s="204">
        <f t="shared" si="124"/>
        <v>-47.754820917148777</v>
      </c>
      <c r="CI76" s="204">
        <f t="shared" si="124"/>
        <v>-47.799163063350392</v>
      </c>
      <c r="CJ76" s="204">
        <f t="shared" si="124"/>
        <v>-47.843287389633737</v>
      </c>
      <c r="CK76" s="204">
        <f t="shared" si="124"/>
        <v>-47.887188453795787</v>
      </c>
      <c r="CL76" s="204">
        <f t="shared" si="124"/>
        <v>-47.93086106281519</v>
      </c>
      <c r="CM76" s="204">
        <f t="shared" si="124"/>
        <v>-47.974300265921656</v>
      </c>
      <c r="CN76" s="204">
        <f t="shared" si="124"/>
        <v>-48.017501347829707</v>
      </c>
      <c r="CO76" s="204">
        <f t="shared" si="124"/>
        <v>-48.060459822133076</v>
      </c>
      <c r="CP76" s="204">
        <f t="shared" si="124"/>
        <v>-48.103171424856484</v>
      </c>
      <c r="CQ76" s="204">
        <f t="shared" si="124"/>
        <v>-48.145632108161109</v>
      </c>
      <c r="CR76" s="204">
        <f t="shared" si="124"/>
        <v>-48.187838034200382</v>
      </c>
      <c r="CS76" s="204">
        <f t="shared" si="124"/>
        <v>-48.229785569122988</v>
      </c>
      <c r="CT76" s="204">
        <f t="shared" si="124"/>
        <v>-48.271471277219604</v>
      </c>
      <c r="CU76" s="204">
        <f t="shared" si="124"/>
        <v>-48.312891915210386</v>
      </c>
      <c r="CV76" s="204">
        <f t="shared" si="124"/>
        <v>-48.354044426670008</v>
      </c>
      <c r="CW76" s="204">
        <f t="shared" si="124"/>
        <v>-48.39492593658715</v>
      </c>
      <c r="CX76" s="204">
        <f t="shared" si="124"/>
        <v>-48.435533746055661</v>
      </c>
      <c r="CY76" s="204">
        <f t="shared" si="124"/>
        <v>-48.435533746055661</v>
      </c>
      <c r="CZ76" s="204">
        <f t="shared" si="124"/>
        <v>-48.435533746055661</v>
      </c>
      <c r="DA76" s="204">
        <f t="shared" si="124"/>
        <v>-48.435533746055661</v>
      </c>
      <c r="DB76" s="204">
        <f t="shared" si="124"/>
        <v>-48.435533746055661</v>
      </c>
      <c r="DC76" s="204">
        <f t="shared" si="124"/>
        <v>-48.435533746055661</v>
      </c>
      <c r="DD76" s="204">
        <f t="shared" si="124"/>
        <v>-48.435533746055661</v>
      </c>
      <c r="DE76" s="204">
        <f t="shared" si="124"/>
        <v>-48.435533746055661</v>
      </c>
      <c r="DF76" s="204">
        <f t="shared" si="124"/>
        <v>-48.435533746055661</v>
      </c>
      <c r="DG76" s="204">
        <f t="shared" si="124"/>
        <v>-48.435533746055661</v>
      </c>
      <c r="DH76" s="204">
        <f t="shared" si="124"/>
        <v>-48.435533746055661</v>
      </c>
      <c r="DI76" s="204">
        <f t="shared" si="124"/>
        <v>-48.435533746055661</v>
      </c>
      <c r="DJ76" s="204">
        <f t="shared" si="124"/>
        <v>-48.435533746055661</v>
      </c>
      <c r="DK76" s="204">
        <f t="shared" si="124"/>
        <v>-48.435533746055661</v>
      </c>
      <c r="DL76" s="204">
        <f t="shared" si="124"/>
        <v>-48.435533746055661</v>
      </c>
      <c r="DM76" s="204">
        <f t="shared" si="124"/>
        <v>-48.435533746055661</v>
      </c>
      <c r="DN76" s="204">
        <f t="shared" si="124"/>
        <v>-48.435533746055661</v>
      </c>
      <c r="DO76" s="204">
        <f t="shared" si="124"/>
        <v>-48.435533746055661</v>
      </c>
      <c r="DP76" s="204">
        <f t="shared" si="124"/>
        <v>-48.435533746055661</v>
      </c>
      <c r="DQ76" s="204">
        <f t="shared" si="124"/>
        <v>-48.435533746055661</v>
      </c>
      <c r="DR76" s="204">
        <f t="shared" si="124"/>
        <v>-48.435533746055661</v>
      </c>
      <c r="DS76" s="204">
        <f t="shared" si="124"/>
        <v>-48.435533746055661</v>
      </c>
      <c r="DT76" s="204">
        <f t="shared" si="124"/>
        <v>-48.435533746055661</v>
      </c>
      <c r="DU76" s="204">
        <f t="shared" si="124"/>
        <v>-48.435533746055661</v>
      </c>
      <c r="DV76" s="204">
        <f t="shared" si="124"/>
        <v>-48.435533746055661</v>
      </c>
      <c r="DW76" s="204">
        <f t="shared" si="124"/>
        <v>-48.435533746055661</v>
      </c>
      <c r="DX76" s="204">
        <f t="shared" si="124"/>
        <v>-48.435533746055661</v>
      </c>
      <c r="DY76" s="204">
        <f t="shared" si="124"/>
        <v>-48.435533746055661</v>
      </c>
      <c r="DZ76" s="204">
        <f t="shared" si="124"/>
        <v>-48.435533746055661</v>
      </c>
      <c r="EA76" s="204">
        <f t="shared" si="124"/>
        <v>-48.435533746055661</v>
      </c>
      <c r="EB76" s="204">
        <f t="shared" si="124"/>
        <v>-48.435533746055661</v>
      </c>
      <c r="EC76" s="204">
        <f t="shared" si="124"/>
        <v>-48.435533746055661</v>
      </c>
      <c r="ED76" s="204">
        <f t="shared" si="124"/>
        <v>-48.435533746055661</v>
      </c>
      <c r="EE76" s="204">
        <f t="shared" si="124"/>
        <v>-48.435533746055661</v>
      </c>
      <c r="EF76" s="204">
        <f t="shared" ref="EF76:ET76" si="125">PV($F30,EF$9,1,0)+(PV($J$6,$N$5-(EF$9),1,0)/($J$6+1)^EF$9)</f>
        <v>-48.435533746055661</v>
      </c>
      <c r="EG76" s="204">
        <f t="shared" si="125"/>
        <v>-48.435533746055661</v>
      </c>
      <c r="EH76" s="204">
        <f t="shared" si="125"/>
        <v>-48.435533746055661</v>
      </c>
      <c r="EI76" s="204">
        <f t="shared" si="125"/>
        <v>-48.435533746055661</v>
      </c>
      <c r="EJ76" s="204">
        <f t="shared" si="125"/>
        <v>-48.435533746055661</v>
      </c>
      <c r="EK76" s="204">
        <f t="shared" si="125"/>
        <v>-48.435533746055661</v>
      </c>
      <c r="EL76" s="204">
        <f t="shared" si="125"/>
        <v>-48.435533746055661</v>
      </c>
      <c r="EM76" s="204">
        <f t="shared" si="125"/>
        <v>-48.435533746055661</v>
      </c>
      <c r="EN76" s="204">
        <f t="shared" si="125"/>
        <v>-48.435533746055661</v>
      </c>
      <c r="EO76" s="204">
        <f t="shared" si="125"/>
        <v>-48.435533746055661</v>
      </c>
      <c r="EP76" s="204">
        <f t="shared" si="125"/>
        <v>-48.435533746055661</v>
      </c>
      <c r="EQ76" s="204">
        <f t="shared" si="125"/>
        <v>-48.435533746055661</v>
      </c>
      <c r="ER76" s="204">
        <f t="shared" si="125"/>
        <v>-48.435533746055661</v>
      </c>
      <c r="ES76" s="204">
        <f t="shared" si="125"/>
        <v>-48.435533746055661</v>
      </c>
      <c r="ET76" s="204">
        <f t="shared" si="125"/>
        <v>-48.435533746055661</v>
      </c>
      <c r="FF76" s="6" t="s">
        <v>3018</v>
      </c>
      <c r="FG76" s="696">
        <v>2.4900000000000002E-2</v>
      </c>
      <c r="FH76" s="696">
        <v>120</v>
      </c>
      <c r="FI76" s="696">
        <v>1.6899999999999998E-2</v>
      </c>
      <c r="FJ76" s="255">
        <v>1.37E-2</v>
      </c>
      <c r="FK76" s="71">
        <f t="shared" ref="FK76:FK139" si="126">(FG76-FJ76)/42</f>
        <v>2.6666666666666668E-4</v>
      </c>
      <c r="FL76" t="e">
        <f>VLOOKUP(FF76,'SIMULADOR COM SALDO'!$BX$22:$CK$1000,13,FALSE)</f>
        <v>#N/A</v>
      </c>
    </row>
    <row r="77" spans="7:168" x14ac:dyDescent="0.25">
      <c r="G77" s="205">
        <f t="shared" si="68"/>
        <v>-44.754284318380925</v>
      </c>
      <c r="H77" s="204">
        <f t="shared" ref="H77:BS77" si="127">PV($F31,H$9,1,0)+(PV($J$6,$N$5-(H$9),1,0)/($J$6+1)^H$9)</f>
        <v>-44.758362621216754</v>
      </c>
      <c r="I77" s="204">
        <f t="shared" si="127"/>
        <v>-44.764375306359639</v>
      </c>
      <c r="J77" s="204">
        <f t="shared" si="127"/>
        <v>-44.772254923065383</v>
      </c>
      <c r="K77" s="204">
        <f t="shared" si="127"/>
        <v>-44.781935765683031</v>
      </c>
      <c r="L77" s="204">
        <f t="shared" si="127"/>
        <v>-44.793353833591929</v>
      </c>
      <c r="M77" s="204">
        <f t="shared" si="127"/>
        <v>-44.80644679200099</v>
      </c>
      <c r="N77" s="204">
        <f t="shared" si="127"/>
        <v>-44.821153933592527</v>
      </c>
      <c r="O77" s="204">
        <f t="shared" si="127"/>
        <v>-44.837416140993078</v>
      </c>
      <c r="P77" s="204">
        <f t="shared" si="127"/>
        <v>-44.85517585005401</v>
      </c>
      <c r="Q77" s="204">
        <f t="shared" si="127"/>
        <v>-44.874377013925404</v>
      </c>
      <c r="R77" s="204">
        <f t="shared" si="127"/>
        <v>-44.894965067906256</v>
      </c>
      <c r="S77" s="204">
        <f t="shared" si="127"/>
        <v>-44.916886895055747</v>
      </c>
      <c r="T77" s="204">
        <f t="shared" si="127"/>
        <v>-44.940090792548901</v>
      </c>
      <c r="U77" s="204">
        <f t="shared" si="127"/>
        <v>-44.964526438761681</v>
      </c>
      <c r="V77" s="204">
        <f t="shared" si="127"/>
        <v>-44.990144861070263</v>
      </c>
      <c r="W77" s="204">
        <f t="shared" si="127"/>
        <v>-45.016898404349746</v>
      </c>
      <c r="X77" s="204">
        <f t="shared" si="127"/>
        <v>-45.044740700157419</v>
      </c>
      <c r="Y77" s="204">
        <f t="shared" si="127"/>
        <v>-45.073626636586795</v>
      </c>
      <c r="Z77" s="204">
        <f t="shared" si="127"/>
        <v>-45.103512328778052</v>
      </c>
      <c r="AA77" s="204">
        <f t="shared" si="127"/>
        <v>-45.13435509007148</v>
      </c>
      <c r="AB77" s="204">
        <f t="shared" si="127"/>
        <v>-45.166113403790334</v>
      </c>
      <c r="AC77" s="204">
        <f t="shared" si="127"/>
        <v>-45.198746895640141</v>
      </c>
      <c r="AD77" s="204">
        <f t="shared" si="127"/>
        <v>-45.232216306711351</v>
      </c>
      <c r="AE77" s="204">
        <f t="shared" si="127"/>
        <v>-45.266483467073101</v>
      </c>
      <c r="AF77" s="204">
        <f t="shared" si="127"/>
        <v>-45.301511269945266</v>
      </c>
      <c r="AG77" s="204">
        <f t="shared" si="127"/>
        <v>-45.337263646437165</v>
      </c>
      <c r="AH77" s="204">
        <f t="shared" si="127"/>
        <v>-45.373705540840646</v>
      </c>
      <c r="AI77" s="204">
        <f t="shared" si="127"/>
        <v>-45.410802886466364</v>
      </c>
      <c r="AJ77" s="204">
        <f t="shared" si="127"/>
        <v>-45.448522582011464</v>
      </c>
      <c r="AK77" s="204">
        <f t="shared" si="127"/>
        <v>-45.486832468447844</v>
      </c>
      <c r="AL77" s="204">
        <f t="shared" si="127"/>
        <v>-45.525701306419755</v>
      </c>
      <c r="AM77" s="204">
        <f t="shared" si="127"/>
        <v>-45.565098754140521</v>
      </c>
      <c r="AN77" s="204">
        <f t="shared" si="127"/>
        <v>-45.604995345777311</v>
      </c>
      <c r="AO77" s="204">
        <f t="shared" si="127"/>
        <v>-45.645362470314197</v>
      </c>
      <c r="AP77" s="204">
        <f t="shared" si="127"/>
        <v>-45.686172350883048</v>
      </c>
      <c r="AQ77" s="204">
        <f t="shared" si="127"/>
        <v>-45.727398024552798</v>
      </c>
      <c r="AR77" s="204">
        <f t="shared" si="127"/>
        <v>-45.769013322567048</v>
      </c>
      <c r="AS77" s="204">
        <f t="shared" si="127"/>
        <v>-45.810992851020785</v>
      </c>
      <c r="AT77" s="204">
        <f t="shared" si="127"/>
        <v>-45.853311971966932</v>
      </c>
      <c r="AU77" s="204">
        <f t="shared" si="127"/>
        <v>-45.895946784943561</v>
      </c>
      <c r="AV77" s="204">
        <f t="shared" si="127"/>
        <v>-45.938874108912962</v>
      </c>
      <c r="AW77" s="204">
        <f t="shared" si="127"/>
        <v>-45.982071464603813</v>
      </c>
      <c r="AX77" s="204">
        <f t="shared" si="127"/>
        <v>-46.025517057247917</v>
      </c>
      <c r="AY77" s="204">
        <f t="shared" si="127"/>
        <v>-46.069189759703278</v>
      </c>
      <c r="AZ77" s="204">
        <f t="shared" si="127"/>
        <v>-46.113069095955098</v>
      </c>
      <c r="BA77" s="204">
        <f t="shared" si="127"/>
        <v>-46.15713522498686</v>
      </c>
      <c r="BB77" s="204">
        <f t="shared" si="127"/>
        <v>-46.201368925013583</v>
      </c>
      <c r="BC77" s="204">
        <f t="shared" si="127"/>
        <v>-46.245751578069644</v>
      </c>
      <c r="BD77" s="204">
        <f t="shared" si="127"/>
        <v>-46.290265154943384</v>
      </c>
      <c r="BE77" s="204">
        <f t="shared" si="127"/>
        <v>-46.334892200451407</v>
      </c>
      <c r="BF77" s="204">
        <f t="shared" si="127"/>
        <v>-46.379615819045256</v>
      </c>
      <c r="BG77" s="204">
        <f t="shared" si="127"/>
        <v>-46.424419660743212</v>
      </c>
      <c r="BH77" s="204">
        <f t="shared" si="127"/>
        <v>-46.469287907380568</v>
      </c>
      <c r="BI77" s="204">
        <f t="shared" si="127"/>
        <v>-46.514205259171334</v>
      </c>
      <c r="BJ77" s="204">
        <f t="shared" si="127"/>
        <v>-46.559156921574811</v>
      </c>
      <c r="BK77" s="204">
        <f t="shared" si="127"/>
        <v>-46.604128592460761</v>
      </c>
      <c r="BL77" s="204">
        <f t="shared" si="127"/>
        <v>-46.649106449566162</v>
      </c>
      <c r="BM77" s="204">
        <f t="shared" si="127"/>
        <v>-46.694077138238129</v>
      </c>
      <c r="BN77" s="204">
        <f t="shared" si="127"/>
        <v>-46.73902775945605</v>
      </c>
      <c r="BO77" s="204">
        <f t="shared" si="127"/>
        <v>-46.78394585812768</v>
      </c>
      <c r="BP77" s="204">
        <f t="shared" si="127"/>
        <v>-46.828819411652773</v>
      </c>
      <c r="BQ77" s="204">
        <f t="shared" si="127"/>
        <v>-46.87363681874875</v>
      </c>
      <c r="BR77" s="204">
        <f t="shared" si="127"/>
        <v>-46.918386888532766</v>
      </c>
      <c r="BS77" s="204">
        <f t="shared" si="127"/>
        <v>-46.963058829854603</v>
      </c>
      <c r="BT77" s="204">
        <f t="shared" ref="BT77:EE77" si="128">PV($F31,BT$9,1,0)+(PV($J$6,$N$5-(BT$9),1,0)/($J$6+1)^BT$9)</f>
        <v>-47.007642240875001</v>
      </c>
      <c r="BU77" s="204">
        <f t="shared" si="128"/>
        <v>-47.052127098884192</v>
      </c>
      <c r="BV77" s="204">
        <f t="shared" si="128"/>
        <v>-47.096503750355296</v>
      </c>
      <c r="BW77" s="204">
        <f t="shared" si="128"/>
        <v>-47.140762901227802</v>
      </c>
      <c r="BX77" s="204">
        <f t="shared" si="128"/>
        <v>-47.184895607415754</v>
      </c>
      <c r="BY77" s="204">
        <f t="shared" si="128"/>
        <v>-47.228893265536222</v>
      </c>
      <c r="BZ77" s="204">
        <f t="shared" si="128"/>
        <v>-47.272747603852949</v>
      </c>
      <c r="CA77" s="204">
        <f t="shared" si="128"/>
        <v>-47.316450673430651</v>
      </c>
      <c r="CB77" s="204">
        <f t="shared" si="128"/>
        <v>-47.359994839495464</v>
      </c>
      <c r="CC77" s="204">
        <f t="shared" si="128"/>
        <v>-47.403372772996889</v>
      </c>
      <c r="CD77" s="204">
        <f t="shared" si="128"/>
        <v>-47.44657744236698</v>
      </c>
      <c r="CE77" s="204">
        <f t="shared" si="128"/>
        <v>-47.489602105472549</v>
      </c>
      <c r="CF77" s="204">
        <f t="shared" si="128"/>
        <v>-47.532440301755983</v>
      </c>
      <c r="CG77" s="204">
        <f t="shared" si="128"/>
        <v>-47.575085844560711</v>
      </c>
      <c r="CH77" s="204">
        <f t="shared" si="128"/>
        <v>-47.617532813637283</v>
      </c>
      <c r="CI77" s="204">
        <f t="shared" si="128"/>
        <v>-47.659775547826108</v>
      </c>
      <c r="CJ77" s="204">
        <f t="shared" si="128"/>
        <v>-47.701808637912919</v>
      </c>
      <c r="CK77" s="204">
        <f t="shared" si="128"/>
        <v>-47.743626919653266</v>
      </c>
      <c r="CL77" s="204">
        <f t="shared" si="128"/>
        <v>-47.785225466962324</v>
      </c>
      <c r="CM77" s="204">
        <f t="shared" si="128"/>
        <v>-47.826599585266443</v>
      </c>
      <c r="CN77" s="204">
        <f t="shared" si="128"/>
        <v>-47.867744805012642</v>
      </c>
      <c r="CO77" s="204">
        <f t="shared" si="128"/>
        <v>-47.908656875332987</v>
      </c>
      <c r="CP77" s="204">
        <f t="shared" si="128"/>
        <v>-47.94933175786008</v>
      </c>
      <c r="CQ77" s="204">
        <f t="shared" si="128"/>
        <v>-47.989765620690534</v>
      </c>
      <c r="CR77" s="204">
        <f t="shared" si="128"/>
        <v>-48.02995483249309</v>
      </c>
      <c r="CS77" s="204">
        <f t="shared" si="128"/>
        <v>-48.069895956758259</v>
      </c>
      <c r="CT77" s="204">
        <f t="shared" si="128"/>
        <v>-48.109585746186205</v>
      </c>
      <c r="CU77" s="204">
        <f t="shared" si="128"/>
        <v>-48.149021137210092</v>
      </c>
      <c r="CV77" s="204">
        <f t="shared" si="128"/>
        <v>-48.188199244651614</v>
      </c>
      <c r="CW77" s="204">
        <f t="shared" si="128"/>
        <v>-48.227117356505872</v>
      </c>
      <c r="CX77" s="204">
        <f t="shared" si="128"/>
        <v>-48.265772928852869</v>
      </c>
      <c r="CY77" s="204">
        <f t="shared" si="128"/>
        <v>-48.265772928852869</v>
      </c>
      <c r="CZ77" s="204">
        <f t="shared" si="128"/>
        <v>-48.265772928852869</v>
      </c>
      <c r="DA77" s="204">
        <f t="shared" si="128"/>
        <v>-48.265772928852869</v>
      </c>
      <c r="DB77" s="204">
        <f t="shared" si="128"/>
        <v>-48.265772928852869</v>
      </c>
      <c r="DC77" s="204">
        <f t="shared" si="128"/>
        <v>-48.265772928852869</v>
      </c>
      <c r="DD77" s="204">
        <f t="shared" si="128"/>
        <v>-48.265772928852869</v>
      </c>
      <c r="DE77" s="204">
        <f t="shared" si="128"/>
        <v>-48.265772928852869</v>
      </c>
      <c r="DF77" s="204">
        <f t="shared" si="128"/>
        <v>-48.265772928852869</v>
      </c>
      <c r="DG77" s="204">
        <f t="shared" si="128"/>
        <v>-48.265772928852869</v>
      </c>
      <c r="DH77" s="204">
        <f t="shared" si="128"/>
        <v>-48.265772928852869</v>
      </c>
      <c r="DI77" s="204">
        <f t="shared" si="128"/>
        <v>-48.265772928852869</v>
      </c>
      <c r="DJ77" s="204">
        <f t="shared" si="128"/>
        <v>-48.265772928852869</v>
      </c>
      <c r="DK77" s="204">
        <f t="shared" si="128"/>
        <v>-48.265772928852869</v>
      </c>
      <c r="DL77" s="204">
        <f t="shared" si="128"/>
        <v>-48.265772928852869</v>
      </c>
      <c r="DM77" s="204">
        <f t="shared" si="128"/>
        <v>-48.265772928852869</v>
      </c>
      <c r="DN77" s="204">
        <f t="shared" si="128"/>
        <v>-48.265772928852869</v>
      </c>
      <c r="DO77" s="204">
        <f t="shared" si="128"/>
        <v>-48.265772928852869</v>
      </c>
      <c r="DP77" s="204">
        <f t="shared" si="128"/>
        <v>-48.265772928852869</v>
      </c>
      <c r="DQ77" s="204">
        <f t="shared" si="128"/>
        <v>-48.265772928852869</v>
      </c>
      <c r="DR77" s="204">
        <f t="shared" si="128"/>
        <v>-48.265772928852869</v>
      </c>
      <c r="DS77" s="204">
        <f t="shared" si="128"/>
        <v>-48.265772928852869</v>
      </c>
      <c r="DT77" s="204">
        <f t="shared" si="128"/>
        <v>-48.265772928852869</v>
      </c>
      <c r="DU77" s="204">
        <f t="shared" si="128"/>
        <v>-48.265772928852869</v>
      </c>
      <c r="DV77" s="204">
        <f t="shared" si="128"/>
        <v>-48.265772928852869</v>
      </c>
      <c r="DW77" s="204">
        <f t="shared" si="128"/>
        <v>-48.265772928852869</v>
      </c>
      <c r="DX77" s="204">
        <f t="shared" si="128"/>
        <v>-48.265772928852869</v>
      </c>
      <c r="DY77" s="204">
        <f t="shared" si="128"/>
        <v>-48.265772928852869</v>
      </c>
      <c r="DZ77" s="204">
        <f t="shared" si="128"/>
        <v>-48.265772928852869</v>
      </c>
      <c r="EA77" s="204">
        <f t="shared" si="128"/>
        <v>-48.265772928852869</v>
      </c>
      <c r="EB77" s="204">
        <f t="shared" si="128"/>
        <v>-48.265772928852869</v>
      </c>
      <c r="EC77" s="204">
        <f t="shared" si="128"/>
        <v>-48.265772928852869</v>
      </c>
      <c r="ED77" s="204">
        <f t="shared" si="128"/>
        <v>-48.265772928852869</v>
      </c>
      <c r="EE77" s="204">
        <f t="shared" si="128"/>
        <v>-48.265772928852869</v>
      </c>
      <c r="EF77" s="204">
        <f t="shared" ref="EF77:ET77" si="129">PV($F31,EF$9,1,0)+(PV($J$6,$N$5-(EF$9),1,0)/($J$6+1)^EF$9)</f>
        <v>-48.265772928852869</v>
      </c>
      <c r="EG77" s="204">
        <f t="shared" si="129"/>
        <v>-48.265772928852869</v>
      </c>
      <c r="EH77" s="204">
        <f t="shared" si="129"/>
        <v>-48.265772928852869</v>
      </c>
      <c r="EI77" s="204">
        <f t="shared" si="129"/>
        <v>-48.265772928852869</v>
      </c>
      <c r="EJ77" s="204">
        <f t="shared" si="129"/>
        <v>-48.265772928852869</v>
      </c>
      <c r="EK77" s="204">
        <f t="shared" si="129"/>
        <v>-48.265772928852869</v>
      </c>
      <c r="EL77" s="204">
        <f t="shared" si="129"/>
        <v>-48.265772928852869</v>
      </c>
      <c r="EM77" s="204">
        <f t="shared" si="129"/>
        <v>-48.265772928852869</v>
      </c>
      <c r="EN77" s="204">
        <f t="shared" si="129"/>
        <v>-48.265772928852869</v>
      </c>
      <c r="EO77" s="204">
        <f t="shared" si="129"/>
        <v>-48.265772928852869</v>
      </c>
      <c r="EP77" s="204">
        <f t="shared" si="129"/>
        <v>-48.265772928852869</v>
      </c>
      <c r="EQ77" s="204">
        <f t="shared" si="129"/>
        <v>-48.265772928852869</v>
      </c>
      <c r="ER77" s="204">
        <f t="shared" si="129"/>
        <v>-48.265772928852869</v>
      </c>
      <c r="ES77" s="204">
        <f t="shared" si="129"/>
        <v>-48.265772928852869</v>
      </c>
      <c r="ET77" s="204">
        <f t="shared" si="129"/>
        <v>-48.265772928852869</v>
      </c>
      <c r="FF77" s="6" t="s">
        <v>3019</v>
      </c>
      <c r="FG77" s="696">
        <v>2.4900000000000002E-2</v>
      </c>
      <c r="FH77" s="696">
        <v>120</v>
      </c>
      <c r="FI77" s="696">
        <v>1.6899999999999998E-2</v>
      </c>
      <c r="FJ77" s="255">
        <v>1.37E-2</v>
      </c>
      <c r="FK77" s="71">
        <f t="shared" si="126"/>
        <v>2.6666666666666668E-4</v>
      </c>
      <c r="FL77" t="e">
        <f>VLOOKUP(FF77,'SIMULADOR COM SALDO'!$BX$22:$CK$1000,13,FALSE)</f>
        <v>#N/A</v>
      </c>
    </row>
    <row r="78" spans="7:168" x14ac:dyDescent="0.25">
      <c r="G78" s="205">
        <f t="shared" si="68"/>
        <v>-44.754189824380099</v>
      </c>
      <c r="H78" s="204">
        <f t="shared" ref="H78:BS78" si="130">PV($F32,H$9,1,0)+(PV($J$6,$N$5-(H$9),1,0)/($J$6+1)^H$9)</f>
        <v>-44.758082188824801</v>
      </c>
      <c r="I78" s="204">
        <f t="shared" si="130"/>
        <v>-44.763820466981379</v>
      </c>
      <c r="J78" s="204">
        <f t="shared" si="130"/>
        <v>-44.771340111673538</v>
      </c>
      <c r="K78" s="204">
        <f t="shared" si="130"/>
        <v>-44.780578250147137</v>
      </c>
      <c r="L78" s="204">
        <f t="shared" si="130"/>
        <v>-44.791473645531916</v>
      </c>
      <c r="M78" s="204">
        <f t="shared" si="130"/>
        <v>-44.803966659134787</v>
      </c>
      <c r="N78" s="204">
        <f t="shared" si="130"/>
        <v>-44.817999213547331</v>
      </c>
      <c r="O78" s="204">
        <f t="shared" si="130"/>
        <v>-44.833514756550677</v>
      </c>
      <c r="P78" s="204">
        <f t="shared" si="130"/>
        <v>-44.850458225801219</v>
      </c>
      <c r="Q78" s="204">
        <f t="shared" si="130"/>
        <v>-44.868776014280932</v>
      </c>
      <c r="R78" s="204">
        <f t="shared" si="130"/>
        <v>-44.888415936496372</v>
      </c>
      <c r="S78" s="204">
        <f t="shared" si="130"/>
        <v>-44.909327195411066</v>
      </c>
      <c r="T78" s="204">
        <f t="shared" si="130"/>
        <v>-44.931460350095549</v>
      </c>
      <c r="U78" s="204">
        <f t="shared" si="130"/>
        <v>-44.954767284080596</v>
      </c>
      <c r="V78" s="204">
        <f t="shared" si="130"/>
        <v>-44.979201174398682</v>
      </c>
      <c r="W78" s="204">
        <f t="shared" si="130"/>
        <v>-45.004716461299559</v>
      </c>
      <c r="X78" s="204">
        <f t="shared" si="130"/>
        <v>-45.031268818625719</v>
      </c>
      <c r="Y78" s="204">
        <f t="shared" si="130"/>
        <v>-45.058815124834098</v>
      </c>
      <c r="Z78" s="204">
        <f t="shared" si="130"/>
        <v>-45.08731343465044</v>
      </c>
      <c r="AA78" s="204">
        <f t="shared" si="130"/>
        <v>-45.116722951343263</v>
      </c>
      <c r="AB78" s="204">
        <f t="shared" si="130"/>
        <v>-45.147003999604252</v>
      </c>
      <c r="AC78" s="204">
        <f t="shared" si="130"/>
        <v>-45.178117999022575</v>
      </c>
      <c r="AD78" s="204">
        <f t="shared" si="130"/>
        <v>-45.210027438140656</v>
      </c>
      <c r="AE78" s="204">
        <f t="shared" si="130"/>
        <v>-45.242695849079226</v>
      </c>
      <c r="AF78" s="204">
        <f t="shared" si="130"/>
        <v>-45.276087782719671</v>
      </c>
      <c r="AG78" s="204">
        <f t="shared" si="130"/>
        <v>-45.310168784431994</v>
      </c>
      <c r="AH78" s="204">
        <f t="shared" si="130"/>
        <v>-45.344905370337159</v>
      </c>
      <c r="AI78" s="204">
        <f t="shared" si="130"/>
        <v>-45.380265004092266</v>
      </c>
      <c r="AJ78" s="204">
        <f t="shared" si="130"/>
        <v>-45.416216074187822</v>
      </c>
      <c r="AK78" s="204">
        <f t="shared" si="130"/>
        <v>-45.452727871746205</v>
      </c>
      <c r="AL78" s="204">
        <f t="shared" si="130"/>
        <v>-45.489770568810883</v>
      </c>
      <c r="AM78" s="204">
        <f t="shared" si="130"/>
        <v>-45.527315197115989</v>
      </c>
      <c r="AN78" s="204">
        <f t="shared" si="130"/>
        <v>-45.56533362732619</v>
      </c>
      <c r="AO78" s="204">
        <f t="shared" si="130"/>
        <v>-45.603798548736791</v>
      </c>
      <c r="AP78" s="204">
        <f t="shared" si="130"/>
        <v>-45.642683449424666</v>
      </c>
      <c r="AQ78" s="204">
        <f t="shared" si="130"/>
        <v>-45.681962596840151</v>
      </c>
      <c r="AR78" s="204">
        <f t="shared" si="130"/>
        <v>-45.721611018830814</v>
      </c>
      <c r="AS78" s="204">
        <f t="shared" si="130"/>
        <v>-45.761604485087929</v>
      </c>
      <c r="AT78" s="204">
        <f t="shared" si="130"/>
        <v>-45.801919489006643</v>
      </c>
      <c r="AU78" s="204">
        <f t="shared" si="130"/>
        <v>-45.842533229951194</v>
      </c>
      <c r="AV78" s="204">
        <f t="shared" si="130"/>
        <v>-45.883423595916511</v>
      </c>
      <c r="AW78" s="204">
        <f t="shared" si="130"/>
        <v>-45.924569146577738</v>
      </c>
      <c r="AX78" s="204">
        <f t="shared" si="130"/>
        <v>-45.965949096719704</v>
      </c>
      <c r="AY78" s="204">
        <f t="shared" si="130"/>
        <v>-46.007543300037966</v>
      </c>
      <c r="AZ78" s="204">
        <f t="shared" si="130"/>
        <v>-46.049332233303744</v>
      </c>
      <c r="BA78" s="204">
        <f t="shared" si="130"/>
        <v>-46.09129698088492</v>
      </c>
      <c r="BB78" s="204">
        <f t="shared" si="130"/>
        <v>-46.133419219615519</v>
      </c>
      <c r="BC78" s="204">
        <f t="shared" si="130"/>
        <v>-46.175681204006295</v>
      </c>
      <c r="BD78" s="204">
        <f t="shared" si="130"/>
        <v>-46.218065751789226</v>
      </c>
      <c r="BE78" s="204">
        <f t="shared" si="130"/>
        <v>-46.260556229788492</v>
      </c>
      <c r="BF78" s="204">
        <f t="shared" si="130"/>
        <v>-46.303136540111467</v>
      </c>
      <c r="BG78" s="204">
        <f t="shared" si="130"/>
        <v>-46.345791106652364</v>
      </c>
      <c r="BH78" s="204">
        <f t="shared" si="130"/>
        <v>-46.388504861902241</v>
      </c>
      <c r="BI78" s="204">
        <f t="shared" si="130"/>
        <v>-46.431263234058612</v>
      </c>
      <c r="BJ78" s="204">
        <f t="shared" si="130"/>
        <v>-46.474052134428305</v>
      </c>
      <c r="BK78" s="204">
        <f t="shared" si="130"/>
        <v>-46.516857945117323</v>
      </c>
      <c r="BL78" s="204">
        <f t="shared" si="130"/>
        <v>-46.5596675070015</v>
      </c>
      <c r="BM78" s="204">
        <f t="shared" si="130"/>
        <v>-46.602468107971852</v>
      </c>
      <c r="BN78" s="204">
        <f t="shared" si="130"/>
        <v>-46.64524747144899</v>
      </c>
      <c r="BO78" s="204">
        <f t="shared" si="130"/>
        <v>-46.687993745160469</v>
      </c>
      <c r="BP78" s="204">
        <f t="shared" si="130"/>
        <v>-46.730695490175691</v>
      </c>
      <c r="BQ78" s="204">
        <f t="shared" si="130"/>
        <v>-46.773341670192586</v>
      </c>
      <c r="BR78" s="204">
        <f t="shared" si="130"/>
        <v>-46.815921641070929</v>
      </c>
      <c r="BS78" s="204">
        <f t="shared" si="130"/>
        <v>-46.858425140606649</v>
      </c>
      <c r="BT78" s="204">
        <f t="shared" ref="BT78:EE78" si="131">PV($F32,BT$9,1,0)+(PV($J$6,$N$5-(BT$9),1,0)/($J$6+1)^BT$9)</f>
        <v>-46.900842278542157</v>
      </c>
      <c r="BU78" s="204">
        <f t="shared" si="131"/>
        <v>-46.943163526807567</v>
      </c>
      <c r="BV78" s="204">
        <f t="shared" si="131"/>
        <v>-46.985379709987633</v>
      </c>
      <c r="BW78" s="204">
        <f t="shared" si="131"/>
        <v>-47.027481996009861</v>
      </c>
      <c r="BX78" s="204">
        <f t="shared" si="131"/>
        <v>-47.069461887048561</v>
      </c>
      <c r="BY78" s="204">
        <f t="shared" si="131"/>
        <v>-47.111311210640615</v>
      </c>
      <c r="BZ78" s="204">
        <f t="shared" si="131"/>
        <v>-47.153022111007935</v>
      </c>
      <c r="CA78" s="204">
        <f t="shared" si="131"/>
        <v>-47.194587040582569</v>
      </c>
      <c r="CB78" s="204">
        <f t="shared" si="131"/>
        <v>-47.235998751729561</v>
      </c>
      <c r="CC78" s="204">
        <f t="shared" si="131"/>
        <v>-47.277250288663659</v>
      </c>
      <c r="CD78" s="204">
        <f t="shared" si="131"/>
        <v>-47.318334979555495</v>
      </c>
      <c r="CE78" s="204">
        <f t="shared" si="131"/>
        <v>-47.359246428823042</v>
      </c>
      <c r="CF78" s="204">
        <f t="shared" si="131"/>
        <v>-47.399978509604402</v>
      </c>
      <c r="CG78" s="204">
        <f t="shared" si="131"/>
        <v>-47.440525356407953</v>
      </c>
      <c r="CH78" s="204">
        <f t="shared" si="131"/>
        <v>-47.4808813579359</v>
      </c>
      <c r="CI78" s="204">
        <f t="shared" si="131"/>
        <v>-47.521041150077558</v>
      </c>
      <c r="CJ78" s="204">
        <f t="shared" si="131"/>
        <v>-47.560999609068524</v>
      </c>
      <c r="CK78" s="204">
        <f t="shared" si="131"/>
        <v>-47.60075184481213</v>
      </c>
      <c r="CL78" s="204">
        <f t="shared" si="131"/>
        <v>-47.640293194359735</v>
      </c>
      <c r="CM78" s="204">
        <f t="shared" si="131"/>
        <v>-47.679619215546161</v>
      </c>
      <c r="CN78" s="204">
        <f t="shared" si="131"/>
        <v>-47.718725680777027</v>
      </c>
      <c r="CO78" s="204">
        <f t="shared" si="131"/>
        <v>-47.757608570964543</v>
      </c>
      <c r="CP78" s="204">
        <f t="shared" si="131"/>
        <v>-47.796264069608519</v>
      </c>
      <c r="CQ78" s="204">
        <f t="shared" si="131"/>
        <v>-47.834688557019426</v>
      </c>
      <c r="CR78" s="204">
        <f t="shared" si="131"/>
        <v>-47.872878604680295</v>
      </c>
      <c r="CS78" s="204">
        <f t="shared" si="131"/>
        <v>-47.91083096974436</v>
      </c>
      <c r="CT78" s="204">
        <f t="shared" si="131"/>
        <v>-47.948542589665635</v>
      </c>
      <c r="CU78" s="204">
        <f t="shared" si="131"/>
        <v>-47.986010576959217</v>
      </c>
      <c r="CV78" s="204">
        <f t="shared" si="131"/>
        <v>-48.023232214088644</v>
      </c>
      <c r="CW78" s="204">
        <f t="shared" si="131"/>
        <v>-48.060204948477292</v>
      </c>
      <c r="CX78" s="204">
        <f t="shared" si="131"/>
        <v>-48.096926387641304</v>
      </c>
      <c r="CY78" s="204">
        <f t="shared" si="131"/>
        <v>-48.096926387641304</v>
      </c>
      <c r="CZ78" s="204">
        <f t="shared" si="131"/>
        <v>-48.096926387641304</v>
      </c>
      <c r="DA78" s="204">
        <f t="shared" si="131"/>
        <v>-48.096926387641304</v>
      </c>
      <c r="DB78" s="204">
        <f t="shared" si="131"/>
        <v>-48.096926387641304</v>
      </c>
      <c r="DC78" s="204">
        <f t="shared" si="131"/>
        <v>-48.096926387641304</v>
      </c>
      <c r="DD78" s="204">
        <f t="shared" si="131"/>
        <v>-48.096926387641304</v>
      </c>
      <c r="DE78" s="204">
        <f t="shared" si="131"/>
        <v>-48.096926387641304</v>
      </c>
      <c r="DF78" s="204">
        <f t="shared" si="131"/>
        <v>-48.096926387641304</v>
      </c>
      <c r="DG78" s="204">
        <f t="shared" si="131"/>
        <v>-48.096926387641304</v>
      </c>
      <c r="DH78" s="204">
        <f t="shared" si="131"/>
        <v>-48.096926387641304</v>
      </c>
      <c r="DI78" s="204">
        <f t="shared" si="131"/>
        <v>-48.096926387641304</v>
      </c>
      <c r="DJ78" s="204">
        <f t="shared" si="131"/>
        <v>-48.096926387641304</v>
      </c>
      <c r="DK78" s="204">
        <f t="shared" si="131"/>
        <v>-48.096926387641304</v>
      </c>
      <c r="DL78" s="204">
        <f t="shared" si="131"/>
        <v>-48.096926387641304</v>
      </c>
      <c r="DM78" s="204">
        <f t="shared" si="131"/>
        <v>-48.096926387641304</v>
      </c>
      <c r="DN78" s="204">
        <f t="shared" si="131"/>
        <v>-48.096926387641304</v>
      </c>
      <c r="DO78" s="204">
        <f t="shared" si="131"/>
        <v>-48.096926387641304</v>
      </c>
      <c r="DP78" s="204">
        <f t="shared" si="131"/>
        <v>-48.096926387641304</v>
      </c>
      <c r="DQ78" s="204">
        <f t="shared" si="131"/>
        <v>-48.096926387641304</v>
      </c>
      <c r="DR78" s="204">
        <f t="shared" si="131"/>
        <v>-48.096926387641304</v>
      </c>
      <c r="DS78" s="204">
        <f t="shared" si="131"/>
        <v>-48.096926387641304</v>
      </c>
      <c r="DT78" s="204">
        <f t="shared" si="131"/>
        <v>-48.096926387641304</v>
      </c>
      <c r="DU78" s="204">
        <f t="shared" si="131"/>
        <v>-48.096926387641304</v>
      </c>
      <c r="DV78" s="204">
        <f t="shared" si="131"/>
        <v>-48.096926387641304</v>
      </c>
      <c r="DW78" s="204">
        <f t="shared" si="131"/>
        <v>-48.096926387641304</v>
      </c>
      <c r="DX78" s="204">
        <f t="shared" si="131"/>
        <v>-48.096926387641304</v>
      </c>
      <c r="DY78" s="204">
        <f t="shared" si="131"/>
        <v>-48.096926387641304</v>
      </c>
      <c r="DZ78" s="204">
        <f t="shared" si="131"/>
        <v>-48.096926387641304</v>
      </c>
      <c r="EA78" s="204">
        <f t="shared" si="131"/>
        <v>-48.096926387641304</v>
      </c>
      <c r="EB78" s="204">
        <f t="shared" si="131"/>
        <v>-48.096926387641304</v>
      </c>
      <c r="EC78" s="204">
        <f t="shared" si="131"/>
        <v>-48.096926387641304</v>
      </c>
      <c r="ED78" s="204">
        <f t="shared" si="131"/>
        <v>-48.096926387641304</v>
      </c>
      <c r="EE78" s="204">
        <f t="shared" si="131"/>
        <v>-48.096926387641304</v>
      </c>
      <c r="EF78" s="204">
        <f t="shared" ref="EF78:ET78" si="132">PV($F32,EF$9,1,0)+(PV($J$6,$N$5-(EF$9),1,0)/($J$6+1)^EF$9)</f>
        <v>-48.096926387641304</v>
      </c>
      <c r="EG78" s="204">
        <f t="shared" si="132"/>
        <v>-48.096926387641304</v>
      </c>
      <c r="EH78" s="204">
        <f t="shared" si="132"/>
        <v>-48.096926387641304</v>
      </c>
      <c r="EI78" s="204">
        <f t="shared" si="132"/>
        <v>-48.096926387641304</v>
      </c>
      <c r="EJ78" s="204">
        <f t="shared" si="132"/>
        <v>-48.096926387641304</v>
      </c>
      <c r="EK78" s="204">
        <f t="shared" si="132"/>
        <v>-48.096926387641304</v>
      </c>
      <c r="EL78" s="204">
        <f t="shared" si="132"/>
        <v>-48.096926387641304</v>
      </c>
      <c r="EM78" s="204">
        <f t="shared" si="132"/>
        <v>-48.096926387641304</v>
      </c>
      <c r="EN78" s="204">
        <f t="shared" si="132"/>
        <v>-48.096926387641304</v>
      </c>
      <c r="EO78" s="204">
        <f t="shared" si="132"/>
        <v>-48.096926387641304</v>
      </c>
      <c r="EP78" s="204">
        <f t="shared" si="132"/>
        <v>-48.096926387641304</v>
      </c>
      <c r="EQ78" s="204">
        <f t="shared" si="132"/>
        <v>-48.096926387641304</v>
      </c>
      <c r="ER78" s="204">
        <f t="shared" si="132"/>
        <v>-48.096926387641304</v>
      </c>
      <c r="ES78" s="204">
        <f t="shared" si="132"/>
        <v>-48.096926387641304</v>
      </c>
      <c r="ET78" s="204">
        <f t="shared" si="132"/>
        <v>-48.096926387641304</v>
      </c>
      <c r="FF78" s="6" t="s">
        <v>2393</v>
      </c>
      <c r="FG78" s="696">
        <v>2.5000000000000001E-2</v>
      </c>
      <c r="FH78" s="696">
        <v>120</v>
      </c>
      <c r="FI78" s="696">
        <v>1.9400000000000001E-2</v>
      </c>
      <c r="FJ78" s="255">
        <v>1.3899999999999999E-2</v>
      </c>
      <c r="FK78" s="71">
        <f t="shared" si="126"/>
        <v>2.6428571428571435E-4</v>
      </c>
      <c r="FL78" t="e">
        <f>VLOOKUP(FF78,'SIMULADOR COM SALDO'!$BX$22:$CK$1000,13,FALSE)</f>
        <v>#N/A</v>
      </c>
    </row>
    <row r="79" spans="7:168" x14ac:dyDescent="0.25">
      <c r="G79" s="205">
        <f t="shared" si="68"/>
        <v>-44.754095348527777</v>
      </c>
      <c r="H79" s="204">
        <f t="shared" ref="H79:BS79" si="133">PV($F33,H$9,1,0)+(PV($J$6,$N$5-(H$9),1,0)/($J$6+1)^H$9)</f>
        <v>-44.75780182814573</v>
      </c>
      <c r="I79" s="204">
        <f t="shared" si="133"/>
        <v>-44.763265804711061</v>
      </c>
      <c r="J79" s="204">
        <f t="shared" si="133"/>
        <v>-44.770425650205254</v>
      </c>
      <c r="K79" s="204">
        <f t="shared" si="133"/>
        <v>-44.779221339563001</v>
      </c>
      <c r="L79" s="204">
        <f t="shared" si="133"/>
        <v>-44.789594413684931</v>
      </c>
      <c r="M79" s="204">
        <f t="shared" si="133"/>
        <v>-44.801487943250358</v>
      </c>
      <c r="N79" s="204">
        <f t="shared" si="133"/>
        <v>-44.814846493313311</v>
      </c>
      <c r="O79" s="204">
        <f t="shared" si="133"/>
        <v>-44.829616088665766</v>
      </c>
      <c r="P79" s="204">
        <f t="shared" si="133"/>
        <v>-44.845744179951794</v>
      </c>
      <c r="Q79" s="204">
        <f t="shared" si="133"/>
        <v>-44.863179610517427</v>
      </c>
      <c r="R79" s="204">
        <f t="shared" si="133"/>
        <v>-44.881872583980446</v>
      </c>
      <c r="S79" s="204">
        <f t="shared" si="133"/>
        <v>-44.901774632505642</v>
      </c>
      <c r="T79" s="204">
        <f t="shared" si="133"/>
        <v>-44.922838585770236</v>
      </c>
      <c r="U79" s="204">
        <f t="shared" si="133"/>
        <v>-44.945018540605645</v>
      </c>
      <c r="V79" s="204">
        <f t="shared" si="133"/>
        <v>-44.968269831300994</v>
      </c>
      <c r="W79" s="204">
        <f t="shared" si="133"/>
        <v>-44.992549000554945</v>
      </c>
      <c r="X79" s="204">
        <f t="shared" si="133"/>
        <v>-45.017813771061959</v>
      </c>
      <c r="Y79" s="204">
        <f t="shared" si="133"/>
        <v>-45.044023017720093</v>
      </c>
      <c r="Z79" s="204">
        <f t="shared" si="133"/>
        <v>-45.071136740446875</v>
      </c>
      <c r="AA79" s="204">
        <f t="shared" si="133"/>
        <v>-45.099116037590974</v>
      </c>
      <c r="AB79" s="204">
        <f t="shared" si="133"/>
        <v>-45.127923079926944</v>
      </c>
      <c r="AC79" s="204">
        <f t="shared" si="133"/>
        <v>-45.157521085220822</v>
      </c>
      <c r="AD79" s="204">
        <f t="shared" si="133"/>
        <v>-45.187874293354618</v>
      </c>
      <c r="AE79" s="204">
        <f t="shared" si="133"/>
        <v>-45.218947941998174</v>
      </c>
      <c r="AF79" s="204">
        <f t="shared" si="133"/>
        <v>-45.250708242816529</v>
      </c>
      <c r="AG79" s="204">
        <f t="shared" si="133"/>
        <v>-45.283122358201759</v>
      </c>
      <c r="AH79" s="204">
        <f t="shared" si="133"/>
        <v>-45.316158378518423</v>
      </c>
      <c r="AI79" s="204">
        <f t="shared" si="133"/>
        <v>-45.34978529985132</v>
      </c>
      <c r="AJ79" s="204">
        <f t="shared" si="133"/>
        <v>-45.383973002245561</v>
      </c>
      <c r="AK79" s="204">
        <f t="shared" si="133"/>
        <v>-45.418692228428142</v>
      </c>
      <c r="AL79" s="204">
        <f t="shared" si="133"/>
        <v>-45.453914563000993</v>
      </c>
      <c r="AM79" s="204">
        <f t="shared" si="133"/>
        <v>-45.489612412095795</v>
      </c>
      <c r="AN79" s="204">
        <f t="shared" si="133"/>
        <v>-45.52575898348033</v>
      </c>
      <c r="AO79" s="204">
        <f t="shared" si="133"/>
        <v>-45.562328267107347</v>
      </c>
      <c r="AP79" s="204">
        <f t="shared" si="133"/>
        <v>-45.599295016096164</v>
      </c>
      <c r="AQ79" s="204">
        <f t="shared" si="133"/>
        <v>-45.636634728138205</v>
      </c>
      <c r="AR79" s="204">
        <f t="shared" si="133"/>
        <v>-45.674323627317079</v>
      </c>
      <c r="AS79" s="204">
        <f t="shared" si="133"/>
        <v>-45.712338646334963</v>
      </c>
      <c r="AT79" s="204">
        <f t="shared" si="133"/>
        <v>-45.750657409136068</v>
      </c>
      <c r="AU79" s="204">
        <f t="shared" si="133"/>
        <v>-45.789258213919339</v>
      </c>
      <c r="AV79" s="204">
        <f t="shared" si="133"/>
        <v>-45.828120016531663</v>
      </c>
      <c r="AW79" s="204">
        <f t="shared" si="133"/>
        <v>-45.867222414233709</v>
      </c>
      <c r="AX79" s="204">
        <f t="shared" si="133"/>
        <v>-45.906545629830589</v>
      </c>
      <c r="AY79" s="204">
        <f t="shared" si="133"/>
        <v>-45.946070496159308</v>
      </c>
      <c r="AZ79" s="204">
        <f t="shared" si="133"/>
        <v>-45.985778440925571</v>
      </c>
      <c r="BA79" s="204">
        <f t="shared" si="133"/>
        <v>-46.02565147188254</v>
      </c>
      <c r="BB79" s="204">
        <f t="shared" si="133"/>
        <v>-46.065672162344029</v>
      </c>
      <c r="BC79" s="204">
        <f t="shared" si="133"/>
        <v>-46.105823637025367</v>
      </c>
      <c r="BD79" s="204">
        <f t="shared" si="133"/>
        <v>-46.14608955820448</v>
      </c>
      <c r="BE79" s="204">
        <f t="shared" si="133"/>
        <v>-46.186454112196785</v>
      </c>
      <c r="BF79" s="204">
        <f t="shared" si="133"/>
        <v>-46.226901996136739</v>
      </c>
      <c r="BG79" s="204">
        <f t="shared" si="133"/>
        <v>-46.26741840506002</v>
      </c>
      <c r="BH79" s="204">
        <f t="shared" si="133"/>
        <v>-46.30798901927929</v>
      </c>
      <c r="BI79" s="204">
        <f t="shared" si="133"/>
        <v>-46.348599992047703</v>
      </c>
      <c r="BJ79" s="204">
        <f t="shared" si="133"/>
        <v>-46.389237937503836</v>
      </c>
      <c r="BK79" s="204">
        <f t="shared" si="133"/>
        <v>-46.429889918891917</v>
      </c>
      <c r="BL79" s="204">
        <f t="shared" si="133"/>
        <v>-46.470543437051539</v>
      </c>
      <c r="BM79" s="204">
        <f t="shared" si="133"/>
        <v>-46.51118641917099</v>
      </c>
      <c r="BN79" s="204">
        <f t="shared" si="133"/>
        <v>-46.551807207798618</v>
      </c>
      <c r="BO79" s="204">
        <f t="shared" si="133"/>
        <v>-46.592394550106526</v>
      </c>
      <c r="BP79" s="204">
        <f t="shared" si="133"/>
        <v>-46.632937587401329</v>
      </c>
      <c r="BQ79" s="204">
        <f t="shared" si="133"/>
        <v>-46.673425844876441</v>
      </c>
      <c r="BR79" s="204">
        <f t="shared" si="133"/>
        <v>-46.713849221600903</v>
      </c>
      <c r="BS79" s="204">
        <f t="shared" si="133"/>
        <v>-46.754197980739363</v>
      </c>
      <c r="BT79" s="204">
        <f t="shared" ref="BT79:EE79" si="134">PV($F33,BT$9,1,0)+(PV($J$6,$N$5-(BT$9),1,0)/($J$6+1)^BT$9)</f>
        <v>-46.794462739998494</v>
      </c>
      <c r="BU79" s="204">
        <f t="shared" si="134"/>
        <v>-46.83463446229473</v>
      </c>
      <c r="BV79" s="204">
        <f t="shared" si="134"/>
        <v>-46.874704446638589</v>
      </c>
      <c r="BW79" s="204">
        <f t="shared" si="134"/>
        <v>-46.914664319230958</v>
      </c>
      <c r="BX79" s="204">
        <f t="shared" si="134"/>
        <v>-46.954506024766545</v>
      </c>
      <c r="BY79" s="204">
        <f t="shared" si="134"/>
        <v>-46.994221817940257</v>
      </c>
      <c r="BZ79" s="204">
        <f t="shared" si="134"/>
        <v>-47.033804255151857</v>
      </c>
      <c r="CA79" s="204">
        <f t="shared" si="134"/>
        <v>-47.073246186404681</v>
      </c>
      <c r="CB79" s="204">
        <f t="shared" si="134"/>
        <v>-47.112540747394199</v>
      </c>
      <c r="CC79" s="204">
        <f t="shared" si="134"/>
        <v>-47.151681351782237</v>
      </c>
      <c r="CD79" s="204">
        <f t="shared" si="134"/>
        <v>-47.190661683652799</v>
      </c>
      <c r="CE79" s="204">
        <f t="shared" si="134"/>
        <v>-47.229475690145598</v>
      </c>
      <c r="CF79" s="204">
        <f t="shared" si="134"/>
        <v>-47.268117574263279</v>
      </c>
      <c r="CG79" s="204">
        <f t="shared" si="134"/>
        <v>-47.306581787848629</v>
      </c>
      <c r="CH79" s="204">
        <f t="shared" si="134"/>
        <v>-47.344863024728035</v>
      </c>
      <c r="CI79" s="204">
        <f t="shared" si="134"/>
        <v>-47.382956214017483</v>
      </c>
      <c r="CJ79" s="204">
        <f t="shared" si="134"/>
        <v>-47.420856513587559</v>
      </c>
      <c r="CK79" s="204">
        <f t="shared" si="134"/>
        <v>-47.458559303684034</v>
      </c>
      <c r="CL79" s="204">
        <f t="shared" si="134"/>
        <v>-47.496060180700397</v>
      </c>
      <c r="CM79" s="204">
        <f t="shared" si="134"/>
        <v>-47.533354951099298</v>
      </c>
      <c r="CN79" s="204">
        <f t="shared" si="134"/>
        <v>-47.570439625479281</v>
      </c>
      <c r="CO79" s="204">
        <f t="shared" si="134"/>
        <v>-47.607310412783846</v>
      </c>
      <c r="CP79" s="204">
        <f t="shared" si="134"/>
        <v>-47.643963714649594</v>
      </c>
      <c r="CQ79" s="204">
        <f t="shared" si="134"/>
        <v>-47.680396119890368</v>
      </c>
      <c r="CR79" s="204">
        <f t="shared" si="134"/>
        <v>-47.716604399114445</v>
      </c>
      <c r="CS79" s="204">
        <f t="shared" si="134"/>
        <v>-47.75258549947165</v>
      </c>
      <c r="CT79" s="204">
        <f t="shared" si="134"/>
        <v>-47.788336539527855</v>
      </c>
      <c r="CU79" s="204">
        <f t="shared" si="134"/>
        <v>-47.823854804263583</v>
      </c>
      <c r="CV79" s="204">
        <f t="shared" si="134"/>
        <v>-47.859137740194384</v>
      </c>
      <c r="CW79" s="204">
        <f t="shared" si="134"/>
        <v>-47.894182950609895</v>
      </c>
      <c r="CX79" s="204">
        <f t="shared" si="134"/>
        <v>-47.928988190929282</v>
      </c>
      <c r="CY79" s="204">
        <f t="shared" si="134"/>
        <v>-47.928988190929282</v>
      </c>
      <c r="CZ79" s="204">
        <f t="shared" si="134"/>
        <v>-47.928988190929282</v>
      </c>
      <c r="DA79" s="204">
        <f t="shared" si="134"/>
        <v>-47.928988190929282</v>
      </c>
      <c r="DB79" s="204">
        <f t="shared" si="134"/>
        <v>-47.928988190929282</v>
      </c>
      <c r="DC79" s="204">
        <f t="shared" si="134"/>
        <v>-47.928988190929282</v>
      </c>
      <c r="DD79" s="204">
        <f t="shared" si="134"/>
        <v>-47.928988190929282</v>
      </c>
      <c r="DE79" s="204">
        <f t="shared" si="134"/>
        <v>-47.928988190929282</v>
      </c>
      <c r="DF79" s="204">
        <f t="shared" si="134"/>
        <v>-47.928988190929282</v>
      </c>
      <c r="DG79" s="204">
        <f t="shared" si="134"/>
        <v>-47.928988190929282</v>
      </c>
      <c r="DH79" s="204">
        <f t="shared" si="134"/>
        <v>-47.928988190929282</v>
      </c>
      <c r="DI79" s="204">
        <f t="shared" si="134"/>
        <v>-47.928988190929282</v>
      </c>
      <c r="DJ79" s="204">
        <f t="shared" si="134"/>
        <v>-47.928988190929282</v>
      </c>
      <c r="DK79" s="204">
        <f t="shared" si="134"/>
        <v>-47.928988190929282</v>
      </c>
      <c r="DL79" s="204">
        <f t="shared" si="134"/>
        <v>-47.928988190929282</v>
      </c>
      <c r="DM79" s="204">
        <f t="shared" si="134"/>
        <v>-47.928988190929282</v>
      </c>
      <c r="DN79" s="204">
        <f t="shared" si="134"/>
        <v>-47.928988190929282</v>
      </c>
      <c r="DO79" s="204">
        <f t="shared" si="134"/>
        <v>-47.928988190929282</v>
      </c>
      <c r="DP79" s="204">
        <f t="shared" si="134"/>
        <v>-47.928988190929282</v>
      </c>
      <c r="DQ79" s="204">
        <f t="shared" si="134"/>
        <v>-47.928988190929282</v>
      </c>
      <c r="DR79" s="204">
        <f t="shared" si="134"/>
        <v>-47.928988190929282</v>
      </c>
      <c r="DS79" s="204">
        <f t="shared" si="134"/>
        <v>-47.928988190929282</v>
      </c>
      <c r="DT79" s="204">
        <f t="shared" si="134"/>
        <v>-47.928988190929282</v>
      </c>
      <c r="DU79" s="204">
        <f t="shared" si="134"/>
        <v>-47.928988190929282</v>
      </c>
      <c r="DV79" s="204">
        <f t="shared" si="134"/>
        <v>-47.928988190929282</v>
      </c>
      <c r="DW79" s="204">
        <f t="shared" si="134"/>
        <v>-47.928988190929282</v>
      </c>
      <c r="DX79" s="204">
        <f t="shared" si="134"/>
        <v>-47.928988190929282</v>
      </c>
      <c r="DY79" s="204">
        <f t="shared" si="134"/>
        <v>-47.928988190929282</v>
      </c>
      <c r="DZ79" s="204">
        <f t="shared" si="134"/>
        <v>-47.928988190929282</v>
      </c>
      <c r="EA79" s="204">
        <f t="shared" si="134"/>
        <v>-47.928988190929282</v>
      </c>
      <c r="EB79" s="204">
        <f t="shared" si="134"/>
        <v>-47.928988190929282</v>
      </c>
      <c r="EC79" s="204">
        <f t="shared" si="134"/>
        <v>-47.928988190929282</v>
      </c>
      <c r="ED79" s="204">
        <f t="shared" si="134"/>
        <v>-47.928988190929282</v>
      </c>
      <c r="EE79" s="204">
        <f t="shared" si="134"/>
        <v>-47.928988190929282</v>
      </c>
      <c r="EF79" s="204">
        <f t="shared" ref="EF79:ET79" si="135">PV($F33,EF$9,1,0)+(PV($J$6,$N$5-(EF$9),1,0)/($J$6+1)^EF$9)</f>
        <v>-47.928988190929282</v>
      </c>
      <c r="EG79" s="204">
        <f t="shared" si="135"/>
        <v>-47.928988190929282</v>
      </c>
      <c r="EH79" s="204">
        <f t="shared" si="135"/>
        <v>-47.928988190929282</v>
      </c>
      <c r="EI79" s="204">
        <f t="shared" si="135"/>
        <v>-47.928988190929282</v>
      </c>
      <c r="EJ79" s="204">
        <f t="shared" si="135"/>
        <v>-47.928988190929282</v>
      </c>
      <c r="EK79" s="204">
        <f t="shared" si="135"/>
        <v>-47.928988190929282</v>
      </c>
      <c r="EL79" s="204">
        <f t="shared" si="135"/>
        <v>-47.928988190929282</v>
      </c>
      <c r="EM79" s="204">
        <f t="shared" si="135"/>
        <v>-47.928988190929282</v>
      </c>
      <c r="EN79" s="204">
        <f t="shared" si="135"/>
        <v>-47.928988190929282</v>
      </c>
      <c r="EO79" s="204">
        <f t="shared" si="135"/>
        <v>-47.928988190929282</v>
      </c>
      <c r="EP79" s="204">
        <f t="shared" si="135"/>
        <v>-47.928988190929282</v>
      </c>
      <c r="EQ79" s="204">
        <f t="shared" si="135"/>
        <v>-47.928988190929282</v>
      </c>
      <c r="ER79" s="204">
        <f t="shared" si="135"/>
        <v>-47.928988190929282</v>
      </c>
      <c r="ES79" s="204">
        <f t="shared" si="135"/>
        <v>-47.928988190929282</v>
      </c>
      <c r="ET79" s="204">
        <f t="shared" si="135"/>
        <v>-47.928988190929282</v>
      </c>
      <c r="FF79" s="6" t="s">
        <v>3772</v>
      </c>
      <c r="FG79" s="696">
        <v>2.5000000000000001E-2</v>
      </c>
      <c r="FH79" s="696">
        <v>96</v>
      </c>
      <c r="FI79" s="696">
        <v>1.6899999999999998E-2</v>
      </c>
      <c r="FJ79" s="255">
        <v>1.49E-2</v>
      </c>
      <c r="FK79" s="71">
        <f t="shared" si="126"/>
        <v>2.404761904761905E-4</v>
      </c>
      <c r="FL79" t="e">
        <f>VLOOKUP(FF79,'SIMULADOR COM SALDO'!$BX$22:$CK$1000,13,FALSE)</f>
        <v>#N/A</v>
      </c>
    </row>
    <row r="80" spans="7:168" x14ac:dyDescent="0.25">
      <c r="G80" s="205">
        <f t="shared" si="68"/>
        <v>-44.75400089081873</v>
      </c>
      <c r="H80" s="204">
        <f t="shared" ref="H80:BS80" si="136">PV($F34,H$9,1,0)+(PV($J$6,$N$5-(H$9),1,0)/($J$6+1)^H$9)</f>
        <v>-44.757521539153807</v>
      </c>
      <c r="I80" s="204">
        <f t="shared" si="136"/>
        <v>-44.762711319472366</v>
      </c>
      <c r="J80" s="204">
        <f t="shared" si="136"/>
        <v>-44.769511538484679</v>
      </c>
      <c r="K80" s="204">
        <f t="shared" si="136"/>
        <v>-44.777865033583431</v>
      </c>
      <c r="L80" s="204">
        <f t="shared" si="136"/>
        <v>-44.787716137434053</v>
      </c>
      <c r="M80" s="204">
        <f t="shared" si="136"/>
        <v>-44.7990106433327</v>
      </c>
      <c r="N80" s="204">
        <f t="shared" si="136"/>
        <v>-44.811695771316046</v>
      </c>
      <c r="O80" s="204">
        <f t="shared" si="136"/>
        <v>-44.825720135007145</v>
      </c>
      <c r="P80" s="204">
        <f t="shared" si="136"/>
        <v>-44.841033709181964</v>
      </c>
      <c r="Q80" s="204">
        <f t="shared" si="136"/>
        <v>-44.857587798041664</v>
      </c>
      <c r="R80" s="204">
        <f t="shared" si="136"/>
        <v>-44.875335004175803</v>
      </c>
      <c r="S80" s="204">
        <f t="shared" si="136"/>
        <v>-44.894229198202211</v>
      </c>
      <c r="T80" s="204">
        <f t="shared" si="136"/>
        <v>-44.914225489069111</v>
      </c>
      <c r="U80" s="204">
        <f t="shared" si="136"/>
        <v>-44.935280195005888</v>
      </c>
      <c r="V80" s="204">
        <f t="shared" si="136"/>
        <v>-44.957350815108839</v>
      </c>
      <c r="W80" s="204">
        <f t="shared" si="136"/>
        <v>-44.980396001548627</v>
      </c>
      <c r="X80" s="204">
        <f t="shared" si="136"/>
        <v>-45.00437553238644</v>
      </c>
      <c r="Y80" s="204">
        <f t="shared" si="136"/>
        <v>-45.029250284985991</v>
      </c>
      <c r="Z80" s="204">
        <f t="shared" si="136"/>
        <v>-45.054982210009001</v>
      </c>
      <c r="AA80" s="204">
        <f t="shared" si="136"/>
        <v>-45.081534305981918</v>
      </c>
      <c r="AB80" s="204">
        <f t="shared" si="136"/>
        <v>-45.108870594421745</v>
      </c>
      <c r="AC80" s="204">
        <f t="shared" si="136"/>
        <v>-45.136956095509305</v>
      </c>
      <c r="AD80" s="204">
        <f t="shared" si="136"/>
        <v>-45.165756804298496</v>
      </c>
      <c r="AE80" s="204">
        <f t="shared" si="136"/>
        <v>-45.195239667450245</v>
      </c>
      <c r="AF80" s="204">
        <f t="shared" si="136"/>
        <v>-45.225372560479911</v>
      </c>
      <c r="AG80" s="204">
        <f t="shared" si="136"/>
        <v>-45.256124265507594</v>
      </c>
      <c r="AH80" s="204">
        <f t="shared" si="136"/>
        <v>-45.287464449500717</v>
      </c>
      <c r="AI80" s="204">
        <f t="shared" si="136"/>
        <v>-45.319363642998205</v>
      </c>
      <c r="AJ80" s="204">
        <f t="shared" si="136"/>
        <v>-45.351793219306572</v>
      </c>
      <c r="AK80" s="204">
        <f t="shared" si="136"/>
        <v>-45.384725374157448</v>
      </c>
      <c r="AL80" s="204">
        <f t="shared" si="136"/>
        <v>-45.418133105817134</v>
      </c>
      <c r="AM80" s="204">
        <f t="shared" si="136"/>
        <v>-45.451990195638636</v>
      </c>
      <c r="AN80" s="204">
        <f t="shared" si="136"/>
        <v>-45.486271189046469</v>
      </c>
      <c r="AO80" s="204">
        <f t="shared" si="136"/>
        <v>-45.52095137694549</v>
      </c>
      <c r="AP80" s="204">
        <f t="shared" si="136"/>
        <v>-45.55600677754444</v>
      </c>
      <c r="AQ80" s="204">
        <f t="shared" si="136"/>
        <v>-45.591414118585675</v>
      </c>
      <c r="AR80" s="204">
        <f t="shared" si="136"/>
        <v>-45.627150819972258</v>
      </c>
      <c r="AS80" s="204">
        <f t="shared" si="136"/>
        <v>-45.663194976783977</v>
      </c>
      <c r="AT80" s="204">
        <f t="shared" si="136"/>
        <v>-45.699525342674178</v>
      </c>
      <c r="AU80" s="204">
        <f t="shared" si="136"/>
        <v>-45.736121313639245</v>
      </c>
      <c r="AV80" s="204">
        <f t="shared" si="136"/>
        <v>-45.772962912152735</v>
      </c>
      <c r="AW80" s="204">
        <f t="shared" si="136"/>
        <v>-45.810030771656301</v>
      </c>
      <c r="AX80" s="204">
        <f t="shared" si="136"/>
        <v>-45.847306121400251</v>
      </c>
      <c r="AY80" s="204">
        <f t="shared" si="136"/>
        <v>-45.884770771625647</v>
      </c>
      <c r="AZ80" s="204">
        <f t="shared" si="136"/>
        <v>-45.922407099081198</v>
      </c>
      <c r="BA80" s="204">
        <f t="shared" si="136"/>
        <v>-45.96019803286741</v>
      </c>
      <c r="BB80" s="204">
        <f t="shared" si="136"/>
        <v>-45.998127040601275</v>
      </c>
      <c r="BC80" s="204">
        <f t="shared" si="136"/>
        <v>-46.036178114894469</v>
      </c>
      <c r="BD80" s="204">
        <f t="shared" si="136"/>
        <v>-46.074335760138382</v>
      </c>
      <c r="BE80" s="204">
        <f t="shared" si="136"/>
        <v>-46.112584979589457</v>
      </c>
      <c r="BF80" s="204">
        <f t="shared" si="136"/>
        <v>-46.150911262748309</v>
      </c>
      <c r="BG80" s="204">
        <f t="shared" si="136"/>
        <v>-46.189300573026458</v>
      </c>
      <c r="BH80" s="204">
        <f t="shared" si="136"/>
        <v>-46.227739335694302</v>
      </c>
      <c r="BI80" s="204">
        <f t="shared" si="136"/>
        <v>-46.266214426104426</v>
      </c>
      <c r="BJ80" s="204">
        <f t="shared" si="136"/>
        <v>-46.304713158184313</v>
      </c>
      <c r="BK80" s="204">
        <f t="shared" si="136"/>
        <v>-46.343223273192642</v>
      </c>
      <c r="BL80" s="204">
        <f t="shared" si="136"/>
        <v>-46.381732928733356</v>
      </c>
      <c r="BM80" s="204">
        <f t="shared" si="136"/>
        <v>-46.420230688022237</v>
      </c>
      <c r="BN80" s="204">
        <f t="shared" si="136"/>
        <v>-46.458705509400211</v>
      </c>
      <c r="BO80" s="204">
        <f t="shared" si="136"/>
        <v>-46.49714673608829</v>
      </c>
      <c r="BP80" s="204">
        <f t="shared" si="136"/>
        <v>-46.535544086178824</v>
      </c>
      <c r="BQ80" s="204">
        <f t="shared" si="136"/>
        <v>-46.573887642857891</v>
      </c>
      <c r="BR80" s="204">
        <f t="shared" si="136"/>
        <v>-46.612167844853978</v>
      </c>
      <c r="BS80" s="204">
        <f t="shared" si="136"/>
        <v>-46.65037547710795</v>
      </c>
      <c r="BT80" s="204">
        <f t="shared" ref="BT80:EE80" si="137">PV($F34,BT$9,1,0)+(PV($J$6,$N$5-(BT$9),1,0)/($J$6+1)^BT$9)</f>
        <v>-46.688501661659444</v>
      </c>
      <c r="BU80" s="204">
        <f t="shared" si="137"/>
        <v>-46.72653784874511</v>
      </c>
      <c r="BV80" s="204">
        <f t="shared" si="137"/>
        <v>-46.764475808103995</v>
      </c>
      <c r="BW80" s="204">
        <f t="shared" si="137"/>
        <v>-46.802307620485699</v>
      </c>
      <c r="BX80" s="204">
        <f t="shared" si="137"/>
        <v>-46.840025669356656</v>
      </c>
      <c r="BY80" s="204">
        <f t="shared" si="137"/>
        <v>-46.877622632800488</v>
      </c>
      <c r="BZ80" s="204">
        <f t="shared" si="137"/>
        <v>-46.915091475607987</v>
      </c>
      <c r="CA80" s="204">
        <f t="shared" si="137"/>
        <v>-46.952425441552684</v>
      </c>
      <c r="CB80" s="204">
        <f t="shared" si="137"/>
        <v>-46.989618045847969</v>
      </c>
      <c r="CC80" s="204">
        <f t="shared" si="137"/>
        <v>-47.026663067781683</v>
      </c>
      <c r="CD80" s="204">
        <f t="shared" si="137"/>
        <v>-47.063554543524418</v>
      </c>
      <c r="CE80" s="204">
        <f t="shared" si="137"/>
        <v>-47.100286759107625</v>
      </c>
      <c r="CF80" s="204">
        <f t="shared" si="137"/>
        <v>-47.136854243567861</v>
      </c>
      <c r="CG80" s="204">
        <f t="shared" si="137"/>
        <v>-47.1732517622535</v>
      </c>
      <c r="CH80" s="204">
        <f t="shared" si="137"/>
        <v>-47.209474310290325</v>
      </c>
      <c r="CI80" s="204">
        <f t="shared" si="137"/>
        <v>-47.245517106202534</v>
      </c>
      <c r="CJ80" s="204">
        <f t="shared" si="137"/>
        <v>-47.281375585685758</v>
      </c>
      <c r="CK80" s="204">
        <f t="shared" si="137"/>
        <v>-47.317045395528574</v>
      </c>
      <c r="CL80" s="204">
        <f t="shared" si="137"/>
        <v>-47.3525223876795</v>
      </c>
      <c r="CM80" s="204">
        <f t="shared" si="137"/>
        <v>-47.38780261345611</v>
      </c>
      <c r="CN80" s="204">
        <f t="shared" si="137"/>
        <v>-47.422882317893027</v>
      </c>
      <c r="CO80" s="204">
        <f t="shared" si="137"/>
        <v>-47.457757934225903</v>
      </c>
      <c r="CP80" s="204">
        <f t="shared" si="137"/>
        <v>-47.492426078508309</v>
      </c>
      <c r="CQ80" s="204">
        <f t="shared" si="137"/>
        <v>-47.526883544358533</v>
      </c>
      <c r="CR80" s="204">
        <f t="shared" si="137"/>
        <v>-47.561127297833423</v>
      </c>
      <c r="CS80" s="204">
        <f t="shared" si="137"/>
        <v>-47.595154472426543</v>
      </c>
      <c r="CT80" s="204">
        <f t="shared" si="137"/>
        <v>-47.628962364187686</v>
      </c>
      <c r="CU80" s="204">
        <f t="shared" si="137"/>
        <v>-47.662548426961195</v>
      </c>
      <c r="CV80" s="204">
        <f t="shared" si="137"/>
        <v>-47.695910267740487</v>
      </c>
      <c r="CW80" s="204">
        <f t="shared" si="137"/>
        <v>-47.729045642135915</v>
      </c>
      <c r="CX80" s="204">
        <f t="shared" si="137"/>
        <v>-47.761952449953696</v>
      </c>
      <c r="CY80" s="204">
        <f t="shared" si="137"/>
        <v>-47.761952449953696</v>
      </c>
      <c r="CZ80" s="204">
        <f t="shared" si="137"/>
        <v>-47.761952449953696</v>
      </c>
      <c r="DA80" s="204">
        <f t="shared" si="137"/>
        <v>-47.761952449953696</v>
      </c>
      <c r="DB80" s="204">
        <f t="shared" si="137"/>
        <v>-47.761952449953696</v>
      </c>
      <c r="DC80" s="204">
        <f t="shared" si="137"/>
        <v>-47.761952449953696</v>
      </c>
      <c r="DD80" s="204">
        <f t="shared" si="137"/>
        <v>-47.761952449953696</v>
      </c>
      <c r="DE80" s="204">
        <f t="shared" si="137"/>
        <v>-47.761952449953696</v>
      </c>
      <c r="DF80" s="204">
        <f t="shared" si="137"/>
        <v>-47.761952449953696</v>
      </c>
      <c r="DG80" s="204">
        <f t="shared" si="137"/>
        <v>-47.761952449953696</v>
      </c>
      <c r="DH80" s="204">
        <f t="shared" si="137"/>
        <v>-47.761952449953696</v>
      </c>
      <c r="DI80" s="204">
        <f t="shared" si="137"/>
        <v>-47.761952449953696</v>
      </c>
      <c r="DJ80" s="204">
        <f t="shared" si="137"/>
        <v>-47.761952449953696</v>
      </c>
      <c r="DK80" s="204">
        <f t="shared" si="137"/>
        <v>-47.761952449953696</v>
      </c>
      <c r="DL80" s="204">
        <f t="shared" si="137"/>
        <v>-47.761952449953696</v>
      </c>
      <c r="DM80" s="204">
        <f t="shared" si="137"/>
        <v>-47.761952449953696</v>
      </c>
      <c r="DN80" s="204">
        <f t="shared" si="137"/>
        <v>-47.761952449953696</v>
      </c>
      <c r="DO80" s="204">
        <f t="shared" si="137"/>
        <v>-47.761952449953696</v>
      </c>
      <c r="DP80" s="204">
        <f t="shared" si="137"/>
        <v>-47.761952449953696</v>
      </c>
      <c r="DQ80" s="204">
        <f t="shared" si="137"/>
        <v>-47.761952449953696</v>
      </c>
      <c r="DR80" s="204">
        <f t="shared" si="137"/>
        <v>-47.761952449953696</v>
      </c>
      <c r="DS80" s="204">
        <f t="shared" si="137"/>
        <v>-47.761952449953696</v>
      </c>
      <c r="DT80" s="204">
        <f t="shared" si="137"/>
        <v>-47.761952449953696</v>
      </c>
      <c r="DU80" s="204">
        <f t="shared" si="137"/>
        <v>-47.761952449953696</v>
      </c>
      <c r="DV80" s="204">
        <f t="shared" si="137"/>
        <v>-47.761952449953696</v>
      </c>
      <c r="DW80" s="204">
        <f t="shared" si="137"/>
        <v>-47.761952449953696</v>
      </c>
      <c r="DX80" s="204">
        <f t="shared" si="137"/>
        <v>-47.761952449953696</v>
      </c>
      <c r="DY80" s="204">
        <f t="shared" si="137"/>
        <v>-47.761952449953696</v>
      </c>
      <c r="DZ80" s="204">
        <f t="shared" si="137"/>
        <v>-47.761952449953696</v>
      </c>
      <c r="EA80" s="204">
        <f t="shared" si="137"/>
        <v>-47.761952449953696</v>
      </c>
      <c r="EB80" s="204">
        <f t="shared" si="137"/>
        <v>-47.761952449953696</v>
      </c>
      <c r="EC80" s="204">
        <f t="shared" si="137"/>
        <v>-47.761952449953696</v>
      </c>
      <c r="ED80" s="204">
        <f t="shared" si="137"/>
        <v>-47.761952449953696</v>
      </c>
      <c r="EE80" s="204">
        <f t="shared" si="137"/>
        <v>-47.761952449953696</v>
      </c>
      <c r="EF80" s="204">
        <f t="shared" ref="EF80:ET80" si="138">PV($F34,EF$9,1,0)+(PV($J$6,$N$5-(EF$9),1,0)/($J$6+1)^EF$9)</f>
        <v>-47.761952449953696</v>
      </c>
      <c r="EG80" s="204">
        <f t="shared" si="138"/>
        <v>-47.761952449953696</v>
      </c>
      <c r="EH80" s="204">
        <f t="shared" si="138"/>
        <v>-47.761952449953696</v>
      </c>
      <c r="EI80" s="204">
        <f t="shared" si="138"/>
        <v>-47.761952449953696</v>
      </c>
      <c r="EJ80" s="204">
        <f t="shared" si="138"/>
        <v>-47.761952449953696</v>
      </c>
      <c r="EK80" s="204">
        <f t="shared" si="138"/>
        <v>-47.761952449953696</v>
      </c>
      <c r="EL80" s="204">
        <f t="shared" si="138"/>
        <v>-47.761952449953696</v>
      </c>
      <c r="EM80" s="204">
        <f t="shared" si="138"/>
        <v>-47.761952449953696</v>
      </c>
      <c r="EN80" s="204">
        <f t="shared" si="138"/>
        <v>-47.761952449953696</v>
      </c>
      <c r="EO80" s="204">
        <f t="shared" si="138"/>
        <v>-47.761952449953696</v>
      </c>
      <c r="EP80" s="204">
        <f t="shared" si="138"/>
        <v>-47.761952449953696</v>
      </c>
      <c r="EQ80" s="204">
        <f t="shared" si="138"/>
        <v>-47.761952449953696</v>
      </c>
      <c r="ER80" s="204">
        <f t="shared" si="138"/>
        <v>-47.761952449953696</v>
      </c>
      <c r="ES80" s="204">
        <f t="shared" si="138"/>
        <v>-47.761952449953696</v>
      </c>
      <c r="ET80" s="204">
        <f t="shared" si="138"/>
        <v>-47.761952449953696</v>
      </c>
      <c r="FF80" s="6" t="s">
        <v>3020</v>
      </c>
      <c r="FG80" s="696">
        <v>1.8500000000000003E-2</v>
      </c>
      <c r="FH80" s="696">
        <v>120</v>
      </c>
      <c r="FI80" s="696">
        <v>1.7100000000000001E-2</v>
      </c>
      <c r="FJ80" s="255">
        <v>1.3500000000000002E-2</v>
      </c>
      <c r="FK80" s="71">
        <f t="shared" si="126"/>
        <v>1.1904761904761907E-4</v>
      </c>
      <c r="FL80" t="e">
        <f>VLOOKUP(FF80,'SIMULADOR COM SALDO'!$BX$22:$CK$1000,13,FALSE)</f>
        <v>#N/A</v>
      </c>
    </row>
    <row r="81" spans="7:168" x14ac:dyDescent="0.25">
      <c r="G81" s="205">
        <f t="shared" si="68"/>
        <v>-44.753906451247765</v>
      </c>
      <c r="H81" s="204">
        <f t="shared" ref="H81:BS81" si="139">PV($F35,H$9,1,0)+(PV($J$6,$N$5-(H$9),1,0)/($J$6+1)^H$9)</f>
        <v>-44.757241321823223</v>
      </c>
      <c r="I81" s="204">
        <f t="shared" si="139"/>
        <v>-44.762157011188918</v>
      </c>
      <c r="J81" s="204">
        <f t="shared" si="139"/>
        <v>-44.768597776335959</v>
      </c>
      <c r="K81" s="204">
        <f t="shared" si="139"/>
        <v>-44.776509331861327</v>
      </c>
      <c r="L81" s="204">
        <f t="shared" si="139"/>
        <v>-44.785838816162624</v>
      </c>
      <c r="M81" s="204">
        <f t="shared" si="139"/>
        <v>-44.796534758367464</v>
      </c>
      <c r="N81" s="204">
        <f t="shared" si="139"/>
        <v>-44.808547045982316</v>
      </c>
      <c r="O81" s="204">
        <f t="shared" si="139"/>
        <v>-44.821826893245735</v>
      </c>
      <c r="P81" s="204">
        <f t="shared" si="139"/>
        <v>-44.836326810171229</v>
      </c>
      <c r="Q81" s="204">
        <f t="shared" si="139"/>
        <v>-44.852000572265368</v>
      </c>
      <c r="R81" s="204">
        <f t="shared" si="139"/>
        <v>-44.868803190906974</v>
      </c>
      <c r="S81" s="204">
        <f t="shared" si="139"/>
        <v>-44.886690884373721</v>
      </c>
      <c r="T81" s="204">
        <f t="shared" si="139"/>
        <v>-44.905621049502351</v>
      </c>
      <c r="U81" s="204">
        <f t="shared" si="139"/>
        <v>-44.925552233969277</v>
      </c>
      <c r="V81" s="204">
        <f t="shared" si="139"/>
        <v>-44.946444109178799</v>
      </c>
      <c r="W81" s="204">
        <f t="shared" si="139"/>
        <v>-44.968257443745827</v>
      </c>
      <c r="X81" s="204">
        <f t="shared" si="139"/>
        <v>-44.99095407756095</v>
      </c>
      <c r="Y81" s="204">
        <f t="shared" si="139"/>
        <v>-45.014496896425371</v>
      </c>
      <c r="Z81" s="204">
        <f t="shared" si="139"/>
        <v>-45.038849807243921</v>
      </c>
      <c r="AA81" s="204">
        <f t="shared" si="139"/>
        <v>-45.063977713764217</v>
      </c>
      <c r="AB81" s="204">
        <f t="shared" si="139"/>
        <v>-45.089846492850697</v>
      </c>
      <c r="AC81" s="204">
        <f t="shared" si="139"/>
        <v>-45.116422971282113</v>
      </c>
      <c r="AD81" s="204">
        <f t="shared" si="139"/>
        <v>-45.143674903061381</v>
      </c>
      <c r="AE81" s="204">
        <f t="shared" si="139"/>
        <v>-45.171570947227266</v>
      </c>
      <c r="AF81" s="204">
        <f t="shared" si="139"/>
        <v>-45.200080646157005</v>
      </c>
      <c r="AG81" s="204">
        <f t="shared" si="139"/>
        <v>-45.229174404349614</v>
      </c>
      <c r="AH81" s="204">
        <f t="shared" si="139"/>
        <v>-45.258823467679896</v>
      </c>
      <c r="AI81" s="204">
        <f t="shared" si="139"/>
        <v>-45.28899990311281</v>
      </c>
      <c r="AJ81" s="204">
        <f t="shared" si="139"/>
        <v>-45.319676578868943</v>
      </c>
      <c r="AK81" s="204">
        <f t="shared" si="139"/>
        <v>-45.350827145031047</v>
      </c>
      <c r="AL81" s="204">
        <f t="shared" si="139"/>
        <v>-45.382426014582663</v>
      </c>
      <c r="AM81" s="204">
        <f t="shared" si="139"/>
        <v>-45.414448344869513</v>
      </c>
      <c r="AN81" s="204">
        <f t="shared" si="139"/>
        <v>-45.44687001947473</v>
      </c>
      <c r="AO81" s="204">
        <f t="shared" si="139"/>
        <v>-45.479667630499037</v>
      </c>
      <c r="AP81" s="204">
        <f t="shared" si="139"/>
        <v>-45.51281846123748</v>
      </c>
      <c r="AQ81" s="204">
        <f t="shared" si="139"/>
        <v>-45.546300469244095</v>
      </c>
      <c r="AR81" s="204">
        <f t="shared" si="139"/>
        <v>-45.580092269776308</v>
      </c>
      <c r="AS81" s="204">
        <f t="shared" si="139"/>
        <v>-45.614173119611038</v>
      </c>
      <c r="AT81" s="204">
        <f t="shared" si="139"/>
        <v>-45.648522901224538</v>
      </c>
      <c r="AU81" s="204">
        <f t="shared" si="139"/>
        <v>-45.68312210732816</v>
      </c>
      <c r="AV81" s="204">
        <f t="shared" si="139"/>
        <v>-45.717951825752635</v>
      </c>
      <c r="AW81" s="204">
        <f t="shared" si="139"/>
        <v>-45.752993724673146</v>
      </c>
      <c r="AX81" s="204">
        <f t="shared" si="139"/>
        <v>-45.788230038168194</v>
      </c>
      <c r="AY81" s="204">
        <f t="shared" si="139"/>
        <v>-45.823643552104954</v>
      </c>
      <c r="AZ81" s="204">
        <f t="shared" si="139"/>
        <v>-45.859217590344123</v>
      </c>
      <c r="BA81" s="204">
        <f t="shared" si="139"/>
        <v>-45.894936001257506</v>
      </c>
      <c r="BB81" s="204">
        <f t="shared" si="139"/>
        <v>-45.930783144551626</v>
      </c>
      <c r="BC81" s="204">
        <f t="shared" si="139"/>
        <v>-45.966743878390702</v>
      </c>
      <c r="BD81" s="204">
        <f t="shared" si="139"/>
        <v>-46.002803546812615</v>
      </c>
      <c r="BE81" s="204">
        <f t="shared" si="139"/>
        <v>-46.038947967431668</v>
      </c>
      <c r="BF81" s="204">
        <f t="shared" si="139"/>
        <v>-46.075163419421862</v>
      </c>
      <c r="BG81" s="204">
        <f t="shared" si="139"/>
        <v>-46.111436631774531</v>
      </c>
      <c r="BH81" s="204">
        <f t="shared" si="139"/>
        <v>-46.147754771824793</v>
      </c>
      <c r="BI81" s="204">
        <f t="shared" si="139"/>
        <v>-46.184105434040639</v>
      </c>
      <c r="BJ81" s="204">
        <f t="shared" si="139"/>
        <v>-46.220476629069211</v>
      </c>
      <c r="BK81" s="204">
        <f t="shared" si="139"/>
        <v>-46.256856773034684</v>
      </c>
      <c r="BL81" s="204">
        <f t="shared" si="139"/>
        <v>-46.293234677082211</v>
      </c>
      <c r="BM81" s="204">
        <f t="shared" si="139"/>
        <v>-46.329599537162807</v>
      </c>
      <c r="BN81" s="204">
        <f t="shared" si="139"/>
        <v>-46.365940924053724</v>
      </c>
      <c r="BO81" s="204">
        <f t="shared" si="139"/>
        <v>-46.402248773609422</v>
      </c>
      <c r="BP81" s="204">
        <f t="shared" si="139"/>
        <v>-46.43851337723801</v>
      </c>
      <c r="BQ81" s="204">
        <f t="shared" si="139"/>
        <v>-46.474725372598229</v>
      </c>
      <c r="BR81" s="204">
        <f t="shared" si="139"/>
        <v>-46.51087573451246</v>
      </c>
      <c r="BS81" s="204">
        <f t="shared" si="139"/>
        <v>-46.546955766090619</v>
      </c>
      <c r="BT81" s="204">
        <f t="shared" ref="BT81:EE81" si="140">PV($F35,BT$9,1,0)+(PV($J$6,$N$5-(BT$9),1,0)/($J$6+1)^BT$9)</f>
        <v>-46.582957090060724</v>
      </c>
      <c r="BU81" s="204">
        <f t="shared" si="140"/>
        <v>-46.618871640301535</v>
      </c>
      <c r="BV81" s="204">
        <f t="shared" si="140"/>
        <v>-46.654691653572705</v>
      </c>
      <c r="BW81" s="204">
        <f t="shared" si="140"/>
        <v>-46.690409661438366</v>
      </c>
      <c r="BX81" s="204">
        <f t="shared" si="140"/>
        <v>-46.726018482379757</v>
      </c>
      <c r="BY81" s="204">
        <f t="shared" si="140"/>
        <v>-46.761511214092835</v>
      </c>
      <c r="BZ81" s="204">
        <f t="shared" si="140"/>
        <v>-46.796881225966807</v>
      </c>
      <c r="CA81" s="204">
        <f t="shared" si="140"/>
        <v>-46.832122151739682</v>
      </c>
      <c r="CB81" s="204">
        <f t="shared" si="140"/>
        <v>-46.867227882326766</v>
      </c>
      <c r="CC81" s="204">
        <f t="shared" si="140"/>
        <v>-46.902192558818612</v>
      </c>
      <c r="CD81" s="204">
        <f t="shared" si="140"/>
        <v>-46.937010565644371</v>
      </c>
      <c r="CE81" s="204">
        <f t="shared" si="140"/>
        <v>-46.971676523897244</v>
      </c>
      <c r="CF81" s="204">
        <f t="shared" si="140"/>
        <v>-47.006185284818116</v>
      </c>
      <c r="CG81" s="204">
        <f t="shared" si="140"/>
        <v>-47.040531923434244</v>
      </c>
      <c r="CH81" s="204">
        <f t="shared" si="140"/>
        <v>-47.074711732349307</v>
      </c>
      <c r="CI81" s="204">
        <f t="shared" si="140"/>
        <v>-47.108720215681508</v>
      </c>
      <c r="CJ81" s="204">
        <f t="shared" si="140"/>
        <v>-47.142553083146758</v>
      </c>
      <c r="CK81" s="204">
        <f t="shared" si="140"/>
        <v>-47.176206244283229</v>
      </c>
      <c r="CL81" s="204">
        <f t="shared" si="140"/>
        <v>-47.209675802814623</v>
      </c>
      <c r="CM81" s="204">
        <f t="shared" si="140"/>
        <v>-47.242958051148769</v>
      </c>
      <c r="CN81" s="204">
        <f t="shared" si="140"/>
        <v>-47.276049465008711</v>
      </c>
      <c r="CO81" s="204">
        <f t="shared" si="140"/>
        <v>-47.308946698193239</v>
      </c>
      <c r="CP81" s="204">
        <f t="shared" si="140"/>
        <v>-47.341646577464125</v>
      </c>
      <c r="CQ81" s="204">
        <f t="shared" si="140"/>
        <v>-47.374146097557023</v>
      </c>
      <c r="CR81" s="204">
        <f t="shared" si="140"/>
        <v>-47.406442416313581</v>
      </c>
      <c r="CS81" s="204">
        <f t="shared" si="140"/>
        <v>-47.438532849931697</v>
      </c>
      <c r="CT81" s="204">
        <f t="shared" si="140"/>
        <v>-47.470414868331687</v>
      </c>
      <c r="CU81" s="204">
        <f t="shared" si="140"/>
        <v>-47.502086090635338</v>
      </c>
      <c r="CV81" s="204">
        <f t="shared" si="140"/>
        <v>-47.533544280755798</v>
      </c>
      <c r="CW81" s="204">
        <f t="shared" si="140"/>
        <v>-47.564787343095311</v>
      </c>
      <c r="CX81" s="204">
        <f t="shared" si="140"/>
        <v>-47.59581331834881</v>
      </c>
      <c r="CY81" s="204">
        <f t="shared" si="140"/>
        <v>-47.59581331834881</v>
      </c>
      <c r="CZ81" s="204">
        <f t="shared" si="140"/>
        <v>-47.59581331834881</v>
      </c>
      <c r="DA81" s="204">
        <f t="shared" si="140"/>
        <v>-47.59581331834881</v>
      </c>
      <c r="DB81" s="204">
        <f t="shared" si="140"/>
        <v>-47.59581331834881</v>
      </c>
      <c r="DC81" s="204">
        <f t="shared" si="140"/>
        <v>-47.59581331834881</v>
      </c>
      <c r="DD81" s="204">
        <f t="shared" si="140"/>
        <v>-47.59581331834881</v>
      </c>
      <c r="DE81" s="204">
        <f t="shared" si="140"/>
        <v>-47.59581331834881</v>
      </c>
      <c r="DF81" s="204">
        <f t="shared" si="140"/>
        <v>-47.59581331834881</v>
      </c>
      <c r="DG81" s="204">
        <f t="shared" si="140"/>
        <v>-47.59581331834881</v>
      </c>
      <c r="DH81" s="204">
        <f t="shared" si="140"/>
        <v>-47.59581331834881</v>
      </c>
      <c r="DI81" s="204">
        <f t="shared" si="140"/>
        <v>-47.59581331834881</v>
      </c>
      <c r="DJ81" s="204">
        <f t="shared" si="140"/>
        <v>-47.59581331834881</v>
      </c>
      <c r="DK81" s="204">
        <f t="shared" si="140"/>
        <v>-47.59581331834881</v>
      </c>
      <c r="DL81" s="204">
        <f t="shared" si="140"/>
        <v>-47.59581331834881</v>
      </c>
      <c r="DM81" s="204">
        <f t="shared" si="140"/>
        <v>-47.59581331834881</v>
      </c>
      <c r="DN81" s="204">
        <f t="shared" si="140"/>
        <v>-47.59581331834881</v>
      </c>
      <c r="DO81" s="204">
        <f t="shared" si="140"/>
        <v>-47.59581331834881</v>
      </c>
      <c r="DP81" s="204">
        <f t="shared" si="140"/>
        <v>-47.59581331834881</v>
      </c>
      <c r="DQ81" s="204">
        <f t="shared" si="140"/>
        <v>-47.59581331834881</v>
      </c>
      <c r="DR81" s="204">
        <f t="shared" si="140"/>
        <v>-47.59581331834881</v>
      </c>
      <c r="DS81" s="204">
        <f t="shared" si="140"/>
        <v>-47.59581331834881</v>
      </c>
      <c r="DT81" s="204">
        <f t="shared" si="140"/>
        <v>-47.59581331834881</v>
      </c>
      <c r="DU81" s="204">
        <f t="shared" si="140"/>
        <v>-47.59581331834881</v>
      </c>
      <c r="DV81" s="204">
        <f t="shared" si="140"/>
        <v>-47.59581331834881</v>
      </c>
      <c r="DW81" s="204">
        <f t="shared" si="140"/>
        <v>-47.59581331834881</v>
      </c>
      <c r="DX81" s="204">
        <f t="shared" si="140"/>
        <v>-47.59581331834881</v>
      </c>
      <c r="DY81" s="204">
        <f t="shared" si="140"/>
        <v>-47.59581331834881</v>
      </c>
      <c r="DZ81" s="204">
        <f t="shared" si="140"/>
        <v>-47.59581331834881</v>
      </c>
      <c r="EA81" s="204">
        <f t="shared" si="140"/>
        <v>-47.59581331834881</v>
      </c>
      <c r="EB81" s="204">
        <f t="shared" si="140"/>
        <v>-47.59581331834881</v>
      </c>
      <c r="EC81" s="204">
        <f t="shared" si="140"/>
        <v>-47.59581331834881</v>
      </c>
      <c r="ED81" s="204">
        <f t="shared" si="140"/>
        <v>-47.59581331834881</v>
      </c>
      <c r="EE81" s="204">
        <f t="shared" si="140"/>
        <v>-47.59581331834881</v>
      </c>
      <c r="EF81" s="204">
        <f t="shared" ref="EF81:ET81" si="141">PV($F35,EF$9,1,0)+(PV($J$6,$N$5-(EF$9),1,0)/($J$6+1)^EF$9)</f>
        <v>-47.59581331834881</v>
      </c>
      <c r="EG81" s="204">
        <f t="shared" si="141"/>
        <v>-47.59581331834881</v>
      </c>
      <c r="EH81" s="204">
        <f t="shared" si="141"/>
        <v>-47.59581331834881</v>
      </c>
      <c r="EI81" s="204">
        <f t="shared" si="141"/>
        <v>-47.59581331834881</v>
      </c>
      <c r="EJ81" s="204">
        <f t="shared" si="141"/>
        <v>-47.59581331834881</v>
      </c>
      <c r="EK81" s="204">
        <f t="shared" si="141"/>
        <v>-47.59581331834881</v>
      </c>
      <c r="EL81" s="204">
        <f t="shared" si="141"/>
        <v>-47.59581331834881</v>
      </c>
      <c r="EM81" s="204">
        <f t="shared" si="141"/>
        <v>-47.59581331834881</v>
      </c>
      <c r="EN81" s="204">
        <f t="shared" si="141"/>
        <v>-47.59581331834881</v>
      </c>
      <c r="EO81" s="204">
        <f t="shared" si="141"/>
        <v>-47.59581331834881</v>
      </c>
      <c r="EP81" s="204">
        <f t="shared" si="141"/>
        <v>-47.59581331834881</v>
      </c>
      <c r="EQ81" s="204">
        <f t="shared" si="141"/>
        <v>-47.59581331834881</v>
      </c>
      <c r="ER81" s="204">
        <f t="shared" si="141"/>
        <v>-47.59581331834881</v>
      </c>
      <c r="ES81" s="204">
        <f t="shared" si="141"/>
        <v>-47.59581331834881</v>
      </c>
      <c r="ET81" s="204">
        <f t="shared" si="141"/>
        <v>-47.59581331834881</v>
      </c>
      <c r="FF81" s="6" t="s">
        <v>542</v>
      </c>
      <c r="FG81" s="696">
        <v>2.5000000000000001E-2</v>
      </c>
      <c r="FH81" s="696">
        <v>96</v>
      </c>
      <c r="FI81" s="696">
        <v>2.1000000000000001E-2</v>
      </c>
      <c r="FJ81" s="255">
        <v>1.5300000000000001E-2</v>
      </c>
      <c r="FK81" s="71">
        <f t="shared" si="126"/>
        <v>2.3095238095238095E-4</v>
      </c>
      <c r="FL81" t="e">
        <f>VLOOKUP(FF81,'SIMULADOR COM SALDO'!$BX$22:$CK$1000,13,FALSE)</f>
        <v>#N/A</v>
      </c>
    </row>
    <row r="82" spans="7:168" x14ac:dyDescent="0.25">
      <c r="G82" s="205">
        <f t="shared" si="68"/>
        <v>-44.753812029809623</v>
      </c>
      <c r="H82" s="204">
        <f t="shared" ref="H82:BS82" si="142">PV($F36,H$9,1,0)+(PV($J$6,$N$5-(H$9),1,0)/($J$6+1)^H$9)</f>
        <v>-44.756961176128186</v>
      </c>
      <c r="I82" s="204">
        <f t="shared" si="142"/>
        <v>-44.761602879784377</v>
      </c>
      <c r="J82" s="204">
        <f t="shared" si="142"/>
        <v>-44.767684363583321</v>
      </c>
      <c r="K82" s="204">
        <f t="shared" si="142"/>
        <v>-44.775154234049786</v>
      </c>
      <c r="L82" s="204">
        <f t="shared" si="142"/>
        <v>-44.78396244925446</v>
      </c>
      <c r="M82" s="204">
        <f t="shared" si="142"/>
        <v>-44.794060287341146</v>
      </c>
      <c r="N82" s="204">
        <f t="shared" si="142"/>
        <v>-44.805400315740329</v>
      </c>
      <c r="O82" s="204">
        <f t="shared" si="142"/>
        <v>-44.817936361054713</v>
      </c>
      <c r="P82" s="204">
        <f t="shared" si="142"/>
        <v>-44.831623479602605</v>
      </c>
      <c r="Q82" s="204">
        <f t="shared" si="142"/>
        <v>-44.846417928605462</v>
      </c>
      <c r="R82" s="204">
        <f t="shared" si="142"/>
        <v>-44.862277138005979</v>
      </c>
      <c r="S82" s="204">
        <f t="shared" si="142"/>
        <v>-44.879159682903619</v>
      </c>
      <c r="T82" s="204">
        <f t="shared" si="142"/>
        <v>-44.897025256594503</v>
      </c>
      <c r="U82" s="204">
        <f t="shared" si="142"/>
        <v>-44.915834644203038</v>
      </c>
      <c r="V82" s="204">
        <f t="shared" si="142"/>
        <v>-44.935549696892785</v>
      </c>
      <c r="W82" s="204">
        <f t="shared" si="142"/>
        <v>-44.956133306644467</v>
      </c>
      <c r="X82" s="204">
        <f t="shared" si="142"/>
        <v>-44.977549381589085</v>
      </c>
      <c r="Y82" s="204">
        <f t="shared" si="142"/>
        <v>-44.999762821884588</v>
      </c>
      <c r="Z82" s="204">
        <f t="shared" si="142"/>
        <v>-45.022739496124416</v>
      </c>
      <c r="AA82" s="204">
        <f t="shared" si="142"/>
        <v>-45.046446218266972</v>
      </c>
      <c r="AB82" s="204">
        <f t="shared" si="142"/>
        <v>-45.070850725074877</v>
      </c>
      <c r="AC82" s="204">
        <f t="shared" si="142"/>
        <v>-45.095921654053214</v>
      </c>
      <c r="AD82" s="204">
        <f t="shared" si="142"/>
        <v>-45.121628521876296</v>
      </c>
      <c r="AE82" s="204">
        <f t="shared" si="142"/>
        <v>-45.147941703292673</v>
      </c>
      <c r="AF82" s="204">
        <f t="shared" si="142"/>
        <v>-45.174832410498155</v>
      </c>
      <c r="AG82" s="204">
        <f t="shared" si="142"/>
        <v>-45.202272672966899</v>
      </c>
      <c r="AH82" s="204">
        <f t="shared" si="142"/>
        <v>-45.230235317731186</v>
      </c>
      <c r="AI82" s="204">
        <f t="shared" si="142"/>
        <v>-45.258693950099826</v>
      </c>
      <c r="AJ82" s="204">
        <f t="shared" si="142"/>
        <v>-45.287622934806464</v>
      </c>
      <c r="AK82" s="204">
        <f t="shared" si="142"/>
        <v>-45.316997377578303</v>
      </c>
      <c r="AL82" s="204">
        <f t="shared" si="142"/>
        <v>-45.346793107116326</v>
      </c>
      <c r="AM82" s="204">
        <f t="shared" si="142"/>
        <v>-45.376986657478511</v>
      </c>
      <c r="AN82" s="204">
        <f t="shared" si="142"/>
        <v>-45.407555250857186</v>
      </c>
      <c r="AO82" s="204">
        <f t="shared" si="142"/>
        <v>-45.438476780742313</v>
      </c>
      <c r="AP82" s="204">
        <f t="shared" si="142"/>
        <v>-45.469729795462449</v>
      </c>
      <c r="AQ82" s="204">
        <f t="shared" si="142"/>
        <v>-45.501293482095278</v>
      </c>
      <c r="AR82" s="204">
        <f t="shared" si="142"/>
        <v>-45.533147650739849</v>
      </c>
      <c r="AS82" s="204">
        <f t="shared" si="142"/>
        <v>-45.565272719142882</v>
      </c>
      <c r="AT82" s="204">
        <f t="shared" si="142"/>
        <v>-45.597649697671457</v>
      </c>
      <c r="AU82" s="204">
        <f t="shared" si="142"/>
        <v>-45.630260174624787</v>
      </c>
      <c r="AV82" s="204">
        <f t="shared" si="142"/>
        <v>-45.663086301877755</v>
      </c>
      <c r="AW82" s="204">
        <f t="shared" si="142"/>
        <v>-45.696110780849018</v>
      </c>
      <c r="AX82" s="204">
        <f t="shared" si="142"/>
        <v>-45.729316848787136</v>
      </c>
      <c r="AY82" s="204">
        <f t="shared" si="142"/>
        <v>-45.762688265367217</v>
      </c>
      <c r="AZ82" s="204">
        <f t="shared" si="142"/>
        <v>-45.796209299592164</v>
      </c>
      <c r="BA82" s="204">
        <f t="shared" si="142"/>
        <v>-45.829864716991366</v>
      </c>
      <c r="BB82" s="204">
        <f t="shared" si="142"/>
        <v>-45.863639767110868</v>
      </c>
      <c r="BC82" s="204">
        <f t="shared" si="142"/>
        <v>-45.897520171288505</v>
      </c>
      <c r="BD82" s="204">
        <f t="shared" si="142"/>
        <v>-45.93149211070795</v>
      </c>
      <c r="BE82" s="204">
        <f t="shared" si="142"/>
        <v>-45.965542214725716</v>
      </c>
      <c r="BF82" s="204">
        <f t="shared" si="142"/>
        <v>-45.999657549465098</v>
      </c>
      <c r="BG82" s="204">
        <f t="shared" si="142"/>
        <v>-46.033825606671478</v>
      </c>
      <c r="BH82" s="204">
        <f t="shared" si="142"/>
        <v>-46.068034292823135</v>
      </c>
      <c r="BI82" s="204">
        <f t="shared" si="142"/>
        <v>-46.102271918492221</v>
      </c>
      <c r="BJ82" s="204">
        <f t="shared" si="142"/>
        <v>-46.136527187950406</v>
      </c>
      <c r="BK82" s="204">
        <f t="shared" si="142"/>
        <v>-46.170789189013902</v>
      </c>
      <c r="BL82" s="204">
        <f t="shared" si="142"/>
        <v>-46.205047383122725</v>
      </c>
      <c r="BM82" s="204">
        <f t="shared" si="142"/>
        <v>-46.239291595648993</v>
      </c>
      <c r="BN82" s="204">
        <f t="shared" si="142"/>
        <v>-46.273512006429527</v>
      </c>
      <c r="BO82" s="204">
        <f t="shared" si="142"/>
        <v>-46.307699140517528</v>
      </c>
      <c r="BP82" s="204">
        <f t="shared" si="142"/>
        <v>-46.341843859149009</v>
      </c>
      <c r="BQ82" s="204">
        <f t="shared" si="142"/>
        <v>-46.375937350918868</v>
      </c>
      <c r="BR82" s="204">
        <f t="shared" si="142"/>
        <v>-46.409971123162386</v>
      </c>
      <c r="BS82" s="204">
        <f t="shared" si="142"/>
        <v>-46.443936993537442</v>
      </c>
      <c r="BT82" s="204">
        <f t="shared" ref="BT82:EE82" si="143">PV($F36,BT$9,1,0)+(PV($J$6,$N$5-(BT$9),1,0)/($J$6+1)^BT$9)</f>
        <v>-46.477827081803206</v>
      </c>
      <c r="BU82" s="204">
        <f t="shared" si="143"/>
        <v>-46.511633801790964</v>
      </c>
      <c r="BV82" s="204">
        <f t="shared" si="143"/>
        <v>-46.545349853562847</v>
      </c>
      <c r="BW82" s="204">
        <f t="shared" si="143"/>
        <v>-46.578968215754436</v>
      </c>
      <c r="BX82" s="204">
        <f t="shared" si="143"/>
        <v>-46.6124821380971</v>
      </c>
      <c r="BY82" s="204">
        <f t="shared" si="143"/>
        <v>-46.645885134116277</v>
      </c>
      <c r="BZ82" s="204">
        <f t="shared" si="143"/>
        <v>-46.679170974001757</v>
      </c>
      <c r="CA82" s="204">
        <f t="shared" si="143"/>
        <v>-46.712333677646086</v>
      </c>
      <c r="CB82" s="204">
        <f t="shared" si="143"/>
        <v>-46.745367507847625</v>
      </c>
      <c r="CC82" s="204">
        <f t="shared" si="143"/>
        <v>-46.778266963674483</v>
      </c>
      <c r="CD82" s="204">
        <f t="shared" si="143"/>
        <v>-46.811026773985759</v>
      </c>
      <c r="CE82" s="204">
        <f t="shared" si="143"/>
        <v>-46.843641891106778</v>
      </c>
      <c r="CF82" s="204">
        <f t="shared" si="143"/>
        <v>-46.87610748465481</v>
      </c>
      <c r="CG82" s="204">
        <f t="shared" si="143"/>
        <v>-46.908418935511897</v>
      </c>
      <c r="CH82" s="204">
        <f t="shared" si="143"/>
        <v>-46.940571829941703</v>
      </c>
      <c r="CI82" s="204">
        <f t="shared" si="143"/>
        <v>-46.972561953847048</v>
      </c>
      <c r="CJ82" s="204">
        <f t="shared" si="143"/>
        <v>-47.0043852871651</v>
      </c>
      <c r="CK82" s="204">
        <f t="shared" si="143"/>
        <v>-47.036037998397134</v>
      </c>
      <c r="CL82" s="204">
        <f t="shared" si="143"/>
        <v>-47.067516439269852</v>
      </c>
      <c r="CM82" s="204">
        <f t="shared" si="143"/>
        <v>-47.098817139525394</v>
      </c>
      <c r="CN82" s="204">
        <f t="shared" si="143"/>
        <v>-47.129936801837161</v>
      </c>
      <c r="CO82" s="204">
        <f t="shared" si="143"/>
        <v>-47.160872296848602</v>
      </c>
      <c r="CP82" s="204">
        <f t="shared" si="143"/>
        <v>-47.191620658332283</v>
      </c>
      <c r="CQ82" s="204">
        <f t="shared" si="143"/>
        <v>-47.222179078466525</v>
      </c>
      <c r="CR82" s="204">
        <f t="shared" si="143"/>
        <v>-47.252544903227005</v>
      </c>
      <c r="CS82" s="204">
        <f t="shared" si="143"/>
        <v>-47.282715627890681</v>
      </c>
      <c r="CT82" s="204">
        <f t="shared" si="143"/>
        <v>-47.312688892649682</v>
      </c>
      <c r="CU82" s="204">
        <f t="shared" si="143"/>
        <v>-47.34246247833245</v>
      </c>
      <c r="CV82" s="204">
        <f t="shared" si="143"/>
        <v>-47.372034302230034</v>
      </c>
      <c r="CW82" s="204">
        <f t="shared" si="143"/>
        <v>-47.401402414024879</v>
      </c>
      <c r="CX82" s="204">
        <f t="shared" si="143"/>
        <v>-47.430564991820006</v>
      </c>
      <c r="CY82" s="204">
        <f t="shared" si="143"/>
        <v>-47.430564991820006</v>
      </c>
      <c r="CZ82" s="204">
        <f t="shared" si="143"/>
        <v>-47.430564991820006</v>
      </c>
      <c r="DA82" s="204">
        <f t="shared" si="143"/>
        <v>-47.430564991820006</v>
      </c>
      <c r="DB82" s="204">
        <f t="shared" si="143"/>
        <v>-47.430564991820006</v>
      </c>
      <c r="DC82" s="204">
        <f t="shared" si="143"/>
        <v>-47.430564991820006</v>
      </c>
      <c r="DD82" s="204">
        <f t="shared" si="143"/>
        <v>-47.430564991820006</v>
      </c>
      <c r="DE82" s="204">
        <f t="shared" si="143"/>
        <v>-47.430564991820006</v>
      </c>
      <c r="DF82" s="204">
        <f t="shared" si="143"/>
        <v>-47.430564991820006</v>
      </c>
      <c r="DG82" s="204">
        <f t="shared" si="143"/>
        <v>-47.430564991820006</v>
      </c>
      <c r="DH82" s="204">
        <f t="shared" si="143"/>
        <v>-47.430564991820006</v>
      </c>
      <c r="DI82" s="204">
        <f t="shared" si="143"/>
        <v>-47.430564991820006</v>
      </c>
      <c r="DJ82" s="204">
        <f t="shared" si="143"/>
        <v>-47.430564991820006</v>
      </c>
      <c r="DK82" s="204">
        <f t="shared" si="143"/>
        <v>-47.430564991820006</v>
      </c>
      <c r="DL82" s="204">
        <f t="shared" si="143"/>
        <v>-47.430564991820006</v>
      </c>
      <c r="DM82" s="204">
        <f t="shared" si="143"/>
        <v>-47.430564991820006</v>
      </c>
      <c r="DN82" s="204">
        <f t="shared" si="143"/>
        <v>-47.430564991820006</v>
      </c>
      <c r="DO82" s="204">
        <f t="shared" si="143"/>
        <v>-47.430564991820006</v>
      </c>
      <c r="DP82" s="204">
        <f t="shared" si="143"/>
        <v>-47.430564991820006</v>
      </c>
      <c r="DQ82" s="204">
        <f t="shared" si="143"/>
        <v>-47.430564991820006</v>
      </c>
      <c r="DR82" s="204">
        <f t="shared" si="143"/>
        <v>-47.430564991820006</v>
      </c>
      <c r="DS82" s="204">
        <f t="shared" si="143"/>
        <v>-47.430564991820006</v>
      </c>
      <c r="DT82" s="204">
        <f t="shared" si="143"/>
        <v>-47.430564991820006</v>
      </c>
      <c r="DU82" s="204">
        <f t="shared" si="143"/>
        <v>-47.430564991820006</v>
      </c>
      <c r="DV82" s="204">
        <f t="shared" si="143"/>
        <v>-47.430564991820006</v>
      </c>
      <c r="DW82" s="204">
        <f t="shared" si="143"/>
        <v>-47.430564991820006</v>
      </c>
      <c r="DX82" s="204">
        <f t="shared" si="143"/>
        <v>-47.430564991820006</v>
      </c>
      <c r="DY82" s="204">
        <f t="shared" si="143"/>
        <v>-47.430564991820006</v>
      </c>
      <c r="DZ82" s="204">
        <f t="shared" si="143"/>
        <v>-47.430564991820006</v>
      </c>
      <c r="EA82" s="204">
        <f t="shared" si="143"/>
        <v>-47.430564991820006</v>
      </c>
      <c r="EB82" s="204">
        <f t="shared" si="143"/>
        <v>-47.430564991820006</v>
      </c>
      <c r="EC82" s="204">
        <f t="shared" si="143"/>
        <v>-47.430564991820006</v>
      </c>
      <c r="ED82" s="204">
        <f t="shared" si="143"/>
        <v>-47.430564991820006</v>
      </c>
      <c r="EE82" s="204">
        <f t="shared" si="143"/>
        <v>-47.430564991820006</v>
      </c>
      <c r="EF82" s="204">
        <f t="shared" ref="EF82:ET82" si="144">PV($F36,EF$9,1,0)+(PV($J$6,$N$5-(EF$9),1,0)/($J$6+1)^EF$9)</f>
        <v>-47.430564991820006</v>
      </c>
      <c r="EG82" s="204">
        <f t="shared" si="144"/>
        <v>-47.430564991820006</v>
      </c>
      <c r="EH82" s="204">
        <f t="shared" si="144"/>
        <v>-47.430564991820006</v>
      </c>
      <c r="EI82" s="204">
        <f t="shared" si="144"/>
        <v>-47.430564991820006</v>
      </c>
      <c r="EJ82" s="204">
        <f t="shared" si="144"/>
        <v>-47.430564991820006</v>
      </c>
      <c r="EK82" s="204">
        <f t="shared" si="144"/>
        <v>-47.430564991820006</v>
      </c>
      <c r="EL82" s="204">
        <f t="shared" si="144"/>
        <v>-47.430564991820006</v>
      </c>
      <c r="EM82" s="204">
        <f t="shared" si="144"/>
        <v>-47.430564991820006</v>
      </c>
      <c r="EN82" s="204">
        <f t="shared" si="144"/>
        <v>-47.430564991820006</v>
      </c>
      <c r="EO82" s="204">
        <f t="shared" si="144"/>
        <v>-47.430564991820006</v>
      </c>
      <c r="EP82" s="204">
        <f t="shared" si="144"/>
        <v>-47.430564991820006</v>
      </c>
      <c r="EQ82" s="204">
        <f t="shared" si="144"/>
        <v>-47.430564991820006</v>
      </c>
      <c r="ER82" s="204">
        <f t="shared" si="144"/>
        <v>-47.430564991820006</v>
      </c>
      <c r="ES82" s="204">
        <f t="shared" si="144"/>
        <v>-47.430564991820006</v>
      </c>
      <c r="ET82" s="204">
        <f t="shared" si="144"/>
        <v>-47.430564991820006</v>
      </c>
      <c r="FF82" s="6" t="s">
        <v>3124</v>
      </c>
      <c r="FG82" s="696">
        <v>2.35E-2</v>
      </c>
      <c r="FH82" s="696">
        <v>120</v>
      </c>
      <c r="FI82" s="696">
        <v>0.02</v>
      </c>
      <c r="FJ82" s="255">
        <v>1.4999999999999999E-2</v>
      </c>
      <c r="FK82" s="71">
        <f t="shared" si="126"/>
        <v>2.0238095238095239E-4</v>
      </c>
      <c r="FL82" t="e">
        <f>VLOOKUP(FF82,'SIMULADOR COM SALDO'!$BX$22:$CK$1000,13,FALSE)</f>
        <v>#N/A</v>
      </c>
    </row>
    <row r="83" spans="7:168" x14ac:dyDescent="0.25">
      <c r="G83" s="205">
        <f t="shared" si="68"/>
        <v>-44.75371762649911</v>
      </c>
      <c r="H83" s="204">
        <f t="shared" ref="H83:BS83" si="145">PV($F37,H$9,1,0)+(PV($J$6,$N$5-(H$9),1,0)/($J$6+1)^H$9)</f>
        <v>-44.756681102042954</v>
      </c>
      <c r="I83" s="204">
        <f t="shared" si="145"/>
        <v>-44.761048925182529</v>
      </c>
      <c r="J83" s="204">
        <f t="shared" si="145"/>
        <v>-44.766771300051218</v>
      </c>
      <c r="K83" s="204">
        <f t="shared" si="145"/>
        <v>-44.773799739802264</v>
      </c>
      <c r="L83" s="204">
        <f t="shared" si="145"/>
        <v>-44.782087036093962</v>
      </c>
      <c r="M83" s="204">
        <f t="shared" si="145"/>
        <v>-44.791587229241237</v>
      </c>
      <c r="N83" s="204">
        <f t="shared" si="145"/>
        <v>-44.802255579019928</v>
      </c>
      <c r="O83" s="204">
        <f t="shared" si="145"/>
        <v>-44.81404853610978</v>
      </c>
      <c r="P83" s="204">
        <f t="shared" si="145"/>
        <v>-44.826923714162895</v>
      </c>
      <c r="Q83" s="204">
        <f t="shared" si="145"/>
        <v>-44.840839862484422</v>
      </c>
      <c r="R83" s="204">
        <f t="shared" si="145"/>
        <v>-44.855756839312654</v>
      </c>
      <c r="S83" s="204">
        <f t="shared" si="145"/>
        <v>-44.8716355856861</v>
      </c>
      <c r="T83" s="204">
        <f t="shared" si="145"/>
        <v>-44.888438099884752</v>
      </c>
      <c r="U83" s="204">
        <f t="shared" si="145"/>
        <v>-44.906127412433875</v>
      </c>
      <c r="V83" s="204">
        <f t="shared" si="145"/>
        <v>-44.924667561658289</v>
      </c>
      <c r="W83" s="204">
        <f t="shared" si="145"/>
        <v>-44.944023569775553</v>
      </c>
      <c r="X83" s="204">
        <f t="shared" si="145"/>
        <v>-44.964161419516614</v>
      </c>
      <c r="Y83" s="204">
        <f t="shared" si="145"/>
        <v>-44.985048031262991</v>
      </c>
      <c r="Z83" s="204">
        <f t="shared" si="145"/>
        <v>-45.006651240689273</v>
      </c>
      <c r="AA83" s="204">
        <f t="shared" si="145"/>
        <v>-45.028939776900636</v>
      </c>
      <c r="AB83" s="204">
        <f t="shared" si="145"/>
        <v>-45.051883241054554</v>
      </c>
      <c r="AC83" s="204">
        <f t="shared" si="145"/>
        <v>-45.07545208545659</v>
      </c>
      <c r="AD83" s="204">
        <f t="shared" si="145"/>
        <v>-45.099617593120321</v>
      </c>
      <c r="AE83" s="204">
        <f t="shared" si="145"/>
        <v>-45.124351857781527</v>
      </c>
      <c r="AF83" s="204">
        <f t="shared" si="145"/>
        <v>-45.149627764356808</v>
      </c>
      <c r="AG83" s="204">
        <f t="shared" si="145"/>
        <v>-45.175418969837374</v>
      </c>
      <c r="AH83" s="204">
        <f t="shared" si="145"/>
        <v>-45.201699884608985</v>
      </c>
      <c r="AI83" s="204">
        <f t="shared" si="145"/>
        <v>-45.228445654188391</v>
      </c>
      <c r="AJ83" s="204">
        <f t="shared" si="145"/>
        <v>-45.255632141368118</v>
      </c>
      <c r="AK83" s="204">
        <f t="shared" si="145"/>
        <v>-45.283235908760275</v>
      </c>
      <c r="AL83" s="204">
        <f t="shared" si="145"/>
        <v>-45.311234201731395</v>
      </c>
      <c r="AM83" s="204">
        <f t="shared" si="145"/>
        <v>-45.339604931719656</v>
      </c>
      <c r="AN83" s="204">
        <f t="shared" si="145"/>
        <v>-45.368326659926467</v>
      </c>
      <c r="AO83" s="204">
        <f t="shared" si="145"/>
        <v>-45.397378581374369</v>
      </c>
      <c r="AP83" s="204">
        <f t="shared" si="145"/>
        <v>-45.426740509323501</v>
      </c>
      <c r="AQ83" s="204">
        <f t="shared" si="145"/>
        <v>-45.456392860038918</v>
      </c>
      <c r="AR83" s="204">
        <f t="shared" si="145"/>
        <v>-45.486316637901254</v>
      </c>
      <c r="AS83" s="204">
        <f t="shared" si="145"/>
        <v>-45.516493420853394</v>
      </c>
      <c r="AT83" s="204">
        <f t="shared" si="145"/>
        <v>-45.546905346176004</v>
      </c>
      <c r="AU83" s="204">
        <f t="shared" si="145"/>
        <v>-45.577535096584782</v>
      </c>
      <c r="AV83" s="204">
        <f t="shared" si="145"/>
        <v>-45.608365886642645</v>
      </c>
      <c r="AW83" s="204">
        <f t="shared" si="145"/>
        <v>-45.639381449479906</v>
      </c>
      <c r="AX83" s="204">
        <f t="shared" si="145"/>
        <v>-45.670566023816107</v>
      </c>
      <c r="AY83" s="204">
        <f t="shared" si="145"/>
        <v>-45.701904341276759</v>
      </c>
      <c r="AZ83" s="204">
        <f t="shared" si="145"/>
        <v>-45.733381613998773</v>
      </c>
      <c r="BA83" s="204">
        <f t="shared" si="145"/>
        <v>-45.764983522518364</v>
      </c>
      <c r="BB83" s="204">
        <f t="shared" si="145"/>
        <v>-45.796696203935326</v>
      </c>
      <c r="BC83" s="204">
        <f t="shared" si="145"/>
        <v>-45.82850624034765</v>
      </c>
      <c r="BD83" s="204">
        <f t="shared" si="145"/>
        <v>-45.860400647550861</v>
      </c>
      <c r="BE83" s="204">
        <f t="shared" si="145"/>
        <v>-45.892366863996045</v>
      </c>
      <c r="BF83" s="204">
        <f t="shared" si="145"/>
        <v>-45.924392740001281</v>
      </c>
      <c r="BG83" s="204">
        <f t="shared" si="145"/>
        <v>-45.9564665272108</v>
      </c>
      <c r="BH83" s="204">
        <f t="shared" si="145"/>
        <v>-45.988576868296576</v>
      </c>
      <c r="BI83" s="204">
        <f t="shared" si="145"/>
        <v>-46.020712786897079</v>
      </c>
      <c r="BJ83" s="204">
        <f t="shared" si="145"/>
        <v>-46.052863677788068</v>
      </c>
      <c r="BK83" s="204">
        <f t="shared" si="145"/>
        <v>-46.085019297280461</v>
      </c>
      <c r="BL83" s="204">
        <f t="shared" si="145"/>
        <v>-46.117169753840081</v>
      </c>
      <c r="BM83" s="204">
        <f t="shared" si="145"/>
        <v>-46.149305498924839</v>
      </c>
      <c r="BN83" s="204">
        <f t="shared" si="145"/>
        <v>-46.181417318034278</v>
      </c>
      <c r="BO83" s="204">
        <f t="shared" si="145"/>
        <v>-46.213496321967135</v>
      </c>
      <c r="BP83" s="204">
        <f t="shared" si="145"/>
        <v>-46.245533938282108</v>
      </c>
      <c r="BQ83" s="204">
        <f t="shared" si="145"/>
        <v>-46.277521902957652</v>
      </c>
      <c r="BR83" s="204">
        <f t="shared" si="145"/>
        <v>-46.309452252246366</v>
      </c>
      <c r="BS83" s="204">
        <f t="shared" si="145"/>
        <v>-46.341317314719554</v>
      </c>
      <c r="BT83" s="204">
        <f t="shared" ref="BT83:EE83" si="146">PV($F37,BT$9,1,0)+(PV($J$6,$N$5-(BT$9),1,0)/($J$6+1)^BT$9)</f>
        <v>-46.373109703498116</v>
      </c>
      <c r="BU83" s="204">
        <f t="shared" si="146"/>
        <v>-46.404822308665423</v>
      </c>
      <c r="BV83" s="204">
        <f t="shared" si="146"/>
        <v>-46.436448289858326</v>
      </c>
      <c r="BW83" s="204">
        <f t="shared" si="146"/>
        <v>-46.467981069032334</v>
      </c>
      <c r="BX83" s="204">
        <f t="shared" si="146"/>
        <v>-46.499414323397168</v>
      </c>
      <c r="BY83" s="204">
        <f t="shared" si="146"/>
        <v>-46.530741978518968</v>
      </c>
      <c r="BZ83" s="204">
        <f t="shared" si="146"/>
        <v>-46.561958201585348</v>
      </c>
      <c r="CA83" s="204">
        <f t="shared" si="146"/>
        <v>-46.593057394830019</v>
      </c>
      <c r="CB83" s="204">
        <f t="shared" si="146"/>
        <v>-46.624034189113019</v>
      </c>
      <c r="CC83" s="204">
        <f t="shared" si="146"/>
        <v>-46.654883437653595</v>
      </c>
      <c r="CD83" s="204">
        <f t="shared" si="146"/>
        <v>-46.685600209911996</v>
      </c>
      <c r="CE83" s="204">
        <f t="shared" si="146"/>
        <v>-46.716179785617065</v>
      </c>
      <c r="CF83" s="204">
        <f t="shared" si="146"/>
        <v>-46.746617648936429</v>
      </c>
      <c r="CG83" s="204">
        <f t="shared" si="146"/>
        <v>-46.776909482785946</v>
      </c>
      <c r="CH83" s="204">
        <f t="shared" si="146"/>
        <v>-46.807051163275581</v>
      </c>
      <c r="CI83" s="204">
        <f t="shared" si="146"/>
        <v>-46.83703875428845</v>
      </c>
      <c r="CJ83" s="204">
        <f t="shared" si="146"/>
        <v>-46.866868502190194</v>
      </c>
      <c r="CK83" s="204">
        <f t="shared" si="146"/>
        <v>-46.896536830665823</v>
      </c>
      <c r="CL83" s="204">
        <f t="shared" si="146"/>
        <v>-46.926040335681002</v>
      </c>
      <c r="CM83" s="204">
        <f t="shared" si="146"/>
        <v>-46.95537578056534</v>
      </c>
      <c r="CN83" s="204">
        <f t="shared" si="146"/>
        <v>-46.984540091214534</v>
      </c>
      <c r="CO83" s="204">
        <f t="shared" si="146"/>
        <v>-47.013530351409081</v>
      </c>
      <c r="CP83" s="204">
        <f t="shared" si="146"/>
        <v>-47.042343798246783</v>
      </c>
      <c r="CQ83" s="204">
        <f t="shared" si="146"/>
        <v>-47.070977817686519</v>
      </c>
      <c r="CR83" s="204">
        <f t="shared" si="146"/>
        <v>-47.099429940200793</v>
      </c>
      <c r="CS83" s="204">
        <f t="shared" si="146"/>
        <v>-47.127697836534601</v>
      </c>
      <c r="CT83" s="204">
        <f t="shared" si="146"/>
        <v>-47.155779313568296</v>
      </c>
      <c r="CU83" s="204">
        <f t="shared" si="146"/>
        <v>-47.18367231028207</v>
      </c>
      <c r="CV83" s="204">
        <f t="shared" si="146"/>
        <v>-47.211374893819738</v>
      </c>
      <c r="CW83" s="204">
        <f t="shared" si="146"/>
        <v>-47.238885255649578</v>
      </c>
      <c r="CX83" s="204">
        <f t="shared" si="146"/>
        <v>-47.266201707820208</v>
      </c>
      <c r="CY83" s="204">
        <f t="shared" si="146"/>
        <v>-47.266201707820208</v>
      </c>
      <c r="CZ83" s="204">
        <f t="shared" si="146"/>
        <v>-47.266201707820208</v>
      </c>
      <c r="DA83" s="204">
        <f t="shared" si="146"/>
        <v>-47.266201707820208</v>
      </c>
      <c r="DB83" s="204">
        <f t="shared" si="146"/>
        <v>-47.266201707820208</v>
      </c>
      <c r="DC83" s="204">
        <f t="shared" si="146"/>
        <v>-47.266201707820208</v>
      </c>
      <c r="DD83" s="204">
        <f t="shared" si="146"/>
        <v>-47.266201707820208</v>
      </c>
      <c r="DE83" s="204">
        <f t="shared" si="146"/>
        <v>-47.266201707820208</v>
      </c>
      <c r="DF83" s="204">
        <f t="shared" si="146"/>
        <v>-47.266201707820208</v>
      </c>
      <c r="DG83" s="204">
        <f t="shared" si="146"/>
        <v>-47.266201707820208</v>
      </c>
      <c r="DH83" s="204">
        <f t="shared" si="146"/>
        <v>-47.266201707820208</v>
      </c>
      <c r="DI83" s="204">
        <f t="shared" si="146"/>
        <v>-47.266201707820208</v>
      </c>
      <c r="DJ83" s="204">
        <f t="shared" si="146"/>
        <v>-47.266201707820208</v>
      </c>
      <c r="DK83" s="204">
        <f t="shared" si="146"/>
        <v>-47.266201707820208</v>
      </c>
      <c r="DL83" s="204">
        <f t="shared" si="146"/>
        <v>-47.266201707820208</v>
      </c>
      <c r="DM83" s="204">
        <f t="shared" si="146"/>
        <v>-47.266201707820208</v>
      </c>
      <c r="DN83" s="204">
        <f t="shared" si="146"/>
        <v>-47.266201707820208</v>
      </c>
      <c r="DO83" s="204">
        <f t="shared" si="146"/>
        <v>-47.266201707820208</v>
      </c>
      <c r="DP83" s="204">
        <f t="shared" si="146"/>
        <v>-47.266201707820208</v>
      </c>
      <c r="DQ83" s="204">
        <f t="shared" si="146"/>
        <v>-47.266201707820208</v>
      </c>
      <c r="DR83" s="204">
        <f t="shared" si="146"/>
        <v>-47.266201707820208</v>
      </c>
      <c r="DS83" s="204">
        <f t="shared" si="146"/>
        <v>-47.266201707820208</v>
      </c>
      <c r="DT83" s="204">
        <f t="shared" si="146"/>
        <v>-47.266201707820208</v>
      </c>
      <c r="DU83" s="204">
        <f t="shared" si="146"/>
        <v>-47.266201707820208</v>
      </c>
      <c r="DV83" s="204">
        <f t="shared" si="146"/>
        <v>-47.266201707820208</v>
      </c>
      <c r="DW83" s="204">
        <f t="shared" si="146"/>
        <v>-47.266201707820208</v>
      </c>
      <c r="DX83" s="204">
        <f t="shared" si="146"/>
        <v>-47.266201707820208</v>
      </c>
      <c r="DY83" s="204">
        <f t="shared" si="146"/>
        <v>-47.266201707820208</v>
      </c>
      <c r="DZ83" s="204">
        <f t="shared" si="146"/>
        <v>-47.266201707820208</v>
      </c>
      <c r="EA83" s="204">
        <f t="shared" si="146"/>
        <v>-47.266201707820208</v>
      </c>
      <c r="EB83" s="204">
        <f t="shared" si="146"/>
        <v>-47.266201707820208</v>
      </c>
      <c r="EC83" s="204">
        <f t="shared" si="146"/>
        <v>-47.266201707820208</v>
      </c>
      <c r="ED83" s="204">
        <f t="shared" si="146"/>
        <v>-47.266201707820208</v>
      </c>
      <c r="EE83" s="204">
        <f t="shared" si="146"/>
        <v>-47.266201707820208</v>
      </c>
      <c r="EF83" s="204">
        <f t="shared" ref="EF83:ET83" si="147">PV($F37,EF$9,1,0)+(PV($J$6,$N$5-(EF$9),1,0)/($J$6+1)^EF$9)</f>
        <v>-47.266201707820208</v>
      </c>
      <c r="EG83" s="204">
        <f t="shared" si="147"/>
        <v>-47.266201707820208</v>
      </c>
      <c r="EH83" s="204">
        <f t="shared" si="147"/>
        <v>-47.266201707820208</v>
      </c>
      <c r="EI83" s="204">
        <f t="shared" si="147"/>
        <v>-47.266201707820208</v>
      </c>
      <c r="EJ83" s="204">
        <f t="shared" si="147"/>
        <v>-47.266201707820208</v>
      </c>
      <c r="EK83" s="204">
        <f t="shared" si="147"/>
        <v>-47.266201707820208</v>
      </c>
      <c r="EL83" s="204">
        <f t="shared" si="147"/>
        <v>-47.266201707820208</v>
      </c>
      <c r="EM83" s="204">
        <f t="shared" si="147"/>
        <v>-47.266201707820208</v>
      </c>
      <c r="EN83" s="204">
        <f t="shared" si="147"/>
        <v>-47.266201707820208</v>
      </c>
      <c r="EO83" s="204">
        <f t="shared" si="147"/>
        <v>-47.266201707820208</v>
      </c>
      <c r="EP83" s="204">
        <f t="shared" si="147"/>
        <v>-47.266201707820208</v>
      </c>
      <c r="EQ83" s="204">
        <f t="shared" si="147"/>
        <v>-47.266201707820208</v>
      </c>
      <c r="ER83" s="204">
        <f t="shared" si="147"/>
        <v>-47.266201707820208</v>
      </c>
      <c r="ES83" s="204">
        <f t="shared" si="147"/>
        <v>-47.266201707820208</v>
      </c>
      <c r="ET83" s="204">
        <f t="shared" si="147"/>
        <v>-47.266201707820208</v>
      </c>
      <c r="FF83" s="6" t="s">
        <v>3021</v>
      </c>
      <c r="FG83" s="696">
        <v>2.4E-2</v>
      </c>
      <c r="FH83" s="696">
        <v>96</v>
      </c>
      <c r="FI83" s="696">
        <v>1.8500000000000003E-2</v>
      </c>
      <c r="FJ83" s="255">
        <v>1.3500000000000002E-2</v>
      </c>
      <c r="FK83" s="71">
        <f t="shared" si="126"/>
        <v>2.4999999999999995E-4</v>
      </c>
      <c r="FL83" t="e">
        <f>VLOOKUP(FF83,'SIMULADOR COM SALDO'!$BX$22:$CK$1000,13,FALSE)</f>
        <v>#N/A</v>
      </c>
    </row>
    <row r="84" spans="7:168" x14ac:dyDescent="0.25">
      <c r="G84" s="205">
        <f t="shared" si="68"/>
        <v>-44.753623241310976</v>
      </c>
      <c r="H84" s="204">
        <f t="shared" ref="H84:BS84" si="148">PV($F38,H$9,1,0)+(PV($J$6,$N$5-(H$9),1,0)/($J$6+1)^H$9)</f>
        <v>-44.756401099541741</v>
      </c>
      <c r="I84" s="204">
        <f t="shared" si="148"/>
        <v>-44.76049514730704</v>
      </c>
      <c r="J84" s="204">
        <f t="shared" si="148"/>
        <v>-44.765858585564025</v>
      </c>
      <c r="K84" s="204">
        <f t="shared" si="148"/>
        <v>-44.772445848772293</v>
      </c>
      <c r="L84" s="204">
        <f t="shared" si="148"/>
        <v>-44.780212576065786</v>
      </c>
      <c r="M84" s="204">
        <f t="shared" si="148"/>
        <v>-44.789115583055811</v>
      </c>
      <c r="N84" s="204">
        <f t="shared" si="148"/>
        <v>-44.799112834252078</v>
      </c>
      <c r="O84" s="204">
        <f t="shared" si="148"/>
        <v>-44.810163416088635</v>
      </c>
      <c r="P84" s="204">
        <f t="shared" si="148"/>
        <v>-44.822227510542071</v>
      </c>
      <c r="Q84" s="204">
        <f t="shared" si="148"/>
        <v>-44.835266369329503</v>
      </c>
      <c r="R84" s="204">
        <f t="shared" si="148"/>
        <v>-44.849242288673942</v>
      </c>
      <c r="S84" s="204">
        <f t="shared" si="148"/>
        <v>-44.864118584625494</v>
      </c>
      <c r="T84" s="204">
        <f t="shared" si="148"/>
        <v>-44.879859568926179</v>
      </c>
      <c r="U84" s="204">
        <f t="shared" si="148"/>
        <v>-44.896430525407233</v>
      </c>
      <c r="V84" s="204">
        <f t="shared" si="148"/>
        <v>-44.913797686907579</v>
      </c>
      <c r="W84" s="204">
        <f t="shared" si="148"/>
        <v>-44.931928212702289</v>
      </c>
      <c r="X84" s="204">
        <f t="shared" si="148"/>
        <v>-44.950790166430473</v>
      </c>
      <c r="Y84" s="204">
        <f t="shared" si="148"/>
        <v>-44.970352494511943</v>
      </c>
      <c r="Z84" s="204">
        <f t="shared" si="148"/>
        <v>-44.99058500504222</v>
      </c>
      <c r="AA84" s="204">
        <f t="shared" si="148"/>
        <v>-45.011458347155809</v>
      </c>
      <c r="AB84" s="204">
        <f t="shared" si="148"/>
        <v>-45.032943990847983</v>
      </c>
      <c r="AC84" s="204">
        <f t="shared" si="148"/>
        <v>-45.055014207244923</v>
      </c>
      <c r="AD84" s="204">
        <f t="shared" si="148"/>
        <v>-45.077642049313255</v>
      </c>
      <c r="AE84" s="204">
        <f t="shared" si="148"/>
        <v>-45.100801332999097</v>
      </c>
      <c r="AF84" s="204">
        <f t="shared" si="148"/>
        <v>-45.12446661878792</v>
      </c>
      <c r="AG84" s="204">
        <f t="shared" si="148"/>
        <v>-45.14861319367602</v>
      </c>
      <c r="AH84" s="204">
        <f t="shared" si="148"/>
        <v>-45.173217053544917</v>
      </c>
      <c r="AI84" s="204">
        <f t="shared" si="148"/>
        <v>-45.198254885930112</v>
      </c>
      <c r="AJ84" s="204">
        <f t="shared" si="148"/>
        <v>-45.223704053175823</v>
      </c>
      <c r="AK84" s="204">
        <f t="shared" si="148"/>
        <v>-45.249542575967304</v>
      </c>
      <c r="AL84" s="204">
        <f t="shared" si="148"/>
        <v>-45.275749117232934</v>
      </c>
      <c r="AM84" s="204">
        <f t="shared" si="148"/>
        <v>-45.302302966408021</v>
      </c>
      <c r="AN84" s="204">
        <f t="shared" si="148"/>
        <v>-45.329184024052545</v>
      </c>
      <c r="AO84" s="204">
        <f t="shared" si="148"/>
        <v>-45.356372786815442</v>
      </c>
      <c r="AP84" s="204">
        <f t="shared" si="148"/>
        <v>-45.383850332737865</v>
      </c>
      <c r="AQ84" s="204">
        <f t="shared" si="148"/>
        <v>-45.411598306888223</v>
      </c>
      <c r="AR84" s="204">
        <f t="shared" si="148"/>
        <v>-45.439598907321859</v>
      </c>
      <c r="AS84" s="204">
        <f t="shared" si="148"/>
        <v>-45.467834871358427</v>
      </c>
      <c r="AT84" s="204">
        <f t="shared" si="148"/>
        <v>-45.496289462170139</v>
      </c>
      <c r="AU84" s="204">
        <f t="shared" si="148"/>
        <v>-45.524946455674218</v>
      </c>
      <c r="AV84" s="204">
        <f t="shared" si="148"/>
        <v>-45.553790127722948</v>
      </c>
      <c r="AW84" s="204">
        <f t="shared" si="148"/>
        <v>-45.582805241585021</v>
      </c>
      <c r="AX84" s="204">
        <f t="shared" si="148"/>
        <v>-45.61197703571186</v>
      </c>
      <c r="AY84" s="204">
        <f t="shared" si="148"/>
        <v>-45.641291211782672</v>
      </c>
      <c r="AZ84" s="204">
        <f t="shared" si="148"/>
        <v>-45.67073392302256</v>
      </c>
      <c r="BA84" s="204">
        <f t="shared" si="148"/>
        <v>-45.700291762787231</v>
      </c>
      <c r="BB84" s="204">
        <f t="shared" si="148"/>
        <v>-45.729951753409182</v>
      </c>
      <c r="BC84" s="204">
        <f t="shared" si="148"/>
        <v>-45.759701335299255</v>
      </c>
      <c r="BD84" s="204">
        <f t="shared" si="148"/>
        <v>-45.789528356298121</v>
      </c>
      <c r="BE84" s="204">
        <f t="shared" si="148"/>
        <v>-45.819421061272564</v>
      </c>
      <c r="BF84" s="204">
        <f t="shared" si="148"/>
        <v>-45.849368081950821</v>
      </c>
      <c r="BG84" s="204">
        <f t="shared" si="148"/>
        <v>-45.879358426992141</v>
      </c>
      <c r="BH84" s="204">
        <f t="shared" si="148"/>
        <v>-45.909381472285318</v>
      </c>
      <c r="BI84" s="204">
        <f t="shared" si="148"/>
        <v>-45.939426951471262</v>
      </c>
      <c r="BJ84" s="204">
        <f t="shared" si="148"/>
        <v>-45.969484946684759</v>
      </c>
      <c r="BK84" s="204">
        <f t="shared" si="148"/>
        <v>-45.999545879510585</v>
      </c>
      <c r="BL84" s="204">
        <f t="shared" si="148"/>
        <v>-46.029600502149414</v>
      </c>
      <c r="BM84" s="204">
        <f t="shared" si="148"/>
        <v>-46.059639888788809</v>
      </c>
      <c r="BN84" s="204">
        <f t="shared" si="148"/>
        <v>-46.089655427174982</v>
      </c>
      <c r="BO84" s="204">
        <f t="shared" si="148"/>
        <v>-46.119638810380742</v>
      </c>
      <c r="BP84" s="204">
        <f t="shared" si="148"/>
        <v>-46.149582028765629</v>
      </c>
      <c r="BQ84" s="204">
        <f t="shared" si="148"/>
        <v>-46.179477362123627</v>
      </c>
      <c r="BR84" s="204">
        <f t="shared" si="148"/>
        <v>-46.209317372014837</v>
      </c>
      <c r="BS84" s="204">
        <f t="shared" si="148"/>
        <v>-46.239094894276612</v>
      </c>
      <c r="BT84" s="204">
        <f t="shared" ref="BT84:EE84" si="149">PV($F38,BT$9,1,0)+(PV($J$6,$N$5-(BT$9),1,0)/($J$6+1)^BT$9)</f>
        <v>-46.268803031710547</v>
      </c>
      <c r="BU84" s="204">
        <f t="shared" si="149"/>
        <v>-46.298435146941344</v>
      </c>
      <c r="BV84" s="204">
        <f t="shared" si="149"/>
        <v>-46.327984855443724</v>
      </c>
      <c r="BW84" s="204">
        <f t="shared" si="149"/>
        <v>-46.357446018733775</v>
      </c>
      <c r="BX84" s="204">
        <f t="shared" si="149"/>
        <v>-46.386812737721122</v>
      </c>
      <c r="BY84" s="204">
        <f t="shared" si="149"/>
        <v>-46.416079346218297</v>
      </c>
      <c r="BZ84" s="204">
        <f t="shared" si="149"/>
        <v>-46.445240404603936</v>
      </c>
      <c r="CA84" s="204">
        <f t="shared" si="149"/>
        <v>-46.474290693636277</v>
      </c>
      <c r="CB84" s="204">
        <f t="shared" si="149"/>
        <v>-46.503225208413809</v>
      </c>
      <c r="CC84" s="204">
        <f t="shared" si="149"/>
        <v>-46.532039152479712</v>
      </c>
      <c r="CD84" s="204">
        <f t="shared" si="149"/>
        <v>-46.560727932066868</v>
      </c>
      <c r="CE84" s="204">
        <f t="shared" si="149"/>
        <v>-46.589287150480445</v>
      </c>
      <c r="CF84" s="204">
        <f t="shared" si="149"/>
        <v>-46.617712602614922</v>
      </c>
      <c r="CG84" s="204">
        <f t="shared" si="149"/>
        <v>-46.646000269602581</v>
      </c>
      <c r="CH84" s="204">
        <f t="shared" si="149"/>
        <v>-46.674146313590541</v>
      </c>
      <c r="CI84" s="204">
        <f t="shared" si="149"/>
        <v>-46.70214707264352</v>
      </c>
      <c r="CJ84" s="204">
        <f t="shared" si="149"/>
        <v>-46.729999055769461</v>
      </c>
      <c r="CK84" s="204">
        <f t="shared" si="149"/>
        <v>-46.757698938065317</v>
      </c>
      <c r="CL84" s="204">
        <f t="shared" si="149"/>
        <v>-46.785243555980294</v>
      </c>
      <c r="CM84" s="204">
        <f t="shared" si="149"/>
        <v>-46.812629902694006</v>
      </c>
      <c r="CN84" s="204">
        <f t="shared" si="149"/>
        <v>-46.839855123606796</v>
      </c>
      <c r="CO84" s="204">
        <f t="shared" si="149"/>
        <v>-46.866916511939934</v>
      </c>
      <c r="CP84" s="204">
        <f t="shared" si="149"/>
        <v>-46.89381150444305</v>
      </c>
      <c r="CQ84" s="204">
        <f t="shared" si="149"/>
        <v>-46.920537677206468</v>
      </c>
      <c r="CR84" s="204">
        <f t="shared" si="149"/>
        <v>-46.947092741576142</v>
      </c>
      <c r="CS84" s="204">
        <f t="shared" si="149"/>
        <v>-46.973474540168723</v>
      </c>
      <c r="CT84" s="204">
        <f t="shared" si="149"/>
        <v>-46.999681042984705</v>
      </c>
      <c r="CU84" s="204">
        <f t="shared" si="149"/>
        <v>-47.025710343617256</v>
      </c>
      <c r="CV84" s="204">
        <f t="shared" si="149"/>
        <v>-47.051560655554752</v>
      </c>
      <c r="CW84" s="204">
        <f t="shared" si="149"/>
        <v>-47.07723030857467</v>
      </c>
      <c r="CX84" s="204">
        <f t="shared" si="149"/>
        <v>-47.102717745227046</v>
      </c>
      <c r="CY84" s="204">
        <f t="shared" si="149"/>
        <v>-47.102717745227046</v>
      </c>
      <c r="CZ84" s="204">
        <f t="shared" si="149"/>
        <v>-47.102717745227046</v>
      </c>
      <c r="DA84" s="204">
        <f t="shared" si="149"/>
        <v>-47.102717745227046</v>
      </c>
      <c r="DB84" s="204">
        <f t="shared" si="149"/>
        <v>-47.102717745227046</v>
      </c>
      <c r="DC84" s="204">
        <f t="shared" si="149"/>
        <v>-47.102717745227046</v>
      </c>
      <c r="DD84" s="204">
        <f t="shared" si="149"/>
        <v>-47.102717745227046</v>
      </c>
      <c r="DE84" s="204">
        <f t="shared" si="149"/>
        <v>-47.102717745227046</v>
      </c>
      <c r="DF84" s="204">
        <f t="shared" si="149"/>
        <v>-47.102717745227046</v>
      </c>
      <c r="DG84" s="204">
        <f t="shared" si="149"/>
        <v>-47.102717745227046</v>
      </c>
      <c r="DH84" s="204">
        <f t="shared" si="149"/>
        <v>-47.102717745227046</v>
      </c>
      <c r="DI84" s="204">
        <f t="shared" si="149"/>
        <v>-47.102717745227046</v>
      </c>
      <c r="DJ84" s="204">
        <f t="shared" si="149"/>
        <v>-47.102717745227046</v>
      </c>
      <c r="DK84" s="204">
        <f t="shared" si="149"/>
        <v>-47.102717745227046</v>
      </c>
      <c r="DL84" s="204">
        <f t="shared" si="149"/>
        <v>-47.102717745227046</v>
      </c>
      <c r="DM84" s="204">
        <f t="shared" si="149"/>
        <v>-47.102717745227046</v>
      </c>
      <c r="DN84" s="204">
        <f t="shared" si="149"/>
        <v>-47.102717745227046</v>
      </c>
      <c r="DO84" s="204">
        <f t="shared" si="149"/>
        <v>-47.102717745227046</v>
      </c>
      <c r="DP84" s="204">
        <f t="shared" si="149"/>
        <v>-47.102717745227046</v>
      </c>
      <c r="DQ84" s="204">
        <f t="shared" si="149"/>
        <v>-47.102717745227046</v>
      </c>
      <c r="DR84" s="204">
        <f t="shared" si="149"/>
        <v>-47.102717745227046</v>
      </c>
      <c r="DS84" s="204">
        <f t="shared" si="149"/>
        <v>-47.102717745227046</v>
      </c>
      <c r="DT84" s="204">
        <f t="shared" si="149"/>
        <v>-47.102717745227046</v>
      </c>
      <c r="DU84" s="204">
        <f t="shared" si="149"/>
        <v>-47.102717745227046</v>
      </c>
      <c r="DV84" s="204">
        <f t="shared" si="149"/>
        <v>-47.102717745227046</v>
      </c>
      <c r="DW84" s="204">
        <f t="shared" si="149"/>
        <v>-47.102717745227046</v>
      </c>
      <c r="DX84" s="204">
        <f t="shared" si="149"/>
        <v>-47.102717745227046</v>
      </c>
      <c r="DY84" s="204">
        <f t="shared" si="149"/>
        <v>-47.102717745227046</v>
      </c>
      <c r="DZ84" s="204">
        <f t="shared" si="149"/>
        <v>-47.102717745227046</v>
      </c>
      <c r="EA84" s="204">
        <f t="shared" si="149"/>
        <v>-47.102717745227046</v>
      </c>
      <c r="EB84" s="204">
        <f t="shared" si="149"/>
        <v>-47.102717745227046</v>
      </c>
      <c r="EC84" s="204">
        <f t="shared" si="149"/>
        <v>-47.102717745227046</v>
      </c>
      <c r="ED84" s="204">
        <f t="shared" si="149"/>
        <v>-47.102717745227046</v>
      </c>
      <c r="EE84" s="204">
        <f t="shared" si="149"/>
        <v>-47.102717745227046</v>
      </c>
      <c r="EF84" s="204">
        <f t="shared" ref="EF84:ET84" si="150">PV($F38,EF$9,1,0)+(PV($J$6,$N$5-(EF$9),1,0)/($J$6+1)^EF$9)</f>
        <v>-47.102717745227046</v>
      </c>
      <c r="EG84" s="204">
        <f t="shared" si="150"/>
        <v>-47.102717745227046</v>
      </c>
      <c r="EH84" s="204">
        <f t="shared" si="150"/>
        <v>-47.102717745227046</v>
      </c>
      <c r="EI84" s="204">
        <f t="shared" si="150"/>
        <v>-47.102717745227046</v>
      </c>
      <c r="EJ84" s="204">
        <f t="shared" si="150"/>
        <v>-47.102717745227046</v>
      </c>
      <c r="EK84" s="204">
        <f t="shared" si="150"/>
        <v>-47.102717745227046</v>
      </c>
      <c r="EL84" s="204">
        <f t="shared" si="150"/>
        <v>-47.102717745227046</v>
      </c>
      <c r="EM84" s="204">
        <f t="shared" si="150"/>
        <v>-47.102717745227046</v>
      </c>
      <c r="EN84" s="204">
        <f t="shared" si="150"/>
        <v>-47.102717745227046</v>
      </c>
      <c r="EO84" s="204">
        <f t="shared" si="150"/>
        <v>-47.102717745227046</v>
      </c>
      <c r="EP84" s="204">
        <f t="shared" si="150"/>
        <v>-47.102717745227046</v>
      </c>
      <c r="EQ84" s="204">
        <f t="shared" si="150"/>
        <v>-47.102717745227046</v>
      </c>
      <c r="ER84" s="204">
        <f t="shared" si="150"/>
        <v>-47.102717745227046</v>
      </c>
      <c r="ES84" s="204">
        <f t="shared" si="150"/>
        <v>-47.102717745227046</v>
      </c>
      <c r="ET84" s="204">
        <f t="shared" si="150"/>
        <v>-47.102717745227046</v>
      </c>
      <c r="FF84" s="6" t="s">
        <v>236</v>
      </c>
      <c r="FG84" s="696">
        <v>2.5000000000000001E-2</v>
      </c>
      <c r="FH84" s="696">
        <v>120</v>
      </c>
      <c r="FI84" s="696">
        <v>2.23E-2</v>
      </c>
      <c r="FJ84" s="255">
        <v>1.6E-2</v>
      </c>
      <c r="FK84" s="71">
        <f t="shared" si="126"/>
        <v>2.142857142857143E-4</v>
      </c>
      <c r="FL84" t="e">
        <f>VLOOKUP(FF84,'SIMULADOR COM SALDO'!$BX$22:$CK$1000,13,FALSE)</f>
        <v>#N/A</v>
      </c>
    </row>
    <row r="85" spans="7:168" x14ac:dyDescent="0.25">
      <c r="G85" s="205">
        <f t="shared" si="68"/>
        <v>-44.753528874240033</v>
      </c>
      <c r="H85" s="204">
        <f t="shared" ref="H85:BS85" si="151">PV($F39,H$9,1,0)+(PV($J$6,$N$5-(H$9),1,0)/($J$6+1)^H$9)</f>
        <v>-44.756121168598845</v>
      </c>
      <c r="I85" s="204">
        <f t="shared" si="151"/>
        <v>-44.759941546081826</v>
      </c>
      <c r="J85" s="204">
        <f t="shared" si="151"/>
        <v>-44.764946219946452</v>
      </c>
      <c r="K85" s="204">
        <f t="shared" si="151"/>
        <v>-44.771092560613852</v>
      </c>
      <c r="L85" s="204">
        <f t="shared" si="151"/>
        <v>-44.778339068555361</v>
      </c>
      <c r="M85" s="204">
        <f t="shared" si="151"/>
        <v>-44.786645347774154</v>
      </c>
      <c r="N85" s="204">
        <f t="shared" si="151"/>
        <v>-44.795972079869564</v>
      </c>
      <c r="O85" s="204">
        <f t="shared" si="151"/>
        <v>-44.806280998671632</v>
      </c>
      <c r="P85" s="204">
        <f t="shared" si="151"/>
        <v>-44.817534865434084</v>
      </c>
      <c r="Q85" s="204">
        <f t="shared" si="151"/>
        <v>-44.829697444573704</v>
      </c>
      <c r="R85" s="204">
        <f t="shared" si="151"/>
        <v>-44.842733479944762</v>
      </c>
      <c r="S85" s="204">
        <f t="shared" si="151"/>
        <v>-44.85660867163709</v>
      </c>
      <c r="T85" s="204">
        <f t="shared" si="151"/>
        <v>-44.871289653286723</v>
      </c>
      <c r="U85" s="204">
        <f t="shared" si="151"/>
        <v>-44.886743969888315</v>
      </c>
      <c r="V85" s="204">
        <f t="shared" si="151"/>
        <v>-44.902940056098693</v>
      </c>
      <c r="W85" s="204">
        <f t="shared" si="151"/>
        <v>-44.919847215021079</v>
      </c>
      <c r="X85" s="204">
        <f t="shared" si="151"/>
        <v>-44.93743559745986</v>
      </c>
      <c r="Y85" s="204">
        <f t="shared" si="151"/>
        <v>-44.955676181636001</v>
      </c>
      <c r="Z85" s="204">
        <f t="shared" si="151"/>
        <v>-44.974540753353025</v>
      </c>
      <c r="AA85" s="204">
        <f t="shared" si="151"/>
        <v>-44.994001886604394</v>
      </c>
      <c r="AB85" s="204">
        <f t="shared" si="151"/>
        <v>-45.014032924612579</v>
      </c>
      <c r="AC85" s="204">
        <f t="shared" si="151"/>
        <v>-45.034607961290867</v>
      </c>
      <c r="AD85" s="204">
        <f t="shared" si="151"/>
        <v>-45.055701823118667</v>
      </c>
      <c r="AE85" s="204">
        <f t="shared" si="151"/>
        <v>-45.077290051421826</v>
      </c>
      <c r="AF85" s="204">
        <f t="shared" si="151"/>
        <v>-45.099348885049011</v>
      </c>
      <c r="AG85" s="204">
        <f t="shared" si="151"/>
        <v>-45.12185524343586</v>
      </c>
      <c r="AH85" s="204">
        <f t="shared" si="151"/>
        <v>-45.144786710048749</v>
      </c>
      <c r="AI85" s="204">
        <f t="shared" si="151"/>
        <v>-45.168121516199712</v>
      </c>
      <c r="AJ85" s="204">
        <f t="shared" si="151"/>
        <v>-45.191838525225059</v>
      </c>
      <c r="AK85" s="204">
        <f t="shared" si="151"/>
        <v>-45.215917217019438</v>
      </c>
      <c r="AL85" s="204">
        <f t="shared" si="151"/>
        <v>-45.240337672918088</v>
      </c>
      <c r="AM85" s="204">
        <f t="shared" si="151"/>
        <v>-45.265080560919678</v>
      </c>
      <c r="AN85" s="204">
        <f t="shared" si="151"/>
        <v>-45.290127121242428</v>
      </c>
      <c r="AO85" s="204">
        <f t="shared" si="151"/>
        <v>-45.315459152206415</v>
      </c>
      <c r="AP85" s="204">
        <f t="shared" si="151"/>
        <v>-45.341058996435009</v>
      </c>
      <c r="AQ85" s="204">
        <f t="shared" si="151"/>
        <v>-45.366909527368662</v>
      </c>
      <c r="AR85" s="204">
        <f t="shared" si="151"/>
        <v>-45.392994136084276</v>
      </c>
      <c r="AS85" s="204">
        <f t="shared" si="151"/>
        <v>-45.41929671841357</v>
      </c>
      <c r="AT85" s="204">
        <f t="shared" si="151"/>
        <v>-45.445801662354057</v>
      </c>
      <c r="AU85" s="204">
        <f t="shared" si="151"/>
        <v>-45.472493835766329</v>
      </c>
      <c r="AV85" s="204">
        <f t="shared" si="151"/>
        <v>-45.499358574351447</v>
      </c>
      <c r="AW85" s="204">
        <f t="shared" si="151"/>
        <v>-45.526381669902307</v>
      </c>
      <c r="AX85" s="204">
        <f t="shared" si="151"/>
        <v>-45.553549358823375</v>
      </c>
      <c r="AY85" s="204">
        <f t="shared" si="151"/>
        <v>-45.580848310912572</v>
      </c>
      <c r="AZ85" s="204">
        <f t="shared" si="151"/>
        <v>-45.608265618399976</v>
      </c>
      <c r="BA85" s="204">
        <f t="shared" si="151"/>
        <v>-45.635788785237622</v>
      </c>
      <c r="BB85" s="204">
        <f t="shared" si="151"/>
        <v>-45.663405716635026</v>
      </c>
      <c r="BC85" s="204">
        <f t="shared" si="151"/>
        <v>-45.691104708835013</v>
      </c>
      <c r="BD85" s="204">
        <f t="shared" si="151"/>
        <v>-45.718874439124818</v>
      </c>
      <c r="BE85" s="204">
        <f t="shared" si="151"/>
        <v>-45.746703956077127</v>
      </c>
      <c r="BF85" s="204">
        <f t="shared" si="151"/>
        <v>-45.774582670016287</v>
      </c>
      <c r="BG85" s="204">
        <f t="shared" si="151"/>
        <v>-45.802500343704608</v>
      </c>
      <c r="BH85" s="204">
        <f t="shared" si="151"/>
        <v>-45.830447083244046</v>
      </c>
      <c r="BI85" s="204">
        <f t="shared" si="151"/>
        <v>-45.858413329188608</v>
      </c>
      <c r="BJ85" s="204">
        <f t="shared" si="151"/>
        <v>-45.886389847862816</v>
      </c>
      <c r="BK85" s="204">
        <f t="shared" si="151"/>
        <v>-45.914367722881821</v>
      </c>
      <c r="BL85" s="204">
        <f t="shared" si="151"/>
        <v>-45.942338346868596</v>
      </c>
      <c r="BM85" s="204">
        <f t="shared" si="151"/>
        <v>-45.970293413364189</v>
      </c>
      <c r="BN85" s="204">
        <f t="shared" si="151"/>
        <v>-45.998224908926474</v>
      </c>
      <c r="BO85" s="204">
        <f t="shared" si="151"/>
        <v>-46.026125105413541</v>
      </c>
      <c r="BP85" s="204">
        <f t="shared" si="151"/>
        <v>-46.053986552447583</v>
      </c>
      <c r="BQ85" s="204">
        <f t="shared" si="151"/>
        <v>-46.081802070055247</v>
      </c>
      <c r="BR85" s="204">
        <f t="shared" si="151"/>
        <v>-46.109564741480753</v>
      </c>
      <c r="BS85" s="204">
        <f t="shared" si="151"/>
        <v>-46.137267906167779</v>
      </c>
      <c r="BT85" s="204">
        <f t="shared" ref="BT85:EE85" si="152">PV($F39,BT$9,1,0)+(PV($J$6,$N$5-(BT$9),1,0)/($J$6+1)^BT$9)</f>
        <v>-46.16490515290657</v>
      </c>
      <c r="BU85" s="204">
        <f t="shared" si="152"/>
        <v>-46.192470313142557</v>
      </c>
      <c r="BV85" s="204">
        <f t="shared" si="152"/>
        <v>-46.21995745444292</v>
      </c>
      <c r="BW85" s="204">
        <f t="shared" si="152"/>
        <v>-46.247360874117668</v>
      </c>
      <c r="BX85" s="204">
        <f t="shared" si="152"/>
        <v>-46.27467509299175</v>
      </c>
      <c r="BY85" s="204">
        <f t="shared" si="152"/>
        <v>-46.301894849324938</v>
      </c>
      <c r="BZ85" s="204">
        <f t="shared" si="152"/>
        <v>-46.329015092876169</v>
      </c>
      <c r="CA85" s="204">
        <f t="shared" si="152"/>
        <v>-46.35603097910915</v>
      </c>
      <c r="CB85" s="204">
        <f t="shared" si="152"/>
        <v>-46.382937863536085</v>
      </c>
      <c r="CC85" s="204">
        <f t="shared" si="152"/>
        <v>-46.409731296196576</v>
      </c>
      <c r="CD85" s="204">
        <f t="shared" si="152"/>
        <v>-46.436407016268426</v>
      </c>
      <c r="CE85" s="204">
        <f t="shared" si="152"/>
        <v>-46.462960946807812</v>
      </c>
      <c r="CF85" s="204">
        <f t="shared" si="152"/>
        <v>-46.489389189615537</v>
      </c>
      <c r="CG85" s="204">
        <f t="shared" si="152"/>
        <v>-46.515688020226861</v>
      </c>
      <c r="CH85" s="204">
        <f t="shared" si="152"/>
        <v>-46.541853883021986</v>
      </c>
      <c r="CI85" s="204">
        <f t="shared" si="152"/>
        <v>-46.567883386454596</v>
      </c>
      <c r="CJ85" s="204">
        <f t="shared" si="152"/>
        <v>-46.593773298395739</v>
      </c>
      <c r="CK85" s="204">
        <f t="shared" si="152"/>
        <v>-46.619520541590575</v>
      </c>
      <c r="CL85" s="204">
        <f t="shared" si="152"/>
        <v>-46.645122189225297</v>
      </c>
      <c r="CM85" s="204">
        <f t="shared" si="152"/>
        <v>-46.670575460601995</v>
      </c>
      <c r="CN85" s="204">
        <f t="shared" si="152"/>
        <v>-46.695877716918787</v>
      </c>
      <c r="CO85" s="204">
        <f t="shared" si="152"/>
        <v>-46.721026457153059</v>
      </c>
      <c r="CP85" s="204">
        <f t="shared" si="152"/>
        <v>-46.746019314045348</v>
      </c>
      <c r="CQ85" s="204">
        <f t="shared" si="152"/>
        <v>-46.770854050181718</v>
      </c>
      <c r="CR85" s="204">
        <f t="shared" si="152"/>
        <v>-46.795528554172378</v>
      </c>
      <c r="CS85" s="204">
        <f t="shared" si="152"/>
        <v>-46.820040836924214</v>
      </c>
      <c r="CT85" s="204">
        <f t="shared" si="152"/>
        <v>-46.844389028005473</v>
      </c>
      <c r="CU85" s="204">
        <f t="shared" si="152"/>
        <v>-46.868571372100099</v>
      </c>
      <c r="CV85" s="204">
        <f t="shared" si="152"/>
        <v>-46.892586225550033</v>
      </c>
      <c r="CW85" s="204">
        <f t="shared" si="152"/>
        <v>-46.916432052983232</v>
      </c>
      <c r="CX85" s="204">
        <f t="shared" si="152"/>
        <v>-46.940107424025641</v>
      </c>
      <c r="CY85" s="204">
        <f t="shared" si="152"/>
        <v>-46.940107424025641</v>
      </c>
      <c r="CZ85" s="204">
        <f t="shared" si="152"/>
        <v>-46.940107424025641</v>
      </c>
      <c r="DA85" s="204">
        <f t="shared" si="152"/>
        <v>-46.940107424025641</v>
      </c>
      <c r="DB85" s="204">
        <f t="shared" si="152"/>
        <v>-46.940107424025641</v>
      </c>
      <c r="DC85" s="204">
        <f t="shared" si="152"/>
        <v>-46.940107424025641</v>
      </c>
      <c r="DD85" s="204">
        <f t="shared" si="152"/>
        <v>-46.940107424025641</v>
      </c>
      <c r="DE85" s="204">
        <f t="shared" si="152"/>
        <v>-46.940107424025641</v>
      </c>
      <c r="DF85" s="204">
        <f t="shared" si="152"/>
        <v>-46.940107424025641</v>
      </c>
      <c r="DG85" s="204">
        <f t="shared" si="152"/>
        <v>-46.940107424025641</v>
      </c>
      <c r="DH85" s="204">
        <f t="shared" si="152"/>
        <v>-46.940107424025641</v>
      </c>
      <c r="DI85" s="204">
        <f t="shared" si="152"/>
        <v>-46.940107424025641</v>
      </c>
      <c r="DJ85" s="204">
        <f t="shared" si="152"/>
        <v>-46.940107424025641</v>
      </c>
      <c r="DK85" s="204">
        <f t="shared" si="152"/>
        <v>-46.940107424025641</v>
      </c>
      <c r="DL85" s="204">
        <f t="shared" si="152"/>
        <v>-46.940107424025641</v>
      </c>
      <c r="DM85" s="204">
        <f t="shared" si="152"/>
        <v>-46.940107424025641</v>
      </c>
      <c r="DN85" s="204">
        <f t="shared" si="152"/>
        <v>-46.940107424025641</v>
      </c>
      <c r="DO85" s="204">
        <f t="shared" si="152"/>
        <v>-46.940107424025641</v>
      </c>
      <c r="DP85" s="204">
        <f t="shared" si="152"/>
        <v>-46.940107424025641</v>
      </c>
      <c r="DQ85" s="204">
        <f t="shared" si="152"/>
        <v>-46.940107424025641</v>
      </c>
      <c r="DR85" s="204">
        <f t="shared" si="152"/>
        <v>-46.940107424025641</v>
      </c>
      <c r="DS85" s="204">
        <f t="shared" si="152"/>
        <v>-46.940107424025641</v>
      </c>
      <c r="DT85" s="204">
        <f t="shared" si="152"/>
        <v>-46.940107424025641</v>
      </c>
      <c r="DU85" s="204">
        <f t="shared" si="152"/>
        <v>-46.940107424025641</v>
      </c>
      <c r="DV85" s="204">
        <f t="shared" si="152"/>
        <v>-46.940107424025641</v>
      </c>
      <c r="DW85" s="204">
        <f t="shared" si="152"/>
        <v>-46.940107424025641</v>
      </c>
      <c r="DX85" s="204">
        <f t="shared" si="152"/>
        <v>-46.940107424025641</v>
      </c>
      <c r="DY85" s="204">
        <f t="shared" si="152"/>
        <v>-46.940107424025641</v>
      </c>
      <c r="DZ85" s="204">
        <f t="shared" si="152"/>
        <v>-46.940107424025641</v>
      </c>
      <c r="EA85" s="204">
        <f t="shared" si="152"/>
        <v>-46.940107424025641</v>
      </c>
      <c r="EB85" s="204">
        <f t="shared" si="152"/>
        <v>-46.940107424025641</v>
      </c>
      <c r="EC85" s="204">
        <f t="shared" si="152"/>
        <v>-46.940107424025641</v>
      </c>
      <c r="ED85" s="204">
        <f t="shared" si="152"/>
        <v>-46.940107424025641</v>
      </c>
      <c r="EE85" s="204">
        <f t="shared" si="152"/>
        <v>-46.940107424025641</v>
      </c>
      <c r="EF85" s="204">
        <f t="shared" ref="EF85:ET85" si="153">PV($F39,EF$9,1,0)+(PV($J$6,$N$5-(EF$9),1,0)/($J$6+1)^EF$9)</f>
        <v>-46.940107424025641</v>
      </c>
      <c r="EG85" s="204">
        <f t="shared" si="153"/>
        <v>-46.940107424025641</v>
      </c>
      <c r="EH85" s="204">
        <f t="shared" si="153"/>
        <v>-46.940107424025641</v>
      </c>
      <c r="EI85" s="204">
        <f t="shared" si="153"/>
        <v>-46.940107424025641</v>
      </c>
      <c r="EJ85" s="204">
        <f t="shared" si="153"/>
        <v>-46.940107424025641</v>
      </c>
      <c r="EK85" s="204">
        <f t="shared" si="153"/>
        <v>-46.940107424025641</v>
      </c>
      <c r="EL85" s="204">
        <f t="shared" si="153"/>
        <v>-46.940107424025641</v>
      </c>
      <c r="EM85" s="204">
        <f t="shared" si="153"/>
        <v>-46.940107424025641</v>
      </c>
      <c r="EN85" s="204">
        <f t="shared" si="153"/>
        <v>-46.940107424025641</v>
      </c>
      <c r="EO85" s="204">
        <f t="shared" si="153"/>
        <v>-46.940107424025641</v>
      </c>
      <c r="EP85" s="204">
        <f t="shared" si="153"/>
        <v>-46.940107424025641</v>
      </c>
      <c r="EQ85" s="204">
        <f t="shared" si="153"/>
        <v>-46.940107424025641</v>
      </c>
      <c r="ER85" s="204">
        <f t="shared" si="153"/>
        <v>-46.940107424025641</v>
      </c>
      <c r="ES85" s="204">
        <f t="shared" si="153"/>
        <v>-46.940107424025641</v>
      </c>
      <c r="ET85" s="204">
        <f t="shared" si="153"/>
        <v>-46.940107424025641</v>
      </c>
      <c r="FF85" s="67" t="s">
        <v>77</v>
      </c>
      <c r="FG85" s="696">
        <v>2.5000000000000001E-2</v>
      </c>
      <c r="FH85" s="696">
        <v>120</v>
      </c>
      <c r="FI85" s="696">
        <v>2.1000000000000001E-2</v>
      </c>
      <c r="FJ85" s="255">
        <v>1.55E-2</v>
      </c>
      <c r="FK85" s="71">
        <f t="shared" si="126"/>
        <v>2.2619047619047624E-4</v>
      </c>
      <c r="FL85" t="e">
        <f>VLOOKUP(FF85,'SIMULADOR COM SALDO'!$BX$22:$CK$1000,13,FALSE)</f>
        <v>#N/A</v>
      </c>
    </row>
    <row r="86" spans="7:168" x14ac:dyDescent="0.25">
      <c r="G86" s="205">
        <f t="shared" si="68"/>
        <v>-44.75343452528103</v>
      </c>
      <c r="H86" s="204">
        <f t="shared" ref="H86:BS86" si="154">PV($F40,H$9,1,0)+(PV($J$6,$N$5-(H$9),1,0)/($J$6+1)^H$9)</f>
        <v>-44.755841309188511</v>
      </c>
      <c r="I86" s="204">
        <f t="shared" si="154"/>
        <v>-44.759388121430675</v>
      </c>
      <c r="J86" s="204">
        <f t="shared" si="154"/>
        <v>-44.764034203023115</v>
      </c>
      <c r="K86" s="204">
        <f t="shared" si="154"/>
        <v>-44.769739874980942</v>
      </c>
      <c r="L86" s="204">
        <f t="shared" si="154"/>
        <v>-44.776466512948303</v>
      </c>
      <c r="M86" s="204">
        <f t="shared" si="154"/>
        <v>-44.784176522386083</v>
      </c>
      <c r="N86" s="204">
        <f t="shared" si="154"/>
        <v>-44.792833314306293</v>
      </c>
      <c r="O86" s="204">
        <f t="shared" si="154"/>
        <v>-44.802401281541144</v>
      </c>
      <c r="P86" s="204">
        <f t="shared" si="154"/>
        <v>-44.812845775536019</v>
      </c>
      <c r="Q86" s="204">
        <f t="shared" si="154"/>
        <v>-44.824133083654857</v>
      </c>
      <c r="R86" s="204">
        <f t="shared" si="154"/>
        <v>-44.836230406987127</v>
      </c>
      <c r="S86" s="204">
        <f t="shared" si="154"/>
        <v>-44.849105838646238</v>
      </c>
      <c r="T86" s="204">
        <f t="shared" si="154"/>
        <v>-44.862728342548188</v>
      </c>
      <c r="U86" s="204">
        <f t="shared" si="154"/>
        <v>-44.877067732660961</v>
      </c>
      <c r="V86" s="204">
        <f t="shared" si="154"/>
        <v>-44.892094652714363</v>
      </c>
      <c r="W86" s="204">
        <f t="shared" si="154"/>
        <v>-44.907780556360407</v>
      </c>
      <c r="X86" s="204">
        <f t="shared" si="154"/>
        <v>-44.924097687775046</v>
      </c>
      <c r="Y86" s="204">
        <f t="shared" si="154"/>
        <v>-44.941019062691488</v>
      </c>
      <c r="Z86" s="204">
        <f t="shared" si="154"/>
        <v>-44.958518449856143</v>
      </c>
      <c r="AA86" s="204">
        <f t="shared" si="154"/>
        <v>-44.976570352898094</v>
      </c>
      <c r="AB86" s="204">
        <f t="shared" si="154"/>
        <v>-44.995149992603352</v>
      </c>
      <c r="AC86" s="204">
        <f t="shared" si="154"/>
        <v>-45.014233289585178</v>
      </c>
      <c r="AD86" s="204">
        <f t="shared" si="154"/>
        <v>-45.03379684734216</v>
      </c>
      <c r="AE86" s="204">
        <f t="shared" si="154"/>
        <v>-45.053817935695541</v>
      </c>
      <c r="AF86" s="204">
        <f t="shared" si="154"/>
        <v>-45.074274474598056</v>
      </c>
      <c r="AG86" s="204">
        <f t="shared" si="154"/>
        <v>-45.0951450183058</v>
      </c>
      <c r="AH86" s="204">
        <f t="shared" si="154"/>
        <v>-45.116408739906021</v>
      </c>
      <c r="AI86" s="204">
        <f t="shared" si="154"/>
        <v>-45.138045416192583</v>
      </c>
      <c r="AJ86" s="204">
        <f t="shared" si="154"/>
        <v>-45.160035412882181</v>
      </c>
      <c r="AK86" s="204">
        <f t="shared" si="154"/>
        <v>-45.182359670163549</v>
      </c>
      <c r="AL86" s="204">
        <f t="shared" si="154"/>
        <v>-45.204999688572912</v>
      </c>
      <c r="AM86" s="204">
        <f t="shared" si="154"/>
        <v>-45.227937515188358</v>
      </c>
      <c r="AN86" s="204">
        <f t="shared" si="154"/>
        <v>-45.251155730136546</v>
      </c>
      <c r="AO86" s="204">
        <f t="shared" si="154"/>
        <v>-45.274637433404806</v>
      </c>
      <c r="AP86" s="204">
        <f t="shared" si="154"/>
        <v>-45.298366231952215</v>
      </c>
      <c r="AQ86" s="204">
        <f t="shared" si="154"/>
        <v>-45.32232622711318</v>
      </c>
      <c r="AR86" s="204">
        <f t="shared" si="154"/>
        <v>-45.346502002287167</v>
      </c>
      <c r="AS86" s="204">
        <f t="shared" si="154"/>
        <v>-45.370878610908449</v>
      </c>
      <c r="AT86" s="204">
        <f t="shared" si="154"/>
        <v>-45.395441564689882</v>
      </c>
      <c r="AU86" s="204">
        <f t="shared" si="154"/>
        <v>-45.420176822134664</v>
      </c>
      <c r="AV86" s="204">
        <f t="shared" si="154"/>
        <v>-45.445070777310463</v>
      </c>
      <c r="AW86" s="204">
        <f t="shared" si="154"/>
        <v>-45.47011024887999</v>
      </c>
      <c r="AX86" s="204">
        <f t="shared" si="154"/>
        <v>-45.495282469382772</v>
      </c>
      <c r="AY86" s="204">
        <f t="shared" si="154"/>
        <v>-45.520575074762462</v>
      </c>
      <c r="AZ86" s="204">
        <f t="shared" si="154"/>
        <v>-45.545976094134389</v>
      </c>
      <c r="BA86" s="204">
        <f t="shared" si="154"/>
        <v>-45.57147393978822</v>
      </c>
      <c r="BB86" s="204">
        <f t="shared" si="154"/>
        <v>-45.597057397420684</v>
      </c>
      <c r="BC86" s="204">
        <f t="shared" si="154"/>
        <v>-45.622715616592998</v>
      </c>
      <c r="BD86" s="204">
        <f t="shared" si="154"/>
        <v>-45.648438101408658</v>
      </c>
      <c r="BE86" s="204">
        <f t="shared" si="154"/>
        <v>-45.674214701406399</v>
      </c>
      <c r="BF86" s="204">
        <f t="shared" si="154"/>
        <v>-45.700035602663689</v>
      </c>
      <c r="BG86" s="204">
        <f t="shared" si="154"/>
        <v>-45.725891319106374</v>
      </c>
      <c r="BH86" s="204">
        <f t="shared" si="154"/>
        <v>-45.751772684019684</v>
      </c>
      <c r="BI86" s="204">
        <f t="shared" si="154"/>
        <v>-45.777670841756461</v>
      </c>
      <c r="BJ86" s="204">
        <f t="shared" si="154"/>
        <v>-45.803577239638187</v>
      </c>
      <c r="BK86" s="204">
        <f t="shared" si="154"/>
        <v>-45.82948362004452</v>
      </c>
      <c r="BL86" s="204">
        <f t="shared" si="154"/>
        <v>-45.855382012687436</v>
      </c>
      <c r="BM86" s="204">
        <f t="shared" si="154"/>
        <v>-45.881264727065592</v>
      </c>
      <c r="BN86" s="204">
        <f t="shared" si="154"/>
        <v>-45.907124345095362</v>
      </c>
      <c r="BO86" s="204">
        <f t="shared" si="154"/>
        <v>-45.932953713914294</v>
      </c>
      <c r="BP86" s="204">
        <f t="shared" si="154"/>
        <v>-45.958745938853511</v>
      </c>
      <c r="BQ86" s="204">
        <f t="shared" si="154"/>
        <v>-45.984494376575043</v>
      </c>
      <c r="BR86" s="204">
        <f t="shared" si="154"/>
        <v>-46.010192628370817</v>
      </c>
      <c r="BS86" s="204">
        <f t="shared" si="154"/>
        <v>-46.035834533619322</v>
      </c>
      <c r="BT86" s="204">
        <f t="shared" ref="BT86:EE86" si="155">PV($F40,BT$9,1,0)+(PV($J$6,$N$5-(BT$9),1,0)/($J$6+1)^BT$9)</f>
        <v>-46.061414163396869</v>
      </c>
      <c r="BU86" s="204">
        <f t="shared" si="155"/>
        <v>-46.08692581423977</v>
      </c>
      <c r="BV86" s="204">
        <f t="shared" si="155"/>
        <v>-46.112364002054257</v>
      </c>
      <c r="BW86" s="204">
        <f t="shared" si="155"/>
        <v>-46.137723456170733</v>
      </c>
      <c r="BX86" s="204">
        <f t="shared" si="155"/>
        <v>-46.162999113539307</v>
      </c>
      <c r="BY86" s="204">
        <f t="shared" si="155"/>
        <v>-46.188186113063388</v>
      </c>
      <c r="BZ86" s="204">
        <f t="shared" si="155"/>
        <v>-46.213279790068327</v>
      </c>
      <c r="CA86" s="204">
        <f t="shared" si="155"/>
        <v>-46.238275670902063</v>
      </c>
      <c r="CB86" s="204">
        <f t="shared" si="155"/>
        <v>-46.263169467664881</v>
      </c>
      <c r="CC86" s="204">
        <f t="shared" si="155"/>
        <v>-46.287957073065414</v>
      </c>
      <c r="CD86" s="204">
        <f t="shared" si="155"/>
        <v>-46.312634555399988</v>
      </c>
      <c r="CE86" s="204">
        <f t="shared" si="155"/>
        <v>-46.337198153652764</v>
      </c>
      <c r="CF86" s="204">
        <f t="shared" si="155"/>
        <v>-46.361644272713761</v>
      </c>
      <c r="CG86" s="204">
        <f t="shared" si="155"/>
        <v>-46.385969478712212</v>
      </c>
      <c r="CH86" s="204">
        <f t="shared" si="155"/>
        <v>-46.410170494462797</v>
      </c>
      <c r="CI86" s="204">
        <f t="shared" si="155"/>
        <v>-46.434244195021975</v>
      </c>
      <c r="CJ86" s="204">
        <f t="shared" si="155"/>
        <v>-46.458187603352187</v>
      </c>
      <c r="CK86" s="204">
        <f t="shared" si="155"/>
        <v>-46.481997886091399</v>
      </c>
      <c r="CL86" s="204">
        <f t="shared" si="155"/>
        <v>-46.505672349425623</v>
      </c>
      <c r="CM86" s="204">
        <f t="shared" si="155"/>
        <v>-46.529208435062124</v>
      </c>
      <c r="CN86" s="204">
        <f t="shared" si="155"/>
        <v>-46.552603716301057</v>
      </c>
      <c r="CO86" s="204">
        <f t="shared" si="155"/>
        <v>-46.575855894203279</v>
      </c>
      <c r="CP86" s="204">
        <f t="shared" si="155"/>
        <v>-46.598962793852223</v>
      </c>
      <c r="CQ86" s="204">
        <f t="shared" si="155"/>
        <v>-46.62192236070765</v>
      </c>
      <c r="CR86" s="204">
        <f t="shared" si="155"/>
        <v>-46.644732657049289</v>
      </c>
      <c r="CS86" s="204">
        <f t="shared" si="155"/>
        <v>-46.667391858508203</v>
      </c>
      <c r="CT86" s="204">
        <f t="shared" si="155"/>
        <v>-46.689898250684024</v>
      </c>
      <c r="CU86" s="204">
        <f t="shared" si="155"/>
        <v>-46.712250225846049</v>
      </c>
      <c r="CV86" s="204">
        <f t="shared" si="155"/>
        <v>-46.73444627971633</v>
      </c>
      <c r="CW86" s="204">
        <f t="shared" si="155"/>
        <v>-46.756485008332746</v>
      </c>
      <c r="CX86" s="204">
        <f t="shared" si="155"/>
        <v>-46.778365104990556</v>
      </c>
      <c r="CY86" s="204">
        <f t="shared" si="155"/>
        <v>-46.778365104990556</v>
      </c>
      <c r="CZ86" s="204">
        <f t="shared" si="155"/>
        <v>-46.778365104990556</v>
      </c>
      <c r="DA86" s="204">
        <f t="shared" si="155"/>
        <v>-46.778365104990556</v>
      </c>
      <c r="DB86" s="204">
        <f t="shared" si="155"/>
        <v>-46.778365104990556</v>
      </c>
      <c r="DC86" s="204">
        <f t="shared" si="155"/>
        <v>-46.778365104990556</v>
      </c>
      <c r="DD86" s="204">
        <f t="shared" si="155"/>
        <v>-46.778365104990556</v>
      </c>
      <c r="DE86" s="204">
        <f t="shared" si="155"/>
        <v>-46.778365104990556</v>
      </c>
      <c r="DF86" s="204">
        <f t="shared" si="155"/>
        <v>-46.778365104990556</v>
      </c>
      <c r="DG86" s="204">
        <f t="shared" si="155"/>
        <v>-46.778365104990556</v>
      </c>
      <c r="DH86" s="204">
        <f t="shared" si="155"/>
        <v>-46.778365104990556</v>
      </c>
      <c r="DI86" s="204">
        <f t="shared" si="155"/>
        <v>-46.778365104990556</v>
      </c>
      <c r="DJ86" s="204">
        <f t="shared" si="155"/>
        <v>-46.778365104990556</v>
      </c>
      <c r="DK86" s="204">
        <f t="shared" si="155"/>
        <v>-46.778365104990556</v>
      </c>
      <c r="DL86" s="204">
        <f t="shared" si="155"/>
        <v>-46.778365104990556</v>
      </c>
      <c r="DM86" s="204">
        <f t="shared" si="155"/>
        <v>-46.778365104990556</v>
      </c>
      <c r="DN86" s="204">
        <f t="shared" si="155"/>
        <v>-46.778365104990556</v>
      </c>
      <c r="DO86" s="204">
        <f t="shared" si="155"/>
        <v>-46.778365104990556</v>
      </c>
      <c r="DP86" s="204">
        <f t="shared" si="155"/>
        <v>-46.778365104990556</v>
      </c>
      <c r="DQ86" s="204">
        <f t="shared" si="155"/>
        <v>-46.778365104990556</v>
      </c>
      <c r="DR86" s="204">
        <f t="shared" si="155"/>
        <v>-46.778365104990556</v>
      </c>
      <c r="DS86" s="204">
        <f t="shared" si="155"/>
        <v>-46.778365104990556</v>
      </c>
      <c r="DT86" s="204">
        <f t="shared" si="155"/>
        <v>-46.778365104990556</v>
      </c>
      <c r="DU86" s="204">
        <f t="shared" si="155"/>
        <v>-46.778365104990556</v>
      </c>
      <c r="DV86" s="204">
        <f t="shared" si="155"/>
        <v>-46.778365104990556</v>
      </c>
      <c r="DW86" s="204">
        <f t="shared" si="155"/>
        <v>-46.778365104990556</v>
      </c>
      <c r="DX86" s="204">
        <f t="shared" si="155"/>
        <v>-46.778365104990556</v>
      </c>
      <c r="DY86" s="204">
        <f t="shared" si="155"/>
        <v>-46.778365104990556</v>
      </c>
      <c r="DZ86" s="204">
        <f t="shared" si="155"/>
        <v>-46.778365104990556</v>
      </c>
      <c r="EA86" s="204">
        <f t="shared" si="155"/>
        <v>-46.778365104990556</v>
      </c>
      <c r="EB86" s="204">
        <f t="shared" si="155"/>
        <v>-46.778365104990556</v>
      </c>
      <c r="EC86" s="204">
        <f t="shared" si="155"/>
        <v>-46.778365104990556</v>
      </c>
      <c r="ED86" s="204">
        <f t="shared" si="155"/>
        <v>-46.778365104990556</v>
      </c>
      <c r="EE86" s="204">
        <f t="shared" si="155"/>
        <v>-46.778365104990556</v>
      </c>
      <c r="EF86" s="204">
        <f t="shared" ref="EF86:ET86" si="156">PV($F40,EF$9,1,0)+(PV($J$6,$N$5-(EF$9),1,0)/($J$6+1)^EF$9)</f>
        <v>-46.778365104990556</v>
      </c>
      <c r="EG86" s="204">
        <f t="shared" si="156"/>
        <v>-46.778365104990556</v>
      </c>
      <c r="EH86" s="204">
        <f t="shared" si="156"/>
        <v>-46.778365104990556</v>
      </c>
      <c r="EI86" s="204">
        <f t="shared" si="156"/>
        <v>-46.778365104990556</v>
      </c>
      <c r="EJ86" s="204">
        <f t="shared" si="156"/>
        <v>-46.778365104990556</v>
      </c>
      <c r="EK86" s="204">
        <f t="shared" si="156"/>
        <v>-46.778365104990556</v>
      </c>
      <c r="EL86" s="204">
        <f t="shared" si="156"/>
        <v>-46.778365104990556</v>
      </c>
      <c r="EM86" s="204">
        <f t="shared" si="156"/>
        <v>-46.778365104990556</v>
      </c>
      <c r="EN86" s="204">
        <f t="shared" si="156"/>
        <v>-46.778365104990556</v>
      </c>
      <c r="EO86" s="204">
        <f t="shared" si="156"/>
        <v>-46.778365104990556</v>
      </c>
      <c r="EP86" s="204">
        <f t="shared" si="156"/>
        <v>-46.778365104990556</v>
      </c>
      <c r="EQ86" s="204">
        <f t="shared" si="156"/>
        <v>-46.778365104990556</v>
      </c>
      <c r="ER86" s="204">
        <f t="shared" si="156"/>
        <v>-46.778365104990556</v>
      </c>
      <c r="ES86" s="204">
        <f t="shared" si="156"/>
        <v>-46.778365104990556</v>
      </c>
      <c r="ET86" s="204">
        <f t="shared" si="156"/>
        <v>-46.778365104990556</v>
      </c>
      <c r="FF86" s="6" t="s">
        <v>3022</v>
      </c>
      <c r="FG86" s="696">
        <v>2.1600000000000001E-2</v>
      </c>
      <c r="FH86" s="696">
        <v>72</v>
      </c>
      <c r="FI86" s="696">
        <v>1.5900000000000001E-2</v>
      </c>
      <c r="FJ86" s="255">
        <v>1.3600000000000001E-2</v>
      </c>
      <c r="FK86" s="71">
        <f t="shared" si="126"/>
        <v>1.9047619047619048E-4</v>
      </c>
      <c r="FL86" t="e">
        <f>VLOOKUP(FF86,'SIMULADOR COM SALDO'!$BX$22:$CK$1000,13,FALSE)</f>
        <v>#N/A</v>
      </c>
    </row>
    <row r="87" spans="7:168" x14ac:dyDescent="0.25">
      <c r="G87" s="205">
        <f t="shared" si="68"/>
        <v>-44.75334019442878</v>
      </c>
      <c r="H87" s="204">
        <f t="shared" ref="H87:BS87" si="157">PV($F41,H$9,1,0)+(PV($J$6,$N$5-(H$9),1,0)/($J$6+1)^H$9)</f>
        <v>-44.755561521285024</v>
      </c>
      <c r="I87" s="204">
        <f t="shared" si="157"/>
        <v>-44.758834873277486</v>
      </c>
      <c r="J87" s="204">
        <f t="shared" si="157"/>
        <v>-44.763122534618851</v>
      </c>
      <c r="K87" s="204">
        <f t="shared" si="157"/>
        <v>-44.768387791527957</v>
      </c>
      <c r="L87" s="204">
        <f t="shared" si="157"/>
        <v>-44.77459490863086</v>
      </c>
      <c r="M87" s="204">
        <f t="shared" si="157"/>
        <v>-44.781709105882449</v>
      </c>
      <c r="N87" s="204">
        <f t="shared" si="157"/>
        <v>-44.789696535997749</v>
      </c>
      <c r="O87" s="204">
        <f t="shared" si="157"/>
        <v>-44.798524262381981</v>
      </c>
      <c r="P87" s="204">
        <f t="shared" si="157"/>
        <v>-44.808160237548726</v>
      </c>
      <c r="Q87" s="204">
        <f t="shared" si="157"/>
        <v>-44.818573282016175</v>
      </c>
      <c r="R87" s="204">
        <f t="shared" si="157"/>
        <v>-44.829733063670744</v>
      </c>
      <c r="S87" s="204">
        <f t="shared" si="157"/>
        <v>-44.841610077588939</v>
      </c>
      <c r="T87" s="204">
        <f t="shared" si="157"/>
        <v>-44.854175626306848</v>
      </c>
      <c r="U87" s="204">
        <f t="shared" si="157"/>
        <v>-44.86740180052837</v>
      </c>
      <c r="V87" s="204">
        <f t="shared" si="157"/>
        <v>-44.88126146026265</v>
      </c>
      <c r="W87" s="204">
        <f t="shared" si="157"/>
        <v>-44.895728216381521</v>
      </c>
      <c r="X87" s="204">
        <f t="shared" si="157"/>
        <v>-44.910776412588</v>
      </c>
      <c r="Y87" s="204">
        <f t="shared" si="157"/>
        <v>-44.926381107787307</v>
      </c>
      <c r="Z87" s="204">
        <f t="shared" si="157"/>
        <v>-44.942518058851405</v>
      </c>
      <c r="AA87" s="204">
        <f t="shared" si="157"/>
        <v>-44.959163703769207</v>
      </c>
      <c r="AB87" s="204">
        <f t="shared" si="157"/>
        <v>-44.976295145173552</v>
      </c>
      <c r="AC87" s="204">
        <f t="shared" si="157"/>
        <v>-44.993890134237567</v>
      </c>
      <c r="AD87" s="204">
        <f t="shared" si="157"/>
        <v>-45.011927054931967</v>
      </c>
      <c r="AE87" s="204">
        <f t="shared" si="157"/>
        <v>-45.030384908636009</v>
      </c>
      <c r="AF87" s="204">
        <f t="shared" si="157"/>
        <v>-45.049243299094101</v>
      </c>
      <c r="AG87" s="204">
        <f t="shared" si="157"/>
        <v>-45.068482417711053</v>
      </c>
      <c r="AH87" s="204">
        <f t="shared" si="157"/>
        <v>-45.088083029178428</v>
      </c>
      <c r="AI87" s="204">
        <f t="shared" si="157"/>
        <v>-45.108026457425012</v>
      </c>
      <c r="AJ87" s="204">
        <f t="shared" si="157"/>
        <v>-45.128294571884489</v>
      </c>
      <c r="AK87" s="204">
        <f t="shared" si="157"/>
        <v>-45.148869774073276</v>
      </c>
      <c r="AL87" s="204">
        <f t="shared" si="157"/>
        <v>-45.169734984472136</v>
      </c>
      <c r="AM87" s="204">
        <f t="shared" si="157"/>
        <v>-45.190873629704932</v>
      </c>
      <c r="AN87" s="204">
        <f t="shared" si="157"/>
        <v>-45.212269630007924</v>
      </c>
      <c r="AO87" s="204">
        <f t="shared" si="157"/>
        <v>-45.233907386983688</v>
      </c>
      <c r="AP87" s="204">
        <f t="shared" si="157"/>
        <v>-45.255771771633192</v>
      </c>
      <c r="AQ87" s="204">
        <f t="shared" si="157"/>
        <v>-45.277848112660394</v>
      </c>
      <c r="AR87" s="204">
        <f t="shared" si="157"/>
        <v>-45.300122185042987</v>
      </c>
      <c r="AS87" s="204">
        <f t="shared" si="157"/>
        <v>-45.322580198864003</v>
      </c>
      <c r="AT87" s="204">
        <f t="shared" si="157"/>
        <v>-45.345208788398423</v>
      </c>
      <c r="AU87" s="204">
        <f t="shared" si="157"/>
        <v>-45.367995001449174</v>
      </c>
      <c r="AV87" s="204">
        <f t="shared" si="157"/>
        <v>-45.390926288927432</v>
      </c>
      <c r="AW87" s="204">
        <f t="shared" si="157"/>
        <v>-45.413990494671459</v>
      </c>
      <c r="AX87" s="204">
        <f t="shared" si="157"/>
        <v>-45.437175845499326</v>
      </c>
      <c r="AY87" s="204">
        <f t="shared" si="157"/>
        <v>-45.460470941490016</v>
      </c>
      <c r="AZ87" s="204">
        <f t="shared" si="157"/>
        <v>-45.483864746488251</v>
      </c>
      <c r="BA87" s="204">
        <f t="shared" si="157"/>
        <v>-45.507346578827857</v>
      </c>
      <c r="BB87" s="204">
        <f t="shared" si="157"/>
        <v>-45.53090610226927</v>
      </c>
      <c r="BC87" s="204">
        <f t="shared" si="157"/>
        <v>-45.55453331714628</v>
      </c>
      <c r="BD87" s="204">
        <f t="shared" si="157"/>
        <v>-45.578218551717441</v>
      </c>
      <c r="BE87" s="204">
        <f t="shared" si="157"/>
        <v>-45.601952453717914</v>
      </c>
      <c r="BF87" s="204">
        <f t="shared" si="157"/>
        <v>-45.625725982107014</v>
      </c>
      <c r="BG87" s="204">
        <f t="shared" si="157"/>
        <v>-45.64953039900756</v>
      </c>
      <c r="BH87" s="204">
        <f t="shared" si="157"/>
        <v>-45.6733572618325</v>
      </c>
      <c r="BI87" s="204">
        <f t="shared" si="157"/>
        <v>-45.697198415594919</v>
      </c>
      <c r="BJ87" s="204">
        <f t="shared" si="157"/>
        <v>-45.721045985397424</v>
      </c>
      <c r="BK87" s="204">
        <f t="shared" si="157"/>
        <v>-45.744892369096789</v>
      </c>
      <c r="BL87" s="204">
        <f t="shared" si="157"/>
        <v>-45.768730230140129</v>
      </c>
      <c r="BM87" s="204">
        <f t="shared" si="157"/>
        <v>-45.792552490569001</v>
      </c>
      <c r="BN87" s="204">
        <f t="shared" si="157"/>
        <v>-45.816352324187299</v>
      </c>
      <c r="BO87" s="204">
        <f t="shared" si="157"/>
        <v>-45.840123149889862</v>
      </c>
      <c r="BP87" s="204">
        <f t="shared" si="157"/>
        <v>-45.863858625147877</v>
      </c>
      <c r="BQ87" s="204">
        <f t="shared" si="157"/>
        <v>-45.887552639647751</v>
      </c>
      <c r="BR87" s="204">
        <f t="shared" si="157"/>
        <v>-45.911199309080111</v>
      </c>
      <c r="BS87" s="204">
        <f t="shared" si="157"/>
        <v>-45.934792969075552</v>
      </c>
      <c r="BT87" s="204">
        <f t="shared" ref="BT87:EE87" si="158">PV($F41,BT$9,1,0)+(PV($J$6,$N$5-(BT$9),1,0)/($J$6+1)^BT$9)</f>
        <v>-45.958328169283845</v>
      </c>
      <c r="BU87" s="204">
        <f t="shared" si="158"/>
        <v>-45.981799667593648</v>
      </c>
      <c r="BV87" s="204">
        <f t="shared" si="158"/>
        <v>-46.005202424489219</v>
      </c>
      <c r="BW87" s="204">
        <f t="shared" si="158"/>
        <v>-46.028531597541601</v>
      </c>
      <c r="BX87" s="204">
        <f t="shared" si="158"/>
        <v>-46.051782536030778</v>
      </c>
      <c r="BY87" s="204">
        <f t="shared" si="158"/>
        <v>-46.074950775696273</v>
      </c>
      <c r="BZ87" s="204">
        <f t="shared" si="158"/>
        <v>-46.098032033613194</v>
      </c>
      <c r="CA87" s="204">
        <f t="shared" si="158"/>
        <v>-46.121022203190897</v>
      </c>
      <c r="CB87" s="204">
        <f t="shared" si="158"/>
        <v>-46.143917349291577</v>
      </c>
      <c r="CC87" s="204">
        <f t="shared" si="158"/>
        <v>-46.166713703466179</v>
      </c>
      <c r="CD87" s="204">
        <f t="shared" si="158"/>
        <v>-46.189407659304827</v>
      </c>
      <c r="CE87" s="204">
        <f t="shared" si="158"/>
        <v>-46.211995767899488</v>
      </c>
      <c r="CF87" s="204">
        <f t="shared" si="158"/>
        <v>-46.234474733416086</v>
      </c>
      <c r="CG87" s="204">
        <f t="shared" si="158"/>
        <v>-46.256841408773752</v>
      </c>
      <c r="CH87" s="204">
        <f t="shared" si="158"/>
        <v>-46.279092791428866</v>
      </c>
      <c r="CI87" s="204">
        <f t="shared" si="158"/>
        <v>-46.301226019261357</v>
      </c>
      <c r="CJ87" s="204">
        <f t="shared" si="158"/>
        <v>-46.323238366561185</v>
      </c>
      <c r="CK87" s="204">
        <f t="shared" si="158"/>
        <v>-46.345127240112554</v>
      </c>
      <c r="CL87" s="204">
        <f t="shared" si="158"/>
        <v>-46.366890175373769</v>
      </c>
      <c r="CM87" s="204">
        <f t="shared" si="158"/>
        <v>-46.38852483275064</v>
      </c>
      <c r="CN87" s="204">
        <f t="shared" si="158"/>
        <v>-46.410028993961113</v>
      </c>
      <c r="CO87" s="204">
        <f t="shared" si="158"/>
        <v>-46.431400558489237</v>
      </c>
      <c r="CP87" s="204">
        <f t="shared" si="158"/>
        <v>-46.45263754012651</v>
      </c>
      <c r="CQ87" s="204">
        <f t="shared" si="158"/>
        <v>-46.47373806359839</v>
      </c>
      <c r="CR87" s="204">
        <f t="shared" si="158"/>
        <v>-46.494700361274241</v>
      </c>
      <c r="CS87" s="204">
        <f t="shared" si="158"/>
        <v>-46.51552276995875</v>
      </c>
      <c r="CT87" s="204">
        <f t="shared" si="158"/>
        <v>-46.536203727762974</v>
      </c>
      <c r="CU87" s="204">
        <f t="shared" si="158"/>
        <v>-46.556741771053204</v>
      </c>
      <c r="CV87" s="204">
        <f t="shared" si="158"/>
        <v>-46.577135531475889</v>
      </c>
      <c r="CW87" s="204">
        <f t="shared" si="158"/>
        <v>-46.597383733056859</v>
      </c>
      <c r="CX87" s="204">
        <f t="shared" si="158"/>
        <v>-46.617485189373141</v>
      </c>
      <c r="CY87" s="204">
        <f t="shared" si="158"/>
        <v>-46.617485189373141</v>
      </c>
      <c r="CZ87" s="204">
        <f t="shared" si="158"/>
        <v>-46.617485189373141</v>
      </c>
      <c r="DA87" s="204">
        <f t="shared" si="158"/>
        <v>-46.617485189373141</v>
      </c>
      <c r="DB87" s="204">
        <f t="shared" si="158"/>
        <v>-46.617485189373141</v>
      </c>
      <c r="DC87" s="204">
        <f t="shared" si="158"/>
        <v>-46.617485189373141</v>
      </c>
      <c r="DD87" s="204">
        <f t="shared" si="158"/>
        <v>-46.617485189373141</v>
      </c>
      <c r="DE87" s="204">
        <f t="shared" si="158"/>
        <v>-46.617485189373141</v>
      </c>
      <c r="DF87" s="204">
        <f t="shared" si="158"/>
        <v>-46.617485189373141</v>
      </c>
      <c r="DG87" s="204">
        <f t="shared" si="158"/>
        <v>-46.617485189373141</v>
      </c>
      <c r="DH87" s="204">
        <f t="shared" si="158"/>
        <v>-46.617485189373141</v>
      </c>
      <c r="DI87" s="204">
        <f t="shared" si="158"/>
        <v>-46.617485189373141</v>
      </c>
      <c r="DJ87" s="204">
        <f t="shared" si="158"/>
        <v>-46.617485189373141</v>
      </c>
      <c r="DK87" s="204">
        <f t="shared" si="158"/>
        <v>-46.617485189373141</v>
      </c>
      <c r="DL87" s="204">
        <f t="shared" si="158"/>
        <v>-46.617485189373141</v>
      </c>
      <c r="DM87" s="204">
        <f t="shared" si="158"/>
        <v>-46.617485189373141</v>
      </c>
      <c r="DN87" s="204">
        <f t="shared" si="158"/>
        <v>-46.617485189373141</v>
      </c>
      <c r="DO87" s="204">
        <f t="shared" si="158"/>
        <v>-46.617485189373141</v>
      </c>
      <c r="DP87" s="204">
        <f t="shared" si="158"/>
        <v>-46.617485189373141</v>
      </c>
      <c r="DQ87" s="204">
        <f t="shared" si="158"/>
        <v>-46.617485189373141</v>
      </c>
      <c r="DR87" s="204">
        <f t="shared" si="158"/>
        <v>-46.617485189373141</v>
      </c>
      <c r="DS87" s="204">
        <f t="shared" si="158"/>
        <v>-46.617485189373141</v>
      </c>
      <c r="DT87" s="204">
        <f t="shared" si="158"/>
        <v>-46.617485189373141</v>
      </c>
      <c r="DU87" s="204">
        <f t="shared" si="158"/>
        <v>-46.617485189373141</v>
      </c>
      <c r="DV87" s="204">
        <f t="shared" si="158"/>
        <v>-46.617485189373141</v>
      </c>
      <c r="DW87" s="204">
        <f t="shared" si="158"/>
        <v>-46.617485189373141</v>
      </c>
      <c r="DX87" s="204">
        <f t="shared" si="158"/>
        <v>-46.617485189373141</v>
      </c>
      <c r="DY87" s="204">
        <f t="shared" si="158"/>
        <v>-46.617485189373141</v>
      </c>
      <c r="DZ87" s="204">
        <f t="shared" si="158"/>
        <v>-46.617485189373141</v>
      </c>
      <c r="EA87" s="204">
        <f t="shared" si="158"/>
        <v>-46.617485189373141</v>
      </c>
      <c r="EB87" s="204">
        <f t="shared" si="158"/>
        <v>-46.617485189373141</v>
      </c>
      <c r="EC87" s="204">
        <f t="shared" si="158"/>
        <v>-46.617485189373141</v>
      </c>
      <c r="ED87" s="204">
        <f t="shared" si="158"/>
        <v>-46.617485189373141</v>
      </c>
      <c r="EE87" s="204">
        <f t="shared" si="158"/>
        <v>-46.617485189373141</v>
      </c>
      <c r="EF87" s="204">
        <f t="shared" ref="EF87:ET87" si="159">PV($F41,EF$9,1,0)+(PV($J$6,$N$5-(EF$9),1,0)/($J$6+1)^EF$9)</f>
        <v>-46.617485189373141</v>
      </c>
      <c r="EG87" s="204">
        <f t="shared" si="159"/>
        <v>-46.617485189373141</v>
      </c>
      <c r="EH87" s="204">
        <f t="shared" si="159"/>
        <v>-46.617485189373141</v>
      </c>
      <c r="EI87" s="204">
        <f t="shared" si="159"/>
        <v>-46.617485189373141</v>
      </c>
      <c r="EJ87" s="204">
        <f t="shared" si="159"/>
        <v>-46.617485189373141</v>
      </c>
      <c r="EK87" s="204">
        <f t="shared" si="159"/>
        <v>-46.617485189373141</v>
      </c>
      <c r="EL87" s="204">
        <f t="shared" si="159"/>
        <v>-46.617485189373141</v>
      </c>
      <c r="EM87" s="204">
        <f t="shared" si="159"/>
        <v>-46.617485189373141</v>
      </c>
      <c r="EN87" s="204">
        <f t="shared" si="159"/>
        <v>-46.617485189373141</v>
      </c>
      <c r="EO87" s="204">
        <f t="shared" si="159"/>
        <v>-46.617485189373141</v>
      </c>
      <c r="EP87" s="204">
        <f t="shared" si="159"/>
        <v>-46.617485189373141</v>
      </c>
      <c r="EQ87" s="204">
        <f t="shared" si="159"/>
        <v>-46.617485189373141</v>
      </c>
      <c r="ER87" s="204">
        <f t="shared" si="159"/>
        <v>-46.617485189373141</v>
      </c>
      <c r="ES87" s="204">
        <f t="shared" si="159"/>
        <v>-46.617485189373141</v>
      </c>
      <c r="ET87" s="204">
        <f t="shared" si="159"/>
        <v>-46.617485189373141</v>
      </c>
      <c r="FF87" s="6" t="s">
        <v>246</v>
      </c>
      <c r="FG87" s="696">
        <v>2.5000000000000001E-2</v>
      </c>
      <c r="FH87" s="696">
        <v>96</v>
      </c>
      <c r="FI87" s="696">
        <v>1.9E-2</v>
      </c>
      <c r="FJ87" s="255">
        <v>1.6E-2</v>
      </c>
      <c r="FK87" s="71">
        <f t="shared" si="126"/>
        <v>2.142857142857143E-4</v>
      </c>
      <c r="FL87" t="e">
        <f>VLOOKUP(FF87,'SIMULADOR COM SALDO'!$BX$22:$CK$1000,13,FALSE)</f>
        <v>#N/A</v>
      </c>
    </row>
    <row r="88" spans="7:168" x14ac:dyDescent="0.25">
      <c r="G88" s="205">
        <f t="shared" si="68"/>
        <v>-44.753245881678083</v>
      </c>
      <c r="H88" s="204">
        <f t="shared" ref="H88:BS88" si="160">PV($F42,H$9,1,0)+(PV($J$6,$N$5-(H$9),1,0)/($J$6+1)^H$9)</f>
        <v>-44.755281804862705</v>
      </c>
      <c r="I88" s="204">
        <f t="shared" si="160"/>
        <v>-44.758281801546225</v>
      </c>
      <c r="J88" s="204">
        <f t="shared" si="160"/>
        <v>-44.762211214558619</v>
      </c>
      <c r="K88" s="204">
        <f t="shared" si="160"/>
        <v>-44.767036309909543</v>
      </c>
      <c r="L88" s="204">
        <f t="shared" si="160"/>
        <v>-44.772724254989782</v>
      </c>
      <c r="M88" s="204">
        <f t="shared" si="160"/>
        <v>-44.77924309725497</v>
      </c>
      <c r="N88" s="204">
        <f t="shared" si="160"/>
        <v>-44.786561743380972</v>
      </c>
      <c r="O88" s="204">
        <f t="shared" si="160"/>
        <v>-44.794649938881349</v>
      </c>
      <c r="P88" s="204">
        <f t="shared" si="160"/>
        <v>-44.80347824817666</v>
      </c>
      <c r="Q88" s="204">
        <f t="shared" si="160"/>
        <v>-44.813018035106239</v>
      </c>
      <c r="R88" s="204">
        <f t="shared" si="160"/>
        <v>-44.823241443872924</v>
      </c>
      <c r="S88" s="204">
        <f t="shared" si="160"/>
        <v>-44.834121380411815</v>
      </c>
      <c r="T88" s="204">
        <f t="shared" si="160"/>
        <v>-44.845631494173404</v>
      </c>
      <c r="U88" s="204">
        <f t="shared" si="160"/>
        <v>-44.857746160312956</v>
      </c>
      <c r="V88" s="204">
        <f t="shared" si="160"/>
        <v>-44.870440462276918</v>
      </c>
      <c r="W88" s="204">
        <f t="shared" si="160"/>
        <v>-44.883690174778287</v>
      </c>
      <c r="X88" s="204">
        <f t="shared" si="160"/>
        <v>-44.897471747152323</v>
      </c>
      <c r="Y88" s="204">
        <f t="shared" si="160"/>
        <v>-44.91176228708467</v>
      </c>
      <c r="Z88" s="204">
        <f t="shared" si="160"/>
        <v>-44.926539544703836</v>
      </c>
      <c r="AA88" s="204">
        <f t="shared" si="160"/>
        <v>-44.941781897030282</v>
      </c>
      <c r="AB88" s="204">
        <f t="shared" si="160"/>
        <v>-44.957468332774447</v>
      </c>
      <c r="AC88" s="204">
        <f t="shared" si="160"/>
        <v>-44.973578437476242</v>
      </c>
      <c r="AD88" s="204">
        <f t="shared" si="160"/>
        <v>-44.99009237897863</v>
      </c>
      <c r="AE88" s="204">
        <f t="shared" si="160"/>
        <v>-45.006990893228398</v>
      </c>
      <c r="AF88" s="204">
        <f t="shared" si="160"/>
        <v>-45.024255270396651</v>
      </c>
      <c r="AG88" s="204">
        <f t="shared" si="160"/>
        <v>-45.041867341312482</v>
      </c>
      <c r="AH88" s="204">
        <f t="shared" si="160"/>
        <v>-45.05980946420302</v>
      </c>
      <c r="AI88" s="204">
        <f t="shared" si="160"/>
        <v>-45.07806451173326</v>
      </c>
      <c r="AJ88" s="204">
        <f t="shared" si="160"/>
        <v>-45.096615858339128</v>
      </c>
      <c r="AK88" s="204">
        <f t="shared" si="160"/>
        <v>-45.115447367847608</v>
      </c>
      <c r="AL88" s="204">
        <f t="shared" si="160"/>
        <v>-45.13454338137759</v>
      </c>
      <c r="AM88" s="204">
        <f t="shared" si="160"/>
        <v>-45.153888705515591</v>
      </c>
      <c r="AN88" s="204">
        <f t="shared" si="160"/>
        <v>-45.173468600760145</v>
      </c>
      <c r="AO88" s="204">
        <f t="shared" si="160"/>
        <v>-45.193268770229302</v>
      </c>
      <c r="AP88" s="204">
        <f t="shared" si="160"/>
        <v>-45.213275348625373</v>
      </c>
      <c r="AQ88" s="204">
        <f t="shared" si="160"/>
        <v>-45.233474891451522</v>
      </c>
      <c r="AR88" s="204">
        <f t="shared" si="160"/>
        <v>-45.253854364474485</v>
      </c>
      <c r="AS88" s="204">
        <f t="shared" si="160"/>
        <v>-45.274401133428483</v>
      </c>
      <c r="AT88" s="204">
        <f t="shared" si="160"/>
        <v>-45.295102953954625</v>
      </c>
      <c r="AU88" s="204">
        <f t="shared" si="160"/>
        <v>-45.31594796177113</v>
      </c>
      <c r="AV88" s="204">
        <f t="shared" si="160"/>
        <v>-45.33692466306907</v>
      </c>
      <c r="AW88" s="204">
        <f t="shared" si="160"/>
        <v>-45.358021925128732</v>
      </c>
      <c r="AX88" s="204">
        <f t="shared" si="160"/>
        <v>-45.379228967152102</v>
      </c>
      <c r="AY88" s="204">
        <f t="shared" si="160"/>
        <v>-45.40053535130636</v>
      </c>
      <c r="AZ88" s="204">
        <f t="shared" si="160"/>
        <v>-45.421930973974028</v>
      </c>
      <c r="BA88" s="204">
        <f t="shared" si="160"/>
        <v>-45.443406057205308</v>
      </c>
      <c r="BB88" s="204">
        <f t="shared" si="160"/>
        <v>-45.464951140367944</v>
      </c>
      <c r="BC88" s="204">
        <f t="shared" si="160"/>
        <v>-45.486557071990603</v>
      </c>
      <c r="BD88" s="204">
        <f t="shared" si="160"/>
        <v>-45.508215001795293</v>
      </c>
      <c r="BE88" s="204">
        <f t="shared" si="160"/>
        <v>-45.529916372914869</v>
      </c>
      <c r="BF88" s="204">
        <f t="shared" si="160"/>
        <v>-45.551652914291431</v>
      </c>
      <c r="BG88" s="204">
        <f t="shared" si="160"/>
        <v>-45.573416633251774</v>
      </c>
      <c r="BH88" s="204">
        <f t="shared" si="160"/>
        <v>-45.595199808255863</v>
      </c>
      <c r="BI88" s="204">
        <f t="shared" si="160"/>
        <v>-45.61699498181467</v>
      </c>
      <c r="BJ88" s="204">
        <f t="shared" si="160"/>
        <v>-45.638794953573637</v>
      </c>
      <c r="BK88" s="204">
        <f t="shared" si="160"/>
        <v>-45.660592773558001</v>
      </c>
      <c r="BL88" s="204">
        <f t="shared" si="160"/>
        <v>-45.682381735576598</v>
      </c>
      <c r="BM88" s="204">
        <f t="shared" si="160"/>
        <v>-45.704155370780477</v>
      </c>
      <c r="BN88" s="204">
        <f t="shared" si="160"/>
        <v>-45.725907441373039</v>
      </c>
      <c r="BO88" s="204">
        <f t="shared" si="160"/>
        <v>-45.747631934468345</v>
      </c>
      <c r="BP88" s="204">
        <f t="shared" si="160"/>
        <v>-45.769323056094258</v>
      </c>
      <c r="BQ88" s="204">
        <f t="shared" si="160"/>
        <v>-45.790975225337213</v>
      </c>
      <c r="BR88" s="204">
        <f t="shared" si="160"/>
        <v>-45.812583068625649</v>
      </c>
      <c r="BS88" s="204">
        <f t="shared" si="160"/>
        <v>-45.834141414148746</v>
      </c>
      <c r="BT88" s="204">
        <f t="shared" ref="BT88:EE88" si="161">PV($F42,BT$9,1,0)+(PV($J$6,$N$5-(BT$9),1,0)/($J$6+1)^BT$9)</f>
        <v>-45.85564528640775</v>
      </c>
      <c r="BU88" s="204">
        <f t="shared" si="161"/>
        <v>-45.877089900896763</v>
      </c>
      <c r="BV88" s="204">
        <f t="shared" si="161"/>
        <v>-45.898470658910178</v>
      </c>
      <c r="BW88" s="204">
        <f t="shared" si="161"/>
        <v>-45.919783142474046</v>
      </c>
      <c r="BX88" s="204">
        <f t="shared" si="161"/>
        <v>-45.94102310939833</v>
      </c>
      <c r="BY88" s="204">
        <f t="shared" si="161"/>
        <v>-45.962186488447742</v>
      </c>
      <c r="BZ88" s="204">
        <f t="shared" si="161"/>
        <v>-45.983269374628186</v>
      </c>
      <c r="CA88" s="204">
        <f t="shared" si="161"/>
        <v>-46.004268024586473</v>
      </c>
      <c r="CB88" s="204">
        <f t="shared" si="161"/>
        <v>-46.025178852120561</v>
      </c>
      <c r="CC88" s="204">
        <f t="shared" si="161"/>
        <v>-46.045998423798039</v>
      </c>
      <c r="CD88" s="204">
        <f t="shared" si="161"/>
        <v>-46.066723454680307</v>
      </c>
      <c r="CE88" s="204">
        <f t="shared" si="161"/>
        <v>-46.087350804150162</v>
      </c>
      <c r="CF88" s="204">
        <f t="shared" si="161"/>
        <v>-46.107877471840403</v>
      </c>
      <c r="CG88" s="204">
        <f t="shared" si="161"/>
        <v>-46.128300593661251</v>
      </c>
      <c r="CH88" s="204">
        <f t="shared" si="161"/>
        <v>-46.148617437924322</v>
      </c>
      <c r="CI88" s="204">
        <f t="shared" si="161"/>
        <v>-46.168825401561016</v>
      </c>
      <c r="CJ88" s="204">
        <f t="shared" si="161"/>
        <v>-46.188922006433138</v>
      </c>
      <c r="CK88" s="204">
        <f t="shared" si="161"/>
        <v>-46.208904895733703</v>
      </c>
      <c r="CL88" s="204">
        <f t="shared" si="161"/>
        <v>-46.228771830475949</v>
      </c>
      <c r="CM88" s="204">
        <f t="shared" si="161"/>
        <v>-46.248520686068531</v>
      </c>
      <c r="CN88" s="204">
        <f t="shared" si="161"/>
        <v>-46.268149448974768</v>
      </c>
      <c r="CO88" s="204">
        <f t="shared" si="161"/>
        <v>-46.28765621345439</v>
      </c>
      <c r="CP88" s="204">
        <f t="shared" si="161"/>
        <v>-46.307039178385644</v>
      </c>
      <c r="CQ88" s="204">
        <f t="shared" si="161"/>
        <v>-46.326296644165986</v>
      </c>
      <c r="CR88" s="204">
        <f t="shared" si="161"/>
        <v>-46.345427009689686</v>
      </c>
      <c r="CS88" s="204">
        <f t="shared" si="161"/>
        <v>-46.364428769400391</v>
      </c>
      <c r="CT88" s="204">
        <f t="shared" si="161"/>
        <v>-46.383300510417243</v>
      </c>
      <c r="CU88" s="204">
        <f t="shared" si="161"/>
        <v>-46.402040909732513</v>
      </c>
      <c r="CV88" s="204">
        <f t="shared" si="161"/>
        <v>-46.420648731479432</v>
      </c>
      <c r="CW88" s="204">
        <f t="shared" si="161"/>
        <v>-46.439122824268395</v>
      </c>
      <c r="CX88" s="204">
        <f t="shared" si="161"/>
        <v>-46.457462118590151</v>
      </c>
      <c r="CY88" s="204">
        <f t="shared" si="161"/>
        <v>-46.457462118590151</v>
      </c>
      <c r="CZ88" s="204">
        <f t="shared" si="161"/>
        <v>-46.457462118590151</v>
      </c>
      <c r="DA88" s="204">
        <f t="shared" si="161"/>
        <v>-46.457462118590151</v>
      </c>
      <c r="DB88" s="204">
        <f t="shared" si="161"/>
        <v>-46.457462118590151</v>
      </c>
      <c r="DC88" s="204">
        <f t="shared" si="161"/>
        <v>-46.457462118590151</v>
      </c>
      <c r="DD88" s="204">
        <f t="shared" si="161"/>
        <v>-46.457462118590151</v>
      </c>
      <c r="DE88" s="204">
        <f t="shared" si="161"/>
        <v>-46.457462118590151</v>
      </c>
      <c r="DF88" s="204">
        <f t="shared" si="161"/>
        <v>-46.457462118590151</v>
      </c>
      <c r="DG88" s="204">
        <f t="shared" si="161"/>
        <v>-46.457462118590151</v>
      </c>
      <c r="DH88" s="204">
        <f t="shared" si="161"/>
        <v>-46.457462118590151</v>
      </c>
      <c r="DI88" s="204">
        <f t="shared" si="161"/>
        <v>-46.457462118590151</v>
      </c>
      <c r="DJ88" s="204">
        <f t="shared" si="161"/>
        <v>-46.457462118590151</v>
      </c>
      <c r="DK88" s="204">
        <f t="shared" si="161"/>
        <v>-46.457462118590151</v>
      </c>
      <c r="DL88" s="204">
        <f t="shared" si="161"/>
        <v>-46.457462118590151</v>
      </c>
      <c r="DM88" s="204">
        <f t="shared" si="161"/>
        <v>-46.457462118590151</v>
      </c>
      <c r="DN88" s="204">
        <f t="shared" si="161"/>
        <v>-46.457462118590151</v>
      </c>
      <c r="DO88" s="204">
        <f t="shared" si="161"/>
        <v>-46.457462118590151</v>
      </c>
      <c r="DP88" s="204">
        <f t="shared" si="161"/>
        <v>-46.457462118590151</v>
      </c>
      <c r="DQ88" s="204">
        <f t="shared" si="161"/>
        <v>-46.457462118590151</v>
      </c>
      <c r="DR88" s="204">
        <f t="shared" si="161"/>
        <v>-46.457462118590151</v>
      </c>
      <c r="DS88" s="204">
        <f t="shared" si="161"/>
        <v>-46.457462118590151</v>
      </c>
      <c r="DT88" s="204">
        <f t="shared" si="161"/>
        <v>-46.457462118590151</v>
      </c>
      <c r="DU88" s="204">
        <f t="shared" si="161"/>
        <v>-46.457462118590151</v>
      </c>
      <c r="DV88" s="204">
        <f t="shared" si="161"/>
        <v>-46.457462118590151</v>
      </c>
      <c r="DW88" s="204">
        <f t="shared" si="161"/>
        <v>-46.457462118590151</v>
      </c>
      <c r="DX88" s="204">
        <f t="shared" si="161"/>
        <v>-46.457462118590151</v>
      </c>
      <c r="DY88" s="204">
        <f t="shared" si="161"/>
        <v>-46.457462118590151</v>
      </c>
      <c r="DZ88" s="204">
        <f t="shared" si="161"/>
        <v>-46.457462118590151</v>
      </c>
      <c r="EA88" s="204">
        <f t="shared" si="161"/>
        <v>-46.457462118590151</v>
      </c>
      <c r="EB88" s="204">
        <f t="shared" si="161"/>
        <v>-46.457462118590151</v>
      </c>
      <c r="EC88" s="204">
        <f t="shared" si="161"/>
        <v>-46.457462118590151</v>
      </c>
      <c r="ED88" s="204">
        <f t="shared" si="161"/>
        <v>-46.457462118590151</v>
      </c>
      <c r="EE88" s="204">
        <f t="shared" si="161"/>
        <v>-46.457462118590151</v>
      </c>
      <c r="EF88" s="204">
        <f t="shared" ref="EF88:ET88" si="162">PV($F42,EF$9,1,0)+(PV($J$6,$N$5-(EF$9),1,0)/($J$6+1)^EF$9)</f>
        <v>-46.457462118590151</v>
      </c>
      <c r="EG88" s="204">
        <f t="shared" si="162"/>
        <v>-46.457462118590151</v>
      </c>
      <c r="EH88" s="204">
        <f t="shared" si="162"/>
        <v>-46.457462118590151</v>
      </c>
      <c r="EI88" s="204">
        <f t="shared" si="162"/>
        <v>-46.457462118590151</v>
      </c>
      <c r="EJ88" s="204">
        <f t="shared" si="162"/>
        <v>-46.457462118590151</v>
      </c>
      <c r="EK88" s="204">
        <f t="shared" si="162"/>
        <v>-46.457462118590151</v>
      </c>
      <c r="EL88" s="204">
        <f t="shared" si="162"/>
        <v>-46.457462118590151</v>
      </c>
      <c r="EM88" s="204">
        <f t="shared" si="162"/>
        <v>-46.457462118590151</v>
      </c>
      <c r="EN88" s="204">
        <f t="shared" si="162"/>
        <v>-46.457462118590151</v>
      </c>
      <c r="EO88" s="204">
        <f t="shared" si="162"/>
        <v>-46.457462118590151</v>
      </c>
      <c r="EP88" s="204">
        <f t="shared" si="162"/>
        <v>-46.457462118590151</v>
      </c>
      <c r="EQ88" s="204">
        <f t="shared" si="162"/>
        <v>-46.457462118590151</v>
      </c>
      <c r="ER88" s="204">
        <f t="shared" si="162"/>
        <v>-46.457462118590151</v>
      </c>
      <c r="ES88" s="204">
        <f t="shared" si="162"/>
        <v>-46.457462118590151</v>
      </c>
      <c r="ET88" s="204">
        <f t="shared" si="162"/>
        <v>-46.457462118590151</v>
      </c>
      <c r="FF88" s="6" t="s">
        <v>394</v>
      </c>
      <c r="FG88" s="696">
        <v>2.1000000000000001E-2</v>
      </c>
      <c r="FH88" s="696">
        <v>120</v>
      </c>
      <c r="FI88" s="696">
        <v>1.7000000000000001E-2</v>
      </c>
      <c r="FJ88" s="255">
        <v>1.3000000000000001E-2</v>
      </c>
      <c r="FK88" s="71">
        <f t="shared" si="126"/>
        <v>1.9047619047619048E-4</v>
      </c>
      <c r="FL88" t="e">
        <f>VLOOKUP(FF88,'SIMULADOR COM SALDO'!$BX$22:$CK$1000,13,FALSE)</f>
        <v>#N/A</v>
      </c>
    </row>
    <row r="89" spans="7:168" x14ac:dyDescent="0.25">
      <c r="G89" s="205">
        <f t="shared" si="68"/>
        <v>-44.753151587023694</v>
      </c>
      <c r="H89" s="204">
        <f t="shared" ref="H89:BS89" si="163">PV($F43,H$9,1,0)+(PV($J$6,$N$5-(H$9),1,0)/($J$6+1)^H$9)</f>
        <v>-44.755002159895824</v>
      </c>
      <c r="I89" s="204">
        <f t="shared" si="163"/>
        <v>-44.757728906160814</v>
      </c>
      <c r="J89" s="204">
        <f t="shared" si="163"/>
        <v>-44.761300242667396</v>
      </c>
      <c r="K89" s="204">
        <f t="shared" si="163"/>
        <v>-44.765685429780433</v>
      </c>
      <c r="L89" s="204">
        <f t="shared" si="163"/>
        <v>-44.770854551412135</v>
      </c>
      <c r="M89" s="204">
        <f t="shared" si="163"/>
        <v>-44.776778495496025</v>
      </c>
      <c r="N89" s="204">
        <f t="shared" si="163"/>
        <v>-44.783428934894154</v>
      </c>
      <c r="O89" s="204">
        <f t="shared" si="163"/>
        <v>-44.79077830872852</v>
      </c>
      <c r="P89" s="204">
        <f t="shared" si="163"/>
        <v>-44.798799804127491</v>
      </c>
      <c r="Q89" s="204">
        <f t="shared" si="163"/>
        <v>-44.807467338378487</v>
      </c>
      <c r="R89" s="204">
        <f t="shared" si="163"/>
        <v>-44.816755541478102</v>
      </c>
      <c r="S89" s="204">
        <f t="shared" si="163"/>
        <v>-44.82663973907151</v>
      </c>
      <c r="T89" s="204">
        <f t="shared" si="163"/>
        <v>-44.83709593577241</v>
      </c>
      <c r="U89" s="204">
        <f t="shared" si="163"/>
        <v>-44.848100798855775</v>
      </c>
      <c r="V89" s="204">
        <f t="shared" si="163"/>
        <v>-44.859631642315072</v>
      </c>
      <c r="W89" s="204">
        <f t="shared" si="163"/>
        <v>-44.871666411276529</v>
      </c>
      <c r="X89" s="204">
        <f t="shared" si="163"/>
        <v>-44.884183666762461</v>
      </c>
      <c r="Y89" s="204">
        <f t="shared" si="163"/>
        <v>-44.897162570796453</v>
      </c>
      <c r="Z89" s="204">
        <f t="shared" si="163"/>
        <v>-44.910582871842784</v>
      </c>
      <c r="AA89" s="204">
        <f t="shared" si="163"/>
        <v>-44.924424890573313</v>
      </c>
      <c r="AB89" s="204">
        <f t="shared" si="163"/>
        <v>-44.938669505954323</v>
      </c>
      <c r="AC89" s="204">
        <f t="shared" si="163"/>
        <v>-44.953298141646911</v>
      </c>
      <c r="AD89" s="204">
        <f t="shared" si="163"/>
        <v>-44.968292752713765</v>
      </c>
      <c r="AE89" s="204">
        <f t="shared" si="163"/>
        <v>-44.983635812626176</v>
      </c>
      <c r="AF89" s="204">
        <f t="shared" si="163"/>
        <v>-44.999310300564346</v>
      </c>
      <c r="AG89" s="204">
        <f t="shared" si="163"/>
        <v>-45.015299689005126</v>
      </c>
      <c r="AH89" s="204">
        <f t="shared" si="163"/>
        <v>-45.031587931590586</v>
      </c>
      <c r="AI89" s="204">
        <f t="shared" si="163"/>
        <v>-45.048159451271729</v>
      </c>
      <c r="AJ89" s="204">
        <f t="shared" si="163"/>
        <v>-45.064999128721148</v>
      </c>
      <c r="AK89" s="204">
        <f t="shared" si="163"/>
        <v>-45.082092291008891</v>
      </c>
      <c r="AL89" s="204">
        <f t="shared" si="163"/>
        <v>-45.099424700535877</v>
      </c>
      <c r="AM89" s="204">
        <f t="shared" si="163"/>
        <v>-45.11698254421929</v>
      </c>
      <c r="AN89" s="204">
        <f t="shared" si="163"/>
        <v>-45.134752422924464</v>
      </c>
      <c r="AO89" s="204">
        <f t="shared" si="163"/>
        <v>-45.152721341137905</v>
      </c>
      <c r="AP89" s="204">
        <f t="shared" si="163"/>
        <v>-45.170876696876306</v>
      </c>
      <c r="AQ89" s="204">
        <f t="shared" si="163"/>
        <v>-45.189206271826343</v>
      </c>
      <c r="AR89" s="204">
        <f t="shared" si="163"/>
        <v>-45.207698221710274</v>
      </c>
      <c r="AS89" s="204">
        <f t="shared" si="163"/>
        <v>-45.226341066872521</v>
      </c>
      <c r="AT89" s="204">
        <f t="shared" si="163"/>
        <v>-45.245123683082141</v>
      </c>
      <c r="AU89" s="204">
        <f t="shared" si="163"/>
        <v>-45.264035292547049</v>
      </c>
      <c r="AV89" s="204">
        <f t="shared" si="163"/>
        <v>-45.283065455134654</v>
      </c>
      <c r="AW89" s="204">
        <f t="shared" si="163"/>
        <v>-45.30220405979501</v>
      </c>
      <c r="AX89" s="204">
        <f t="shared" si="163"/>
        <v>-45.321441316181819</v>
      </c>
      <c r="AY89" s="204">
        <f t="shared" si="163"/>
        <v>-45.340767746466909</v>
      </c>
      <c r="AZ89" s="204">
        <f t="shared" si="163"/>
        <v>-45.36017417734412</v>
      </c>
      <c r="BA89" s="204">
        <f t="shared" si="163"/>
        <v>-45.379651732218335</v>
      </c>
      <c r="BB89" s="204">
        <f t="shared" si="163"/>
        <v>-45.399191823575705</v>
      </c>
      <c r="BC89" s="204">
        <f t="shared" si="163"/>
        <v>-45.418786145530902</v>
      </c>
      <c r="BD89" s="204">
        <f t="shared" si="163"/>
        <v>-45.438426666547898</v>
      </c>
      <c r="BE89" s="204">
        <f t="shared" si="163"/>
        <v>-45.458105622329953</v>
      </c>
      <c r="BF89" s="204">
        <f t="shared" si="163"/>
        <v>-45.477815508875651</v>
      </c>
      <c r="BG89" s="204">
        <f t="shared" si="163"/>
        <v>-45.497549075696824</v>
      </c>
      <c r="BH89" s="204">
        <f t="shared" si="163"/>
        <v>-45.517299319195189</v>
      </c>
      <c r="BI89" s="204">
        <f t="shared" si="163"/>
        <v>-45.537059476193988</v>
      </c>
      <c r="BJ89" s="204">
        <f t="shared" si="163"/>
        <v>-45.556823017621298</v>
      </c>
      <c r="BK89" s="204">
        <f t="shared" si="163"/>
        <v>-45.576583642341681</v>
      </c>
      <c r="BL89" s="204">
        <f t="shared" si="163"/>
        <v>-45.596335271132837</v>
      </c>
      <c r="BM89" s="204">
        <f t="shared" si="163"/>
        <v>-45.616072040804113</v>
      </c>
      <c r="BN89" s="204">
        <f t="shared" si="163"/>
        <v>-45.635788298453718</v>
      </c>
      <c r="BO89" s="204">
        <f t="shared" si="163"/>
        <v>-45.655478595861553</v>
      </c>
      <c r="BP89" s="204">
        <f t="shared" si="163"/>
        <v>-45.675137684014707</v>
      </c>
      <c r="BQ89" s="204">
        <f t="shared" si="163"/>
        <v>-45.694760507762652</v>
      </c>
      <c r="BR89" s="204">
        <f t="shared" si="163"/>
        <v>-45.71434220059917</v>
      </c>
      <c r="BS89" s="204">
        <f t="shared" si="163"/>
        <v>-45.733878079568392</v>
      </c>
      <c r="BT89" s="204">
        <f t="shared" ref="BT89:EE89" si="164">PV($F43,BT$9,1,0)+(PV($J$6,$N$5-(BT$9),1,0)/($J$6+1)^BT$9)</f>
        <v>-45.753363640291987</v>
      </c>
      <c r="BU89" s="204">
        <f t="shared" si="164"/>
        <v>-45.772794552115009</v>
      </c>
      <c r="BV89" s="204">
        <f t="shared" si="164"/>
        <v>-45.792166653367495</v>
      </c>
      <c r="BW89" s="204">
        <f t="shared" si="164"/>
        <v>-45.81147594673957</v>
      </c>
      <c r="BX89" s="204">
        <f t="shared" si="164"/>
        <v>-45.830718594767191</v>
      </c>
      <c r="BY89" s="204">
        <f t="shared" si="164"/>
        <v>-45.849890915426322</v>
      </c>
      <c r="BZ89" s="204">
        <f t="shared" si="164"/>
        <v>-45.868989377832953</v>
      </c>
      <c r="CA89" s="204">
        <f t="shared" si="164"/>
        <v>-45.888010598046705</v>
      </c>
      <c r="CB89" s="204">
        <f t="shared" si="164"/>
        <v>-45.906951334975567</v>
      </c>
      <c r="CC89" s="204">
        <f t="shared" si="164"/>
        <v>-45.92580848637968</v>
      </c>
      <c r="CD89" s="204">
        <f t="shared" si="164"/>
        <v>-45.94457908497175</v>
      </c>
      <c r="CE89" s="204">
        <f t="shared" si="164"/>
        <v>-45.963260294612098</v>
      </c>
      <c r="CF89" s="204">
        <f t="shared" si="164"/>
        <v>-45.981849406596098</v>
      </c>
      <c r="CG89" s="204">
        <f t="shared" si="164"/>
        <v>-46.000343836031938</v>
      </c>
      <c r="CH89" s="204">
        <f t="shared" si="164"/>
        <v>-46.018741118306735</v>
      </c>
      <c r="CI89" s="204">
        <f t="shared" si="164"/>
        <v>-46.037038905638973</v>
      </c>
      <c r="CJ89" s="204">
        <f t="shared" si="164"/>
        <v>-46.055234963715257</v>
      </c>
      <c r="CK89" s="204">
        <f t="shared" si="164"/>
        <v>-46.073327168409584</v>
      </c>
      <c r="CL89" s="204">
        <f t="shared" si="164"/>
        <v>-46.091313502583169</v>
      </c>
      <c r="CM89" s="204">
        <f t="shared" si="164"/>
        <v>-46.109192052963131</v>
      </c>
      <c r="CN89" s="204">
        <f t="shared" si="164"/>
        <v>-46.126961007097997</v>
      </c>
      <c r="CO89" s="204">
        <f t="shared" si="164"/>
        <v>-46.144618650388644</v>
      </c>
      <c r="CP89" s="204">
        <f t="shared" si="164"/>
        <v>-46.162163363192612</v>
      </c>
      <c r="CQ89" s="204">
        <f t="shared" si="164"/>
        <v>-46.179593618000347</v>
      </c>
      <c r="CR89" s="204">
        <f t="shared" si="164"/>
        <v>-46.196907976681658</v>
      </c>
      <c r="CS89" s="204">
        <f t="shared" si="164"/>
        <v>-46.214105087800732</v>
      </c>
      <c r="CT89" s="204">
        <f t="shared" si="164"/>
        <v>-46.231183683998317</v>
      </c>
      <c r="CU89" s="204">
        <f t="shared" si="164"/>
        <v>-46.248142579439261</v>
      </c>
      <c r="CV89" s="204">
        <f t="shared" si="164"/>
        <v>-46.264980667324217</v>
      </c>
      <c r="CW89" s="204">
        <f t="shared" si="164"/>
        <v>-46.281696917463854</v>
      </c>
      <c r="CX89" s="204">
        <f t="shared" si="164"/>
        <v>-46.298290373914064</v>
      </c>
      <c r="CY89" s="204">
        <f t="shared" si="164"/>
        <v>-46.298290373914064</v>
      </c>
      <c r="CZ89" s="204">
        <f t="shared" si="164"/>
        <v>-46.298290373914064</v>
      </c>
      <c r="DA89" s="204">
        <f t="shared" si="164"/>
        <v>-46.298290373914064</v>
      </c>
      <c r="DB89" s="204">
        <f t="shared" si="164"/>
        <v>-46.298290373914064</v>
      </c>
      <c r="DC89" s="204">
        <f t="shared" si="164"/>
        <v>-46.298290373914064</v>
      </c>
      <c r="DD89" s="204">
        <f t="shared" si="164"/>
        <v>-46.298290373914064</v>
      </c>
      <c r="DE89" s="204">
        <f t="shared" si="164"/>
        <v>-46.298290373914064</v>
      </c>
      <c r="DF89" s="204">
        <f t="shared" si="164"/>
        <v>-46.298290373914064</v>
      </c>
      <c r="DG89" s="204">
        <f t="shared" si="164"/>
        <v>-46.298290373914064</v>
      </c>
      <c r="DH89" s="204">
        <f t="shared" si="164"/>
        <v>-46.298290373914064</v>
      </c>
      <c r="DI89" s="204">
        <f t="shared" si="164"/>
        <v>-46.298290373914064</v>
      </c>
      <c r="DJ89" s="204">
        <f t="shared" si="164"/>
        <v>-46.298290373914064</v>
      </c>
      <c r="DK89" s="204">
        <f t="shared" si="164"/>
        <v>-46.298290373914064</v>
      </c>
      <c r="DL89" s="204">
        <f t="shared" si="164"/>
        <v>-46.298290373914064</v>
      </c>
      <c r="DM89" s="204">
        <f t="shared" si="164"/>
        <v>-46.298290373914064</v>
      </c>
      <c r="DN89" s="204">
        <f t="shared" si="164"/>
        <v>-46.298290373914064</v>
      </c>
      <c r="DO89" s="204">
        <f t="shared" si="164"/>
        <v>-46.298290373914064</v>
      </c>
      <c r="DP89" s="204">
        <f t="shared" si="164"/>
        <v>-46.298290373914064</v>
      </c>
      <c r="DQ89" s="204">
        <f t="shared" si="164"/>
        <v>-46.298290373914064</v>
      </c>
      <c r="DR89" s="204">
        <f t="shared" si="164"/>
        <v>-46.298290373914064</v>
      </c>
      <c r="DS89" s="204">
        <f t="shared" si="164"/>
        <v>-46.298290373914064</v>
      </c>
      <c r="DT89" s="204">
        <f t="shared" si="164"/>
        <v>-46.298290373914064</v>
      </c>
      <c r="DU89" s="204">
        <f t="shared" si="164"/>
        <v>-46.298290373914064</v>
      </c>
      <c r="DV89" s="204">
        <f t="shared" si="164"/>
        <v>-46.298290373914064</v>
      </c>
      <c r="DW89" s="204">
        <f t="shared" si="164"/>
        <v>-46.298290373914064</v>
      </c>
      <c r="DX89" s="204">
        <f t="shared" si="164"/>
        <v>-46.298290373914064</v>
      </c>
      <c r="DY89" s="204">
        <f t="shared" si="164"/>
        <v>-46.298290373914064</v>
      </c>
      <c r="DZ89" s="204">
        <f t="shared" si="164"/>
        <v>-46.298290373914064</v>
      </c>
      <c r="EA89" s="204">
        <f t="shared" si="164"/>
        <v>-46.298290373914064</v>
      </c>
      <c r="EB89" s="204">
        <f t="shared" si="164"/>
        <v>-46.298290373914064</v>
      </c>
      <c r="EC89" s="204">
        <f t="shared" si="164"/>
        <v>-46.298290373914064</v>
      </c>
      <c r="ED89" s="204">
        <f t="shared" si="164"/>
        <v>-46.298290373914064</v>
      </c>
      <c r="EE89" s="204">
        <f t="shared" si="164"/>
        <v>-46.298290373914064</v>
      </c>
      <c r="EF89" s="204">
        <f t="shared" ref="EF89:ET89" si="165">PV($F43,EF$9,1,0)+(PV($J$6,$N$5-(EF$9),1,0)/($J$6+1)^EF$9)</f>
        <v>-46.298290373914064</v>
      </c>
      <c r="EG89" s="204">
        <f t="shared" si="165"/>
        <v>-46.298290373914064</v>
      </c>
      <c r="EH89" s="204">
        <f t="shared" si="165"/>
        <v>-46.298290373914064</v>
      </c>
      <c r="EI89" s="204">
        <f t="shared" si="165"/>
        <v>-46.298290373914064</v>
      </c>
      <c r="EJ89" s="204">
        <f t="shared" si="165"/>
        <v>-46.298290373914064</v>
      </c>
      <c r="EK89" s="204">
        <f t="shared" si="165"/>
        <v>-46.298290373914064</v>
      </c>
      <c r="EL89" s="204">
        <f t="shared" si="165"/>
        <v>-46.298290373914064</v>
      </c>
      <c r="EM89" s="204">
        <f t="shared" si="165"/>
        <v>-46.298290373914064</v>
      </c>
      <c r="EN89" s="204">
        <f t="shared" si="165"/>
        <v>-46.298290373914064</v>
      </c>
      <c r="EO89" s="204">
        <f t="shared" si="165"/>
        <v>-46.298290373914064</v>
      </c>
      <c r="EP89" s="204">
        <f t="shared" si="165"/>
        <v>-46.298290373914064</v>
      </c>
      <c r="EQ89" s="204">
        <f t="shared" si="165"/>
        <v>-46.298290373914064</v>
      </c>
      <c r="ER89" s="204">
        <f t="shared" si="165"/>
        <v>-46.298290373914064</v>
      </c>
      <c r="ES89" s="204">
        <f t="shared" si="165"/>
        <v>-46.298290373914064</v>
      </c>
      <c r="ET89" s="204">
        <f t="shared" si="165"/>
        <v>-46.298290373914064</v>
      </c>
      <c r="FF89" s="6" t="s">
        <v>1081</v>
      </c>
      <c r="FG89" s="696">
        <v>2.5000000000000001E-2</v>
      </c>
      <c r="FH89" s="696">
        <v>120</v>
      </c>
      <c r="FI89" s="696">
        <v>1.6799999999999999E-2</v>
      </c>
      <c r="FJ89" s="255">
        <v>1.4499999999999999E-2</v>
      </c>
      <c r="FK89" s="71">
        <f t="shared" si="126"/>
        <v>2.5000000000000006E-4</v>
      </c>
      <c r="FL89" t="e">
        <f>VLOOKUP(FF89,'SIMULADOR COM SALDO'!$BX$22:$CK$1000,13,FALSE)</f>
        <v>#N/A</v>
      </c>
    </row>
    <row r="90" spans="7:168" x14ac:dyDescent="0.25">
      <c r="G90" s="205">
        <f t="shared" si="68"/>
        <v>-44.753057310460434</v>
      </c>
      <c r="H90" s="204">
        <f t="shared" ref="H90:BS90" si="166">PV($F44,H$9,1,0)+(PV($J$6,$N$5-(H$9),1,0)/($J$6+1)^H$9)</f>
        <v>-44.754722586358739</v>
      </c>
      <c r="I90" s="204">
        <f t="shared" si="166"/>
        <v>-44.757176187045332</v>
      </c>
      <c r="J90" s="204">
        <f t="shared" si="166"/>
        <v>-44.760389618770347</v>
      </c>
      <c r="K90" s="204">
        <f t="shared" si="166"/>
        <v>-44.764335150795745</v>
      </c>
      <c r="L90" s="204">
        <f t="shared" si="166"/>
        <v>-44.768985797285609</v>
      </c>
      <c r="M90" s="204">
        <f t="shared" si="166"/>
        <v>-44.774315299599081</v>
      </c>
      <c r="N90" s="204">
        <f t="shared" si="166"/>
        <v>-44.780298108977178</v>
      </c>
      <c r="O90" s="204">
        <f t="shared" si="166"/>
        <v>-44.786909369615266</v>
      </c>
      <c r="P90" s="204">
        <f t="shared" si="166"/>
        <v>-44.794124902112713</v>
      </c>
      <c r="Q90" s="204">
        <f t="shared" si="166"/>
        <v>-44.801921187291917</v>
      </c>
      <c r="R90" s="204">
        <f t="shared" si="166"/>
        <v>-44.810275350378504</v>
      </c>
      <c r="S90" s="204">
        <f t="shared" si="166"/>
        <v>-44.81916514553545</v>
      </c>
      <c r="T90" s="204">
        <f t="shared" si="166"/>
        <v>-44.828568940743011</v>
      </c>
      <c r="U90" s="204">
        <f t="shared" si="166"/>
        <v>-44.838465703017334</v>
      </c>
      <c r="V90" s="204">
        <f t="shared" si="166"/>
        <v>-44.848834983960501</v>
      </c>
      <c r="W90" s="204">
        <f t="shared" si="166"/>
        <v>-44.859656905634864</v>
      </c>
      <c r="X90" s="204">
        <f t="shared" si="166"/>
        <v>-44.870912146754627</v>
      </c>
      <c r="Y90" s="204">
        <f t="shared" si="166"/>
        <v>-44.88258192918795</v>
      </c>
      <c r="Z90" s="204">
        <f t="shared" si="166"/>
        <v>-44.894648004762864</v>
      </c>
      <c r="AA90" s="204">
        <f t="shared" si="166"/>
        <v>-44.907092642370543</v>
      </c>
      <c r="AB90" s="204">
        <f t="shared" si="166"/>
        <v>-44.919898615359358</v>
      </c>
      <c r="AC90" s="204">
        <f t="shared" si="166"/>
        <v>-44.933049189213662</v>
      </c>
      <c r="AD90" s="204">
        <f t="shared" si="166"/>
        <v>-44.946528109510965</v>
      </c>
      <c r="AE90" s="204">
        <f t="shared" si="166"/>
        <v>-44.960319590151741</v>
      </c>
      <c r="AF90" s="204">
        <f t="shared" si="166"/>
        <v>-44.974408301855661</v>
      </c>
      <c r="AG90" s="204">
        <f t="shared" si="166"/>
        <v>-44.988779360918841</v>
      </c>
      <c r="AH90" s="204">
        <f t="shared" si="166"/>
        <v>-45.003418318226181</v>
      </c>
      <c r="AI90" s="204">
        <f t="shared" si="166"/>
        <v>-45.018311148513462</v>
      </c>
      <c r="AJ90" s="204">
        <f t="shared" si="166"/>
        <v>-45.033444239873788</v>
      </c>
      <c r="AK90" s="204">
        <f t="shared" si="166"/>
        <v>-45.048804383502883</v>
      </c>
      <c r="AL90" s="204">
        <f t="shared" si="166"/>
        <v>-45.064378763678306</v>
      </c>
      <c r="AM90" s="204">
        <f t="shared" si="166"/>
        <v>-45.080154947967458</v>
      </c>
      <c r="AN90" s="204">
        <f t="shared" si="166"/>
        <v>-45.096120877659274</v>
      </c>
      <c r="AO90" s="204">
        <f t="shared" si="166"/>
        <v>-45.112264858414903</v>
      </c>
      <c r="AP90" s="204">
        <f t="shared" si="166"/>
        <v>-45.128575551132528</v>
      </c>
      <c r="AQ90" s="204">
        <f t="shared" si="166"/>
        <v>-45.145041963021761</v>
      </c>
      <c r="AR90" s="204">
        <f t="shared" si="166"/>
        <v>-45.161653438882894</v>
      </c>
      <c r="AS90" s="204">
        <f t="shared" si="166"/>
        <v>-45.17839965258672</v>
      </c>
      <c r="AT90" s="204">
        <f t="shared" si="166"/>
        <v>-45.195270598750383</v>
      </c>
      <c r="AU90" s="204">
        <f t="shared" si="166"/>
        <v>-45.212256584605171</v>
      </c>
      <c r="AV90" s="204">
        <f t="shared" si="166"/>
        <v>-45.229348222051911</v>
      </c>
      <c r="AW90" s="204">
        <f t="shared" si="166"/>
        <v>-45.24653641989984</v>
      </c>
      <c r="AX90" s="204">
        <f t="shared" si="166"/>
        <v>-45.263812376285145</v>
      </c>
      <c r="AY90" s="204">
        <f t="shared" si="166"/>
        <v>-45.281167571265001</v>
      </c>
      <c r="AZ90" s="204">
        <f t="shared" si="166"/>
        <v>-45.298593759583447</v>
      </c>
      <c r="BA90" s="204">
        <f t="shared" si="166"/>
        <v>-45.316082963605211</v>
      </c>
      <c r="BB90" s="204">
        <f t="shared" si="166"/>
        <v>-45.333627466413859</v>
      </c>
      <c r="BC90" s="204">
        <f t="shared" si="166"/>
        <v>-45.351219805070642</v>
      </c>
      <c r="BD90" s="204">
        <f t="shared" si="166"/>
        <v>-45.368852764030535</v>
      </c>
      <c r="BE90" s="204">
        <f t="shared" si="166"/>
        <v>-45.386519368711973</v>
      </c>
      <c r="BF90" s="204">
        <f t="shared" si="166"/>
        <v>-45.404212879216949</v>
      </c>
      <c r="BG90" s="204">
        <f t="shared" si="166"/>
        <v>-45.421926784198099</v>
      </c>
      <c r="BH90" s="204">
        <f t="shared" si="166"/>
        <v>-45.439654794869561</v>
      </c>
      <c r="BI90" s="204">
        <f t="shared" si="166"/>
        <v>-45.457390839158499</v>
      </c>
      <c r="BJ90" s="204">
        <f t="shared" si="166"/>
        <v>-45.475129055994088</v>
      </c>
      <c r="BK90" s="204">
        <f t="shared" si="166"/>
        <v>-45.492863789730961</v>
      </c>
      <c r="BL90" s="204">
        <f t="shared" si="166"/>
        <v>-45.510589584704185</v>
      </c>
      <c r="BM90" s="204">
        <f t="shared" si="166"/>
        <v>-45.528301179912773</v>
      </c>
      <c r="BN90" s="204">
        <f t="shared" si="166"/>
        <v>-45.545993503828917</v>
      </c>
      <c r="BO90" s="204">
        <f t="shared" si="166"/>
        <v>-45.563661669330216</v>
      </c>
      <c r="BP90" s="204">
        <f t="shared" si="166"/>
        <v>-45.581300968752089</v>
      </c>
      <c r="BQ90" s="204">
        <f t="shared" si="166"/>
        <v>-45.5989068690577</v>
      </c>
      <c r="BR90" s="204">
        <f t="shared" si="166"/>
        <v>-45.616475007122865</v>
      </c>
      <c r="BS90" s="204">
        <f t="shared" si="166"/>
        <v>-45.634001185133258</v>
      </c>
      <c r="BT90" s="204">
        <f t="shared" ref="BT90:EE90" si="167">PV($F44,BT$9,1,0)+(PV($J$6,$N$5-(BT$9),1,0)/($J$6+1)^BT$9)</f>
        <v>-45.651481366091545</v>
      </c>
      <c r="BU90" s="204">
        <f t="shared" si="167"/>
        <v>-45.668911669431921</v>
      </c>
      <c r="BV90" s="204">
        <f t="shared" si="167"/>
        <v>-45.686288366739575</v>
      </c>
      <c r="BW90" s="204">
        <f t="shared" si="167"/>
        <v>-45.703607877573006</v>
      </c>
      <c r="BX90" s="204">
        <f t="shared" si="167"/>
        <v>-45.720866765386496</v>
      </c>
      <c r="BY90" s="204">
        <f t="shared" si="167"/>
        <v>-45.738061733550872</v>
      </c>
      <c r="BZ90" s="204">
        <f t="shared" si="167"/>
        <v>-45.755189621470116</v>
      </c>
      <c r="CA90" s="204">
        <f t="shared" si="167"/>
        <v>-45.772247400791805</v>
      </c>
      <c r="CB90" s="204">
        <f t="shared" si="167"/>
        <v>-45.789232171709138</v>
      </c>
      <c r="CC90" s="204">
        <f t="shared" si="167"/>
        <v>-45.806141159352649</v>
      </c>
      <c r="CD90" s="204">
        <f t="shared" si="167"/>
        <v>-45.822971710269464</v>
      </c>
      <c r="CE90" s="204">
        <f t="shared" si="167"/>
        <v>-45.839721288988201</v>
      </c>
      <c r="CF90" s="204">
        <f t="shared" si="167"/>
        <v>-45.856387474667585</v>
      </c>
      <c r="CG90" s="204">
        <f t="shared" si="167"/>
        <v>-45.872967957826773</v>
      </c>
      <c r="CH90" s="204">
        <f t="shared" si="167"/>
        <v>-45.88946053715572</v>
      </c>
      <c r="CI90" s="204">
        <f t="shared" si="167"/>
        <v>-45.905863116403694</v>
      </c>
      <c r="CJ90" s="204">
        <f t="shared" si="167"/>
        <v>-45.922173701344043</v>
      </c>
      <c r="CK90" s="204">
        <f t="shared" si="167"/>
        <v>-45.938390396813787</v>
      </c>
      <c r="CL90" s="204">
        <f t="shared" si="167"/>
        <v>-45.954511403825983</v>
      </c>
      <c r="CM90" s="204">
        <f t="shared" si="167"/>
        <v>-45.970535016753523</v>
      </c>
      <c r="CN90" s="204">
        <f t="shared" si="167"/>
        <v>-45.986459620582522</v>
      </c>
      <c r="CO90" s="204">
        <f t="shared" si="167"/>
        <v>-46.002283688233781</v>
      </c>
      <c r="CP90" s="204">
        <f t="shared" si="167"/>
        <v>-46.01800577795089</v>
      </c>
      <c r="CQ90" s="204">
        <f t="shared" si="167"/>
        <v>-46.03362453075318</v>
      </c>
      <c r="CR90" s="204">
        <f t="shared" si="167"/>
        <v>-46.049138667952391</v>
      </c>
      <c r="CS90" s="204">
        <f t="shared" si="167"/>
        <v>-46.064546988731237</v>
      </c>
      <c r="CT90" s="204">
        <f t="shared" si="167"/>
        <v>-46.079848367782766</v>
      </c>
      <c r="CU90" s="204">
        <f t="shared" si="167"/>
        <v>-46.095041753008886</v>
      </c>
      <c r="CV90" s="204">
        <f t="shared" si="167"/>
        <v>-46.110126163276917</v>
      </c>
      <c r="CW90" s="204">
        <f t="shared" si="167"/>
        <v>-46.125100686232543</v>
      </c>
      <c r="CX90" s="204">
        <f t="shared" si="167"/>
        <v>-46.13996447616821</v>
      </c>
      <c r="CY90" s="204">
        <f t="shared" si="167"/>
        <v>-46.13996447616821</v>
      </c>
      <c r="CZ90" s="204">
        <f t="shared" si="167"/>
        <v>-46.13996447616821</v>
      </c>
      <c r="DA90" s="204">
        <f t="shared" si="167"/>
        <v>-46.13996447616821</v>
      </c>
      <c r="DB90" s="204">
        <f t="shared" si="167"/>
        <v>-46.13996447616821</v>
      </c>
      <c r="DC90" s="204">
        <f t="shared" si="167"/>
        <v>-46.13996447616821</v>
      </c>
      <c r="DD90" s="204">
        <f t="shared" si="167"/>
        <v>-46.13996447616821</v>
      </c>
      <c r="DE90" s="204">
        <f t="shared" si="167"/>
        <v>-46.13996447616821</v>
      </c>
      <c r="DF90" s="204">
        <f t="shared" si="167"/>
        <v>-46.13996447616821</v>
      </c>
      <c r="DG90" s="204">
        <f t="shared" si="167"/>
        <v>-46.13996447616821</v>
      </c>
      <c r="DH90" s="204">
        <f t="shared" si="167"/>
        <v>-46.13996447616821</v>
      </c>
      <c r="DI90" s="204">
        <f t="shared" si="167"/>
        <v>-46.13996447616821</v>
      </c>
      <c r="DJ90" s="204">
        <f t="shared" si="167"/>
        <v>-46.13996447616821</v>
      </c>
      <c r="DK90" s="204">
        <f t="shared" si="167"/>
        <v>-46.13996447616821</v>
      </c>
      <c r="DL90" s="204">
        <f t="shared" si="167"/>
        <v>-46.13996447616821</v>
      </c>
      <c r="DM90" s="204">
        <f t="shared" si="167"/>
        <v>-46.13996447616821</v>
      </c>
      <c r="DN90" s="204">
        <f t="shared" si="167"/>
        <v>-46.13996447616821</v>
      </c>
      <c r="DO90" s="204">
        <f t="shared" si="167"/>
        <v>-46.13996447616821</v>
      </c>
      <c r="DP90" s="204">
        <f t="shared" si="167"/>
        <v>-46.13996447616821</v>
      </c>
      <c r="DQ90" s="204">
        <f t="shared" si="167"/>
        <v>-46.13996447616821</v>
      </c>
      <c r="DR90" s="204">
        <f t="shared" si="167"/>
        <v>-46.13996447616821</v>
      </c>
      <c r="DS90" s="204">
        <f t="shared" si="167"/>
        <v>-46.13996447616821</v>
      </c>
      <c r="DT90" s="204">
        <f t="shared" si="167"/>
        <v>-46.13996447616821</v>
      </c>
      <c r="DU90" s="204">
        <f t="shared" si="167"/>
        <v>-46.13996447616821</v>
      </c>
      <c r="DV90" s="204">
        <f t="shared" si="167"/>
        <v>-46.13996447616821</v>
      </c>
      <c r="DW90" s="204">
        <f t="shared" si="167"/>
        <v>-46.13996447616821</v>
      </c>
      <c r="DX90" s="204">
        <f t="shared" si="167"/>
        <v>-46.13996447616821</v>
      </c>
      <c r="DY90" s="204">
        <f t="shared" si="167"/>
        <v>-46.13996447616821</v>
      </c>
      <c r="DZ90" s="204">
        <f t="shared" si="167"/>
        <v>-46.13996447616821</v>
      </c>
      <c r="EA90" s="204">
        <f t="shared" si="167"/>
        <v>-46.13996447616821</v>
      </c>
      <c r="EB90" s="204">
        <f t="shared" si="167"/>
        <v>-46.13996447616821</v>
      </c>
      <c r="EC90" s="204">
        <f t="shared" si="167"/>
        <v>-46.13996447616821</v>
      </c>
      <c r="ED90" s="204">
        <f t="shared" si="167"/>
        <v>-46.13996447616821</v>
      </c>
      <c r="EE90" s="204">
        <f t="shared" si="167"/>
        <v>-46.13996447616821</v>
      </c>
      <c r="EF90" s="204">
        <f t="shared" ref="EF90:ET90" si="168">PV($F44,EF$9,1,0)+(PV($J$6,$N$5-(EF$9),1,0)/($J$6+1)^EF$9)</f>
        <v>-46.13996447616821</v>
      </c>
      <c r="EG90" s="204">
        <f t="shared" si="168"/>
        <v>-46.13996447616821</v>
      </c>
      <c r="EH90" s="204">
        <f t="shared" si="168"/>
        <v>-46.13996447616821</v>
      </c>
      <c r="EI90" s="204">
        <f t="shared" si="168"/>
        <v>-46.13996447616821</v>
      </c>
      <c r="EJ90" s="204">
        <f t="shared" si="168"/>
        <v>-46.13996447616821</v>
      </c>
      <c r="EK90" s="204">
        <f t="shared" si="168"/>
        <v>-46.13996447616821</v>
      </c>
      <c r="EL90" s="204">
        <f t="shared" si="168"/>
        <v>-46.13996447616821</v>
      </c>
      <c r="EM90" s="204">
        <f t="shared" si="168"/>
        <v>-46.13996447616821</v>
      </c>
      <c r="EN90" s="204">
        <f t="shared" si="168"/>
        <v>-46.13996447616821</v>
      </c>
      <c r="EO90" s="204">
        <f t="shared" si="168"/>
        <v>-46.13996447616821</v>
      </c>
      <c r="EP90" s="204">
        <f t="shared" si="168"/>
        <v>-46.13996447616821</v>
      </c>
      <c r="EQ90" s="204">
        <f t="shared" si="168"/>
        <v>-46.13996447616821</v>
      </c>
      <c r="ER90" s="204">
        <f t="shared" si="168"/>
        <v>-46.13996447616821</v>
      </c>
      <c r="ES90" s="204">
        <f t="shared" si="168"/>
        <v>-46.13996447616821</v>
      </c>
      <c r="ET90" s="204">
        <f t="shared" si="168"/>
        <v>-46.13996447616821</v>
      </c>
      <c r="FF90" s="6" t="s">
        <v>3023</v>
      </c>
      <c r="FG90" s="696">
        <v>2.5000000000000001E-2</v>
      </c>
      <c r="FH90" s="696">
        <v>120</v>
      </c>
      <c r="FI90" s="696">
        <v>1.7899999999999999E-2</v>
      </c>
      <c r="FJ90" s="255">
        <v>1.3899999999999999E-2</v>
      </c>
      <c r="FK90" s="71">
        <f t="shared" si="126"/>
        <v>2.6428571428571435E-4</v>
      </c>
      <c r="FL90" t="e">
        <f>VLOOKUP(FF90,'SIMULADOR COM SALDO'!$BX$22:$CK$1000,13,FALSE)</f>
        <v>#N/A</v>
      </c>
    </row>
    <row r="91" spans="7:168" x14ac:dyDescent="0.25">
      <c r="G91" s="205">
        <f t="shared" si="68"/>
        <v>-44.752963051983073</v>
      </c>
      <c r="H91" s="204">
        <f t="shared" ref="H91:BS91" si="169">PV($F45,H$9,1,0)+(PV($J$6,$N$5-(H$9),1,0)/($J$6+1)^H$9)</f>
        <v>-44.754443084225727</v>
      </c>
      <c r="I91" s="204">
        <f t="shared" si="169"/>
        <v>-44.756623644123735</v>
      </c>
      <c r="J91" s="204">
        <f t="shared" si="169"/>
        <v>-44.759479342692636</v>
      </c>
      <c r="K91" s="204">
        <f t="shared" si="169"/>
        <v>-44.76298547261068</v>
      </c>
      <c r="L91" s="204">
        <f t="shared" si="169"/>
        <v>-44.767117991998163</v>
      </c>
      <c r="M91" s="204">
        <f t="shared" si="169"/>
        <v>-44.771853508558152</v>
      </c>
      <c r="N91" s="204">
        <f t="shared" si="169"/>
        <v>-44.777169264071077</v>
      </c>
      <c r="O91" s="204">
        <f t="shared" si="169"/>
        <v>-44.783043119235394</v>
      </c>
      <c r="P91" s="204">
        <f t="shared" si="169"/>
        <v>-44.789453538847006</v>
      </c>
      <c r="Q91" s="204">
        <f t="shared" si="169"/>
        <v>-44.796379577310312</v>
      </c>
      <c r="R91" s="204">
        <f t="shared" si="169"/>
        <v>-44.803800864473409</v>
      </c>
      <c r="S91" s="204">
        <f t="shared" si="169"/>
        <v>-44.811697591781076</v>
      </c>
      <c r="T91" s="204">
        <f t="shared" si="169"/>
        <v>-44.820050498738098</v>
      </c>
      <c r="U91" s="204">
        <f t="shared" si="169"/>
        <v>-44.828840859676617</v>
      </c>
      <c r="V91" s="204">
        <f t="shared" si="169"/>
        <v>-44.838050470821003</v>
      </c>
      <c r="W91" s="204">
        <f t="shared" si="169"/>
        <v>-44.847661637643675</v>
      </c>
      <c r="X91" s="204">
        <f t="shared" si="169"/>
        <v>-44.857657162505646</v>
      </c>
      <c r="Y91" s="204">
        <f t="shared" si="169"/>
        <v>-44.868020332575782</v>
      </c>
      <c r="Z91" s="204">
        <f t="shared" si="169"/>
        <v>-44.878734908022679</v>
      </c>
      <c r="AA91" s="204">
        <f t="shared" si="169"/>
        <v>-44.889785110473227</v>
      </c>
      <c r="AB91" s="204">
        <f t="shared" si="169"/>
        <v>-44.90115561173225</v>
      </c>
      <c r="AC91" s="204">
        <f t="shared" si="169"/>
        <v>-44.912831522757443</v>
      </c>
      <c r="AD91" s="204">
        <f t="shared" si="169"/>
        <v>-44.924798382884205</v>
      </c>
      <c r="AE91" s="204">
        <f t="shared" si="169"/>
        <v>-44.937042149294868</v>
      </c>
      <c r="AF91" s="204">
        <f t="shared" si="169"/>
        <v>-44.949549186727126</v>
      </c>
      <c r="AG91" s="204">
        <f t="shared" si="169"/>
        <v>-44.962306257416394</v>
      </c>
      <c r="AH91" s="204">
        <f t="shared" si="169"/>
        <v>-44.975300511267079</v>
      </c>
      <c r="AI91" s="204">
        <f t="shared" si="169"/>
        <v>-44.98851947624788</v>
      </c>
      <c r="AJ91" s="204">
        <f t="shared" si="169"/>
        <v>-45.001951049006053</v>
      </c>
      <c r="AK91" s="204">
        <f t="shared" si="169"/>
        <v>-45.015583485696084</v>
      </c>
      <c r="AL91" s="204">
        <f t="shared" si="169"/>
        <v>-45.029405393017996</v>
      </c>
      <c r="AM91" s="204">
        <f t="shared" si="169"/>
        <v>-45.043405719460807</v>
      </c>
      <c r="AN91" s="204">
        <f t="shared" si="169"/>
        <v>-45.057573746746641</v>
      </c>
      <c r="AO91" s="204">
        <f t="shared" si="169"/>
        <v>-45.071899081471045</v>
      </c>
      <c r="AP91" s="204">
        <f t="shared" si="169"/>
        <v>-45.086371646935419</v>
      </c>
      <c r="AQ91" s="204">
        <f t="shared" si="169"/>
        <v>-45.100981675167205</v>
      </c>
      <c r="AR91" s="204">
        <f t="shared" si="169"/>
        <v>-45.115719699123815</v>
      </c>
      <c r="AS91" s="204">
        <f t="shared" si="169"/>
        <v>-45.130576545076238</v>
      </c>
      <c r="AT91" s="204">
        <f t="shared" si="169"/>
        <v>-45.145543325168475</v>
      </c>
      <c r="AU91" s="204">
        <f t="shared" si="169"/>
        <v>-45.160611430148897</v>
      </c>
      <c r="AV91" s="204">
        <f t="shared" si="169"/>
        <v>-45.175772522269739</v>
      </c>
      <c r="AW91" s="204">
        <f t="shared" si="169"/>
        <v>-45.191018528351137</v>
      </c>
      <c r="AX91" s="204">
        <f t="shared" si="169"/>
        <v>-45.206341633005984</v>
      </c>
      <c r="AY91" s="204">
        <f t="shared" si="169"/>
        <v>-45.221734272022211</v>
      </c>
      <c r="AZ91" s="204">
        <f t="shared" si="169"/>
        <v>-45.237189125898936</v>
      </c>
      <c r="BA91" s="204">
        <f t="shared" si="169"/>
        <v>-45.252699113533097</v>
      </c>
      <c r="BB91" s="204">
        <f t="shared" si="169"/>
        <v>-45.268257386053335</v>
      </c>
      <c r="BC91" s="204">
        <f t="shared" si="169"/>
        <v>-45.283857320797807</v>
      </c>
      <c r="BD91" s="204">
        <f t="shared" si="169"/>
        <v>-45.299492515432831</v>
      </c>
      <c r="BE91" s="204">
        <f t="shared" si="169"/>
        <v>-45.315156782209186</v>
      </c>
      <c r="BF91" s="204">
        <f t="shared" si="169"/>
        <v>-45.330844142353094</v>
      </c>
      <c r="BG91" s="204">
        <f t="shared" si="169"/>
        <v>-45.346548820588843</v>
      </c>
      <c r="BH91" s="204">
        <f t="shared" si="169"/>
        <v>-45.362265239790212</v>
      </c>
      <c r="BI91" s="204">
        <f t="shared" si="169"/>
        <v>-45.377988015757779</v>
      </c>
      <c r="BJ91" s="204">
        <f t="shared" si="169"/>
        <v>-45.393711952119389</v>
      </c>
      <c r="BK91" s="204">
        <f t="shared" si="169"/>
        <v>-45.409432035351045</v>
      </c>
      <c r="BL91" s="204">
        <f t="shared" si="169"/>
        <v>-45.425143429915444</v>
      </c>
      <c r="BM91" s="204">
        <f t="shared" si="169"/>
        <v>-45.440841473515732</v>
      </c>
      <c r="BN91" s="204">
        <f t="shared" si="169"/>
        <v>-45.456521672461726</v>
      </c>
      <c r="BO91" s="204">
        <f t="shared" si="169"/>
        <v>-45.472179697146302</v>
      </c>
      <c r="BP91" s="204">
        <f t="shared" si="169"/>
        <v>-45.487811377629271</v>
      </c>
      <c r="BQ91" s="204">
        <f t="shared" si="169"/>
        <v>-45.503412699326525</v>
      </c>
      <c r="BR91" s="204">
        <f t="shared" si="169"/>
        <v>-45.518979798802079</v>
      </c>
      <c r="BS91" s="204">
        <f t="shared" si="169"/>
        <v>-45.534508959660606</v>
      </c>
      <c r="BT91" s="204">
        <f t="shared" ref="BT91:EE91" si="170">PV($F45,BT$9,1,0)+(PV($J$6,$N$5-(BT$9),1,0)/($J$6+1)^BT$9)</f>
        <v>-45.549996608538336</v>
      </c>
      <c r="BU91" s="204">
        <f t="shared" si="170"/>
        <v>-45.565439311190076</v>
      </c>
      <c r="BV91" s="204">
        <f t="shared" si="170"/>
        <v>-45.580833768670175</v>
      </c>
      <c r="BW91" s="204">
        <f t="shared" si="170"/>
        <v>-45.596176813605382</v>
      </c>
      <c r="BX91" s="204">
        <f t="shared" si="170"/>
        <v>-45.6114654065575</v>
      </c>
      <c r="BY91" s="204">
        <f t="shared" si="170"/>
        <v>-45.626696632473802</v>
      </c>
      <c r="BZ91" s="204">
        <f t="shared" si="170"/>
        <v>-45.641867697223304</v>
      </c>
      <c r="CA91" s="204">
        <f t="shared" si="170"/>
        <v>-45.656975924216916</v>
      </c>
      <c r="CB91" s="204">
        <f t="shared" si="170"/>
        <v>-45.672018751109533</v>
      </c>
      <c r="CC91" s="204">
        <f t="shared" si="170"/>
        <v>-45.686993726582337</v>
      </c>
      <c r="CD91" s="204">
        <f t="shared" si="170"/>
        <v>-45.701898507203438</v>
      </c>
      <c r="CE91" s="204">
        <f t="shared" si="170"/>
        <v>-45.716730854365032</v>
      </c>
      <c r="CF91" s="204">
        <f t="shared" si="170"/>
        <v>-45.731488631295463</v>
      </c>
      <c r="CG91" s="204">
        <f t="shared" si="170"/>
        <v>-45.746169800144372</v>
      </c>
      <c r="CH91" s="204">
        <f t="shared" si="170"/>
        <v>-45.760772419139393</v>
      </c>
      <c r="CI91" s="204">
        <f t="shared" si="170"/>
        <v>-45.77529463981265</v>
      </c>
      <c r="CJ91" s="204">
        <f t="shared" si="170"/>
        <v>-45.789734704295604</v>
      </c>
      <c r="CK91" s="204">
        <f t="shared" si="170"/>
        <v>-45.804090942680553</v>
      </c>
      <c r="CL91" s="204">
        <f t="shared" si="170"/>
        <v>-45.818361770447424</v>
      </c>
      <c r="CM91" s="204">
        <f t="shared" si="170"/>
        <v>-45.83254568595423</v>
      </c>
      <c r="CN91" s="204">
        <f t="shared" si="170"/>
        <v>-45.846641267989824</v>
      </c>
      <c r="CO91" s="204">
        <f t="shared" si="170"/>
        <v>-45.860647173387484</v>
      </c>
      <c r="CP91" s="204">
        <f t="shared" si="170"/>
        <v>-45.874562134697982</v>
      </c>
      <c r="CQ91" s="204">
        <f t="shared" si="170"/>
        <v>-45.888384957920735</v>
      </c>
      <c r="CR91" s="204">
        <f t="shared" si="170"/>
        <v>-45.902114520291761</v>
      </c>
      <c r="CS91" s="204">
        <f t="shared" si="170"/>
        <v>-45.915749768127</v>
      </c>
      <c r="CT91" s="204">
        <f t="shared" si="170"/>
        <v>-45.929289714719964</v>
      </c>
      <c r="CU91" s="204">
        <f t="shared" si="170"/>
        <v>-45.942733438292208</v>
      </c>
      <c r="CV91" s="204">
        <f t="shared" si="170"/>
        <v>-45.956080079995651</v>
      </c>
      <c r="CW91" s="204">
        <f t="shared" si="170"/>
        <v>-45.969328841965307</v>
      </c>
      <c r="CX91" s="204">
        <f t="shared" si="170"/>
        <v>-45.98247898542148</v>
      </c>
      <c r="CY91" s="204">
        <f t="shared" si="170"/>
        <v>-45.98247898542148</v>
      </c>
      <c r="CZ91" s="204">
        <f t="shared" si="170"/>
        <v>-45.98247898542148</v>
      </c>
      <c r="DA91" s="204">
        <f t="shared" si="170"/>
        <v>-45.98247898542148</v>
      </c>
      <c r="DB91" s="204">
        <f t="shared" si="170"/>
        <v>-45.98247898542148</v>
      </c>
      <c r="DC91" s="204">
        <f t="shared" si="170"/>
        <v>-45.98247898542148</v>
      </c>
      <c r="DD91" s="204">
        <f t="shared" si="170"/>
        <v>-45.98247898542148</v>
      </c>
      <c r="DE91" s="204">
        <f t="shared" si="170"/>
        <v>-45.98247898542148</v>
      </c>
      <c r="DF91" s="204">
        <f t="shared" si="170"/>
        <v>-45.98247898542148</v>
      </c>
      <c r="DG91" s="204">
        <f t="shared" si="170"/>
        <v>-45.98247898542148</v>
      </c>
      <c r="DH91" s="204">
        <f t="shared" si="170"/>
        <v>-45.98247898542148</v>
      </c>
      <c r="DI91" s="204">
        <f t="shared" si="170"/>
        <v>-45.98247898542148</v>
      </c>
      <c r="DJ91" s="204">
        <f t="shared" si="170"/>
        <v>-45.98247898542148</v>
      </c>
      <c r="DK91" s="204">
        <f t="shared" si="170"/>
        <v>-45.98247898542148</v>
      </c>
      <c r="DL91" s="204">
        <f t="shared" si="170"/>
        <v>-45.98247898542148</v>
      </c>
      <c r="DM91" s="204">
        <f t="shared" si="170"/>
        <v>-45.98247898542148</v>
      </c>
      <c r="DN91" s="204">
        <f t="shared" si="170"/>
        <v>-45.98247898542148</v>
      </c>
      <c r="DO91" s="204">
        <f t="shared" si="170"/>
        <v>-45.98247898542148</v>
      </c>
      <c r="DP91" s="204">
        <f t="shared" si="170"/>
        <v>-45.98247898542148</v>
      </c>
      <c r="DQ91" s="204">
        <f t="shared" si="170"/>
        <v>-45.98247898542148</v>
      </c>
      <c r="DR91" s="204">
        <f t="shared" si="170"/>
        <v>-45.98247898542148</v>
      </c>
      <c r="DS91" s="204">
        <f t="shared" si="170"/>
        <v>-45.98247898542148</v>
      </c>
      <c r="DT91" s="204">
        <f t="shared" si="170"/>
        <v>-45.98247898542148</v>
      </c>
      <c r="DU91" s="204">
        <f t="shared" si="170"/>
        <v>-45.98247898542148</v>
      </c>
      <c r="DV91" s="204">
        <f t="shared" si="170"/>
        <v>-45.98247898542148</v>
      </c>
      <c r="DW91" s="204">
        <f t="shared" si="170"/>
        <v>-45.98247898542148</v>
      </c>
      <c r="DX91" s="204">
        <f t="shared" si="170"/>
        <v>-45.98247898542148</v>
      </c>
      <c r="DY91" s="204">
        <f t="shared" si="170"/>
        <v>-45.98247898542148</v>
      </c>
      <c r="DZ91" s="204">
        <f t="shared" si="170"/>
        <v>-45.98247898542148</v>
      </c>
      <c r="EA91" s="204">
        <f t="shared" si="170"/>
        <v>-45.98247898542148</v>
      </c>
      <c r="EB91" s="204">
        <f t="shared" si="170"/>
        <v>-45.98247898542148</v>
      </c>
      <c r="EC91" s="204">
        <f t="shared" si="170"/>
        <v>-45.98247898542148</v>
      </c>
      <c r="ED91" s="204">
        <f t="shared" si="170"/>
        <v>-45.98247898542148</v>
      </c>
      <c r="EE91" s="204">
        <f t="shared" si="170"/>
        <v>-45.98247898542148</v>
      </c>
      <c r="EF91" s="204">
        <f t="shared" ref="EF91:ET91" si="171">PV($F45,EF$9,1,0)+(PV($J$6,$N$5-(EF$9),1,0)/($J$6+1)^EF$9)</f>
        <v>-45.98247898542148</v>
      </c>
      <c r="EG91" s="204">
        <f t="shared" si="171"/>
        <v>-45.98247898542148</v>
      </c>
      <c r="EH91" s="204">
        <f t="shared" si="171"/>
        <v>-45.98247898542148</v>
      </c>
      <c r="EI91" s="204">
        <f t="shared" si="171"/>
        <v>-45.98247898542148</v>
      </c>
      <c r="EJ91" s="204">
        <f t="shared" si="171"/>
        <v>-45.98247898542148</v>
      </c>
      <c r="EK91" s="204">
        <f t="shared" si="171"/>
        <v>-45.98247898542148</v>
      </c>
      <c r="EL91" s="204">
        <f t="shared" si="171"/>
        <v>-45.98247898542148</v>
      </c>
      <c r="EM91" s="204">
        <f t="shared" si="171"/>
        <v>-45.98247898542148</v>
      </c>
      <c r="EN91" s="204">
        <f t="shared" si="171"/>
        <v>-45.98247898542148</v>
      </c>
      <c r="EO91" s="204">
        <f t="shared" si="171"/>
        <v>-45.98247898542148</v>
      </c>
      <c r="EP91" s="204">
        <f t="shared" si="171"/>
        <v>-45.98247898542148</v>
      </c>
      <c r="EQ91" s="204">
        <f t="shared" si="171"/>
        <v>-45.98247898542148</v>
      </c>
      <c r="ER91" s="204">
        <f t="shared" si="171"/>
        <v>-45.98247898542148</v>
      </c>
      <c r="ES91" s="204">
        <f t="shared" si="171"/>
        <v>-45.98247898542148</v>
      </c>
      <c r="ET91" s="204">
        <f t="shared" si="171"/>
        <v>-45.98247898542148</v>
      </c>
      <c r="FF91" s="6" t="s">
        <v>3024</v>
      </c>
      <c r="FG91" s="696">
        <v>2.5000000000000001E-2</v>
      </c>
      <c r="FH91" s="696">
        <v>120</v>
      </c>
      <c r="FI91" s="696">
        <v>2.1499999999999998E-2</v>
      </c>
      <c r="FJ91" s="255">
        <v>1.4999999999999999E-2</v>
      </c>
      <c r="FK91" s="71">
        <f t="shared" si="126"/>
        <v>2.3809523809523815E-4</v>
      </c>
      <c r="FL91" t="e">
        <f>VLOOKUP(FF91,'SIMULADOR COM SALDO'!$BX$22:$CK$1000,13,FALSE)</f>
        <v>#N/A</v>
      </c>
    </row>
    <row r="92" spans="7:168" x14ac:dyDescent="0.25">
      <c r="G92" s="205">
        <f t="shared" si="68"/>
        <v>-44.752868811586424</v>
      </c>
      <c r="H92" s="204">
        <f t="shared" ref="H92:BS92" si="172">PV($F46,H$9,1,0)+(PV($J$6,$N$5-(H$9),1,0)/($J$6+1)^H$9)</f>
        <v>-44.754163653471167</v>
      </c>
      <c r="I92" s="204">
        <f t="shared" si="172"/>
        <v>-44.756071277320189</v>
      </c>
      <c r="J92" s="204">
        <f t="shared" si="172"/>
        <v>-44.758569414259661</v>
      </c>
      <c r="K92" s="204">
        <f t="shared" si="172"/>
        <v>-44.761636394880838</v>
      </c>
      <c r="L92" s="204">
        <f t="shared" si="172"/>
        <v>-44.765251134938417</v>
      </c>
      <c r="M92" s="204">
        <f t="shared" si="172"/>
        <v>-44.769393121368388</v>
      </c>
      <c r="N92" s="204">
        <f t="shared" si="172"/>
        <v>-44.77404239861859</v>
      </c>
      <c r="O92" s="204">
        <f t="shared" si="172"/>
        <v>-44.779179555285253</v>
      </c>
      <c r="P92" s="204">
        <f t="shared" si="172"/>
        <v>-44.784785711048855</v>
      </c>
      <c r="Q92" s="204">
        <f t="shared" si="172"/>
        <v>-44.790842503903008</v>
      </c>
      <c r="R92" s="204">
        <f t="shared" si="172"/>
        <v>-44.797332077669921</v>
      </c>
      <c r="S92" s="204">
        <f t="shared" si="172"/>
        <v>-44.804237069796585</v>
      </c>
      <c r="T92" s="204">
        <f t="shared" si="172"/>
        <v>-44.811540599425143</v>
      </c>
      <c r="U92" s="204">
        <f t="shared" si="172"/>
        <v>-44.819226255732048</v>
      </c>
      <c r="V92" s="204">
        <f t="shared" si="172"/>
        <v>-44.827278086529816</v>
      </c>
      <c r="W92" s="204">
        <f t="shared" si="172"/>
        <v>-44.835680587126078</v>
      </c>
      <c r="X92" s="204">
        <f t="shared" si="172"/>
        <v>-44.844418689433979</v>
      </c>
      <c r="Y92" s="204">
        <f t="shared" si="172"/>
        <v>-44.853477751328903</v>
      </c>
      <c r="Z92" s="204">
        <f t="shared" si="172"/>
        <v>-44.86284354624587</v>
      </c>
      <c r="AA92" s="204">
        <f t="shared" si="172"/>
        <v>-44.872502253012641</v>
      </c>
      <c r="AB92" s="204">
        <f t="shared" si="172"/>
        <v>-44.882440445913247</v>
      </c>
      <c r="AC92" s="204">
        <f t="shared" si="172"/>
        <v>-44.892645084977126</v>
      </c>
      <c r="AD92" s="204">
        <f t="shared" si="172"/>
        <v>-44.903103506488804</v>
      </c>
      <c r="AE92" s="204">
        <f t="shared" si="172"/>
        <v>-44.91380341371358</v>
      </c>
      <c r="AF92" s="204">
        <f t="shared" si="172"/>
        <v>-44.924732867834194</v>
      </c>
      <c r="AG92" s="204">
        <f t="shared" si="172"/>
        <v>-44.935880279094221</v>
      </c>
      <c r="AH92" s="204">
        <f t="shared" si="172"/>
        <v>-44.947234398143507</v>
      </c>
      <c r="AI92" s="204">
        <f t="shared" si="172"/>
        <v>-44.958784307581382</v>
      </c>
      <c r="AJ92" s="204">
        <f t="shared" si="172"/>
        <v>-44.970519413693189</v>
      </c>
      <c r="AK92" s="204">
        <f t="shared" si="172"/>
        <v>-44.982429438376137</v>
      </c>
      <c r="AL92" s="204">
        <f t="shared" si="172"/>
        <v>-44.994504411250034</v>
      </c>
      <c r="AM92" s="204">
        <f t="shared" si="172"/>
        <v>-45.006734661949324</v>
      </c>
      <c r="AN92" s="204">
        <f t="shared" si="172"/>
        <v>-45.019110812592018</v>
      </c>
      <c r="AO92" s="204">
        <f t="shared" si="172"/>
        <v>-45.031623770421916</v>
      </c>
      <c r="AP92" s="204">
        <f t="shared" si="172"/>
        <v>-45.044264720620298</v>
      </c>
      <c r="AQ92" s="204">
        <f t="shared" si="172"/>
        <v>-45.057025119283367</v>
      </c>
      <c r="AR92" s="204">
        <f t="shared" si="172"/>
        <v>-45.069896686561741</v>
      </c>
      <c r="AS92" s="204">
        <f t="shared" si="172"/>
        <v>-45.082871399958563</v>
      </c>
      <c r="AT92" s="204">
        <f t="shared" si="172"/>
        <v>-45.095941487782653</v>
      </c>
      <c r="AU92" s="204">
        <f t="shared" si="172"/>
        <v>-45.109099422753481</v>
      </c>
      <c r="AV92" s="204">
        <f t="shared" si="172"/>
        <v>-45.122337915754315</v>
      </c>
      <c r="AW92" s="204">
        <f t="shared" si="172"/>
        <v>-45.13564990973056</v>
      </c>
      <c r="AX92" s="204">
        <f t="shared" si="172"/>
        <v>-45.149028573730071</v>
      </c>
      <c r="AY92" s="204">
        <f t="shared" si="172"/>
        <v>-45.162467297082166</v>
      </c>
      <c r="AZ92" s="204">
        <f t="shared" si="172"/>
        <v>-45.175959683712364</v>
      </c>
      <c r="BA92" s="204">
        <f t="shared" si="172"/>
        <v>-45.18949954659</v>
      </c>
      <c r="BB92" s="204">
        <f t="shared" si="172"/>
        <v>-45.203080902305487</v>
      </c>
      <c r="BC92" s="204">
        <f t="shared" si="172"/>
        <v>-45.216697965774628</v>
      </c>
      <c r="BD92" s="204">
        <f t="shared" si="172"/>
        <v>-45.230345145067105</v>
      </c>
      <c r="BE92" s="204">
        <f t="shared" si="172"/>
        <v>-45.244017036356269</v>
      </c>
      <c r="BF92" s="204">
        <f t="shared" si="172"/>
        <v>-45.257708418987697</v>
      </c>
      <c r="BG92" s="204">
        <f t="shared" si="172"/>
        <v>-45.271414250663952</v>
      </c>
      <c r="BH92" s="204">
        <f t="shared" si="172"/>
        <v>-45.285129662742627</v>
      </c>
      <c r="BI92" s="204">
        <f t="shared" si="172"/>
        <v>-45.298849955645551</v>
      </c>
      <c r="BJ92" s="204">
        <f t="shared" si="172"/>
        <v>-45.312570594376552</v>
      </c>
      <c r="BK92" s="204">
        <f t="shared" si="172"/>
        <v>-45.326287204145238</v>
      </c>
      <c r="BL92" s="204">
        <f t="shared" si="172"/>
        <v>-45.339995566094572</v>
      </c>
      <c r="BM92" s="204">
        <f t="shared" si="172"/>
        <v>-45.353691613129939</v>
      </c>
      <c r="BN92" s="204">
        <f t="shared" si="172"/>
        <v>-45.367371425847388</v>
      </c>
      <c r="BO92" s="204">
        <f t="shared" si="172"/>
        <v>-45.381031228558832</v>
      </c>
      <c r="BP92" s="204">
        <f t="shared" si="172"/>
        <v>-45.394667385412077</v>
      </c>
      <c r="BQ92" s="204">
        <f t="shared" si="172"/>
        <v>-45.408276396603583</v>
      </c>
      <c r="BR92" s="204">
        <f t="shared" si="172"/>
        <v>-45.421854894681793</v>
      </c>
      <c r="BS92" s="204">
        <f t="shared" si="172"/>
        <v>-45.435399640939096</v>
      </c>
      <c r="BT92" s="204">
        <f t="shared" ref="BT92:EE92" si="173">PV($F46,BT$9,1,0)+(PV($J$6,$N$5-(BT$9),1,0)/($J$6+1)^BT$9)</f>
        <v>-45.448907521890398</v>
      </c>
      <c r="BU92" s="204">
        <f t="shared" si="173"/>
        <v>-45.462375545836345</v>
      </c>
      <c r="BV92" s="204">
        <f t="shared" si="173"/>
        <v>-45.475800839509347</v>
      </c>
      <c r="BW92" s="204">
        <f t="shared" si="173"/>
        <v>-45.489180644800491</v>
      </c>
      <c r="BX92" s="204">
        <f t="shared" si="173"/>
        <v>-45.502512315565525</v>
      </c>
      <c r="BY92" s="204">
        <f t="shared" si="173"/>
        <v>-45.515793314508194</v>
      </c>
      <c r="BZ92" s="204">
        <f t="shared" si="173"/>
        <v>-45.529021210139156</v>
      </c>
      <c r="CA92" s="204">
        <f t="shared" si="173"/>
        <v>-45.542193673808676</v>
      </c>
      <c r="CB92" s="204">
        <f t="shared" si="173"/>
        <v>-45.555308476811597</v>
      </c>
      <c r="CC92" s="204">
        <f t="shared" si="173"/>
        <v>-45.56836348756287</v>
      </c>
      <c r="CD92" s="204">
        <f t="shared" si="173"/>
        <v>-45.581356668841984</v>
      </c>
      <c r="CE92" s="204">
        <f t="shared" si="173"/>
        <v>-45.594286075104904</v>
      </c>
      <c r="CF92" s="204">
        <f t="shared" si="173"/>
        <v>-45.607149849861784</v>
      </c>
      <c r="CG92" s="204">
        <f t="shared" si="173"/>
        <v>-45.619946223119165</v>
      </c>
      <c r="CH92" s="204">
        <f t="shared" si="173"/>
        <v>-45.632673508884999</v>
      </c>
      <c r="CI92" s="204">
        <f t="shared" si="173"/>
        <v>-45.645330102735215</v>
      </c>
      <c r="CJ92" s="204">
        <f t="shared" si="173"/>
        <v>-45.657914479440372</v>
      </c>
      <c r="CK92" s="204">
        <f t="shared" si="173"/>
        <v>-45.670425190651009</v>
      </c>
      <c r="CL92" s="204">
        <f t="shared" si="173"/>
        <v>-45.682860862640368</v>
      </c>
      <c r="CM92" s="204">
        <f t="shared" si="173"/>
        <v>-45.695220194103292</v>
      </c>
      <c r="CN92" s="204">
        <f t="shared" si="173"/>
        <v>-45.707501954009707</v>
      </c>
      <c r="CO92" s="204">
        <f t="shared" si="173"/>
        <v>-45.719704979511839</v>
      </c>
      <c r="CP92" s="204">
        <f t="shared" si="173"/>
        <v>-45.731828173903608</v>
      </c>
      <c r="CQ92" s="204">
        <f t="shared" si="173"/>
        <v>-45.743870504631182</v>
      </c>
      <c r="CR92" s="204">
        <f t="shared" si="173"/>
        <v>-45.755831001353499</v>
      </c>
      <c r="CS92" s="204">
        <f t="shared" si="173"/>
        <v>-45.767708754051405</v>
      </c>
      <c r="CT92" s="204">
        <f t="shared" si="173"/>
        <v>-45.779502911184693</v>
      </c>
      <c r="CU92" s="204">
        <f t="shared" si="173"/>
        <v>-45.791212677895516</v>
      </c>
      <c r="CV92" s="204">
        <f t="shared" si="173"/>
        <v>-45.802837314257367</v>
      </c>
      <c r="CW92" s="204">
        <f t="shared" si="173"/>
        <v>-45.814376133568466</v>
      </c>
      <c r="CX92" s="204">
        <f t="shared" si="173"/>
        <v>-45.825828500688573</v>
      </c>
      <c r="CY92" s="204">
        <f t="shared" si="173"/>
        <v>-45.825828500688573</v>
      </c>
      <c r="CZ92" s="204">
        <f t="shared" si="173"/>
        <v>-45.825828500688573</v>
      </c>
      <c r="DA92" s="204">
        <f t="shared" si="173"/>
        <v>-45.825828500688573</v>
      </c>
      <c r="DB92" s="204">
        <f t="shared" si="173"/>
        <v>-45.825828500688573</v>
      </c>
      <c r="DC92" s="204">
        <f t="shared" si="173"/>
        <v>-45.825828500688573</v>
      </c>
      <c r="DD92" s="204">
        <f t="shared" si="173"/>
        <v>-45.825828500688573</v>
      </c>
      <c r="DE92" s="204">
        <f t="shared" si="173"/>
        <v>-45.825828500688573</v>
      </c>
      <c r="DF92" s="204">
        <f t="shared" si="173"/>
        <v>-45.825828500688573</v>
      </c>
      <c r="DG92" s="204">
        <f t="shared" si="173"/>
        <v>-45.825828500688573</v>
      </c>
      <c r="DH92" s="204">
        <f t="shared" si="173"/>
        <v>-45.825828500688573</v>
      </c>
      <c r="DI92" s="204">
        <f t="shared" si="173"/>
        <v>-45.825828500688573</v>
      </c>
      <c r="DJ92" s="204">
        <f t="shared" si="173"/>
        <v>-45.825828500688573</v>
      </c>
      <c r="DK92" s="204">
        <f t="shared" si="173"/>
        <v>-45.825828500688573</v>
      </c>
      <c r="DL92" s="204">
        <f t="shared" si="173"/>
        <v>-45.825828500688573</v>
      </c>
      <c r="DM92" s="204">
        <f t="shared" si="173"/>
        <v>-45.825828500688573</v>
      </c>
      <c r="DN92" s="204">
        <f t="shared" si="173"/>
        <v>-45.825828500688573</v>
      </c>
      <c r="DO92" s="204">
        <f t="shared" si="173"/>
        <v>-45.825828500688573</v>
      </c>
      <c r="DP92" s="204">
        <f t="shared" si="173"/>
        <v>-45.825828500688573</v>
      </c>
      <c r="DQ92" s="204">
        <f t="shared" si="173"/>
        <v>-45.825828500688573</v>
      </c>
      <c r="DR92" s="204">
        <f t="shared" si="173"/>
        <v>-45.825828500688573</v>
      </c>
      <c r="DS92" s="204">
        <f t="shared" si="173"/>
        <v>-45.825828500688573</v>
      </c>
      <c r="DT92" s="204">
        <f t="shared" si="173"/>
        <v>-45.825828500688573</v>
      </c>
      <c r="DU92" s="204">
        <f t="shared" si="173"/>
        <v>-45.825828500688573</v>
      </c>
      <c r="DV92" s="204">
        <f t="shared" si="173"/>
        <v>-45.825828500688573</v>
      </c>
      <c r="DW92" s="204">
        <f t="shared" si="173"/>
        <v>-45.825828500688573</v>
      </c>
      <c r="DX92" s="204">
        <f t="shared" si="173"/>
        <v>-45.825828500688573</v>
      </c>
      <c r="DY92" s="204">
        <f t="shared" si="173"/>
        <v>-45.825828500688573</v>
      </c>
      <c r="DZ92" s="204">
        <f t="shared" si="173"/>
        <v>-45.825828500688573</v>
      </c>
      <c r="EA92" s="204">
        <f t="shared" si="173"/>
        <v>-45.825828500688573</v>
      </c>
      <c r="EB92" s="204">
        <f t="shared" si="173"/>
        <v>-45.825828500688573</v>
      </c>
      <c r="EC92" s="204">
        <f t="shared" si="173"/>
        <v>-45.825828500688573</v>
      </c>
      <c r="ED92" s="204">
        <f t="shared" si="173"/>
        <v>-45.825828500688573</v>
      </c>
      <c r="EE92" s="204">
        <f t="shared" si="173"/>
        <v>-45.825828500688573</v>
      </c>
      <c r="EF92" s="204">
        <f t="shared" ref="EF92:ET92" si="174">PV($F46,EF$9,1,0)+(PV($J$6,$N$5-(EF$9),1,0)/($J$6+1)^EF$9)</f>
        <v>-45.825828500688573</v>
      </c>
      <c r="EG92" s="204">
        <f t="shared" si="174"/>
        <v>-45.825828500688573</v>
      </c>
      <c r="EH92" s="204">
        <f t="shared" si="174"/>
        <v>-45.825828500688573</v>
      </c>
      <c r="EI92" s="204">
        <f t="shared" si="174"/>
        <v>-45.825828500688573</v>
      </c>
      <c r="EJ92" s="204">
        <f t="shared" si="174"/>
        <v>-45.825828500688573</v>
      </c>
      <c r="EK92" s="204">
        <f t="shared" si="174"/>
        <v>-45.825828500688573</v>
      </c>
      <c r="EL92" s="204">
        <f t="shared" si="174"/>
        <v>-45.825828500688573</v>
      </c>
      <c r="EM92" s="204">
        <f t="shared" si="174"/>
        <v>-45.825828500688573</v>
      </c>
      <c r="EN92" s="204">
        <f t="shared" si="174"/>
        <v>-45.825828500688573</v>
      </c>
      <c r="EO92" s="204">
        <f t="shared" si="174"/>
        <v>-45.825828500688573</v>
      </c>
      <c r="EP92" s="204">
        <f t="shared" si="174"/>
        <v>-45.825828500688573</v>
      </c>
      <c r="EQ92" s="204">
        <f t="shared" si="174"/>
        <v>-45.825828500688573</v>
      </c>
      <c r="ER92" s="204">
        <f t="shared" si="174"/>
        <v>-45.825828500688573</v>
      </c>
      <c r="ES92" s="204">
        <f t="shared" si="174"/>
        <v>-45.825828500688573</v>
      </c>
      <c r="ET92" s="204">
        <f t="shared" si="174"/>
        <v>-45.825828500688573</v>
      </c>
      <c r="FF92" s="67" t="s">
        <v>218</v>
      </c>
      <c r="FG92" s="696">
        <v>2.5000000000000001E-2</v>
      </c>
      <c r="FH92" s="696">
        <v>120</v>
      </c>
      <c r="FI92" s="696">
        <v>1.9E-2</v>
      </c>
      <c r="FJ92" s="255">
        <v>1.3999999999999999E-2</v>
      </c>
      <c r="FK92" s="71">
        <f t="shared" si="126"/>
        <v>2.6190476190476197E-4</v>
      </c>
      <c r="FL92" t="e">
        <f>VLOOKUP(FF92,'SIMULADOR COM SALDO'!$BX$22:$CK$1000,13,FALSE)</f>
        <v>#N/A</v>
      </c>
    </row>
    <row r="93" spans="7:168" x14ac:dyDescent="0.25">
      <c r="G93" s="205">
        <f t="shared" si="68"/>
        <v>-44.752774589265286</v>
      </c>
      <c r="H93" s="204">
        <f t="shared" ref="H93:BS93" si="175">PV($F47,H$9,1,0)+(PV($J$6,$N$5-(H$9),1,0)/($J$6+1)^H$9)</f>
        <v>-44.753884294069415</v>
      </c>
      <c r="I93" s="204">
        <f t="shared" si="175"/>
        <v>-44.755519086558841</v>
      </c>
      <c r="J93" s="204">
        <f t="shared" si="175"/>
        <v>-44.757659833296906</v>
      </c>
      <c r="K93" s="204">
        <f t="shared" si="175"/>
        <v>-44.760287917262048</v>
      </c>
      <c r="L93" s="204">
        <f t="shared" si="175"/>
        <v>-44.763385225495469</v>
      </c>
      <c r="M93" s="204">
        <f t="shared" si="175"/>
        <v>-44.766934137025729</v>
      </c>
      <c r="N93" s="204">
        <f t="shared" si="175"/>
        <v>-44.770917511063843</v>
      </c>
      <c r="O93" s="204">
        <f t="shared" si="175"/>
        <v>-44.77531867546351</v>
      </c>
      <c r="P93" s="204">
        <f t="shared" si="175"/>
        <v>-44.780121415440256</v>
      </c>
      <c r="Q93" s="204">
        <f t="shared" si="175"/>
        <v>-44.785309962544517</v>
      </c>
      <c r="R93" s="204">
        <f t="shared" si="175"/>
        <v>-44.790868983882547</v>
      </c>
      <c r="S93" s="204">
        <f t="shared" si="175"/>
        <v>-44.796783571580519</v>
      </c>
      <c r="T93" s="204">
        <f t="shared" si="175"/>
        <v>-44.803039232485794</v>
      </c>
      <c r="U93" s="204">
        <f t="shared" si="175"/>
        <v>-44.809621878100941</v>
      </c>
      <c r="V93" s="204">
        <f t="shared" si="175"/>
        <v>-44.816517814744984</v>
      </c>
      <c r="W93" s="204">
        <f t="shared" si="175"/>
        <v>-44.823713733937318</v>
      </c>
      <c r="X93" s="204">
        <f t="shared" si="175"/>
        <v>-44.831196702999108</v>
      </c>
      <c r="Y93" s="204">
        <f t="shared" si="175"/>
        <v>-44.838954155867903</v>
      </c>
      <c r="Z93" s="204">
        <f t="shared" si="175"/>
        <v>-44.846973884120402</v>
      </c>
      <c r="AA93" s="204">
        <f t="shared" si="175"/>
        <v>-44.855244028199294</v>
      </c>
      <c r="AB93" s="204">
        <f t="shared" si="175"/>
        <v>-44.863753068839301</v>
      </c>
      <c r="AC93" s="204">
        <f t="shared" si="175"/>
        <v>-44.872489818688507</v>
      </c>
      <c r="AD93" s="204">
        <f t="shared" si="175"/>
        <v>-44.881443414120476</v>
      </c>
      <c r="AE93" s="204">
        <f t="shared" si="175"/>
        <v>-44.890603307233093</v>
      </c>
      <c r="AF93" s="204">
        <f t="shared" si="175"/>
        <v>-44.899959258030094</v>
      </c>
      <c r="AG93" s="204">
        <f t="shared" si="175"/>
        <v>-44.909501326781182</v>
      </c>
      <c r="AH93" s="204">
        <f t="shared" si="175"/>
        <v>-44.919219866557142</v>
      </c>
      <c r="AI93" s="204">
        <f t="shared" si="175"/>
        <v>-44.929105515935724</v>
      </c>
      <c r="AJ93" s="204">
        <f t="shared" si="175"/>
        <v>-44.939149191874911</v>
      </c>
      <c r="AK93" s="204">
        <f t="shared" si="175"/>
        <v>-44.949342082749766</v>
      </c>
      <c r="AL93" s="204">
        <f t="shared" si="175"/>
        <v>-44.959675641549254</v>
      </c>
      <c r="AM93" s="204">
        <f t="shared" si="175"/>
        <v>-44.970141579229747</v>
      </c>
      <c r="AN93" s="204">
        <f t="shared" si="175"/>
        <v>-44.980731858221461</v>
      </c>
      <c r="AO93" s="204">
        <f t="shared" si="175"/>
        <v>-44.99143868608477</v>
      </c>
      <c r="AP93" s="204">
        <f t="shared" si="175"/>
        <v>-45.002254509312984</v>
      </c>
      <c r="AQ93" s="204">
        <f t="shared" si="175"/>
        <v>-45.013172007278392</v>
      </c>
      <c r="AR93" s="204">
        <f t="shared" si="175"/>
        <v>-45.0241840863184</v>
      </c>
      <c r="AS93" s="204">
        <f t="shared" si="175"/>
        <v>-45.035283873958797</v>
      </c>
      <c r="AT93" s="204">
        <f t="shared" si="175"/>
        <v>-45.04646471327095</v>
      </c>
      <c r="AU93" s="204">
        <f t="shared" si="175"/>
        <v>-45.057720157360251</v>
      </c>
      <c r="AV93" s="204">
        <f t="shared" si="175"/>
        <v>-45.069043963982594</v>
      </c>
      <c r="AW93" s="204">
        <f t="shared" si="175"/>
        <v>-45.080430090286377</v>
      </c>
      <c r="AX93" s="204">
        <f t="shared" si="175"/>
        <v>-45.091872687677068</v>
      </c>
      <c r="AY93" s="204">
        <f t="shared" si="175"/>
        <v>-45.1033660968017</v>
      </c>
      <c r="AZ93" s="204">
        <f t="shared" si="175"/>
        <v>-45.114904842650617</v>
      </c>
      <c r="BA93" s="204">
        <f t="shared" si="175"/>
        <v>-45.126483629773951</v>
      </c>
      <c r="BB93" s="204">
        <f t="shared" si="175"/>
        <v>-45.138097337610191</v>
      </c>
      <c r="BC93" s="204">
        <f t="shared" si="175"/>
        <v>-45.149741015924477</v>
      </c>
      <c r="BD93" s="204">
        <f t="shared" si="175"/>
        <v>-45.161409880354029</v>
      </c>
      <c r="BE93" s="204">
        <f t="shared" si="175"/>
        <v>-45.173099308058553</v>
      </c>
      <c r="BF93" s="204">
        <f t="shared" si="175"/>
        <v>-45.184804833473059</v>
      </c>
      <c r="BG93" s="204">
        <f t="shared" si="175"/>
        <v>-45.196522144161122</v>
      </c>
      <c r="BH93" s="204">
        <f t="shared" si="175"/>
        <v>-45.2082470767659</v>
      </c>
      <c r="BI93" s="204">
        <f t="shared" si="175"/>
        <v>-45.219975613057251</v>
      </c>
      <c r="BJ93" s="204">
        <f t="shared" si="175"/>
        <v>-45.231703876072402</v>
      </c>
      <c r="BK93" s="204">
        <f t="shared" si="175"/>
        <v>-45.243428126348391</v>
      </c>
      <c r="BL93" s="204">
        <f t="shared" si="175"/>
        <v>-45.25514475824388</v>
      </c>
      <c r="BM93" s="204">
        <f t="shared" si="175"/>
        <v>-45.266850296348792</v>
      </c>
      <c r="BN93" s="204">
        <f t="shared" si="175"/>
        <v>-45.27854139197941</v>
      </c>
      <c r="BO93" s="204">
        <f t="shared" si="175"/>
        <v>-45.290214819757225</v>
      </c>
      <c r="BP93" s="204">
        <f t="shared" si="175"/>
        <v>-45.301867474269706</v>
      </c>
      <c r="BQ93" s="204">
        <f t="shared" si="175"/>
        <v>-45.313496366810931</v>
      </c>
      <c r="BR93" s="204">
        <f t="shared" si="175"/>
        <v>-45.325098622200571</v>
      </c>
      <c r="BS93" s="204">
        <f t="shared" si="175"/>
        <v>-45.336671475679253</v>
      </c>
      <c r="BT93" s="204">
        <f t="shared" ref="BT93:EE93" si="176">PV($F47,BT$9,1,0)+(PV($J$6,$N$5-(BT$9),1,0)/($J$6+1)^BT$9)</f>
        <v>-45.348212269878651</v>
      </c>
      <c r="BU93" s="204">
        <f t="shared" si="176"/>
        <v>-45.35971845186473</v>
      </c>
      <c r="BV93" s="204">
        <f t="shared" si="176"/>
        <v>-45.371187570252246</v>
      </c>
      <c r="BW93" s="204">
        <f t="shared" si="176"/>
        <v>-45.382617272389268</v>
      </c>
      <c r="BX93" s="204">
        <f t="shared" si="176"/>
        <v>-45.394005301609695</v>
      </c>
      <c r="BY93" s="204">
        <f t="shared" si="176"/>
        <v>-45.405349494552667</v>
      </c>
      <c r="BZ93" s="204">
        <f t="shared" si="176"/>
        <v>-45.416647778547031</v>
      </c>
      <c r="CA93" s="204">
        <f t="shared" si="176"/>
        <v>-45.427898169059588</v>
      </c>
      <c r="CB93" s="204">
        <f t="shared" si="176"/>
        <v>-45.439098767205557</v>
      </c>
      <c r="CC93" s="204">
        <f t="shared" si="176"/>
        <v>-45.450247757319978</v>
      </c>
      <c r="CD93" s="204">
        <f t="shared" si="176"/>
        <v>-45.461343404588433</v>
      </c>
      <c r="CE93" s="204">
        <f t="shared" si="176"/>
        <v>-45.472384052736125</v>
      </c>
      <c r="CF93" s="204">
        <f t="shared" si="176"/>
        <v>-45.48336812177353</v>
      </c>
      <c r="CG93" s="204">
        <f t="shared" si="176"/>
        <v>-45.494294105797735</v>
      </c>
      <c r="CH93" s="204">
        <f t="shared" si="176"/>
        <v>-45.505160570847906</v>
      </c>
      <c r="CI93" s="204">
        <f t="shared" si="176"/>
        <v>-45.515966152813839</v>
      </c>
      <c r="CJ93" s="204">
        <f t="shared" si="176"/>
        <v>-45.52670955539628</v>
      </c>
      <c r="CK93" s="204">
        <f t="shared" si="176"/>
        <v>-45.537389548117879</v>
      </c>
      <c r="CL93" s="204">
        <f t="shared" si="176"/>
        <v>-45.548004964383516</v>
      </c>
      <c r="CM93" s="204">
        <f t="shared" si="176"/>
        <v>-45.558554699589145</v>
      </c>
      <c r="CN93" s="204">
        <f t="shared" si="176"/>
        <v>-45.569037709277637</v>
      </c>
      <c r="CO93" s="204">
        <f t="shared" si="176"/>
        <v>-45.579453007340888</v>
      </c>
      <c r="CP93" s="204">
        <f t="shared" si="176"/>
        <v>-45.589799664266963</v>
      </c>
      <c r="CQ93" s="204">
        <f t="shared" si="176"/>
        <v>-45.600076805431279</v>
      </c>
      <c r="CR93" s="204">
        <f t="shared" si="176"/>
        <v>-45.610283609430795</v>
      </c>
      <c r="CS93" s="204">
        <f t="shared" si="176"/>
        <v>-45.620419306460249</v>
      </c>
      <c r="CT93" s="204">
        <f t="shared" si="176"/>
        <v>-45.630483176729427</v>
      </c>
      <c r="CU93" s="204">
        <f t="shared" si="176"/>
        <v>-45.640474548920572</v>
      </c>
      <c r="CV93" s="204">
        <f t="shared" si="176"/>
        <v>-45.650392798684976</v>
      </c>
      <c r="CW93" s="204">
        <f t="shared" si="176"/>
        <v>-45.660237347177791</v>
      </c>
      <c r="CX93" s="204">
        <f t="shared" si="176"/>
        <v>-45.670007659630265</v>
      </c>
      <c r="CY93" s="204">
        <f t="shared" si="176"/>
        <v>-45.670007659630265</v>
      </c>
      <c r="CZ93" s="204">
        <f t="shared" si="176"/>
        <v>-45.670007659630265</v>
      </c>
      <c r="DA93" s="204">
        <f t="shared" si="176"/>
        <v>-45.670007659630265</v>
      </c>
      <c r="DB93" s="204">
        <f t="shared" si="176"/>
        <v>-45.670007659630265</v>
      </c>
      <c r="DC93" s="204">
        <f t="shared" si="176"/>
        <v>-45.670007659630265</v>
      </c>
      <c r="DD93" s="204">
        <f t="shared" si="176"/>
        <v>-45.670007659630265</v>
      </c>
      <c r="DE93" s="204">
        <f t="shared" si="176"/>
        <v>-45.670007659630265</v>
      </c>
      <c r="DF93" s="204">
        <f t="shared" si="176"/>
        <v>-45.670007659630265</v>
      </c>
      <c r="DG93" s="204">
        <f t="shared" si="176"/>
        <v>-45.670007659630265</v>
      </c>
      <c r="DH93" s="204">
        <f t="shared" si="176"/>
        <v>-45.670007659630265</v>
      </c>
      <c r="DI93" s="204">
        <f t="shared" si="176"/>
        <v>-45.670007659630265</v>
      </c>
      <c r="DJ93" s="204">
        <f t="shared" si="176"/>
        <v>-45.670007659630265</v>
      </c>
      <c r="DK93" s="204">
        <f t="shared" si="176"/>
        <v>-45.670007659630265</v>
      </c>
      <c r="DL93" s="204">
        <f t="shared" si="176"/>
        <v>-45.670007659630265</v>
      </c>
      <c r="DM93" s="204">
        <f t="shared" si="176"/>
        <v>-45.670007659630265</v>
      </c>
      <c r="DN93" s="204">
        <f t="shared" si="176"/>
        <v>-45.670007659630265</v>
      </c>
      <c r="DO93" s="204">
        <f t="shared" si="176"/>
        <v>-45.670007659630265</v>
      </c>
      <c r="DP93" s="204">
        <f t="shared" si="176"/>
        <v>-45.670007659630265</v>
      </c>
      <c r="DQ93" s="204">
        <f t="shared" si="176"/>
        <v>-45.670007659630265</v>
      </c>
      <c r="DR93" s="204">
        <f t="shared" si="176"/>
        <v>-45.670007659630265</v>
      </c>
      <c r="DS93" s="204">
        <f t="shared" si="176"/>
        <v>-45.670007659630265</v>
      </c>
      <c r="DT93" s="204">
        <f t="shared" si="176"/>
        <v>-45.670007659630265</v>
      </c>
      <c r="DU93" s="204">
        <f t="shared" si="176"/>
        <v>-45.670007659630265</v>
      </c>
      <c r="DV93" s="204">
        <f t="shared" si="176"/>
        <v>-45.670007659630265</v>
      </c>
      <c r="DW93" s="204">
        <f t="shared" si="176"/>
        <v>-45.670007659630265</v>
      </c>
      <c r="DX93" s="204">
        <f t="shared" si="176"/>
        <v>-45.670007659630265</v>
      </c>
      <c r="DY93" s="204">
        <f t="shared" si="176"/>
        <v>-45.670007659630265</v>
      </c>
      <c r="DZ93" s="204">
        <f t="shared" si="176"/>
        <v>-45.670007659630265</v>
      </c>
      <c r="EA93" s="204">
        <f t="shared" si="176"/>
        <v>-45.670007659630265</v>
      </c>
      <c r="EB93" s="204">
        <f t="shared" si="176"/>
        <v>-45.670007659630265</v>
      </c>
      <c r="EC93" s="204">
        <f t="shared" si="176"/>
        <v>-45.670007659630265</v>
      </c>
      <c r="ED93" s="204">
        <f t="shared" si="176"/>
        <v>-45.670007659630265</v>
      </c>
      <c r="EE93" s="204">
        <f t="shared" si="176"/>
        <v>-45.670007659630265</v>
      </c>
      <c r="EF93" s="204">
        <f t="shared" ref="EF93:ET93" si="177">PV($F47,EF$9,1,0)+(PV($J$6,$N$5-(EF$9),1,0)/($J$6+1)^EF$9)</f>
        <v>-45.670007659630265</v>
      </c>
      <c r="EG93" s="204">
        <f t="shared" si="177"/>
        <v>-45.670007659630265</v>
      </c>
      <c r="EH93" s="204">
        <f t="shared" si="177"/>
        <v>-45.670007659630265</v>
      </c>
      <c r="EI93" s="204">
        <f t="shared" si="177"/>
        <v>-45.670007659630265</v>
      </c>
      <c r="EJ93" s="204">
        <f t="shared" si="177"/>
        <v>-45.670007659630265</v>
      </c>
      <c r="EK93" s="204">
        <f t="shared" si="177"/>
        <v>-45.670007659630265</v>
      </c>
      <c r="EL93" s="204">
        <f t="shared" si="177"/>
        <v>-45.670007659630265</v>
      </c>
      <c r="EM93" s="204">
        <f t="shared" si="177"/>
        <v>-45.670007659630265</v>
      </c>
      <c r="EN93" s="204">
        <f t="shared" si="177"/>
        <v>-45.670007659630265</v>
      </c>
      <c r="EO93" s="204">
        <f t="shared" si="177"/>
        <v>-45.670007659630265</v>
      </c>
      <c r="EP93" s="204">
        <f t="shared" si="177"/>
        <v>-45.670007659630265</v>
      </c>
      <c r="EQ93" s="204">
        <f t="shared" si="177"/>
        <v>-45.670007659630265</v>
      </c>
      <c r="ER93" s="204">
        <f t="shared" si="177"/>
        <v>-45.670007659630265</v>
      </c>
      <c r="ES93" s="204">
        <f t="shared" si="177"/>
        <v>-45.670007659630265</v>
      </c>
      <c r="ET93" s="204">
        <f t="shared" si="177"/>
        <v>-45.670007659630265</v>
      </c>
      <c r="FF93" s="6" t="s">
        <v>3343</v>
      </c>
      <c r="FG93" s="696">
        <v>2.5000000000000001E-2</v>
      </c>
      <c r="FH93" s="696">
        <v>120</v>
      </c>
      <c r="FI93" s="696">
        <v>1.6799999999999999E-2</v>
      </c>
      <c r="FJ93" s="255">
        <v>1.4199999999999999E-2</v>
      </c>
      <c r="FK93" s="71">
        <f t="shared" si="126"/>
        <v>2.5714285714285721E-4</v>
      </c>
      <c r="FL93" t="e">
        <f>VLOOKUP(FF93,'SIMULADOR COM SALDO'!$BX$22:$CK$1000,13,FALSE)</f>
        <v>#N/A</v>
      </c>
    </row>
    <row r="94" spans="7:168" x14ac:dyDescent="0.25">
      <c r="G94" s="205">
        <f t="shared" si="68"/>
        <v>-44.752680385014443</v>
      </c>
      <c r="H94" s="204">
        <f t="shared" ref="H94:BS94" si="178">PV($F48,H$9,1,0)+(PV($J$6,$N$5-(H$9),1,0)/($J$6+1)^H$9)</f>
        <v>-44.753605005994821</v>
      </c>
      <c r="I94" s="204">
        <f t="shared" si="178"/>
        <v>-44.754967071763815</v>
      </c>
      <c r="J94" s="204">
        <f t="shared" si="178"/>
        <v>-44.756750599629875</v>
      </c>
      <c r="K94" s="204">
        <f t="shared" si="178"/>
        <v>-44.758940039410206</v>
      </c>
      <c r="L94" s="204">
        <f t="shared" si="178"/>
        <v>-44.761520263058692</v>
      </c>
      <c r="M94" s="204">
        <f t="shared" si="178"/>
        <v>-44.764476554526773</v>
      </c>
      <c r="N94" s="204">
        <f t="shared" si="178"/>
        <v>-44.767794599852202</v>
      </c>
      <c r="O94" s="204">
        <f t="shared" si="178"/>
        <v>-44.771460477470818</v>
      </c>
      <c r="P94" s="204">
        <f t="shared" si="178"/>
        <v>-44.775460648746417</v>
      </c>
      <c r="Q94" s="204">
        <f t="shared" si="178"/>
        <v>-44.779781948714209</v>
      </c>
      <c r="R94" s="204">
        <f t="shared" si="178"/>
        <v>-44.784411577032905</v>
      </c>
      <c r="S94" s="204">
        <f t="shared" si="178"/>
        <v>-44.789337089141455</v>
      </c>
      <c r="T94" s="204">
        <f t="shared" si="178"/>
        <v>-44.794546387615426</v>
      </c>
      <c r="U94" s="204">
        <f t="shared" si="178"/>
        <v>-44.800027713719132</v>
      </c>
      <c r="V94" s="204">
        <f t="shared" si="178"/>
        <v>-44.805769639149027</v>
      </c>
      <c r="W94" s="204">
        <f t="shared" si="178"/>
        <v>-44.811761057964389</v>
      </c>
      <c r="X94" s="204">
        <f t="shared" si="178"/>
        <v>-44.817991178701071</v>
      </c>
      <c r="Y94" s="204">
        <f t="shared" si="178"/>
        <v>-44.824449516664529</v>
      </c>
      <c r="Z94" s="204">
        <f t="shared" si="178"/>
        <v>-44.831125886397999</v>
      </c>
      <c r="AA94" s="204">
        <f t="shared" si="178"/>
        <v>-44.838010394322325</v>
      </c>
      <c r="AB94" s="204">
        <f t="shared" si="178"/>
        <v>-44.84509343154339</v>
      </c>
      <c r="AC94" s="204">
        <f t="shared" si="178"/>
        <v>-44.852365666823701</v>
      </c>
      <c r="AD94" s="204">
        <f t="shared" si="178"/>
        <v>-44.859818039714497</v>
      </c>
      <c r="AE94" s="204">
        <f t="shared" si="178"/>
        <v>-44.867441753844915</v>
      </c>
      <c r="AF94" s="204">
        <f t="shared" si="178"/>
        <v>-44.875228270364772</v>
      </c>
      <c r="AG94" s="204">
        <f t="shared" si="178"/>
        <v>-44.883169301537436</v>
      </c>
      <c r="AH94" s="204">
        <f t="shared" si="178"/>
        <v>-44.891256804479951</v>
      </c>
      <c r="AI94" s="204">
        <f t="shared" si="178"/>
        <v>-44.899482975046709</v>
      </c>
      <c r="AJ94" s="204">
        <f t="shared" si="178"/>
        <v>-44.907840241853847</v>
      </c>
      <c r="AK94" s="204">
        <f t="shared" si="178"/>
        <v>-44.916321260441109</v>
      </c>
      <c r="AL94" s="204">
        <f t="shared" si="178"/>
        <v>-44.924918907568326</v>
      </c>
      <c r="AM94" s="204">
        <f t="shared" si="178"/>
        <v>-44.933626275643448</v>
      </c>
      <c r="AN94" s="204">
        <f t="shared" si="178"/>
        <v>-44.942436667279225</v>
      </c>
      <c r="AO94" s="204">
        <f t="shared" si="178"/>
        <v>-44.951343589975878</v>
      </c>
      <c r="AP94" s="204">
        <f t="shared" si="178"/>
        <v>-44.960340750926719</v>
      </c>
      <c r="AQ94" s="204">
        <f t="shared" si="178"/>
        <v>-44.969422051944385</v>
      </c>
      <c r="AR94" s="204">
        <f t="shared" si="178"/>
        <v>-44.978581584504596</v>
      </c>
      <c r="AS94" s="204">
        <f t="shared" si="178"/>
        <v>-44.987813624905314</v>
      </c>
      <c r="AT94" s="204">
        <f t="shared" si="178"/>
        <v>-44.9971126295383</v>
      </c>
      <c r="AU94" s="204">
        <f t="shared" si="178"/>
        <v>-45.006473230271041</v>
      </c>
      <c r="AV94" s="204">
        <f t="shared" si="178"/>
        <v>-45.015890229936211</v>
      </c>
      <c r="AW94" s="204">
        <f t="shared" si="178"/>
        <v>-45.025358597926584</v>
      </c>
      <c r="AX94" s="204">
        <f t="shared" si="178"/>
        <v>-45.034873465892886</v>
      </c>
      <c r="AY94" s="204">
        <f t="shared" si="178"/>
        <v>-45.044430123542448</v>
      </c>
      <c r="AZ94" s="204">
        <f t="shared" si="178"/>
        <v>-45.05402401453631</v>
      </c>
      <c r="BA94" s="204">
        <f t="shared" si="178"/>
        <v>-45.063650732482671</v>
      </c>
      <c r="BB94" s="204">
        <f t="shared" si="178"/>
        <v>-45.073306017024478</v>
      </c>
      <c r="BC94" s="204">
        <f t="shared" si="178"/>
        <v>-45.082985750019233</v>
      </c>
      <c r="BD94" s="204">
        <f t="shared" si="178"/>
        <v>-45.092685951808718</v>
      </c>
      <c r="BE94" s="204">
        <f t="shared" si="178"/>
        <v>-45.102402777576785</v>
      </c>
      <c r="BF94" s="204">
        <f t="shared" si="178"/>
        <v>-45.112132513793348</v>
      </c>
      <c r="BG94" s="204">
        <f t="shared" si="178"/>
        <v>-45.121871574742471</v>
      </c>
      <c r="BH94" s="204">
        <f t="shared" si="178"/>
        <v>-45.131616499132726</v>
      </c>
      <c r="BI94" s="204">
        <f t="shared" si="178"/>
        <v>-45.141363946788054</v>
      </c>
      <c r="BJ94" s="204">
        <f t="shared" si="178"/>
        <v>-45.15111069541733</v>
      </c>
      <c r="BK94" s="204">
        <f t="shared" si="178"/>
        <v>-45.160853637460797</v>
      </c>
      <c r="BL94" s="204">
        <f t="shared" si="178"/>
        <v>-45.170589777011671</v>
      </c>
      <c r="BM94" s="204">
        <f t="shared" si="178"/>
        <v>-45.180316226811307</v>
      </c>
      <c r="BN94" s="204">
        <f t="shared" si="178"/>
        <v>-45.190030205316212</v>
      </c>
      <c r="BO94" s="204">
        <f t="shared" si="178"/>
        <v>-45.199729033835254</v>
      </c>
      <c r="BP94" s="204">
        <f t="shared" si="178"/>
        <v>-45.209410133735673</v>
      </c>
      <c r="BQ94" s="204">
        <f t="shared" si="178"/>
        <v>-45.219071023716083</v>
      </c>
      <c r="BR94" s="204">
        <f t="shared" si="178"/>
        <v>-45.228709317145174</v>
      </c>
      <c r="BS94" s="204">
        <f t="shared" si="178"/>
        <v>-45.238322719464577</v>
      </c>
      <c r="BT94" s="204">
        <f t="shared" ref="BT94:EE94" si="179">PV($F48,BT$9,1,0)+(PV($J$6,$N$5-(BT$9),1,0)/($J$6+1)^BT$9)</f>
        <v>-45.247909025654344</v>
      </c>
      <c r="BU94" s="204">
        <f t="shared" si="179"/>
        <v>-45.257466117759847</v>
      </c>
      <c r="BV94" s="204">
        <f t="shared" si="179"/>
        <v>-45.26699196247845</v>
      </c>
      <c r="BW94" s="204">
        <f t="shared" si="179"/>
        <v>-45.276484608804829</v>
      </c>
      <c r="BX94" s="204">
        <f t="shared" si="179"/>
        <v>-45.285942185733447</v>
      </c>
      <c r="BY94" s="204">
        <f t="shared" si="179"/>
        <v>-45.295362900017025</v>
      </c>
      <c r="BZ94" s="204">
        <f t="shared" si="179"/>
        <v>-45.304745033979671</v>
      </c>
      <c r="CA94" s="204">
        <f t="shared" si="179"/>
        <v>-45.314086943383373</v>
      </c>
      <c r="CB94" s="204">
        <f t="shared" si="179"/>
        <v>-45.323387055346757</v>
      </c>
      <c r="CC94" s="204">
        <f t="shared" si="179"/>
        <v>-45.332643866314896</v>
      </c>
      <c r="CD94" s="204">
        <f t="shared" si="179"/>
        <v>-45.341855940078901</v>
      </c>
      <c r="CE94" s="204">
        <f t="shared" si="179"/>
        <v>-45.351021905844334</v>
      </c>
      <c r="CF94" s="204">
        <f t="shared" si="179"/>
        <v>-45.360140456347182</v>
      </c>
      <c r="CG94" s="204">
        <f t="shared" si="179"/>
        <v>-45.369210346016374</v>
      </c>
      <c r="CH94" s="204">
        <f t="shared" si="179"/>
        <v>-45.378230389181759</v>
      </c>
      <c r="CI94" s="204">
        <f t="shared" si="179"/>
        <v>-45.387199458326592</v>
      </c>
      <c r="CJ94" s="204">
        <f t="shared" si="179"/>
        <v>-45.396116482383285</v>
      </c>
      <c r="CK94" s="204">
        <f t="shared" si="179"/>
        <v>-45.404980445071708</v>
      </c>
      <c r="CL94" s="204">
        <f t="shared" si="179"/>
        <v>-45.413790383278865</v>
      </c>
      <c r="CM94" s="204">
        <f t="shared" si="179"/>
        <v>-45.422545385479083</v>
      </c>
      <c r="CN94" s="204">
        <f t="shared" si="179"/>
        <v>-45.431244590193792</v>
      </c>
      <c r="CO94" s="204">
        <f t="shared" si="179"/>
        <v>-45.439887184489862</v>
      </c>
      <c r="CP94" s="204">
        <f t="shared" si="179"/>
        <v>-45.448472402515804</v>
      </c>
      <c r="CQ94" s="204">
        <f t="shared" si="179"/>
        <v>-45.456999524074824</v>
      </c>
      <c r="CR94" s="204">
        <f t="shared" si="179"/>
        <v>-45.465467873233862</v>
      </c>
      <c r="CS94" s="204">
        <f t="shared" si="179"/>
        <v>-45.473876816967916</v>
      </c>
      <c r="CT94" s="204">
        <f t="shared" si="179"/>
        <v>-45.48222576383867</v>
      </c>
      <c r="CU94" s="204">
        <f t="shared" si="179"/>
        <v>-45.490514162706774</v>
      </c>
      <c r="CV94" s="204">
        <f t="shared" si="179"/>
        <v>-45.498741501476943</v>
      </c>
      <c r="CW94" s="204">
        <f t="shared" si="179"/>
        <v>-45.506907305875025</v>
      </c>
      <c r="CX94" s="204">
        <f t="shared" si="179"/>
        <v>-45.515011138256426</v>
      </c>
      <c r="CY94" s="204">
        <f t="shared" si="179"/>
        <v>-45.515011138256426</v>
      </c>
      <c r="CZ94" s="204">
        <f t="shared" si="179"/>
        <v>-45.515011138256426</v>
      </c>
      <c r="DA94" s="204">
        <f t="shared" si="179"/>
        <v>-45.515011138256426</v>
      </c>
      <c r="DB94" s="204">
        <f t="shared" si="179"/>
        <v>-45.515011138256426</v>
      </c>
      <c r="DC94" s="204">
        <f t="shared" si="179"/>
        <v>-45.515011138256426</v>
      </c>
      <c r="DD94" s="204">
        <f t="shared" si="179"/>
        <v>-45.515011138256426</v>
      </c>
      <c r="DE94" s="204">
        <f t="shared" si="179"/>
        <v>-45.515011138256426</v>
      </c>
      <c r="DF94" s="204">
        <f t="shared" si="179"/>
        <v>-45.515011138256426</v>
      </c>
      <c r="DG94" s="204">
        <f t="shared" si="179"/>
        <v>-45.515011138256426</v>
      </c>
      <c r="DH94" s="204">
        <f t="shared" si="179"/>
        <v>-45.515011138256426</v>
      </c>
      <c r="DI94" s="204">
        <f t="shared" si="179"/>
        <v>-45.515011138256426</v>
      </c>
      <c r="DJ94" s="204">
        <f t="shared" si="179"/>
        <v>-45.515011138256426</v>
      </c>
      <c r="DK94" s="204">
        <f t="shared" si="179"/>
        <v>-45.515011138256426</v>
      </c>
      <c r="DL94" s="204">
        <f t="shared" si="179"/>
        <v>-45.515011138256426</v>
      </c>
      <c r="DM94" s="204">
        <f t="shared" si="179"/>
        <v>-45.515011138256426</v>
      </c>
      <c r="DN94" s="204">
        <f t="shared" si="179"/>
        <v>-45.515011138256426</v>
      </c>
      <c r="DO94" s="204">
        <f t="shared" si="179"/>
        <v>-45.515011138256426</v>
      </c>
      <c r="DP94" s="204">
        <f t="shared" si="179"/>
        <v>-45.515011138256426</v>
      </c>
      <c r="DQ94" s="204">
        <f t="shared" si="179"/>
        <v>-45.515011138256426</v>
      </c>
      <c r="DR94" s="204">
        <f t="shared" si="179"/>
        <v>-45.515011138256426</v>
      </c>
      <c r="DS94" s="204">
        <f t="shared" si="179"/>
        <v>-45.515011138256426</v>
      </c>
      <c r="DT94" s="204">
        <f t="shared" si="179"/>
        <v>-45.515011138256426</v>
      </c>
      <c r="DU94" s="204">
        <f t="shared" si="179"/>
        <v>-45.515011138256426</v>
      </c>
      <c r="DV94" s="204">
        <f t="shared" si="179"/>
        <v>-45.515011138256426</v>
      </c>
      <c r="DW94" s="204">
        <f t="shared" si="179"/>
        <v>-45.515011138256426</v>
      </c>
      <c r="DX94" s="204">
        <f t="shared" si="179"/>
        <v>-45.515011138256426</v>
      </c>
      <c r="DY94" s="204">
        <f t="shared" si="179"/>
        <v>-45.515011138256426</v>
      </c>
      <c r="DZ94" s="204">
        <f t="shared" si="179"/>
        <v>-45.515011138256426</v>
      </c>
      <c r="EA94" s="204">
        <f t="shared" si="179"/>
        <v>-45.515011138256426</v>
      </c>
      <c r="EB94" s="204">
        <f t="shared" si="179"/>
        <v>-45.515011138256426</v>
      </c>
      <c r="EC94" s="204">
        <f t="shared" si="179"/>
        <v>-45.515011138256426</v>
      </c>
      <c r="ED94" s="204">
        <f t="shared" si="179"/>
        <v>-45.515011138256426</v>
      </c>
      <c r="EE94" s="204">
        <f t="shared" si="179"/>
        <v>-45.515011138256426</v>
      </c>
      <c r="EF94" s="204">
        <f t="shared" ref="EF94:ET94" si="180">PV($F48,EF$9,1,0)+(PV($J$6,$N$5-(EF$9),1,0)/($J$6+1)^EF$9)</f>
        <v>-45.515011138256426</v>
      </c>
      <c r="EG94" s="204">
        <f t="shared" si="180"/>
        <v>-45.515011138256426</v>
      </c>
      <c r="EH94" s="204">
        <f t="shared" si="180"/>
        <v>-45.515011138256426</v>
      </c>
      <c r="EI94" s="204">
        <f t="shared" si="180"/>
        <v>-45.515011138256426</v>
      </c>
      <c r="EJ94" s="204">
        <f t="shared" si="180"/>
        <v>-45.515011138256426</v>
      </c>
      <c r="EK94" s="204">
        <f t="shared" si="180"/>
        <v>-45.515011138256426</v>
      </c>
      <c r="EL94" s="204">
        <f t="shared" si="180"/>
        <v>-45.515011138256426</v>
      </c>
      <c r="EM94" s="204">
        <f t="shared" si="180"/>
        <v>-45.515011138256426</v>
      </c>
      <c r="EN94" s="204">
        <f t="shared" si="180"/>
        <v>-45.515011138256426</v>
      </c>
      <c r="EO94" s="204">
        <f t="shared" si="180"/>
        <v>-45.515011138256426</v>
      </c>
      <c r="EP94" s="204">
        <f t="shared" si="180"/>
        <v>-45.515011138256426</v>
      </c>
      <c r="EQ94" s="204">
        <f t="shared" si="180"/>
        <v>-45.515011138256426</v>
      </c>
      <c r="ER94" s="204">
        <f t="shared" si="180"/>
        <v>-45.515011138256426</v>
      </c>
      <c r="ES94" s="204">
        <f t="shared" si="180"/>
        <v>-45.515011138256426</v>
      </c>
      <c r="ET94" s="204">
        <f t="shared" si="180"/>
        <v>-45.515011138256426</v>
      </c>
      <c r="FF94" s="6" t="s">
        <v>3025</v>
      </c>
      <c r="FG94" s="696">
        <v>2.5000000000000001E-2</v>
      </c>
      <c r="FH94" s="696">
        <v>96</v>
      </c>
      <c r="FI94" s="696">
        <v>0.02</v>
      </c>
      <c r="FJ94" s="255">
        <v>1.46E-2</v>
      </c>
      <c r="FK94" s="71">
        <f t="shared" si="126"/>
        <v>2.4761904761904762E-4</v>
      </c>
      <c r="FL94" t="e">
        <f>VLOOKUP(FF94,'SIMULADOR COM SALDO'!$BX$22:$CK$1000,13,FALSE)</f>
        <v>#N/A</v>
      </c>
    </row>
    <row r="95" spans="7:168" x14ac:dyDescent="0.25">
      <c r="G95" s="205">
        <f t="shared" si="68"/>
        <v>-44.752586198828723</v>
      </c>
      <c r="H95" s="204">
        <f t="shared" ref="H95:BS95" si="181">PV($F49,H$9,1,0)+(PV($J$6,$N$5-(H$9),1,0)/($J$6+1)^H$9)</f>
        <v>-44.75332578922179</v>
      </c>
      <c r="I95" s="204">
        <f t="shared" si="181"/>
        <v>-44.754415232859387</v>
      </c>
      <c r="J95" s="204">
        <f t="shared" si="181"/>
        <v>-44.75584171308428</v>
      </c>
      <c r="K95" s="204">
        <f t="shared" si="181"/>
        <v>-44.757592760981659</v>
      </c>
      <c r="L95" s="204">
        <f t="shared" si="181"/>
        <v>-44.759656247018142</v>
      </c>
      <c r="M95" s="204">
        <f t="shared" si="181"/>
        <v>-44.762020372869216</v>
      </c>
      <c r="N95" s="204">
        <f t="shared" si="181"/>
        <v>-44.764673663430685</v>
      </c>
      <c r="O95" s="204">
        <f t="shared" si="181"/>
        <v>-44.767604959010441</v>
      </c>
      <c r="P95" s="204">
        <f t="shared" si="181"/>
        <v>-44.770803407696384</v>
      </c>
      <c r="Q95" s="204">
        <f t="shared" si="181"/>
        <v>-44.774258457896991</v>
      </c>
      <c r="R95" s="204">
        <f t="shared" si="181"/>
        <v>-44.777959851050355</v>
      </c>
      <c r="S95" s="204">
        <f t="shared" si="181"/>
        <v>-44.781897614498696</v>
      </c>
      <c r="T95" s="204">
        <f t="shared" si="181"/>
        <v>-44.786062054523967</v>
      </c>
      <c r="U95" s="204">
        <f t="shared" si="181"/>
        <v>-44.79044374954178</v>
      </c>
      <c r="V95" s="204">
        <f t="shared" si="181"/>
        <v>-44.795033543449684</v>
      </c>
      <c r="W95" s="204">
        <f t="shared" si="181"/>
        <v>-44.799822539126794</v>
      </c>
      <c r="X95" s="204">
        <f t="shared" si="181"/>
        <v>-44.804802092081253</v>
      </c>
      <c r="Y95" s="204">
        <f t="shared" si="181"/>
        <v>-44.809963804242507</v>
      </c>
      <c r="Z95" s="204">
        <f t="shared" si="181"/>
        <v>-44.815299517894978</v>
      </c>
      <c r="AA95" s="204">
        <f t="shared" si="181"/>
        <v>-44.820801309750394</v>
      </c>
      <c r="AB95" s="204">
        <f t="shared" si="181"/>
        <v>-44.82646148515542</v>
      </c>
      <c r="AC95" s="204">
        <f t="shared" si="181"/>
        <v>-44.832272572431854</v>
      </c>
      <c r="AD95" s="204">
        <f t="shared" si="181"/>
        <v>-44.83822731734648</v>
      </c>
      <c r="AE95" s="204">
        <f t="shared" si="181"/>
        <v>-44.844318677707598</v>
      </c>
      <c r="AF95" s="204">
        <f t="shared" si="181"/>
        <v>-44.850539818085636</v>
      </c>
      <c r="AG95" s="204">
        <f t="shared" si="181"/>
        <v>-44.856884104655009</v>
      </c>
      <c r="AH95" s="204">
        <f t="shared" si="181"/>
        <v>-44.863345100154632</v>
      </c>
      <c r="AI95" s="204">
        <f t="shared" si="181"/>
        <v>-44.869916558964519</v>
      </c>
      <c r="AJ95" s="204">
        <f t="shared" si="181"/>
        <v>-44.876592422295786</v>
      </c>
      <c r="AK95" s="204">
        <f t="shared" si="181"/>
        <v>-44.883366813491776</v>
      </c>
      <c r="AL95" s="204">
        <f t="shared" si="181"/>
        <v>-44.890234033437594</v>
      </c>
      <c r="AM95" s="204">
        <f t="shared" si="181"/>
        <v>-44.897188556076024</v>
      </c>
      <c r="AN95" s="204">
        <f t="shared" si="181"/>
        <v>-44.904225024027141</v>
      </c>
      <c r="AO95" s="204">
        <f t="shared" si="181"/>
        <v>-44.91133824430954</v>
      </c>
      <c r="AP95" s="204">
        <f t="shared" si="181"/>
        <v>-44.918523184160932</v>
      </c>
      <c r="AQ95" s="204">
        <f t="shared" si="181"/>
        <v>-44.925774966955828</v>
      </c>
      <c r="AR95" s="204">
        <f t="shared" si="181"/>
        <v>-44.933088868218228</v>
      </c>
      <c r="AS95" s="204">
        <f t="shared" si="181"/>
        <v>-44.94046031172725</v>
      </c>
      <c r="AT95" s="204">
        <f t="shared" si="181"/>
        <v>-44.947884865713576</v>
      </c>
      <c r="AU95" s="204">
        <f t="shared" si="181"/>
        <v>-44.955358239144729</v>
      </c>
      <c r="AV95" s="204">
        <f t="shared" si="181"/>
        <v>-44.962876278097312</v>
      </c>
      <c r="AW95" s="204">
        <f t="shared" si="181"/>
        <v>-44.970434962214064</v>
      </c>
      <c r="AX95" s="204">
        <f t="shared" si="181"/>
        <v>-44.978030401244112</v>
      </c>
      <c r="AY95" s="204">
        <f t="shared" si="181"/>
        <v>-44.985658831664381</v>
      </c>
      <c r="AZ95" s="204">
        <f t="shared" si="181"/>
        <v>-44.993316613380472</v>
      </c>
      <c r="BA95" s="204">
        <f t="shared" si="181"/>
        <v>-45.001000226505198</v>
      </c>
      <c r="BB95" s="204">
        <f t="shared" si="181"/>
        <v>-45.00870626821299</v>
      </c>
      <c r="BC95" s="204">
        <f t="shared" si="181"/>
        <v>-45.016431449668701</v>
      </c>
      <c r="BD95" s="204">
        <f t="shared" si="181"/>
        <v>-45.024172593028823</v>
      </c>
      <c r="BE95" s="204">
        <f t="shared" si="181"/>
        <v>-45.031926628513844</v>
      </c>
      <c r="BF95" s="204">
        <f t="shared" si="181"/>
        <v>-45.039690591549878</v>
      </c>
      <c r="BG95" s="204">
        <f t="shared" si="181"/>
        <v>-45.047461619978243</v>
      </c>
      <c r="BH95" s="204">
        <f t="shared" si="181"/>
        <v>-45.055236951331274</v>
      </c>
      <c r="BI95" s="204">
        <f t="shared" si="181"/>
        <v>-45.063013920173027</v>
      </c>
      <c r="BJ95" s="204">
        <f t="shared" si="181"/>
        <v>-45.070789955503415</v>
      </c>
      <c r="BK95" s="204">
        <f t="shared" si="181"/>
        <v>-45.078562578224286</v>
      </c>
      <c r="BL95" s="204">
        <f t="shared" si="181"/>
        <v>-45.086329398666031</v>
      </c>
      <c r="BM95" s="204">
        <f t="shared" si="181"/>
        <v>-45.094088114173552</v>
      </c>
      <c r="BN95" s="204">
        <f t="shared" si="181"/>
        <v>-45.101836506749976</v>
      </c>
      <c r="BO95" s="204">
        <f t="shared" si="181"/>
        <v>-45.109572440757105</v>
      </c>
      <c r="BP95" s="204">
        <f t="shared" si="181"/>
        <v>-45.117293860671069</v>
      </c>
      <c r="BQ95" s="204">
        <f t="shared" si="181"/>
        <v>-45.12499878889215</v>
      </c>
      <c r="BR95" s="204">
        <f t="shared" si="181"/>
        <v>-45.13268532360739</v>
      </c>
      <c r="BS95" s="204">
        <f t="shared" si="181"/>
        <v>-45.140351636704914</v>
      </c>
      <c r="BT95" s="204">
        <f t="shared" ref="BT95:EE95" si="182">PV($F49,BT$9,1,0)+(PV($J$6,$N$5-(BT$9),1,0)/($J$6+1)^BT$9)</f>
        <v>-45.147995971738716</v>
      </c>
      <c r="BU95" s="204">
        <f t="shared" si="182"/>
        <v>-45.155616641942856</v>
      </c>
      <c r="BV95" s="204">
        <f t="shared" si="182"/>
        <v>-45.163212028293778</v>
      </c>
      <c r="BW95" s="204">
        <f t="shared" si="182"/>
        <v>-45.170780577619944</v>
      </c>
      <c r="BX95" s="204">
        <f t="shared" si="182"/>
        <v>-45.178320800757412</v>
      </c>
      <c r="BY95" s="204">
        <f t="shared" si="182"/>
        <v>-45.185831270750455</v>
      </c>
      <c r="BZ95" s="204">
        <f t="shared" si="182"/>
        <v>-45.193310621096295</v>
      </c>
      <c r="CA95" s="204">
        <f t="shared" si="182"/>
        <v>-45.200757544032747</v>
      </c>
      <c r="CB95" s="204">
        <f t="shared" si="182"/>
        <v>-45.208170788867854</v>
      </c>
      <c r="CC95" s="204">
        <f t="shared" si="182"/>
        <v>-45.215549160350768</v>
      </c>
      <c r="CD95" s="204">
        <f t="shared" si="182"/>
        <v>-45.222891517082566</v>
      </c>
      <c r="CE95" s="204">
        <f t="shared" si="182"/>
        <v>-45.230196769966398</v>
      </c>
      <c r="CF95" s="204">
        <f t="shared" si="182"/>
        <v>-45.237463880695962</v>
      </c>
      <c r="CG95" s="204">
        <f t="shared" si="182"/>
        <v>-45.244691860281343</v>
      </c>
      <c r="CH95" s="204">
        <f t="shared" si="182"/>
        <v>-45.251879767611499</v>
      </c>
      <c r="CI95" s="204">
        <f t="shared" si="182"/>
        <v>-45.259026708052524</v>
      </c>
      <c r="CJ95" s="204">
        <f t="shared" si="182"/>
        <v>-45.266131832080731</v>
      </c>
      <c r="CK95" s="204">
        <f t="shared" si="182"/>
        <v>-45.273194333949967</v>
      </c>
      <c r="CL95" s="204">
        <f t="shared" si="182"/>
        <v>-45.280213450392218</v>
      </c>
      <c r="CM95" s="204">
        <f t="shared" si="182"/>
        <v>-45.287188459350773</v>
      </c>
      <c r="CN95" s="204">
        <f t="shared" si="182"/>
        <v>-45.294118678745242</v>
      </c>
      <c r="CO95" s="204">
        <f t="shared" si="182"/>
        <v>-45.301003465267641</v>
      </c>
      <c r="CP95" s="204">
        <f t="shared" si="182"/>
        <v>-45.307842213208822</v>
      </c>
      <c r="CQ95" s="204">
        <f t="shared" si="182"/>
        <v>-45.314634353314631</v>
      </c>
      <c r="CR95" s="204">
        <f t="shared" si="182"/>
        <v>-45.321379351670956</v>
      </c>
      <c r="CS95" s="204">
        <f t="shared" si="182"/>
        <v>-45.328076708617175</v>
      </c>
      <c r="CT95" s="204">
        <f t="shared" si="182"/>
        <v>-45.33472595768712</v>
      </c>
      <c r="CU95" s="204">
        <f t="shared" si="182"/>
        <v>-45.341326664577196</v>
      </c>
      <c r="CV95" s="204">
        <f t="shared" si="182"/>
        <v>-45.347878426140781</v>
      </c>
      <c r="CW95" s="204">
        <f t="shared" si="182"/>
        <v>-45.35438086940843</v>
      </c>
      <c r="CX95" s="204">
        <f t="shared" si="182"/>
        <v>-45.360833650633147</v>
      </c>
      <c r="CY95" s="204">
        <f t="shared" si="182"/>
        <v>-45.360833650633147</v>
      </c>
      <c r="CZ95" s="204">
        <f t="shared" si="182"/>
        <v>-45.360833650633147</v>
      </c>
      <c r="DA95" s="204">
        <f t="shared" si="182"/>
        <v>-45.360833650633147</v>
      </c>
      <c r="DB95" s="204">
        <f t="shared" si="182"/>
        <v>-45.360833650633147</v>
      </c>
      <c r="DC95" s="204">
        <f t="shared" si="182"/>
        <v>-45.360833650633147</v>
      </c>
      <c r="DD95" s="204">
        <f t="shared" si="182"/>
        <v>-45.360833650633147</v>
      </c>
      <c r="DE95" s="204">
        <f t="shared" si="182"/>
        <v>-45.360833650633147</v>
      </c>
      <c r="DF95" s="204">
        <f t="shared" si="182"/>
        <v>-45.360833650633147</v>
      </c>
      <c r="DG95" s="204">
        <f t="shared" si="182"/>
        <v>-45.360833650633147</v>
      </c>
      <c r="DH95" s="204">
        <f t="shared" si="182"/>
        <v>-45.360833650633147</v>
      </c>
      <c r="DI95" s="204">
        <f t="shared" si="182"/>
        <v>-45.360833650633147</v>
      </c>
      <c r="DJ95" s="204">
        <f t="shared" si="182"/>
        <v>-45.360833650633147</v>
      </c>
      <c r="DK95" s="204">
        <f t="shared" si="182"/>
        <v>-45.360833650633147</v>
      </c>
      <c r="DL95" s="204">
        <f t="shared" si="182"/>
        <v>-45.360833650633147</v>
      </c>
      <c r="DM95" s="204">
        <f t="shared" si="182"/>
        <v>-45.360833650633147</v>
      </c>
      <c r="DN95" s="204">
        <f t="shared" si="182"/>
        <v>-45.360833650633147</v>
      </c>
      <c r="DO95" s="204">
        <f t="shared" si="182"/>
        <v>-45.360833650633147</v>
      </c>
      <c r="DP95" s="204">
        <f t="shared" si="182"/>
        <v>-45.360833650633147</v>
      </c>
      <c r="DQ95" s="204">
        <f t="shared" si="182"/>
        <v>-45.360833650633147</v>
      </c>
      <c r="DR95" s="204">
        <f t="shared" si="182"/>
        <v>-45.360833650633147</v>
      </c>
      <c r="DS95" s="204">
        <f t="shared" si="182"/>
        <v>-45.360833650633147</v>
      </c>
      <c r="DT95" s="204">
        <f t="shared" si="182"/>
        <v>-45.360833650633147</v>
      </c>
      <c r="DU95" s="204">
        <f t="shared" si="182"/>
        <v>-45.360833650633147</v>
      </c>
      <c r="DV95" s="204">
        <f t="shared" si="182"/>
        <v>-45.360833650633147</v>
      </c>
      <c r="DW95" s="204">
        <f t="shared" si="182"/>
        <v>-45.360833650633147</v>
      </c>
      <c r="DX95" s="204">
        <f t="shared" si="182"/>
        <v>-45.360833650633147</v>
      </c>
      <c r="DY95" s="204">
        <f t="shared" si="182"/>
        <v>-45.360833650633147</v>
      </c>
      <c r="DZ95" s="204">
        <f t="shared" si="182"/>
        <v>-45.360833650633147</v>
      </c>
      <c r="EA95" s="204">
        <f t="shared" si="182"/>
        <v>-45.360833650633147</v>
      </c>
      <c r="EB95" s="204">
        <f t="shared" si="182"/>
        <v>-45.360833650633147</v>
      </c>
      <c r="EC95" s="204">
        <f t="shared" si="182"/>
        <v>-45.360833650633147</v>
      </c>
      <c r="ED95" s="204">
        <f t="shared" si="182"/>
        <v>-45.360833650633147</v>
      </c>
      <c r="EE95" s="204">
        <f t="shared" si="182"/>
        <v>-45.360833650633147</v>
      </c>
      <c r="EF95" s="204">
        <f t="shared" ref="EF95:ET95" si="183">PV($F49,EF$9,1,0)+(PV($J$6,$N$5-(EF$9),1,0)/($J$6+1)^EF$9)</f>
        <v>-45.360833650633147</v>
      </c>
      <c r="EG95" s="204">
        <f t="shared" si="183"/>
        <v>-45.360833650633147</v>
      </c>
      <c r="EH95" s="204">
        <f t="shared" si="183"/>
        <v>-45.360833650633147</v>
      </c>
      <c r="EI95" s="204">
        <f t="shared" si="183"/>
        <v>-45.360833650633147</v>
      </c>
      <c r="EJ95" s="204">
        <f t="shared" si="183"/>
        <v>-45.360833650633147</v>
      </c>
      <c r="EK95" s="204">
        <f t="shared" si="183"/>
        <v>-45.360833650633147</v>
      </c>
      <c r="EL95" s="204">
        <f t="shared" si="183"/>
        <v>-45.360833650633147</v>
      </c>
      <c r="EM95" s="204">
        <f t="shared" si="183"/>
        <v>-45.360833650633147</v>
      </c>
      <c r="EN95" s="204">
        <f t="shared" si="183"/>
        <v>-45.360833650633147</v>
      </c>
      <c r="EO95" s="204">
        <f t="shared" si="183"/>
        <v>-45.360833650633147</v>
      </c>
      <c r="EP95" s="204">
        <f t="shared" si="183"/>
        <v>-45.360833650633147</v>
      </c>
      <c r="EQ95" s="204">
        <f t="shared" si="183"/>
        <v>-45.360833650633147</v>
      </c>
      <c r="ER95" s="204">
        <f t="shared" si="183"/>
        <v>-45.360833650633147</v>
      </c>
      <c r="ES95" s="204">
        <f t="shared" si="183"/>
        <v>-45.360833650633147</v>
      </c>
      <c r="ET95" s="204">
        <f t="shared" si="183"/>
        <v>-45.360833650633147</v>
      </c>
      <c r="FF95" s="6" t="s">
        <v>3026</v>
      </c>
      <c r="FG95" s="696">
        <v>2.5000000000000001E-2</v>
      </c>
      <c r="FH95" s="696">
        <v>120</v>
      </c>
      <c r="FI95" s="696">
        <v>1.6799999999999999E-2</v>
      </c>
      <c r="FJ95" s="255">
        <v>1.4499999999999999E-2</v>
      </c>
      <c r="FK95" s="71">
        <f t="shared" si="126"/>
        <v>2.5000000000000006E-4</v>
      </c>
      <c r="FL95" t="e">
        <f>VLOOKUP(FF95,'SIMULADOR COM SALDO'!$BX$22:$CK$1000,13,FALSE)</f>
        <v>#N/A</v>
      </c>
    </row>
    <row r="96" spans="7:168" x14ac:dyDescent="0.25">
      <c r="G96" s="205">
        <f t="shared" si="68"/>
        <v>-44.752492030702903</v>
      </c>
      <c r="H96" s="204">
        <f t="shared" ref="H96:BS96" si="184">PV($F50,H$9,1,0)+(PV($J$6,$N$5-(H$9),1,0)/($J$6+1)^H$9)</f>
        <v>-44.753046643724673</v>
      </c>
      <c r="I96" s="204">
        <f t="shared" si="184"/>
        <v>-44.753863569769756</v>
      </c>
      <c r="J96" s="204">
        <f t="shared" si="184"/>
        <v>-44.754933173485846</v>
      </c>
      <c r="K96" s="204">
        <f t="shared" si="184"/>
        <v>-44.756246081632796</v>
      </c>
      <c r="L96" s="204">
        <f t="shared" si="184"/>
        <v>-44.757793176764153</v>
      </c>
      <c r="M96" s="204">
        <f t="shared" si="184"/>
        <v>-44.759565591051363</v>
      </c>
      <c r="N96" s="204">
        <f t="shared" si="184"/>
        <v>-44.761554700247501</v>
      </c>
      <c r="O96" s="204">
        <f t="shared" si="184"/>
        <v>-44.763752117787618</v>
      </c>
      <c r="P96" s="204">
        <f t="shared" si="184"/>
        <v>-44.76614968902237</v>
      </c>
      <c r="Q96" s="204">
        <f t="shared" si="184"/>
        <v>-44.768739485582586</v>
      </c>
      <c r="R96" s="204">
        <f t="shared" si="184"/>
        <v>-44.771513799871357</v>
      </c>
      <c r="S96" s="204">
        <f t="shared" si="184"/>
        <v>-44.77446513968151</v>
      </c>
      <c r="T96" s="204">
        <f t="shared" si="184"/>
        <v>-44.777586222935042</v>
      </c>
      <c r="U96" s="204">
        <f t="shared" si="184"/>
        <v>-44.780869972542462</v>
      </c>
      <c r="V96" s="204">
        <f t="shared" si="184"/>
        <v>-44.784309511379014</v>
      </c>
      <c r="W96" s="204">
        <f t="shared" si="184"/>
        <v>-44.787898157375587</v>
      </c>
      <c r="X96" s="204">
        <f t="shared" si="184"/>
        <v>-44.791629418721406</v>
      </c>
      <c r="Y96" s="204">
        <f t="shared" si="184"/>
        <v>-44.795496989176499</v>
      </c>
      <c r="Z96" s="204">
        <f t="shared" si="184"/>
        <v>-44.799494743491159</v>
      </c>
      <c r="AA96" s="204">
        <f t="shared" si="184"/>
        <v>-44.803616732930401</v>
      </c>
      <c r="AB96" s="204">
        <f t="shared" si="184"/>
        <v>-44.807857180900825</v>
      </c>
      <c r="AC96" s="204">
        <f t="shared" si="184"/>
        <v>-44.812210478677827</v>
      </c>
      <c r="AD96" s="204">
        <f t="shared" si="184"/>
        <v>-44.816671181230944</v>
      </c>
      <c r="AE96" s="204">
        <f t="shared" si="184"/>
        <v>-44.821234003145122</v>
      </c>
      <c r="AF96" s="204">
        <f t="shared" si="184"/>
        <v>-44.825893814635847</v>
      </c>
      <c r="AG96" s="204">
        <f t="shared" si="184"/>
        <v>-44.830645637656033</v>
      </c>
      <c r="AH96" s="204">
        <f t="shared" si="184"/>
        <v>-44.835484642092709</v>
      </c>
      <c r="AI96" s="204">
        <f t="shared" si="184"/>
        <v>-44.840406142051599</v>
      </c>
      <c r="AJ96" s="204">
        <f t="shared" si="184"/>
        <v>-44.845405592227429</v>
      </c>
      <c r="AK96" s="204">
        <f t="shared" si="184"/>
        <v>-44.850478584358349</v>
      </c>
      <c r="AL96" s="204">
        <f t="shared" si="184"/>
        <v>-44.855620843762395</v>
      </c>
      <c r="AM96" s="204">
        <f t="shared" si="184"/>
        <v>-44.860828225954393</v>
      </c>
      <c r="AN96" s="204">
        <f t="shared" si="184"/>
        <v>-44.866096713341335</v>
      </c>
      <c r="AO96" s="204">
        <f t="shared" si="184"/>
        <v>-44.871422411994608</v>
      </c>
      <c r="AP96" s="204">
        <f t="shared" si="184"/>
        <v>-44.87680154849734</v>
      </c>
      <c r="AQ96" s="204">
        <f t="shared" si="184"/>
        <v>-44.882230466865309</v>
      </c>
      <c r="AR96" s="204">
        <f t="shared" si="184"/>
        <v>-44.887705625539553</v>
      </c>
      <c r="AS96" s="204">
        <f t="shared" si="184"/>
        <v>-44.893223594449346</v>
      </c>
      <c r="AT96" s="204">
        <f t="shared" si="184"/>
        <v>-44.898781052143818</v>
      </c>
      <c r="AU96" s="204">
        <f t="shared" si="184"/>
        <v>-44.904374782990864</v>
      </c>
      <c r="AV96" s="204">
        <f t="shared" si="184"/>
        <v>-44.91000167444156</v>
      </c>
      <c r="AW96" s="204">
        <f t="shared" si="184"/>
        <v>-44.915658714358941</v>
      </c>
      <c r="AX96" s="204">
        <f t="shared" si="184"/>
        <v>-44.921342988409577</v>
      </c>
      <c r="AY96" s="204">
        <f t="shared" si="184"/>
        <v>-44.927051677516516</v>
      </c>
      <c r="AZ96" s="204">
        <f t="shared" si="184"/>
        <v>-44.932782055372343</v>
      </c>
      <c r="BA96" s="204">
        <f t="shared" si="184"/>
        <v>-44.93853148601076</v>
      </c>
      <c r="BB96" s="204">
        <f t="shared" si="184"/>
        <v>-44.94429742143582</v>
      </c>
      <c r="BC96" s="204">
        <f t="shared" si="184"/>
        <v>-44.950077399307148</v>
      </c>
      <c r="BD96" s="204">
        <f t="shared" si="184"/>
        <v>-44.955869040679929</v>
      </c>
      <c r="BE96" s="204">
        <f t="shared" si="184"/>
        <v>-44.961670047798734</v>
      </c>
      <c r="BF96" s="204">
        <f t="shared" si="184"/>
        <v>-44.967478201943628</v>
      </c>
      <c r="BG96" s="204">
        <f t="shared" si="184"/>
        <v>-44.973291361327682</v>
      </c>
      <c r="BH96" s="204">
        <f t="shared" si="184"/>
        <v>-44.979107459044435</v>
      </c>
      <c r="BI96" s="204">
        <f t="shared" si="184"/>
        <v>-44.984924501064469</v>
      </c>
      <c r="BJ96" s="204">
        <f t="shared" si="184"/>
        <v>-44.990740564279861</v>
      </c>
      <c r="BK96" s="204">
        <f t="shared" si="184"/>
        <v>-44.996553794595478</v>
      </c>
      <c r="BL96" s="204">
        <f t="shared" si="184"/>
        <v>-45.002362405065895</v>
      </c>
      <c r="BM96" s="204">
        <f t="shared" si="184"/>
        <v>-45.008164674077271</v>
      </c>
      <c r="BN96" s="204">
        <f t="shared" si="184"/>
        <v>-45.013958943572753</v>
      </c>
      <c r="BO96" s="204">
        <f t="shared" si="184"/>
        <v>-45.019743617320763</v>
      </c>
      <c r="BP96" s="204">
        <f t="shared" si="184"/>
        <v>-45.025517159225004</v>
      </c>
      <c r="BQ96" s="204">
        <f t="shared" si="184"/>
        <v>-45.031278091675262</v>
      </c>
      <c r="BR96" s="204">
        <f t="shared" si="184"/>
        <v>-45.037024993938225</v>
      </c>
      <c r="BS96" s="204">
        <f t="shared" si="184"/>
        <v>-45.042756500587245</v>
      </c>
      <c r="BT96" s="204">
        <f t="shared" ref="BT96:EE96" si="185">PV($F50,BT$9,1,0)+(PV($J$6,$N$5-(BT$9),1,0)/($J$6+1)^BT$9)</f>
        <v>-45.048471299970188</v>
      </c>
      <c r="BU96" s="204">
        <f t="shared" si="185"/>
        <v>-45.054168132714643</v>
      </c>
      <c r="BV96" s="204">
        <f t="shared" si="185"/>
        <v>-45.059845790269463</v>
      </c>
      <c r="BW96" s="204">
        <f t="shared" si="185"/>
        <v>-45.065503113481981</v>
      </c>
      <c r="BX96" s="204">
        <f t="shared" si="185"/>
        <v>-45.071138991209864</v>
      </c>
      <c r="BY96" s="204">
        <f t="shared" si="185"/>
        <v>-45.076752358967141</v>
      </c>
      <c r="BZ96" s="204">
        <f t="shared" si="185"/>
        <v>-45.082342197603303</v>
      </c>
      <c r="CA96" s="204">
        <f t="shared" si="185"/>
        <v>-45.087907532014896</v>
      </c>
      <c r="CB96" s="204">
        <f t="shared" si="185"/>
        <v>-45.093447429888876</v>
      </c>
      <c r="CC96" s="204">
        <f t="shared" si="185"/>
        <v>-45.098961000476898</v>
      </c>
      <c r="CD96" s="204">
        <f t="shared" si="185"/>
        <v>-45.104447393399887</v>
      </c>
      <c r="CE96" s="204">
        <f t="shared" si="185"/>
        <v>-45.109905797482291</v>
      </c>
      <c r="CF96" s="204">
        <f t="shared" si="185"/>
        <v>-45.115335439615109</v>
      </c>
      <c r="CG96" s="204">
        <f t="shared" si="185"/>
        <v>-45.120735583647232</v>
      </c>
      <c r="CH96" s="204">
        <f t="shared" si="185"/>
        <v>-45.126105529304425</v>
      </c>
      <c r="CI96" s="204">
        <f t="shared" si="185"/>
        <v>-45.131444611135215</v>
      </c>
      <c r="CJ96" s="204">
        <f t="shared" si="185"/>
        <v>-45.136752197483098</v>
      </c>
      <c r="CK96" s="204">
        <f t="shared" si="185"/>
        <v>-45.142027689484557</v>
      </c>
      <c r="CL96" s="204">
        <f t="shared" si="185"/>
        <v>-45.147270520092171</v>
      </c>
      <c r="CM96" s="204">
        <f t="shared" si="185"/>
        <v>-45.152480153122319</v>
      </c>
      <c r="CN96" s="204">
        <f t="shared" si="185"/>
        <v>-45.157656082326795</v>
      </c>
      <c r="CO96" s="204">
        <f t="shared" si="185"/>
        <v>-45.16279783048801</v>
      </c>
      <c r="CP96" s="204">
        <f t="shared" si="185"/>
        <v>-45.167904948536901</v>
      </c>
      <c r="CQ96" s="204">
        <f t="shared" si="185"/>
        <v>-45.172977014693387</v>
      </c>
      <c r="CR96" s="204">
        <f t="shared" si="185"/>
        <v>-45.178013633628552</v>
      </c>
      <c r="CS96" s="204">
        <f t="shared" si="185"/>
        <v>-45.183014435648168</v>
      </c>
      <c r="CT96" s="204">
        <f t="shared" si="185"/>
        <v>-45.18797907589709</v>
      </c>
      <c r="CU96" s="204">
        <f t="shared" si="185"/>
        <v>-45.192907233584016</v>
      </c>
      <c r="CV96" s="204">
        <f t="shared" si="185"/>
        <v>-45.197798611226119</v>
      </c>
      <c r="CW96" s="204">
        <f t="shared" si="185"/>
        <v>-45.202652933913001</v>
      </c>
      <c r="CX96" s="204">
        <f t="shared" si="185"/>
        <v>-45.20746994858974</v>
      </c>
      <c r="CY96" s="204">
        <f t="shared" si="185"/>
        <v>-45.20746994858974</v>
      </c>
      <c r="CZ96" s="204">
        <f t="shared" si="185"/>
        <v>-45.20746994858974</v>
      </c>
      <c r="DA96" s="204">
        <f t="shared" si="185"/>
        <v>-45.20746994858974</v>
      </c>
      <c r="DB96" s="204">
        <f t="shared" si="185"/>
        <v>-45.20746994858974</v>
      </c>
      <c r="DC96" s="204">
        <f t="shared" si="185"/>
        <v>-45.20746994858974</v>
      </c>
      <c r="DD96" s="204">
        <f t="shared" si="185"/>
        <v>-45.20746994858974</v>
      </c>
      <c r="DE96" s="204">
        <f t="shared" si="185"/>
        <v>-45.20746994858974</v>
      </c>
      <c r="DF96" s="204">
        <f t="shared" si="185"/>
        <v>-45.20746994858974</v>
      </c>
      <c r="DG96" s="204">
        <f t="shared" si="185"/>
        <v>-45.20746994858974</v>
      </c>
      <c r="DH96" s="204">
        <f t="shared" si="185"/>
        <v>-45.20746994858974</v>
      </c>
      <c r="DI96" s="204">
        <f t="shared" si="185"/>
        <v>-45.20746994858974</v>
      </c>
      <c r="DJ96" s="204">
        <f t="shared" si="185"/>
        <v>-45.20746994858974</v>
      </c>
      <c r="DK96" s="204">
        <f t="shared" si="185"/>
        <v>-45.20746994858974</v>
      </c>
      <c r="DL96" s="204">
        <f t="shared" si="185"/>
        <v>-45.20746994858974</v>
      </c>
      <c r="DM96" s="204">
        <f t="shared" si="185"/>
        <v>-45.20746994858974</v>
      </c>
      <c r="DN96" s="204">
        <f t="shared" si="185"/>
        <v>-45.20746994858974</v>
      </c>
      <c r="DO96" s="204">
        <f t="shared" si="185"/>
        <v>-45.20746994858974</v>
      </c>
      <c r="DP96" s="204">
        <f t="shared" si="185"/>
        <v>-45.20746994858974</v>
      </c>
      <c r="DQ96" s="204">
        <f t="shared" si="185"/>
        <v>-45.20746994858974</v>
      </c>
      <c r="DR96" s="204">
        <f t="shared" si="185"/>
        <v>-45.20746994858974</v>
      </c>
      <c r="DS96" s="204">
        <f t="shared" si="185"/>
        <v>-45.20746994858974</v>
      </c>
      <c r="DT96" s="204">
        <f t="shared" si="185"/>
        <v>-45.20746994858974</v>
      </c>
      <c r="DU96" s="204">
        <f t="shared" si="185"/>
        <v>-45.20746994858974</v>
      </c>
      <c r="DV96" s="204">
        <f t="shared" si="185"/>
        <v>-45.20746994858974</v>
      </c>
      <c r="DW96" s="204">
        <f t="shared" si="185"/>
        <v>-45.20746994858974</v>
      </c>
      <c r="DX96" s="204">
        <f t="shared" si="185"/>
        <v>-45.20746994858974</v>
      </c>
      <c r="DY96" s="204">
        <f t="shared" si="185"/>
        <v>-45.20746994858974</v>
      </c>
      <c r="DZ96" s="204">
        <f t="shared" si="185"/>
        <v>-45.20746994858974</v>
      </c>
      <c r="EA96" s="204">
        <f t="shared" si="185"/>
        <v>-45.20746994858974</v>
      </c>
      <c r="EB96" s="204">
        <f t="shared" si="185"/>
        <v>-45.20746994858974</v>
      </c>
      <c r="EC96" s="204">
        <f t="shared" si="185"/>
        <v>-45.20746994858974</v>
      </c>
      <c r="ED96" s="204">
        <f t="shared" si="185"/>
        <v>-45.20746994858974</v>
      </c>
      <c r="EE96" s="204">
        <f t="shared" si="185"/>
        <v>-45.20746994858974</v>
      </c>
      <c r="EF96" s="204">
        <f t="shared" ref="EF96:ET96" si="186">PV($F50,EF$9,1,0)+(PV($J$6,$N$5-(EF$9),1,0)/($J$6+1)^EF$9)</f>
        <v>-45.20746994858974</v>
      </c>
      <c r="EG96" s="204">
        <f t="shared" si="186"/>
        <v>-45.20746994858974</v>
      </c>
      <c r="EH96" s="204">
        <f t="shared" si="186"/>
        <v>-45.20746994858974</v>
      </c>
      <c r="EI96" s="204">
        <f t="shared" si="186"/>
        <v>-45.20746994858974</v>
      </c>
      <c r="EJ96" s="204">
        <f t="shared" si="186"/>
        <v>-45.20746994858974</v>
      </c>
      <c r="EK96" s="204">
        <f t="shared" si="186"/>
        <v>-45.20746994858974</v>
      </c>
      <c r="EL96" s="204">
        <f t="shared" si="186"/>
        <v>-45.20746994858974</v>
      </c>
      <c r="EM96" s="204">
        <f t="shared" si="186"/>
        <v>-45.20746994858974</v>
      </c>
      <c r="EN96" s="204">
        <f t="shared" si="186"/>
        <v>-45.20746994858974</v>
      </c>
      <c r="EO96" s="204">
        <f t="shared" si="186"/>
        <v>-45.20746994858974</v>
      </c>
      <c r="EP96" s="204">
        <f t="shared" si="186"/>
        <v>-45.20746994858974</v>
      </c>
      <c r="EQ96" s="204">
        <f t="shared" si="186"/>
        <v>-45.20746994858974</v>
      </c>
      <c r="ER96" s="204">
        <f t="shared" si="186"/>
        <v>-45.20746994858974</v>
      </c>
      <c r="ES96" s="204">
        <f t="shared" si="186"/>
        <v>-45.20746994858974</v>
      </c>
      <c r="ET96" s="204">
        <f t="shared" si="186"/>
        <v>-45.20746994858974</v>
      </c>
      <c r="FF96" s="6" t="s">
        <v>3027</v>
      </c>
      <c r="FG96" s="696">
        <v>2.5000000000000001E-2</v>
      </c>
      <c r="FH96" s="696">
        <v>120</v>
      </c>
      <c r="FI96" s="696">
        <v>2.1099999999999997E-2</v>
      </c>
      <c r="FJ96" s="255">
        <v>1.7000000000000001E-2</v>
      </c>
      <c r="FK96" s="71">
        <f t="shared" si="126"/>
        <v>1.9047619047619048E-4</v>
      </c>
      <c r="FL96" t="e">
        <f>VLOOKUP(FF96,'SIMULADOR COM SALDO'!$BX$22:$CK$1000,13,FALSE)</f>
        <v>#N/A</v>
      </c>
    </row>
    <row r="97" spans="7:168" x14ac:dyDescent="0.25">
      <c r="G97" s="205">
        <f t="shared" si="68"/>
        <v>-44.752397880631804</v>
      </c>
      <c r="H97" s="204">
        <f t="shared" ref="H97:BS97" si="187">PV($F51,H$9,1,0)+(PV($J$6,$N$5-(H$9),1,0)/($J$6+1)^H$9)</f>
        <v>-44.752767569477882</v>
      </c>
      <c r="I97" s="204">
        <f t="shared" si="187"/>
        <v>-44.753312082419221</v>
      </c>
      <c r="J97" s="204">
        <f t="shared" si="187"/>
        <v>-44.754024980660461</v>
      </c>
      <c r="K97" s="204">
        <f t="shared" si="187"/>
        <v>-44.754900001020374</v>
      </c>
      <c r="L97" s="204">
        <f t="shared" si="187"/>
        <v>-44.755931051687618</v>
      </c>
      <c r="M97" s="204">
        <f t="shared" si="187"/>
        <v>-44.757112208072456</v>
      </c>
      <c r="N97" s="204">
        <f t="shared" si="187"/>
        <v>-44.758437708752439</v>
      </c>
      <c r="O97" s="204">
        <f t="shared" si="187"/>
        <v>-44.759901951510059</v>
      </c>
      <c r="P97" s="204">
        <f t="shared" si="187"/>
        <v>-44.761499489460277</v>
      </c>
      <c r="Q97" s="204">
        <f t="shared" si="187"/>
        <v>-44.763225027266074</v>
      </c>
      <c r="R97" s="204">
        <f t="shared" si="187"/>
        <v>-44.765073417439936</v>
      </c>
      <c r="S97" s="204">
        <f t="shared" si="187"/>
        <v>-44.767039656729693</v>
      </c>
      <c r="T97" s="204">
        <f t="shared" si="187"/>
        <v>-44.769118882586554</v>
      </c>
      <c r="U97" s="204">
        <f t="shared" si="187"/>
        <v>-44.771306369713784</v>
      </c>
      <c r="V97" s="204">
        <f t="shared" si="187"/>
        <v>-44.773597526694068</v>
      </c>
      <c r="W97" s="204">
        <f t="shared" si="187"/>
        <v>-44.77598789269409</v>
      </c>
      <c r="X97" s="204">
        <f t="shared" si="187"/>
        <v>-44.778473134244322</v>
      </c>
      <c r="Y97" s="204">
        <f t="shared" si="187"/>
        <v>-44.781049042092732</v>
      </c>
      <c r="Z97" s="204">
        <f t="shared" si="187"/>
        <v>-44.783711528130482</v>
      </c>
      <c r="AA97" s="204">
        <f t="shared" si="187"/>
        <v>-44.786456622388208</v>
      </c>
      <c r="AB97" s="204">
        <f t="shared" si="187"/>
        <v>-44.789280470101318</v>
      </c>
      <c r="AC97" s="204">
        <f t="shared" si="187"/>
        <v>-44.792179328842778</v>
      </c>
      <c r="AD97" s="204">
        <f t="shared" si="187"/>
        <v>-44.795149565721871</v>
      </c>
      <c r="AE97" s="204">
        <f t="shared" si="187"/>
        <v>-44.798187654647521</v>
      </c>
      <c r="AF97" s="204">
        <f t="shared" si="187"/>
        <v>-44.801290173654799</v>
      </c>
      <c r="AG97" s="204">
        <f t="shared" si="187"/>
        <v>-44.804453802293096</v>
      </c>
      <c r="AH97" s="204">
        <f t="shared" si="187"/>
        <v>-44.807675319074797</v>
      </c>
      <c r="AI97" s="204">
        <f t="shared" si="187"/>
        <v>-44.810951598982854</v>
      </c>
      <c r="AJ97" s="204">
        <f t="shared" si="187"/>
        <v>-44.814279611036326</v>
      </c>
      <c r="AK97" s="204">
        <f t="shared" si="187"/>
        <v>-44.817656415912225</v>
      </c>
      <c r="AL97" s="204">
        <f t="shared" si="187"/>
        <v>-44.821079163622713</v>
      </c>
      <c r="AM97" s="204">
        <f t="shared" si="187"/>
        <v>-44.824545091246222</v>
      </c>
      <c r="AN97" s="204">
        <f t="shared" si="187"/>
        <v>-44.828051520711512</v>
      </c>
      <c r="AO97" s="204">
        <f t="shared" si="187"/>
        <v>-44.831595856633335</v>
      </c>
      <c r="AP97" s="204">
        <f t="shared" si="187"/>
        <v>-44.835175584198538</v>
      </c>
      <c r="AQ97" s="204">
        <f t="shared" si="187"/>
        <v>-44.838788267101705</v>
      </c>
      <c r="AR97" s="204">
        <f t="shared" si="187"/>
        <v>-44.842431545528981</v>
      </c>
      <c r="AS97" s="204">
        <f t="shared" si="187"/>
        <v>-44.846103134189214</v>
      </c>
      <c r="AT97" s="204">
        <f t="shared" si="187"/>
        <v>-44.84980082039116</v>
      </c>
      <c r="AU97" s="204">
        <f t="shared" si="187"/>
        <v>-44.853522462165976</v>
      </c>
      <c r="AV97" s="204">
        <f t="shared" si="187"/>
        <v>-44.857265986433816</v>
      </c>
      <c r="AW97" s="204">
        <f t="shared" si="187"/>
        <v>-44.861029387213499</v>
      </c>
      <c r="AX97" s="204">
        <f t="shared" si="187"/>
        <v>-44.864810723874555</v>
      </c>
      <c r="AY97" s="204">
        <f t="shared" si="187"/>
        <v>-44.868608119430377</v>
      </c>
      <c r="AZ97" s="204">
        <f t="shared" si="187"/>
        <v>-44.872419758871807</v>
      </c>
      <c r="BA97" s="204">
        <f t="shared" si="187"/>
        <v>-44.876243887540213</v>
      </c>
      <c r="BB97" s="204">
        <f t="shared" si="187"/>
        <v>-44.880078809538936</v>
      </c>
      <c r="BC97" s="204">
        <f t="shared" si="187"/>
        <v>-44.88392288618266</v>
      </c>
      <c r="BD97" s="204">
        <f t="shared" si="187"/>
        <v>-44.887774534483498</v>
      </c>
      <c r="BE97" s="204">
        <f t="shared" si="187"/>
        <v>-44.891632225673177</v>
      </c>
      <c r="BF97" s="204">
        <f t="shared" si="187"/>
        <v>-44.895494483760388</v>
      </c>
      <c r="BG97" s="204">
        <f t="shared" si="187"/>
        <v>-44.899359884122646</v>
      </c>
      <c r="BH97" s="204">
        <f t="shared" si="187"/>
        <v>-44.903227052131712</v>
      </c>
      <c r="BI97" s="204">
        <f t="shared" si="187"/>
        <v>-44.90709466181201</v>
      </c>
      <c r="BJ97" s="204">
        <f t="shared" si="187"/>
        <v>-44.910961434531131</v>
      </c>
      <c r="BK97" s="204">
        <f t="shared" si="187"/>
        <v>-44.914826137721882</v>
      </c>
      <c r="BL97" s="204">
        <f t="shared" si="187"/>
        <v>-44.91868758363487</v>
      </c>
      <c r="BM97" s="204">
        <f t="shared" si="187"/>
        <v>-44.922544628121372</v>
      </c>
      <c r="BN97" s="204">
        <f t="shared" si="187"/>
        <v>-44.926396169445354</v>
      </c>
      <c r="BO97" s="204">
        <f t="shared" si="187"/>
        <v>-44.930241147124285</v>
      </c>
      <c r="BP97" s="204">
        <f t="shared" si="187"/>
        <v>-44.934078540797998</v>
      </c>
      <c r="BQ97" s="204">
        <f t="shared" si="187"/>
        <v>-44.937907369124893</v>
      </c>
      <c r="BR97" s="204">
        <f t="shared" si="187"/>
        <v>-44.941726688705046</v>
      </c>
      <c r="BS97" s="204">
        <f t="shared" si="187"/>
        <v>-44.945535593029355</v>
      </c>
      <c r="BT97" s="204">
        <f t="shared" ref="BT97:EE97" si="188">PV($F51,BT$9,1,0)+(PV($J$6,$N$5-(BT$9),1,0)/($J$6+1)^BT$9)</f>
        <v>-44.949333211454373</v>
      </c>
      <c r="BU97" s="204">
        <f t="shared" si="188"/>
        <v>-44.953118708202155</v>
      </c>
      <c r="BV97" s="204">
        <f t="shared" si="188"/>
        <v>-44.956891281384436</v>
      </c>
      <c r="BW97" s="204">
        <f t="shared" si="188"/>
        <v>-44.96065016205084</v>
      </c>
      <c r="BX97" s="204">
        <f t="shared" si="188"/>
        <v>-44.964394613260247</v>
      </c>
      <c r="BY97" s="204">
        <f t="shared" si="188"/>
        <v>-44.968123929175121</v>
      </c>
      <c r="BZ97" s="204">
        <f t="shared" si="188"/>
        <v>-44.971837434178084</v>
      </c>
      <c r="CA97" s="204">
        <f t="shared" si="188"/>
        <v>-44.97553448201014</v>
      </c>
      <c r="CB97" s="204">
        <f t="shared" si="188"/>
        <v>-44.979214454930336</v>
      </c>
      <c r="CC97" s="204">
        <f t="shared" si="188"/>
        <v>-44.982876762896119</v>
      </c>
      <c r="CD97" s="204">
        <f t="shared" si="188"/>
        <v>-44.986520842764023</v>
      </c>
      <c r="CE97" s="204">
        <f t="shared" si="188"/>
        <v>-44.990146157510218</v>
      </c>
      <c r="CF97" s="204">
        <f t="shared" si="188"/>
        <v>-44.993752195470371</v>
      </c>
      <c r="CG97" s="204">
        <f t="shared" si="188"/>
        <v>-44.997338469598596</v>
      </c>
      <c r="CH97" s="204">
        <f t="shared" si="188"/>
        <v>-45.000904516744725</v>
      </c>
      <c r="CI97" s="204">
        <f t="shared" si="188"/>
        <v>-45.004449896949815</v>
      </c>
      <c r="CJ97" s="204">
        <f t="shared" si="188"/>
        <v>-45.0079741927592</v>
      </c>
      <c r="CK97" s="204">
        <f t="shared" si="188"/>
        <v>-45.01147700855288</v>
      </c>
      <c r="CL97" s="204">
        <f t="shared" si="188"/>
        <v>-45.014957969892706</v>
      </c>
      <c r="CM97" s="204">
        <f t="shared" si="188"/>
        <v>-45.018416722886059</v>
      </c>
      <c r="CN97" s="204">
        <f t="shared" si="188"/>
        <v>-45.021852933565583</v>
      </c>
      <c r="CO97" s="204">
        <f t="shared" si="188"/>
        <v>-45.02526628728468</v>
      </c>
      <c r="CP97" s="204">
        <f t="shared" si="188"/>
        <v>-45.028656488128256</v>
      </c>
      <c r="CQ97" s="204">
        <f t="shared" si="188"/>
        <v>-45.032023258338533</v>
      </c>
      <c r="CR97" s="204">
        <f t="shared" si="188"/>
        <v>-45.035366337755477</v>
      </c>
      <c r="CS97" s="204">
        <f t="shared" si="188"/>
        <v>-45.038685483271514</v>
      </c>
      <c r="CT97" s="204">
        <f t="shared" si="188"/>
        <v>-45.041980468300153</v>
      </c>
      <c r="CU97" s="204">
        <f t="shared" si="188"/>
        <v>-45.045251082258368</v>
      </c>
      <c r="CV97" s="204">
        <f t="shared" si="188"/>
        <v>-45.048497130062174</v>
      </c>
      <c r="CW97" s="204">
        <f t="shared" si="188"/>
        <v>-45.051718431635273</v>
      </c>
      <c r="CX97" s="204">
        <f t="shared" si="188"/>
        <v>-45.054914821430373</v>
      </c>
      <c r="CY97" s="204">
        <f t="shared" si="188"/>
        <v>-45.054914821430373</v>
      </c>
      <c r="CZ97" s="204">
        <f t="shared" si="188"/>
        <v>-45.054914821430373</v>
      </c>
      <c r="DA97" s="204">
        <f t="shared" si="188"/>
        <v>-45.054914821430373</v>
      </c>
      <c r="DB97" s="204">
        <f t="shared" si="188"/>
        <v>-45.054914821430373</v>
      </c>
      <c r="DC97" s="204">
        <f t="shared" si="188"/>
        <v>-45.054914821430373</v>
      </c>
      <c r="DD97" s="204">
        <f t="shared" si="188"/>
        <v>-45.054914821430373</v>
      </c>
      <c r="DE97" s="204">
        <f t="shared" si="188"/>
        <v>-45.054914821430373</v>
      </c>
      <c r="DF97" s="204">
        <f t="shared" si="188"/>
        <v>-45.054914821430373</v>
      </c>
      <c r="DG97" s="204">
        <f t="shared" si="188"/>
        <v>-45.054914821430373</v>
      </c>
      <c r="DH97" s="204">
        <f t="shared" si="188"/>
        <v>-45.054914821430373</v>
      </c>
      <c r="DI97" s="204">
        <f t="shared" si="188"/>
        <v>-45.054914821430373</v>
      </c>
      <c r="DJ97" s="204">
        <f t="shared" si="188"/>
        <v>-45.054914821430373</v>
      </c>
      <c r="DK97" s="204">
        <f t="shared" si="188"/>
        <v>-45.054914821430373</v>
      </c>
      <c r="DL97" s="204">
        <f t="shared" si="188"/>
        <v>-45.054914821430373</v>
      </c>
      <c r="DM97" s="204">
        <f t="shared" si="188"/>
        <v>-45.054914821430373</v>
      </c>
      <c r="DN97" s="204">
        <f t="shared" si="188"/>
        <v>-45.054914821430373</v>
      </c>
      <c r="DO97" s="204">
        <f t="shared" si="188"/>
        <v>-45.054914821430373</v>
      </c>
      <c r="DP97" s="204">
        <f t="shared" si="188"/>
        <v>-45.054914821430373</v>
      </c>
      <c r="DQ97" s="204">
        <f t="shared" si="188"/>
        <v>-45.054914821430373</v>
      </c>
      <c r="DR97" s="204">
        <f t="shared" si="188"/>
        <v>-45.054914821430373</v>
      </c>
      <c r="DS97" s="204">
        <f t="shared" si="188"/>
        <v>-45.054914821430373</v>
      </c>
      <c r="DT97" s="204">
        <f t="shared" si="188"/>
        <v>-45.054914821430373</v>
      </c>
      <c r="DU97" s="204">
        <f t="shared" si="188"/>
        <v>-45.054914821430373</v>
      </c>
      <c r="DV97" s="204">
        <f t="shared" si="188"/>
        <v>-45.054914821430373</v>
      </c>
      <c r="DW97" s="204">
        <f t="shared" si="188"/>
        <v>-45.054914821430373</v>
      </c>
      <c r="DX97" s="204">
        <f t="shared" si="188"/>
        <v>-45.054914821430373</v>
      </c>
      <c r="DY97" s="204">
        <f t="shared" si="188"/>
        <v>-45.054914821430373</v>
      </c>
      <c r="DZ97" s="204">
        <f t="shared" si="188"/>
        <v>-45.054914821430373</v>
      </c>
      <c r="EA97" s="204">
        <f t="shared" si="188"/>
        <v>-45.054914821430373</v>
      </c>
      <c r="EB97" s="204">
        <f t="shared" si="188"/>
        <v>-45.054914821430373</v>
      </c>
      <c r="EC97" s="204">
        <f t="shared" si="188"/>
        <v>-45.054914821430373</v>
      </c>
      <c r="ED97" s="204">
        <f t="shared" si="188"/>
        <v>-45.054914821430373</v>
      </c>
      <c r="EE97" s="204">
        <f t="shared" si="188"/>
        <v>-45.054914821430373</v>
      </c>
      <c r="EF97" s="204">
        <f t="shared" ref="EF97:ET97" si="189">PV($F51,EF$9,1,0)+(PV($J$6,$N$5-(EF$9),1,0)/($J$6+1)^EF$9)</f>
        <v>-45.054914821430373</v>
      </c>
      <c r="EG97" s="204">
        <f t="shared" si="189"/>
        <v>-45.054914821430373</v>
      </c>
      <c r="EH97" s="204">
        <f t="shared" si="189"/>
        <v>-45.054914821430373</v>
      </c>
      <c r="EI97" s="204">
        <f t="shared" si="189"/>
        <v>-45.054914821430373</v>
      </c>
      <c r="EJ97" s="204">
        <f t="shared" si="189"/>
        <v>-45.054914821430373</v>
      </c>
      <c r="EK97" s="204">
        <f t="shared" si="189"/>
        <v>-45.054914821430373</v>
      </c>
      <c r="EL97" s="204">
        <f t="shared" si="189"/>
        <v>-45.054914821430373</v>
      </c>
      <c r="EM97" s="204">
        <f t="shared" si="189"/>
        <v>-45.054914821430373</v>
      </c>
      <c r="EN97" s="204">
        <f t="shared" si="189"/>
        <v>-45.054914821430373</v>
      </c>
      <c r="EO97" s="204">
        <f t="shared" si="189"/>
        <v>-45.054914821430373</v>
      </c>
      <c r="EP97" s="204">
        <f t="shared" si="189"/>
        <v>-45.054914821430373</v>
      </c>
      <c r="EQ97" s="204">
        <f t="shared" si="189"/>
        <v>-45.054914821430373</v>
      </c>
      <c r="ER97" s="204">
        <f t="shared" si="189"/>
        <v>-45.054914821430373</v>
      </c>
      <c r="ES97" s="204">
        <f t="shared" si="189"/>
        <v>-45.054914821430373</v>
      </c>
      <c r="ET97" s="204">
        <f t="shared" si="189"/>
        <v>-45.054914821430373</v>
      </c>
      <c r="FF97" s="6" t="s">
        <v>211</v>
      </c>
      <c r="FG97" s="696">
        <v>2.5000000000000001E-2</v>
      </c>
      <c r="FH97" s="696">
        <v>120</v>
      </c>
      <c r="FI97" s="696">
        <v>1.7600000000000001E-2</v>
      </c>
      <c r="FJ97" s="255">
        <v>1.43E-2</v>
      </c>
      <c r="FK97" s="71">
        <f t="shared" si="126"/>
        <v>2.5476190476190477E-4</v>
      </c>
      <c r="FL97" t="e">
        <f>VLOOKUP(FF97,'SIMULADOR COM SALDO'!$BX$22:$CK$1000,13,FALSE)</f>
        <v>#N/A</v>
      </c>
    </row>
    <row r="98" spans="7:168" x14ac:dyDescent="0.25">
      <c r="G98" s="205">
        <f t="shared" si="68"/>
        <v>-44.752303748610238</v>
      </c>
      <c r="H98" s="204">
        <f t="shared" ref="H98:BS98" si="190">PV($F52,H$9,1,0)+(PV($J$6,$N$5-(H$9),1,0)/($J$6+1)^H$9)</f>
        <v>-44.75248856645586</v>
      </c>
      <c r="I98" s="204">
        <f t="shared" si="190"/>
        <v>-44.752760770732209</v>
      </c>
      <c r="J98" s="204">
        <f t="shared" si="190"/>
        <v>-44.75311713443417</v>
      </c>
      <c r="K98" s="204">
        <f t="shared" si="190"/>
        <v>-44.753554518801408</v>
      </c>
      <c r="L98" s="204">
        <f t="shared" si="190"/>
        <v>-44.754069871180008</v>
      </c>
      <c r="M98" s="204">
        <f t="shared" si="190"/>
        <v>-44.754660222932742</v>
      </c>
      <c r="N98" s="204">
        <f t="shared" si="190"/>
        <v>-44.755322687396792</v>
      </c>
      <c r="O98" s="204">
        <f t="shared" si="190"/>
        <v>-44.756054457887842</v>
      </c>
      <c r="P98" s="204">
        <f t="shared" si="190"/>
        <v>-44.756852805749602</v>
      </c>
      <c r="Q98" s="204">
        <f t="shared" si="190"/>
        <v>-44.757715078447838</v>
      </c>
      <c r="R98" s="204">
        <f t="shared" si="190"/>
        <v>-44.758638697707632</v>
      </c>
      <c r="S98" s="204">
        <f t="shared" si="190"/>
        <v>-44.759621157693481</v>
      </c>
      <c r="T98" s="204">
        <f t="shared" si="190"/>
        <v>-44.760660023230642</v>
      </c>
      <c r="U98" s="204">
        <f t="shared" si="190"/>
        <v>-44.761752928067338</v>
      </c>
      <c r="V98" s="204">
        <f t="shared" si="190"/>
        <v>-44.762897573176716</v>
      </c>
      <c r="W98" s="204">
        <f t="shared" si="190"/>
        <v>-44.76409172509765</v>
      </c>
      <c r="X98" s="204">
        <f t="shared" si="190"/>
        <v>-44.765333214313607</v>
      </c>
      <c r="Y98" s="204">
        <f t="shared" si="190"/>
        <v>-44.766619933668842</v>
      </c>
      <c r="Z98" s="204">
        <f t="shared" si="190"/>
        <v>-44.76794983682079</v>
      </c>
      <c r="AA98" s="204">
        <f t="shared" si="190"/>
        <v>-44.76932093672832</v>
      </c>
      <c r="AB98" s="204">
        <f t="shared" si="190"/>
        <v>-44.770731304174532</v>
      </c>
      <c r="AC98" s="204">
        <f t="shared" si="190"/>
        <v>-44.772179066323844</v>
      </c>
      <c r="AD98" s="204">
        <f t="shared" si="190"/>
        <v>-44.773662405312258</v>
      </c>
      <c r="AE98" s="204">
        <f t="shared" si="190"/>
        <v>-44.775179556870235</v>
      </c>
      <c r="AF98" s="204">
        <f t="shared" si="190"/>
        <v>-44.776728808977431</v>
      </c>
      <c r="AG98" s="204">
        <f t="shared" si="190"/>
        <v>-44.778308500548547</v>
      </c>
      <c r="AH98" s="204">
        <f t="shared" si="190"/>
        <v>-44.779917020149718</v>
      </c>
      <c r="AI98" s="204">
        <f t="shared" si="190"/>
        <v>-44.781552804744621</v>
      </c>
      <c r="AJ98" s="204">
        <f t="shared" si="190"/>
        <v>-44.78321433846979</v>
      </c>
      <c r="AK98" s="204">
        <f t="shared" si="190"/>
        <v>-44.784900151438343</v>
      </c>
      <c r="AL98" s="204">
        <f t="shared" si="190"/>
        <v>-44.786608818571615</v>
      </c>
      <c r="AM98" s="204">
        <f t="shared" si="190"/>
        <v>-44.788338958458077</v>
      </c>
      <c r="AN98" s="204">
        <f t="shared" si="190"/>
        <v>-44.790089232238799</v>
      </c>
      <c r="AO98" s="204">
        <f t="shared" si="190"/>
        <v>-44.791858342519042</v>
      </c>
      <c r="AP98" s="204">
        <f t="shared" si="190"/>
        <v>-44.793645032305264</v>
      </c>
      <c r="AQ98" s="204">
        <f t="shared" si="190"/>
        <v>-44.795448083967102</v>
      </c>
      <c r="AR98" s="204">
        <f t="shared" si="190"/>
        <v>-44.797266318223635</v>
      </c>
      <c r="AS98" s="204">
        <f t="shared" si="190"/>
        <v>-44.799098593153488</v>
      </c>
      <c r="AT98" s="204">
        <f t="shared" si="190"/>
        <v>-44.800943803228222</v>
      </c>
      <c r="AU98" s="204">
        <f t="shared" si="190"/>
        <v>-44.802800878368501</v>
      </c>
      <c r="AV98" s="204">
        <f t="shared" si="190"/>
        <v>-44.804668783022478</v>
      </c>
      <c r="AW98" s="204">
        <f t="shared" si="190"/>
        <v>-44.806546515265907</v>
      </c>
      <c r="AX98" s="204">
        <f t="shared" si="190"/>
        <v>-44.808433105923669</v>
      </c>
      <c r="AY98" s="204">
        <f t="shared" si="190"/>
        <v>-44.81032761771192</v>
      </c>
      <c r="AZ98" s="204">
        <f t="shared" si="190"/>
        <v>-44.812229144400696</v>
      </c>
      <c r="BA98" s="204">
        <f t="shared" si="190"/>
        <v>-44.814136809996299</v>
      </c>
      <c r="BB98" s="204">
        <f t="shared" si="190"/>
        <v>-44.816049767943241</v>
      </c>
      <c r="BC98" s="204">
        <f t="shared" si="190"/>
        <v>-44.817967200345038</v>
      </c>
      <c r="BD98" s="204">
        <f t="shared" si="190"/>
        <v>-44.819888317203649</v>
      </c>
      <c r="BE98" s="204">
        <f t="shared" si="190"/>
        <v>-44.821812355677082</v>
      </c>
      <c r="BF98" s="204">
        <f t="shared" si="190"/>
        <v>-44.823738579354703</v>
      </c>
      <c r="BG98" s="204">
        <f t="shared" si="190"/>
        <v>-44.825666277549963</v>
      </c>
      <c r="BH98" s="204">
        <f t="shared" si="190"/>
        <v>-44.827594764609913</v>
      </c>
      <c r="BI98" s="204">
        <f t="shared" si="190"/>
        <v>-44.829523379241479</v>
      </c>
      <c r="BJ98" s="204">
        <f t="shared" si="190"/>
        <v>-44.831451483853854</v>
      </c>
      <c r="BK98" s="204">
        <f t="shared" si="190"/>
        <v>-44.833378463916709</v>
      </c>
      <c r="BL98" s="204">
        <f t="shared" si="190"/>
        <v>-44.835303727333859</v>
      </c>
      <c r="BM98" s="204">
        <f t="shared" si="190"/>
        <v>-44.837226703832187</v>
      </c>
      <c r="BN98" s="204">
        <f t="shared" si="190"/>
        <v>-44.839146844365125</v>
      </c>
      <c r="BO98" s="204">
        <f t="shared" si="190"/>
        <v>-44.841063620530811</v>
      </c>
      <c r="BP98" s="204">
        <f t="shared" si="190"/>
        <v>-44.842976524004214</v>
      </c>
      <c r="BQ98" s="204">
        <f t="shared" si="190"/>
        <v>-44.844885065983092</v>
      </c>
      <c r="BR98" s="204">
        <f t="shared" si="190"/>
        <v>-44.846788776647514</v>
      </c>
      <c r="BS98" s="204">
        <f t="shared" si="190"/>
        <v>-44.848687204632405</v>
      </c>
      <c r="BT98" s="204">
        <f t="shared" ref="BT98:EE98" si="191">PV($F52,BT$9,1,0)+(PV($J$6,$N$5-(BT$9),1,0)/($J$6+1)^BT$9)</f>
        <v>-44.850579916513126</v>
      </c>
      <c r="BU98" s="204">
        <f t="shared" si="191"/>
        <v>-44.852466496303563</v>
      </c>
      <c r="BV98" s="204">
        <f t="shared" si="191"/>
        <v>-44.854346544966482</v>
      </c>
      <c r="BW98" s="204">
        <f t="shared" si="191"/>
        <v>-44.856219679935982</v>
      </c>
      <c r="BX98" s="204">
        <f t="shared" si="191"/>
        <v>-44.858085534651643</v>
      </c>
      <c r="BY98" s="204">
        <f t="shared" si="191"/>
        <v>-44.859943758104116</v>
      </c>
      <c r="BZ98" s="204">
        <f t="shared" si="191"/>
        <v>-44.861794014392004</v>
      </c>
      <c r="CA98" s="204">
        <f t="shared" si="191"/>
        <v>-44.863635982289651</v>
      </c>
      <c r="CB98" s="204">
        <f t="shared" si="191"/>
        <v>-44.865469354825592</v>
      </c>
      <c r="CC98" s="204">
        <f t="shared" si="191"/>
        <v>-44.867293838871547</v>
      </c>
      <c r="CD98" s="204">
        <f t="shared" si="191"/>
        <v>-44.86910915474153</v>
      </c>
      <c r="CE98" s="204">
        <f t="shared" si="191"/>
        <v>-44.87091503580109</v>
      </c>
      <c r="CF98" s="204">
        <f t="shared" si="191"/>
        <v>-44.872711228086075</v>
      </c>
      <c r="CG98" s="204">
        <f t="shared" si="191"/>
        <v>-44.874497489931152</v>
      </c>
      <c r="CH98" s="204">
        <f t="shared" si="191"/>
        <v>-44.876273591607514</v>
      </c>
      <c r="CI98" s="204">
        <f t="shared" si="191"/>
        <v>-44.878039314969634</v>
      </c>
      <c r="CJ98" s="204">
        <f t="shared" si="191"/>
        <v>-44.879794453111046</v>
      </c>
      <c r="CK98" s="204">
        <f t="shared" si="191"/>
        <v>-44.881538810028637</v>
      </c>
      <c r="CL98" s="204">
        <f t="shared" si="191"/>
        <v>-44.883272200295529</v>
      </c>
      <c r="CM98" s="204">
        <f t="shared" si="191"/>
        <v>-44.884994448742198</v>
      </c>
      <c r="CN98" s="204">
        <f t="shared" si="191"/>
        <v>-44.886705390145636</v>
      </c>
      <c r="CO98" s="204">
        <f t="shared" si="191"/>
        <v>-44.888404868926465</v>
      </c>
      <c r="CP98" s="204">
        <f t="shared" si="191"/>
        <v>-44.89009273885376</v>
      </c>
      <c r="CQ98" s="204">
        <f t="shared" si="191"/>
        <v>-44.891768862757353</v>
      </c>
      <c r="CR98" s="204">
        <f t="shared" si="191"/>
        <v>-44.893433112247536</v>
      </c>
      <c r="CS98" s="204">
        <f t="shared" si="191"/>
        <v>-44.895085367441951</v>
      </c>
      <c r="CT98" s="204">
        <f t="shared" si="191"/>
        <v>-44.896725516699426</v>
      </c>
      <c r="CU98" s="204">
        <f t="shared" si="191"/>
        <v>-44.898353456360766</v>
      </c>
      <c r="CV98" s="204">
        <f t="shared" si="191"/>
        <v>-44.899969090496157</v>
      </c>
      <c r="CW98" s="204">
        <f t="shared" si="191"/>
        <v>-44.901572330659114</v>
      </c>
      <c r="CX98" s="204">
        <f t="shared" si="191"/>
        <v>-44.903163095646832</v>
      </c>
      <c r="CY98" s="204">
        <f t="shared" si="191"/>
        <v>-44.903163095646832</v>
      </c>
      <c r="CZ98" s="204">
        <f t="shared" si="191"/>
        <v>-44.903163095646832</v>
      </c>
      <c r="DA98" s="204">
        <f t="shared" si="191"/>
        <v>-44.903163095646832</v>
      </c>
      <c r="DB98" s="204">
        <f t="shared" si="191"/>
        <v>-44.903163095646832</v>
      </c>
      <c r="DC98" s="204">
        <f t="shared" si="191"/>
        <v>-44.903163095646832</v>
      </c>
      <c r="DD98" s="204">
        <f t="shared" si="191"/>
        <v>-44.903163095646832</v>
      </c>
      <c r="DE98" s="204">
        <f t="shared" si="191"/>
        <v>-44.903163095646832</v>
      </c>
      <c r="DF98" s="204">
        <f t="shared" si="191"/>
        <v>-44.903163095646832</v>
      </c>
      <c r="DG98" s="204">
        <f t="shared" si="191"/>
        <v>-44.903163095646832</v>
      </c>
      <c r="DH98" s="204">
        <f t="shared" si="191"/>
        <v>-44.903163095646832</v>
      </c>
      <c r="DI98" s="204">
        <f t="shared" si="191"/>
        <v>-44.903163095646832</v>
      </c>
      <c r="DJ98" s="204">
        <f t="shared" si="191"/>
        <v>-44.903163095646832</v>
      </c>
      <c r="DK98" s="204">
        <f t="shared" si="191"/>
        <v>-44.903163095646832</v>
      </c>
      <c r="DL98" s="204">
        <f t="shared" si="191"/>
        <v>-44.903163095646832</v>
      </c>
      <c r="DM98" s="204">
        <f t="shared" si="191"/>
        <v>-44.903163095646832</v>
      </c>
      <c r="DN98" s="204">
        <f t="shared" si="191"/>
        <v>-44.903163095646832</v>
      </c>
      <c r="DO98" s="204">
        <f t="shared" si="191"/>
        <v>-44.903163095646832</v>
      </c>
      <c r="DP98" s="204">
        <f t="shared" si="191"/>
        <v>-44.903163095646832</v>
      </c>
      <c r="DQ98" s="204">
        <f t="shared" si="191"/>
        <v>-44.903163095646832</v>
      </c>
      <c r="DR98" s="204">
        <f t="shared" si="191"/>
        <v>-44.903163095646832</v>
      </c>
      <c r="DS98" s="204">
        <f t="shared" si="191"/>
        <v>-44.903163095646832</v>
      </c>
      <c r="DT98" s="204">
        <f t="shared" si="191"/>
        <v>-44.903163095646832</v>
      </c>
      <c r="DU98" s="204">
        <f t="shared" si="191"/>
        <v>-44.903163095646832</v>
      </c>
      <c r="DV98" s="204">
        <f t="shared" si="191"/>
        <v>-44.903163095646832</v>
      </c>
      <c r="DW98" s="204">
        <f t="shared" si="191"/>
        <v>-44.903163095646832</v>
      </c>
      <c r="DX98" s="204">
        <f t="shared" si="191"/>
        <v>-44.903163095646832</v>
      </c>
      <c r="DY98" s="204">
        <f t="shared" si="191"/>
        <v>-44.903163095646832</v>
      </c>
      <c r="DZ98" s="204">
        <f t="shared" si="191"/>
        <v>-44.903163095646832</v>
      </c>
      <c r="EA98" s="204">
        <f t="shared" si="191"/>
        <v>-44.903163095646832</v>
      </c>
      <c r="EB98" s="204">
        <f t="shared" si="191"/>
        <v>-44.903163095646832</v>
      </c>
      <c r="EC98" s="204">
        <f t="shared" si="191"/>
        <v>-44.903163095646832</v>
      </c>
      <c r="ED98" s="204">
        <f t="shared" si="191"/>
        <v>-44.903163095646832</v>
      </c>
      <c r="EE98" s="204">
        <f t="shared" si="191"/>
        <v>-44.903163095646832</v>
      </c>
      <c r="EF98" s="204">
        <f t="shared" ref="EF98:ET98" si="192">PV($F52,EF$9,1,0)+(PV($J$6,$N$5-(EF$9),1,0)/($J$6+1)^EF$9)</f>
        <v>-44.903163095646832</v>
      </c>
      <c r="EG98" s="204">
        <f t="shared" si="192"/>
        <v>-44.903163095646832</v>
      </c>
      <c r="EH98" s="204">
        <f t="shared" si="192"/>
        <v>-44.903163095646832</v>
      </c>
      <c r="EI98" s="204">
        <f t="shared" si="192"/>
        <v>-44.903163095646832</v>
      </c>
      <c r="EJ98" s="204">
        <f t="shared" si="192"/>
        <v>-44.903163095646832</v>
      </c>
      <c r="EK98" s="204">
        <f t="shared" si="192"/>
        <v>-44.903163095646832</v>
      </c>
      <c r="EL98" s="204">
        <f t="shared" si="192"/>
        <v>-44.903163095646832</v>
      </c>
      <c r="EM98" s="204">
        <f t="shared" si="192"/>
        <v>-44.903163095646832</v>
      </c>
      <c r="EN98" s="204">
        <f t="shared" si="192"/>
        <v>-44.903163095646832</v>
      </c>
      <c r="EO98" s="204">
        <f t="shared" si="192"/>
        <v>-44.903163095646832</v>
      </c>
      <c r="EP98" s="204">
        <f t="shared" si="192"/>
        <v>-44.903163095646832</v>
      </c>
      <c r="EQ98" s="204">
        <f t="shared" si="192"/>
        <v>-44.903163095646832</v>
      </c>
      <c r="ER98" s="204">
        <f t="shared" si="192"/>
        <v>-44.903163095646832</v>
      </c>
      <c r="ES98" s="204">
        <f t="shared" si="192"/>
        <v>-44.903163095646832</v>
      </c>
      <c r="ET98" s="204">
        <f t="shared" si="192"/>
        <v>-44.903163095646832</v>
      </c>
      <c r="FF98" s="6" t="s">
        <v>360</v>
      </c>
      <c r="FG98" s="696">
        <v>2.5000000000000001E-2</v>
      </c>
      <c r="FH98" s="696">
        <v>120</v>
      </c>
      <c r="FI98" s="696">
        <v>1.7600000000000001E-2</v>
      </c>
      <c r="FJ98" s="255">
        <v>1.43E-2</v>
      </c>
      <c r="FK98" s="71">
        <f t="shared" si="126"/>
        <v>2.5476190476190477E-4</v>
      </c>
      <c r="FL98" t="e">
        <f>VLOOKUP(FF98,'SIMULADOR COM SALDO'!$BX$22:$CK$1000,13,FALSE)</f>
        <v>#N/A</v>
      </c>
    </row>
    <row r="99" spans="7:168" x14ac:dyDescent="0.25">
      <c r="G99" s="205">
        <f t="shared" si="68"/>
        <v>-44.752209634632997</v>
      </c>
      <c r="H99" s="204">
        <f t="shared" ref="H99:BS99" si="193">PV($F53,H$9,1,0)+(PV($J$6,$N$5-(H$9),1,0)/($J$6+1)^H$9)</f>
        <v>-44.752209634632997</v>
      </c>
      <c r="I99" s="204">
        <f t="shared" si="193"/>
        <v>-44.752209634632997</v>
      </c>
      <c r="J99" s="204">
        <f t="shared" si="193"/>
        <v>-44.752209634633004</v>
      </c>
      <c r="K99" s="204">
        <f t="shared" si="193"/>
        <v>-44.752209634633004</v>
      </c>
      <c r="L99" s="204">
        <f t="shared" si="193"/>
        <v>-44.752209634633004</v>
      </c>
      <c r="M99" s="204">
        <f t="shared" si="193"/>
        <v>-44.752209634633004</v>
      </c>
      <c r="N99" s="204">
        <f t="shared" si="193"/>
        <v>-44.752209634633004</v>
      </c>
      <c r="O99" s="204">
        <f t="shared" si="193"/>
        <v>-44.752209634633004</v>
      </c>
      <c r="P99" s="204">
        <f t="shared" si="193"/>
        <v>-44.75220963463299</v>
      </c>
      <c r="Q99" s="204">
        <f t="shared" si="193"/>
        <v>-44.752209634633004</v>
      </c>
      <c r="R99" s="204">
        <f t="shared" si="193"/>
        <v>-44.752209634632997</v>
      </c>
      <c r="S99" s="204">
        <f t="shared" si="193"/>
        <v>-44.752209634633004</v>
      </c>
      <c r="T99" s="204">
        <f t="shared" si="193"/>
        <v>-44.752209634632997</v>
      </c>
      <c r="U99" s="204">
        <f t="shared" si="193"/>
        <v>-44.752209634632997</v>
      </c>
      <c r="V99" s="204">
        <f t="shared" si="193"/>
        <v>-44.752209634633004</v>
      </c>
      <c r="W99" s="204">
        <f t="shared" si="193"/>
        <v>-44.752209634632997</v>
      </c>
      <c r="X99" s="204">
        <f t="shared" si="193"/>
        <v>-44.752209634633004</v>
      </c>
      <c r="Y99" s="204">
        <f t="shared" si="193"/>
        <v>-44.752209634633004</v>
      </c>
      <c r="Z99" s="204">
        <f t="shared" si="193"/>
        <v>-44.752209634633004</v>
      </c>
      <c r="AA99" s="204">
        <f t="shared" si="193"/>
        <v>-44.752209634632997</v>
      </c>
      <c r="AB99" s="204">
        <f t="shared" si="193"/>
        <v>-44.752209634632997</v>
      </c>
      <c r="AC99" s="204">
        <f t="shared" si="193"/>
        <v>-44.752209634633004</v>
      </c>
      <c r="AD99" s="204">
        <f t="shared" si="193"/>
        <v>-44.752209634632997</v>
      </c>
      <c r="AE99" s="204">
        <f t="shared" si="193"/>
        <v>-44.75220963463299</v>
      </c>
      <c r="AF99" s="204">
        <f t="shared" si="193"/>
        <v>-44.752209634632997</v>
      </c>
      <c r="AG99" s="204">
        <f t="shared" si="193"/>
        <v>-44.75220963463299</v>
      </c>
      <c r="AH99" s="204">
        <f t="shared" si="193"/>
        <v>-44.752209634632997</v>
      </c>
      <c r="AI99" s="204">
        <f t="shared" si="193"/>
        <v>-44.752209634632997</v>
      </c>
      <c r="AJ99" s="204">
        <f t="shared" si="193"/>
        <v>-44.752209634632997</v>
      </c>
      <c r="AK99" s="204">
        <f t="shared" si="193"/>
        <v>-44.752209634632997</v>
      </c>
      <c r="AL99" s="204">
        <f t="shared" si="193"/>
        <v>-44.752209634632997</v>
      </c>
      <c r="AM99" s="204">
        <f t="shared" si="193"/>
        <v>-44.75220963463299</v>
      </c>
      <c r="AN99" s="204">
        <f t="shared" si="193"/>
        <v>-44.752209634632997</v>
      </c>
      <c r="AO99" s="204">
        <f t="shared" si="193"/>
        <v>-44.75220963463299</v>
      </c>
      <c r="AP99" s="204">
        <f t="shared" si="193"/>
        <v>-44.75220963463299</v>
      </c>
      <c r="AQ99" s="204">
        <f t="shared" si="193"/>
        <v>-44.75220963463299</v>
      </c>
      <c r="AR99" s="204">
        <f t="shared" si="193"/>
        <v>-44.75220963463299</v>
      </c>
      <c r="AS99" s="204">
        <f t="shared" si="193"/>
        <v>-44.752209634632997</v>
      </c>
      <c r="AT99" s="204">
        <f t="shared" si="193"/>
        <v>-44.752209634632997</v>
      </c>
      <c r="AU99" s="204">
        <f t="shared" si="193"/>
        <v>-44.75220963463299</v>
      </c>
      <c r="AV99" s="204">
        <f t="shared" si="193"/>
        <v>-44.75220963463299</v>
      </c>
      <c r="AW99" s="204">
        <f t="shared" si="193"/>
        <v>-44.752209634632997</v>
      </c>
      <c r="AX99" s="204">
        <f t="shared" si="193"/>
        <v>-44.752209634632997</v>
      </c>
      <c r="AY99" s="204">
        <f t="shared" si="193"/>
        <v>-44.75220963463299</v>
      </c>
      <c r="AZ99" s="204">
        <f t="shared" si="193"/>
        <v>-44.75220963463299</v>
      </c>
      <c r="BA99" s="204">
        <f t="shared" si="193"/>
        <v>-44.75220963463299</v>
      </c>
      <c r="BB99" s="204">
        <f t="shared" si="193"/>
        <v>-44.75220963463299</v>
      </c>
      <c r="BC99" s="204">
        <f t="shared" si="193"/>
        <v>-44.75220963463299</v>
      </c>
      <c r="BD99" s="204">
        <f t="shared" si="193"/>
        <v>-44.75220963463299</v>
      </c>
      <c r="BE99" s="204">
        <f t="shared" si="193"/>
        <v>-44.75220963463299</v>
      </c>
      <c r="BF99" s="204">
        <f t="shared" si="193"/>
        <v>-44.75220963463299</v>
      </c>
      <c r="BG99" s="204">
        <f t="shared" si="193"/>
        <v>-44.75220963463299</v>
      </c>
      <c r="BH99" s="204">
        <f t="shared" si="193"/>
        <v>-44.752209634632997</v>
      </c>
      <c r="BI99" s="204">
        <f t="shared" si="193"/>
        <v>-44.752209634632997</v>
      </c>
      <c r="BJ99" s="204">
        <f t="shared" si="193"/>
        <v>-44.75220963463299</v>
      </c>
      <c r="BK99" s="204">
        <f t="shared" si="193"/>
        <v>-44.752209634632997</v>
      </c>
      <c r="BL99" s="204">
        <f t="shared" si="193"/>
        <v>-44.752209634632997</v>
      </c>
      <c r="BM99" s="204">
        <f t="shared" si="193"/>
        <v>-44.752209634632997</v>
      </c>
      <c r="BN99" s="204">
        <f t="shared" si="193"/>
        <v>-44.75220963463299</v>
      </c>
      <c r="BO99" s="204">
        <f t="shared" si="193"/>
        <v>-44.752209634632997</v>
      </c>
      <c r="BP99" s="204">
        <f t="shared" si="193"/>
        <v>-44.752209634632997</v>
      </c>
      <c r="BQ99" s="204">
        <f t="shared" si="193"/>
        <v>-44.75220963463299</v>
      </c>
      <c r="BR99" s="204">
        <f t="shared" si="193"/>
        <v>-44.752209634632997</v>
      </c>
      <c r="BS99" s="204">
        <f t="shared" si="193"/>
        <v>-44.75220963463299</v>
      </c>
      <c r="BT99" s="204">
        <f t="shared" ref="BT99:EE99" si="194">PV($F53,BT$9,1,0)+(PV($J$6,$N$5-(BT$9),1,0)/($J$6+1)^BT$9)</f>
        <v>-44.75220963463299</v>
      </c>
      <c r="BU99" s="204">
        <f t="shared" si="194"/>
        <v>-44.752209634632997</v>
      </c>
      <c r="BV99" s="204">
        <f t="shared" si="194"/>
        <v>-44.752209634632997</v>
      </c>
      <c r="BW99" s="204">
        <f t="shared" si="194"/>
        <v>-44.752209634632997</v>
      </c>
      <c r="BX99" s="204">
        <f t="shared" si="194"/>
        <v>-44.752209634632997</v>
      </c>
      <c r="BY99" s="204">
        <f t="shared" si="194"/>
        <v>-44.752209634632997</v>
      </c>
      <c r="BZ99" s="204">
        <f t="shared" si="194"/>
        <v>-44.75220963463299</v>
      </c>
      <c r="CA99" s="204">
        <f t="shared" si="194"/>
        <v>-44.752209634632997</v>
      </c>
      <c r="CB99" s="204">
        <f t="shared" si="194"/>
        <v>-44.75220963463299</v>
      </c>
      <c r="CC99" s="204">
        <f t="shared" si="194"/>
        <v>-44.752209634632997</v>
      </c>
      <c r="CD99" s="204">
        <f t="shared" si="194"/>
        <v>-44.752209634632997</v>
      </c>
      <c r="CE99" s="204">
        <f t="shared" si="194"/>
        <v>-44.752209634632997</v>
      </c>
      <c r="CF99" s="204">
        <f t="shared" si="194"/>
        <v>-44.752209634632997</v>
      </c>
      <c r="CG99" s="204">
        <f t="shared" si="194"/>
        <v>-44.752209634632997</v>
      </c>
      <c r="CH99" s="204">
        <f t="shared" si="194"/>
        <v>-44.752209634632997</v>
      </c>
      <c r="CI99" s="204">
        <f t="shared" si="194"/>
        <v>-44.75220963463299</v>
      </c>
      <c r="CJ99" s="204">
        <f t="shared" si="194"/>
        <v>-44.752209634632997</v>
      </c>
      <c r="CK99" s="204">
        <f t="shared" si="194"/>
        <v>-44.752209634632997</v>
      </c>
      <c r="CL99" s="204">
        <f t="shared" si="194"/>
        <v>-44.752209634632997</v>
      </c>
      <c r="CM99" s="204">
        <f t="shared" si="194"/>
        <v>-44.75220963463299</v>
      </c>
      <c r="CN99" s="204">
        <f t="shared" si="194"/>
        <v>-44.752209634632997</v>
      </c>
      <c r="CO99" s="204">
        <f t="shared" si="194"/>
        <v>-44.752209634632997</v>
      </c>
      <c r="CP99" s="204">
        <f t="shared" si="194"/>
        <v>-44.752209634632997</v>
      </c>
      <c r="CQ99" s="204">
        <f t="shared" si="194"/>
        <v>-44.75220963463299</v>
      </c>
      <c r="CR99" s="204">
        <f t="shared" si="194"/>
        <v>-44.75220963463299</v>
      </c>
      <c r="CS99" s="204">
        <f t="shared" si="194"/>
        <v>-44.75220963463299</v>
      </c>
      <c r="CT99" s="204">
        <f t="shared" si="194"/>
        <v>-44.752209634632997</v>
      </c>
      <c r="CU99" s="204">
        <f t="shared" si="194"/>
        <v>-44.75220963463299</v>
      </c>
      <c r="CV99" s="204">
        <f t="shared" si="194"/>
        <v>-44.752209634632997</v>
      </c>
      <c r="CW99" s="204">
        <f t="shared" si="194"/>
        <v>-44.752209634632997</v>
      </c>
      <c r="CX99" s="204">
        <f t="shared" si="194"/>
        <v>-44.752209634632997</v>
      </c>
      <c r="CY99" s="204">
        <f t="shared" si="194"/>
        <v>-44.752209634632997</v>
      </c>
      <c r="CZ99" s="204">
        <f t="shared" si="194"/>
        <v>-44.752209634632997</v>
      </c>
      <c r="DA99" s="204">
        <f t="shared" si="194"/>
        <v>-44.752209634632997</v>
      </c>
      <c r="DB99" s="204">
        <f t="shared" si="194"/>
        <v>-44.752209634632997</v>
      </c>
      <c r="DC99" s="204">
        <f t="shared" si="194"/>
        <v>-44.752209634632997</v>
      </c>
      <c r="DD99" s="204">
        <f t="shared" si="194"/>
        <v>-44.752209634632997</v>
      </c>
      <c r="DE99" s="204">
        <f t="shared" si="194"/>
        <v>-44.752209634632997</v>
      </c>
      <c r="DF99" s="204">
        <f t="shared" si="194"/>
        <v>-44.752209634632997</v>
      </c>
      <c r="DG99" s="204">
        <f t="shared" si="194"/>
        <v>-44.752209634632997</v>
      </c>
      <c r="DH99" s="204">
        <f t="shared" si="194"/>
        <v>-44.752209634632997</v>
      </c>
      <c r="DI99" s="204">
        <f t="shared" si="194"/>
        <v>-44.752209634632997</v>
      </c>
      <c r="DJ99" s="204">
        <f t="shared" si="194"/>
        <v>-44.752209634632997</v>
      </c>
      <c r="DK99" s="204">
        <f t="shared" si="194"/>
        <v>-44.752209634632997</v>
      </c>
      <c r="DL99" s="204">
        <f t="shared" si="194"/>
        <v>-44.752209634632997</v>
      </c>
      <c r="DM99" s="204">
        <f t="shared" si="194"/>
        <v>-44.752209634632997</v>
      </c>
      <c r="DN99" s="204">
        <f t="shared" si="194"/>
        <v>-44.752209634632997</v>
      </c>
      <c r="DO99" s="204">
        <f t="shared" si="194"/>
        <v>-44.752209634632997</v>
      </c>
      <c r="DP99" s="204">
        <f t="shared" si="194"/>
        <v>-44.752209634632997</v>
      </c>
      <c r="DQ99" s="204">
        <f t="shared" si="194"/>
        <v>-44.752209634632997</v>
      </c>
      <c r="DR99" s="204">
        <f t="shared" si="194"/>
        <v>-44.752209634632997</v>
      </c>
      <c r="DS99" s="204">
        <f t="shared" si="194"/>
        <v>-44.752209634632997</v>
      </c>
      <c r="DT99" s="204">
        <f t="shared" si="194"/>
        <v>-44.752209634632997</v>
      </c>
      <c r="DU99" s="204">
        <f t="shared" si="194"/>
        <v>-44.752209634632997</v>
      </c>
      <c r="DV99" s="204">
        <f t="shared" si="194"/>
        <v>-44.752209634632997</v>
      </c>
      <c r="DW99" s="204">
        <f t="shared" si="194"/>
        <v>-44.752209634632997</v>
      </c>
      <c r="DX99" s="204">
        <f t="shared" si="194"/>
        <v>-44.752209634632997</v>
      </c>
      <c r="DY99" s="204">
        <f t="shared" si="194"/>
        <v>-44.752209634632997</v>
      </c>
      <c r="DZ99" s="204">
        <f t="shared" si="194"/>
        <v>-44.752209634632997</v>
      </c>
      <c r="EA99" s="204">
        <f t="shared" si="194"/>
        <v>-44.752209634632997</v>
      </c>
      <c r="EB99" s="204">
        <f t="shared" si="194"/>
        <v>-44.752209634632997</v>
      </c>
      <c r="EC99" s="204">
        <f t="shared" si="194"/>
        <v>-44.752209634632997</v>
      </c>
      <c r="ED99" s="204">
        <f t="shared" si="194"/>
        <v>-44.752209634632997</v>
      </c>
      <c r="EE99" s="204">
        <f t="shared" si="194"/>
        <v>-44.752209634632997</v>
      </c>
      <c r="EF99" s="204">
        <f t="shared" ref="EF99:ET99" si="195">PV($F53,EF$9,1,0)+(PV($J$6,$N$5-(EF$9),1,0)/($J$6+1)^EF$9)</f>
        <v>-44.752209634632997</v>
      </c>
      <c r="EG99" s="204">
        <f t="shared" si="195"/>
        <v>-44.752209634632997</v>
      </c>
      <c r="EH99" s="204">
        <f t="shared" si="195"/>
        <v>-44.752209634632997</v>
      </c>
      <c r="EI99" s="204">
        <f t="shared" si="195"/>
        <v>-44.752209634632997</v>
      </c>
      <c r="EJ99" s="204">
        <f t="shared" si="195"/>
        <v>-44.752209634632997</v>
      </c>
      <c r="EK99" s="204">
        <f t="shared" si="195"/>
        <v>-44.752209634632997</v>
      </c>
      <c r="EL99" s="204">
        <f t="shared" si="195"/>
        <v>-44.752209634632997</v>
      </c>
      <c r="EM99" s="204">
        <f t="shared" si="195"/>
        <v>-44.752209634632997</v>
      </c>
      <c r="EN99" s="204">
        <f t="shared" si="195"/>
        <v>-44.752209634632997</v>
      </c>
      <c r="EO99" s="204">
        <f t="shared" si="195"/>
        <v>-44.752209634632997</v>
      </c>
      <c r="EP99" s="204">
        <f t="shared" si="195"/>
        <v>-44.752209634632997</v>
      </c>
      <c r="EQ99" s="204">
        <f t="shared" si="195"/>
        <v>-44.752209634632997</v>
      </c>
      <c r="ER99" s="204">
        <f t="shared" si="195"/>
        <v>-44.752209634632997</v>
      </c>
      <c r="ES99" s="204">
        <f t="shared" si="195"/>
        <v>-44.752209634632997</v>
      </c>
      <c r="ET99" s="204">
        <f t="shared" si="195"/>
        <v>-44.752209634632997</v>
      </c>
      <c r="FF99" s="6" t="s">
        <v>381</v>
      </c>
      <c r="FG99" s="696">
        <v>2.5000000000000001E-2</v>
      </c>
      <c r="FH99" s="696">
        <v>120</v>
      </c>
      <c r="FI99" s="696">
        <v>1.7500000000000002E-2</v>
      </c>
      <c r="FJ99" s="255">
        <v>1.5900000000000001E-2</v>
      </c>
      <c r="FK99" s="71">
        <f t="shared" si="126"/>
        <v>2.1666666666666668E-4</v>
      </c>
      <c r="FL99" t="e">
        <f>VLOOKUP(FF99,'SIMULADOR COM SALDO'!$BX$22:$CK$1000,13,FALSE)</f>
        <v>#N/A</v>
      </c>
    </row>
    <row r="100" spans="7:168" x14ac:dyDescent="0.25">
      <c r="G100" s="205">
        <f t="shared" si="68"/>
        <v>-44.770373601250576</v>
      </c>
      <c r="H100" s="204">
        <f t="shared" ref="H100:BS100" si="196">PV($F54,H$9,1,0)+(PV($J$6,$N$5-(H$9),1,0)/($J$6+1)^H$9)</f>
        <v>-44.806371604802436</v>
      </c>
      <c r="I100" s="204">
        <f t="shared" si="196"/>
        <v>-44.859879708437063</v>
      </c>
      <c r="J100" s="204">
        <f t="shared" si="196"/>
        <v>-44.930579859281075</v>
      </c>
      <c r="K100" s="204">
        <f t="shared" si="196"/>
        <v>-45.018159781562872</v>
      </c>
      <c r="L100" s="204">
        <f t="shared" si="196"/>
        <v>-45.122312871677551</v>
      </c>
      <c r="M100" s="204">
        <f t="shared" si="196"/>
        <v>-45.24273809515784</v>
      </c>
      <c r="N100" s="204">
        <f t="shared" si="196"/>
        <v>-45.379139885516487</v>
      </c>
      <c r="O100" s="204">
        <f t="shared" si="196"/>
        <v>-45.53122804492606</v>
      </c>
      <c r="P100" s="204">
        <f t="shared" si="196"/>
        <v>-45.698717646702761</v>
      </c>
      <c r="Q100" s="204">
        <f t="shared" si="196"/>
        <v>-45.881328939561598</v>
      </c>
      <c r="R100" s="204">
        <f t="shared" si="196"/>
        <v>-46.078787253610507</v>
      </c>
      <c r="S100" s="204">
        <f t="shared" si="196"/>
        <v>-46.290822908052249</v>
      </c>
      <c r="T100" s="204">
        <f t="shared" si="196"/>
        <v>-46.517171120562551</v>
      </c>
      <c r="U100" s="204">
        <f t="shared" si="196"/>
        <v>-46.75757191831444</v>
      </c>
      <c r="V100" s="204">
        <f t="shared" si="196"/>
        <v>-47.011770050618708</v>
      </c>
      <c r="W100" s="204">
        <f t="shared" si="196"/>
        <v>-47.279514903151124</v>
      </c>
      <c r="X100" s="204">
        <f t="shared" si="196"/>
        <v>-47.560560413737676</v>
      </c>
      <c r="Y100" s="204">
        <f t="shared" si="196"/>
        <v>-47.854664989669509</v>
      </c>
      <c r="Z100" s="204">
        <f t="shared" si="196"/>
        <v>-48.161591426519607</v>
      </c>
      <c r="AA100" s="204">
        <f t="shared" si="196"/>
        <v>-48.481106828434278</v>
      </c>
      <c r="AB100" s="204">
        <f t="shared" si="196"/>
        <v>-48.81298252987235</v>
      </c>
      <c r="AC100" s="204">
        <f t="shared" si="196"/>
        <v>-49.156994018765893</v>
      </c>
      <c r="AD100" s="204">
        <f t="shared" si="196"/>
        <v>-49.51292086107668</v>
      </c>
      <c r="AE100" s="204">
        <f t="shared" si="196"/>
        <v>-49.880546626723003</v>
      </c>
      <c r="AF100" s="204">
        <f t="shared" si="196"/>
        <v>-50.259658816851953</v>
      </c>
      <c r="AG100" s="204">
        <f t="shared" si="196"/>
        <v>-50.650048792432663</v>
      </c>
      <c r="AH100" s="204">
        <f t="shared" si="196"/>
        <v>-51.051511704146662</v>
      </c>
      <c r="AI100" s="204">
        <f t="shared" si="196"/>
        <v>-51.463846423551665</v>
      </c>
      <c r="AJ100" s="204">
        <f t="shared" si="196"/>
        <v>-51.886855475495707</v>
      </c>
      <c r="AK100" s="204">
        <f t="shared" si="196"/>
        <v>-52.320344971758878</v>
      </c>
      <c r="AL100" s="204">
        <f t="shared" si="196"/>
        <v>-52.76412454590043</v>
      </c>
      <c r="AM100" s="204">
        <f t="shared" si="196"/>
        <v>-53.218007289289282</v>
      </c>
      <c r="AN100" s="204">
        <f t="shared" si="196"/>
        <v>-53.681809688296511</v>
      </c>
      <c r="AO100" s="204">
        <f t="shared" si="196"/>
        <v>-54.155351562628589</v>
      </c>
      <c r="AP100" s="204">
        <f t="shared" si="196"/>
        <v>-54.638456004780849</v>
      </c>
      <c r="AQ100" s="204">
        <f t="shared" si="196"/>
        <v>-55.130949320590631</v>
      </c>
      <c r="AR100" s="204">
        <f t="shared" si="196"/>
        <v>-55.632660970870248</v>
      </c>
      <c r="AS100" s="204">
        <f t="shared" si="196"/>
        <v>-56.143423514100107</v>
      </c>
      <c r="AT100" s="204">
        <f t="shared" si="196"/>
        <v>-56.663072550162802</v>
      </c>
      <c r="AU100" s="204">
        <f t="shared" si="196"/>
        <v>-57.191446665099171</v>
      </c>
      <c r="AV100" s="204">
        <f t="shared" si="196"/>
        <v>-57.728387376867829</v>
      </c>
      <c r="AW100" s="204">
        <f t="shared" si="196"/>
        <v>-58.273739082089882</v>
      </c>
      <c r="AX100" s="204">
        <f t="shared" si="196"/>
        <v>-58.827349003761015</v>
      </c>
      <c r="AY100" s="204">
        <f t="shared" si="196"/>
        <v>-59.389067139913323</v>
      </c>
      <c r="AZ100" s="204">
        <f t="shared" si="196"/>
        <v>-59.95874621320965</v>
      </c>
      <c r="BA100" s="204">
        <f t="shared" si="196"/>
        <v>-60.53624162145347</v>
      </c>
      <c r="BB100" s="204">
        <f t="shared" si="196"/>
        <v>-61.121411388997728</v>
      </c>
      <c r="BC100" s="204">
        <f t="shared" si="196"/>
        <v>-61.714116119036262</v>
      </c>
      <c r="BD100" s="204">
        <f t="shared" si="196"/>
        <v>-62.314218946761883</v>
      </c>
      <c r="BE100" s="204">
        <f t="shared" si="196"/>
        <v>-62.921585493375147</v>
      </c>
      <c r="BF100" s="204">
        <f t="shared" si="196"/>
        <v>-63.536083820928674</v>
      </c>
      <c r="BG100" s="204">
        <f t="shared" si="196"/>
        <v>-64.157584387991548</v>
      </c>
      <c r="BH100" s="204">
        <f t="shared" si="196"/>
        <v>-64.785960006119055</v>
      </c>
      <c r="BI100" s="204">
        <f t="shared" si="196"/>
        <v>-65.421085797113165</v>
      </c>
      <c r="BJ100" s="204">
        <f t="shared" si="196"/>
        <v>-66.062839151059279</v>
      </c>
      <c r="BK100" s="204">
        <f t="shared" si="196"/>
        <v>-66.711099685125177</v>
      </c>
      <c r="BL100" s="204">
        <f t="shared" si="196"/>
        <v>-67.365749203108379</v>
      </c>
      <c r="BM100" s="204">
        <f t="shared" si="196"/>
        <v>-68.026671655718303</v>
      </c>
      <c r="BN100" s="204">
        <f t="shared" si="196"/>
        <v>-68.693753101579787</v>
      </c>
      <c r="BO100" s="204">
        <f t="shared" si="196"/>
        <v>-69.366881668945013</v>
      </c>
      <c r="BP100" s="204">
        <f t="shared" si="196"/>
        <v>-70.04594751810086</v>
      </c>
      <c r="BQ100" s="204">
        <f t="shared" si="196"/>
        <v>-70.730842804459073</v>
      </c>
      <c r="BR100" s="204">
        <f t="shared" si="196"/>
        <v>-71.421461642316928</v>
      </c>
      <c r="BS100" s="204">
        <f t="shared" si="196"/>
        <v>-72.117700069276026</v>
      </c>
      <c r="BT100" s="204">
        <f t="shared" ref="BT100:EE100" si="197">PV($F54,BT$9,1,0)+(PV($J$6,$N$5-(BT$9),1,0)/($J$6+1)^BT$9)</f>
        <v>-72.819456011307551</v>
      </c>
      <c r="BU100" s="204">
        <f t="shared" si="197"/>
        <v>-73.526629248451897</v>
      </c>
      <c r="BV100" s="204">
        <f t="shared" si="197"/>
        <v>-74.239121381141487</v>
      </c>
      <c r="BW100" s="204">
        <f t="shared" si="197"/>
        <v>-74.956835797135199</v>
      </c>
      <c r="BX100" s="204">
        <f t="shared" si="197"/>
        <v>-75.679677639053423</v>
      </c>
      <c r="BY100" s="204">
        <f t="shared" si="197"/>
        <v>-76.407553772502823</v>
      </c>
      <c r="BZ100" s="204">
        <f t="shared" si="197"/>
        <v>-77.140372754780103</v>
      </c>
      <c r="CA100" s="204">
        <f t="shared" si="197"/>
        <v>-77.878044804144153</v>
      </c>
      <c r="CB100" s="204">
        <f t="shared" si="197"/>
        <v>-78.620481769646403</v>
      </c>
      <c r="CC100" s="204">
        <f t="shared" si="197"/>
        <v>-79.36759710150919</v>
      </c>
      <c r="CD100" s="204">
        <f t="shared" si="197"/>
        <v>-80.119305822042122</v>
      </c>
      <c r="CE100" s="204">
        <f t="shared" si="197"/>
        <v>-80.87552449708673</v>
      </c>
      <c r="CF100" s="204">
        <f t="shared" si="197"/>
        <v>-81.636171207979814</v>
      </c>
      <c r="CG100" s="204">
        <f t="shared" si="197"/>
        <v>-82.401165524026041</v>
      </c>
      <c r="CH100" s="204">
        <f t="shared" si="197"/>
        <v>-83.170428475470544</v>
      </c>
      <c r="CI100" s="204">
        <f t="shared" si="197"/>
        <v>-83.943882526962454</v>
      </c>
      <c r="CJ100" s="204">
        <f t="shared" si="197"/>
        <v>-84.721451551500408</v>
      </c>
      <c r="CK100" s="204">
        <f t="shared" si="197"/>
        <v>-85.503060804851359</v>
      </c>
      <c r="CL100" s="204">
        <f t="shared" si="197"/>
        <v>-86.288636900434042</v>
      </c>
      <c r="CM100" s="204">
        <f t="shared" si="197"/>
        <v>-87.07810778465857</v>
      </c>
      <c r="CN100" s="204">
        <f t="shared" si="197"/>
        <v>-87.871402712714072</v>
      </c>
      <c r="CO100" s="204">
        <f t="shared" si="197"/>
        <v>-88.668452224796056</v>
      </c>
      <c r="CP100" s="204">
        <f t="shared" si="197"/>
        <v>-89.469188122765601</v>
      </c>
      <c r="CQ100" s="204">
        <f t="shared" si="197"/>
        <v>-90.273543447232512</v>
      </c>
      <c r="CR100" s="204">
        <f t="shared" si="197"/>
        <v>-91.081452455054702</v>
      </c>
      <c r="CS100" s="204">
        <f t="shared" si="197"/>
        <v>-91.892850597246365</v>
      </c>
      <c r="CT100" s="204">
        <f t="shared" si="197"/>
        <v>-92.707674497287258</v>
      </c>
      <c r="CU100" s="204">
        <f t="shared" si="197"/>
        <v>-93.525861929826178</v>
      </c>
      <c r="CV100" s="204">
        <f t="shared" si="197"/>
        <v>-94.347351799771133</v>
      </c>
      <c r="CW100" s="204">
        <f t="shared" si="197"/>
        <v>-95.172084121759283</v>
      </c>
      <c r="CX100" s="204">
        <f t="shared" si="197"/>
        <v>-96</v>
      </c>
      <c r="CY100" s="204">
        <f t="shared" si="197"/>
        <v>-96</v>
      </c>
      <c r="CZ100" s="204">
        <f t="shared" si="197"/>
        <v>-96</v>
      </c>
      <c r="DA100" s="204">
        <f t="shared" si="197"/>
        <v>-96</v>
      </c>
      <c r="DB100" s="204">
        <f t="shared" si="197"/>
        <v>-96</v>
      </c>
      <c r="DC100" s="204">
        <f t="shared" si="197"/>
        <v>-96</v>
      </c>
      <c r="DD100" s="204">
        <f t="shared" si="197"/>
        <v>-96</v>
      </c>
      <c r="DE100" s="204">
        <f t="shared" si="197"/>
        <v>-96</v>
      </c>
      <c r="DF100" s="204">
        <f t="shared" si="197"/>
        <v>-96</v>
      </c>
      <c r="DG100" s="204">
        <f t="shared" si="197"/>
        <v>-96</v>
      </c>
      <c r="DH100" s="204">
        <f t="shared" si="197"/>
        <v>-96</v>
      </c>
      <c r="DI100" s="204">
        <f t="shared" si="197"/>
        <v>-96</v>
      </c>
      <c r="DJ100" s="204">
        <f t="shared" si="197"/>
        <v>-96</v>
      </c>
      <c r="DK100" s="204">
        <f t="shared" si="197"/>
        <v>-96</v>
      </c>
      <c r="DL100" s="204">
        <f t="shared" si="197"/>
        <v>-96</v>
      </c>
      <c r="DM100" s="204">
        <f t="shared" si="197"/>
        <v>-96</v>
      </c>
      <c r="DN100" s="204">
        <f t="shared" si="197"/>
        <v>-96</v>
      </c>
      <c r="DO100" s="204">
        <f t="shared" si="197"/>
        <v>-96</v>
      </c>
      <c r="DP100" s="204">
        <f t="shared" si="197"/>
        <v>-96</v>
      </c>
      <c r="DQ100" s="204">
        <f t="shared" si="197"/>
        <v>-96</v>
      </c>
      <c r="DR100" s="204">
        <f t="shared" si="197"/>
        <v>-96</v>
      </c>
      <c r="DS100" s="204">
        <f t="shared" si="197"/>
        <v>-96</v>
      </c>
      <c r="DT100" s="204">
        <f t="shared" si="197"/>
        <v>-96</v>
      </c>
      <c r="DU100" s="204">
        <f t="shared" si="197"/>
        <v>-96</v>
      </c>
      <c r="DV100" s="204">
        <f t="shared" si="197"/>
        <v>-96</v>
      </c>
      <c r="DW100" s="204">
        <f t="shared" si="197"/>
        <v>-96</v>
      </c>
      <c r="DX100" s="204">
        <f t="shared" si="197"/>
        <v>-96</v>
      </c>
      <c r="DY100" s="204">
        <f t="shared" si="197"/>
        <v>-96</v>
      </c>
      <c r="DZ100" s="204">
        <f t="shared" si="197"/>
        <v>-96</v>
      </c>
      <c r="EA100" s="204">
        <f t="shared" si="197"/>
        <v>-96</v>
      </c>
      <c r="EB100" s="204">
        <f t="shared" si="197"/>
        <v>-96</v>
      </c>
      <c r="EC100" s="204">
        <f t="shared" si="197"/>
        <v>-96</v>
      </c>
      <c r="ED100" s="204">
        <f t="shared" si="197"/>
        <v>-96</v>
      </c>
      <c r="EE100" s="204">
        <f t="shared" si="197"/>
        <v>-96</v>
      </c>
      <c r="EF100" s="204">
        <f t="shared" ref="EF100:ET100" si="198">PV($F54,EF$9,1,0)+(PV($J$6,$N$5-(EF$9),1,0)/($J$6+1)^EF$9)</f>
        <v>-96</v>
      </c>
      <c r="EG100" s="204">
        <f t="shared" si="198"/>
        <v>-96</v>
      </c>
      <c r="EH100" s="204">
        <f t="shared" si="198"/>
        <v>-96</v>
      </c>
      <c r="EI100" s="204">
        <f t="shared" si="198"/>
        <v>-96</v>
      </c>
      <c r="EJ100" s="204">
        <f t="shared" si="198"/>
        <v>-96</v>
      </c>
      <c r="EK100" s="204">
        <f t="shared" si="198"/>
        <v>-96</v>
      </c>
      <c r="EL100" s="204">
        <f t="shared" si="198"/>
        <v>-96</v>
      </c>
      <c r="EM100" s="204">
        <f t="shared" si="198"/>
        <v>-96</v>
      </c>
      <c r="EN100" s="204">
        <f t="shared" si="198"/>
        <v>-96</v>
      </c>
      <c r="EO100" s="204">
        <f t="shared" si="198"/>
        <v>-96</v>
      </c>
      <c r="EP100" s="204">
        <f t="shared" si="198"/>
        <v>-96</v>
      </c>
      <c r="EQ100" s="204">
        <f t="shared" si="198"/>
        <v>-96</v>
      </c>
      <c r="ER100" s="204">
        <f t="shared" si="198"/>
        <v>-96</v>
      </c>
      <c r="ES100" s="204">
        <f t="shared" si="198"/>
        <v>-96</v>
      </c>
      <c r="ET100" s="204">
        <f t="shared" si="198"/>
        <v>-96</v>
      </c>
      <c r="FF100" s="6" t="s">
        <v>220</v>
      </c>
      <c r="FG100" s="696">
        <v>2.5000000000000001E-2</v>
      </c>
      <c r="FH100" s="696">
        <v>120</v>
      </c>
      <c r="FI100" s="696">
        <v>2.1000000000000001E-2</v>
      </c>
      <c r="FJ100" s="255">
        <v>1.6500000000000001E-2</v>
      </c>
      <c r="FK100" s="71">
        <f t="shared" si="126"/>
        <v>2.0238095238095239E-4</v>
      </c>
      <c r="FL100" t="e">
        <f>VLOOKUP(FF100,'SIMULADOR COM SALDO'!$BX$22:$CK$1000,13,FALSE)</f>
        <v>#N/A</v>
      </c>
    </row>
    <row r="101" spans="7:168" x14ac:dyDescent="0.25">
      <c r="G101" s="205">
        <f t="shared" si="68"/>
        <v>-44.770373601250576</v>
      </c>
      <c r="H101" s="204">
        <f t="shared" ref="H101:BS101" si="199">PV($F55,H$9,1,0)+(PV($J$6,$N$5-(H$9),1,0)/($J$6+1)^H$9)</f>
        <v>-44.806371604802436</v>
      </c>
      <c r="I101" s="204">
        <f t="shared" si="199"/>
        <v>-44.859879708437063</v>
      </c>
      <c r="J101" s="204">
        <f t="shared" si="199"/>
        <v>-44.930579859281075</v>
      </c>
      <c r="K101" s="204">
        <f t="shared" si="199"/>
        <v>-45.018159781562872</v>
      </c>
      <c r="L101" s="204">
        <f t="shared" si="199"/>
        <v>-45.122312871677551</v>
      </c>
      <c r="M101" s="204">
        <f t="shared" si="199"/>
        <v>-45.24273809515784</v>
      </c>
      <c r="N101" s="204">
        <f t="shared" si="199"/>
        <v>-45.379139885516487</v>
      </c>
      <c r="O101" s="204">
        <f t="shared" si="199"/>
        <v>-45.53122804492606</v>
      </c>
      <c r="P101" s="204">
        <f t="shared" si="199"/>
        <v>-45.698717646702761</v>
      </c>
      <c r="Q101" s="204">
        <f t="shared" si="199"/>
        <v>-45.881328939561598</v>
      </c>
      <c r="R101" s="204">
        <f t="shared" si="199"/>
        <v>-46.078787253610507</v>
      </c>
      <c r="S101" s="204">
        <f t="shared" si="199"/>
        <v>-46.290822908052249</v>
      </c>
      <c r="T101" s="204">
        <f t="shared" si="199"/>
        <v>-46.517171120562551</v>
      </c>
      <c r="U101" s="204">
        <f t="shared" si="199"/>
        <v>-46.75757191831444</v>
      </c>
      <c r="V101" s="204">
        <f t="shared" si="199"/>
        <v>-47.011770050618708</v>
      </c>
      <c r="W101" s="204">
        <f t="shared" si="199"/>
        <v>-47.279514903151124</v>
      </c>
      <c r="X101" s="204">
        <f t="shared" si="199"/>
        <v>-47.560560413737676</v>
      </c>
      <c r="Y101" s="204">
        <f t="shared" si="199"/>
        <v>-47.854664989669509</v>
      </c>
      <c r="Z101" s="204">
        <f t="shared" si="199"/>
        <v>-48.161591426519607</v>
      </c>
      <c r="AA101" s="204">
        <f t="shared" si="199"/>
        <v>-48.481106828434278</v>
      </c>
      <c r="AB101" s="204">
        <f t="shared" si="199"/>
        <v>-48.81298252987235</v>
      </c>
      <c r="AC101" s="204">
        <f t="shared" si="199"/>
        <v>-49.156994018765893</v>
      </c>
      <c r="AD101" s="204">
        <f t="shared" si="199"/>
        <v>-49.51292086107668</v>
      </c>
      <c r="AE101" s="204">
        <f t="shared" si="199"/>
        <v>-49.880546626723003</v>
      </c>
      <c r="AF101" s="204">
        <f t="shared" si="199"/>
        <v>-50.259658816851953</v>
      </c>
      <c r="AG101" s="204">
        <f t="shared" si="199"/>
        <v>-50.650048792432663</v>
      </c>
      <c r="AH101" s="204">
        <f t="shared" si="199"/>
        <v>-51.051511704146662</v>
      </c>
      <c r="AI101" s="204">
        <f t="shared" si="199"/>
        <v>-51.463846423551665</v>
      </c>
      <c r="AJ101" s="204">
        <f t="shared" si="199"/>
        <v>-51.886855475495707</v>
      </c>
      <c r="AK101" s="204">
        <f t="shared" si="199"/>
        <v>-52.320344971758878</v>
      </c>
      <c r="AL101" s="204">
        <f t="shared" si="199"/>
        <v>-52.76412454590043</v>
      </c>
      <c r="AM101" s="204">
        <f t="shared" si="199"/>
        <v>-53.218007289289282</v>
      </c>
      <c r="AN101" s="204">
        <f t="shared" si="199"/>
        <v>-53.681809688296511</v>
      </c>
      <c r="AO101" s="204">
        <f t="shared" si="199"/>
        <v>-54.155351562628589</v>
      </c>
      <c r="AP101" s="204">
        <f t="shared" si="199"/>
        <v>-54.638456004780849</v>
      </c>
      <c r="AQ101" s="204">
        <f t="shared" si="199"/>
        <v>-55.130949320590631</v>
      </c>
      <c r="AR101" s="204">
        <f t="shared" si="199"/>
        <v>-55.632660970870248</v>
      </c>
      <c r="AS101" s="204">
        <f t="shared" si="199"/>
        <v>-56.143423514100107</v>
      </c>
      <c r="AT101" s="204">
        <f t="shared" si="199"/>
        <v>-56.663072550162802</v>
      </c>
      <c r="AU101" s="204">
        <f t="shared" si="199"/>
        <v>-57.191446665099171</v>
      </c>
      <c r="AV101" s="204">
        <f t="shared" si="199"/>
        <v>-57.728387376867829</v>
      </c>
      <c r="AW101" s="204">
        <f t="shared" si="199"/>
        <v>-58.273739082089882</v>
      </c>
      <c r="AX101" s="204">
        <f t="shared" si="199"/>
        <v>-58.827349003761015</v>
      </c>
      <c r="AY101" s="204">
        <f t="shared" si="199"/>
        <v>-59.389067139913323</v>
      </c>
      <c r="AZ101" s="204">
        <f t="shared" si="199"/>
        <v>-59.95874621320965</v>
      </c>
      <c r="BA101" s="204">
        <f t="shared" si="199"/>
        <v>-60.53624162145347</v>
      </c>
      <c r="BB101" s="204">
        <f t="shared" si="199"/>
        <v>-61.121411388997728</v>
      </c>
      <c r="BC101" s="204">
        <f t="shared" si="199"/>
        <v>-61.714116119036262</v>
      </c>
      <c r="BD101" s="204">
        <f t="shared" si="199"/>
        <v>-62.314218946761883</v>
      </c>
      <c r="BE101" s="204">
        <f t="shared" si="199"/>
        <v>-62.921585493375147</v>
      </c>
      <c r="BF101" s="204">
        <f t="shared" si="199"/>
        <v>-63.536083820928674</v>
      </c>
      <c r="BG101" s="204">
        <f t="shared" si="199"/>
        <v>-64.157584387991548</v>
      </c>
      <c r="BH101" s="204">
        <f t="shared" si="199"/>
        <v>-64.785960006119055</v>
      </c>
      <c r="BI101" s="204">
        <f t="shared" si="199"/>
        <v>-65.421085797113165</v>
      </c>
      <c r="BJ101" s="204">
        <f t="shared" si="199"/>
        <v>-66.062839151059279</v>
      </c>
      <c r="BK101" s="204">
        <f t="shared" si="199"/>
        <v>-66.711099685125177</v>
      </c>
      <c r="BL101" s="204">
        <f t="shared" si="199"/>
        <v>-67.365749203108379</v>
      </c>
      <c r="BM101" s="204">
        <f t="shared" si="199"/>
        <v>-68.026671655718303</v>
      </c>
      <c r="BN101" s="204">
        <f t="shared" si="199"/>
        <v>-68.693753101579787</v>
      </c>
      <c r="BO101" s="204">
        <f t="shared" si="199"/>
        <v>-69.366881668945013</v>
      </c>
      <c r="BP101" s="204">
        <f t="shared" si="199"/>
        <v>-70.04594751810086</v>
      </c>
      <c r="BQ101" s="204">
        <f t="shared" si="199"/>
        <v>-70.730842804459073</v>
      </c>
      <c r="BR101" s="204">
        <f t="shared" si="199"/>
        <v>-71.421461642316928</v>
      </c>
      <c r="BS101" s="204">
        <f t="shared" si="199"/>
        <v>-72.117700069276026</v>
      </c>
      <c r="BT101" s="204">
        <f t="shared" ref="BT101:EE101" si="200">PV($F55,BT$9,1,0)+(PV($J$6,$N$5-(BT$9),1,0)/($J$6+1)^BT$9)</f>
        <v>-72.819456011307551</v>
      </c>
      <c r="BU101" s="204">
        <f t="shared" si="200"/>
        <v>-73.526629248451897</v>
      </c>
      <c r="BV101" s="204">
        <f t="shared" si="200"/>
        <v>-74.239121381141487</v>
      </c>
      <c r="BW101" s="204">
        <f t="shared" si="200"/>
        <v>-74.956835797135199</v>
      </c>
      <c r="BX101" s="204">
        <f t="shared" si="200"/>
        <v>-75.679677639053423</v>
      </c>
      <c r="BY101" s="204">
        <f t="shared" si="200"/>
        <v>-76.407553772502823</v>
      </c>
      <c r="BZ101" s="204">
        <f t="shared" si="200"/>
        <v>-77.140372754780103</v>
      </c>
      <c r="CA101" s="204">
        <f t="shared" si="200"/>
        <v>-77.878044804144153</v>
      </c>
      <c r="CB101" s="204">
        <f t="shared" si="200"/>
        <v>-78.620481769646403</v>
      </c>
      <c r="CC101" s="204">
        <f t="shared" si="200"/>
        <v>-79.36759710150919</v>
      </c>
      <c r="CD101" s="204">
        <f t="shared" si="200"/>
        <v>-80.119305822042122</v>
      </c>
      <c r="CE101" s="204">
        <f t="shared" si="200"/>
        <v>-80.87552449708673</v>
      </c>
      <c r="CF101" s="204">
        <f t="shared" si="200"/>
        <v>-81.636171207979814</v>
      </c>
      <c r="CG101" s="204">
        <f t="shared" si="200"/>
        <v>-82.401165524026041</v>
      </c>
      <c r="CH101" s="204">
        <f t="shared" si="200"/>
        <v>-83.170428475470544</v>
      </c>
      <c r="CI101" s="204">
        <f t="shared" si="200"/>
        <v>-83.943882526962454</v>
      </c>
      <c r="CJ101" s="204">
        <f t="shared" si="200"/>
        <v>-84.721451551500408</v>
      </c>
      <c r="CK101" s="204">
        <f t="shared" si="200"/>
        <v>-85.503060804851359</v>
      </c>
      <c r="CL101" s="204">
        <f t="shared" si="200"/>
        <v>-86.288636900434042</v>
      </c>
      <c r="CM101" s="204">
        <f t="shared" si="200"/>
        <v>-87.07810778465857</v>
      </c>
      <c r="CN101" s="204">
        <f t="shared" si="200"/>
        <v>-87.871402712714072</v>
      </c>
      <c r="CO101" s="204">
        <f t="shared" si="200"/>
        <v>-88.668452224796056</v>
      </c>
      <c r="CP101" s="204">
        <f t="shared" si="200"/>
        <v>-89.469188122765601</v>
      </c>
      <c r="CQ101" s="204">
        <f t="shared" si="200"/>
        <v>-90.273543447232512</v>
      </c>
      <c r="CR101" s="204">
        <f t="shared" si="200"/>
        <v>-91.081452455054702</v>
      </c>
      <c r="CS101" s="204">
        <f t="shared" si="200"/>
        <v>-91.892850597246365</v>
      </c>
      <c r="CT101" s="204">
        <f t="shared" si="200"/>
        <v>-92.707674497287258</v>
      </c>
      <c r="CU101" s="204">
        <f t="shared" si="200"/>
        <v>-93.525861929826178</v>
      </c>
      <c r="CV101" s="204">
        <f t="shared" si="200"/>
        <v>-94.347351799771133</v>
      </c>
      <c r="CW101" s="204">
        <f t="shared" si="200"/>
        <v>-95.172084121759283</v>
      </c>
      <c r="CX101" s="204">
        <f t="shared" si="200"/>
        <v>-96</v>
      </c>
      <c r="CY101" s="204">
        <f t="shared" si="200"/>
        <v>-96</v>
      </c>
      <c r="CZ101" s="204">
        <f t="shared" si="200"/>
        <v>-96</v>
      </c>
      <c r="DA101" s="204">
        <f t="shared" si="200"/>
        <v>-96</v>
      </c>
      <c r="DB101" s="204">
        <f t="shared" si="200"/>
        <v>-96</v>
      </c>
      <c r="DC101" s="204">
        <f t="shared" si="200"/>
        <v>-96</v>
      </c>
      <c r="DD101" s="204">
        <f t="shared" si="200"/>
        <v>-96</v>
      </c>
      <c r="DE101" s="204">
        <f t="shared" si="200"/>
        <v>-96</v>
      </c>
      <c r="DF101" s="204">
        <f t="shared" si="200"/>
        <v>-96</v>
      </c>
      <c r="DG101" s="204">
        <f t="shared" si="200"/>
        <v>-96</v>
      </c>
      <c r="DH101" s="204">
        <f t="shared" si="200"/>
        <v>-96</v>
      </c>
      <c r="DI101" s="204">
        <f t="shared" si="200"/>
        <v>-96</v>
      </c>
      <c r="DJ101" s="204">
        <f t="shared" si="200"/>
        <v>-96</v>
      </c>
      <c r="DK101" s="204">
        <f t="shared" si="200"/>
        <v>-96</v>
      </c>
      <c r="DL101" s="204">
        <f t="shared" si="200"/>
        <v>-96</v>
      </c>
      <c r="DM101" s="204">
        <f t="shared" si="200"/>
        <v>-96</v>
      </c>
      <c r="DN101" s="204">
        <f t="shared" si="200"/>
        <v>-96</v>
      </c>
      <c r="DO101" s="204">
        <f t="shared" si="200"/>
        <v>-96</v>
      </c>
      <c r="DP101" s="204">
        <f t="shared" si="200"/>
        <v>-96</v>
      </c>
      <c r="DQ101" s="204">
        <f t="shared" si="200"/>
        <v>-96</v>
      </c>
      <c r="DR101" s="204">
        <f t="shared" si="200"/>
        <v>-96</v>
      </c>
      <c r="DS101" s="204">
        <f t="shared" si="200"/>
        <v>-96</v>
      </c>
      <c r="DT101" s="204">
        <f t="shared" si="200"/>
        <v>-96</v>
      </c>
      <c r="DU101" s="204">
        <f t="shared" si="200"/>
        <v>-96</v>
      </c>
      <c r="DV101" s="204">
        <f t="shared" si="200"/>
        <v>-96</v>
      </c>
      <c r="DW101" s="204">
        <f t="shared" si="200"/>
        <v>-96</v>
      </c>
      <c r="DX101" s="204">
        <f t="shared" si="200"/>
        <v>-96</v>
      </c>
      <c r="DY101" s="204">
        <f t="shared" si="200"/>
        <v>-96</v>
      </c>
      <c r="DZ101" s="204">
        <f t="shared" si="200"/>
        <v>-96</v>
      </c>
      <c r="EA101" s="204">
        <f t="shared" si="200"/>
        <v>-96</v>
      </c>
      <c r="EB101" s="204">
        <f t="shared" si="200"/>
        <v>-96</v>
      </c>
      <c r="EC101" s="204">
        <f t="shared" si="200"/>
        <v>-96</v>
      </c>
      <c r="ED101" s="204">
        <f t="shared" si="200"/>
        <v>-96</v>
      </c>
      <c r="EE101" s="204">
        <f t="shared" si="200"/>
        <v>-96</v>
      </c>
      <c r="EF101" s="204">
        <f t="shared" ref="EF101:ET101" si="201">PV($F55,EF$9,1,0)+(PV($J$6,$N$5-(EF$9),1,0)/($J$6+1)^EF$9)</f>
        <v>-96</v>
      </c>
      <c r="EG101" s="204">
        <f t="shared" si="201"/>
        <v>-96</v>
      </c>
      <c r="EH101" s="204">
        <f t="shared" si="201"/>
        <v>-96</v>
      </c>
      <c r="EI101" s="204">
        <f t="shared" si="201"/>
        <v>-96</v>
      </c>
      <c r="EJ101" s="204">
        <f t="shared" si="201"/>
        <v>-96</v>
      </c>
      <c r="EK101" s="204">
        <f t="shared" si="201"/>
        <v>-96</v>
      </c>
      <c r="EL101" s="204">
        <f t="shared" si="201"/>
        <v>-96</v>
      </c>
      <c r="EM101" s="204">
        <f t="shared" si="201"/>
        <v>-96</v>
      </c>
      <c r="EN101" s="204">
        <f t="shared" si="201"/>
        <v>-96</v>
      </c>
      <c r="EO101" s="204">
        <f t="shared" si="201"/>
        <v>-96</v>
      </c>
      <c r="EP101" s="204">
        <f t="shared" si="201"/>
        <v>-96</v>
      </c>
      <c r="EQ101" s="204">
        <f t="shared" si="201"/>
        <v>-96</v>
      </c>
      <c r="ER101" s="204">
        <f t="shared" si="201"/>
        <v>-96</v>
      </c>
      <c r="ES101" s="204">
        <f t="shared" si="201"/>
        <v>-96</v>
      </c>
      <c r="ET101" s="204">
        <f t="shared" si="201"/>
        <v>-96</v>
      </c>
      <c r="FF101" s="6" t="s">
        <v>390</v>
      </c>
      <c r="FG101" s="696">
        <v>2.5000000000000001E-2</v>
      </c>
      <c r="FH101" s="696">
        <v>120</v>
      </c>
      <c r="FI101" s="696">
        <v>1.9099999999999999E-2</v>
      </c>
      <c r="FJ101" s="255">
        <v>1.67E-2</v>
      </c>
      <c r="FK101" s="71">
        <f t="shared" si="126"/>
        <v>1.9761904761904765E-4</v>
      </c>
      <c r="FL101" t="e">
        <f>VLOOKUP(FF101,'SIMULADOR COM SALDO'!$BX$22:$CK$1000,13,FALSE)</f>
        <v>#N/A</v>
      </c>
    </row>
    <row r="102" spans="7:168" x14ac:dyDescent="0.25">
      <c r="G102" s="205">
        <f t="shared" si="68"/>
        <v>-44.770373601250576</v>
      </c>
      <c r="H102" s="204">
        <f t="shared" ref="H102:BS102" si="202">PV($F56,H$9,1,0)+(PV($J$6,$N$5-(H$9),1,0)/($J$6+1)^H$9)</f>
        <v>-44.806371604802436</v>
      </c>
      <c r="I102" s="204">
        <f t="shared" si="202"/>
        <v>-44.859879708437063</v>
      </c>
      <c r="J102" s="204">
        <f t="shared" si="202"/>
        <v>-44.930579859281075</v>
      </c>
      <c r="K102" s="204">
        <f t="shared" si="202"/>
        <v>-45.018159781562872</v>
      </c>
      <c r="L102" s="204">
        <f t="shared" si="202"/>
        <v>-45.122312871677551</v>
      </c>
      <c r="M102" s="204">
        <f t="shared" si="202"/>
        <v>-45.24273809515784</v>
      </c>
      <c r="N102" s="204">
        <f t="shared" si="202"/>
        <v>-45.379139885516487</v>
      </c>
      <c r="O102" s="204">
        <f t="shared" si="202"/>
        <v>-45.53122804492606</v>
      </c>
      <c r="P102" s="204">
        <f t="shared" si="202"/>
        <v>-45.698717646702761</v>
      </c>
      <c r="Q102" s="204">
        <f t="shared" si="202"/>
        <v>-45.881328939561598</v>
      </c>
      <c r="R102" s="204">
        <f t="shared" si="202"/>
        <v>-46.078787253610507</v>
      </c>
      <c r="S102" s="204">
        <f t="shared" si="202"/>
        <v>-46.290822908052249</v>
      </c>
      <c r="T102" s="204">
        <f t="shared" si="202"/>
        <v>-46.517171120562551</v>
      </c>
      <c r="U102" s="204">
        <f t="shared" si="202"/>
        <v>-46.75757191831444</v>
      </c>
      <c r="V102" s="204">
        <f t="shared" si="202"/>
        <v>-47.011770050618708</v>
      </c>
      <c r="W102" s="204">
        <f t="shared" si="202"/>
        <v>-47.279514903151124</v>
      </c>
      <c r="X102" s="204">
        <f t="shared" si="202"/>
        <v>-47.560560413737676</v>
      </c>
      <c r="Y102" s="204">
        <f t="shared" si="202"/>
        <v>-47.854664989669509</v>
      </c>
      <c r="Z102" s="204">
        <f t="shared" si="202"/>
        <v>-48.161591426519607</v>
      </c>
      <c r="AA102" s="204">
        <f t="shared" si="202"/>
        <v>-48.481106828434278</v>
      </c>
      <c r="AB102" s="204">
        <f t="shared" si="202"/>
        <v>-48.81298252987235</v>
      </c>
      <c r="AC102" s="204">
        <f t="shared" si="202"/>
        <v>-49.156994018765893</v>
      </c>
      <c r="AD102" s="204">
        <f t="shared" si="202"/>
        <v>-49.51292086107668</v>
      </c>
      <c r="AE102" s="204">
        <f t="shared" si="202"/>
        <v>-49.880546626723003</v>
      </c>
      <c r="AF102" s="204">
        <f t="shared" si="202"/>
        <v>-50.259658816851953</v>
      </c>
      <c r="AG102" s="204">
        <f t="shared" si="202"/>
        <v>-50.650048792432663</v>
      </c>
      <c r="AH102" s="204">
        <f t="shared" si="202"/>
        <v>-51.051511704146662</v>
      </c>
      <c r="AI102" s="204">
        <f t="shared" si="202"/>
        <v>-51.463846423551665</v>
      </c>
      <c r="AJ102" s="204">
        <f t="shared" si="202"/>
        <v>-51.886855475495707</v>
      </c>
      <c r="AK102" s="204">
        <f t="shared" si="202"/>
        <v>-52.320344971758878</v>
      </c>
      <c r="AL102" s="204">
        <f t="shared" si="202"/>
        <v>-52.76412454590043</v>
      </c>
      <c r="AM102" s="204">
        <f t="shared" si="202"/>
        <v>-53.218007289289282</v>
      </c>
      <c r="AN102" s="204">
        <f t="shared" si="202"/>
        <v>-53.681809688296511</v>
      </c>
      <c r="AO102" s="204">
        <f t="shared" si="202"/>
        <v>-54.155351562628589</v>
      </c>
      <c r="AP102" s="204">
        <f t="shared" si="202"/>
        <v>-54.638456004780849</v>
      </c>
      <c r="AQ102" s="204">
        <f t="shared" si="202"/>
        <v>-55.130949320590631</v>
      </c>
      <c r="AR102" s="204">
        <f t="shared" si="202"/>
        <v>-55.632660970870248</v>
      </c>
      <c r="AS102" s="204">
        <f t="shared" si="202"/>
        <v>-56.143423514100107</v>
      </c>
      <c r="AT102" s="204">
        <f t="shared" si="202"/>
        <v>-56.663072550162802</v>
      </c>
      <c r="AU102" s="204">
        <f t="shared" si="202"/>
        <v>-57.191446665099171</v>
      </c>
      <c r="AV102" s="204">
        <f t="shared" si="202"/>
        <v>-57.728387376867829</v>
      </c>
      <c r="AW102" s="204">
        <f t="shared" si="202"/>
        <v>-58.273739082089882</v>
      </c>
      <c r="AX102" s="204">
        <f t="shared" si="202"/>
        <v>-58.827349003761015</v>
      </c>
      <c r="AY102" s="204">
        <f t="shared" si="202"/>
        <v>-59.389067139913323</v>
      </c>
      <c r="AZ102" s="204">
        <f t="shared" si="202"/>
        <v>-59.95874621320965</v>
      </c>
      <c r="BA102" s="204">
        <f t="shared" si="202"/>
        <v>-60.53624162145347</v>
      </c>
      <c r="BB102" s="204">
        <f t="shared" si="202"/>
        <v>-61.121411388997728</v>
      </c>
      <c r="BC102" s="204">
        <f t="shared" si="202"/>
        <v>-61.714116119036262</v>
      </c>
      <c r="BD102" s="204">
        <f t="shared" si="202"/>
        <v>-62.314218946761883</v>
      </c>
      <c r="BE102" s="204">
        <f t="shared" si="202"/>
        <v>-62.921585493375147</v>
      </c>
      <c r="BF102" s="204">
        <f t="shared" si="202"/>
        <v>-63.536083820928674</v>
      </c>
      <c r="BG102" s="204">
        <f t="shared" si="202"/>
        <v>-64.157584387991548</v>
      </c>
      <c r="BH102" s="204">
        <f t="shared" si="202"/>
        <v>-64.785960006119055</v>
      </c>
      <c r="BI102" s="204">
        <f t="shared" si="202"/>
        <v>-65.421085797113165</v>
      </c>
      <c r="BJ102" s="204">
        <f t="shared" si="202"/>
        <v>-66.062839151059279</v>
      </c>
      <c r="BK102" s="204">
        <f t="shared" si="202"/>
        <v>-66.711099685125177</v>
      </c>
      <c r="BL102" s="204">
        <f t="shared" si="202"/>
        <v>-67.365749203108379</v>
      </c>
      <c r="BM102" s="204">
        <f t="shared" si="202"/>
        <v>-68.026671655718303</v>
      </c>
      <c r="BN102" s="204">
        <f t="shared" si="202"/>
        <v>-68.693753101579787</v>
      </c>
      <c r="BO102" s="204">
        <f t="shared" si="202"/>
        <v>-69.366881668945013</v>
      </c>
      <c r="BP102" s="204">
        <f t="shared" si="202"/>
        <v>-70.04594751810086</v>
      </c>
      <c r="BQ102" s="204">
        <f t="shared" si="202"/>
        <v>-70.730842804459073</v>
      </c>
      <c r="BR102" s="204">
        <f t="shared" si="202"/>
        <v>-71.421461642316928</v>
      </c>
      <c r="BS102" s="204">
        <f t="shared" si="202"/>
        <v>-72.117700069276026</v>
      </c>
      <c r="BT102" s="204">
        <f t="shared" ref="BT102:EE102" si="203">PV($F56,BT$9,1,0)+(PV($J$6,$N$5-(BT$9),1,0)/($J$6+1)^BT$9)</f>
        <v>-72.819456011307551</v>
      </c>
      <c r="BU102" s="204">
        <f t="shared" si="203"/>
        <v>-73.526629248451897</v>
      </c>
      <c r="BV102" s="204">
        <f t="shared" si="203"/>
        <v>-74.239121381141487</v>
      </c>
      <c r="BW102" s="204">
        <f t="shared" si="203"/>
        <v>-74.956835797135199</v>
      </c>
      <c r="BX102" s="204">
        <f t="shared" si="203"/>
        <v>-75.679677639053423</v>
      </c>
      <c r="BY102" s="204">
        <f t="shared" si="203"/>
        <v>-76.407553772502823</v>
      </c>
      <c r="BZ102" s="204">
        <f t="shared" si="203"/>
        <v>-77.140372754780103</v>
      </c>
      <c r="CA102" s="204">
        <f t="shared" si="203"/>
        <v>-77.878044804144153</v>
      </c>
      <c r="CB102" s="204">
        <f t="shared" si="203"/>
        <v>-78.620481769646403</v>
      </c>
      <c r="CC102" s="204">
        <f t="shared" si="203"/>
        <v>-79.36759710150919</v>
      </c>
      <c r="CD102" s="204">
        <f t="shared" si="203"/>
        <v>-80.119305822042122</v>
      </c>
      <c r="CE102" s="204">
        <f t="shared" si="203"/>
        <v>-80.87552449708673</v>
      </c>
      <c r="CF102" s="204">
        <f t="shared" si="203"/>
        <v>-81.636171207979814</v>
      </c>
      <c r="CG102" s="204">
        <f t="shared" si="203"/>
        <v>-82.401165524026041</v>
      </c>
      <c r="CH102" s="204">
        <f t="shared" si="203"/>
        <v>-83.170428475470544</v>
      </c>
      <c r="CI102" s="204">
        <f t="shared" si="203"/>
        <v>-83.943882526962454</v>
      </c>
      <c r="CJ102" s="204">
        <f t="shared" si="203"/>
        <v>-84.721451551500408</v>
      </c>
      <c r="CK102" s="204">
        <f t="shared" si="203"/>
        <v>-85.503060804851359</v>
      </c>
      <c r="CL102" s="204">
        <f t="shared" si="203"/>
        <v>-86.288636900434042</v>
      </c>
      <c r="CM102" s="204">
        <f t="shared" si="203"/>
        <v>-87.07810778465857</v>
      </c>
      <c r="CN102" s="204">
        <f t="shared" si="203"/>
        <v>-87.871402712714072</v>
      </c>
      <c r="CO102" s="204">
        <f t="shared" si="203"/>
        <v>-88.668452224796056</v>
      </c>
      <c r="CP102" s="204">
        <f t="shared" si="203"/>
        <v>-89.469188122765601</v>
      </c>
      <c r="CQ102" s="204">
        <f t="shared" si="203"/>
        <v>-90.273543447232512</v>
      </c>
      <c r="CR102" s="204">
        <f t="shared" si="203"/>
        <v>-91.081452455054702</v>
      </c>
      <c r="CS102" s="204">
        <f t="shared" si="203"/>
        <v>-91.892850597246365</v>
      </c>
      <c r="CT102" s="204">
        <f t="shared" si="203"/>
        <v>-92.707674497287258</v>
      </c>
      <c r="CU102" s="204">
        <f t="shared" si="203"/>
        <v>-93.525861929826178</v>
      </c>
      <c r="CV102" s="204">
        <f t="shared" si="203"/>
        <v>-94.347351799771133</v>
      </c>
      <c r="CW102" s="204">
        <f t="shared" si="203"/>
        <v>-95.172084121759283</v>
      </c>
      <c r="CX102" s="204">
        <f t="shared" si="203"/>
        <v>-96</v>
      </c>
      <c r="CY102" s="204">
        <f t="shared" si="203"/>
        <v>-96</v>
      </c>
      <c r="CZ102" s="204">
        <f t="shared" si="203"/>
        <v>-96</v>
      </c>
      <c r="DA102" s="204">
        <f t="shared" si="203"/>
        <v>-96</v>
      </c>
      <c r="DB102" s="204">
        <f t="shared" si="203"/>
        <v>-96</v>
      </c>
      <c r="DC102" s="204">
        <f t="shared" si="203"/>
        <v>-96</v>
      </c>
      <c r="DD102" s="204">
        <f t="shared" si="203"/>
        <v>-96</v>
      </c>
      <c r="DE102" s="204">
        <f t="shared" si="203"/>
        <v>-96</v>
      </c>
      <c r="DF102" s="204">
        <f t="shared" si="203"/>
        <v>-96</v>
      </c>
      <c r="DG102" s="204">
        <f t="shared" si="203"/>
        <v>-96</v>
      </c>
      <c r="DH102" s="204">
        <f t="shared" si="203"/>
        <v>-96</v>
      </c>
      <c r="DI102" s="204">
        <f t="shared" si="203"/>
        <v>-96</v>
      </c>
      <c r="DJ102" s="204">
        <f t="shared" si="203"/>
        <v>-96</v>
      </c>
      <c r="DK102" s="204">
        <f t="shared" si="203"/>
        <v>-96</v>
      </c>
      <c r="DL102" s="204">
        <f t="shared" si="203"/>
        <v>-96</v>
      </c>
      <c r="DM102" s="204">
        <f t="shared" si="203"/>
        <v>-96</v>
      </c>
      <c r="DN102" s="204">
        <f t="shared" si="203"/>
        <v>-96</v>
      </c>
      <c r="DO102" s="204">
        <f t="shared" si="203"/>
        <v>-96</v>
      </c>
      <c r="DP102" s="204">
        <f t="shared" si="203"/>
        <v>-96</v>
      </c>
      <c r="DQ102" s="204">
        <f t="shared" si="203"/>
        <v>-96</v>
      </c>
      <c r="DR102" s="204">
        <f t="shared" si="203"/>
        <v>-96</v>
      </c>
      <c r="DS102" s="204">
        <f t="shared" si="203"/>
        <v>-96</v>
      </c>
      <c r="DT102" s="204">
        <f t="shared" si="203"/>
        <v>-96</v>
      </c>
      <c r="DU102" s="204">
        <f t="shared" si="203"/>
        <v>-96</v>
      </c>
      <c r="DV102" s="204">
        <f t="shared" si="203"/>
        <v>-96</v>
      </c>
      <c r="DW102" s="204">
        <f t="shared" si="203"/>
        <v>-96</v>
      </c>
      <c r="DX102" s="204">
        <f t="shared" si="203"/>
        <v>-96</v>
      </c>
      <c r="DY102" s="204">
        <f t="shared" si="203"/>
        <v>-96</v>
      </c>
      <c r="DZ102" s="204">
        <f t="shared" si="203"/>
        <v>-96</v>
      </c>
      <c r="EA102" s="204">
        <f t="shared" si="203"/>
        <v>-96</v>
      </c>
      <c r="EB102" s="204">
        <f t="shared" si="203"/>
        <v>-96</v>
      </c>
      <c r="EC102" s="204">
        <f t="shared" si="203"/>
        <v>-96</v>
      </c>
      <c r="ED102" s="204">
        <f t="shared" si="203"/>
        <v>-96</v>
      </c>
      <c r="EE102" s="204">
        <f t="shared" si="203"/>
        <v>-96</v>
      </c>
      <c r="EF102" s="204">
        <f t="shared" ref="EF102:ET102" si="204">PV($F56,EF$9,1,0)+(PV($J$6,$N$5-(EF$9),1,0)/($J$6+1)^EF$9)</f>
        <v>-96</v>
      </c>
      <c r="EG102" s="204">
        <f t="shared" si="204"/>
        <v>-96</v>
      </c>
      <c r="EH102" s="204">
        <f t="shared" si="204"/>
        <v>-96</v>
      </c>
      <c r="EI102" s="204">
        <f t="shared" si="204"/>
        <v>-96</v>
      </c>
      <c r="EJ102" s="204">
        <f t="shared" si="204"/>
        <v>-96</v>
      </c>
      <c r="EK102" s="204">
        <f t="shared" si="204"/>
        <v>-96</v>
      </c>
      <c r="EL102" s="204">
        <f t="shared" si="204"/>
        <v>-96</v>
      </c>
      <c r="EM102" s="204">
        <f t="shared" si="204"/>
        <v>-96</v>
      </c>
      <c r="EN102" s="204">
        <f t="shared" si="204"/>
        <v>-96</v>
      </c>
      <c r="EO102" s="204">
        <f t="shared" si="204"/>
        <v>-96</v>
      </c>
      <c r="EP102" s="204">
        <f t="shared" si="204"/>
        <v>-96</v>
      </c>
      <c r="EQ102" s="204">
        <f t="shared" si="204"/>
        <v>-96</v>
      </c>
      <c r="ER102" s="204">
        <f t="shared" si="204"/>
        <v>-96</v>
      </c>
      <c r="ES102" s="204">
        <f t="shared" si="204"/>
        <v>-96</v>
      </c>
      <c r="ET102" s="204">
        <f t="shared" si="204"/>
        <v>-96</v>
      </c>
      <c r="FF102" s="6" t="s">
        <v>3028</v>
      </c>
      <c r="FG102" s="696">
        <v>2.5000000000000001E-2</v>
      </c>
      <c r="FH102" s="696">
        <v>96</v>
      </c>
      <c r="FI102" s="696">
        <v>2.2000000000000002E-2</v>
      </c>
      <c r="FJ102" s="255">
        <v>1.4999999999999999E-2</v>
      </c>
      <c r="FK102" s="71">
        <f t="shared" si="126"/>
        <v>2.3809523809523815E-4</v>
      </c>
      <c r="FL102" t="e">
        <f>VLOOKUP(FF102,'SIMULADOR COM SALDO'!$BX$22:$CK$1000,13,FALSE)</f>
        <v>#N/A</v>
      </c>
    </row>
    <row r="103" spans="7:168" x14ac:dyDescent="0.25">
      <c r="G103" s="205">
        <f t="shared" si="68"/>
        <v>-44.770373601250576</v>
      </c>
      <c r="H103" s="204">
        <f t="shared" ref="H103:BS103" si="205">PV($F57,H$9,1,0)+(PV($J$6,$N$5-(H$9),1,0)/($J$6+1)^H$9)</f>
        <v>-44.806371604802436</v>
      </c>
      <c r="I103" s="204">
        <f t="shared" si="205"/>
        <v>-44.859879708437063</v>
      </c>
      <c r="J103" s="204">
        <f t="shared" si="205"/>
        <v>-44.930579859281075</v>
      </c>
      <c r="K103" s="204">
        <f t="shared" si="205"/>
        <v>-45.018159781562872</v>
      </c>
      <c r="L103" s="204">
        <f t="shared" si="205"/>
        <v>-45.122312871677551</v>
      </c>
      <c r="M103" s="204">
        <f t="shared" si="205"/>
        <v>-45.24273809515784</v>
      </c>
      <c r="N103" s="204">
        <f t="shared" si="205"/>
        <v>-45.379139885516487</v>
      </c>
      <c r="O103" s="204">
        <f t="shared" si="205"/>
        <v>-45.53122804492606</v>
      </c>
      <c r="P103" s="204">
        <f t="shared" si="205"/>
        <v>-45.698717646702761</v>
      </c>
      <c r="Q103" s="204">
        <f t="shared" si="205"/>
        <v>-45.881328939561598</v>
      </c>
      <c r="R103" s="204">
        <f t="shared" si="205"/>
        <v>-46.078787253610507</v>
      </c>
      <c r="S103" s="204">
        <f t="shared" si="205"/>
        <v>-46.290822908052249</v>
      </c>
      <c r="T103" s="204">
        <f t="shared" si="205"/>
        <v>-46.517171120562551</v>
      </c>
      <c r="U103" s="204">
        <f t="shared" si="205"/>
        <v>-46.75757191831444</v>
      </c>
      <c r="V103" s="204">
        <f t="shared" si="205"/>
        <v>-47.011770050618708</v>
      </c>
      <c r="W103" s="204">
        <f t="shared" si="205"/>
        <v>-47.279514903151124</v>
      </c>
      <c r="X103" s="204">
        <f t="shared" si="205"/>
        <v>-47.560560413737676</v>
      </c>
      <c r="Y103" s="204">
        <f t="shared" si="205"/>
        <v>-47.854664989669509</v>
      </c>
      <c r="Z103" s="204">
        <f t="shared" si="205"/>
        <v>-48.161591426519607</v>
      </c>
      <c r="AA103" s="204">
        <f t="shared" si="205"/>
        <v>-48.481106828434278</v>
      </c>
      <c r="AB103" s="204">
        <f t="shared" si="205"/>
        <v>-48.81298252987235</v>
      </c>
      <c r="AC103" s="204">
        <f t="shared" si="205"/>
        <v>-49.156994018765893</v>
      </c>
      <c r="AD103" s="204">
        <f t="shared" si="205"/>
        <v>-49.51292086107668</v>
      </c>
      <c r="AE103" s="204">
        <f t="shared" si="205"/>
        <v>-49.880546626723003</v>
      </c>
      <c r="AF103" s="204">
        <f t="shared" si="205"/>
        <v>-50.259658816851953</v>
      </c>
      <c r="AG103" s="204">
        <f t="shared" si="205"/>
        <v>-50.650048792432663</v>
      </c>
      <c r="AH103" s="204">
        <f t="shared" si="205"/>
        <v>-51.051511704146662</v>
      </c>
      <c r="AI103" s="204">
        <f t="shared" si="205"/>
        <v>-51.463846423551665</v>
      </c>
      <c r="AJ103" s="204">
        <f t="shared" si="205"/>
        <v>-51.886855475495707</v>
      </c>
      <c r="AK103" s="204">
        <f t="shared" si="205"/>
        <v>-52.320344971758878</v>
      </c>
      <c r="AL103" s="204">
        <f t="shared" si="205"/>
        <v>-52.76412454590043</v>
      </c>
      <c r="AM103" s="204">
        <f t="shared" si="205"/>
        <v>-53.218007289289282</v>
      </c>
      <c r="AN103" s="204">
        <f t="shared" si="205"/>
        <v>-53.681809688296511</v>
      </c>
      <c r="AO103" s="204">
        <f t="shared" si="205"/>
        <v>-54.155351562628589</v>
      </c>
      <c r="AP103" s="204">
        <f t="shared" si="205"/>
        <v>-54.638456004780849</v>
      </c>
      <c r="AQ103" s="204">
        <f t="shared" si="205"/>
        <v>-55.130949320590631</v>
      </c>
      <c r="AR103" s="204">
        <f t="shared" si="205"/>
        <v>-55.632660970870248</v>
      </c>
      <c r="AS103" s="204">
        <f t="shared" si="205"/>
        <v>-56.143423514100107</v>
      </c>
      <c r="AT103" s="204">
        <f t="shared" si="205"/>
        <v>-56.663072550162802</v>
      </c>
      <c r="AU103" s="204">
        <f t="shared" si="205"/>
        <v>-57.191446665099171</v>
      </c>
      <c r="AV103" s="204">
        <f t="shared" si="205"/>
        <v>-57.728387376867829</v>
      </c>
      <c r="AW103" s="204">
        <f t="shared" si="205"/>
        <v>-58.273739082089882</v>
      </c>
      <c r="AX103" s="204">
        <f t="shared" si="205"/>
        <v>-58.827349003761015</v>
      </c>
      <c r="AY103" s="204">
        <f t="shared" si="205"/>
        <v>-59.389067139913323</v>
      </c>
      <c r="AZ103" s="204">
        <f t="shared" si="205"/>
        <v>-59.95874621320965</v>
      </c>
      <c r="BA103" s="204">
        <f t="shared" si="205"/>
        <v>-60.53624162145347</v>
      </c>
      <c r="BB103" s="204">
        <f t="shared" si="205"/>
        <v>-61.121411388997728</v>
      </c>
      <c r="BC103" s="204">
        <f t="shared" si="205"/>
        <v>-61.714116119036262</v>
      </c>
      <c r="BD103" s="204">
        <f t="shared" si="205"/>
        <v>-62.314218946761883</v>
      </c>
      <c r="BE103" s="204">
        <f t="shared" si="205"/>
        <v>-62.921585493375147</v>
      </c>
      <c r="BF103" s="204">
        <f t="shared" si="205"/>
        <v>-63.536083820928674</v>
      </c>
      <c r="BG103" s="204">
        <f t="shared" si="205"/>
        <v>-64.157584387991548</v>
      </c>
      <c r="BH103" s="204">
        <f t="shared" si="205"/>
        <v>-64.785960006119055</v>
      </c>
      <c r="BI103" s="204">
        <f t="shared" si="205"/>
        <v>-65.421085797113165</v>
      </c>
      <c r="BJ103" s="204">
        <f t="shared" si="205"/>
        <v>-66.062839151059279</v>
      </c>
      <c r="BK103" s="204">
        <f t="shared" si="205"/>
        <v>-66.711099685125177</v>
      </c>
      <c r="BL103" s="204">
        <f t="shared" si="205"/>
        <v>-67.365749203108379</v>
      </c>
      <c r="BM103" s="204">
        <f t="shared" si="205"/>
        <v>-68.026671655718303</v>
      </c>
      <c r="BN103" s="204">
        <f t="shared" si="205"/>
        <v>-68.693753101579787</v>
      </c>
      <c r="BO103" s="204">
        <f t="shared" si="205"/>
        <v>-69.366881668945013</v>
      </c>
      <c r="BP103" s="204">
        <f t="shared" si="205"/>
        <v>-70.04594751810086</v>
      </c>
      <c r="BQ103" s="204">
        <f t="shared" si="205"/>
        <v>-70.730842804459073</v>
      </c>
      <c r="BR103" s="204">
        <f t="shared" si="205"/>
        <v>-71.421461642316928</v>
      </c>
      <c r="BS103" s="204">
        <f t="shared" si="205"/>
        <v>-72.117700069276026</v>
      </c>
      <c r="BT103" s="204">
        <f t="shared" ref="BT103:EE103" si="206">PV($F57,BT$9,1,0)+(PV($J$6,$N$5-(BT$9),1,0)/($J$6+1)^BT$9)</f>
        <v>-72.819456011307551</v>
      </c>
      <c r="BU103" s="204">
        <f t="shared" si="206"/>
        <v>-73.526629248451897</v>
      </c>
      <c r="BV103" s="204">
        <f t="shared" si="206"/>
        <v>-74.239121381141487</v>
      </c>
      <c r="BW103" s="204">
        <f t="shared" si="206"/>
        <v>-74.956835797135199</v>
      </c>
      <c r="BX103" s="204">
        <f t="shared" si="206"/>
        <v>-75.679677639053423</v>
      </c>
      <c r="BY103" s="204">
        <f t="shared" si="206"/>
        <v>-76.407553772502823</v>
      </c>
      <c r="BZ103" s="204">
        <f t="shared" si="206"/>
        <v>-77.140372754780103</v>
      </c>
      <c r="CA103" s="204">
        <f t="shared" si="206"/>
        <v>-77.878044804144153</v>
      </c>
      <c r="CB103" s="204">
        <f t="shared" si="206"/>
        <v>-78.620481769646403</v>
      </c>
      <c r="CC103" s="204">
        <f t="shared" si="206"/>
        <v>-79.36759710150919</v>
      </c>
      <c r="CD103" s="204">
        <f t="shared" si="206"/>
        <v>-80.119305822042122</v>
      </c>
      <c r="CE103" s="204">
        <f t="shared" si="206"/>
        <v>-80.87552449708673</v>
      </c>
      <c r="CF103" s="204">
        <f t="shared" si="206"/>
        <v>-81.636171207979814</v>
      </c>
      <c r="CG103" s="204">
        <f t="shared" si="206"/>
        <v>-82.401165524026041</v>
      </c>
      <c r="CH103" s="204">
        <f t="shared" si="206"/>
        <v>-83.170428475470544</v>
      </c>
      <c r="CI103" s="204">
        <f t="shared" si="206"/>
        <v>-83.943882526962454</v>
      </c>
      <c r="CJ103" s="204">
        <f t="shared" si="206"/>
        <v>-84.721451551500408</v>
      </c>
      <c r="CK103" s="204">
        <f t="shared" si="206"/>
        <v>-85.503060804851359</v>
      </c>
      <c r="CL103" s="204">
        <f t="shared" si="206"/>
        <v>-86.288636900434042</v>
      </c>
      <c r="CM103" s="204">
        <f t="shared" si="206"/>
        <v>-87.07810778465857</v>
      </c>
      <c r="CN103" s="204">
        <f t="shared" si="206"/>
        <v>-87.871402712714072</v>
      </c>
      <c r="CO103" s="204">
        <f t="shared" si="206"/>
        <v>-88.668452224796056</v>
      </c>
      <c r="CP103" s="204">
        <f t="shared" si="206"/>
        <v>-89.469188122765601</v>
      </c>
      <c r="CQ103" s="204">
        <f t="shared" si="206"/>
        <v>-90.273543447232512</v>
      </c>
      <c r="CR103" s="204">
        <f t="shared" si="206"/>
        <v>-91.081452455054702</v>
      </c>
      <c r="CS103" s="204">
        <f t="shared" si="206"/>
        <v>-91.892850597246365</v>
      </c>
      <c r="CT103" s="204">
        <f t="shared" si="206"/>
        <v>-92.707674497287258</v>
      </c>
      <c r="CU103" s="204">
        <f t="shared" si="206"/>
        <v>-93.525861929826178</v>
      </c>
      <c r="CV103" s="204">
        <f t="shared" si="206"/>
        <v>-94.347351799771133</v>
      </c>
      <c r="CW103" s="204">
        <f t="shared" si="206"/>
        <v>-95.172084121759283</v>
      </c>
      <c r="CX103" s="204">
        <f t="shared" si="206"/>
        <v>-96</v>
      </c>
      <c r="CY103" s="204">
        <f t="shared" si="206"/>
        <v>-96</v>
      </c>
      <c r="CZ103" s="204">
        <f t="shared" si="206"/>
        <v>-96</v>
      </c>
      <c r="DA103" s="204">
        <f t="shared" si="206"/>
        <v>-96</v>
      </c>
      <c r="DB103" s="204">
        <f t="shared" si="206"/>
        <v>-96</v>
      </c>
      <c r="DC103" s="204">
        <f t="shared" si="206"/>
        <v>-96</v>
      </c>
      <c r="DD103" s="204">
        <f t="shared" si="206"/>
        <v>-96</v>
      </c>
      <c r="DE103" s="204">
        <f t="shared" si="206"/>
        <v>-96</v>
      </c>
      <c r="DF103" s="204">
        <f t="shared" si="206"/>
        <v>-96</v>
      </c>
      <c r="DG103" s="204">
        <f t="shared" si="206"/>
        <v>-96</v>
      </c>
      <c r="DH103" s="204">
        <f t="shared" si="206"/>
        <v>-96</v>
      </c>
      <c r="DI103" s="204">
        <f t="shared" si="206"/>
        <v>-96</v>
      </c>
      <c r="DJ103" s="204">
        <f t="shared" si="206"/>
        <v>-96</v>
      </c>
      <c r="DK103" s="204">
        <f t="shared" si="206"/>
        <v>-96</v>
      </c>
      <c r="DL103" s="204">
        <f t="shared" si="206"/>
        <v>-96</v>
      </c>
      <c r="DM103" s="204">
        <f t="shared" si="206"/>
        <v>-96</v>
      </c>
      <c r="DN103" s="204">
        <f t="shared" si="206"/>
        <v>-96</v>
      </c>
      <c r="DO103" s="204">
        <f t="shared" si="206"/>
        <v>-96</v>
      </c>
      <c r="DP103" s="204">
        <f t="shared" si="206"/>
        <v>-96</v>
      </c>
      <c r="DQ103" s="204">
        <f t="shared" si="206"/>
        <v>-96</v>
      </c>
      <c r="DR103" s="204">
        <f t="shared" si="206"/>
        <v>-96</v>
      </c>
      <c r="DS103" s="204">
        <f t="shared" si="206"/>
        <v>-96</v>
      </c>
      <c r="DT103" s="204">
        <f t="shared" si="206"/>
        <v>-96</v>
      </c>
      <c r="DU103" s="204">
        <f t="shared" si="206"/>
        <v>-96</v>
      </c>
      <c r="DV103" s="204">
        <f t="shared" si="206"/>
        <v>-96</v>
      </c>
      <c r="DW103" s="204">
        <f t="shared" si="206"/>
        <v>-96</v>
      </c>
      <c r="DX103" s="204">
        <f t="shared" si="206"/>
        <v>-96</v>
      </c>
      <c r="DY103" s="204">
        <f t="shared" si="206"/>
        <v>-96</v>
      </c>
      <c r="DZ103" s="204">
        <f t="shared" si="206"/>
        <v>-96</v>
      </c>
      <c r="EA103" s="204">
        <f t="shared" si="206"/>
        <v>-96</v>
      </c>
      <c r="EB103" s="204">
        <f t="shared" si="206"/>
        <v>-96</v>
      </c>
      <c r="EC103" s="204">
        <f t="shared" si="206"/>
        <v>-96</v>
      </c>
      <c r="ED103" s="204">
        <f t="shared" si="206"/>
        <v>-96</v>
      </c>
      <c r="EE103" s="204">
        <f t="shared" si="206"/>
        <v>-96</v>
      </c>
      <c r="EF103" s="204">
        <f t="shared" ref="EF103:ET103" si="207">PV($F57,EF$9,1,0)+(PV($J$6,$N$5-(EF$9),1,0)/($J$6+1)^EF$9)</f>
        <v>-96</v>
      </c>
      <c r="EG103" s="204">
        <f t="shared" si="207"/>
        <v>-96</v>
      </c>
      <c r="EH103" s="204">
        <f t="shared" si="207"/>
        <v>-96</v>
      </c>
      <c r="EI103" s="204">
        <f t="shared" si="207"/>
        <v>-96</v>
      </c>
      <c r="EJ103" s="204">
        <f t="shared" si="207"/>
        <v>-96</v>
      </c>
      <c r="EK103" s="204">
        <f t="shared" si="207"/>
        <v>-96</v>
      </c>
      <c r="EL103" s="204">
        <f t="shared" si="207"/>
        <v>-96</v>
      </c>
      <c r="EM103" s="204">
        <f t="shared" si="207"/>
        <v>-96</v>
      </c>
      <c r="EN103" s="204">
        <f t="shared" si="207"/>
        <v>-96</v>
      </c>
      <c r="EO103" s="204">
        <f t="shared" si="207"/>
        <v>-96</v>
      </c>
      <c r="EP103" s="204">
        <f t="shared" si="207"/>
        <v>-96</v>
      </c>
      <c r="EQ103" s="204">
        <f t="shared" si="207"/>
        <v>-96</v>
      </c>
      <c r="ER103" s="204">
        <f t="shared" si="207"/>
        <v>-96</v>
      </c>
      <c r="ES103" s="204">
        <f t="shared" si="207"/>
        <v>-96</v>
      </c>
      <c r="ET103" s="204">
        <f t="shared" si="207"/>
        <v>-96</v>
      </c>
      <c r="FF103" s="67" t="s">
        <v>78</v>
      </c>
      <c r="FG103" s="696">
        <v>2.5000000000000001E-2</v>
      </c>
      <c r="FH103" s="696">
        <v>120</v>
      </c>
      <c r="FI103" s="696">
        <v>1.77E-2</v>
      </c>
      <c r="FJ103" s="255">
        <v>1.4800000000000001E-2</v>
      </c>
      <c r="FK103" s="71">
        <f t="shared" si="126"/>
        <v>2.4285714285714289E-4</v>
      </c>
      <c r="FL103" t="e">
        <f>VLOOKUP(FF103,'SIMULADOR COM SALDO'!$BX$22:$CK$1000,13,FALSE)</f>
        <v>#N/A</v>
      </c>
    </row>
    <row r="104" spans="7:168" x14ac:dyDescent="0.25">
      <c r="G104" s="205">
        <f t="shared" si="68"/>
        <v>-44.770373601250576</v>
      </c>
      <c r="H104" s="204">
        <f t="shared" ref="H104:BS104" si="208">PV($F58,H$9,1,0)+(PV($J$6,$N$5-(H$9),1,0)/($J$6+1)^H$9)</f>
        <v>-44.806371604802436</v>
      </c>
      <c r="I104" s="204">
        <f t="shared" si="208"/>
        <v>-44.859879708437063</v>
      </c>
      <c r="J104" s="204">
        <f t="shared" si="208"/>
        <v>-44.930579859281075</v>
      </c>
      <c r="K104" s="204">
        <f t="shared" si="208"/>
        <v>-45.018159781562872</v>
      </c>
      <c r="L104" s="204">
        <f t="shared" si="208"/>
        <v>-45.122312871677551</v>
      </c>
      <c r="M104" s="204">
        <f t="shared" si="208"/>
        <v>-45.24273809515784</v>
      </c>
      <c r="N104" s="204">
        <f t="shared" si="208"/>
        <v>-45.379139885516487</v>
      </c>
      <c r="O104" s="204">
        <f t="shared" si="208"/>
        <v>-45.53122804492606</v>
      </c>
      <c r="P104" s="204">
        <f t="shared" si="208"/>
        <v>-45.698717646702761</v>
      </c>
      <c r="Q104" s="204">
        <f t="shared" si="208"/>
        <v>-45.881328939561598</v>
      </c>
      <c r="R104" s="204">
        <f t="shared" si="208"/>
        <v>-46.078787253610507</v>
      </c>
      <c r="S104" s="204">
        <f t="shared" si="208"/>
        <v>-46.290822908052249</v>
      </c>
      <c r="T104" s="204">
        <f t="shared" si="208"/>
        <v>-46.517171120562551</v>
      </c>
      <c r="U104" s="204">
        <f t="shared" si="208"/>
        <v>-46.75757191831444</v>
      </c>
      <c r="V104" s="204">
        <f t="shared" si="208"/>
        <v>-47.011770050618708</v>
      </c>
      <c r="W104" s="204">
        <f t="shared" si="208"/>
        <v>-47.279514903151124</v>
      </c>
      <c r="X104" s="204">
        <f t="shared" si="208"/>
        <v>-47.560560413737676</v>
      </c>
      <c r="Y104" s="204">
        <f t="shared" si="208"/>
        <v>-47.854664989669509</v>
      </c>
      <c r="Z104" s="204">
        <f t="shared" si="208"/>
        <v>-48.161591426519607</v>
      </c>
      <c r="AA104" s="204">
        <f t="shared" si="208"/>
        <v>-48.481106828434278</v>
      </c>
      <c r="AB104" s="204">
        <f t="shared" si="208"/>
        <v>-48.81298252987235</v>
      </c>
      <c r="AC104" s="204">
        <f t="shared" si="208"/>
        <v>-49.156994018765893</v>
      </c>
      <c r="AD104" s="204">
        <f t="shared" si="208"/>
        <v>-49.51292086107668</v>
      </c>
      <c r="AE104" s="204">
        <f t="shared" si="208"/>
        <v>-49.880546626723003</v>
      </c>
      <c r="AF104" s="204">
        <f t="shared" si="208"/>
        <v>-50.259658816851953</v>
      </c>
      <c r="AG104" s="204">
        <f t="shared" si="208"/>
        <v>-50.650048792432663</v>
      </c>
      <c r="AH104" s="204">
        <f t="shared" si="208"/>
        <v>-51.051511704146662</v>
      </c>
      <c r="AI104" s="204">
        <f t="shared" si="208"/>
        <v>-51.463846423551665</v>
      </c>
      <c r="AJ104" s="204">
        <f t="shared" si="208"/>
        <v>-51.886855475495707</v>
      </c>
      <c r="AK104" s="204">
        <f t="shared" si="208"/>
        <v>-52.320344971758878</v>
      </c>
      <c r="AL104" s="204">
        <f t="shared" si="208"/>
        <v>-52.76412454590043</v>
      </c>
      <c r="AM104" s="204">
        <f t="shared" si="208"/>
        <v>-53.218007289289282</v>
      </c>
      <c r="AN104" s="204">
        <f t="shared" si="208"/>
        <v>-53.681809688296511</v>
      </c>
      <c r="AO104" s="204">
        <f t="shared" si="208"/>
        <v>-54.155351562628589</v>
      </c>
      <c r="AP104" s="204">
        <f t="shared" si="208"/>
        <v>-54.638456004780849</v>
      </c>
      <c r="AQ104" s="204">
        <f t="shared" si="208"/>
        <v>-55.130949320590631</v>
      </c>
      <c r="AR104" s="204">
        <f t="shared" si="208"/>
        <v>-55.632660970870248</v>
      </c>
      <c r="AS104" s="204">
        <f t="shared" si="208"/>
        <v>-56.143423514100107</v>
      </c>
      <c r="AT104" s="204">
        <f t="shared" si="208"/>
        <v>-56.663072550162802</v>
      </c>
      <c r="AU104" s="204">
        <f t="shared" si="208"/>
        <v>-57.191446665099171</v>
      </c>
      <c r="AV104" s="204">
        <f t="shared" si="208"/>
        <v>-57.728387376867829</v>
      </c>
      <c r="AW104" s="204">
        <f t="shared" si="208"/>
        <v>-58.273739082089882</v>
      </c>
      <c r="AX104" s="204">
        <f t="shared" si="208"/>
        <v>-58.827349003761015</v>
      </c>
      <c r="AY104" s="204">
        <f t="shared" si="208"/>
        <v>-59.389067139913323</v>
      </c>
      <c r="AZ104" s="204">
        <f t="shared" si="208"/>
        <v>-59.95874621320965</v>
      </c>
      <c r="BA104" s="204">
        <f t="shared" si="208"/>
        <v>-60.53624162145347</v>
      </c>
      <c r="BB104" s="204">
        <f t="shared" si="208"/>
        <v>-61.121411388997728</v>
      </c>
      <c r="BC104" s="204">
        <f t="shared" si="208"/>
        <v>-61.714116119036262</v>
      </c>
      <c r="BD104" s="204">
        <f t="shared" si="208"/>
        <v>-62.314218946761883</v>
      </c>
      <c r="BE104" s="204">
        <f t="shared" si="208"/>
        <v>-62.921585493375147</v>
      </c>
      <c r="BF104" s="204">
        <f t="shared" si="208"/>
        <v>-63.536083820928674</v>
      </c>
      <c r="BG104" s="204">
        <f t="shared" si="208"/>
        <v>-64.157584387991548</v>
      </c>
      <c r="BH104" s="204">
        <f t="shared" si="208"/>
        <v>-64.785960006119055</v>
      </c>
      <c r="BI104" s="204">
        <f t="shared" si="208"/>
        <v>-65.421085797113165</v>
      </c>
      <c r="BJ104" s="204">
        <f t="shared" si="208"/>
        <v>-66.062839151059279</v>
      </c>
      <c r="BK104" s="204">
        <f t="shared" si="208"/>
        <v>-66.711099685125177</v>
      </c>
      <c r="BL104" s="204">
        <f t="shared" si="208"/>
        <v>-67.365749203108379</v>
      </c>
      <c r="BM104" s="204">
        <f t="shared" si="208"/>
        <v>-68.026671655718303</v>
      </c>
      <c r="BN104" s="204">
        <f t="shared" si="208"/>
        <v>-68.693753101579787</v>
      </c>
      <c r="BO104" s="204">
        <f t="shared" si="208"/>
        <v>-69.366881668945013</v>
      </c>
      <c r="BP104" s="204">
        <f t="shared" si="208"/>
        <v>-70.04594751810086</v>
      </c>
      <c r="BQ104" s="204">
        <f t="shared" si="208"/>
        <v>-70.730842804459073</v>
      </c>
      <c r="BR104" s="204">
        <f t="shared" si="208"/>
        <v>-71.421461642316928</v>
      </c>
      <c r="BS104" s="204">
        <f t="shared" si="208"/>
        <v>-72.117700069276026</v>
      </c>
      <c r="BT104" s="204">
        <f t="shared" ref="BT104:EE104" si="209">PV($F58,BT$9,1,0)+(PV($J$6,$N$5-(BT$9),1,0)/($J$6+1)^BT$9)</f>
        <v>-72.819456011307551</v>
      </c>
      <c r="BU104" s="204">
        <f t="shared" si="209"/>
        <v>-73.526629248451897</v>
      </c>
      <c r="BV104" s="204">
        <f t="shared" si="209"/>
        <v>-74.239121381141487</v>
      </c>
      <c r="BW104" s="204">
        <f t="shared" si="209"/>
        <v>-74.956835797135199</v>
      </c>
      <c r="BX104" s="204">
        <f t="shared" si="209"/>
        <v>-75.679677639053423</v>
      </c>
      <c r="BY104" s="204">
        <f t="shared" si="209"/>
        <v>-76.407553772502823</v>
      </c>
      <c r="BZ104" s="204">
        <f t="shared" si="209"/>
        <v>-77.140372754780103</v>
      </c>
      <c r="CA104" s="204">
        <f t="shared" si="209"/>
        <v>-77.878044804144153</v>
      </c>
      <c r="CB104" s="204">
        <f t="shared" si="209"/>
        <v>-78.620481769646403</v>
      </c>
      <c r="CC104" s="204">
        <f t="shared" si="209"/>
        <v>-79.36759710150919</v>
      </c>
      <c r="CD104" s="204">
        <f t="shared" si="209"/>
        <v>-80.119305822042122</v>
      </c>
      <c r="CE104" s="204">
        <f t="shared" si="209"/>
        <v>-80.87552449708673</v>
      </c>
      <c r="CF104" s="204">
        <f t="shared" si="209"/>
        <v>-81.636171207979814</v>
      </c>
      <c r="CG104" s="204">
        <f t="shared" si="209"/>
        <v>-82.401165524026041</v>
      </c>
      <c r="CH104" s="204">
        <f t="shared" si="209"/>
        <v>-83.170428475470544</v>
      </c>
      <c r="CI104" s="204">
        <f t="shared" si="209"/>
        <v>-83.943882526962454</v>
      </c>
      <c r="CJ104" s="204">
        <f t="shared" si="209"/>
        <v>-84.721451551500408</v>
      </c>
      <c r="CK104" s="204">
        <f t="shared" si="209"/>
        <v>-85.503060804851359</v>
      </c>
      <c r="CL104" s="204">
        <f t="shared" si="209"/>
        <v>-86.288636900434042</v>
      </c>
      <c r="CM104" s="204">
        <f t="shared" si="209"/>
        <v>-87.07810778465857</v>
      </c>
      <c r="CN104" s="204">
        <f t="shared" si="209"/>
        <v>-87.871402712714072</v>
      </c>
      <c r="CO104" s="204">
        <f t="shared" si="209"/>
        <v>-88.668452224796056</v>
      </c>
      <c r="CP104" s="204">
        <f t="shared" si="209"/>
        <v>-89.469188122765601</v>
      </c>
      <c r="CQ104" s="204">
        <f t="shared" si="209"/>
        <v>-90.273543447232512</v>
      </c>
      <c r="CR104" s="204">
        <f t="shared" si="209"/>
        <v>-91.081452455054702</v>
      </c>
      <c r="CS104" s="204">
        <f t="shared" si="209"/>
        <v>-91.892850597246365</v>
      </c>
      <c r="CT104" s="204">
        <f t="shared" si="209"/>
        <v>-92.707674497287258</v>
      </c>
      <c r="CU104" s="204">
        <f t="shared" si="209"/>
        <v>-93.525861929826178</v>
      </c>
      <c r="CV104" s="204">
        <f t="shared" si="209"/>
        <v>-94.347351799771133</v>
      </c>
      <c r="CW104" s="204">
        <f t="shared" si="209"/>
        <v>-95.172084121759283</v>
      </c>
      <c r="CX104" s="204">
        <f t="shared" si="209"/>
        <v>-96</v>
      </c>
      <c r="CY104" s="204">
        <f t="shared" si="209"/>
        <v>-96</v>
      </c>
      <c r="CZ104" s="204">
        <f t="shared" si="209"/>
        <v>-96</v>
      </c>
      <c r="DA104" s="204">
        <f t="shared" si="209"/>
        <v>-96</v>
      </c>
      <c r="DB104" s="204">
        <f t="shared" si="209"/>
        <v>-96</v>
      </c>
      <c r="DC104" s="204">
        <f t="shared" si="209"/>
        <v>-96</v>
      </c>
      <c r="DD104" s="204">
        <f t="shared" si="209"/>
        <v>-96</v>
      </c>
      <c r="DE104" s="204">
        <f t="shared" si="209"/>
        <v>-96</v>
      </c>
      <c r="DF104" s="204">
        <f t="shared" si="209"/>
        <v>-96</v>
      </c>
      <c r="DG104" s="204">
        <f t="shared" si="209"/>
        <v>-96</v>
      </c>
      <c r="DH104" s="204">
        <f t="shared" si="209"/>
        <v>-96</v>
      </c>
      <c r="DI104" s="204">
        <f t="shared" si="209"/>
        <v>-96</v>
      </c>
      <c r="DJ104" s="204">
        <f t="shared" si="209"/>
        <v>-96</v>
      </c>
      <c r="DK104" s="204">
        <f t="shared" si="209"/>
        <v>-96</v>
      </c>
      <c r="DL104" s="204">
        <f t="shared" si="209"/>
        <v>-96</v>
      </c>
      <c r="DM104" s="204">
        <f t="shared" si="209"/>
        <v>-96</v>
      </c>
      <c r="DN104" s="204">
        <f t="shared" si="209"/>
        <v>-96</v>
      </c>
      <c r="DO104" s="204">
        <f t="shared" si="209"/>
        <v>-96</v>
      </c>
      <c r="DP104" s="204">
        <f t="shared" si="209"/>
        <v>-96</v>
      </c>
      <c r="DQ104" s="204">
        <f t="shared" si="209"/>
        <v>-96</v>
      </c>
      <c r="DR104" s="204">
        <f t="shared" si="209"/>
        <v>-96</v>
      </c>
      <c r="DS104" s="204">
        <f t="shared" si="209"/>
        <v>-96</v>
      </c>
      <c r="DT104" s="204">
        <f t="shared" si="209"/>
        <v>-96</v>
      </c>
      <c r="DU104" s="204">
        <f t="shared" si="209"/>
        <v>-96</v>
      </c>
      <c r="DV104" s="204">
        <f t="shared" si="209"/>
        <v>-96</v>
      </c>
      <c r="DW104" s="204">
        <f t="shared" si="209"/>
        <v>-96</v>
      </c>
      <c r="DX104" s="204">
        <f t="shared" si="209"/>
        <v>-96</v>
      </c>
      <c r="DY104" s="204">
        <f t="shared" si="209"/>
        <v>-96</v>
      </c>
      <c r="DZ104" s="204">
        <f t="shared" si="209"/>
        <v>-96</v>
      </c>
      <c r="EA104" s="204">
        <f t="shared" si="209"/>
        <v>-96</v>
      </c>
      <c r="EB104" s="204">
        <f t="shared" si="209"/>
        <v>-96</v>
      </c>
      <c r="EC104" s="204">
        <f t="shared" si="209"/>
        <v>-96</v>
      </c>
      <c r="ED104" s="204">
        <f t="shared" si="209"/>
        <v>-96</v>
      </c>
      <c r="EE104" s="204">
        <f t="shared" si="209"/>
        <v>-96</v>
      </c>
      <c r="EF104" s="204">
        <f t="shared" ref="EF104:ET104" si="210">PV($F58,EF$9,1,0)+(PV($J$6,$N$5-(EF$9),1,0)/($J$6+1)^EF$9)</f>
        <v>-96</v>
      </c>
      <c r="EG104" s="204">
        <f t="shared" si="210"/>
        <v>-96</v>
      </c>
      <c r="EH104" s="204">
        <f t="shared" si="210"/>
        <v>-96</v>
      </c>
      <c r="EI104" s="204">
        <f t="shared" si="210"/>
        <v>-96</v>
      </c>
      <c r="EJ104" s="204">
        <f t="shared" si="210"/>
        <v>-96</v>
      </c>
      <c r="EK104" s="204">
        <f t="shared" si="210"/>
        <v>-96</v>
      </c>
      <c r="EL104" s="204">
        <f t="shared" si="210"/>
        <v>-96</v>
      </c>
      <c r="EM104" s="204">
        <f t="shared" si="210"/>
        <v>-96</v>
      </c>
      <c r="EN104" s="204">
        <f t="shared" si="210"/>
        <v>-96</v>
      </c>
      <c r="EO104" s="204">
        <f t="shared" si="210"/>
        <v>-96</v>
      </c>
      <c r="EP104" s="204">
        <f t="shared" si="210"/>
        <v>-96</v>
      </c>
      <c r="EQ104" s="204">
        <f t="shared" si="210"/>
        <v>-96</v>
      </c>
      <c r="ER104" s="204">
        <f t="shared" si="210"/>
        <v>-96</v>
      </c>
      <c r="ES104" s="204">
        <f t="shared" si="210"/>
        <v>-96</v>
      </c>
      <c r="ET104" s="204">
        <f t="shared" si="210"/>
        <v>-96</v>
      </c>
      <c r="FF104" s="6" t="s">
        <v>367</v>
      </c>
      <c r="FG104" s="696">
        <v>2.23E-2</v>
      </c>
      <c r="FH104" s="696">
        <v>120</v>
      </c>
      <c r="FI104" s="696">
        <v>2.23E-2</v>
      </c>
      <c r="FJ104" s="255">
        <v>1.9799999999999998E-2</v>
      </c>
      <c r="FK104" s="71">
        <f t="shared" si="126"/>
        <v>5.9523809523809578E-5</v>
      </c>
      <c r="FL104" t="e">
        <f>VLOOKUP(FF104,'SIMULADOR COM SALDO'!$BX$22:$CK$1000,13,FALSE)</f>
        <v>#N/A</v>
      </c>
    </row>
    <row r="105" spans="7:168" x14ac:dyDescent="0.25">
      <c r="G105" s="205">
        <f t="shared" si="68"/>
        <v>-44.770373601250576</v>
      </c>
      <c r="H105" s="204">
        <f t="shared" ref="H105:BS105" si="211">PV($F59,H$9,1,0)+(PV($J$6,$N$5-(H$9),1,0)/($J$6+1)^H$9)</f>
        <v>-44.806371604802436</v>
      </c>
      <c r="I105" s="204">
        <f t="shared" si="211"/>
        <v>-44.859879708437063</v>
      </c>
      <c r="J105" s="204">
        <f t="shared" si="211"/>
        <v>-44.930579859281075</v>
      </c>
      <c r="K105" s="204">
        <f t="shared" si="211"/>
        <v>-45.018159781562872</v>
      </c>
      <c r="L105" s="204">
        <f t="shared" si="211"/>
        <v>-45.122312871677551</v>
      </c>
      <c r="M105" s="204">
        <f t="shared" si="211"/>
        <v>-45.24273809515784</v>
      </c>
      <c r="N105" s="204">
        <f t="shared" si="211"/>
        <v>-45.379139885516487</v>
      </c>
      <c r="O105" s="204">
        <f t="shared" si="211"/>
        <v>-45.53122804492606</v>
      </c>
      <c r="P105" s="204">
        <f t="shared" si="211"/>
        <v>-45.698717646702761</v>
      </c>
      <c r="Q105" s="204">
        <f t="shared" si="211"/>
        <v>-45.881328939561598</v>
      </c>
      <c r="R105" s="204">
        <f t="shared" si="211"/>
        <v>-46.078787253610507</v>
      </c>
      <c r="S105" s="204">
        <f t="shared" si="211"/>
        <v>-46.290822908052249</v>
      </c>
      <c r="T105" s="204">
        <f t="shared" si="211"/>
        <v>-46.517171120562551</v>
      </c>
      <c r="U105" s="204">
        <f t="shared" si="211"/>
        <v>-46.75757191831444</v>
      </c>
      <c r="V105" s="204">
        <f t="shared" si="211"/>
        <v>-47.011770050618708</v>
      </c>
      <c r="W105" s="204">
        <f t="shared" si="211"/>
        <v>-47.279514903151124</v>
      </c>
      <c r="X105" s="204">
        <f t="shared" si="211"/>
        <v>-47.560560413737676</v>
      </c>
      <c r="Y105" s="204">
        <f t="shared" si="211"/>
        <v>-47.854664989669509</v>
      </c>
      <c r="Z105" s="204">
        <f t="shared" si="211"/>
        <v>-48.161591426519607</v>
      </c>
      <c r="AA105" s="204">
        <f t="shared" si="211"/>
        <v>-48.481106828434278</v>
      </c>
      <c r="AB105" s="204">
        <f t="shared" si="211"/>
        <v>-48.81298252987235</v>
      </c>
      <c r="AC105" s="204">
        <f t="shared" si="211"/>
        <v>-49.156994018765893</v>
      </c>
      <c r="AD105" s="204">
        <f t="shared" si="211"/>
        <v>-49.51292086107668</v>
      </c>
      <c r="AE105" s="204">
        <f t="shared" si="211"/>
        <v>-49.880546626723003</v>
      </c>
      <c r="AF105" s="204">
        <f t="shared" si="211"/>
        <v>-50.259658816851953</v>
      </c>
      <c r="AG105" s="204">
        <f t="shared" si="211"/>
        <v>-50.650048792432663</v>
      </c>
      <c r="AH105" s="204">
        <f t="shared" si="211"/>
        <v>-51.051511704146662</v>
      </c>
      <c r="AI105" s="204">
        <f t="shared" si="211"/>
        <v>-51.463846423551665</v>
      </c>
      <c r="AJ105" s="204">
        <f t="shared" si="211"/>
        <v>-51.886855475495707</v>
      </c>
      <c r="AK105" s="204">
        <f t="shared" si="211"/>
        <v>-52.320344971758878</v>
      </c>
      <c r="AL105" s="204">
        <f t="shared" si="211"/>
        <v>-52.76412454590043</v>
      </c>
      <c r="AM105" s="204">
        <f t="shared" si="211"/>
        <v>-53.218007289289282</v>
      </c>
      <c r="AN105" s="204">
        <f t="shared" si="211"/>
        <v>-53.681809688296511</v>
      </c>
      <c r="AO105" s="204">
        <f t="shared" si="211"/>
        <v>-54.155351562628589</v>
      </c>
      <c r="AP105" s="204">
        <f t="shared" si="211"/>
        <v>-54.638456004780849</v>
      </c>
      <c r="AQ105" s="204">
        <f t="shared" si="211"/>
        <v>-55.130949320590631</v>
      </c>
      <c r="AR105" s="204">
        <f t="shared" si="211"/>
        <v>-55.632660970870248</v>
      </c>
      <c r="AS105" s="204">
        <f t="shared" si="211"/>
        <v>-56.143423514100107</v>
      </c>
      <c r="AT105" s="204">
        <f t="shared" si="211"/>
        <v>-56.663072550162802</v>
      </c>
      <c r="AU105" s="204">
        <f t="shared" si="211"/>
        <v>-57.191446665099171</v>
      </c>
      <c r="AV105" s="204">
        <f t="shared" si="211"/>
        <v>-57.728387376867829</v>
      </c>
      <c r="AW105" s="204">
        <f t="shared" si="211"/>
        <v>-58.273739082089882</v>
      </c>
      <c r="AX105" s="204">
        <f t="shared" si="211"/>
        <v>-58.827349003761015</v>
      </c>
      <c r="AY105" s="204">
        <f t="shared" si="211"/>
        <v>-59.389067139913323</v>
      </c>
      <c r="AZ105" s="204">
        <f t="shared" si="211"/>
        <v>-59.95874621320965</v>
      </c>
      <c r="BA105" s="204">
        <f t="shared" si="211"/>
        <v>-60.53624162145347</v>
      </c>
      <c r="BB105" s="204">
        <f t="shared" si="211"/>
        <v>-61.121411388997728</v>
      </c>
      <c r="BC105" s="204">
        <f t="shared" si="211"/>
        <v>-61.714116119036262</v>
      </c>
      <c r="BD105" s="204">
        <f t="shared" si="211"/>
        <v>-62.314218946761883</v>
      </c>
      <c r="BE105" s="204">
        <f t="shared" si="211"/>
        <v>-62.921585493375147</v>
      </c>
      <c r="BF105" s="204">
        <f t="shared" si="211"/>
        <v>-63.536083820928674</v>
      </c>
      <c r="BG105" s="204">
        <f t="shared" si="211"/>
        <v>-64.157584387991548</v>
      </c>
      <c r="BH105" s="204">
        <f t="shared" si="211"/>
        <v>-64.785960006119055</v>
      </c>
      <c r="BI105" s="204">
        <f t="shared" si="211"/>
        <v>-65.421085797113165</v>
      </c>
      <c r="BJ105" s="204">
        <f t="shared" si="211"/>
        <v>-66.062839151059279</v>
      </c>
      <c r="BK105" s="204">
        <f t="shared" si="211"/>
        <v>-66.711099685125177</v>
      </c>
      <c r="BL105" s="204">
        <f t="shared" si="211"/>
        <v>-67.365749203108379</v>
      </c>
      <c r="BM105" s="204">
        <f t="shared" si="211"/>
        <v>-68.026671655718303</v>
      </c>
      <c r="BN105" s="204">
        <f t="shared" si="211"/>
        <v>-68.693753101579787</v>
      </c>
      <c r="BO105" s="204">
        <f t="shared" si="211"/>
        <v>-69.366881668945013</v>
      </c>
      <c r="BP105" s="204">
        <f t="shared" si="211"/>
        <v>-70.04594751810086</v>
      </c>
      <c r="BQ105" s="204">
        <f t="shared" si="211"/>
        <v>-70.730842804459073</v>
      </c>
      <c r="BR105" s="204">
        <f t="shared" si="211"/>
        <v>-71.421461642316928</v>
      </c>
      <c r="BS105" s="204">
        <f t="shared" si="211"/>
        <v>-72.117700069276026</v>
      </c>
      <c r="BT105" s="204">
        <f t="shared" ref="BT105:EE105" si="212">PV($F59,BT$9,1,0)+(PV($J$6,$N$5-(BT$9),1,0)/($J$6+1)^BT$9)</f>
        <v>-72.819456011307551</v>
      </c>
      <c r="BU105" s="204">
        <f t="shared" si="212"/>
        <v>-73.526629248451897</v>
      </c>
      <c r="BV105" s="204">
        <f t="shared" si="212"/>
        <v>-74.239121381141487</v>
      </c>
      <c r="BW105" s="204">
        <f t="shared" si="212"/>
        <v>-74.956835797135199</v>
      </c>
      <c r="BX105" s="204">
        <f t="shared" si="212"/>
        <v>-75.679677639053423</v>
      </c>
      <c r="BY105" s="204">
        <f t="shared" si="212"/>
        <v>-76.407553772502823</v>
      </c>
      <c r="BZ105" s="204">
        <f t="shared" si="212"/>
        <v>-77.140372754780103</v>
      </c>
      <c r="CA105" s="204">
        <f t="shared" si="212"/>
        <v>-77.878044804144153</v>
      </c>
      <c r="CB105" s="204">
        <f t="shared" si="212"/>
        <v>-78.620481769646403</v>
      </c>
      <c r="CC105" s="204">
        <f t="shared" si="212"/>
        <v>-79.36759710150919</v>
      </c>
      <c r="CD105" s="204">
        <f t="shared" si="212"/>
        <v>-80.119305822042122</v>
      </c>
      <c r="CE105" s="204">
        <f t="shared" si="212"/>
        <v>-80.87552449708673</v>
      </c>
      <c r="CF105" s="204">
        <f t="shared" si="212"/>
        <v>-81.636171207979814</v>
      </c>
      <c r="CG105" s="204">
        <f t="shared" si="212"/>
        <v>-82.401165524026041</v>
      </c>
      <c r="CH105" s="204">
        <f t="shared" si="212"/>
        <v>-83.170428475470544</v>
      </c>
      <c r="CI105" s="204">
        <f t="shared" si="212"/>
        <v>-83.943882526962454</v>
      </c>
      <c r="CJ105" s="204">
        <f t="shared" si="212"/>
        <v>-84.721451551500408</v>
      </c>
      <c r="CK105" s="204">
        <f t="shared" si="212"/>
        <v>-85.503060804851359</v>
      </c>
      <c r="CL105" s="204">
        <f t="shared" si="212"/>
        <v>-86.288636900434042</v>
      </c>
      <c r="CM105" s="204">
        <f t="shared" si="212"/>
        <v>-87.07810778465857</v>
      </c>
      <c r="CN105" s="204">
        <f t="shared" si="212"/>
        <v>-87.871402712714072</v>
      </c>
      <c r="CO105" s="204">
        <f t="shared" si="212"/>
        <v>-88.668452224796056</v>
      </c>
      <c r="CP105" s="204">
        <f t="shared" si="212"/>
        <v>-89.469188122765601</v>
      </c>
      <c r="CQ105" s="204">
        <f t="shared" si="212"/>
        <v>-90.273543447232512</v>
      </c>
      <c r="CR105" s="204">
        <f t="shared" si="212"/>
        <v>-91.081452455054702</v>
      </c>
      <c r="CS105" s="204">
        <f t="shared" si="212"/>
        <v>-91.892850597246365</v>
      </c>
      <c r="CT105" s="204">
        <f t="shared" si="212"/>
        <v>-92.707674497287258</v>
      </c>
      <c r="CU105" s="204">
        <f t="shared" si="212"/>
        <v>-93.525861929826178</v>
      </c>
      <c r="CV105" s="204">
        <f t="shared" si="212"/>
        <v>-94.347351799771133</v>
      </c>
      <c r="CW105" s="204">
        <f t="shared" si="212"/>
        <v>-95.172084121759283</v>
      </c>
      <c r="CX105" s="204">
        <f t="shared" si="212"/>
        <v>-96</v>
      </c>
      <c r="CY105" s="204">
        <f t="shared" si="212"/>
        <v>-96</v>
      </c>
      <c r="CZ105" s="204">
        <f t="shared" si="212"/>
        <v>-96</v>
      </c>
      <c r="DA105" s="204">
        <f t="shared" si="212"/>
        <v>-96</v>
      </c>
      <c r="DB105" s="204">
        <f t="shared" si="212"/>
        <v>-96</v>
      </c>
      <c r="DC105" s="204">
        <f t="shared" si="212"/>
        <v>-96</v>
      </c>
      <c r="DD105" s="204">
        <f t="shared" si="212"/>
        <v>-96</v>
      </c>
      <c r="DE105" s="204">
        <f t="shared" si="212"/>
        <v>-96</v>
      </c>
      <c r="DF105" s="204">
        <f t="shared" si="212"/>
        <v>-96</v>
      </c>
      <c r="DG105" s="204">
        <f t="shared" si="212"/>
        <v>-96</v>
      </c>
      <c r="DH105" s="204">
        <f t="shared" si="212"/>
        <v>-96</v>
      </c>
      <c r="DI105" s="204">
        <f t="shared" si="212"/>
        <v>-96</v>
      </c>
      <c r="DJ105" s="204">
        <f t="shared" si="212"/>
        <v>-96</v>
      </c>
      <c r="DK105" s="204">
        <f t="shared" si="212"/>
        <v>-96</v>
      </c>
      <c r="DL105" s="204">
        <f t="shared" si="212"/>
        <v>-96</v>
      </c>
      <c r="DM105" s="204">
        <f t="shared" si="212"/>
        <v>-96</v>
      </c>
      <c r="DN105" s="204">
        <f t="shared" si="212"/>
        <v>-96</v>
      </c>
      <c r="DO105" s="204">
        <f t="shared" si="212"/>
        <v>-96</v>
      </c>
      <c r="DP105" s="204">
        <f t="shared" si="212"/>
        <v>-96</v>
      </c>
      <c r="DQ105" s="204">
        <f t="shared" si="212"/>
        <v>-96</v>
      </c>
      <c r="DR105" s="204">
        <f t="shared" si="212"/>
        <v>-96</v>
      </c>
      <c r="DS105" s="204">
        <f t="shared" si="212"/>
        <v>-96</v>
      </c>
      <c r="DT105" s="204">
        <f t="shared" si="212"/>
        <v>-96</v>
      </c>
      <c r="DU105" s="204">
        <f t="shared" si="212"/>
        <v>-96</v>
      </c>
      <c r="DV105" s="204">
        <f t="shared" si="212"/>
        <v>-96</v>
      </c>
      <c r="DW105" s="204">
        <f t="shared" si="212"/>
        <v>-96</v>
      </c>
      <c r="DX105" s="204">
        <f t="shared" si="212"/>
        <v>-96</v>
      </c>
      <c r="DY105" s="204">
        <f t="shared" si="212"/>
        <v>-96</v>
      </c>
      <c r="DZ105" s="204">
        <f t="shared" si="212"/>
        <v>-96</v>
      </c>
      <c r="EA105" s="204">
        <f t="shared" si="212"/>
        <v>-96</v>
      </c>
      <c r="EB105" s="204">
        <f t="shared" si="212"/>
        <v>-96</v>
      </c>
      <c r="EC105" s="204">
        <f t="shared" si="212"/>
        <v>-96</v>
      </c>
      <c r="ED105" s="204">
        <f t="shared" si="212"/>
        <v>-96</v>
      </c>
      <c r="EE105" s="204">
        <f t="shared" si="212"/>
        <v>-96</v>
      </c>
      <c r="EF105" s="204">
        <f t="shared" ref="EF105:ET105" si="213">PV($F59,EF$9,1,0)+(PV($J$6,$N$5-(EF$9),1,0)/($J$6+1)^EF$9)</f>
        <v>-96</v>
      </c>
      <c r="EG105" s="204">
        <f t="shared" si="213"/>
        <v>-96</v>
      </c>
      <c r="EH105" s="204">
        <f t="shared" si="213"/>
        <v>-96</v>
      </c>
      <c r="EI105" s="204">
        <f t="shared" si="213"/>
        <v>-96</v>
      </c>
      <c r="EJ105" s="204">
        <f t="shared" si="213"/>
        <v>-96</v>
      </c>
      <c r="EK105" s="204">
        <f t="shared" si="213"/>
        <v>-96</v>
      </c>
      <c r="EL105" s="204">
        <f t="shared" si="213"/>
        <v>-96</v>
      </c>
      <c r="EM105" s="204">
        <f t="shared" si="213"/>
        <v>-96</v>
      </c>
      <c r="EN105" s="204">
        <f t="shared" si="213"/>
        <v>-96</v>
      </c>
      <c r="EO105" s="204">
        <f t="shared" si="213"/>
        <v>-96</v>
      </c>
      <c r="EP105" s="204">
        <f t="shared" si="213"/>
        <v>-96</v>
      </c>
      <c r="EQ105" s="204">
        <f t="shared" si="213"/>
        <v>-96</v>
      </c>
      <c r="ER105" s="204">
        <f t="shared" si="213"/>
        <v>-96</v>
      </c>
      <c r="ES105" s="204">
        <f t="shared" si="213"/>
        <v>-96</v>
      </c>
      <c r="ET105" s="204">
        <f t="shared" si="213"/>
        <v>-96</v>
      </c>
      <c r="FF105" s="6" t="s">
        <v>3750</v>
      </c>
      <c r="FG105" s="696">
        <v>2.5000000000000001E-2</v>
      </c>
      <c r="FH105" s="696">
        <v>120</v>
      </c>
      <c r="FI105" s="696">
        <v>1.8100000000000002E-2</v>
      </c>
      <c r="FJ105" s="255">
        <v>1.5600000000000001E-2</v>
      </c>
      <c r="FK105" s="71">
        <f t="shared" si="126"/>
        <v>2.2380952380952383E-4</v>
      </c>
      <c r="FL105" t="e">
        <f>VLOOKUP(FF105,'SIMULADOR COM SALDO'!$BX$22:$CK$1000,13,FALSE)</f>
        <v>#N/A</v>
      </c>
    </row>
    <row r="106" spans="7:168" x14ac:dyDescent="0.25">
      <c r="G106" s="205">
        <f t="shared" si="68"/>
        <v>-44.770373601250576</v>
      </c>
      <c r="H106" s="204">
        <f t="shared" ref="H106:BS106" si="214">PV($F60,H$9,1,0)+(PV($J$6,$N$5-(H$9),1,0)/($J$6+1)^H$9)</f>
        <v>-44.806371604802436</v>
      </c>
      <c r="I106" s="204">
        <f t="shared" si="214"/>
        <v>-44.859879708437063</v>
      </c>
      <c r="J106" s="204">
        <f t="shared" si="214"/>
        <v>-44.930579859281075</v>
      </c>
      <c r="K106" s="204">
        <f t="shared" si="214"/>
        <v>-45.018159781562872</v>
      </c>
      <c r="L106" s="204">
        <f t="shared" si="214"/>
        <v>-45.122312871677551</v>
      </c>
      <c r="M106" s="204">
        <f t="shared" si="214"/>
        <v>-45.24273809515784</v>
      </c>
      <c r="N106" s="204">
        <f t="shared" si="214"/>
        <v>-45.379139885516487</v>
      </c>
      <c r="O106" s="204">
        <f t="shared" si="214"/>
        <v>-45.53122804492606</v>
      </c>
      <c r="P106" s="204">
        <f t="shared" si="214"/>
        <v>-45.698717646702761</v>
      </c>
      <c r="Q106" s="204">
        <f t="shared" si="214"/>
        <v>-45.881328939561598</v>
      </c>
      <c r="R106" s="204">
        <f t="shared" si="214"/>
        <v>-46.078787253610507</v>
      </c>
      <c r="S106" s="204">
        <f t="shared" si="214"/>
        <v>-46.290822908052249</v>
      </c>
      <c r="T106" s="204">
        <f t="shared" si="214"/>
        <v>-46.517171120562551</v>
      </c>
      <c r="U106" s="204">
        <f t="shared" si="214"/>
        <v>-46.75757191831444</v>
      </c>
      <c r="V106" s="204">
        <f t="shared" si="214"/>
        <v>-47.011770050618708</v>
      </c>
      <c r="W106" s="204">
        <f t="shared" si="214"/>
        <v>-47.279514903151124</v>
      </c>
      <c r="X106" s="204">
        <f t="shared" si="214"/>
        <v>-47.560560413737676</v>
      </c>
      <c r="Y106" s="204">
        <f t="shared" si="214"/>
        <v>-47.854664989669509</v>
      </c>
      <c r="Z106" s="204">
        <f t="shared" si="214"/>
        <v>-48.161591426519607</v>
      </c>
      <c r="AA106" s="204">
        <f t="shared" si="214"/>
        <v>-48.481106828434278</v>
      </c>
      <c r="AB106" s="204">
        <f t="shared" si="214"/>
        <v>-48.81298252987235</v>
      </c>
      <c r="AC106" s="204">
        <f t="shared" si="214"/>
        <v>-49.156994018765893</v>
      </c>
      <c r="AD106" s="204">
        <f t="shared" si="214"/>
        <v>-49.51292086107668</v>
      </c>
      <c r="AE106" s="204">
        <f t="shared" si="214"/>
        <v>-49.880546626723003</v>
      </c>
      <c r="AF106" s="204">
        <f t="shared" si="214"/>
        <v>-50.259658816851953</v>
      </c>
      <c r="AG106" s="204">
        <f t="shared" si="214"/>
        <v>-50.650048792432663</v>
      </c>
      <c r="AH106" s="204">
        <f t="shared" si="214"/>
        <v>-51.051511704146662</v>
      </c>
      <c r="AI106" s="204">
        <f t="shared" si="214"/>
        <v>-51.463846423551665</v>
      </c>
      <c r="AJ106" s="204">
        <f t="shared" si="214"/>
        <v>-51.886855475495707</v>
      </c>
      <c r="AK106" s="204">
        <f t="shared" si="214"/>
        <v>-52.320344971758878</v>
      </c>
      <c r="AL106" s="204">
        <f t="shared" si="214"/>
        <v>-52.76412454590043</v>
      </c>
      <c r="AM106" s="204">
        <f t="shared" si="214"/>
        <v>-53.218007289289282</v>
      </c>
      <c r="AN106" s="204">
        <f t="shared" si="214"/>
        <v>-53.681809688296511</v>
      </c>
      <c r="AO106" s="204">
        <f t="shared" si="214"/>
        <v>-54.155351562628589</v>
      </c>
      <c r="AP106" s="204">
        <f t="shared" si="214"/>
        <v>-54.638456004780849</v>
      </c>
      <c r="AQ106" s="204">
        <f t="shared" si="214"/>
        <v>-55.130949320590631</v>
      </c>
      <c r="AR106" s="204">
        <f t="shared" si="214"/>
        <v>-55.632660970870248</v>
      </c>
      <c r="AS106" s="204">
        <f t="shared" si="214"/>
        <v>-56.143423514100107</v>
      </c>
      <c r="AT106" s="204">
        <f t="shared" si="214"/>
        <v>-56.663072550162802</v>
      </c>
      <c r="AU106" s="204">
        <f t="shared" si="214"/>
        <v>-57.191446665099171</v>
      </c>
      <c r="AV106" s="204">
        <f t="shared" si="214"/>
        <v>-57.728387376867829</v>
      </c>
      <c r="AW106" s="204">
        <f t="shared" si="214"/>
        <v>-58.273739082089882</v>
      </c>
      <c r="AX106" s="204">
        <f t="shared" si="214"/>
        <v>-58.827349003761015</v>
      </c>
      <c r="AY106" s="204">
        <f t="shared" si="214"/>
        <v>-59.389067139913323</v>
      </c>
      <c r="AZ106" s="204">
        <f t="shared" si="214"/>
        <v>-59.95874621320965</v>
      </c>
      <c r="BA106" s="204">
        <f t="shared" si="214"/>
        <v>-60.53624162145347</v>
      </c>
      <c r="BB106" s="204">
        <f t="shared" si="214"/>
        <v>-61.121411388997728</v>
      </c>
      <c r="BC106" s="204">
        <f t="shared" si="214"/>
        <v>-61.714116119036262</v>
      </c>
      <c r="BD106" s="204">
        <f t="shared" si="214"/>
        <v>-62.314218946761883</v>
      </c>
      <c r="BE106" s="204">
        <f t="shared" si="214"/>
        <v>-62.921585493375147</v>
      </c>
      <c r="BF106" s="204">
        <f t="shared" si="214"/>
        <v>-63.536083820928674</v>
      </c>
      <c r="BG106" s="204">
        <f t="shared" si="214"/>
        <v>-64.157584387991548</v>
      </c>
      <c r="BH106" s="204">
        <f t="shared" si="214"/>
        <v>-64.785960006119055</v>
      </c>
      <c r="BI106" s="204">
        <f t="shared" si="214"/>
        <v>-65.421085797113165</v>
      </c>
      <c r="BJ106" s="204">
        <f t="shared" si="214"/>
        <v>-66.062839151059279</v>
      </c>
      <c r="BK106" s="204">
        <f t="shared" si="214"/>
        <v>-66.711099685125177</v>
      </c>
      <c r="BL106" s="204">
        <f t="shared" si="214"/>
        <v>-67.365749203108379</v>
      </c>
      <c r="BM106" s="204">
        <f t="shared" si="214"/>
        <v>-68.026671655718303</v>
      </c>
      <c r="BN106" s="204">
        <f t="shared" si="214"/>
        <v>-68.693753101579787</v>
      </c>
      <c r="BO106" s="204">
        <f t="shared" si="214"/>
        <v>-69.366881668945013</v>
      </c>
      <c r="BP106" s="204">
        <f t="shared" si="214"/>
        <v>-70.04594751810086</v>
      </c>
      <c r="BQ106" s="204">
        <f t="shared" si="214"/>
        <v>-70.730842804459073</v>
      </c>
      <c r="BR106" s="204">
        <f t="shared" si="214"/>
        <v>-71.421461642316928</v>
      </c>
      <c r="BS106" s="204">
        <f t="shared" si="214"/>
        <v>-72.117700069276026</v>
      </c>
      <c r="BT106" s="204">
        <f t="shared" ref="BT106:EE106" si="215">PV($F60,BT$9,1,0)+(PV($J$6,$N$5-(BT$9),1,0)/($J$6+1)^BT$9)</f>
        <v>-72.819456011307551</v>
      </c>
      <c r="BU106" s="204">
        <f t="shared" si="215"/>
        <v>-73.526629248451897</v>
      </c>
      <c r="BV106" s="204">
        <f t="shared" si="215"/>
        <v>-74.239121381141487</v>
      </c>
      <c r="BW106" s="204">
        <f t="shared" si="215"/>
        <v>-74.956835797135199</v>
      </c>
      <c r="BX106" s="204">
        <f t="shared" si="215"/>
        <v>-75.679677639053423</v>
      </c>
      <c r="BY106" s="204">
        <f t="shared" si="215"/>
        <v>-76.407553772502823</v>
      </c>
      <c r="BZ106" s="204">
        <f t="shared" si="215"/>
        <v>-77.140372754780103</v>
      </c>
      <c r="CA106" s="204">
        <f t="shared" si="215"/>
        <v>-77.878044804144153</v>
      </c>
      <c r="CB106" s="204">
        <f t="shared" si="215"/>
        <v>-78.620481769646403</v>
      </c>
      <c r="CC106" s="204">
        <f t="shared" si="215"/>
        <v>-79.36759710150919</v>
      </c>
      <c r="CD106" s="204">
        <f t="shared" si="215"/>
        <v>-80.119305822042122</v>
      </c>
      <c r="CE106" s="204">
        <f t="shared" si="215"/>
        <v>-80.87552449708673</v>
      </c>
      <c r="CF106" s="204">
        <f t="shared" si="215"/>
        <v>-81.636171207979814</v>
      </c>
      <c r="CG106" s="204">
        <f t="shared" si="215"/>
        <v>-82.401165524026041</v>
      </c>
      <c r="CH106" s="204">
        <f t="shared" si="215"/>
        <v>-83.170428475470544</v>
      </c>
      <c r="CI106" s="204">
        <f t="shared" si="215"/>
        <v>-83.943882526962454</v>
      </c>
      <c r="CJ106" s="204">
        <f t="shared" si="215"/>
        <v>-84.721451551500408</v>
      </c>
      <c r="CK106" s="204">
        <f t="shared" si="215"/>
        <v>-85.503060804851359</v>
      </c>
      <c r="CL106" s="204">
        <f t="shared" si="215"/>
        <v>-86.288636900434042</v>
      </c>
      <c r="CM106" s="204">
        <f t="shared" si="215"/>
        <v>-87.07810778465857</v>
      </c>
      <c r="CN106" s="204">
        <f t="shared" si="215"/>
        <v>-87.871402712714072</v>
      </c>
      <c r="CO106" s="204">
        <f t="shared" si="215"/>
        <v>-88.668452224796056</v>
      </c>
      <c r="CP106" s="204">
        <f t="shared" si="215"/>
        <v>-89.469188122765601</v>
      </c>
      <c r="CQ106" s="204">
        <f t="shared" si="215"/>
        <v>-90.273543447232512</v>
      </c>
      <c r="CR106" s="204">
        <f t="shared" si="215"/>
        <v>-91.081452455054702</v>
      </c>
      <c r="CS106" s="204">
        <f t="shared" si="215"/>
        <v>-91.892850597246365</v>
      </c>
      <c r="CT106" s="204">
        <f t="shared" si="215"/>
        <v>-92.707674497287258</v>
      </c>
      <c r="CU106" s="204">
        <f t="shared" si="215"/>
        <v>-93.525861929826178</v>
      </c>
      <c r="CV106" s="204">
        <f t="shared" si="215"/>
        <v>-94.347351799771133</v>
      </c>
      <c r="CW106" s="204">
        <f t="shared" si="215"/>
        <v>-95.172084121759283</v>
      </c>
      <c r="CX106" s="204">
        <f t="shared" si="215"/>
        <v>-96</v>
      </c>
      <c r="CY106" s="204">
        <f t="shared" si="215"/>
        <v>-96</v>
      </c>
      <c r="CZ106" s="204">
        <f t="shared" si="215"/>
        <v>-96</v>
      </c>
      <c r="DA106" s="204">
        <f t="shared" si="215"/>
        <v>-96</v>
      </c>
      <c r="DB106" s="204">
        <f t="shared" si="215"/>
        <v>-96</v>
      </c>
      <c r="DC106" s="204">
        <f t="shared" si="215"/>
        <v>-96</v>
      </c>
      <c r="DD106" s="204">
        <f t="shared" si="215"/>
        <v>-96</v>
      </c>
      <c r="DE106" s="204">
        <f t="shared" si="215"/>
        <v>-96</v>
      </c>
      <c r="DF106" s="204">
        <f t="shared" si="215"/>
        <v>-96</v>
      </c>
      <c r="DG106" s="204">
        <f t="shared" si="215"/>
        <v>-96</v>
      </c>
      <c r="DH106" s="204">
        <f t="shared" si="215"/>
        <v>-96</v>
      </c>
      <c r="DI106" s="204">
        <f t="shared" si="215"/>
        <v>-96</v>
      </c>
      <c r="DJ106" s="204">
        <f t="shared" si="215"/>
        <v>-96</v>
      </c>
      <c r="DK106" s="204">
        <f t="shared" si="215"/>
        <v>-96</v>
      </c>
      <c r="DL106" s="204">
        <f t="shared" si="215"/>
        <v>-96</v>
      </c>
      <c r="DM106" s="204">
        <f t="shared" si="215"/>
        <v>-96</v>
      </c>
      <c r="DN106" s="204">
        <f t="shared" si="215"/>
        <v>-96</v>
      </c>
      <c r="DO106" s="204">
        <f t="shared" si="215"/>
        <v>-96</v>
      </c>
      <c r="DP106" s="204">
        <f t="shared" si="215"/>
        <v>-96</v>
      </c>
      <c r="DQ106" s="204">
        <f t="shared" si="215"/>
        <v>-96</v>
      </c>
      <c r="DR106" s="204">
        <f t="shared" si="215"/>
        <v>-96</v>
      </c>
      <c r="DS106" s="204">
        <f t="shared" si="215"/>
        <v>-96</v>
      </c>
      <c r="DT106" s="204">
        <f t="shared" si="215"/>
        <v>-96</v>
      </c>
      <c r="DU106" s="204">
        <f t="shared" si="215"/>
        <v>-96</v>
      </c>
      <c r="DV106" s="204">
        <f t="shared" si="215"/>
        <v>-96</v>
      </c>
      <c r="DW106" s="204">
        <f t="shared" si="215"/>
        <v>-96</v>
      </c>
      <c r="DX106" s="204">
        <f t="shared" si="215"/>
        <v>-96</v>
      </c>
      <c r="DY106" s="204">
        <f t="shared" si="215"/>
        <v>-96</v>
      </c>
      <c r="DZ106" s="204">
        <f t="shared" si="215"/>
        <v>-96</v>
      </c>
      <c r="EA106" s="204">
        <f t="shared" si="215"/>
        <v>-96</v>
      </c>
      <c r="EB106" s="204">
        <f t="shared" si="215"/>
        <v>-96</v>
      </c>
      <c r="EC106" s="204">
        <f t="shared" si="215"/>
        <v>-96</v>
      </c>
      <c r="ED106" s="204">
        <f t="shared" si="215"/>
        <v>-96</v>
      </c>
      <c r="EE106" s="204">
        <f t="shared" si="215"/>
        <v>-96</v>
      </c>
      <c r="EF106" s="204">
        <f t="shared" ref="EF106:ET106" si="216">PV($F60,EF$9,1,0)+(PV($J$6,$N$5-(EF$9),1,0)/($J$6+1)^EF$9)</f>
        <v>-96</v>
      </c>
      <c r="EG106" s="204">
        <f t="shared" si="216"/>
        <v>-96</v>
      </c>
      <c r="EH106" s="204">
        <f t="shared" si="216"/>
        <v>-96</v>
      </c>
      <c r="EI106" s="204">
        <f t="shared" si="216"/>
        <v>-96</v>
      </c>
      <c r="EJ106" s="204">
        <f t="shared" si="216"/>
        <v>-96</v>
      </c>
      <c r="EK106" s="204">
        <f t="shared" si="216"/>
        <v>-96</v>
      </c>
      <c r="EL106" s="204">
        <f t="shared" si="216"/>
        <v>-96</v>
      </c>
      <c r="EM106" s="204">
        <f t="shared" si="216"/>
        <v>-96</v>
      </c>
      <c r="EN106" s="204">
        <f t="shared" si="216"/>
        <v>-96</v>
      </c>
      <c r="EO106" s="204">
        <f t="shared" si="216"/>
        <v>-96</v>
      </c>
      <c r="EP106" s="204">
        <f t="shared" si="216"/>
        <v>-96</v>
      </c>
      <c r="EQ106" s="204">
        <f t="shared" si="216"/>
        <v>-96</v>
      </c>
      <c r="ER106" s="204">
        <f t="shared" si="216"/>
        <v>-96</v>
      </c>
      <c r="ES106" s="204">
        <f t="shared" si="216"/>
        <v>-96</v>
      </c>
      <c r="ET106" s="204">
        <f t="shared" si="216"/>
        <v>-96</v>
      </c>
      <c r="FF106" s="6" t="s">
        <v>387</v>
      </c>
      <c r="FG106" s="696">
        <v>2.5000000000000001E-2</v>
      </c>
      <c r="FH106" s="696">
        <v>120</v>
      </c>
      <c r="FI106" s="696">
        <v>1.7500000000000002E-2</v>
      </c>
      <c r="FJ106" s="255">
        <v>1.55E-2</v>
      </c>
      <c r="FK106" s="71">
        <f t="shared" si="126"/>
        <v>2.2619047619047624E-4</v>
      </c>
      <c r="FL106" t="e">
        <f>VLOOKUP(FF106,'SIMULADOR COM SALDO'!$BX$22:$CK$1000,13,FALSE)</f>
        <v>#N/A</v>
      </c>
    </row>
    <row r="107" spans="7:168" x14ac:dyDescent="0.25">
      <c r="G107" s="205">
        <f t="shared" si="68"/>
        <v>-44.770373601250576</v>
      </c>
      <c r="H107" s="204">
        <f t="shared" ref="H107:BS107" si="217">PV($F61,H$9,1,0)+(PV($J$6,$N$5-(H$9),1,0)/($J$6+1)^H$9)</f>
        <v>-44.806371604802436</v>
      </c>
      <c r="I107" s="204">
        <f t="shared" si="217"/>
        <v>-44.859879708437063</v>
      </c>
      <c r="J107" s="204">
        <f t="shared" si="217"/>
        <v>-44.930579859281075</v>
      </c>
      <c r="K107" s="204">
        <f t="shared" si="217"/>
        <v>-45.018159781562872</v>
      </c>
      <c r="L107" s="204">
        <f t="shared" si="217"/>
        <v>-45.122312871677551</v>
      </c>
      <c r="M107" s="204">
        <f t="shared" si="217"/>
        <v>-45.24273809515784</v>
      </c>
      <c r="N107" s="204">
        <f t="shared" si="217"/>
        <v>-45.379139885516487</v>
      </c>
      <c r="O107" s="204">
        <f t="shared" si="217"/>
        <v>-45.53122804492606</v>
      </c>
      <c r="P107" s="204">
        <f t="shared" si="217"/>
        <v>-45.698717646702761</v>
      </c>
      <c r="Q107" s="204">
        <f t="shared" si="217"/>
        <v>-45.881328939561598</v>
      </c>
      <c r="R107" s="204">
        <f t="shared" si="217"/>
        <v>-46.078787253610507</v>
      </c>
      <c r="S107" s="204">
        <f t="shared" si="217"/>
        <v>-46.290822908052249</v>
      </c>
      <c r="T107" s="204">
        <f t="shared" si="217"/>
        <v>-46.517171120562551</v>
      </c>
      <c r="U107" s="204">
        <f t="shared" si="217"/>
        <v>-46.75757191831444</v>
      </c>
      <c r="V107" s="204">
        <f t="shared" si="217"/>
        <v>-47.011770050618708</v>
      </c>
      <c r="W107" s="204">
        <f t="shared" si="217"/>
        <v>-47.279514903151124</v>
      </c>
      <c r="X107" s="204">
        <f t="shared" si="217"/>
        <v>-47.560560413737676</v>
      </c>
      <c r="Y107" s="204">
        <f t="shared" si="217"/>
        <v>-47.854664989669509</v>
      </c>
      <c r="Z107" s="204">
        <f t="shared" si="217"/>
        <v>-48.161591426519607</v>
      </c>
      <c r="AA107" s="204">
        <f t="shared" si="217"/>
        <v>-48.481106828434278</v>
      </c>
      <c r="AB107" s="204">
        <f t="shared" si="217"/>
        <v>-48.81298252987235</v>
      </c>
      <c r="AC107" s="204">
        <f t="shared" si="217"/>
        <v>-49.156994018765893</v>
      </c>
      <c r="AD107" s="204">
        <f t="shared" si="217"/>
        <v>-49.51292086107668</v>
      </c>
      <c r="AE107" s="204">
        <f t="shared" si="217"/>
        <v>-49.880546626723003</v>
      </c>
      <c r="AF107" s="204">
        <f t="shared" si="217"/>
        <v>-50.259658816851953</v>
      </c>
      <c r="AG107" s="204">
        <f t="shared" si="217"/>
        <v>-50.650048792432663</v>
      </c>
      <c r="AH107" s="204">
        <f t="shared" si="217"/>
        <v>-51.051511704146662</v>
      </c>
      <c r="AI107" s="204">
        <f t="shared" si="217"/>
        <v>-51.463846423551665</v>
      </c>
      <c r="AJ107" s="204">
        <f t="shared" si="217"/>
        <v>-51.886855475495707</v>
      </c>
      <c r="AK107" s="204">
        <f t="shared" si="217"/>
        <v>-52.320344971758878</v>
      </c>
      <c r="AL107" s="204">
        <f t="shared" si="217"/>
        <v>-52.76412454590043</v>
      </c>
      <c r="AM107" s="204">
        <f t="shared" si="217"/>
        <v>-53.218007289289282</v>
      </c>
      <c r="AN107" s="204">
        <f t="shared" si="217"/>
        <v>-53.681809688296511</v>
      </c>
      <c r="AO107" s="204">
        <f t="shared" si="217"/>
        <v>-54.155351562628589</v>
      </c>
      <c r="AP107" s="204">
        <f t="shared" si="217"/>
        <v>-54.638456004780849</v>
      </c>
      <c r="AQ107" s="204">
        <f t="shared" si="217"/>
        <v>-55.130949320590631</v>
      </c>
      <c r="AR107" s="204">
        <f t="shared" si="217"/>
        <v>-55.632660970870248</v>
      </c>
      <c r="AS107" s="204">
        <f t="shared" si="217"/>
        <v>-56.143423514100107</v>
      </c>
      <c r="AT107" s="204">
        <f t="shared" si="217"/>
        <v>-56.663072550162802</v>
      </c>
      <c r="AU107" s="204">
        <f t="shared" si="217"/>
        <v>-57.191446665099171</v>
      </c>
      <c r="AV107" s="204">
        <f t="shared" si="217"/>
        <v>-57.728387376867829</v>
      </c>
      <c r="AW107" s="204">
        <f t="shared" si="217"/>
        <v>-58.273739082089882</v>
      </c>
      <c r="AX107" s="204">
        <f t="shared" si="217"/>
        <v>-58.827349003761015</v>
      </c>
      <c r="AY107" s="204">
        <f t="shared" si="217"/>
        <v>-59.389067139913323</v>
      </c>
      <c r="AZ107" s="204">
        <f t="shared" si="217"/>
        <v>-59.95874621320965</v>
      </c>
      <c r="BA107" s="204">
        <f t="shared" si="217"/>
        <v>-60.53624162145347</v>
      </c>
      <c r="BB107" s="204">
        <f t="shared" si="217"/>
        <v>-61.121411388997728</v>
      </c>
      <c r="BC107" s="204">
        <f t="shared" si="217"/>
        <v>-61.714116119036262</v>
      </c>
      <c r="BD107" s="204">
        <f t="shared" si="217"/>
        <v>-62.314218946761883</v>
      </c>
      <c r="BE107" s="204">
        <f t="shared" si="217"/>
        <v>-62.921585493375147</v>
      </c>
      <c r="BF107" s="204">
        <f t="shared" si="217"/>
        <v>-63.536083820928674</v>
      </c>
      <c r="BG107" s="204">
        <f t="shared" si="217"/>
        <v>-64.157584387991548</v>
      </c>
      <c r="BH107" s="204">
        <f t="shared" si="217"/>
        <v>-64.785960006119055</v>
      </c>
      <c r="BI107" s="204">
        <f t="shared" si="217"/>
        <v>-65.421085797113165</v>
      </c>
      <c r="BJ107" s="204">
        <f t="shared" si="217"/>
        <v>-66.062839151059279</v>
      </c>
      <c r="BK107" s="204">
        <f t="shared" si="217"/>
        <v>-66.711099685125177</v>
      </c>
      <c r="BL107" s="204">
        <f t="shared" si="217"/>
        <v>-67.365749203108379</v>
      </c>
      <c r="BM107" s="204">
        <f t="shared" si="217"/>
        <v>-68.026671655718303</v>
      </c>
      <c r="BN107" s="204">
        <f t="shared" si="217"/>
        <v>-68.693753101579787</v>
      </c>
      <c r="BO107" s="204">
        <f t="shared" si="217"/>
        <v>-69.366881668945013</v>
      </c>
      <c r="BP107" s="204">
        <f t="shared" si="217"/>
        <v>-70.04594751810086</v>
      </c>
      <c r="BQ107" s="204">
        <f t="shared" si="217"/>
        <v>-70.730842804459073</v>
      </c>
      <c r="BR107" s="204">
        <f t="shared" si="217"/>
        <v>-71.421461642316928</v>
      </c>
      <c r="BS107" s="204">
        <f t="shared" si="217"/>
        <v>-72.117700069276026</v>
      </c>
      <c r="BT107" s="204">
        <f t="shared" ref="BT107:EE107" si="218">PV($F61,BT$9,1,0)+(PV($J$6,$N$5-(BT$9),1,0)/($J$6+1)^BT$9)</f>
        <v>-72.819456011307551</v>
      </c>
      <c r="BU107" s="204">
        <f t="shared" si="218"/>
        <v>-73.526629248451897</v>
      </c>
      <c r="BV107" s="204">
        <f t="shared" si="218"/>
        <v>-74.239121381141487</v>
      </c>
      <c r="BW107" s="204">
        <f t="shared" si="218"/>
        <v>-74.956835797135199</v>
      </c>
      <c r="BX107" s="204">
        <f t="shared" si="218"/>
        <v>-75.679677639053423</v>
      </c>
      <c r="BY107" s="204">
        <f t="shared" si="218"/>
        <v>-76.407553772502823</v>
      </c>
      <c r="BZ107" s="204">
        <f t="shared" si="218"/>
        <v>-77.140372754780103</v>
      </c>
      <c r="CA107" s="204">
        <f t="shared" si="218"/>
        <v>-77.878044804144153</v>
      </c>
      <c r="CB107" s="204">
        <f t="shared" si="218"/>
        <v>-78.620481769646403</v>
      </c>
      <c r="CC107" s="204">
        <f t="shared" si="218"/>
        <v>-79.36759710150919</v>
      </c>
      <c r="CD107" s="204">
        <f t="shared" si="218"/>
        <v>-80.119305822042122</v>
      </c>
      <c r="CE107" s="204">
        <f t="shared" si="218"/>
        <v>-80.87552449708673</v>
      </c>
      <c r="CF107" s="204">
        <f t="shared" si="218"/>
        <v>-81.636171207979814</v>
      </c>
      <c r="CG107" s="204">
        <f t="shared" si="218"/>
        <v>-82.401165524026041</v>
      </c>
      <c r="CH107" s="204">
        <f t="shared" si="218"/>
        <v>-83.170428475470544</v>
      </c>
      <c r="CI107" s="204">
        <f t="shared" si="218"/>
        <v>-83.943882526962454</v>
      </c>
      <c r="CJ107" s="204">
        <f t="shared" si="218"/>
        <v>-84.721451551500408</v>
      </c>
      <c r="CK107" s="204">
        <f t="shared" si="218"/>
        <v>-85.503060804851359</v>
      </c>
      <c r="CL107" s="204">
        <f t="shared" si="218"/>
        <v>-86.288636900434042</v>
      </c>
      <c r="CM107" s="204">
        <f t="shared" si="218"/>
        <v>-87.07810778465857</v>
      </c>
      <c r="CN107" s="204">
        <f t="shared" si="218"/>
        <v>-87.871402712714072</v>
      </c>
      <c r="CO107" s="204">
        <f t="shared" si="218"/>
        <v>-88.668452224796056</v>
      </c>
      <c r="CP107" s="204">
        <f t="shared" si="218"/>
        <v>-89.469188122765601</v>
      </c>
      <c r="CQ107" s="204">
        <f t="shared" si="218"/>
        <v>-90.273543447232512</v>
      </c>
      <c r="CR107" s="204">
        <f t="shared" si="218"/>
        <v>-91.081452455054702</v>
      </c>
      <c r="CS107" s="204">
        <f t="shared" si="218"/>
        <v>-91.892850597246365</v>
      </c>
      <c r="CT107" s="204">
        <f t="shared" si="218"/>
        <v>-92.707674497287258</v>
      </c>
      <c r="CU107" s="204">
        <f t="shared" si="218"/>
        <v>-93.525861929826178</v>
      </c>
      <c r="CV107" s="204">
        <f t="shared" si="218"/>
        <v>-94.347351799771133</v>
      </c>
      <c r="CW107" s="204">
        <f t="shared" si="218"/>
        <v>-95.172084121759283</v>
      </c>
      <c r="CX107" s="204">
        <f t="shared" si="218"/>
        <v>-96</v>
      </c>
      <c r="CY107" s="204">
        <f t="shared" si="218"/>
        <v>-96</v>
      </c>
      <c r="CZ107" s="204">
        <f t="shared" si="218"/>
        <v>-96</v>
      </c>
      <c r="DA107" s="204">
        <f t="shared" si="218"/>
        <v>-96</v>
      </c>
      <c r="DB107" s="204">
        <f t="shared" si="218"/>
        <v>-96</v>
      </c>
      <c r="DC107" s="204">
        <f t="shared" si="218"/>
        <v>-96</v>
      </c>
      <c r="DD107" s="204">
        <f t="shared" si="218"/>
        <v>-96</v>
      </c>
      <c r="DE107" s="204">
        <f t="shared" si="218"/>
        <v>-96</v>
      </c>
      <c r="DF107" s="204">
        <f t="shared" si="218"/>
        <v>-96</v>
      </c>
      <c r="DG107" s="204">
        <f t="shared" si="218"/>
        <v>-96</v>
      </c>
      <c r="DH107" s="204">
        <f t="shared" si="218"/>
        <v>-96</v>
      </c>
      <c r="DI107" s="204">
        <f t="shared" si="218"/>
        <v>-96</v>
      </c>
      <c r="DJ107" s="204">
        <f t="shared" si="218"/>
        <v>-96</v>
      </c>
      <c r="DK107" s="204">
        <f t="shared" si="218"/>
        <v>-96</v>
      </c>
      <c r="DL107" s="204">
        <f t="shared" si="218"/>
        <v>-96</v>
      </c>
      <c r="DM107" s="204">
        <f t="shared" si="218"/>
        <v>-96</v>
      </c>
      <c r="DN107" s="204">
        <f t="shared" si="218"/>
        <v>-96</v>
      </c>
      <c r="DO107" s="204">
        <f t="shared" si="218"/>
        <v>-96</v>
      </c>
      <c r="DP107" s="204">
        <f t="shared" si="218"/>
        <v>-96</v>
      </c>
      <c r="DQ107" s="204">
        <f t="shared" si="218"/>
        <v>-96</v>
      </c>
      <c r="DR107" s="204">
        <f t="shared" si="218"/>
        <v>-96</v>
      </c>
      <c r="DS107" s="204">
        <f t="shared" si="218"/>
        <v>-96</v>
      </c>
      <c r="DT107" s="204">
        <f t="shared" si="218"/>
        <v>-96</v>
      </c>
      <c r="DU107" s="204">
        <f t="shared" si="218"/>
        <v>-96</v>
      </c>
      <c r="DV107" s="204">
        <f t="shared" si="218"/>
        <v>-96</v>
      </c>
      <c r="DW107" s="204">
        <f t="shared" si="218"/>
        <v>-96</v>
      </c>
      <c r="DX107" s="204">
        <f t="shared" si="218"/>
        <v>-96</v>
      </c>
      <c r="DY107" s="204">
        <f t="shared" si="218"/>
        <v>-96</v>
      </c>
      <c r="DZ107" s="204">
        <f t="shared" si="218"/>
        <v>-96</v>
      </c>
      <c r="EA107" s="204">
        <f t="shared" si="218"/>
        <v>-96</v>
      </c>
      <c r="EB107" s="204">
        <f t="shared" si="218"/>
        <v>-96</v>
      </c>
      <c r="EC107" s="204">
        <f t="shared" si="218"/>
        <v>-96</v>
      </c>
      <c r="ED107" s="204">
        <f t="shared" si="218"/>
        <v>-96</v>
      </c>
      <c r="EE107" s="204">
        <f t="shared" si="218"/>
        <v>-96</v>
      </c>
      <c r="EF107" s="204">
        <f t="shared" ref="EF107:ET107" si="219">PV($F61,EF$9,1,0)+(PV($J$6,$N$5-(EF$9),1,0)/($J$6+1)^EF$9)</f>
        <v>-96</v>
      </c>
      <c r="EG107" s="204">
        <f t="shared" si="219"/>
        <v>-96</v>
      </c>
      <c r="EH107" s="204">
        <f t="shared" si="219"/>
        <v>-96</v>
      </c>
      <c r="EI107" s="204">
        <f t="shared" si="219"/>
        <v>-96</v>
      </c>
      <c r="EJ107" s="204">
        <f t="shared" si="219"/>
        <v>-96</v>
      </c>
      <c r="EK107" s="204">
        <f t="shared" si="219"/>
        <v>-96</v>
      </c>
      <c r="EL107" s="204">
        <f t="shared" si="219"/>
        <v>-96</v>
      </c>
      <c r="EM107" s="204">
        <f t="shared" si="219"/>
        <v>-96</v>
      </c>
      <c r="EN107" s="204">
        <f t="shared" si="219"/>
        <v>-96</v>
      </c>
      <c r="EO107" s="204">
        <f t="shared" si="219"/>
        <v>-96</v>
      </c>
      <c r="EP107" s="204">
        <f t="shared" si="219"/>
        <v>-96</v>
      </c>
      <c r="EQ107" s="204">
        <f t="shared" si="219"/>
        <v>-96</v>
      </c>
      <c r="ER107" s="204">
        <f t="shared" si="219"/>
        <v>-96</v>
      </c>
      <c r="ES107" s="204">
        <f t="shared" si="219"/>
        <v>-96</v>
      </c>
      <c r="ET107" s="204">
        <f t="shared" si="219"/>
        <v>-96</v>
      </c>
      <c r="FF107" s="6" t="s">
        <v>253</v>
      </c>
      <c r="FG107" s="696">
        <v>2.5000000000000001E-2</v>
      </c>
      <c r="FH107" s="696">
        <v>120</v>
      </c>
      <c r="FI107" s="696">
        <v>1.9900000000000001E-2</v>
      </c>
      <c r="FJ107" s="255">
        <v>1.55E-2</v>
      </c>
      <c r="FK107" s="71">
        <f t="shared" si="126"/>
        <v>2.2619047619047624E-4</v>
      </c>
      <c r="FL107" t="e">
        <f>VLOOKUP(FF107,'SIMULADOR COM SALDO'!$BX$22:$CK$1000,13,FALSE)</f>
        <v>#N/A</v>
      </c>
    </row>
    <row r="108" spans="7:168" x14ac:dyDescent="0.25">
      <c r="G108" s="205">
        <f t="shared" si="68"/>
        <v>-44.770373601250576</v>
      </c>
      <c r="H108" s="204">
        <f t="shared" ref="H108:BS108" si="220">PV($F62,H$9,1,0)+(PV($J$6,$N$5-(H$9),1,0)/($J$6+1)^H$9)</f>
        <v>-44.806371604802436</v>
      </c>
      <c r="I108" s="204">
        <f t="shared" si="220"/>
        <v>-44.859879708437063</v>
      </c>
      <c r="J108" s="204">
        <f t="shared" si="220"/>
        <v>-44.930579859281075</v>
      </c>
      <c r="K108" s="204">
        <f t="shared" si="220"/>
        <v>-45.018159781562872</v>
      </c>
      <c r="L108" s="204">
        <f t="shared" si="220"/>
        <v>-45.122312871677551</v>
      </c>
      <c r="M108" s="204">
        <f t="shared" si="220"/>
        <v>-45.24273809515784</v>
      </c>
      <c r="N108" s="204">
        <f t="shared" si="220"/>
        <v>-45.379139885516487</v>
      </c>
      <c r="O108" s="204">
        <f t="shared" si="220"/>
        <v>-45.53122804492606</v>
      </c>
      <c r="P108" s="204">
        <f t="shared" si="220"/>
        <v>-45.698717646702761</v>
      </c>
      <c r="Q108" s="204">
        <f t="shared" si="220"/>
        <v>-45.881328939561598</v>
      </c>
      <c r="R108" s="204">
        <f t="shared" si="220"/>
        <v>-46.078787253610507</v>
      </c>
      <c r="S108" s="204">
        <f t="shared" si="220"/>
        <v>-46.290822908052249</v>
      </c>
      <c r="T108" s="204">
        <f t="shared" si="220"/>
        <v>-46.517171120562551</v>
      </c>
      <c r="U108" s="204">
        <f t="shared" si="220"/>
        <v>-46.75757191831444</v>
      </c>
      <c r="V108" s="204">
        <f t="shared" si="220"/>
        <v>-47.011770050618708</v>
      </c>
      <c r="W108" s="204">
        <f t="shared" si="220"/>
        <v>-47.279514903151124</v>
      </c>
      <c r="X108" s="204">
        <f t="shared" si="220"/>
        <v>-47.560560413737676</v>
      </c>
      <c r="Y108" s="204">
        <f t="shared" si="220"/>
        <v>-47.854664989669509</v>
      </c>
      <c r="Z108" s="204">
        <f t="shared" si="220"/>
        <v>-48.161591426519607</v>
      </c>
      <c r="AA108" s="204">
        <f t="shared" si="220"/>
        <v>-48.481106828434278</v>
      </c>
      <c r="AB108" s="204">
        <f t="shared" si="220"/>
        <v>-48.81298252987235</v>
      </c>
      <c r="AC108" s="204">
        <f t="shared" si="220"/>
        <v>-49.156994018765893</v>
      </c>
      <c r="AD108" s="204">
        <f t="shared" si="220"/>
        <v>-49.51292086107668</v>
      </c>
      <c r="AE108" s="204">
        <f t="shared" si="220"/>
        <v>-49.880546626723003</v>
      </c>
      <c r="AF108" s="204">
        <f t="shared" si="220"/>
        <v>-50.259658816851953</v>
      </c>
      <c r="AG108" s="204">
        <f t="shared" si="220"/>
        <v>-50.650048792432663</v>
      </c>
      <c r="AH108" s="204">
        <f t="shared" si="220"/>
        <v>-51.051511704146662</v>
      </c>
      <c r="AI108" s="204">
        <f t="shared" si="220"/>
        <v>-51.463846423551665</v>
      </c>
      <c r="AJ108" s="204">
        <f t="shared" si="220"/>
        <v>-51.886855475495707</v>
      </c>
      <c r="AK108" s="204">
        <f t="shared" si="220"/>
        <v>-52.320344971758878</v>
      </c>
      <c r="AL108" s="204">
        <f t="shared" si="220"/>
        <v>-52.76412454590043</v>
      </c>
      <c r="AM108" s="204">
        <f t="shared" si="220"/>
        <v>-53.218007289289282</v>
      </c>
      <c r="AN108" s="204">
        <f t="shared" si="220"/>
        <v>-53.681809688296511</v>
      </c>
      <c r="AO108" s="204">
        <f t="shared" si="220"/>
        <v>-54.155351562628589</v>
      </c>
      <c r="AP108" s="204">
        <f t="shared" si="220"/>
        <v>-54.638456004780849</v>
      </c>
      <c r="AQ108" s="204">
        <f t="shared" si="220"/>
        <v>-55.130949320590631</v>
      </c>
      <c r="AR108" s="204">
        <f t="shared" si="220"/>
        <v>-55.632660970870248</v>
      </c>
      <c r="AS108" s="204">
        <f t="shared" si="220"/>
        <v>-56.143423514100107</v>
      </c>
      <c r="AT108" s="204">
        <f t="shared" si="220"/>
        <v>-56.663072550162802</v>
      </c>
      <c r="AU108" s="204">
        <f t="shared" si="220"/>
        <v>-57.191446665099171</v>
      </c>
      <c r="AV108" s="204">
        <f t="shared" si="220"/>
        <v>-57.728387376867829</v>
      </c>
      <c r="AW108" s="204">
        <f t="shared" si="220"/>
        <v>-58.273739082089882</v>
      </c>
      <c r="AX108" s="204">
        <f t="shared" si="220"/>
        <v>-58.827349003761015</v>
      </c>
      <c r="AY108" s="204">
        <f t="shared" si="220"/>
        <v>-59.389067139913323</v>
      </c>
      <c r="AZ108" s="204">
        <f t="shared" si="220"/>
        <v>-59.95874621320965</v>
      </c>
      <c r="BA108" s="204">
        <f t="shared" si="220"/>
        <v>-60.53624162145347</v>
      </c>
      <c r="BB108" s="204">
        <f t="shared" si="220"/>
        <v>-61.121411388997728</v>
      </c>
      <c r="BC108" s="204">
        <f t="shared" si="220"/>
        <v>-61.714116119036262</v>
      </c>
      <c r="BD108" s="204">
        <f t="shared" si="220"/>
        <v>-62.314218946761883</v>
      </c>
      <c r="BE108" s="204">
        <f t="shared" si="220"/>
        <v>-62.921585493375147</v>
      </c>
      <c r="BF108" s="204">
        <f t="shared" si="220"/>
        <v>-63.536083820928674</v>
      </c>
      <c r="BG108" s="204">
        <f t="shared" si="220"/>
        <v>-64.157584387991548</v>
      </c>
      <c r="BH108" s="204">
        <f t="shared" si="220"/>
        <v>-64.785960006119055</v>
      </c>
      <c r="BI108" s="204">
        <f t="shared" si="220"/>
        <v>-65.421085797113165</v>
      </c>
      <c r="BJ108" s="204">
        <f t="shared" si="220"/>
        <v>-66.062839151059279</v>
      </c>
      <c r="BK108" s="204">
        <f t="shared" si="220"/>
        <v>-66.711099685125177</v>
      </c>
      <c r="BL108" s="204">
        <f t="shared" si="220"/>
        <v>-67.365749203108379</v>
      </c>
      <c r="BM108" s="204">
        <f t="shared" si="220"/>
        <v>-68.026671655718303</v>
      </c>
      <c r="BN108" s="204">
        <f t="shared" si="220"/>
        <v>-68.693753101579787</v>
      </c>
      <c r="BO108" s="204">
        <f t="shared" si="220"/>
        <v>-69.366881668945013</v>
      </c>
      <c r="BP108" s="204">
        <f t="shared" si="220"/>
        <v>-70.04594751810086</v>
      </c>
      <c r="BQ108" s="204">
        <f t="shared" si="220"/>
        <v>-70.730842804459073</v>
      </c>
      <c r="BR108" s="204">
        <f t="shared" si="220"/>
        <v>-71.421461642316928</v>
      </c>
      <c r="BS108" s="204">
        <f t="shared" si="220"/>
        <v>-72.117700069276026</v>
      </c>
      <c r="BT108" s="204">
        <f t="shared" ref="BT108:EE108" si="221">PV($F62,BT$9,1,0)+(PV($J$6,$N$5-(BT$9),1,0)/($J$6+1)^BT$9)</f>
        <v>-72.819456011307551</v>
      </c>
      <c r="BU108" s="204">
        <f t="shared" si="221"/>
        <v>-73.526629248451897</v>
      </c>
      <c r="BV108" s="204">
        <f t="shared" si="221"/>
        <v>-74.239121381141487</v>
      </c>
      <c r="BW108" s="204">
        <f t="shared" si="221"/>
        <v>-74.956835797135199</v>
      </c>
      <c r="BX108" s="204">
        <f t="shared" si="221"/>
        <v>-75.679677639053423</v>
      </c>
      <c r="BY108" s="204">
        <f t="shared" si="221"/>
        <v>-76.407553772502823</v>
      </c>
      <c r="BZ108" s="204">
        <f t="shared" si="221"/>
        <v>-77.140372754780103</v>
      </c>
      <c r="CA108" s="204">
        <f t="shared" si="221"/>
        <v>-77.878044804144153</v>
      </c>
      <c r="CB108" s="204">
        <f t="shared" si="221"/>
        <v>-78.620481769646403</v>
      </c>
      <c r="CC108" s="204">
        <f t="shared" si="221"/>
        <v>-79.36759710150919</v>
      </c>
      <c r="CD108" s="204">
        <f t="shared" si="221"/>
        <v>-80.119305822042122</v>
      </c>
      <c r="CE108" s="204">
        <f t="shared" si="221"/>
        <v>-80.87552449708673</v>
      </c>
      <c r="CF108" s="204">
        <f t="shared" si="221"/>
        <v>-81.636171207979814</v>
      </c>
      <c r="CG108" s="204">
        <f t="shared" si="221"/>
        <v>-82.401165524026041</v>
      </c>
      <c r="CH108" s="204">
        <f t="shared" si="221"/>
        <v>-83.170428475470544</v>
      </c>
      <c r="CI108" s="204">
        <f t="shared" si="221"/>
        <v>-83.943882526962454</v>
      </c>
      <c r="CJ108" s="204">
        <f t="shared" si="221"/>
        <v>-84.721451551500408</v>
      </c>
      <c r="CK108" s="204">
        <f t="shared" si="221"/>
        <v>-85.503060804851359</v>
      </c>
      <c r="CL108" s="204">
        <f t="shared" si="221"/>
        <v>-86.288636900434042</v>
      </c>
      <c r="CM108" s="204">
        <f t="shared" si="221"/>
        <v>-87.07810778465857</v>
      </c>
      <c r="CN108" s="204">
        <f t="shared" si="221"/>
        <v>-87.871402712714072</v>
      </c>
      <c r="CO108" s="204">
        <f t="shared" si="221"/>
        <v>-88.668452224796056</v>
      </c>
      <c r="CP108" s="204">
        <f t="shared" si="221"/>
        <v>-89.469188122765601</v>
      </c>
      <c r="CQ108" s="204">
        <f t="shared" si="221"/>
        <v>-90.273543447232512</v>
      </c>
      <c r="CR108" s="204">
        <f t="shared" si="221"/>
        <v>-91.081452455054702</v>
      </c>
      <c r="CS108" s="204">
        <f t="shared" si="221"/>
        <v>-91.892850597246365</v>
      </c>
      <c r="CT108" s="204">
        <f t="shared" si="221"/>
        <v>-92.707674497287258</v>
      </c>
      <c r="CU108" s="204">
        <f t="shared" si="221"/>
        <v>-93.525861929826178</v>
      </c>
      <c r="CV108" s="204">
        <f t="shared" si="221"/>
        <v>-94.347351799771133</v>
      </c>
      <c r="CW108" s="204">
        <f t="shared" si="221"/>
        <v>-95.172084121759283</v>
      </c>
      <c r="CX108" s="204">
        <f t="shared" si="221"/>
        <v>-96</v>
      </c>
      <c r="CY108" s="204">
        <f t="shared" si="221"/>
        <v>-96</v>
      </c>
      <c r="CZ108" s="204">
        <f t="shared" si="221"/>
        <v>-96</v>
      </c>
      <c r="DA108" s="204">
        <f t="shared" si="221"/>
        <v>-96</v>
      </c>
      <c r="DB108" s="204">
        <f t="shared" si="221"/>
        <v>-96</v>
      </c>
      <c r="DC108" s="204">
        <f t="shared" si="221"/>
        <v>-96</v>
      </c>
      <c r="DD108" s="204">
        <f t="shared" si="221"/>
        <v>-96</v>
      </c>
      <c r="DE108" s="204">
        <f t="shared" si="221"/>
        <v>-96</v>
      </c>
      <c r="DF108" s="204">
        <f t="shared" si="221"/>
        <v>-96</v>
      </c>
      <c r="DG108" s="204">
        <f t="shared" si="221"/>
        <v>-96</v>
      </c>
      <c r="DH108" s="204">
        <f t="shared" si="221"/>
        <v>-96</v>
      </c>
      <c r="DI108" s="204">
        <f t="shared" si="221"/>
        <v>-96</v>
      </c>
      <c r="DJ108" s="204">
        <f t="shared" si="221"/>
        <v>-96</v>
      </c>
      <c r="DK108" s="204">
        <f t="shared" si="221"/>
        <v>-96</v>
      </c>
      <c r="DL108" s="204">
        <f t="shared" si="221"/>
        <v>-96</v>
      </c>
      <c r="DM108" s="204">
        <f t="shared" si="221"/>
        <v>-96</v>
      </c>
      <c r="DN108" s="204">
        <f t="shared" si="221"/>
        <v>-96</v>
      </c>
      <c r="DO108" s="204">
        <f t="shared" si="221"/>
        <v>-96</v>
      </c>
      <c r="DP108" s="204">
        <f t="shared" si="221"/>
        <v>-96</v>
      </c>
      <c r="DQ108" s="204">
        <f t="shared" si="221"/>
        <v>-96</v>
      </c>
      <c r="DR108" s="204">
        <f t="shared" si="221"/>
        <v>-96</v>
      </c>
      <c r="DS108" s="204">
        <f t="shared" si="221"/>
        <v>-96</v>
      </c>
      <c r="DT108" s="204">
        <f t="shared" si="221"/>
        <v>-96</v>
      </c>
      <c r="DU108" s="204">
        <f t="shared" si="221"/>
        <v>-96</v>
      </c>
      <c r="DV108" s="204">
        <f t="shared" si="221"/>
        <v>-96</v>
      </c>
      <c r="DW108" s="204">
        <f t="shared" si="221"/>
        <v>-96</v>
      </c>
      <c r="DX108" s="204">
        <f t="shared" si="221"/>
        <v>-96</v>
      </c>
      <c r="DY108" s="204">
        <f t="shared" si="221"/>
        <v>-96</v>
      </c>
      <c r="DZ108" s="204">
        <f t="shared" si="221"/>
        <v>-96</v>
      </c>
      <c r="EA108" s="204">
        <f t="shared" si="221"/>
        <v>-96</v>
      </c>
      <c r="EB108" s="204">
        <f t="shared" si="221"/>
        <v>-96</v>
      </c>
      <c r="EC108" s="204">
        <f t="shared" si="221"/>
        <v>-96</v>
      </c>
      <c r="ED108" s="204">
        <f t="shared" si="221"/>
        <v>-96</v>
      </c>
      <c r="EE108" s="204">
        <f t="shared" si="221"/>
        <v>-96</v>
      </c>
      <c r="EF108" s="204">
        <f t="shared" ref="EF108:ET108" si="222">PV($F62,EF$9,1,0)+(PV($J$6,$N$5-(EF$9),1,0)/($J$6+1)^EF$9)</f>
        <v>-96</v>
      </c>
      <c r="EG108" s="204">
        <f t="shared" si="222"/>
        <v>-96</v>
      </c>
      <c r="EH108" s="204">
        <f t="shared" si="222"/>
        <v>-96</v>
      </c>
      <c r="EI108" s="204">
        <f t="shared" si="222"/>
        <v>-96</v>
      </c>
      <c r="EJ108" s="204">
        <f t="shared" si="222"/>
        <v>-96</v>
      </c>
      <c r="EK108" s="204">
        <f t="shared" si="222"/>
        <v>-96</v>
      </c>
      <c r="EL108" s="204">
        <f t="shared" si="222"/>
        <v>-96</v>
      </c>
      <c r="EM108" s="204">
        <f t="shared" si="222"/>
        <v>-96</v>
      </c>
      <c r="EN108" s="204">
        <f t="shared" si="222"/>
        <v>-96</v>
      </c>
      <c r="EO108" s="204">
        <f t="shared" si="222"/>
        <v>-96</v>
      </c>
      <c r="EP108" s="204">
        <f t="shared" si="222"/>
        <v>-96</v>
      </c>
      <c r="EQ108" s="204">
        <f t="shared" si="222"/>
        <v>-96</v>
      </c>
      <c r="ER108" s="204">
        <f t="shared" si="222"/>
        <v>-96</v>
      </c>
      <c r="ES108" s="204">
        <f t="shared" si="222"/>
        <v>-96</v>
      </c>
      <c r="ET108" s="204">
        <f t="shared" si="222"/>
        <v>-96</v>
      </c>
      <c r="FF108" s="6" t="s">
        <v>400</v>
      </c>
      <c r="FG108" s="696">
        <v>2.5000000000000001E-2</v>
      </c>
      <c r="FH108" s="696">
        <v>120</v>
      </c>
      <c r="FI108" s="696">
        <v>2.1299999999999999E-2</v>
      </c>
      <c r="FJ108" s="255">
        <v>1.4999999999999999E-2</v>
      </c>
      <c r="FK108" s="71">
        <f t="shared" si="126"/>
        <v>2.3809523809523815E-4</v>
      </c>
      <c r="FL108" t="e">
        <f>VLOOKUP(FF108,'SIMULADOR COM SALDO'!$BX$22:$CK$1000,13,FALSE)</f>
        <v>#N/A</v>
      </c>
    </row>
    <row r="109" spans="7:168" x14ac:dyDescent="0.25">
      <c r="G109" s="205">
        <f t="shared" si="68"/>
        <v>-44.770373601250576</v>
      </c>
      <c r="H109" s="204">
        <f t="shared" ref="H109:BS109" si="223">PV($F63,H$9,1,0)+(PV($J$6,$N$5-(H$9),1,0)/($J$6+1)^H$9)</f>
        <v>-44.806371604802436</v>
      </c>
      <c r="I109" s="204">
        <f t="shared" si="223"/>
        <v>-44.859879708437063</v>
      </c>
      <c r="J109" s="204">
        <f t="shared" si="223"/>
        <v>-44.930579859281075</v>
      </c>
      <c r="K109" s="204">
        <f t="shared" si="223"/>
        <v>-45.018159781562872</v>
      </c>
      <c r="L109" s="204">
        <f t="shared" si="223"/>
        <v>-45.122312871677551</v>
      </c>
      <c r="M109" s="204">
        <f t="shared" si="223"/>
        <v>-45.24273809515784</v>
      </c>
      <c r="N109" s="204">
        <f t="shared" si="223"/>
        <v>-45.379139885516487</v>
      </c>
      <c r="O109" s="204">
        <f t="shared" si="223"/>
        <v>-45.53122804492606</v>
      </c>
      <c r="P109" s="204">
        <f t="shared" si="223"/>
        <v>-45.698717646702761</v>
      </c>
      <c r="Q109" s="204">
        <f t="shared" si="223"/>
        <v>-45.881328939561598</v>
      </c>
      <c r="R109" s="204">
        <f t="shared" si="223"/>
        <v>-46.078787253610507</v>
      </c>
      <c r="S109" s="204">
        <f t="shared" si="223"/>
        <v>-46.290822908052249</v>
      </c>
      <c r="T109" s="204">
        <f t="shared" si="223"/>
        <v>-46.517171120562551</v>
      </c>
      <c r="U109" s="204">
        <f t="shared" si="223"/>
        <v>-46.75757191831444</v>
      </c>
      <c r="V109" s="204">
        <f t="shared" si="223"/>
        <v>-47.011770050618708</v>
      </c>
      <c r="W109" s="204">
        <f t="shared" si="223"/>
        <v>-47.279514903151124</v>
      </c>
      <c r="X109" s="204">
        <f t="shared" si="223"/>
        <v>-47.560560413737676</v>
      </c>
      <c r="Y109" s="204">
        <f t="shared" si="223"/>
        <v>-47.854664989669509</v>
      </c>
      <c r="Z109" s="204">
        <f t="shared" si="223"/>
        <v>-48.161591426519607</v>
      </c>
      <c r="AA109" s="204">
        <f t="shared" si="223"/>
        <v>-48.481106828434278</v>
      </c>
      <c r="AB109" s="204">
        <f t="shared" si="223"/>
        <v>-48.81298252987235</v>
      </c>
      <c r="AC109" s="204">
        <f t="shared" si="223"/>
        <v>-49.156994018765893</v>
      </c>
      <c r="AD109" s="204">
        <f t="shared" si="223"/>
        <v>-49.51292086107668</v>
      </c>
      <c r="AE109" s="204">
        <f t="shared" si="223"/>
        <v>-49.880546626723003</v>
      </c>
      <c r="AF109" s="204">
        <f t="shared" si="223"/>
        <v>-50.259658816851953</v>
      </c>
      <c r="AG109" s="204">
        <f t="shared" si="223"/>
        <v>-50.650048792432663</v>
      </c>
      <c r="AH109" s="204">
        <f t="shared" si="223"/>
        <v>-51.051511704146662</v>
      </c>
      <c r="AI109" s="204">
        <f t="shared" si="223"/>
        <v>-51.463846423551665</v>
      </c>
      <c r="AJ109" s="204">
        <f t="shared" si="223"/>
        <v>-51.886855475495707</v>
      </c>
      <c r="AK109" s="204">
        <f t="shared" si="223"/>
        <v>-52.320344971758878</v>
      </c>
      <c r="AL109" s="204">
        <f t="shared" si="223"/>
        <v>-52.76412454590043</v>
      </c>
      <c r="AM109" s="204">
        <f t="shared" si="223"/>
        <v>-53.218007289289282</v>
      </c>
      <c r="AN109" s="204">
        <f t="shared" si="223"/>
        <v>-53.681809688296511</v>
      </c>
      <c r="AO109" s="204">
        <f t="shared" si="223"/>
        <v>-54.155351562628589</v>
      </c>
      <c r="AP109" s="204">
        <f t="shared" si="223"/>
        <v>-54.638456004780849</v>
      </c>
      <c r="AQ109" s="204">
        <f t="shared" si="223"/>
        <v>-55.130949320590631</v>
      </c>
      <c r="AR109" s="204">
        <f t="shared" si="223"/>
        <v>-55.632660970870248</v>
      </c>
      <c r="AS109" s="204">
        <f t="shared" si="223"/>
        <v>-56.143423514100107</v>
      </c>
      <c r="AT109" s="204">
        <f t="shared" si="223"/>
        <v>-56.663072550162802</v>
      </c>
      <c r="AU109" s="204">
        <f t="shared" si="223"/>
        <v>-57.191446665099171</v>
      </c>
      <c r="AV109" s="204">
        <f t="shared" si="223"/>
        <v>-57.728387376867829</v>
      </c>
      <c r="AW109" s="204">
        <f t="shared" si="223"/>
        <v>-58.273739082089882</v>
      </c>
      <c r="AX109" s="204">
        <f t="shared" si="223"/>
        <v>-58.827349003761015</v>
      </c>
      <c r="AY109" s="204">
        <f t="shared" si="223"/>
        <v>-59.389067139913323</v>
      </c>
      <c r="AZ109" s="204">
        <f t="shared" si="223"/>
        <v>-59.95874621320965</v>
      </c>
      <c r="BA109" s="204">
        <f t="shared" si="223"/>
        <v>-60.53624162145347</v>
      </c>
      <c r="BB109" s="204">
        <f t="shared" si="223"/>
        <v>-61.121411388997728</v>
      </c>
      <c r="BC109" s="204">
        <f t="shared" si="223"/>
        <v>-61.714116119036262</v>
      </c>
      <c r="BD109" s="204">
        <f t="shared" si="223"/>
        <v>-62.314218946761883</v>
      </c>
      <c r="BE109" s="204">
        <f t="shared" si="223"/>
        <v>-62.921585493375147</v>
      </c>
      <c r="BF109" s="204">
        <f t="shared" si="223"/>
        <v>-63.536083820928674</v>
      </c>
      <c r="BG109" s="204">
        <f t="shared" si="223"/>
        <v>-64.157584387991548</v>
      </c>
      <c r="BH109" s="204">
        <f t="shared" si="223"/>
        <v>-64.785960006119055</v>
      </c>
      <c r="BI109" s="204">
        <f t="shared" si="223"/>
        <v>-65.421085797113165</v>
      </c>
      <c r="BJ109" s="204">
        <f t="shared" si="223"/>
        <v>-66.062839151059279</v>
      </c>
      <c r="BK109" s="204">
        <f t="shared" si="223"/>
        <v>-66.711099685125177</v>
      </c>
      <c r="BL109" s="204">
        <f t="shared" si="223"/>
        <v>-67.365749203108379</v>
      </c>
      <c r="BM109" s="204">
        <f t="shared" si="223"/>
        <v>-68.026671655718303</v>
      </c>
      <c r="BN109" s="204">
        <f t="shared" si="223"/>
        <v>-68.693753101579787</v>
      </c>
      <c r="BO109" s="204">
        <f t="shared" si="223"/>
        <v>-69.366881668945013</v>
      </c>
      <c r="BP109" s="204">
        <f t="shared" si="223"/>
        <v>-70.04594751810086</v>
      </c>
      <c r="BQ109" s="204">
        <f t="shared" si="223"/>
        <v>-70.730842804459073</v>
      </c>
      <c r="BR109" s="204">
        <f t="shared" si="223"/>
        <v>-71.421461642316928</v>
      </c>
      <c r="BS109" s="204">
        <f t="shared" si="223"/>
        <v>-72.117700069276026</v>
      </c>
      <c r="BT109" s="204">
        <f t="shared" ref="BT109:EE109" si="224">PV($F63,BT$9,1,0)+(PV($J$6,$N$5-(BT$9),1,0)/($J$6+1)^BT$9)</f>
        <v>-72.819456011307551</v>
      </c>
      <c r="BU109" s="204">
        <f t="shared" si="224"/>
        <v>-73.526629248451897</v>
      </c>
      <c r="BV109" s="204">
        <f t="shared" si="224"/>
        <v>-74.239121381141487</v>
      </c>
      <c r="BW109" s="204">
        <f t="shared" si="224"/>
        <v>-74.956835797135199</v>
      </c>
      <c r="BX109" s="204">
        <f t="shared" si="224"/>
        <v>-75.679677639053423</v>
      </c>
      <c r="BY109" s="204">
        <f t="shared" si="224"/>
        <v>-76.407553772502823</v>
      </c>
      <c r="BZ109" s="204">
        <f t="shared" si="224"/>
        <v>-77.140372754780103</v>
      </c>
      <c r="CA109" s="204">
        <f t="shared" si="224"/>
        <v>-77.878044804144153</v>
      </c>
      <c r="CB109" s="204">
        <f t="shared" si="224"/>
        <v>-78.620481769646403</v>
      </c>
      <c r="CC109" s="204">
        <f t="shared" si="224"/>
        <v>-79.36759710150919</v>
      </c>
      <c r="CD109" s="204">
        <f t="shared" si="224"/>
        <v>-80.119305822042122</v>
      </c>
      <c r="CE109" s="204">
        <f t="shared" si="224"/>
        <v>-80.87552449708673</v>
      </c>
      <c r="CF109" s="204">
        <f t="shared" si="224"/>
        <v>-81.636171207979814</v>
      </c>
      <c r="CG109" s="204">
        <f t="shared" si="224"/>
        <v>-82.401165524026041</v>
      </c>
      <c r="CH109" s="204">
        <f t="shared" si="224"/>
        <v>-83.170428475470544</v>
      </c>
      <c r="CI109" s="204">
        <f t="shared" si="224"/>
        <v>-83.943882526962454</v>
      </c>
      <c r="CJ109" s="204">
        <f t="shared" si="224"/>
        <v>-84.721451551500408</v>
      </c>
      <c r="CK109" s="204">
        <f t="shared" si="224"/>
        <v>-85.503060804851359</v>
      </c>
      <c r="CL109" s="204">
        <f t="shared" si="224"/>
        <v>-86.288636900434042</v>
      </c>
      <c r="CM109" s="204">
        <f t="shared" si="224"/>
        <v>-87.07810778465857</v>
      </c>
      <c r="CN109" s="204">
        <f t="shared" si="224"/>
        <v>-87.871402712714072</v>
      </c>
      <c r="CO109" s="204">
        <f t="shared" si="224"/>
        <v>-88.668452224796056</v>
      </c>
      <c r="CP109" s="204">
        <f t="shared" si="224"/>
        <v>-89.469188122765601</v>
      </c>
      <c r="CQ109" s="204">
        <f t="shared" si="224"/>
        <v>-90.273543447232512</v>
      </c>
      <c r="CR109" s="204">
        <f t="shared" si="224"/>
        <v>-91.081452455054702</v>
      </c>
      <c r="CS109" s="204">
        <f t="shared" si="224"/>
        <v>-91.892850597246365</v>
      </c>
      <c r="CT109" s="204">
        <f t="shared" si="224"/>
        <v>-92.707674497287258</v>
      </c>
      <c r="CU109" s="204">
        <f t="shared" si="224"/>
        <v>-93.525861929826178</v>
      </c>
      <c r="CV109" s="204">
        <f t="shared" si="224"/>
        <v>-94.347351799771133</v>
      </c>
      <c r="CW109" s="204">
        <f t="shared" si="224"/>
        <v>-95.172084121759283</v>
      </c>
      <c r="CX109" s="204">
        <f t="shared" si="224"/>
        <v>-96</v>
      </c>
      <c r="CY109" s="204">
        <f t="shared" si="224"/>
        <v>-96</v>
      </c>
      <c r="CZ109" s="204">
        <f t="shared" si="224"/>
        <v>-96</v>
      </c>
      <c r="DA109" s="204">
        <f t="shared" si="224"/>
        <v>-96</v>
      </c>
      <c r="DB109" s="204">
        <f t="shared" si="224"/>
        <v>-96</v>
      </c>
      <c r="DC109" s="204">
        <f t="shared" si="224"/>
        <v>-96</v>
      </c>
      <c r="DD109" s="204">
        <f t="shared" si="224"/>
        <v>-96</v>
      </c>
      <c r="DE109" s="204">
        <f t="shared" si="224"/>
        <v>-96</v>
      </c>
      <c r="DF109" s="204">
        <f t="shared" si="224"/>
        <v>-96</v>
      </c>
      <c r="DG109" s="204">
        <f t="shared" si="224"/>
        <v>-96</v>
      </c>
      <c r="DH109" s="204">
        <f t="shared" si="224"/>
        <v>-96</v>
      </c>
      <c r="DI109" s="204">
        <f t="shared" si="224"/>
        <v>-96</v>
      </c>
      <c r="DJ109" s="204">
        <f t="shared" si="224"/>
        <v>-96</v>
      </c>
      <c r="DK109" s="204">
        <f t="shared" si="224"/>
        <v>-96</v>
      </c>
      <c r="DL109" s="204">
        <f t="shared" si="224"/>
        <v>-96</v>
      </c>
      <c r="DM109" s="204">
        <f t="shared" si="224"/>
        <v>-96</v>
      </c>
      <c r="DN109" s="204">
        <f t="shared" si="224"/>
        <v>-96</v>
      </c>
      <c r="DO109" s="204">
        <f t="shared" si="224"/>
        <v>-96</v>
      </c>
      <c r="DP109" s="204">
        <f t="shared" si="224"/>
        <v>-96</v>
      </c>
      <c r="DQ109" s="204">
        <f t="shared" si="224"/>
        <v>-96</v>
      </c>
      <c r="DR109" s="204">
        <f t="shared" si="224"/>
        <v>-96</v>
      </c>
      <c r="DS109" s="204">
        <f t="shared" si="224"/>
        <v>-96</v>
      </c>
      <c r="DT109" s="204">
        <f t="shared" si="224"/>
        <v>-96</v>
      </c>
      <c r="DU109" s="204">
        <f t="shared" si="224"/>
        <v>-96</v>
      </c>
      <c r="DV109" s="204">
        <f t="shared" si="224"/>
        <v>-96</v>
      </c>
      <c r="DW109" s="204">
        <f t="shared" si="224"/>
        <v>-96</v>
      </c>
      <c r="DX109" s="204">
        <f t="shared" si="224"/>
        <v>-96</v>
      </c>
      <c r="DY109" s="204">
        <f t="shared" si="224"/>
        <v>-96</v>
      </c>
      <c r="DZ109" s="204">
        <f t="shared" si="224"/>
        <v>-96</v>
      </c>
      <c r="EA109" s="204">
        <f t="shared" si="224"/>
        <v>-96</v>
      </c>
      <c r="EB109" s="204">
        <f t="shared" si="224"/>
        <v>-96</v>
      </c>
      <c r="EC109" s="204">
        <f t="shared" si="224"/>
        <v>-96</v>
      </c>
      <c r="ED109" s="204">
        <f t="shared" si="224"/>
        <v>-96</v>
      </c>
      <c r="EE109" s="204">
        <f t="shared" si="224"/>
        <v>-96</v>
      </c>
      <c r="EF109" s="204">
        <f t="shared" ref="EF109:ET109" si="225">PV($F63,EF$9,1,0)+(PV($J$6,$N$5-(EF$9),1,0)/($J$6+1)^EF$9)</f>
        <v>-96</v>
      </c>
      <c r="EG109" s="204">
        <f t="shared" si="225"/>
        <v>-96</v>
      </c>
      <c r="EH109" s="204">
        <f t="shared" si="225"/>
        <v>-96</v>
      </c>
      <c r="EI109" s="204">
        <f t="shared" si="225"/>
        <v>-96</v>
      </c>
      <c r="EJ109" s="204">
        <f t="shared" si="225"/>
        <v>-96</v>
      </c>
      <c r="EK109" s="204">
        <f t="shared" si="225"/>
        <v>-96</v>
      </c>
      <c r="EL109" s="204">
        <f t="shared" si="225"/>
        <v>-96</v>
      </c>
      <c r="EM109" s="204">
        <f t="shared" si="225"/>
        <v>-96</v>
      </c>
      <c r="EN109" s="204">
        <f t="shared" si="225"/>
        <v>-96</v>
      </c>
      <c r="EO109" s="204">
        <f t="shared" si="225"/>
        <v>-96</v>
      </c>
      <c r="EP109" s="204">
        <f t="shared" si="225"/>
        <v>-96</v>
      </c>
      <c r="EQ109" s="204">
        <f t="shared" si="225"/>
        <v>-96</v>
      </c>
      <c r="ER109" s="204">
        <f t="shared" si="225"/>
        <v>-96</v>
      </c>
      <c r="ES109" s="204">
        <f t="shared" si="225"/>
        <v>-96</v>
      </c>
      <c r="ET109" s="204">
        <f t="shared" si="225"/>
        <v>-96</v>
      </c>
      <c r="FF109" s="6" t="s">
        <v>803</v>
      </c>
      <c r="FG109" s="696">
        <v>2.5000000000000001E-2</v>
      </c>
      <c r="FH109" s="696">
        <v>120</v>
      </c>
      <c r="FI109" s="696">
        <v>1.9699999999999999E-2</v>
      </c>
      <c r="FJ109" s="255">
        <v>1.52E-2</v>
      </c>
      <c r="FK109" s="71">
        <f t="shared" si="126"/>
        <v>2.3333333333333336E-4</v>
      </c>
      <c r="FL109" t="e">
        <f>VLOOKUP(FF109,'SIMULADOR COM SALDO'!$BX$22:$CK$1000,13,FALSE)</f>
        <v>#N/A</v>
      </c>
    </row>
    <row r="110" spans="7:168" x14ac:dyDescent="0.25">
      <c r="G110" s="205">
        <f t="shared" si="68"/>
        <v>-44.770373601250576</v>
      </c>
      <c r="H110" s="204">
        <f t="shared" ref="H110:BS110" si="226">PV($F64,H$9,1,0)+(PV($J$6,$N$5-(H$9),1,0)/($J$6+1)^H$9)</f>
        <v>-44.806371604802436</v>
      </c>
      <c r="I110" s="204">
        <f t="shared" si="226"/>
        <v>-44.859879708437063</v>
      </c>
      <c r="J110" s="204">
        <f t="shared" si="226"/>
        <v>-44.930579859281075</v>
      </c>
      <c r="K110" s="204">
        <f t="shared" si="226"/>
        <v>-45.018159781562872</v>
      </c>
      <c r="L110" s="204">
        <f t="shared" si="226"/>
        <v>-45.122312871677551</v>
      </c>
      <c r="M110" s="204">
        <f t="shared" si="226"/>
        <v>-45.24273809515784</v>
      </c>
      <c r="N110" s="204">
        <f t="shared" si="226"/>
        <v>-45.379139885516487</v>
      </c>
      <c r="O110" s="204">
        <f t="shared" si="226"/>
        <v>-45.53122804492606</v>
      </c>
      <c r="P110" s="204">
        <f t="shared" si="226"/>
        <v>-45.698717646702761</v>
      </c>
      <c r="Q110" s="204">
        <f t="shared" si="226"/>
        <v>-45.881328939561598</v>
      </c>
      <c r="R110" s="204">
        <f t="shared" si="226"/>
        <v>-46.078787253610507</v>
      </c>
      <c r="S110" s="204">
        <f t="shared" si="226"/>
        <v>-46.290822908052249</v>
      </c>
      <c r="T110" s="204">
        <f t="shared" si="226"/>
        <v>-46.517171120562551</v>
      </c>
      <c r="U110" s="204">
        <f t="shared" si="226"/>
        <v>-46.75757191831444</v>
      </c>
      <c r="V110" s="204">
        <f t="shared" si="226"/>
        <v>-47.011770050618708</v>
      </c>
      <c r="W110" s="204">
        <f t="shared" si="226"/>
        <v>-47.279514903151124</v>
      </c>
      <c r="X110" s="204">
        <f t="shared" si="226"/>
        <v>-47.560560413737676</v>
      </c>
      <c r="Y110" s="204">
        <f t="shared" si="226"/>
        <v>-47.854664989669509</v>
      </c>
      <c r="Z110" s="204">
        <f t="shared" si="226"/>
        <v>-48.161591426519607</v>
      </c>
      <c r="AA110" s="204">
        <f t="shared" si="226"/>
        <v>-48.481106828434278</v>
      </c>
      <c r="AB110" s="204">
        <f t="shared" si="226"/>
        <v>-48.81298252987235</v>
      </c>
      <c r="AC110" s="204">
        <f t="shared" si="226"/>
        <v>-49.156994018765893</v>
      </c>
      <c r="AD110" s="204">
        <f t="shared" si="226"/>
        <v>-49.51292086107668</v>
      </c>
      <c r="AE110" s="204">
        <f t="shared" si="226"/>
        <v>-49.880546626723003</v>
      </c>
      <c r="AF110" s="204">
        <f t="shared" si="226"/>
        <v>-50.259658816851953</v>
      </c>
      <c r="AG110" s="204">
        <f t="shared" si="226"/>
        <v>-50.650048792432663</v>
      </c>
      <c r="AH110" s="204">
        <f t="shared" si="226"/>
        <v>-51.051511704146662</v>
      </c>
      <c r="AI110" s="204">
        <f t="shared" si="226"/>
        <v>-51.463846423551665</v>
      </c>
      <c r="AJ110" s="204">
        <f t="shared" si="226"/>
        <v>-51.886855475495707</v>
      </c>
      <c r="AK110" s="204">
        <f t="shared" si="226"/>
        <v>-52.320344971758878</v>
      </c>
      <c r="AL110" s="204">
        <f t="shared" si="226"/>
        <v>-52.76412454590043</v>
      </c>
      <c r="AM110" s="204">
        <f t="shared" si="226"/>
        <v>-53.218007289289282</v>
      </c>
      <c r="AN110" s="204">
        <f t="shared" si="226"/>
        <v>-53.681809688296511</v>
      </c>
      <c r="AO110" s="204">
        <f t="shared" si="226"/>
        <v>-54.155351562628589</v>
      </c>
      <c r="AP110" s="204">
        <f t="shared" si="226"/>
        <v>-54.638456004780849</v>
      </c>
      <c r="AQ110" s="204">
        <f t="shared" si="226"/>
        <v>-55.130949320590631</v>
      </c>
      <c r="AR110" s="204">
        <f t="shared" si="226"/>
        <v>-55.632660970870248</v>
      </c>
      <c r="AS110" s="204">
        <f t="shared" si="226"/>
        <v>-56.143423514100107</v>
      </c>
      <c r="AT110" s="204">
        <f t="shared" si="226"/>
        <v>-56.663072550162802</v>
      </c>
      <c r="AU110" s="204">
        <f t="shared" si="226"/>
        <v>-57.191446665099171</v>
      </c>
      <c r="AV110" s="204">
        <f t="shared" si="226"/>
        <v>-57.728387376867829</v>
      </c>
      <c r="AW110" s="204">
        <f t="shared" si="226"/>
        <v>-58.273739082089882</v>
      </c>
      <c r="AX110" s="204">
        <f t="shared" si="226"/>
        <v>-58.827349003761015</v>
      </c>
      <c r="AY110" s="204">
        <f t="shared" si="226"/>
        <v>-59.389067139913323</v>
      </c>
      <c r="AZ110" s="204">
        <f t="shared" si="226"/>
        <v>-59.95874621320965</v>
      </c>
      <c r="BA110" s="204">
        <f t="shared" si="226"/>
        <v>-60.53624162145347</v>
      </c>
      <c r="BB110" s="204">
        <f t="shared" si="226"/>
        <v>-61.121411388997728</v>
      </c>
      <c r="BC110" s="204">
        <f t="shared" si="226"/>
        <v>-61.714116119036262</v>
      </c>
      <c r="BD110" s="204">
        <f t="shared" si="226"/>
        <v>-62.314218946761883</v>
      </c>
      <c r="BE110" s="204">
        <f t="shared" si="226"/>
        <v>-62.921585493375147</v>
      </c>
      <c r="BF110" s="204">
        <f t="shared" si="226"/>
        <v>-63.536083820928674</v>
      </c>
      <c r="BG110" s="204">
        <f t="shared" si="226"/>
        <v>-64.157584387991548</v>
      </c>
      <c r="BH110" s="204">
        <f t="shared" si="226"/>
        <v>-64.785960006119055</v>
      </c>
      <c r="BI110" s="204">
        <f t="shared" si="226"/>
        <v>-65.421085797113165</v>
      </c>
      <c r="BJ110" s="204">
        <f t="shared" si="226"/>
        <v>-66.062839151059279</v>
      </c>
      <c r="BK110" s="204">
        <f t="shared" si="226"/>
        <v>-66.711099685125177</v>
      </c>
      <c r="BL110" s="204">
        <f t="shared" si="226"/>
        <v>-67.365749203108379</v>
      </c>
      <c r="BM110" s="204">
        <f t="shared" si="226"/>
        <v>-68.026671655718303</v>
      </c>
      <c r="BN110" s="204">
        <f t="shared" si="226"/>
        <v>-68.693753101579787</v>
      </c>
      <c r="BO110" s="204">
        <f t="shared" si="226"/>
        <v>-69.366881668945013</v>
      </c>
      <c r="BP110" s="204">
        <f t="shared" si="226"/>
        <v>-70.04594751810086</v>
      </c>
      <c r="BQ110" s="204">
        <f t="shared" si="226"/>
        <v>-70.730842804459073</v>
      </c>
      <c r="BR110" s="204">
        <f t="shared" si="226"/>
        <v>-71.421461642316928</v>
      </c>
      <c r="BS110" s="204">
        <f t="shared" si="226"/>
        <v>-72.117700069276026</v>
      </c>
      <c r="BT110" s="204">
        <f t="shared" ref="BT110:EE110" si="227">PV($F64,BT$9,1,0)+(PV($J$6,$N$5-(BT$9),1,0)/($J$6+1)^BT$9)</f>
        <v>-72.819456011307551</v>
      </c>
      <c r="BU110" s="204">
        <f t="shared" si="227"/>
        <v>-73.526629248451897</v>
      </c>
      <c r="BV110" s="204">
        <f t="shared" si="227"/>
        <v>-74.239121381141487</v>
      </c>
      <c r="BW110" s="204">
        <f t="shared" si="227"/>
        <v>-74.956835797135199</v>
      </c>
      <c r="BX110" s="204">
        <f t="shared" si="227"/>
        <v>-75.679677639053423</v>
      </c>
      <c r="BY110" s="204">
        <f t="shared" si="227"/>
        <v>-76.407553772502823</v>
      </c>
      <c r="BZ110" s="204">
        <f t="shared" si="227"/>
        <v>-77.140372754780103</v>
      </c>
      <c r="CA110" s="204">
        <f t="shared" si="227"/>
        <v>-77.878044804144153</v>
      </c>
      <c r="CB110" s="204">
        <f t="shared" si="227"/>
        <v>-78.620481769646403</v>
      </c>
      <c r="CC110" s="204">
        <f t="shared" si="227"/>
        <v>-79.36759710150919</v>
      </c>
      <c r="CD110" s="204">
        <f t="shared" si="227"/>
        <v>-80.119305822042122</v>
      </c>
      <c r="CE110" s="204">
        <f t="shared" si="227"/>
        <v>-80.87552449708673</v>
      </c>
      <c r="CF110" s="204">
        <f t="shared" si="227"/>
        <v>-81.636171207979814</v>
      </c>
      <c r="CG110" s="204">
        <f t="shared" si="227"/>
        <v>-82.401165524026041</v>
      </c>
      <c r="CH110" s="204">
        <f t="shared" si="227"/>
        <v>-83.170428475470544</v>
      </c>
      <c r="CI110" s="204">
        <f t="shared" si="227"/>
        <v>-83.943882526962454</v>
      </c>
      <c r="CJ110" s="204">
        <f t="shared" si="227"/>
        <v>-84.721451551500408</v>
      </c>
      <c r="CK110" s="204">
        <f t="shared" si="227"/>
        <v>-85.503060804851359</v>
      </c>
      <c r="CL110" s="204">
        <f t="shared" si="227"/>
        <v>-86.288636900434042</v>
      </c>
      <c r="CM110" s="204">
        <f t="shared" si="227"/>
        <v>-87.07810778465857</v>
      </c>
      <c r="CN110" s="204">
        <f t="shared" si="227"/>
        <v>-87.871402712714072</v>
      </c>
      <c r="CO110" s="204">
        <f t="shared" si="227"/>
        <v>-88.668452224796056</v>
      </c>
      <c r="CP110" s="204">
        <f t="shared" si="227"/>
        <v>-89.469188122765601</v>
      </c>
      <c r="CQ110" s="204">
        <f t="shared" si="227"/>
        <v>-90.273543447232512</v>
      </c>
      <c r="CR110" s="204">
        <f t="shared" si="227"/>
        <v>-91.081452455054702</v>
      </c>
      <c r="CS110" s="204">
        <f t="shared" si="227"/>
        <v>-91.892850597246365</v>
      </c>
      <c r="CT110" s="204">
        <f t="shared" si="227"/>
        <v>-92.707674497287258</v>
      </c>
      <c r="CU110" s="204">
        <f t="shared" si="227"/>
        <v>-93.525861929826178</v>
      </c>
      <c r="CV110" s="204">
        <f t="shared" si="227"/>
        <v>-94.347351799771133</v>
      </c>
      <c r="CW110" s="204">
        <f t="shared" si="227"/>
        <v>-95.172084121759283</v>
      </c>
      <c r="CX110" s="204">
        <f t="shared" si="227"/>
        <v>-96</v>
      </c>
      <c r="CY110" s="204">
        <f t="shared" si="227"/>
        <v>-96</v>
      </c>
      <c r="CZ110" s="204">
        <f t="shared" si="227"/>
        <v>-96</v>
      </c>
      <c r="DA110" s="204">
        <f t="shared" si="227"/>
        <v>-96</v>
      </c>
      <c r="DB110" s="204">
        <f t="shared" si="227"/>
        <v>-96</v>
      </c>
      <c r="DC110" s="204">
        <f t="shared" si="227"/>
        <v>-96</v>
      </c>
      <c r="DD110" s="204">
        <f t="shared" si="227"/>
        <v>-96</v>
      </c>
      <c r="DE110" s="204">
        <f t="shared" si="227"/>
        <v>-96</v>
      </c>
      <c r="DF110" s="204">
        <f t="shared" si="227"/>
        <v>-96</v>
      </c>
      <c r="DG110" s="204">
        <f t="shared" si="227"/>
        <v>-96</v>
      </c>
      <c r="DH110" s="204">
        <f t="shared" si="227"/>
        <v>-96</v>
      </c>
      <c r="DI110" s="204">
        <f t="shared" si="227"/>
        <v>-96</v>
      </c>
      <c r="DJ110" s="204">
        <f t="shared" si="227"/>
        <v>-96</v>
      </c>
      <c r="DK110" s="204">
        <f t="shared" si="227"/>
        <v>-96</v>
      </c>
      <c r="DL110" s="204">
        <f t="shared" si="227"/>
        <v>-96</v>
      </c>
      <c r="DM110" s="204">
        <f t="shared" si="227"/>
        <v>-96</v>
      </c>
      <c r="DN110" s="204">
        <f t="shared" si="227"/>
        <v>-96</v>
      </c>
      <c r="DO110" s="204">
        <f t="shared" si="227"/>
        <v>-96</v>
      </c>
      <c r="DP110" s="204">
        <f t="shared" si="227"/>
        <v>-96</v>
      </c>
      <c r="DQ110" s="204">
        <f t="shared" si="227"/>
        <v>-96</v>
      </c>
      <c r="DR110" s="204">
        <f t="shared" si="227"/>
        <v>-96</v>
      </c>
      <c r="DS110" s="204">
        <f t="shared" si="227"/>
        <v>-96</v>
      </c>
      <c r="DT110" s="204">
        <f t="shared" si="227"/>
        <v>-96</v>
      </c>
      <c r="DU110" s="204">
        <f t="shared" si="227"/>
        <v>-96</v>
      </c>
      <c r="DV110" s="204">
        <f t="shared" si="227"/>
        <v>-96</v>
      </c>
      <c r="DW110" s="204">
        <f t="shared" si="227"/>
        <v>-96</v>
      </c>
      <c r="DX110" s="204">
        <f t="shared" si="227"/>
        <v>-96</v>
      </c>
      <c r="DY110" s="204">
        <f t="shared" si="227"/>
        <v>-96</v>
      </c>
      <c r="DZ110" s="204">
        <f t="shared" si="227"/>
        <v>-96</v>
      </c>
      <c r="EA110" s="204">
        <f t="shared" si="227"/>
        <v>-96</v>
      </c>
      <c r="EB110" s="204">
        <f t="shared" si="227"/>
        <v>-96</v>
      </c>
      <c r="EC110" s="204">
        <f t="shared" si="227"/>
        <v>-96</v>
      </c>
      <c r="ED110" s="204">
        <f t="shared" si="227"/>
        <v>-96</v>
      </c>
      <c r="EE110" s="204">
        <f t="shared" si="227"/>
        <v>-96</v>
      </c>
      <c r="EF110" s="204">
        <f t="shared" ref="EF110:ET110" si="228">PV($F64,EF$9,1,0)+(PV($J$6,$N$5-(EF$9),1,0)/($J$6+1)^EF$9)</f>
        <v>-96</v>
      </c>
      <c r="EG110" s="204">
        <f t="shared" si="228"/>
        <v>-96</v>
      </c>
      <c r="EH110" s="204">
        <f t="shared" si="228"/>
        <v>-96</v>
      </c>
      <c r="EI110" s="204">
        <f t="shared" si="228"/>
        <v>-96</v>
      </c>
      <c r="EJ110" s="204">
        <f t="shared" si="228"/>
        <v>-96</v>
      </c>
      <c r="EK110" s="204">
        <f t="shared" si="228"/>
        <v>-96</v>
      </c>
      <c r="EL110" s="204">
        <f t="shared" si="228"/>
        <v>-96</v>
      </c>
      <c r="EM110" s="204">
        <f t="shared" si="228"/>
        <v>-96</v>
      </c>
      <c r="EN110" s="204">
        <f t="shared" si="228"/>
        <v>-96</v>
      </c>
      <c r="EO110" s="204">
        <f t="shared" si="228"/>
        <v>-96</v>
      </c>
      <c r="EP110" s="204">
        <f t="shared" si="228"/>
        <v>-96</v>
      </c>
      <c r="EQ110" s="204">
        <f t="shared" si="228"/>
        <v>-96</v>
      </c>
      <c r="ER110" s="204">
        <f t="shared" si="228"/>
        <v>-96</v>
      </c>
      <c r="ES110" s="204">
        <f t="shared" si="228"/>
        <v>-96</v>
      </c>
      <c r="ET110" s="204">
        <f t="shared" si="228"/>
        <v>-96</v>
      </c>
      <c r="FF110" s="6" t="s">
        <v>3029</v>
      </c>
      <c r="FG110" s="696">
        <v>2.5000000000000001E-2</v>
      </c>
      <c r="FH110" s="696">
        <v>120</v>
      </c>
      <c r="FI110" s="696">
        <v>1.8500000000000003E-2</v>
      </c>
      <c r="FJ110" s="255">
        <v>1.6500000000000001E-2</v>
      </c>
      <c r="FK110" s="71">
        <f t="shared" si="126"/>
        <v>2.0238095238095239E-4</v>
      </c>
      <c r="FL110" t="e">
        <f>VLOOKUP(FF110,'SIMULADOR COM SALDO'!$BX$22:$CK$1000,13,FALSE)</f>
        <v>#N/A</v>
      </c>
    </row>
    <row r="111" spans="7:168" x14ac:dyDescent="0.25">
      <c r="G111" s="205">
        <f t="shared" si="68"/>
        <v>-44.770373601250576</v>
      </c>
      <c r="H111" s="204">
        <f t="shared" ref="H111:BS111" si="229">PV($F65,H$9,1,0)+(PV($J$6,$N$5-(H$9),1,0)/($J$6+1)^H$9)</f>
        <v>-44.806371604802436</v>
      </c>
      <c r="I111" s="204">
        <f t="shared" si="229"/>
        <v>-44.859879708437063</v>
      </c>
      <c r="J111" s="204">
        <f t="shared" si="229"/>
        <v>-44.930579859281075</v>
      </c>
      <c r="K111" s="204">
        <f t="shared" si="229"/>
        <v>-45.018159781562872</v>
      </c>
      <c r="L111" s="204">
        <f t="shared" si="229"/>
        <v>-45.122312871677551</v>
      </c>
      <c r="M111" s="204">
        <f t="shared" si="229"/>
        <v>-45.24273809515784</v>
      </c>
      <c r="N111" s="204">
        <f t="shared" si="229"/>
        <v>-45.379139885516487</v>
      </c>
      <c r="O111" s="204">
        <f t="shared" si="229"/>
        <v>-45.53122804492606</v>
      </c>
      <c r="P111" s="204">
        <f t="shared" si="229"/>
        <v>-45.698717646702761</v>
      </c>
      <c r="Q111" s="204">
        <f t="shared" si="229"/>
        <v>-45.881328939561598</v>
      </c>
      <c r="R111" s="204">
        <f t="shared" si="229"/>
        <v>-46.078787253610507</v>
      </c>
      <c r="S111" s="204">
        <f t="shared" si="229"/>
        <v>-46.290822908052249</v>
      </c>
      <c r="T111" s="204">
        <f t="shared" si="229"/>
        <v>-46.517171120562551</v>
      </c>
      <c r="U111" s="204">
        <f t="shared" si="229"/>
        <v>-46.75757191831444</v>
      </c>
      <c r="V111" s="204">
        <f t="shared" si="229"/>
        <v>-47.011770050618708</v>
      </c>
      <c r="W111" s="204">
        <f t="shared" si="229"/>
        <v>-47.279514903151124</v>
      </c>
      <c r="X111" s="204">
        <f t="shared" si="229"/>
        <v>-47.560560413737676</v>
      </c>
      <c r="Y111" s="204">
        <f t="shared" si="229"/>
        <v>-47.854664989669509</v>
      </c>
      <c r="Z111" s="204">
        <f t="shared" si="229"/>
        <v>-48.161591426519607</v>
      </c>
      <c r="AA111" s="204">
        <f t="shared" si="229"/>
        <v>-48.481106828434278</v>
      </c>
      <c r="AB111" s="204">
        <f t="shared" si="229"/>
        <v>-48.81298252987235</v>
      </c>
      <c r="AC111" s="204">
        <f t="shared" si="229"/>
        <v>-49.156994018765893</v>
      </c>
      <c r="AD111" s="204">
        <f t="shared" si="229"/>
        <v>-49.51292086107668</v>
      </c>
      <c r="AE111" s="204">
        <f t="shared" si="229"/>
        <v>-49.880546626723003</v>
      </c>
      <c r="AF111" s="204">
        <f t="shared" si="229"/>
        <v>-50.259658816851953</v>
      </c>
      <c r="AG111" s="204">
        <f t="shared" si="229"/>
        <v>-50.650048792432663</v>
      </c>
      <c r="AH111" s="204">
        <f t="shared" si="229"/>
        <v>-51.051511704146662</v>
      </c>
      <c r="AI111" s="204">
        <f t="shared" si="229"/>
        <v>-51.463846423551665</v>
      </c>
      <c r="AJ111" s="204">
        <f t="shared" si="229"/>
        <v>-51.886855475495707</v>
      </c>
      <c r="AK111" s="204">
        <f t="shared" si="229"/>
        <v>-52.320344971758878</v>
      </c>
      <c r="AL111" s="204">
        <f t="shared" si="229"/>
        <v>-52.76412454590043</v>
      </c>
      <c r="AM111" s="204">
        <f t="shared" si="229"/>
        <v>-53.218007289289282</v>
      </c>
      <c r="AN111" s="204">
        <f t="shared" si="229"/>
        <v>-53.681809688296511</v>
      </c>
      <c r="AO111" s="204">
        <f t="shared" si="229"/>
        <v>-54.155351562628589</v>
      </c>
      <c r="AP111" s="204">
        <f t="shared" si="229"/>
        <v>-54.638456004780849</v>
      </c>
      <c r="AQ111" s="204">
        <f t="shared" si="229"/>
        <v>-55.130949320590631</v>
      </c>
      <c r="AR111" s="204">
        <f t="shared" si="229"/>
        <v>-55.632660970870248</v>
      </c>
      <c r="AS111" s="204">
        <f t="shared" si="229"/>
        <v>-56.143423514100107</v>
      </c>
      <c r="AT111" s="204">
        <f t="shared" si="229"/>
        <v>-56.663072550162802</v>
      </c>
      <c r="AU111" s="204">
        <f t="shared" si="229"/>
        <v>-57.191446665099171</v>
      </c>
      <c r="AV111" s="204">
        <f t="shared" si="229"/>
        <v>-57.728387376867829</v>
      </c>
      <c r="AW111" s="204">
        <f t="shared" si="229"/>
        <v>-58.273739082089882</v>
      </c>
      <c r="AX111" s="204">
        <f t="shared" si="229"/>
        <v>-58.827349003761015</v>
      </c>
      <c r="AY111" s="204">
        <f t="shared" si="229"/>
        <v>-59.389067139913323</v>
      </c>
      <c r="AZ111" s="204">
        <f t="shared" si="229"/>
        <v>-59.95874621320965</v>
      </c>
      <c r="BA111" s="204">
        <f t="shared" si="229"/>
        <v>-60.53624162145347</v>
      </c>
      <c r="BB111" s="204">
        <f t="shared" si="229"/>
        <v>-61.121411388997728</v>
      </c>
      <c r="BC111" s="204">
        <f t="shared" si="229"/>
        <v>-61.714116119036262</v>
      </c>
      <c r="BD111" s="204">
        <f t="shared" si="229"/>
        <v>-62.314218946761883</v>
      </c>
      <c r="BE111" s="204">
        <f t="shared" si="229"/>
        <v>-62.921585493375147</v>
      </c>
      <c r="BF111" s="204">
        <f t="shared" si="229"/>
        <v>-63.536083820928674</v>
      </c>
      <c r="BG111" s="204">
        <f t="shared" si="229"/>
        <v>-64.157584387991548</v>
      </c>
      <c r="BH111" s="204">
        <f t="shared" si="229"/>
        <v>-64.785960006119055</v>
      </c>
      <c r="BI111" s="204">
        <f t="shared" si="229"/>
        <v>-65.421085797113165</v>
      </c>
      <c r="BJ111" s="204">
        <f t="shared" si="229"/>
        <v>-66.062839151059279</v>
      </c>
      <c r="BK111" s="204">
        <f t="shared" si="229"/>
        <v>-66.711099685125177</v>
      </c>
      <c r="BL111" s="204">
        <f t="shared" si="229"/>
        <v>-67.365749203108379</v>
      </c>
      <c r="BM111" s="204">
        <f t="shared" si="229"/>
        <v>-68.026671655718303</v>
      </c>
      <c r="BN111" s="204">
        <f t="shared" si="229"/>
        <v>-68.693753101579787</v>
      </c>
      <c r="BO111" s="204">
        <f t="shared" si="229"/>
        <v>-69.366881668945013</v>
      </c>
      <c r="BP111" s="204">
        <f t="shared" si="229"/>
        <v>-70.04594751810086</v>
      </c>
      <c r="BQ111" s="204">
        <f t="shared" si="229"/>
        <v>-70.730842804459073</v>
      </c>
      <c r="BR111" s="204">
        <f t="shared" si="229"/>
        <v>-71.421461642316928</v>
      </c>
      <c r="BS111" s="204">
        <f t="shared" si="229"/>
        <v>-72.117700069276026</v>
      </c>
      <c r="BT111" s="204">
        <f t="shared" ref="BT111:EE111" si="230">PV($F65,BT$9,1,0)+(PV($J$6,$N$5-(BT$9),1,0)/($J$6+1)^BT$9)</f>
        <v>-72.819456011307551</v>
      </c>
      <c r="BU111" s="204">
        <f t="shared" si="230"/>
        <v>-73.526629248451897</v>
      </c>
      <c r="BV111" s="204">
        <f t="shared" si="230"/>
        <v>-74.239121381141487</v>
      </c>
      <c r="BW111" s="204">
        <f t="shared" si="230"/>
        <v>-74.956835797135199</v>
      </c>
      <c r="BX111" s="204">
        <f t="shared" si="230"/>
        <v>-75.679677639053423</v>
      </c>
      <c r="BY111" s="204">
        <f t="shared" si="230"/>
        <v>-76.407553772502823</v>
      </c>
      <c r="BZ111" s="204">
        <f t="shared" si="230"/>
        <v>-77.140372754780103</v>
      </c>
      <c r="CA111" s="204">
        <f t="shared" si="230"/>
        <v>-77.878044804144153</v>
      </c>
      <c r="CB111" s="204">
        <f t="shared" si="230"/>
        <v>-78.620481769646403</v>
      </c>
      <c r="CC111" s="204">
        <f t="shared" si="230"/>
        <v>-79.36759710150919</v>
      </c>
      <c r="CD111" s="204">
        <f t="shared" si="230"/>
        <v>-80.119305822042122</v>
      </c>
      <c r="CE111" s="204">
        <f t="shared" si="230"/>
        <v>-80.87552449708673</v>
      </c>
      <c r="CF111" s="204">
        <f t="shared" si="230"/>
        <v>-81.636171207979814</v>
      </c>
      <c r="CG111" s="204">
        <f t="shared" si="230"/>
        <v>-82.401165524026041</v>
      </c>
      <c r="CH111" s="204">
        <f t="shared" si="230"/>
        <v>-83.170428475470544</v>
      </c>
      <c r="CI111" s="204">
        <f t="shared" si="230"/>
        <v>-83.943882526962454</v>
      </c>
      <c r="CJ111" s="204">
        <f t="shared" si="230"/>
        <v>-84.721451551500408</v>
      </c>
      <c r="CK111" s="204">
        <f t="shared" si="230"/>
        <v>-85.503060804851359</v>
      </c>
      <c r="CL111" s="204">
        <f t="shared" si="230"/>
        <v>-86.288636900434042</v>
      </c>
      <c r="CM111" s="204">
        <f t="shared" si="230"/>
        <v>-87.07810778465857</v>
      </c>
      <c r="CN111" s="204">
        <f t="shared" si="230"/>
        <v>-87.871402712714072</v>
      </c>
      <c r="CO111" s="204">
        <f t="shared" si="230"/>
        <v>-88.668452224796056</v>
      </c>
      <c r="CP111" s="204">
        <f t="shared" si="230"/>
        <v>-89.469188122765601</v>
      </c>
      <c r="CQ111" s="204">
        <f t="shared" si="230"/>
        <v>-90.273543447232512</v>
      </c>
      <c r="CR111" s="204">
        <f t="shared" si="230"/>
        <v>-91.081452455054702</v>
      </c>
      <c r="CS111" s="204">
        <f t="shared" si="230"/>
        <v>-91.892850597246365</v>
      </c>
      <c r="CT111" s="204">
        <f t="shared" si="230"/>
        <v>-92.707674497287258</v>
      </c>
      <c r="CU111" s="204">
        <f t="shared" si="230"/>
        <v>-93.525861929826178</v>
      </c>
      <c r="CV111" s="204">
        <f t="shared" si="230"/>
        <v>-94.347351799771133</v>
      </c>
      <c r="CW111" s="204">
        <f t="shared" si="230"/>
        <v>-95.172084121759283</v>
      </c>
      <c r="CX111" s="204">
        <f t="shared" si="230"/>
        <v>-96</v>
      </c>
      <c r="CY111" s="204">
        <f t="shared" si="230"/>
        <v>-96</v>
      </c>
      <c r="CZ111" s="204">
        <f t="shared" si="230"/>
        <v>-96</v>
      </c>
      <c r="DA111" s="204">
        <f t="shared" si="230"/>
        <v>-96</v>
      </c>
      <c r="DB111" s="204">
        <f t="shared" si="230"/>
        <v>-96</v>
      </c>
      <c r="DC111" s="204">
        <f t="shared" si="230"/>
        <v>-96</v>
      </c>
      <c r="DD111" s="204">
        <f t="shared" si="230"/>
        <v>-96</v>
      </c>
      <c r="DE111" s="204">
        <f t="shared" si="230"/>
        <v>-96</v>
      </c>
      <c r="DF111" s="204">
        <f t="shared" si="230"/>
        <v>-96</v>
      </c>
      <c r="DG111" s="204">
        <f t="shared" si="230"/>
        <v>-96</v>
      </c>
      <c r="DH111" s="204">
        <f t="shared" si="230"/>
        <v>-96</v>
      </c>
      <c r="DI111" s="204">
        <f t="shared" si="230"/>
        <v>-96</v>
      </c>
      <c r="DJ111" s="204">
        <f t="shared" si="230"/>
        <v>-96</v>
      </c>
      <c r="DK111" s="204">
        <f t="shared" si="230"/>
        <v>-96</v>
      </c>
      <c r="DL111" s="204">
        <f t="shared" si="230"/>
        <v>-96</v>
      </c>
      <c r="DM111" s="204">
        <f t="shared" si="230"/>
        <v>-96</v>
      </c>
      <c r="DN111" s="204">
        <f t="shared" si="230"/>
        <v>-96</v>
      </c>
      <c r="DO111" s="204">
        <f t="shared" si="230"/>
        <v>-96</v>
      </c>
      <c r="DP111" s="204">
        <f t="shared" si="230"/>
        <v>-96</v>
      </c>
      <c r="DQ111" s="204">
        <f t="shared" si="230"/>
        <v>-96</v>
      </c>
      <c r="DR111" s="204">
        <f t="shared" si="230"/>
        <v>-96</v>
      </c>
      <c r="DS111" s="204">
        <f t="shared" si="230"/>
        <v>-96</v>
      </c>
      <c r="DT111" s="204">
        <f t="shared" si="230"/>
        <v>-96</v>
      </c>
      <c r="DU111" s="204">
        <f t="shared" si="230"/>
        <v>-96</v>
      </c>
      <c r="DV111" s="204">
        <f t="shared" si="230"/>
        <v>-96</v>
      </c>
      <c r="DW111" s="204">
        <f t="shared" si="230"/>
        <v>-96</v>
      </c>
      <c r="DX111" s="204">
        <f t="shared" si="230"/>
        <v>-96</v>
      </c>
      <c r="DY111" s="204">
        <f t="shared" si="230"/>
        <v>-96</v>
      </c>
      <c r="DZ111" s="204">
        <f t="shared" si="230"/>
        <v>-96</v>
      </c>
      <c r="EA111" s="204">
        <f t="shared" si="230"/>
        <v>-96</v>
      </c>
      <c r="EB111" s="204">
        <f t="shared" si="230"/>
        <v>-96</v>
      </c>
      <c r="EC111" s="204">
        <f t="shared" si="230"/>
        <v>-96</v>
      </c>
      <c r="ED111" s="204">
        <f t="shared" si="230"/>
        <v>-96</v>
      </c>
      <c r="EE111" s="204">
        <f t="shared" si="230"/>
        <v>-96</v>
      </c>
      <c r="EF111" s="204">
        <f t="shared" ref="EF111:ET111" si="231">PV($F65,EF$9,1,0)+(PV($J$6,$N$5-(EF$9),1,0)/($J$6+1)^EF$9)</f>
        <v>-96</v>
      </c>
      <c r="EG111" s="204">
        <f t="shared" si="231"/>
        <v>-96</v>
      </c>
      <c r="EH111" s="204">
        <f t="shared" si="231"/>
        <v>-96</v>
      </c>
      <c r="EI111" s="204">
        <f t="shared" si="231"/>
        <v>-96</v>
      </c>
      <c r="EJ111" s="204">
        <f t="shared" si="231"/>
        <v>-96</v>
      </c>
      <c r="EK111" s="204">
        <f t="shared" si="231"/>
        <v>-96</v>
      </c>
      <c r="EL111" s="204">
        <f t="shared" si="231"/>
        <v>-96</v>
      </c>
      <c r="EM111" s="204">
        <f t="shared" si="231"/>
        <v>-96</v>
      </c>
      <c r="EN111" s="204">
        <f t="shared" si="231"/>
        <v>-96</v>
      </c>
      <c r="EO111" s="204">
        <f t="shared" si="231"/>
        <v>-96</v>
      </c>
      <c r="EP111" s="204">
        <f t="shared" si="231"/>
        <v>-96</v>
      </c>
      <c r="EQ111" s="204">
        <f t="shared" si="231"/>
        <v>-96</v>
      </c>
      <c r="ER111" s="204">
        <f t="shared" si="231"/>
        <v>-96</v>
      </c>
      <c r="ES111" s="204">
        <f t="shared" si="231"/>
        <v>-96</v>
      </c>
      <c r="ET111" s="204">
        <f t="shared" si="231"/>
        <v>-96</v>
      </c>
      <c r="FF111" s="6" t="s">
        <v>3030</v>
      </c>
      <c r="FG111" s="696">
        <v>2.5000000000000001E-2</v>
      </c>
      <c r="FH111" s="696">
        <v>120</v>
      </c>
      <c r="FI111" s="696">
        <v>1.9900000000000001E-2</v>
      </c>
      <c r="FJ111" s="255">
        <v>1.3899999999999999E-2</v>
      </c>
      <c r="FK111" s="71">
        <f t="shared" si="126"/>
        <v>2.6428571428571435E-4</v>
      </c>
      <c r="FL111" t="e">
        <f>VLOOKUP(FF111,'SIMULADOR COM SALDO'!$BX$22:$CK$1000,13,FALSE)</f>
        <v>#N/A</v>
      </c>
    </row>
    <row r="112" spans="7:168" x14ac:dyDescent="0.25">
      <c r="G112" s="205">
        <f t="shared" si="68"/>
        <v>-44.770373601250576</v>
      </c>
      <c r="H112" s="204">
        <f t="shared" ref="H112:BS112" si="232">PV($F66,H$9,1,0)+(PV($J$6,$N$5-(H$9),1,0)/($J$6+1)^H$9)</f>
        <v>-44.806371604802436</v>
      </c>
      <c r="I112" s="204">
        <f t="shared" si="232"/>
        <v>-44.859879708437063</v>
      </c>
      <c r="J112" s="204">
        <f t="shared" si="232"/>
        <v>-44.930579859281075</v>
      </c>
      <c r="K112" s="204">
        <f t="shared" si="232"/>
        <v>-45.018159781562872</v>
      </c>
      <c r="L112" s="204">
        <f t="shared" si="232"/>
        <v>-45.122312871677551</v>
      </c>
      <c r="M112" s="204">
        <f t="shared" si="232"/>
        <v>-45.24273809515784</v>
      </c>
      <c r="N112" s="204">
        <f t="shared" si="232"/>
        <v>-45.379139885516487</v>
      </c>
      <c r="O112" s="204">
        <f t="shared" si="232"/>
        <v>-45.53122804492606</v>
      </c>
      <c r="P112" s="204">
        <f t="shared" si="232"/>
        <v>-45.698717646702761</v>
      </c>
      <c r="Q112" s="204">
        <f t="shared" si="232"/>
        <v>-45.881328939561598</v>
      </c>
      <c r="R112" s="204">
        <f t="shared" si="232"/>
        <v>-46.078787253610507</v>
      </c>
      <c r="S112" s="204">
        <f t="shared" si="232"/>
        <v>-46.290822908052249</v>
      </c>
      <c r="T112" s="204">
        <f t="shared" si="232"/>
        <v>-46.517171120562551</v>
      </c>
      <c r="U112" s="204">
        <f t="shared" si="232"/>
        <v>-46.75757191831444</v>
      </c>
      <c r="V112" s="204">
        <f t="shared" si="232"/>
        <v>-47.011770050618708</v>
      </c>
      <c r="W112" s="204">
        <f t="shared" si="232"/>
        <v>-47.279514903151124</v>
      </c>
      <c r="X112" s="204">
        <f t="shared" si="232"/>
        <v>-47.560560413737676</v>
      </c>
      <c r="Y112" s="204">
        <f t="shared" si="232"/>
        <v>-47.854664989669509</v>
      </c>
      <c r="Z112" s="204">
        <f t="shared" si="232"/>
        <v>-48.161591426519607</v>
      </c>
      <c r="AA112" s="204">
        <f t="shared" si="232"/>
        <v>-48.481106828434278</v>
      </c>
      <c r="AB112" s="204">
        <f t="shared" si="232"/>
        <v>-48.81298252987235</v>
      </c>
      <c r="AC112" s="204">
        <f t="shared" si="232"/>
        <v>-49.156994018765893</v>
      </c>
      <c r="AD112" s="204">
        <f t="shared" si="232"/>
        <v>-49.51292086107668</v>
      </c>
      <c r="AE112" s="204">
        <f t="shared" si="232"/>
        <v>-49.880546626723003</v>
      </c>
      <c r="AF112" s="204">
        <f t="shared" si="232"/>
        <v>-50.259658816851953</v>
      </c>
      <c r="AG112" s="204">
        <f t="shared" si="232"/>
        <v>-50.650048792432663</v>
      </c>
      <c r="AH112" s="204">
        <f t="shared" si="232"/>
        <v>-51.051511704146662</v>
      </c>
      <c r="AI112" s="204">
        <f t="shared" si="232"/>
        <v>-51.463846423551665</v>
      </c>
      <c r="AJ112" s="204">
        <f t="shared" si="232"/>
        <v>-51.886855475495707</v>
      </c>
      <c r="AK112" s="204">
        <f t="shared" si="232"/>
        <v>-52.320344971758878</v>
      </c>
      <c r="AL112" s="204">
        <f t="shared" si="232"/>
        <v>-52.76412454590043</v>
      </c>
      <c r="AM112" s="204">
        <f t="shared" si="232"/>
        <v>-53.218007289289282</v>
      </c>
      <c r="AN112" s="204">
        <f t="shared" si="232"/>
        <v>-53.681809688296511</v>
      </c>
      <c r="AO112" s="204">
        <f t="shared" si="232"/>
        <v>-54.155351562628589</v>
      </c>
      <c r="AP112" s="204">
        <f t="shared" si="232"/>
        <v>-54.638456004780849</v>
      </c>
      <c r="AQ112" s="204">
        <f t="shared" si="232"/>
        <v>-55.130949320590631</v>
      </c>
      <c r="AR112" s="204">
        <f t="shared" si="232"/>
        <v>-55.632660970870248</v>
      </c>
      <c r="AS112" s="204">
        <f t="shared" si="232"/>
        <v>-56.143423514100107</v>
      </c>
      <c r="AT112" s="204">
        <f t="shared" si="232"/>
        <v>-56.663072550162802</v>
      </c>
      <c r="AU112" s="204">
        <f t="shared" si="232"/>
        <v>-57.191446665099171</v>
      </c>
      <c r="AV112" s="204">
        <f t="shared" si="232"/>
        <v>-57.728387376867829</v>
      </c>
      <c r="AW112" s="204">
        <f t="shared" si="232"/>
        <v>-58.273739082089882</v>
      </c>
      <c r="AX112" s="204">
        <f t="shared" si="232"/>
        <v>-58.827349003761015</v>
      </c>
      <c r="AY112" s="204">
        <f t="shared" si="232"/>
        <v>-59.389067139913323</v>
      </c>
      <c r="AZ112" s="204">
        <f t="shared" si="232"/>
        <v>-59.95874621320965</v>
      </c>
      <c r="BA112" s="204">
        <f t="shared" si="232"/>
        <v>-60.53624162145347</v>
      </c>
      <c r="BB112" s="204">
        <f t="shared" si="232"/>
        <v>-61.121411388997728</v>
      </c>
      <c r="BC112" s="204">
        <f t="shared" si="232"/>
        <v>-61.714116119036262</v>
      </c>
      <c r="BD112" s="204">
        <f t="shared" si="232"/>
        <v>-62.314218946761883</v>
      </c>
      <c r="BE112" s="204">
        <f t="shared" si="232"/>
        <v>-62.921585493375147</v>
      </c>
      <c r="BF112" s="204">
        <f t="shared" si="232"/>
        <v>-63.536083820928674</v>
      </c>
      <c r="BG112" s="204">
        <f t="shared" si="232"/>
        <v>-64.157584387991548</v>
      </c>
      <c r="BH112" s="204">
        <f t="shared" si="232"/>
        <v>-64.785960006119055</v>
      </c>
      <c r="BI112" s="204">
        <f t="shared" si="232"/>
        <v>-65.421085797113165</v>
      </c>
      <c r="BJ112" s="204">
        <f t="shared" si="232"/>
        <v>-66.062839151059279</v>
      </c>
      <c r="BK112" s="204">
        <f t="shared" si="232"/>
        <v>-66.711099685125177</v>
      </c>
      <c r="BL112" s="204">
        <f t="shared" si="232"/>
        <v>-67.365749203108379</v>
      </c>
      <c r="BM112" s="204">
        <f t="shared" si="232"/>
        <v>-68.026671655718303</v>
      </c>
      <c r="BN112" s="204">
        <f t="shared" si="232"/>
        <v>-68.693753101579787</v>
      </c>
      <c r="BO112" s="204">
        <f t="shared" si="232"/>
        <v>-69.366881668945013</v>
      </c>
      <c r="BP112" s="204">
        <f t="shared" si="232"/>
        <v>-70.04594751810086</v>
      </c>
      <c r="BQ112" s="204">
        <f t="shared" si="232"/>
        <v>-70.730842804459073</v>
      </c>
      <c r="BR112" s="204">
        <f t="shared" si="232"/>
        <v>-71.421461642316928</v>
      </c>
      <c r="BS112" s="204">
        <f t="shared" si="232"/>
        <v>-72.117700069276026</v>
      </c>
      <c r="BT112" s="204">
        <f t="shared" ref="BT112:EE112" si="233">PV($F66,BT$9,1,0)+(PV($J$6,$N$5-(BT$9),1,0)/($J$6+1)^BT$9)</f>
        <v>-72.819456011307551</v>
      </c>
      <c r="BU112" s="204">
        <f t="shared" si="233"/>
        <v>-73.526629248451897</v>
      </c>
      <c r="BV112" s="204">
        <f t="shared" si="233"/>
        <v>-74.239121381141487</v>
      </c>
      <c r="BW112" s="204">
        <f t="shared" si="233"/>
        <v>-74.956835797135199</v>
      </c>
      <c r="BX112" s="204">
        <f t="shared" si="233"/>
        <v>-75.679677639053423</v>
      </c>
      <c r="BY112" s="204">
        <f t="shared" si="233"/>
        <v>-76.407553772502823</v>
      </c>
      <c r="BZ112" s="204">
        <f t="shared" si="233"/>
        <v>-77.140372754780103</v>
      </c>
      <c r="CA112" s="204">
        <f t="shared" si="233"/>
        <v>-77.878044804144153</v>
      </c>
      <c r="CB112" s="204">
        <f t="shared" si="233"/>
        <v>-78.620481769646403</v>
      </c>
      <c r="CC112" s="204">
        <f t="shared" si="233"/>
        <v>-79.36759710150919</v>
      </c>
      <c r="CD112" s="204">
        <f t="shared" si="233"/>
        <v>-80.119305822042122</v>
      </c>
      <c r="CE112" s="204">
        <f t="shared" si="233"/>
        <v>-80.87552449708673</v>
      </c>
      <c r="CF112" s="204">
        <f t="shared" si="233"/>
        <v>-81.636171207979814</v>
      </c>
      <c r="CG112" s="204">
        <f t="shared" si="233"/>
        <v>-82.401165524026041</v>
      </c>
      <c r="CH112" s="204">
        <f t="shared" si="233"/>
        <v>-83.170428475470544</v>
      </c>
      <c r="CI112" s="204">
        <f t="shared" si="233"/>
        <v>-83.943882526962454</v>
      </c>
      <c r="CJ112" s="204">
        <f t="shared" si="233"/>
        <v>-84.721451551500408</v>
      </c>
      <c r="CK112" s="204">
        <f t="shared" si="233"/>
        <v>-85.503060804851359</v>
      </c>
      <c r="CL112" s="204">
        <f t="shared" si="233"/>
        <v>-86.288636900434042</v>
      </c>
      <c r="CM112" s="204">
        <f t="shared" si="233"/>
        <v>-87.07810778465857</v>
      </c>
      <c r="CN112" s="204">
        <f t="shared" si="233"/>
        <v>-87.871402712714072</v>
      </c>
      <c r="CO112" s="204">
        <f t="shared" si="233"/>
        <v>-88.668452224796056</v>
      </c>
      <c r="CP112" s="204">
        <f t="shared" si="233"/>
        <v>-89.469188122765601</v>
      </c>
      <c r="CQ112" s="204">
        <f t="shared" si="233"/>
        <v>-90.273543447232512</v>
      </c>
      <c r="CR112" s="204">
        <f t="shared" si="233"/>
        <v>-91.081452455054702</v>
      </c>
      <c r="CS112" s="204">
        <f t="shared" si="233"/>
        <v>-91.892850597246365</v>
      </c>
      <c r="CT112" s="204">
        <f t="shared" si="233"/>
        <v>-92.707674497287258</v>
      </c>
      <c r="CU112" s="204">
        <f t="shared" si="233"/>
        <v>-93.525861929826178</v>
      </c>
      <c r="CV112" s="204">
        <f t="shared" si="233"/>
        <v>-94.347351799771133</v>
      </c>
      <c r="CW112" s="204">
        <f t="shared" si="233"/>
        <v>-95.172084121759283</v>
      </c>
      <c r="CX112" s="204">
        <f t="shared" si="233"/>
        <v>-96</v>
      </c>
      <c r="CY112" s="204">
        <f t="shared" si="233"/>
        <v>-96</v>
      </c>
      <c r="CZ112" s="204">
        <f t="shared" si="233"/>
        <v>-96</v>
      </c>
      <c r="DA112" s="204">
        <f t="shared" si="233"/>
        <v>-96</v>
      </c>
      <c r="DB112" s="204">
        <f t="shared" si="233"/>
        <v>-96</v>
      </c>
      <c r="DC112" s="204">
        <f t="shared" si="233"/>
        <v>-96</v>
      </c>
      <c r="DD112" s="204">
        <f t="shared" si="233"/>
        <v>-96</v>
      </c>
      <c r="DE112" s="204">
        <f t="shared" si="233"/>
        <v>-96</v>
      </c>
      <c r="DF112" s="204">
        <f t="shared" si="233"/>
        <v>-96</v>
      </c>
      <c r="DG112" s="204">
        <f t="shared" si="233"/>
        <v>-96</v>
      </c>
      <c r="DH112" s="204">
        <f t="shared" si="233"/>
        <v>-96</v>
      </c>
      <c r="DI112" s="204">
        <f t="shared" si="233"/>
        <v>-96</v>
      </c>
      <c r="DJ112" s="204">
        <f t="shared" si="233"/>
        <v>-96</v>
      </c>
      <c r="DK112" s="204">
        <f t="shared" si="233"/>
        <v>-96</v>
      </c>
      <c r="DL112" s="204">
        <f t="shared" si="233"/>
        <v>-96</v>
      </c>
      <c r="DM112" s="204">
        <f t="shared" si="233"/>
        <v>-96</v>
      </c>
      <c r="DN112" s="204">
        <f t="shared" si="233"/>
        <v>-96</v>
      </c>
      <c r="DO112" s="204">
        <f t="shared" si="233"/>
        <v>-96</v>
      </c>
      <c r="DP112" s="204">
        <f t="shared" si="233"/>
        <v>-96</v>
      </c>
      <c r="DQ112" s="204">
        <f t="shared" si="233"/>
        <v>-96</v>
      </c>
      <c r="DR112" s="204">
        <f t="shared" si="233"/>
        <v>-96</v>
      </c>
      <c r="DS112" s="204">
        <f t="shared" si="233"/>
        <v>-96</v>
      </c>
      <c r="DT112" s="204">
        <f t="shared" si="233"/>
        <v>-96</v>
      </c>
      <c r="DU112" s="204">
        <f t="shared" si="233"/>
        <v>-96</v>
      </c>
      <c r="DV112" s="204">
        <f t="shared" si="233"/>
        <v>-96</v>
      </c>
      <c r="DW112" s="204">
        <f t="shared" si="233"/>
        <v>-96</v>
      </c>
      <c r="DX112" s="204">
        <f t="shared" si="233"/>
        <v>-96</v>
      </c>
      <c r="DY112" s="204">
        <f t="shared" si="233"/>
        <v>-96</v>
      </c>
      <c r="DZ112" s="204">
        <f t="shared" si="233"/>
        <v>-96</v>
      </c>
      <c r="EA112" s="204">
        <f t="shared" si="233"/>
        <v>-96</v>
      </c>
      <c r="EB112" s="204">
        <f t="shared" si="233"/>
        <v>-96</v>
      </c>
      <c r="EC112" s="204">
        <f t="shared" si="233"/>
        <v>-96</v>
      </c>
      <c r="ED112" s="204">
        <f t="shared" si="233"/>
        <v>-96</v>
      </c>
      <c r="EE112" s="204">
        <f t="shared" si="233"/>
        <v>-96</v>
      </c>
      <c r="EF112" s="204">
        <f t="shared" ref="EF112:ET112" si="234">PV($F66,EF$9,1,0)+(PV($J$6,$N$5-(EF$9),1,0)/($J$6+1)^EF$9)</f>
        <v>-96</v>
      </c>
      <c r="EG112" s="204">
        <f t="shared" si="234"/>
        <v>-96</v>
      </c>
      <c r="EH112" s="204">
        <f t="shared" si="234"/>
        <v>-96</v>
      </c>
      <c r="EI112" s="204">
        <f t="shared" si="234"/>
        <v>-96</v>
      </c>
      <c r="EJ112" s="204">
        <f t="shared" si="234"/>
        <v>-96</v>
      </c>
      <c r="EK112" s="204">
        <f t="shared" si="234"/>
        <v>-96</v>
      </c>
      <c r="EL112" s="204">
        <f t="shared" si="234"/>
        <v>-96</v>
      </c>
      <c r="EM112" s="204">
        <f t="shared" si="234"/>
        <v>-96</v>
      </c>
      <c r="EN112" s="204">
        <f t="shared" si="234"/>
        <v>-96</v>
      </c>
      <c r="EO112" s="204">
        <f t="shared" si="234"/>
        <v>-96</v>
      </c>
      <c r="EP112" s="204">
        <f t="shared" si="234"/>
        <v>-96</v>
      </c>
      <c r="EQ112" s="204">
        <f t="shared" si="234"/>
        <v>-96</v>
      </c>
      <c r="ER112" s="204">
        <f t="shared" si="234"/>
        <v>-96</v>
      </c>
      <c r="ES112" s="204">
        <f t="shared" si="234"/>
        <v>-96</v>
      </c>
      <c r="ET112" s="204">
        <f t="shared" si="234"/>
        <v>-96</v>
      </c>
      <c r="FF112" s="6" t="s">
        <v>368</v>
      </c>
      <c r="FG112" s="696">
        <v>2.2499999999999999E-2</v>
      </c>
      <c r="FH112" s="696">
        <v>120</v>
      </c>
      <c r="FI112" s="696">
        <v>1.9699999999999999E-2</v>
      </c>
      <c r="FJ112" s="255">
        <v>1.4999999999999999E-2</v>
      </c>
      <c r="FK112" s="71">
        <f t="shared" si="126"/>
        <v>1.7857142857142857E-4</v>
      </c>
      <c r="FL112" t="e">
        <f>VLOOKUP(FF112,'SIMULADOR COM SALDO'!$BX$22:$CK$1000,13,FALSE)</f>
        <v>#N/A</v>
      </c>
    </row>
    <row r="113" spans="7:168" x14ac:dyDescent="0.25">
      <c r="G113" s="205">
        <f t="shared" si="68"/>
        <v>-44.770373601250576</v>
      </c>
      <c r="H113" s="204">
        <f t="shared" ref="H113:BS113" si="235">PV($F67,H$9,1,0)+(PV($J$6,$N$5-(H$9),1,0)/($J$6+1)^H$9)</f>
        <v>-44.806371604802436</v>
      </c>
      <c r="I113" s="204">
        <f t="shared" si="235"/>
        <v>-44.859879708437063</v>
      </c>
      <c r="J113" s="204">
        <f t="shared" si="235"/>
        <v>-44.930579859281075</v>
      </c>
      <c r="K113" s="204">
        <f t="shared" si="235"/>
        <v>-45.018159781562872</v>
      </c>
      <c r="L113" s="204">
        <f t="shared" si="235"/>
        <v>-45.122312871677551</v>
      </c>
      <c r="M113" s="204">
        <f t="shared" si="235"/>
        <v>-45.24273809515784</v>
      </c>
      <c r="N113" s="204">
        <f t="shared" si="235"/>
        <v>-45.379139885516487</v>
      </c>
      <c r="O113" s="204">
        <f t="shared" si="235"/>
        <v>-45.53122804492606</v>
      </c>
      <c r="P113" s="204">
        <f t="shared" si="235"/>
        <v>-45.698717646702761</v>
      </c>
      <c r="Q113" s="204">
        <f t="shared" si="235"/>
        <v>-45.881328939561598</v>
      </c>
      <c r="R113" s="204">
        <f t="shared" si="235"/>
        <v>-46.078787253610507</v>
      </c>
      <c r="S113" s="204">
        <f t="shared" si="235"/>
        <v>-46.290822908052249</v>
      </c>
      <c r="T113" s="204">
        <f t="shared" si="235"/>
        <v>-46.517171120562551</v>
      </c>
      <c r="U113" s="204">
        <f t="shared" si="235"/>
        <v>-46.75757191831444</v>
      </c>
      <c r="V113" s="204">
        <f t="shared" si="235"/>
        <v>-47.011770050618708</v>
      </c>
      <c r="W113" s="204">
        <f t="shared" si="235"/>
        <v>-47.279514903151124</v>
      </c>
      <c r="X113" s="204">
        <f t="shared" si="235"/>
        <v>-47.560560413737676</v>
      </c>
      <c r="Y113" s="204">
        <f t="shared" si="235"/>
        <v>-47.854664989669509</v>
      </c>
      <c r="Z113" s="204">
        <f t="shared" si="235"/>
        <v>-48.161591426519607</v>
      </c>
      <c r="AA113" s="204">
        <f t="shared" si="235"/>
        <v>-48.481106828434278</v>
      </c>
      <c r="AB113" s="204">
        <f t="shared" si="235"/>
        <v>-48.81298252987235</v>
      </c>
      <c r="AC113" s="204">
        <f t="shared" si="235"/>
        <v>-49.156994018765893</v>
      </c>
      <c r="AD113" s="204">
        <f t="shared" si="235"/>
        <v>-49.51292086107668</v>
      </c>
      <c r="AE113" s="204">
        <f t="shared" si="235"/>
        <v>-49.880546626723003</v>
      </c>
      <c r="AF113" s="204">
        <f t="shared" si="235"/>
        <v>-50.259658816851953</v>
      </c>
      <c r="AG113" s="204">
        <f t="shared" si="235"/>
        <v>-50.650048792432663</v>
      </c>
      <c r="AH113" s="204">
        <f t="shared" si="235"/>
        <v>-51.051511704146662</v>
      </c>
      <c r="AI113" s="204">
        <f t="shared" si="235"/>
        <v>-51.463846423551665</v>
      </c>
      <c r="AJ113" s="204">
        <f t="shared" si="235"/>
        <v>-51.886855475495707</v>
      </c>
      <c r="AK113" s="204">
        <f t="shared" si="235"/>
        <v>-52.320344971758878</v>
      </c>
      <c r="AL113" s="204">
        <f t="shared" si="235"/>
        <v>-52.76412454590043</v>
      </c>
      <c r="AM113" s="204">
        <f t="shared" si="235"/>
        <v>-53.218007289289282</v>
      </c>
      <c r="AN113" s="204">
        <f t="shared" si="235"/>
        <v>-53.681809688296511</v>
      </c>
      <c r="AO113" s="204">
        <f t="shared" si="235"/>
        <v>-54.155351562628589</v>
      </c>
      <c r="AP113" s="204">
        <f t="shared" si="235"/>
        <v>-54.638456004780849</v>
      </c>
      <c r="AQ113" s="204">
        <f t="shared" si="235"/>
        <v>-55.130949320590631</v>
      </c>
      <c r="AR113" s="204">
        <f t="shared" si="235"/>
        <v>-55.632660970870248</v>
      </c>
      <c r="AS113" s="204">
        <f t="shared" si="235"/>
        <v>-56.143423514100107</v>
      </c>
      <c r="AT113" s="204">
        <f t="shared" si="235"/>
        <v>-56.663072550162802</v>
      </c>
      <c r="AU113" s="204">
        <f t="shared" si="235"/>
        <v>-57.191446665099171</v>
      </c>
      <c r="AV113" s="204">
        <f t="shared" si="235"/>
        <v>-57.728387376867829</v>
      </c>
      <c r="AW113" s="204">
        <f t="shared" si="235"/>
        <v>-58.273739082089882</v>
      </c>
      <c r="AX113" s="204">
        <f t="shared" si="235"/>
        <v>-58.827349003761015</v>
      </c>
      <c r="AY113" s="204">
        <f t="shared" si="235"/>
        <v>-59.389067139913323</v>
      </c>
      <c r="AZ113" s="204">
        <f t="shared" si="235"/>
        <v>-59.95874621320965</v>
      </c>
      <c r="BA113" s="204">
        <f t="shared" si="235"/>
        <v>-60.53624162145347</v>
      </c>
      <c r="BB113" s="204">
        <f t="shared" si="235"/>
        <v>-61.121411388997728</v>
      </c>
      <c r="BC113" s="204">
        <f t="shared" si="235"/>
        <v>-61.714116119036262</v>
      </c>
      <c r="BD113" s="204">
        <f t="shared" si="235"/>
        <v>-62.314218946761883</v>
      </c>
      <c r="BE113" s="204">
        <f t="shared" si="235"/>
        <v>-62.921585493375147</v>
      </c>
      <c r="BF113" s="204">
        <f t="shared" si="235"/>
        <v>-63.536083820928674</v>
      </c>
      <c r="BG113" s="204">
        <f t="shared" si="235"/>
        <v>-64.157584387991548</v>
      </c>
      <c r="BH113" s="204">
        <f t="shared" si="235"/>
        <v>-64.785960006119055</v>
      </c>
      <c r="BI113" s="204">
        <f t="shared" si="235"/>
        <v>-65.421085797113165</v>
      </c>
      <c r="BJ113" s="204">
        <f t="shared" si="235"/>
        <v>-66.062839151059279</v>
      </c>
      <c r="BK113" s="204">
        <f t="shared" si="235"/>
        <v>-66.711099685125177</v>
      </c>
      <c r="BL113" s="204">
        <f t="shared" si="235"/>
        <v>-67.365749203108379</v>
      </c>
      <c r="BM113" s="204">
        <f t="shared" si="235"/>
        <v>-68.026671655718303</v>
      </c>
      <c r="BN113" s="204">
        <f t="shared" si="235"/>
        <v>-68.693753101579787</v>
      </c>
      <c r="BO113" s="204">
        <f t="shared" si="235"/>
        <v>-69.366881668945013</v>
      </c>
      <c r="BP113" s="204">
        <f t="shared" si="235"/>
        <v>-70.04594751810086</v>
      </c>
      <c r="BQ113" s="204">
        <f t="shared" si="235"/>
        <v>-70.730842804459073</v>
      </c>
      <c r="BR113" s="204">
        <f t="shared" si="235"/>
        <v>-71.421461642316928</v>
      </c>
      <c r="BS113" s="204">
        <f t="shared" si="235"/>
        <v>-72.117700069276026</v>
      </c>
      <c r="BT113" s="204">
        <f t="shared" ref="BT113:EE113" si="236">PV($F67,BT$9,1,0)+(PV($J$6,$N$5-(BT$9),1,0)/($J$6+1)^BT$9)</f>
        <v>-72.819456011307551</v>
      </c>
      <c r="BU113" s="204">
        <f t="shared" si="236"/>
        <v>-73.526629248451897</v>
      </c>
      <c r="BV113" s="204">
        <f t="shared" si="236"/>
        <v>-74.239121381141487</v>
      </c>
      <c r="BW113" s="204">
        <f t="shared" si="236"/>
        <v>-74.956835797135199</v>
      </c>
      <c r="BX113" s="204">
        <f t="shared" si="236"/>
        <v>-75.679677639053423</v>
      </c>
      <c r="BY113" s="204">
        <f t="shared" si="236"/>
        <v>-76.407553772502823</v>
      </c>
      <c r="BZ113" s="204">
        <f t="shared" si="236"/>
        <v>-77.140372754780103</v>
      </c>
      <c r="CA113" s="204">
        <f t="shared" si="236"/>
        <v>-77.878044804144153</v>
      </c>
      <c r="CB113" s="204">
        <f t="shared" si="236"/>
        <v>-78.620481769646403</v>
      </c>
      <c r="CC113" s="204">
        <f t="shared" si="236"/>
        <v>-79.36759710150919</v>
      </c>
      <c r="CD113" s="204">
        <f t="shared" si="236"/>
        <v>-80.119305822042122</v>
      </c>
      <c r="CE113" s="204">
        <f t="shared" si="236"/>
        <v>-80.87552449708673</v>
      </c>
      <c r="CF113" s="204">
        <f t="shared" si="236"/>
        <v>-81.636171207979814</v>
      </c>
      <c r="CG113" s="204">
        <f t="shared" si="236"/>
        <v>-82.401165524026041</v>
      </c>
      <c r="CH113" s="204">
        <f t="shared" si="236"/>
        <v>-83.170428475470544</v>
      </c>
      <c r="CI113" s="204">
        <f t="shared" si="236"/>
        <v>-83.943882526962454</v>
      </c>
      <c r="CJ113" s="204">
        <f t="shared" si="236"/>
        <v>-84.721451551500408</v>
      </c>
      <c r="CK113" s="204">
        <f t="shared" si="236"/>
        <v>-85.503060804851359</v>
      </c>
      <c r="CL113" s="204">
        <f t="shared" si="236"/>
        <v>-86.288636900434042</v>
      </c>
      <c r="CM113" s="204">
        <f t="shared" si="236"/>
        <v>-87.07810778465857</v>
      </c>
      <c r="CN113" s="204">
        <f t="shared" si="236"/>
        <v>-87.871402712714072</v>
      </c>
      <c r="CO113" s="204">
        <f t="shared" si="236"/>
        <v>-88.668452224796056</v>
      </c>
      <c r="CP113" s="204">
        <f t="shared" si="236"/>
        <v>-89.469188122765601</v>
      </c>
      <c r="CQ113" s="204">
        <f t="shared" si="236"/>
        <v>-90.273543447232512</v>
      </c>
      <c r="CR113" s="204">
        <f t="shared" si="236"/>
        <v>-91.081452455054702</v>
      </c>
      <c r="CS113" s="204">
        <f t="shared" si="236"/>
        <v>-91.892850597246365</v>
      </c>
      <c r="CT113" s="204">
        <f t="shared" si="236"/>
        <v>-92.707674497287258</v>
      </c>
      <c r="CU113" s="204">
        <f t="shared" si="236"/>
        <v>-93.525861929826178</v>
      </c>
      <c r="CV113" s="204">
        <f t="shared" si="236"/>
        <v>-94.347351799771133</v>
      </c>
      <c r="CW113" s="204">
        <f t="shared" si="236"/>
        <v>-95.172084121759283</v>
      </c>
      <c r="CX113" s="204">
        <f t="shared" si="236"/>
        <v>-96</v>
      </c>
      <c r="CY113" s="204">
        <f t="shared" si="236"/>
        <v>-96</v>
      </c>
      <c r="CZ113" s="204">
        <f t="shared" si="236"/>
        <v>-96</v>
      </c>
      <c r="DA113" s="204">
        <f t="shared" si="236"/>
        <v>-96</v>
      </c>
      <c r="DB113" s="204">
        <f t="shared" si="236"/>
        <v>-96</v>
      </c>
      <c r="DC113" s="204">
        <f t="shared" si="236"/>
        <v>-96</v>
      </c>
      <c r="DD113" s="204">
        <f t="shared" si="236"/>
        <v>-96</v>
      </c>
      <c r="DE113" s="204">
        <f t="shared" si="236"/>
        <v>-96</v>
      </c>
      <c r="DF113" s="204">
        <f t="shared" si="236"/>
        <v>-96</v>
      </c>
      <c r="DG113" s="204">
        <f t="shared" si="236"/>
        <v>-96</v>
      </c>
      <c r="DH113" s="204">
        <f t="shared" si="236"/>
        <v>-96</v>
      </c>
      <c r="DI113" s="204">
        <f t="shared" si="236"/>
        <v>-96</v>
      </c>
      <c r="DJ113" s="204">
        <f t="shared" si="236"/>
        <v>-96</v>
      </c>
      <c r="DK113" s="204">
        <f t="shared" si="236"/>
        <v>-96</v>
      </c>
      <c r="DL113" s="204">
        <f t="shared" si="236"/>
        <v>-96</v>
      </c>
      <c r="DM113" s="204">
        <f t="shared" si="236"/>
        <v>-96</v>
      </c>
      <c r="DN113" s="204">
        <f t="shared" si="236"/>
        <v>-96</v>
      </c>
      <c r="DO113" s="204">
        <f t="shared" si="236"/>
        <v>-96</v>
      </c>
      <c r="DP113" s="204">
        <f t="shared" si="236"/>
        <v>-96</v>
      </c>
      <c r="DQ113" s="204">
        <f t="shared" si="236"/>
        <v>-96</v>
      </c>
      <c r="DR113" s="204">
        <f t="shared" si="236"/>
        <v>-96</v>
      </c>
      <c r="DS113" s="204">
        <f t="shared" si="236"/>
        <v>-96</v>
      </c>
      <c r="DT113" s="204">
        <f t="shared" si="236"/>
        <v>-96</v>
      </c>
      <c r="DU113" s="204">
        <f t="shared" si="236"/>
        <v>-96</v>
      </c>
      <c r="DV113" s="204">
        <f t="shared" si="236"/>
        <v>-96</v>
      </c>
      <c r="DW113" s="204">
        <f t="shared" si="236"/>
        <v>-96</v>
      </c>
      <c r="DX113" s="204">
        <f t="shared" si="236"/>
        <v>-96</v>
      </c>
      <c r="DY113" s="204">
        <f t="shared" si="236"/>
        <v>-96</v>
      </c>
      <c r="DZ113" s="204">
        <f t="shared" si="236"/>
        <v>-96</v>
      </c>
      <c r="EA113" s="204">
        <f t="shared" si="236"/>
        <v>-96</v>
      </c>
      <c r="EB113" s="204">
        <f t="shared" si="236"/>
        <v>-96</v>
      </c>
      <c r="EC113" s="204">
        <f t="shared" si="236"/>
        <v>-96</v>
      </c>
      <c r="ED113" s="204">
        <f t="shared" si="236"/>
        <v>-96</v>
      </c>
      <c r="EE113" s="204">
        <f t="shared" si="236"/>
        <v>-96</v>
      </c>
      <c r="EF113" s="204">
        <f t="shared" ref="EF113:ET113" si="237">PV($F67,EF$9,1,0)+(PV($J$6,$N$5-(EF$9),1,0)/($J$6+1)^EF$9)</f>
        <v>-96</v>
      </c>
      <c r="EG113" s="204">
        <f t="shared" si="237"/>
        <v>-96</v>
      </c>
      <c r="EH113" s="204">
        <f t="shared" si="237"/>
        <v>-96</v>
      </c>
      <c r="EI113" s="204">
        <f t="shared" si="237"/>
        <v>-96</v>
      </c>
      <c r="EJ113" s="204">
        <f t="shared" si="237"/>
        <v>-96</v>
      </c>
      <c r="EK113" s="204">
        <f t="shared" si="237"/>
        <v>-96</v>
      </c>
      <c r="EL113" s="204">
        <f t="shared" si="237"/>
        <v>-96</v>
      </c>
      <c r="EM113" s="204">
        <f t="shared" si="237"/>
        <v>-96</v>
      </c>
      <c r="EN113" s="204">
        <f t="shared" si="237"/>
        <v>-96</v>
      </c>
      <c r="EO113" s="204">
        <f t="shared" si="237"/>
        <v>-96</v>
      </c>
      <c r="EP113" s="204">
        <f t="shared" si="237"/>
        <v>-96</v>
      </c>
      <c r="EQ113" s="204">
        <f t="shared" si="237"/>
        <v>-96</v>
      </c>
      <c r="ER113" s="204">
        <f t="shared" si="237"/>
        <v>-96</v>
      </c>
      <c r="ES113" s="204">
        <f t="shared" si="237"/>
        <v>-96</v>
      </c>
      <c r="ET113" s="204">
        <f t="shared" si="237"/>
        <v>-96</v>
      </c>
      <c r="FF113" s="6" t="s">
        <v>3033</v>
      </c>
      <c r="FG113" s="696">
        <v>2.5000000000000001E-2</v>
      </c>
      <c r="FH113" s="696">
        <v>120</v>
      </c>
      <c r="FI113" s="696">
        <v>1.61E-2</v>
      </c>
      <c r="FJ113" s="255">
        <v>1.43E-2</v>
      </c>
      <c r="FK113" s="71">
        <f t="shared" si="126"/>
        <v>2.5476190476190477E-4</v>
      </c>
      <c r="FL113" t="e">
        <f>VLOOKUP(FF113,'SIMULADOR COM SALDO'!$BX$22:$CK$1000,13,FALSE)</f>
        <v>#N/A</v>
      </c>
    </row>
    <row r="114" spans="7:168" x14ac:dyDescent="0.25">
      <c r="G114" s="205">
        <f t="shared" si="68"/>
        <v>-44.770373601250576</v>
      </c>
      <c r="H114" s="204">
        <f t="shared" ref="H114:BS114" si="238">PV($F68,H$9,1,0)+(PV($J$6,$N$5-(H$9),1,0)/($J$6+1)^H$9)</f>
        <v>-44.806371604802436</v>
      </c>
      <c r="I114" s="204">
        <f t="shared" si="238"/>
        <v>-44.859879708437063</v>
      </c>
      <c r="J114" s="204">
        <f t="shared" si="238"/>
        <v>-44.930579859281075</v>
      </c>
      <c r="K114" s="204">
        <f t="shared" si="238"/>
        <v>-45.018159781562872</v>
      </c>
      <c r="L114" s="204">
        <f t="shared" si="238"/>
        <v>-45.122312871677551</v>
      </c>
      <c r="M114" s="204">
        <f t="shared" si="238"/>
        <v>-45.24273809515784</v>
      </c>
      <c r="N114" s="204">
        <f t="shared" si="238"/>
        <v>-45.379139885516487</v>
      </c>
      <c r="O114" s="204">
        <f t="shared" si="238"/>
        <v>-45.53122804492606</v>
      </c>
      <c r="P114" s="204">
        <f t="shared" si="238"/>
        <v>-45.698717646702761</v>
      </c>
      <c r="Q114" s="204">
        <f t="shared" si="238"/>
        <v>-45.881328939561598</v>
      </c>
      <c r="R114" s="204">
        <f t="shared" si="238"/>
        <v>-46.078787253610507</v>
      </c>
      <c r="S114" s="204">
        <f t="shared" si="238"/>
        <v>-46.290822908052249</v>
      </c>
      <c r="T114" s="204">
        <f t="shared" si="238"/>
        <v>-46.517171120562551</v>
      </c>
      <c r="U114" s="204">
        <f t="shared" si="238"/>
        <v>-46.75757191831444</v>
      </c>
      <c r="V114" s="204">
        <f t="shared" si="238"/>
        <v>-47.011770050618708</v>
      </c>
      <c r="W114" s="204">
        <f t="shared" si="238"/>
        <v>-47.279514903151124</v>
      </c>
      <c r="X114" s="204">
        <f t="shared" si="238"/>
        <v>-47.560560413737676</v>
      </c>
      <c r="Y114" s="204">
        <f t="shared" si="238"/>
        <v>-47.854664989669509</v>
      </c>
      <c r="Z114" s="204">
        <f t="shared" si="238"/>
        <v>-48.161591426519607</v>
      </c>
      <c r="AA114" s="204">
        <f t="shared" si="238"/>
        <v>-48.481106828434278</v>
      </c>
      <c r="AB114" s="204">
        <f t="shared" si="238"/>
        <v>-48.81298252987235</v>
      </c>
      <c r="AC114" s="204">
        <f t="shared" si="238"/>
        <v>-49.156994018765893</v>
      </c>
      <c r="AD114" s="204">
        <f t="shared" si="238"/>
        <v>-49.51292086107668</v>
      </c>
      <c r="AE114" s="204">
        <f t="shared" si="238"/>
        <v>-49.880546626723003</v>
      </c>
      <c r="AF114" s="204">
        <f t="shared" si="238"/>
        <v>-50.259658816851953</v>
      </c>
      <c r="AG114" s="204">
        <f t="shared" si="238"/>
        <v>-50.650048792432663</v>
      </c>
      <c r="AH114" s="204">
        <f t="shared" si="238"/>
        <v>-51.051511704146662</v>
      </c>
      <c r="AI114" s="204">
        <f t="shared" si="238"/>
        <v>-51.463846423551665</v>
      </c>
      <c r="AJ114" s="204">
        <f t="shared" si="238"/>
        <v>-51.886855475495707</v>
      </c>
      <c r="AK114" s="204">
        <f t="shared" si="238"/>
        <v>-52.320344971758878</v>
      </c>
      <c r="AL114" s="204">
        <f t="shared" si="238"/>
        <v>-52.76412454590043</v>
      </c>
      <c r="AM114" s="204">
        <f t="shared" si="238"/>
        <v>-53.218007289289282</v>
      </c>
      <c r="AN114" s="204">
        <f t="shared" si="238"/>
        <v>-53.681809688296511</v>
      </c>
      <c r="AO114" s="204">
        <f t="shared" si="238"/>
        <v>-54.155351562628589</v>
      </c>
      <c r="AP114" s="204">
        <f t="shared" si="238"/>
        <v>-54.638456004780849</v>
      </c>
      <c r="AQ114" s="204">
        <f t="shared" si="238"/>
        <v>-55.130949320590631</v>
      </c>
      <c r="AR114" s="204">
        <f t="shared" si="238"/>
        <v>-55.632660970870248</v>
      </c>
      <c r="AS114" s="204">
        <f t="shared" si="238"/>
        <v>-56.143423514100107</v>
      </c>
      <c r="AT114" s="204">
        <f t="shared" si="238"/>
        <v>-56.663072550162802</v>
      </c>
      <c r="AU114" s="204">
        <f t="shared" si="238"/>
        <v>-57.191446665099171</v>
      </c>
      <c r="AV114" s="204">
        <f t="shared" si="238"/>
        <v>-57.728387376867829</v>
      </c>
      <c r="AW114" s="204">
        <f t="shared" si="238"/>
        <v>-58.273739082089882</v>
      </c>
      <c r="AX114" s="204">
        <f t="shared" si="238"/>
        <v>-58.827349003761015</v>
      </c>
      <c r="AY114" s="204">
        <f t="shared" si="238"/>
        <v>-59.389067139913323</v>
      </c>
      <c r="AZ114" s="204">
        <f t="shared" si="238"/>
        <v>-59.95874621320965</v>
      </c>
      <c r="BA114" s="204">
        <f t="shared" si="238"/>
        <v>-60.53624162145347</v>
      </c>
      <c r="BB114" s="204">
        <f t="shared" si="238"/>
        <v>-61.121411388997728</v>
      </c>
      <c r="BC114" s="204">
        <f t="shared" si="238"/>
        <v>-61.714116119036262</v>
      </c>
      <c r="BD114" s="204">
        <f t="shared" si="238"/>
        <v>-62.314218946761883</v>
      </c>
      <c r="BE114" s="204">
        <f t="shared" si="238"/>
        <v>-62.921585493375147</v>
      </c>
      <c r="BF114" s="204">
        <f t="shared" si="238"/>
        <v>-63.536083820928674</v>
      </c>
      <c r="BG114" s="204">
        <f t="shared" si="238"/>
        <v>-64.157584387991548</v>
      </c>
      <c r="BH114" s="204">
        <f t="shared" si="238"/>
        <v>-64.785960006119055</v>
      </c>
      <c r="BI114" s="204">
        <f t="shared" si="238"/>
        <v>-65.421085797113165</v>
      </c>
      <c r="BJ114" s="204">
        <f t="shared" si="238"/>
        <v>-66.062839151059279</v>
      </c>
      <c r="BK114" s="204">
        <f t="shared" si="238"/>
        <v>-66.711099685125177</v>
      </c>
      <c r="BL114" s="204">
        <f t="shared" si="238"/>
        <v>-67.365749203108379</v>
      </c>
      <c r="BM114" s="204">
        <f t="shared" si="238"/>
        <v>-68.026671655718303</v>
      </c>
      <c r="BN114" s="204">
        <f t="shared" si="238"/>
        <v>-68.693753101579787</v>
      </c>
      <c r="BO114" s="204">
        <f t="shared" si="238"/>
        <v>-69.366881668945013</v>
      </c>
      <c r="BP114" s="204">
        <f t="shared" si="238"/>
        <v>-70.04594751810086</v>
      </c>
      <c r="BQ114" s="204">
        <f t="shared" si="238"/>
        <v>-70.730842804459073</v>
      </c>
      <c r="BR114" s="204">
        <f t="shared" si="238"/>
        <v>-71.421461642316928</v>
      </c>
      <c r="BS114" s="204">
        <f t="shared" si="238"/>
        <v>-72.117700069276026</v>
      </c>
      <c r="BT114" s="204">
        <f t="shared" ref="BT114:EE114" si="239">PV($F68,BT$9,1,0)+(PV($J$6,$N$5-(BT$9),1,0)/($J$6+1)^BT$9)</f>
        <v>-72.819456011307551</v>
      </c>
      <c r="BU114" s="204">
        <f t="shared" si="239"/>
        <v>-73.526629248451897</v>
      </c>
      <c r="BV114" s="204">
        <f t="shared" si="239"/>
        <v>-74.239121381141487</v>
      </c>
      <c r="BW114" s="204">
        <f t="shared" si="239"/>
        <v>-74.956835797135199</v>
      </c>
      <c r="BX114" s="204">
        <f t="shared" si="239"/>
        <v>-75.679677639053423</v>
      </c>
      <c r="BY114" s="204">
        <f t="shared" si="239"/>
        <v>-76.407553772502823</v>
      </c>
      <c r="BZ114" s="204">
        <f t="shared" si="239"/>
        <v>-77.140372754780103</v>
      </c>
      <c r="CA114" s="204">
        <f t="shared" si="239"/>
        <v>-77.878044804144153</v>
      </c>
      <c r="CB114" s="204">
        <f t="shared" si="239"/>
        <v>-78.620481769646403</v>
      </c>
      <c r="CC114" s="204">
        <f t="shared" si="239"/>
        <v>-79.36759710150919</v>
      </c>
      <c r="CD114" s="204">
        <f t="shared" si="239"/>
        <v>-80.119305822042122</v>
      </c>
      <c r="CE114" s="204">
        <f t="shared" si="239"/>
        <v>-80.87552449708673</v>
      </c>
      <c r="CF114" s="204">
        <f t="shared" si="239"/>
        <v>-81.636171207979814</v>
      </c>
      <c r="CG114" s="204">
        <f t="shared" si="239"/>
        <v>-82.401165524026041</v>
      </c>
      <c r="CH114" s="204">
        <f t="shared" si="239"/>
        <v>-83.170428475470544</v>
      </c>
      <c r="CI114" s="204">
        <f t="shared" si="239"/>
        <v>-83.943882526962454</v>
      </c>
      <c r="CJ114" s="204">
        <f t="shared" si="239"/>
        <v>-84.721451551500408</v>
      </c>
      <c r="CK114" s="204">
        <f t="shared" si="239"/>
        <v>-85.503060804851359</v>
      </c>
      <c r="CL114" s="204">
        <f t="shared" si="239"/>
        <v>-86.288636900434042</v>
      </c>
      <c r="CM114" s="204">
        <f t="shared" si="239"/>
        <v>-87.07810778465857</v>
      </c>
      <c r="CN114" s="204">
        <f t="shared" si="239"/>
        <v>-87.871402712714072</v>
      </c>
      <c r="CO114" s="204">
        <f t="shared" si="239"/>
        <v>-88.668452224796056</v>
      </c>
      <c r="CP114" s="204">
        <f t="shared" si="239"/>
        <v>-89.469188122765601</v>
      </c>
      <c r="CQ114" s="204">
        <f t="shared" si="239"/>
        <v>-90.273543447232512</v>
      </c>
      <c r="CR114" s="204">
        <f t="shared" si="239"/>
        <v>-91.081452455054702</v>
      </c>
      <c r="CS114" s="204">
        <f t="shared" si="239"/>
        <v>-91.892850597246365</v>
      </c>
      <c r="CT114" s="204">
        <f t="shared" si="239"/>
        <v>-92.707674497287258</v>
      </c>
      <c r="CU114" s="204">
        <f t="shared" si="239"/>
        <v>-93.525861929826178</v>
      </c>
      <c r="CV114" s="204">
        <f t="shared" si="239"/>
        <v>-94.347351799771133</v>
      </c>
      <c r="CW114" s="204">
        <f t="shared" si="239"/>
        <v>-95.172084121759283</v>
      </c>
      <c r="CX114" s="204">
        <f t="shared" si="239"/>
        <v>-96</v>
      </c>
      <c r="CY114" s="204">
        <f t="shared" si="239"/>
        <v>-96</v>
      </c>
      <c r="CZ114" s="204">
        <f t="shared" si="239"/>
        <v>-96</v>
      </c>
      <c r="DA114" s="204">
        <f t="shared" si="239"/>
        <v>-96</v>
      </c>
      <c r="DB114" s="204">
        <f t="shared" si="239"/>
        <v>-96</v>
      </c>
      <c r="DC114" s="204">
        <f t="shared" si="239"/>
        <v>-96</v>
      </c>
      <c r="DD114" s="204">
        <f t="shared" si="239"/>
        <v>-96</v>
      </c>
      <c r="DE114" s="204">
        <f t="shared" si="239"/>
        <v>-96</v>
      </c>
      <c r="DF114" s="204">
        <f t="shared" si="239"/>
        <v>-96</v>
      </c>
      <c r="DG114" s="204">
        <f t="shared" si="239"/>
        <v>-96</v>
      </c>
      <c r="DH114" s="204">
        <f t="shared" si="239"/>
        <v>-96</v>
      </c>
      <c r="DI114" s="204">
        <f t="shared" si="239"/>
        <v>-96</v>
      </c>
      <c r="DJ114" s="204">
        <f t="shared" si="239"/>
        <v>-96</v>
      </c>
      <c r="DK114" s="204">
        <f t="shared" si="239"/>
        <v>-96</v>
      </c>
      <c r="DL114" s="204">
        <f t="shared" si="239"/>
        <v>-96</v>
      </c>
      <c r="DM114" s="204">
        <f t="shared" si="239"/>
        <v>-96</v>
      </c>
      <c r="DN114" s="204">
        <f t="shared" si="239"/>
        <v>-96</v>
      </c>
      <c r="DO114" s="204">
        <f t="shared" si="239"/>
        <v>-96</v>
      </c>
      <c r="DP114" s="204">
        <f t="shared" si="239"/>
        <v>-96</v>
      </c>
      <c r="DQ114" s="204">
        <f t="shared" si="239"/>
        <v>-96</v>
      </c>
      <c r="DR114" s="204">
        <f t="shared" si="239"/>
        <v>-96</v>
      </c>
      <c r="DS114" s="204">
        <f t="shared" si="239"/>
        <v>-96</v>
      </c>
      <c r="DT114" s="204">
        <f t="shared" si="239"/>
        <v>-96</v>
      </c>
      <c r="DU114" s="204">
        <f t="shared" si="239"/>
        <v>-96</v>
      </c>
      <c r="DV114" s="204">
        <f t="shared" si="239"/>
        <v>-96</v>
      </c>
      <c r="DW114" s="204">
        <f t="shared" si="239"/>
        <v>-96</v>
      </c>
      <c r="DX114" s="204">
        <f t="shared" si="239"/>
        <v>-96</v>
      </c>
      <c r="DY114" s="204">
        <f t="shared" si="239"/>
        <v>-96</v>
      </c>
      <c r="DZ114" s="204">
        <f t="shared" si="239"/>
        <v>-96</v>
      </c>
      <c r="EA114" s="204">
        <f t="shared" si="239"/>
        <v>-96</v>
      </c>
      <c r="EB114" s="204">
        <f t="shared" si="239"/>
        <v>-96</v>
      </c>
      <c r="EC114" s="204">
        <f t="shared" si="239"/>
        <v>-96</v>
      </c>
      <c r="ED114" s="204">
        <f t="shared" si="239"/>
        <v>-96</v>
      </c>
      <c r="EE114" s="204">
        <f t="shared" si="239"/>
        <v>-96</v>
      </c>
      <c r="EF114" s="204">
        <f t="shared" ref="EF114:ET114" si="240">PV($F68,EF$9,1,0)+(PV($J$6,$N$5-(EF$9),1,0)/($J$6+1)^EF$9)</f>
        <v>-96</v>
      </c>
      <c r="EG114" s="204">
        <f t="shared" si="240"/>
        <v>-96</v>
      </c>
      <c r="EH114" s="204">
        <f t="shared" si="240"/>
        <v>-96</v>
      </c>
      <c r="EI114" s="204">
        <f t="shared" si="240"/>
        <v>-96</v>
      </c>
      <c r="EJ114" s="204">
        <f t="shared" si="240"/>
        <v>-96</v>
      </c>
      <c r="EK114" s="204">
        <f t="shared" si="240"/>
        <v>-96</v>
      </c>
      <c r="EL114" s="204">
        <f t="shared" si="240"/>
        <v>-96</v>
      </c>
      <c r="EM114" s="204">
        <f t="shared" si="240"/>
        <v>-96</v>
      </c>
      <c r="EN114" s="204">
        <f t="shared" si="240"/>
        <v>-96</v>
      </c>
      <c r="EO114" s="204">
        <f t="shared" si="240"/>
        <v>-96</v>
      </c>
      <c r="EP114" s="204">
        <f t="shared" si="240"/>
        <v>-96</v>
      </c>
      <c r="EQ114" s="204">
        <f t="shared" si="240"/>
        <v>-96</v>
      </c>
      <c r="ER114" s="204">
        <f t="shared" si="240"/>
        <v>-96</v>
      </c>
      <c r="ES114" s="204">
        <f t="shared" si="240"/>
        <v>-96</v>
      </c>
      <c r="ET114" s="204">
        <f t="shared" si="240"/>
        <v>-96</v>
      </c>
      <c r="FF114" s="6" t="s">
        <v>563</v>
      </c>
      <c r="FG114" s="696">
        <v>2.5000000000000001E-2</v>
      </c>
      <c r="FH114" s="696">
        <v>96</v>
      </c>
      <c r="FI114" s="696">
        <v>2.2099999999999998E-2</v>
      </c>
      <c r="FJ114" s="255">
        <v>1.5900000000000001E-2</v>
      </c>
      <c r="FK114" s="71">
        <f t="shared" si="126"/>
        <v>2.1666666666666668E-4</v>
      </c>
      <c r="FL114" t="e">
        <f>VLOOKUP(FF114,'SIMULADOR COM SALDO'!$BX$22:$CK$1000,13,FALSE)</f>
        <v>#N/A</v>
      </c>
    </row>
    <row r="115" spans="7:168" x14ac:dyDescent="0.25">
      <c r="G115" s="205">
        <f t="shared" si="68"/>
        <v>-44.770373601250576</v>
      </c>
      <c r="H115" s="204">
        <f t="shared" ref="H115:BS115" si="241">PV($F69,H$9,1,0)+(PV($J$6,$N$5-(H$9),1,0)/($J$6+1)^H$9)</f>
        <v>-44.806371604802436</v>
      </c>
      <c r="I115" s="204">
        <f t="shared" si="241"/>
        <v>-44.859879708437063</v>
      </c>
      <c r="J115" s="204">
        <f t="shared" si="241"/>
        <v>-44.930579859281075</v>
      </c>
      <c r="K115" s="204">
        <f t="shared" si="241"/>
        <v>-45.018159781562872</v>
      </c>
      <c r="L115" s="204">
        <f t="shared" si="241"/>
        <v>-45.122312871677551</v>
      </c>
      <c r="M115" s="204">
        <f t="shared" si="241"/>
        <v>-45.24273809515784</v>
      </c>
      <c r="N115" s="204">
        <f t="shared" si="241"/>
        <v>-45.379139885516487</v>
      </c>
      <c r="O115" s="204">
        <f t="shared" si="241"/>
        <v>-45.53122804492606</v>
      </c>
      <c r="P115" s="204">
        <f t="shared" si="241"/>
        <v>-45.698717646702761</v>
      </c>
      <c r="Q115" s="204">
        <f t="shared" si="241"/>
        <v>-45.881328939561598</v>
      </c>
      <c r="R115" s="204">
        <f t="shared" si="241"/>
        <v>-46.078787253610507</v>
      </c>
      <c r="S115" s="204">
        <f t="shared" si="241"/>
        <v>-46.290822908052249</v>
      </c>
      <c r="T115" s="204">
        <f t="shared" si="241"/>
        <v>-46.517171120562551</v>
      </c>
      <c r="U115" s="204">
        <f t="shared" si="241"/>
        <v>-46.75757191831444</v>
      </c>
      <c r="V115" s="204">
        <f t="shared" si="241"/>
        <v>-47.011770050618708</v>
      </c>
      <c r="W115" s="204">
        <f t="shared" si="241"/>
        <v>-47.279514903151124</v>
      </c>
      <c r="X115" s="204">
        <f t="shared" si="241"/>
        <v>-47.560560413737676</v>
      </c>
      <c r="Y115" s="204">
        <f t="shared" si="241"/>
        <v>-47.854664989669509</v>
      </c>
      <c r="Z115" s="204">
        <f t="shared" si="241"/>
        <v>-48.161591426519607</v>
      </c>
      <c r="AA115" s="204">
        <f t="shared" si="241"/>
        <v>-48.481106828434278</v>
      </c>
      <c r="AB115" s="204">
        <f t="shared" si="241"/>
        <v>-48.81298252987235</v>
      </c>
      <c r="AC115" s="204">
        <f t="shared" si="241"/>
        <v>-49.156994018765893</v>
      </c>
      <c r="AD115" s="204">
        <f t="shared" si="241"/>
        <v>-49.51292086107668</v>
      </c>
      <c r="AE115" s="204">
        <f t="shared" si="241"/>
        <v>-49.880546626723003</v>
      </c>
      <c r="AF115" s="204">
        <f t="shared" si="241"/>
        <v>-50.259658816851953</v>
      </c>
      <c r="AG115" s="204">
        <f t="shared" si="241"/>
        <v>-50.650048792432663</v>
      </c>
      <c r="AH115" s="204">
        <f t="shared" si="241"/>
        <v>-51.051511704146662</v>
      </c>
      <c r="AI115" s="204">
        <f t="shared" si="241"/>
        <v>-51.463846423551665</v>
      </c>
      <c r="AJ115" s="204">
        <f t="shared" si="241"/>
        <v>-51.886855475495707</v>
      </c>
      <c r="AK115" s="204">
        <f t="shared" si="241"/>
        <v>-52.320344971758878</v>
      </c>
      <c r="AL115" s="204">
        <f t="shared" si="241"/>
        <v>-52.76412454590043</v>
      </c>
      <c r="AM115" s="204">
        <f t="shared" si="241"/>
        <v>-53.218007289289282</v>
      </c>
      <c r="AN115" s="204">
        <f t="shared" si="241"/>
        <v>-53.681809688296511</v>
      </c>
      <c r="AO115" s="204">
        <f t="shared" si="241"/>
        <v>-54.155351562628589</v>
      </c>
      <c r="AP115" s="204">
        <f t="shared" si="241"/>
        <v>-54.638456004780849</v>
      </c>
      <c r="AQ115" s="204">
        <f t="shared" si="241"/>
        <v>-55.130949320590631</v>
      </c>
      <c r="AR115" s="204">
        <f t="shared" si="241"/>
        <v>-55.632660970870248</v>
      </c>
      <c r="AS115" s="204">
        <f t="shared" si="241"/>
        <v>-56.143423514100107</v>
      </c>
      <c r="AT115" s="204">
        <f t="shared" si="241"/>
        <v>-56.663072550162802</v>
      </c>
      <c r="AU115" s="204">
        <f t="shared" si="241"/>
        <v>-57.191446665099171</v>
      </c>
      <c r="AV115" s="204">
        <f t="shared" si="241"/>
        <v>-57.728387376867829</v>
      </c>
      <c r="AW115" s="204">
        <f t="shared" si="241"/>
        <v>-58.273739082089882</v>
      </c>
      <c r="AX115" s="204">
        <f t="shared" si="241"/>
        <v>-58.827349003761015</v>
      </c>
      <c r="AY115" s="204">
        <f t="shared" si="241"/>
        <v>-59.389067139913323</v>
      </c>
      <c r="AZ115" s="204">
        <f t="shared" si="241"/>
        <v>-59.95874621320965</v>
      </c>
      <c r="BA115" s="204">
        <f t="shared" si="241"/>
        <v>-60.53624162145347</v>
      </c>
      <c r="BB115" s="204">
        <f t="shared" si="241"/>
        <v>-61.121411388997728</v>
      </c>
      <c r="BC115" s="204">
        <f t="shared" si="241"/>
        <v>-61.714116119036262</v>
      </c>
      <c r="BD115" s="204">
        <f t="shared" si="241"/>
        <v>-62.314218946761883</v>
      </c>
      <c r="BE115" s="204">
        <f t="shared" si="241"/>
        <v>-62.921585493375147</v>
      </c>
      <c r="BF115" s="204">
        <f t="shared" si="241"/>
        <v>-63.536083820928674</v>
      </c>
      <c r="BG115" s="204">
        <f t="shared" si="241"/>
        <v>-64.157584387991548</v>
      </c>
      <c r="BH115" s="204">
        <f t="shared" si="241"/>
        <v>-64.785960006119055</v>
      </c>
      <c r="BI115" s="204">
        <f t="shared" si="241"/>
        <v>-65.421085797113165</v>
      </c>
      <c r="BJ115" s="204">
        <f t="shared" si="241"/>
        <v>-66.062839151059279</v>
      </c>
      <c r="BK115" s="204">
        <f t="shared" si="241"/>
        <v>-66.711099685125177</v>
      </c>
      <c r="BL115" s="204">
        <f t="shared" si="241"/>
        <v>-67.365749203108379</v>
      </c>
      <c r="BM115" s="204">
        <f t="shared" si="241"/>
        <v>-68.026671655718303</v>
      </c>
      <c r="BN115" s="204">
        <f t="shared" si="241"/>
        <v>-68.693753101579787</v>
      </c>
      <c r="BO115" s="204">
        <f t="shared" si="241"/>
        <v>-69.366881668945013</v>
      </c>
      <c r="BP115" s="204">
        <f t="shared" si="241"/>
        <v>-70.04594751810086</v>
      </c>
      <c r="BQ115" s="204">
        <f t="shared" si="241"/>
        <v>-70.730842804459073</v>
      </c>
      <c r="BR115" s="204">
        <f t="shared" si="241"/>
        <v>-71.421461642316928</v>
      </c>
      <c r="BS115" s="204">
        <f t="shared" si="241"/>
        <v>-72.117700069276026</v>
      </c>
      <c r="BT115" s="204">
        <f t="shared" ref="BT115:EE115" si="242">PV($F69,BT$9,1,0)+(PV($J$6,$N$5-(BT$9),1,0)/($J$6+1)^BT$9)</f>
        <v>-72.819456011307551</v>
      </c>
      <c r="BU115" s="204">
        <f t="shared" si="242"/>
        <v>-73.526629248451897</v>
      </c>
      <c r="BV115" s="204">
        <f t="shared" si="242"/>
        <v>-74.239121381141487</v>
      </c>
      <c r="BW115" s="204">
        <f t="shared" si="242"/>
        <v>-74.956835797135199</v>
      </c>
      <c r="BX115" s="204">
        <f t="shared" si="242"/>
        <v>-75.679677639053423</v>
      </c>
      <c r="BY115" s="204">
        <f t="shared" si="242"/>
        <v>-76.407553772502823</v>
      </c>
      <c r="BZ115" s="204">
        <f t="shared" si="242"/>
        <v>-77.140372754780103</v>
      </c>
      <c r="CA115" s="204">
        <f t="shared" si="242"/>
        <v>-77.878044804144153</v>
      </c>
      <c r="CB115" s="204">
        <f t="shared" si="242"/>
        <v>-78.620481769646403</v>
      </c>
      <c r="CC115" s="204">
        <f t="shared" si="242"/>
        <v>-79.36759710150919</v>
      </c>
      <c r="CD115" s="204">
        <f t="shared" si="242"/>
        <v>-80.119305822042122</v>
      </c>
      <c r="CE115" s="204">
        <f t="shared" si="242"/>
        <v>-80.87552449708673</v>
      </c>
      <c r="CF115" s="204">
        <f t="shared" si="242"/>
        <v>-81.636171207979814</v>
      </c>
      <c r="CG115" s="204">
        <f t="shared" si="242"/>
        <v>-82.401165524026041</v>
      </c>
      <c r="CH115" s="204">
        <f t="shared" si="242"/>
        <v>-83.170428475470544</v>
      </c>
      <c r="CI115" s="204">
        <f t="shared" si="242"/>
        <v>-83.943882526962454</v>
      </c>
      <c r="CJ115" s="204">
        <f t="shared" si="242"/>
        <v>-84.721451551500408</v>
      </c>
      <c r="CK115" s="204">
        <f t="shared" si="242"/>
        <v>-85.503060804851359</v>
      </c>
      <c r="CL115" s="204">
        <f t="shared" si="242"/>
        <v>-86.288636900434042</v>
      </c>
      <c r="CM115" s="204">
        <f t="shared" si="242"/>
        <v>-87.07810778465857</v>
      </c>
      <c r="CN115" s="204">
        <f t="shared" si="242"/>
        <v>-87.871402712714072</v>
      </c>
      <c r="CO115" s="204">
        <f t="shared" si="242"/>
        <v>-88.668452224796056</v>
      </c>
      <c r="CP115" s="204">
        <f t="shared" si="242"/>
        <v>-89.469188122765601</v>
      </c>
      <c r="CQ115" s="204">
        <f t="shared" si="242"/>
        <v>-90.273543447232512</v>
      </c>
      <c r="CR115" s="204">
        <f t="shared" si="242"/>
        <v>-91.081452455054702</v>
      </c>
      <c r="CS115" s="204">
        <f t="shared" si="242"/>
        <v>-91.892850597246365</v>
      </c>
      <c r="CT115" s="204">
        <f t="shared" si="242"/>
        <v>-92.707674497287258</v>
      </c>
      <c r="CU115" s="204">
        <f t="shared" si="242"/>
        <v>-93.525861929826178</v>
      </c>
      <c r="CV115" s="204">
        <f t="shared" si="242"/>
        <v>-94.347351799771133</v>
      </c>
      <c r="CW115" s="204">
        <f t="shared" si="242"/>
        <v>-95.172084121759283</v>
      </c>
      <c r="CX115" s="204">
        <f t="shared" si="242"/>
        <v>-96</v>
      </c>
      <c r="CY115" s="204">
        <f t="shared" si="242"/>
        <v>-96</v>
      </c>
      <c r="CZ115" s="204">
        <f t="shared" si="242"/>
        <v>-96</v>
      </c>
      <c r="DA115" s="204">
        <f t="shared" si="242"/>
        <v>-96</v>
      </c>
      <c r="DB115" s="204">
        <f t="shared" si="242"/>
        <v>-96</v>
      </c>
      <c r="DC115" s="204">
        <f t="shared" si="242"/>
        <v>-96</v>
      </c>
      <c r="DD115" s="204">
        <f t="shared" si="242"/>
        <v>-96</v>
      </c>
      <c r="DE115" s="204">
        <f t="shared" si="242"/>
        <v>-96</v>
      </c>
      <c r="DF115" s="204">
        <f t="shared" si="242"/>
        <v>-96</v>
      </c>
      <c r="DG115" s="204">
        <f t="shared" si="242"/>
        <v>-96</v>
      </c>
      <c r="DH115" s="204">
        <f t="shared" si="242"/>
        <v>-96</v>
      </c>
      <c r="DI115" s="204">
        <f t="shared" si="242"/>
        <v>-96</v>
      </c>
      <c r="DJ115" s="204">
        <f t="shared" si="242"/>
        <v>-96</v>
      </c>
      <c r="DK115" s="204">
        <f t="shared" si="242"/>
        <v>-96</v>
      </c>
      <c r="DL115" s="204">
        <f t="shared" si="242"/>
        <v>-96</v>
      </c>
      <c r="DM115" s="204">
        <f t="shared" si="242"/>
        <v>-96</v>
      </c>
      <c r="DN115" s="204">
        <f t="shared" si="242"/>
        <v>-96</v>
      </c>
      <c r="DO115" s="204">
        <f t="shared" si="242"/>
        <v>-96</v>
      </c>
      <c r="DP115" s="204">
        <f t="shared" si="242"/>
        <v>-96</v>
      </c>
      <c r="DQ115" s="204">
        <f t="shared" si="242"/>
        <v>-96</v>
      </c>
      <c r="DR115" s="204">
        <f t="shared" si="242"/>
        <v>-96</v>
      </c>
      <c r="DS115" s="204">
        <f t="shared" si="242"/>
        <v>-96</v>
      </c>
      <c r="DT115" s="204">
        <f t="shared" si="242"/>
        <v>-96</v>
      </c>
      <c r="DU115" s="204">
        <f t="shared" si="242"/>
        <v>-96</v>
      </c>
      <c r="DV115" s="204">
        <f t="shared" si="242"/>
        <v>-96</v>
      </c>
      <c r="DW115" s="204">
        <f t="shared" si="242"/>
        <v>-96</v>
      </c>
      <c r="DX115" s="204">
        <f t="shared" si="242"/>
        <v>-96</v>
      </c>
      <c r="DY115" s="204">
        <f t="shared" si="242"/>
        <v>-96</v>
      </c>
      <c r="DZ115" s="204">
        <f t="shared" si="242"/>
        <v>-96</v>
      </c>
      <c r="EA115" s="204">
        <f t="shared" si="242"/>
        <v>-96</v>
      </c>
      <c r="EB115" s="204">
        <f t="shared" si="242"/>
        <v>-96</v>
      </c>
      <c r="EC115" s="204">
        <f t="shared" si="242"/>
        <v>-96</v>
      </c>
      <c r="ED115" s="204">
        <f t="shared" si="242"/>
        <v>-96</v>
      </c>
      <c r="EE115" s="204">
        <f t="shared" si="242"/>
        <v>-96</v>
      </c>
      <c r="EF115" s="204">
        <f t="shared" ref="EF115:ET115" si="243">PV($F69,EF$9,1,0)+(PV($J$6,$N$5-(EF$9),1,0)/($J$6+1)^EF$9)</f>
        <v>-96</v>
      </c>
      <c r="EG115" s="204">
        <f t="shared" si="243"/>
        <v>-96</v>
      </c>
      <c r="EH115" s="204">
        <f t="shared" si="243"/>
        <v>-96</v>
      </c>
      <c r="EI115" s="204">
        <f t="shared" si="243"/>
        <v>-96</v>
      </c>
      <c r="EJ115" s="204">
        <f t="shared" si="243"/>
        <v>-96</v>
      </c>
      <c r="EK115" s="204">
        <f t="shared" si="243"/>
        <v>-96</v>
      </c>
      <c r="EL115" s="204">
        <f t="shared" si="243"/>
        <v>-96</v>
      </c>
      <c r="EM115" s="204">
        <f t="shared" si="243"/>
        <v>-96</v>
      </c>
      <c r="EN115" s="204">
        <f t="shared" si="243"/>
        <v>-96</v>
      </c>
      <c r="EO115" s="204">
        <f t="shared" si="243"/>
        <v>-96</v>
      </c>
      <c r="EP115" s="204">
        <f t="shared" si="243"/>
        <v>-96</v>
      </c>
      <c r="EQ115" s="204">
        <f t="shared" si="243"/>
        <v>-96</v>
      </c>
      <c r="ER115" s="204">
        <f t="shared" si="243"/>
        <v>-96</v>
      </c>
      <c r="ES115" s="204">
        <f t="shared" si="243"/>
        <v>-96</v>
      </c>
      <c r="ET115" s="204">
        <f t="shared" si="243"/>
        <v>-96</v>
      </c>
      <c r="FF115" s="6" t="s">
        <v>416</v>
      </c>
      <c r="FG115" s="696">
        <v>2.5000000000000001E-2</v>
      </c>
      <c r="FH115" s="696">
        <v>120</v>
      </c>
      <c r="FI115" s="696">
        <v>1.7000000000000001E-2</v>
      </c>
      <c r="FJ115" s="255">
        <v>1.4800000000000001E-2</v>
      </c>
      <c r="FK115" s="71">
        <f t="shared" si="126"/>
        <v>2.4285714285714289E-4</v>
      </c>
      <c r="FL115" t="e">
        <f>VLOOKUP(FF115,'SIMULADOR COM SALDO'!$BX$22:$CK$1000,13,FALSE)</f>
        <v>#N/A</v>
      </c>
    </row>
    <row r="116" spans="7:168" x14ac:dyDescent="0.25">
      <c r="G116" s="205">
        <f t="shared" si="68"/>
        <v>-44.770373601250576</v>
      </c>
      <c r="H116" s="204">
        <f t="shared" ref="H116:BS116" si="244">PV($F70,H$9,1,0)+(PV($J$6,$N$5-(H$9),1,0)/($J$6+1)^H$9)</f>
        <v>-44.806371604802436</v>
      </c>
      <c r="I116" s="204">
        <f t="shared" si="244"/>
        <v>-44.859879708437063</v>
      </c>
      <c r="J116" s="204">
        <f t="shared" si="244"/>
        <v>-44.930579859281075</v>
      </c>
      <c r="K116" s="204">
        <f t="shared" si="244"/>
        <v>-45.018159781562872</v>
      </c>
      <c r="L116" s="204">
        <f t="shared" si="244"/>
        <v>-45.122312871677551</v>
      </c>
      <c r="M116" s="204">
        <f t="shared" si="244"/>
        <v>-45.24273809515784</v>
      </c>
      <c r="N116" s="204">
        <f t="shared" si="244"/>
        <v>-45.379139885516487</v>
      </c>
      <c r="O116" s="204">
        <f t="shared" si="244"/>
        <v>-45.53122804492606</v>
      </c>
      <c r="P116" s="204">
        <f t="shared" si="244"/>
        <v>-45.698717646702761</v>
      </c>
      <c r="Q116" s="204">
        <f t="shared" si="244"/>
        <v>-45.881328939561598</v>
      </c>
      <c r="R116" s="204">
        <f t="shared" si="244"/>
        <v>-46.078787253610507</v>
      </c>
      <c r="S116" s="204">
        <f t="shared" si="244"/>
        <v>-46.290822908052249</v>
      </c>
      <c r="T116" s="204">
        <f t="shared" si="244"/>
        <v>-46.517171120562551</v>
      </c>
      <c r="U116" s="204">
        <f t="shared" si="244"/>
        <v>-46.75757191831444</v>
      </c>
      <c r="V116" s="204">
        <f t="shared" si="244"/>
        <v>-47.011770050618708</v>
      </c>
      <c r="W116" s="204">
        <f t="shared" si="244"/>
        <v>-47.279514903151124</v>
      </c>
      <c r="X116" s="204">
        <f t="shared" si="244"/>
        <v>-47.560560413737676</v>
      </c>
      <c r="Y116" s="204">
        <f t="shared" si="244"/>
        <v>-47.854664989669509</v>
      </c>
      <c r="Z116" s="204">
        <f t="shared" si="244"/>
        <v>-48.161591426519607</v>
      </c>
      <c r="AA116" s="204">
        <f t="shared" si="244"/>
        <v>-48.481106828434278</v>
      </c>
      <c r="AB116" s="204">
        <f t="shared" si="244"/>
        <v>-48.81298252987235</v>
      </c>
      <c r="AC116" s="204">
        <f t="shared" si="244"/>
        <v>-49.156994018765893</v>
      </c>
      <c r="AD116" s="204">
        <f t="shared" si="244"/>
        <v>-49.51292086107668</v>
      </c>
      <c r="AE116" s="204">
        <f t="shared" si="244"/>
        <v>-49.880546626723003</v>
      </c>
      <c r="AF116" s="204">
        <f t="shared" si="244"/>
        <v>-50.259658816851953</v>
      </c>
      <c r="AG116" s="204">
        <f t="shared" si="244"/>
        <v>-50.650048792432663</v>
      </c>
      <c r="AH116" s="204">
        <f t="shared" si="244"/>
        <v>-51.051511704146662</v>
      </c>
      <c r="AI116" s="204">
        <f t="shared" si="244"/>
        <v>-51.463846423551665</v>
      </c>
      <c r="AJ116" s="204">
        <f t="shared" si="244"/>
        <v>-51.886855475495707</v>
      </c>
      <c r="AK116" s="204">
        <f t="shared" si="244"/>
        <v>-52.320344971758878</v>
      </c>
      <c r="AL116" s="204">
        <f t="shared" si="244"/>
        <v>-52.76412454590043</v>
      </c>
      <c r="AM116" s="204">
        <f t="shared" si="244"/>
        <v>-53.218007289289282</v>
      </c>
      <c r="AN116" s="204">
        <f t="shared" si="244"/>
        <v>-53.681809688296511</v>
      </c>
      <c r="AO116" s="204">
        <f t="shared" si="244"/>
        <v>-54.155351562628589</v>
      </c>
      <c r="AP116" s="204">
        <f t="shared" si="244"/>
        <v>-54.638456004780849</v>
      </c>
      <c r="AQ116" s="204">
        <f t="shared" si="244"/>
        <v>-55.130949320590631</v>
      </c>
      <c r="AR116" s="204">
        <f t="shared" si="244"/>
        <v>-55.632660970870248</v>
      </c>
      <c r="AS116" s="204">
        <f t="shared" si="244"/>
        <v>-56.143423514100107</v>
      </c>
      <c r="AT116" s="204">
        <f t="shared" si="244"/>
        <v>-56.663072550162802</v>
      </c>
      <c r="AU116" s="204">
        <f t="shared" si="244"/>
        <v>-57.191446665099171</v>
      </c>
      <c r="AV116" s="204">
        <f t="shared" si="244"/>
        <v>-57.728387376867829</v>
      </c>
      <c r="AW116" s="204">
        <f t="shared" si="244"/>
        <v>-58.273739082089882</v>
      </c>
      <c r="AX116" s="204">
        <f t="shared" si="244"/>
        <v>-58.827349003761015</v>
      </c>
      <c r="AY116" s="204">
        <f t="shared" si="244"/>
        <v>-59.389067139913323</v>
      </c>
      <c r="AZ116" s="204">
        <f t="shared" si="244"/>
        <v>-59.95874621320965</v>
      </c>
      <c r="BA116" s="204">
        <f t="shared" si="244"/>
        <v>-60.53624162145347</v>
      </c>
      <c r="BB116" s="204">
        <f t="shared" si="244"/>
        <v>-61.121411388997728</v>
      </c>
      <c r="BC116" s="204">
        <f t="shared" si="244"/>
        <v>-61.714116119036262</v>
      </c>
      <c r="BD116" s="204">
        <f t="shared" si="244"/>
        <v>-62.314218946761883</v>
      </c>
      <c r="BE116" s="204">
        <f t="shared" si="244"/>
        <v>-62.921585493375147</v>
      </c>
      <c r="BF116" s="204">
        <f t="shared" si="244"/>
        <v>-63.536083820928674</v>
      </c>
      <c r="BG116" s="204">
        <f t="shared" si="244"/>
        <v>-64.157584387991548</v>
      </c>
      <c r="BH116" s="204">
        <f t="shared" si="244"/>
        <v>-64.785960006119055</v>
      </c>
      <c r="BI116" s="204">
        <f t="shared" si="244"/>
        <v>-65.421085797113165</v>
      </c>
      <c r="BJ116" s="204">
        <f t="shared" si="244"/>
        <v>-66.062839151059279</v>
      </c>
      <c r="BK116" s="204">
        <f t="shared" si="244"/>
        <v>-66.711099685125177</v>
      </c>
      <c r="BL116" s="204">
        <f t="shared" si="244"/>
        <v>-67.365749203108379</v>
      </c>
      <c r="BM116" s="204">
        <f t="shared" si="244"/>
        <v>-68.026671655718303</v>
      </c>
      <c r="BN116" s="204">
        <f t="shared" si="244"/>
        <v>-68.693753101579787</v>
      </c>
      <c r="BO116" s="204">
        <f t="shared" si="244"/>
        <v>-69.366881668945013</v>
      </c>
      <c r="BP116" s="204">
        <f t="shared" si="244"/>
        <v>-70.04594751810086</v>
      </c>
      <c r="BQ116" s="204">
        <f t="shared" si="244"/>
        <v>-70.730842804459073</v>
      </c>
      <c r="BR116" s="204">
        <f t="shared" si="244"/>
        <v>-71.421461642316928</v>
      </c>
      <c r="BS116" s="204">
        <f t="shared" si="244"/>
        <v>-72.117700069276026</v>
      </c>
      <c r="BT116" s="204">
        <f t="shared" ref="BT116:EE116" si="245">PV($F70,BT$9,1,0)+(PV($J$6,$N$5-(BT$9),1,0)/($J$6+1)^BT$9)</f>
        <v>-72.819456011307551</v>
      </c>
      <c r="BU116" s="204">
        <f t="shared" si="245"/>
        <v>-73.526629248451897</v>
      </c>
      <c r="BV116" s="204">
        <f t="shared" si="245"/>
        <v>-74.239121381141487</v>
      </c>
      <c r="BW116" s="204">
        <f t="shared" si="245"/>
        <v>-74.956835797135199</v>
      </c>
      <c r="BX116" s="204">
        <f t="shared" si="245"/>
        <v>-75.679677639053423</v>
      </c>
      <c r="BY116" s="204">
        <f t="shared" si="245"/>
        <v>-76.407553772502823</v>
      </c>
      <c r="BZ116" s="204">
        <f t="shared" si="245"/>
        <v>-77.140372754780103</v>
      </c>
      <c r="CA116" s="204">
        <f t="shared" si="245"/>
        <v>-77.878044804144153</v>
      </c>
      <c r="CB116" s="204">
        <f t="shared" si="245"/>
        <v>-78.620481769646403</v>
      </c>
      <c r="CC116" s="204">
        <f t="shared" si="245"/>
        <v>-79.36759710150919</v>
      </c>
      <c r="CD116" s="204">
        <f t="shared" si="245"/>
        <v>-80.119305822042122</v>
      </c>
      <c r="CE116" s="204">
        <f t="shared" si="245"/>
        <v>-80.87552449708673</v>
      </c>
      <c r="CF116" s="204">
        <f t="shared" si="245"/>
        <v>-81.636171207979814</v>
      </c>
      <c r="CG116" s="204">
        <f t="shared" si="245"/>
        <v>-82.401165524026041</v>
      </c>
      <c r="CH116" s="204">
        <f t="shared" si="245"/>
        <v>-83.170428475470544</v>
      </c>
      <c r="CI116" s="204">
        <f t="shared" si="245"/>
        <v>-83.943882526962454</v>
      </c>
      <c r="CJ116" s="204">
        <f t="shared" si="245"/>
        <v>-84.721451551500408</v>
      </c>
      <c r="CK116" s="204">
        <f t="shared" si="245"/>
        <v>-85.503060804851359</v>
      </c>
      <c r="CL116" s="204">
        <f t="shared" si="245"/>
        <v>-86.288636900434042</v>
      </c>
      <c r="CM116" s="204">
        <f t="shared" si="245"/>
        <v>-87.07810778465857</v>
      </c>
      <c r="CN116" s="204">
        <f t="shared" si="245"/>
        <v>-87.871402712714072</v>
      </c>
      <c r="CO116" s="204">
        <f t="shared" si="245"/>
        <v>-88.668452224796056</v>
      </c>
      <c r="CP116" s="204">
        <f t="shared" si="245"/>
        <v>-89.469188122765601</v>
      </c>
      <c r="CQ116" s="204">
        <f t="shared" si="245"/>
        <v>-90.273543447232512</v>
      </c>
      <c r="CR116" s="204">
        <f t="shared" si="245"/>
        <v>-91.081452455054702</v>
      </c>
      <c r="CS116" s="204">
        <f t="shared" si="245"/>
        <v>-91.892850597246365</v>
      </c>
      <c r="CT116" s="204">
        <f t="shared" si="245"/>
        <v>-92.707674497287258</v>
      </c>
      <c r="CU116" s="204">
        <f t="shared" si="245"/>
        <v>-93.525861929826178</v>
      </c>
      <c r="CV116" s="204">
        <f t="shared" si="245"/>
        <v>-94.347351799771133</v>
      </c>
      <c r="CW116" s="204">
        <f t="shared" si="245"/>
        <v>-95.172084121759283</v>
      </c>
      <c r="CX116" s="204">
        <f t="shared" si="245"/>
        <v>-96</v>
      </c>
      <c r="CY116" s="204">
        <f t="shared" si="245"/>
        <v>-96</v>
      </c>
      <c r="CZ116" s="204">
        <f t="shared" si="245"/>
        <v>-96</v>
      </c>
      <c r="DA116" s="204">
        <f t="shared" si="245"/>
        <v>-96</v>
      </c>
      <c r="DB116" s="204">
        <f t="shared" si="245"/>
        <v>-96</v>
      </c>
      <c r="DC116" s="204">
        <f t="shared" si="245"/>
        <v>-96</v>
      </c>
      <c r="DD116" s="204">
        <f t="shared" si="245"/>
        <v>-96</v>
      </c>
      <c r="DE116" s="204">
        <f t="shared" si="245"/>
        <v>-96</v>
      </c>
      <c r="DF116" s="204">
        <f t="shared" si="245"/>
        <v>-96</v>
      </c>
      <c r="DG116" s="204">
        <f t="shared" si="245"/>
        <v>-96</v>
      </c>
      <c r="DH116" s="204">
        <f t="shared" si="245"/>
        <v>-96</v>
      </c>
      <c r="DI116" s="204">
        <f t="shared" si="245"/>
        <v>-96</v>
      </c>
      <c r="DJ116" s="204">
        <f t="shared" si="245"/>
        <v>-96</v>
      </c>
      <c r="DK116" s="204">
        <f t="shared" si="245"/>
        <v>-96</v>
      </c>
      <c r="DL116" s="204">
        <f t="shared" si="245"/>
        <v>-96</v>
      </c>
      <c r="DM116" s="204">
        <f t="shared" si="245"/>
        <v>-96</v>
      </c>
      <c r="DN116" s="204">
        <f t="shared" si="245"/>
        <v>-96</v>
      </c>
      <c r="DO116" s="204">
        <f t="shared" si="245"/>
        <v>-96</v>
      </c>
      <c r="DP116" s="204">
        <f t="shared" si="245"/>
        <v>-96</v>
      </c>
      <c r="DQ116" s="204">
        <f t="shared" si="245"/>
        <v>-96</v>
      </c>
      <c r="DR116" s="204">
        <f t="shared" si="245"/>
        <v>-96</v>
      </c>
      <c r="DS116" s="204">
        <f t="shared" si="245"/>
        <v>-96</v>
      </c>
      <c r="DT116" s="204">
        <f t="shared" si="245"/>
        <v>-96</v>
      </c>
      <c r="DU116" s="204">
        <f t="shared" si="245"/>
        <v>-96</v>
      </c>
      <c r="DV116" s="204">
        <f t="shared" si="245"/>
        <v>-96</v>
      </c>
      <c r="DW116" s="204">
        <f t="shared" si="245"/>
        <v>-96</v>
      </c>
      <c r="DX116" s="204">
        <f t="shared" si="245"/>
        <v>-96</v>
      </c>
      <c r="DY116" s="204">
        <f t="shared" si="245"/>
        <v>-96</v>
      </c>
      <c r="DZ116" s="204">
        <f t="shared" si="245"/>
        <v>-96</v>
      </c>
      <c r="EA116" s="204">
        <f t="shared" si="245"/>
        <v>-96</v>
      </c>
      <c r="EB116" s="204">
        <f t="shared" si="245"/>
        <v>-96</v>
      </c>
      <c r="EC116" s="204">
        <f t="shared" si="245"/>
        <v>-96</v>
      </c>
      <c r="ED116" s="204">
        <f t="shared" si="245"/>
        <v>-96</v>
      </c>
      <c r="EE116" s="204">
        <f t="shared" si="245"/>
        <v>-96</v>
      </c>
      <c r="EF116" s="204">
        <f t="shared" ref="EF116:ET116" si="246">PV($F70,EF$9,1,0)+(PV($J$6,$N$5-(EF$9),1,0)/($J$6+1)^EF$9)</f>
        <v>-96</v>
      </c>
      <c r="EG116" s="204">
        <f t="shared" si="246"/>
        <v>-96</v>
      </c>
      <c r="EH116" s="204">
        <f t="shared" si="246"/>
        <v>-96</v>
      </c>
      <c r="EI116" s="204">
        <f t="shared" si="246"/>
        <v>-96</v>
      </c>
      <c r="EJ116" s="204">
        <f t="shared" si="246"/>
        <v>-96</v>
      </c>
      <c r="EK116" s="204">
        <f t="shared" si="246"/>
        <v>-96</v>
      </c>
      <c r="EL116" s="204">
        <f t="shared" si="246"/>
        <v>-96</v>
      </c>
      <c r="EM116" s="204">
        <f t="shared" si="246"/>
        <v>-96</v>
      </c>
      <c r="EN116" s="204">
        <f t="shared" si="246"/>
        <v>-96</v>
      </c>
      <c r="EO116" s="204">
        <f t="shared" si="246"/>
        <v>-96</v>
      </c>
      <c r="EP116" s="204">
        <f t="shared" si="246"/>
        <v>-96</v>
      </c>
      <c r="EQ116" s="204">
        <f t="shared" si="246"/>
        <v>-96</v>
      </c>
      <c r="ER116" s="204">
        <f t="shared" si="246"/>
        <v>-96</v>
      </c>
      <c r="ES116" s="204">
        <f t="shared" si="246"/>
        <v>-96</v>
      </c>
      <c r="ET116" s="204">
        <f t="shared" si="246"/>
        <v>-96</v>
      </c>
      <c r="FF116" s="67" t="s">
        <v>79</v>
      </c>
      <c r="FG116" s="696">
        <v>2.5000000000000001E-2</v>
      </c>
      <c r="FH116" s="696">
        <v>120</v>
      </c>
      <c r="FI116" s="696">
        <v>2.0499999999999997E-2</v>
      </c>
      <c r="FJ116" s="255">
        <v>1.67E-2</v>
      </c>
      <c r="FK116" s="71">
        <f t="shared" si="126"/>
        <v>1.9761904761904765E-4</v>
      </c>
      <c r="FL116" t="e">
        <f>VLOOKUP(FF116,'SIMULADOR COM SALDO'!$BX$22:$CK$1000,13,FALSE)</f>
        <v>#N/A</v>
      </c>
    </row>
    <row r="117" spans="7:168" x14ac:dyDescent="0.25">
      <c r="G117" s="205">
        <f t="shared" si="68"/>
        <v>-44.770373601250576</v>
      </c>
      <c r="H117" s="204">
        <f t="shared" ref="H117:BS117" si="247">PV($F71,H$9,1,0)+(PV($J$6,$N$5-(H$9),1,0)/($J$6+1)^H$9)</f>
        <v>-44.806371604802436</v>
      </c>
      <c r="I117" s="204">
        <f t="shared" si="247"/>
        <v>-44.859879708437063</v>
      </c>
      <c r="J117" s="204">
        <f t="shared" si="247"/>
        <v>-44.930579859281075</v>
      </c>
      <c r="K117" s="204">
        <f t="shared" si="247"/>
        <v>-45.018159781562872</v>
      </c>
      <c r="L117" s="204">
        <f t="shared" si="247"/>
        <v>-45.122312871677551</v>
      </c>
      <c r="M117" s="204">
        <f t="shared" si="247"/>
        <v>-45.24273809515784</v>
      </c>
      <c r="N117" s="204">
        <f t="shared" si="247"/>
        <v>-45.379139885516487</v>
      </c>
      <c r="O117" s="204">
        <f t="shared" si="247"/>
        <v>-45.53122804492606</v>
      </c>
      <c r="P117" s="204">
        <f t="shared" si="247"/>
        <v>-45.698717646702761</v>
      </c>
      <c r="Q117" s="204">
        <f t="shared" si="247"/>
        <v>-45.881328939561598</v>
      </c>
      <c r="R117" s="204">
        <f t="shared" si="247"/>
        <v>-46.078787253610507</v>
      </c>
      <c r="S117" s="204">
        <f t="shared" si="247"/>
        <v>-46.290822908052249</v>
      </c>
      <c r="T117" s="204">
        <f t="shared" si="247"/>
        <v>-46.517171120562551</v>
      </c>
      <c r="U117" s="204">
        <f t="shared" si="247"/>
        <v>-46.75757191831444</v>
      </c>
      <c r="V117" s="204">
        <f t="shared" si="247"/>
        <v>-47.011770050618708</v>
      </c>
      <c r="W117" s="204">
        <f t="shared" si="247"/>
        <v>-47.279514903151124</v>
      </c>
      <c r="X117" s="204">
        <f t="shared" si="247"/>
        <v>-47.560560413737676</v>
      </c>
      <c r="Y117" s="204">
        <f t="shared" si="247"/>
        <v>-47.854664989669509</v>
      </c>
      <c r="Z117" s="204">
        <f t="shared" si="247"/>
        <v>-48.161591426519607</v>
      </c>
      <c r="AA117" s="204">
        <f t="shared" si="247"/>
        <v>-48.481106828434278</v>
      </c>
      <c r="AB117" s="204">
        <f t="shared" si="247"/>
        <v>-48.81298252987235</v>
      </c>
      <c r="AC117" s="204">
        <f t="shared" si="247"/>
        <v>-49.156994018765893</v>
      </c>
      <c r="AD117" s="204">
        <f t="shared" si="247"/>
        <v>-49.51292086107668</v>
      </c>
      <c r="AE117" s="204">
        <f t="shared" si="247"/>
        <v>-49.880546626723003</v>
      </c>
      <c r="AF117" s="204">
        <f t="shared" si="247"/>
        <v>-50.259658816851953</v>
      </c>
      <c r="AG117" s="204">
        <f t="shared" si="247"/>
        <v>-50.650048792432663</v>
      </c>
      <c r="AH117" s="204">
        <f t="shared" si="247"/>
        <v>-51.051511704146662</v>
      </c>
      <c r="AI117" s="204">
        <f t="shared" si="247"/>
        <v>-51.463846423551665</v>
      </c>
      <c r="AJ117" s="204">
        <f t="shared" si="247"/>
        <v>-51.886855475495707</v>
      </c>
      <c r="AK117" s="204">
        <f t="shared" si="247"/>
        <v>-52.320344971758878</v>
      </c>
      <c r="AL117" s="204">
        <f t="shared" si="247"/>
        <v>-52.76412454590043</v>
      </c>
      <c r="AM117" s="204">
        <f t="shared" si="247"/>
        <v>-53.218007289289282</v>
      </c>
      <c r="AN117" s="204">
        <f t="shared" si="247"/>
        <v>-53.681809688296511</v>
      </c>
      <c r="AO117" s="204">
        <f t="shared" si="247"/>
        <v>-54.155351562628589</v>
      </c>
      <c r="AP117" s="204">
        <f t="shared" si="247"/>
        <v>-54.638456004780849</v>
      </c>
      <c r="AQ117" s="204">
        <f t="shared" si="247"/>
        <v>-55.130949320590631</v>
      </c>
      <c r="AR117" s="204">
        <f t="shared" si="247"/>
        <v>-55.632660970870248</v>
      </c>
      <c r="AS117" s="204">
        <f t="shared" si="247"/>
        <v>-56.143423514100107</v>
      </c>
      <c r="AT117" s="204">
        <f t="shared" si="247"/>
        <v>-56.663072550162802</v>
      </c>
      <c r="AU117" s="204">
        <f t="shared" si="247"/>
        <v>-57.191446665099171</v>
      </c>
      <c r="AV117" s="204">
        <f t="shared" si="247"/>
        <v>-57.728387376867829</v>
      </c>
      <c r="AW117" s="204">
        <f t="shared" si="247"/>
        <v>-58.273739082089882</v>
      </c>
      <c r="AX117" s="204">
        <f t="shared" si="247"/>
        <v>-58.827349003761015</v>
      </c>
      <c r="AY117" s="204">
        <f t="shared" si="247"/>
        <v>-59.389067139913323</v>
      </c>
      <c r="AZ117" s="204">
        <f t="shared" si="247"/>
        <v>-59.95874621320965</v>
      </c>
      <c r="BA117" s="204">
        <f t="shared" si="247"/>
        <v>-60.53624162145347</v>
      </c>
      <c r="BB117" s="204">
        <f t="shared" si="247"/>
        <v>-61.121411388997728</v>
      </c>
      <c r="BC117" s="204">
        <f t="shared" si="247"/>
        <v>-61.714116119036262</v>
      </c>
      <c r="BD117" s="204">
        <f t="shared" si="247"/>
        <v>-62.314218946761883</v>
      </c>
      <c r="BE117" s="204">
        <f t="shared" si="247"/>
        <v>-62.921585493375147</v>
      </c>
      <c r="BF117" s="204">
        <f t="shared" si="247"/>
        <v>-63.536083820928674</v>
      </c>
      <c r="BG117" s="204">
        <f t="shared" si="247"/>
        <v>-64.157584387991548</v>
      </c>
      <c r="BH117" s="204">
        <f t="shared" si="247"/>
        <v>-64.785960006119055</v>
      </c>
      <c r="BI117" s="204">
        <f t="shared" si="247"/>
        <v>-65.421085797113165</v>
      </c>
      <c r="BJ117" s="204">
        <f t="shared" si="247"/>
        <v>-66.062839151059279</v>
      </c>
      <c r="BK117" s="204">
        <f t="shared" si="247"/>
        <v>-66.711099685125177</v>
      </c>
      <c r="BL117" s="204">
        <f t="shared" si="247"/>
        <v>-67.365749203108379</v>
      </c>
      <c r="BM117" s="204">
        <f t="shared" si="247"/>
        <v>-68.026671655718303</v>
      </c>
      <c r="BN117" s="204">
        <f t="shared" si="247"/>
        <v>-68.693753101579787</v>
      </c>
      <c r="BO117" s="204">
        <f t="shared" si="247"/>
        <v>-69.366881668945013</v>
      </c>
      <c r="BP117" s="204">
        <f t="shared" si="247"/>
        <v>-70.04594751810086</v>
      </c>
      <c r="BQ117" s="204">
        <f t="shared" si="247"/>
        <v>-70.730842804459073</v>
      </c>
      <c r="BR117" s="204">
        <f t="shared" si="247"/>
        <v>-71.421461642316928</v>
      </c>
      <c r="BS117" s="204">
        <f t="shared" si="247"/>
        <v>-72.117700069276026</v>
      </c>
      <c r="BT117" s="204">
        <f t="shared" ref="BT117:EE117" si="248">PV($F71,BT$9,1,0)+(PV($J$6,$N$5-(BT$9),1,0)/($J$6+1)^BT$9)</f>
        <v>-72.819456011307551</v>
      </c>
      <c r="BU117" s="204">
        <f t="shared" si="248"/>
        <v>-73.526629248451897</v>
      </c>
      <c r="BV117" s="204">
        <f t="shared" si="248"/>
        <v>-74.239121381141487</v>
      </c>
      <c r="BW117" s="204">
        <f t="shared" si="248"/>
        <v>-74.956835797135199</v>
      </c>
      <c r="BX117" s="204">
        <f t="shared" si="248"/>
        <v>-75.679677639053423</v>
      </c>
      <c r="BY117" s="204">
        <f t="shared" si="248"/>
        <v>-76.407553772502823</v>
      </c>
      <c r="BZ117" s="204">
        <f t="shared" si="248"/>
        <v>-77.140372754780103</v>
      </c>
      <c r="CA117" s="204">
        <f t="shared" si="248"/>
        <v>-77.878044804144153</v>
      </c>
      <c r="CB117" s="204">
        <f t="shared" si="248"/>
        <v>-78.620481769646403</v>
      </c>
      <c r="CC117" s="204">
        <f t="shared" si="248"/>
        <v>-79.36759710150919</v>
      </c>
      <c r="CD117" s="204">
        <f t="shared" si="248"/>
        <v>-80.119305822042122</v>
      </c>
      <c r="CE117" s="204">
        <f t="shared" si="248"/>
        <v>-80.87552449708673</v>
      </c>
      <c r="CF117" s="204">
        <f t="shared" si="248"/>
        <v>-81.636171207979814</v>
      </c>
      <c r="CG117" s="204">
        <f t="shared" si="248"/>
        <v>-82.401165524026041</v>
      </c>
      <c r="CH117" s="204">
        <f t="shared" si="248"/>
        <v>-83.170428475470544</v>
      </c>
      <c r="CI117" s="204">
        <f t="shared" si="248"/>
        <v>-83.943882526962454</v>
      </c>
      <c r="CJ117" s="204">
        <f t="shared" si="248"/>
        <v>-84.721451551500408</v>
      </c>
      <c r="CK117" s="204">
        <f t="shared" si="248"/>
        <v>-85.503060804851359</v>
      </c>
      <c r="CL117" s="204">
        <f t="shared" si="248"/>
        <v>-86.288636900434042</v>
      </c>
      <c r="CM117" s="204">
        <f t="shared" si="248"/>
        <v>-87.07810778465857</v>
      </c>
      <c r="CN117" s="204">
        <f t="shared" si="248"/>
        <v>-87.871402712714072</v>
      </c>
      <c r="CO117" s="204">
        <f t="shared" si="248"/>
        <v>-88.668452224796056</v>
      </c>
      <c r="CP117" s="204">
        <f t="shared" si="248"/>
        <v>-89.469188122765601</v>
      </c>
      <c r="CQ117" s="204">
        <f t="shared" si="248"/>
        <v>-90.273543447232512</v>
      </c>
      <c r="CR117" s="204">
        <f t="shared" si="248"/>
        <v>-91.081452455054702</v>
      </c>
      <c r="CS117" s="204">
        <f t="shared" si="248"/>
        <v>-91.892850597246365</v>
      </c>
      <c r="CT117" s="204">
        <f t="shared" si="248"/>
        <v>-92.707674497287258</v>
      </c>
      <c r="CU117" s="204">
        <f t="shared" si="248"/>
        <v>-93.525861929826178</v>
      </c>
      <c r="CV117" s="204">
        <f t="shared" si="248"/>
        <v>-94.347351799771133</v>
      </c>
      <c r="CW117" s="204">
        <f t="shared" si="248"/>
        <v>-95.172084121759283</v>
      </c>
      <c r="CX117" s="204">
        <f t="shared" si="248"/>
        <v>-96</v>
      </c>
      <c r="CY117" s="204">
        <f t="shared" si="248"/>
        <v>-96</v>
      </c>
      <c r="CZ117" s="204">
        <f t="shared" si="248"/>
        <v>-96</v>
      </c>
      <c r="DA117" s="204">
        <f t="shared" si="248"/>
        <v>-96</v>
      </c>
      <c r="DB117" s="204">
        <f t="shared" si="248"/>
        <v>-96</v>
      </c>
      <c r="DC117" s="204">
        <f t="shared" si="248"/>
        <v>-96</v>
      </c>
      <c r="DD117" s="204">
        <f t="shared" si="248"/>
        <v>-96</v>
      </c>
      <c r="DE117" s="204">
        <f t="shared" si="248"/>
        <v>-96</v>
      </c>
      <c r="DF117" s="204">
        <f t="shared" si="248"/>
        <v>-96</v>
      </c>
      <c r="DG117" s="204">
        <f t="shared" si="248"/>
        <v>-96</v>
      </c>
      <c r="DH117" s="204">
        <f t="shared" si="248"/>
        <v>-96</v>
      </c>
      <c r="DI117" s="204">
        <f t="shared" si="248"/>
        <v>-96</v>
      </c>
      <c r="DJ117" s="204">
        <f t="shared" si="248"/>
        <v>-96</v>
      </c>
      <c r="DK117" s="204">
        <f t="shared" si="248"/>
        <v>-96</v>
      </c>
      <c r="DL117" s="204">
        <f t="shared" si="248"/>
        <v>-96</v>
      </c>
      <c r="DM117" s="204">
        <f t="shared" si="248"/>
        <v>-96</v>
      </c>
      <c r="DN117" s="204">
        <f t="shared" si="248"/>
        <v>-96</v>
      </c>
      <c r="DO117" s="204">
        <f t="shared" si="248"/>
        <v>-96</v>
      </c>
      <c r="DP117" s="204">
        <f t="shared" si="248"/>
        <v>-96</v>
      </c>
      <c r="DQ117" s="204">
        <f t="shared" si="248"/>
        <v>-96</v>
      </c>
      <c r="DR117" s="204">
        <f t="shared" si="248"/>
        <v>-96</v>
      </c>
      <c r="DS117" s="204">
        <f t="shared" si="248"/>
        <v>-96</v>
      </c>
      <c r="DT117" s="204">
        <f t="shared" si="248"/>
        <v>-96</v>
      </c>
      <c r="DU117" s="204">
        <f t="shared" si="248"/>
        <v>-96</v>
      </c>
      <c r="DV117" s="204">
        <f t="shared" si="248"/>
        <v>-96</v>
      </c>
      <c r="DW117" s="204">
        <f t="shared" si="248"/>
        <v>-96</v>
      </c>
      <c r="DX117" s="204">
        <f t="shared" si="248"/>
        <v>-96</v>
      </c>
      <c r="DY117" s="204">
        <f t="shared" si="248"/>
        <v>-96</v>
      </c>
      <c r="DZ117" s="204">
        <f t="shared" si="248"/>
        <v>-96</v>
      </c>
      <c r="EA117" s="204">
        <f t="shared" si="248"/>
        <v>-96</v>
      </c>
      <c r="EB117" s="204">
        <f t="shared" si="248"/>
        <v>-96</v>
      </c>
      <c r="EC117" s="204">
        <f t="shared" si="248"/>
        <v>-96</v>
      </c>
      <c r="ED117" s="204">
        <f t="shared" si="248"/>
        <v>-96</v>
      </c>
      <c r="EE117" s="204">
        <f t="shared" si="248"/>
        <v>-96</v>
      </c>
      <c r="EF117" s="204">
        <f t="shared" ref="EF117:ET117" si="249">PV($F71,EF$9,1,0)+(PV($J$6,$N$5-(EF$9),1,0)/($J$6+1)^EF$9)</f>
        <v>-96</v>
      </c>
      <c r="EG117" s="204">
        <f t="shared" si="249"/>
        <v>-96</v>
      </c>
      <c r="EH117" s="204">
        <f t="shared" si="249"/>
        <v>-96</v>
      </c>
      <c r="EI117" s="204">
        <f t="shared" si="249"/>
        <v>-96</v>
      </c>
      <c r="EJ117" s="204">
        <f t="shared" si="249"/>
        <v>-96</v>
      </c>
      <c r="EK117" s="204">
        <f t="shared" si="249"/>
        <v>-96</v>
      </c>
      <c r="EL117" s="204">
        <f t="shared" si="249"/>
        <v>-96</v>
      </c>
      <c r="EM117" s="204">
        <f t="shared" si="249"/>
        <v>-96</v>
      </c>
      <c r="EN117" s="204">
        <f t="shared" si="249"/>
        <v>-96</v>
      </c>
      <c r="EO117" s="204">
        <f t="shared" si="249"/>
        <v>-96</v>
      </c>
      <c r="EP117" s="204">
        <f t="shared" si="249"/>
        <v>-96</v>
      </c>
      <c r="EQ117" s="204">
        <f t="shared" si="249"/>
        <v>-96</v>
      </c>
      <c r="ER117" s="204">
        <f t="shared" si="249"/>
        <v>-96</v>
      </c>
      <c r="ES117" s="204">
        <f t="shared" si="249"/>
        <v>-96</v>
      </c>
      <c r="ET117" s="204">
        <f t="shared" si="249"/>
        <v>-96</v>
      </c>
      <c r="FF117" s="6" t="s">
        <v>812</v>
      </c>
      <c r="FG117" s="696">
        <v>2.5000000000000001E-2</v>
      </c>
      <c r="FH117" s="696">
        <v>96</v>
      </c>
      <c r="FI117" s="696">
        <v>2.06E-2</v>
      </c>
      <c r="FJ117" s="255">
        <v>1.37E-2</v>
      </c>
      <c r="FK117" s="71">
        <f t="shared" si="126"/>
        <v>2.6904761904761906E-4</v>
      </c>
      <c r="FL117" t="e">
        <f>VLOOKUP(FF117,'SIMULADOR COM SALDO'!$BX$22:$CK$1000,13,FALSE)</f>
        <v>#N/A</v>
      </c>
    </row>
    <row r="118" spans="7:168" x14ac:dyDescent="0.25">
      <c r="G118" s="205">
        <f t="shared" si="68"/>
        <v>-44.770373601250576</v>
      </c>
      <c r="H118" s="204">
        <f t="shared" ref="H118:BS118" si="250">PV($F72,H$9,1,0)+(PV($J$6,$N$5-(H$9),1,0)/($J$6+1)^H$9)</f>
        <v>-44.806371604802436</v>
      </c>
      <c r="I118" s="204">
        <f t="shared" si="250"/>
        <v>-44.859879708437063</v>
      </c>
      <c r="J118" s="204">
        <f t="shared" si="250"/>
        <v>-44.930579859281075</v>
      </c>
      <c r="K118" s="204">
        <f t="shared" si="250"/>
        <v>-45.018159781562872</v>
      </c>
      <c r="L118" s="204">
        <f t="shared" si="250"/>
        <v>-45.122312871677551</v>
      </c>
      <c r="M118" s="204">
        <f t="shared" si="250"/>
        <v>-45.24273809515784</v>
      </c>
      <c r="N118" s="204">
        <f t="shared" si="250"/>
        <v>-45.379139885516487</v>
      </c>
      <c r="O118" s="204">
        <f t="shared" si="250"/>
        <v>-45.53122804492606</v>
      </c>
      <c r="P118" s="204">
        <f t="shared" si="250"/>
        <v>-45.698717646702761</v>
      </c>
      <c r="Q118" s="204">
        <f t="shared" si="250"/>
        <v>-45.881328939561598</v>
      </c>
      <c r="R118" s="204">
        <f t="shared" si="250"/>
        <v>-46.078787253610507</v>
      </c>
      <c r="S118" s="204">
        <f t="shared" si="250"/>
        <v>-46.290822908052249</v>
      </c>
      <c r="T118" s="204">
        <f t="shared" si="250"/>
        <v>-46.517171120562551</v>
      </c>
      <c r="U118" s="204">
        <f t="shared" si="250"/>
        <v>-46.75757191831444</v>
      </c>
      <c r="V118" s="204">
        <f t="shared" si="250"/>
        <v>-47.011770050618708</v>
      </c>
      <c r="W118" s="204">
        <f t="shared" si="250"/>
        <v>-47.279514903151124</v>
      </c>
      <c r="X118" s="204">
        <f t="shared" si="250"/>
        <v>-47.560560413737676</v>
      </c>
      <c r="Y118" s="204">
        <f t="shared" si="250"/>
        <v>-47.854664989669509</v>
      </c>
      <c r="Z118" s="204">
        <f t="shared" si="250"/>
        <v>-48.161591426519607</v>
      </c>
      <c r="AA118" s="204">
        <f t="shared" si="250"/>
        <v>-48.481106828434278</v>
      </c>
      <c r="AB118" s="204">
        <f t="shared" si="250"/>
        <v>-48.81298252987235</v>
      </c>
      <c r="AC118" s="204">
        <f t="shared" si="250"/>
        <v>-49.156994018765893</v>
      </c>
      <c r="AD118" s="204">
        <f t="shared" si="250"/>
        <v>-49.51292086107668</v>
      </c>
      <c r="AE118" s="204">
        <f t="shared" si="250"/>
        <v>-49.880546626723003</v>
      </c>
      <c r="AF118" s="204">
        <f t="shared" si="250"/>
        <v>-50.259658816851953</v>
      </c>
      <c r="AG118" s="204">
        <f t="shared" si="250"/>
        <v>-50.650048792432663</v>
      </c>
      <c r="AH118" s="204">
        <f t="shared" si="250"/>
        <v>-51.051511704146662</v>
      </c>
      <c r="AI118" s="204">
        <f t="shared" si="250"/>
        <v>-51.463846423551665</v>
      </c>
      <c r="AJ118" s="204">
        <f t="shared" si="250"/>
        <v>-51.886855475495707</v>
      </c>
      <c r="AK118" s="204">
        <f t="shared" si="250"/>
        <v>-52.320344971758878</v>
      </c>
      <c r="AL118" s="204">
        <f t="shared" si="250"/>
        <v>-52.76412454590043</v>
      </c>
      <c r="AM118" s="204">
        <f t="shared" si="250"/>
        <v>-53.218007289289282</v>
      </c>
      <c r="AN118" s="204">
        <f t="shared" si="250"/>
        <v>-53.681809688296511</v>
      </c>
      <c r="AO118" s="204">
        <f t="shared" si="250"/>
        <v>-54.155351562628589</v>
      </c>
      <c r="AP118" s="204">
        <f t="shared" si="250"/>
        <v>-54.638456004780849</v>
      </c>
      <c r="AQ118" s="204">
        <f t="shared" si="250"/>
        <v>-55.130949320590631</v>
      </c>
      <c r="AR118" s="204">
        <f t="shared" si="250"/>
        <v>-55.632660970870248</v>
      </c>
      <c r="AS118" s="204">
        <f t="shared" si="250"/>
        <v>-56.143423514100107</v>
      </c>
      <c r="AT118" s="204">
        <f t="shared" si="250"/>
        <v>-56.663072550162802</v>
      </c>
      <c r="AU118" s="204">
        <f t="shared" si="250"/>
        <v>-57.191446665099171</v>
      </c>
      <c r="AV118" s="204">
        <f t="shared" si="250"/>
        <v>-57.728387376867829</v>
      </c>
      <c r="AW118" s="204">
        <f t="shared" si="250"/>
        <v>-58.273739082089882</v>
      </c>
      <c r="AX118" s="204">
        <f t="shared" si="250"/>
        <v>-58.827349003761015</v>
      </c>
      <c r="AY118" s="204">
        <f t="shared" si="250"/>
        <v>-59.389067139913323</v>
      </c>
      <c r="AZ118" s="204">
        <f t="shared" si="250"/>
        <v>-59.95874621320965</v>
      </c>
      <c r="BA118" s="204">
        <f t="shared" si="250"/>
        <v>-60.53624162145347</v>
      </c>
      <c r="BB118" s="204">
        <f t="shared" si="250"/>
        <v>-61.121411388997728</v>
      </c>
      <c r="BC118" s="204">
        <f t="shared" si="250"/>
        <v>-61.714116119036262</v>
      </c>
      <c r="BD118" s="204">
        <f t="shared" si="250"/>
        <v>-62.314218946761883</v>
      </c>
      <c r="BE118" s="204">
        <f t="shared" si="250"/>
        <v>-62.921585493375147</v>
      </c>
      <c r="BF118" s="204">
        <f t="shared" si="250"/>
        <v>-63.536083820928674</v>
      </c>
      <c r="BG118" s="204">
        <f t="shared" si="250"/>
        <v>-64.157584387991548</v>
      </c>
      <c r="BH118" s="204">
        <f t="shared" si="250"/>
        <v>-64.785960006119055</v>
      </c>
      <c r="BI118" s="204">
        <f t="shared" si="250"/>
        <v>-65.421085797113165</v>
      </c>
      <c r="BJ118" s="204">
        <f t="shared" si="250"/>
        <v>-66.062839151059279</v>
      </c>
      <c r="BK118" s="204">
        <f t="shared" si="250"/>
        <v>-66.711099685125177</v>
      </c>
      <c r="BL118" s="204">
        <f t="shared" si="250"/>
        <v>-67.365749203108379</v>
      </c>
      <c r="BM118" s="204">
        <f t="shared" si="250"/>
        <v>-68.026671655718303</v>
      </c>
      <c r="BN118" s="204">
        <f t="shared" si="250"/>
        <v>-68.693753101579787</v>
      </c>
      <c r="BO118" s="204">
        <f t="shared" si="250"/>
        <v>-69.366881668945013</v>
      </c>
      <c r="BP118" s="204">
        <f t="shared" si="250"/>
        <v>-70.04594751810086</v>
      </c>
      <c r="BQ118" s="204">
        <f t="shared" si="250"/>
        <v>-70.730842804459073</v>
      </c>
      <c r="BR118" s="204">
        <f t="shared" si="250"/>
        <v>-71.421461642316928</v>
      </c>
      <c r="BS118" s="204">
        <f t="shared" si="250"/>
        <v>-72.117700069276026</v>
      </c>
      <c r="BT118" s="204">
        <f t="shared" ref="BT118:EE118" si="251">PV($F72,BT$9,1,0)+(PV($J$6,$N$5-(BT$9),1,0)/($J$6+1)^BT$9)</f>
        <v>-72.819456011307551</v>
      </c>
      <c r="BU118" s="204">
        <f t="shared" si="251"/>
        <v>-73.526629248451897</v>
      </c>
      <c r="BV118" s="204">
        <f t="shared" si="251"/>
        <v>-74.239121381141487</v>
      </c>
      <c r="BW118" s="204">
        <f t="shared" si="251"/>
        <v>-74.956835797135199</v>
      </c>
      <c r="BX118" s="204">
        <f t="shared" si="251"/>
        <v>-75.679677639053423</v>
      </c>
      <c r="BY118" s="204">
        <f t="shared" si="251"/>
        <v>-76.407553772502823</v>
      </c>
      <c r="BZ118" s="204">
        <f t="shared" si="251"/>
        <v>-77.140372754780103</v>
      </c>
      <c r="CA118" s="204">
        <f t="shared" si="251"/>
        <v>-77.878044804144153</v>
      </c>
      <c r="CB118" s="204">
        <f t="shared" si="251"/>
        <v>-78.620481769646403</v>
      </c>
      <c r="CC118" s="204">
        <f t="shared" si="251"/>
        <v>-79.36759710150919</v>
      </c>
      <c r="CD118" s="204">
        <f t="shared" si="251"/>
        <v>-80.119305822042122</v>
      </c>
      <c r="CE118" s="204">
        <f t="shared" si="251"/>
        <v>-80.87552449708673</v>
      </c>
      <c r="CF118" s="204">
        <f t="shared" si="251"/>
        <v>-81.636171207979814</v>
      </c>
      <c r="CG118" s="204">
        <f t="shared" si="251"/>
        <v>-82.401165524026041</v>
      </c>
      <c r="CH118" s="204">
        <f t="shared" si="251"/>
        <v>-83.170428475470544</v>
      </c>
      <c r="CI118" s="204">
        <f t="shared" si="251"/>
        <v>-83.943882526962454</v>
      </c>
      <c r="CJ118" s="204">
        <f t="shared" si="251"/>
        <v>-84.721451551500408</v>
      </c>
      <c r="CK118" s="204">
        <f t="shared" si="251"/>
        <v>-85.503060804851359</v>
      </c>
      <c r="CL118" s="204">
        <f t="shared" si="251"/>
        <v>-86.288636900434042</v>
      </c>
      <c r="CM118" s="204">
        <f t="shared" si="251"/>
        <v>-87.07810778465857</v>
      </c>
      <c r="CN118" s="204">
        <f t="shared" si="251"/>
        <v>-87.871402712714072</v>
      </c>
      <c r="CO118" s="204">
        <f t="shared" si="251"/>
        <v>-88.668452224796056</v>
      </c>
      <c r="CP118" s="204">
        <f t="shared" si="251"/>
        <v>-89.469188122765601</v>
      </c>
      <c r="CQ118" s="204">
        <f t="shared" si="251"/>
        <v>-90.273543447232512</v>
      </c>
      <c r="CR118" s="204">
        <f t="shared" si="251"/>
        <v>-91.081452455054702</v>
      </c>
      <c r="CS118" s="204">
        <f t="shared" si="251"/>
        <v>-91.892850597246365</v>
      </c>
      <c r="CT118" s="204">
        <f t="shared" si="251"/>
        <v>-92.707674497287258</v>
      </c>
      <c r="CU118" s="204">
        <f t="shared" si="251"/>
        <v>-93.525861929826178</v>
      </c>
      <c r="CV118" s="204">
        <f t="shared" si="251"/>
        <v>-94.347351799771133</v>
      </c>
      <c r="CW118" s="204">
        <f t="shared" si="251"/>
        <v>-95.172084121759283</v>
      </c>
      <c r="CX118" s="204">
        <f t="shared" si="251"/>
        <v>-96</v>
      </c>
      <c r="CY118" s="204">
        <f t="shared" si="251"/>
        <v>-96</v>
      </c>
      <c r="CZ118" s="204">
        <f t="shared" si="251"/>
        <v>-96</v>
      </c>
      <c r="DA118" s="204">
        <f t="shared" si="251"/>
        <v>-96</v>
      </c>
      <c r="DB118" s="204">
        <f t="shared" si="251"/>
        <v>-96</v>
      </c>
      <c r="DC118" s="204">
        <f t="shared" si="251"/>
        <v>-96</v>
      </c>
      <c r="DD118" s="204">
        <f t="shared" si="251"/>
        <v>-96</v>
      </c>
      <c r="DE118" s="204">
        <f t="shared" si="251"/>
        <v>-96</v>
      </c>
      <c r="DF118" s="204">
        <f t="shared" si="251"/>
        <v>-96</v>
      </c>
      <c r="DG118" s="204">
        <f t="shared" si="251"/>
        <v>-96</v>
      </c>
      <c r="DH118" s="204">
        <f t="shared" si="251"/>
        <v>-96</v>
      </c>
      <c r="DI118" s="204">
        <f t="shared" si="251"/>
        <v>-96</v>
      </c>
      <c r="DJ118" s="204">
        <f t="shared" si="251"/>
        <v>-96</v>
      </c>
      <c r="DK118" s="204">
        <f t="shared" si="251"/>
        <v>-96</v>
      </c>
      <c r="DL118" s="204">
        <f t="shared" si="251"/>
        <v>-96</v>
      </c>
      <c r="DM118" s="204">
        <f t="shared" si="251"/>
        <v>-96</v>
      </c>
      <c r="DN118" s="204">
        <f t="shared" si="251"/>
        <v>-96</v>
      </c>
      <c r="DO118" s="204">
        <f t="shared" si="251"/>
        <v>-96</v>
      </c>
      <c r="DP118" s="204">
        <f t="shared" si="251"/>
        <v>-96</v>
      </c>
      <c r="DQ118" s="204">
        <f t="shared" si="251"/>
        <v>-96</v>
      </c>
      <c r="DR118" s="204">
        <f t="shared" si="251"/>
        <v>-96</v>
      </c>
      <c r="DS118" s="204">
        <f t="shared" si="251"/>
        <v>-96</v>
      </c>
      <c r="DT118" s="204">
        <f t="shared" si="251"/>
        <v>-96</v>
      </c>
      <c r="DU118" s="204">
        <f t="shared" si="251"/>
        <v>-96</v>
      </c>
      <c r="DV118" s="204">
        <f t="shared" si="251"/>
        <v>-96</v>
      </c>
      <c r="DW118" s="204">
        <f t="shared" si="251"/>
        <v>-96</v>
      </c>
      <c r="DX118" s="204">
        <f t="shared" si="251"/>
        <v>-96</v>
      </c>
      <c r="DY118" s="204">
        <f t="shared" si="251"/>
        <v>-96</v>
      </c>
      <c r="DZ118" s="204">
        <f t="shared" si="251"/>
        <v>-96</v>
      </c>
      <c r="EA118" s="204">
        <f t="shared" si="251"/>
        <v>-96</v>
      </c>
      <c r="EB118" s="204">
        <f t="shared" si="251"/>
        <v>-96</v>
      </c>
      <c r="EC118" s="204">
        <f t="shared" si="251"/>
        <v>-96</v>
      </c>
      <c r="ED118" s="204">
        <f t="shared" si="251"/>
        <v>-96</v>
      </c>
      <c r="EE118" s="204">
        <f t="shared" si="251"/>
        <v>-96</v>
      </c>
      <c r="EF118" s="204">
        <f t="shared" ref="EF118:ET118" si="252">PV($F72,EF$9,1,0)+(PV($J$6,$N$5-(EF$9),1,0)/($J$6+1)^EF$9)</f>
        <v>-96</v>
      </c>
      <c r="EG118" s="204">
        <f t="shared" si="252"/>
        <v>-96</v>
      </c>
      <c r="EH118" s="204">
        <f t="shared" si="252"/>
        <v>-96</v>
      </c>
      <c r="EI118" s="204">
        <f t="shared" si="252"/>
        <v>-96</v>
      </c>
      <c r="EJ118" s="204">
        <f t="shared" si="252"/>
        <v>-96</v>
      </c>
      <c r="EK118" s="204">
        <f t="shared" si="252"/>
        <v>-96</v>
      </c>
      <c r="EL118" s="204">
        <f t="shared" si="252"/>
        <v>-96</v>
      </c>
      <c r="EM118" s="204">
        <f t="shared" si="252"/>
        <v>-96</v>
      </c>
      <c r="EN118" s="204">
        <f t="shared" si="252"/>
        <v>-96</v>
      </c>
      <c r="EO118" s="204">
        <f t="shared" si="252"/>
        <v>-96</v>
      </c>
      <c r="EP118" s="204">
        <f t="shared" si="252"/>
        <v>-96</v>
      </c>
      <c r="EQ118" s="204">
        <f t="shared" si="252"/>
        <v>-96</v>
      </c>
      <c r="ER118" s="204">
        <f t="shared" si="252"/>
        <v>-96</v>
      </c>
      <c r="ES118" s="204">
        <f t="shared" si="252"/>
        <v>-96</v>
      </c>
      <c r="ET118" s="204">
        <f t="shared" si="252"/>
        <v>-96</v>
      </c>
      <c r="FF118" s="6" t="s">
        <v>3034</v>
      </c>
      <c r="FG118" s="696">
        <v>2.5000000000000001E-2</v>
      </c>
      <c r="FH118" s="696">
        <v>96</v>
      </c>
      <c r="FI118" s="696">
        <v>2.1299999999999999E-2</v>
      </c>
      <c r="FJ118" s="255">
        <v>1.55E-2</v>
      </c>
      <c r="FK118" s="71">
        <f t="shared" si="126"/>
        <v>2.2619047619047624E-4</v>
      </c>
      <c r="FL118" t="e">
        <f>VLOOKUP(FF118,'SIMULADOR COM SALDO'!$BX$22:$CK$1000,13,FALSE)</f>
        <v>#N/A</v>
      </c>
    </row>
    <row r="119" spans="7:168" x14ac:dyDescent="0.25">
      <c r="G119" s="205">
        <f t="shared" si="68"/>
        <v>-44.770373601250576</v>
      </c>
      <c r="H119" s="204">
        <f t="shared" ref="H119:BS119" si="253">PV($F73,H$9,1,0)+(PV($J$6,$N$5-(H$9),1,0)/($J$6+1)^H$9)</f>
        <v>-44.806371604802436</v>
      </c>
      <c r="I119" s="204">
        <f t="shared" si="253"/>
        <v>-44.859879708437063</v>
      </c>
      <c r="J119" s="204">
        <f t="shared" si="253"/>
        <v>-44.930579859281075</v>
      </c>
      <c r="K119" s="204">
        <f t="shared" si="253"/>
        <v>-45.018159781562872</v>
      </c>
      <c r="L119" s="204">
        <f t="shared" si="253"/>
        <v>-45.122312871677551</v>
      </c>
      <c r="M119" s="204">
        <f t="shared" si="253"/>
        <v>-45.24273809515784</v>
      </c>
      <c r="N119" s="204">
        <f t="shared" si="253"/>
        <v>-45.379139885516487</v>
      </c>
      <c r="O119" s="204">
        <f t="shared" si="253"/>
        <v>-45.53122804492606</v>
      </c>
      <c r="P119" s="204">
        <f t="shared" si="253"/>
        <v>-45.698717646702761</v>
      </c>
      <c r="Q119" s="204">
        <f t="shared" si="253"/>
        <v>-45.881328939561598</v>
      </c>
      <c r="R119" s="204">
        <f t="shared" si="253"/>
        <v>-46.078787253610507</v>
      </c>
      <c r="S119" s="204">
        <f t="shared" si="253"/>
        <v>-46.290822908052249</v>
      </c>
      <c r="T119" s="204">
        <f t="shared" si="253"/>
        <v>-46.517171120562551</v>
      </c>
      <c r="U119" s="204">
        <f t="shared" si="253"/>
        <v>-46.75757191831444</v>
      </c>
      <c r="V119" s="204">
        <f t="shared" si="253"/>
        <v>-47.011770050618708</v>
      </c>
      <c r="W119" s="204">
        <f t="shared" si="253"/>
        <v>-47.279514903151124</v>
      </c>
      <c r="X119" s="204">
        <f t="shared" si="253"/>
        <v>-47.560560413737676</v>
      </c>
      <c r="Y119" s="204">
        <f t="shared" si="253"/>
        <v>-47.854664989669509</v>
      </c>
      <c r="Z119" s="204">
        <f t="shared" si="253"/>
        <v>-48.161591426519607</v>
      </c>
      <c r="AA119" s="204">
        <f t="shared" si="253"/>
        <v>-48.481106828434278</v>
      </c>
      <c r="AB119" s="204">
        <f t="shared" si="253"/>
        <v>-48.81298252987235</v>
      </c>
      <c r="AC119" s="204">
        <f t="shared" si="253"/>
        <v>-49.156994018765893</v>
      </c>
      <c r="AD119" s="204">
        <f t="shared" si="253"/>
        <v>-49.51292086107668</v>
      </c>
      <c r="AE119" s="204">
        <f t="shared" si="253"/>
        <v>-49.880546626723003</v>
      </c>
      <c r="AF119" s="204">
        <f t="shared" si="253"/>
        <v>-50.259658816851953</v>
      </c>
      <c r="AG119" s="204">
        <f t="shared" si="253"/>
        <v>-50.650048792432663</v>
      </c>
      <c r="AH119" s="204">
        <f t="shared" si="253"/>
        <v>-51.051511704146662</v>
      </c>
      <c r="AI119" s="204">
        <f t="shared" si="253"/>
        <v>-51.463846423551665</v>
      </c>
      <c r="AJ119" s="204">
        <f t="shared" si="253"/>
        <v>-51.886855475495707</v>
      </c>
      <c r="AK119" s="204">
        <f t="shared" si="253"/>
        <v>-52.320344971758878</v>
      </c>
      <c r="AL119" s="204">
        <f t="shared" si="253"/>
        <v>-52.76412454590043</v>
      </c>
      <c r="AM119" s="204">
        <f t="shared" si="253"/>
        <v>-53.218007289289282</v>
      </c>
      <c r="AN119" s="204">
        <f t="shared" si="253"/>
        <v>-53.681809688296511</v>
      </c>
      <c r="AO119" s="204">
        <f t="shared" si="253"/>
        <v>-54.155351562628589</v>
      </c>
      <c r="AP119" s="204">
        <f t="shared" si="253"/>
        <v>-54.638456004780849</v>
      </c>
      <c r="AQ119" s="204">
        <f t="shared" si="253"/>
        <v>-55.130949320590631</v>
      </c>
      <c r="AR119" s="204">
        <f t="shared" si="253"/>
        <v>-55.632660970870248</v>
      </c>
      <c r="AS119" s="204">
        <f t="shared" si="253"/>
        <v>-56.143423514100107</v>
      </c>
      <c r="AT119" s="204">
        <f t="shared" si="253"/>
        <v>-56.663072550162802</v>
      </c>
      <c r="AU119" s="204">
        <f t="shared" si="253"/>
        <v>-57.191446665099171</v>
      </c>
      <c r="AV119" s="204">
        <f t="shared" si="253"/>
        <v>-57.728387376867829</v>
      </c>
      <c r="AW119" s="204">
        <f t="shared" si="253"/>
        <v>-58.273739082089882</v>
      </c>
      <c r="AX119" s="204">
        <f t="shared" si="253"/>
        <v>-58.827349003761015</v>
      </c>
      <c r="AY119" s="204">
        <f t="shared" si="253"/>
        <v>-59.389067139913323</v>
      </c>
      <c r="AZ119" s="204">
        <f t="shared" si="253"/>
        <v>-59.95874621320965</v>
      </c>
      <c r="BA119" s="204">
        <f t="shared" si="253"/>
        <v>-60.53624162145347</v>
      </c>
      <c r="BB119" s="204">
        <f t="shared" si="253"/>
        <v>-61.121411388997728</v>
      </c>
      <c r="BC119" s="204">
        <f t="shared" si="253"/>
        <v>-61.714116119036262</v>
      </c>
      <c r="BD119" s="204">
        <f t="shared" si="253"/>
        <v>-62.314218946761883</v>
      </c>
      <c r="BE119" s="204">
        <f t="shared" si="253"/>
        <v>-62.921585493375147</v>
      </c>
      <c r="BF119" s="204">
        <f t="shared" si="253"/>
        <v>-63.536083820928674</v>
      </c>
      <c r="BG119" s="204">
        <f t="shared" si="253"/>
        <v>-64.157584387991548</v>
      </c>
      <c r="BH119" s="204">
        <f t="shared" si="253"/>
        <v>-64.785960006119055</v>
      </c>
      <c r="BI119" s="204">
        <f t="shared" si="253"/>
        <v>-65.421085797113165</v>
      </c>
      <c r="BJ119" s="204">
        <f t="shared" si="253"/>
        <v>-66.062839151059279</v>
      </c>
      <c r="BK119" s="204">
        <f t="shared" si="253"/>
        <v>-66.711099685125177</v>
      </c>
      <c r="BL119" s="204">
        <f t="shared" si="253"/>
        <v>-67.365749203108379</v>
      </c>
      <c r="BM119" s="204">
        <f t="shared" si="253"/>
        <v>-68.026671655718303</v>
      </c>
      <c r="BN119" s="204">
        <f t="shared" si="253"/>
        <v>-68.693753101579787</v>
      </c>
      <c r="BO119" s="204">
        <f t="shared" si="253"/>
        <v>-69.366881668945013</v>
      </c>
      <c r="BP119" s="204">
        <f t="shared" si="253"/>
        <v>-70.04594751810086</v>
      </c>
      <c r="BQ119" s="204">
        <f t="shared" si="253"/>
        <v>-70.730842804459073</v>
      </c>
      <c r="BR119" s="204">
        <f t="shared" si="253"/>
        <v>-71.421461642316928</v>
      </c>
      <c r="BS119" s="204">
        <f t="shared" si="253"/>
        <v>-72.117700069276026</v>
      </c>
      <c r="BT119" s="204">
        <f t="shared" ref="BT119:EE119" si="254">PV($F73,BT$9,1,0)+(PV($J$6,$N$5-(BT$9),1,0)/($J$6+1)^BT$9)</f>
        <v>-72.819456011307551</v>
      </c>
      <c r="BU119" s="204">
        <f t="shared" si="254"/>
        <v>-73.526629248451897</v>
      </c>
      <c r="BV119" s="204">
        <f t="shared" si="254"/>
        <v>-74.239121381141487</v>
      </c>
      <c r="BW119" s="204">
        <f t="shared" si="254"/>
        <v>-74.956835797135199</v>
      </c>
      <c r="BX119" s="204">
        <f t="shared" si="254"/>
        <v>-75.679677639053423</v>
      </c>
      <c r="BY119" s="204">
        <f t="shared" si="254"/>
        <v>-76.407553772502823</v>
      </c>
      <c r="BZ119" s="204">
        <f t="shared" si="254"/>
        <v>-77.140372754780103</v>
      </c>
      <c r="CA119" s="204">
        <f t="shared" si="254"/>
        <v>-77.878044804144153</v>
      </c>
      <c r="CB119" s="204">
        <f t="shared" si="254"/>
        <v>-78.620481769646403</v>
      </c>
      <c r="CC119" s="204">
        <f t="shared" si="254"/>
        <v>-79.36759710150919</v>
      </c>
      <c r="CD119" s="204">
        <f t="shared" si="254"/>
        <v>-80.119305822042122</v>
      </c>
      <c r="CE119" s="204">
        <f t="shared" si="254"/>
        <v>-80.87552449708673</v>
      </c>
      <c r="CF119" s="204">
        <f t="shared" si="254"/>
        <v>-81.636171207979814</v>
      </c>
      <c r="CG119" s="204">
        <f t="shared" si="254"/>
        <v>-82.401165524026041</v>
      </c>
      <c r="CH119" s="204">
        <f t="shared" si="254"/>
        <v>-83.170428475470544</v>
      </c>
      <c r="CI119" s="204">
        <f t="shared" si="254"/>
        <v>-83.943882526962454</v>
      </c>
      <c r="CJ119" s="204">
        <f t="shared" si="254"/>
        <v>-84.721451551500408</v>
      </c>
      <c r="CK119" s="204">
        <f t="shared" si="254"/>
        <v>-85.503060804851359</v>
      </c>
      <c r="CL119" s="204">
        <f t="shared" si="254"/>
        <v>-86.288636900434042</v>
      </c>
      <c r="CM119" s="204">
        <f t="shared" si="254"/>
        <v>-87.07810778465857</v>
      </c>
      <c r="CN119" s="204">
        <f t="shared" si="254"/>
        <v>-87.871402712714072</v>
      </c>
      <c r="CO119" s="204">
        <f t="shared" si="254"/>
        <v>-88.668452224796056</v>
      </c>
      <c r="CP119" s="204">
        <f t="shared" si="254"/>
        <v>-89.469188122765601</v>
      </c>
      <c r="CQ119" s="204">
        <f t="shared" si="254"/>
        <v>-90.273543447232512</v>
      </c>
      <c r="CR119" s="204">
        <f t="shared" si="254"/>
        <v>-91.081452455054702</v>
      </c>
      <c r="CS119" s="204">
        <f t="shared" si="254"/>
        <v>-91.892850597246365</v>
      </c>
      <c r="CT119" s="204">
        <f t="shared" si="254"/>
        <v>-92.707674497287258</v>
      </c>
      <c r="CU119" s="204">
        <f t="shared" si="254"/>
        <v>-93.525861929826178</v>
      </c>
      <c r="CV119" s="204">
        <f t="shared" si="254"/>
        <v>-94.347351799771133</v>
      </c>
      <c r="CW119" s="204">
        <f t="shared" si="254"/>
        <v>-95.172084121759283</v>
      </c>
      <c r="CX119" s="204">
        <f t="shared" si="254"/>
        <v>-96</v>
      </c>
      <c r="CY119" s="204">
        <f t="shared" si="254"/>
        <v>-96</v>
      </c>
      <c r="CZ119" s="204">
        <f t="shared" si="254"/>
        <v>-96</v>
      </c>
      <c r="DA119" s="204">
        <f t="shared" si="254"/>
        <v>-96</v>
      </c>
      <c r="DB119" s="204">
        <f t="shared" si="254"/>
        <v>-96</v>
      </c>
      <c r="DC119" s="204">
        <f t="shared" si="254"/>
        <v>-96</v>
      </c>
      <c r="DD119" s="204">
        <f t="shared" si="254"/>
        <v>-96</v>
      </c>
      <c r="DE119" s="204">
        <f t="shared" si="254"/>
        <v>-96</v>
      </c>
      <c r="DF119" s="204">
        <f t="shared" si="254"/>
        <v>-96</v>
      </c>
      <c r="DG119" s="204">
        <f t="shared" si="254"/>
        <v>-96</v>
      </c>
      <c r="DH119" s="204">
        <f t="shared" si="254"/>
        <v>-96</v>
      </c>
      <c r="DI119" s="204">
        <f t="shared" si="254"/>
        <v>-96</v>
      </c>
      <c r="DJ119" s="204">
        <f t="shared" si="254"/>
        <v>-96</v>
      </c>
      <c r="DK119" s="204">
        <f t="shared" si="254"/>
        <v>-96</v>
      </c>
      <c r="DL119" s="204">
        <f t="shared" si="254"/>
        <v>-96</v>
      </c>
      <c r="DM119" s="204">
        <f t="shared" si="254"/>
        <v>-96</v>
      </c>
      <c r="DN119" s="204">
        <f t="shared" si="254"/>
        <v>-96</v>
      </c>
      <c r="DO119" s="204">
        <f t="shared" si="254"/>
        <v>-96</v>
      </c>
      <c r="DP119" s="204">
        <f t="shared" si="254"/>
        <v>-96</v>
      </c>
      <c r="DQ119" s="204">
        <f t="shared" si="254"/>
        <v>-96</v>
      </c>
      <c r="DR119" s="204">
        <f t="shared" si="254"/>
        <v>-96</v>
      </c>
      <c r="DS119" s="204">
        <f t="shared" si="254"/>
        <v>-96</v>
      </c>
      <c r="DT119" s="204">
        <f t="shared" si="254"/>
        <v>-96</v>
      </c>
      <c r="DU119" s="204">
        <f t="shared" si="254"/>
        <v>-96</v>
      </c>
      <c r="DV119" s="204">
        <f t="shared" si="254"/>
        <v>-96</v>
      </c>
      <c r="DW119" s="204">
        <f t="shared" si="254"/>
        <v>-96</v>
      </c>
      <c r="DX119" s="204">
        <f t="shared" si="254"/>
        <v>-96</v>
      </c>
      <c r="DY119" s="204">
        <f t="shared" si="254"/>
        <v>-96</v>
      </c>
      <c r="DZ119" s="204">
        <f t="shared" si="254"/>
        <v>-96</v>
      </c>
      <c r="EA119" s="204">
        <f t="shared" si="254"/>
        <v>-96</v>
      </c>
      <c r="EB119" s="204">
        <f t="shared" si="254"/>
        <v>-96</v>
      </c>
      <c r="EC119" s="204">
        <f t="shared" si="254"/>
        <v>-96</v>
      </c>
      <c r="ED119" s="204">
        <f t="shared" si="254"/>
        <v>-96</v>
      </c>
      <c r="EE119" s="204">
        <f t="shared" si="254"/>
        <v>-96</v>
      </c>
      <c r="EF119" s="204">
        <f t="shared" ref="EF119:ET119" si="255">PV($F73,EF$9,1,0)+(PV($J$6,$N$5-(EF$9),1,0)/($J$6+1)^EF$9)</f>
        <v>-96</v>
      </c>
      <c r="EG119" s="204">
        <f t="shared" si="255"/>
        <v>-96</v>
      </c>
      <c r="EH119" s="204">
        <f t="shared" si="255"/>
        <v>-96</v>
      </c>
      <c r="EI119" s="204">
        <f t="shared" si="255"/>
        <v>-96</v>
      </c>
      <c r="EJ119" s="204">
        <f t="shared" si="255"/>
        <v>-96</v>
      </c>
      <c r="EK119" s="204">
        <f t="shared" si="255"/>
        <v>-96</v>
      </c>
      <c r="EL119" s="204">
        <f t="shared" si="255"/>
        <v>-96</v>
      </c>
      <c r="EM119" s="204">
        <f t="shared" si="255"/>
        <v>-96</v>
      </c>
      <c r="EN119" s="204">
        <f t="shared" si="255"/>
        <v>-96</v>
      </c>
      <c r="EO119" s="204">
        <f t="shared" si="255"/>
        <v>-96</v>
      </c>
      <c r="EP119" s="204">
        <f t="shared" si="255"/>
        <v>-96</v>
      </c>
      <c r="EQ119" s="204">
        <f t="shared" si="255"/>
        <v>-96</v>
      </c>
      <c r="ER119" s="204">
        <f t="shared" si="255"/>
        <v>-96</v>
      </c>
      <c r="ES119" s="204">
        <f t="shared" si="255"/>
        <v>-96</v>
      </c>
      <c r="ET119" s="204">
        <f t="shared" si="255"/>
        <v>-96</v>
      </c>
      <c r="FF119" s="6" t="s">
        <v>258</v>
      </c>
      <c r="FG119" s="696">
        <v>2.5000000000000001E-2</v>
      </c>
      <c r="FH119" s="696">
        <v>120</v>
      </c>
      <c r="FI119" s="696">
        <v>1.7000000000000001E-2</v>
      </c>
      <c r="FJ119" s="255">
        <v>1.38E-2</v>
      </c>
      <c r="FK119" s="71">
        <f t="shared" si="126"/>
        <v>2.6666666666666668E-4</v>
      </c>
      <c r="FL119" t="e">
        <f>VLOOKUP(FF119,'SIMULADOR COM SALDO'!$BX$22:$CK$1000,13,FALSE)</f>
        <v>#N/A</v>
      </c>
    </row>
    <row r="120" spans="7:168" x14ac:dyDescent="0.25">
      <c r="G120" s="205">
        <f t="shared" si="68"/>
        <v>-44.770373601250576</v>
      </c>
      <c r="H120" s="204">
        <f t="shared" ref="H120:BS120" si="256">PV($F74,H$9,1,0)+(PV($J$6,$N$5-(H$9),1,0)/($J$6+1)^H$9)</f>
        <v>-44.806371604802436</v>
      </c>
      <c r="I120" s="204">
        <f t="shared" si="256"/>
        <v>-44.859879708437063</v>
      </c>
      <c r="J120" s="204">
        <f t="shared" si="256"/>
        <v>-44.930579859281075</v>
      </c>
      <c r="K120" s="204">
        <f t="shared" si="256"/>
        <v>-45.018159781562872</v>
      </c>
      <c r="L120" s="204">
        <f t="shared" si="256"/>
        <v>-45.122312871677551</v>
      </c>
      <c r="M120" s="204">
        <f t="shared" si="256"/>
        <v>-45.24273809515784</v>
      </c>
      <c r="N120" s="204">
        <f t="shared" si="256"/>
        <v>-45.379139885516487</v>
      </c>
      <c r="O120" s="204">
        <f t="shared" si="256"/>
        <v>-45.53122804492606</v>
      </c>
      <c r="P120" s="204">
        <f t="shared" si="256"/>
        <v>-45.698717646702761</v>
      </c>
      <c r="Q120" s="204">
        <f t="shared" si="256"/>
        <v>-45.881328939561598</v>
      </c>
      <c r="R120" s="204">
        <f t="shared" si="256"/>
        <v>-46.078787253610507</v>
      </c>
      <c r="S120" s="204">
        <f t="shared" si="256"/>
        <v>-46.290822908052249</v>
      </c>
      <c r="T120" s="204">
        <f t="shared" si="256"/>
        <v>-46.517171120562551</v>
      </c>
      <c r="U120" s="204">
        <f t="shared" si="256"/>
        <v>-46.75757191831444</v>
      </c>
      <c r="V120" s="204">
        <f t="shared" si="256"/>
        <v>-47.011770050618708</v>
      </c>
      <c r="W120" s="204">
        <f t="shared" si="256"/>
        <v>-47.279514903151124</v>
      </c>
      <c r="X120" s="204">
        <f t="shared" si="256"/>
        <v>-47.560560413737676</v>
      </c>
      <c r="Y120" s="204">
        <f t="shared" si="256"/>
        <v>-47.854664989669509</v>
      </c>
      <c r="Z120" s="204">
        <f t="shared" si="256"/>
        <v>-48.161591426519607</v>
      </c>
      <c r="AA120" s="204">
        <f t="shared" si="256"/>
        <v>-48.481106828434278</v>
      </c>
      <c r="AB120" s="204">
        <f t="shared" si="256"/>
        <v>-48.81298252987235</v>
      </c>
      <c r="AC120" s="204">
        <f t="shared" si="256"/>
        <v>-49.156994018765893</v>
      </c>
      <c r="AD120" s="204">
        <f t="shared" si="256"/>
        <v>-49.51292086107668</v>
      </c>
      <c r="AE120" s="204">
        <f t="shared" si="256"/>
        <v>-49.880546626723003</v>
      </c>
      <c r="AF120" s="204">
        <f t="shared" si="256"/>
        <v>-50.259658816851953</v>
      </c>
      <c r="AG120" s="204">
        <f t="shared" si="256"/>
        <v>-50.650048792432663</v>
      </c>
      <c r="AH120" s="204">
        <f t="shared" si="256"/>
        <v>-51.051511704146662</v>
      </c>
      <c r="AI120" s="204">
        <f t="shared" si="256"/>
        <v>-51.463846423551665</v>
      </c>
      <c r="AJ120" s="204">
        <f t="shared" si="256"/>
        <v>-51.886855475495707</v>
      </c>
      <c r="AK120" s="204">
        <f t="shared" si="256"/>
        <v>-52.320344971758878</v>
      </c>
      <c r="AL120" s="204">
        <f t="shared" si="256"/>
        <v>-52.76412454590043</v>
      </c>
      <c r="AM120" s="204">
        <f t="shared" si="256"/>
        <v>-53.218007289289282</v>
      </c>
      <c r="AN120" s="204">
        <f t="shared" si="256"/>
        <v>-53.681809688296511</v>
      </c>
      <c r="AO120" s="204">
        <f t="shared" si="256"/>
        <v>-54.155351562628589</v>
      </c>
      <c r="AP120" s="204">
        <f t="shared" si="256"/>
        <v>-54.638456004780849</v>
      </c>
      <c r="AQ120" s="204">
        <f t="shared" si="256"/>
        <v>-55.130949320590631</v>
      </c>
      <c r="AR120" s="204">
        <f t="shared" si="256"/>
        <v>-55.632660970870248</v>
      </c>
      <c r="AS120" s="204">
        <f t="shared" si="256"/>
        <v>-56.143423514100107</v>
      </c>
      <c r="AT120" s="204">
        <f t="shared" si="256"/>
        <v>-56.663072550162802</v>
      </c>
      <c r="AU120" s="204">
        <f t="shared" si="256"/>
        <v>-57.191446665099171</v>
      </c>
      <c r="AV120" s="204">
        <f t="shared" si="256"/>
        <v>-57.728387376867829</v>
      </c>
      <c r="AW120" s="204">
        <f t="shared" si="256"/>
        <v>-58.273739082089882</v>
      </c>
      <c r="AX120" s="204">
        <f t="shared" si="256"/>
        <v>-58.827349003761015</v>
      </c>
      <c r="AY120" s="204">
        <f t="shared" si="256"/>
        <v>-59.389067139913323</v>
      </c>
      <c r="AZ120" s="204">
        <f t="shared" si="256"/>
        <v>-59.95874621320965</v>
      </c>
      <c r="BA120" s="204">
        <f t="shared" si="256"/>
        <v>-60.53624162145347</v>
      </c>
      <c r="BB120" s="204">
        <f t="shared" si="256"/>
        <v>-61.121411388997728</v>
      </c>
      <c r="BC120" s="204">
        <f t="shared" si="256"/>
        <v>-61.714116119036262</v>
      </c>
      <c r="BD120" s="204">
        <f t="shared" si="256"/>
        <v>-62.314218946761883</v>
      </c>
      <c r="BE120" s="204">
        <f t="shared" si="256"/>
        <v>-62.921585493375147</v>
      </c>
      <c r="BF120" s="204">
        <f t="shared" si="256"/>
        <v>-63.536083820928674</v>
      </c>
      <c r="BG120" s="204">
        <f t="shared" si="256"/>
        <v>-64.157584387991548</v>
      </c>
      <c r="BH120" s="204">
        <f t="shared" si="256"/>
        <v>-64.785960006119055</v>
      </c>
      <c r="BI120" s="204">
        <f t="shared" si="256"/>
        <v>-65.421085797113165</v>
      </c>
      <c r="BJ120" s="204">
        <f t="shared" si="256"/>
        <v>-66.062839151059279</v>
      </c>
      <c r="BK120" s="204">
        <f t="shared" si="256"/>
        <v>-66.711099685125177</v>
      </c>
      <c r="BL120" s="204">
        <f t="shared" si="256"/>
        <v>-67.365749203108379</v>
      </c>
      <c r="BM120" s="204">
        <f t="shared" si="256"/>
        <v>-68.026671655718303</v>
      </c>
      <c r="BN120" s="204">
        <f t="shared" si="256"/>
        <v>-68.693753101579787</v>
      </c>
      <c r="BO120" s="204">
        <f t="shared" si="256"/>
        <v>-69.366881668945013</v>
      </c>
      <c r="BP120" s="204">
        <f t="shared" si="256"/>
        <v>-70.04594751810086</v>
      </c>
      <c r="BQ120" s="204">
        <f t="shared" si="256"/>
        <v>-70.730842804459073</v>
      </c>
      <c r="BR120" s="204">
        <f t="shared" si="256"/>
        <v>-71.421461642316928</v>
      </c>
      <c r="BS120" s="204">
        <f t="shared" si="256"/>
        <v>-72.117700069276026</v>
      </c>
      <c r="BT120" s="204">
        <f t="shared" ref="BT120:EE120" si="257">PV($F74,BT$9,1,0)+(PV($J$6,$N$5-(BT$9),1,0)/($J$6+1)^BT$9)</f>
        <v>-72.819456011307551</v>
      </c>
      <c r="BU120" s="204">
        <f t="shared" si="257"/>
        <v>-73.526629248451897</v>
      </c>
      <c r="BV120" s="204">
        <f t="shared" si="257"/>
        <v>-74.239121381141487</v>
      </c>
      <c r="BW120" s="204">
        <f t="shared" si="257"/>
        <v>-74.956835797135199</v>
      </c>
      <c r="BX120" s="204">
        <f t="shared" si="257"/>
        <v>-75.679677639053423</v>
      </c>
      <c r="BY120" s="204">
        <f t="shared" si="257"/>
        <v>-76.407553772502823</v>
      </c>
      <c r="BZ120" s="204">
        <f t="shared" si="257"/>
        <v>-77.140372754780103</v>
      </c>
      <c r="CA120" s="204">
        <f t="shared" si="257"/>
        <v>-77.878044804144153</v>
      </c>
      <c r="CB120" s="204">
        <f t="shared" si="257"/>
        <v>-78.620481769646403</v>
      </c>
      <c r="CC120" s="204">
        <f t="shared" si="257"/>
        <v>-79.36759710150919</v>
      </c>
      <c r="CD120" s="204">
        <f t="shared" si="257"/>
        <v>-80.119305822042122</v>
      </c>
      <c r="CE120" s="204">
        <f t="shared" si="257"/>
        <v>-80.87552449708673</v>
      </c>
      <c r="CF120" s="204">
        <f t="shared" si="257"/>
        <v>-81.636171207979814</v>
      </c>
      <c r="CG120" s="204">
        <f t="shared" si="257"/>
        <v>-82.401165524026041</v>
      </c>
      <c r="CH120" s="204">
        <f t="shared" si="257"/>
        <v>-83.170428475470544</v>
      </c>
      <c r="CI120" s="204">
        <f t="shared" si="257"/>
        <v>-83.943882526962454</v>
      </c>
      <c r="CJ120" s="204">
        <f t="shared" si="257"/>
        <v>-84.721451551500408</v>
      </c>
      <c r="CK120" s="204">
        <f t="shared" si="257"/>
        <v>-85.503060804851359</v>
      </c>
      <c r="CL120" s="204">
        <f t="shared" si="257"/>
        <v>-86.288636900434042</v>
      </c>
      <c r="CM120" s="204">
        <f t="shared" si="257"/>
        <v>-87.07810778465857</v>
      </c>
      <c r="CN120" s="204">
        <f t="shared" si="257"/>
        <v>-87.871402712714072</v>
      </c>
      <c r="CO120" s="204">
        <f t="shared" si="257"/>
        <v>-88.668452224796056</v>
      </c>
      <c r="CP120" s="204">
        <f t="shared" si="257"/>
        <v>-89.469188122765601</v>
      </c>
      <c r="CQ120" s="204">
        <f t="shared" si="257"/>
        <v>-90.273543447232512</v>
      </c>
      <c r="CR120" s="204">
        <f t="shared" si="257"/>
        <v>-91.081452455054702</v>
      </c>
      <c r="CS120" s="204">
        <f t="shared" si="257"/>
        <v>-91.892850597246365</v>
      </c>
      <c r="CT120" s="204">
        <f t="shared" si="257"/>
        <v>-92.707674497287258</v>
      </c>
      <c r="CU120" s="204">
        <f t="shared" si="257"/>
        <v>-93.525861929826178</v>
      </c>
      <c r="CV120" s="204">
        <f t="shared" si="257"/>
        <v>-94.347351799771133</v>
      </c>
      <c r="CW120" s="204">
        <f t="shared" si="257"/>
        <v>-95.172084121759283</v>
      </c>
      <c r="CX120" s="204">
        <f t="shared" si="257"/>
        <v>-96</v>
      </c>
      <c r="CY120" s="204">
        <f t="shared" si="257"/>
        <v>-96</v>
      </c>
      <c r="CZ120" s="204">
        <f t="shared" si="257"/>
        <v>-96</v>
      </c>
      <c r="DA120" s="204">
        <f t="shared" si="257"/>
        <v>-96</v>
      </c>
      <c r="DB120" s="204">
        <f t="shared" si="257"/>
        <v>-96</v>
      </c>
      <c r="DC120" s="204">
        <f t="shared" si="257"/>
        <v>-96</v>
      </c>
      <c r="DD120" s="204">
        <f t="shared" si="257"/>
        <v>-96</v>
      </c>
      <c r="DE120" s="204">
        <f t="shared" si="257"/>
        <v>-96</v>
      </c>
      <c r="DF120" s="204">
        <f t="shared" si="257"/>
        <v>-96</v>
      </c>
      <c r="DG120" s="204">
        <f t="shared" si="257"/>
        <v>-96</v>
      </c>
      <c r="DH120" s="204">
        <f t="shared" si="257"/>
        <v>-96</v>
      </c>
      <c r="DI120" s="204">
        <f t="shared" si="257"/>
        <v>-96</v>
      </c>
      <c r="DJ120" s="204">
        <f t="shared" si="257"/>
        <v>-96</v>
      </c>
      <c r="DK120" s="204">
        <f t="shared" si="257"/>
        <v>-96</v>
      </c>
      <c r="DL120" s="204">
        <f t="shared" si="257"/>
        <v>-96</v>
      </c>
      <c r="DM120" s="204">
        <f t="shared" si="257"/>
        <v>-96</v>
      </c>
      <c r="DN120" s="204">
        <f t="shared" si="257"/>
        <v>-96</v>
      </c>
      <c r="DO120" s="204">
        <f t="shared" si="257"/>
        <v>-96</v>
      </c>
      <c r="DP120" s="204">
        <f t="shared" si="257"/>
        <v>-96</v>
      </c>
      <c r="DQ120" s="204">
        <f t="shared" si="257"/>
        <v>-96</v>
      </c>
      <c r="DR120" s="204">
        <f t="shared" si="257"/>
        <v>-96</v>
      </c>
      <c r="DS120" s="204">
        <f t="shared" si="257"/>
        <v>-96</v>
      </c>
      <c r="DT120" s="204">
        <f t="shared" si="257"/>
        <v>-96</v>
      </c>
      <c r="DU120" s="204">
        <f t="shared" si="257"/>
        <v>-96</v>
      </c>
      <c r="DV120" s="204">
        <f t="shared" si="257"/>
        <v>-96</v>
      </c>
      <c r="DW120" s="204">
        <f t="shared" si="257"/>
        <v>-96</v>
      </c>
      <c r="DX120" s="204">
        <f t="shared" si="257"/>
        <v>-96</v>
      </c>
      <c r="DY120" s="204">
        <f t="shared" si="257"/>
        <v>-96</v>
      </c>
      <c r="DZ120" s="204">
        <f t="shared" si="257"/>
        <v>-96</v>
      </c>
      <c r="EA120" s="204">
        <f t="shared" si="257"/>
        <v>-96</v>
      </c>
      <c r="EB120" s="204">
        <f t="shared" si="257"/>
        <v>-96</v>
      </c>
      <c r="EC120" s="204">
        <f t="shared" si="257"/>
        <v>-96</v>
      </c>
      <c r="ED120" s="204">
        <f t="shared" si="257"/>
        <v>-96</v>
      </c>
      <c r="EE120" s="204">
        <f t="shared" si="257"/>
        <v>-96</v>
      </c>
      <c r="EF120" s="204">
        <f t="shared" ref="EF120:ET120" si="258">PV($F74,EF$9,1,0)+(PV($J$6,$N$5-(EF$9),1,0)/($J$6+1)^EF$9)</f>
        <v>-96</v>
      </c>
      <c r="EG120" s="204">
        <f t="shared" si="258"/>
        <v>-96</v>
      </c>
      <c r="EH120" s="204">
        <f t="shared" si="258"/>
        <v>-96</v>
      </c>
      <c r="EI120" s="204">
        <f t="shared" si="258"/>
        <v>-96</v>
      </c>
      <c r="EJ120" s="204">
        <f t="shared" si="258"/>
        <v>-96</v>
      </c>
      <c r="EK120" s="204">
        <f t="shared" si="258"/>
        <v>-96</v>
      </c>
      <c r="EL120" s="204">
        <f t="shared" si="258"/>
        <v>-96</v>
      </c>
      <c r="EM120" s="204">
        <f t="shared" si="258"/>
        <v>-96</v>
      </c>
      <c r="EN120" s="204">
        <f t="shared" si="258"/>
        <v>-96</v>
      </c>
      <c r="EO120" s="204">
        <f t="shared" si="258"/>
        <v>-96</v>
      </c>
      <c r="EP120" s="204">
        <f t="shared" si="258"/>
        <v>-96</v>
      </c>
      <c r="EQ120" s="204">
        <f t="shared" si="258"/>
        <v>-96</v>
      </c>
      <c r="ER120" s="204">
        <f t="shared" si="258"/>
        <v>-96</v>
      </c>
      <c r="ES120" s="204">
        <f t="shared" si="258"/>
        <v>-96</v>
      </c>
      <c r="ET120" s="204">
        <f t="shared" si="258"/>
        <v>-96</v>
      </c>
      <c r="FF120" s="6" t="s">
        <v>102</v>
      </c>
      <c r="FG120" s="696">
        <v>2.5000000000000001E-2</v>
      </c>
      <c r="FH120" s="696">
        <v>120</v>
      </c>
      <c r="FI120" s="696">
        <v>1.8200000000000001E-2</v>
      </c>
      <c r="FJ120" s="255">
        <v>1.4499999999999999E-2</v>
      </c>
      <c r="FK120" s="71">
        <f t="shared" si="126"/>
        <v>2.5000000000000006E-4</v>
      </c>
      <c r="FL120" t="e">
        <f>VLOOKUP(FF120,'SIMULADOR COM SALDO'!$BX$22:$CK$1000,13,FALSE)</f>
        <v>#N/A</v>
      </c>
    </row>
    <row r="121" spans="7:168" x14ac:dyDescent="0.25">
      <c r="G121" s="205">
        <f t="shared" si="68"/>
        <v>-44.770373601250576</v>
      </c>
      <c r="H121" s="204">
        <f t="shared" ref="H121:BS121" si="259">PV($F75,H$9,1,0)+(PV($J$6,$N$5-(H$9),1,0)/($J$6+1)^H$9)</f>
        <v>-44.806371604802436</v>
      </c>
      <c r="I121" s="204">
        <f t="shared" si="259"/>
        <v>-44.859879708437063</v>
      </c>
      <c r="J121" s="204">
        <f t="shared" si="259"/>
        <v>-44.930579859281075</v>
      </c>
      <c r="K121" s="204">
        <f t="shared" si="259"/>
        <v>-45.018159781562872</v>
      </c>
      <c r="L121" s="204">
        <f t="shared" si="259"/>
        <v>-45.122312871677551</v>
      </c>
      <c r="M121" s="204">
        <f t="shared" si="259"/>
        <v>-45.24273809515784</v>
      </c>
      <c r="N121" s="204">
        <f t="shared" si="259"/>
        <v>-45.379139885516487</v>
      </c>
      <c r="O121" s="204">
        <f t="shared" si="259"/>
        <v>-45.53122804492606</v>
      </c>
      <c r="P121" s="204">
        <f t="shared" si="259"/>
        <v>-45.698717646702761</v>
      </c>
      <c r="Q121" s="204">
        <f t="shared" si="259"/>
        <v>-45.881328939561598</v>
      </c>
      <c r="R121" s="204">
        <f t="shared" si="259"/>
        <v>-46.078787253610507</v>
      </c>
      <c r="S121" s="204">
        <f t="shared" si="259"/>
        <v>-46.290822908052249</v>
      </c>
      <c r="T121" s="204">
        <f t="shared" si="259"/>
        <v>-46.517171120562551</v>
      </c>
      <c r="U121" s="204">
        <f t="shared" si="259"/>
        <v>-46.75757191831444</v>
      </c>
      <c r="V121" s="204">
        <f t="shared" si="259"/>
        <v>-47.011770050618708</v>
      </c>
      <c r="W121" s="204">
        <f t="shared" si="259"/>
        <v>-47.279514903151124</v>
      </c>
      <c r="X121" s="204">
        <f t="shared" si="259"/>
        <v>-47.560560413737676</v>
      </c>
      <c r="Y121" s="204">
        <f t="shared" si="259"/>
        <v>-47.854664989669509</v>
      </c>
      <c r="Z121" s="204">
        <f t="shared" si="259"/>
        <v>-48.161591426519607</v>
      </c>
      <c r="AA121" s="204">
        <f t="shared" si="259"/>
        <v>-48.481106828434278</v>
      </c>
      <c r="AB121" s="204">
        <f t="shared" si="259"/>
        <v>-48.81298252987235</v>
      </c>
      <c r="AC121" s="204">
        <f t="shared" si="259"/>
        <v>-49.156994018765893</v>
      </c>
      <c r="AD121" s="204">
        <f t="shared" si="259"/>
        <v>-49.51292086107668</v>
      </c>
      <c r="AE121" s="204">
        <f t="shared" si="259"/>
        <v>-49.880546626723003</v>
      </c>
      <c r="AF121" s="204">
        <f t="shared" si="259"/>
        <v>-50.259658816851953</v>
      </c>
      <c r="AG121" s="204">
        <f t="shared" si="259"/>
        <v>-50.650048792432663</v>
      </c>
      <c r="AH121" s="204">
        <f t="shared" si="259"/>
        <v>-51.051511704146662</v>
      </c>
      <c r="AI121" s="204">
        <f t="shared" si="259"/>
        <v>-51.463846423551665</v>
      </c>
      <c r="AJ121" s="204">
        <f t="shared" si="259"/>
        <v>-51.886855475495707</v>
      </c>
      <c r="AK121" s="204">
        <f t="shared" si="259"/>
        <v>-52.320344971758878</v>
      </c>
      <c r="AL121" s="204">
        <f t="shared" si="259"/>
        <v>-52.76412454590043</v>
      </c>
      <c r="AM121" s="204">
        <f t="shared" si="259"/>
        <v>-53.218007289289282</v>
      </c>
      <c r="AN121" s="204">
        <f t="shared" si="259"/>
        <v>-53.681809688296511</v>
      </c>
      <c r="AO121" s="204">
        <f t="shared" si="259"/>
        <v>-54.155351562628589</v>
      </c>
      <c r="AP121" s="204">
        <f t="shared" si="259"/>
        <v>-54.638456004780849</v>
      </c>
      <c r="AQ121" s="204">
        <f t="shared" si="259"/>
        <v>-55.130949320590631</v>
      </c>
      <c r="AR121" s="204">
        <f t="shared" si="259"/>
        <v>-55.632660970870248</v>
      </c>
      <c r="AS121" s="204">
        <f t="shared" si="259"/>
        <v>-56.143423514100107</v>
      </c>
      <c r="AT121" s="204">
        <f t="shared" si="259"/>
        <v>-56.663072550162802</v>
      </c>
      <c r="AU121" s="204">
        <f t="shared" si="259"/>
        <v>-57.191446665099171</v>
      </c>
      <c r="AV121" s="204">
        <f t="shared" si="259"/>
        <v>-57.728387376867829</v>
      </c>
      <c r="AW121" s="204">
        <f t="shared" si="259"/>
        <v>-58.273739082089882</v>
      </c>
      <c r="AX121" s="204">
        <f t="shared" si="259"/>
        <v>-58.827349003761015</v>
      </c>
      <c r="AY121" s="204">
        <f t="shared" si="259"/>
        <v>-59.389067139913323</v>
      </c>
      <c r="AZ121" s="204">
        <f t="shared" si="259"/>
        <v>-59.95874621320965</v>
      </c>
      <c r="BA121" s="204">
        <f t="shared" si="259"/>
        <v>-60.53624162145347</v>
      </c>
      <c r="BB121" s="204">
        <f t="shared" si="259"/>
        <v>-61.121411388997728</v>
      </c>
      <c r="BC121" s="204">
        <f t="shared" si="259"/>
        <v>-61.714116119036262</v>
      </c>
      <c r="BD121" s="204">
        <f t="shared" si="259"/>
        <v>-62.314218946761883</v>
      </c>
      <c r="BE121" s="204">
        <f t="shared" si="259"/>
        <v>-62.921585493375147</v>
      </c>
      <c r="BF121" s="204">
        <f t="shared" si="259"/>
        <v>-63.536083820928674</v>
      </c>
      <c r="BG121" s="204">
        <f t="shared" si="259"/>
        <v>-64.157584387991548</v>
      </c>
      <c r="BH121" s="204">
        <f t="shared" si="259"/>
        <v>-64.785960006119055</v>
      </c>
      <c r="BI121" s="204">
        <f t="shared" si="259"/>
        <v>-65.421085797113165</v>
      </c>
      <c r="BJ121" s="204">
        <f t="shared" si="259"/>
        <v>-66.062839151059279</v>
      </c>
      <c r="BK121" s="204">
        <f t="shared" si="259"/>
        <v>-66.711099685125177</v>
      </c>
      <c r="BL121" s="204">
        <f t="shared" si="259"/>
        <v>-67.365749203108379</v>
      </c>
      <c r="BM121" s="204">
        <f t="shared" si="259"/>
        <v>-68.026671655718303</v>
      </c>
      <c r="BN121" s="204">
        <f t="shared" si="259"/>
        <v>-68.693753101579787</v>
      </c>
      <c r="BO121" s="204">
        <f t="shared" si="259"/>
        <v>-69.366881668945013</v>
      </c>
      <c r="BP121" s="204">
        <f t="shared" si="259"/>
        <v>-70.04594751810086</v>
      </c>
      <c r="BQ121" s="204">
        <f t="shared" si="259"/>
        <v>-70.730842804459073</v>
      </c>
      <c r="BR121" s="204">
        <f t="shared" si="259"/>
        <v>-71.421461642316928</v>
      </c>
      <c r="BS121" s="204">
        <f t="shared" si="259"/>
        <v>-72.117700069276026</v>
      </c>
      <c r="BT121" s="204">
        <f t="shared" ref="BT121:EE121" si="260">PV($F75,BT$9,1,0)+(PV($J$6,$N$5-(BT$9),1,0)/($J$6+1)^BT$9)</f>
        <v>-72.819456011307551</v>
      </c>
      <c r="BU121" s="204">
        <f t="shared" si="260"/>
        <v>-73.526629248451897</v>
      </c>
      <c r="BV121" s="204">
        <f t="shared" si="260"/>
        <v>-74.239121381141487</v>
      </c>
      <c r="BW121" s="204">
        <f t="shared" si="260"/>
        <v>-74.956835797135199</v>
      </c>
      <c r="BX121" s="204">
        <f t="shared" si="260"/>
        <v>-75.679677639053423</v>
      </c>
      <c r="BY121" s="204">
        <f t="shared" si="260"/>
        <v>-76.407553772502823</v>
      </c>
      <c r="BZ121" s="204">
        <f t="shared" si="260"/>
        <v>-77.140372754780103</v>
      </c>
      <c r="CA121" s="204">
        <f t="shared" si="260"/>
        <v>-77.878044804144153</v>
      </c>
      <c r="CB121" s="204">
        <f t="shared" si="260"/>
        <v>-78.620481769646403</v>
      </c>
      <c r="CC121" s="204">
        <f t="shared" si="260"/>
        <v>-79.36759710150919</v>
      </c>
      <c r="CD121" s="204">
        <f t="shared" si="260"/>
        <v>-80.119305822042122</v>
      </c>
      <c r="CE121" s="204">
        <f t="shared" si="260"/>
        <v>-80.87552449708673</v>
      </c>
      <c r="CF121" s="204">
        <f t="shared" si="260"/>
        <v>-81.636171207979814</v>
      </c>
      <c r="CG121" s="204">
        <f t="shared" si="260"/>
        <v>-82.401165524026041</v>
      </c>
      <c r="CH121" s="204">
        <f t="shared" si="260"/>
        <v>-83.170428475470544</v>
      </c>
      <c r="CI121" s="204">
        <f t="shared" si="260"/>
        <v>-83.943882526962454</v>
      </c>
      <c r="CJ121" s="204">
        <f t="shared" si="260"/>
        <v>-84.721451551500408</v>
      </c>
      <c r="CK121" s="204">
        <f t="shared" si="260"/>
        <v>-85.503060804851359</v>
      </c>
      <c r="CL121" s="204">
        <f t="shared" si="260"/>
        <v>-86.288636900434042</v>
      </c>
      <c r="CM121" s="204">
        <f t="shared" si="260"/>
        <v>-87.07810778465857</v>
      </c>
      <c r="CN121" s="204">
        <f t="shared" si="260"/>
        <v>-87.871402712714072</v>
      </c>
      <c r="CO121" s="204">
        <f t="shared" si="260"/>
        <v>-88.668452224796056</v>
      </c>
      <c r="CP121" s="204">
        <f t="shared" si="260"/>
        <v>-89.469188122765601</v>
      </c>
      <c r="CQ121" s="204">
        <f t="shared" si="260"/>
        <v>-90.273543447232512</v>
      </c>
      <c r="CR121" s="204">
        <f t="shared" si="260"/>
        <v>-91.081452455054702</v>
      </c>
      <c r="CS121" s="204">
        <f t="shared" si="260"/>
        <v>-91.892850597246365</v>
      </c>
      <c r="CT121" s="204">
        <f t="shared" si="260"/>
        <v>-92.707674497287258</v>
      </c>
      <c r="CU121" s="204">
        <f t="shared" si="260"/>
        <v>-93.525861929826178</v>
      </c>
      <c r="CV121" s="204">
        <f t="shared" si="260"/>
        <v>-94.347351799771133</v>
      </c>
      <c r="CW121" s="204">
        <f t="shared" si="260"/>
        <v>-95.172084121759283</v>
      </c>
      <c r="CX121" s="204">
        <f t="shared" si="260"/>
        <v>-96</v>
      </c>
      <c r="CY121" s="204">
        <f t="shared" si="260"/>
        <v>-96</v>
      </c>
      <c r="CZ121" s="204">
        <f t="shared" si="260"/>
        <v>-96</v>
      </c>
      <c r="DA121" s="204">
        <f t="shared" si="260"/>
        <v>-96</v>
      </c>
      <c r="DB121" s="204">
        <f t="shared" si="260"/>
        <v>-96</v>
      </c>
      <c r="DC121" s="204">
        <f t="shared" si="260"/>
        <v>-96</v>
      </c>
      <c r="DD121" s="204">
        <f t="shared" si="260"/>
        <v>-96</v>
      </c>
      <c r="DE121" s="204">
        <f t="shared" si="260"/>
        <v>-96</v>
      </c>
      <c r="DF121" s="204">
        <f t="shared" si="260"/>
        <v>-96</v>
      </c>
      <c r="DG121" s="204">
        <f t="shared" si="260"/>
        <v>-96</v>
      </c>
      <c r="DH121" s="204">
        <f t="shared" si="260"/>
        <v>-96</v>
      </c>
      <c r="DI121" s="204">
        <f t="shared" si="260"/>
        <v>-96</v>
      </c>
      <c r="DJ121" s="204">
        <f t="shared" si="260"/>
        <v>-96</v>
      </c>
      <c r="DK121" s="204">
        <f t="shared" si="260"/>
        <v>-96</v>
      </c>
      <c r="DL121" s="204">
        <f t="shared" si="260"/>
        <v>-96</v>
      </c>
      <c r="DM121" s="204">
        <f t="shared" si="260"/>
        <v>-96</v>
      </c>
      <c r="DN121" s="204">
        <f t="shared" si="260"/>
        <v>-96</v>
      </c>
      <c r="DO121" s="204">
        <f t="shared" si="260"/>
        <v>-96</v>
      </c>
      <c r="DP121" s="204">
        <f t="shared" si="260"/>
        <v>-96</v>
      </c>
      <c r="DQ121" s="204">
        <f t="shared" si="260"/>
        <v>-96</v>
      </c>
      <c r="DR121" s="204">
        <f t="shared" si="260"/>
        <v>-96</v>
      </c>
      <c r="DS121" s="204">
        <f t="shared" si="260"/>
        <v>-96</v>
      </c>
      <c r="DT121" s="204">
        <f t="shared" si="260"/>
        <v>-96</v>
      </c>
      <c r="DU121" s="204">
        <f t="shared" si="260"/>
        <v>-96</v>
      </c>
      <c r="DV121" s="204">
        <f t="shared" si="260"/>
        <v>-96</v>
      </c>
      <c r="DW121" s="204">
        <f t="shared" si="260"/>
        <v>-96</v>
      </c>
      <c r="DX121" s="204">
        <f t="shared" si="260"/>
        <v>-96</v>
      </c>
      <c r="DY121" s="204">
        <f t="shared" si="260"/>
        <v>-96</v>
      </c>
      <c r="DZ121" s="204">
        <f t="shared" si="260"/>
        <v>-96</v>
      </c>
      <c r="EA121" s="204">
        <f t="shared" si="260"/>
        <v>-96</v>
      </c>
      <c r="EB121" s="204">
        <f t="shared" si="260"/>
        <v>-96</v>
      </c>
      <c r="EC121" s="204">
        <f t="shared" si="260"/>
        <v>-96</v>
      </c>
      <c r="ED121" s="204">
        <f t="shared" si="260"/>
        <v>-96</v>
      </c>
      <c r="EE121" s="204">
        <f t="shared" si="260"/>
        <v>-96</v>
      </c>
      <c r="EF121" s="204">
        <f t="shared" ref="EF121:ET121" si="261">PV($F75,EF$9,1,0)+(PV($J$6,$N$5-(EF$9),1,0)/($J$6+1)^EF$9)</f>
        <v>-96</v>
      </c>
      <c r="EG121" s="204">
        <f t="shared" si="261"/>
        <v>-96</v>
      </c>
      <c r="EH121" s="204">
        <f t="shared" si="261"/>
        <v>-96</v>
      </c>
      <c r="EI121" s="204">
        <f t="shared" si="261"/>
        <v>-96</v>
      </c>
      <c r="EJ121" s="204">
        <f t="shared" si="261"/>
        <v>-96</v>
      </c>
      <c r="EK121" s="204">
        <f t="shared" si="261"/>
        <v>-96</v>
      </c>
      <c r="EL121" s="204">
        <f t="shared" si="261"/>
        <v>-96</v>
      </c>
      <c r="EM121" s="204">
        <f t="shared" si="261"/>
        <v>-96</v>
      </c>
      <c r="EN121" s="204">
        <f t="shared" si="261"/>
        <v>-96</v>
      </c>
      <c r="EO121" s="204">
        <f t="shared" si="261"/>
        <v>-96</v>
      </c>
      <c r="EP121" s="204">
        <f t="shared" si="261"/>
        <v>-96</v>
      </c>
      <c r="EQ121" s="204">
        <f t="shared" si="261"/>
        <v>-96</v>
      </c>
      <c r="ER121" s="204">
        <f t="shared" si="261"/>
        <v>-96</v>
      </c>
      <c r="ES121" s="204">
        <f t="shared" si="261"/>
        <v>-96</v>
      </c>
      <c r="ET121" s="204">
        <f t="shared" si="261"/>
        <v>-96</v>
      </c>
      <c r="FF121" s="6" t="s">
        <v>328</v>
      </c>
      <c r="FG121" s="696">
        <v>2.5000000000000001E-2</v>
      </c>
      <c r="FH121" s="696">
        <v>120</v>
      </c>
      <c r="FI121" s="696">
        <v>2.0899999999999998E-2</v>
      </c>
      <c r="FJ121" s="255">
        <v>1.4499999999999999E-2</v>
      </c>
      <c r="FK121" s="71">
        <f t="shared" si="126"/>
        <v>2.5000000000000006E-4</v>
      </c>
      <c r="FL121" t="e">
        <f>VLOOKUP(FF121,'SIMULADOR COM SALDO'!$BX$22:$CK$1000,13,FALSE)</f>
        <v>#N/A</v>
      </c>
    </row>
    <row r="122" spans="7:168" x14ac:dyDescent="0.25">
      <c r="G122" s="205">
        <f t="shared" ref="G122:G150" si="262">PV($F76,G$9,1,0)+(PV($J$6,$N$5-(G$9),1,0)/($J$6+1))^G$9</f>
        <v>-44.770373601250576</v>
      </c>
      <c r="H122" s="204">
        <f t="shared" ref="H122:BS122" si="263">PV($F76,H$9,1,0)+(PV($J$6,$N$5-(H$9),1,0)/($J$6+1)^H$9)</f>
        <v>-44.806371604802436</v>
      </c>
      <c r="I122" s="204">
        <f t="shared" si="263"/>
        <v>-44.859879708437063</v>
      </c>
      <c r="J122" s="204">
        <f t="shared" si="263"/>
        <v>-44.930579859281075</v>
      </c>
      <c r="K122" s="204">
        <f t="shared" si="263"/>
        <v>-45.018159781562872</v>
      </c>
      <c r="L122" s="204">
        <f t="shared" si="263"/>
        <v>-45.122312871677551</v>
      </c>
      <c r="M122" s="204">
        <f t="shared" si="263"/>
        <v>-45.24273809515784</v>
      </c>
      <c r="N122" s="204">
        <f t="shared" si="263"/>
        <v>-45.379139885516487</v>
      </c>
      <c r="O122" s="204">
        <f t="shared" si="263"/>
        <v>-45.53122804492606</v>
      </c>
      <c r="P122" s="204">
        <f t="shared" si="263"/>
        <v>-45.698717646702761</v>
      </c>
      <c r="Q122" s="204">
        <f t="shared" si="263"/>
        <v>-45.881328939561598</v>
      </c>
      <c r="R122" s="204">
        <f t="shared" si="263"/>
        <v>-46.078787253610507</v>
      </c>
      <c r="S122" s="204">
        <f t="shared" si="263"/>
        <v>-46.290822908052249</v>
      </c>
      <c r="T122" s="204">
        <f t="shared" si="263"/>
        <v>-46.517171120562551</v>
      </c>
      <c r="U122" s="204">
        <f t="shared" si="263"/>
        <v>-46.75757191831444</v>
      </c>
      <c r="V122" s="204">
        <f t="shared" si="263"/>
        <v>-47.011770050618708</v>
      </c>
      <c r="W122" s="204">
        <f t="shared" si="263"/>
        <v>-47.279514903151124</v>
      </c>
      <c r="X122" s="204">
        <f t="shared" si="263"/>
        <v>-47.560560413737676</v>
      </c>
      <c r="Y122" s="204">
        <f t="shared" si="263"/>
        <v>-47.854664989669509</v>
      </c>
      <c r="Z122" s="204">
        <f t="shared" si="263"/>
        <v>-48.161591426519607</v>
      </c>
      <c r="AA122" s="204">
        <f t="shared" si="263"/>
        <v>-48.481106828434278</v>
      </c>
      <c r="AB122" s="204">
        <f t="shared" si="263"/>
        <v>-48.81298252987235</v>
      </c>
      <c r="AC122" s="204">
        <f t="shared" si="263"/>
        <v>-49.156994018765893</v>
      </c>
      <c r="AD122" s="204">
        <f t="shared" si="263"/>
        <v>-49.51292086107668</v>
      </c>
      <c r="AE122" s="204">
        <f t="shared" si="263"/>
        <v>-49.880546626723003</v>
      </c>
      <c r="AF122" s="204">
        <f t="shared" si="263"/>
        <v>-50.259658816851953</v>
      </c>
      <c r="AG122" s="204">
        <f t="shared" si="263"/>
        <v>-50.650048792432663</v>
      </c>
      <c r="AH122" s="204">
        <f t="shared" si="263"/>
        <v>-51.051511704146662</v>
      </c>
      <c r="AI122" s="204">
        <f t="shared" si="263"/>
        <v>-51.463846423551665</v>
      </c>
      <c r="AJ122" s="204">
        <f t="shared" si="263"/>
        <v>-51.886855475495707</v>
      </c>
      <c r="AK122" s="204">
        <f t="shared" si="263"/>
        <v>-52.320344971758878</v>
      </c>
      <c r="AL122" s="204">
        <f t="shared" si="263"/>
        <v>-52.76412454590043</v>
      </c>
      <c r="AM122" s="204">
        <f t="shared" si="263"/>
        <v>-53.218007289289282</v>
      </c>
      <c r="AN122" s="204">
        <f t="shared" si="263"/>
        <v>-53.681809688296511</v>
      </c>
      <c r="AO122" s="204">
        <f t="shared" si="263"/>
        <v>-54.155351562628589</v>
      </c>
      <c r="AP122" s="204">
        <f t="shared" si="263"/>
        <v>-54.638456004780849</v>
      </c>
      <c r="AQ122" s="204">
        <f t="shared" si="263"/>
        <v>-55.130949320590631</v>
      </c>
      <c r="AR122" s="204">
        <f t="shared" si="263"/>
        <v>-55.632660970870248</v>
      </c>
      <c r="AS122" s="204">
        <f t="shared" si="263"/>
        <v>-56.143423514100107</v>
      </c>
      <c r="AT122" s="204">
        <f t="shared" si="263"/>
        <v>-56.663072550162802</v>
      </c>
      <c r="AU122" s="204">
        <f t="shared" si="263"/>
        <v>-57.191446665099171</v>
      </c>
      <c r="AV122" s="204">
        <f t="shared" si="263"/>
        <v>-57.728387376867829</v>
      </c>
      <c r="AW122" s="204">
        <f t="shared" si="263"/>
        <v>-58.273739082089882</v>
      </c>
      <c r="AX122" s="204">
        <f t="shared" si="263"/>
        <v>-58.827349003761015</v>
      </c>
      <c r="AY122" s="204">
        <f t="shared" si="263"/>
        <v>-59.389067139913323</v>
      </c>
      <c r="AZ122" s="204">
        <f t="shared" si="263"/>
        <v>-59.95874621320965</v>
      </c>
      <c r="BA122" s="204">
        <f t="shared" si="263"/>
        <v>-60.53624162145347</v>
      </c>
      <c r="BB122" s="204">
        <f t="shared" si="263"/>
        <v>-61.121411388997728</v>
      </c>
      <c r="BC122" s="204">
        <f t="shared" si="263"/>
        <v>-61.714116119036262</v>
      </c>
      <c r="BD122" s="204">
        <f t="shared" si="263"/>
        <v>-62.314218946761883</v>
      </c>
      <c r="BE122" s="204">
        <f t="shared" si="263"/>
        <v>-62.921585493375147</v>
      </c>
      <c r="BF122" s="204">
        <f t="shared" si="263"/>
        <v>-63.536083820928674</v>
      </c>
      <c r="BG122" s="204">
        <f t="shared" si="263"/>
        <v>-64.157584387991548</v>
      </c>
      <c r="BH122" s="204">
        <f t="shared" si="263"/>
        <v>-64.785960006119055</v>
      </c>
      <c r="BI122" s="204">
        <f t="shared" si="263"/>
        <v>-65.421085797113165</v>
      </c>
      <c r="BJ122" s="204">
        <f t="shared" si="263"/>
        <v>-66.062839151059279</v>
      </c>
      <c r="BK122" s="204">
        <f t="shared" si="263"/>
        <v>-66.711099685125177</v>
      </c>
      <c r="BL122" s="204">
        <f t="shared" si="263"/>
        <v>-67.365749203108379</v>
      </c>
      <c r="BM122" s="204">
        <f t="shared" si="263"/>
        <v>-68.026671655718303</v>
      </c>
      <c r="BN122" s="204">
        <f t="shared" si="263"/>
        <v>-68.693753101579787</v>
      </c>
      <c r="BO122" s="204">
        <f t="shared" si="263"/>
        <v>-69.366881668945013</v>
      </c>
      <c r="BP122" s="204">
        <f t="shared" si="263"/>
        <v>-70.04594751810086</v>
      </c>
      <c r="BQ122" s="204">
        <f t="shared" si="263"/>
        <v>-70.730842804459073</v>
      </c>
      <c r="BR122" s="204">
        <f t="shared" si="263"/>
        <v>-71.421461642316928</v>
      </c>
      <c r="BS122" s="204">
        <f t="shared" si="263"/>
        <v>-72.117700069276026</v>
      </c>
      <c r="BT122" s="204">
        <f t="shared" ref="BT122:EE122" si="264">PV($F76,BT$9,1,0)+(PV($J$6,$N$5-(BT$9),1,0)/($J$6+1)^BT$9)</f>
        <v>-72.819456011307551</v>
      </c>
      <c r="BU122" s="204">
        <f t="shared" si="264"/>
        <v>-73.526629248451897</v>
      </c>
      <c r="BV122" s="204">
        <f t="shared" si="264"/>
        <v>-74.239121381141487</v>
      </c>
      <c r="BW122" s="204">
        <f t="shared" si="264"/>
        <v>-74.956835797135199</v>
      </c>
      <c r="BX122" s="204">
        <f t="shared" si="264"/>
        <v>-75.679677639053423</v>
      </c>
      <c r="BY122" s="204">
        <f t="shared" si="264"/>
        <v>-76.407553772502823</v>
      </c>
      <c r="BZ122" s="204">
        <f t="shared" si="264"/>
        <v>-77.140372754780103</v>
      </c>
      <c r="CA122" s="204">
        <f t="shared" si="264"/>
        <v>-77.878044804144153</v>
      </c>
      <c r="CB122" s="204">
        <f t="shared" si="264"/>
        <v>-78.620481769646403</v>
      </c>
      <c r="CC122" s="204">
        <f t="shared" si="264"/>
        <v>-79.36759710150919</v>
      </c>
      <c r="CD122" s="204">
        <f t="shared" si="264"/>
        <v>-80.119305822042122</v>
      </c>
      <c r="CE122" s="204">
        <f t="shared" si="264"/>
        <v>-80.87552449708673</v>
      </c>
      <c r="CF122" s="204">
        <f t="shared" si="264"/>
        <v>-81.636171207979814</v>
      </c>
      <c r="CG122" s="204">
        <f t="shared" si="264"/>
        <v>-82.401165524026041</v>
      </c>
      <c r="CH122" s="204">
        <f t="shared" si="264"/>
        <v>-83.170428475470544</v>
      </c>
      <c r="CI122" s="204">
        <f t="shared" si="264"/>
        <v>-83.943882526962454</v>
      </c>
      <c r="CJ122" s="204">
        <f t="shared" si="264"/>
        <v>-84.721451551500408</v>
      </c>
      <c r="CK122" s="204">
        <f t="shared" si="264"/>
        <v>-85.503060804851359</v>
      </c>
      <c r="CL122" s="204">
        <f t="shared" si="264"/>
        <v>-86.288636900434042</v>
      </c>
      <c r="CM122" s="204">
        <f t="shared" si="264"/>
        <v>-87.07810778465857</v>
      </c>
      <c r="CN122" s="204">
        <f t="shared" si="264"/>
        <v>-87.871402712714072</v>
      </c>
      <c r="CO122" s="204">
        <f t="shared" si="264"/>
        <v>-88.668452224796056</v>
      </c>
      <c r="CP122" s="204">
        <f t="shared" si="264"/>
        <v>-89.469188122765601</v>
      </c>
      <c r="CQ122" s="204">
        <f t="shared" si="264"/>
        <v>-90.273543447232512</v>
      </c>
      <c r="CR122" s="204">
        <f t="shared" si="264"/>
        <v>-91.081452455054702</v>
      </c>
      <c r="CS122" s="204">
        <f t="shared" si="264"/>
        <v>-91.892850597246365</v>
      </c>
      <c r="CT122" s="204">
        <f t="shared" si="264"/>
        <v>-92.707674497287258</v>
      </c>
      <c r="CU122" s="204">
        <f t="shared" si="264"/>
        <v>-93.525861929826178</v>
      </c>
      <c r="CV122" s="204">
        <f t="shared" si="264"/>
        <v>-94.347351799771133</v>
      </c>
      <c r="CW122" s="204">
        <f t="shared" si="264"/>
        <v>-95.172084121759283</v>
      </c>
      <c r="CX122" s="204">
        <f t="shared" si="264"/>
        <v>-96</v>
      </c>
      <c r="CY122" s="204">
        <f t="shared" si="264"/>
        <v>-96</v>
      </c>
      <c r="CZ122" s="204">
        <f t="shared" si="264"/>
        <v>-96</v>
      </c>
      <c r="DA122" s="204">
        <f t="shared" si="264"/>
        <v>-96</v>
      </c>
      <c r="DB122" s="204">
        <f t="shared" si="264"/>
        <v>-96</v>
      </c>
      <c r="DC122" s="204">
        <f t="shared" si="264"/>
        <v>-96</v>
      </c>
      <c r="DD122" s="204">
        <f t="shared" si="264"/>
        <v>-96</v>
      </c>
      <c r="DE122" s="204">
        <f t="shared" si="264"/>
        <v>-96</v>
      </c>
      <c r="DF122" s="204">
        <f t="shared" si="264"/>
        <v>-96</v>
      </c>
      <c r="DG122" s="204">
        <f t="shared" si="264"/>
        <v>-96</v>
      </c>
      <c r="DH122" s="204">
        <f t="shared" si="264"/>
        <v>-96</v>
      </c>
      <c r="DI122" s="204">
        <f t="shared" si="264"/>
        <v>-96</v>
      </c>
      <c r="DJ122" s="204">
        <f t="shared" si="264"/>
        <v>-96</v>
      </c>
      <c r="DK122" s="204">
        <f t="shared" si="264"/>
        <v>-96</v>
      </c>
      <c r="DL122" s="204">
        <f t="shared" si="264"/>
        <v>-96</v>
      </c>
      <c r="DM122" s="204">
        <f t="shared" si="264"/>
        <v>-96</v>
      </c>
      <c r="DN122" s="204">
        <f t="shared" si="264"/>
        <v>-96</v>
      </c>
      <c r="DO122" s="204">
        <f t="shared" si="264"/>
        <v>-96</v>
      </c>
      <c r="DP122" s="204">
        <f t="shared" si="264"/>
        <v>-96</v>
      </c>
      <c r="DQ122" s="204">
        <f t="shared" si="264"/>
        <v>-96</v>
      </c>
      <c r="DR122" s="204">
        <f t="shared" si="264"/>
        <v>-96</v>
      </c>
      <c r="DS122" s="204">
        <f t="shared" si="264"/>
        <v>-96</v>
      </c>
      <c r="DT122" s="204">
        <f t="shared" si="264"/>
        <v>-96</v>
      </c>
      <c r="DU122" s="204">
        <f t="shared" si="264"/>
        <v>-96</v>
      </c>
      <c r="DV122" s="204">
        <f t="shared" si="264"/>
        <v>-96</v>
      </c>
      <c r="DW122" s="204">
        <f t="shared" si="264"/>
        <v>-96</v>
      </c>
      <c r="DX122" s="204">
        <f t="shared" si="264"/>
        <v>-96</v>
      </c>
      <c r="DY122" s="204">
        <f t="shared" si="264"/>
        <v>-96</v>
      </c>
      <c r="DZ122" s="204">
        <f t="shared" si="264"/>
        <v>-96</v>
      </c>
      <c r="EA122" s="204">
        <f t="shared" si="264"/>
        <v>-96</v>
      </c>
      <c r="EB122" s="204">
        <f t="shared" si="264"/>
        <v>-96</v>
      </c>
      <c r="EC122" s="204">
        <f t="shared" si="264"/>
        <v>-96</v>
      </c>
      <c r="ED122" s="204">
        <f t="shared" si="264"/>
        <v>-96</v>
      </c>
      <c r="EE122" s="204">
        <f t="shared" si="264"/>
        <v>-96</v>
      </c>
      <c r="EF122" s="204">
        <f t="shared" ref="EF122:ET122" si="265">PV($F76,EF$9,1,0)+(PV($J$6,$N$5-(EF$9),1,0)/($J$6+1)^EF$9)</f>
        <v>-96</v>
      </c>
      <c r="EG122" s="204">
        <f t="shared" si="265"/>
        <v>-96</v>
      </c>
      <c r="EH122" s="204">
        <f t="shared" si="265"/>
        <v>-96</v>
      </c>
      <c r="EI122" s="204">
        <f t="shared" si="265"/>
        <v>-96</v>
      </c>
      <c r="EJ122" s="204">
        <f t="shared" si="265"/>
        <v>-96</v>
      </c>
      <c r="EK122" s="204">
        <f t="shared" si="265"/>
        <v>-96</v>
      </c>
      <c r="EL122" s="204">
        <f t="shared" si="265"/>
        <v>-96</v>
      </c>
      <c r="EM122" s="204">
        <f t="shared" si="265"/>
        <v>-96</v>
      </c>
      <c r="EN122" s="204">
        <f t="shared" si="265"/>
        <v>-96</v>
      </c>
      <c r="EO122" s="204">
        <f t="shared" si="265"/>
        <v>-96</v>
      </c>
      <c r="EP122" s="204">
        <f t="shared" si="265"/>
        <v>-96</v>
      </c>
      <c r="EQ122" s="204">
        <f t="shared" si="265"/>
        <v>-96</v>
      </c>
      <c r="ER122" s="204">
        <f t="shared" si="265"/>
        <v>-96</v>
      </c>
      <c r="ES122" s="204">
        <f t="shared" si="265"/>
        <v>-96</v>
      </c>
      <c r="ET122" s="204">
        <f t="shared" si="265"/>
        <v>-96</v>
      </c>
      <c r="FF122" s="6" t="s">
        <v>332</v>
      </c>
      <c r="FG122" s="696">
        <v>2.3900000000000001E-2</v>
      </c>
      <c r="FH122" s="696">
        <v>120</v>
      </c>
      <c r="FI122" s="696">
        <v>2.0899999999999998E-2</v>
      </c>
      <c r="FJ122" s="255">
        <v>1.6E-2</v>
      </c>
      <c r="FK122" s="71">
        <f t="shared" si="126"/>
        <v>1.8809523809523813E-4</v>
      </c>
      <c r="FL122" t="e">
        <f>VLOOKUP(FF122,'SIMULADOR COM SALDO'!$BX$22:$CK$1000,13,FALSE)</f>
        <v>#N/A</v>
      </c>
    </row>
    <row r="123" spans="7:168" x14ac:dyDescent="0.25">
      <c r="G123" s="205">
        <f t="shared" si="262"/>
        <v>-44.770373601250576</v>
      </c>
      <c r="H123" s="204">
        <f t="shared" ref="H123:BS123" si="266">PV($F77,H$9,1,0)+(PV($J$6,$N$5-(H$9),1,0)/($J$6+1)^H$9)</f>
        <v>-44.806371604802436</v>
      </c>
      <c r="I123" s="204">
        <f t="shared" si="266"/>
        <v>-44.859879708437063</v>
      </c>
      <c r="J123" s="204">
        <f t="shared" si="266"/>
        <v>-44.930579859281075</v>
      </c>
      <c r="K123" s="204">
        <f t="shared" si="266"/>
        <v>-45.018159781562872</v>
      </c>
      <c r="L123" s="204">
        <f t="shared" si="266"/>
        <v>-45.122312871677551</v>
      </c>
      <c r="M123" s="204">
        <f t="shared" si="266"/>
        <v>-45.24273809515784</v>
      </c>
      <c r="N123" s="204">
        <f t="shared" si="266"/>
        <v>-45.379139885516487</v>
      </c>
      <c r="O123" s="204">
        <f t="shared" si="266"/>
        <v>-45.53122804492606</v>
      </c>
      <c r="P123" s="204">
        <f t="shared" si="266"/>
        <v>-45.698717646702761</v>
      </c>
      <c r="Q123" s="204">
        <f t="shared" si="266"/>
        <v>-45.881328939561598</v>
      </c>
      <c r="R123" s="204">
        <f t="shared" si="266"/>
        <v>-46.078787253610507</v>
      </c>
      <c r="S123" s="204">
        <f t="shared" si="266"/>
        <v>-46.290822908052249</v>
      </c>
      <c r="T123" s="204">
        <f t="shared" si="266"/>
        <v>-46.517171120562551</v>
      </c>
      <c r="U123" s="204">
        <f t="shared" si="266"/>
        <v>-46.75757191831444</v>
      </c>
      <c r="V123" s="204">
        <f t="shared" si="266"/>
        <v>-47.011770050618708</v>
      </c>
      <c r="W123" s="204">
        <f t="shared" si="266"/>
        <v>-47.279514903151124</v>
      </c>
      <c r="X123" s="204">
        <f t="shared" si="266"/>
        <v>-47.560560413737676</v>
      </c>
      <c r="Y123" s="204">
        <f t="shared" si="266"/>
        <v>-47.854664989669509</v>
      </c>
      <c r="Z123" s="204">
        <f t="shared" si="266"/>
        <v>-48.161591426519607</v>
      </c>
      <c r="AA123" s="204">
        <f t="shared" si="266"/>
        <v>-48.481106828434278</v>
      </c>
      <c r="AB123" s="204">
        <f t="shared" si="266"/>
        <v>-48.81298252987235</v>
      </c>
      <c r="AC123" s="204">
        <f t="shared" si="266"/>
        <v>-49.156994018765893</v>
      </c>
      <c r="AD123" s="204">
        <f t="shared" si="266"/>
        <v>-49.51292086107668</v>
      </c>
      <c r="AE123" s="204">
        <f t="shared" si="266"/>
        <v>-49.880546626723003</v>
      </c>
      <c r="AF123" s="204">
        <f t="shared" si="266"/>
        <v>-50.259658816851953</v>
      </c>
      <c r="AG123" s="204">
        <f t="shared" si="266"/>
        <v>-50.650048792432663</v>
      </c>
      <c r="AH123" s="204">
        <f t="shared" si="266"/>
        <v>-51.051511704146662</v>
      </c>
      <c r="AI123" s="204">
        <f t="shared" si="266"/>
        <v>-51.463846423551665</v>
      </c>
      <c r="AJ123" s="204">
        <f t="shared" si="266"/>
        <v>-51.886855475495707</v>
      </c>
      <c r="AK123" s="204">
        <f t="shared" si="266"/>
        <v>-52.320344971758878</v>
      </c>
      <c r="AL123" s="204">
        <f t="shared" si="266"/>
        <v>-52.76412454590043</v>
      </c>
      <c r="AM123" s="204">
        <f t="shared" si="266"/>
        <v>-53.218007289289282</v>
      </c>
      <c r="AN123" s="204">
        <f t="shared" si="266"/>
        <v>-53.681809688296511</v>
      </c>
      <c r="AO123" s="204">
        <f t="shared" si="266"/>
        <v>-54.155351562628589</v>
      </c>
      <c r="AP123" s="204">
        <f t="shared" si="266"/>
        <v>-54.638456004780849</v>
      </c>
      <c r="AQ123" s="204">
        <f t="shared" si="266"/>
        <v>-55.130949320590631</v>
      </c>
      <c r="AR123" s="204">
        <f t="shared" si="266"/>
        <v>-55.632660970870248</v>
      </c>
      <c r="AS123" s="204">
        <f t="shared" si="266"/>
        <v>-56.143423514100107</v>
      </c>
      <c r="AT123" s="204">
        <f t="shared" si="266"/>
        <v>-56.663072550162802</v>
      </c>
      <c r="AU123" s="204">
        <f t="shared" si="266"/>
        <v>-57.191446665099171</v>
      </c>
      <c r="AV123" s="204">
        <f t="shared" si="266"/>
        <v>-57.728387376867829</v>
      </c>
      <c r="AW123" s="204">
        <f t="shared" si="266"/>
        <v>-58.273739082089882</v>
      </c>
      <c r="AX123" s="204">
        <f t="shared" si="266"/>
        <v>-58.827349003761015</v>
      </c>
      <c r="AY123" s="204">
        <f t="shared" si="266"/>
        <v>-59.389067139913323</v>
      </c>
      <c r="AZ123" s="204">
        <f t="shared" si="266"/>
        <v>-59.95874621320965</v>
      </c>
      <c r="BA123" s="204">
        <f t="shared" si="266"/>
        <v>-60.53624162145347</v>
      </c>
      <c r="BB123" s="204">
        <f t="shared" si="266"/>
        <v>-61.121411388997728</v>
      </c>
      <c r="BC123" s="204">
        <f t="shared" si="266"/>
        <v>-61.714116119036262</v>
      </c>
      <c r="BD123" s="204">
        <f t="shared" si="266"/>
        <v>-62.314218946761883</v>
      </c>
      <c r="BE123" s="204">
        <f t="shared" si="266"/>
        <v>-62.921585493375147</v>
      </c>
      <c r="BF123" s="204">
        <f t="shared" si="266"/>
        <v>-63.536083820928674</v>
      </c>
      <c r="BG123" s="204">
        <f t="shared" si="266"/>
        <v>-64.157584387991548</v>
      </c>
      <c r="BH123" s="204">
        <f t="shared" si="266"/>
        <v>-64.785960006119055</v>
      </c>
      <c r="BI123" s="204">
        <f t="shared" si="266"/>
        <v>-65.421085797113165</v>
      </c>
      <c r="BJ123" s="204">
        <f t="shared" si="266"/>
        <v>-66.062839151059279</v>
      </c>
      <c r="BK123" s="204">
        <f t="shared" si="266"/>
        <v>-66.711099685125177</v>
      </c>
      <c r="BL123" s="204">
        <f t="shared" si="266"/>
        <v>-67.365749203108379</v>
      </c>
      <c r="BM123" s="204">
        <f t="shared" si="266"/>
        <v>-68.026671655718303</v>
      </c>
      <c r="BN123" s="204">
        <f t="shared" si="266"/>
        <v>-68.693753101579787</v>
      </c>
      <c r="BO123" s="204">
        <f t="shared" si="266"/>
        <v>-69.366881668945013</v>
      </c>
      <c r="BP123" s="204">
        <f t="shared" si="266"/>
        <v>-70.04594751810086</v>
      </c>
      <c r="BQ123" s="204">
        <f t="shared" si="266"/>
        <v>-70.730842804459073</v>
      </c>
      <c r="BR123" s="204">
        <f t="shared" si="266"/>
        <v>-71.421461642316928</v>
      </c>
      <c r="BS123" s="204">
        <f t="shared" si="266"/>
        <v>-72.117700069276026</v>
      </c>
      <c r="BT123" s="204">
        <f t="shared" ref="BT123:EE123" si="267">PV($F77,BT$9,1,0)+(PV($J$6,$N$5-(BT$9),1,0)/($J$6+1)^BT$9)</f>
        <v>-72.819456011307551</v>
      </c>
      <c r="BU123" s="204">
        <f t="shared" si="267"/>
        <v>-73.526629248451897</v>
      </c>
      <c r="BV123" s="204">
        <f t="shared" si="267"/>
        <v>-74.239121381141487</v>
      </c>
      <c r="BW123" s="204">
        <f t="shared" si="267"/>
        <v>-74.956835797135199</v>
      </c>
      <c r="BX123" s="204">
        <f t="shared" si="267"/>
        <v>-75.679677639053423</v>
      </c>
      <c r="BY123" s="204">
        <f t="shared" si="267"/>
        <v>-76.407553772502823</v>
      </c>
      <c r="BZ123" s="204">
        <f t="shared" si="267"/>
        <v>-77.140372754780103</v>
      </c>
      <c r="CA123" s="204">
        <f t="shared" si="267"/>
        <v>-77.878044804144153</v>
      </c>
      <c r="CB123" s="204">
        <f t="shared" si="267"/>
        <v>-78.620481769646403</v>
      </c>
      <c r="CC123" s="204">
        <f t="shared" si="267"/>
        <v>-79.36759710150919</v>
      </c>
      <c r="CD123" s="204">
        <f t="shared" si="267"/>
        <v>-80.119305822042122</v>
      </c>
      <c r="CE123" s="204">
        <f t="shared" si="267"/>
        <v>-80.87552449708673</v>
      </c>
      <c r="CF123" s="204">
        <f t="shared" si="267"/>
        <v>-81.636171207979814</v>
      </c>
      <c r="CG123" s="204">
        <f t="shared" si="267"/>
        <v>-82.401165524026041</v>
      </c>
      <c r="CH123" s="204">
        <f t="shared" si="267"/>
        <v>-83.170428475470544</v>
      </c>
      <c r="CI123" s="204">
        <f t="shared" si="267"/>
        <v>-83.943882526962454</v>
      </c>
      <c r="CJ123" s="204">
        <f t="shared" si="267"/>
        <v>-84.721451551500408</v>
      </c>
      <c r="CK123" s="204">
        <f t="shared" si="267"/>
        <v>-85.503060804851359</v>
      </c>
      <c r="CL123" s="204">
        <f t="shared" si="267"/>
        <v>-86.288636900434042</v>
      </c>
      <c r="CM123" s="204">
        <f t="shared" si="267"/>
        <v>-87.07810778465857</v>
      </c>
      <c r="CN123" s="204">
        <f t="shared" si="267"/>
        <v>-87.871402712714072</v>
      </c>
      <c r="CO123" s="204">
        <f t="shared" si="267"/>
        <v>-88.668452224796056</v>
      </c>
      <c r="CP123" s="204">
        <f t="shared" si="267"/>
        <v>-89.469188122765601</v>
      </c>
      <c r="CQ123" s="204">
        <f t="shared" si="267"/>
        <v>-90.273543447232512</v>
      </c>
      <c r="CR123" s="204">
        <f t="shared" si="267"/>
        <v>-91.081452455054702</v>
      </c>
      <c r="CS123" s="204">
        <f t="shared" si="267"/>
        <v>-91.892850597246365</v>
      </c>
      <c r="CT123" s="204">
        <f t="shared" si="267"/>
        <v>-92.707674497287258</v>
      </c>
      <c r="CU123" s="204">
        <f t="shared" si="267"/>
        <v>-93.525861929826178</v>
      </c>
      <c r="CV123" s="204">
        <f t="shared" si="267"/>
        <v>-94.347351799771133</v>
      </c>
      <c r="CW123" s="204">
        <f t="shared" si="267"/>
        <v>-95.172084121759283</v>
      </c>
      <c r="CX123" s="204">
        <f t="shared" si="267"/>
        <v>-96</v>
      </c>
      <c r="CY123" s="204">
        <f t="shared" si="267"/>
        <v>-96</v>
      </c>
      <c r="CZ123" s="204">
        <f t="shared" si="267"/>
        <v>-96</v>
      </c>
      <c r="DA123" s="204">
        <f t="shared" si="267"/>
        <v>-96</v>
      </c>
      <c r="DB123" s="204">
        <f t="shared" si="267"/>
        <v>-96</v>
      </c>
      <c r="DC123" s="204">
        <f t="shared" si="267"/>
        <v>-96</v>
      </c>
      <c r="DD123" s="204">
        <f t="shared" si="267"/>
        <v>-96</v>
      </c>
      <c r="DE123" s="204">
        <f t="shared" si="267"/>
        <v>-96</v>
      </c>
      <c r="DF123" s="204">
        <f t="shared" si="267"/>
        <v>-96</v>
      </c>
      <c r="DG123" s="204">
        <f t="shared" si="267"/>
        <v>-96</v>
      </c>
      <c r="DH123" s="204">
        <f t="shared" si="267"/>
        <v>-96</v>
      </c>
      <c r="DI123" s="204">
        <f t="shared" si="267"/>
        <v>-96</v>
      </c>
      <c r="DJ123" s="204">
        <f t="shared" si="267"/>
        <v>-96</v>
      </c>
      <c r="DK123" s="204">
        <f t="shared" si="267"/>
        <v>-96</v>
      </c>
      <c r="DL123" s="204">
        <f t="shared" si="267"/>
        <v>-96</v>
      </c>
      <c r="DM123" s="204">
        <f t="shared" si="267"/>
        <v>-96</v>
      </c>
      <c r="DN123" s="204">
        <f t="shared" si="267"/>
        <v>-96</v>
      </c>
      <c r="DO123" s="204">
        <f t="shared" si="267"/>
        <v>-96</v>
      </c>
      <c r="DP123" s="204">
        <f t="shared" si="267"/>
        <v>-96</v>
      </c>
      <c r="DQ123" s="204">
        <f t="shared" si="267"/>
        <v>-96</v>
      </c>
      <c r="DR123" s="204">
        <f t="shared" si="267"/>
        <v>-96</v>
      </c>
      <c r="DS123" s="204">
        <f t="shared" si="267"/>
        <v>-96</v>
      </c>
      <c r="DT123" s="204">
        <f t="shared" si="267"/>
        <v>-96</v>
      </c>
      <c r="DU123" s="204">
        <f t="shared" si="267"/>
        <v>-96</v>
      </c>
      <c r="DV123" s="204">
        <f t="shared" si="267"/>
        <v>-96</v>
      </c>
      <c r="DW123" s="204">
        <f t="shared" si="267"/>
        <v>-96</v>
      </c>
      <c r="DX123" s="204">
        <f t="shared" si="267"/>
        <v>-96</v>
      </c>
      <c r="DY123" s="204">
        <f t="shared" si="267"/>
        <v>-96</v>
      </c>
      <c r="DZ123" s="204">
        <f t="shared" si="267"/>
        <v>-96</v>
      </c>
      <c r="EA123" s="204">
        <f t="shared" si="267"/>
        <v>-96</v>
      </c>
      <c r="EB123" s="204">
        <f t="shared" si="267"/>
        <v>-96</v>
      </c>
      <c r="EC123" s="204">
        <f t="shared" si="267"/>
        <v>-96</v>
      </c>
      <c r="ED123" s="204">
        <f t="shared" si="267"/>
        <v>-96</v>
      </c>
      <c r="EE123" s="204">
        <f t="shared" si="267"/>
        <v>-96</v>
      </c>
      <c r="EF123" s="204">
        <f t="shared" ref="EF123:ET123" si="268">PV($F77,EF$9,1,0)+(PV($J$6,$N$5-(EF$9),1,0)/($J$6+1)^EF$9)</f>
        <v>-96</v>
      </c>
      <c r="EG123" s="204">
        <f t="shared" si="268"/>
        <v>-96</v>
      </c>
      <c r="EH123" s="204">
        <f t="shared" si="268"/>
        <v>-96</v>
      </c>
      <c r="EI123" s="204">
        <f t="shared" si="268"/>
        <v>-96</v>
      </c>
      <c r="EJ123" s="204">
        <f t="shared" si="268"/>
        <v>-96</v>
      </c>
      <c r="EK123" s="204">
        <f t="shared" si="268"/>
        <v>-96</v>
      </c>
      <c r="EL123" s="204">
        <f t="shared" si="268"/>
        <v>-96</v>
      </c>
      <c r="EM123" s="204">
        <f t="shared" si="268"/>
        <v>-96</v>
      </c>
      <c r="EN123" s="204">
        <f t="shared" si="268"/>
        <v>-96</v>
      </c>
      <c r="EO123" s="204">
        <f t="shared" si="268"/>
        <v>-96</v>
      </c>
      <c r="EP123" s="204">
        <f t="shared" si="268"/>
        <v>-96</v>
      </c>
      <c r="EQ123" s="204">
        <f t="shared" si="268"/>
        <v>-96</v>
      </c>
      <c r="ER123" s="204">
        <f t="shared" si="268"/>
        <v>-96</v>
      </c>
      <c r="ES123" s="204">
        <f t="shared" si="268"/>
        <v>-96</v>
      </c>
      <c r="ET123" s="204">
        <f t="shared" si="268"/>
        <v>-96</v>
      </c>
      <c r="FF123" s="6" t="s">
        <v>1063</v>
      </c>
      <c r="FG123" s="696">
        <v>2.0499999999999997E-2</v>
      </c>
      <c r="FH123" s="696">
        <v>120</v>
      </c>
      <c r="FI123" s="696">
        <v>1.95E-2</v>
      </c>
      <c r="FJ123" s="255">
        <v>1.3500000000000002E-2</v>
      </c>
      <c r="FK123" s="71">
        <f t="shared" si="126"/>
        <v>1.6666666666666658E-4</v>
      </c>
      <c r="FL123" t="e">
        <f>VLOOKUP(FF123,'SIMULADOR COM SALDO'!$BX$22:$CK$1000,13,FALSE)</f>
        <v>#N/A</v>
      </c>
    </row>
    <row r="124" spans="7:168" x14ac:dyDescent="0.25">
      <c r="G124" s="205">
        <f t="shared" si="262"/>
        <v>-44.770373601250576</v>
      </c>
      <c r="H124" s="204">
        <f t="shared" ref="H124:BS124" si="269">PV($F78,H$9,1,0)+(PV($J$6,$N$5-(H$9),1,0)/($J$6+1)^H$9)</f>
        <v>-44.806371604802436</v>
      </c>
      <c r="I124" s="204">
        <f t="shared" si="269"/>
        <v>-44.859879708437063</v>
      </c>
      <c r="J124" s="204">
        <f t="shared" si="269"/>
        <v>-44.930579859281075</v>
      </c>
      <c r="K124" s="204">
        <f t="shared" si="269"/>
        <v>-45.018159781562872</v>
      </c>
      <c r="L124" s="204">
        <f t="shared" si="269"/>
        <v>-45.122312871677551</v>
      </c>
      <c r="M124" s="204">
        <f t="shared" si="269"/>
        <v>-45.24273809515784</v>
      </c>
      <c r="N124" s="204">
        <f t="shared" si="269"/>
        <v>-45.379139885516487</v>
      </c>
      <c r="O124" s="204">
        <f t="shared" si="269"/>
        <v>-45.53122804492606</v>
      </c>
      <c r="P124" s="204">
        <f t="shared" si="269"/>
        <v>-45.698717646702761</v>
      </c>
      <c r="Q124" s="204">
        <f t="shared" si="269"/>
        <v>-45.881328939561598</v>
      </c>
      <c r="R124" s="204">
        <f t="shared" si="269"/>
        <v>-46.078787253610507</v>
      </c>
      <c r="S124" s="204">
        <f t="shared" si="269"/>
        <v>-46.290822908052249</v>
      </c>
      <c r="T124" s="204">
        <f t="shared" si="269"/>
        <v>-46.517171120562551</v>
      </c>
      <c r="U124" s="204">
        <f t="shared" si="269"/>
        <v>-46.75757191831444</v>
      </c>
      <c r="V124" s="204">
        <f t="shared" si="269"/>
        <v>-47.011770050618708</v>
      </c>
      <c r="W124" s="204">
        <f t="shared" si="269"/>
        <v>-47.279514903151124</v>
      </c>
      <c r="X124" s="204">
        <f t="shared" si="269"/>
        <v>-47.560560413737676</v>
      </c>
      <c r="Y124" s="204">
        <f t="shared" si="269"/>
        <v>-47.854664989669509</v>
      </c>
      <c r="Z124" s="204">
        <f t="shared" si="269"/>
        <v>-48.161591426519607</v>
      </c>
      <c r="AA124" s="204">
        <f t="shared" si="269"/>
        <v>-48.481106828434278</v>
      </c>
      <c r="AB124" s="204">
        <f t="shared" si="269"/>
        <v>-48.81298252987235</v>
      </c>
      <c r="AC124" s="204">
        <f t="shared" si="269"/>
        <v>-49.156994018765893</v>
      </c>
      <c r="AD124" s="204">
        <f t="shared" si="269"/>
        <v>-49.51292086107668</v>
      </c>
      <c r="AE124" s="204">
        <f t="shared" si="269"/>
        <v>-49.880546626723003</v>
      </c>
      <c r="AF124" s="204">
        <f t="shared" si="269"/>
        <v>-50.259658816851953</v>
      </c>
      <c r="AG124" s="204">
        <f t="shared" si="269"/>
        <v>-50.650048792432663</v>
      </c>
      <c r="AH124" s="204">
        <f t="shared" si="269"/>
        <v>-51.051511704146662</v>
      </c>
      <c r="AI124" s="204">
        <f t="shared" si="269"/>
        <v>-51.463846423551665</v>
      </c>
      <c r="AJ124" s="204">
        <f t="shared" si="269"/>
        <v>-51.886855475495707</v>
      </c>
      <c r="AK124" s="204">
        <f t="shared" si="269"/>
        <v>-52.320344971758878</v>
      </c>
      <c r="AL124" s="204">
        <f t="shared" si="269"/>
        <v>-52.76412454590043</v>
      </c>
      <c r="AM124" s="204">
        <f t="shared" si="269"/>
        <v>-53.218007289289282</v>
      </c>
      <c r="AN124" s="204">
        <f t="shared" si="269"/>
        <v>-53.681809688296511</v>
      </c>
      <c r="AO124" s="204">
        <f t="shared" si="269"/>
        <v>-54.155351562628589</v>
      </c>
      <c r="AP124" s="204">
        <f t="shared" si="269"/>
        <v>-54.638456004780849</v>
      </c>
      <c r="AQ124" s="204">
        <f t="shared" si="269"/>
        <v>-55.130949320590631</v>
      </c>
      <c r="AR124" s="204">
        <f t="shared" si="269"/>
        <v>-55.632660970870248</v>
      </c>
      <c r="AS124" s="204">
        <f t="shared" si="269"/>
        <v>-56.143423514100107</v>
      </c>
      <c r="AT124" s="204">
        <f t="shared" si="269"/>
        <v>-56.663072550162802</v>
      </c>
      <c r="AU124" s="204">
        <f t="shared" si="269"/>
        <v>-57.191446665099171</v>
      </c>
      <c r="AV124" s="204">
        <f t="shared" si="269"/>
        <v>-57.728387376867829</v>
      </c>
      <c r="AW124" s="204">
        <f t="shared" si="269"/>
        <v>-58.273739082089882</v>
      </c>
      <c r="AX124" s="204">
        <f t="shared" si="269"/>
        <v>-58.827349003761015</v>
      </c>
      <c r="AY124" s="204">
        <f t="shared" si="269"/>
        <v>-59.389067139913323</v>
      </c>
      <c r="AZ124" s="204">
        <f t="shared" si="269"/>
        <v>-59.95874621320965</v>
      </c>
      <c r="BA124" s="204">
        <f t="shared" si="269"/>
        <v>-60.53624162145347</v>
      </c>
      <c r="BB124" s="204">
        <f t="shared" si="269"/>
        <v>-61.121411388997728</v>
      </c>
      <c r="BC124" s="204">
        <f t="shared" si="269"/>
        <v>-61.714116119036262</v>
      </c>
      <c r="BD124" s="204">
        <f t="shared" si="269"/>
        <v>-62.314218946761883</v>
      </c>
      <c r="BE124" s="204">
        <f t="shared" si="269"/>
        <v>-62.921585493375147</v>
      </c>
      <c r="BF124" s="204">
        <f t="shared" si="269"/>
        <v>-63.536083820928674</v>
      </c>
      <c r="BG124" s="204">
        <f t="shared" si="269"/>
        <v>-64.157584387991548</v>
      </c>
      <c r="BH124" s="204">
        <f t="shared" si="269"/>
        <v>-64.785960006119055</v>
      </c>
      <c r="BI124" s="204">
        <f t="shared" si="269"/>
        <v>-65.421085797113165</v>
      </c>
      <c r="BJ124" s="204">
        <f t="shared" si="269"/>
        <v>-66.062839151059279</v>
      </c>
      <c r="BK124" s="204">
        <f t="shared" si="269"/>
        <v>-66.711099685125177</v>
      </c>
      <c r="BL124" s="204">
        <f t="shared" si="269"/>
        <v>-67.365749203108379</v>
      </c>
      <c r="BM124" s="204">
        <f t="shared" si="269"/>
        <v>-68.026671655718303</v>
      </c>
      <c r="BN124" s="204">
        <f t="shared" si="269"/>
        <v>-68.693753101579787</v>
      </c>
      <c r="BO124" s="204">
        <f t="shared" si="269"/>
        <v>-69.366881668945013</v>
      </c>
      <c r="BP124" s="204">
        <f t="shared" si="269"/>
        <v>-70.04594751810086</v>
      </c>
      <c r="BQ124" s="204">
        <f t="shared" si="269"/>
        <v>-70.730842804459073</v>
      </c>
      <c r="BR124" s="204">
        <f t="shared" si="269"/>
        <v>-71.421461642316928</v>
      </c>
      <c r="BS124" s="204">
        <f t="shared" si="269"/>
        <v>-72.117700069276026</v>
      </c>
      <c r="BT124" s="204">
        <f t="shared" ref="BT124:EE124" si="270">PV($F78,BT$9,1,0)+(PV($J$6,$N$5-(BT$9),1,0)/($J$6+1)^BT$9)</f>
        <v>-72.819456011307551</v>
      </c>
      <c r="BU124" s="204">
        <f t="shared" si="270"/>
        <v>-73.526629248451897</v>
      </c>
      <c r="BV124" s="204">
        <f t="shared" si="270"/>
        <v>-74.239121381141487</v>
      </c>
      <c r="BW124" s="204">
        <f t="shared" si="270"/>
        <v>-74.956835797135199</v>
      </c>
      <c r="BX124" s="204">
        <f t="shared" si="270"/>
        <v>-75.679677639053423</v>
      </c>
      <c r="BY124" s="204">
        <f t="shared" si="270"/>
        <v>-76.407553772502823</v>
      </c>
      <c r="BZ124" s="204">
        <f t="shared" si="270"/>
        <v>-77.140372754780103</v>
      </c>
      <c r="CA124" s="204">
        <f t="shared" si="270"/>
        <v>-77.878044804144153</v>
      </c>
      <c r="CB124" s="204">
        <f t="shared" si="270"/>
        <v>-78.620481769646403</v>
      </c>
      <c r="CC124" s="204">
        <f t="shared" si="270"/>
        <v>-79.36759710150919</v>
      </c>
      <c r="CD124" s="204">
        <f t="shared" si="270"/>
        <v>-80.119305822042122</v>
      </c>
      <c r="CE124" s="204">
        <f t="shared" si="270"/>
        <v>-80.87552449708673</v>
      </c>
      <c r="CF124" s="204">
        <f t="shared" si="270"/>
        <v>-81.636171207979814</v>
      </c>
      <c r="CG124" s="204">
        <f t="shared" si="270"/>
        <v>-82.401165524026041</v>
      </c>
      <c r="CH124" s="204">
        <f t="shared" si="270"/>
        <v>-83.170428475470544</v>
      </c>
      <c r="CI124" s="204">
        <f t="shared" si="270"/>
        <v>-83.943882526962454</v>
      </c>
      <c r="CJ124" s="204">
        <f t="shared" si="270"/>
        <v>-84.721451551500408</v>
      </c>
      <c r="CK124" s="204">
        <f t="shared" si="270"/>
        <v>-85.503060804851359</v>
      </c>
      <c r="CL124" s="204">
        <f t="shared" si="270"/>
        <v>-86.288636900434042</v>
      </c>
      <c r="CM124" s="204">
        <f t="shared" si="270"/>
        <v>-87.07810778465857</v>
      </c>
      <c r="CN124" s="204">
        <f t="shared" si="270"/>
        <v>-87.871402712714072</v>
      </c>
      <c r="CO124" s="204">
        <f t="shared" si="270"/>
        <v>-88.668452224796056</v>
      </c>
      <c r="CP124" s="204">
        <f t="shared" si="270"/>
        <v>-89.469188122765601</v>
      </c>
      <c r="CQ124" s="204">
        <f t="shared" si="270"/>
        <v>-90.273543447232512</v>
      </c>
      <c r="CR124" s="204">
        <f t="shared" si="270"/>
        <v>-91.081452455054702</v>
      </c>
      <c r="CS124" s="204">
        <f t="shared" si="270"/>
        <v>-91.892850597246365</v>
      </c>
      <c r="CT124" s="204">
        <f t="shared" si="270"/>
        <v>-92.707674497287258</v>
      </c>
      <c r="CU124" s="204">
        <f t="shared" si="270"/>
        <v>-93.525861929826178</v>
      </c>
      <c r="CV124" s="204">
        <f t="shared" si="270"/>
        <v>-94.347351799771133</v>
      </c>
      <c r="CW124" s="204">
        <f t="shared" si="270"/>
        <v>-95.172084121759283</v>
      </c>
      <c r="CX124" s="204">
        <f t="shared" si="270"/>
        <v>-96</v>
      </c>
      <c r="CY124" s="204">
        <f t="shared" si="270"/>
        <v>-96</v>
      </c>
      <c r="CZ124" s="204">
        <f t="shared" si="270"/>
        <v>-96</v>
      </c>
      <c r="DA124" s="204">
        <f t="shared" si="270"/>
        <v>-96</v>
      </c>
      <c r="DB124" s="204">
        <f t="shared" si="270"/>
        <v>-96</v>
      </c>
      <c r="DC124" s="204">
        <f t="shared" si="270"/>
        <v>-96</v>
      </c>
      <c r="DD124" s="204">
        <f t="shared" si="270"/>
        <v>-96</v>
      </c>
      <c r="DE124" s="204">
        <f t="shared" si="270"/>
        <v>-96</v>
      </c>
      <c r="DF124" s="204">
        <f t="shared" si="270"/>
        <v>-96</v>
      </c>
      <c r="DG124" s="204">
        <f t="shared" si="270"/>
        <v>-96</v>
      </c>
      <c r="DH124" s="204">
        <f t="shared" si="270"/>
        <v>-96</v>
      </c>
      <c r="DI124" s="204">
        <f t="shared" si="270"/>
        <v>-96</v>
      </c>
      <c r="DJ124" s="204">
        <f t="shared" si="270"/>
        <v>-96</v>
      </c>
      <c r="DK124" s="204">
        <f t="shared" si="270"/>
        <v>-96</v>
      </c>
      <c r="DL124" s="204">
        <f t="shared" si="270"/>
        <v>-96</v>
      </c>
      <c r="DM124" s="204">
        <f t="shared" si="270"/>
        <v>-96</v>
      </c>
      <c r="DN124" s="204">
        <f t="shared" si="270"/>
        <v>-96</v>
      </c>
      <c r="DO124" s="204">
        <f t="shared" si="270"/>
        <v>-96</v>
      </c>
      <c r="DP124" s="204">
        <f t="shared" si="270"/>
        <v>-96</v>
      </c>
      <c r="DQ124" s="204">
        <f t="shared" si="270"/>
        <v>-96</v>
      </c>
      <c r="DR124" s="204">
        <f t="shared" si="270"/>
        <v>-96</v>
      </c>
      <c r="DS124" s="204">
        <f t="shared" si="270"/>
        <v>-96</v>
      </c>
      <c r="DT124" s="204">
        <f t="shared" si="270"/>
        <v>-96</v>
      </c>
      <c r="DU124" s="204">
        <f t="shared" si="270"/>
        <v>-96</v>
      </c>
      <c r="DV124" s="204">
        <f t="shared" si="270"/>
        <v>-96</v>
      </c>
      <c r="DW124" s="204">
        <f t="shared" si="270"/>
        <v>-96</v>
      </c>
      <c r="DX124" s="204">
        <f t="shared" si="270"/>
        <v>-96</v>
      </c>
      <c r="DY124" s="204">
        <f t="shared" si="270"/>
        <v>-96</v>
      </c>
      <c r="DZ124" s="204">
        <f t="shared" si="270"/>
        <v>-96</v>
      </c>
      <c r="EA124" s="204">
        <f t="shared" si="270"/>
        <v>-96</v>
      </c>
      <c r="EB124" s="204">
        <f t="shared" si="270"/>
        <v>-96</v>
      </c>
      <c r="EC124" s="204">
        <f t="shared" si="270"/>
        <v>-96</v>
      </c>
      <c r="ED124" s="204">
        <f t="shared" si="270"/>
        <v>-96</v>
      </c>
      <c r="EE124" s="204">
        <f t="shared" si="270"/>
        <v>-96</v>
      </c>
      <c r="EF124" s="204">
        <f t="shared" ref="EF124:ET124" si="271">PV($F78,EF$9,1,0)+(PV($J$6,$N$5-(EF$9),1,0)/($J$6+1)^EF$9)</f>
        <v>-96</v>
      </c>
      <c r="EG124" s="204">
        <f t="shared" si="271"/>
        <v>-96</v>
      </c>
      <c r="EH124" s="204">
        <f t="shared" si="271"/>
        <v>-96</v>
      </c>
      <c r="EI124" s="204">
        <f t="shared" si="271"/>
        <v>-96</v>
      </c>
      <c r="EJ124" s="204">
        <f t="shared" si="271"/>
        <v>-96</v>
      </c>
      <c r="EK124" s="204">
        <f t="shared" si="271"/>
        <v>-96</v>
      </c>
      <c r="EL124" s="204">
        <f t="shared" si="271"/>
        <v>-96</v>
      </c>
      <c r="EM124" s="204">
        <f t="shared" si="271"/>
        <v>-96</v>
      </c>
      <c r="EN124" s="204">
        <f t="shared" si="271"/>
        <v>-96</v>
      </c>
      <c r="EO124" s="204">
        <f t="shared" si="271"/>
        <v>-96</v>
      </c>
      <c r="EP124" s="204">
        <f t="shared" si="271"/>
        <v>-96</v>
      </c>
      <c r="EQ124" s="204">
        <f t="shared" si="271"/>
        <v>-96</v>
      </c>
      <c r="ER124" s="204">
        <f t="shared" si="271"/>
        <v>-96</v>
      </c>
      <c r="ES124" s="204">
        <f t="shared" si="271"/>
        <v>-96</v>
      </c>
      <c r="ET124" s="204">
        <f t="shared" si="271"/>
        <v>-96</v>
      </c>
      <c r="FF124" s="6" t="s">
        <v>1067</v>
      </c>
      <c r="FG124" s="696">
        <v>2.0499999999999997E-2</v>
      </c>
      <c r="FH124" s="696">
        <v>120</v>
      </c>
      <c r="FI124" s="696">
        <v>1.95E-2</v>
      </c>
      <c r="FJ124" s="255">
        <v>1.3500000000000002E-2</v>
      </c>
      <c r="FK124" s="71">
        <f t="shared" si="126"/>
        <v>1.6666666666666658E-4</v>
      </c>
      <c r="FL124" t="e">
        <f>VLOOKUP(FF124,'SIMULADOR COM SALDO'!$BX$22:$CK$1000,13,FALSE)</f>
        <v>#N/A</v>
      </c>
    </row>
    <row r="125" spans="7:168" x14ac:dyDescent="0.25">
      <c r="G125" s="205">
        <f t="shared" si="262"/>
        <v>-44.770373601250576</v>
      </c>
      <c r="H125" s="204">
        <f t="shared" ref="H125:BS125" si="272">PV($F79,H$9,1,0)+(PV($J$6,$N$5-(H$9),1,0)/($J$6+1)^H$9)</f>
        <v>-44.806371604802436</v>
      </c>
      <c r="I125" s="204">
        <f t="shared" si="272"/>
        <v>-44.859879708437063</v>
      </c>
      <c r="J125" s="204">
        <f t="shared" si="272"/>
        <v>-44.930579859281075</v>
      </c>
      <c r="K125" s="204">
        <f t="shared" si="272"/>
        <v>-45.018159781562872</v>
      </c>
      <c r="L125" s="204">
        <f t="shared" si="272"/>
        <v>-45.122312871677551</v>
      </c>
      <c r="M125" s="204">
        <f t="shared" si="272"/>
        <v>-45.24273809515784</v>
      </c>
      <c r="N125" s="204">
        <f t="shared" si="272"/>
        <v>-45.379139885516487</v>
      </c>
      <c r="O125" s="204">
        <f t="shared" si="272"/>
        <v>-45.53122804492606</v>
      </c>
      <c r="P125" s="204">
        <f t="shared" si="272"/>
        <v>-45.698717646702761</v>
      </c>
      <c r="Q125" s="204">
        <f t="shared" si="272"/>
        <v>-45.881328939561598</v>
      </c>
      <c r="R125" s="204">
        <f t="shared" si="272"/>
        <v>-46.078787253610507</v>
      </c>
      <c r="S125" s="204">
        <f t="shared" si="272"/>
        <v>-46.290822908052249</v>
      </c>
      <c r="T125" s="204">
        <f t="shared" si="272"/>
        <v>-46.517171120562551</v>
      </c>
      <c r="U125" s="204">
        <f t="shared" si="272"/>
        <v>-46.75757191831444</v>
      </c>
      <c r="V125" s="204">
        <f t="shared" si="272"/>
        <v>-47.011770050618708</v>
      </c>
      <c r="W125" s="204">
        <f t="shared" si="272"/>
        <v>-47.279514903151124</v>
      </c>
      <c r="X125" s="204">
        <f t="shared" si="272"/>
        <v>-47.560560413737676</v>
      </c>
      <c r="Y125" s="204">
        <f t="shared" si="272"/>
        <v>-47.854664989669509</v>
      </c>
      <c r="Z125" s="204">
        <f t="shared" si="272"/>
        <v>-48.161591426519607</v>
      </c>
      <c r="AA125" s="204">
        <f t="shared" si="272"/>
        <v>-48.481106828434278</v>
      </c>
      <c r="AB125" s="204">
        <f t="shared" si="272"/>
        <v>-48.81298252987235</v>
      </c>
      <c r="AC125" s="204">
        <f t="shared" si="272"/>
        <v>-49.156994018765893</v>
      </c>
      <c r="AD125" s="204">
        <f t="shared" si="272"/>
        <v>-49.51292086107668</v>
      </c>
      <c r="AE125" s="204">
        <f t="shared" si="272"/>
        <v>-49.880546626723003</v>
      </c>
      <c r="AF125" s="204">
        <f t="shared" si="272"/>
        <v>-50.259658816851953</v>
      </c>
      <c r="AG125" s="204">
        <f t="shared" si="272"/>
        <v>-50.650048792432663</v>
      </c>
      <c r="AH125" s="204">
        <f t="shared" si="272"/>
        <v>-51.051511704146662</v>
      </c>
      <c r="AI125" s="204">
        <f t="shared" si="272"/>
        <v>-51.463846423551665</v>
      </c>
      <c r="AJ125" s="204">
        <f t="shared" si="272"/>
        <v>-51.886855475495707</v>
      </c>
      <c r="AK125" s="204">
        <f t="shared" si="272"/>
        <v>-52.320344971758878</v>
      </c>
      <c r="AL125" s="204">
        <f t="shared" si="272"/>
        <v>-52.76412454590043</v>
      </c>
      <c r="AM125" s="204">
        <f t="shared" si="272"/>
        <v>-53.218007289289282</v>
      </c>
      <c r="AN125" s="204">
        <f t="shared" si="272"/>
        <v>-53.681809688296511</v>
      </c>
      <c r="AO125" s="204">
        <f t="shared" si="272"/>
        <v>-54.155351562628589</v>
      </c>
      <c r="AP125" s="204">
        <f t="shared" si="272"/>
        <v>-54.638456004780849</v>
      </c>
      <c r="AQ125" s="204">
        <f t="shared" si="272"/>
        <v>-55.130949320590631</v>
      </c>
      <c r="AR125" s="204">
        <f t="shared" si="272"/>
        <v>-55.632660970870248</v>
      </c>
      <c r="AS125" s="204">
        <f t="shared" si="272"/>
        <v>-56.143423514100107</v>
      </c>
      <c r="AT125" s="204">
        <f t="shared" si="272"/>
        <v>-56.663072550162802</v>
      </c>
      <c r="AU125" s="204">
        <f t="shared" si="272"/>
        <v>-57.191446665099171</v>
      </c>
      <c r="AV125" s="204">
        <f t="shared" si="272"/>
        <v>-57.728387376867829</v>
      </c>
      <c r="AW125" s="204">
        <f t="shared" si="272"/>
        <v>-58.273739082089882</v>
      </c>
      <c r="AX125" s="204">
        <f t="shared" si="272"/>
        <v>-58.827349003761015</v>
      </c>
      <c r="AY125" s="204">
        <f t="shared" si="272"/>
        <v>-59.389067139913323</v>
      </c>
      <c r="AZ125" s="204">
        <f t="shared" si="272"/>
        <v>-59.95874621320965</v>
      </c>
      <c r="BA125" s="204">
        <f t="shared" si="272"/>
        <v>-60.53624162145347</v>
      </c>
      <c r="BB125" s="204">
        <f t="shared" si="272"/>
        <v>-61.121411388997728</v>
      </c>
      <c r="BC125" s="204">
        <f t="shared" si="272"/>
        <v>-61.714116119036262</v>
      </c>
      <c r="BD125" s="204">
        <f t="shared" si="272"/>
        <v>-62.314218946761883</v>
      </c>
      <c r="BE125" s="204">
        <f t="shared" si="272"/>
        <v>-62.921585493375147</v>
      </c>
      <c r="BF125" s="204">
        <f t="shared" si="272"/>
        <v>-63.536083820928674</v>
      </c>
      <c r="BG125" s="204">
        <f t="shared" si="272"/>
        <v>-64.157584387991548</v>
      </c>
      <c r="BH125" s="204">
        <f t="shared" si="272"/>
        <v>-64.785960006119055</v>
      </c>
      <c r="BI125" s="204">
        <f t="shared" si="272"/>
        <v>-65.421085797113165</v>
      </c>
      <c r="BJ125" s="204">
        <f t="shared" si="272"/>
        <v>-66.062839151059279</v>
      </c>
      <c r="BK125" s="204">
        <f t="shared" si="272"/>
        <v>-66.711099685125177</v>
      </c>
      <c r="BL125" s="204">
        <f t="shared" si="272"/>
        <v>-67.365749203108379</v>
      </c>
      <c r="BM125" s="204">
        <f t="shared" si="272"/>
        <v>-68.026671655718303</v>
      </c>
      <c r="BN125" s="204">
        <f t="shared" si="272"/>
        <v>-68.693753101579787</v>
      </c>
      <c r="BO125" s="204">
        <f t="shared" si="272"/>
        <v>-69.366881668945013</v>
      </c>
      <c r="BP125" s="204">
        <f t="shared" si="272"/>
        <v>-70.04594751810086</v>
      </c>
      <c r="BQ125" s="204">
        <f t="shared" si="272"/>
        <v>-70.730842804459073</v>
      </c>
      <c r="BR125" s="204">
        <f t="shared" si="272"/>
        <v>-71.421461642316928</v>
      </c>
      <c r="BS125" s="204">
        <f t="shared" si="272"/>
        <v>-72.117700069276026</v>
      </c>
      <c r="BT125" s="204">
        <f t="shared" ref="BT125:EE125" si="273">PV($F79,BT$9,1,0)+(PV($J$6,$N$5-(BT$9),1,0)/($J$6+1)^BT$9)</f>
        <v>-72.819456011307551</v>
      </c>
      <c r="BU125" s="204">
        <f t="shared" si="273"/>
        <v>-73.526629248451897</v>
      </c>
      <c r="BV125" s="204">
        <f t="shared" si="273"/>
        <v>-74.239121381141487</v>
      </c>
      <c r="BW125" s="204">
        <f t="shared" si="273"/>
        <v>-74.956835797135199</v>
      </c>
      <c r="BX125" s="204">
        <f t="shared" si="273"/>
        <v>-75.679677639053423</v>
      </c>
      <c r="BY125" s="204">
        <f t="shared" si="273"/>
        <v>-76.407553772502823</v>
      </c>
      <c r="BZ125" s="204">
        <f t="shared" si="273"/>
        <v>-77.140372754780103</v>
      </c>
      <c r="CA125" s="204">
        <f t="shared" si="273"/>
        <v>-77.878044804144153</v>
      </c>
      <c r="CB125" s="204">
        <f t="shared" si="273"/>
        <v>-78.620481769646403</v>
      </c>
      <c r="CC125" s="204">
        <f t="shared" si="273"/>
        <v>-79.36759710150919</v>
      </c>
      <c r="CD125" s="204">
        <f t="shared" si="273"/>
        <v>-80.119305822042122</v>
      </c>
      <c r="CE125" s="204">
        <f t="shared" si="273"/>
        <v>-80.87552449708673</v>
      </c>
      <c r="CF125" s="204">
        <f t="shared" si="273"/>
        <v>-81.636171207979814</v>
      </c>
      <c r="CG125" s="204">
        <f t="shared" si="273"/>
        <v>-82.401165524026041</v>
      </c>
      <c r="CH125" s="204">
        <f t="shared" si="273"/>
        <v>-83.170428475470544</v>
      </c>
      <c r="CI125" s="204">
        <f t="shared" si="273"/>
        <v>-83.943882526962454</v>
      </c>
      <c r="CJ125" s="204">
        <f t="shared" si="273"/>
        <v>-84.721451551500408</v>
      </c>
      <c r="CK125" s="204">
        <f t="shared" si="273"/>
        <v>-85.503060804851359</v>
      </c>
      <c r="CL125" s="204">
        <f t="shared" si="273"/>
        <v>-86.288636900434042</v>
      </c>
      <c r="CM125" s="204">
        <f t="shared" si="273"/>
        <v>-87.07810778465857</v>
      </c>
      <c r="CN125" s="204">
        <f t="shared" si="273"/>
        <v>-87.871402712714072</v>
      </c>
      <c r="CO125" s="204">
        <f t="shared" si="273"/>
        <v>-88.668452224796056</v>
      </c>
      <c r="CP125" s="204">
        <f t="shared" si="273"/>
        <v>-89.469188122765601</v>
      </c>
      <c r="CQ125" s="204">
        <f t="shared" si="273"/>
        <v>-90.273543447232512</v>
      </c>
      <c r="CR125" s="204">
        <f t="shared" si="273"/>
        <v>-91.081452455054702</v>
      </c>
      <c r="CS125" s="204">
        <f t="shared" si="273"/>
        <v>-91.892850597246365</v>
      </c>
      <c r="CT125" s="204">
        <f t="shared" si="273"/>
        <v>-92.707674497287258</v>
      </c>
      <c r="CU125" s="204">
        <f t="shared" si="273"/>
        <v>-93.525861929826178</v>
      </c>
      <c r="CV125" s="204">
        <f t="shared" si="273"/>
        <v>-94.347351799771133</v>
      </c>
      <c r="CW125" s="204">
        <f t="shared" si="273"/>
        <v>-95.172084121759283</v>
      </c>
      <c r="CX125" s="204">
        <f t="shared" si="273"/>
        <v>-96</v>
      </c>
      <c r="CY125" s="204">
        <f t="shared" si="273"/>
        <v>-96</v>
      </c>
      <c r="CZ125" s="204">
        <f t="shared" si="273"/>
        <v>-96</v>
      </c>
      <c r="DA125" s="204">
        <f t="shared" si="273"/>
        <v>-96</v>
      </c>
      <c r="DB125" s="204">
        <f t="shared" si="273"/>
        <v>-96</v>
      </c>
      <c r="DC125" s="204">
        <f t="shared" si="273"/>
        <v>-96</v>
      </c>
      <c r="DD125" s="204">
        <f t="shared" si="273"/>
        <v>-96</v>
      </c>
      <c r="DE125" s="204">
        <f t="shared" si="273"/>
        <v>-96</v>
      </c>
      <c r="DF125" s="204">
        <f t="shared" si="273"/>
        <v>-96</v>
      </c>
      <c r="DG125" s="204">
        <f t="shared" si="273"/>
        <v>-96</v>
      </c>
      <c r="DH125" s="204">
        <f t="shared" si="273"/>
        <v>-96</v>
      </c>
      <c r="DI125" s="204">
        <f t="shared" si="273"/>
        <v>-96</v>
      </c>
      <c r="DJ125" s="204">
        <f t="shared" si="273"/>
        <v>-96</v>
      </c>
      <c r="DK125" s="204">
        <f t="shared" si="273"/>
        <v>-96</v>
      </c>
      <c r="DL125" s="204">
        <f t="shared" si="273"/>
        <v>-96</v>
      </c>
      <c r="DM125" s="204">
        <f t="shared" si="273"/>
        <v>-96</v>
      </c>
      <c r="DN125" s="204">
        <f t="shared" si="273"/>
        <v>-96</v>
      </c>
      <c r="DO125" s="204">
        <f t="shared" si="273"/>
        <v>-96</v>
      </c>
      <c r="DP125" s="204">
        <f t="shared" si="273"/>
        <v>-96</v>
      </c>
      <c r="DQ125" s="204">
        <f t="shared" si="273"/>
        <v>-96</v>
      </c>
      <c r="DR125" s="204">
        <f t="shared" si="273"/>
        <v>-96</v>
      </c>
      <c r="DS125" s="204">
        <f t="shared" si="273"/>
        <v>-96</v>
      </c>
      <c r="DT125" s="204">
        <f t="shared" si="273"/>
        <v>-96</v>
      </c>
      <c r="DU125" s="204">
        <f t="shared" si="273"/>
        <v>-96</v>
      </c>
      <c r="DV125" s="204">
        <f t="shared" si="273"/>
        <v>-96</v>
      </c>
      <c r="DW125" s="204">
        <f t="shared" si="273"/>
        <v>-96</v>
      </c>
      <c r="DX125" s="204">
        <f t="shared" si="273"/>
        <v>-96</v>
      </c>
      <c r="DY125" s="204">
        <f t="shared" si="273"/>
        <v>-96</v>
      </c>
      <c r="DZ125" s="204">
        <f t="shared" si="273"/>
        <v>-96</v>
      </c>
      <c r="EA125" s="204">
        <f t="shared" si="273"/>
        <v>-96</v>
      </c>
      <c r="EB125" s="204">
        <f t="shared" si="273"/>
        <v>-96</v>
      </c>
      <c r="EC125" s="204">
        <f t="shared" si="273"/>
        <v>-96</v>
      </c>
      <c r="ED125" s="204">
        <f t="shared" si="273"/>
        <v>-96</v>
      </c>
      <c r="EE125" s="204">
        <f t="shared" si="273"/>
        <v>-96</v>
      </c>
      <c r="EF125" s="204">
        <f t="shared" ref="EF125:ET125" si="274">PV($F79,EF$9,1,0)+(PV($J$6,$N$5-(EF$9),1,0)/($J$6+1)^EF$9)</f>
        <v>-96</v>
      </c>
      <c r="EG125" s="204">
        <f t="shared" si="274"/>
        <v>-96</v>
      </c>
      <c r="EH125" s="204">
        <f t="shared" si="274"/>
        <v>-96</v>
      </c>
      <c r="EI125" s="204">
        <f t="shared" si="274"/>
        <v>-96</v>
      </c>
      <c r="EJ125" s="204">
        <f t="shared" si="274"/>
        <v>-96</v>
      </c>
      <c r="EK125" s="204">
        <f t="shared" si="274"/>
        <v>-96</v>
      </c>
      <c r="EL125" s="204">
        <f t="shared" si="274"/>
        <v>-96</v>
      </c>
      <c r="EM125" s="204">
        <f t="shared" si="274"/>
        <v>-96</v>
      </c>
      <c r="EN125" s="204">
        <f t="shared" si="274"/>
        <v>-96</v>
      </c>
      <c r="EO125" s="204">
        <f t="shared" si="274"/>
        <v>-96</v>
      </c>
      <c r="EP125" s="204">
        <f t="shared" si="274"/>
        <v>-96</v>
      </c>
      <c r="EQ125" s="204">
        <f t="shared" si="274"/>
        <v>-96</v>
      </c>
      <c r="ER125" s="204">
        <f t="shared" si="274"/>
        <v>-96</v>
      </c>
      <c r="ES125" s="204">
        <f t="shared" si="274"/>
        <v>-96</v>
      </c>
      <c r="ET125" s="204">
        <f t="shared" si="274"/>
        <v>-96</v>
      </c>
      <c r="FF125" s="6" t="s">
        <v>630</v>
      </c>
      <c r="FG125" s="696">
        <v>2.5000000000000001E-2</v>
      </c>
      <c r="FH125" s="696">
        <v>96</v>
      </c>
      <c r="FI125" s="696">
        <v>2.1499999999999998E-2</v>
      </c>
      <c r="FJ125" s="255">
        <v>1.49E-2</v>
      </c>
      <c r="FK125" s="71">
        <f t="shared" si="126"/>
        <v>2.404761904761905E-4</v>
      </c>
      <c r="FL125" t="e">
        <f>VLOOKUP(FF125,'SIMULADOR COM SALDO'!$BX$22:$CK$1000,13,FALSE)</f>
        <v>#N/A</v>
      </c>
    </row>
    <row r="126" spans="7:168" x14ac:dyDescent="0.25">
      <c r="G126" s="205">
        <f t="shared" si="262"/>
        <v>-44.770373601250576</v>
      </c>
      <c r="H126" s="204">
        <f t="shared" ref="H126:BS126" si="275">PV($F80,H$9,1,0)+(PV($J$6,$N$5-(H$9),1,0)/($J$6+1)^H$9)</f>
        <v>-44.806371604802436</v>
      </c>
      <c r="I126" s="204">
        <f t="shared" si="275"/>
        <v>-44.859879708437063</v>
      </c>
      <c r="J126" s="204">
        <f t="shared" si="275"/>
        <v>-44.930579859281075</v>
      </c>
      <c r="K126" s="204">
        <f t="shared" si="275"/>
        <v>-45.018159781562872</v>
      </c>
      <c r="L126" s="204">
        <f t="shared" si="275"/>
        <v>-45.122312871677551</v>
      </c>
      <c r="M126" s="204">
        <f t="shared" si="275"/>
        <v>-45.24273809515784</v>
      </c>
      <c r="N126" s="204">
        <f t="shared" si="275"/>
        <v>-45.379139885516487</v>
      </c>
      <c r="O126" s="204">
        <f t="shared" si="275"/>
        <v>-45.53122804492606</v>
      </c>
      <c r="P126" s="204">
        <f t="shared" si="275"/>
        <v>-45.698717646702761</v>
      </c>
      <c r="Q126" s="204">
        <f t="shared" si="275"/>
        <v>-45.881328939561598</v>
      </c>
      <c r="R126" s="204">
        <f t="shared" si="275"/>
        <v>-46.078787253610507</v>
      </c>
      <c r="S126" s="204">
        <f t="shared" si="275"/>
        <v>-46.290822908052249</v>
      </c>
      <c r="T126" s="204">
        <f t="shared" si="275"/>
        <v>-46.517171120562551</v>
      </c>
      <c r="U126" s="204">
        <f t="shared" si="275"/>
        <v>-46.75757191831444</v>
      </c>
      <c r="V126" s="204">
        <f t="shared" si="275"/>
        <v>-47.011770050618708</v>
      </c>
      <c r="W126" s="204">
        <f t="shared" si="275"/>
        <v>-47.279514903151124</v>
      </c>
      <c r="X126" s="204">
        <f t="shared" si="275"/>
        <v>-47.560560413737676</v>
      </c>
      <c r="Y126" s="204">
        <f t="shared" si="275"/>
        <v>-47.854664989669509</v>
      </c>
      <c r="Z126" s="204">
        <f t="shared" si="275"/>
        <v>-48.161591426519607</v>
      </c>
      <c r="AA126" s="204">
        <f t="shared" si="275"/>
        <v>-48.481106828434278</v>
      </c>
      <c r="AB126" s="204">
        <f t="shared" si="275"/>
        <v>-48.81298252987235</v>
      </c>
      <c r="AC126" s="204">
        <f t="shared" si="275"/>
        <v>-49.156994018765893</v>
      </c>
      <c r="AD126" s="204">
        <f t="shared" si="275"/>
        <v>-49.51292086107668</v>
      </c>
      <c r="AE126" s="204">
        <f t="shared" si="275"/>
        <v>-49.880546626723003</v>
      </c>
      <c r="AF126" s="204">
        <f t="shared" si="275"/>
        <v>-50.259658816851953</v>
      </c>
      <c r="AG126" s="204">
        <f t="shared" si="275"/>
        <v>-50.650048792432663</v>
      </c>
      <c r="AH126" s="204">
        <f t="shared" si="275"/>
        <v>-51.051511704146662</v>
      </c>
      <c r="AI126" s="204">
        <f t="shared" si="275"/>
        <v>-51.463846423551665</v>
      </c>
      <c r="AJ126" s="204">
        <f t="shared" si="275"/>
        <v>-51.886855475495707</v>
      </c>
      <c r="AK126" s="204">
        <f t="shared" si="275"/>
        <v>-52.320344971758878</v>
      </c>
      <c r="AL126" s="204">
        <f t="shared" si="275"/>
        <v>-52.76412454590043</v>
      </c>
      <c r="AM126" s="204">
        <f t="shared" si="275"/>
        <v>-53.218007289289282</v>
      </c>
      <c r="AN126" s="204">
        <f t="shared" si="275"/>
        <v>-53.681809688296511</v>
      </c>
      <c r="AO126" s="204">
        <f t="shared" si="275"/>
        <v>-54.155351562628589</v>
      </c>
      <c r="AP126" s="204">
        <f t="shared" si="275"/>
        <v>-54.638456004780849</v>
      </c>
      <c r="AQ126" s="204">
        <f t="shared" si="275"/>
        <v>-55.130949320590631</v>
      </c>
      <c r="AR126" s="204">
        <f t="shared" si="275"/>
        <v>-55.632660970870248</v>
      </c>
      <c r="AS126" s="204">
        <f t="shared" si="275"/>
        <v>-56.143423514100107</v>
      </c>
      <c r="AT126" s="204">
        <f t="shared" si="275"/>
        <v>-56.663072550162802</v>
      </c>
      <c r="AU126" s="204">
        <f t="shared" si="275"/>
        <v>-57.191446665099171</v>
      </c>
      <c r="AV126" s="204">
        <f t="shared" si="275"/>
        <v>-57.728387376867829</v>
      </c>
      <c r="AW126" s="204">
        <f t="shared" si="275"/>
        <v>-58.273739082089882</v>
      </c>
      <c r="AX126" s="204">
        <f t="shared" si="275"/>
        <v>-58.827349003761015</v>
      </c>
      <c r="AY126" s="204">
        <f t="shared" si="275"/>
        <v>-59.389067139913323</v>
      </c>
      <c r="AZ126" s="204">
        <f t="shared" si="275"/>
        <v>-59.95874621320965</v>
      </c>
      <c r="BA126" s="204">
        <f t="shared" si="275"/>
        <v>-60.53624162145347</v>
      </c>
      <c r="BB126" s="204">
        <f t="shared" si="275"/>
        <v>-61.121411388997728</v>
      </c>
      <c r="BC126" s="204">
        <f t="shared" si="275"/>
        <v>-61.714116119036262</v>
      </c>
      <c r="BD126" s="204">
        <f t="shared" si="275"/>
        <v>-62.314218946761883</v>
      </c>
      <c r="BE126" s="204">
        <f t="shared" si="275"/>
        <v>-62.921585493375147</v>
      </c>
      <c r="BF126" s="204">
        <f t="shared" si="275"/>
        <v>-63.536083820928674</v>
      </c>
      <c r="BG126" s="204">
        <f t="shared" si="275"/>
        <v>-64.157584387991548</v>
      </c>
      <c r="BH126" s="204">
        <f t="shared" si="275"/>
        <v>-64.785960006119055</v>
      </c>
      <c r="BI126" s="204">
        <f t="shared" si="275"/>
        <v>-65.421085797113165</v>
      </c>
      <c r="BJ126" s="204">
        <f t="shared" si="275"/>
        <v>-66.062839151059279</v>
      </c>
      <c r="BK126" s="204">
        <f t="shared" si="275"/>
        <v>-66.711099685125177</v>
      </c>
      <c r="BL126" s="204">
        <f t="shared" si="275"/>
        <v>-67.365749203108379</v>
      </c>
      <c r="BM126" s="204">
        <f t="shared" si="275"/>
        <v>-68.026671655718303</v>
      </c>
      <c r="BN126" s="204">
        <f t="shared" si="275"/>
        <v>-68.693753101579787</v>
      </c>
      <c r="BO126" s="204">
        <f t="shared" si="275"/>
        <v>-69.366881668945013</v>
      </c>
      <c r="BP126" s="204">
        <f t="shared" si="275"/>
        <v>-70.04594751810086</v>
      </c>
      <c r="BQ126" s="204">
        <f t="shared" si="275"/>
        <v>-70.730842804459073</v>
      </c>
      <c r="BR126" s="204">
        <f t="shared" si="275"/>
        <v>-71.421461642316928</v>
      </c>
      <c r="BS126" s="204">
        <f t="shared" si="275"/>
        <v>-72.117700069276026</v>
      </c>
      <c r="BT126" s="204">
        <f t="shared" ref="BT126:EE126" si="276">PV($F80,BT$9,1,0)+(PV($J$6,$N$5-(BT$9),1,0)/($J$6+1)^BT$9)</f>
        <v>-72.819456011307551</v>
      </c>
      <c r="BU126" s="204">
        <f t="shared" si="276"/>
        <v>-73.526629248451897</v>
      </c>
      <c r="BV126" s="204">
        <f t="shared" si="276"/>
        <v>-74.239121381141487</v>
      </c>
      <c r="BW126" s="204">
        <f t="shared" si="276"/>
        <v>-74.956835797135199</v>
      </c>
      <c r="BX126" s="204">
        <f t="shared" si="276"/>
        <v>-75.679677639053423</v>
      </c>
      <c r="BY126" s="204">
        <f t="shared" si="276"/>
        <v>-76.407553772502823</v>
      </c>
      <c r="BZ126" s="204">
        <f t="shared" si="276"/>
        <v>-77.140372754780103</v>
      </c>
      <c r="CA126" s="204">
        <f t="shared" si="276"/>
        <v>-77.878044804144153</v>
      </c>
      <c r="CB126" s="204">
        <f t="shared" si="276"/>
        <v>-78.620481769646403</v>
      </c>
      <c r="CC126" s="204">
        <f t="shared" si="276"/>
        <v>-79.36759710150919</v>
      </c>
      <c r="CD126" s="204">
        <f t="shared" si="276"/>
        <v>-80.119305822042122</v>
      </c>
      <c r="CE126" s="204">
        <f t="shared" si="276"/>
        <v>-80.87552449708673</v>
      </c>
      <c r="CF126" s="204">
        <f t="shared" si="276"/>
        <v>-81.636171207979814</v>
      </c>
      <c r="CG126" s="204">
        <f t="shared" si="276"/>
        <v>-82.401165524026041</v>
      </c>
      <c r="CH126" s="204">
        <f t="shared" si="276"/>
        <v>-83.170428475470544</v>
      </c>
      <c r="CI126" s="204">
        <f t="shared" si="276"/>
        <v>-83.943882526962454</v>
      </c>
      <c r="CJ126" s="204">
        <f t="shared" si="276"/>
        <v>-84.721451551500408</v>
      </c>
      <c r="CK126" s="204">
        <f t="shared" si="276"/>
        <v>-85.503060804851359</v>
      </c>
      <c r="CL126" s="204">
        <f t="shared" si="276"/>
        <v>-86.288636900434042</v>
      </c>
      <c r="CM126" s="204">
        <f t="shared" si="276"/>
        <v>-87.07810778465857</v>
      </c>
      <c r="CN126" s="204">
        <f t="shared" si="276"/>
        <v>-87.871402712714072</v>
      </c>
      <c r="CO126" s="204">
        <f t="shared" si="276"/>
        <v>-88.668452224796056</v>
      </c>
      <c r="CP126" s="204">
        <f t="shared" si="276"/>
        <v>-89.469188122765601</v>
      </c>
      <c r="CQ126" s="204">
        <f t="shared" si="276"/>
        <v>-90.273543447232512</v>
      </c>
      <c r="CR126" s="204">
        <f t="shared" si="276"/>
        <v>-91.081452455054702</v>
      </c>
      <c r="CS126" s="204">
        <f t="shared" si="276"/>
        <v>-91.892850597246365</v>
      </c>
      <c r="CT126" s="204">
        <f t="shared" si="276"/>
        <v>-92.707674497287258</v>
      </c>
      <c r="CU126" s="204">
        <f t="shared" si="276"/>
        <v>-93.525861929826178</v>
      </c>
      <c r="CV126" s="204">
        <f t="shared" si="276"/>
        <v>-94.347351799771133</v>
      </c>
      <c r="CW126" s="204">
        <f t="shared" si="276"/>
        <v>-95.172084121759283</v>
      </c>
      <c r="CX126" s="204">
        <f t="shared" si="276"/>
        <v>-96</v>
      </c>
      <c r="CY126" s="204">
        <f t="shared" si="276"/>
        <v>-96</v>
      </c>
      <c r="CZ126" s="204">
        <f t="shared" si="276"/>
        <v>-96</v>
      </c>
      <c r="DA126" s="204">
        <f t="shared" si="276"/>
        <v>-96</v>
      </c>
      <c r="DB126" s="204">
        <f t="shared" si="276"/>
        <v>-96</v>
      </c>
      <c r="DC126" s="204">
        <f t="shared" si="276"/>
        <v>-96</v>
      </c>
      <c r="DD126" s="204">
        <f t="shared" si="276"/>
        <v>-96</v>
      </c>
      <c r="DE126" s="204">
        <f t="shared" si="276"/>
        <v>-96</v>
      </c>
      <c r="DF126" s="204">
        <f t="shared" si="276"/>
        <v>-96</v>
      </c>
      <c r="DG126" s="204">
        <f t="shared" si="276"/>
        <v>-96</v>
      </c>
      <c r="DH126" s="204">
        <f t="shared" si="276"/>
        <v>-96</v>
      </c>
      <c r="DI126" s="204">
        <f t="shared" si="276"/>
        <v>-96</v>
      </c>
      <c r="DJ126" s="204">
        <f t="shared" si="276"/>
        <v>-96</v>
      </c>
      <c r="DK126" s="204">
        <f t="shared" si="276"/>
        <v>-96</v>
      </c>
      <c r="DL126" s="204">
        <f t="shared" si="276"/>
        <v>-96</v>
      </c>
      <c r="DM126" s="204">
        <f t="shared" si="276"/>
        <v>-96</v>
      </c>
      <c r="DN126" s="204">
        <f t="shared" si="276"/>
        <v>-96</v>
      </c>
      <c r="DO126" s="204">
        <f t="shared" si="276"/>
        <v>-96</v>
      </c>
      <c r="DP126" s="204">
        <f t="shared" si="276"/>
        <v>-96</v>
      </c>
      <c r="DQ126" s="204">
        <f t="shared" si="276"/>
        <v>-96</v>
      </c>
      <c r="DR126" s="204">
        <f t="shared" si="276"/>
        <v>-96</v>
      </c>
      <c r="DS126" s="204">
        <f t="shared" si="276"/>
        <v>-96</v>
      </c>
      <c r="DT126" s="204">
        <f t="shared" si="276"/>
        <v>-96</v>
      </c>
      <c r="DU126" s="204">
        <f t="shared" si="276"/>
        <v>-96</v>
      </c>
      <c r="DV126" s="204">
        <f t="shared" si="276"/>
        <v>-96</v>
      </c>
      <c r="DW126" s="204">
        <f t="shared" si="276"/>
        <v>-96</v>
      </c>
      <c r="DX126" s="204">
        <f t="shared" si="276"/>
        <v>-96</v>
      </c>
      <c r="DY126" s="204">
        <f t="shared" si="276"/>
        <v>-96</v>
      </c>
      <c r="DZ126" s="204">
        <f t="shared" si="276"/>
        <v>-96</v>
      </c>
      <c r="EA126" s="204">
        <f t="shared" si="276"/>
        <v>-96</v>
      </c>
      <c r="EB126" s="204">
        <f t="shared" si="276"/>
        <v>-96</v>
      </c>
      <c r="EC126" s="204">
        <f t="shared" si="276"/>
        <v>-96</v>
      </c>
      <c r="ED126" s="204">
        <f t="shared" si="276"/>
        <v>-96</v>
      </c>
      <c r="EE126" s="204">
        <f t="shared" si="276"/>
        <v>-96</v>
      </c>
      <c r="EF126" s="204">
        <f t="shared" ref="EF126:ET126" si="277">PV($F80,EF$9,1,0)+(PV($J$6,$N$5-(EF$9),1,0)/($J$6+1)^EF$9)</f>
        <v>-96</v>
      </c>
      <c r="EG126" s="204">
        <f t="shared" si="277"/>
        <v>-96</v>
      </c>
      <c r="EH126" s="204">
        <f t="shared" si="277"/>
        <v>-96</v>
      </c>
      <c r="EI126" s="204">
        <f t="shared" si="277"/>
        <v>-96</v>
      </c>
      <c r="EJ126" s="204">
        <f t="shared" si="277"/>
        <v>-96</v>
      </c>
      <c r="EK126" s="204">
        <f t="shared" si="277"/>
        <v>-96</v>
      </c>
      <c r="EL126" s="204">
        <f t="shared" si="277"/>
        <v>-96</v>
      </c>
      <c r="EM126" s="204">
        <f t="shared" si="277"/>
        <v>-96</v>
      </c>
      <c r="EN126" s="204">
        <f t="shared" si="277"/>
        <v>-96</v>
      </c>
      <c r="EO126" s="204">
        <f t="shared" si="277"/>
        <v>-96</v>
      </c>
      <c r="EP126" s="204">
        <f t="shared" si="277"/>
        <v>-96</v>
      </c>
      <c r="EQ126" s="204">
        <f t="shared" si="277"/>
        <v>-96</v>
      </c>
      <c r="ER126" s="204">
        <f t="shared" si="277"/>
        <v>-96</v>
      </c>
      <c r="ES126" s="204">
        <f t="shared" si="277"/>
        <v>-96</v>
      </c>
      <c r="ET126" s="204">
        <f t="shared" si="277"/>
        <v>-96</v>
      </c>
      <c r="FF126" s="6" t="s">
        <v>3035</v>
      </c>
      <c r="FG126" s="696">
        <v>2.5000000000000001E-2</v>
      </c>
      <c r="FH126" s="696">
        <v>120</v>
      </c>
      <c r="FI126" s="696">
        <v>2.0299999999999999E-2</v>
      </c>
      <c r="FJ126" s="255">
        <v>1.55E-2</v>
      </c>
      <c r="FK126" s="71">
        <f t="shared" si="126"/>
        <v>2.2619047619047624E-4</v>
      </c>
      <c r="FL126" t="e">
        <f>VLOOKUP(FF126,'SIMULADOR COM SALDO'!$BX$22:$CK$1000,13,FALSE)</f>
        <v>#N/A</v>
      </c>
    </row>
    <row r="127" spans="7:168" x14ac:dyDescent="0.25">
      <c r="G127" s="205">
        <f t="shared" si="262"/>
        <v>-44.770373601250576</v>
      </c>
      <c r="H127" s="204">
        <f t="shared" ref="H127:BS127" si="278">PV($F81,H$9,1,0)+(PV($J$6,$N$5-(H$9),1,0)/($J$6+1)^H$9)</f>
        <v>-44.806371604802436</v>
      </c>
      <c r="I127" s="204">
        <f t="shared" si="278"/>
        <v>-44.859879708437063</v>
      </c>
      <c r="J127" s="204">
        <f t="shared" si="278"/>
        <v>-44.930579859281075</v>
      </c>
      <c r="K127" s="204">
        <f t="shared" si="278"/>
        <v>-45.018159781562872</v>
      </c>
      <c r="L127" s="204">
        <f t="shared" si="278"/>
        <v>-45.122312871677551</v>
      </c>
      <c r="M127" s="204">
        <f t="shared" si="278"/>
        <v>-45.24273809515784</v>
      </c>
      <c r="N127" s="204">
        <f t="shared" si="278"/>
        <v>-45.379139885516487</v>
      </c>
      <c r="O127" s="204">
        <f t="shared" si="278"/>
        <v>-45.53122804492606</v>
      </c>
      <c r="P127" s="204">
        <f t="shared" si="278"/>
        <v>-45.698717646702761</v>
      </c>
      <c r="Q127" s="204">
        <f t="shared" si="278"/>
        <v>-45.881328939561598</v>
      </c>
      <c r="R127" s="204">
        <f t="shared" si="278"/>
        <v>-46.078787253610507</v>
      </c>
      <c r="S127" s="204">
        <f t="shared" si="278"/>
        <v>-46.290822908052249</v>
      </c>
      <c r="T127" s="204">
        <f t="shared" si="278"/>
        <v>-46.517171120562551</v>
      </c>
      <c r="U127" s="204">
        <f t="shared" si="278"/>
        <v>-46.75757191831444</v>
      </c>
      <c r="V127" s="204">
        <f t="shared" si="278"/>
        <v>-47.011770050618708</v>
      </c>
      <c r="W127" s="204">
        <f t="shared" si="278"/>
        <v>-47.279514903151124</v>
      </c>
      <c r="X127" s="204">
        <f t="shared" si="278"/>
        <v>-47.560560413737676</v>
      </c>
      <c r="Y127" s="204">
        <f t="shared" si="278"/>
        <v>-47.854664989669509</v>
      </c>
      <c r="Z127" s="204">
        <f t="shared" si="278"/>
        <v>-48.161591426519607</v>
      </c>
      <c r="AA127" s="204">
        <f t="shared" si="278"/>
        <v>-48.481106828434278</v>
      </c>
      <c r="AB127" s="204">
        <f t="shared" si="278"/>
        <v>-48.81298252987235</v>
      </c>
      <c r="AC127" s="204">
        <f t="shared" si="278"/>
        <v>-49.156994018765893</v>
      </c>
      <c r="AD127" s="204">
        <f t="shared" si="278"/>
        <v>-49.51292086107668</v>
      </c>
      <c r="AE127" s="204">
        <f t="shared" si="278"/>
        <v>-49.880546626723003</v>
      </c>
      <c r="AF127" s="204">
        <f t="shared" si="278"/>
        <v>-50.259658816851953</v>
      </c>
      <c r="AG127" s="204">
        <f t="shared" si="278"/>
        <v>-50.650048792432663</v>
      </c>
      <c r="AH127" s="204">
        <f t="shared" si="278"/>
        <v>-51.051511704146662</v>
      </c>
      <c r="AI127" s="204">
        <f t="shared" si="278"/>
        <v>-51.463846423551665</v>
      </c>
      <c r="AJ127" s="204">
        <f t="shared" si="278"/>
        <v>-51.886855475495707</v>
      </c>
      <c r="AK127" s="204">
        <f t="shared" si="278"/>
        <v>-52.320344971758878</v>
      </c>
      <c r="AL127" s="204">
        <f t="shared" si="278"/>
        <v>-52.76412454590043</v>
      </c>
      <c r="AM127" s="204">
        <f t="shared" si="278"/>
        <v>-53.218007289289282</v>
      </c>
      <c r="AN127" s="204">
        <f t="shared" si="278"/>
        <v>-53.681809688296511</v>
      </c>
      <c r="AO127" s="204">
        <f t="shared" si="278"/>
        <v>-54.155351562628589</v>
      </c>
      <c r="AP127" s="204">
        <f t="shared" si="278"/>
        <v>-54.638456004780849</v>
      </c>
      <c r="AQ127" s="204">
        <f t="shared" si="278"/>
        <v>-55.130949320590631</v>
      </c>
      <c r="AR127" s="204">
        <f t="shared" si="278"/>
        <v>-55.632660970870248</v>
      </c>
      <c r="AS127" s="204">
        <f t="shared" si="278"/>
        <v>-56.143423514100107</v>
      </c>
      <c r="AT127" s="204">
        <f t="shared" si="278"/>
        <v>-56.663072550162802</v>
      </c>
      <c r="AU127" s="204">
        <f t="shared" si="278"/>
        <v>-57.191446665099171</v>
      </c>
      <c r="AV127" s="204">
        <f t="shared" si="278"/>
        <v>-57.728387376867829</v>
      </c>
      <c r="AW127" s="204">
        <f t="shared" si="278"/>
        <v>-58.273739082089882</v>
      </c>
      <c r="AX127" s="204">
        <f t="shared" si="278"/>
        <v>-58.827349003761015</v>
      </c>
      <c r="AY127" s="204">
        <f t="shared" si="278"/>
        <v>-59.389067139913323</v>
      </c>
      <c r="AZ127" s="204">
        <f t="shared" si="278"/>
        <v>-59.95874621320965</v>
      </c>
      <c r="BA127" s="204">
        <f t="shared" si="278"/>
        <v>-60.53624162145347</v>
      </c>
      <c r="BB127" s="204">
        <f t="shared" si="278"/>
        <v>-61.121411388997728</v>
      </c>
      <c r="BC127" s="204">
        <f t="shared" si="278"/>
        <v>-61.714116119036262</v>
      </c>
      <c r="BD127" s="204">
        <f t="shared" si="278"/>
        <v>-62.314218946761883</v>
      </c>
      <c r="BE127" s="204">
        <f t="shared" si="278"/>
        <v>-62.921585493375147</v>
      </c>
      <c r="BF127" s="204">
        <f t="shared" si="278"/>
        <v>-63.536083820928674</v>
      </c>
      <c r="BG127" s="204">
        <f t="shared" si="278"/>
        <v>-64.157584387991548</v>
      </c>
      <c r="BH127" s="204">
        <f t="shared" si="278"/>
        <v>-64.785960006119055</v>
      </c>
      <c r="BI127" s="204">
        <f t="shared" si="278"/>
        <v>-65.421085797113165</v>
      </c>
      <c r="BJ127" s="204">
        <f t="shared" si="278"/>
        <v>-66.062839151059279</v>
      </c>
      <c r="BK127" s="204">
        <f t="shared" si="278"/>
        <v>-66.711099685125177</v>
      </c>
      <c r="BL127" s="204">
        <f t="shared" si="278"/>
        <v>-67.365749203108379</v>
      </c>
      <c r="BM127" s="204">
        <f t="shared" si="278"/>
        <v>-68.026671655718303</v>
      </c>
      <c r="BN127" s="204">
        <f t="shared" si="278"/>
        <v>-68.693753101579787</v>
      </c>
      <c r="BO127" s="204">
        <f t="shared" si="278"/>
        <v>-69.366881668945013</v>
      </c>
      <c r="BP127" s="204">
        <f t="shared" si="278"/>
        <v>-70.04594751810086</v>
      </c>
      <c r="BQ127" s="204">
        <f t="shared" si="278"/>
        <v>-70.730842804459073</v>
      </c>
      <c r="BR127" s="204">
        <f t="shared" si="278"/>
        <v>-71.421461642316928</v>
      </c>
      <c r="BS127" s="204">
        <f t="shared" si="278"/>
        <v>-72.117700069276026</v>
      </c>
      <c r="BT127" s="204">
        <f t="shared" ref="BT127:EE127" si="279">PV($F81,BT$9,1,0)+(PV($J$6,$N$5-(BT$9),1,0)/($J$6+1)^BT$9)</f>
        <v>-72.819456011307551</v>
      </c>
      <c r="BU127" s="204">
        <f t="shared" si="279"/>
        <v>-73.526629248451897</v>
      </c>
      <c r="BV127" s="204">
        <f t="shared" si="279"/>
        <v>-74.239121381141487</v>
      </c>
      <c r="BW127" s="204">
        <f t="shared" si="279"/>
        <v>-74.956835797135199</v>
      </c>
      <c r="BX127" s="204">
        <f t="shared" si="279"/>
        <v>-75.679677639053423</v>
      </c>
      <c r="BY127" s="204">
        <f t="shared" si="279"/>
        <v>-76.407553772502823</v>
      </c>
      <c r="BZ127" s="204">
        <f t="shared" si="279"/>
        <v>-77.140372754780103</v>
      </c>
      <c r="CA127" s="204">
        <f t="shared" si="279"/>
        <v>-77.878044804144153</v>
      </c>
      <c r="CB127" s="204">
        <f t="shared" si="279"/>
        <v>-78.620481769646403</v>
      </c>
      <c r="CC127" s="204">
        <f t="shared" si="279"/>
        <v>-79.36759710150919</v>
      </c>
      <c r="CD127" s="204">
        <f t="shared" si="279"/>
        <v>-80.119305822042122</v>
      </c>
      <c r="CE127" s="204">
        <f t="shared" si="279"/>
        <v>-80.87552449708673</v>
      </c>
      <c r="CF127" s="204">
        <f t="shared" si="279"/>
        <v>-81.636171207979814</v>
      </c>
      <c r="CG127" s="204">
        <f t="shared" si="279"/>
        <v>-82.401165524026041</v>
      </c>
      <c r="CH127" s="204">
        <f t="shared" si="279"/>
        <v>-83.170428475470544</v>
      </c>
      <c r="CI127" s="204">
        <f t="shared" si="279"/>
        <v>-83.943882526962454</v>
      </c>
      <c r="CJ127" s="204">
        <f t="shared" si="279"/>
        <v>-84.721451551500408</v>
      </c>
      <c r="CK127" s="204">
        <f t="shared" si="279"/>
        <v>-85.503060804851359</v>
      </c>
      <c r="CL127" s="204">
        <f t="shared" si="279"/>
        <v>-86.288636900434042</v>
      </c>
      <c r="CM127" s="204">
        <f t="shared" si="279"/>
        <v>-87.07810778465857</v>
      </c>
      <c r="CN127" s="204">
        <f t="shared" si="279"/>
        <v>-87.871402712714072</v>
      </c>
      <c r="CO127" s="204">
        <f t="shared" si="279"/>
        <v>-88.668452224796056</v>
      </c>
      <c r="CP127" s="204">
        <f t="shared" si="279"/>
        <v>-89.469188122765601</v>
      </c>
      <c r="CQ127" s="204">
        <f t="shared" si="279"/>
        <v>-90.273543447232512</v>
      </c>
      <c r="CR127" s="204">
        <f t="shared" si="279"/>
        <v>-91.081452455054702</v>
      </c>
      <c r="CS127" s="204">
        <f t="shared" si="279"/>
        <v>-91.892850597246365</v>
      </c>
      <c r="CT127" s="204">
        <f t="shared" si="279"/>
        <v>-92.707674497287258</v>
      </c>
      <c r="CU127" s="204">
        <f t="shared" si="279"/>
        <v>-93.525861929826178</v>
      </c>
      <c r="CV127" s="204">
        <f t="shared" si="279"/>
        <v>-94.347351799771133</v>
      </c>
      <c r="CW127" s="204">
        <f t="shared" si="279"/>
        <v>-95.172084121759283</v>
      </c>
      <c r="CX127" s="204">
        <f t="shared" si="279"/>
        <v>-96</v>
      </c>
      <c r="CY127" s="204">
        <f t="shared" si="279"/>
        <v>-96</v>
      </c>
      <c r="CZ127" s="204">
        <f t="shared" si="279"/>
        <v>-96</v>
      </c>
      <c r="DA127" s="204">
        <f t="shared" si="279"/>
        <v>-96</v>
      </c>
      <c r="DB127" s="204">
        <f t="shared" si="279"/>
        <v>-96</v>
      </c>
      <c r="DC127" s="204">
        <f t="shared" si="279"/>
        <v>-96</v>
      </c>
      <c r="DD127" s="204">
        <f t="shared" si="279"/>
        <v>-96</v>
      </c>
      <c r="DE127" s="204">
        <f t="shared" si="279"/>
        <v>-96</v>
      </c>
      <c r="DF127" s="204">
        <f t="shared" si="279"/>
        <v>-96</v>
      </c>
      <c r="DG127" s="204">
        <f t="shared" si="279"/>
        <v>-96</v>
      </c>
      <c r="DH127" s="204">
        <f t="shared" si="279"/>
        <v>-96</v>
      </c>
      <c r="DI127" s="204">
        <f t="shared" si="279"/>
        <v>-96</v>
      </c>
      <c r="DJ127" s="204">
        <f t="shared" si="279"/>
        <v>-96</v>
      </c>
      <c r="DK127" s="204">
        <f t="shared" si="279"/>
        <v>-96</v>
      </c>
      <c r="DL127" s="204">
        <f t="shared" si="279"/>
        <v>-96</v>
      </c>
      <c r="DM127" s="204">
        <f t="shared" si="279"/>
        <v>-96</v>
      </c>
      <c r="DN127" s="204">
        <f t="shared" si="279"/>
        <v>-96</v>
      </c>
      <c r="DO127" s="204">
        <f t="shared" si="279"/>
        <v>-96</v>
      </c>
      <c r="DP127" s="204">
        <f t="shared" si="279"/>
        <v>-96</v>
      </c>
      <c r="DQ127" s="204">
        <f t="shared" si="279"/>
        <v>-96</v>
      </c>
      <c r="DR127" s="204">
        <f t="shared" si="279"/>
        <v>-96</v>
      </c>
      <c r="DS127" s="204">
        <f t="shared" si="279"/>
        <v>-96</v>
      </c>
      <c r="DT127" s="204">
        <f t="shared" si="279"/>
        <v>-96</v>
      </c>
      <c r="DU127" s="204">
        <f t="shared" si="279"/>
        <v>-96</v>
      </c>
      <c r="DV127" s="204">
        <f t="shared" si="279"/>
        <v>-96</v>
      </c>
      <c r="DW127" s="204">
        <f t="shared" si="279"/>
        <v>-96</v>
      </c>
      <c r="DX127" s="204">
        <f t="shared" si="279"/>
        <v>-96</v>
      </c>
      <c r="DY127" s="204">
        <f t="shared" si="279"/>
        <v>-96</v>
      </c>
      <c r="DZ127" s="204">
        <f t="shared" si="279"/>
        <v>-96</v>
      </c>
      <c r="EA127" s="204">
        <f t="shared" si="279"/>
        <v>-96</v>
      </c>
      <c r="EB127" s="204">
        <f t="shared" si="279"/>
        <v>-96</v>
      </c>
      <c r="EC127" s="204">
        <f t="shared" si="279"/>
        <v>-96</v>
      </c>
      <c r="ED127" s="204">
        <f t="shared" si="279"/>
        <v>-96</v>
      </c>
      <c r="EE127" s="204">
        <f t="shared" si="279"/>
        <v>-96</v>
      </c>
      <c r="EF127" s="204">
        <f t="shared" ref="EF127:ET127" si="280">PV($F81,EF$9,1,0)+(PV($J$6,$N$5-(EF$9),1,0)/($J$6+1)^EF$9)</f>
        <v>-96</v>
      </c>
      <c r="EG127" s="204">
        <f t="shared" si="280"/>
        <v>-96</v>
      </c>
      <c r="EH127" s="204">
        <f t="shared" si="280"/>
        <v>-96</v>
      </c>
      <c r="EI127" s="204">
        <f t="shared" si="280"/>
        <v>-96</v>
      </c>
      <c r="EJ127" s="204">
        <f t="shared" si="280"/>
        <v>-96</v>
      </c>
      <c r="EK127" s="204">
        <f t="shared" si="280"/>
        <v>-96</v>
      </c>
      <c r="EL127" s="204">
        <f t="shared" si="280"/>
        <v>-96</v>
      </c>
      <c r="EM127" s="204">
        <f t="shared" si="280"/>
        <v>-96</v>
      </c>
      <c r="EN127" s="204">
        <f t="shared" si="280"/>
        <v>-96</v>
      </c>
      <c r="EO127" s="204">
        <f t="shared" si="280"/>
        <v>-96</v>
      </c>
      <c r="EP127" s="204">
        <f t="shared" si="280"/>
        <v>-96</v>
      </c>
      <c r="EQ127" s="204">
        <f t="shared" si="280"/>
        <v>-96</v>
      </c>
      <c r="ER127" s="204">
        <f t="shared" si="280"/>
        <v>-96</v>
      </c>
      <c r="ES127" s="204">
        <f t="shared" si="280"/>
        <v>-96</v>
      </c>
      <c r="ET127" s="204">
        <f t="shared" si="280"/>
        <v>-96</v>
      </c>
      <c r="FF127" s="6" t="s">
        <v>334</v>
      </c>
      <c r="FG127" s="696">
        <v>2.5000000000000001E-2</v>
      </c>
      <c r="FH127" s="696">
        <v>96</v>
      </c>
      <c r="FI127" s="696">
        <v>2.1899999999999999E-2</v>
      </c>
      <c r="FJ127" s="255">
        <v>1.5900000000000001E-2</v>
      </c>
      <c r="FK127" s="71">
        <f t="shared" si="126"/>
        <v>2.1666666666666668E-4</v>
      </c>
      <c r="FL127" t="e">
        <f>VLOOKUP(FF127,'SIMULADOR COM SALDO'!$BX$22:$CK$1000,13,FALSE)</f>
        <v>#N/A</v>
      </c>
    </row>
    <row r="128" spans="7:168" x14ac:dyDescent="0.25">
      <c r="G128" s="205">
        <f t="shared" si="262"/>
        <v>-44.770373601250576</v>
      </c>
      <c r="H128" s="204">
        <f t="shared" ref="H128:BS128" si="281">PV($F82,H$9,1,0)+(PV($J$6,$N$5-(H$9),1,0)/($J$6+1)^H$9)</f>
        <v>-44.806371604802436</v>
      </c>
      <c r="I128" s="204">
        <f t="shared" si="281"/>
        <v>-44.859879708437063</v>
      </c>
      <c r="J128" s="204">
        <f t="shared" si="281"/>
        <v>-44.930579859281075</v>
      </c>
      <c r="K128" s="204">
        <f t="shared" si="281"/>
        <v>-45.018159781562872</v>
      </c>
      <c r="L128" s="204">
        <f t="shared" si="281"/>
        <v>-45.122312871677551</v>
      </c>
      <c r="M128" s="204">
        <f t="shared" si="281"/>
        <v>-45.24273809515784</v>
      </c>
      <c r="N128" s="204">
        <f t="shared" si="281"/>
        <v>-45.379139885516487</v>
      </c>
      <c r="O128" s="204">
        <f t="shared" si="281"/>
        <v>-45.53122804492606</v>
      </c>
      <c r="P128" s="204">
        <f t="shared" si="281"/>
        <v>-45.698717646702761</v>
      </c>
      <c r="Q128" s="204">
        <f t="shared" si="281"/>
        <v>-45.881328939561598</v>
      </c>
      <c r="R128" s="204">
        <f t="shared" si="281"/>
        <v>-46.078787253610507</v>
      </c>
      <c r="S128" s="204">
        <f t="shared" si="281"/>
        <v>-46.290822908052249</v>
      </c>
      <c r="T128" s="204">
        <f t="shared" si="281"/>
        <v>-46.517171120562551</v>
      </c>
      <c r="U128" s="204">
        <f t="shared" si="281"/>
        <v>-46.75757191831444</v>
      </c>
      <c r="V128" s="204">
        <f t="shared" si="281"/>
        <v>-47.011770050618708</v>
      </c>
      <c r="W128" s="204">
        <f t="shared" si="281"/>
        <v>-47.279514903151124</v>
      </c>
      <c r="X128" s="204">
        <f t="shared" si="281"/>
        <v>-47.560560413737676</v>
      </c>
      <c r="Y128" s="204">
        <f t="shared" si="281"/>
        <v>-47.854664989669509</v>
      </c>
      <c r="Z128" s="204">
        <f t="shared" si="281"/>
        <v>-48.161591426519607</v>
      </c>
      <c r="AA128" s="204">
        <f t="shared" si="281"/>
        <v>-48.481106828434278</v>
      </c>
      <c r="AB128" s="204">
        <f t="shared" si="281"/>
        <v>-48.81298252987235</v>
      </c>
      <c r="AC128" s="204">
        <f t="shared" si="281"/>
        <v>-49.156994018765893</v>
      </c>
      <c r="AD128" s="204">
        <f t="shared" si="281"/>
        <v>-49.51292086107668</v>
      </c>
      <c r="AE128" s="204">
        <f t="shared" si="281"/>
        <v>-49.880546626723003</v>
      </c>
      <c r="AF128" s="204">
        <f t="shared" si="281"/>
        <v>-50.259658816851953</v>
      </c>
      <c r="AG128" s="204">
        <f t="shared" si="281"/>
        <v>-50.650048792432663</v>
      </c>
      <c r="AH128" s="204">
        <f t="shared" si="281"/>
        <v>-51.051511704146662</v>
      </c>
      <c r="AI128" s="204">
        <f t="shared" si="281"/>
        <v>-51.463846423551665</v>
      </c>
      <c r="AJ128" s="204">
        <f t="shared" si="281"/>
        <v>-51.886855475495707</v>
      </c>
      <c r="AK128" s="204">
        <f t="shared" si="281"/>
        <v>-52.320344971758878</v>
      </c>
      <c r="AL128" s="204">
        <f t="shared" si="281"/>
        <v>-52.76412454590043</v>
      </c>
      <c r="AM128" s="204">
        <f t="shared" si="281"/>
        <v>-53.218007289289282</v>
      </c>
      <c r="AN128" s="204">
        <f t="shared" si="281"/>
        <v>-53.681809688296511</v>
      </c>
      <c r="AO128" s="204">
        <f t="shared" si="281"/>
        <v>-54.155351562628589</v>
      </c>
      <c r="AP128" s="204">
        <f t="shared" si="281"/>
        <v>-54.638456004780849</v>
      </c>
      <c r="AQ128" s="204">
        <f t="shared" si="281"/>
        <v>-55.130949320590631</v>
      </c>
      <c r="AR128" s="204">
        <f t="shared" si="281"/>
        <v>-55.632660970870248</v>
      </c>
      <c r="AS128" s="204">
        <f t="shared" si="281"/>
        <v>-56.143423514100107</v>
      </c>
      <c r="AT128" s="204">
        <f t="shared" si="281"/>
        <v>-56.663072550162802</v>
      </c>
      <c r="AU128" s="204">
        <f t="shared" si="281"/>
        <v>-57.191446665099171</v>
      </c>
      <c r="AV128" s="204">
        <f t="shared" si="281"/>
        <v>-57.728387376867829</v>
      </c>
      <c r="AW128" s="204">
        <f t="shared" si="281"/>
        <v>-58.273739082089882</v>
      </c>
      <c r="AX128" s="204">
        <f t="shared" si="281"/>
        <v>-58.827349003761015</v>
      </c>
      <c r="AY128" s="204">
        <f t="shared" si="281"/>
        <v>-59.389067139913323</v>
      </c>
      <c r="AZ128" s="204">
        <f t="shared" si="281"/>
        <v>-59.95874621320965</v>
      </c>
      <c r="BA128" s="204">
        <f t="shared" si="281"/>
        <v>-60.53624162145347</v>
      </c>
      <c r="BB128" s="204">
        <f t="shared" si="281"/>
        <v>-61.121411388997728</v>
      </c>
      <c r="BC128" s="204">
        <f t="shared" si="281"/>
        <v>-61.714116119036262</v>
      </c>
      <c r="BD128" s="204">
        <f t="shared" si="281"/>
        <v>-62.314218946761883</v>
      </c>
      <c r="BE128" s="204">
        <f t="shared" si="281"/>
        <v>-62.921585493375147</v>
      </c>
      <c r="BF128" s="204">
        <f t="shared" si="281"/>
        <v>-63.536083820928674</v>
      </c>
      <c r="BG128" s="204">
        <f t="shared" si="281"/>
        <v>-64.157584387991548</v>
      </c>
      <c r="BH128" s="204">
        <f t="shared" si="281"/>
        <v>-64.785960006119055</v>
      </c>
      <c r="BI128" s="204">
        <f t="shared" si="281"/>
        <v>-65.421085797113165</v>
      </c>
      <c r="BJ128" s="204">
        <f t="shared" si="281"/>
        <v>-66.062839151059279</v>
      </c>
      <c r="BK128" s="204">
        <f t="shared" si="281"/>
        <v>-66.711099685125177</v>
      </c>
      <c r="BL128" s="204">
        <f t="shared" si="281"/>
        <v>-67.365749203108379</v>
      </c>
      <c r="BM128" s="204">
        <f t="shared" si="281"/>
        <v>-68.026671655718303</v>
      </c>
      <c r="BN128" s="204">
        <f t="shared" si="281"/>
        <v>-68.693753101579787</v>
      </c>
      <c r="BO128" s="204">
        <f t="shared" si="281"/>
        <v>-69.366881668945013</v>
      </c>
      <c r="BP128" s="204">
        <f t="shared" si="281"/>
        <v>-70.04594751810086</v>
      </c>
      <c r="BQ128" s="204">
        <f t="shared" si="281"/>
        <v>-70.730842804459073</v>
      </c>
      <c r="BR128" s="204">
        <f t="shared" si="281"/>
        <v>-71.421461642316928</v>
      </c>
      <c r="BS128" s="204">
        <f t="shared" si="281"/>
        <v>-72.117700069276026</v>
      </c>
      <c r="BT128" s="204">
        <f t="shared" ref="BT128:EE128" si="282">PV($F82,BT$9,1,0)+(PV($J$6,$N$5-(BT$9),1,0)/($J$6+1)^BT$9)</f>
        <v>-72.819456011307551</v>
      </c>
      <c r="BU128" s="204">
        <f t="shared" si="282"/>
        <v>-73.526629248451897</v>
      </c>
      <c r="BV128" s="204">
        <f t="shared" si="282"/>
        <v>-74.239121381141487</v>
      </c>
      <c r="BW128" s="204">
        <f t="shared" si="282"/>
        <v>-74.956835797135199</v>
      </c>
      <c r="BX128" s="204">
        <f t="shared" si="282"/>
        <v>-75.679677639053423</v>
      </c>
      <c r="BY128" s="204">
        <f t="shared" si="282"/>
        <v>-76.407553772502823</v>
      </c>
      <c r="BZ128" s="204">
        <f t="shared" si="282"/>
        <v>-77.140372754780103</v>
      </c>
      <c r="CA128" s="204">
        <f t="shared" si="282"/>
        <v>-77.878044804144153</v>
      </c>
      <c r="CB128" s="204">
        <f t="shared" si="282"/>
        <v>-78.620481769646403</v>
      </c>
      <c r="CC128" s="204">
        <f t="shared" si="282"/>
        <v>-79.36759710150919</v>
      </c>
      <c r="CD128" s="204">
        <f t="shared" si="282"/>
        <v>-80.119305822042122</v>
      </c>
      <c r="CE128" s="204">
        <f t="shared" si="282"/>
        <v>-80.87552449708673</v>
      </c>
      <c r="CF128" s="204">
        <f t="shared" si="282"/>
        <v>-81.636171207979814</v>
      </c>
      <c r="CG128" s="204">
        <f t="shared" si="282"/>
        <v>-82.401165524026041</v>
      </c>
      <c r="CH128" s="204">
        <f t="shared" si="282"/>
        <v>-83.170428475470544</v>
      </c>
      <c r="CI128" s="204">
        <f t="shared" si="282"/>
        <v>-83.943882526962454</v>
      </c>
      <c r="CJ128" s="204">
        <f t="shared" si="282"/>
        <v>-84.721451551500408</v>
      </c>
      <c r="CK128" s="204">
        <f t="shared" si="282"/>
        <v>-85.503060804851359</v>
      </c>
      <c r="CL128" s="204">
        <f t="shared" si="282"/>
        <v>-86.288636900434042</v>
      </c>
      <c r="CM128" s="204">
        <f t="shared" si="282"/>
        <v>-87.07810778465857</v>
      </c>
      <c r="CN128" s="204">
        <f t="shared" si="282"/>
        <v>-87.871402712714072</v>
      </c>
      <c r="CO128" s="204">
        <f t="shared" si="282"/>
        <v>-88.668452224796056</v>
      </c>
      <c r="CP128" s="204">
        <f t="shared" si="282"/>
        <v>-89.469188122765601</v>
      </c>
      <c r="CQ128" s="204">
        <f t="shared" si="282"/>
        <v>-90.273543447232512</v>
      </c>
      <c r="CR128" s="204">
        <f t="shared" si="282"/>
        <v>-91.081452455054702</v>
      </c>
      <c r="CS128" s="204">
        <f t="shared" si="282"/>
        <v>-91.892850597246365</v>
      </c>
      <c r="CT128" s="204">
        <f t="shared" si="282"/>
        <v>-92.707674497287258</v>
      </c>
      <c r="CU128" s="204">
        <f t="shared" si="282"/>
        <v>-93.525861929826178</v>
      </c>
      <c r="CV128" s="204">
        <f t="shared" si="282"/>
        <v>-94.347351799771133</v>
      </c>
      <c r="CW128" s="204">
        <f t="shared" si="282"/>
        <v>-95.172084121759283</v>
      </c>
      <c r="CX128" s="204">
        <f t="shared" si="282"/>
        <v>-96</v>
      </c>
      <c r="CY128" s="204">
        <f t="shared" si="282"/>
        <v>-96</v>
      </c>
      <c r="CZ128" s="204">
        <f t="shared" si="282"/>
        <v>-96</v>
      </c>
      <c r="DA128" s="204">
        <f t="shared" si="282"/>
        <v>-96</v>
      </c>
      <c r="DB128" s="204">
        <f t="shared" si="282"/>
        <v>-96</v>
      </c>
      <c r="DC128" s="204">
        <f t="shared" si="282"/>
        <v>-96</v>
      </c>
      <c r="DD128" s="204">
        <f t="shared" si="282"/>
        <v>-96</v>
      </c>
      <c r="DE128" s="204">
        <f t="shared" si="282"/>
        <v>-96</v>
      </c>
      <c r="DF128" s="204">
        <f t="shared" si="282"/>
        <v>-96</v>
      </c>
      <c r="DG128" s="204">
        <f t="shared" si="282"/>
        <v>-96</v>
      </c>
      <c r="DH128" s="204">
        <f t="shared" si="282"/>
        <v>-96</v>
      </c>
      <c r="DI128" s="204">
        <f t="shared" si="282"/>
        <v>-96</v>
      </c>
      <c r="DJ128" s="204">
        <f t="shared" si="282"/>
        <v>-96</v>
      </c>
      <c r="DK128" s="204">
        <f t="shared" si="282"/>
        <v>-96</v>
      </c>
      <c r="DL128" s="204">
        <f t="shared" si="282"/>
        <v>-96</v>
      </c>
      <c r="DM128" s="204">
        <f t="shared" si="282"/>
        <v>-96</v>
      </c>
      <c r="DN128" s="204">
        <f t="shared" si="282"/>
        <v>-96</v>
      </c>
      <c r="DO128" s="204">
        <f t="shared" si="282"/>
        <v>-96</v>
      </c>
      <c r="DP128" s="204">
        <f t="shared" si="282"/>
        <v>-96</v>
      </c>
      <c r="DQ128" s="204">
        <f t="shared" si="282"/>
        <v>-96</v>
      </c>
      <c r="DR128" s="204">
        <f t="shared" si="282"/>
        <v>-96</v>
      </c>
      <c r="DS128" s="204">
        <f t="shared" si="282"/>
        <v>-96</v>
      </c>
      <c r="DT128" s="204">
        <f t="shared" si="282"/>
        <v>-96</v>
      </c>
      <c r="DU128" s="204">
        <f t="shared" si="282"/>
        <v>-96</v>
      </c>
      <c r="DV128" s="204">
        <f t="shared" si="282"/>
        <v>-96</v>
      </c>
      <c r="DW128" s="204">
        <f t="shared" si="282"/>
        <v>-96</v>
      </c>
      <c r="DX128" s="204">
        <f t="shared" si="282"/>
        <v>-96</v>
      </c>
      <c r="DY128" s="204">
        <f t="shared" si="282"/>
        <v>-96</v>
      </c>
      <c r="DZ128" s="204">
        <f t="shared" si="282"/>
        <v>-96</v>
      </c>
      <c r="EA128" s="204">
        <f t="shared" si="282"/>
        <v>-96</v>
      </c>
      <c r="EB128" s="204">
        <f t="shared" si="282"/>
        <v>-96</v>
      </c>
      <c r="EC128" s="204">
        <f t="shared" si="282"/>
        <v>-96</v>
      </c>
      <c r="ED128" s="204">
        <f t="shared" si="282"/>
        <v>-96</v>
      </c>
      <c r="EE128" s="204">
        <f t="shared" si="282"/>
        <v>-96</v>
      </c>
      <c r="EF128" s="204">
        <f t="shared" ref="EF128:ET128" si="283">PV($F82,EF$9,1,0)+(PV($J$6,$N$5-(EF$9),1,0)/($J$6+1)^EF$9)</f>
        <v>-96</v>
      </c>
      <c r="EG128" s="204">
        <f t="shared" si="283"/>
        <v>-96</v>
      </c>
      <c r="EH128" s="204">
        <f t="shared" si="283"/>
        <v>-96</v>
      </c>
      <c r="EI128" s="204">
        <f t="shared" si="283"/>
        <v>-96</v>
      </c>
      <c r="EJ128" s="204">
        <f t="shared" si="283"/>
        <v>-96</v>
      </c>
      <c r="EK128" s="204">
        <f t="shared" si="283"/>
        <v>-96</v>
      </c>
      <c r="EL128" s="204">
        <f t="shared" si="283"/>
        <v>-96</v>
      </c>
      <c r="EM128" s="204">
        <f t="shared" si="283"/>
        <v>-96</v>
      </c>
      <c r="EN128" s="204">
        <f t="shared" si="283"/>
        <v>-96</v>
      </c>
      <c r="EO128" s="204">
        <f t="shared" si="283"/>
        <v>-96</v>
      </c>
      <c r="EP128" s="204">
        <f t="shared" si="283"/>
        <v>-96</v>
      </c>
      <c r="EQ128" s="204">
        <f t="shared" si="283"/>
        <v>-96</v>
      </c>
      <c r="ER128" s="204">
        <f t="shared" si="283"/>
        <v>-96</v>
      </c>
      <c r="ES128" s="204">
        <f t="shared" si="283"/>
        <v>-96</v>
      </c>
      <c r="ET128" s="204">
        <f t="shared" si="283"/>
        <v>-96</v>
      </c>
      <c r="FF128" s="67" t="s">
        <v>634</v>
      </c>
      <c r="FG128" s="696">
        <v>2.5000000000000001E-2</v>
      </c>
      <c r="FH128" s="696">
        <v>120</v>
      </c>
      <c r="FI128" s="696">
        <v>2.2499999999999999E-2</v>
      </c>
      <c r="FJ128" s="255">
        <v>1.6E-2</v>
      </c>
      <c r="FK128" s="71">
        <f t="shared" si="126"/>
        <v>2.142857142857143E-4</v>
      </c>
      <c r="FL128" t="e">
        <f>VLOOKUP(FF128,'SIMULADOR COM SALDO'!$BX$22:$CK$1000,13,FALSE)</f>
        <v>#N/A</v>
      </c>
    </row>
    <row r="129" spans="7:168" x14ac:dyDescent="0.25">
      <c r="G129" s="205">
        <f t="shared" si="262"/>
        <v>-44.770373601250576</v>
      </c>
      <c r="H129" s="204">
        <f t="shared" ref="H129:BS129" si="284">PV($F83,H$9,1,0)+(PV($J$6,$N$5-(H$9),1,0)/($J$6+1)^H$9)</f>
        <v>-44.806371604802436</v>
      </c>
      <c r="I129" s="204">
        <f t="shared" si="284"/>
        <v>-44.859879708437063</v>
      </c>
      <c r="J129" s="204">
        <f t="shared" si="284"/>
        <v>-44.930579859281075</v>
      </c>
      <c r="K129" s="204">
        <f t="shared" si="284"/>
        <v>-45.018159781562872</v>
      </c>
      <c r="L129" s="204">
        <f t="shared" si="284"/>
        <v>-45.122312871677551</v>
      </c>
      <c r="M129" s="204">
        <f t="shared" si="284"/>
        <v>-45.24273809515784</v>
      </c>
      <c r="N129" s="204">
        <f t="shared" si="284"/>
        <v>-45.379139885516487</v>
      </c>
      <c r="O129" s="204">
        <f t="shared" si="284"/>
        <v>-45.53122804492606</v>
      </c>
      <c r="P129" s="204">
        <f t="shared" si="284"/>
        <v>-45.698717646702761</v>
      </c>
      <c r="Q129" s="204">
        <f t="shared" si="284"/>
        <v>-45.881328939561598</v>
      </c>
      <c r="R129" s="204">
        <f t="shared" si="284"/>
        <v>-46.078787253610507</v>
      </c>
      <c r="S129" s="204">
        <f t="shared" si="284"/>
        <v>-46.290822908052249</v>
      </c>
      <c r="T129" s="204">
        <f t="shared" si="284"/>
        <v>-46.517171120562551</v>
      </c>
      <c r="U129" s="204">
        <f t="shared" si="284"/>
        <v>-46.75757191831444</v>
      </c>
      <c r="V129" s="204">
        <f t="shared" si="284"/>
        <v>-47.011770050618708</v>
      </c>
      <c r="W129" s="204">
        <f t="shared" si="284"/>
        <v>-47.279514903151124</v>
      </c>
      <c r="X129" s="204">
        <f t="shared" si="284"/>
        <v>-47.560560413737676</v>
      </c>
      <c r="Y129" s="204">
        <f t="shared" si="284"/>
        <v>-47.854664989669509</v>
      </c>
      <c r="Z129" s="204">
        <f t="shared" si="284"/>
        <v>-48.161591426519607</v>
      </c>
      <c r="AA129" s="204">
        <f t="shared" si="284"/>
        <v>-48.481106828434278</v>
      </c>
      <c r="AB129" s="204">
        <f t="shared" si="284"/>
        <v>-48.81298252987235</v>
      </c>
      <c r="AC129" s="204">
        <f t="shared" si="284"/>
        <v>-49.156994018765893</v>
      </c>
      <c r="AD129" s="204">
        <f t="shared" si="284"/>
        <v>-49.51292086107668</v>
      </c>
      <c r="AE129" s="204">
        <f t="shared" si="284"/>
        <v>-49.880546626723003</v>
      </c>
      <c r="AF129" s="204">
        <f t="shared" si="284"/>
        <v>-50.259658816851953</v>
      </c>
      <c r="AG129" s="204">
        <f t="shared" si="284"/>
        <v>-50.650048792432663</v>
      </c>
      <c r="AH129" s="204">
        <f t="shared" si="284"/>
        <v>-51.051511704146662</v>
      </c>
      <c r="AI129" s="204">
        <f t="shared" si="284"/>
        <v>-51.463846423551665</v>
      </c>
      <c r="AJ129" s="204">
        <f t="shared" si="284"/>
        <v>-51.886855475495707</v>
      </c>
      <c r="AK129" s="204">
        <f t="shared" si="284"/>
        <v>-52.320344971758878</v>
      </c>
      <c r="AL129" s="204">
        <f t="shared" si="284"/>
        <v>-52.76412454590043</v>
      </c>
      <c r="AM129" s="204">
        <f t="shared" si="284"/>
        <v>-53.218007289289282</v>
      </c>
      <c r="AN129" s="204">
        <f t="shared" si="284"/>
        <v>-53.681809688296511</v>
      </c>
      <c r="AO129" s="204">
        <f t="shared" si="284"/>
        <v>-54.155351562628589</v>
      </c>
      <c r="AP129" s="204">
        <f t="shared" si="284"/>
        <v>-54.638456004780849</v>
      </c>
      <c r="AQ129" s="204">
        <f t="shared" si="284"/>
        <v>-55.130949320590631</v>
      </c>
      <c r="AR129" s="204">
        <f t="shared" si="284"/>
        <v>-55.632660970870248</v>
      </c>
      <c r="AS129" s="204">
        <f t="shared" si="284"/>
        <v>-56.143423514100107</v>
      </c>
      <c r="AT129" s="204">
        <f t="shared" si="284"/>
        <v>-56.663072550162802</v>
      </c>
      <c r="AU129" s="204">
        <f t="shared" si="284"/>
        <v>-57.191446665099171</v>
      </c>
      <c r="AV129" s="204">
        <f t="shared" si="284"/>
        <v>-57.728387376867829</v>
      </c>
      <c r="AW129" s="204">
        <f t="shared" si="284"/>
        <v>-58.273739082089882</v>
      </c>
      <c r="AX129" s="204">
        <f t="shared" si="284"/>
        <v>-58.827349003761015</v>
      </c>
      <c r="AY129" s="204">
        <f t="shared" si="284"/>
        <v>-59.389067139913323</v>
      </c>
      <c r="AZ129" s="204">
        <f t="shared" si="284"/>
        <v>-59.95874621320965</v>
      </c>
      <c r="BA129" s="204">
        <f t="shared" si="284"/>
        <v>-60.53624162145347</v>
      </c>
      <c r="BB129" s="204">
        <f t="shared" si="284"/>
        <v>-61.121411388997728</v>
      </c>
      <c r="BC129" s="204">
        <f t="shared" si="284"/>
        <v>-61.714116119036262</v>
      </c>
      <c r="BD129" s="204">
        <f t="shared" si="284"/>
        <v>-62.314218946761883</v>
      </c>
      <c r="BE129" s="204">
        <f t="shared" si="284"/>
        <v>-62.921585493375147</v>
      </c>
      <c r="BF129" s="204">
        <f t="shared" si="284"/>
        <v>-63.536083820928674</v>
      </c>
      <c r="BG129" s="204">
        <f t="shared" si="284"/>
        <v>-64.157584387991548</v>
      </c>
      <c r="BH129" s="204">
        <f t="shared" si="284"/>
        <v>-64.785960006119055</v>
      </c>
      <c r="BI129" s="204">
        <f t="shared" si="284"/>
        <v>-65.421085797113165</v>
      </c>
      <c r="BJ129" s="204">
        <f t="shared" si="284"/>
        <v>-66.062839151059279</v>
      </c>
      <c r="BK129" s="204">
        <f t="shared" si="284"/>
        <v>-66.711099685125177</v>
      </c>
      <c r="BL129" s="204">
        <f t="shared" si="284"/>
        <v>-67.365749203108379</v>
      </c>
      <c r="BM129" s="204">
        <f t="shared" si="284"/>
        <v>-68.026671655718303</v>
      </c>
      <c r="BN129" s="204">
        <f t="shared" si="284"/>
        <v>-68.693753101579787</v>
      </c>
      <c r="BO129" s="204">
        <f t="shared" si="284"/>
        <v>-69.366881668945013</v>
      </c>
      <c r="BP129" s="204">
        <f t="shared" si="284"/>
        <v>-70.04594751810086</v>
      </c>
      <c r="BQ129" s="204">
        <f t="shared" si="284"/>
        <v>-70.730842804459073</v>
      </c>
      <c r="BR129" s="204">
        <f t="shared" si="284"/>
        <v>-71.421461642316928</v>
      </c>
      <c r="BS129" s="204">
        <f t="shared" si="284"/>
        <v>-72.117700069276026</v>
      </c>
      <c r="BT129" s="204">
        <f t="shared" ref="BT129:EE129" si="285">PV($F83,BT$9,1,0)+(PV($J$6,$N$5-(BT$9),1,0)/($J$6+1)^BT$9)</f>
        <v>-72.819456011307551</v>
      </c>
      <c r="BU129" s="204">
        <f t="shared" si="285"/>
        <v>-73.526629248451897</v>
      </c>
      <c r="BV129" s="204">
        <f t="shared" si="285"/>
        <v>-74.239121381141487</v>
      </c>
      <c r="BW129" s="204">
        <f t="shared" si="285"/>
        <v>-74.956835797135199</v>
      </c>
      <c r="BX129" s="204">
        <f t="shared" si="285"/>
        <v>-75.679677639053423</v>
      </c>
      <c r="BY129" s="204">
        <f t="shared" si="285"/>
        <v>-76.407553772502823</v>
      </c>
      <c r="BZ129" s="204">
        <f t="shared" si="285"/>
        <v>-77.140372754780103</v>
      </c>
      <c r="CA129" s="204">
        <f t="shared" si="285"/>
        <v>-77.878044804144153</v>
      </c>
      <c r="CB129" s="204">
        <f t="shared" si="285"/>
        <v>-78.620481769646403</v>
      </c>
      <c r="CC129" s="204">
        <f t="shared" si="285"/>
        <v>-79.36759710150919</v>
      </c>
      <c r="CD129" s="204">
        <f t="shared" si="285"/>
        <v>-80.119305822042122</v>
      </c>
      <c r="CE129" s="204">
        <f t="shared" si="285"/>
        <v>-80.87552449708673</v>
      </c>
      <c r="CF129" s="204">
        <f t="shared" si="285"/>
        <v>-81.636171207979814</v>
      </c>
      <c r="CG129" s="204">
        <f t="shared" si="285"/>
        <v>-82.401165524026041</v>
      </c>
      <c r="CH129" s="204">
        <f t="shared" si="285"/>
        <v>-83.170428475470544</v>
      </c>
      <c r="CI129" s="204">
        <f t="shared" si="285"/>
        <v>-83.943882526962454</v>
      </c>
      <c r="CJ129" s="204">
        <f t="shared" si="285"/>
        <v>-84.721451551500408</v>
      </c>
      <c r="CK129" s="204">
        <f t="shared" si="285"/>
        <v>-85.503060804851359</v>
      </c>
      <c r="CL129" s="204">
        <f t="shared" si="285"/>
        <v>-86.288636900434042</v>
      </c>
      <c r="CM129" s="204">
        <f t="shared" si="285"/>
        <v>-87.07810778465857</v>
      </c>
      <c r="CN129" s="204">
        <f t="shared" si="285"/>
        <v>-87.871402712714072</v>
      </c>
      <c r="CO129" s="204">
        <f t="shared" si="285"/>
        <v>-88.668452224796056</v>
      </c>
      <c r="CP129" s="204">
        <f t="shared" si="285"/>
        <v>-89.469188122765601</v>
      </c>
      <c r="CQ129" s="204">
        <f t="shared" si="285"/>
        <v>-90.273543447232512</v>
      </c>
      <c r="CR129" s="204">
        <f t="shared" si="285"/>
        <v>-91.081452455054702</v>
      </c>
      <c r="CS129" s="204">
        <f t="shared" si="285"/>
        <v>-91.892850597246365</v>
      </c>
      <c r="CT129" s="204">
        <f t="shared" si="285"/>
        <v>-92.707674497287258</v>
      </c>
      <c r="CU129" s="204">
        <f t="shared" si="285"/>
        <v>-93.525861929826178</v>
      </c>
      <c r="CV129" s="204">
        <f t="shared" si="285"/>
        <v>-94.347351799771133</v>
      </c>
      <c r="CW129" s="204">
        <f t="shared" si="285"/>
        <v>-95.172084121759283</v>
      </c>
      <c r="CX129" s="204">
        <f t="shared" si="285"/>
        <v>-96</v>
      </c>
      <c r="CY129" s="204">
        <f t="shared" si="285"/>
        <v>-96</v>
      </c>
      <c r="CZ129" s="204">
        <f t="shared" si="285"/>
        <v>-96</v>
      </c>
      <c r="DA129" s="204">
        <f t="shared" si="285"/>
        <v>-96</v>
      </c>
      <c r="DB129" s="204">
        <f t="shared" si="285"/>
        <v>-96</v>
      </c>
      <c r="DC129" s="204">
        <f t="shared" si="285"/>
        <v>-96</v>
      </c>
      <c r="DD129" s="204">
        <f t="shared" si="285"/>
        <v>-96</v>
      </c>
      <c r="DE129" s="204">
        <f t="shared" si="285"/>
        <v>-96</v>
      </c>
      <c r="DF129" s="204">
        <f t="shared" si="285"/>
        <v>-96</v>
      </c>
      <c r="DG129" s="204">
        <f t="shared" si="285"/>
        <v>-96</v>
      </c>
      <c r="DH129" s="204">
        <f t="shared" si="285"/>
        <v>-96</v>
      </c>
      <c r="DI129" s="204">
        <f t="shared" si="285"/>
        <v>-96</v>
      </c>
      <c r="DJ129" s="204">
        <f t="shared" si="285"/>
        <v>-96</v>
      </c>
      <c r="DK129" s="204">
        <f t="shared" si="285"/>
        <v>-96</v>
      </c>
      <c r="DL129" s="204">
        <f t="shared" si="285"/>
        <v>-96</v>
      </c>
      <c r="DM129" s="204">
        <f t="shared" si="285"/>
        <v>-96</v>
      </c>
      <c r="DN129" s="204">
        <f t="shared" si="285"/>
        <v>-96</v>
      </c>
      <c r="DO129" s="204">
        <f t="shared" si="285"/>
        <v>-96</v>
      </c>
      <c r="DP129" s="204">
        <f t="shared" si="285"/>
        <v>-96</v>
      </c>
      <c r="DQ129" s="204">
        <f t="shared" si="285"/>
        <v>-96</v>
      </c>
      <c r="DR129" s="204">
        <f t="shared" si="285"/>
        <v>-96</v>
      </c>
      <c r="DS129" s="204">
        <f t="shared" si="285"/>
        <v>-96</v>
      </c>
      <c r="DT129" s="204">
        <f t="shared" si="285"/>
        <v>-96</v>
      </c>
      <c r="DU129" s="204">
        <f t="shared" si="285"/>
        <v>-96</v>
      </c>
      <c r="DV129" s="204">
        <f t="shared" si="285"/>
        <v>-96</v>
      </c>
      <c r="DW129" s="204">
        <f t="shared" si="285"/>
        <v>-96</v>
      </c>
      <c r="DX129" s="204">
        <f t="shared" si="285"/>
        <v>-96</v>
      </c>
      <c r="DY129" s="204">
        <f t="shared" si="285"/>
        <v>-96</v>
      </c>
      <c r="DZ129" s="204">
        <f t="shared" si="285"/>
        <v>-96</v>
      </c>
      <c r="EA129" s="204">
        <f t="shared" si="285"/>
        <v>-96</v>
      </c>
      <c r="EB129" s="204">
        <f t="shared" si="285"/>
        <v>-96</v>
      </c>
      <c r="EC129" s="204">
        <f t="shared" si="285"/>
        <v>-96</v>
      </c>
      <c r="ED129" s="204">
        <f t="shared" si="285"/>
        <v>-96</v>
      </c>
      <c r="EE129" s="204">
        <f t="shared" si="285"/>
        <v>-96</v>
      </c>
      <c r="EF129" s="204">
        <f t="shared" ref="EF129:ET129" si="286">PV($F83,EF$9,1,0)+(PV($J$6,$N$5-(EF$9),1,0)/($J$6+1)^EF$9)</f>
        <v>-96</v>
      </c>
      <c r="EG129" s="204">
        <f t="shared" si="286"/>
        <v>-96</v>
      </c>
      <c r="EH129" s="204">
        <f t="shared" si="286"/>
        <v>-96</v>
      </c>
      <c r="EI129" s="204">
        <f t="shared" si="286"/>
        <v>-96</v>
      </c>
      <c r="EJ129" s="204">
        <f t="shared" si="286"/>
        <v>-96</v>
      </c>
      <c r="EK129" s="204">
        <f t="shared" si="286"/>
        <v>-96</v>
      </c>
      <c r="EL129" s="204">
        <f t="shared" si="286"/>
        <v>-96</v>
      </c>
      <c r="EM129" s="204">
        <f t="shared" si="286"/>
        <v>-96</v>
      </c>
      <c r="EN129" s="204">
        <f t="shared" si="286"/>
        <v>-96</v>
      </c>
      <c r="EO129" s="204">
        <f t="shared" si="286"/>
        <v>-96</v>
      </c>
      <c r="EP129" s="204">
        <f t="shared" si="286"/>
        <v>-96</v>
      </c>
      <c r="EQ129" s="204">
        <f t="shared" si="286"/>
        <v>-96</v>
      </c>
      <c r="ER129" s="204">
        <f t="shared" si="286"/>
        <v>-96</v>
      </c>
      <c r="ES129" s="204">
        <f t="shared" si="286"/>
        <v>-96</v>
      </c>
      <c r="ET129" s="204">
        <f t="shared" si="286"/>
        <v>-96</v>
      </c>
      <c r="FF129" s="6" t="s">
        <v>964</v>
      </c>
      <c r="FG129" s="696">
        <v>2.5000000000000001E-2</v>
      </c>
      <c r="FH129" s="696">
        <v>120</v>
      </c>
      <c r="FI129" s="696">
        <v>1.89E-2</v>
      </c>
      <c r="FJ129" s="255">
        <v>1.43E-2</v>
      </c>
      <c r="FK129" s="71">
        <f t="shared" si="126"/>
        <v>2.5476190476190477E-4</v>
      </c>
      <c r="FL129" t="e">
        <f>VLOOKUP(FF129,'SIMULADOR COM SALDO'!$BX$22:$CK$1000,13,FALSE)</f>
        <v>#N/A</v>
      </c>
    </row>
    <row r="130" spans="7:168" x14ac:dyDescent="0.25">
      <c r="G130" s="205">
        <f t="shared" si="262"/>
        <v>-44.770373601250576</v>
      </c>
      <c r="H130" s="204">
        <f t="shared" ref="H130:BS130" si="287">PV($F84,H$9,1,0)+(PV($J$6,$N$5-(H$9),1,0)/($J$6+1)^H$9)</f>
        <v>-44.806371604802436</v>
      </c>
      <c r="I130" s="204">
        <f t="shared" si="287"/>
        <v>-44.859879708437063</v>
      </c>
      <c r="J130" s="204">
        <f t="shared" si="287"/>
        <v>-44.930579859281075</v>
      </c>
      <c r="K130" s="204">
        <f t="shared" si="287"/>
        <v>-45.018159781562872</v>
      </c>
      <c r="L130" s="204">
        <f t="shared" si="287"/>
        <v>-45.122312871677551</v>
      </c>
      <c r="M130" s="204">
        <f t="shared" si="287"/>
        <v>-45.24273809515784</v>
      </c>
      <c r="N130" s="204">
        <f t="shared" si="287"/>
        <v>-45.379139885516487</v>
      </c>
      <c r="O130" s="204">
        <f t="shared" si="287"/>
        <v>-45.53122804492606</v>
      </c>
      <c r="P130" s="204">
        <f t="shared" si="287"/>
        <v>-45.698717646702761</v>
      </c>
      <c r="Q130" s="204">
        <f t="shared" si="287"/>
        <v>-45.881328939561598</v>
      </c>
      <c r="R130" s="204">
        <f t="shared" si="287"/>
        <v>-46.078787253610507</v>
      </c>
      <c r="S130" s="204">
        <f t="shared" si="287"/>
        <v>-46.290822908052249</v>
      </c>
      <c r="T130" s="204">
        <f t="shared" si="287"/>
        <v>-46.517171120562551</v>
      </c>
      <c r="U130" s="204">
        <f t="shared" si="287"/>
        <v>-46.75757191831444</v>
      </c>
      <c r="V130" s="204">
        <f t="shared" si="287"/>
        <v>-47.011770050618708</v>
      </c>
      <c r="W130" s="204">
        <f t="shared" si="287"/>
        <v>-47.279514903151124</v>
      </c>
      <c r="X130" s="204">
        <f t="shared" si="287"/>
        <v>-47.560560413737676</v>
      </c>
      <c r="Y130" s="204">
        <f t="shared" si="287"/>
        <v>-47.854664989669509</v>
      </c>
      <c r="Z130" s="204">
        <f t="shared" si="287"/>
        <v>-48.161591426519607</v>
      </c>
      <c r="AA130" s="204">
        <f t="shared" si="287"/>
        <v>-48.481106828434278</v>
      </c>
      <c r="AB130" s="204">
        <f t="shared" si="287"/>
        <v>-48.81298252987235</v>
      </c>
      <c r="AC130" s="204">
        <f t="shared" si="287"/>
        <v>-49.156994018765893</v>
      </c>
      <c r="AD130" s="204">
        <f t="shared" si="287"/>
        <v>-49.51292086107668</v>
      </c>
      <c r="AE130" s="204">
        <f t="shared" si="287"/>
        <v>-49.880546626723003</v>
      </c>
      <c r="AF130" s="204">
        <f t="shared" si="287"/>
        <v>-50.259658816851953</v>
      </c>
      <c r="AG130" s="204">
        <f t="shared" si="287"/>
        <v>-50.650048792432663</v>
      </c>
      <c r="AH130" s="204">
        <f t="shared" si="287"/>
        <v>-51.051511704146662</v>
      </c>
      <c r="AI130" s="204">
        <f t="shared" si="287"/>
        <v>-51.463846423551665</v>
      </c>
      <c r="AJ130" s="204">
        <f t="shared" si="287"/>
        <v>-51.886855475495707</v>
      </c>
      <c r="AK130" s="204">
        <f t="shared" si="287"/>
        <v>-52.320344971758878</v>
      </c>
      <c r="AL130" s="204">
        <f t="shared" si="287"/>
        <v>-52.76412454590043</v>
      </c>
      <c r="AM130" s="204">
        <f t="shared" si="287"/>
        <v>-53.218007289289282</v>
      </c>
      <c r="AN130" s="204">
        <f t="shared" si="287"/>
        <v>-53.681809688296511</v>
      </c>
      <c r="AO130" s="204">
        <f t="shared" si="287"/>
        <v>-54.155351562628589</v>
      </c>
      <c r="AP130" s="204">
        <f t="shared" si="287"/>
        <v>-54.638456004780849</v>
      </c>
      <c r="AQ130" s="204">
        <f t="shared" si="287"/>
        <v>-55.130949320590631</v>
      </c>
      <c r="AR130" s="204">
        <f t="shared" si="287"/>
        <v>-55.632660970870248</v>
      </c>
      <c r="AS130" s="204">
        <f t="shared" si="287"/>
        <v>-56.143423514100107</v>
      </c>
      <c r="AT130" s="204">
        <f t="shared" si="287"/>
        <v>-56.663072550162802</v>
      </c>
      <c r="AU130" s="204">
        <f t="shared" si="287"/>
        <v>-57.191446665099171</v>
      </c>
      <c r="AV130" s="204">
        <f t="shared" si="287"/>
        <v>-57.728387376867829</v>
      </c>
      <c r="AW130" s="204">
        <f t="shared" si="287"/>
        <v>-58.273739082089882</v>
      </c>
      <c r="AX130" s="204">
        <f t="shared" si="287"/>
        <v>-58.827349003761015</v>
      </c>
      <c r="AY130" s="204">
        <f t="shared" si="287"/>
        <v>-59.389067139913323</v>
      </c>
      <c r="AZ130" s="204">
        <f t="shared" si="287"/>
        <v>-59.95874621320965</v>
      </c>
      <c r="BA130" s="204">
        <f t="shared" si="287"/>
        <v>-60.53624162145347</v>
      </c>
      <c r="BB130" s="204">
        <f t="shared" si="287"/>
        <v>-61.121411388997728</v>
      </c>
      <c r="BC130" s="204">
        <f t="shared" si="287"/>
        <v>-61.714116119036262</v>
      </c>
      <c r="BD130" s="204">
        <f t="shared" si="287"/>
        <v>-62.314218946761883</v>
      </c>
      <c r="BE130" s="204">
        <f t="shared" si="287"/>
        <v>-62.921585493375147</v>
      </c>
      <c r="BF130" s="204">
        <f t="shared" si="287"/>
        <v>-63.536083820928674</v>
      </c>
      <c r="BG130" s="204">
        <f t="shared" si="287"/>
        <v>-64.157584387991548</v>
      </c>
      <c r="BH130" s="204">
        <f t="shared" si="287"/>
        <v>-64.785960006119055</v>
      </c>
      <c r="BI130" s="204">
        <f t="shared" si="287"/>
        <v>-65.421085797113165</v>
      </c>
      <c r="BJ130" s="204">
        <f t="shared" si="287"/>
        <v>-66.062839151059279</v>
      </c>
      <c r="BK130" s="204">
        <f t="shared" si="287"/>
        <v>-66.711099685125177</v>
      </c>
      <c r="BL130" s="204">
        <f t="shared" si="287"/>
        <v>-67.365749203108379</v>
      </c>
      <c r="BM130" s="204">
        <f t="shared" si="287"/>
        <v>-68.026671655718303</v>
      </c>
      <c r="BN130" s="204">
        <f t="shared" si="287"/>
        <v>-68.693753101579787</v>
      </c>
      <c r="BO130" s="204">
        <f t="shared" si="287"/>
        <v>-69.366881668945013</v>
      </c>
      <c r="BP130" s="204">
        <f t="shared" si="287"/>
        <v>-70.04594751810086</v>
      </c>
      <c r="BQ130" s="204">
        <f t="shared" si="287"/>
        <v>-70.730842804459073</v>
      </c>
      <c r="BR130" s="204">
        <f t="shared" si="287"/>
        <v>-71.421461642316928</v>
      </c>
      <c r="BS130" s="204">
        <f t="shared" si="287"/>
        <v>-72.117700069276026</v>
      </c>
      <c r="BT130" s="204">
        <f t="shared" ref="BT130:EE130" si="288">PV($F84,BT$9,1,0)+(PV($J$6,$N$5-(BT$9),1,0)/($J$6+1)^BT$9)</f>
        <v>-72.819456011307551</v>
      </c>
      <c r="BU130" s="204">
        <f t="shared" si="288"/>
        <v>-73.526629248451897</v>
      </c>
      <c r="BV130" s="204">
        <f t="shared" si="288"/>
        <v>-74.239121381141487</v>
      </c>
      <c r="BW130" s="204">
        <f t="shared" si="288"/>
        <v>-74.956835797135199</v>
      </c>
      <c r="BX130" s="204">
        <f t="shared" si="288"/>
        <v>-75.679677639053423</v>
      </c>
      <c r="BY130" s="204">
        <f t="shared" si="288"/>
        <v>-76.407553772502823</v>
      </c>
      <c r="BZ130" s="204">
        <f t="shared" si="288"/>
        <v>-77.140372754780103</v>
      </c>
      <c r="CA130" s="204">
        <f t="shared" si="288"/>
        <v>-77.878044804144153</v>
      </c>
      <c r="CB130" s="204">
        <f t="shared" si="288"/>
        <v>-78.620481769646403</v>
      </c>
      <c r="CC130" s="204">
        <f t="shared" si="288"/>
        <v>-79.36759710150919</v>
      </c>
      <c r="CD130" s="204">
        <f t="shared" si="288"/>
        <v>-80.119305822042122</v>
      </c>
      <c r="CE130" s="204">
        <f t="shared" si="288"/>
        <v>-80.87552449708673</v>
      </c>
      <c r="CF130" s="204">
        <f t="shared" si="288"/>
        <v>-81.636171207979814</v>
      </c>
      <c r="CG130" s="204">
        <f t="shared" si="288"/>
        <v>-82.401165524026041</v>
      </c>
      <c r="CH130" s="204">
        <f t="shared" si="288"/>
        <v>-83.170428475470544</v>
      </c>
      <c r="CI130" s="204">
        <f t="shared" si="288"/>
        <v>-83.943882526962454</v>
      </c>
      <c r="CJ130" s="204">
        <f t="shared" si="288"/>
        <v>-84.721451551500408</v>
      </c>
      <c r="CK130" s="204">
        <f t="shared" si="288"/>
        <v>-85.503060804851359</v>
      </c>
      <c r="CL130" s="204">
        <f t="shared" si="288"/>
        <v>-86.288636900434042</v>
      </c>
      <c r="CM130" s="204">
        <f t="shared" si="288"/>
        <v>-87.07810778465857</v>
      </c>
      <c r="CN130" s="204">
        <f t="shared" si="288"/>
        <v>-87.871402712714072</v>
      </c>
      <c r="CO130" s="204">
        <f t="shared" si="288"/>
        <v>-88.668452224796056</v>
      </c>
      <c r="CP130" s="204">
        <f t="shared" si="288"/>
        <v>-89.469188122765601</v>
      </c>
      <c r="CQ130" s="204">
        <f t="shared" si="288"/>
        <v>-90.273543447232512</v>
      </c>
      <c r="CR130" s="204">
        <f t="shared" si="288"/>
        <v>-91.081452455054702</v>
      </c>
      <c r="CS130" s="204">
        <f t="shared" si="288"/>
        <v>-91.892850597246365</v>
      </c>
      <c r="CT130" s="204">
        <f t="shared" si="288"/>
        <v>-92.707674497287258</v>
      </c>
      <c r="CU130" s="204">
        <f t="shared" si="288"/>
        <v>-93.525861929826178</v>
      </c>
      <c r="CV130" s="204">
        <f t="shared" si="288"/>
        <v>-94.347351799771133</v>
      </c>
      <c r="CW130" s="204">
        <f t="shared" si="288"/>
        <v>-95.172084121759283</v>
      </c>
      <c r="CX130" s="204">
        <f t="shared" si="288"/>
        <v>-96</v>
      </c>
      <c r="CY130" s="204">
        <f t="shared" si="288"/>
        <v>-96</v>
      </c>
      <c r="CZ130" s="204">
        <f t="shared" si="288"/>
        <v>-96</v>
      </c>
      <c r="DA130" s="204">
        <f t="shared" si="288"/>
        <v>-96</v>
      </c>
      <c r="DB130" s="204">
        <f t="shared" si="288"/>
        <v>-96</v>
      </c>
      <c r="DC130" s="204">
        <f t="shared" si="288"/>
        <v>-96</v>
      </c>
      <c r="DD130" s="204">
        <f t="shared" si="288"/>
        <v>-96</v>
      </c>
      <c r="DE130" s="204">
        <f t="shared" si="288"/>
        <v>-96</v>
      </c>
      <c r="DF130" s="204">
        <f t="shared" si="288"/>
        <v>-96</v>
      </c>
      <c r="DG130" s="204">
        <f t="shared" si="288"/>
        <v>-96</v>
      </c>
      <c r="DH130" s="204">
        <f t="shared" si="288"/>
        <v>-96</v>
      </c>
      <c r="DI130" s="204">
        <f t="shared" si="288"/>
        <v>-96</v>
      </c>
      <c r="DJ130" s="204">
        <f t="shared" si="288"/>
        <v>-96</v>
      </c>
      <c r="DK130" s="204">
        <f t="shared" si="288"/>
        <v>-96</v>
      </c>
      <c r="DL130" s="204">
        <f t="shared" si="288"/>
        <v>-96</v>
      </c>
      <c r="DM130" s="204">
        <f t="shared" si="288"/>
        <v>-96</v>
      </c>
      <c r="DN130" s="204">
        <f t="shared" si="288"/>
        <v>-96</v>
      </c>
      <c r="DO130" s="204">
        <f t="shared" si="288"/>
        <v>-96</v>
      </c>
      <c r="DP130" s="204">
        <f t="shared" si="288"/>
        <v>-96</v>
      </c>
      <c r="DQ130" s="204">
        <f t="shared" si="288"/>
        <v>-96</v>
      </c>
      <c r="DR130" s="204">
        <f t="shared" si="288"/>
        <v>-96</v>
      </c>
      <c r="DS130" s="204">
        <f t="shared" si="288"/>
        <v>-96</v>
      </c>
      <c r="DT130" s="204">
        <f t="shared" si="288"/>
        <v>-96</v>
      </c>
      <c r="DU130" s="204">
        <f t="shared" si="288"/>
        <v>-96</v>
      </c>
      <c r="DV130" s="204">
        <f t="shared" si="288"/>
        <v>-96</v>
      </c>
      <c r="DW130" s="204">
        <f t="shared" si="288"/>
        <v>-96</v>
      </c>
      <c r="DX130" s="204">
        <f t="shared" si="288"/>
        <v>-96</v>
      </c>
      <c r="DY130" s="204">
        <f t="shared" si="288"/>
        <v>-96</v>
      </c>
      <c r="DZ130" s="204">
        <f t="shared" si="288"/>
        <v>-96</v>
      </c>
      <c r="EA130" s="204">
        <f t="shared" si="288"/>
        <v>-96</v>
      </c>
      <c r="EB130" s="204">
        <f t="shared" si="288"/>
        <v>-96</v>
      </c>
      <c r="EC130" s="204">
        <f t="shared" si="288"/>
        <v>-96</v>
      </c>
      <c r="ED130" s="204">
        <f t="shared" si="288"/>
        <v>-96</v>
      </c>
      <c r="EE130" s="204">
        <f t="shared" si="288"/>
        <v>-96</v>
      </c>
      <c r="EF130" s="204">
        <f t="shared" ref="EF130:ET130" si="289">PV($F84,EF$9,1,0)+(PV($J$6,$N$5-(EF$9),1,0)/($J$6+1)^EF$9)</f>
        <v>-96</v>
      </c>
      <c r="EG130" s="204">
        <f t="shared" si="289"/>
        <v>-96</v>
      </c>
      <c r="EH130" s="204">
        <f t="shared" si="289"/>
        <v>-96</v>
      </c>
      <c r="EI130" s="204">
        <f t="shared" si="289"/>
        <v>-96</v>
      </c>
      <c r="EJ130" s="204">
        <f t="shared" si="289"/>
        <v>-96</v>
      </c>
      <c r="EK130" s="204">
        <f t="shared" si="289"/>
        <v>-96</v>
      </c>
      <c r="EL130" s="204">
        <f t="shared" si="289"/>
        <v>-96</v>
      </c>
      <c r="EM130" s="204">
        <f t="shared" si="289"/>
        <v>-96</v>
      </c>
      <c r="EN130" s="204">
        <f t="shared" si="289"/>
        <v>-96</v>
      </c>
      <c r="EO130" s="204">
        <f t="shared" si="289"/>
        <v>-96</v>
      </c>
      <c r="EP130" s="204">
        <f t="shared" si="289"/>
        <v>-96</v>
      </c>
      <c r="EQ130" s="204">
        <f t="shared" si="289"/>
        <v>-96</v>
      </c>
      <c r="ER130" s="204">
        <f t="shared" si="289"/>
        <v>-96</v>
      </c>
      <c r="ES130" s="204">
        <f t="shared" si="289"/>
        <v>-96</v>
      </c>
      <c r="ET130" s="204">
        <f t="shared" si="289"/>
        <v>-96</v>
      </c>
      <c r="FF130" s="6" t="s">
        <v>548</v>
      </c>
      <c r="FG130" s="696">
        <v>2.5000000000000001E-2</v>
      </c>
      <c r="FH130" s="696">
        <v>120</v>
      </c>
      <c r="FI130" s="696">
        <v>1.9400000000000001E-2</v>
      </c>
      <c r="FJ130" s="255">
        <v>1.3600000000000001E-2</v>
      </c>
      <c r="FK130" s="71">
        <f t="shared" si="126"/>
        <v>2.7142857142857144E-4</v>
      </c>
      <c r="FL130" t="e">
        <f>VLOOKUP(FF130,'SIMULADOR COM SALDO'!$BX$22:$CK$1000,13,FALSE)</f>
        <v>#N/A</v>
      </c>
    </row>
    <row r="131" spans="7:168" x14ac:dyDescent="0.25">
      <c r="G131" s="205">
        <f t="shared" si="262"/>
        <v>-44.770373601250576</v>
      </c>
      <c r="H131" s="204">
        <f t="shared" ref="H131:BS131" si="290">PV($F85,H$9,1,0)+(PV($J$6,$N$5-(H$9),1,0)/($J$6+1)^H$9)</f>
        <v>-44.806371604802436</v>
      </c>
      <c r="I131" s="204">
        <f t="shared" si="290"/>
        <v>-44.859879708437063</v>
      </c>
      <c r="J131" s="204">
        <f t="shared" si="290"/>
        <v>-44.930579859281075</v>
      </c>
      <c r="K131" s="204">
        <f t="shared" si="290"/>
        <v>-45.018159781562872</v>
      </c>
      <c r="L131" s="204">
        <f t="shared" si="290"/>
        <v>-45.122312871677551</v>
      </c>
      <c r="M131" s="204">
        <f t="shared" si="290"/>
        <v>-45.24273809515784</v>
      </c>
      <c r="N131" s="204">
        <f t="shared" si="290"/>
        <v>-45.379139885516487</v>
      </c>
      <c r="O131" s="204">
        <f t="shared" si="290"/>
        <v>-45.53122804492606</v>
      </c>
      <c r="P131" s="204">
        <f t="shared" si="290"/>
        <v>-45.698717646702761</v>
      </c>
      <c r="Q131" s="204">
        <f t="shared" si="290"/>
        <v>-45.881328939561598</v>
      </c>
      <c r="R131" s="204">
        <f t="shared" si="290"/>
        <v>-46.078787253610507</v>
      </c>
      <c r="S131" s="204">
        <f t="shared" si="290"/>
        <v>-46.290822908052249</v>
      </c>
      <c r="T131" s="204">
        <f t="shared" si="290"/>
        <v>-46.517171120562551</v>
      </c>
      <c r="U131" s="204">
        <f t="shared" si="290"/>
        <v>-46.75757191831444</v>
      </c>
      <c r="V131" s="204">
        <f t="shared" si="290"/>
        <v>-47.011770050618708</v>
      </c>
      <c r="W131" s="204">
        <f t="shared" si="290"/>
        <v>-47.279514903151124</v>
      </c>
      <c r="X131" s="204">
        <f t="shared" si="290"/>
        <v>-47.560560413737676</v>
      </c>
      <c r="Y131" s="204">
        <f t="shared" si="290"/>
        <v>-47.854664989669509</v>
      </c>
      <c r="Z131" s="204">
        <f t="shared" si="290"/>
        <v>-48.161591426519607</v>
      </c>
      <c r="AA131" s="204">
        <f t="shared" si="290"/>
        <v>-48.481106828434278</v>
      </c>
      <c r="AB131" s="204">
        <f t="shared" si="290"/>
        <v>-48.81298252987235</v>
      </c>
      <c r="AC131" s="204">
        <f t="shared" si="290"/>
        <v>-49.156994018765893</v>
      </c>
      <c r="AD131" s="204">
        <f t="shared" si="290"/>
        <v>-49.51292086107668</v>
      </c>
      <c r="AE131" s="204">
        <f t="shared" si="290"/>
        <v>-49.880546626723003</v>
      </c>
      <c r="AF131" s="204">
        <f t="shared" si="290"/>
        <v>-50.259658816851953</v>
      </c>
      <c r="AG131" s="204">
        <f t="shared" si="290"/>
        <v>-50.650048792432663</v>
      </c>
      <c r="AH131" s="204">
        <f t="shared" si="290"/>
        <v>-51.051511704146662</v>
      </c>
      <c r="AI131" s="204">
        <f t="shared" si="290"/>
        <v>-51.463846423551665</v>
      </c>
      <c r="AJ131" s="204">
        <f t="shared" si="290"/>
        <v>-51.886855475495707</v>
      </c>
      <c r="AK131" s="204">
        <f t="shared" si="290"/>
        <v>-52.320344971758878</v>
      </c>
      <c r="AL131" s="204">
        <f t="shared" si="290"/>
        <v>-52.76412454590043</v>
      </c>
      <c r="AM131" s="204">
        <f t="shared" si="290"/>
        <v>-53.218007289289282</v>
      </c>
      <c r="AN131" s="204">
        <f t="shared" si="290"/>
        <v>-53.681809688296511</v>
      </c>
      <c r="AO131" s="204">
        <f t="shared" si="290"/>
        <v>-54.155351562628589</v>
      </c>
      <c r="AP131" s="204">
        <f t="shared" si="290"/>
        <v>-54.638456004780849</v>
      </c>
      <c r="AQ131" s="204">
        <f t="shared" si="290"/>
        <v>-55.130949320590631</v>
      </c>
      <c r="AR131" s="204">
        <f t="shared" si="290"/>
        <v>-55.632660970870248</v>
      </c>
      <c r="AS131" s="204">
        <f t="shared" si="290"/>
        <v>-56.143423514100107</v>
      </c>
      <c r="AT131" s="204">
        <f t="shared" si="290"/>
        <v>-56.663072550162802</v>
      </c>
      <c r="AU131" s="204">
        <f t="shared" si="290"/>
        <v>-57.191446665099171</v>
      </c>
      <c r="AV131" s="204">
        <f t="shared" si="290"/>
        <v>-57.728387376867829</v>
      </c>
      <c r="AW131" s="204">
        <f t="shared" si="290"/>
        <v>-58.273739082089882</v>
      </c>
      <c r="AX131" s="204">
        <f t="shared" si="290"/>
        <v>-58.827349003761015</v>
      </c>
      <c r="AY131" s="204">
        <f t="shared" si="290"/>
        <v>-59.389067139913323</v>
      </c>
      <c r="AZ131" s="204">
        <f t="shared" si="290"/>
        <v>-59.95874621320965</v>
      </c>
      <c r="BA131" s="204">
        <f t="shared" si="290"/>
        <v>-60.53624162145347</v>
      </c>
      <c r="BB131" s="204">
        <f t="shared" si="290"/>
        <v>-61.121411388997728</v>
      </c>
      <c r="BC131" s="204">
        <f t="shared" si="290"/>
        <v>-61.714116119036262</v>
      </c>
      <c r="BD131" s="204">
        <f t="shared" si="290"/>
        <v>-62.314218946761883</v>
      </c>
      <c r="BE131" s="204">
        <f t="shared" si="290"/>
        <v>-62.921585493375147</v>
      </c>
      <c r="BF131" s="204">
        <f t="shared" si="290"/>
        <v>-63.536083820928674</v>
      </c>
      <c r="BG131" s="204">
        <f t="shared" si="290"/>
        <v>-64.157584387991548</v>
      </c>
      <c r="BH131" s="204">
        <f t="shared" si="290"/>
        <v>-64.785960006119055</v>
      </c>
      <c r="BI131" s="204">
        <f t="shared" si="290"/>
        <v>-65.421085797113165</v>
      </c>
      <c r="BJ131" s="204">
        <f t="shared" si="290"/>
        <v>-66.062839151059279</v>
      </c>
      <c r="BK131" s="204">
        <f t="shared" si="290"/>
        <v>-66.711099685125177</v>
      </c>
      <c r="BL131" s="204">
        <f t="shared" si="290"/>
        <v>-67.365749203108379</v>
      </c>
      <c r="BM131" s="204">
        <f t="shared" si="290"/>
        <v>-68.026671655718303</v>
      </c>
      <c r="BN131" s="204">
        <f t="shared" si="290"/>
        <v>-68.693753101579787</v>
      </c>
      <c r="BO131" s="204">
        <f t="shared" si="290"/>
        <v>-69.366881668945013</v>
      </c>
      <c r="BP131" s="204">
        <f t="shared" si="290"/>
        <v>-70.04594751810086</v>
      </c>
      <c r="BQ131" s="204">
        <f t="shared" si="290"/>
        <v>-70.730842804459073</v>
      </c>
      <c r="BR131" s="204">
        <f t="shared" si="290"/>
        <v>-71.421461642316928</v>
      </c>
      <c r="BS131" s="204">
        <f t="shared" si="290"/>
        <v>-72.117700069276026</v>
      </c>
      <c r="BT131" s="204">
        <f t="shared" ref="BT131:EE131" si="291">PV($F85,BT$9,1,0)+(PV($J$6,$N$5-(BT$9),1,0)/($J$6+1)^BT$9)</f>
        <v>-72.819456011307551</v>
      </c>
      <c r="BU131" s="204">
        <f t="shared" si="291"/>
        <v>-73.526629248451897</v>
      </c>
      <c r="BV131" s="204">
        <f t="shared" si="291"/>
        <v>-74.239121381141487</v>
      </c>
      <c r="BW131" s="204">
        <f t="shared" si="291"/>
        <v>-74.956835797135199</v>
      </c>
      <c r="BX131" s="204">
        <f t="shared" si="291"/>
        <v>-75.679677639053423</v>
      </c>
      <c r="BY131" s="204">
        <f t="shared" si="291"/>
        <v>-76.407553772502823</v>
      </c>
      <c r="BZ131" s="204">
        <f t="shared" si="291"/>
        <v>-77.140372754780103</v>
      </c>
      <c r="CA131" s="204">
        <f t="shared" si="291"/>
        <v>-77.878044804144153</v>
      </c>
      <c r="CB131" s="204">
        <f t="shared" si="291"/>
        <v>-78.620481769646403</v>
      </c>
      <c r="CC131" s="204">
        <f t="shared" si="291"/>
        <v>-79.36759710150919</v>
      </c>
      <c r="CD131" s="204">
        <f t="shared" si="291"/>
        <v>-80.119305822042122</v>
      </c>
      <c r="CE131" s="204">
        <f t="shared" si="291"/>
        <v>-80.87552449708673</v>
      </c>
      <c r="CF131" s="204">
        <f t="shared" si="291"/>
        <v>-81.636171207979814</v>
      </c>
      <c r="CG131" s="204">
        <f t="shared" si="291"/>
        <v>-82.401165524026041</v>
      </c>
      <c r="CH131" s="204">
        <f t="shared" si="291"/>
        <v>-83.170428475470544</v>
      </c>
      <c r="CI131" s="204">
        <f t="shared" si="291"/>
        <v>-83.943882526962454</v>
      </c>
      <c r="CJ131" s="204">
        <f t="shared" si="291"/>
        <v>-84.721451551500408</v>
      </c>
      <c r="CK131" s="204">
        <f t="shared" si="291"/>
        <v>-85.503060804851359</v>
      </c>
      <c r="CL131" s="204">
        <f t="shared" si="291"/>
        <v>-86.288636900434042</v>
      </c>
      <c r="CM131" s="204">
        <f t="shared" si="291"/>
        <v>-87.07810778465857</v>
      </c>
      <c r="CN131" s="204">
        <f t="shared" si="291"/>
        <v>-87.871402712714072</v>
      </c>
      <c r="CO131" s="204">
        <f t="shared" si="291"/>
        <v>-88.668452224796056</v>
      </c>
      <c r="CP131" s="204">
        <f t="shared" si="291"/>
        <v>-89.469188122765601</v>
      </c>
      <c r="CQ131" s="204">
        <f t="shared" si="291"/>
        <v>-90.273543447232512</v>
      </c>
      <c r="CR131" s="204">
        <f t="shared" si="291"/>
        <v>-91.081452455054702</v>
      </c>
      <c r="CS131" s="204">
        <f t="shared" si="291"/>
        <v>-91.892850597246365</v>
      </c>
      <c r="CT131" s="204">
        <f t="shared" si="291"/>
        <v>-92.707674497287258</v>
      </c>
      <c r="CU131" s="204">
        <f t="shared" si="291"/>
        <v>-93.525861929826178</v>
      </c>
      <c r="CV131" s="204">
        <f t="shared" si="291"/>
        <v>-94.347351799771133</v>
      </c>
      <c r="CW131" s="204">
        <f t="shared" si="291"/>
        <v>-95.172084121759283</v>
      </c>
      <c r="CX131" s="204">
        <f t="shared" si="291"/>
        <v>-96</v>
      </c>
      <c r="CY131" s="204">
        <f t="shared" si="291"/>
        <v>-96</v>
      </c>
      <c r="CZ131" s="204">
        <f t="shared" si="291"/>
        <v>-96</v>
      </c>
      <c r="DA131" s="204">
        <f t="shared" si="291"/>
        <v>-96</v>
      </c>
      <c r="DB131" s="204">
        <f t="shared" si="291"/>
        <v>-96</v>
      </c>
      <c r="DC131" s="204">
        <f t="shared" si="291"/>
        <v>-96</v>
      </c>
      <c r="DD131" s="204">
        <f t="shared" si="291"/>
        <v>-96</v>
      </c>
      <c r="DE131" s="204">
        <f t="shared" si="291"/>
        <v>-96</v>
      </c>
      <c r="DF131" s="204">
        <f t="shared" si="291"/>
        <v>-96</v>
      </c>
      <c r="DG131" s="204">
        <f t="shared" si="291"/>
        <v>-96</v>
      </c>
      <c r="DH131" s="204">
        <f t="shared" si="291"/>
        <v>-96</v>
      </c>
      <c r="DI131" s="204">
        <f t="shared" si="291"/>
        <v>-96</v>
      </c>
      <c r="DJ131" s="204">
        <f t="shared" si="291"/>
        <v>-96</v>
      </c>
      <c r="DK131" s="204">
        <f t="shared" si="291"/>
        <v>-96</v>
      </c>
      <c r="DL131" s="204">
        <f t="shared" si="291"/>
        <v>-96</v>
      </c>
      <c r="DM131" s="204">
        <f t="shared" si="291"/>
        <v>-96</v>
      </c>
      <c r="DN131" s="204">
        <f t="shared" si="291"/>
        <v>-96</v>
      </c>
      <c r="DO131" s="204">
        <f t="shared" si="291"/>
        <v>-96</v>
      </c>
      <c r="DP131" s="204">
        <f t="shared" si="291"/>
        <v>-96</v>
      </c>
      <c r="DQ131" s="204">
        <f t="shared" si="291"/>
        <v>-96</v>
      </c>
      <c r="DR131" s="204">
        <f t="shared" si="291"/>
        <v>-96</v>
      </c>
      <c r="DS131" s="204">
        <f t="shared" si="291"/>
        <v>-96</v>
      </c>
      <c r="DT131" s="204">
        <f t="shared" si="291"/>
        <v>-96</v>
      </c>
      <c r="DU131" s="204">
        <f t="shared" si="291"/>
        <v>-96</v>
      </c>
      <c r="DV131" s="204">
        <f t="shared" si="291"/>
        <v>-96</v>
      </c>
      <c r="DW131" s="204">
        <f t="shared" si="291"/>
        <v>-96</v>
      </c>
      <c r="DX131" s="204">
        <f t="shared" si="291"/>
        <v>-96</v>
      </c>
      <c r="DY131" s="204">
        <f t="shared" si="291"/>
        <v>-96</v>
      </c>
      <c r="DZ131" s="204">
        <f t="shared" si="291"/>
        <v>-96</v>
      </c>
      <c r="EA131" s="204">
        <f t="shared" si="291"/>
        <v>-96</v>
      </c>
      <c r="EB131" s="204">
        <f t="shared" si="291"/>
        <v>-96</v>
      </c>
      <c r="EC131" s="204">
        <f t="shared" si="291"/>
        <v>-96</v>
      </c>
      <c r="ED131" s="204">
        <f t="shared" si="291"/>
        <v>-96</v>
      </c>
      <c r="EE131" s="204">
        <f t="shared" si="291"/>
        <v>-96</v>
      </c>
      <c r="EF131" s="204">
        <f t="shared" ref="EF131:ET131" si="292">PV($F85,EF$9,1,0)+(PV($J$6,$N$5-(EF$9),1,0)/($J$6+1)^EF$9)</f>
        <v>-96</v>
      </c>
      <c r="EG131" s="204">
        <f t="shared" si="292"/>
        <v>-96</v>
      </c>
      <c r="EH131" s="204">
        <f t="shared" si="292"/>
        <v>-96</v>
      </c>
      <c r="EI131" s="204">
        <f t="shared" si="292"/>
        <v>-96</v>
      </c>
      <c r="EJ131" s="204">
        <f t="shared" si="292"/>
        <v>-96</v>
      </c>
      <c r="EK131" s="204">
        <f t="shared" si="292"/>
        <v>-96</v>
      </c>
      <c r="EL131" s="204">
        <f t="shared" si="292"/>
        <v>-96</v>
      </c>
      <c r="EM131" s="204">
        <f t="shared" si="292"/>
        <v>-96</v>
      </c>
      <c r="EN131" s="204">
        <f t="shared" si="292"/>
        <v>-96</v>
      </c>
      <c r="EO131" s="204">
        <f t="shared" si="292"/>
        <v>-96</v>
      </c>
      <c r="EP131" s="204">
        <f t="shared" si="292"/>
        <v>-96</v>
      </c>
      <c r="EQ131" s="204">
        <f t="shared" si="292"/>
        <v>-96</v>
      </c>
      <c r="ER131" s="204">
        <f t="shared" si="292"/>
        <v>-96</v>
      </c>
      <c r="ES131" s="204">
        <f t="shared" si="292"/>
        <v>-96</v>
      </c>
      <c r="ET131" s="204">
        <f t="shared" si="292"/>
        <v>-96</v>
      </c>
      <c r="FF131" s="6" t="s">
        <v>3036</v>
      </c>
      <c r="FG131" s="696">
        <v>2.5000000000000001E-2</v>
      </c>
      <c r="FH131" s="696">
        <v>120</v>
      </c>
      <c r="FI131" s="696">
        <v>0.02</v>
      </c>
      <c r="FJ131" s="255">
        <v>1.4499999999999999E-2</v>
      </c>
      <c r="FK131" s="71">
        <f t="shared" si="126"/>
        <v>2.5000000000000006E-4</v>
      </c>
      <c r="FL131" t="e">
        <f>VLOOKUP(FF131,'SIMULADOR COM SALDO'!$BX$22:$CK$1000,13,FALSE)</f>
        <v>#N/A</v>
      </c>
    </row>
    <row r="132" spans="7:168" x14ac:dyDescent="0.25">
      <c r="G132" s="205">
        <f t="shared" si="262"/>
        <v>-44.770373601250576</v>
      </c>
      <c r="H132" s="204">
        <f t="shared" ref="H132:BS132" si="293">PV($F86,H$9,1,0)+(PV($J$6,$N$5-(H$9),1,0)/($J$6+1)^H$9)</f>
        <v>-44.806371604802436</v>
      </c>
      <c r="I132" s="204">
        <f t="shared" si="293"/>
        <v>-44.859879708437063</v>
      </c>
      <c r="J132" s="204">
        <f t="shared" si="293"/>
        <v>-44.930579859281075</v>
      </c>
      <c r="K132" s="204">
        <f t="shared" si="293"/>
        <v>-45.018159781562872</v>
      </c>
      <c r="L132" s="204">
        <f t="shared" si="293"/>
        <v>-45.122312871677551</v>
      </c>
      <c r="M132" s="204">
        <f t="shared" si="293"/>
        <v>-45.24273809515784</v>
      </c>
      <c r="N132" s="204">
        <f t="shared" si="293"/>
        <v>-45.379139885516487</v>
      </c>
      <c r="O132" s="204">
        <f t="shared" si="293"/>
        <v>-45.53122804492606</v>
      </c>
      <c r="P132" s="204">
        <f t="shared" si="293"/>
        <v>-45.698717646702761</v>
      </c>
      <c r="Q132" s="204">
        <f t="shared" si="293"/>
        <v>-45.881328939561598</v>
      </c>
      <c r="R132" s="204">
        <f t="shared" si="293"/>
        <v>-46.078787253610507</v>
      </c>
      <c r="S132" s="204">
        <f t="shared" si="293"/>
        <v>-46.290822908052249</v>
      </c>
      <c r="T132" s="204">
        <f t="shared" si="293"/>
        <v>-46.517171120562551</v>
      </c>
      <c r="U132" s="204">
        <f t="shared" si="293"/>
        <v>-46.75757191831444</v>
      </c>
      <c r="V132" s="204">
        <f t="shared" si="293"/>
        <v>-47.011770050618708</v>
      </c>
      <c r="W132" s="204">
        <f t="shared" si="293"/>
        <v>-47.279514903151124</v>
      </c>
      <c r="X132" s="204">
        <f t="shared" si="293"/>
        <v>-47.560560413737676</v>
      </c>
      <c r="Y132" s="204">
        <f t="shared" si="293"/>
        <v>-47.854664989669509</v>
      </c>
      <c r="Z132" s="204">
        <f t="shared" si="293"/>
        <v>-48.161591426519607</v>
      </c>
      <c r="AA132" s="204">
        <f t="shared" si="293"/>
        <v>-48.481106828434278</v>
      </c>
      <c r="AB132" s="204">
        <f t="shared" si="293"/>
        <v>-48.81298252987235</v>
      </c>
      <c r="AC132" s="204">
        <f t="shared" si="293"/>
        <v>-49.156994018765893</v>
      </c>
      <c r="AD132" s="204">
        <f t="shared" si="293"/>
        <v>-49.51292086107668</v>
      </c>
      <c r="AE132" s="204">
        <f t="shared" si="293"/>
        <v>-49.880546626723003</v>
      </c>
      <c r="AF132" s="204">
        <f t="shared" si="293"/>
        <v>-50.259658816851953</v>
      </c>
      <c r="AG132" s="204">
        <f t="shared" si="293"/>
        <v>-50.650048792432663</v>
      </c>
      <c r="AH132" s="204">
        <f t="shared" si="293"/>
        <v>-51.051511704146662</v>
      </c>
      <c r="AI132" s="204">
        <f t="shared" si="293"/>
        <v>-51.463846423551665</v>
      </c>
      <c r="AJ132" s="204">
        <f t="shared" si="293"/>
        <v>-51.886855475495707</v>
      </c>
      <c r="AK132" s="204">
        <f t="shared" si="293"/>
        <v>-52.320344971758878</v>
      </c>
      <c r="AL132" s="204">
        <f t="shared" si="293"/>
        <v>-52.76412454590043</v>
      </c>
      <c r="AM132" s="204">
        <f t="shared" si="293"/>
        <v>-53.218007289289282</v>
      </c>
      <c r="AN132" s="204">
        <f t="shared" si="293"/>
        <v>-53.681809688296511</v>
      </c>
      <c r="AO132" s="204">
        <f t="shared" si="293"/>
        <v>-54.155351562628589</v>
      </c>
      <c r="AP132" s="204">
        <f t="shared" si="293"/>
        <v>-54.638456004780849</v>
      </c>
      <c r="AQ132" s="204">
        <f t="shared" si="293"/>
        <v>-55.130949320590631</v>
      </c>
      <c r="AR132" s="204">
        <f t="shared" si="293"/>
        <v>-55.632660970870248</v>
      </c>
      <c r="AS132" s="204">
        <f t="shared" si="293"/>
        <v>-56.143423514100107</v>
      </c>
      <c r="AT132" s="204">
        <f t="shared" si="293"/>
        <v>-56.663072550162802</v>
      </c>
      <c r="AU132" s="204">
        <f t="shared" si="293"/>
        <v>-57.191446665099171</v>
      </c>
      <c r="AV132" s="204">
        <f t="shared" si="293"/>
        <v>-57.728387376867829</v>
      </c>
      <c r="AW132" s="204">
        <f t="shared" si="293"/>
        <v>-58.273739082089882</v>
      </c>
      <c r="AX132" s="204">
        <f t="shared" si="293"/>
        <v>-58.827349003761015</v>
      </c>
      <c r="AY132" s="204">
        <f t="shared" si="293"/>
        <v>-59.389067139913323</v>
      </c>
      <c r="AZ132" s="204">
        <f t="shared" si="293"/>
        <v>-59.95874621320965</v>
      </c>
      <c r="BA132" s="204">
        <f t="shared" si="293"/>
        <v>-60.53624162145347</v>
      </c>
      <c r="BB132" s="204">
        <f t="shared" si="293"/>
        <v>-61.121411388997728</v>
      </c>
      <c r="BC132" s="204">
        <f t="shared" si="293"/>
        <v>-61.714116119036262</v>
      </c>
      <c r="BD132" s="204">
        <f t="shared" si="293"/>
        <v>-62.314218946761883</v>
      </c>
      <c r="BE132" s="204">
        <f t="shared" si="293"/>
        <v>-62.921585493375147</v>
      </c>
      <c r="BF132" s="204">
        <f t="shared" si="293"/>
        <v>-63.536083820928674</v>
      </c>
      <c r="BG132" s="204">
        <f t="shared" si="293"/>
        <v>-64.157584387991548</v>
      </c>
      <c r="BH132" s="204">
        <f t="shared" si="293"/>
        <v>-64.785960006119055</v>
      </c>
      <c r="BI132" s="204">
        <f t="shared" si="293"/>
        <v>-65.421085797113165</v>
      </c>
      <c r="BJ132" s="204">
        <f t="shared" si="293"/>
        <v>-66.062839151059279</v>
      </c>
      <c r="BK132" s="204">
        <f t="shared" si="293"/>
        <v>-66.711099685125177</v>
      </c>
      <c r="BL132" s="204">
        <f t="shared" si="293"/>
        <v>-67.365749203108379</v>
      </c>
      <c r="BM132" s="204">
        <f t="shared" si="293"/>
        <v>-68.026671655718303</v>
      </c>
      <c r="BN132" s="204">
        <f t="shared" si="293"/>
        <v>-68.693753101579787</v>
      </c>
      <c r="BO132" s="204">
        <f t="shared" si="293"/>
        <v>-69.366881668945013</v>
      </c>
      <c r="BP132" s="204">
        <f t="shared" si="293"/>
        <v>-70.04594751810086</v>
      </c>
      <c r="BQ132" s="204">
        <f t="shared" si="293"/>
        <v>-70.730842804459073</v>
      </c>
      <c r="BR132" s="204">
        <f t="shared" si="293"/>
        <v>-71.421461642316928</v>
      </c>
      <c r="BS132" s="204">
        <f t="shared" si="293"/>
        <v>-72.117700069276026</v>
      </c>
      <c r="BT132" s="204">
        <f t="shared" ref="BT132:EE132" si="294">PV($F86,BT$9,1,0)+(PV($J$6,$N$5-(BT$9),1,0)/($J$6+1)^BT$9)</f>
        <v>-72.819456011307551</v>
      </c>
      <c r="BU132" s="204">
        <f t="shared" si="294"/>
        <v>-73.526629248451897</v>
      </c>
      <c r="BV132" s="204">
        <f t="shared" si="294"/>
        <v>-74.239121381141487</v>
      </c>
      <c r="BW132" s="204">
        <f t="shared" si="294"/>
        <v>-74.956835797135199</v>
      </c>
      <c r="BX132" s="204">
        <f t="shared" si="294"/>
        <v>-75.679677639053423</v>
      </c>
      <c r="BY132" s="204">
        <f t="shared" si="294"/>
        <v>-76.407553772502823</v>
      </c>
      <c r="BZ132" s="204">
        <f t="shared" si="294"/>
        <v>-77.140372754780103</v>
      </c>
      <c r="CA132" s="204">
        <f t="shared" si="294"/>
        <v>-77.878044804144153</v>
      </c>
      <c r="CB132" s="204">
        <f t="shared" si="294"/>
        <v>-78.620481769646403</v>
      </c>
      <c r="CC132" s="204">
        <f t="shared" si="294"/>
        <v>-79.36759710150919</v>
      </c>
      <c r="CD132" s="204">
        <f t="shared" si="294"/>
        <v>-80.119305822042122</v>
      </c>
      <c r="CE132" s="204">
        <f t="shared" si="294"/>
        <v>-80.87552449708673</v>
      </c>
      <c r="CF132" s="204">
        <f t="shared" si="294"/>
        <v>-81.636171207979814</v>
      </c>
      <c r="CG132" s="204">
        <f t="shared" si="294"/>
        <v>-82.401165524026041</v>
      </c>
      <c r="CH132" s="204">
        <f t="shared" si="294"/>
        <v>-83.170428475470544</v>
      </c>
      <c r="CI132" s="204">
        <f t="shared" si="294"/>
        <v>-83.943882526962454</v>
      </c>
      <c r="CJ132" s="204">
        <f t="shared" si="294"/>
        <v>-84.721451551500408</v>
      </c>
      <c r="CK132" s="204">
        <f t="shared" si="294"/>
        <v>-85.503060804851359</v>
      </c>
      <c r="CL132" s="204">
        <f t="shared" si="294"/>
        <v>-86.288636900434042</v>
      </c>
      <c r="CM132" s="204">
        <f t="shared" si="294"/>
        <v>-87.07810778465857</v>
      </c>
      <c r="CN132" s="204">
        <f t="shared" si="294"/>
        <v>-87.871402712714072</v>
      </c>
      <c r="CO132" s="204">
        <f t="shared" si="294"/>
        <v>-88.668452224796056</v>
      </c>
      <c r="CP132" s="204">
        <f t="shared" si="294"/>
        <v>-89.469188122765601</v>
      </c>
      <c r="CQ132" s="204">
        <f t="shared" si="294"/>
        <v>-90.273543447232512</v>
      </c>
      <c r="CR132" s="204">
        <f t="shared" si="294"/>
        <v>-91.081452455054702</v>
      </c>
      <c r="CS132" s="204">
        <f t="shared" si="294"/>
        <v>-91.892850597246365</v>
      </c>
      <c r="CT132" s="204">
        <f t="shared" si="294"/>
        <v>-92.707674497287258</v>
      </c>
      <c r="CU132" s="204">
        <f t="shared" si="294"/>
        <v>-93.525861929826178</v>
      </c>
      <c r="CV132" s="204">
        <f t="shared" si="294"/>
        <v>-94.347351799771133</v>
      </c>
      <c r="CW132" s="204">
        <f t="shared" si="294"/>
        <v>-95.172084121759283</v>
      </c>
      <c r="CX132" s="204">
        <f t="shared" si="294"/>
        <v>-96</v>
      </c>
      <c r="CY132" s="204">
        <f t="shared" si="294"/>
        <v>-96</v>
      </c>
      <c r="CZ132" s="204">
        <f t="shared" si="294"/>
        <v>-96</v>
      </c>
      <c r="DA132" s="204">
        <f t="shared" si="294"/>
        <v>-96</v>
      </c>
      <c r="DB132" s="204">
        <f t="shared" si="294"/>
        <v>-96</v>
      </c>
      <c r="DC132" s="204">
        <f t="shared" si="294"/>
        <v>-96</v>
      </c>
      <c r="DD132" s="204">
        <f t="shared" si="294"/>
        <v>-96</v>
      </c>
      <c r="DE132" s="204">
        <f t="shared" si="294"/>
        <v>-96</v>
      </c>
      <c r="DF132" s="204">
        <f t="shared" si="294"/>
        <v>-96</v>
      </c>
      <c r="DG132" s="204">
        <f t="shared" si="294"/>
        <v>-96</v>
      </c>
      <c r="DH132" s="204">
        <f t="shared" si="294"/>
        <v>-96</v>
      </c>
      <c r="DI132" s="204">
        <f t="shared" si="294"/>
        <v>-96</v>
      </c>
      <c r="DJ132" s="204">
        <f t="shared" si="294"/>
        <v>-96</v>
      </c>
      <c r="DK132" s="204">
        <f t="shared" si="294"/>
        <v>-96</v>
      </c>
      <c r="DL132" s="204">
        <f t="shared" si="294"/>
        <v>-96</v>
      </c>
      <c r="DM132" s="204">
        <f t="shared" si="294"/>
        <v>-96</v>
      </c>
      <c r="DN132" s="204">
        <f t="shared" si="294"/>
        <v>-96</v>
      </c>
      <c r="DO132" s="204">
        <f t="shared" si="294"/>
        <v>-96</v>
      </c>
      <c r="DP132" s="204">
        <f t="shared" si="294"/>
        <v>-96</v>
      </c>
      <c r="DQ132" s="204">
        <f t="shared" si="294"/>
        <v>-96</v>
      </c>
      <c r="DR132" s="204">
        <f t="shared" si="294"/>
        <v>-96</v>
      </c>
      <c r="DS132" s="204">
        <f t="shared" si="294"/>
        <v>-96</v>
      </c>
      <c r="DT132" s="204">
        <f t="shared" si="294"/>
        <v>-96</v>
      </c>
      <c r="DU132" s="204">
        <f t="shared" si="294"/>
        <v>-96</v>
      </c>
      <c r="DV132" s="204">
        <f t="shared" si="294"/>
        <v>-96</v>
      </c>
      <c r="DW132" s="204">
        <f t="shared" si="294"/>
        <v>-96</v>
      </c>
      <c r="DX132" s="204">
        <f t="shared" si="294"/>
        <v>-96</v>
      </c>
      <c r="DY132" s="204">
        <f t="shared" si="294"/>
        <v>-96</v>
      </c>
      <c r="DZ132" s="204">
        <f t="shared" si="294"/>
        <v>-96</v>
      </c>
      <c r="EA132" s="204">
        <f t="shared" si="294"/>
        <v>-96</v>
      </c>
      <c r="EB132" s="204">
        <f t="shared" si="294"/>
        <v>-96</v>
      </c>
      <c r="EC132" s="204">
        <f t="shared" si="294"/>
        <v>-96</v>
      </c>
      <c r="ED132" s="204">
        <f t="shared" si="294"/>
        <v>-96</v>
      </c>
      <c r="EE132" s="204">
        <f t="shared" si="294"/>
        <v>-96</v>
      </c>
      <c r="EF132" s="204">
        <f t="shared" ref="EF132:ET132" si="295">PV($F86,EF$9,1,0)+(PV($J$6,$N$5-(EF$9),1,0)/($J$6+1)^EF$9)</f>
        <v>-96</v>
      </c>
      <c r="EG132" s="204">
        <f t="shared" si="295"/>
        <v>-96</v>
      </c>
      <c r="EH132" s="204">
        <f t="shared" si="295"/>
        <v>-96</v>
      </c>
      <c r="EI132" s="204">
        <f t="shared" si="295"/>
        <v>-96</v>
      </c>
      <c r="EJ132" s="204">
        <f t="shared" si="295"/>
        <v>-96</v>
      </c>
      <c r="EK132" s="204">
        <f t="shared" si="295"/>
        <v>-96</v>
      </c>
      <c r="EL132" s="204">
        <f t="shared" si="295"/>
        <v>-96</v>
      </c>
      <c r="EM132" s="204">
        <f t="shared" si="295"/>
        <v>-96</v>
      </c>
      <c r="EN132" s="204">
        <f t="shared" si="295"/>
        <v>-96</v>
      </c>
      <c r="EO132" s="204">
        <f t="shared" si="295"/>
        <v>-96</v>
      </c>
      <c r="EP132" s="204">
        <f t="shared" si="295"/>
        <v>-96</v>
      </c>
      <c r="EQ132" s="204">
        <f t="shared" si="295"/>
        <v>-96</v>
      </c>
      <c r="ER132" s="204">
        <f t="shared" si="295"/>
        <v>-96</v>
      </c>
      <c r="ES132" s="204">
        <f t="shared" si="295"/>
        <v>-96</v>
      </c>
      <c r="ET132" s="204">
        <f t="shared" si="295"/>
        <v>-96</v>
      </c>
      <c r="FF132" s="6" t="s">
        <v>3037</v>
      </c>
      <c r="FG132" s="696">
        <v>2.5000000000000001E-2</v>
      </c>
      <c r="FH132" s="696">
        <v>96</v>
      </c>
      <c r="FI132" s="696">
        <v>2.12E-2</v>
      </c>
      <c r="FJ132" s="255">
        <v>1.49E-2</v>
      </c>
      <c r="FK132" s="71">
        <f t="shared" si="126"/>
        <v>2.404761904761905E-4</v>
      </c>
      <c r="FL132" t="e">
        <f>VLOOKUP(FF132,'SIMULADOR COM SALDO'!$BX$22:$CK$1000,13,FALSE)</f>
        <v>#N/A</v>
      </c>
    </row>
    <row r="133" spans="7:168" x14ac:dyDescent="0.25">
      <c r="G133" s="205">
        <f t="shared" si="262"/>
        <v>-44.770373601250576</v>
      </c>
      <c r="H133" s="204">
        <f t="shared" ref="H133:BS133" si="296">PV($F87,H$9,1,0)+(PV($J$6,$N$5-(H$9),1,0)/($J$6+1)^H$9)</f>
        <v>-44.806371604802436</v>
      </c>
      <c r="I133" s="204">
        <f t="shared" si="296"/>
        <v>-44.859879708437063</v>
      </c>
      <c r="J133" s="204">
        <f t="shared" si="296"/>
        <v>-44.930579859281075</v>
      </c>
      <c r="K133" s="204">
        <f t="shared" si="296"/>
        <v>-45.018159781562872</v>
      </c>
      <c r="L133" s="204">
        <f t="shared" si="296"/>
        <v>-45.122312871677551</v>
      </c>
      <c r="M133" s="204">
        <f t="shared" si="296"/>
        <v>-45.24273809515784</v>
      </c>
      <c r="N133" s="204">
        <f t="shared" si="296"/>
        <v>-45.379139885516487</v>
      </c>
      <c r="O133" s="204">
        <f t="shared" si="296"/>
        <v>-45.53122804492606</v>
      </c>
      <c r="P133" s="204">
        <f t="shared" si="296"/>
        <v>-45.698717646702761</v>
      </c>
      <c r="Q133" s="204">
        <f t="shared" si="296"/>
        <v>-45.881328939561598</v>
      </c>
      <c r="R133" s="204">
        <f t="shared" si="296"/>
        <v>-46.078787253610507</v>
      </c>
      <c r="S133" s="204">
        <f t="shared" si="296"/>
        <v>-46.290822908052249</v>
      </c>
      <c r="T133" s="204">
        <f t="shared" si="296"/>
        <v>-46.517171120562551</v>
      </c>
      <c r="U133" s="204">
        <f t="shared" si="296"/>
        <v>-46.75757191831444</v>
      </c>
      <c r="V133" s="204">
        <f t="shared" si="296"/>
        <v>-47.011770050618708</v>
      </c>
      <c r="W133" s="204">
        <f t="shared" si="296"/>
        <v>-47.279514903151124</v>
      </c>
      <c r="X133" s="204">
        <f t="shared" si="296"/>
        <v>-47.560560413737676</v>
      </c>
      <c r="Y133" s="204">
        <f t="shared" si="296"/>
        <v>-47.854664989669509</v>
      </c>
      <c r="Z133" s="204">
        <f t="shared" si="296"/>
        <v>-48.161591426519607</v>
      </c>
      <c r="AA133" s="204">
        <f t="shared" si="296"/>
        <v>-48.481106828434278</v>
      </c>
      <c r="AB133" s="204">
        <f t="shared" si="296"/>
        <v>-48.81298252987235</v>
      </c>
      <c r="AC133" s="204">
        <f t="shared" si="296"/>
        <v>-49.156994018765893</v>
      </c>
      <c r="AD133" s="204">
        <f t="shared" si="296"/>
        <v>-49.51292086107668</v>
      </c>
      <c r="AE133" s="204">
        <f t="shared" si="296"/>
        <v>-49.880546626723003</v>
      </c>
      <c r="AF133" s="204">
        <f t="shared" si="296"/>
        <v>-50.259658816851953</v>
      </c>
      <c r="AG133" s="204">
        <f t="shared" si="296"/>
        <v>-50.650048792432663</v>
      </c>
      <c r="AH133" s="204">
        <f t="shared" si="296"/>
        <v>-51.051511704146662</v>
      </c>
      <c r="AI133" s="204">
        <f t="shared" si="296"/>
        <v>-51.463846423551665</v>
      </c>
      <c r="AJ133" s="204">
        <f t="shared" si="296"/>
        <v>-51.886855475495707</v>
      </c>
      <c r="AK133" s="204">
        <f t="shared" si="296"/>
        <v>-52.320344971758878</v>
      </c>
      <c r="AL133" s="204">
        <f t="shared" si="296"/>
        <v>-52.76412454590043</v>
      </c>
      <c r="AM133" s="204">
        <f t="shared" si="296"/>
        <v>-53.218007289289282</v>
      </c>
      <c r="AN133" s="204">
        <f t="shared" si="296"/>
        <v>-53.681809688296511</v>
      </c>
      <c r="AO133" s="204">
        <f t="shared" si="296"/>
        <v>-54.155351562628589</v>
      </c>
      <c r="AP133" s="204">
        <f t="shared" si="296"/>
        <v>-54.638456004780849</v>
      </c>
      <c r="AQ133" s="204">
        <f t="shared" si="296"/>
        <v>-55.130949320590631</v>
      </c>
      <c r="AR133" s="204">
        <f t="shared" si="296"/>
        <v>-55.632660970870248</v>
      </c>
      <c r="AS133" s="204">
        <f t="shared" si="296"/>
        <v>-56.143423514100107</v>
      </c>
      <c r="AT133" s="204">
        <f t="shared" si="296"/>
        <v>-56.663072550162802</v>
      </c>
      <c r="AU133" s="204">
        <f t="shared" si="296"/>
        <v>-57.191446665099171</v>
      </c>
      <c r="AV133" s="204">
        <f t="shared" si="296"/>
        <v>-57.728387376867829</v>
      </c>
      <c r="AW133" s="204">
        <f t="shared" si="296"/>
        <v>-58.273739082089882</v>
      </c>
      <c r="AX133" s="204">
        <f t="shared" si="296"/>
        <v>-58.827349003761015</v>
      </c>
      <c r="AY133" s="204">
        <f t="shared" si="296"/>
        <v>-59.389067139913323</v>
      </c>
      <c r="AZ133" s="204">
        <f t="shared" si="296"/>
        <v>-59.95874621320965</v>
      </c>
      <c r="BA133" s="204">
        <f t="shared" si="296"/>
        <v>-60.53624162145347</v>
      </c>
      <c r="BB133" s="204">
        <f t="shared" si="296"/>
        <v>-61.121411388997728</v>
      </c>
      <c r="BC133" s="204">
        <f t="shared" si="296"/>
        <v>-61.714116119036262</v>
      </c>
      <c r="BD133" s="204">
        <f t="shared" si="296"/>
        <v>-62.314218946761883</v>
      </c>
      <c r="BE133" s="204">
        <f t="shared" si="296"/>
        <v>-62.921585493375147</v>
      </c>
      <c r="BF133" s="204">
        <f t="shared" si="296"/>
        <v>-63.536083820928674</v>
      </c>
      <c r="BG133" s="204">
        <f t="shared" si="296"/>
        <v>-64.157584387991548</v>
      </c>
      <c r="BH133" s="204">
        <f t="shared" si="296"/>
        <v>-64.785960006119055</v>
      </c>
      <c r="BI133" s="204">
        <f t="shared" si="296"/>
        <v>-65.421085797113165</v>
      </c>
      <c r="BJ133" s="204">
        <f t="shared" si="296"/>
        <v>-66.062839151059279</v>
      </c>
      <c r="BK133" s="204">
        <f t="shared" si="296"/>
        <v>-66.711099685125177</v>
      </c>
      <c r="BL133" s="204">
        <f t="shared" si="296"/>
        <v>-67.365749203108379</v>
      </c>
      <c r="BM133" s="204">
        <f t="shared" si="296"/>
        <v>-68.026671655718303</v>
      </c>
      <c r="BN133" s="204">
        <f t="shared" si="296"/>
        <v>-68.693753101579787</v>
      </c>
      <c r="BO133" s="204">
        <f t="shared" si="296"/>
        <v>-69.366881668945013</v>
      </c>
      <c r="BP133" s="204">
        <f t="shared" si="296"/>
        <v>-70.04594751810086</v>
      </c>
      <c r="BQ133" s="204">
        <f t="shared" si="296"/>
        <v>-70.730842804459073</v>
      </c>
      <c r="BR133" s="204">
        <f t="shared" si="296"/>
        <v>-71.421461642316928</v>
      </c>
      <c r="BS133" s="204">
        <f t="shared" si="296"/>
        <v>-72.117700069276026</v>
      </c>
      <c r="BT133" s="204">
        <f t="shared" ref="BT133:EE133" si="297">PV($F87,BT$9,1,0)+(PV($J$6,$N$5-(BT$9),1,0)/($J$6+1)^BT$9)</f>
        <v>-72.819456011307551</v>
      </c>
      <c r="BU133" s="204">
        <f t="shared" si="297"/>
        <v>-73.526629248451897</v>
      </c>
      <c r="BV133" s="204">
        <f t="shared" si="297"/>
        <v>-74.239121381141487</v>
      </c>
      <c r="BW133" s="204">
        <f t="shared" si="297"/>
        <v>-74.956835797135199</v>
      </c>
      <c r="BX133" s="204">
        <f t="shared" si="297"/>
        <v>-75.679677639053423</v>
      </c>
      <c r="BY133" s="204">
        <f t="shared" si="297"/>
        <v>-76.407553772502823</v>
      </c>
      <c r="BZ133" s="204">
        <f t="shared" si="297"/>
        <v>-77.140372754780103</v>
      </c>
      <c r="CA133" s="204">
        <f t="shared" si="297"/>
        <v>-77.878044804144153</v>
      </c>
      <c r="CB133" s="204">
        <f t="shared" si="297"/>
        <v>-78.620481769646403</v>
      </c>
      <c r="CC133" s="204">
        <f t="shared" si="297"/>
        <v>-79.36759710150919</v>
      </c>
      <c r="CD133" s="204">
        <f t="shared" si="297"/>
        <v>-80.119305822042122</v>
      </c>
      <c r="CE133" s="204">
        <f t="shared" si="297"/>
        <v>-80.87552449708673</v>
      </c>
      <c r="CF133" s="204">
        <f t="shared" si="297"/>
        <v>-81.636171207979814</v>
      </c>
      <c r="CG133" s="204">
        <f t="shared" si="297"/>
        <v>-82.401165524026041</v>
      </c>
      <c r="CH133" s="204">
        <f t="shared" si="297"/>
        <v>-83.170428475470544</v>
      </c>
      <c r="CI133" s="204">
        <f t="shared" si="297"/>
        <v>-83.943882526962454</v>
      </c>
      <c r="CJ133" s="204">
        <f t="shared" si="297"/>
        <v>-84.721451551500408</v>
      </c>
      <c r="CK133" s="204">
        <f t="shared" si="297"/>
        <v>-85.503060804851359</v>
      </c>
      <c r="CL133" s="204">
        <f t="shared" si="297"/>
        <v>-86.288636900434042</v>
      </c>
      <c r="CM133" s="204">
        <f t="shared" si="297"/>
        <v>-87.07810778465857</v>
      </c>
      <c r="CN133" s="204">
        <f t="shared" si="297"/>
        <v>-87.871402712714072</v>
      </c>
      <c r="CO133" s="204">
        <f t="shared" si="297"/>
        <v>-88.668452224796056</v>
      </c>
      <c r="CP133" s="204">
        <f t="shared" si="297"/>
        <v>-89.469188122765601</v>
      </c>
      <c r="CQ133" s="204">
        <f t="shared" si="297"/>
        <v>-90.273543447232512</v>
      </c>
      <c r="CR133" s="204">
        <f t="shared" si="297"/>
        <v>-91.081452455054702</v>
      </c>
      <c r="CS133" s="204">
        <f t="shared" si="297"/>
        <v>-91.892850597246365</v>
      </c>
      <c r="CT133" s="204">
        <f t="shared" si="297"/>
        <v>-92.707674497287258</v>
      </c>
      <c r="CU133" s="204">
        <f t="shared" si="297"/>
        <v>-93.525861929826178</v>
      </c>
      <c r="CV133" s="204">
        <f t="shared" si="297"/>
        <v>-94.347351799771133</v>
      </c>
      <c r="CW133" s="204">
        <f t="shared" si="297"/>
        <v>-95.172084121759283</v>
      </c>
      <c r="CX133" s="204">
        <f t="shared" si="297"/>
        <v>-96</v>
      </c>
      <c r="CY133" s="204">
        <f t="shared" si="297"/>
        <v>-96</v>
      </c>
      <c r="CZ133" s="204">
        <f t="shared" si="297"/>
        <v>-96</v>
      </c>
      <c r="DA133" s="204">
        <f t="shared" si="297"/>
        <v>-96</v>
      </c>
      <c r="DB133" s="204">
        <f t="shared" si="297"/>
        <v>-96</v>
      </c>
      <c r="DC133" s="204">
        <f t="shared" si="297"/>
        <v>-96</v>
      </c>
      <c r="DD133" s="204">
        <f t="shared" si="297"/>
        <v>-96</v>
      </c>
      <c r="DE133" s="204">
        <f t="shared" si="297"/>
        <v>-96</v>
      </c>
      <c r="DF133" s="204">
        <f t="shared" si="297"/>
        <v>-96</v>
      </c>
      <c r="DG133" s="204">
        <f t="shared" si="297"/>
        <v>-96</v>
      </c>
      <c r="DH133" s="204">
        <f t="shared" si="297"/>
        <v>-96</v>
      </c>
      <c r="DI133" s="204">
        <f t="shared" si="297"/>
        <v>-96</v>
      </c>
      <c r="DJ133" s="204">
        <f t="shared" si="297"/>
        <v>-96</v>
      </c>
      <c r="DK133" s="204">
        <f t="shared" si="297"/>
        <v>-96</v>
      </c>
      <c r="DL133" s="204">
        <f t="shared" si="297"/>
        <v>-96</v>
      </c>
      <c r="DM133" s="204">
        <f t="shared" si="297"/>
        <v>-96</v>
      </c>
      <c r="DN133" s="204">
        <f t="shared" si="297"/>
        <v>-96</v>
      </c>
      <c r="DO133" s="204">
        <f t="shared" si="297"/>
        <v>-96</v>
      </c>
      <c r="DP133" s="204">
        <f t="shared" si="297"/>
        <v>-96</v>
      </c>
      <c r="DQ133" s="204">
        <f t="shared" si="297"/>
        <v>-96</v>
      </c>
      <c r="DR133" s="204">
        <f t="shared" si="297"/>
        <v>-96</v>
      </c>
      <c r="DS133" s="204">
        <f t="shared" si="297"/>
        <v>-96</v>
      </c>
      <c r="DT133" s="204">
        <f t="shared" si="297"/>
        <v>-96</v>
      </c>
      <c r="DU133" s="204">
        <f t="shared" si="297"/>
        <v>-96</v>
      </c>
      <c r="DV133" s="204">
        <f t="shared" si="297"/>
        <v>-96</v>
      </c>
      <c r="DW133" s="204">
        <f t="shared" si="297"/>
        <v>-96</v>
      </c>
      <c r="DX133" s="204">
        <f t="shared" si="297"/>
        <v>-96</v>
      </c>
      <c r="DY133" s="204">
        <f t="shared" si="297"/>
        <v>-96</v>
      </c>
      <c r="DZ133" s="204">
        <f t="shared" si="297"/>
        <v>-96</v>
      </c>
      <c r="EA133" s="204">
        <f t="shared" si="297"/>
        <v>-96</v>
      </c>
      <c r="EB133" s="204">
        <f t="shared" si="297"/>
        <v>-96</v>
      </c>
      <c r="EC133" s="204">
        <f t="shared" si="297"/>
        <v>-96</v>
      </c>
      <c r="ED133" s="204">
        <f t="shared" si="297"/>
        <v>-96</v>
      </c>
      <c r="EE133" s="204">
        <f t="shared" si="297"/>
        <v>-96</v>
      </c>
      <c r="EF133" s="204">
        <f t="shared" ref="EF133:ET133" si="298">PV($F87,EF$9,1,0)+(PV($J$6,$N$5-(EF$9),1,0)/($J$6+1)^EF$9)</f>
        <v>-96</v>
      </c>
      <c r="EG133" s="204">
        <f t="shared" si="298"/>
        <v>-96</v>
      </c>
      <c r="EH133" s="204">
        <f t="shared" si="298"/>
        <v>-96</v>
      </c>
      <c r="EI133" s="204">
        <f t="shared" si="298"/>
        <v>-96</v>
      </c>
      <c r="EJ133" s="204">
        <f t="shared" si="298"/>
        <v>-96</v>
      </c>
      <c r="EK133" s="204">
        <f t="shared" si="298"/>
        <v>-96</v>
      </c>
      <c r="EL133" s="204">
        <f t="shared" si="298"/>
        <v>-96</v>
      </c>
      <c r="EM133" s="204">
        <f t="shared" si="298"/>
        <v>-96</v>
      </c>
      <c r="EN133" s="204">
        <f t="shared" si="298"/>
        <v>-96</v>
      </c>
      <c r="EO133" s="204">
        <f t="shared" si="298"/>
        <v>-96</v>
      </c>
      <c r="EP133" s="204">
        <f t="shared" si="298"/>
        <v>-96</v>
      </c>
      <c r="EQ133" s="204">
        <f t="shared" si="298"/>
        <v>-96</v>
      </c>
      <c r="ER133" s="204">
        <f t="shared" si="298"/>
        <v>-96</v>
      </c>
      <c r="ES133" s="204">
        <f t="shared" si="298"/>
        <v>-96</v>
      </c>
      <c r="ET133" s="204">
        <f t="shared" si="298"/>
        <v>-96</v>
      </c>
      <c r="FF133" s="6" t="s">
        <v>1003</v>
      </c>
      <c r="FG133" s="696">
        <v>2.5699999999999997E-2</v>
      </c>
      <c r="FH133" s="696">
        <v>120</v>
      </c>
      <c r="FI133" s="696">
        <v>0.02</v>
      </c>
      <c r="FJ133" s="255">
        <v>1.54E-2</v>
      </c>
      <c r="FK133" s="71">
        <f t="shared" si="126"/>
        <v>2.4523809523809513E-4</v>
      </c>
      <c r="FL133" t="e">
        <f>VLOOKUP(FF133,'SIMULADOR COM SALDO'!$BX$22:$CK$1000,13,FALSE)</f>
        <v>#N/A</v>
      </c>
    </row>
    <row r="134" spans="7:168" x14ac:dyDescent="0.25">
      <c r="G134" s="205">
        <f t="shared" si="262"/>
        <v>-44.770373601250576</v>
      </c>
      <c r="H134" s="204">
        <f t="shared" ref="H134:BS134" si="299">PV($F88,H$9,1,0)+(PV($J$6,$N$5-(H$9),1,0)/($J$6+1)^H$9)</f>
        <v>-44.806371604802436</v>
      </c>
      <c r="I134" s="204">
        <f t="shared" si="299"/>
        <v>-44.859879708437063</v>
      </c>
      <c r="J134" s="204">
        <f t="shared" si="299"/>
        <v>-44.930579859281075</v>
      </c>
      <c r="K134" s="204">
        <f t="shared" si="299"/>
        <v>-45.018159781562872</v>
      </c>
      <c r="L134" s="204">
        <f t="shared" si="299"/>
        <v>-45.122312871677551</v>
      </c>
      <c r="M134" s="204">
        <f t="shared" si="299"/>
        <v>-45.24273809515784</v>
      </c>
      <c r="N134" s="204">
        <f t="shared" si="299"/>
        <v>-45.379139885516487</v>
      </c>
      <c r="O134" s="204">
        <f t="shared" si="299"/>
        <v>-45.53122804492606</v>
      </c>
      <c r="P134" s="204">
        <f t="shared" si="299"/>
        <v>-45.698717646702761</v>
      </c>
      <c r="Q134" s="204">
        <f t="shared" si="299"/>
        <v>-45.881328939561598</v>
      </c>
      <c r="R134" s="204">
        <f t="shared" si="299"/>
        <v>-46.078787253610507</v>
      </c>
      <c r="S134" s="204">
        <f t="shared" si="299"/>
        <v>-46.290822908052249</v>
      </c>
      <c r="T134" s="204">
        <f t="shared" si="299"/>
        <v>-46.517171120562551</v>
      </c>
      <c r="U134" s="204">
        <f t="shared" si="299"/>
        <v>-46.75757191831444</v>
      </c>
      <c r="V134" s="204">
        <f t="shared" si="299"/>
        <v>-47.011770050618708</v>
      </c>
      <c r="W134" s="204">
        <f t="shared" si="299"/>
        <v>-47.279514903151124</v>
      </c>
      <c r="X134" s="204">
        <f t="shared" si="299"/>
        <v>-47.560560413737676</v>
      </c>
      <c r="Y134" s="204">
        <f t="shared" si="299"/>
        <v>-47.854664989669509</v>
      </c>
      <c r="Z134" s="204">
        <f t="shared" si="299"/>
        <v>-48.161591426519607</v>
      </c>
      <c r="AA134" s="204">
        <f t="shared" si="299"/>
        <v>-48.481106828434278</v>
      </c>
      <c r="AB134" s="204">
        <f t="shared" si="299"/>
        <v>-48.81298252987235</v>
      </c>
      <c r="AC134" s="204">
        <f t="shared" si="299"/>
        <v>-49.156994018765893</v>
      </c>
      <c r="AD134" s="204">
        <f t="shared" si="299"/>
        <v>-49.51292086107668</v>
      </c>
      <c r="AE134" s="204">
        <f t="shared" si="299"/>
        <v>-49.880546626723003</v>
      </c>
      <c r="AF134" s="204">
        <f t="shared" si="299"/>
        <v>-50.259658816851953</v>
      </c>
      <c r="AG134" s="204">
        <f t="shared" si="299"/>
        <v>-50.650048792432663</v>
      </c>
      <c r="AH134" s="204">
        <f t="shared" si="299"/>
        <v>-51.051511704146662</v>
      </c>
      <c r="AI134" s="204">
        <f t="shared" si="299"/>
        <v>-51.463846423551665</v>
      </c>
      <c r="AJ134" s="204">
        <f t="shared" si="299"/>
        <v>-51.886855475495707</v>
      </c>
      <c r="AK134" s="204">
        <f t="shared" si="299"/>
        <v>-52.320344971758878</v>
      </c>
      <c r="AL134" s="204">
        <f t="shared" si="299"/>
        <v>-52.76412454590043</v>
      </c>
      <c r="AM134" s="204">
        <f t="shared" si="299"/>
        <v>-53.218007289289282</v>
      </c>
      <c r="AN134" s="204">
        <f t="shared" si="299"/>
        <v>-53.681809688296511</v>
      </c>
      <c r="AO134" s="204">
        <f t="shared" si="299"/>
        <v>-54.155351562628589</v>
      </c>
      <c r="AP134" s="204">
        <f t="shared" si="299"/>
        <v>-54.638456004780849</v>
      </c>
      <c r="AQ134" s="204">
        <f t="shared" si="299"/>
        <v>-55.130949320590631</v>
      </c>
      <c r="AR134" s="204">
        <f t="shared" si="299"/>
        <v>-55.632660970870248</v>
      </c>
      <c r="AS134" s="204">
        <f t="shared" si="299"/>
        <v>-56.143423514100107</v>
      </c>
      <c r="AT134" s="204">
        <f t="shared" si="299"/>
        <v>-56.663072550162802</v>
      </c>
      <c r="AU134" s="204">
        <f t="shared" si="299"/>
        <v>-57.191446665099171</v>
      </c>
      <c r="AV134" s="204">
        <f t="shared" si="299"/>
        <v>-57.728387376867829</v>
      </c>
      <c r="AW134" s="204">
        <f t="shared" si="299"/>
        <v>-58.273739082089882</v>
      </c>
      <c r="AX134" s="204">
        <f t="shared" si="299"/>
        <v>-58.827349003761015</v>
      </c>
      <c r="AY134" s="204">
        <f t="shared" si="299"/>
        <v>-59.389067139913323</v>
      </c>
      <c r="AZ134" s="204">
        <f t="shared" si="299"/>
        <v>-59.95874621320965</v>
      </c>
      <c r="BA134" s="204">
        <f t="shared" si="299"/>
        <v>-60.53624162145347</v>
      </c>
      <c r="BB134" s="204">
        <f t="shared" si="299"/>
        <v>-61.121411388997728</v>
      </c>
      <c r="BC134" s="204">
        <f t="shared" si="299"/>
        <v>-61.714116119036262</v>
      </c>
      <c r="BD134" s="204">
        <f t="shared" si="299"/>
        <v>-62.314218946761883</v>
      </c>
      <c r="BE134" s="204">
        <f t="shared" si="299"/>
        <v>-62.921585493375147</v>
      </c>
      <c r="BF134" s="204">
        <f t="shared" si="299"/>
        <v>-63.536083820928674</v>
      </c>
      <c r="BG134" s="204">
        <f t="shared" si="299"/>
        <v>-64.157584387991548</v>
      </c>
      <c r="BH134" s="204">
        <f t="shared" si="299"/>
        <v>-64.785960006119055</v>
      </c>
      <c r="BI134" s="204">
        <f t="shared" si="299"/>
        <v>-65.421085797113165</v>
      </c>
      <c r="BJ134" s="204">
        <f t="shared" si="299"/>
        <v>-66.062839151059279</v>
      </c>
      <c r="BK134" s="204">
        <f t="shared" si="299"/>
        <v>-66.711099685125177</v>
      </c>
      <c r="BL134" s="204">
        <f t="shared" si="299"/>
        <v>-67.365749203108379</v>
      </c>
      <c r="BM134" s="204">
        <f t="shared" si="299"/>
        <v>-68.026671655718303</v>
      </c>
      <c r="BN134" s="204">
        <f t="shared" si="299"/>
        <v>-68.693753101579787</v>
      </c>
      <c r="BO134" s="204">
        <f t="shared" si="299"/>
        <v>-69.366881668945013</v>
      </c>
      <c r="BP134" s="204">
        <f t="shared" si="299"/>
        <v>-70.04594751810086</v>
      </c>
      <c r="BQ134" s="204">
        <f t="shared" si="299"/>
        <v>-70.730842804459073</v>
      </c>
      <c r="BR134" s="204">
        <f t="shared" si="299"/>
        <v>-71.421461642316928</v>
      </c>
      <c r="BS134" s="204">
        <f t="shared" si="299"/>
        <v>-72.117700069276026</v>
      </c>
      <c r="BT134" s="204">
        <f t="shared" ref="BT134:EE134" si="300">PV($F88,BT$9,1,0)+(PV($J$6,$N$5-(BT$9),1,0)/($J$6+1)^BT$9)</f>
        <v>-72.819456011307551</v>
      </c>
      <c r="BU134" s="204">
        <f t="shared" si="300"/>
        <v>-73.526629248451897</v>
      </c>
      <c r="BV134" s="204">
        <f t="shared" si="300"/>
        <v>-74.239121381141487</v>
      </c>
      <c r="BW134" s="204">
        <f t="shared" si="300"/>
        <v>-74.956835797135199</v>
      </c>
      <c r="BX134" s="204">
        <f t="shared" si="300"/>
        <v>-75.679677639053423</v>
      </c>
      <c r="BY134" s="204">
        <f t="shared" si="300"/>
        <v>-76.407553772502823</v>
      </c>
      <c r="BZ134" s="204">
        <f t="shared" si="300"/>
        <v>-77.140372754780103</v>
      </c>
      <c r="CA134" s="204">
        <f t="shared" si="300"/>
        <v>-77.878044804144153</v>
      </c>
      <c r="CB134" s="204">
        <f t="shared" si="300"/>
        <v>-78.620481769646403</v>
      </c>
      <c r="CC134" s="204">
        <f t="shared" si="300"/>
        <v>-79.36759710150919</v>
      </c>
      <c r="CD134" s="204">
        <f t="shared" si="300"/>
        <v>-80.119305822042122</v>
      </c>
      <c r="CE134" s="204">
        <f t="shared" si="300"/>
        <v>-80.87552449708673</v>
      </c>
      <c r="CF134" s="204">
        <f t="shared" si="300"/>
        <v>-81.636171207979814</v>
      </c>
      <c r="CG134" s="204">
        <f t="shared" si="300"/>
        <v>-82.401165524026041</v>
      </c>
      <c r="CH134" s="204">
        <f t="shared" si="300"/>
        <v>-83.170428475470544</v>
      </c>
      <c r="CI134" s="204">
        <f t="shared" si="300"/>
        <v>-83.943882526962454</v>
      </c>
      <c r="CJ134" s="204">
        <f t="shared" si="300"/>
        <v>-84.721451551500408</v>
      </c>
      <c r="CK134" s="204">
        <f t="shared" si="300"/>
        <v>-85.503060804851359</v>
      </c>
      <c r="CL134" s="204">
        <f t="shared" si="300"/>
        <v>-86.288636900434042</v>
      </c>
      <c r="CM134" s="204">
        <f t="shared" si="300"/>
        <v>-87.07810778465857</v>
      </c>
      <c r="CN134" s="204">
        <f t="shared" si="300"/>
        <v>-87.871402712714072</v>
      </c>
      <c r="CO134" s="204">
        <f t="shared" si="300"/>
        <v>-88.668452224796056</v>
      </c>
      <c r="CP134" s="204">
        <f t="shared" si="300"/>
        <v>-89.469188122765601</v>
      </c>
      <c r="CQ134" s="204">
        <f t="shared" si="300"/>
        <v>-90.273543447232512</v>
      </c>
      <c r="CR134" s="204">
        <f t="shared" si="300"/>
        <v>-91.081452455054702</v>
      </c>
      <c r="CS134" s="204">
        <f t="shared" si="300"/>
        <v>-91.892850597246365</v>
      </c>
      <c r="CT134" s="204">
        <f t="shared" si="300"/>
        <v>-92.707674497287258</v>
      </c>
      <c r="CU134" s="204">
        <f t="shared" si="300"/>
        <v>-93.525861929826178</v>
      </c>
      <c r="CV134" s="204">
        <f t="shared" si="300"/>
        <v>-94.347351799771133</v>
      </c>
      <c r="CW134" s="204">
        <f t="shared" si="300"/>
        <v>-95.172084121759283</v>
      </c>
      <c r="CX134" s="204">
        <f t="shared" si="300"/>
        <v>-96</v>
      </c>
      <c r="CY134" s="204">
        <f t="shared" si="300"/>
        <v>-96</v>
      </c>
      <c r="CZ134" s="204">
        <f t="shared" si="300"/>
        <v>-96</v>
      </c>
      <c r="DA134" s="204">
        <f t="shared" si="300"/>
        <v>-96</v>
      </c>
      <c r="DB134" s="204">
        <f t="shared" si="300"/>
        <v>-96</v>
      </c>
      <c r="DC134" s="204">
        <f t="shared" si="300"/>
        <v>-96</v>
      </c>
      <c r="DD134" s="204">
        <f t="shared" si="300"/>
        <v>-96</v>
      </c>
      <c r="DE134" s="204">
        <f t="shared" si="300"/>
        <v>-96</v>
      </c>
      <c r="DF134" s="204">
        <f t="shared" si="300"/>
        <v>-96</v>
      </c>
      <c r="DG134" s="204">
        <f t="shared" si="300"/>
        <v>-96</v>
      </c>
      <c r="DH134" s="204">
        <f t="shared" si="300"/>
        <v>-96</v>
      </c>
      <c r="DI134" s="204">
        <f t="shared" si="300"/>
        <v>-96</v>
      </c>
      <c r="DJ134" s="204">
        <f t="shared" si="300"/>
        <v>-96</v>
      </c>
      <c r="DK134" s="204">
        <f t="shared" si="300"/>
        <v>-96</v>
      </c>
      <c r="DL134" s="204">
        <f t="shared" si="300"/>
        <v>-96</v>
      </c>
      <c r="DM134" s="204">
        <f t="shared" si="300"/>
        <v>-96</v>
      </c>
      <c r="DN134" s="204">
        <f t="shared" si="300"/>
        <v>-96</v>
      </c>
      <c r="DO134" s="204">
        <f t="shared" si="300"/>
        <v>-96</v>
      </c>
      <c r="DP134" s="204">
        <f t="shared" si="300"/>
        <v>-96</v>
      </c>
      <c r="DQ134" s="204">
        <f t="shared" si="300"/>
        <v>-96</v>
      </c>
      <c r="DR134" s="204">
        <f t="shared" si="300"/>
        <v>-96</v>
      </c>
      <c r="DS134" s="204">
        <f t="shared" si="300"/>
        <v>-96</v>
      </c>
      <c r="DT134" s="204">
        <f t="shared" si="300"/>
        <v>-96</v>
      </c>
      <c r="DU134" s="204">
        <f t="shared" si="300"/>
        <v>-96</v>
      </c>
      <c r="DV134" s="204">
        <f t="shared" si="300"/>
        <v>-96</v>
      </c>
      <c r="DW134" s="204">
        <f t="shared" si="300"/>
        <v>-96</v>
      </c>
      <c r="DX134" s="204">
        <f t="shared" si="300"/>
        <v>-96</v>
      </c>
      <c r="DY134" s="204">
        <f t="shared" si="300"/>
        <v>-96</v>
      </c>
      <c r="DZ134" s="204">
        <f t="shared" si="300"/>
        <v>-96</v>
      </c>
      <c r="EA134" s="204">
        <f t="shared" si="300"/>
        <v>-96</v>
      </c>
      <c r="EB134" s="204">
        <f t="shared" si="300"/>
        <v>-96</v>
      </c>
      <c r="EC134" s="204">
        <f t="shared" si="300"/>
        <v>-96</v>
      </c>
      <c r="ED134" s="204">
        <f t="shared" si="300"/>
        <v>-96</v>
      </c>
      <c r="EE134" s="204">
        <f t="shared" si="300"/>
        <v>-96</v>
      </c>
      <c r="EF134" s="204">
        <f t="shared" ref="EF134:ET134" si="301">PV($F88,EF$9,1,0)+(PV($J$6,$N$5-(EF$9),1,0)/($J$6+1)^EF$9)</f>
        <v>-96</v>
      </c>
      <c r="EG134" s="204">
        <f t="shared" si="301"/>
        <v>-96</v>
      </c>
      <c r="EH134" s="204">
        <f t="shared" si="301"/>
        <v>-96</v>
      </c>
      <c r="EI134" s="204">
        <f t="shared" si="301"/>
        <v>-96</v>
      </c>
      <c r="EJ134" s="204">
        <f t="shared" si="301"/>
        <v>-96</v>
      </c>
      <c r="EK134" s="204">
        <f t="shared" si="301"/>
        <v>-96</v>
      </c>
      <c r="EL134" s="204">
        <f t="shared" si="301"/>
        <v>-96</v>
      </c>
      <c r="EM134" s="204">
        <f t="shared" si="301"/>
        <v>-96</v>
      </c>
      <c r="EN134" s="204">
        <f t="shared" si="301"/>
        <v>-96</v>
      </c>
      <c r="EO134" s="204">
        <f t="shared" si="301"/>
        <v>-96</v>
      </c>
      <c r="EP134" s="204">
        <f t="shared" si="301"/>
        <v>-96</v>
      </c>
      <c r="EQ134" s="204">
        <f t="shared" si="301"/>
        <v>-96</v>
      </c>
      <c r="ER134" s="204">
        <f t="shared" si="301"/>
        <v>-96</v>
      </c>
      <c r="ES134" s="204">
        <f t="shared" si="301"/>
        <v>-96</v>
      </c>
      <c r="ET134" s="204">
        <f t="shared" si="301"/>
        <v>-96</v>
      </c>
      <c r="FF134" s="6" t="s">
        <v>369</v>
      </c>
      <c r="FG134" s="696">
        <v>2.5000000000000001E-2</v>
      </c>
      <c r="FH134" s="696">
        <v>96</v>
      </c>
      <c r="FI134" s="696">
        <v>1.8600000000000002E-2</v>
      </c>
      <c r="FJ134" s="255">
        <v>1.55E-2</v>
      </c>
      <c r="FK134" s="71">
        <f t="shared" si="126"/>
        <v>2.2619047619047624E-4</v>
      </c>
      <c r="FL134" t="e">
        <f>VLOOKUP(FF134,'SIMULADOR COM SALDO'!$BX$22:$CK$1000,13,FALSE)</f>
        <v>#N/A</v>
      </c>
    </row>
    <row r="135" spans="7:168" x14ac:dyDescent="0.25">
      <c r="G135" s="205">
        <f t="shared" si="262"/>
        <v>-44.770373601250576</v>
      </c>
      <c r="H135" s="204">
        <f t="shared" ref="H135:BS135" si="302">PV($F89,H$9,1,0)+(PV($J$6,$N$5-(H$9),1,0)/($J$6+1)^H$9)</f>
        <v>-44.806371604802436</v>
      </c>
      <c r="I135" s="204">
        <f t="shared" si="302"/>
        <v>-44.859879708437063</v>
      </c>
      <c r="J135" s="204">
        <f t="shared" si="302"/>
        <v>-44.930579859281075</v>
      </c>
      <c r="K135" s="204">
        <f t="shared" si="302"/>
        <v>-45.018159781562872</v>
      </c>
      <c r="L135" s="204">
        <f t="shared" si="302"/>
        <v>-45.122312871677551</v>
      </c>
      <c r="M135" s="204">
        <f t="shared" si="302"/>
        <v>-45.24273809515784</v>
      </c>
      <c r="N135" s="204">
        <f t="shared" si="302"/>
        <v>-45.379139885516487</v>
      </c>
      <c r="O135" s="204">
        <f t="shared" si="302"/>
        <v>-45.53122804492606</v>
      </c>
      <c r="P135" s="204">
        <f t="shared" si="302"/>
        <v>-45.698717646702761</v>
      </c>
      <c r="Q135" s="204">
        <f t="shared" si="302"/>
        <v>-45.881328939561598</v>
      </c>
      <c r="R135" s="204">
        <f t="shared" si="302"/>
        <v>-46.078787253610507</v>
      </c>
      <c r="S135" s="204">
        <f t="shared" si="302"/>
        <v>-46.290822908052249</v>
      </c>
      <c r="T135" s="204">
        <f t="shared" si="302"/>
        <v>-46.517171120562551</v>
      </c>
      <c r="U135" s="204">
        <f t="shared" si="302"/>
        <v>-46.75757191831444</v>
      </c>
      <c r="V135" s="204">
        <f t="shared" si="302"/>
        <v>-47.011770050618708</v>
      </c>
      <c r="W135" s="204">
        <f t="shared" si="302"/>
        <v>-47.279514903151124</v>
      </c>
      <c r="X135" s="204">
        <f t="shared" si="302"/>
        <v>-47.560560413737676</v>
      </c>
      <c r="Y135" s="204">
        <f t="shared" si="302"/>
        <v>-47.854664989669509</v>
      </c>
      <c r="Z135" s="204">
        <f t="shared" si="302"/>
        <v>-48.161591426519607</v>
      </c>
      <c r="AA135" s="204">
        <f t="shared" si="302"/>
        <v>-48.481106828434278</v>
      </c>
      <c r="AB135" s="204">
        <f t="shared" si="302"/>
        <v>-48.81298252987235</v>
      </c>
      <c r="AC135" s="204">
        <f t="shared" si="302"/>
        <v>-49.156994018765893</v>
      </c>
      <c r="AD135" s="204">
        <f t="shared" si="302"/>
        <v>-49.51292086107668</v>
      </c>
      <c r="AE135" s="204">
        <f t="shared" si="302"/>
        <v>-49.880546626723003</v>
      </c>
      <c r="AF135" s="204">
        <f t="shared" si="302"/>
        <v>-50.259658816851953</v>
      </c>
      <c r="AG135" s="204">
        <f t="shared" si="302"/>
        <v>-50.650048792432663</v>
      </c>
      <c r="AH135" s="204">
        <f t="shared" si="302"/>
        <v>-51.051511704146662</v>
      </c>
      <c r="AI135" s="204">
        <f t="shared" si="302"/>
        <v>-51.463846423551665</v>
      </c>
      <c r="AJ135" s="204">
        <f t="shared" si="302"/>
        <v>-51.886855475495707</v>
      </c>
      <c r="AK135" s="204">
        <f t="shared" si="302"/>
        <v>-52.320344971758878</v>
      </c>
      <c r="AL135" s="204">
        <f t="shared" si="302"/>
        <v>-52.76412454590043</v>
      </c>
      <c r="AM135" s="204">
        <f t="shared" si="302"/>
        <v>-53.218007289289282</v>
      </c>
      <c r="AN135" s="204">
        <f t="shared" si="302"/>
        <v>-53.681809688296511</v>
      </c>
      <c r="AO135" s="204">
        <f t="shared" si="302"/>
        <v>-54.155351562628589</v>
      </c>
      <c r="AP135" s="204">
        <f t="shared" si="302"/>
        <v>-54.638456004780849</v>
      </c>
      <c r="AQ135" s="204">
        <f t="shared" si="302"/>
        <v>-55.130949320590631</v>
      </c>
      <c r="AR135" s="204">
        <f t="shared" si="302"/>
        <v>-55.632660970870248</v>
      </c>
      <c r="AS135" s="204">
        <f t="shared" si="302"/>
        <v>-56.143423514100107</v>
      </c>
      <c r="AT135" s="204">
        <f t="shared" si="302"/>
        <v>-56.663072550162802</v>
      </c>
      <c r="AU135" s="204">
        <f t="shared" si="302"/>
        <v>-57.191446665099171</v>
      </c>
      <c r="AV135" s="204">
        <f t="shared" si="302"/>
        <v>-57.728387376867829</v>
      </c>
      <c r="AW135" s="204">
        <f t="shared" si="302"/>
        <v>-58.273739082089882</v>
      </c>
      <c r="AX135" s="204">
        <f t="shared" si="302"/>
        <v>-58.827349003761015</v>
      </c>
      <c r="AY135" s="204">
        <f t="shared" si="302"/>
        <v>-59.389067139913323</v>
      </c>
      <c r="AZ135" s="204">
        <f t="shared" si="302"/>
        <v>-59.95874621320965</v>
      </c>
      <c r="BA135" s="204">
        <f t="shared" si="302"/>
        <v>-60.53624162145347</v>
      </c>
      <c r="BB135" s="204">
        <f t="shared" si="302"/>
        <v>-61.121411388997728</v>
      </c>
      <c r="BC135" s="204">
        <f t="shared" si="302"/>
        <v>-61.714116119036262</v>
      </c>
      <c r="BD135" s="204">
        <f t="shared" si="302"/>
        <v>-62.314218946761883</v>
      </c>
      <c r="BE135" s="204">
        <f t="shared" si="302"/>
        <v>-62.921585493375147</v>
      </c>
      <c r="BF135" s="204">
        <f t="shared" si="302"/>
        <v>-63.536083820928674</v>
      </c>
      <c r="BG135" s="204">
        <f t="shared" si="302"/>
        <v>-64.157584387991548</v>
      </c>
      <c r="BH135" s="204">
        <f t="shared" si="302"/>
        <v>-64.785960006119055</v>
      </c>
      <c r="BI135" s="204">
        <f t="shared" si="302"/>
        <v>-65.421085797113165</v>
      </c>
      <c r="BJ135" s="204">
        <f t="shared" si="302"/>
        <v>-66.062839151059279</v>
      </c>
      <c r="BK135" s="204">
        <f t="shared" si="302"/>
        <v>-66.711099685125177</v>
      </c>
      <c r="BL135" s="204">
        <f t="shared" si="302"/>
        <v>-67.365749203108379</v>
      </c>
      <c r="BM135" s="204">
        <f t="shared" si="302"/>
        <v>-68.026671655718303</v>
      </c>
      <c r="BN135" s="204">
        <f t="shared" si="302"/>
        <v>-68.693753101579787</v>
      </c>
      <c r="BO135" s="204">
        <f t="shared" si="302"/>
        <v>-69.366881668945013</v>
      </c>
      <c r="BP135" s="204">
        <f t="shared" si="302"/>
        <v>-70.04594751810086</v>
      </c>
      <c r="BQ135" s="204">
        <f t="shared" si="302"/>
        <v>-70.730842804459073</v>
      </c>
      <c r="BR135" s="204">
        <f t="shared" si="302"/>
        <v>-71.421461642316928</v>
      </c>
      <c r="BS135" s="204">
        <f t="shared" si="302"/>
        <v>-72.117700069276026</v>
      </c>
      <c r="BT135" s="204">
        <f t="shared" ref="BT135:EE135" si="303">PV($F89,BT$9,1,0)+(PV($J$6,$N$5-(BT$9),1,0)/($J$6+1)^BT$9)</f>
        <v>-72.819456011307551</v>
      </c>
      <c r="BU135" s="204">
        <f t="shared" si="303"/>
        <v>-73.526629248451897</v>
      </c>
      <c r="BV135" s="204">
        <f t="shared" si="303"/>
        <v>-74.239121381141487</v>
      </c>
      <c r="BW135" s="204">
        <f t="shared" si="303"/>
        <v>-74.956835797135199</v>
      </c>
      <c r="BX135" s="204">
        <f t="shared" si="303"/>
        <v>-75.679677639053423</v>
      </c>
      <c r="BY135" s="204">
        <f t="shared" si="303"/>
        <v>-76.407553772502823</v>
      </c>
      <c r="BZ135" s="204">
        <f t="shared" si="303"/>
        <v>-77.140372754780103</v>
      </c>
      <c r="CA135" s="204">
        <f t="shared" si="303"/>
        <v>-77.878044804144153</v>
      </c>
      <c r="CB135" s="204">
        <f t="shared" si="303"/>
        <v>-78.620481769646403</v>
      </c>
      <c r="CC135" s="204">
        <f t="shared" si="303"/>
        <v>-79.36759710150919</v>
      </c>
      <c r="CD135" s="204">
        <f t="shared" si="303"/>
        <v>-80.119305822042122</v>
      </c>
      <c r="CE135" s="204">
        <f t="shared" si="303"/>
        <v>-80.87552449708673</v>
      </c>
      <c r="CF135" s="204">
        <f t="shared" si="303"/>
        <v>-81.636171207979814</v>
      </c>
      <c r="CG135" s="204">
        <f t="shared" si="303"/>
        <v>-82.401165524026041</v>
      </c>
      <c r="CH135" s="204">
        <f t="shared" si="303"/>
        <v>-83.170428475470544</v>
      </c>
      <c r="CI135" s="204">
        <f t="shared" si="303"/>
        <v>-83.943882526962454</v>
      </c>
      <c r="CJ135" s="204">
        <f t="shared" si="303"/>
        <v>-84.721451551500408</v>
      </c>
      <c r="CK135" s="204">
        <f t="shared" si="303"/>
        <v>-85.503060804851359</v>
      </c>
      <c r="CL135" s="204">
        <f t="shared" si="303"/>
        <v>-86.288636900434042</v>
      </c>
      <c r="CM135" s="204">
        <f t="shared" si="303"/>
        <v>-87.07810778465857</v>
      </c>
      <c r="CN135" s="204">
        <f t="shared" si="303"/>
        <v>-87.871402712714072</v>
      </c>
      <c r="CO135" s="204">
        <f t="shared" si="303"/>
        <v>-88.668452224796056</v>
      </c>
      <c r="CP135" s="204">
        <f t="shared" si="303"/>
        <v>-89.469188122765601</v>
      </c>
      <c r="CQ135" s="204">
        <f t="shared" si="303"/>
        <v>-90.273543447232512</v>
      </c>
      <c r="CR135" s="204">
        <f t="shared" si="303"/>
        <v>-91.081452455054702</v>
      </c>
      <c r="CS135" s="204">
        <f t="shared" si="303"/>
        <v>-91.892850597246365</v>
      </c>
      <c r="CT135" s="204">
        <f t="shared" si="303"/>
        <v>-92.707674497287258</v>
      </c>
      <c r="CU135" s="204">
        <f t="shared" si="303"/>
        <v>-93.525861929826178</v>
      </c>
      <c r="CV135" s="204">
        <f t="shared" si="303"/>
        <v>-94.347351799771133</v>
      </c>
      <c r="CW135" s="204">
        <f t="shared" si="303"/>
        <v>-95.172084121759283</v>
      </c>
      <c r="CX135" s="204">
        <f t="shared" si="303"/>
        <v>-96</v>
      </c>
      <c r="CY135" s="204">
        <f t="shared" si="303"/>
        <v>-96</v>
      </c>
      <c r="CZ135" s="204">
        <f t="shared" si="303"/>
        <v>-96</v>
      </c>
      <c r="DA135" s="204">
        <f t="shared" si="303"/>
        <v>-96</v>
      </c>
      <c r="DB135" s="204">
        <f t="shared" si="303"/>
        <v>-96</v>
      </c>
      <c r="DC135" s="204">
        <f t="shared" si="303"/>
        <v>-96</v>
      </c>
      <c r="DD135" s="204">
        <f t="shared" si="303"/>
        <v>-96</v>
      </c>
      <c r="DE135" s="204">
        <f t="shared" si="303"/>
        <v>-96</v>
      </c>
      <c r="DF135" s="204">
        <f t="shared" si="303"/>
        <v>-96</v>
      </c>
      <c r="DG135" s="204">
        <f t="shared" si="303"/>
        <v>-96</v>
      </c>
      <c r="DH135" s="204">
        <f t="shared" si="303"/>
        <v>-96</v>
      </c>
      <c r="DI135" s="204">
        <f t="shared" si="303"/>
        <v>-96</v>
      </c>
      <c r="DJ135" s="204">
        <f t="shared" si="303"/>
        <v>-96</v>
      </c>
      <c r="DK135" s="204">
        <f t="shared" si="303"/>
        <v>-96</v>
      </c>
      <c r="DL135" s="204">
        <f t="shared" si="303"/>
        <v>-96</v>
      </c>
      <c r="DM135" s="204">
        <f t="shared" si="303"/>
        <v>-96</v>
      </c>
      <c r="DN135" s="204">
        <f t="shared" si="303"/>
        <v>-96</v>
      </c>
      <c r="DO135" s="204">
        <f t="shared" si="303"/>
        <v>-96</v>
      </c>
      <c r="DP135" s="204">
        <f t="shared" si="303"/>
        <v>-96</v>
      </c>
      <c r="DQ135" s="204">
        <f t="shared" si="303"/>
        <v>-96</v>
      </c>
      <c r="DR135" s="204">
        <f t="shared" si="303"/>
        <v>-96</v>
      </c>
      <c r="DS135" s="204">
        <f t="shared" si="303"/>
        <v>-96</v>
      </c>
      <c r="DT135" s="204">
        <f t="shared" si="303"/>
        <v>-96</v>
      </c>
      <c r="DU135" s="204">
        <f t="shared" si="303"/>
        <v>-96</v>
      </c>
      <c r="DV135" s="204">
        <f t="shared" si="303"/>
        <v>-96</v>
      </c>
      <c r="DW135" s="204">
        <f t="shared" si="303"/>
        <v>-96</v>
      </c>
      <c r="DX135" s="204">
        <f t="shared" si="303"/>
        <v>-96</v>
      </c>
      <c r="DY135" s="204">
        <f t="shared" si="303"/>
        <v>-96</v>
      </c>
      <c r="DZ135" s="204">
        <f t="shared" si="303"/>
        <v>-96</v>
      </c>
      <c r="EA135" s="204">
        <f t="shared" si="303"/>
        <v>-96</v>
      </c>
      <c r="EB135" s="204">
        <f t="shared" si="303"/>
        <v>-96</v>
      </c>
      <c r="EC135" s="204">
        <f t="shared" si="303"/>
        <v>-96</v>
      </c>
      <c r="ED135" s="204">
        <f t="shared" si="303"/>
        <v>-96</v>
      </c>
      <c r="EE135" s="204">
        <f t="shared" si="303"/>
        <v>-96</v>
      </c>
      <c r="EF135" s="204">
        <f t="shared" ref="EF135:ET135" si="304">PV($F89,EF$9,1,0)+(PV($J$6,$N$5-(EF$9),1,0)/($J$6+1)^EF$9)</f>
        <v>-96</v>
      </c>
      <c r="EG135" s="204">
        <f t="shared" si="304"/>
        <v>-96</v>
      </c>
      <c r="EH135" s="204">
        <f t="shared" si="304"/>
        <v>-96</v>
      </c>
      <c r="EI135" s="204">
        <f t="shared" si="304"/>
        <v>-96</v>
      </c>
      <c r="EJ135" s="204">
        <f t="shared" si="304"/>
        <v>-96</v>
      </c>
      <c r="EK135" s="204">
        <f t="shared" si="304"/>
        <v>-96</v>
      </c>
      <c r="EL135" s="204">
        <f t="shared" si="304"/>
        <v>-96</v>
      </c>
      <c r="EM135" s="204">
        <f t="shared" si="304"/>
        <v>-96</v>
      </c>
      <c r="EN135" s="204">
        <f t="shared" si="304"/>
        <v>-96</v>
      </c>
      <c r="EO135" s="204">
        <f t="shared" si="304"/>
        <v>-96</v>
      </c>
      <c r="EP135" s="204">
        <f t="shared" si="304"/>
        <v>-96</v>
      </c>
      <c r="EQ135" s="204">
        <f t="shared" si="304"/>
        <v>-96</v>
      </c>
      <c r="ER135" s="204">
        <f t="shared" si="304"/>
        <v>-96</v>
      </c>
      <c r="ES135" s="204">
        <f t="shared" si="304"/>
        <v>-96</v>
      </c>
      <c r="ET135" s="204">
        <f t="shared" si="304"/>
        <v>-96</v>
      </c>
      <c r="FF135" s="6" t="s">
        <v>370</v>
      </c>
      <c r="FG135" s="696">
        <v>2.5000000000000001E-2</v>
      </c>
      <c r="FH135" s="696">
        <v>120</v>
      </c>
      <c r="FI135" s="696">
        <v>1.8799999999999997E-2</v>
      </c>
      <c r="FJ135" s="255">
        <v>1.3000000000000001E-2</v>
      </c>
      <c r="FK135" s="71">
        <f t="shared" si="126"/>
        <v>2.8571428571428574E-4</v>
      </c>
      <c r="FL135" t="e">
        <f>VLOOKUP(FF135,'SIMULADOR COM SALDO'!$BX$22:$CK$1000,13,FALSE)</f>
        <v>#N/A</v>
      </c>
    </row>
    <row r="136" spans="7:168" x14ac:dyDescent="0.25">
      <c r="G136" s="205">
        <f t="shared" si="262"/>
        <v>-44.770373601250576</v>
      </c>
      <c r="H136" s="204">
        <f t="shared" ref="H136:BS136" si="305">PV($F90,H$9,1,0)+(PV($J$6,$N$5-(H$9),1,0)/($J$6+1)^H$9)</f>
        <v>-44.806371604802436</v>
      </c>
      <c r="I136" s="204">
        <f t="shared" si="305"/>
        <v>-44.859879708437063</v>
      </c>
      <c r="J136" s="204">
        <f t="shared" si="305"/>
        <v>-44.930579859281075</v>
      </c>
      <c r="K136" s="204">
        <f t="shared" si="305"/>
        <v>-45.018159781562872</v>
      </c>
      <c r="L136" s="204">
        <f t="shared" si="305"/>
        <v>-45.122312871677551</v>
      </c>
      <c r="M136" s="204">
        <f t="shared" si="305"/>
        <v>-45.24273809515784</v>
      </c>
      <c r="N136" s="204">
        <f t="shared" si="305"/>
        <v>-45.379139885516487</v>
      </c>
      <c r="O136" s="204">
        <f t="shared" si="305"/>
        <v>-45.53122804492606</v>
      </c>
      <c r="P136" s="204">
        <f t="shared" si="305"/>
        <v>-45.698717646702761</v>
      </c>
      <c r="Q136" s="204">
        <f t="shared" si="305"/>
        <v>-45.881328939561598</v>
      </c>
      <c r="R136" s="204">
        <f t="shared" si="305"/>
        <v>-46.078787253610507</v>
      </c>
      <c r="S136" s="204">
        <f t="shared" si="305"/>
        <v>-46.290822908052249</v>
      </c>
      <c r="T136" s="204">
        <f t="shared" si="305"/>
        <v>-46.517171120562551</v>
      </c>
      <c r="U136" s="204">
        <f t="shared" si="305"/>
        <v>-46.75757191831444</v>
      </c>
      <c r="V136" s="204">
        <f t="shared" si="305"/>
        <v>-47.011770050618708</v>
      </c>
      <c r="W136" s="204">
        <f t="shared" si="305"/>
        <v>-47.279514903151124</v>
      </c>
      <c r="X136" s="204">
        <f t="shared" si="305"/>
        <v>-47.560560413737676</v>
      </c>
      <c r="Y136" s="204">
        <f t="shared" si="305"/>
        <v>-47.854664989669509</v>
      </c>
      <c r="Z136" s="204">
        <f t="shared" si="305"/>
        <v>-48.161591426519607</v>
      </c>
      <c r="AA136" s="204">
        <f t="shared" si="305"/>
        <v>-48.481106828434278</v>
      </c>
      <c r="AB136" s="204">
        <f t="shared" si="305"/>
        <v>-48.81298252987235</v>
      </c>
      <c r="AC136" s="204">
        <f t="shared" si="305"/>
        <v>-49.156994018765893</v>
      </c>
      <c r="AD136" s="204">
        <f t="shared" si="305"/>
        <v>-49.51292086107668</v>
      </c>
      <c r="AE136" s="204">
        <f t="shared" si="305"/>
        <v>-49.880546626723003</v>
      </c>
      <c r="AF136" s="204">
        <f t="shared" si="305"/>
        <v>-50.259658816851953</v>
      </c>
      <c r="AG136" s="204">
        <f t="shared" si="305"/>
        <v>-50.650048792432663</v>
      </c>
      <c r="AH136" s="204">
        <f t="shared" si="305"/>
        <v>-51.051511704146662</v>
      </c>
      <c r="AI136" s="204">
        <f t="shared" si="305"/>
        <v>-51.463846423551665</v>
      </c>
      <c r="AJ136" s="204">
        <f t="shared" si="305"/>
        <v>-51.886855475495707</v>
      </c>
      <c r="AK136" s="204">
        <f t="shared" si="305"/>
        <v>-52.320344971758878</v>
      </c>
      <c r="AL136" s="204">
        <f t="shared" si="305"/>
        <v>-52.76412454590043</v>
      </c>
      <c r="AM136" s="204">
        <f t="shared" si="305"/>
        <v>-53.218007289289282</v>
      </c>
      <c r="AN136" s="204">
        <f t="shared" si="305"/>
        <v>-53.681809688296511</v>
      </c>
      <c r="AO136" s="204">
        <f t="shared" si="305"/>
        <v>-54.155351562628589</v>
      </c>
      <c r="AP136" s="204">
        <f t="shared" si="305"/>
        <v>-54.638456004780849</v>
      </c>
      <c r="AQ136" s="204">
        <f t="shared" si="305"/>
        <v>-55.130949320590631</v>
      </c>
      <c r="AR136" s="204">
        <f t="shared" si="305"/>
        <v>-55.632660970870248</v>
      </c>
      <c r="AS136" s="204">
        <f t="shared" si="305"/>
        <v>-56.143423514100107</v>
      </c>
      <c r="AT136" s="204">
        <f t="shared" si="305"/>
        <v>-56.663072550162802</v>
      </c>
      <c r="AU136" s="204">
        <f t="shared" si="305"/>
        <v>-57.191446665099171</v>
      </c>
      <c r="AV136" s="204">
        <f t="shared" si="305"/>
        <v>-57.728387376867829</v>
      </c>
      <c r="AW136" s="204">
        <f t="shared" si="305"/>
        <v>-58.273739082089882</v>
      </c>
      <c r="AX136" s="204">
        <f t="shared" si="305"/>
        <v>-58.827349003761015</v>
      </c>
      <c r="AY136" s="204">
        <f t="shared" si="305"/>
        <v>-59.389067139913323</v>
      </c>
      <c r="AZ136" s="204">
        <f t="shared" si="305"/>
        <v>-59.95874621320965</v>
      </c>
      <c r="BA136" s="204">
        <f t="shared" si="305"/>
        <v>-60.53624162145347</v>
      </c>
      <c r="BB136" s="204">
        <f t="shared" si="305"/>
        <v>-61.121411388997728</v>
      </c>
      <c r="BC136" s="204">
        <f t="shared" si="305"/>
        <v>-61.714116119036262</v>
      </c>
      <c r="BD136" s="204">
        <f t="shared" si="305"/>
        <v>-62.314218946761883</v>
      </c>
      <c r="BE136" s="204">
        <f t="shared" si="305"/>
        <v>-62.921585493375147</v>
      </c>
      <c r="BF136" s="204">
        <f t="shared" si="305"/>
        <v>-63.536083820928674</v>
      </c>
      <c r="BG136" s="204">
        <f t="shared" si="305"/>
        <v>-64.157584387991548</v>
      </c>
      <c r="BH136" s="204">
        <f t="shared" si="305"/>
        <v>-64.785960006119055</v>
      </c>
      <c r="BI136" s="204">
        <f t="shared" si="305"/>
        <v>-65.421085797113165</v>
      </c>
      <c r="BJ136" s="204">
        <f t="shared" si="305"/>
        <v>-66.062839151059279</v>
      </c>
      <c r="BK136" s="204">
        <f t="shared" si="305"/>
        <v>-66.711099685125177</v>
      </c>
      <c r="BL136" s="204">
        <f t="shared" si="305"/>
        <v>-67.365749203108379</v>
      </c>
      <c r="BM136" s="204">
        <f t="shared" si="305"/>
        <v>-68.026671655718303</v>
      </c>
      <c r="BN136" s="204">
        <f t="shared" si="305"/>
        <v>-68.693753101579787</v>
      </c>
      <c r="BO136" s="204">
        <f t="shared" si="305"/>
        <v>-69.366881668945013</v>
      </c>
      <c r="BP136" s="204">
        <f t="shared" si="305"/>
        <v>-70.04594751810086</v>
      </c>
      <c r="BQ136" s="204">
        <f t="shared" si="305"/>
        <v>-70.730842804459073</v>
      </c>
      <c r="BR136" s="204">
        <f t="shared" si="305"/>
        <v>-71.421461642316928</v>
      </c>
      <c r="BS136" s="204">
        <f t="shared" si="305"/>
        <v>-72.117700069276026</v>
      </c>
      <c r="BT136" s="204">
        <f t="shared" ref="BT136:EE136" si="306">PV($F90,BT$9,1,0)+(PV($J$6,$N$5-(BT$9),1,0)/($J$6+1)^BT$9)</f>
        <v>-72.819456011307551</v>
      </c>
      <c r="BU136" s="204">
        <f t="shared" si="306"/>
        <v>-73.526629248451897</v>
      </c>
      <c r="BV136" s="204">
        <f t="shared" si="306"/>
        <v>-74.239121381141487</v>
      </c>
      <c r="BW136" s="204">
        <f t="shared" si="306"/>
        <v>-74.956835797135199</v>
      </c>
      <c r="BX136" s="204">
        <f t="shared" si="306"/>
        <v>-75.679677639053423</v>
      </c>
      <c r="BY136" s="204">
        <f t="shared" si="306"/>
        <v>-76.407553772502823</v>
      </c>
      <c r="BZ136" s="204">
        <f t="shared" si="306"/>
        <v>-77.140372754780103</v>
      </c>
      <c r="CA136" s="204">
        <f t="shared" si="306"/>
        <v>-77.878044804144153</v>
      </c>
      <c r="CB136" s="204">
        <f t="shared" si="306"/>
        <v>-78.620481769646403</v>
      </c>
      <c r="CC136" s="204">
        <f t="shared" si="306"/>
        <v>-79.36759710150919</v>
      </c>
      <c r="CD136" s="204">
        <f t="shared" si="306"/>
        <v>-80.119305822042122</v>
      </c>
      <c r="CE136" s="204">
        <f t="shared" si="306"/>
        <v>-80.87552449708673</v>
      </c>
      <c r="CF136" s="204">
        <f t="shared" si="306"/>
        <v>-81.636171207979814</v>
      </c>
      <c r="CG136" s="204">
        <f t="shared" si="306"/>
        <v>-82.401165524026041</v>
      </c>
      <c r="CH136" s="204">
        <f t="shared" si="306"/>
        <v>-83.170428475470544</v>
      </c>
      <c r="CI136" s="204">
        <f t="shared" si="306"/>
        <v>-83.943882526962454</v>
      </c>
      <c r="CJ136" s="204">
        <f t="shared" si="306"/>
        <v>-84.721451551500408</v>
      </c>
      <c r="CK136" s="204">
        <f t="shared" si="306"/>
        <v>-85.503060804851359</v>
      </c>
      <c r="CL136" s="204">
        <f t="shared" si="306"/>
        <v>-86.288636900434042</v>
      </c>
      <c r="CM136" s="204">
        <f t="shared" si="306"/>
        <v>-87.07810778465857</v>
      </c>
      <c r="CN136" s="204">
        <f t="shared" si="306"/>
        <v>-87.871402712714072</v>
      </c>
      <c r="CO136" s="204">
        <f t="shared" si="306"/>
        <v>-88.668452224796056</v>
      </c>
      <c r="CP136" s="204">
        <f t="shared" si="306"/>
        <v>-89.469188122765601</v>
      </c>
      <c r="CQ136" s="204">
        <f t="shared" si="306"/>
        <v>-90.273543447232512</v>
      </c>
      <c r="CR136" s="204">
        <f t="shared" si="306"/>
        <v>-91.081452455054702</v>
      </c>
      <c r="CS136" s="204">
        <f t="shared" si="306"/>
        <v>-91.892850597246365</v>
      </c>
      <c r="CT136" s="204">
        <f t="shared" si="306"/>
        <v>-92.707674497287258</v>
      </c>
      <c r="CU136" s="204">
        <f t="shared" si="306"/>
        <v>-93.525861929826178</v>
      </c>
      <c r="CV136" s="204">
        <f t="shared" si="306"/>
        <v>-94.347351799771133</v>
      </c>
      <c r="CW136" s="204">
        <f t="shared" si="306"/>
        <v>-95.172084121759283</v>
      </c>
      <c r="CX136" s="204">
        <f t="shared" si="306"/>
        <v>-96</v>
      </c>
      <c r="CY136" s="204">
        <f t="shared" si="306"/>
        <v>-96</v>
      </c>
      <c r="CZ136" s="204">
        <f t="shared" si="306"/>
        <v>-96</v>
      </c>
      <c r="DA136" s="204">
        <f t="shared" si="306"/>
        <v>-96</v>
      </c>
      <c r="DB136" s="204">
        <f t="shared" si="306"/>
        <v>-96</v>
      </c>
      <c r="DC136" s="204">
        <f t="shared" si="306"/>
        <v>-96</v>
      </c>
      <c r="DD136" s="204">
        <f t="shared" si="306"/>
        <v>-96</v>
      </c>
      <c r="DE136" s="204">
        <f t="shared" si="306"/>
        <v>-96</v>
      </c>
      <c r="DF136" s="204">
        <f t="shared" si="306"/>
        <v>-96</v>
      </c>
      <c r="DG136" s="204">
        <f t="shared" si="306"/>
        <v>-96</v>
      </c>
      <c r="DH136" s="204">
        <f t="shared" si="306"/>
        <v>-96</v>
      </c>
      <c r="DI136" s="204">
        <f t="shared" si="306"/>
        <v>-96</v>
      </c>
      <c r="DJ136" s="204">
        <f t="shared" si="306"/>
        <v>-96</v>
      </c>
      <c r="DK136" s="204">
        <f t="shared" si="306"/>
        <v>-96</v>
      </c>
      <c r="DL136" s="204">
        <f t="shared" si="306"/>
        <v>-96</v>
      </c>
      <c r="DM136" s="204">
        <f t="shared" si="306"/>
        <v>-96</v>
      </c>
      <c r="DN136" s="204">
        <f t="shared" si="306"/>
        <v>-96</v>
      </c>
      <c r="DO136" s="204">
        <f t="shared" si="306"/>
        <v>-96</v>
      </c>
      <c r="DP136" s="204">
        <f t="shared" si="306"/>
        <v>-96</v>
      </c>
      <c r="DQ136" s="204">
        <f t="shared" si="306"/>
        <v>-96</v>
      </c>
      <c r="DR136" s="204">
        <f t="shared" si="306"/>
        <v>-96</v>
      </c>
      <c r="DS136" s="204">
        <f t="shared" si="306"/>
        <v>-96</v>
      </c>
      <c r="DT136" s="204">
        <f t="shared" si="306"/>
        <v>-96</v>
      </c>
      <c r="DU136" s="204">
        <f t="shared" si="306"/>
        <v>-96</v>
      </c>
      <c r="DV136" s="204">
        <f t="shared" si="306"/>
        <v>-96</v>
      </c>
      <c r="DW136" s="204">
        <f t="shared" si="306"/>
        <v>-96</v>
      </c>
      <c r="DX136" s="204">
        <f t="shared" si="306"/>
        <v>-96</v>
      </c>
      <c r="DY136" s="204">
        <f t="shared" si="306"/>
        <v>-96</v>
      </c>
      <c r="DZ136" s="204">
        <f t="shared" si="306"/>
        <v>-96</v>
      </c>
      <c r="EA136" s="204">
        <f t="shared" si="306"/>
        <v>-96</v>
      </c>
      <c r="EB136" s="204">
        <f t="shared" si="306"/>
        <v>-96</v>
      </c>
      <c r="EC136" s="204">
        <f t="shared" si="306"/>
        <v>-96</v>
      </c>
      <c r="ED136" s="204">
        <f t="shared" si="306"/>
        <v>-96</v>
      </c>
      <c r="EE136" s="204">
        <f t="shared" si="306"/>
        <v>-96</v>
      </c>
      <c r="EF136" s="204">
        <f t="shared" ref="EF136:ET136" si="307">PV($F90,EF$9,1,0)+(PV($J$6,$N$5-(EF$9),1,0)/($J$6+1)^EF$9)</f>
        <v>-96</v>
      </c>
      <c r="EG136" s="204">
        <f t="shared" si="307"/>
        <v>-96</v>
      </c>
      <c r="EH136" s="204">
        <f t="shared" si="307"/>
        <v>-96</v>
      </c>
      <c r="EI136" s="204">
        <f t="shared" si="307"/>
        <v>-96</v>
      </c>
      <c r="EJ136" s="204">
        <f t="shared" si="307"/>
        <v>-96</v>
      </c>
      <c r="EK136" s="204">
        <f t="shared" si="307"/>
        <v>-96</v>
      </c>
      <c r="EL136" s="204">
        <f t="shared" si="307"/>
        <v>-96</v>
      </c>
      <c r="EM136" s="204">
        <f t="shared" si="307"/>
        <v>-96</v>
      </c>
      <c r="EN136" s="204">
        <f t="shared" si="307"/>
        <v>-96</v>
      </c>
      <c r="EO136" s="204">
        <f t="shared" si="307"/>
        <v>-96</v>
      </c>
      <c r="EP136" s="204">
        <f t="shared" si="307"/>
        <v>-96</v>
      </c>
      <c r="EQ136" s="204">
        <f t="shared" si="307"/>
        <v>-96</v>
      </c>
      <c r="ER136" s="204">
        <f t="shared" si="307"/>
        <v>-96</v>
      </c>
      <c r="ES136" s="204">
        <f t="shared" si="307"/>
        <v>-96</v>
      </c>
      <c r="ET136" s="204">
        <f t="shared" si="307"/>
        <v>-96</v>
      </c>
      <c r="FF136" s="6" t="s">
        <v>1041</v>
      </c>
      <c r="FG136" s="696">
        <v>2.5000000000000001E-2</v>
      </c>
      <c r="FH136" s="696">
        <v>96</v>
      </c>
      <c r="FI136" s="696">
        <v>1.9699999999999999E-2</v>
      </c>
      <c r="FJ136" s="255">
        <v>1.6E-2</v>
      </c>
      <c r="FK136" s="71">
        <f t="shared" si="126"/>
        <v>2.142857142857143E-4</v>
      </c>
      <c r="FL136" t="e">
        <f>VLOOKUP(FF136,'SIMULADOR COM SALDO'!$BX$22:$CK$1000,13,FALSE)</f>
        <v>#N/A</v>
      </c>
    </row>
    <row r="137" spans="7:168" x14ac:dyDescent="0.25">
      <c r="G137" s="205">
        <f t="shared" si="262"/>
        <v>-44.770373601250576</v>
      </c>
      <c r="H137" s="204">
        <f t="shared" ref="H137:BS137" si="308">PV($F91,H$9,1,0)+(PV($J$6,$N$5-(H$9),1,0)/($J$6+1)^H$9)</f>
        <v>-44.806371604802436</v>
      </c>
      <c r="I137" s="204">
        <f t="shared" si="308"/>
        <v>-44.859879708437063</v>
      </c>
      <c r="J137" s="204">
        <f t="shared" si="308"/>
        <v>-44.930579859281075</v>
      </c>
      <c r="K137" s="204">
        <f t="shared" si="308"/>
        <v>-45.018159781562872</v>
      </c>
      <c r="L137" s="204">
        <f t="shared" si="308"/>
        <v>-45.122312871677551</v>
      </c>
      <c r="M137" s="204">
        <f t="shared" si="308"/>
        <v>-45.24273809515784</v>
      </c>
      <c r="N137" s="204">
        <f t="shared" si="308"/>
        <v>-45.379139885516487</v>
      </c>
      <c r="O137" s="204">
        <f t="shared" si="308"/>
        <v>-45.53122804492606</v>
      </c>
      <c r="P137" s="204">
        <f t="shared" si="308"/>
        <v>-45.698717646702761</v>
      </c>
      <c r="Q137" s="204">
        <f t="shared" si="308"/>
        <v>-45.881328939561598</v>
      </c>
      <c r="R137" s="204">
        <f t="shared" si="308"/>
        <v>-46.078787253610507</v>
      </c>
      <c r="S137" s="204">
        <f t="shared" si="308"/>
        <v>-46.290822908052249</v>
      </c>
      <c r="T137" s="204">
        <f t="shared" si="308"/>
        <v>-46.517171120562551</v>
      </c>
      <c r="U137" s="204">
        <f t="shared" si="308"/>
        <v>-46.75757191831444</v>
      </c>
      <c r="V137" s="204">
        <f t="shared" si="308"/>
        <v>-47.011770050618708</v>
      </c>
      <c r="W137" s="204">
        <f t="shared" si="308"/>
        <v>-47.279514903151124</v>
      </c>
      <c r="X137" s="204">
        <f t="shared" si="308"/>
        <v>-47.560560413737676</v>
      </c>
      <c r="Y137" s="204">
        <f t="shared" si="308"/>
        <v>-47.854664989669509</v>
      </c>
      <c r="Z137" s="204">
        <f t="shared" si="308"/>
        <v>-48.161591426519607</v>
      </c>
      <c r="AA137" s="204">
        <f t="shared" si="308"/>
        <v>-48.481106828434278</v>
      </c>
      <c r="AB137" s="204">
        <f t="shared" si="308"/>
        <v>-48.81298252987235</v>
      </c>
      <c r="AC137" s="204">
        <f t="shared" si="308"/>
        <v>-49.156994018765893</v>
      </c>
      <c r="AD137" s="204">
        <f t="shared" si="308"/>
        <v>-49.51292086107668</v>
      </c>
      <c r="AE137" s="204">
        <f t="shared" si="308"/>
        <v>-49.880546626723003</v>
      </c>
      <c r="AF137" s="204">
        <f t="shared" si="308"/>
        <v>-50.259658816851953</v>
      </c>
      <c r="AG137" s="204">
        <f t="shared" si="308"/>
        <v>-50.650048792432663</v>
      </c>
      <c r="AH137" s="204">
        <f t="shared" si="308"/>
        <v>-51.051511704146662</v>
      </c>
      <c r="AI137" s="204">
        <f t="shared" si="308"/>
        <v>-51.463846423551665</v>
      </c>
      <c r="AJ137" s="204">
        <f t="shared" si="308"/>
        <v>-51.886855475495707</v>
      </c>
      <c r="AK137" s="204">
        <f t="shared" si="308"/>
        <v>-52.320344971758878</v>
      </c>
      <c r="AL137" s="204">
        <f t="shared" si="308"/>
        <v>-52.76412454590043</v>
      </c>
      <c r="AM137" s="204">
        <f t="shared" si="308"/>
        <v>-53.218007289289282</v>
      </c>
      <c r="AN137" s="204">
        <f t="shared" si="308"/>
        <v>-53.681809688296511</v>
      </c>
      <c r="AO137" s="204">
        <f t="shared" si="308"/>
        <v>-54.155351562628589</v>
      </c>
      <c r="AP137" s="204">
        <f t="shared" si="308"/>
        <v>-54.638456004780849</v>
      </c>
      <c r="AQ137" s="204">
        <f t="shared" si="308"/>
        <v>-55.130949320590631</v>
      </c>
      <c r="AR137" s="204">
        <f t="shared" si="308"/>
        <v>-55.632660970870248</v>
      </c>
      <c r="AS137" s="204">
        <f t="shared" si="308"/>
        <v>-56.143423514100107</v>
      </c>
      <c r="AT137" s="204">
        <f t="shared" si="308"/>
        <v>-56.663072550162802</v>
      </c>
      <c r="AU137" s="204">
        <f t="shared" si="308"/>
        <v>-57.191446665099171</v>
      </c>
      <c r="AV137" s="204">
        <f t="shared" si="308"/>
        <v>-57.728387376867829</v>
      </c>
      <c r="AW137" s="204">
        <f t="shared" si="308"/>
        <v>-58.273739082089882</v>
      </c>
      <c r="AX137" s="204">
        <f t="shared" si="308"/>
        <v>-58.827349003761015</v>
      </c>
      <c r="AY137" s="204">
        <f t="shared" si="308"/>
        <v>-59.389067139913323</v>
      </c>
      <c r="AZ137" s="204">
        <f t="shared" si="308"/>
        <v>-59.95874621320965</v>
      </c>
      <c r="BA137" s="204">
        <f t="shared" si="308"/>
        <v>-60.53624162145347</v>
      </c>
      <c r="BB137" s="204">
        <f t="shared" si="308"/>
        <v>-61.121411388997728</v>
      </c>
      <c r="BC137" s="204">
        <f t="shared" si="308"/>
        <v>-61.714116119036262</v>
      </c>
      <c r="BD137" s="204">
        <f t="shared" si="308"/>
        <v>-62.314218946761883</v>
      </c>
      <c r="BE137" s="204">
        <f t="shared" si="308"/>
        <v>-62.921585493375147</v>
      </c>
      <c r="BF137" s="204">
        <f t="shared" si="308"/>
        <v>-63.536083820928674</v>
      </c>
      <c r="BG137" s="204">
        <f t="shared" si="308"/>
        <v>-64.157584387991548</v>
      </c>
      <c r="BH137" s="204">
        <f t="shared" si="308"/>
        <v>-64.785960006119055</v>
      </c>
      <c r="BI137" s="204">
        <f t="shared" si="308"/>
        <v>-65.421085797113165</v>
      </c>
      <c r="BJ137" s="204">
        <f t="shared" si="308"/>
        <v>-66.062839151059279</v>
      </c>
      <c r="BK137" s="204">
        <f t="shared" si="308"/>
        <v>-66.711099685125177</v>
      </c>
      <c r="BL137" s="204">
        <f t="shared" si="308"/>
        <v>-67.365749203108379</v>
      </c>
      <c r="BM137" s="204">
        <f t="shared" si="308"/>
        <v>-68.026671655718303</v>
      </c>
      <c r="BN137" s="204">
        <f t="shared" si="308"/>
        <v>-68.693753101579787</v>
      </c>
      <c r="BO137" s="204">
        <f t="shared" si="308"/>
        <v>-69.366881668945013</v>
      </c>
      <c r="BP137" s="204">
        <f t="shared" si="308"/>
        <v>-70.04594751810086</v>
      </c>
      <c r="BQ137" s="204">
        <f t="shared" si="308"/>
        <v>-70.730842804459073</v>
      </c>
      <c r="BR137" s="204">
        <f t="shared" si="308"/>
        <v>-71.421461642316928</v>
      </c>
      <c r="BS137" s="204">
        <f t="shared" si="308"/>
        <v>-72.117700069276026</v>
      </c>
      <c r="BT137" s="204">
        <f t="shared" ref="BT137:EE137" si="309">PV($F91,BT$9,1,0)+(PV($J$6,$N$5-(BT$9),1,0)/($J$6+1)^BT$9)</f>
        <v>-72.819456011307551</v>
      </c>
      <c r="BU137" s="204">
        <f t="shared" si="309"/>
        <v>-73.526629248451897</v>
      </c>
      <c r="BV137" s="204">
        <f t="shared" si="309"/>
        <v>-74.239121381141487</v>
      </c>
      <c r="BW137" s="204">
        <f t="shared" si="309"/>
        <v>-74.956835797135199</v>
      </c>
      <c r="BX137" s="204">
        <f t="shared" si="309"/>
        <v>-75.679677639053423</v>
      </c>
      <c r="BY137" s="204">
        <f t="shared" si="309"/>
        <v>-76.407553772502823</v>
      </c>
      <c r="BZ137" s="204">
        <f t="shared" si="309"/>
        <v>-77.140372754780103</v>
      </c>
      <c r="CA137" s="204">
        <f t="shared" si="309"/>
        <v>-77.878044804144153</v>
      </c>
      <c r="CB137" s="204">
        <f t="shared" si="309"/>
        <v>-78.620481769646403</v>
      </c>
      <c r="CC137" s="204">
        <f t="shared" si="309"/>
        <v>-79.36759710150919</v>
      </c>
      <c r="CD137" s="204">
        <f t="shared" si="309"/>
        <v>-80.119305822042122</v>
      </c>
      <c r="CE137" s="204">
        <f t="shared" si="309"/>
        <v>-80.87552449708673</v>
      </c>
      <c r="CF137" s="204">
        <f t="shared" si="309"/>
        <v>-81.636171207979814</v>
      </c>
      <c r="CG137" s="204">
        <f t="shared" si="309"/>
        <v>-82.401165524026041</v>
      </c>
      <c r="CH137" s="204">
        <f t="shared" si="309"/>
        <v>-83.170428475470544</v>
      </c>
      <c r="CI137" s="204">
        <f t="shared" si="309"/>
        <v>-83.943882526962454</v>
      </c>
      <c r="CJ137" s="204">
        <f t="shared" si="309"/>
        <v>-84.721451551500408</v>
      </c>
      <c r="CK137" s="204">
        <f t="shared" si="309"/>
        <v>-85.503060804851359</v>
      </c>
      <c r="CL137" s="204">
        <f t="shared" si="309"/>
        <v>-86.288636900434042</v>
      </c>
      <c r="CM137" s="204">
        <f t="shared" si="309"/>
        <v>-87.07810778465857</v>
      </c>
      <c r="CN137" s="204">
        <f t="shared" si="309"/>
        <v>-87.871402712714072</v>
      </c>
      <c r="CO137" s="204">
        <f t="shared" si="309"/>
        <v>-88.668452224796056</v>
      </c>
      <c r="CP137" s="204">
        <f t="shared" si="309"/>
        <v>-89.469188122765601</v>
      </c>
      <c r="CQ137" s="204">
        <f t="shared" si="309"/>
        <v>-90.273543447232512</v>
      </c>
      <c r="CR137" s="204">
        <f t="shared" si="309"/>
        <v>-91.081452455054702</v>
      </c>
      <c r="CS137" s="204">
        <f t="shared" si="309"/>
        <v>-91.892850597246365</v>
      </c>
      <c r="CT137" s="204">
        <f t="shared" si="309"/>
        <v>-92.707674497287258</v>
      </c>
      <c r="CU137" s="204">
        <f t="shared" si="309"/>
        <v>-93.525861929826178</v>
      </c>
      <c r="CV137" s="204">
        <f t="shared" si="309"/>
        <v>-94.347351799771133</v>
      </c>
      <c r="CW137" s="204">
        <f t="shared" si="309"/>
        <v>-95.172084121759283</v>
      </c>
      <c r="CX137" s="204">
        <f t="shared" si="309"/>
        <v>-96</v>
      </c>
      <c r="CY137" s="204">
        <f t="shared" si="309"/>
        <v>-96</v>
      </c>
      <c r="CZ137" s="204">
        <f t="shared" si="309"/>
        <v>-96</v>
      </c>
      <c r="DA137" s="204">
        <f t="shared" si="309"/>
        <v>-96</v>
      </c>
      <c r="DB137" s="204">
        <f t="shared" si="309"/>
        <v>-96</v>
      </c>
      <c r="DC137" s="204">
        <f t="shared" si="309"/>
        <v>-96</v>
      </c>
      <c r="DD137" s="204">
        <f t="shared" si="309"/>
        <v>-96</v>
      </c>
      <c r="DE137" s="204">
        <f t="shared" si="309"/>
        <v>-96</v>
      </c>
      <c r="DF137" s="204">
        <f t="shared" si="309"/>
        <v>-96</v>
      </c>
      <c r="DG137" s="204">
        <f t="shared" si="309"/>
        <v>-96</v>
      </c>
      <c r="DH137" s="204">
        <f t="shared" si="309"/>
        <v>-96</v>
      </c>
      <c r="DI137" s="204">
        <f t="shared" si="309"/>
        <v>-96</v>
      </c>
      <c r="DJ137" s="204">
        <f t="shared" si="309"/>
        <v>-96</v>
      </c>
      <c r="DK137" s="204">
        <f t="shared" si="309"/>
        <v>-96</v>
      </c>
      <c r="DL137" s="204">
        <f t="shared" si="309"/>
        <v>-96</v>
      </c>
      <c r="DM137" s="204">
        <f t="shared" si="309"/>
        <v>-96</v>
      </c>
      <c r="DN137" s="204">
        <f t="shared" si="309"/>
        <v>-96</v>
      </c>
      <c r="DO137" s="204">
        <f t="shared" si="309"/>
        <v>-96</v>
      </c>
      <c r="DP137" s="204">
        <f t="shared" si="309"/>
        <v>-96</v>
      </c>
      <c r="DQ137" s="204">
        <f t="shared" si="309"/>
        <v>-96</v>
      </c>
      <c r="DR137" s="204">
        <f t="shared" si="309"/>
        <v>-96</v>
      </c>
      <c r="DS137" s="204">
        <f t="shared" si="309"/>
        <v>-96</v>
      </c>
      <c r="DT137" s="204">
        <f t="shared" si="309"/>
        <v>-96</v>
      </c>
      <c r="DU137" s="204">
        <f t="shared" si="309"/>
        <v>-96</v>
      </c>
      <c r="DV137" s="204">
        <f t="shared" si="309"/>
        <v>-96</v>
      </c>
      <c r="DW137" s="204">
        <f t="shared" si="309"/>
        <v>-96</v>
      </c>
      <c r="DX137" s="204">
        <f t="shared" si="309"/>
        <v>-96</v>
      </c>
      <c r="DY137" s="204">
        <f t="shared" si="309"/>
        <v>-96</v>
      </c>
      <c r="DZ137" s="204">
        <f t="shared" si="309"/>
        <v>-96</v>
      </c>
      <c r="EA137" s="204">
        <f t="shared" si="309"/>
        <v>-96</v>
      </c>
      <c r="EB137" s="204">
        <f t="shared" si="309"/>
        <v>-96</v>
      </c>
      <c r="EC137" s="204">
        <f t="shared" si="309"/>
        <v>-96</v>
      </c>
      <c r="ED137" s="204">
        <f t="shared" si="309"/>
        <v>-96</v>
      </c>
      <c r="EE137" s="204">
        <f t="shared" si="309"/>
        <v>-96</v>
      </c>
      <c r="EF137" s="204">
        <f t="shared" ref="EF137:ET137" si="310">PV($F91,EF$9,1,0)+(PV($J$6,$N$5-(EF$9),1,0)/($J$6+1)^EF$9)</f>
        <v>-96</v>
      </c>
      <c r="EG137" s="204">
        <f t="shared" si="310"/>
        <v>-96</v>
      </c>
      <c r="EH137" s="204">
        <f t="shared" si="310"/>
        <v>-96</v>
      </c>
      <c r="EI137" s="204">
        <f t="shared" si="310"/>
        <v>-96</v>
      </c>
      <c r="EJ137" s="204">
        <f t="shared" si="310"/>
        <v>-96</v>
      </c>
      <c r="EK137" s="204">
        <f t="shared" si="310"/>
        <v>-96</v>
      </c>
      <c r="EL137" s="204">
        <f t="shared" si="310"/>
        <v>-96</v>
      </c>
      <c r="EM137" s="204">
        <f t="shared" si="310"/>
        <v>-96</v>
      </c>
      <c r="EN137" s="204">
        <f t="shared" si="310"/>
        <v>-96</v>
      </c>
      <c r="EO137" s="204">
        <f t="shared" si="310"/>
        <v>-96</v>
      </c>
      <c r="EP137" s="204">
        <f t="shared" si="310"/>
        <v>-96</v>
      </c>
      <c r="EQ137" s="204">
        <f t="shared" si="310"/>
        <v>-96</v>
      </c>
      <c r="ER137" s="204">
        <f t="shared" si="310"/>
        <v>-96</v>
      </c>
      <c r="ES137" s="204">
        <f t="shared" si="310"/>
        <v>-96</v>
      </c>
      <c r="ET137" s="204">
        <f t="shared" si="310"/>
        <v>-96</v>
      </c>
      <c r="FF137" s="6" t="s">
        <v>105</v>
      </c>
      <c r="FG137" s="696">
        <v>2.2499999999999999E-2</v>
      </c>
      <c r="FH137" s="696">
        <v>120</v>
      </c>
      <c r="FI137" s="696">
        <v>1.8500000000000003E-2</v>
      </c>
      <c r="FJ137" s="255">
        <v>1.4999999999999999E-2</v>
      </c>
      <c r="FK137" s="71">
        <f t="shared" si="126"/>
        <v>1.7857142857142857E-4</v>
      </c>
      <c r="FL137" t="e">
        <f>VLOOKUP(FF137,'SIMULADOR COM SALDO'!$BX$22:$CK$1000,13,FALSE)</f>
        <v>#N/A</v>
      </c>
    </row>
    <row r="138" spans="7:168" x14ac:dyDescent="0.25">
      <c r="G138" s="205">
        <f t="shared" si="262"/>
        <v>-44.770373601250576</v>
      </c>
      <c r="H138" s="204">
        <f t="shared" ref="H138:BS138" si="311">PV($F92,H$9,1,0)+(PV($J$6,$N$5-(H$9),1,0)/($J$6+1)^H$9)</f>
        <v>-44.806371604802436</v>
      </c>
      <c r="I138" s="204">
        <f t="shared" si="311"/>
        <v>-44.859879708437063</v>
      </c>
      <c r="J138" s="204">
        <f t="shared" si="311"/>
        <v>-44.930579859281075</v>
      </c>
      <c r="K138" s="204">
        <f t="shared" si="311"/>
        <v>-45.018159781562872</v>
      </c>
      <c r="L138" s="204">
        <f t="shared" si="311"/>
        <v>-45.122312871677551</v>
      </c>
      <c r="M138" s="204">
        <f t="shared" si="311"/>
        <v>-45.24273809515784</v>
      </c>
      <c r="N138" s="204">
        <f t="shared" si="311"/>
        <v>-45.379139885516487</v>
      </c>
      <c r="O138" s="204">
        <f t="shared" si="311"/>
        <v>-45.53122804492606</v>
      </c>
      <c r="P138" s="204">
        <f t="shared" si="311"/>
        <v>-45.698717646702761</v>
      </c>
      <c r="Q138" s="204">
        <f t="shared" si="311"/>
        <v>-45.881328939561598</v>
      </c>
      <c r="R138" s="204">
        <f t="shared" si="311"/>
        <v>-46.078787253610507</v>
      </c>
      <c r="S138" s="204">
        <f t="shared" si="311"/>
        <v>-46.290822908052249</v>
      </c>
      <c r="T138" s="204">
        <f t="shared" si="311"/>
        <v>-46.517171120562551</v>
      </c>
      <c r="U138" s="204">
        <f t="shared" si="311"/>
        <v>-46.75757191831444</v>
      </c>
      <c r="V138" s="204">
        <f t="shared" si="311"/>
        <v>-47.011770050618708</v>
      </c>
      <c r="W138" s="204">
        <f t="shared" si="311"/>
        <v>-47.279514903151124</v>
      </c>
      <c r="X138" s="204">
        <f t="shared" si="311"/>
        <v>-47.560560413737676</v>
      </c>
      <c r="Y138" s="204">
        <f t="shared" si="311"/>
        <v>-47.854664989669509</v>
      </c>
      <c r="Z138" s="204">
        <f t="shared" si="311"/>
        <v>-48.161591426519607</v>
      </c>
      <c r="AA138" s="204">
        <f t="shared" si="311"/>
        <v>-48.481106828434278</v>
      </c>
      <c r="AB138" s="204">
        <f t="shared" si="311"/>
        <v>-48.81298252987235</v>
      </c>
      <c r="AC138" s="204">
        <f t="shared" si="311"/>
        <v>-49.156994018765893</v>
      </c>
      <c r="AD138" s="204">
        <f t="shared" si="311"/>
        <v>-49.51292086107668</v>
      </c>
      <c r="AE138" s="204">
        <f t="shared" si="311"/>
        <v>-49.880546626723003</v>
      </c>
      <c r="AF138" s="204">
        <f t="shared" si="311"/>
        <v>-50.259658816851953</v>
      </c>
      <c r="AG138" s="204">
        <f t="shared" si="311"/>
        <v>-50.650048792432663</v>
      </c>
      <c r="AH138" s="204">
        <f t="shared" si="311"/>
        <v>-51.051511704146662</v>
      </c>
      <c r="AI138" s="204">
        <f t="shared" si="311"/>
        <v>-51.463846423551665</v>
      </c>
      <c r="AJ138" s="204">
        <f t="shared" si="311"/>
        <v>-51.886855475495707</v>
      </c>
      <c r="AK138" s="204">
        <f t="shared" si="311"/>
        <v>-52.320344971758878</v>
      </c>
      <c r="AL138" s="204">
        <f t="shared" si="311"/>
        <v>-52.76412454590043</v>
      </c>
      <c r="AM138" s="204">
        <f t="shared" si="311"/>
        <v>-53.218007289289282</v>
      </c>
      <c r="AN138" s="204">
        <f t="shared" si="311"/>
        <v>-53.681809688296511</v>
      </c>
      <c r="AO138" s="204">
        <f t="shared" si="311"/>
        <v>-54.155351562628589</v>
      </c>
      <c r="AP138" s="204">
        <f t="shared" si="311"/>
        <v>-54.638456004780849</v>
      </c>
      <c r="AQ138" s="204">
        <f t="shared" si="311"/>
        <v>-55.130949320590631</v>
      </c>
      <c r="AR138" s="204">
        <f t="shared" si="311"/>
        <v>-55.632660970870248</v>
      </c>
      <c r="AS138" s="204">
        <f t="shared" si="311"/>
        <v>-56.143423514100107</v>
      </c>
      <c r="AT138" s="204">
        <f t="shared" si="311"/>
        <v>-56.663072550162802</v>
      </c>
      <c r="AU138" s="204">
        <f t="shared" si="311"/>
        <v>-57.191446665099171</v>
      </c>
      <c r="AV138" s="204">
        <f t="shared" si="311"/>
        <v>-57.728387376867829</v>
      </c>
      <c r="AW138" s="204">
        <f t="shared" si="311"/>
        <v>-58.273739082089882</v>
      </c>
      <c r="AX138" s="204">
        <f t="shared" si="311"/>
        <v>-58.827349003761015</v>
      </c>
      <c r="AY138" s="204">
        <f t="shared" si="311"/>
        <v>-59.389067139913323</v>
      </c>
      <c r="AZ138" s="204">
        <f t="shared" si="311"/>
        <v>-59.95874621320965</v>
      </c>
      <c r="BA138" s="204">
        <f t="shared" si="311"/>
        <v>-60.53624162145347</v>
      </c>
      <c r="BB138" s="204">
        <f t="shared" si="311"/>
        <v>-61.121411388997728</v>
      </c>
      <c r="BC138" s="204">
        <f t="shared" si="311"/>
        <v>-61.714116119036262</v>
      </c>
      <c r="BD138" s="204">
        <f t="shared" si="311"/>
        <v>-62.314218946761883</v>
      </c>
      <c r="BE138" s="204">
        <f t="shared" si="311"/>
        <v>-62.921585493375147</v>
      </c>
      <c r="BF138" s="204">
        <f t="shared" si="311"/>
        <v>-63.536083820928674</v>
      </c>
      <c r="BG138" s="204">
        <f t="shared" si="311"/>
        <v>-64.157584387991548</v>
      </c>
      <c r="BH138" s="204">
        <f t="shared" si="311"/>
        <v>-64.785960006119055</v>
      </c>
      <c r="BI138" s="204">
        <f t="shared" si="311"/>
        <v>-65.421085797113165</v>
      </c>
      <c r="BJ138" s="204">
        <f t="shared" si="311"/>
        <v>-66.062839151059279</v>
      </c>
      <c r="BK138" s="204">
        <f t="shared" si="311"/>
        <v>-66.711099685125177</v>
      </c>
      <c r="BL138" s="204">
        <f t="shared" si="311"/>
        <v>-67.365749203108379</v>
      </c>
      <c r="BM138" s="204">
        <f t="shared" si="311"/>
        <v>-68.026671655718303</v>
      </c>
      <c r="BN138" s="204">
        <f t="shared" si="311"/>
        <v>-68.693753101579787</v>
      </c>
      <c r="BO138" s="204">
        <f t="shared" si="311"/>
        <v>-69.366881668945013</v>
      </c>
      <c r="BP138" s="204">
        <f t="shared" si="311"/>
        <v>-70.04594751810086</v>
      </c>
      <c r="BQ138" s="204">
        <f t="shared" si="311"/>
        <v>-70.730842804459073</v>
      </c>
      <c r="BR138" s="204">
        <f t="shared" si="311"/>
        <v>-71.421461642316928</v>
      </c>
      <c r="BS138" s="204">
        <f t="shared" si="311"/>
        <v>-72.117700069276026</v>
      </c>
      <c r="BT138" s="204">
        <f t="shared" ref="BT138:EE138" si="312">PV($F92,BT$9,1,0)+(PV($J$6,$N$5-(BT$9),1,0)/($J$6+1)^BT$9)</f>
        <v>-72.819456011307551</v>
      </c>
      <c r="BU138" s="204">
        <f t="shared" si="312"/>
        <v>-73.526629248451897</v>
      </c>
      <c r="BV138" s="204">
        <f t="shared" si="312"/>
        <v>-74.239121381141487</v>
      </c>
      <c r="BW138" s="204">
        <f t="shared" si="312"/>
        <v>-74.956835797135199</v>
      </c>
      <c r="BX138" s="204">
        <f t="shared" si="312"/>
        <v>-75.679677639053423</v>
      </c>
      <c r="BY138" s="204">
        <f t="shared" si="312"/>
        <v>-76.407553772502823</v>
      </c>
      <c r="BZ138" s="204">
        <f t="shared" si="312"/>
        <v>-77.140372754780103</v>
      </c>
      <c r="CA138" s="204">
        <f t="shared" si="312"/>
        <v>-77.878044804144153</v>
      </c>
      <c r="CB138" s="204">
        <f t="shared" si="312"/>
        <v>-78.620481769646403</v>
      </c>
      <c r="CC138" s="204">
        <f t="shared" si="312"/>
        <v>-79.36759710150919</v>
      </c>
      <c r="CD138" s="204">
        <f t="shared" si="312"/>
        <v>-80.119305822042122</v>
      </c>
      <c r="CE138" s="204">
        <f t="shared" si="312"/>
        <v>-80.87552449708673</v>
      </c>
      <c r="CF138" s="204">
        <f t="shared" si="312"/>
        <v>-81.636171207979814</v>
      </c>
      <c r="CG138" s="204">
        <f t="shared" si="312"/>
        <v>-82.401165524026041</v>
      </c>
      <c r="CH138" s="204">
        <f t="shared" si="312"/>
        <v>-83.170428475470544</v>
      </c>
      <c r="CI138" s="204">
        <f t="shared" si="312"/>
        <v>-83.943882526962454</v>
      </c>
      <c r="CJ138" s="204">
        <f t="shared" si="312"/>
        <v>-84.721451551500408</v>
      </c>
      <c r="CK138" s="204">
        <f t="shared" si="312"/>
        <v>-85.503060804851359</v>
      </c>
      <c r="CL138" s="204">
        <f t="shared" si="312"/>
        <v>-86.288636900434042</v>
      </c>
      <c r="CM138" s="204">
        <f t="shared" si="312"/>
        <v>-87.07810778465857</v>
      </c>
      <c r="CN138" s="204">
        <f t="shared" si="312"/>
        <v>-87.871402712714072</v>
      </c>
      <c r="CO138" s="204">
        <f t="shared" si="312"/>
        <v>-88.668452224796056</v>
      </c>
      <c r="CP138" s="204">
        <f t="shared" si="312"/>
        <v>-89.469188122765601</v>
      </c>
      <c r="CQ138" s="204">
        <f t="shared" si="312"/>
        <v>-90.273543447232512</v>
      </c>
      <c r="CR138" s="204">
        <f t="shared" si="312"/>
        <v>-91.081452455054702</v>
      </c>
      <c r="CS138" s="204">
        <f t="shared" si="312"/>
        <v>-91.892850597246365</v>
      </c>
      <c r="CT138" s="204">
        <f t="shared" si="312"/>
        <v>-92.707674497287258</v>
      </c>
      <c r="CU138" s="204">
        <f t="shared" si="312"/>
        <v>-93.525861929826178</v>
      </c>
      <c r="CV138" s="204">
        <f t="shared" si="312"/>
        <v>-94.347351799771133</v>
      </c>
      <c r="CW138" s="204">
        <f t="shared" si="312"/>
        <v>-95.172084121759283</v>
      </c>
      <c r="CX138" s="204">
        <f t="shared" si="312"/>
        <v>-96</v>
      </c>
      <c r="CY138" s="204">
        <f t="shared" si="312"/>
        <v>-96</v>
      </c>
      <c r="CZ138" s="204">
        <f t="shared" si="312"/>
        <v>-96</v>
      </c>
      <c r="DA138" s="204">
        <f t="shared" si="312"/>
        <v>-96</v>
      </c>
      <c r="DB138" s="204">
        <f t="shared" si="312"/>
        <v>-96</v>
      </c>
      <c r="DC138" s="204">
        <f t="shared" si="312"/>
        <v>-96</v>
      </c>
      <c r="DD138" s="204">
        <f t="shared" si="312"/>
        <v>-96</v>
      </c>
      <c r="DE138" s="204">
        <f t="shared" si="312"/>
        <v>-96</v>
      </c>
      <c r="DF138" s="204">
        <f t="shared" si="312"/>
        <v>-96</v>
      </c>
      <c r="DG138" s="204">
        <f t="shared" si="312"/>
        <v>-96</v>
      </c>
      <c r="DH138" s="204">
        <f t="shared" si="312"/>
        <v>-96</v>
      </c>
      <c r="DI138" s="204">
        <f t="shared" si="312"/>
        <v>-96</v>
      </c>
      <c r="DJ138" s="204">
        <f t="shared" si="312"/>
        <v>-96</v>
      </c>
      <c r="DK138" s="204">
        <f t="shared" si="312"/>
        <v>-96</v>
      </c>
      <c r="DL138" s="204">
        <f t="shared" si="312"/>
        <v>-96</v>
      </c>
      <c r="DM138" s="204">
        <f t="shared" si="312"/>
        <v>-96</v>
      </c>
      <c r="DN138" s="204">
        <f t="shared" si="312"/>
        <v>-96</v>
      </c>
      <c r="DO138" s="204">
        <f t="shared" si="312"/>
        <v>-96</v>
      </c>
      <c r="DP138" s="204">
        <f t="shared" si="312"/>
        <v>-96</v>
      </c>
      <c r="DQ138" s="204">
        <f t="shared" si="312"/>
        <v>-96</v>
      </c>
      <c r="DR138" s="204">
        <f t="shared" si="312"/>
        <v>-96</v>
      </c>
      <c r="DS138" s="204">
        <f t="shared" si="312"/>
        <v>-96</v>
      </c>
      <c r="DT138" s="204">
        <f t="shared" si="312"/>
        <v>-96</v>
      </c>
      <c r="DU138" s="204">
        <f t="shared" si="312"/>
        <v>-96</v>
      </c>
      <c r="DV138" s="204">
        <f t="shared" si="312"/>
        <v>-96</v>
      </c>
      <c r="DW138" s="204">
        <f t="shared" si="312"/>
        <v>-96</v>
      </c>
      <c r="DX138" s="204">
        <f t="shared" si="312"/>
        <v>-96</v>
      </c>
      <c r="DY138" s="204">
        <f t="shared" si="312"/>
        <v>-96</v>
      </c>
      <c r="DZ138" s="204">
        <f t="shared" si="312"/>
        <v>-96</v>
      </c>
      <c r="EA138" s="204">
        <f t="shared" si="312"/>
        <v>-96</v>
      </c>
      <c r="EB138" s="204">
        <f t="shared" si="312"/>
        <v>-96</v>
      </c>
      <c r="EC138" s="204">
        <f t="shared" si="312"/>
        <v>-96</v>
      </c>
      <c r="ED138" s="204">
        <f t="shared" si="312"/>
        <v>-96</v>
      </c>
      <c r="EE138" s="204">
        <f t="shared" si="312"/>
        <v>-96</v>
      </c>
      <c r="EF138" s="204">
        <f t="shared" ref="EF138:ET138" si="313">PV($F92,EF$9,1,0)+(PV($J$6,$N$5-(EF$9),1,0)/($J$6+1)^EF$9)</f>
        <v>-96</v>
      </c>
      <c r="EG138" s="204">
        <f t="shared" si="313"/>
        <v>-96</v>
      </c>
      <c r="EH138" s="204">
        <f t="shared" si="313"/>
        <v>-96</v>
      </c>
      <c r="EI138" s="204">
        <f t="shared" si="313"/>
        <v>-96</v>
      </c>
      <c r="EJ138" s="204">
        <f t="shared" si="313"/>
        <v>-96</v>
      </c>
      <c r="EK138" s="204">
        <f t="shared" si="313"/>
        <v>-96</v>
      </c>
      <c r="EL138" s="204">
        <f t="shared" si="313"/>
        <v>-96</v>
      </c>
      <c r="EM138" s="204">
        <f t="shared" si="313"/>
        <v>-96</v>
      </c>
      <c r="EN138" s="204">
        <f t="shared" si="313"/>
        <v>-96</v>
      </c>
      <c r="EO138" s="204">
        <f t="shared" si="313"/>
        <v>-96</v>
      </c>
      <c r="EP138" s="204">
        <f t="shared" si="313"/>
        <v>-96</v>
      </c>
      <c r="EQ138" s="204">
        <f t="shared" si="313"/>
        <v>-96</v>
      </c>
      <c r="ER138" s="204">
        <f t="shared" si="313"/>
        <v>-96</v>
      </c>
      <c r="ES138" s="204">
        <f t="shared" si="313"/>
        <v>-96</v>
      </c>
      <c r="ET138" s="204">
        <f t="shared" si="313"/>
        <v>-96</v>
      </c>
      <c r="FF138" s="6" t="s">
        <v>351</v>
      </c>
      <c r="FG138" s="696">
        <v>2.5000000000000001E-2</v>
      </c>
      <c r="FH138" s="696">
        <v>96</v>
      </c>
      <c r="FI138" s="696">
        <v>2.29E-2</v>
      </c>
      <c r="FJ138" s="255">
        <v>1.6799999999999999E-2</v>
      </c>
      <c r="FK138" s="71">
        <f t="shared" si="126"/>
        <v>1.952380952380953E-4</v>
      </c>
      <c r="FL138" t="e">
        <f>VLOOKUP(FF138,'SIMULADOR COM SALDO'!$BX$22:$CK$1000,13,FALSE)</f>
        <v>#N/A</v>
      </c>
    </row>
    <row r="139" spans="7:168" x14ac:dyDescent="0.25">
      <c r="G139" s="205">
        <f t="shared" si="262"/>
        <v>-44.770373601250576</v>
      </c>
      <c r="H139" s="204">
        <f t="shared" ref="H139:BS139" si="314">PV($F93,H$9,1,0)+(PV($J$6,$N$5-(H$9),1,0)/($J$6+1)^H$9)</f>
        <v>-44.806371604802436</v>
      </c>
      <c r="I139" s="204">
        <f t="shared" si="314"/>
        <v>-44.859879708437063</v>
      </c>
      <c r="J139" s="204">
        <f t="shared" si="314"/>
        <v>-44.930579859281075</v>
      </c>
      <c r="K139" s="204">
        <f t="shared" si="314"/>
        <v>-45.018159781562872</v>
      </c>
      <c r="L139" s="204">
        <f t="shared" si="314"/>
        <v>-45.122312871677551</v>
      </c>
      <c r="M139" s="204">
        <f t="shared" si="314"/>
        <v>-45.24273809515784</v>
      </c>
      <c r="N139" s="204">
        <f t="shared" si="314"/>
        <v>-45.379139885516487</v>
      </c>
      <c r="O139" s="204">
        <f t="shared" si="314"/>
        <v>-45.53122804492606</v>
      </c>
      <c r="P139" s="204">
        <f t="shared" si="314"/>
        <v>-45.698717646702761</v>
      </c>
      <c r="Q139" s="204">
        <f t="shared" si="314"/>
        <v>-45.881328939561598</v>
      </c>
      <c r="R139" s="204">
        <f t="shared" si="314"/>
        <v>-46.078787253610507</v>
      </c>
      <c r="S139" s="204">
        <f t="shared" si="314"/>
        <v>-46.290822908052249</v>
      </c>
      <c r="T139" s="204">
        <f t="shared" si="314"/>
        <v>-46.517171120562551</v>
      </c>
      <c r="U139" s="204">
        <f t="shared" si="314"/>
        <v>-46.75757191831444</v>
      </c>
      <c r="V139" s="204">
        <f t="shared" si="314"/>
        <v>-47.011770050618708</v>
      </c>
      <c r="W139" s="204">
        <f t="shared" si="314"/>
        <v>-47.279514903151124</v>
      </c>
      <c r="X139" s="204">
        <f t="shared" si="314"/>
        <v>-47.560560413737676</v>
      </c>
      <c r="Y139" s="204">
        <f t="shared" si="314"/>
        <v>-47.854664989669509</v>
      </c>
      <c r="Z139" s="204">
        <f t="shared" si="314"/>
        <v>-48.161591426519607</v>
      </c>
      <c r="AA139" s="204">
        <f t="shared" si="314"/>
        <v>-48.481106828434278</v>
      </c>
      <c r="AB139" s="204">
        <f t="shared" si="314"/>
        <v>-48.81298252987235</v>
      </c>
      <c r="AC139" s="204">
        <f t="shared" si="314"/>
        <v>-49.156994018765893</v>
      </c>
      <c r="AD139" s="204">
        <f t="shared" si="314"/>
        <v>-49.51292086107668</v>
      </c>
      <c r="AE139" s="204">
        <f t="shared" si="314"/>
        <v>-49.880546626723003</v>
      </c>
      <c r="AF139" s="204">
        <f t="shared" si="314"/>
        <v>-50.259658816851953</v>
      </c>
      <c r="AG139" s="204">
        <f t="shared" si="314"/>
        <v>-50.650048792432663</v>
      </c>
      <c r="AH139" s="204">
        <f t="shared" si="314"/>
        <v>-51.051511704146662</v>
      </c>
      <c r="AI139" s="204">
        <f t="shared" si="314"/>
        <v>-51.463846423551665</v>
      </c>
      <c r="AJ139" s="204">
        <f t="shared" si="314"/>
        <v>-51.886855475495707</v>
      </c>
      <c r="AK139" s="204">
        <f t="shared" si="314"/>
        <v>-52.320344971758878</v>
      </c>
      <c r="AL139" s="204">
        <f t="shared" si="314"/>
        <v>-52.76412454590043</v>
      </c>
      <c r="AM139" s="204">
        <f t="shared" si="314"/>
        <v>-53.218007289289282</v>
      </c>
      <c r="AN139" s="204">
        <f t="shared" si="314"/>
        <v>-53.681809688296511</v>
      </c>
      <c r="AO139" s="204">
        <f t="shared" si="314"/>
        <v>-54.155351562628589</v>
      </c>
      <c r="AP139" s="204">
        <f t="shared" si="314"/>
        <v>-54.638456004780849</v>
      </c>
      <c r="AQ139" s="204">
        <f t="shared" si="314"/>
        <v>-55.130949320590631</v>
      </c>
      <c r="AR139" s="204">
        <f t="shared" si="314"/>
        <v>-55.632660970870248</v>
      </c>
      <c r="AS139" s="204">
        <f t="shared" si="314"/>
        <v>-56.143423514100107</v>
      </c>
      <c r="AT139" s="204">
        <f t="shared" si="314"/>
        <v>-56.663072550162802</v>
      </c>
      <c r="AU139" s="204">
        <f t="shared" si="314"/>
        <v>-57.191446665099171</v>
      </c>
      <c r="AV139" s="204">
        <f t="shared" si="314"/>
        <v>-57.728387376867829</v>
      </c>
      <c r="AW139" s="204">
        <f t="shared" si="314"/>
        <v>-58.273739082089882</v>
      </c>
      <c r="AX139" s="204">
        <f t="shared" si="314"/>
        <v>-58.827349003761015</v>
      </c>
      <c r="AY139" s="204">
        <f t="shared" si="314"/>
        <v>-59.389067139913323</v>
      </c>
      <c r="AZ139" s="204">
        <f t="shared" si="314"/>
        <v>-59.95874621320965</v>
      </c>
      <c r="BA139" s="204">
        <f t="shared" si="314"/>
        <v>-60.53624162145347</v>
      </c>
      <c r="BB139" s="204">
        <f t="shared" si="314"/>
        <v>-61.121411388997728</v>
      </c>
      <c r="BC139" s="204">
        <f t="shared" si="314"/>
        <v>-61.714116119036262</v>
      </c>
      <c r="BD139" s="204">
        <f t="shared" si="314"/>
        <v>-62.314218946761883</v>
      </c>
      <c r="BE139" s="204">
        <f t="shared" si="314"/>
        <v>-62.921585493375147</v>
      </c>
      <c r="BF139" s="204">
        <f t="shared" si="314"/>
        <v>-63.536083820928674</v>
      </c>
      <c r="BG139" s="204">
        <f t="shared" si="314"/>
        <v>-64.157584387991548</v>
      </c>
      <c r="BH139" s="204">
        <f t="shared" si="314"/>
        <v>-64.785960006119055</v>
      </c>
      <c r="BI139" s="204">
        <f t="shared" si="314"/>
        <v>-65.421085797113165</v>
      </c>
      <c r="BJ139" s="204">
        <f t="shared" si="314"/>
        <v>-66.062839151059279</v>
      </c>
      <c r="BK139" s="204">
        <f t="shared" si="314"/>
        <v>-66.711099685125177</v>
      </c>
      <c r="BL139" s="204">
        <f t="shared" si="314"/>
        <v>-67.365749203108379</v>
      </c>
      <c r="BM139" s="204">
        <f t="shared" si="314"/>
        <v>-68.026671655718303</v>
      </c>
      <c r="BN139" s="204">
        <f t="shared" si="314"/>
        <v>-68.693753101579787</v>
      </c>
      <c r="BO139" s="204">
        <f t="shared" si="314"/>
        <v>-69.366881668945013</v>
      </c>
      <c r="BP139" s="204">
        <f t="shared" si="314"/>
        <v>-70.04594751810086</v>
      </c>
      <c r="BQ139" s="204">
        <f t="shared" si="314"/>
        <v>-70.730842804459073</v>
      </c>
      <c r="BR139" s="204">
        <f t="shared" si="314"/>
        <v>-71.421461642316928</v>
      </c>
      <c r="BS139" s="204">
        <f t="shared" si="314"/>
        <v>-72.117700069276026</v>
      </c>
      <c r="BT139" s="204">
        <f t="shared" ref="BT139:EE139" si="315">PV($F93,BT$9,1,0)+(PV($J$6,$N$5-(BT$9),1,0)/($J$6+1)^BT$9)</f>
        <v>-72.819456011307551</v>
      </c>
      <c r="BU139" s="204">
        <f t="shared" si="315"/>
        <v>-73.526629248451897</v>
      </c>
      <c r="BV139" s="204">
        <f t="shared" si="315"/>
        <v>-74.239121381141487</v>
      </c>
      <c r="BW139" s="204">
        <f t="shared" si="315"/>
        <v>-74.956835797135199</v>
      </c>
      <c r="BX139" s="204">
        <f t="shared" si="315"/>
        <v>-75.679677639053423</v>
      </c>
      <c r="BY139" s="204">
        <f t="shared" si="315"/>
        <v>-76.407553772502823</v>
      </c>
      <c r="BZ139" s="204">
        <f t="shared" si="315"/>
        <v>-77.140372754780103</v>
      </c>
      <c r="CA139" s="204">
        <f t="shared" si="315"/>
        <v>-77.878044804144153</v>
      </c>
      <c r="CB139" s="204">
        <f t="shared" si="315"/>
        <v>-78.620481769646403</v>
      </c>
      <c r="CC139" s="204">
        <f t="shared" si="315"/>
        <v>-79.36759710150919</v>
      </c>
      <c r="CD139" s="204">
        <f t="shared" si="315"/>
        <v>-80.119305822042122</v>
      </c>
      <c r="CE139" s="204">
        <f t="shared" si="315"/>
        <v>-80.87552449708673</v>
      </c>
      <c r="CF139" s="204">
        <f t="shared" si="315"/>
        <v>-81.636171207979814</v>
      </c>
      <c r="CG139" s="204">
        <f t="shared" si="315"/>
        <v>-82.401165524026041</v>
      </c>
      <c r="CH139" s="204">
        <f t="shared" si="315"/>
        <v>-83.170428475470544</v>
      </c>
      <c r="CI139" s="204">
        <f t="shared" si="315"/>
        <v>-83.943882526962454</v>
      </c>
      <c r="CJ139" s="204">
        <f t="shared" si="315"/>
        <v>-84.721451551500408</v>
      </c>
      <c r="CK139" s="204">
        <f t="shared" si="315"/>
        <v>-85.503060804851359</v>
      </c>
      <c r="CL139" s="204">
        <f t="shared" si="315"/>
        <v>-86.288636900434042</v>
      </c>
      <c r="CM139" s="204">
        <f t="shared" si="315"/>
        <v>-87.07810778465857</v>
      </c>
      <c r="CN139" s="204">
        <f t="shared" si="315"/>
        <v>-87.871402712714072</v>
      </c>
      <c r="CO139" s="204">
        <f t="shared" si="315"/>
        <v>-88.668452224796056</v>
      </c>
      <c r="CP139" s="204">
        <f t="shared" si="315"/>
        <v>-89.469188122765601</v>
      </c>
      <c r="CQ139" s="204">
        <f t="shared" si="315"/>
        <v>-90.273543447232512</v>
      </c>
      <c r="CR139" s="204">
        <f t="shared" si="315"/>
        <v>-91.081452455054702</v>
      </c>
      <c r="CS139" s="204">
        <f t="shared" si="315"/>
        <v>-91.892850597246365</v>
      </c>
      <c r="CT139" s="204">
        <f t="shared" si="315"/>
        <v>-92.707674497287258</v>
      </c>
      <c r="CU139" s="204">
        <f t="shared" si="315"/>
        <v>-93.525861929826178</v>
      </c>
      <c r="CV139" s="204">
        <f t="shared" si="315"/>
        <v>-94.347351799771133</v>
      </c>
      <c r="CW139" s="204">
        <f t="shared" si="315"/>
        <v>-95.172084121759283</v>
      </c>
      <c r="CX139" s="204">
        <f t="shared" si="315"/>
        <v>-96</v>
      </c>
      <c r="CY139" s="204">
        <f t="shared" si="315"/>
        <v>-96</v>
      </c>
      <c r="CZ139" s="204">
        <f t="shared" si="315"/>
        <v>-96</v>
      </c>
      <c r="DA139" s="204">
        <f t="shared" si="315"/>
        <v>-96</v>
      </c>
      <c r="DB139" s="204">
        <f t="shared" si="315"/>
        <v>-96</v>
      </c>
      <c r="DC139" s="204">
        <f t="shared" si="315"/>
        <v>-96</v>
      </c>
      <c r="DD139" s="204">
        <f t="shared" si="315"/>
        <v>-96</v>
      </c>
      <c r="DE139" s="204">
        <f t="shared" si="315"/>
        <v>-96</v>
      </c>
      <c r="DF139" s="204">
        <f t="shared" si="315"/>
        <v>-96</v>
      </c>
      <c r="DG139" s="204">
        <f t="shared" si="315"/>
        <v>-96</v>
      </c>
      <c r="DH139" s="204">
        <f t="shared" si="315"/>
        <v>-96</v>
      </c>
      <c r="DI139" s="204">
        <f t="shared" si="315"/>
        <v>-96</v>
      </c>
      <c r="DJ139" s="204">
        <f t="shared" si="315"/>
        <v>-96</v>
      </c>
      <c r="DK139" s="204">
        <f t="shared" si="315"/>
        <v>-96</v>
      </c>
      <c r="DL139" s="204">
        <f t="shared" si="315"/>
        <v>-96</v>
      </c>
      <c r="DM139" s="204">
        <f t="shared" si="315"/>
        <v>-96</v>
      </c>
      <c r="DN139" s="204">
        <f t="shared" si="315"/>
        <v>-96</v>
      </c>
      <c r="DO139" s="204">
        <f t="shared" si="315"/>
        <v>-96</v>
      </c>
      <c r="DP139" s="204">
        <f t="shared" si="315"/>
        <v>-96</v>
      </c>
      <c r="DQ139" s="204">
        <f t="shared" si="315"/>
        <v>-96</v>
      </c>
      <c r="DR139" s="204">
        <f t="shared" si="315"/>
        <v>-96</v>
      </c>
      <c r="DS139" s="204">
        <f t="shared" si="315"/>
        <v>-96</v>
      </c>
      <c r="DT139" s="204">
        <f t="shared" si="315"/>
        <v>-96</v>
      </c>
      <c r="DU139" s="204">
        <f t="shared" si="315"/>
        <v>-96</v>
      </c>
      <c r="DV139" s="204">
        <f t="shared" si="315"/>
        <v>-96</v>
      </c>
      <c r="DW139" s="204">
        <f t="shared" si="315"/>
        <v>-96</v>
      </c>
      <c r="DX139" s="204">
        <f t="shared" si="315"/>
        <v>-96</v>
      </c>
      <c r="DY139" s="204">
        <f t="shared" si="315"/>
        <v>-96</v>
      </c>
      <c r="DZ139" s="204">
        <f t="shared" si="315"/>
        <v>-96</v>
      </c>
      <c r="EA139" s="204">
        <f t="shared" si="315"/>
        <v>-96</v>
      </c>
      <c r="EB139" s="204">
        <f t="shared" si="315"/>
        <v>-96</v>
      </c>
      <c r="EC139" s="204">
        <f t="shared" si="315"/>
        <v>-96</v>
      </c>
      <c r="ED139" s="204">
        <f t="shared" si="315"/>
        <v>-96</v>
      </c>
      <c r="EE139" s="204">
        <f t="shared" si="315"/>
        <v>-96</v>
      </c>
      <c r="EF139" s="204">
        <f t="shared" ref="EF139:ET139" si="316">PV($F93,EF$9,1,0)+(PV($J$6,$N$5-(EF$9),1,0)/($J$6+1)^EF$9)</f>
        <v>-96</v>
      </c>
      <c r="EG139" s="204">
        <f t="shared" si="316"/>
        <v>-96</v>
      </c>
      <c r="EH139" s="204">
        <f t="shared" si="316"/>
        <v>-96</v>
      </c>
      <c r="EI139" s="204">
        <f t="shared" si="316"/>
        <v>-96</v>
      </c>
      <c r="EJ139" s="204">
        <f t="shared" si="316"/>
        <v>-96</v>
      </c>
      <c r="EK139" s="204">
        <f t="shared" si="316"/>
        <v>-96</v>
      </c>
      <c r="EL139" s="204">
        <f t="shared" si="316"/>
        <v>-96</v>
      </c>
      <c r="EM139" s="204">
        <f t="shared" si="316"/>
        <v>-96</v>
      </c>
      <c r="EN139" s="204">
        <f t="shared" si="316"/>
        <v>-96</v>
      </c>
      <c r="EO139" s="204">
        <f t="shared" si="316"/>
        <v>-96</v>
      </c>
      <c r="EP139" s="204">
        <f t="shared" si="316"/>
        <v>-96</v>
      </c>
      <c r="EQ139" s="204">
        <f t="shared" si="316"/>
        <v>-96</v>
      </c>
      <c r="ER139" s="204">
        <f t="shared" si="316"/>
        <v>-96</v>
      </c>
      <c r="ES139" s="204">
        <f t="shared" si="316"/>
        <v>-96</v>
      </c>
      <c r="ET139" s="204">
        <f t="shared" si="316"/>
        <v>-96</v>
      </c>
      <c r="FF139" s="6" t="s">
        <v>3038</v>
      </c>
      <c r="FG139" s="696">
        <v>2.5000000000000001E-2</v>
      </c>
      <c r="FH139" s="696">
        <v>120</v>
      </c>
      <c r="FI139" s="696">
        <v>2.2000000000000002E-2</v>
      </c>
      <c r="FJ139" s="255">
        <v>1.7299999999999999E-2</v>
      </c>
      <c r="FK139" s="71">
        <f t="shared" si="126"/>
        <v>1.8333333333333339E-4</v>
      </c>
      <c r="FL139" t="e">
        <f>VLOOKUP(FF139,'SIMULADOR COM SALDO'!$BX$22:$CK$1000,13,FALSE)</f>
        <v>#N/A</v>
      </c>
    </row>
    <row r="140" spans="7:168" x14ac:dyDescent="0.25">
      <c r="G140" s="205">
        <f t="shared" si="262"/>
        <v>-44.770373601250576</v>
      </c>
      <c r="H140" s="204">
        <f t="shared" ref="H140:BS140" si="317">PV($F94,H$9,1,0)+(PV($J$6,$N$5-(H$9),1,0)/($J$6+1)^H$9)</f>
        <v>-44.806371604802436</v>
      </c>
      <c r="I140" s="204">
        <f t="shared" si="317"/>
        <v>-44.859879708437063</v>
      </c>
      <c r="J140" s="204">
        <f t="shared" si="317"/>
        <v>-44.930579859281075</v>
      </c>
      <c r="K140" s="204">
        <f t="shared" si="317"/>
        <v>-45.018159781562872</v>
      </c>
      <c r="L140" s="204">
        <f t="shared" si="317"/>
        <v>-45.122312871677551</v>
      </c>
      <c r="M140" s="204">
        <f t="shared" si="317"/>
        <v>-45.24273809515784</v>
      </c>
      <c r="N140" s="204">
        <f t="shared" si="317"/>
        <v>-45.379139885516487</v>
      </c>
      <c r="O140" s="204">
        <f t="shared" si="317"/>
        <v>-45.53122804492606</v>
      </c>
      <c r="P140" s="204">
        <f t="shared" si="317"/>
        <v>-45.698717646702761</v>
      </c>
      <c r="Q140" s="204">
        <f t="shared" si="317"/>
        <v>-45.881328939561598</v>
      </c>
      <c r="R140" s="204">
        <f t="shared" si="317"/>
        <v>-46.078787253610507</v>
      </c>
      <c r="S140" s="204">
        <f t="shared" si="317"/>
        <v>-46.290822908052249</v>
      </c>
      <c r="T140" s="204">
        <f t="shared" si="317"/>
        <v>-46.517171120562551</v>
      </c>
      <c r="U140" s="204">
        <f t="shared" si="317"/>
        <v>-46.75757191831444</v>
      </c>
      <c r="V140" s="204">
        <f t="shared" si="317"/>
        <v>-47.011770050618708</v>
      </c>
      <c r="W140" s="204">
        <f t="shared" si="317"/>
        <v>-47.279514903151124</v>
      </c>
      <c r="X140" s="204">
        <f t="shared" si="317"/>
        <v>-47.560560413737676</v>
      </c>
      <c r="Y140" s="204">
        <f t="shared" si="317"/>
        <v>-47.854664989669509</v>
      </c>
      <c r="Z140" s="204">
        <f t="shared" si="317"/>
        <v>-48.161591426519607</v>
      </c>
      <c r="AA140" s="204">
        <f t="shared" si="317"/>
        <v>-48.481106828434278</v>
      </c>
      <c r="AB140" s="204">
        <f t="shared" si="317"/>
        <v>-48.81298252987235</v>
      </c>
      <c r="AC140" s="204">
        <f t="shared" si="317"/>
        <v>-49.156994018765893</v>
      </c>
      <c r="AD140" s="204">
        <f t="shared" si="317"/>
        <v>-49.51292086107668</v>
      </c>
      <c r="AE140" s="204">
        <f t="shared" si="317"/>
        <v>-49.880546626723003</v>
      </c>
      <c r="AF140" s="204">
        <f t="shared" si="317"/>
        <v>-50.259658816851953</v>
      </c>
      <c r="AG140" s="204">
        <f t="shared" si="317"/>
        <v>-50.650048792432663</v>
      </c>
      <c r="AH140" s="204">
        <f t="shared" si="317"/>
        <v>-51.051511704146662</v>
      </c>
      <c r="AI140" s="204">
        <f t="shared" si="317"/>
        <v>-51.463846423551665</v>
      </c>
      <c r="AJ140" s="204">
        <f t="shared" si="317"/>
        <v>-51.886855475495707</v>
      </c>
      <c r="AK140" s="204">
        <f t="shared" si="317"/>
        <v>-52.320344971758878</v>
      </c>
      <c r="AL140" s="204">
        <f t="shared" si="317"/>
        <v>-52.76412454590043</v>
      </c>
      <c r="AM140" s="204">
        <f t="shared" si="317"/>
        <v>-53.218007289289282</v>
      </c>
      <c r="AN140" s="204">
        <f t="shared" si="317"/>
        <v>-53.681809688296511</v>
      </c>
      <c r="AO140" s="204">
        <f t="shared" si="317"/>
        <v>-54.155351562628589</v>
      </c>
      <c r="AP140" s="204">
        <f t="shared" si="317"/>
        <v>-54.638456004780849</v>
      </c>
      <c r="AQ140" s="204">
        <f t="shared" si="317"/>
        <v>-55.130949320590631</v>
      </c>
      <c r="AR140" s="204">
        <f t="shared" si="317"/>
        <v>-55.632660970870248</v>
      </c>
      <c r="AS140" s="204">
        <f t="shared" si="317"/>
        <v>-56.143423514100107</v>
      </c>
      <c r="AT140" s="204">
        <f t="shared" si="317"/>
        <v>-56.663072550162802</v>
      </c>
      <c r="AU140" s="204">
        <f t="shared" si="317"/>
        <v>-57.191446665099171</v>
      </c>
      <c r="AV140" s="204">
        <f t="shared" si="317"/>
        <v>-57.728387376867829</v>
      </c>
      <c r="AW140" s="204">
        <f t="shared" si="317"/>
        <v>-58.273739082089882</v>
      </c>
      <c r="AX140" s="204">
        <f t="shared" si="317"/>
        <v>-58.827349003761015</v>
      </c>
      <c r="AY140" s="204">
        <f t="shared" si="317"/>
        <v>-59.389067139913323</v>
      </c>
      <c r="AZ140" s="204">
        <f t="shared" si="317"/>
        <v>-59.95874621320965</v>
      </c>
      <c r="BA140" s="204">
        <f t="shared" si="317"/>
        <v>-60.53624162145347</v>
      </c>
      <c r="BB140" s="204">
        <f t="shared" si="317"/>
        <v>-61.121411388997728</v>
      </c>
      <c r="BC140" s="204">
        <f t="shared" si="317"/>
        <v>-61.714116119036262</v>
      </c>
      <c r="BD140" s="204">
        <f t="shared" si="317"/>
        <v>-62.314218946761883</v>
      </c>
      <c r="BE140" s="204">
        <f t="shared" si="317"/>
        <v>-62.921585493375147</v>
      </c>
      <c r="BF140" s="204">
        <f t="shared" si="317"/>
        <v>-63.536083820928674</v>
      </c>
      <c r="BG140" s="204">
        <f t="shared" si="317"/>
        <v>-64.157584387991548</v>
      </c>
      <c r="BH140" s="204">
        <f t="shared" si="317"/>
        <v>-64.785960006119055</v>
      </c>
      <c r="BI140" s="204">
        <f t="shared" si="317"/>
        <v>-65.421085797113165</v>
      </c>
      <c r="BJ140" s="204">
        <f t="shared" si="317"/>
        <v>-66.062839151059279</v>
      </c>
      <c r="BK140" s="204">
        <f t="shared" si="317"/>
        <v>-66.711099685125177</v>
      </c>
      <c r="BL140" s="204">
        <f t="shared" si="317"/>
        <v>-67.365749203108379</v>
      </c>
      <c r="BM140" s="204">
        <f t="shared" si="317"/>
        <v>-68.026671655718303</v>
      </c>
      <c r="BN140" s="204">
        <f t="shared" si="317"/>
        <v>-68.693753101579787</v>
      </c>
      <c r="BO140" s="204">
        <f t="shared" si="317"/>
        <v>-69.366881668945013</v>
      </c>
      <c r="BP140" s="204">
        <f t="shared" si="317"/>
        <v>-70.04594751810086</v>
      </c>
      <c r="BQ140" s="204">
        <f t="shared" si="317"/>
        <v>-70.730842804459073</v>
      </c>
      <c r="BR140" s="204">
        <f t="shared" si="317"/>
        <v>-71.421461642316928</v>
      </c>
      <c r="BS140" s="204">
        <f t="shared" si="317"/>
        <v>-72.117700069276026</v>
      </c>
      <c r="BT140" s="204">
        <f t="shared" ref="BT140:EE140" si="318">PV($F94,BT$9,1,0)+(PV($J$6,$N$5-(BT$9),1,0)/($J$6+1)^BT$9)</f>
        <v>-72.819456011307551</v>
      </c>
      <c r="BU140" s="204">
        <f t="shared" si="318"/>
        <v>-73.526629248451897</v>
      </c>
      <c r="BV140" s="204">
        <f t="shared" si="318"/>
        <v>-74.239121381141487</v>
      </c>
      <c r="BW140" s="204">
        <f t="shared" si="318"/>
        <v>-74.956835797135199</v>
      </c>
      <c r="BX140" s="204">
        <f t="shared" si="318"/>
        <v>-75.679677639053423</v>
      </c>
      <c r="BY140" s="204">
        <f t="shared" si="318"/>
        <v>-76.407553772502823</v>
      </c>
      <c r="BZ140" s="204">
        <f t="shared" si="318"/>
        <v>-77.140372754780103</v>
      </c>
      <c r="CA140" s="204">
        <f t="shared" si="318"/>
        <v>-77.878044804144153</v>
      </c>
      <c r="CB140" s="204">
        <f t="shared" si="318"/>
        <v>-78.620481769646403</v>
      </c>
      <c r="CC140" s="204">
        <f t="shared" si="318"/>
        <v>-79.36759710150919</v>
      </c>
      <c r="CD140" s="204">
        <f t="shared" si="318"/>
        <v>-80.119305822042122</v>
      </c>
      <c r="CE140" s="204">
        <f t="shared" si="318"/>
        <v>-80.87552449708673</v>
      </c>
      <c r="CF140" s="204">
        <f t="shared" si="318"/>
        <v>-81.636171207979814</v>
      </c>
      <c r="CG140" s="204">
        <f t="shared" si="318"/>
        <v>-82.401165524026041</v>
      </c>
      <c r="CH140" s="204">
        <f t="shared" si="318"/>
        <v>-83.170428475470544</v>
      </c>
      <c r="CI140" s="204">
        <f t="shared" si="318"/>
        <v>-83.943882526962454</v>
      </c>
      <c r="CJ140" s="204">
        <f t="shared" si="318"/>
        <v>-84.721451551500408</v>
      </c>
      <c r="CK140" s="204">
        <f t="shared" si="318"/>
        <v>-85.503060804851359</v>
      </c>
      <c r="CL140" s="204">
        <f t="shared" si="318"/>
        <v>-86.288636900434042</v>
      </c>
      <c r="CM140" s="204">
        <f t="shared" si="318"/>
        <v>-87.07810778465857</v>
      </c>
      <c r="CN140" s="204">
        <f t="shared" si="318"/>
        <v>-87.871402712714072</v>
      </c>
      <c r="CO140" s="204">
        <f t="shared" si="318"/>
        <v>-88.668452224796056</v>
      </c>
      <c r="CP140" s="204">
        <f t="shared" si="318"/>
        <v>-89.469188122765601</v>
      </c>
      <c r="CQ140" s="204">
        <f t="shared" si="318"/>
        <v>-90.273543447232512</v>
      </c>
      <c r="CR140" s="204">
        <f t="shared" si="318"/>
        <v>-91.081452455054702</v>
      </c>
      <c r="CS140" s="204">
        <f t="shared" si="318"/>
        <v>-91.892850597246365</v>
      </c>
      <c r="CT140" s="204">
        <f t="shared" si="318"/>
        <v>-92.707674497287258</v>
      </c>
      <c r="CU140" s="204">
        <f t="shared" si="318"/>
        <v>-93.525861929826178</v>
      </c>
      <c r="CV140" s="204">
        <f t="shared" si="318"/>
        <v>-94.347351799771133</v>
      </c>
      <c r="CW140" s="204">
        <f t="shared" si="318"/>
        <v>-95.172084121759283</v>
      </c>
      <c r="CX140" s="204">
        <f t="shared" si="318"/>
        <v>-96</v>
      </c>
      <c r="CY140" s="204">
        <f t="shared" si="318"/>
        <v>-96</v>
      </c>
      <c r="CZ140" s="204">
        <f t="shared" si="318"/>
        <v>-96</v>
      </c>
      <c r="DA140" s="204">
        <f t="shared" si="318"/>
        <v>-96</v>
      </c>
      <c r="DB140" s="204">
        <f t="shared" si="318"/>
        <v>-96</v>
      </c>
      <c r="DC140" s="204">
        <f t="shared" si="318"/>
        <v>-96</v>
      </c>
      <c r="DD140" s="204">
        <f t="shared" si="318"/>
        <v>-96</v>
      </c>
      <c r="DE140" s="204">
        <f t="shared" si="318"/>
        <v>-96</v>
      </c>
      <c r="DF140" s="204">
        <f t="shared" si="318"/>
        <v>-96</v>
      </c>
      <c r="DG140" s="204">
        <f t="shared" si="318"/>
        <v>-96</v>
      </c>
      <c r="DH140" s="204">
        <f t="shared" si="318"/>
        <v>-96</v>
      </c>
      <c r="DI140" s="204">
        <f t="shared" si="318"/>
        <v>-96</v>
      </c>
      <c r="DJ140" s="204">
        <f t="shared" si="318"/>
        <v>-96</v>
      </c>
      <c r="DK140" s="204">
        <f t="shared" si="318"/>
        <v>-96</v>
      </c>
      <c r="DL140" s="204">
        <f t="shared" si="318"/>
        <v>-96</v>
      </c>
      <c r="DM140" s="204">
        <f t="shared" si="318"/>
        <v>-96</v>
      </c>
      <c r="DN140" s="204">
        <f t="shared" si="318"/>
        <v>-96</v>
      </c>
      <c r="DO140" s="204">
        <f t="shared" si="318"/>
        <v>-96</v>
      </c>
      <c r="DP140" s="204">
        <f t="shared" si="318"/>
        <v>-96</v>
      </c>
      <c r="DQ140" s="204">
        <f t="shared" si="318"/>
        <v>-96</v>
      </c>
      <c r="DR140" s="204">
        <f t="shared" si="318"/>
        <v>-96</v>
      </c>
      <c r="DS140" s="204">
        <f t="shared" si="318"/>
        <v>-96</v>
      </c>
      <c r="DT140" s="204">
        <f t="shared" si="318"/>
        <v>-96</v>
      </c>
      <c r="DU140" s="204">
        <f t="shared" si="318"/>
        <v>-96</v>
      </c>
      <c r="DV140" s="204">
        <f t="shared" si="318"/>
        <v>-96</v>
      </c>
      <c r="DW140" s="204">
        <f t="shared" si="318"/>
        <v>-96</v>
      </c>
      <c r="DX140" s="204">
        <f t="shared" si="318"/>
        <v>-96</v>
      </c>
      <c r="DY140" s="204">
        <f t="shared" si="318"/>
        <v>-96</v>
      </c>
      <c r="DZ140" s="204">
        <f t="shared" si="318"/>
        <v>-96</v>
      </c>
      <c r="EA140" s="204">
        <f t="shared" si="318"/>
        <v>-96</v>
      </c>
      <c r="EB140" s="204">
        <f t="shared" si="318"/>
        <v>-96</v>
      </c>
      <c r="EC140" s="204">
        <f t="shared" si="318"/>
        <v>-96</v>
      </c>
      <c r="ED140" s="204">
        <f t="shared" si="318"/>
        <v>-96</v>
      </c>
      <c r="EE140" s="204">
        <f t="shared" si="318"/>
        <v>-96</v>
      </c>
      <c r="EF140" s="204">
        <f t="shared" ref="EF140:ET140" si="319">PV($F94,EF$9,1,0)+(PV($J$6,$N$5-(EF$9),1,0)/($J$6+1)^EF$9)</f>
        <v>-96</v>
      </c>
      <c r="EG140" s="204">
        <f t="shared" si="319"/>
        <v>-96</v>
      </c>
      <c r="EH140" s="204">
        <f t="shared" si="319"/>
        <v>-96</v>
      </c>
      <c r="EI140" s="204">
        <f t="shared" si="319"/>
        <v>-96</v>
      </c>
      <c r="EJ140" s="204">
        <f t="shared" si="319"/>
        <v>-96</v>
      </c>
      <c r="EK140" s="204">
        <f t="shared" si="319"/>
        <v>-96</v>
      </c>
      <c r="EL140" s="204">
        <f t="shared" si="319"/>
        <v>-96</v>
      </c>
      <c r="EM140" s="204">
        <f t="shared" si="319"/>
        <v>-96</v>
      </c>
      <c r="EN140" s="204">
        <f t="shared" si="319"/>
        <v>-96</v>
      </c>
      <c r="EO140" s="204">
        <f t="shared" si="319"/>
        <v>-96</v>
      </c>
      <c r="EP140" s="204">
        <f t="shared" si="319"/>
        <v>-96</v>
      </c>
      <c r="EQ140" s="204">
        <f t="shared" si="319"/>
        <v>-96</v>
      </c>
      <c r="ER140" s="204">
        <f t="shared" si="319"/>
        <v>-96</v>
      </c>
      <c r="ES140" s="204">
        <f t="shared" si="319"/>
        <v>-96</v>
      </c>
      <c r="ET140" s="204">
        <f t="shared" si="319"/>
        <v>-96</v>
      </c>
      <c r="FF140" s="6" t="s">
        <v>3039</v>
      </c>
      <c r="FG140" s="696">
        <v>2.5000000000000001E-2</v>
      </c>
      <c r="FH140" s="696">
        <v>96</v>
      </c>
      <c r="FI140" s="696">
        <v>1.9199999999999998E-2</v>
      </c>
      <c r="FJ140" s="255">
        <v>1.3999999999999999E-2</v>
      </c>
      <c r="FK140" s="71">
        <f t="shared" ref="FK140:FK203" si="320">(FG140-FJ140)/42</f>
        <v>2.6190476190476197E-4</v>
      </c>
      <c r="FL140" t="e">
        <f>VLOOKUP(FF140,'SIMULADOR COM SALDO'!$BX$22:$CK$1000,13,FALSE)</f>
        <v>#N/A</v>
      </c>
    </row>
    <row r="141" spans="7:168" x14ac:dyDescent="0.25">
      <c r="G141" s="205">
        <f t="shared" si="262"/>
        <v>-44.770373601250576</v>
      </c>
      <c r="H141" s="204">
        <f t="shared" ref="H141:BS141" si="321">PV($F95,H$9,1,0)+(PV($J$6,$N$5-(H$9),1,0)/($J$6+1)^H$9)</f>
        <v>-44.806371604802436</v>
      </c>
      <c r="I141" s="204">
        <f t="shared" si="321"/>
        <v>-44.859879708437063</v>
      </c>
      <c r="J141" s="204">
        <f t="shared" si="321"/>
        <v>-44.930579859281075</v>
      </c>
      <c r="K141" s="204">
        <f t="shared" si="321"/>
        <v>-45.018159781562872</v>
      </c>
      <c r="L141" s="204">
        <f t="shared" si="321"/>
        <v>-45.122312871677551</v>
      </c>
      <c r="M141" s="204">
        <f t="shared" si="321"/>
        <v>-45.24273809515784</v>
      </c>
      <c r="N141" s="204">
        <f t="shared" si="321"/>
        <v>-45.379139885516487</v>
      </c>
      <c r="O141" s="204">
        <f t="shared" si="321"/>
        <v>-45.53122804492606</v>
      </c>
      <c r="P141" s="204">
        <f t="shared" si="321"/>
        <v>-45.698717646702761</v>
      </c>
      <c r="Q141" s="204">
        <f t="shared" si="321"/>
        <v>-45.881328939561598</v>
      </c>
      <c r="R141" s="204">
        <f t="shared" si="321"/>
        <v>-46.078787253610507</v>
      </c>
      <c r="S141" s="204">
        <f t="shared" si="321"/>
        <v>-46.290822908052249</v>
      </c>
      <c r="T141" s="204">
        <f t="shared" si="321"/>
        <v>-46.517171120562551</v>
      </c>
      <c r="U141" s="204">
        <f t="shared" si="321"/>
        <v>-46.75757191831444</v>
      </c>
      <c r="V141" s="204">
        <f t="shared" si="321"/>
        <v>-47.011770050618708</v>
      </c>
      <c r="W141" s="204">
        <f t="shared" si="321"/>
        <v>-47.279514903151124</v>
      </c>
      <c r="X141" s="204">
        <f t="shared" si="321"/>
        <v>-47.560560413737676</v>
      </c>
      <c r="Y141" s="204">
        <f t="shared" si="321"/>
        <v>-47.854664989669509</v>
      </c>
      <c r="Z141" s="204">
        <f t="shared" si="321"/>
        <v>-48.161591426519607</v>
      </c>
      <c r="AA141" s="204">
        <f t="shared" si="321"/>
        <v>-48.481106828434278</v>
      </c>
      <c r="AB141" s="204">
        <f t="shared" si="321"/>
        <v>-48.81298252987235</v>
      </c>
      <c r="AC141" s="204">
        <f t="shared" si="321"/>
        <v>-49.156994018765893</v>
      </c>
      <c r="AD141" s="204">
        <f t="shared" si="321"/>
        <v>-49.51292086107668</v>
      </c>
      <c r="AE141" s="204">
        <f t="shared" si="321"/>
        <v>-49.880546626723003</v>
      </c>
      <c r="AF141" s="204">
        <f t="shared" si="321"/>
        <v>-50.259658816851953</v>
      </c>
      <c r="AG141" s="204">
        <f t="shared" si="321"/>
        <v>-50.650048792432663</v>
      </c>
      <c r="AH141" s="204">
        <f t="shared" si="321"/>
        <v>-51.051511704146662</v>
      </c>
      <c r="AI141" s="204">
        <f t="shared" si="321"/>
        <v>-51.463846423551665</v>
      </c>
      <c r="AJ141" s="204">
        <f t="shared" si="321"/>
        <v>-51.886855475495707</v>
      </c>
      <c r="AK141" s="204">
        <f t="shared" si="321"/>
        <v>-52.320344971758878</v>
      </c>
      <c r="AL141" s="204">
        <f t="shared" si="321"/>
        <v>-52.76412454590043</v>
      </c>
      <c r="AM141" s="204">
        <f t="shared" si="321"/>
        <v>-53.218007289289282</v>
      </c>
      <c r="AN141" s="204">
        <f t="shared" si="321"/>
        <v>-53.681809688296511</v>
      </c>
      <c r="AO141" s="204">
        <f t="shared" si="321"/>
        <v>-54.155351562628589</v>
      </c>
      <c r="AP141" s="204">
        <f t="shared" si="321"/>
        <v>-54.638456004780849</v>
      </c>
      <c r="AQ141" s="204">
        <f t="shared" si="321"/>
        <v>-55.130949320590631</v>
      </c>
      <c r="AR141" s="204">
        <f t="shared" si="321"/>
        <v>-55.632660970870248</v>
      </c>
      <c r="AS141" s="204">
        <f t="shared" si="321"/>
        <v>-56.143423514100107</v>
      </c>
      <c r="AT141" s="204">
        <f t="shared" si="321"/>
        <v>-56.663072550162802</v>
      </c>
      <c r="AU141" s="204">
        <f t="shared" si="321"/>
        <v>-57.191446665099171</v>
      </c>
      <c r="AV141" s="204">
        <f t="shared" si="321"/>
        <v>-57.728387376867829</v>
      </c>
      <c r="AW141" s="204">
        <f t="shared" si="321"/>
        <v>-58.273739082089882</v>
      </c>
      <c r="AX141" s="204">
        <f t="shared" si="321"/>
        <v>-58.827349003761015</v>
      </c>
      <c r="AY141" s="204">
        <f t="shared" si="321"/>
        <v>-59.389067139913323</v>
      </c>
      <c r="AZ141" s="204">
        <f t="shared" si="321"/>
        <v>-59.95874621320965</v>
      </c>
      <c r="BA141" s="204">
        <f t="shared" si="321"/>
        <v>-60.53624162145347</v>
      </c>
      <c r="BB141" s="204">
        <f t="shared" si="321"/>
        <v>-61.121411388997728</v>
      </c>
      <c r="BC141" s="204">
        <f t="shared" si="321"/>
        <v>-61.714116119036262</v>
      </c>
      <c r="BD141" s="204">
        <f t="shared" si="321"/>
        <v>-62.314218946761883</v>
      </c>
      <c r="BE141" s="204">
        <f t="shared" si="321"/>
        <v>-62.921585493375147</v>
      </c>
      <c r="BF141" s="204">
        <f t="shared" si="321"/>
        <v>-63.536083820928674</v>
      </c>
      <c r="BG141" s="204">
        <f t="shared" si="321"/>
        <v>-64.157584387991548</v>
      </c>
      <c r="BH141" s="204">
        <f t="shared" si="321"/>
        <v>-64.785960006119055</v>
      </c>
      <c r="BI141" s="204">
        <f t="shared" si="321"/>
        <v>-65.421085797113165</v>
      </c>
      <c r="BJ141" s="204">
        <f t="shared" si="321"/>
        <v>-66.062839151059279</v>
      </c>
      <c r="BK141" s="204">
        <f t="shared" si="321"/>
        <v>-66.711099685125177</v>
      </c>
      <c r="BL141" s="204">
        <f t="shared" si="321"/>
        <v>-67.365749203108379</v>
      </c>
      <c r="BM141" s="204">
        <f t="shared" si="321"/>
        <v>-68.026671655718303</v>
      </c>
      <c r="BN141" s="204">
        <f t="shared" si="321"/>
        <v>-68.693753101579787</v>
      </c>
      <c r="BO141" s="204">
        <f t="shared" si="321"/>
        <v>-69.366881668945013</v>
      </c>
      <c r="BP141" s="204">
        <f t="shared" si="321"/>
        <v>-70.04594751810086</v>
      </c>
      <c r="BQ141" s="204">
        <f t="shared" si="321"/>
        <v>-70.730842804459073</v>
      </c>
      <c r="BR141" s="204">
        <f t="shared" si="321"/>
        <v>-71.421461642316928</v>
      </c>
      <c r="BS141" s="204">
        <f t="shared" si="321"/>
        <v>-72.117700069276026</v>
      </c>
      <c r="BT141" s="204">
        <f t="shared" ref="BT141:EE141" si="322">PV($F95,BT$9,1,0)+(PV($J$6,$N$5-(BT$9),1,0)/($J$6+1)^BT$9)</f>
        <v>-72.819456011307551</v>
      </c>
      <c r="BU141" s="204">
        <f t="shared" si="322"/>
        <v>-73.526629248451897</v>
      </c>
      <c r="BV141" s="204">
        <f t="shared" si="322"/>
        <v>-74.239121381141487</v>
      </c>
      <c r="BW141" s="204">
        <f t="shared" si="322"/>
        <v>-74.956835797135199</v>
      </c>
      <c r="BX141" s="204">
        <f t="shared" si="322"/>
        <v>-75.679677639053423</v>
      </c>
      <c r="BY141" s="204">
        <f t="shared" si="322"/>
        <v>-76.407553772502823</v>
      </c>
      <c r="BZ141" s="204">
        <f t="shared" si="322"/>
        <v>-77.140372754780103</v>
      </c>
      <c r="CA141" s="204">
        <f t="shared" si="322"/>
        <v>-77.878044804144153</v>
      </c>
      <c r="CB141" s="204">
        <f t="shared" si="322"/>
        <v>-78.620481769646403</v>
      </c>
      <c r="CC141" s="204">
        <f t="shared" si="322"/>
        <v>-79.36759710150919</v>
      </c>
      <c r="CD141" s="204">
        <f t="shared" si="322"/>
        <v>-80.119305822042122</v>
      </c>
      <c r="CE141" s="204">
        <f t="shared" si="322"/>
        <v>-80.87552449708673</v>
      </c>
      <c r="CF141" s="204">
        <f t="shared" si="322"/>
        <v>-81.636171207979814</v>
      </c>
      <c r="CG141" s="204">
        <f t="shared" si="322"/>
        <v>-82.401165524026041</v>
      </c>
      <c r="CH141" s="204">
        <f t="shared" si="322"/>
        <v>-83.170428475470544</v>
      </c>
      <c r="CI141" s="204">
        <f t="shared" si="322"/>
        <v>-83.943882526962454</v>
      </c>
      <c r="CJ141" s="204">
        <f t="shared" si="322"/>
        <v>-84.721451551500408</v>
      </c>
      <c r="CK141" s="204">
        <f t="shared" si="322"/>
        <v>-85.503060804851359</v>
      </c>
      <c r="CL141" s="204">
        <f t="shared" si="322"/>
        <v>-86.288636900434042</v>
      </c>
      <c r="CM141" s="204">
        <f t="shared" si="322"/>
        <v>-87.07810778465857</v>
      </c>
      <c r="CN141" s="204">
        <f t="shared" si="322"/>
        <v>-87.871402712714072</v>
      </c>
      <c r="CO141" s="204">
        <f t="shared" si="322"/>
        <v>-88.668452224796056</v>
      </c>
      <c r="CP141" s="204">
        <f t="shared" si="322"/>
        <v>-89.469188122765601</v>
      </c>
      <c r="CQ141" s="204">
        <f t="shared" si="322"/>
        <v>-90.273543447232512</v>
      </c>
      <c r="CR141" s="204">
        <f t="shared" si="322"/>
        <v>-91.081452455054702</v>
      </c>
      <c r="CS141" s="204">
        <f t="shared" si="322"/>
        <v>-91.892850597246365</v>
      </c>
      <c r="CT141" s="204">
        <f t="shared" si="322"/>
        <v>-92.707674497287258</v>
      </c>
      <c r="CU141" s="204">
        <f t="shared" si="322"/>
        <v>-93.525861929826178</v>
      </c>
      <c r="CV141" s="204">
        <f t="shared" si="322"/>
        <v>-94.347351799771133</v>
      </c>
      <c r="CW141" s="204">
        <f t="shared" si="322"/>
        <v>-95.172084121759283</v>
      </c>
      <c r="CX141" s="204">
        <f t="shared" si="322"/>
        <v>-96</v>
      </c>
      <c r="CY141" s="204">
        <f t="shared" si="322"/>
        <v>-96</v>
      </c>
      <c r="CZ141" s="204">
        <f t="shared" si="322"/>
        <v>-96</v>
      </c>
      <c r="DA141" s="204">
        <f t="shared" si="322"/>
        <v>-96</v>
      </c>
      <c r="DB141" s="204">
        <f t="shared" si="322"/>
        <v>-96</v>
      </c>
      <c r="DC141" s="204">
        <f t="shared" si="322"/>
        <v>-96</v>
      </c>
      <c r="DD141" s="204">
        <f t="shared" si="322"/>
        <v>-96</v>
      </c>
      <c r="DE141" s="204">
        <f t="shared" si="322"/>
        <v>-96</v>
      </c>
      <c r="DF141" s="204">
        <f t="shared" si="322"/>
        <v>-96</v>
      </c>
      <c r="DG141" s="204">
        <f t="shared" si="322"/>
        <v>-96</v>
      </c>
      <c r="DH141" s="204">
        <f t="shared" si="322"/>
        <v>-96</v>
      </c>
      <c r="DI141" s="204">
        <f t="shared" si="322"/>
        <v>-96</v>
      </c>
      <c r="DJ141" s="204">
        <f t="shared" si="322"/>
        <v>-96</v>
      </c>
      <c r="DK141" s="204">
        <f t="shared" si="322"/>
        <v>-96</v>
      </c>
      <c r="DL141" s="204">
        <f t="shared" si="322"/>
        <v>-96</v>
      </c>
      <c r="DM141" s="204">
        <f t="shared" si="322"/>
        <v>-96</v>
      </c>
      <c r="DN141" s="204">
        <f t="shared" si="322"/>
        <v>-96</v>
      </c>
      <c r="DO141" s="204">
        <f t="shared" si="322"/>
        <v>-96</v>
      </c>
      <c r="DP141" s="204">
        <f t="shared" si="322"/>
        <v>-96</v>
      </c>
      <c r="DQ141" s="204">
        <f t="shared" si="322"/>
        <v>-96</v>
      </c>
      <c r="DR141" s="204">
        <f t="shared" si="322"/>
        <v>-96</v>
      </c>
      <c r="DS141" s="204">
        <f t="shared" si="322"/>
        <v>-96</v>
      </c>
      <c r="DT141" s="204">
        <f t="shared" si="322"/>
        <v>-96</v>
      </c>
      <c r="DU141" s="204">
        <f t="shared" si="322"/>
        <v>-96</v>
      </c>
      <c r="DV141" s="204">
        <f t="shared" si="322"/>
        <v>-96</v>
      </c>
      <c r="DW141" s="204">
        <f t="shared" si="322"/>
        <v>-96</v>
      </c>
      <c r="DX141" s="204">
        <f t="shared" si="322"/>
        <v>-96</v>
      </c>
      <c r="DY141" s="204">
        <f t="shared" si="322"/>
        <v>-96</v>
      </c>
      <c r="DZ141" s="204">
        <f t="shared" si="322"/>
        <v>-96</v>
      </c>
      <c r="EA141" s="204">
        <f t="shared" si="322"/>
        <v>-96</v>
      </c>
      <c r="EB141" s="204">
        <f t="shared" si="322"/>
        <v>-96</v>
      </c>
      <c r="EC141" s="204">
        <f t="shared" si="322"/>
        <v>-96</v>
      </c>
      <c r="ED141" s="204">
        <f t="shared" si="322"/>
        <v>-96</v>
      </c>
      <c r="EE141" s="204">
        <f t="shared" si="322"/>
        <v>-96</v>
      </c>
      <c r="EF141" s="204">
        <f t="shared" ref="EF141:ET141" si="323">PV($F95,EF$9,1,0)+(PV($J$6,$N$5-(EF$9),1,0)/($J$6+1)^EF$9)</f>
        <v>-96</v>
      </c>
      <c r="EG141" s="204">
        <f t="shared" si="323"/>
        <v>-96</v>
      </c>
      <c r="EH141" s="204">
        <f t="shared" si="323"/>
        <v>-96</v>
      </c>
      <c r="EI141" s="204">
        <f t="shared" si="323"/>
        <v>-96</v>
      </c>
      <c r="EJ141" s="204">
        <f t="shared" si="323"/>
        <v>-96</v>
      </c>
      <c r="EK141" s="204">
        <f t="shared" si="323"/>
        <v>-96</v>
      </c>
      <c r="EL141" s="204">
        <f t="shared" si="323"/>
        <v>-96</v>
      </c>
      <c r="EM141" s="204">
        <f t="shared" si="323"/>
        <v>-96</v>
      </c>
      <c r="EN141" s="204">
        <f t="shared" si="323"/>
        <v>-96</v>
      </c>
      <c r="EO141" s="204">
        <f t="shared" si="323"/>
        <v>-96</v>
      </c>
      <c r="EP141" s="204">
        <f t="shared" si="323"/>
        <v>-96</v>
      </c>
      <c r="EQ141" s="204">
        <f t="shared" si="323"/>
        <v>-96</v>
      </c>
      <c r="ER141" s="204">
        <f t="shared" si="323"/>
        <v>-96</v>
      </c>
      <c r="ES141" s="204">
        <f t="shared" si="323"/>
        <v>-96</v>
      </c>
      <c r="ET141" s="204">
        <f t="shared" si="323"/>
        <v>-96</v>
      </c>
      <c r="FF141" s="6" t="s">
        <v>3133</v>
      </c>
      <c r="FG141" s="696">
        <v>2.7999999999999997E-2</v>
      </c>
      <c r="FH141" s="696">
        <v>120</v>
      </c>
      <c r="FI141" s="696">
        <v>2.5000000000000001E-2</v>
      </c>
      <c r="FJ141" s="255">
        <v>1.6E-2</v>
      </c>
      <c r="FK141" s="71">
        <f t="shared" si="320"/>
        <v>2.8571428571428563E-4</v>
      </c>
      <c r="FL141" t="e">
        <f>VLOOKUP(FF141,'SIMULADOR COM SALDO'!$BX$22:$CK$1000,13,FALSE)</f>
        <v>#N/A</v>
      </c>
    </row>
    <row r="142" spans="7:168" x14ac:dyDescent="0.25">
      <c r="G142" s="205">
        <f t="shared" si="262"/>
        <v>-44.770373601250576</v>
      </c>
      <c r="H142" s="204">
        <f t="shared" ref="H142:BS142" si="324">PV($F96,H$9,1,0)+(PV($J$6,$N$5-(H$9),1,0)/($J$6+1)^H$9)</f>
        <v>-44.806371604802436</v>
      </c>
      <c r="I142" s="204">
        <f t="shared" si="324"/>
        <v>-44.859879708437063</v>
      </c>
      <c r="J142" s="204">
        <f t="shared" si="324"/>
        <v>-44.930579859281075</v>
      </c>
      <c r="K142" s="204">
        <f t="shared" si="324"/>
        <v>-45.018159781562872</v>
      </c>
      <c r="L142" s="204">
        <f t="shared" si="324"/>
        <v>-45.122312871677551</v>
      </c>
      <c r="M142" s="204">
        <f t="shared" si="324"/>
        <v>-45.24273809515784</v>
      </c>
      <c r="N142" s="204">
        <f t="shared" si="324"/>
        <v>-45.379139885516487</v>
      </c>
      <c r="O142" s="204">
        <f t="shared" si="324"/>
        <v>-45.53122804492606</v>
      </c>
      <c r="P142" s="204">
        <f t="shared" si="324"/>
        <v>-45.698717646702761</v>
      </c>
      <c r="Q142" s="204">
        <f t="shared" si="324"/>
        <v>-45.881328939561598</v>
      </c>
      <c r="R142" s="204">
        <f t="shared" si="324"/>
        <v>-46.078787253610507</v>
      </c>
      <c r="S142" s="204">
        <f t="shared" si="324"/>
        <v>-46.290822908052249</v>
      </c>
      <c r="T142" s="204">
        <f t="shared" si="324"/>
        <v>-46.517171120562551</v>
      </c>
      <c r="U142" s="204">
        <f t="shared" si="324"/>
        <v>-46.75757191831444</v>
      </c>
      <c r="V142" s="204">
        <f t="shared" si="324"/>
        <v>-47.011770050618708</v>
      </c>
      <c r="W142" s="204">
        <f t="shared" si="324"/>
        <v>-47.279514903151124</v>
      </c>
      <c r="X142" s="204">
        <f t="shared" si="324"/>
        <v>-47.560560413737676</v>
      </c>
      <c r="Y142" s="204">
        <f t="shared" si="324"/>
        <v>-47.854664989669509</v>
      </c>
      <c r="Z142" s="204">
        <f t="shared" si="324"/>
        <v>-48.161591426519607</v>
      </c>
      <c r="AA142" s="204">
        <f t="shared" si="324"/>
        <v>-48.481106828434278</v>
      </c>
      <c r="AB142" s="204">
        <f t="shared" si="324"/>
        <v>-48.81298252987235</v>
      </c>
      <c r="AC142" s="204">
        <f t="shared" si="324"/>
        <v>-49.156994018765893</v>
      </c>
      <c r="AD142" s="204">
        <f t="shared" si="324"/>
        <v>-49.51292086107668</v>
      </c>
      <c r="AE142" s="204">
        <f t="shared" si="324"/>
        <v>-49.880546626723003</v>
      </c>
      <c r="AF142" s="204">
        <f t="shared" si="324"/>
        <v>-50.259658816851953</v>
      </c>
      <c r="AG142" s="204">
        <f t="shared" si="324"/>
        <v>-50.650048792432663</v>
      </c>
      <c r="AH142" s="204">
        <f t="shared" si="324"/>
        <v>-51.051511704146662</v>
      </c>
      <c r="AI142" s="204">
        <f t="shared" si="324"/>
        <v>-51.463846423551665</v>
      </c>
      <c r="AJ142" s="204">
        <f t="shared" si="324"/>
        <v>-51.886855475495707</v>
      </c>
      <c r="AK142" s="204">
        <f t="shared" si="324"/>
        <v>-52.320344971758878</v>
      </c>
      <c r="AL142" s="204">
        <f t="shared" si="324"/>
        <v>-52.76412454590043</v>
      </c>
      <c r="AM142" s="204">
        <f t="shared" si="324"/>
        <v>-53.218007289289282</v>
      </c>
      <c r="AN142" s="204">
        <f t="shared" si="324"/>
        <v>-53.681809688296511</v>
      </c>
      <c r="AO142" s="204">
        <f t="shared" si="324"/>
        <v>-54.155351562628589</v>
      </c>
      <c r="AP142" s="204">
        <f t="shared" si="324"/>
        <v>-54.638456004780849</v>
      </c>
      <c r="AQ142" s="204">
        <f t="shared" si="324"/>
        <v>-55.130949320590631</v>
      </c>
      <c r="AR142" s="204">
        <f t="shared" si="324"/>
        <v>-55.632660970870248</v>
      </c>
      <c r="AS142" s="204">
        <f t="shared" si="324"/>
        <v>-56.143423514100107</v>
      </c>
      <c r="AT142" s="204">
        <f t="shared" si="324"/>
        <v>-56.663072550162802</v>
      </c>
      <c r="AU142" s="204">
        <f t="shared" si="324"/>
        <v>-57.191446665099171</v>
      </c>
      <c r="AV142" s="204">
        <f t="shared" si="324"/>
        <v>-57.728387376867829</v>
      </c>
      <c r="AW142" s="204">
        <f t="shared" si="324"/>
        <v>-58.273739082089882</v>
      </c>
      <c r="AX142" s="204">
        <f t="shared" si="324"/>
        <v>-58.827349003761015</v>
      </c>
      <c r="AY142" s="204">
        <f t="shared" si="324"/>
        <v>-59.389067139913323</v>
      </c>
      <c r="AZ142" s="204">
        <f t="shared" si="324"/>
        <v>-59.95874621320965</v>
      </c>
      <c r="BA142" s="204">
        <f t="shared" si="324"/>
        <v>-60.53624162145347</v>
      </c>
      <c r="BB142" s="204">
        <f t="shared" si="324"/>
        <v>-61.121411388997728</v>
      </c>
      <c r="BC142" s="204">
        <f t="shared" si="324"/>
        <v>-61.714116119036262</v>
      </c>
      <c r="BD142" s="204">
        <f t="shared" si="324"/>
        <v>-62.314218946761883</v>
      </c>
      <c r="BE142" s="204">
        <f t="shared" si="324"/>
        <v>-62.921585493375147</v>
      </c>
      <c r="BF142" s="204">
        <f t="shared" si="324"/>
        <v>-63.536083820928674</v>
      </c>
      <c r="BG142" s="204">
        <f t="shared" si="324"/>
        <v>-64.157584387991548</v>
      </c>
      <c r="BH142" s="204">
        <f t="shared" si="324"/>
        <v>-64.785960006119055</v>
      </c>
      <c r="BI142" s="204">
        <f t="shared" si="324"/>
        <v>-65.421085797113165</v>
      </c>
      <c r="BJ142" s="204">
        <f t="shared" si="324"/>
        <v>-66.062839151059279</v>
      </c>
      <c r="BK142" s="204">
        <f t="shared" si="324"/>
        <v>-66.711099685125177</v>
      </c>
      <c r="BL142" s="204">
        <f t="shared" si="324"/>
        <v>-67.365749203108379</v>
      </c>
      <c r="BM142" s="204">
        <f t="shared" si="324"/>
        <v>-68.026671655718303</v>
      </c>
      <c r="BN142" s="204">
        <f t="shared" si="324"/>
        <v>-68.693753101579787</v>
      </c>
      <c r="BO142" s="204">
        <f t="shared" si="324"/>
        <v>-69.366881668945013</v>
      </c>
      <c r="BP142" s="204">
        <f t="shared" si="324"/>
        <v>-70.04594751810086</v>
      </c>
      <c r="BQ142" s="204">
        <f t="shared" si="324"/>
        <v>-70.730842804459073</v>
      </c>
      <c r="BR142" s="204">
        <f t="shared" si="324"/>
        <v>-71.421461642316928</v>
      </c>
      <c r="BS142" s="204">
        <f t="shared" si="324"/>
        <v>-72.117700069276026</v>
      </c>
      <c r="BT142" s="204">
        <f t="shared" ref="BT142:EE142" si="325">PV($F96,BT$9,1,0)+(PV($J$6,$N$5-(BT$9),1,0)/($J$6+1)^BT$9)</f>
        <v>-72.819456011307551</v>
      </c>
      <c r="BU142" s="204">
        <f t="shared" si="325"/>
        <v>-73.526629248451897</v>
      </c>
      <c r="BV142" s="204">
        <f t="shared" si="325"/>
        <v>-74.239121381141487</v>
      </c>
      <c r="BW142" s="204">
        <f t="shared" si="325"/>
        <v>-74.956835797135199</v>
      </c>
      <c r="BX142" s="204">
        <f t="shared" si="325"/>
        <v>-75.679677639053423</v>
      </c>
      <c r="BY142" s="204">
        <f t="shared" si="325"/>
        <v>-76.407553772502823</v>
      </c>
      <c r="BZ142" s="204">
        <f t="shared" si="325"/>
        <v>-77.140372754780103</v>
      </c>
      <c r="CA142" s="204">
        <f t="shared" si="325"/>
        <v>-77.878044804144153</v>
      </c>
      <c r="CB142" s="204">
        <f t="shared" si="325"/>
        <v>-78.620481769646403</v>
      </c>
      <c r="CC142" s="204">
        <f t="shared" si="325"/>
        <v>-79.36759710150919</v>
      </c>
      <c r="CD142" s="204">
        <f t="shared" si="325"/>
        <v>-80.119305822042122</v>
      </c>
      <c r="CE142" s="204">
        <f t="shared" si="325"/>
        <v>-80.87552449708673</v>
      </c>
      <c r="CF142" s="204">
        <f t="shared" si="325"/>
        <v>-81.636171207979814</v>
      </c>
      <c r="CG142" s="204">
        <f t="shared" si="325"/>
        <v>-82.401165524026041</v>
      </c>
      <c r="CH142" s="204">
        <f t="shared" si="325"/>
        <v>-83.170428475470544</v>
      </c>
      <c r="CI142" s="204">
        <f t="shared" si="325"/>
        <v>-83.943882526962454</v>
      </c>
      <c r="CJ142" s="204">
        <f t="shared" si="325"/>
        <v>-84.721451551500408</v>
      </c>
      <c r="CK142" s="204">
        <f t="shared" si="325"/>
        <v>-85.503060804851359</v>
      </c>
      <c r="CL142" s="204">
        <f t="shared" si="325"/>
        <v>-86.288636900434042</v>
      </c>
      <c r="CM142" s="204">
        <f t="shared" si="325"/>
        <v>-87.07810778465857</v>
      </c>
      <c r="CN142" s="204">
        <f t="shared" si="325"/>
        <v>-87.871402712714072</v>
      </c>
      <c r="CO142" s="204">
        <f t="shared" si="325"/>
        <v>-88.668452224796056</v>
      </c>
      <c r="CP142" s="204">
        <f t="shared" si="325"/>
        <v>-89.469188122765601</v>
      </c>
      <c r="CQ142" s="204">
        <f t="shared" si="325"/>
        <v>-90.273543447232512</v>
      </c>
      <c r="CR142" s="204">
        <f t="shared" si="325"/>
        <v>-91.081452455054702</v>
      </c>
      <c r="CS142" s="204">
        <f t="shared" si="325"/>
        <v>-91.892850597246365</v>
      </c>
      <c r="CT142" s="204">
        <f t="shared" si="325"/>
        <v>-92.707674497287258</v>
      </c>
      <c r="CU142" s="204">
        <f t="shared" si="325"/>
        <v>-93.525861929826178</v>
      </c>
      <c r="CV142" s="204">
        <f t="shared" si="325"/>
        <v>-94.347351799771133</v>
      </c>
      <c r="CW142" s="204">
        <f t="shared" si="325"/>
        <v>-95.172084121759283</v>
      </c>
      <c r="CX142" s="204">
        <f t="shared" si="325"/>
        <v>-96</v>
      </c>
      <c r="CY142" s="204">
        <f t="shared" si="325"/>
        <v>-96</v>
      </c>
      <c r="CZ142" s="204">
        <f t="shared" si="325"/>
        <v>-96</v>
      </c>
      <c r="DA142" s="204">
        <f t="shared" si="325"/>
        <v>-96</v>
      </c>
      <c r="DB142" s="204">
        <f t="shared" si="325"/>
        <v>-96</v>
      </c>
      <c r="DC142" s="204">
        <f t="shared" si="325"/>
        <v>-96</v>
      </c>
      <c r="DD142" s="204">
        <f t="shared" si="325"/>
        <v>-96</v>
      </c>
      <c r="DE142" s="204">
        <f t="shared" si="325"/>
        <v>-96</v>
      </c>
      <c r="DF142" s="204">
        <f t="shared" si="325"/>
        <v>-96</v>
      </c>
      <c r="DG142" s="204">
        <f t="shared" si="325"/>
        <v>-96</v>
      </c>
      <c r="DH142" s="204">
        <f t="shared" si="325"/>
        <v>-96</v>
      </c>
      <c r="DI142" s="204">
        <f t="shared" si="325"/>
        <v>-96</v>
      </c>
      <c r="DJ142" s="204">
        <f t="shared" si="325"/>
        <v>-96</v>
      </c>
      <c r="DK142" s="204">
        <f t="shared" si="325"/>
        <v>-96</v>
      </c>
      <c r="DL142" s="204">
        <f t="shared" si="325"/>
        <v>-96</v>
      </c>
      <c r="DM142" s="204">
        <f t="shared" si="325"/>
        <v>-96</v>
      </c>
      <c r="DN142" s="204">
        <f t="shared" si="325"/>
        <v>-96</v>
      </c>
      <c r="DO142" s="204">
        <f t="shared" si="325"/>
        <v>-96</v>
      </c>
      <c r="DP142" s="204">
        <f t="shared" si="325"/>
        <v>-96</v>
      </c>
      <c r="DQ142" s="204">
        <f t="shared" si="325"/>
        <v>-96</v>
      </c>
      <c r="DR142" s="204">
        <f t="shared" si="325"/>
        <v>-96</v>
      </c>
      <c r="DS142" s="204">
        <f t="shared" si="325"/>
        <v>-96</v>
      </c>
      <c r="DT142" s="204">
        <f t="shared" si="325"/>
        <v>-96</v>
      </c>
      <c r="DU142" s="204">
        <f t="shared" si="325"/>
        <v>-96</v>
      </c>
      <c r="DV142" s="204">
        <f t="shared" si="325"/>
        <v>-96</v>
      </c>
      <c r="DW142" s="204">
        <f t="shared" si="325"/>
        <v>-96</v>
      </c>
      <c r="DX142" s="204">
        <f t="shared" si="325"/>
        <v>-96</v>
      </c>
      <c r="DY142" s="204">
        <f t="shared" si="325"/>
        <v>-96</v>
      </c>
      <c r="DZ142" s="204">
        <f t="shared" si="325"/>
        <v>-96</v>
      </c>
      <c r="EA142" s="204">
        <f t="shared" si="325"/>
        <v>-96</v>
      </c>
      <c r="EB142" s="204">
        <f t="shared" si="325"/>
        <v>-96</v>
      </c>
      <c r="EC142" s="204">
        <f t="shared" si="325"/>
        <v>-96</v>
      </c>
      <c r="ED142" s="204">
        <f t="shared" si="325"/>
        <v>-96</v>
      </c>
      <c r="EE142" s="204">
        <f t="shared" si="325"/>
        <v>-96</v>
      </c>
      <c r="EF142" s="204">
        <f t="shared" ref="EF142:ET142" si="326">PV($F96,EF$9,1,0)+(PV($J$6,$N$5-(EF$9),1,0)/($J$6+1)^EF$9)</f>
        <v>-96</v>
      </c>
      <c r="EG142" s="204">
        <f t="shared" si="326"/>
        <v>-96</v>
      </c>
      <c r="EH142" s="204">
        <f t="shared" si="326"/>
        <v>-96</v>
      </c>
      <c r="EI142" s="204">
        <f t="shared" si="326"/>
        <v>-96</v>
      </c>
      <c r="EJ142" s="204">
        <f t="shared" si="326"/>
        <v>-96</v>
      </c>
      <c r="EK142" s="204">
        <f t="shared" si="326"/>
        <v>-96</v>
      </c>
      <c r="EL142" s="204">
        <f t="shared" si="326"/>
        <v>-96</v>
      </c>
      <c r="EM142" s="204">
        <f t="shared" si="326"/>
        <v>-96</v>
      </c>
      <c r="EN142" s="204">
        <f t="shared" si="326"/>
        <v>-96</v>
      </c>
      <c r="EO142" s="204">
        <f t="shared" si="326"/>
        <v>-96</v>
      </c>
      <c r="EP142" s="204">
        <f t="shared" si="326"/>
        <v>-96</v>
      </c>
      <c r="EQ142" s="204">
        <f t="shared" si="326"/>
        <v>-96</v>
      </c>
      <c r="ER142" s="204">
        <f t="shared" si="326"/>
        <v>-96</v>
      </c>
      <c r="ES142" s="204">
        <f t="shared" si="326"/>
        <v>-96</v>
      </c>
      <c r="ET142" s="204">
        <f t="shared" si="326"/>
        <v>-96</v>
      </c>
      <c r="FF142" s="6" t="s">
        <v>587</v>
      </c>
      <c r="FG142" s="696">
        <v>2.5000000000000001E-2</v>
      </c>
      <c r="FH142" s="696">
        <v>120</v>
      </c>
      <c r="FI142" s="696">
        <v>2.1600000000000001E-2</v>
      </c>
      <c r="FJ142" s="255">
        <v>1.6E-2</v>
      </c>
      <c r="FK142" s="71">
        <f t="shared" si="320"/>
        <v>2.142857142857143E-4</v>
      </c>
      <c r="FL142" t="e">
        <f>VLOOKUP(FF142,'SIMULADOR COM SALDO'!$BX$22:$CK$1000,13,FALSE)</f>
        <v>#N/A</v>
      </c>
    </row>
    <row r="143" spans="7:168" x14ac:dyDescent="0.25">
      <c r="G143" s="205">
        <f t="shared" si="262"/>
        <v>-44.770373601250576</v>
      </c>
      <c r="H143" s="204">
        <f t="shared" ref="H143:BS143" si="327">PV($F97,H$9,1,0)+(PV($J$6,$N$5-(H$9),1,0)/($J$6+1)^H$9)</f>
        <v>-44.806371604802436</v>
      </c>
      <c r="I143" s="204">
        <f t="shared" si="327"/>
        <v>-44.859879708437063</v>
      </c>
      <c r="J143" s="204">
        <f t="shared" si="327"/>
        <v>-44.930579859281075</v>
      </c>
      <c r="K143" s="204">
        <f t="shared" si="327"/>
        <v>-45.018159781562872</v>
      </c>
      <c r="L143" s="204">
        <f t="shared" si="327"/>
        <v>-45.122312871677551</v>
      </c>
      <c r="M143" s="204">
        <f t="shared" si="327"/>
        <v>-45.24273809515784</v>
      </c>
      <c r="N143" s="204">
        <f t="shared" si="327"/>
        <v>-45.379139885516487</v>
      </c>
      <c r="O143" s="204">
        <f t="shared" si="327"/>
        <v>-45.53122804492606</v>
      </c>
      <c r="P143" s="204">
        <f t="shared" si="327"/>
        <v>-45.698717646702761</v>
      </c>
      <c r="Q143" s="204">
        <f t="shared" si="327"/>
        <v>-45.881328939561598</v>
      </c>
      <c r="R143" s="204">
        <f t="shared" si="327"/>
        <v>-46.078787253610507</v>
      </c>
      <c r="S143" s="204">
        <f t="shared" si="327"/>
        <v>-46.290822908052249</v>
      </c>
      <c r="T143" s="204">
        <f t="shared" si="327"/>
        <v>-46.517171120562551</v>
      </c>
      <c r="U143" s="204">
        <f t="shared" si="327"/>
        <v>-46.75757191831444</v>
      </c>
      <c r="V143" s="204">
        <f t="shared" si="327"/>
        <v>-47.011770050618708</v>
      </c>
      <c r="W143" s="204">
        <f t="shared" si="327"/>
        <v>-47.279514903151124</v>
      </c>
      <c r="X143" s="204">
        <f t="shared" si="327"/>
        <v>-47.560560413737676</v>
      </c>
      <c r="Y143" s="204">
        <f t="shared" si="327"/>
        <v>-47.854664989669509</v>
      </c>
      <c r="Z143" s="204">
        <f t="shared" si="327"/>
        <v>-48.161591426519607</v>
      </c>
      <c r="AA143" s="204">
        <f t="shared" si="327"/>
        <v>-48.481106828434278</v>
      </c>
      <c r="AB143" s="204">
        <f t="shared" si="327"/>
        <v>-48.81298252987235</v>
      </c>
      <c r="AC143" s="204">
        <f t="shared" si="327"/>
        <v>-49.156994018765893</v>
      </c>
      <c r="AD143" s="204">
        <f t="shared" si="327"/>
        <v>-49.51292086107668</v>
      </c>
      <c r="AE143" s="204">
        <f t="shared" si="327"/>
        <v>-49.880546626723003</v>
      </c>
      <c r="AF143" s="204">
        <f t="shared" si="327"/>
        <v>-50.259658816851953</v>
      </c>
      <c r="AG143" s="204">
        <f t="shared" si="327"/>
        <v>-50.650048792432663</v>
      </c>
      <c r="AH143" s="204">
        <f t="shared" si="327"/>
        <v>-51.051511704146662</v>
      </c>
      <c r="AI143" s="204">
        <f t="shared" si="327"/>
        <v>-51.463846423551665</v>
      </c>
      <c r="AJ143" s="204">
        <f t="shared" si="327"/>
        <v>-51.886855475495707</v>
      </c>
      <c r="AK143" s="204">
        <f t="shared" si="327"/>
        <v>-52.320344971758878</v>
      </c>
      <c r="AL143" s="204">
        <f t="shared" si="327"/>
        <v>-52.76412454590043</v>
      </c>
      <c r="AM143" s="204">
        <f t="shared" si="327"/>
        <v>-53.218007289289282</v>
      </c>
      <c r="AN143" s="204">
        <f t="shared" si="327"/>
        <v>-53.681809688296511</v>
      </c>
      <c r="AO143" s="204">
        <f t="shared" si="327"/>
        <v>-54.155351562628589</v>
      </c>
      <c r="AP143" s="204">
        <f t="shared" si="327"/>
        <v>-54.638456004780849</v>
      </c>
      <c r="AQ143" s="204">
        <f t="shared" si="327"/>
        <v>-55.130949320590631</v>
      </c>
      <c r="AR143" s="204">
        <f t="shared" si="327"/>
        <v>-55.632660970870248</v>
      </c>
      <c r="AS143" s="204">
        <f t="shared" si="327"/>
        <v>-56.143423514100107</v>
      </c>
      <c r="AT143" s="204">
        <f t="shared" si="327"/>
        <v>-56.663072550162802</v>
      </c>
      <c r="AU143" s="204">
        <f t="shared" si="327"/>
        <v>-57.191446665099171</v>
      </c>
      <c r="AV143" s="204">
        <f t="shared" si="327"/>
        <v>-57.728387376867829</v>
      </c>
      <c r="AW143" s="204">
        <f t="shared" si="327"/>
        <v>-58.273739082089882</v>
      </c>
      <c r="AX143" s="204">
        <f t="shared" si="327"/>
        <v>-58.827349003761015</v>
      </c>
      <c r="AY143" s="204">
        <f t="shared" si="327"/>
        <v>-59.389067139913323</v>
      </c>
      <c r="AZ143" s="204">
        <f t="shared" si="327"/>
        <v>-59.95874621320965</v>
      </c>
      <c r="BA143" s="204">
        <f t="shared" si="327"/>
        <v>-60.53624162145347</v>
      </c>
      <c r="BB143" s="204">
        <f t="shared" si="327"/>
        <v>-61.121411388997728</v>
      </c>
      <c r="BC143" s="204">
        <f t="shared" si="327"/>
        <v>-61.714116119036262</v>
      </c>
      <c r="BD143" s="204">
        <f t="shared" si="327"/>
        <v>-62.314218946761883</v>
      </c>
      <c r="BE143" s="204">
        <f t="shared" si="327"/>
        <v>-62.921585493375147</v>
      </c>
      <c r="BF143" s="204">
        <f t="shared" si="327"/>
        <v>-63.536083820928674</v>
      </c>
      <c r="BG143" s="204">
        <f t="shared" si="327"/>
        <v>-64.157584387991548</v>
      </c>
      <c r="BH143" s="204">
        <f t="shared" si="327"/>
        <v>-64.785960006119055</v>
      </c>
      <c r="BI143" s="204">
        <f t="shared" si="327"/>
        <v>-65.421085797113165</v>
      </c>
      <c r="BJ143" s="204">
        <f t="shared" si="327"/>
        <v>-66.062839151059279</v>
      </c>
      <c r="BK143" s="204">
        <f t="shared" si="327"/>
        <v>-66.711099685125177</v>
      </c>
      <c r="BL143" s="204">
        <f t="shared" si="327"/>
        <v>-67.365749203108379</v>
      </c>
      <c r="BM143" s="204">
        <f t="shared" si="327"/>
        <v>-68.026671655718303</v>
      </c>
      <c r="BN143" s="204">
        <f t="shared" si="327"/>
        <v>-68.693753101579787</v>
      </c>
      <c r="BO143" s="204">
        <f t="shared" si="327"/>
        <v>-69.366881668945013</v>
      </c>
      <c r="BP143" s="204">
        <f t="shared" si="327"/>
        <v>-70.04594751810086</v>
      </c>
      <c r="BQ143" s="204">
        <f t="shared" si="327"/>
        <v>-70.730842804459073</v>
      </c>
      <c r="BR143" s="204">
        <f t="shared" si="327"/>
        <v>-71.421461642316928</v>
      </c>
      <c r="BS143" s="204">
        <f t="shared" si="327"/>
        <v>-72.117700069276026</v>
      </c>
      <c r="BT143" s="204">
        <f t="shared" ref="BT143:EE143" si="328">PV($F97,BT$9,1,0)+(PV($J$6,$N$5-(BT$9),1,0)/($J$6+1)^BT$9)</f>
        <v>-72.819456011307551</v>
      </c>
      <c r="BU143" s="204">
        <f t="shared" si="328"/>
        <v>-73.526629248451897</v>
      </c>
      <c r="BV143" s="204">
        <f t="shared" si="328"/>
        <v>-74.239121381141487</v>
      </c>
      <c r="BW143" s="204">
        <f t="shared" si="328"/>
        <v>-74.956835797135199</v>
      </c>
      <c r="BX143" s="204">
        <f t="shared" si="328"/>
        <v>-75.679677639053423</v>
      </c>
      <c r="BY143" s="204">
        <f t="shared" si="328"/>
        <v>-76.407553772502823</v>
      </c>
      <c r="BZ143" s="204">
        <f t="shared" si="328"/>
        <v>-77.140372754780103</v>
      </c>
      <c r="CA143" s="204">
        <f t="shared" si="328"/>
        <v>-77.878044804144153</v>
      </c>
      <c r="CB143" s="204">
        <f t="shared" si="328"/>
        <v>-78.620481769646403</v>
      </c>
      <c r="CC143" s="204">
        <f t="shared" si="328"/>
        <v>-79.36759710150919</v>
      </c>
      <c r="CD143" s="204">
        <f t="shared" si="328"/>
        <v>-80.119305822042122</v>
      </c>
      <c r="CE143" s="204">
        <f t="shared" si="328"/>
        <v>-80.87552449708673</v>
      </c>
      <c r="CF143" s="204">
        <f t="shared" si="328"/>
        <v>-81.636171207979814</v>
      </c>
      <c r="CG143" s="204">
        <f t="shared" si="328"/>
        <v>-82.401165524026041</v>
      </c>
      <c r="CH143" s="204">
        <f t="shared" si="328"/>
        <v>-83.170428475470544</v>
      </c>
      <c r="CI143" s="204">
        <f t="shared" si="328"/>
        <v>-83.943882526962454</v>
      </c>
      <c r="CJ143" s="204">
        <f t="shared" si="328"/>
        <v>-84.721451551500408</v>
      </c>
      <c r="CK143" s="204">
        <f t="shared" si="328"/>
        <v>-85.503060804851359</v>
      </c>
      <c r="CL143" s="204">
        <f t="shared" si="328"/>
        <v>-86.288636900434042</v>
      </c>
      <c r="CM143" s="204">
        <f t="shared" si="328"/>
        <v>-87.07810778465857</v>
      </c>
      <c r="CN143" s="204">
        <f t="shared" si="328"/>
        <v>-87.871402712714072</v>
      </c>
      <c r="CO143" s="204">
        <f t="shared" si="328"/>
        <v>-88.668452224796056</v>
      </c>
      <c r="CP143" s="204">
        <f t="shared" si="328"/>
        <v>-89.469188122765601</v>
      </c>
      <c r="CQ143" s="204">
        <f t="shared" si="328"/>
        <v>-90.273543447232512</v>
      </c>
      <c r="CR143" s="204">
        <f t="shared" si="328"/>
        <v>-91.081452455054702</v>
      </c>
      <c r="CS143" s="204">
        <f t="shared" si="328"/>
        <v>-91.892850597246365</v>
      </c>
      <c r="CT143" s="204">
        <f t="shared" si="328"/>
        <v>-92.707674497287258</v>
      </c>
      <c r="CU143" s="204">
        <f t="shared" si="328"/>
        <v>-93.525861929826178</v>
      </c>
      <c r="CV143" s="204">
        <f t="shared" si="328"/>
        <v>-94.347351799771133</v>
      </c>
      <c r="CW143" s="204">
        <f t="shared" si="328"/>
        <v>-95.172084121759283</v>
      </c>
      <c r="CX143" s="204">
        <f t="shared" si="328"/>
        <v>-96</v>
      </c>
      <c r="CY143" s="204">
        <f t="shared" si="328"/>
        <v>-96</v>
      </c>
      <c r="CZ143" s="204">
        <f t="shared" si="328"/>
        <v>-96</v>
      </c>
      <c r="DA143" s="204">
        <f t="shared" si="328"/>
        <v>-96</v>
      </c>
      <c r="DB143" s="204">
        <f t="shared" si="328"/>
        <v>-96</v>
      </c>
      <c r="DC143" s="204">
        <f t="shared" si="328"/>
        <v>-96</v>
      </c>
      <c r="DD143" s="204">
        <f t="shared" si="328"/>
        <v>-96</v>
      </c>
      <c r="DE143" s="204">
        <f t="shared" si="328"/>
        <v>-96</v>
      </c>
      <c r="DF143" s="204">
        <f t="shared" si="328"/>
        <v>-96</v>
      </c>
      <c r="DG143" s="204">
        <f t="shared" si="328"/>
        <v>-96</v>
      </c>
      <c r="DH143" s="204">
        <f t="shared" si="328"/>
        <v>-96</v>
      </c>
      <c r="DI143" s="204">
        <f t="shared" si="328"/>
        <v>-96</v>
      </c>
      <c r="DJ143" s="204">
        <f t="shared" si="328"/>
        <v>-96</v>
      </c>
      <c r="DK143" s="204">
        <f t="shared" si="328"/>
        <v>-96</v>
      </c>
      <c r="DL143" s="204">
        <f t="shared" si="328"/>
        <v>-96</v>
      </c>
      <c r="DM143" s="204">
        <f t="shared" si="328"/>
        <v>-96</v>
      </c>
      <c r="DN143" s="204">
        <f t="shared" si="328"/>
        <v>-96</v>
      </c>
      <c r="DO143" s="204">
        <f t="shared" si="328"/>
        <v>-96</v>
      </c>
      <c r="DP143" s="204">
        <f t="shared" si="328"/>
        <v>-96</v>
      </c>
      <c r="DQ143" s="204">
        <f t="shared" si="328"/>
        <v>-96</v>
      </c>
      <c r="DR143" s="204">
        <f t="shared" si="328"/>
        <v>-96</v>
      </c>
      <c r="DS143" s="204">
        <f t="shared" si="328"/>
        <v>-96</v>
      </c>
      <c r="DT143" s="204">
        <f t="shared" si="328"/>
        <v>-96</v>
      </c>
      <c r="DU143" s="204">
        <f t="shared" si="328"/>
        <v>-96</v>
      </c>
      <c r="DV143" s="204">
        <f t="shared" si="328"/>
        <v>-96</v>
      </c>
      <c r="DW143" s="204">
        <f t="shared" si="328"/>
        <v>-96</v>
      </c>
      <c r="DX143" s="204">
        <f t="shared" si="328"/>
        <v>-96</v>
      </c>
      <c r="DY143" s="204">
        <f t="shared" si="328"/>
        <v>-96</v>
      </c>
      <c r="DZ143" s="204">
        <f t="shared" si="328"/>
        <v>-96</v>
      </c>
      <c r="EA143" s="204">
        <f t="shared" si="328"/>
        <v>-96</v>
      </c>
      <c r="EB143" s="204">
        <f t="shared" si="328"/>
        <v>-96</v>
      </c>
      <c r="EC143" s="204">
        <f t="shared" si="328"/>
        <v>-96</v>
      </c>
      <c r="ED143" s="204">
        <f t="shared" si="328"/>
        <v>-96</v>
      </c>
      <c r="EE143" s="204">
        <f t="shared" si="328"/>
        <v>-96</v>
      </c>
      <c r="EF143" s="204">
        <f t="shared" ref="EF143:ET143" si="329">PV($F97,EF$9,1,0)+(PV($J$6,$N$5-(EF$9),1,0)/($J$6+1)^EF$9)</f>
        <v>-96</v>
      </c>
      <c r="EG143" s="204">
        <f t="shared" si="329"/>
        <v>-96</v>
      </c>
      <c r="EH143" s="204">
        <f t="shared" si="329"/>
        <v>-96</v>
      </c>
      <c r="EI143" s="204">
        <f t="shared" si="329"/>
        <v>-96</v>
      </c>
      <c r="EJ143" s="204">
        <f t="shared" si="329"/>
        <v>-96</v>
      </c>
      <c r="EK143" s="204">
        <f t="shared" si="329"/>
        <v>-96</v>
      </c>
      <c r="EL143" s="204">
        <f t="shared" si="329"/>
        <v>-96</v>
      </c>
      <c r="EM143" s="204">
        <f t="shared" si="329"/>
        <v>-96</v>
      </c>
      <c r="EN143" s="204">
        <f t="shared" si="329"/>
        <v>-96</v>
      </c>
      <c r="EO143" s="204">
        <f t="shared" si="329"/>
        <v>-96</v>
      </c>
      <c r="EP143" s="204">
        <f t="shared" si="329"/>
        <v>-96</v>
      </c>
      <c r="EQ143" s="204">
        <f t="shared" si="329"/>
        <v>-96</v>
      </c>
      <c r="ER143" s="204">
        <f t="shared" si="329"/>
        <v>-96</v>
      </c>
      <c r="ES143" s="204">
        <f t="shared" si="329"/>
        <v>-96</v>
      </c>
      <c r="ET143" s="204">
        <f t="shared" si="329"/>
        <v>-96</v>
      </c>
      <c r="FF143" s="6" t="s">
        <v>589</v>
      </c>
      <c r="FG143" s="696">
        <v>2.5000000000000001E-2</v>
      </c>
      <c r="FH143" s="696">
        <v>120</v>
      </c>
      <c r="FI143" s="696">
        <v>2.1600000000000001E-2</v>
      </c>
      <c r="FJ143" s="255">
        <v>1.6E-2</v>
      </c>
      <c r="FK143" s="71">
        <f t="shared" si="320"/>
        <v>2.142857142857143E-4</v>
      </c>
      <c r="FL143" t="e">
        <f>VLOOKUP(FF143,'SIMULADOR COM SALDO'!$BX$22:$CK$1000,13,FALSE)</f>
        <v>#N/A</v>
      </c>
    </row>
    <row r="144" spans="7:168" x14ac:dyDescent="0.25">
      <c r="G144" s="205">
        <f t="shared" si="262"/>
        <v>-44.770373601250576</v>
      </c>
      <c r="H144" s="204">
        <f t="shared" ref="H144:BS144" si="330">PV($F98,H$9,1,0)+(PV($J$6,$N$5-(H$9),1,0)/($J$6+1)^H$9)</f>
        <v>-44.806371604802436</v>
      </c>
      <c r="I144" s="204">
        <f t="shared" si="330"/>
        <v>-44.859879708437063</v>
      </c>
      <c r="J144" s="204">
        <f t="shared" si="330"/>
        <v>-44.930579859281075</v>
      </c>
      <c r="K144" s="204">
        <f t="shared" si="330"/>
        <v>-45.018159781562872</v>
      </c>
      <c r="L144" s="204">
        <f t="shared" si="330"/>
        <v>-45.122312871677551</v>
      </c>
      <c r="M144" s="204">
        <f t="shared" si="330"/>
        <v>-45.24273809515784</v>
      </c>
      <c r="N144" s="204">
        <f t="shared" si="330"/>
        <v>-45.379139885516487</v>
      </c>
      <c r="O144" s="204">
        <f t="shared" si="330"/>
        <v>-45.53122804492606</v>
      </c>
      <c r="P144" s="204">
        <f t="shared" si="330"/>
        <v>-45.698717646702761</v>
      </c>
      <c r="Q144" s="204">
        <f t="shared" si="330"/>
        <v>-45.881328939561598</v>
      </c>
      <c r="R144" s="204">
        <f t="shared" si="330"/>
        <v>-46.078787253610507</v>
      </c>
      <c r="S144" s="204">
        <f t="shared" si="330"/>
        <v>-46.290822908052249</v>
      </c>
      <c r="T144" s="204">
        <f t="shared" si="330"/>
        <v>-46.517171120562551</v>
      </c>
      <c r="U144" s="204">
        <f t="shared" si="330"/>
        <v>-46.75757191831444</v>
      </c>
      <c r="V144" s="204">
        <f t="shared" si="330"/>
        <v>-47.011770050618708</v>
      </c>
      <c r="W144" s="204">
        <f t="shared" si="330"/>
        <v>-47.279514903151124</v>
      </c>
      <c r="X144" s="204">
        <f t="shared" si="330"/>
        <v>-47.560560413737676</v>
      </c>
      <c r="Y144" s="204">
        <f t="shared" si="330"/>
        <v>-47.854664989669509</v>
      </c>
      <c r="Z144" s="204">
        <f t="shared" si="330"/>
        <v>-48.161591426519607</v>
      </c>
      <c r="AA144" s="204">
        <f t="shared" si="330"/>
        <v>-48.481106828434278</v>
      </c>
      <c r="AB144" s="204">
        <f t="shared" si="330"/>
        <v>-48.81298252987235</v>
      </c>
      <c r="AC144" s="204">
        <f t="shared" si="330"/>
        <v>-49.156994018765893</v>
      </c>
      <c r="AD144" s="204">
        <f t="shared" si="330"/>
        <v>-49.51292086107668</v>
      </c>
      <c r="AE144" s="204">
        <f t="shared" si="330"/>
        <v>-49.880546626723003</v>
      </c>
      <c r="AF144" s="204">
        <f t="shared" si="330"/>
        <v>-50.259658816851953</v>
      </c>
      <c r="AG144" s="204">
        <f t="shared" si="330"/>
        <v>-50.650048792432663</v>
      </c>
      <c r="AH144" s="204">
        <f t="shared" si="330"/>
        <v>-51.051511704146662</v>
      </c>
      <c r="AI144" s="204">
        <f t="shared" si="330"/>
        <v>-51.463846423551665</v>
      </c>
      <c r="AJ144" s="204">
        <f t="shared" si="330"/>
        <v>-51.886855475495707</v>
      </c>
      <c r="AK144" s="204">
        <f t="shared" si="330"/>
        <v>-52.320344971758878</v>
      </c>
      <c r="AL144" s="204">
        <f t="shared" si="330"/>
        <v>-52.76412454590043</v>
      </c>
      <c r="AM144" s="204">
        <f t="shared" si="330"/>
        <v>-53.218007289289282</v>
      </c>
      <c r="AN144" s="204">
        <f t="shared" si="330"/>
        <v>-53.681809688296511</v>
      </c>
      <c r="AO144" s="204">
        <f t="shared" si="330"/>
        <v>-54.155351562628589</v>
      </c>
      <c r="AP144" s="204">
        <f t="shared" si="330"/>
        <v>-54.638456004780849</v>
      </c>
      <c r="AQ144" s="204">
        <f t="shared" si="330"/>
        <v>-55.130949320590631</v>
      </c>
      <c r="AR144" s="204">
        <f t="shared" si="330"/>
        <v>-55.632660970870248</v>
      </c>
      <c r="AS144" s="204">
        <f t="shared" si="330"/>
        <v>-56.143423514100107</v>
      </c>
      <c r="AT144" s="204">
        <f t="shared" si="330"/>
        <v>-56.663072550162802</v>
      </c>
      <c r="AU144" s="204">
        <f t="shared" si="330"/>
        <v>-57.191446665099171</v>
      </c>
      <c r="AV144" s="204">
        <f t="shared" si="330"/>
        <v>-57.728387376867829</v>
      </c>
      <c r="AW144" s="204">
        <f t="shared" si="330"/>
        <v>-58.273739082089882</v>
      </c>
      <c r="AX144" s="204">
        <f t="shared" si="330"/>
        <v>-58.827349003761015</v>
      </c>
      <c r="AY144" s="204">
        <f t="shared" si="330"/>
        <v>-59.389067139913323</v>
      </c>
      <c r="AZ144" s="204">
        <f t="shared" si="330"/>
        <v>-59.95874621320965</v>
      </c>
      <c r="BA144" s="204">
        <f t="shared" si="330"/>
        <v>-60.53624162145347</v>
      </c>
      <c r="BB144" s="204">
        <f t="shared" si="330"/>
        <v>-61.121411388997728</v>
      </c>
      <c r="BC144" s="204">
        <f t="shared" si="330"/>
        <v>-61.714116119036262</v>
      </c>
      <c r="BD144" s="204">
        <f t="shared" si="330"/>
        <v>-62.314218946761883</v>
      </c>
      <c r="BE144" s="204">
        <f t="shared" si="330"/>
        <v>-62.921585493375147</v>
      </c>
      <c r="BF144" s="204">
        <f t="shared" si="330"/>
        <v>-63.536083820928674</v>
      </c>
      <c r="BG144" s="204">
        <f t="shared" si="330"/>
        <v>-64.157584387991548</v>
      </c>
      <c r="BH144" s="204">
        <f t="shared" si="330"/>
        <v>-64.785960006119055</v>
      </c>
      <c r="BI144" s="204">
        <f t="shared" si="330"/>
        <v>-65.421085797113165</v>
      </c>
      <c r="BJ144" s="204">
        <f t="shared" si="330"/>
        <v>-66.062839151059279</v>
      </c>
      <c r="BK144" s="204">
        <f t="shared" si="330"/>
        <v>-66.711099685125177</v>
      </c>
      <c r="BL144" s="204">
        <f t="shared" si="330"/>
        <v>-67.365749203108379</v>
      </c>
      <c r="BM144" s="204">
        <f t="shared" si="330"/>
        <v>-68.026671655718303</v>
      </c>
      <c r="BN144" s="204">
        <f t="shared" si="330"/>
        <v>-68.693753101579787</v>
      </c>
      <c r="BO144" s="204">
        <f t="shared" si="330"/>
        <v>-69.366881668945013</v>
      </c>
      <c r="BP144" s="204">
        <f t="shared" si="330"/>
        <v>-70.04594751810086</v>
      </c>
      <c r="BQ144" s="204">
        <f t="shared" si="330"/>
        <v>-70.730842804459073</v>
      </c>
      <c r="BR144" s="204">
        <f t="shared" si="330"/>
        <v>-71.421461642316928</v>
      </c>
      <c r="BS144" s="204">
        <f t="shared" si="330"/>
        <v>-72.117700069276026</v>
      </c>
      <c r="BT144" s="204">
        <f t="shared" ref="BT144:EE144" si="331">PV($F98,BT$9,1,0)+(PV($J$6,$N$5-(BT$9),1,0)/($J$6+1)^BT$9)</f>
        <v>-72.819456011307551</v>
      </c>
      <c r="BU144" s="204">
        <f t="shared" si="331"/>
        <v>-73.526629248451897</v>
      </c>
      <c r="BV144" s="204">
        <f t="shared" si="331"/>
        <v>-74.239121381141487</v>
      </c>
      <c r="BW144" s="204">
        <f t="shared" si="331"/>
        <v>-74.956835797135199</v>
      </c>
      <c r="BX144" s="204">
        <f t="shared" si="331"/>
        <v>-75.679677639053423</v>
      </c>
      <c r="BY144" s="204">
        <f t="shared" si="331"/>
        <v>-76.407553772502823</v>
      </c>
      <c r="BZ144" s="204">
        <f t="shared" si="331"/>
        <v>-77.140372754780103</v>
      </c>
      <c r="CA144" s="204">
        <f t="shared" si="331"/>
        <v>-77.878044804144153</v>
      </c>
      <c r="CB144" s="204">
        <f t="shared" si="331"/>
        <v>-78.620481769646403</v>
      </c>
      <c r="CC144" s="204">
        <f t="shared" si="331"/>
        <v>-79.36759710150919</v>
      </c>
      <c r="CD144" s="204">
        <f t="shared" si="331"/>
        <v>-80.119305822042122</v>
      </c>
      <c r="CE144" s="204">
        <f t="shared" si="331"/>
        <v>-80.87552449708673</v>
      </c>
      <c r="CF144" s="204">
        <f t="shared" si="331"/>
        <v>-81.636171207979814</v>
      </c>
      <c r="CG144" s="204">
        <f t="shared" si="331"/>
        <v>-82.401165524026041</v>
      </c>
      <c r="CH144" s="204">
        <f t="shared" si="331"/>
        <v>-83.170428475470544</v>
      </c>
      <c r="CI144" s="204">
        <f t="shared" si="331"/>
        <v>-83.943882526962454</v>
      </c>
      <c r="CJ144" s="204">
        <f t="shared" si="331"/>
        <v>-84.721451551500408</v>
      </c>
      <c r="CK144" s="204">
        <f t="shared" si="331"/>
        <v>-85.503060804851359</v>
      </c>
      <c r="CL144" s="204">
        <f t="shared" si="331"/>
        <v>-86.288636900434042</v>
      </c>
      <c r="CM144" s="204">
        <f t="shared" si="331"/>
        <v>-87.07810778465857</v>
      </c>
      <c r="CN144" s="204">
        <f t="shared" si="331"/>
        <v>-87.871402712714072</v>
      </c>
      <c r="CO144" s="204">
        <f t="shared" si="331"/>
        <v>-88.668452224796056</v>
      </c>
      <c r="CP144" s="204">
        <f t="shared" si="331"/>
        <v>-89.469188122765601</v>
      </c>
      <c r="CQ144" s="204">
        <f t="shared" si="331"/>
        <v>-90.273543447232512</v>
      </c>
      <c r="CR144" s="204">
        <f t="shared" si="331"/>
        <v>-91.081452455054702</v>
      </c>
      <c r="CS144" s="204">
        <f t="shared" si="331"/>
        <v>-91.892850597246365</v>
      </c>
      <c r="CT144" s="204">
        <f t="shared" si="331"/>
        <v>-92.707674497287258</v>
      </c>
      <c r="CU144" s="204">
        <f t="shared" si="331"/>
        <v>-93.525861929826178</v>
      </c>
      <c r="CV144" s="204">
        <f t="shared" si="331"/>
        <v>-94.347351799771133</v>
      </c>
      <c r="CW144" s="204">
        <f t="shared" si="331"/>
        <v>-95.172084121759283</v>
      </c>
      <c r="CX144" s="204">
        <f t="shared" si="331"/>
        <v>-96</v>
      </c>
      <c r="CY144" s="204">
        <f t="shared" si="331"/>
        <v>-96</v>
      </c>
      <c r="CZ144" s="204">
        <f t="shared" si="331"/>
        <v>-96</v>
      </c>
      <c r="DA144" s="204">
        <f t="shared" si="331"/>
        <v>-96</v>
      </c>
      <c r="DB144" s="204">
        <f t="shared" si="331"/>
        <v>-96</v>
      </c>
      <c r="DC144" s="204">
        <f t="shared" si="331"/>
        <v>-96</v>
      </c>
      <c r="DD144" s="204">
        <f t="shared" si="331"/>
        <v>-96</v>
      </c>
      <c r="DE144" s="204">
        <f t="shared" si="331"/>
        <v>-96</v>
      </c>
      <c r="DF144" s="204">
        <f t="shared" si="331"/>
        <v>-96</v>
      </c>
      <c r="DG144" s="204">
        <f t="shared" si="331"/>
        <v>-96</v>
      </c>
      <c r="DH144" s="204">
        <f t="shared" si="331"/>
        <v>-96</v>
      </c>
      <c r="DI144" s="204">
        <f t="shared" si="331"/>
        <v>-96</v>
      </c>
      <c r="DJ144" s="204">
        <f t="shared" si="331"/>
        <v>-96</v>
      </c>
      <c r="DK144" s="204">
        <f t="shared" si="331"/>
        <v>-96</v>
      </c>
      <c r="DL144" s="204">
        <f t="shared" si="331"/>
        <v>-96</v>
      </c>
      <c r="DM144" s="204">
        <f t="shared" si="331"/>
        <v>-96</v>
      </c>
      <c r="DN144" s="204">
        <f t="shared" si="331"/>
        <v>-96</v>
      </c>
      <c r="DO144" s="204">
        <f t="shared" si="331"/>
        <v>-96</v>
      </c>
      <c r="DP144" s="204">
        <f t="shared" si="331"/>
        <v>-96</v>
      </c>
      <c r="DQ144" s="204">
        <f t="shared" si="331"/>
        <v>-96</v>
      </c>
      <c r="DR144" s="204">
        <f t="shared" si="331"/>
        <v>-96</v>
      </c>
      <c r="DS144" s="204">
        <f t="shared" si="331"/>
        <v>-96</v>
      </c>
      <c r="DT144" s="204">
        <f t="shared" si="331"/>
        <v>-96</v>
      </c>
      <c r="DU144" s="204">
        <f t="shared" si="331"/>
        <v>-96</v>
      </c>
      <c r="DV144" s="204">
        <f t="shared" si="331"/>
        <v>-96</v>
      </c>
      <c r="DW144" s="204">
        <f t="shared" si="331"/>
        <v>-96</v>
      </c>
      <c r="DX144" s="204">
        <f t="shared" si="331"/>
        <v>-96</v>
      </c>
      <c r="DY144" s="204">
        <f t="shared" si="331"/>
        <v>-96</v>
      </c>
      <c r="DZ144" s="204">
        <f t="shared" si="331"/>
        <v>-96</v>
      </c>
      <c r="EA144" s="204">
        <f t="shared" si="331"/>
        <v>-96</v>
      </c>
      <c r="EB144" s="204">
        <f t="shared" si="331"/>
        <v>-96</v>
      </c>
      <c r="EC144" s="204">
        <f t="shared" si="331"/>
        <v>-96</v>
      </c>
      <c r="ED144" s="204">
        <f t="shared" si="331"/>
        <v>-96</v>
      </c>
      <c r="EE144" s="204">
        <f t="shared" si="331"/>
        <v>-96</v>
      </c>
      <c r="EF144" s="204">
        <f t="shared" ref="EF144:ET144" si="332">PV($F98,EF$9,1,0)+(PV($J$6,$N$5-(EF$9),1,0)/($J$6+1)^EF$9)</f>
        <v>-96</v>
      </c>
      <c r="EG144" s="204">
        <f t="shared" si="332"/>
        <v>-96</v>
      </c>
      <c r="EH144" s="204">
        <f t="shared" si="332"/>
        <v>-96</v>
      </c>
      <c r="EI144" s="204">
        <f t="shared" si="332"/>
        <v>-96</v>
      </c>
      <c r="EJ144" s="204">
        <f t="shared" si="332"/>
        <v>-96</v>
      </c>
      <c r="EK144" s="204">
        <f t="shared" si="332"/>
        <v>-96</v>
      </c>
      <c r="EL144" s="204">
        <f t="shared" si="332"/>
        <v>-96</v>
      </c>
      <c r="EM144" s="204">
        <f t="shared" si="332"/>
        <v>-96</v>
      </c>
      <c r="EN144" s="204">
        <f t="shared" si="332"/>
        <v>-96</v>
      </c>
      <c r="EO144" s="204">
        <f t="shared" si="332"/>
        <v>-96</v>
      </c>
      <c r="EP144" s="204">
        <f t="shared" si="332"/>
        <v>-96</v>
      </c>
      <c r="EQ144" s="204">
        <f t="shared" si="332"/>
        <v>-96</v>
      </c>
      <c r="ER144" s="204">
        <f t="shared" si="332"/>
        <v>-96</v>
      </c>
      <c r="ES144" s="204">
        <f t="shared" si="332"/>
        <v>-96</v>
      </c>
      <c r="ET144" s="204">
        <f t="shared" si="332"/>
        <v>-96</v>
      </c>
      <c r="FF144" s="6" t="s">
        <v>3792</v>
      </c>
      <c r="FG144" s="696">
        <v>2.5000000000000001E-2</v>
      </c>
      <c r="FH144" s="696">
        <v>120</v>
      </c>
      <c r="FI144" s="696">
        <v>1.8500000000000003E-2</v>
      </c>
      <c r="FJ144" s="255">
        <v>1.55E-2</v>
      </c>
      <c r="FK144" s="71">
        <f t="shared" si="320"/>
        <v>2.2619047619047624E-4</v>
      </c>
      <c r="FL144" t="e">
        <f>VLOOKUP(FF144,'SIMULADOR COM SALDO'!$BX$22:$CK$1000,13,FALSE)</f>
        <v>#N/A</v>
      </c>
    </row>
    <row r="145" spans="7:168" x14ac:dyDescent="0.25">
      <c r="G145" s="205">
        <f t="shared" si="262"/>
        <v>-44.770373601250576</v>
      </c>
      <c r="H145" s="204">
        <f t="shared" ref="H145:BS145" si="333">PV($F99,H$9,1,0)+(PV($J$6,$N$5-(H$9),1,0)/($J$6+1)^H$9)</f>
        <v>-44.806371604802436</v>
      </c>
      <c r="I145" s="204">
        <f t="shared" si="333"/>
        <v>-44.859879708437063</v>
      </c>
      <c r="J145" s="204">
        <f t="shared" si="333"/>
        <v>-44.930579859281075</v>
      </c>
      <c r="K145" s="204">
        <f t="shared" si="333"/>
        <v>-45.018159781562872</v>
      </c>
      <c r="L145" s="204">
        <f t="shared" si="333"/>
        <v>-45.122312871677551</v>
      </c>
      <c r="M145" s="204">
        <f t="shared" si="333"/>
        <v>-45.24273809515784</v>
      </c>
      <c r="N145" s="204">
        <f t="shared" si="333"/>
        <v>-45.379139885516487</v>
      </c>
      <c r="O145" s="204">
        <f t="shared" si="333"/>
        <v>-45.53122804492606</v>
      </c>
      <c r="P145" s="204">
        <f t="shared" si="333"/>
        <v>-45.698717646702761</v>
      </c>
      <c r="Q145" s="204">
        <f t="shared" si="333"/>
        <v>-45.881328939561598</v>
      </c>
      <c r="R145" s="204">
        <f t="shared" si="333"/>
        <v>-46.078787253610507</v>
      </c>
      <c r="S145" s="204">
        <f t="shared" si="333"/>
        <v>-46.290822908052249</v>
      </c>
      <c r="T145" s="204">
        <f t="shared" si="333"/>
        <v>-46.517171120562551</v>
      </c>
      <c r="U145" s="204">
        <f t="shared" si="333"/>
        <v>-46.75757191831444</v>
      </c>
      <c r="V145" s="204">
        <f t="shared" si="333"/>
        <v>-47.011770050618708</v>
      </c>
      <c r="W145" s="204">
        <f t="shared" si="333"/>
        <v>-47.279514903151124</v>
      </c>
      <c r="X145" s="204">
        <f t="shared" si="333"/>
        <v>-47.560560413737676</v>
      </c>
      <c r="Y145" s="204">
        <f t="shared" si="333"/>
        <v>-47.854664989669509</v>
      </c>
      <c r="Z145" s="204">
        <f t="shared" si="333"/>
        <v>-48.161591426519607</v>
      </c>
      <c r="AA145" s="204">
        <f t="shared" si="333"/>
        <v>-48.481106828434278</v>
      </c>
      <c r="AB145" s="204">
        <f t="shared" si="333"/>
        <v>-48.81298252987235</v>
      </c>
      <c r="AC145" s="204">
        <f t="shared" si="333"/>
        <v>-49.156994018765893</v>
      </c>
      <c r="AD145" s="204">
        <f t="shared" si="333"/>
        <v>-49.51292086107668</v>
      </c>
      <c r="AE145" s="204">
        <f t="shared" si="333"/>
        <v>-49.880546626723003</v>
      </c>
      <c r="AF145" s="204">
        <f t="shared" si="333"/>
        <v>-50.259658816851953</v>
      </c>
      <c r="AG145" s="204">
        <f t="shared" si="333"/>
        <v>-50.650048792432663</v>
      </c>
      <c r="AH145" s="204">
        <f t="shared" si="333"/>
        <v>-51.051511704146662</v>
      </c>
      <c r="AI145" s="204">
        <f t="shared" si="333"/>
        <v>-51.463846423551665</v>
      </c>
      <c r="AJ145" s="204">
        <f t="shared" si="333"/>
        <v>-51.886855475495707</v>
      </c>
      <c r="AK145" s="204">
        <f t="shared" si="333"/>
        <v>-52.320344971758878</v>
      </c>
      <c r="AL145" s="204">
        <f t="shared" si="333"/>
        <v>-52.76412454590043</v>
      </c>
      <c r="AM145" s="204">
        <f t="shared" si="333"/>
        <v>-53.218007289289282</v>
      </c>
      <c r="AN145" s="204">
        <f t="shared" si="333"/>
        <v>-53.681809688296511</v>
      </c>
      <c r="AO145" s="204">
        <f t="shared" si="333"/>
        <v>-54.155351562628589</v>
      </c>
      <c r="AP145" s="204">
        <f t="shared" si="333"/>
        <v>-54.638456004780849</v>
      </c>
      <c r="AQ145" s="204">
        <f t="shared" si="333"/>
        <v>-55.130949320590631</v>
      </c>
      <c r="AR145" s="204">
        <f t="shared" si="333"/>
        <v>-55.632660970870248</v>
      </c>
      <c r="AS145" s="204">
        <f t="shared" si="333"/>
        <v>-56.143423514100107</v>
      </c>
      <c r="AT145" s="204">
        <f t="shared" si="333"/>
        <v>-56.663072550162802</v>
      </c>
      <c r="AU145" s="204">
        <f t="shared" si="333"/>
        <v>-57.191446665099171</v>
      </c>
      <c r="AV145" s="204">
        <f t="shared" si="333"/>
        <v>-57.728387376867829</v>
      </c>
      <c r="AW145" s="204">
        <f t="shared" si="333"/>
        <v>-58.273739082089882</v>
      </c>
      <c r="AX145" s="204">
        <f t="shared" si="333"/>
        <v>-58.827349003761015</v>
      </c>
      <c r="AY145" s="204">
        <f t="shared" si="333"/>
        <v>-59.389067139913323</v>
      </c>
      <c r="AZ145" s="204">
        <f t="shared" si="333"/>
        <v>-59.95874621320965</v>
      </c>
      <c r="BA145" s="204">
        <f t="shared" si="333"/>
        <v>-60.53624162145347</v>
      </c>
      <c r="BB145" s="204">
        <f t="shared" si="333"/>
        <v>-61.121411388997728</v>
      </c>
      <c r="BC145" s="204">
        <f t="shared" si="333"/>
        <v>-61.714116119036262</v>
      </c>
      <c r="BD145" s="204">
        <f t="shared" si="333"/>
        <v>-62.314218946761883</v>
      </c>
      <c r="BE145" s="204">
        <f t="shared" si="333"/>
        <v>-62.921585493375147</v>
      </c>
      <c r="BF145" s="204">
        <f t="shared" si="333"/>
        <v>-63.536083820928674</v>
      </c>
      <c r="BG145" s="204">
        <f t="shared" si="333"/>
        <v>-64.157584387991548</v>
      </c>
      <c r="BH145" s="204">
        <f t="shared" si="333"/>
        <v>-64.785960006119055</v>
      </c>
      <c r="BI145" s="204">
        <f t="shared" si="333"/>
        <v>-65.421085797113165</v>
      </c>
      <c r="BJ145" s="204">
        <f t="shared" si="333"/>
        <v>-66.062839151059279</v>
      </c>
      <c r="BK145" s="204">
        <f t="shared" si="333"/>
        <v>-66.711099685125177</v>
      </c>
      <c r="BL145" s="204">
        <f t="shared" si="333"/>
        <v>-67.365749203108379</v>
      </c>
      <c r="BM145" s="204">
        <f t="shared" si="333"/>
        <v>-68.026671655718303</v>
      </c>
      <c r="BN145" s="204">
        <f t="shared" si="333"/>
        <v>-68.693753101579787</v>
      </c>
      <c r="BO145" s="204">
        <f t="shared" si="333"/>
        <v>-69.366881668945013</v>
      </c>
      <c r="BP145" s="204">
        <f t="shared" si="333"/>
        <v>-70.04594751810086</v>
      </c>
      <c r="BQ145" s="204">
        <f t="shared" si="333"/>
        <v>-70.730842804459073</v>
      </c>
      <c r="BR145" s="204">
        <f t="shared" si="333"/>
        <v>-71.421461642316928</v>
      </c>
      <c r="BS145" s="204">
        <f t="shared" si="333"/>
        <v>-72.117700069276026</v>
      </c>
      <c r="BT145" s="204">
        <f t="shared" ref="BT145:EE145" si="334">PV($F99,BT$9,1,0)+(PV($J$6,$N$5-(BT$9),1,0)/($J$6+1)^BT$9)</f>
        <v>-72.819456011307551</v>
      </c>
      <c r="BU145" s="204">
        <f t="shared" si="334"/>
        <v>-73.526629248451897</v>
      </c>
      <c r="BV145" s="204">
        <f t="shared" si="334"/>
        <v>-74.239121381141487</v>
      </c>
      <c r="BW145" s="204">
        <f t="shared" si="334"/>
        <v>-74.956835797135199</v>
      </c>
      <c r="BX145" s="204">
        <f t="shared" si="334"/>
        <v>-75.679677639053423</v>
      </c>
      <c r="BY145" s="204">
        <f t="shared" si="334"/>
        <v>-76.407553772502823</v>
      </c>
      <c r="BZ145" s="204">
        <f t="shared" si="334"/>
        <v>-77.140372754780103</v>
      </c>
      <c r="CA145" s="204">
        <f t="shared" si="334"/>
        <v>-77.878044804144153</v>
      </c>
      <c r="CB145" s="204">
        <f t="shared" si="334"/>
        <v>-78.620481769646403</v>
      </c>
      <c r="CC145" s="204">
        <f t="shared" si="334"/>
        <v>-79.36759710150919</v>
      </c>
      <c r="CD145" s="204">
        <f t="shared" si="334"/>
        <v>-80.119305822042122</v>
      </c>
      <c r="CE145" s="204">
        <f t="shared" si="334"/>
        <v>-80.87552449708673</v>
      </c>
      <c r="CF145" s="204">
        <f t="shared" si="334"/>
        <v>-81.636171207979814</v>
      </c>
      <c r="CG145" s="204">
        <f t="shared" si="334"/>
        <v>-82.401165524026041</v>
      </c>
      <c r="CH145" s="204">
        <f t="shared" si="334"/>
        <v>-83.170428475470544</v>
      </c>
      <c r="CI145" s="204">
        <f t="shared" si="334"/>
        <v>-83.943882526962454</v>
      </c>
      <c r="CJ145" s="204">
        <f t="shared" si="334"/>
        <v>-84.721451551500408</v>
      </c>
      <c r="CK145" s="204">
        <f t="shared" si="334"/>
        <v>-85.503060804851359</v>
      </c>
      <c r="CL145" s="204">
        <f t="shared" si="334"/>
        <v>-86.288636900434042</v>
      </c>
      <c r="CM145" s="204">
        <f t="shared" si="334"/>
        <v>-87.07810778465857</v>
      </c>
      <c r="CN145" s="204">
        <f t="shared" si="334"/>
        <v>-87.871402712714072</v>
      </c>
      <c r="CO145" s="204">
        <f t="shared" si="334"/>
        <v>-88.668452224796056</v>
      </c>
      <c r="CP145" s="204">
        <f t="shared" si="334"/>
        <v>-89.469188122765601</v>
      </c>
      <c r="CQ145" s="204">
        <f t="shared" si="334"/>
        <v>-90.273543447232512</v>
      </c>
      <c r="CR145" s="204">
        <f t="shared" si="334"/>
        <v>-91.081452455054702</v>
      </c>
      <c r="CS145" s="204">
        <f t="shared" si="334"/>
        <v>-91.892850597246365</v>
      </c>
      <c r="CT145" s="204">
        <f t="shared" si="334"/>
        <v>-92.707674497287258</v>
      </c>
      <c r="CU145" s="204">
        <f t="shared" si="334"/>
        <v>-93.525861929826178</v>
      </c>
      <c r="CV145" s="204">
        <f t="shared" si="334"/>
        <v>-94.347351799771133</v>
      </c>
      <c r="CW145" s="204">
        <f t="shared" si="334"/>
        <v>-95.172084121759283</v>
      </c>
      <c r="CX145" s="204">
        <f t="shared" si="334"/>
        <v>-96</v>
      </c>
      <c r="CY145" s="204">
        <f t="shared" si="334"/>
        <v>-96</v>
      </c>
      <c r="CZ145" s="204">
        <f t="shared" si="334"/>
        <v>-96</v>
      </c>
      <c r="DA145" s="204">
        <f t="shared" si="334"/>
        <v>-96</v>
      </c>
      <c r="DB145" s="204">
        <f t="shared" si="334"/>
        <v>-96</v>
      </c>
      <c r="DC145" s="204">
        <f t="shared" si="334"/>
        <v>-96</v>
      </c>
      <c r="DD145" s="204">
        <f t="shared" si="334"/>
        <v>-96</v>
      </c>
      <c r="DE145" s="204">
        <f t="shared" si="334"/>
        <v>-96</v>
      </c>
      <c r="DF145" s="204">
        <f t="shared" si="334"/>
        <v>-96</v>
      </c>
      <c r="DG145" s="204">
        <f t="shared" si="334"/>
        <v>-96</v>
      </c>
      <c r="DH145" s="204">
        <f t="shared" si="334"/>
        <v>-96</v>
      </c>
      <c r="DI145" s="204">
        <f t="shared" si="334"/>
        <v>-96</v>
      </c>
      <c r="DJ145" s="204">
        <f t="shared" si="334"/>
        <v>-96</v>
      </c>
      <c r="DK145" s="204">
        <f t="shared" si="334"/>
        <v>-96</v>
      </c>
      <c r="DL145" s="204">
        <f t="shared" si="334"/>
        <v>-96</v>
      </c>
      <c r="DM145" s="204">
        <f t="shared" si="334"/>
        <v>-96</v>
      </c>
      <c r="DN145" s="204">
        <f t="shared" si="334"/>
        <v>-96</v>
      </c>
      <c r="DO145" s="204">
        <f t="shared" si="334"/>
        <v>-96</v>
      </c>
      <c r="DP145" s="204">
        <f t="shared" si="334"/>
        <v>-96</v>
      </c>
      <c r="DQ145" s="204">
        <f t="shared" si="334"/>
        <v>-96</v>
      </c>
      <c r="DR145" s="204">
        <f t="shared" si="334"/>
        <v>-96</v>
      </c>
      <c r="DS145" s="204">
        <f t="shared" si="334"/>
        <v>-96</v>
      </c>
      <c r="DT145" s="204">
        <f t="shared" si="334"/>
        <v>-96</v>
      </c>
      <c r="DU145" s="204">
        <f t="shared" si="334"/>
        <v>-96</v>
      </c>
      <c r="DV145" s="204">
        <f t="shared" si="334"/>
        <v>-96</v>
      </c>
      <c r="DW145" s="204">
        <f t="shared" si="334"/>
        <v>-96</v>
      </c>
      <c r="DX145" s="204">
        <f t="shared" si="334"/>
        <v>-96</v>
      </c>
      <c r="DY145" s="204">
        <f t="shared" si="334"/>
        <v>-96</v>
      </c>
      <c r="DZ145" s="204">
        <f t="shared" si="334"/>
        <v>-96</v>
      </c>
      <c r="EA145" s="204">
        <f t="shared" si="334"/>
        <v>-96</v>
      </c>
      <c r="EB145" s="204">
        <f t="shared" si="334"/>
        <v>-96</v>
      </c>
      <c r="EC145" s="204">
        <f t="shared" si="334"/>
        <v>-96</v>
      </c>
      <c r="ED145" s="204">
        <f t="shared" si="334"/>
        <v>-96</v>
      </c>
      <c r="EE145" s="204">
        <f t="shared" si="334"/>
        <v>-96</v>
      </c>
      <c r="EF145" s="204">
        <f t="shared" ref="EF145:ET145" si="335">PV($F99,EF$9,1,0)+(PV($J$6,$N$5-(EF$9),1,0)/($J$6+1)^EF$9)</f>
        <v>-96</v>
      </c>
      <c r="EG145" s="204">
        <f t="shared" si="335"/>
        <v>-96</v>
      </c>
      <c r="EH145" s="204">
        <f t="shared" si="335"/>
        <v>-96</v>
      </c>
      <c r="EI145" s="204">
        <f t="shared" si="335"/>
        <v>-96</v>
      </c>
      <c r="EJ145" s="204">
        <f t="shared" si="335"/>
        <v>-96</v>
      </c>
      <c r="EK145" s="204">
        <f t="shared" si="335"/>
        <v>-96</v>
      </c>
      <c r="EL145" s="204">
        <f t="shared" si="335"/>
        <v>-96</v>
      </c>
      <c r="EM145" s="204">
        <f t="shared" si="335"/>
        <v>-96</v>
      </c>
      <c r="EN145" s="204">
        <f t="shared" si="335"/>
        <v>-96</v>
      </c>
      <c r="EO145" s="204">
        <f t="shared" si="335"/>
        <v>-96</v>
      </c>
      <c r="EP145" s="204">
        <f t="shared" si="335"/>
        <v>-96</v>
      </c>
      <c r="EQ145" s="204">
        <f t="shared" si="335"/>
        <v>-96</v>
      </c>
      <c r="ER145" s="204">
        <f t="shared" si="335"/>
        <v>-96</v>
      </c>
      <c r="ES145" s="204">
        <f t="shared" si="335"/>
        <v>-96</v>
      </c>
      <c r="ET145" s="204">
        <f t="shared" si="335"/>
        <v>-96</v>
      </c>
      <c r="FF145" s="6" t="s">
        <v>1264</v>
      </c>
      <c r="FG145" s="696">
        <v>2.5000000000000001E-2</v>
      </c>
      <c r="FH145" s="696">
        <v>120</v>
      </c>
      <c r="FI145" s="696">
        <v>0.02</v>
      </c>
      <c r="FJ145" s="255">
        <v>1.3899999999999999E-2</v>
      </c>
      <c r="FK145" s="71">
        <f t="shared" si="320"/>
        <v>2.6428571428571435E-4</v>
      </c>
      <c r="FL145" t="e">
        <f>VLOOKUP(FF145,'SIMULADOR COM SALDO'!$BX$22:$CK$1000,13,FALSE)</f>
        <v>#N/A</v>
      </c>
    </row>
    <row r="146" spans="7:168" x14ac:dyDescent="0.25">
      <c r="G146" s="205">
        <f t="shared" si="262"/>
        <v>-44.770373601250576</v>
      </c>
      <c r="H146" s="204">
        <f t="shared" ref="H146:BS146" si="336">PV($F100,H$9,1,0)+(PV($J$6,$N$5-(H$9),1,0)/($J$6+1)^H$9)</f>
        <v>-44.806371604802436</v>
      </c>
      <c r="I146" s="204">
        <f t="shared" si="336"/>
        <v>-44.859879708437063</v>
      </c>
      <c r="J146" s="204">
        <f t="shared" si="336"/>
        <v>-44.930579859281075</v>
      </c>
      <c r="K146" s="204">
        <f t="shared" si="336"/>
        <v>-45.018159781562872</v>
      </c>
      <c r="L146" s="204">
        <f t="shared" si="336"/>
        <v>-45.122312871677551</v>
      </c>
      <c r="M146" s="204">
        <f t="shared" si="336"/>
        <v>-45.24273809515784</v>
      </c>
      <c r="N146" s="204">
        <f t="shared" si="336"/>
        <v>-45.379139885516487</v>
      </c>
      <c r="O146" s="204">
        <f t="shared" si="336"/>
        <v>-45.53122804492606</v>
      </c>
      <c r="P146" s="204">
        <f t="shared" si="336"/>
        <v>-45.698717646702761</v>
      </c>
      <c r="Q146" s="204">
        <f t="shared" si="336"/>
        <v>-45.881328939561598</v>
      </c>
      <c r="R146" s="204">
        <f t="shared" si="336"/>
        <v>-46.078787253610507</v>
      </c>
      <c r="S146" s="204">
        <f t="shared" si="336"/>
        <v>-46.290822908052249</v>
      </c>
      <c r="T146" s="204">
        <f t="shared" si="336"/>
        <v>-46.517171120562551</v>
      </c>
      <c r="U146" s="204">
        <f t="shared" si="336"/>
        <v>-46.75757191831444</v>
      </c>
      <c r="V146" s="204">
        <f t="shared" si="336"/>
        <v>-47.011770050618708</v>
      </c>
      <c r="W146" s="204">
        <f t="shared" si="336"/>
        <v>-47.279514903151124</v>
      </c>
      <c r="X146" s="204">
        <f t="shared" si="336"/>
        <v>-47.560560413737676</v>
      </c>
      <c r="Y146" s="204">
        <f t="shared" si="336"/>
        <v>-47.854664989669509</v>
      </c>
      <c r="Z146" s="204">
        <f t="shared" si="336"/>
        <v>-48.161591426519607</v>
      </c>
      <c r="AA146" s="204">
        <f t="shared" si="336"/>
        <v>-48.481106828434278</v>
      </c>
      <c r="AB146" s="204">
        <f t="shared" si="336"/>
        <v>-48.81298252987235</v>
      </c>
      <c r="AC146" s="204">
        <f t="shared" si="336"/>
        <v>-49.156994018765893</v>
      </c>
      <c r="AD146" s="204">
        <f t="shared" si="336"/>
        <v>-49.51292086107668</v>
      </c>
      <c r="AE146" s="204">
        <f t="shared" si="336"/>
        <v>-49.880546626723003</v>
      </c>
      <c r="AF146" s="204">
        <f t="shared" si="336"/>
        <v>-50.259658816851953</v>
      </c>
      <c r="AG146" s="204">
        <f t="shared" si="336"/>
        <v>-50.650048792432663</v>
      </c>
      <c r="AH146" s="204">
        <f t="shared" si="336"/>
        <v>-51.051511704146662</v>
      </c>
      <c r="AI146" s="204">
        <f t="shared" si="336"/>
        <v>-51.463846423551665</v>
      </c>
      <c r="AJ146" s="204">
        <f t="shared" si="336"/>
        <v>-51.886855475495707</v>
      </c>
      <c r="AK146" s="204">
        <f t="shared" si="336"/>
        <v>-52.320344971758878</v>
      </c>
      <c r="AL146" s="204">
        <f t="shared" si="336"/>
        <v>-52.76412454590043</v>
      </c>
      <c r="AM146" s="204">
        <f t="shared" si="336"/>
        <v>-53.218007289289282</v>
      </c>
      <c r="AN146" s="204">
        <f t="shared" si="336"/>
        <v>-53.681809688296511</v>
      </c>
      <c r="AO146" s="204">
        <f t="shared" si="336"/>
        <v>-54.155351562628589</v>
      </c>
      <c r="AP146" s="204">
        <f t="shared" si="336"/>
        <v>-54.638456004780849</v>
      </c>
      <c r="AQ146" s="204">
        <f t="shared" si="336"/>
        <v>-55.130949320590631</v>
      </c>
      <c r="AR146" s="204">
        <f t="shared" si="336"/>
        <v>-55.632660970870248</v>
      </c>
      <c r="AS146" s="204">
        <f t="shared" si="336"/>
        <v>-56.143423514100107</v>
      </c>
      <c r="AT146" s="204">
        <f t="shared" si="336"/>
        <v>-56.663072550162802</v>
      </c>
      <c r="AU146" s="204">
        <f t="shared" si="336"/>
        <v>-57.191446665099171</v>
      </c>
      <c r="AV146" s="204">
        <f t="shared" si="336"/>
        <v>-57.728387376867829</v>
      </c>
      <c r="AW146" s="204">
        <f t="shared" si="336"/>
        <v>-58.273739082089882</v>
      </c>
      <c r="AX146" s="204">
        <f t="shared" si="336"/>
        <v>-58.827349003761015</v>
      </c>
      <c r="AY146" s="204">
        <f t="shared" si="336"/>
        <v>-59.389067139913323</v>
      </c>
      <c r="AZ146" s="204">
        <f t="shared" si="336"/>
        <v>-59.95874621320965</v>
      </c>
      <c r="BA146" s="204">
        <f t="shared" si="336"/>
        <v>-60.53624162145347</v>
      </c>
      <c r="BB146" s="204">
        <f t="shared" si="336"/>
        <v>-61.121411388997728</v>
      </c>
      <c r="BC146" s="204">
        <f t="shared" si="336"/>
        <v>-61.714116119036262</v>
      </c>
      <c r="BD146" s="204">
        <f t="shared" si="336"/>
        <v>-62.314218946761883</v>
      </c>
      <c r="BE146" s="204">
        <f t="shared" si="336"/>
        <v>-62.921585493375147</v>
      </c>
      <c r="BF146" s="204">
        <f t="shared" si="336"/>
        <v>-63.536083820928674</v>
      </c>
      <c r="BG146" s="204">
        <f t="shared" si="336"/>
        <v>-64.157584387991548</v>
      </c>
      <c r="BH146" s="204">
        <f t="shared" si="336"/>
        <v>-64.785960006119055</v>
      </c>
      <c r="BI146" s="204">
        <f t="shared" si="336"/>
        <v>-65.421085797113165</v>
      </c>
      <c r="BJ146" s="204">
        <f t="shared" si="336"/>
        <v>-66.062839151059279</v>
      </c>
      <c r="BK146" s="204">
        <f t="shared" si="336"/>
        <v>-66.711099685125177</v>
      </c>
      <c r="BL146" s="204">
        <f t="shared" si="336"/>
        <v>-67.365749203108379</v>
      </c>
      <c r="BM146" s="204">
        <f t="shared" si="336"/>
        <v>-68.026671655718303</v>
      </c>
      <c r="BN146" s="204">
        <f t="shared" si="336"/>
        <v>-68.693753101579787</v>
      </c>
      <c r="BO146" s="204">
        <f t="shared" si="336"/>
        <v>-69.366881668945013</v>
      </c>
      <c r="BP146" s="204">
        <f t="shared" si="336"/>
        <v>-70.04594751810086</v>
      </c>
      <c r="BQ146" s="204">
        <f t="shared" si="336"/>
        <v>-70.730842804459073</v>
      </c>
      <c r="BR146" s="204">
        <f t="shared" si="336"/>
        <v>-71.421461642316928</v>
      </c>
      <c r="BS146" s="204">
        <f t="shared" si="336"/>
        <v>-72.117700069276026</v>
      </c>
      <c r="BT146" s="204">
        <f t="shared" ref="BT146:EE146" si="337">PV($F100,BT$9,1,0)+(PV($J$6,$N$5-(BT$9),1,0)/($J$6+1)^BT$9)</f>
        <v>-72.819456011307551</v>
      </c>
      <c r="BU146" s="204">
        <f t="shared" si="337"/>
        <v>-73.526629248451897</v>
      </c>
      <c r="BV146" s="204">
        <f t="shared" si="337"/>
        <v>-74.239121381141487</v>
      </c>
      <c r="BW146" s="204">
        <f t="shared" si="337"/>
        <v>-74.956835797135199</v>
      </c>
      <c r="BX146" s="204">
        <f t="shared" si="337"/>
        <v>-75.679677639053423</v>
      </c>
      <c r="BY146" s="204">
        <f t="shared" si="337"/>
        <v>-76.407553772502823</v>
      </c>
      <c r="BZ146" s="204">
        <f t="shared" si="337"/>
        <v>-77.140372754780103</v>
      </c>
      <c r="CA146" s="204">
        <f t="shared" si="337"/>
        <v>-77.878044804144153</v>
      </c>
      <c r="CB146" s="204">
        <f t="shared" si="337"/>
        <v>-78.620481769646403</v>
      </c>
      <c r="CC146" s="204">
        <f t="shared" si="337"/>
        <v>-79.36759710150919</v>
      </c>
      <c r="CD146" s="204">
        <f t="shared" si="337"/>
        <v>-80.119305822042122</v>
      </c>
      <c r="CE146" s="204">
        <f t="shared" si="337"/>
        <v>-80.87552449708673</v>
      </c>
      <c r="CF146" s="204">
        <f t="shared" si="337"/>
        <v>-81.636171207979814</v>
      </c>
      <c r="CG146" s="204">
        <f t="shared" si="337"/>
        <v>-82.401165524026041</v>
      </c>
      <c r="CH146" s="204">
        <f t="shared" si="337"/>
        <v>-83.170428475470544</v>
      </c>
      <c r="CI146" s="204">
        <f t="shared" si="337"/>
        <v>-83.943882526962454</v>
      </c>
      <c r="CJ146" s="204">
        <f t="shared" si="337"/>
        <v>-84.721451551500408</v>
      </c>
      <c r="CK146" s="204">
        <f t="shared" si="337"/>
        <v>-85.503060804851359</v>
      </c>
      <c r="CL146" s="204">
        <f t="shared" si="337"/>
        <v>-86.288636900434042</v>
      </c>
      <c r="CM146" s="204">
        <f t="shared" si="337"/>
        <v>-87.07810778465857</v>
      </c>
      <c r="CN146" s="204">
        <f t="shared" si="337"/>
        <v>-87.871402712714072</v>
      </c>
      <c r="CO146" s="204">
        <f t="shared" si="337"/>
        <v>-88.668452224796056</v>
      </c>
      <c r="CP146" s="204">
        <f t="shared" si="337"/>
        <v>-89.469188122765601</v>
      </c>
      <c r="CQ146" s="204">
        <f t="shared" si="337"/>
        <v>-90.273543447232512</v>
      </c>
      <c r="CR146" s="204">
        <f t="shared" si="337"/>
        <v>-91.081452455054702</v>
      </c>
      <c r="CS146" s="204">
        <f t="shared" si="337"/>
        <v>-91.892850597246365</v>
      </c>
      <c r="CT146" s="204">
        <f t="shared" si="337"/>
        <v>-92.707674497287258</v>
      </c>
      <c r="CU146" s="204">
        <f t="shared" si="337"/>
        <v>-93.525861929826178</v>
      </c>
      <c r="CV146" s="204">
        <f t="shared" si="337"/>
        <v>-94.347351799771133</v>
      </c>
      <c r="CW146" s="204">
        <f t="shared" si="337"/>
        <v>-95.172084121759283</v>
      </c>
      <c r="CX146" s="204">
        <f t="shared" si="337"/>
        <v>-96</v>
      </c>
      <c r="CY146" s="204">
        <f t="shared" si="337"/>
        <v>-96</v>
      </c>
      <c r="CZ146" s="204">
        <f t="shared" si="337"/>
        <v>-96</v>
      </c>
      <c r="DA146" s="204">
        <f t="shared" si="337"/>
        <v>-96</v>
      </c>
      <c r="DB146" s="204">
        <f t="shared" si="337"/>
        <v>-96</v>
      </c>
      <c r="DC146" s="204">
        <f t="shared" si="337"/>
        <v>-96</v>
      </c>
      <c r="DD146" s="204">
        <f t="shared" si="337"/>
        <v>-96</v>
      </c>
      <c r="DE146" s="204">
        <f t="shared" si="337"/>
        <v>-96</v>
      </c>
      <c r="DF146" s="204">
        <f t="shared" si="337"/>
        <v>-96</v>
      </c>
      <c r="DG146" s="204">
        <f t="shared" si="337"/>
        <v>-96</v>
      </c>
      <c r="DH146" s="204">
        <f t="shared" si="337"/>
        <v>-96</v>
      </c>
      <c r="DI146" s="204">
        <f t="shared" si="337"/>
        <v>-96</v>
      </c>
      <c r="DJ146" s="204">
        <f t="shared" si="337"/>
        <v>-96</v>
      </c>
      <c r="DK146" s="204">
        <f t="shared" si="337"/>
        <v>-96</v>
      </c>
      <c r="DL146" s="204">
        <f t="shared" si="337"/>
        <v>-96</v>
      </c>
      <c r="DM146" s="204">
        <f t="shared" si="337"/>
        <v>-96</v>
      </c>
      <c r="DN146" s="204">
        <f t="shared" si="337"/>
        <v>-96</v>
      </c>
      <c r="DO146" s="204">
        <f t="shared" si="337"/>
        <v>-96</v>
      </c>
      <c r="DP146" s="204">
        <f t="shared" si="337"/>
        <v>-96</v>
      </c>
      <c r="DQ146" s="204">
        <f t="shared" si="337"/>
        <v>-96</v>
      </c>
      <c r="DR146" s="204">
        <f t="shared" si="337"/>
        <v>-96</v>
      </c>
      <c r="DS146" s="204">
        <f t="shared" si="337"/>
        <v>-96</v>
      </c>
      <c r="DT146" s="204">
        <f t="shared" si="337"/>
        <v>-96</v>
      </c>
      <c r="DU146" s="204">
        <f t="shared" si="337"/>
        <v>-96</v>
      </c>
      <c r="DV146" s="204">
        <f t="shared" si="337"/>
        <v>-96</v>
      </c>
      <c r="DW146" s="204">
        <f t="shared" si="337"/>
        <v>-96</v>
      </c>
      <c r="DX146" s="204">
        <f t="shared" si="337"/>
        <v>-96</v>
      </c>
      <c r="DY146" s="204">
        <f t="shared" si="337"/>
        <v>-96</v>
      </c>
      <c r="DZ146" s="204">
        <f t="shared" si="337"/>
        <v>-96</v>
      </c>
      <c r="EA146" s="204">
        <f t="shared" si="337"/>
        <v>-96</v>
      </c>
      <c r="EB146" s="204">
        <f t="shared" si="337"/>
        <v>-96</v>
      </c>
      <c r="EC146" s="204">
        <f t="shared" si="337"/>
        <v>-96</v>
      </c>
      <c r="ED146" s="204">
        <f t="shared" si="337"/>
        <v>-96</v>
      </c>
      <c r="EE146" s="204">
        <f t="shared" si="337"/>
        <v>-96</v>
      </c>
      <c r="EF146" s="204">
        <f t="shared" ref="EF146:ET146" si="338">PV($F100,EF$9,1,0)+(PV($J$6,$N$5-(EF$9),1,0)/($J$6+1)^EF$9)</f>
        <v>-96</v>
      </c>
      <c r="EG146" s="204">
        <f t="shared" si="338"/>
        <v>-96</v>
      </c>
      <c r="EH146" s="204">
        <f t="shared" si="338"/>
        <v>-96</v>
      </c>
      <c r="EI146" s="204">
        <f t="shared" si="338"/>
        <v>-96</v>
      </c>
      <c r="EJ146" s="204">
        <f t="shared" si="338"/>
        <v>-96</v>
      </c>
      <c r="EK146" s="204">
        <f t="shared" si="338"/>
        <v>-96</v>
      </c>
      <c r="EL146" s="204">
        <f t="shared" si="338"/>
        <v>-96</v>
      </c>
      <c r="EM146" s="204">
        <f t="shared" si="338"/>
        <v>-96</v>
      </c>
      <c r="EN146" s="204">
        <f t="shared" si="338"/>
        <v>-96</v>
      </c>
      <c r="EO146" s="204">
        <f t="shared" si="338"/>
        <v>-96</v>
      </c>
      <c r="EP146" s="204">
        <f t="shared" si="338"/>
        <v>-96</v>
      </c>
      <c r="EQ146" s="204">
        <f t="shared" si="338"/>
        <v>-96</v>
      </c>
      <c r="ER146" s="204">
        <f t="shared" si="338"/>
        <v>-96</v>
      </c>
      <c r="ES146" s="204">
        <f t="shared" si="338"/>
        <v>-96</v>
      </c>
      <c r="ET146" s="204">
        <f t="shared" si="338"/>
        <v>-96</v>
      </c>
      <c r="FF146" s="67" t="s">
        <v>80</v>
      </c>
      <c r="FG146" s="696">
        <v>2.5000000000000001E-2</v>
      </c>
      <c r="FH146" s="696">
        <v>120</v>
      </c>
      <c r="FI146" s="696">
        <v>1.55E-2</v>
      </c>
      <c r="FJ146" s="255">
        <v>1.4499999999999999E-2</v>
      </c>
      <c r="FK146" s="71">
        <f t="shared" si="320"/>
        <v>2.5000000000000006E-4</v>
      </c>
      <c r="FL146" t="e">
        <f>VLOOKUP(FF146,'SIMULADOR COM SALDO'!$BX$22:$CK$1000,13,FALSE)</f>
        <v>#N/A</v>
      </c>
    </row>
    <row r="147" spans="7:168" x14ac:dyDescent="0.25">
      <c r="G147" s="205">
        <f t="shared" si="262"/>
        <v>-44.770373601250576</v>
      </c>
      <c r="H147" s="204">
        <f t="shared" ref="H147:BS147" si="339">PV($F101,H$9,1,0)+(PV($J$6,$N$5-(H$9),1,0)/($J$6+1)^H$9)</f>
        <v>-44.806371604802436</v>
      </c>
      <c r="I147" s="204">
        <f t="shared" si="339"/>
        <v>-44.859879708437063</v>
      </c>
      <c r="J147" s="204">
        <f t="shared" si="339"/>
        <v>-44.930579859281075</v>
      </c>
      <c r="K147" s="204">
        <f t="shared" si="339"/>
        <v>-45.018159781562872</v>
      </c>
      <c r="L147" s="204">
        <f t="shared" si="339"/>
        <v>-45.122312871677551</v>
      </c>
      <c r="M147" s="204">
        <f t="shared" si="339"/>
        <v>-45.24273809515784</v>
      </c>
      <c r="N147" s="204">
        <f t="shared" si="339"/>
        <v>-45.379139885516487</v>
      </c>
      <c r="O147" s="204">
        <f t="shared" si="339"/>
        <v>-45.53122804492606</v>
      </c>
      <c r="P147" s="204">
        <f t="shared" si="339"/>
        <v>-45.698717646702761</v>
      </c>
      <c r="Q147" s="204">
        <f t="shared" si="339"/>
        <v>-45.881328939561598</v>
      </c>
      <c r="R147" s="204">
        <f t="shared" si="339"/>
        <v>-46.078787253610507</v>
      </c>
      <c r="S147" s="204">
        <f t="shared" si="339"/>
        <v>-46.290822908052249</v>
      </c>
      <c r="T147" s="204">
        <f t="shared" si="339"/>
        <v>-46.517171120562551</v>
      </c>
      <c r="U147" s="204">
        <f t="shared" si="339"/>
        <v>-46.75757191831444</v>
      </c>
      <c r="V147" s="204">
        <f t="shared" si="339"/>
        <v>-47.011770050618708</v>
      </c>
      <c r="W147" s="204">
        <f t="shared" si="339"/>
        <v>-47.279514903151124</v>
      </c>
      <c r="X147" s="204">
        <f t="shared" si="339"/>
        <v>-47.560560413737676</v>
      </c>
      <c r="Y147" s="204">
        <f t="shared" si="339"/>
        <v>-47.854664989669509</v>
      </c>
      <c r="Z147" s="204">
        <f t="shared" si="339"/>
        <v>-48.161591426519607</v>
      </c>
      <c r="AA147" s="204">
        <f t="shared" si="339"/>
        <v>-48.481106828434278</v>
      </c>
      <c r="AB147" s="204">
        <f t="shared" si="339"/>
        <v>-48.81298252987235</v>
      </c>
      <c r="AC147" s="204">
        <f t="shared" si="339"/>
        <v>-49.156994018765893</v>
      </c>
      <c r="AD147" s="204">
        <f t="shared" si="339"/>
        <v>-49.51292086107668</v>
      </c>
      <c r="AE147" s="204">
        <f t="shared" si="339"/>
        <v>-49.880546626723003</v>
      </c>
      <c r="AF147" s="204">
        <f t="shared" si="339"/>
        <v>-50.259658816851953</v>
      </c>
      <c r="AG147" s="204">
        <f t="shared" si="339"/>
        <v>-50.650048792432663</v>
      </c>
      <c r="AH147" s="204">
        <f t="shared" si="339"/>
        <v>-51.051511704146662</v>
      </c>
      <c r="AI147" s="204">
        <f t="shared" si="339"/>
        <v>-51.463846423551665</v>
      </c>
      <c r="AJ147" s="204">
        <f t="shared" si="339"/>
        <v>-51.886855475495707</v>
      </c>
      <c r="AK147" s="204">
        <f t="shared" si="339"/>
        <v>-52.320344971758878</v>
      </c>
      <c r="AL147" s="204">
        <f t="shared" si="339"/>
        <v>-52.76412454590043</v>
      </c>
      <c r="AM147" s="204">
        <f t="shared" si="339"/>
        <v>-53.218007289289282</v>
      </c>
      <c r="AN147" s="204">
        <f t="shared" si="339"/>
        <v>-53.681809688296511</v>
      </c>
      <c r="AO147" s="204">
        <f t="shared" si="339"/>
        <v>-54.155351562628589</v>
      </c>
      <c r="AP147" s="204">
        <f t="shared" si="339"/>
        <v>-54.638456004780849</v>
      </c>
      <c r="AQ147" s="204">
        <f t="shared" si="339"/>
        <v>-55.130949320590631</v>
      </c>
      <c r="AR147" s="204">
        <f t="shared" si="339"/>
        <v>-55.632660970870248</v>
      </c>
      <c r="AS147" s="204">
        <f t="shared" si="339"/>
        <v>-56.143423514100107</v>
      </c>
      <c r="AT147" s="204">
        <f t="shared" si="339"/>
        <v>-56.663072550162802</v>
      </c>
      <c r="AU147" s="204">
        <f t="shared" si="339"/>
        <v>-57.191446665099171</v>
      </c>
      <c r="AV147" s="204">
        <f t="shared" si="339"/>
        <v>-57.728387376867829</v>
      </c>
      <c r="AW147" s="204">
        <f t="shared" si="339"/>
        <v>-58.273739082089882</v>
      </c>
      <c r="AX147" s="204">
        <f t="shared" si="339"/>
        <v>-58.827349003761015</v>
      </c>
      <c r="AY147" s="204">
        <f t="shared" si="339"/>
        <v>-59.389067139913323</v>
      </c>
      <c r="AZ147" s="204">
        <f t="shared" si="339"/>
        <v>-59.95874621320965</v>
      </c>
      <c r="BA147" s="204">
        <f t="shared" si="339"/>
        <v>-60.53624162145347</v>
      </c>
      <c r="BB147" s="204">
        <f t="shared" si="339"/>
        <v>-61.121411388997728</v>
      </c>
      <c r="BC147" s="204">
        <f t="shared" si="339"/>
        <v>-61.714116119036262</v>
      </c>
      <c r="BD147" s="204">
        <f t="shared" si="339"/>
        <v>-62.314218946761883</v>
      </c>
      <c r="BE147" s="204">
        <f t="shared" si="339"/>
        <v>-62.921585493375147</v>
      </c>
      <c r="BF147" s="204">
        <f t="shared" si="339"/>
        <v>-63.536083820928674</v>
      </c>
      <c r="BG147" s="204">
        <f t="shared" si="339"/>
        <v>-64.157584387991548</v>
      </c>
      <c r="BH147" s="204">
        <f t="shared" si="339"/>
        <v>-64.785960006119055</v>
      </c>
      <c r="BI147" s="204">
        <f t="shared" si="339"/>
        <v>-65.421085797113165</v>
      </c>
      <c r="BJ147" s="204">
        <f t="shared" si="339"/>
        <v>-66.062839151059279</v>
      </c>
      <c r="BK147" s="204">
        <f t="shared" si="339"/>
        <v>-66.711099685125177</v>
      </c>
      <c r="BL147" s="204">
        <f t="shared" si="339"/>
        <v>-67.365749203108379</v>
      </c>
      <c r="BM147" s="204">
        <f t="shared" si="339"/>
        <v>-68.026671655718303</v>
      </c>
      <c r="BN147" s="204">
        <f t="shared" si="339"/>
        <v>-68.693753101579787</v>
      </c>
      <c r="BO147" s="204">
        <f t="shared" si="339"/>
        <v>-69.366881668945013</v>
      </c>
      <c r="BP147" s="204">
        <f t="shared" si="339"/>
        <v>-70.04594751810086</v>
      </c>
      <c r="BQ147" s="204">
        <f t="shared" si="339"/>
        <v>-70.730842804459073</v>
      </c>
      <c r="BR147" s="204">
        <f t="shared" si="339"/>
        <v>-71.421461642316928</v>
      </c>
      <c r="BS147" s="204">
        <f t="shared" si="339"/>
        <v>-72.117700069276026</v>
      </c>
      <c r="BT147" s="204">
        <f t="shared" ref="BT147:EE147" si="340">PV($F101,BT$9,1,0)+(PV($J$6,$N$5-(BT$9),1,0)/($J$6+1)^BT$9)</f>
        <v>-72.819456011307551</v>
      </c>
      <c r="BU147" s="204">
        <f t="shared" si="340"/>
        <v>-73.526629248451897</v>
      </c>
      <c r="BV147" s="204">
        <f t="shared" si="340"/>
        <v>-74.239121381141487</v>
      </c>
      <c r="BW147" s="204">
        <f t="shared" si="340"/>
        <v>-74.956835797135199</v>
      </c>
      <c r="BX147" s="204">
        <f t="shared" si="340"/>
        <v>-75.679677639053423</v>
      </c>
      <c r="BY147" s="204">
        <f t="shared" si="340"/>
        <v>-76.407553772502823</v>
      </c>
      <c r="BZ147" s="204">
        <f t="shared" si="340"/>
        <v>-77.140372754780103</v>
      </c>
      <c r="CA147" s="204">
        <f t="shared" si="340"/>
        <v>-77.878044804144153</v>
      </c>
      <c r="CB147" s="204">
        <f t="shared" si="340"/>
        <v>-78.620481769646403</v>
      </c>
      <c r="CC147" s="204">
        <f t="shared" si="340"/>
        <v>-79.36759710150919</v>
      </c>
      <c r="CD147" s="204">
        <f t="shared" si="340"/>
        <v>-80.119305822042122</v>
      </c>
      <c r="CE147" s="204">
        <f t="shared" si="340"/>
        <v>-80.87552449708673</v>
      </c>
      <c r="CF147" s="204">
        <f t="shared" si="340"/>
        <v>-81.636171207979814</v>
      </c>
      <c r="CG147" s="204">
        <f t="shared" si="340"/>
        <v>-82.401165524026041</v>
      </c>
      <c r="CH147" s="204">
        <f t="shared" si="340"/>
        <v>-83.170428475470544</v>
      </c>
      <c r="CI147" s="204">
        <f t="shared" si="340"/>
        <v>-83.943882526962454</v>
      </c>
      <c r="CJ147" s="204">
        <f t="shared" si="340"/>
        <v>-84.721451551500408</v>
      </c>
      <c r="CK147" s="204">
        <f t="shared" si="340"/>
        <v>-85.503060804851359</v>
      </c>
      <c r="CL147" s="204">
        <f t="shared" si="340"/>
        <v>-86.288636900434042</v>
      </c>
      <c r="CM147" s="204">
        <f t="shared" si="340"/>
        <v>-87.07810778465857</v>
      </c>
      <c r="CN147" s="204">
        <f t="shared" si="340"/>
        <v>-87.871402712714072</v>
      </c>
      <c r="CO147" s="204">
        <f t="shared" si="340"/>
        <v>-88.668452224796056</v>
      </c>
      <c r="CP147" s="204">
        <f t="shared" si="340"/>
        <v>-89.469188122765601</v>
      </c>
      <c r="CQ147" s="204">
        <f t="shared" si="340"/>
        <v>-90.273543447232512</v>
      </c>
      <c r="CR147" s="204">
        <f t="shared" si="340"/>
        <v>-91.081452455054702</v>
      </c>
      <c r="CS147" s="204">
        <f t="shared" si="340"/>
        <v>-91.892850597246365</v>
      </c>
      <c r="CT147" s="204">
        <f t="shared" si="340"/>
        <v>-92.707674497287258</v>
      </c>
      <c r="CU147" s="204">
        <f t="shared" si="340"/>
        <v>-93.525861929826178</v>
      </c>
      <c r="CV147" s="204">
        <f t="shared" si="340"/>
        <v>-94.347351799771133</v>
      </c>
      <c r="CW147" s="204">
        <f t="shared" si="340"/>
        <v>-95.172084121759283</v>
      </c>
      <c r="CX147" s="204">
        <f t="shared" si="340"/>
        <v>-96</v>
      </c>
      <c r="CY147" s="204">
        <f t="shared" si="340"/>
        <v>-96</v>
      </c>
      <c r="CZ147" s="204">
        <f t="shared" si="340"/>
        <v>-96</v>
      </c>
      <c r="DA147" s="204">
        <f t="shared" si="340"/>
        <v>-96</v>
      </c>
      <c r="DB147" s="204">
        <f t="shared" si="340"/>
        <v>-96</v>
      </c>
      <c r="DC147" s="204">
        <f t="shared" si="340"/>
        <v>-96</v>
      </c>
      <c r="DD147" s="204">
        <f t="shared" si="340"/>
        <v>-96</v>
      </c>
      <c r="DE147" s="204">
        <f t="shared" si="340"/>
        <v>-96</v>
      </c>
      <c r="DF147" s="204">
        <f t="shared" si="340"/>
        <v>-96</v>
      </c>
      <c r="DG147" s="204">
        <f t="shared" si="340"/>
        <v>-96</v>
      </c>
      <c r="DH147" s="204">
        <f t="shared" si="340"/>
        <v>-96</v>
      </c>
      <c r="DI147" s="204">
        <f t="shared" si="340"/>
        <v>-96</v>
      </c>
      <c r="DJ147" s="204">
        <f t="shared" si="340"/>
        <v>-96</v>
      </c>
      <c r="DK147" s="204">
        <f t="shared" si="340"/>
        <v>-96</v>
      </c>
      <c r="DL147" s="204">
        <f t="shared" si="340"/>
        <v>-96</v>
      </c>
      <c r="DM147" s="204">
        <f t="shared" si="340"/>
        <v>-96</v>
      </c>
      <c r="DN147" s="204">
        <f t="shared" si="340"/>
        <v>-96</v>
      </c>
      <c r="DO147" s="204">
        <f t="shared" si="340"/>
        <v>-96</v>
      </c>
      <c r="DP147" s="204">
        <f t="shared" si="340"/>
        <v>-96</v>
      </c>
      <c r="DQ147" s="204">
        <f t="shared" si="340"/>
        <v>-96</v>
      </c>
      <c r="DR147" s="204">
        <f t="shared" si="340"/>
        <v>-96</v>
      </c>
      <c r="DS147" s="204">
        <f t="shared" si="340"/>
        <v>-96</v>
      </c>
      <c r="DT147" s="204">
        <f t="shared" si="340"/>
        <v>-96</v>
      </c>
      <c r="DU147" s="204">
        <f t="shared" si="340"/>
        <v>-96</v>
      </c>
      <c r="DV147" s="204">
        <f t="shared" si="340"/>
        <v>-96</v>
      </c>
      <c r="DW147" s="204">
        <f t="shared" si="340"/>
        <v>-96</v>
      </c>
      <c r="DX147" s="204">
        <f t="shared" si="340"/>
        <v>-96</v>
      </c>
      <c r="DY147" s="204">
        <f t="shared" si="340"/>
        <v>-96</v>
      </c>
      <c r="DZ147" s="204">
        <f t="shared" si="340"/>
        <v>-96</v>
      </c>
      <c r="EA147" s="204">
        <f t="shared" si="340"/>
        <v>-96</v>
      </c>
      <c r="EB147" s="204">
        <f t="shared" si="340"/>
        <v>-96</v>
      </c>
      <c r="EC147" s="204">
        <f t="shared" si="340"/>
        <v>-96</v>
      </c>
      <c r="ED147" s="204">
        <f t="shared" si="340"/>
        <v>-96</v>
      </c>
      <c r="EE147" s="204">
        <f t="shared" si="340"/>
        <v>-96</v>
      </c>
      <c r="EF147" s="204">
        <f t="shared" ref="EF147:ET147" si="341">PV($F101,EF$9,1,0)+(PV($J$6,$N$5-(EF$9),1,0)/($J$6+1)^EF$9)</f>
        <v>-96</v>
      </c>
      <c r="EG147" s="204">
        <f t="shared" si="341"/>
        <v>-96</v>
      </c>
      <c r="EH147" s="204">
        <f t="shared" si="341"/>
        <v>-96</v>
      </c>
      <c r="EI147" s="204">
        <f t="shared" si="341"/>
        <v>-96</v>
      </c>
      <c r="EJ147" s="204">
        <f t="shared" si="341"/>
        <v>-96</v>
      </c>
      <c r="EK147" s="204">
        <f t="shared" si="341"/>
        <v>-96</v>
      </c>
      <c r="EL147" s="204">
        <f t="shared" si="341"/>
        <v>-96</v>
      </c>
      <c r="EM147" s="204">
        <f t="shared" si="341"/>
        <v>-96</v>
      </c>
      <c r="EN147" s="204">
        <f t="shared" si="341"/>
        <v>-96</v>
      </c>
      <c r="EO147" s="204">
        <f t="shared" si="341"/>
        <v>-96</v>
      </c>
      <c r="EP147" s="204">
        <f t="shared" si="341"/>
        <v>-96</v>
      </c>
      <c r="EQ147" s="204">
        <f t="shared" si="341"/>
        <v>-96</v>
      </c>
      <c r="ER147" s="204">
        <f t="shared" si="341"/>
        <v>-96</v>
      </c>
      <c r="ES147" s="204">
        <f t="shared" si="341"/>
        <v>-96</v>
      </c>
      <c r="ET147" s="204">
        <f t="shared" si="341"/>
        <v>-96</v>
      </c>
      <c r="FF147" s="6" t="s">
        <v>1071</v>
      </c>
      <c r="FG147" s="696">
        <v>2.2499999999999999E-2</v>
      </c>
      <c r="FH147" s="696">
        <v>120</v>
      </c>
      <c r="FI147" s="696">
        <v>2.0199999999999999E-2</v>
      </c>
      <c r="FJ147" s="255">
        <v>1.4999999999999999E-2</v>
      </c>
      <c r="FK147" s="71">
        <f t="shared" si="320"/>
        <v>1.7857142857142857E-4</v>
      </c>
      <c r="FL147" t="e">
        <f>VLOOKUP(FF147,'SIMULADOR COM SALDO'!$BX$22:$CK$1000,13,FALSE)</f>
        <v>#N/A</v>
      </c>
    </row>
    <row r="148" spans="7:168" x14ac:dyDescent="0.25">
      <c r="G148" s="205">
        <f t="shared" si="262"/>
        <v>-44.770373601250576</v>
      </c>
      <c r="H148" s="204">
        <f t="shared" ref="H148:BS148" si="342">PV($F102,H$9,1,0)+(PV($J$6,$N$5-(H$9),1,0)/($J$6+1)^H$9)</f>
        <v>-44.806371604802436</v>
      </c>
      <c r="I148" s="204">
        <f t="shared" si="342"/>
        <v>-44.859879708437063</v>
      </c>
      <c r="J148" s="204">
        <f t="shared" si="342"/>
        <v>-44.930579859281075</v>
      </c>
      <c r="K148" s="204">
        <f t="shared" si="342"/>
        <v>-45.018159781562872</v>
      </c>
      <c r="L148" s="204">
        <f t="shared" si="342"/>
        <v>-45.122312871677551</v>
      </c>
      <c r="M148" s="204">
        <f t="shared" si="342"/>
        <v>-45.24273809515784</v>
      </c>
      <c r="N148" s="204">
        <f t="shared" si="342"/>
        <v>-45.379139885516487</v>
      </c>
      <c r="O148" s="204">
        <f t="shared" si="342"/>
        <v>-45.53122804492606</v>
      </c>
      <c r="P148" s="204">
        <f t="shared" si="342"/>
        <v>-45.698717646702761</v>
      </c>
      <c r="Q148" s="204">
        <f t="shared" si="342"/>
        <v>-45.881328939561598</v>
      </c>
      <c r="R148" s="204">
        <f t="shared" si="342"/>
        <v>-46.078787253610507</v>
      </c>
      <c r="S148" s="204">
        <f t="shared" si="342"/>
        <v>-46.290822908052249</v>
      </c>
      <c r="T148" s="204">
        <f t="shared" si="342"/>
        <v>-46.517171120562551</v>
      </c>
      <c r="U148" s="204">
        <f t="shared" si="342"/>
        <v>-46.75757191831444</v>
      </c>
      <c r="V148" s="204">
        <f t="shared" si="342"/>
        <v>-47.011770050618708</v>
      </c>
      <c r="W148" s="204">
        <f t="shared" si="342"/>
        <v>-47.279514903151124</v>
      </c>
      <c r="X148" s="204">
        <f t="shared" si="342"/>
        <v>-47.560560413737676</v>
      </c>
      <c r="Y148" s="204">
        <f t="shared" si="342"/>
        <v>-47.854664989669509</v>
      </c>
      <c r="Z148" s="204">
        <f t="shared" si="342"/>
        <v>-48.161591426519607</v>
      </c>
      <c r="AA148" s="204">
        <f t="shared" si="342"/>
        <v>-48.481106828434278</v>
      </c>
      <c r="AB148" s="204">
        <f t="shared" si="342"/>
        <v>-48.81298252987235</v>
      </c>
      <c r="AC148" s="204">
        <f t="shared" si="342"/>
        <v>-49.156994018765893</v>
      </c>
      <c r="AD148" s="204">
        <f t="shared" si="342"/>
        <v>-49.51292086107668</v>
      </c>
      <c r="AE148" s="204">
        <f t="shared" si="342"/>
        <v>-49.880546626723003</v>
      </c>
      <c r="AF148" s="204">
        <f t="shared" si="342"/>
        <v>-50.259658816851953</v>
      </c>
      <c r="AG148" s="204">
        <f t="shared" si="342"/>
        <v>-50.650048792432663</v>
      </c>
      <c r="AH148" s="204">
        <f t="shared" si="342"/>
        <v>-51.051511704146662</v>
      </c>
      <c r="AI148" s="204">
        <f t="shared" si="342"/>
        <v>-51.463846423551665</v>
      </c>
      <c r="AJ148" s="204">
        <f t="shared" si="342"/>
        <v>-51.886855475495707</v>
      </c>
      <c r="AK148" s="204">
        <f t="shared" si="342"/>
        <v>-52.320344971758878</v>
      </c>
      <c r="AL148" s="204">
        <f t="shared" si="342"/>
        <v>-52.76412454590043</v>
      </c>
      <c r="AM148" s="204">
        <f t="shared" si="342"/>
        <v>-53.218007289289282</v>
      </c>
      <c r="AN148" s="204">
        <f t="shared" si="342"/>
        <v>-53.681809688296511</v>
      </c>
      <c r="AO148" s="204">
        <f t="shared" si="342"/>
        <v>-54.155351562628589</v>
      </c>
      <c r="AP148" s="204">
        <f t="shared" si="342"/>
        <v>-54.638456004780849</v>
      </c>
      <c r="AQ148" s="204">
        <f t="shared" si="342"/>
        <v>-55.130949320590631</v>
      </c>
      <c r="AR148" s="204">
        <f t="shared" si="342"/>
        <v>-55.632660970870248</v>
      </c>
      <c r="AS148" s="204">
        <f t="shared" si="342"/>
        <v>-56.143423514100107</v>
      </c>
      <c r="AT148" s="204">
        <f t="shared" si="342"/>
        <v>-56.663072550162802</v>
      </c>
      <c r="AU148" s="204">
        <f t="shared" si="342"/>
        <v>-57.191446665099171</v>
      </c>
      <c r="AV148" s="204">
        <f t="shared" si="342"/>
        <v>-57.728387376867829</v>
      </c>
      <c r="AW148" s="204">
        <f t="shared" si="342"/>
        <v>-58.273739082089882</v>
      </c>
      <c r="AX148" s="204">
        <f t="shared" si="342"/>
        <v>-58.827349003761015</v>
      </c>
      <c r="AY148" s="204">
        <f t="shared" si="342"/>
        <v>-59.389067139913323</v>
      </c>
      <c r="AZ148" s="204">
        <f t="shared" si="342"/>
        <v>-59.95874621320965</v>
      </c>
      <c r="BA148" s="204">
        <f t="shared" si="342"/>
        <v>-60.53624162145347</v>
      </c>
      <c r="BB148" s="204">
        <f t="shared" si="342"/>
        <v>-61.121411388997728</v>
      </c>
      <c r="BC148" s="204">
        <f t="shared" si="342"/>
        <v>-61.714116119036262</v>
      </c>
      <c r="BD148" s="204">
        <f t="shared" si="342"/>
        <v>-62.314218946761883</v>
      </c>
      <c r="BE148" s="204">
        <f t="shared" si="342"/>
        <v>-62.921585493375147</v>
      </c>
      <c r="BF148" s="204">
        <f t="shared" si="342"/>
        <v>-63.536083820928674</v>
      </c>
      <c r="BG148" s="204">
        <f t="shared" si="342"/>
        <v>-64.157584387991548</v>
      </c>
      <c r="BH148" s="204">
        <f t="shared" si="342"/>
        <v>-64.785960006119055</v>
      </c>
      <c r="BI148" s="204">
        <f t="shared" si="342"/>
        <v>-65.421085797113165</v>
      </c>
      <c r="BJ148" s="204">
        <f t="shared" si="342"/>
        <v>-66.062839151059279</v>
      </c>
      <c r="BK148" s="204">
        <f t="shared" si="342"/>
        <v>-66.711099685125177</v>
      </c>
      <c r="BL148" s="204">
        <f t="shared" si="342"/>
        <v>-67.365749203108379</v>
      </c>
      <c r="BM148" s="204">
        <f t="shared" si="342"/>
        <v>-68.026671655718303</v>
      </c>
      <c r="BN148" s="204">
        <f t="shared" si="342"/>
        <v>-68.693753101579787</v>
      </c>
      <c r="BO148" s="204">
        <f t="shared" si="342"/>
        <v>-69.366881668945013</v>
      </c>
      <c r="BP148" s="204">
        <f t="shared" si="342"/>
        <v>-70.04594751810086</v>
      </c>
      <c r="BQ148" s="204">
        <f t="shared" si="342"/>
        <v>-70.730842804459073</v>
      </c>
      <c r="BR148" s="204">
        <f t="shared" si="342"/>
        <v>-71.421461642316928</v>
      </c>
      <c r="BS148" s="204">
        <f t="shared" si="342"/>
        <v>-72.117700069276026</v>
      </c>
      <c r="BT148" s="204">
        <f t="shared" ref="BT148:EE148" si="343">PV($F102,BT$9,1,0)+(PV($J$6,$N$5-(BT$9),1,0)/($J$6+1)^BT$9)</f>
        <v>-72.819456011307551</v>
      </c>
      <c r="BU148" s="204">
        <f t="shared" si="343"/>
        <v>-73.526629248451897</v>
      </c>
      <c r="BV148" s="204">
        <f t="shared" si="343"/>
        <v>-74.239121381141487</v>
      </c>
      <c r="BW148" s="204">
        <f t="shared" si="343"/>
        <v>-74.956835797135199</v>
      </c>
      <c r="BX148" s="204">
        <f t="shared" si="343"/>
        <v>-75.679677639053423</v>
      </c>
      <c r="BY148" s="204">
        <f t="shared" si="343"/>
        <v>-76.407553772502823</v>
      </c>
      <c r="BZ148" s="204">
        <f t="shared" si="343"/>
        <v>-77.140372754780103</v>
      </c>
      <c r="CA148" s="204">
        <f t="shared" si="343"/>
        <v>-77.878044804144153</v>
      </c>
      <c r="CB148" s="204">
        <f t="shared" si="343"/>
        <v>-78.620481769646403</v>
      </c>
      <c r="CC148" s="204">
        <f t="shared" si="343"/>
        <v>-79.36759710150919</v>
      </c>
      <c r="CD148" s="204">
        <f t="shared" si="343"/>
        <v>-80.119305822042122</v>
      </c>
      <c r="CE148" s="204">
        <f t="shared" si="343"/>
        <v>-80.87552449708673</v>
      </c>
      <c r="CF148" s="204">
        <f t="shared" si="343"/>
        <v>-81.636171207979814</v>
      </c>
      <c r="CG148" s="204">
        <f t="shared" si="343"/>
        <v>-82.401165524026041</v>
      </c>
      <c r="CH148" s="204">
        <f t="shared" si="343"/>
        <v>-83.170428475470544</v>
      </c>
      <c r="CI148" s="204">
        <f t="shared" si="343"/>
        <v>-83.943882526962454</v>
      </c>
      <c r="CJ148" s="204">
        <f t="shared" si="343"/>
        <v>-84.721451551500408</v>
      </c>
      <c r="CK148" s="204">
        <f t="shared" si="343"/>
        <v>-85.503060804851359</v>
      </c>
      <c r="CL148" s="204">
        <f t="shared" si="343"/>
        <v>-86.288636900434042</v>
      </c>
      <c r="CM148" s="204">
        <f t="shared" si="343"/>
        <v>-87.07810778465857</v>
      </c>
      <c r="CN148" s="204">
        <f t="shared" si="343"/>
        <v>-87.871402712714072</v>
      </c>
      <c r="CO148" s="204">
        <f t="shared" si="343"/>
        <v>-88.668452224796056</v>
      </c>
      <c r="CP148" s="204">
        <f t="shared" si="343"/>
        <v>-89.469188122765601</v>
      </c>
      <c r="CQ148" s="204">
        <f t="shared" si="343"/>
        <v>-90.273543447232512</v>
      </c>
      <c r="CR148" s="204">
        <f t="shared" si="343"/>
        <v>-91.081452455054702</v>
      </c>
      <c r="CS148" s="204">
        <f t="shared" si="343"/>
        <v>-91.892850597246365</v>
      </c>
      <c r="CT148" s="204">
        <f t="shared" si="343"/>
        <v>-92.707674497287258</v>
      </c>
      <c r="CU148" s="204">
        <f t="shared" si="343"/>
        <v>-93.525861929826178</v>
      </c>
      <c r="CV148" s="204">
        <f t="shared" si="343"/>
        <v>-94.347351799771133</v>
      </c>
      <c r="CW148" s="204">
        <f t="shared" si="343"/>
        <v>-95.172084121759283</v>
      </c>
      <c r="CX148" s="204">
        <f t="shared" si="343"/>
        <v>-96</v>
      </c>
      <c r="CY148" s="204">
        <f t="shared" si="343"/>
        <v>-96</v>
      </c>
      <c r="CZ148" s="204">
        <f t="shared" si="343"/>
        <v>-96</v>
      </c>
      <c r="DA148" s="204">
        <f t="shared" si="343"/>
        <v>-96</v>
      </c>
      <c r="DB148" s="204">
        <f t="shared" si="343"/>
        <v>-96</v>
      </c>
      <c r="DC148" s="204">
        <f t="shared" si="343"/>
        <v>-96</v>
      </c>
      <c r="DD148" s="204">
        <f t="shared" si="343"/>
        <v>-96</v>
      </c>
      <c r="DE148" s="204">
        <f t="shared" si="343"/>
        <v>-96</v>
      </c>
      <c r="DF148" s="204">
        <f t="shared" si="343"/>
        <v>-96</v>
      </c>
      <c r="DG148" s="204">
        <f t="shared" si="343"/>
        <v>-96</v>
      </c>
      <c r="DH148" s="204">
        <f t="shared" si="343"/>
        <v>-96</v>
      </c>
      <c r="DI148" s="204">
        <f t="shared" si="343"/>
        <v>-96</v>
      </c>
      <c r="DJ148" s="204">
        <f t="shared" si="343"/>
        <v>-96</v>
      </c>
      <c r="DK148" s="204">
        <f t="shared" si="343"/>
        <v>-96</v>
      </c>
      <c r="DL148" s="204">
        <f t="shared" si="343"/>
        <v>-96</v>
      </c>
      <c r="DM148" s="204">
        <f t="shared" si="343"/>
        <v>-96</v>
      </c>
      <c r="DN148" s="204">
        <f t="shared" si="343"/>
        <v>-96</v>
      </c>
      <c r="DO148" s="204">
        <f t="shared" si="343"/>
        <v>-96</v>
      </c>
      <c r="DP148" s="204">
        <f t="shared" si="343"/>
        <v>-96</v>
      </c>
      <c r="DQ148" s="204">
        <f t="shared" si="343"/>
        <v>-96</v>
      </c>
      <c r="DR148" s="204">
        <f t="shared" si="343"/>
        <v>-96</v>
      </c>
      <c r="DS148" s="204">
        <f t="shared" si="343"/>
        <v>-96</v>
      </c>
      <c r="DT148" s="204">
        <f t="shared" si="343"/>
        <v>-96</v>
      </c>
      <c r="DU148" s="204">
        <f t="shared" si="343"/>
        <v>-96</v>
      </c>
      <c r="DV148" s="204">
        <f t="shared" si="343"/>
        <v>-96</v>
      </c>
      <c r="DW148" s="204">
        <f t="shared" si="343"/>
        <v>-96</v>
      </c>
      <c r="DX148" s="204">
        <f t="shared" si="343"/>
        <v>-96</v>
      </c>
      <c r="DY148" s="204">
        <f t="shared" si="343"/>
        <v>-96</v>
      </c>
      <c r="DZ148" s="204">
        <f t="shared" si="343"/>
        <v>-96</v>
      </c>
      <c r="EA148" s="204">
        <f t="shared" si="343"/>
        <v>-96</v>
      </c>
      <c r="EB148" s="204">
        <f t="shared" si="343"/>
        <v>-96</v>
      </c>
      <c r="EC148" s="204">
        <f t="shared" si="343"/>
        <v>-96</v>
      </c>
      <c r="ED148" s="204">
        <f t="shared" si="343"/>
        <v>-96</v>
      </c>
      <c r="EE148" s="204">
        <f t="shared" si="343"/>
        <v>-96</v>
      </c>
      <c r="EF148" s="204">
        <f t="shared" ref="EF148:ET148" si="344">PV($F102,EF$9,1,0)+(PV($J$6,$N$5-(EF$9),1,0)/($J$6+1)^EF$9)</f>
        <v>-96</v>
      </c>
      <c r="EG148" s="204">
        <f t="shared" si="344"/>
        <v>-96</v>
      </c>
      <c r="EH148" s="204">
        <f t="shared" si="344"/>
        <v>-96</v>
      </c>
      <c r="EI148" s="204">
        <f t="shared" si="344"/>
        <v>-96</v>
      </c>
      <c r="EJ148" s="204">
        <f t="shared" si="344"/>
        <v>-96</v>
      </c>
      <c r="EK148" s="204">
        <f t="shared" si="344"/>
        <v>-96</v>
      </c>
      <c r="EL148" s="204">
        <f t="shared" si="344"/>
        <v>-96</v>
      </c>
      <c r="EM148" s="204">
        <f t="shared" si="344"/>
        <v>-96</v>
      </c>
      <c r="EN148" s="204">
        <f t="shared" si="344"/>
        <v>-96</v>
      </c>
      <c r="EO148" s="204">
        <f t="shared" si="344"/>
        <v>-96</v>
      </c>
      <c r="EP148" s="204">
        <f t="shared" si="344"/>
        <v>-96</v>
      </c>
      <c r="EQ148" s="204">
        <f t="shared" si="344"/>
        <v>-96</v>
      </c>
      <c r="ER148" s="204">
        <f t="shared" si="344"/>
        <v>-96</v>
      </c>
      <c r="ES148" s="204">
        <f t="shared" si="344"/>
        <v>-96</v>
      </c>
      <c r="ET148" s="204">
        <f t="shared" si="344"/>
        <v>-96</v>
      </c>
      <c r="FF148" s="67" t="s">
        <v>81</v>
      </c>
      <c r="FG148" s="696">
        <v>2.5000000000000001E-2</v>
      </c>
      <c r="FH148" s="696">
        <v>120</v>
      </c>
      <c r="FI148" s="696">
        <v>1.7600000000000001E-2</v>
      </c>
      <c r="FJ148" s="255">
        <v>1.6E-2</v>
      </c>
      <c r="FK148" s="71">
        <f t="shared" si="320"/>
        <v>2.142857142857143E-4</v>
      </c>
      <c r="FL148" t="e">
        <f>VLOOKUP(FF148,'SIMULADOR COM SALDO'!$BX$22:$CK$1000,13,FALSE)</f>
        <v>#N/A</v>
      </c>
    </row>
    <row r="149" spans="7:168" x14ac:dyDescent="0.25">
      <c r="G149" s="205">
        <f t="shared" si="262"/>
        <v>-44.770373601250576</v>
      </c>
      <c r="H149" s="204">
        <f t="shared" ref="H149:BS149" si="345">PV($F103,H$9,1,0)+(PV($J$6,$N$5-(H$9),1,0)/($J$6+1)^H$9)</f>
        <v>-44.806371604802436</v>
      </c>
      <c r="I149" s="204">
        <f t="shared" si="345"/>
        <v>-44.859879708437063</v>
      </c>
      <c r="J149" s="204">
        <f t="shared" si="345"/>
        <v>-44.930579859281075</v>
      </c>
      <c r="K149" s="204">
        <f t="shared" si="345"/>
        <v>-45.018159781562872</v>
      </c>
      <c r="L149" s="204">
        <f t="shared" si="345"/>
        <v>-45.122312871677551</v>
      </c>
      <c r="M149" s="204">
        <f t="shared" si="345"/>
        <v>-45.24273809515784</v>
      </c>
      <c r="N149" s="204">
        <f t="shared" si="345"/>
        <v>-45.379139885516487</v>
      </c>
      <c r="O149" s="204">
        <f t="shared" si="345"/>
        <v>-45.53122804492606</v>
      </c>
      <c r="P149" s="204">
        <f t="shared" si="345"/>
        <v>-45.698717646702761</v>
      </c>
      <c r="Q149" s="204">
        <f t="shared" si="345"/>
        <v>-45.881328939561598</v>
      </c>
      <c r="R149" s="204">
        <f t="shared" si="345"/>
        <v>-46.078787253610507</v>
      </c>
      <c r="S149" s="204">
        <f t="shared" si="345"/>
        <v>-46.290822908052249</v>
      </c>
      <c r="T149" s="204">
        <f t="shared" si="345"/>
        <v>-46.517171120562551</v>
      </c>
      <c r="U149" s="204">
        <f t="shared" si="345"/>
        <v>-46.75757191831444</v>
      </c>
      <c r="V149" s="204">
        <f t="shared" si="345"/>
        <v>-47.011770050618708</v>
      </c>
      <c r="W149" s="204">
        <f t="shared" si="345"/>
        <v>-47.279514903151124</v>
      </c>
      <c r="X149" s="204">
        <f t="shared" si="345"/>
        <v>-47.560560413737676</v>
      </c>
      <c r="Y149" s="204">
        <f t="shared" si="345"/>
        <v>-47.854664989669509</v>
      </c>
      <c r="Z149" s="204">
        <f t="shared" si="345"/>
        <v>-48.161591426519607</v>
      </c>
      <c r="AA149" s="204">
        <f t="shared" si="345"/>
        <v>-48.481106828434278</v>
      </c>
      <c r="AB149" s="204">
        <f t="shared" si="345"/>
        <v>-48.81298252987235</v>
      </c>
      <c r="AC149" s="204">
        <f t="shared" si="345"/>
        <v>-49.156994018765893</v>
      </c>
      <c r="AD149" s="204">
        <f t="shared" si="345"/>
        <v>-49.51292086107668</v>
      </c>
      <c r="AE149" s="204">
        <f t="shared" si="345"/>
        <v>-49.880546626723003</v>
      </c>
      <c r="AF149" s="204">
        <f t="shared" si="345"/>
        <v>-50.259658816851953</v>
      </c>
      <c r="AG149" s="204">
        <f t="shared" si="345"/>
        <v>-50.650048792432663</v>
      </c>
      <c r="AH149" s="204">
        <f t="shared" si="345"/>
        <v>-51.051511704146662</v>
      </c>
      <c r="AI149" s="204">
        <f t="shared" si="345"/>
        <v>-51.463846423551665</v>
      </c>
      <c r="AJ149" s="204">
        <f t="shared" si="345"/>
        <v>-51.886855475495707</v>
      </c>
      <c r="AK149" s="204">
        <f t="shared" si="345"/>
        <v>-52.320344971758878</v>
      </c>
      <c r="AL149" s="204">
        <f t="shared" si="345"/>
        <v>-52.76412454590043</v>
      </c>
      <c r="AM149" s="204">
        <f t="shared" si="345"/>
        <v>-53.218007289289282</v>
      </c>
      <c r="AN149" s="204">
        <f t="shared" si="345"/>
        <v>-53.681809688296511</v>
      </c>
      <c r="AO149" s="204">
        <f t="shared" si="345"/>
        <v>-54.155351562628589</v>
      </c>
      <c r="AP149" s="204">
        <f t="shared" si="345"/>
        <v>-54.638456004780849</v>
      </c>
      <c r="AQ149" s="204">
        <f t="shared" si="345"/>
        <v>-55.130949320590631</v>
      </c>
      <c r="AR149" s="204">
        <f t="shared" si="345"/>
        <v>-55.632660970870248</v>
      </c>
      <c r="AS149" s="204">
        <f t="shared" si="345"/>
        <v>-56.143423514100107</v>
      </c>
      <c r="AT149" s="204">
        <f t="shared" si="345"/>
        <v>-56.663072550162802</v>
      </c>
      <c r="AU149" s="204">
        <f t="shared" si="345"/>
        <v>-57.191446665099171</v>
      </c>
      <c r="AV149" s="204">
        <f t="shared" si="345"/>
        <v>-57.728387376867829</v>
      </c>
      <c r="AW149" s="204">
        <f t="shared" si="345"/>
        <v>-58.273739082089882</v>
      </c>
      <c r="AX149" s="204">
        <f t="shared" si="345"/>
        <v>-58.827349003761015</v>
      </c>
      <c r="AY149" s="204">
        <f t="shared" si="345"/>
        <v>-59.389067139913323</v>
      </c>
      <c r="AZ149" s="204">
        <f t="shared" si="345"/>
        <v>-59.95874621320965</v>
      </c>
      <c r="BA149" s="204">
        <f t="shared" si="345"/>
        <v>-60.53624162145347</v>
      </c>
      <c r="BB149" s="204">
        <f t="shared" si="345"/>
        <v>-61.121411388997728</v>
      </c>
      <c r="BC149" s="204">
        <f t="shared" si="345"/>
        <v>-61.714116119036262</v>
      </c>
      <c r="BD149" s="204">
        <f t="shared" si="345"/>
        <v>-62.314218946761883</v>
      </c>
      <c r="BE149" s="204">
        <f t="shared" si="345"/>
        <v>-62.921585493375147</v>
      </c>
      <c r="BF149" s="204">
        <f t="shared" si="345"/>
        <v>-63.536083820928674</v>
      </c>
      <c r="BG149" s="204">
        <f t="shared" si="345"/>
        <v>-64.157584387991548</v>
      </c>
      <c r="BH149" s="204">
        <f t="shared" si="345"/>
        <v>-64.785960006119055</v>
      </c>
      <c r="BI149" s="204">
        <f t="shared" si="345"/>
        <v>-65.421085797113165</v>
      </c>
      <c r="BJ149" s="204">
        <f t="shared" si="345"/>
        <v>-66.062839151059279</v>
      </c>
      <c r="BK149" s="204">
        <f t="shared" si="345"/>
        <v>-66.711099685125177</v>
      </c>
      <c r="BL149" s="204">
        <f t="shared" si="345"/>
        <v>-67.365749203108379</v>
      </c>
      <c r="BM149" s="204">
        <f t="shared" si="345"/>
        <v>-68.026671655718303</v>
      </c>
      <c r="BN149" s="204">
        <f t="shared" si="345"/>
        <v>-68.693753101579787</v>
      </c>
      <c r="BO149" s="204">
        <f t="shared" si="345"/>
        <v>-69.366881668945013</v>
      </c>
      <c r="BP149" s="204">
        <f t="shared" si="345"/>
        <v>-70.04594751810086</v>
      </c>
      <c r="BQ149" s="204">
        <f t="shared" si="345"/>
        <v>-70.730842804459073</v>
      </c>
      <c r="BR149" s="204">
        <f t="shared" si="345"/>
        <v>-71.421461642316928</v>
      </c>
      <c r="BS149" s="204">
        <f t="shared" si="345"/>
        <v>-72.117700069276026</v>
      </c>
      <c r="BT149" s="204">
        <f t="shared" ref="BT149:EE149" si="346">PV($F103,BT$9,1,0)+(PV($J$6,$N$5-(BT$9),1,0)/($J$6+1)^BT$9)</f>
        <v>-72.819456011307551</v>
      </c>
      <c r="BU149" s="204">
        <f t="shared" si="346"/>
        <v>-73.526629248451897</v>
      </c>
      <c r="BV149" s="204">
        <f t="shared" si="346"/>
        <v>-74.239121381141487</v>
      </c>
      <c r="BW149" s="204">
        <f t="shared" si="346"/>
        <v>-74.956835797135199</v>
      </c>
      <c r="BX149" s="204">
        <f t="shared" si="346"/>
        <v>-75.679677639053423</v>
      </c>
      <c r="BY149" s="204">
        <f t="shared" si="346"/>
        <v>-76.407553772502823</v>
      </c>
      <c r="BZ149" s="204">
        <f t="shared" si="346"/>
        <v>-77.140372754780103</v>
      </c>
      <c r="CA149" s="204">
        <f t="shared" si="346"/>
        <v>-77.878044804144153</v>
      </c>
      <c r="CB149" s="204">
        <f t="shared" si="346"/>
        <v>-78.620481769646403</v>
      </c>
      <c r="CC149" s="204">
        <f t="shared" si="346"/>
        <v>-79.36759710150919</v>
      </c>
      <c r="CD149" s="204">
        <f t="shared" si="346"/>
        <v>-80.119305822042122</v>
      </c>
      <c r="CE149" s="204">
        <f t="shared" si="346"/>
        <v>-80.87552449708673</v>
      </c>
      <c r="CF149" s="204">
        <f t="shared" si="346"/>
        <v>-81.636171207979814</v>
      </c>
      <c r="CG149" s="204">
        <f t="shared" si="346"/>
        <v>-82.401165524026041</v>
      </c>
      <c r="CH149" s="204">
        <f t="shared" si="346"/>
        <v>-83.170428475470544</v>
      </c>
      <c r="CI149" s="204">
        <f t="shared" si="346"/>
        <v>-83.943882526962454</v>
      </c>
      <c r="CJ149" s="204">
        <f t="shared" si="346"/>
        <v>-84.721451551500408</v>
      </c>
      <c r="CK149" s="204">
        <f t="shared" si="346"/>
        <v>-85.503060804851359</v>
      </c>
      <c r="CL149" s="204">
        <f t="shared" si="346"/>
        <v>-86.288636900434042</v>
      </c>
      <c r="CM149" s="204">
        <f t="shared" si="346"/>
        <v>-87.07810778465857</v>
      </c>
      <c r="CN149" s="204">
        <f t="shared" si="346"/>
        <v>-87.871402712714072</v>
      </c>
      <c r="CO149" s="204">
        <f t="shared" si="346"/>
        <v>-88.668452224796056</v>
      </c>
      <c r="CP149" s="204">
        <f t="shared" si="346"/>
        <v>-89.469188122765601</v>
      </c>
      <c r="CQ149" s="204">
        <f t="shared" si="346"/>
        <v>-90.273543447232512</v>
      </c>
      <c r="CR149" s="204">
        <f t="shared" si="346"/>
        <v>-91.081452455054702</v>
      </c>
      <c r="CS149" s="204">
        <f t="shared" si="346"/>
        <v>-91.892850597246365</v>
      </c>
      <c r="CT149" s="204">
        <f t="shared" si="346"/>
        <v>-92.707674497287258</v>
      </c>
      <c r="CU149" s="204">
        <f t="shared" si="346"/>
        <v>-93.525861929826178</v>
      </c>
      <c r="CV149" s="204">
        <f t="shared" si="346"/>
        <v>-94.347351799771133</v>
      </c>
      <c r="CW149" s="204">
        <f t="shared" si="346"/>
        <v>-95.172084121759283</v>
      </c>
      <c r="CX149" s="204">
        <f t="shared" si="346"/>
        <v>-96</v>
      </c>
      <c r="CY149" s="204">
        <f t="shared" si="346"/>
        <v>-96</v>
      </c>
      <c r="CZ149" s="204">
        <f t="shared" si="346"/>
        <v>-96</v>
      </c>
      <c r="DA149" s="204">
        <f t="shared" si="346"/>
        <v>-96</v>
      </c>
      <c r="DB149" s="204">
        <f t="shared" si="346"/>
        <v>-96</v>
      </c>
      <c r="DC149" s="204">
        <f t="shared" si="346"/>
        <v>-96</v>
      </c>
      <c r="DD149" s="204">
        <f t="shared" si="346"/>
        <v>-96</v>
      </c>
      <c r="DE149" s="204">
        <f t="shared" si="346"/>
        <v>-96</v>
      </c>
      <c r="DF149" s="204">
        <f t="shared" si="346"/>
        <v>-96</v>
      </c>
      <c r="DG149" s="204">
        <f t="shared" si="346"/>
        <v>-96</v>
      </c>
      <c r="DH149" s="204">
        <f t="shared" si="346"/>
        <v>-96</v>
      </c>
      <c r="DI149" s="204">
        <f t="shared" si="346"/>
        <v>-96</v>
      </c>
      <c r="DJ149" s="204">
        <f t="shared" si="346"/>
        <v>-96</v>
      </c>
      <c r="DK149" s="204">
        <f t="shared" si="346"/>
        <v>-96</v>
      </c>
      <c r="DL149" s="204">
        <f t="shared" si="346"/>
        <v>-96</v>
      </c>
      <c r="DM149" s="204">
        <f t="shared" si="346"/>
        <v>-96</v>
      </c>
      <c r="DN149" s="204">
        <f t="shared" si="346"/>
        <v>-96</v>
      </c>
      <c r="DO149" s="204">
        <f t="shared" si="346"/>
        <v>-96</v>
      </c>
      <c r="DP149" s="204">
        <f t="shared" si="346"/>
        <v>-96</v>
      </c>
      <c r="DQ149" s="204">
        <f t="shared" si="346"/>
        <v>-96</v>
      </c>
      <c r="DR149" s="204">
        <f t="shared" si="346"/>
        <v>-96</v>
      </c>
      <c r="DS149" s="204">
        <f t="shared" si="346"/>
        <v>-96</v>
      </c>
      <c r="DT149" s="204">
        <f t="shared" si="346"/>
        <v>-96</v>
      </c>
      <c r="DU149" s="204">
        <f t="shared" si="346"/>
        <v>-96</v>
      </c>
      <c r="DV149" s="204">
        <f t="shared" si="346"/>
        <v>-96</v>
      </c>
      <c r="DW149" s="204">
        <f t="shared" si="346"/>
        <v>-96</v>
      </c>
      <c r="DX149" s="204">
        <f t="shared" si="346"/>
        <v>-96</v>
      </c>
      <c r="DY149" s="204">
        <f t="shared" si="346"/>
        <v>-96</v>
      </c>
      <c r="DZ149" s="204">
        <f t="shared" si="346"/>
        <v>-96</v>
      </c>
      <c r="EA149" s="204">
        <f t="shared" si="346"/>
        <v>-96</v>
      </c>
      <c r="EB149" s="204">
        <f t="shared" si="346"/>
        <v>-96</v>
      </c>
      <c r="EC149" s="204">
        <f t="shared" si="346"/>
        <v>-96</v>
      </c>
      <c r="ED149" s="204">
        <f t="shared" si="346"/>
        <v>-96</v>
      </c>
      <c r="EE149" s="204">
        <f t="shared" si="346"/>
        <v>-96</v>
      </c>
      <c r="EF149" s="204">
        <f t="shared" ref="EF149:ET149" si="347">PV($F103,EF$9,1,0)+(PV($J$6,$N$5-(EF$9),1,0)/($J$6+1)^EF$9)</f>
        <v>-96</v>
      </c>
      <c r="EG149" s="204">
        <f t="shared" si="347"/>
        <v>-96</v>
      </c>
      <c r="EH149" s="204">
        <f t="shared" si="347"/>
        <v>-96</v>
      </c>
      <c r="EI149" s="204">
        <f t="shared" si="347"/>
        <v>-96</v>
      </c>
      <c r="EJ149" s="204">
        <f t="shared" si="347"/>
        <v>-96</v>
      </c>
      <c r="EK149" s="204">
        <f t="shared" si="347"/>
        <v>-96</v>
      </c>
      <c r="EL149" s="204">
        <f t="shared" si="347"/>
        <v>-96</v>
      </c>
      <c r="EM149" s="204">
        <f t="shared" si="347"/>
        <v>-96</v>
      </c>
      <c r="EN149" s="204">
        <f t="shared" si="347"/>
        <v>-96</v>
      </c>
      <c r="EO149" s="204">
        <f t="shared" si="347"/>
        <v>-96</v>
      </c>
      <c r="EP149" s="204">
        <f t="shared" si="347"/>
        <v>-96</v>
      </c>
      <c r="EQ149" s="204">
        <f t="shared" si="347"/>
        <v>-96</v>
      </c>
      <c r="ER149" s="204">
        <f t="shared" si="347"/>
        <v>-96</v>
      </c>
      <c r="ES149" s="204">
        <f t="shared" si="347"/>
        <v>-96</v>
      </c>
      <c r="ET149" s="204">
        <f t="shared" si="347"/>
        <v>-96</v>
      </c>
      <c r="FF149" s="67" t="s">
        <v>3040</v>
      </c>
      <c r="FG149" s="696">
        <v>2.5000000000000001E-2</v>
      </c>
      <c r="FH149" s="696">
        <v>96</v>
      </c>
      <c r="FI149" s="696">
        <v>1.7600000000000001E-2</v>
      </c>
      <c r="FJ149" s="255">
        <v>1.3500000000000002E-2</v>
      </c>
      <c r="FK149" s="71">
        <f t="shared" si="320"/>
        <v>2.7380952380952383E-4</v>
      </c>
      <c r="FL149" t="e">
        <f>VLOOKUP(FF149,'SIMULADOR COM SALDO'!$BX$22:$CK$1000,13,FALSE)</f>
        <v>#N/A</v>
      </c>
    </row>
    <row r="150" spans="7:168" x14ac:dyDescent="0.25">
      <c r="G150" s="205">
        <f t="shared" si="262"/>
        <v>-44.770373601250576</v>
      </c>
      <c r="H150" s="204">
        <f t="shared" ref="H150:BS150" si="348">PV($F104,H$9,1,0)+(PV($J$6,$N$5-(H$9),1,0)/($J$6+1)^H$9)</f>
        <v>-44.806371604802436</v>
      </c>
      <c r="I150" s="204">
        <f t="shared" si="348"/>
        <v>-44.859879708437063</v>
      </c>
      <c r="J150" s="204">
        <f t="shared" si="348"/>
        <v>-44.930579859281075</v>
      </c>
      <c r="K150" s="204">
        <f t="shared" si="348"/>
        <v>-45.018159781562872</v>
      </c>
      <c r="L150" s="204">
        <f t="shared" si="348"/>
        <v>-45.122312871677551</v>
      </c>
      <c r="M150" s="204">
        <f t="shared" si="348"/>
        <v>-45.24273809515784</v>
      </c>
      <c r="N150" s="204">
        <f t="shared" si="348"/>
        <v>-45.379139885516487</v>
      </c>
      <c r="O150" s="204">
        <f t="shared" si="348"/>
        <v>-45.53122804492606</v>
      </c>
      <c r="P150" s="204">
        <f t="shared" si="348"/>
        <v>-45.698717646702761</v>
      </c>
      <c r="Q150" s="204">
        <f t="shared" si="348"/>
        <v>-45.881328939561598</v>
      </c>
      <c r="R150" s="204">
        <f t="shared" si="348"/>
        <v>-46.078787253610507</v>
      </c>
      <c r="S150" s="204">
        <f t="shared" si="348"/>
        <v>-46.290822908052249</v>
      </c>
      <c r="T150" s="204">
        <f t="shared" si="348"/>
        <v>-46.517171120562551</v>
      </c>
      <c r="U150" s="204">
        <f t="shared" si="348"/>
        <v>-46.75757191831444</v>
      </c>
      <c r="V150" s="204">
        <f t="shared" si="348"/>
        <v>-47.011770050618708</v>
      </c>
      <c r="W150" s="204">
        <f t="shared" si="348"/>
        <v>-47.279514903151124</v>
      </c>
      <c r="X150" s="204">
        <f t="shared" si="348"/>
        <v>-47.560560413737676</v>
      </c>
      <c r="Y150" s="204">
        <f t="shared" si="348"/>
        <v>-47.854664989669509</v>
      </c>
      <c r="Z150" s="204">
        <f t="shared" si="348"/>
        <v>-48.161591426519607</v>
      </c>
      <c r="AA150" s="204">
        <f t="shared" si="348"/>
        <v>-48.481106828434278</v>
      </c>
      <c r="AB150" s="204">
        <f t="shared" si="348"/>
        <v>-48.81298252987235</v>
      </c>
      <c r="AC150" s="204">
        <f t="shared" si="348"/>
        <v>-49.156994018765893</v>
      </c>
      <c r="AD150" s="204">
        <f t="shared" si="348"/>
        <v>-49.51292086107668</v>
      </c>
      <c r="AE150" s="204">
        <f t="shared" si="348"/>
        <v>-49.880546626723003</v>
      </c>
      <c r="AF150" s="204">
        <f t="shared" si="348"/>
        <v>-50.259658816851953</v>
      </c>
      <c r="AG150" s="204">
        <f t="shared" si="348"/>
        <v>-50.650048792432663</v>
      </c>
      <c r="AH150" s="204">
        <f t="shared" si="348"/>
        <v>-51.051511704146662</v>
      </c>
      <c r="AI150" s="204">
        <f t="shared" si="348"/>
        <v>-51.463846423551665</v>
      </c>
      <c r="AJ150" s="204">
        <f t="shared" si="348"/>
        <v>-51.886855475495707</v>
      </c>
      <c r="AK150" s="204">
        <f t="shared" si="348"/>
        <v>-52.320344971758878</v>
      </c>
      <c r="AL150" s="204">
        <f t="shared" si="348"/>
        <v>-52.76412454590043</v>
      </c>
      <c r="AM150" s="204">
        <f t="shared" si="348"/>
        <v>-53.218007289289282</v>
      </c>
      <c r="AN150" s="204">
        <f t="shared" si="348"/>
        <v>-53.681809688296511</v>
      </c>
      <c r="AO150" s="204">
        <f t="shared" si="348"/>
        <v>-54.155351562628589</v>
      </c>
      <c r="AP150" s="204">
        <f t="shared" si="348"/>
        <v>-54.638456004780849</v>
      </c>
      <c r="AQ150" s="204">
        <f t="shared" si="348"/>
        <v>-55.130949320590631</v>
      </c>
      <c r="AR150" s="204">
        <f t="shared" si="348"/>
        <v>-55.632660970870248</v>
      </c>
      <c r="AS150" s="204">
        <f t="shared" si="348"/>
        <v>-56.143423514100107</v>
      </c>
      <c r="AT150" s="204">
        <f t="shared" si="348"/>
        <v>-56.663072550162802</v>
      </c>
      <c r="AU150" s="204">
        <f t="shared" si="348"/>
        <v>-57.191446665099171</v>
      </c>
      <c r="AV150" s="204">
        <f t="shared" si="348"/>
        <v>-57.728387376867829</v>
      </c>
      <c r="AW150" s="204">
        <f t="shared" si="348"/>
        <v>-58.273739082089882</v>
      </c>
      <c r="AX150" s="204">
        <f t="shared" si="348"/>
        <v>-58.827349003761015</v>
      </c>
      <c r="AY150" s="204">
        <f t="shared" si="348"/>
        <v>-59.389067139913323</v>
      </c>
      <c r="AZ150" s="204">
        <f t="shared" si="348"/>
        <v>-59.95874621320965</v>
      </c>
      <c r="BA150" s="204">
        <f t="shared" si="348"/>
        <v>-60.53624162145347</v>
      </c>
      <c r="BB150" s="204">
        <f t="shared" si="348"/>
        <v>-61.121411388997728</v>
      </c>
      <c r="BC150" s="204">
        <f t="shared" si="348"/>
        <v>-61.714116119036262</v>
      </c>
      <c r="BD150" s="204">
        <f t="shared" si="348"/>
        <v>-62.314218946761883</v>
      </c>
      <c r="BE150" s="204">
        <f t="shared" si="348"/>
        <v>-62.921585493375147</v>
      </c>
      <c r="BF150" s="204">
        <f t="shared" si="348"/>
        <v>-63.536083820928674</v>
      </c>
      <c r="BG150" s="204">
        <f t="shared" si="348"/>
        <v>-64.157584387991548</v>
      </c>
      <c r="BH150" s="204">
        <f t="shared" si="348"/>
        <v>-64.785960006119055</v>
      </c>
      <c r="BI150" s="204">
        <f t="shared" si="348"/>
        <v>-65.421085797113165</v>
      </c>
      <c r="BJ150" s="204">
        <f t="shared" si="348"/>
        <v>-66.062839151059279</v>
      </c>
      <c r="BK150" s="204">
        <f t="shared" si="348"/>
        <v>-66.711099685125177</v>
      </c>
      <c r="BL150" s="204">
        <f t="shared" si="348"/>
        <v>-67.365749203108379</v>
      </c>
      <c r="BM150" s="204">
        <f t="shared" si="348"/>
        <v>-68.026671655718303</v>
      </c>
      <c r="BN150" s="204">
        <f t="shared" si="348"/>
        <v>-68.693753101579787</v>
      </c>
      <c r="BO150" s="204">
        <f t="shared" si="348"/>
        <v>-69.366881668945013</v>
      </c>
      <c r="BP150" s="204">
        <f t="shared" si="348"/>
        <v>-70.04594751810086</v>
      </c>
      <c r="BQ150" s="204">
        <f t="shared" si="348"/>
        <v>-70.730842804459073</v>
      </c>
      <c r="BR150" s="204">
        <f t="shared" si="348"/>
        <v>-71.421461642316928</v>
      </c>
      <c r="BS150" s="204">
        <f t="shared" si="348"/>
        <v>-72.117700069276026</v>
      </c>
      <c r="BT150" s="204">
        <f t="shared" ref="BT150:EE150" si="349">PV($F104,BT$9,1,0)+(PV($J$6,$N$5-(BT$9),1,0)/($J$6+1)^BT$9)</f>
        <v>-72.819456011307551</v>
      </c>
      <c r="BU150" s="204">
        <f t="shared" si="349"/>
        <v>-73.526629248451897</v>
      </c>
      <c r="BV150" s="204">
        <f t="shared" si="349"/>
        <v>-74.239121381141487</v>
      </c>
      <c r="BW150" s="204">
        <f t="shared" si="349"/>
        <v>-74.956835797135199</v>
      </c>
      <c r="BX150" s="204">
        <f t="shared" si="349"/>
        <v>-75.679677639053423</v>
      </c>
      <c r="BY150" s="204">
        <f t="shared" si="349"/>
        <v>-76.407553772502823</v>
      </c>
      <c r="BZ150" s="204">
        <f t="shared" si="349"/>
        <v>-77.140372754780103</v>
      </c>
      <c r="CA150" s="204">
        <f t="shared" si="349"/>
        <v>-77.878044804144153</v>
      </c>
      <c r="CB150" s="204">
        <f t="shared" si="349"/>
        <v>-78.620481769646403</v>
      </c>
      <c r="CC150" s="204">
        <f t="shared" si="349"/>
        <v>-79.36759710150919</v>
      </c>
      <c r="CD150" s="204">
        <f t="shared" si="349"/>
        <v>-80.119305822042122</v>
      </c>
      <c r="CE150" s="204">
        <f t="shared" si="349"/>
        <v>-80.87552449708673</v>
      </c>
      <c r="CF150" s="204">
        <f t="shared" si="349"/>
        <v>-81.636171207979814</v>
      </c>
      <c r="CG150" s="204">
        <f t="shared" si="349"/>
        <v>-82.401165524026041</v>
      </c>
      <c r="CH150" s="204">
        <f t="shared" si="349"/>
        <v>-83.170428475470544</v>
      </c>
      <c r="CI150" s="204">
        <f t="shared" si="349"/>
        <v>-83.943882526962454</v>
      </c>
      <c r="CJ150" s="204">
        <f t="shared" si="349"/>
        <v>-84.721451551500408</v>
      </c>
      <c r="CK150" s="204">
        <f t="shared" si="349"/>
        <v>-85.503060804851359</v>
      </c>
      <c r="CL150" s="204">
        <f t="shared" si="349"/>
        <v>-86.288636900434042</v>
      </c>
      <c r="CM150" s="204">
        <f t="shared" si="349"/>
        <v>-87.07810778465857</v>
      </c>
      <c r="CN150" s="204">
        <f t="shared" si="349"/>
        <v>-87.871402712714072</v>
      </c>
      <c r="CO150" s="204">
        <f t="shared" si="349"/>
        <v>-88.668452224796056</v>
      </c>
      <c r="CP150" s="204">
        <f t="shared" si="349"/>
        <v>-89.469188122765601</v>
      </c>
      <c r="CQ150" s="204">
        <f t="shared" si="349"/>
        <v>-90.273543447232512</v>
      </c>
      <c r="CR150" s="204">
        <f t="shared" si="349"/>
        <v>-91.081452455054702</v>
      </c>
      <c r="CS150" s="204">
        <f t="shared" si="349"/>
        <v>-91.892850597246365</v>
      </c>
      <c r="CT150" s="204">
        <f t="shared" si="349"/>
        <v>-92.707674497287258</v>
      </c>
      <c r="CU150" s="204">
        <f t="shared" si="349"/>
        <v>-93.525861929826178</v>
      </c>
      <c r="CV150" s="204">
        <f t="shared" si="349"/>
        <v>-94.347351799771133</v>
      </c>
      <c r="CW150" s="204">
        <f t="shared" si="349"/>
        <v>-95.172084121759283</v>
      </c>
      <c r="CX150" s="204">
        <f t="shared" si="349"/>
        <v>-96</v>
      </c>
      <c r="CY150" s="204">
        <f t="shared" si="349"/>
        <v>-96</v>
      </c>
      <c r="CZ150" s="204">
        <f t="shared" si="349"/>
        <v>-96</v>
      </c>
      <c r="DA150" s="204">
        <f t="shared" si="349"/>
        <v>-96</v>
      </c>
      <c r="DB150" s="204">
        <f t="shared" si="349"/>
        <v>-96</v>
      </c>
      <c r="DC150" s="204">
        <f t="shared" si="349"/>
        <v>-96</v>
      </c>
      <c r="DD150" s="204">
        <f t="shared" si="349"/>
        <v>-96</v>
      </c>
      <c r="DE150" s="204">
        <f t="shared" si="349"/>
        <v>-96</v>
      </c>
      <c r="DF150" s="204">
        <f t="shared" si="349"/>
        <v>-96</v>
      </c>
      <c r="DG150" s="204">
        <f t="shared" si="349"/>
        <v>-96</v>
      </c>
      <c r="DH150" s="204">
        <f t="shared" si="349"/>
        <v>-96</v>
      </c>
      <c r="DI150" s="204">
        <f t="shared" si="349"/>
        <v>-96</v>
      </c>
      <c r="DJ150" s="204">
        <f t="shared" si="349"/>
        <v>-96</v>
      </c>
      <c r="DK150" s="204">
        <f t="shared" si="349"/>
        <v>-96</v>
      </c>
      <c r="DL150" s="204">
        <f t="shared" si="349"/>
        <v>-96</v>
      </c>
      <c r="DM150" s="204">
        <f t="shared" si="349"/>
        <v>-96</v>
      </c>
      <c r="DN150" s="204">
        <f t="shared" si="349"/>
        <v>-96</v>
      </c>
      <c r="DO150" s="204">
        <f t="shared" si="349"/>
        <v>-96</v>
      </c>
      <c r="DP150" s="204">
        <f t="shared" si="349"/>
        <v>-96</v>
      </c>
      <c r="DQ150" s="204">
        <f t="shared" si="349"/>
        <v>-96</v>
      </c>
      <c r="DR150" s="204">
        <f t="shared" si="349"/>
        <v>-96</v>
      </c>
      <c r="DS150" s="204">
        <f t="shared" si="349"/>
        <v>-96</v>
      </c>
      <c r="DT150" s="204">
        <f t="shared" si="349"/>
        <v>-96</v>
      </c>
      <c r="DU150" s="204">
        <f t="shared" si="349"/>
        <v>-96</v>
      </c>
      <c r="DV150" s="204">
        <f t="shared" si="349"/>
        <v>-96</v>
      </c>
      <c r="DW150" s="204">
        <f t="shared" si="349"/>
        <v>-96</v>
      </c>
      <c r="DX150" s="204">
        <f t="shared" si="349"/>
        <v>-96</v>
      </c>
      <c r="DY150" s="204">
        <f t="shared" si="349"/>
        <v>-96</v>
      </c>
      <c r="DZ150" s="204">
        <f t="shared" si="349"/>
        <v>-96</v>
      </c>
      <c r="EA150" s="204">
        <f t="shared" si="349"/>
        <v>-96</v>
      </c>
      <c r="EB150" s="204">
        <f t="shared" si="349"/>
        <v>-96</v>
      </c>
      <c r="EC150" s="204">
        <f t="shared" si="349"/>
        <v>-96</v>
      </c>
      <c r="ED150" s="204">
        <f t="shared" si="349"/>
        <v>-96</v>
      </c>
      <c r="EE150" s="204">
        <f t="shared" si="349"/>
        <v>-96</v>
      </c>
      <c r="EF150" s="204">
        <f t="shared" ref="EF150:ET150" si="350">PV($F104,EF$9,1,0)+(PV($J$6,$N$5-(EF$9),1,0)/($J$6+1)^EF$9)</f>
        <v>-96</v>
      </c>
      <c r="EG150" s="204">
        <f t="shared" si="350"/>
        <v>-96</v>
      </c>
      <c r="EH150" s="204">
        <f t="shared" si="350"/>
        <v>-96</v>
      </c>
      <c r="EI150" s="204">
        <f t="shared" si="350"/>
        <v>-96</v>
      </c>
      <c r="EJ150" s="204">
        <f t="shared" si="350"/>
        <v>-96</v>
      </c>
      <c r="EK150" s="204">
        <f t="shared" si="350"/>
        <v>-96</v>
      </c>
      <c r="EL150" s="204">
        <f t="shared" si="350"/>
        <v>-96</v>
      </c>
      <c r="EM150" s="204">
        <f t="shared" si="350"/>
        <v>-96</v>
      </c>
      <c r="EN150" s="204">
        <f t="shared" si="350"/>
        <v>-96</v>
      </c>
      <c r="EO150" s="204">
        <f t="shared" si="350"/>
        <v>-96</v>
      </c>
      <c r="EP150" s="204">
        <f t="shared" si="350"/>
        <v>-96</v>
      </c>
      <c r="EQ150" s="204">
        <f t="shared" si="350"/>
        <v>-96</v>
      </c>
      <c r="ER150" s="204">
        <f t="shared" si="350"/>
        <v>-96</v>
      </c>
      <c r="ES150" s="204">
        <f t="shared" si="350"/>
        <v>-96</v>
      </c>
      <c r="ET150" s="204">
        <f t="shared" si="350"/>
        <v>-96</v>
      </c>
      <c r="FF150" s="6" t="s">
        <v>3041</v>
      </c>
      <c r="FG150" s="696">
        <v>2.4E-2</v>
      </c>
      <c r="FH150" s="696">
        <v>96</v>
      </c>
      <c r="FI150" s="696">
        <v>1.9E-2</v>
      </c>
      <c r="FJ150" s="255">
        <v>1.3999999999999999E-2</v>
      </c>
      <c r="FK150" s="71">
        <f t="shared" si="320"/>
        <v>2.3809523809523815E-4</v>
      </c>
      <c r="FL150" t="e">
        <f>VLOOKUP(FF150,'SIMULADOR COM SALDO'!$BX$22:$CK$1000,13,FALSE)</f>
        <v>#N/A</v>
      </c>
    </row>
    <row r="151" spans="7:168" x14ac:dyDescent="0.25">
      <c r="FF151" s="67" t="s">
        <v>82</v>
      </c>
      <c r="FG151" s="696">
        <v>2.5000000000000001E-2</v>
      </c>
      <c r="FH151" s="696">
        <v>120</v>
      </c>
      <c r="FI151" s="696">
        <v>1.83E-2</v>
      </c>
      <c r="FJ151" s="255">
        <v>1.52E-2</v>
      </c>
      <c r="FK151" s="71">
        <f t="shared" si="320"/>
        <v>2.3333333333333336E-4</v>
      </c>
      <c r="FL151" t="e">
        <f>VLOOKUP(FF151,'SIMULADOR COM SALDO'!$BX$22:$CK$1000,13,FALSE)</f>
        <v>#N/A</v>
      </c>
    </row>
    <row r="152" spans="7:168" x14ac:dyDescent="0.25">
      <c r="FF152" s="6" t="s">
        <v>361</v>
      </c>
      <c r="FG152" s="696">
        <v>2.5000000000000001E-2</v>
      </c>
      <c r="FH152" s="696">
        <v>120</v>
      </c>
      <c r="FI152" s="696">
        <v>1.83E-2</v>
      </c>
      <c r="FJ152" s="255">
        <v>1.52E-2</v>
      </c>
      <c r="FK152" s="71">
        <f t="shared" si="320"/>
        <v>2.3333333333333336E-4</v>
      </c>
      <c r="FL152" t="e">
        <f>VLOOKUP(FF152,'SIMULADOR COM SALDO'!$BX$22:$CK$1000,13,FALSE)</f>
        <v>#N/A</v>
      </c>
    </row>
    <row r="153" spans="7:168" x14ac:dyDescent="0.25">
      <c r="FF153" s="6" t="s">
        <v>1815</v>
      </c>
      <c r="FG153" s="696">
        <v>2.5000000000000001E-2</v>
      </c>
      <c r="FH153" s="696">
        <v>120</v>
      </c>
      <c r="FI153" s="696">
        <v>1.9900000000000001E-2</v>
      </c>
      <c r="FJ153" s="255">
        <v>1.3899999999999999E-2</v>
      </c>
      <c r="FK153" s="71">
        <f t="shared" si="320"/>
        <v>2.6428571428571435E-4</v>
      </c>
      <c r="FL153" t="e">
        <f>VLOOKUP(FF153,'SIMULADOR COM SALDO'!$BX$22:$CK$1000,13,FALSE)</f>
        <v>#N/A</v>
      </c>
    </row>
    <row r="154" spans="7:168" x14ac:dyDescent="0.25">
      <c r="FF154" s="6" t="s">
        <v>1828</v>
      </c>
      <c r="FG154" s="696">
        <v>2.5000000000000001E-2</v>
      </c>
      <c r="FH154" s="696">
        <v>120</v>
      </c>
      <c r="FI154" s="696">
        <v>1.9900000000000001E-2</v>
      </c>
      <c r="FJ154" s="255">
        <v>1.3899999999999999E-2</v>
      </c>
      <c r="FK154" s="71">
        <f t="shared" si="320"/>
        <v>2.6428571428571435E-4</v>
      </c>
      <c r="FL154" t="e">
        <f>VLOOKUP(FF154,'SIMULADOR COM SALDO'!$BX$22:$CK$1000,13,FALSE)</f>
        <v>#N/A</v>
      </c>
    </row>
    <row r="155" spans="7:168" x14ac:dyDescent="0.25">
      <c r="FF155" s="67" t="s">
        <v>1103</v>
      </c>
      <c r="FG155" s="696">
        <v>2.5000000000000001E-2</v>
      </c>
      <c r="FH155" s="696">
        <v>120</v>
      </c>
      <c r="FI155" s="696">
        <v>1.9900000000000001E-2</v>
      </c>
      <c r="FJ155" s="255">
        <v>1.3899999999999999E-2</v>
      </c>
      <c r="FK155" s="71">
        <f t="shared" si="320"/>
        <v>2.6428571428571435E-4</v>
      </c>
      <c r="FL155" t="e">
        <f>VLOOKUP(FF155,'SIMULADOR COM SALDO'!$BX$22:$CK$1000,13,FALSE)</f>
        <v>#N/A</v>
      </c>
    </row>
    <row r="156" spans="7:168" x14ac:dyDescent="0.25">
      <c r="FF156" s="6" t="s">
        <v>720</v>
      </c>
      <c r="FG156" s="696">
        <v>2.5000000000000001E-2</v>
      </c>
      <c r="FH156" s="696">
        <v>96</v>
      </c>
      <c r="FI156" s="696">
        <v>1.8000000000000002E-2</v>
      </c>
      <c r="FJ156" s="255">
        <v>1.4499999999999999E-2</v>
      </c>
      <c r="FK156" s="71">
        <f t="shared" si="320"/>
        <v>2.5000000000000006E-4</v>
      </c>
      <c r="FL156" t="e">
        <f>VLOOKUP(FF156,'SIMULADOR COM SALDO'!$BX$22:$CK$1000,13,FALSE)</f>
        <v>#N/A</v>
      </c>
    </row>
    <row r="157" spans="7:168" x14ac:dyDescent="0.25">
      <c r="FF157" s="6" t="s">
        <v>1143</v>
      </c>
      <c r="FG157" s="696">
        <v>2.35E-2</v>
      </c>
      <c r="FH157" s="696">
        <v>120</v>
      </c>
      <c r="FI157" s="696">
        <v>2.1499999999999998E-2</v>
      </c>
      <c r="FJ157" s="255">
        <v>1.4999999999999999E-2</v>
      </c>
      <c r="FK157" s="71">
        <f t="shared" si="320"/>
        <v>2.0238095238095239E-4</v>
      </c>
      <c r="FL157" t="e">
        <f>VLOOKUP(FF157,'SIMULADOR COM SALDO'!$BX$22:$CK$1000,13,FALSE)</f>
        <v>#N/A</v>
      </c>
    </row>
    <row r="158" spans="7:168" x14ac:dyDescent="0.25">
      <c r="FF158" s="6" t="s">
        <v>371</v>
      </c>
      <c r="FG158" s="696">
        <v>2.5000000000000001E-2</v>
      </c>
      <c r="FH158" s="696">
        <v>120</v>
      </c>
      <c r="FI158" s="696">
        <v>2.1499999999999998E-2</v>
      </c>
      <c r="FJ158" s="255">
        <v>1.4999999999999999E-2</v>
      </c>
      <c r="FK158" s="71">
        <f t="shared" si="320"/>
        <v>2.3809523809523815E-4</v>
      </c>
      <c r="FL158" t="e">
        <f>VLOOKUP(FF158,'SIMULADOR COM SALDO'!$BX$22:$CK$1000,13,FALSE)</f>
        <v>#N/A</v>
      </c>
    </row>
    <row r="159" spans="7:168" x14ac:dyDescent="0.25">
      <c r="FF159" s="6" t="s">
        <v>809</v>
      </c>
      <c r="FG159" s="696">
        <v>2.5000000000000001E-2</v>
      </c>
      <c r="FH159" s="696">
        <v>120</v>
      </c>
      <c r="FI159" s="696">
        <v>1.6500000000000001E-2</v>
      </c>
      <c r="FJ159" s="255">
        <v>1.7399999999999999E-2</v>
      </c>
      <c r="FK159" s="71">
        <f t="shared" si="320"/>
        <v>1.8095238095238101E-4</v>
      </c>
      <c r="FL159" t="e">
        <f>VLOOKUP(FF159,'SIMULADOR COM SALDO'!$BX$22:$CK$1000,13,FALSE)</f>
        <v>#N/A</v>
      </c>
    </row>
    <row r="160" spans="7:168" x14ac:dyDescent="0.25">
      <c r="FF160" s="6" t="s">
        <v>3042</v>
      </c>
      <c r="FG160" s="696">
        <v>2.5000000000000001E-2</v>
      </c>
      <c r="FH160" s="696">
        <v>120</v>
      </c>
      <c r="FI160" s="696">
        <v>1.9E-2</v>
      </c>
      <c r="FJ160" s="255">
        <v>1.7500000000000002E-2</v>
      </c>
      <c r="FK160" s="71">
        <f t="shared" si="320"/>
        <v>1.7857142857142857E-4</v>
      </c>
      <c r="FL160" t="e">
        <f>VLOOKUP(FF160,'SIMULADOR COM SALDO'!$BX$22:$CK$1000,13,FALSE)</f>
        <v>#N/A</v>
      </c>
    </row>
    <row r="161" spans="162:168" x14ac:dyDescent="0.25">
      <c r="FF161" s="6" t="s">
        <v>3043</v>
      </c>
      <c r="FG161" s="696">
        <v>2.5000000000000001E-2</v>
      </c>
      <c r="FH161" s="696">
        <v>120</v>
      </c>
      <c r="FI161" s="696">
        <v>2.2400000000000003E-2</v>
      </c>
      <c r="FJ161" s="255">
        <v>1.55E-2</v>
      </c>
      <c r="FK161" s="71">
        <f t="shared" si="320"/>
        <v>2.2619047619047624E-4</v>
      </c>
      <c r="FL161" t="e">
        <f>VLOOKUP(FF161,'SIMULADOR COM SALDO'!$BX$22:$CK$1000,13,FALSE)</f>
        <v>#N/A</v>
      </c>
    </row>
    <row r="162" spans="162:168" x14ac:dyDescent="0.25">
      <c r="FF162" s="6" t="s">
        <v>723</v>
      </c>
      <c r="FG162" s="696">
        <v>2.5000000000000001E-2</v>
      </c>
      <c r="FH162" s="696">
        <v>120</v>
      </c>
      <c r="FI162" s="696">
        <v>1.83E-2</v>
      </c>
      <c r="FJ162" s="255">
        <v>1.7000000000000001E-2</v>
      </c>
      <c r="FK162" s="71">
        <f t="shared" si="320"/>
        <v>1.9047619047619048E-4</v>
      </c>
      <c r="FL162" t="e">
        <f>VLOOKUP(FF162,'SIMULADOR COM SALDO'!$BX$22:$CK$1000,13,FALSE)</f>
        <v>#N/A</v>
      </c>
    </row>
    <row r="163" spans="162:168" x14ac:dyDescent="0.25">
      <c r="FF163" s="6" t="s">
        <v>3044</v>
      </c>
      <c r="FG163" s="696">
        <v>2.5000000000000001E-2</v>
      </c>
      <c r="FH163" s="696">
        <v>120</v>
      </c>
      <c r="FI163" s="696">
        <v>2.1099999999999997E-2</v>
      </c>
      <c r="FJ163" s="255">
        <v>1.49E-2</v>
      </c>
      <c r="FK163" s="71">
        <f t="shared" si="320"/>
        <v>2.404761904761905E-4</v>
      </c>
      <c r="FL163" t="e">
        <f>VLOOKUP(FF163,'SIMULADOR COM SALDO'!$BX$22:$CK$1000,13,FALSE)</f>
        <v>#N/A</v>
      </c>
    </row>
    <row r="164" spans="162:168" x14ac:dyDescent="0.25">
      <c r="FF164" s="6" t="s">
        <v>2422</v>
      </c>
      <c r="FG164" s="696">
        <v>2.5000000000000001E-2</v>
      </c>
      <c r="FH164" s="696">
        <v>120</v>
      </c>
      <c r="FI164" s="696">
        <v>1.9900000000000001E-2</v>
      </c>
      <c r="FJ164" s="255">
        <v>1.3899999999999999E-2</v>
      </c>
      <c r="FK164" s="71">
        <f t="shared" si="320"/>
        <v>2.6428571428571435E-4</v>
      </c>
      <c r="FL164" t="e">
        <f>VLOOKUP(FF164,'SIMULADOR COM SALDO'!$BX$22:$CK$1000,13,FALSE)</f>
        <v>#N/A</v>
      </c>
    </row>
    <row r="165" spans="162:168" x14ac:dyDescent="0.25">
      <c r="FF165" s="6" t="s">
        <v>470</v>
      </c>
      <c r="FG165" s="696">
        <v>2.5000000000000001E-2</v>
      </c>
      <c r="FH165" s="696">
        <v>120</v>
      </c>
      <c r="FI165" s="696">
        <v>1.8500000000000003E-2</v>
      </c>
      <c r="FJ165" s="255">
        <v>1.52E-2</v>
      </c>
      <c r="FK165" s="71">
        <f t="shared" si="320"/>
        <v>2.3333333333333336E-4</v>
      </c>
      <c r="FL165" t="e">
        <f>VLOOKUP(FF165,'SIMULADOR COM SALDO'!$BX$22:$CK$1000,13,FALSE)</f>
        <v>#N/A</v>
      </c>
    </row>
    <row r="166" spans="162:168" x14ac:dyDescent="0.25">
      <c r="FF166" s="6" t="s">
        <v>507</v>
      </c>
      <c r="FG166" s="696">
        <v>2.5000000000000001E-2</v>
      </c>
      <c r="FH166" s="696">
        <v>96</v>
      </c>
      <c r="FI166" s="696">
        <v>2.3E-2</v>
      </c>
      <c r="FJ166" s="255">
        <v>2.2000000000000002E-2</v>
      </c>
      <c r="FK166" s="71">
        <f t="shared" si="320"/>
        <v>7.1428571428571407E-5</v>
      </c>
      <c r="FL166" t="e">
        <f>VLOOKUP(FF166,'SIMULADOR COM SALDO'!$BX$22:$CK$1000,13,FALSE)</f>
        <v>#N/A</v>
      </c>
    </row>
    <row r="167" spans="162:168" x14ac:dyDescent="0.25">
      <c r="FF167" s="6" t="s">
        <v>226</v>
      </c>
      <c r="FG167" s="696">
        <v>2.5000000000000001E-2</v>
      </c>
      <c r="FH167" s="696">
        <v>120</v>
      </c>
      <c r="FI167" s="696">
        <v>1.6799999999999999E-2</v>
      </c>
      <c r="FJ167" s="255">
        <v>1.3999999999999999E-2</v>
      </c>
      <c r="FK167" s="71">
        <f t="shared" si="320"/>
        <v>2.6190476190476197E-4</v>
      </c>
      <c r="FL167" t="e">
        <f>VLOOKUP(FF167,'SIMULADOR COM SALDO'!$BX$22:$CK$1000,13,FALSE)</f>
        <v>#N/A</v>
      </c>
    </row>
    <row r="168" spans="162:168" x14ac:dyDescent="0.25">
      <c r="FF168" s="6" t="s">
        <v>217</v>
      </c>
      <c r="FG168" s="696">
        <v>2.5000000000000001E-2</v>
      </c>
      <c r="FH168" s="696">
        <v>120</v>
      </c>
      <c r="FI168" s="696">
        <v>2.2000000000000002E-2</v>
      </c>
      <c r="FJ168" s="255">
        <v>1.6E-2</v>
      </c>
      <c r="FK168" s="71">
        <f t="shared" si="320"/>
        <v>2.142857142857143E-4</v>
      </c>
      <c r="FL168" t="e">
        <f>VLOOKUP(FF168,'SIMULADOR COM SALDO'!$BX$22:$CK$1000,13,FALSE)</f>
        <v>#N/A</v>
      </c>
    </row>
    <row r="169" spans="162:168" x14ac:dyDescent="0.25">
      <c r="FF169" s="67" t="s">
        <v>91</v>
      </c>
      <c r="FG169" s="696">
        <v>1.8500000000000003E-2</v>
      </c>
      <c r="FH169" s="696">
        <v>120</v>
      </c>
      <c r="FI169" s="696">
        <v>1.8500000000000003E-2</v>
      </c>
      <c r="FJ169" s="255">
        <v>1.4999999999999999E-2</v>
      </c>
      <c r="FK169" s="71">
        <f t="shared" si="320"/>
        <v>8.3333333333333412E-5</v>
      </c>
      <c r="FL169" t="e">
        <f>VLOOKUP(FF169,'SIMULADOR COM SALDO'!$BX$22:$CK$1000,13,FALSE)</f>
        <v>#N/A</v>
      </c>
    </row>
    <row r="170" spans="162:168" x14ac:dyDescent="0.25">
      <c r="FF170" s="6" t="s">
        <v>372</v>
      </c>
      <c r="FG170" s="696">
        <v>2.29E-2</v>
      </c>
      <c r="FH170" s="696">
        <v>120</v>
      </c>
      <c r="FI170" s="696">
        <v>1.6899999999999998E-2</v>
      </c>
      <c r="FJ170" s="255">
        <v>1.4499999999999999E-2</v>
      </c>
      <c r="FK170" s="71">
        <f t="shared" si="320"/>
        <v>2.0000000000000004E-4</v>
      </c>
      <c r="FL170" t="e">
        <f>VLOOKUP(FF170,'SIMULADOR COM SALDO'!$BX$22:$CK$1000,13,FALSE)</f>
        <v>#N/A</v>
      </c>
    </row>
    <row r="171" spans="162:168" x14ac:dyDescent="0.25">
      <c r="FF171" s="6" t="s">
        <v>1091</v>
      </c>
      <c r="FG171" s="696">
        <v>2.5000000000000001E-2</v>
      </c>
      <c r="FH171" s="696">
        <v>120</v>
      </c>
      <c r="FI171" s="696">
        <v>2.0299999999999999E-2</v>
      </c>
      <c r="FJ171" s="255">
        <v>1.34E-2</v>
      </c>
      <c r="FK171" s="71">
        <f t="shared" si="320"/>
        <v>2.7619047619047621E-4</v>
      </c>
      <c r="FL171" t="e">
        <f>VLOOKUP(FF171,'SIMULADOR COM SALDO'!$BX$22:$CK$1000,13,FALSE)</f>
        <v>#N/A</v>
      </c>
    </row>
    <row r="172" spans="162:168" x14ac:dyDescent="0.25">
      <c r="FF172" s="6" t="s">
        <v>3842</v>
      </c>
      <c r="FG172" s="696">
        <v>2.5000000000000001E-2</v>
      </c>
      <c r="FH172" s="696">
        <v>96</v>
      </c>
      <c r="FI172" s="696">
        <v>1.72E-2</v>
      </c>
      <c r="FJ172" s="255">
        <v>1.41E-2</v>
      </c>
      <c r="FK172" s="71">
        <f t="shared" si="320"/>
        <v>2.5952380952380959E-4</v>
      </c>
      <c r="FL172" t="e">
        <f>VLOOKUP(FF172,'SIMULADOR COM SALDO'!$BX$22:$CK$1000,13,FALSE)</f>
        <v>#N/A</v>
      </c>
    </row>
    <row r="173" spans="162:168" x14ac:dyDescent="0.25">
      <c r="FF173" s="6" t="s">
        <v>3672</v>
      </c>
      <c r="FG173" s="696">
        <v>2.5000000000000001E-2</v>
      </c>
      <c r="FH173" s="696">
        <v>120</v>
      </c>
      <c r="FI173" s="696">
        <v>1.7000000000000001E-2</v>
      </c>
      <c r="FJ173" s="255">
        <v>1.41E-2</v>
      </c>
      <c r="FK173" s="71">
        <f t="shared" si="320"/>
        <v>2.5952380952380959E-4</v>
      </c>
      <c r="FL173" t="e">
        <f>VLOOKUP(FF173,'SIMULADOR COM SALDO'!$BX$22:$CK$1000,13,FALSE)</f>
        <v>#N/A</v>
      </c>
    </row>
    <row r="174" spans="162:168" x14ac:dyDescent="0.25">
      <c r="FF174" s="6" t="s">
        <v>3045</v>
      </c>
      <c r="FG174" s="696">
        <v>2.5000000000000001E-2</v>
      </c>
      <c r="FH174" s="696">
        <v>120</v>
      </c>
      <c r="FI174" s="696">
        <v>2.3E-2</v>
      </c>
      <c r="FJ174" s="255">
        <v>1.7600000000000001E-2</v>
      </c>
      <c r="FK174" s="71">
        <f t="shared" si="320"/>
        <v>1.7619047619047619E-4</v>
      </c>
      <c r="FL174" t="e">
        <f>VLOOKUP(FF174,'SIMULADOR COM SALDO'!$BX$22:$CK$1000,13,FALSE)</f>
        <v>#N/A</v>
      </c>
    </row>
    <row r="175" spans="162:168" x14ac:dyDescent="0.25">
      <c r="FF175" s="6" t="s">
        <v>670</v>
      </c>
      <c r="FG175" s="696">
        <v>2.5000000000000001E-2</v>
      </c>
      <c r="FH175" s="696">
        <v>96</v>
      </c>
      <c r="FI175" s="696">
        <v>1.7500000000000002E-2</v>
      </c>
      <c r="FJ175" s="255">
        <v>1.55E-2</v>
      </c>
      <c r="FK175" s="71">
        <f t="shared" si="320"/>
        <v>2.2619047619047624E-4</v>
      </c>
      <c r="FL175" t="e">
        <f>VLOOKUP(FF175,'SIMULADOR COM SALDO'!$BX$22:$CK$1000,13,FALSE)</f>
        <v>#N/A</v>
      </c>
    </row>
    <row r="176" spans="162:168" x14ac:dyDescent="0.25">
      <c r="FF176" s="6" t="s">
        <v>789</v>
      </c>
      <c r="FG176" s="696">
        <v>2.5000000000000001E-2</v>
      </c>
      <c r="FH176" s="696">
        <v>120</v>
      </c>
      <c r="FI176" s="696">
        <v>2.41E-2</v>
      </c>
      <c r="FJ176" s="255">
        <v>1.7000000000000001E-2</v>
      </c>
      <c r="FK176" s="71">
        <f t="shared" si="320"/>
        <v>1.9047619047619048E-4</v>
      </c>
      <c r="FL176" t="e">
        <f>VLOOKUP(FF176,'SIMULADOR COM SALDO'!$BX$22:$CK$1000,13,FALSE)</f>
        <v>#N/A</v>
      </c>
    </row>
    <row r="177" spans="162:168" x14ac:dyDescent="0.25">
      <c r="FF177" s="6" t="s">
        <v>642</v>
      </c>
      <c r="FG177" s="696">
        <v>2.5000000000000001E-2</v>
      </c>
      <c r="FH177" s="696">
        <v>120</v>
      </c>
      <c r="FI177" s="696">
        <v>2.0099999999999996E-2</v>
      </c>
      <c r="FJ177" s="255">
        <v>1.3899999999999999E-2</v>
      </c>
      <c r="FK177" s="71">
        <f t="shared" si="320"/>
        <v>2.6428571428571435E-4</v>
      </c>
      <c r="FL177" t="e">
        <f>VLOOKUP(FF177,'SIMULADOR COM SALDO'!$BX$22:$CK$1000,13,FALSE)</f>
        <v>#N/A</v>
      </c>
    </row>
    <row r="178" spans="162:168" x14ac:dyDescent="0.25">
      <c r="FF178" s="6" t="s">
        <v>3715</v>
      </c>
      <c r="FG178" s="696">
        <v>2.5000000000000001E-2</v>
      </c>
      <c r="FH178" s="696">
        <v>120</v>
      </c>
      <c r="FI178" s="696">
        <v>1.7000000000000001E-2</v>
      </c>
      <c r="FJ178" s="255">
        <v>1.41E-2</v>
      </c>
      <c r="FK178" s="71">
        <f t="shared" si="320"/>
        <v>2.5952380952380959E-4</v>
      </c>
      <c r="FL178" t="e">
        <f>VLOOKUP(FF178,'SIMULADOR COM SALDO'!$BX$22:$CK$1000,13,FALSE)</f>
        <v>#N/A</v>
      </c>
    </row>
    <row r="179" spans="162:168" x14ac:dyDescent="0.25">
      <c r="FF179" s="6" t="s">
        <v>846</v>
      </c>
      <c r="FG179" s="696">
        <v>1.9900000000000001E-2</v>
      </c>
      <c r="FH179" s="696">
        <v>96</v>
      </c>
      <c r="FI179" s="696">
        <v>1.9900000000000001E-2</v>
      </c>
      <c r="FJ179" s="255">
        <v>1.4999999999999999E-2</v>
      </c>
      <c r="FK179" s="71">
        <f t="shared" si="320"/>
        <v>1.1666666666666671E-4</v>
      </c>
      <c r="FL179" t="e">
        <f>VLOOKUP(FF179,'SIMULADOR COM SALDO'!$BX$22:$CK$1000,13,FALSE)</f>
        <v>#N/A</v>
      </c>
    </row>
    <row r="180" spans="162:168" x14ac:dyDescent="0.25">
      <c r="FF180" s="6" t="s">
        <v>2640</v>
      </c>
      <c r="FG180" s="696">
        <v>2.5000000000000001E-2</v>
      </c>
      <c r="FH180" s="696">
        <v>96</v>
      </c>
      <c r="FI180" s="696">
        <v>2.0199999999999999E-2</v>
      </c>
      <c r="FJ180" s="255">
        <v>1.55E-2</v>
      </c>
      <c r="FK180" s="71">
        <f t="shared" si="320"/>
        <v>2.2619047619047624E-4</v>
      </c>
      <c r="FL180" t="e">
        <f>VLOOKUP(FF180,'SIMULADOR COM SALDO'!$BX$22:$CK$1000,13,FALSE)</f>
        <v>#N/A</v>
      </c>
    </row>
    <row r="181" spans="162:168" x14ac:dyDescent="0.25">
      <c r="FF181" s="67" t="s">
        <v>93</v>
      </c>
      <c r="FG181" s="696">
        <v>2.5000000000000001E-2</v>
      </c>
      <c r="FH181" s="696">
        <v>120</v>
      </c>
      <c r="FI181" s="696">
        <v>2.35E-2</v>
      </c>
      <c r="FJ181" s="255">
        <v>2.06E-2</v>
      </c>
      <c r="FK181" s="71">
        <f t="shared" si="320"/>
        <v>1.0476190476190478E-4</v>
      </c>
      <c r="FL181" t="e">
        <f>VLOOKUP(FF181,'SIMULADOR COM SALDO'!$BX$22:$CK$1000,13,FALSE)</f>
        <v>#N/A</v>
      </c>
    </row>
    <row r="182" spans="162:168" x14ac:dyDescent="0.25">
      <c r="FF182" s="6" t="s">
        <v>3046</v>
      </c>
      <c r="FG182" s="696">
        <v>2.5000000000000001E-2</v>
      </c>
      <c r="FH182" s="696">
        <v>96</v>
      </c>
      <c r="FI182" s="696">
        <v>1.9900000000000001E-2</v>
      </c>
      <c r="FJ182" s="255">
        <v>1.5900000000000001E-2</v>
      </c>
      <c r="FK182" s="71">
        <f t="shared" si="320"/>
        <v>2.1666666666666668E-4</v>
      </c>
      <c r="FL182" t="e">
        <f>VLOOKUP(FF182,'SIMULADOR COM SALDO'!$BX$22:$CK$1000,13,FALSE)</f>
        <v>#N/A</v>
      </c>
    </row>
    <row r="183" spans="162:168" x14ac:dyDescent="0.25">
      <c r="FF183" s="6" t="s">
        <v>508</v>
      </c>
      <c r="FG183" s="696">
        <v>2.5000000000000001E-2</v>
      </c>
      <c r="FH183" s="696">
        <v>120</v>
      </c>
      <c r="FI183" s="696">
        <v>1.66E-2</v>
      </c>
      <c r="FJ183" s="255">
        <v>1.38E-2</v>
      </c>
      <c r="FK183" s="71">
        <f t="shared" si="320"/>
        <v>2.6666666666666668E-4</v>
      </c>
      <c r="FL183" t="e">
        <f>VLOOKUP(FF183,'SIMULADOR COM SALDO'!$BX$22:$CK$1000,13,FALSE)</f>
        <v>#N/A</v>
      </c>
    </row>
    <row r="184" spans="162:168" x14ac:dyDescent="0.25">
      <c r="FF184" s="6" t="s">
        <v>1301</v>
      </c>
      <c r="FG184" s="696">
        <v>2.5000000000000001E-2</v>
      </c>
      <c r="FH184" s="696">
        <v>120</v>
      </c>
      <c r="FI184" s="696">
        <v>1.7500000000000002E-2</v>
      </c>
      <c r="FJ184" s="255">
        <v>1.3999999999999999E-2</v>
      </c>
      <c r="FK184" s="71">
        <f t="shared" si="320"/>
        <v>2.6190476190476197E-4</v>
      </c>
      <c r="FL184" t="e">
        <f>VLOOKUP(FF184,'SIMULADOR COM SALDO'!$BX$22:$CK$1000,13,FALSE)</f>
        <v>#N/A</v>
      </c>
    </row>
    <row r="185" spans="162:168" x14ac:dyDescent="0.25">
      <c r="FF185" s="6" t="s">
        <v>580</v>
      </c>
      <c r="FG185" s="696">
        <v>2.7000000000000003E-2</v>
      </c>
      <c r="FH185" s="696">
        <v>120</v>
      </c>
      <c r="FI185" s="696">
        <v>2.2000000000000002E-2</v>
      </c>
      <c r="FJ185" s="255">
        <v>1.4999999999999999E-2</v>
      </c>
      <c r="FK185" s="71">
        <f t="shared" si="320"/>
        <v>2.8571428571428579E-4</v>
      </c>
      <c r="FL185" t="e">
        <f>VLOOKUP(FF185,'SIMULADOR COM SALDO'!$BX$22:$CK$1000,13,FALSE)</f>
        <v>#N/A</v>
      </c>
    </row>
    <row r="186" spans="162:168" x14ac:dyDescent="0.25">
      <c r="FF186" s="67" t="s">
        <v>98</v>
      </c>
      <c r="FG186" s="696">
        <v>2.5000000000000001E-2</v>
      </c>
      <c r="FH186" s="696">
        <v>120</v>
      </c>
      <c r="FI186" s="696">
        <v>1.9900000000000001E-2</v>
      </c>
      <c r="FJ186" s="255">
        <v>1.49E-2</v>
      </c>
      <c r="FK186" s="71">
        <f t="shared" si="320"/>
        <v>2.404761904761905E-4</v>
      </c>
      <c r="FL186" t="e">
        <f>VLOOKUP(FF186,'SIMULADOR COM SALDO'!$BX$22:$CK$1000,13,FALSE)</f>
        <v>#N/A</v>
      </c>
    </row>
    <row r="187" spans="162:168" x14ac:dyDescent="0.25">
      <c r="FF187" s="6" t="s">
        <v>3047</v>
      </c>
      <c r="FG187" s="696">
        <v>2.5000000000000001E-2</v>
      </c>
      <c r="FH187" s="696">
        <v>120</v>
      </c>
      <c r="FI187" s="696">
        <v>2.1499999999999998E-2</v>
      </c>
      <c r="FJ187" s="255">
        <v>1.55E-2</v>
      </c>
      <c r="FK187" s="71">
        <f t="shared" si="320"/>
        <v>2.2619047619047624E-4</v>
      </c>
      <c r="FL187" t="e">
        <f>VLOOKUP(FF187,'SIMULADOR COM SALDO'!$BX$22:$CK$1000,13,FALSE)</f>
        <v>#N/A</v>
      </c>
    </row>
    <row r="188" spans="162:168" x14ac:dyDescent="0.25">
      <c r="FF188" s="6" t="s">
        <v>3048</v>
      </c>
      <c r="FG188" s="696">
        <v>2.7999999999999997E-2</v>
      </c>
      <c r="FH188" s="696">
        <v>120</v>
      </c>
      <c r="FI188" s="696">
        <v>2.2000000000000002E-2</v>
      </c>
      <c r="FJ188" s="255">
        <v>1.4999999999999999E-2</v>
      </c>
      <c r="FK188" s="71">
        <f t="shared" si="320"/>
        <v>3.0952380952380945E-4</v>
      </c>
      <c r="FL188" t="e">
        <f>VLOOKUP(FF188,'SIMULADOR COM SALDO'!$BX$22:$CK$1000,13,FALSE)</f>
        <v>#N/A</v>
      </c>
    </row>
    <row r="189" spans="162:168" x14ac:dyDescent="0.25">
      <c r="FF189" s="6" t="s">
        <v>3751</v>
      </c>
      <c r="FG189" s="696">
        <v>2.5000000000000001E-2</v>
      </c>
      <c r="FH189" s="696">
        <v>120</v>
      </c>
      <c r="FI189" s="696">
        <v>2.1499999999999998E-2</v>
      </c>
      <c r="FJ189" s="255">
        <v>1.6200000000000003E-2</v>
      </c>
      <c r="FK189" s="71">
        <f t="shared" si="320"/>
        <v>2.0952380952380948E-4</v>
      </c>
      <c r="FL189" t="e">
        <f>VLOOKUP(FF189,'SIMULADOR COM SALDO'!$BX$22:$CK$1000,13,FALSE)</f>
        <v>#N/A</v>
      </c>
    </row>
    <row r="190" spans="162:168" x14ac:dyDescent="0.25">
      <c r="FF190" s="6" t="s">
        <v>3049</v>
      </c>
      <c r="FG190" s="696">
        <v>2.5000000000000001E-2</v>
      </c>
      <c r="FH190" s="696">
        <v>96</v>
      </c>
      <c r="FI190" s="696">
        <v>1.8500000000000003E-2</v>
      </c>
      <c r="FJ190" s="255">
        <v>1.4499999999999999E-2</v>
      </c>
      <c r="FK190" s="71">
        <f t="shared" si="320"/>
        <v>2.5000000000000006E-4</v>
      </c>
      <c r="FL190" t="e">
        <f>VLOOKUP(FF190,'SIMULADOR COM SALDO'!$BX$22:$CK$1000,13,FALSE)</f>
        <v>#N/A</v>
      </c>
    </row>
    <row r="191" spans="162:168" x14ac:dyDescent="0.25">
      <c r="FF191" s="6" t="s">
        <v>3050</v>
      </c>
      <c r="FG191" s="696">
        <v>2.5000000000000001E-2</v>
      </c>
      <c r="FH191" s="696">
        <v>96</v>
      </c>
      <c r="FI191" s="696">
        <v>1.8500000000000003E-2</v>
      </c>
      <c r="FJ191" s="255">
        <v>1.4499999999999999E-2</v>
      </c>
      <c r="FK191" s="71">
        <f t="shared" si="320"/>
        <v>2.5000000000000006E-4</v>
      </c>
      <c r="FL191" t="e">
        <f>VLOOKUP(FF191,'SIMULADOR COM SALDO'!$BX$22:$CK$1000,13,FALSE)</f>
        <v>#N/A</v>
      </c>
    </row>
    <row r="192" spans="162:168" x14ac:dyDescent="0.25">
      <c r="FF192" s="6" t="s">
        <v>1050</v>
      </c>
      <c r="FG192" s="696">
        <v>1.9E-2</v>
      </c>
      <c r="FH192" s="696">
        <v>96</v>
      </c>
      <c r="FI192" s="696">
        <v>1.7000000000000001E-2</v>
      </c>
      <c r="FJ192" s="255">
        <v>1.3999999999999999E-2</v>
      </c>
      <c r="FK192" s="71">
        <f t="shared" si="320"/>
        <v>1.1904761904761907E-4</v>
      </c>
      <c r="FL192" t="e">
        <f>VLOOKUP(FF192,'SIMULADOR COM SALDO'!$BX$22:$CK$1000,13,FALSE)</f>
        <v>#N/A</v>
      </c>
    </row>
    <row r="193" spans="162:168" x14ac:dyDescent="0.25">
      <c r="FF193" s="6" t="s">
        <v>3051</v>
      </c>
      <c r="FG193" s="696">
        <v>2.5000000000000001E-2</v>
      </c>
      <c r="FH193" s="696">
        <v>96</v>
      </c>
      <c r="FI193" s="696">
        <v>1.7000000000000001E-2</v>
      </c>
      <c r="FJ193" s="255">
        <v>1.46E-2</v>
      </c>
      <c r="FK193" s="71">
        <f t="shared" si="320"/>
        <v>2.4761904761904762E-4</v>
      </c>
      <c r="FL193" t="e">
        <f>VLOOKUP(FF193,'SIMULADOR COM SALDO'!$BX$22:$CK$1000,13,FALSE)</f>
        <v>#N/A</v>
      </c>
    </row>
    <row r="194" spans="162:168" x14ac:dyDescent="0.25">
      <c r="FF194" s="6" t="s">
        <v>3052</v>
      </c>
      <c r="FG194" s="696">
        <v>2.5000000000000001E-2</v>
      </c>
      <c r="FH194" s="696">
        <v>120</v>
      </c>
      <c r="FI194" s="696">
        <v>2.1000000000000001E-2</v>
      </c>
      <c r="FJ194" s="255">
        <v>1.6E-2</v>
      </c>
      <c r="FK194" s="71">
        <f t="shared" si="320"/>
        <v>2.142857142857143E-4</v>
      </c>
      <c r="FL194" t="e">
        <f>VLOOKUP(FF194,'SIMULADOR COM SALDO'!$BX$22:$CK$1000,13,FALSE)</f>
        <v>#N/A</v>
      </c>
    </row>
    <row r="195" spans="162:168" x14ac:dyDescent="0.25">
      <c r="FF195" s="6" t="s">
        <v>601</v>
      </c>
      <c r="FG195" s="696">
        <v>2.2499999999999999E-2</v>
      </c>
      <c r="FH195" s="696">
        <v>96</v>
      </c>
      <c r="FI195" s="696">
        <v>2.07E-2</v>
      </c>
      <c r="FJ195" s="255">
        <v>1.4999999999999999E-2</v>
      </c>
      <c r="FK195" s="71">
        <f t="shared" si="320"/>
        <v>1.7857142857142857E-4</v>
      </c>
      <c r="FL195" t="e">
        <f>VLOOKUP(FF195,'SIMULADOR COM SALDO'!$BX$22:$CK$1000,13,FALSE)</f>
        <v>#N/A</v>
      </c>
    </row>
    <row r="196" spans="162:168" x14ac:dyDescent="0.25">
      <c r="FF196" s="6" t="s">
        <v>375</v>
      </c>
      <c r="FG196" s="696">
        <v>2.5000000000000001E-2</v>
      </c>
      <c r="FH196" s="696">
        <v>96</v>
      </c>
      <c r="FI196" s="696">
        <v>1.6299999999999999E-2</v>
      </c>
      <c r="FJ196" s="255">
        <v>1.3500000000000002E-2</v>
      </c>
      <c r="FK196" s="71">
        <f t="shared" si="320"/>
        <v>2.7380952380952383E-4</v>
      </c>
      <c r="FL196" t="e">
        <f>VLOOKUP(FF196,'SIMULADOR COM SALDO'!$BX$22:$CK$1000,13,FALSE)</f>
        <v>#N/A</v>
      </c>
    </row>
    <row r="197" spans="162:168" x14ac:dyDescent="0.25">
      <c r="FF197" s="6" t="s">
        <v>1122</v>
      </c>
      <c r="FG197" s="696">
        <v>2.5000000000000001E-2</v>
      </c>
      <c r="FH197" s="696">
        <v>120</v>
      </c>
      <c r="FI197" s="696">
        <v>2.1000000000000001E-2</v>
      </c>
      <c r="FJ197" s="255">
        <v>1.49E-2</v>
      </c>
      <c r="FK197" s="71">
        <f t="shared" si="320"/>
        <v>2.404761904761905E-4</v>
      </c>
      <c r="FL197" t="e">
        <f>VLOOKUP(FF197,'SIMULADOR COM SALDO'!$BX$22:$CK$1000,13,FALSE)</f>
        <v>#N/A</v>
      </c>
    </row>
    <row r="198" spans="162:168" x14ac:dyDescent="0.25">
      <c r="FF198" s="6" t="s">
        <v>205</v>
      </c>
      <c r="FG198" s="696">
        <v>2.5000000000000001E-2</v>
      </c>
      <c r="FH198" s="696">
        <v>120</v>
      </c>
      <c r="FI198" s="696">
        <v>2.2000000000000002E-2</v>
      </c>
      <c r="FJ198" s="255">
        <v>1.7000000000000001E-2</v>
      </c>
      <c r="FK198" s="71">
        <f t="shared" si="320"/>
        <v>1.9047619047619048E-4</v>
      </c>
      <c r="FL198" t="e">
        <f>VLOOKUP(FF198,'SIMULADOR COM SALDO'!$BX$22:$CK$1000,13,FALSE)</f>
        <v>#N/A</v>
      </c>
    </row>
    <row r="199" spans="162:168" x14ac:dyDescent="0.25">
      <c r="FF199" s="6" t="s">
        <v>3053</v>
      </c>
      <c r="FG199" s="696">
        <v>2.5000000000000001E-2</v>
      </c>
      <c r="FH199" s="696">
        <v>120</v>
      </c>
      <c r="FI199" s="696">
        <v>1.95E-2</v>
      </c>
      <c r="FJ199" s="255">
        <v>1.4800000000000001E-2</v>
      </c>
      <c r="FK199" s="71">
        <f t="shared" si="320"/>
        <v>2.4285714285714289E-4</v>
      </c>
      <c r="FL199" t="e">
        <f>VLOOKUP(FF199,'SIMULADOR COM SALDO'!$BX$22:$CK$1000,13,FALSE)</f>
        <v>#N/A</v>
      </c>
    </row>
    <row r="200" spans="162:168" x14ac:dyDescent="0.25">
      <c r="FF200" s="6" t="s">
        <v>3054</v>
      </c>
      <c r="FG200" s="696">
        <v>2.5000000000000001E-2</v>
      </c>
      <c r="FH200" s="696">
        <v>120</v>
      </c>
      <c r="FI200" s="696">
        <v>1.95E-2</v>
      </c>
      <c r="FJ200" s="255">
        <v>1.4800000000000001E-2</v>
      </c>
      <c r="FK200" s="71">
        <f t="shared" si="320"/>
        <v>2.4285714285714289E-4</v>
      </c>
      <c r="FL200" t="e">
        <f>VLOOKUP(FF200,'SIMULADOR COM SALDO'!$BX$22:$CK$1000,13,FALSE)</f>
        <v>#N/A</v>
      </c>
    </row>
    <row r="201" spans="162:168" x14ac:dyDescent="0.25">
      <c r="FF201" s="6" t="s">
        <v>373</v>
      </c>
      <c r="FG201" s="696">
        <v>2.5000000000000001E-2</v>
      </c>
      <c r="FH201" s="696">
        <v>120</v>
      </c>
      <c r="FI201" s="696">
        <v>2.1499999999999998E-2</v>
      </c>
      <c r="FJ201" s="255">
        <v>1.6500000000000001E-2</v>
      </c>
      <c r="FK201" s="71">
        <f t="shared" si="320"/>
        <v>2.0238095238095239E-4</v>
      </c>
      <c r="FL201" t="e">
        <f>VLOOKUP(FF201,'SIMULADOR COM SALDO'!$BX$22:$CK$1000,13,FALSE)</f>
        <v>#N/A</v>
      </c>
    </row>
    <row r="202" spans="162:168" x14ac:dyDescent="0.25">
      <c r="FF202" s="6" t="s">
        <v>362</v>
      </c>
      <c r="FG202" s="696">
        <v>2.5000000000000001E-2</v>
      </c>
      <c r="FH202" s="696">
        <v>120</v>
      </c>
      <c r="FI202" s="696">
        <v>2.1499999999999998E-2</v>
      </c>
      <c r="FJ202" s="255">
        <v>1.6500000000000001E-2</v>
      </c>
      <c r="FK202" s="71">
        <f t="shared" si="320"/>
        <v>2.0238095238095239E-4</v>
      </c>
      <c r="FL202" t="e">
        <f>VLOOKUP(FF202,'SIMULADOR COM SALDO'!$BX$22:$CK$1000,13,FALSE)</f>
        <v>#N/A</v>
      </c>
    </row>
    <row r="203" spans="162:168" x14ac:dyDescent="0.25">
      <c r="FF203" s="6" t="s">
        <v>228</v>
      </c>
      <c r="FG203" s="696">
        <v>2.5000000000000001E-2</v>
      </c>
      <c r="FH203" s="696">
        <v>120</v>
      </c>
      <c r="FI203" s="696">
        <v>1.9900000000000001E-2</v>
      </c>
      <c r="FJ203" s="255">
        <v>1.6E-2</v>
      </c>
      <c r="FK203" s="71">
        <f t="shared" si="320"/>
        <v>2.142857142857143E-4</v>
      </c>
      <c r="FL203" t="e">
        <f>VLOOKUP(FF203,'SIMULADOR COM SALDO'!$BX$22:$CK$1000,13,FALSE)</f>
        <v>#N/A</v>
      </c>
    </row>
    <row r="204" spans="162:168" x14ac:dyDescent="0.25">
      <c r="FF204" s="6" t="s">
        <v>854</v>
      </c>
      <c r="FG204" s="696">
        <v>2.2499999999999999E-2</v>
      </c>
      <c r="FH204" s="696">
        <v>120</v>
      </c>
      <c r="FI204" s="696">
        <v>1.9E-2</v>
      </c>
      <c r="FJ204" s="255">
        <v>1.4999999999999999E-2</v>
      </c>
      <c r="FK204" s="71">
        <f t="shared" ref="FK204:FK245" si="351">(FG204-FJ204)/42</f>
        <v>1.7857142857142857E-4</v>
      </c>
      <c r="FL204" t="e">
        <f>VLOOKUP(FF204,'SIMULADOR COM SALDO'!$BX$22:$CK$1000,13,FALSE)</f>
        <v>#N/A</v>
      </c>
    </row>
    <row r="205" spans="162:168" x14ac:dyDescent="0.25">
      <c r="FF205" s="6" t="s">
        <v>3055</v>
      </c>
      <c r="FG205" s="696">
        <v>2.5000000000000001E-2</v>
      </c>
      <c r="FH205" s="696">
        <v>120</v>
      </c>
      <c r="FI205" s="696">
        <v>2.0400000000000001E-2</v>
      </c>
      <c r="FJ205" s="255">
        <v>1.4999999999999999E-2</v>
      </c>
      <c r="FK205" s="71">
        <f t="shared" si="351"/>
        <v>2.3809523809523815E-4</v>
      </c>
      <c r="FL205" t="e">
        <f>VLOOKUP(FF205,'SIMULADOR COM SALDO'!$BX$22:$CK$1000,13,FALSE)</f>
        <v>#N/A</v>
      </c>
    </row>
    <row r="206" spans="162:168" x14ac:dyDescent="0.25">
      <c r="FF206" s="6" t="s">
        <v>552</v>
      </c>
      <c r="FG206" s="696">
        <v>2.6000000000000002E-2</v>
      </c>
      <c r="FH206" s="696">
        <v>120</v>
      </c>
      <c r="FI206" s="696">
        <v>2.0299999999999999E-2</v>
      </c>
      <c r="FJ206" s="255">
        <v>1.8000000000000002E-2</v>
      </c>
      <c r="FK206" s="71">
        <f t="shared" si="351"/>
        <v>1.9047619047619048E-4</v>
      </c>
      <c r="FL206" t="e">
        <f>VLOOKUP(FF206,'SIMULADOR COM SALDO'!$BX$22:$CK$1000,13,FALSE)</f>
        <v>#N/A</v>
      </c>
    </row>
    <row r="207" spans="162:168" x14ac:dyDescent="0.25">
      <c r="FF207" s="6" t="s">
        <v>355</v>
      </c>
      <c r="FG207" s="696">
        <v>2.5000000000000001E-2</v>
      </c>
      <c r="FH207" s="696">
        <v>120</v>
      </c>
      <c r="FI207" s="696">
        <v>2.1000000000000001E-2</v>
      </c>
      <c r="FJ207" s="255">
        <v>1.7500000000000002E-2</v>
      </c>
      <c r="FK207" s="71">
        <f t="shared" si="351"/>
        <v>1.7857142857142857E-4</v>
      </c>
      <c r="FL207" t="e">
        <f>VLOOKUP(FF207,'SIMULADOR COM SALDO'!$BX$22:$CK$1000,13,FALSE)</f>
        <v>#N/A</v>
      </c>
    </row>
    <row r="208" spans="162:168" x14ac:dyDescent="0.25">
      <c r="FF208" s="6" t="s">
        <v>3056</v>
      </c>
      <c r="FG208" s="696">
        <v>2.5000000000000001E-2</v>
      </c>
      <c r="FH208" s="696">
        <v>120</v>
      </c>
      <c r="FI208" s="696">
        <v>1.8600000000000002E-2</v>
      </c>
      <c r="FJ208" s="255">
        <v>1.4499999999999999E-2</v>
      </c>
      <c r="FK208" s="71">
        <f t="shared" si="351"/>
        <v>2.5000000000000006E-4</v>
      </c>
      <c r="FL208" t="e">
        <f>VLOOKUP(FF208,'SIMULADOR COM SALDO'!$BX$22:$CK$1000,13,FALSE)</f>
        <v>#N/A</v>
      </c>
    </row>
    <row r="209" spans="162:168" x14ac:dyDescent="0.25">
      <c r="FF209" s="6" t="s">
        <v>3057</v>
      </c>
      <c r="FG209" s="696">
        <v>2.5000000000000001E-2</v>
      </c>
      <c r="FH209" s="696">
        <v>120</v>
      </c>
      <c r="FI209" s="696">
        <v>1.8600000000000002E-2</v>
      </c>
      <c r="FJ209" s="255">
        <v>1.4499999999999999E-2</v>
      </c>
      <c r="FK209" s="71">
        <f t="shared" si="351"/>
        <v>2.5000000000000006E-4</v>
      </c>
      <c r="FL209" t="e">
        <f>VLOOKUP(FF209,'SIMULADOR COM SALDO'!$BX$22:$CK$1000,13,FALSE)</f>
        <v>#N/A</v>
      </c>
    </row>
    <row r="210" spans="162:168" x14ac:dyDescent="0.25">
      <c r="FF210" s="6" t="s">
        <v>385</v>
      </c>
      <c r="FG210" s="696">
        <v>2.5000000000000001E-2</v>
      </c>
      <c r="FH210" s="696">
        <v>120</v>
      </c>
      <c r="FI210" s="696">
        <v>2.12E-2</v>
      </c>
      <c r="FJ210" s="255">
        <v>1.5900000000000001E-2</v>
      </c>
      <c r="FK210" s="71">
        <f t="shared" si="351"/>
        <v>2.1666666666666668E-4</v>
      </c>
      <c r="FL210" t="e">
        <f>VLOOKUP(FF210,'SIMULADOR COM SALDO'!$BX$22:$CK$1000,13,FALSE)</f>
        <v>#N/A</v>
      </c>
    </row>
    <row r="211" spans="162:168" x14ac:dyDescent="0.25">
      <c r="FF211" s="6" t="s">
        <v>751</v>
      </c>
      <c r="FG211" s="696">
        <v>2.5000000000000001E-2</v>
      </c>
      <c r="FH211" s="696">
        <v>120</v>
      </c>
      <c r="FI211" s="696">
        <v>1.7899999999999999E-2</v>
      </c>
      <c r="FJ211" s="255">
        <v>1.4499999999999999E-2</v>
      </c>
      <c r="FK211" s="71">
        <f t="shared" si="351"/>
        <v>2.5000000000000006E-4</v>
      </c>
      <c r="FL211" t="e">
        <f>VLOOKUP(FF211,'SIMULADOR COM SALDO'!$BX$22:$CK$1000,13,FALSE)</f>
        <v>#N/A</v>
      </c>
    </row>
    <row r="212" spans="162:168" x14ac:dyDescent="0.25">
      <c r="FF212" s="6" t="s">
        <v>363</v>
      </c>
      <c r="FG212" s="696">
        <v>2.5000000000000001E-2</v>
      </c>
      <c r="FH212" s="696">
        <v>120</v>
      </c>
      <c r="FI212" s="696">
        <v>1.6399999999999998E-2</v>
      </c>
      <c r="FJ212" s="255">
        <v>1.3000000000000001E-2</v>
      </c>
      <c r="FK212" s="71">
        <f t="shared" si="351"/>
        <v>2.8571428571428574E-4</v>
      </c>
      <c r="FL212" t="e">
        <f>VLOOKUP(FF212,'SIMULADOR COM SALDO'!$BX$22:$CK$1000,13,FALSE)</f>
        <v>#N/A</v>
      </c>
    </row>
    <row r="213" spans="162:168" x14ac:dyDescent="0.25">
      <c r="FF213" s="6" t="s">
        <v>364</v>
      </c>
      <c r="FG213" s="696">
        <v>2.5000000000000001E-2</v>
      </c>
      <c r="FH213" s="696">
        <v>120</v>
      </c>
      <c r="FI213" s="696">
        <v>1.6399999999999998E-2</v>
      </c>
      <c r="FJ213" s="255">
        <v>1.3000000000000001E-2</v>
      </c>
      <c r="FK213" s="71">
        <f t="shared" si="351"/>
        <v>2.8571428571428574E-4</v>
      </c>
      <c r="FL213" t="e">
        <f>VLOOKUP(FF213,'SIMULADOR COM SALDO'!$BX$22:$CK$1000,13,FALSE)</f>
        <v>#N/A</v>
      </c>
    </row>
    <row r="214" spans="162:168" x14ac:dyDescent="0.25">
      <c r="FF214" s="6" t="s">
        <v>365</v>
      </c>
      <c r="FG214" s="696">
        <v>2.5000000000000001E-2</v>
      </c>
      <c r="FH214" s="696">
        <v>120</v>
      </c>
      <c r="FI214" s="696">
        <v>1.6399999999999998E-2</v>
      </c>
      <c r="FJ214" s="255">
        <v>1.3000000000000001E-2</v>
      </c>
      <c r="FK214" s="71">
        <f t="shared" si="351"/>
        <v>2.8571428571428574E-4</v>
      </c>
      <c r="FL214" t="e">
        <f>VLOOKUP(FF214,'SIMULADOR COM SALDO'!$BX$22:$CK$1000,13,FALSE)</f>
        <v>#N/A</v>
      </c>
    </row>
    <row r="215" spans="162:168" x14ac:dyDescent="0.25">
      <c r="FF215" s="6" t="s">
        <v>2466</v>
      </c>
      <c r="FG215" s="696">
        <v>2.5000000000000001E-2</v>
      </c>
      <c r="FH215" s="696">
        <v>96</v>
      </c>
      <c r="FI215" s="696">
        <v>2.1499999999999998E-2</v>
      </c>
      <c r="FJ215" s="255">
        <v>1.6500000000000001E-2</v>
      </c>
      <c r="FK215" s="71">
        <f t="shared" si="351"/>
        <v>2.0238095238095239E-4</v>
      </c>
      <c r="FL215" t="e">
        <f>VLOOKUP(FF215,'SIMULADOR COM SALDO'!$BX$22:$CK$1000,13,FALSE)</f>
        <v>#N/A</v>
      </c>
    </row>
    <row r="216" spans="162:168" x14ac:dyDescent="0.25">
      <c r="FF216" s="6" t="s">
        <v>336</v>
      </c>
      <c r="FG216" s="696">
        <v>2.5000000000000001E-2</v>
      </c>
      <c r="FH216" s="696">
        <v>120</v>
      </c>
      <c r="FI216" s="696">
        <v>1.6899999999999998E-2</v>
      </c>
      <c r="FJ216" s="255">
        <v>1.3899999999999999E-2</v>
      </c>
      <c r="FK216" s="71">
        <f t="shared" si="351"/>
        <v>2.6428571428571435E-4</v>
      </c>
      <c r="FL216" t="e">
        <f>VLOOKUP(FF216,'SIMULADOR COM SALDO'!$BX$22:$CK$1000,13,FALSE)</f>
        <v>#N/A</v>
      </c>
    </row>
    <row r="217" spans="162:168" x14ac:dyDescent="0.25">
      <c r="FF217" s="6" t="s">
        <v>3058</v>
      </c>
      <c r="FG217" s="696">
        <v>2.5000000000000001E-2</v>
      </c>
      <c r="FH217" s="696">
        <v>120</v>
      </c>
      <c r="FI217" s="696">
        <v>1.8500000000000003E-2</v>
      </c>
      <c r="FJ217" s="255">
        <v>1.4999999999999999E-2</v>
      </c>
      <c r="FK217" s="71">
        <f t="shared" si="351"/>
        <v>2.3809523809523815E-4</v>
      </c>
      <c r="FL217" t="e">
        <f>VLOOKUP(FF217,'SIMULADOR COM SALDO'!$BX$22:$CK$1000,13,FALSE)</f>
        <v>#N/A</v>
      </c>
    </row>
    <row r="218" spans="162:168" x14ac:dyDescent="0.25">
      <c r="FF218" s="6" t="s">
        <v>3838</v>
      </c>
      <c r="FG218" s="696">
        <v>2.5000000000000001E-2</v>
      </c>
      <c r="FH218" s="696">
        <v>120</v>
      </c>
      <c r="FI218" s="696">
        <v>1.7899999999999999E-2</v>
      </c>
      <c r="FJ218" s="255">
        <v>1.3999999999999999E-2</v>
      </c>
      <c r="FK218" s="71">
        <f t="shared" si="351"/>
        <v>2.6190476190476197E-4</v>
      </c>
      <c r="FL218" t="e">
        <f>VLOOKUP(FF218,'SIMULADOR COM SALDO'!$BX$22:$CK$1000,13,FALSE)</f>
        <v>#N/A</v>
      </c>
    </row>
    <row r="219" spans="162:168" x14ac:dyDescent="0.25">
      <c r="FF219" s="6" t="s">
        <v>3941</v>
      </c>
      <c r="FG219" s="696">
        <v>2.5000000000000001E-2</v>
      </c>
      <c r="FH219" s="696">
        <v>120</v>
      </c>
      <c r="FI219" s="696">
        <v>1.7899999999999999E-2</v>
      </c>
      <c r="FJ219" s="255">
        <v>1.3999999999999999E-2</v>
      </c>
      <c r="FK219" s="71">
        <f t="shared" si="351"/>
        <v>2.6190476190476197E-4</v>
      </c>
      <c r="FL219" t="e">
        <f>VLOOKUP(FF219,'SIMULADOR COM SALDO'!$BX$22:$CK$1000,13,FALSE)</f>
        <v>#N/A</v>
      </c>
    </row>
    <row r="220" spans="162:168" x14ac:dyDescent="0.25">
      <c r="FF220" s="6" t="s">
        <v>3839</v>
      </c>
      <c r="FG220" s="696">
        <v>2.5000000000000001E-2</v>
      </c>
      <c r="FH220" s="696">
        <v>120</v>
      </c>
      <c r="FI220" s="696">
        <v>1.7899999999999999E-2</v>
      </c>
      <c r="FJ220" s="255">
        <v>1.3999999999999999E-2</v>
      </c>
      <c r="FK220" s="71">
        <f t="shared" si="351"/>
        <v>2.6190476190476197E-4</v>
      </c>
      <c r="FL220" t="e">
        <f>VLOOKUP(FF220,'SIMULADOR COM SALDO'!$BX$22:$CK$1000,13,FALSE)</f>
        <v>#N/A</v>
      </c>
    </row>
    <row r="221" spans="162:168" x14ac:dyDescent="0.25">
      <c r="FF221" s="6" t="s">
        <v>3956</v>
      </c>
      <c r="FG221" s="696">
        <v>2.5000000000000001E-2</v>
      </c>
      <c r="FH221" s="696">
        <v>120</v>
      </c>
      <c r="FI221" s="696">
        <v>1.7899999999999999E-2</v>
      </c>
      <c r="FJ221" s="255">
        <v>1.3999999999999999E-2</v>
      </c>
      <c r="FK221" s="71">
        <f t="shared" si="351"/>
        <v>2.6190476190476197E-4</v>
      </c>
      <c r="FL221" t="e">
        <f>VLOOKUP(FF221,'SIMULADOR COM SALDO'!$BX$22:$CK$1000,13,FALSE)</f>
        <v>#N/A</v>
      </c>
    </row>
    <row r="222" spans="162:168" x14ac:dyDescent="0.25">
      <c r="FF222" s="6" t="s">
        <v>3065</v>
      </c>
      <c r="FG222" s="696">
        <v>2.4900000000000002E-2</v>
      </c>
      <c r="FH222" s="696">
        <v>120</v>
      </c>
      <c r="FI222" s="696">
        <v>1.4999999999999999E-2</v>
      </c>
      <c r="FJ222" s="255">
        <v>1.29E-2</v>
      </c>
      <c r="FK222" s="71">
        <f t="shared" si="351"/>
        <v>2.8571428571428574E-4</v>
      </c>
      <c r="FL222" t="e">
        <f>VLOOKUP(FF222,'SIMULADOR COM SALDO'!$BX$22:$CK$1000,13,FALSE)</f>
        <v>#N/A</v>
      </c>
    </row>
    <row r="223" spans="162:168" x14ac:dyDescent="0.25">
      <c r="FF223" s="6" t="s">
        <v>3957</v>
      </c>
      <c r="FG223" s="696">
        <v>2.2499999999999999E-2</v>
      </c>
      <c r="FH223" s="696">
        <v>120</v>
      </c>
      <c r="FI223" s="696">
        <v>2.0499999999999997E-2</v>
      </c>
      <c r="FJ223" s="255">
        <v>1.4999999999999999E-2</v>
      </c>
      <c r="FK223" s="71">
        <f t="shared" si="351"/>
        <v>1.7857142857142857E-4</v>
      </c>
      <c r="FL223" t="e">
        <f>VLOOKUP(FF223,'SIMULADOR COM SALDO'!$BX$22:$CK$1000,13,FALSE)</f>
        <v>#N/A</v>
      </c>
    </row>
    <row r="224" spans="162:168" x14ac:dyDescent="0.25">
      <c r="FF224" s="6" t="s">
        <v>398</v>
      </c>
      <c r="FG224" s="696">
        <v>2.5000000000000001E-2</v>
      </c>
      <c r="FH224" s="696">
        <v>120</v>
      </c>
      <c r="FI224" s="696">
        <v>1.72E-2</v>
      </c>
      <c r="FJ224" s="255">
        <v>1.4999999999999999E-2</v>
      </c>
      <c r="FK224" s="71">
        <f t="shared" si="351"/>
        <v>2.3809523809523815E-4</v>
      </c>
      <c r="FL224" t="e">
        <f>VLOOKUP(FF224,'SIMULADOR COM SALDO'!$BX$22:$CK$1000,13,FALSE)</f>
        <v>#N/A</v>
      </c>
    </row>
    <row r="225" spans="162:168" x14ac:dyDescent="0.25">
      <c r="FF225" s="6" t="s">
        <v>582</v>
      </c>
      <c r="FG225" s="696">
        <v>2.5000000000000001E-2</v>
      </c>
      <c r="FH225" s="696">
        <v>96</v>
      </c>
      <c r="FI225" s="696">
        <v>2.0899999999999998E-2</v>
      </c>
      <c r="FJ225" s="255">
        <v>1.5900000000000001E-2</v>
      </c>
      <c r="FK225" s="71">
        <f t="shared" si="351"/>
        <v>2.1666666666666668E-4</v>
      </c>
      <c r="FL225" t="e">
        <f>VLOOKUP(FF225,'SIMULADOR COM SALDO'!$BX$22:$CK$1000,13,FALSE)</f>
        <v>#N/A</v>
      </c>
    </row>
    <row r="226" spans="162:168" x14ac:dyDescent="0.25">
      <c r="FF226" s="6" t="s">
        <v>2086</v>
      </c>
      <c r="FG226" s="696">
        <v>1.9599999999999999E-2</v>
      </c>
      <c r="FH226" s="696">
        <v>96</v>
      </c>
      <c r="FI226" s="696">
        <v>1.9599999999999999E-2</v>
      </c>
      <c r="FJ226" s="255">
        <v>1.7100000000000001E-2</v>
      </c>
      <c r="FK226" s="71">
        <f t="shared" si="351"/>
        <v>5.9523809523809497E-5</v>
      </c>
      <c r="FL226" t="e">
        <f>VLOOKUP(FF226,'SIMULADOR COM SALDO'!$BX$22:$CK$1000,13,FALSE)</f>
        <v>#N/A</v>
      </c>
    </row>
    <row r="227" spans="162:168" x14ac:dyDescent="0.25">
      <c r="FF227" s="6" t="s">
        <v>374</v>
      </c>
      <c r="FG227" s="696">
        <v>2.5000000000000001E-2</v>
      </c>
      <c r="FH227" s="696">
        <v>120</v>
      </c>
      <c r="FI227" s="696">
        <v>2.2099999999999998E-2</v>
      </c>
      <c r="FJ227" s="255">
        <v>1.6E-2</v>
      </c>
      <c r="FK227" s="71">
        <f t="shared" si="351"/>
        <v>2.142857142857143E-4</v>
      </c>
      <c r="FL227" t="e">
        <f>VLOOKUP(FF227,'SIMULADOR COM SALDO'!$BX$22:$CK$1000,13,FALSE)</f>
        <v>#N/A</v>
      </c>
    </row>
    <row r="228" spans="162:168" x14ac:dyDescent="0.25">
      <c r="FF228" s="6" t="s">
        <v>3840</v>
      </c>
      <c r="FG228" s="696">
        <v>2.5000000000000001E-2</v>
      </c>
      <c r="FH228" s="696">
        <v>120</v>
      </c>
      <c r="FI228" s="696">
        <v>1.7899999999999999E-2</v>
      </c>
      <c r="FJ228" s="255">
        <v>1.5900000000000001E-2</v>
      </c>
      <c r="FK228" s="71">
        <f t="shared" si="351"/>
        <v>2.1666666666666668E-4</v>
      </c>
      <c r="FL228" t="e">
        <f>VLOOKUP(FF228,'SIMULADOR COM SALDO'!$BX$22:$CK$1000,13,FALSE)</f>
        <v>#N/A</v>
      </c>
    </row>
    <row r="229" spans="162:168" x14ac:dyDescent="0.25">
      <c r="FF229" s="6" t="s">
        <v>3066</v>
      </c>
      <c r="FG229" s="696">
        <v>1.9E-2</v>
      </c>
      <c r="FH229" s="696">
        <v>120</v>
      </c>
      <c r="FI229" s="696">
        <v>1.7000000000000001E-2</v>
      </c>
      <c r="FJ229" s="255">
        <v>1.4499999999999999E-2</v>
      </c>
      <c r="FK229" s="71">
        <f t="shared" si="351"/>
        <v>1.0714285714285715E-4</v>
      </c>
      <c r="FL229" t="e">
        <f>VLOOKUP(FF229,'SIMULADOR COM SALDO'!$BX$22:$CK$1000,13,FALSE)</f>
        <v>#N/A</v>
      </c>
    </row>
    <row r="230" spans="162:168" x14ac:dyDescent="0.25">
      <c r="FF230" s="6" t="s">
        <v>752</v>
      </c>
      <c r="FG230" s="696">
        <v>2.4900000000000002E-2</v>
      </c>
      <c r="FH230" s="696">
        <v>96</v>
      </c>
      <c r="FI230" s="696">
        <v>2.2099999999999998E-2</v>
      </c>
      <c r="FJ230" s="255">
        <v>1.8799999999999997E-2</v>
      </c>
      <c r="FK230" s="71">
        <f t="shared" si="351"/>
        <v>1.4523809523809536E-4</v>
      </c>
      <c r="FL230" t="e">
        <f>VLOOKUP(FF230,'SIMULADOR COM SALDO'!$BX$22:$CK$1000,13,FALSE)</f>
        <v>#N/A</v>
      </c>
    </row>
    <row r="231" spans="162:168" x14ac:dyDescent="0.25">
      <c r="FF231" s="6" t="s">
        <v>3067</v>
      </c>
      <c r="FG231" s="696">
        <v>2.5000000000000001E-2</v>
      </c>
      <c r="FH231" s="696">
        <v>120</v>
      </c>
      <c r="FI231" s="696">
        <v>2.2000000000000002E-2</v>
      </c>
      <c r="FJ231" s="255">
        <v>1.4999999999999999E-2</v>
      </c>
      <c r="FK231" s="71">
        <f t="shared" si="351"/>
        <v>2.3809523809523815E-4</v>
      </c>
      <c r="FL231" t="e">
        <f>VLOOKUP(FF231,'SIMULADOR COM SALDO'!$BX$22:$CK$1000,13,FALSE)</f>
        <v>#N/A</v>
      </c>
    </row>
    <row r="232" spans="162:168" x14ac:dyDescent="0.25">
      <c r="FF232" s="6" t="s">
        <v>1124</v>
      </c>
      <c r="FG232" s="696">
        <v>2.5000000000000001E-2</v>
      </c>
      <c r="FH232" s="696">
        <v>120</v>
      </c>
      <c r="FI232" s="696">
        <v>2.0299999999999999E-2</v>
      </c>
      <c r="FJ232" s="255">
        <v>1.34E-2</v>
      </c>
      <c r="FK232" s="71">
        <f t="shared" si="351"/>
        <v>2.7619047619047621E-4</v>
      </c>
      <c r="FL232" t="e">
        <f>VLOOKUP(FF232,'SIMULADOR COM SALDO'!$BX$22:$CK$1000,13,FALSE)</f>
        <v>#N/A</v>
      </c>
    </row>
    <row r="233" spans="162:168" x14ac:dyDescent="0.25">
      <c r="FF233" s="6" t="s">
        <v>286</v>
      </c>
      <c r="FG233" s="696">
        <v>2.5000000000000001E-2</v>
      </c>
      <c r="FH233" s="696">
        <v>120</v>
      </c>
      <c r="FI233" s="696">
        <v>2.2499999999999999E-2</v>
      </c>
      <c r="FJ233" s="255">
        <v>1.55E-2</v>
      </c>
      <c r="FK233" s="71">
        <f t="shared" si="351"/>
        <v>2.2619047619047624E-4</v>
      </c>
      <c r="FL233" t="e">
        <f>VLOOKUP(FF233,'SIMULADOR COM SALDO'!$BX$22:$CK$1000,13,FALSE)</f>
        <v>#N/A</v>
      </c>
    </row>
    <row r="234" spans="162:168" x14ac:dyDescent="0.25">
      <c r="FF234" s="6" t="s">
        <v>3068</v>
      </c>
      <c r="FG234" s="696">
        <v>2.5000000000000001E-2</v>
      </c>
      <c r="FH234" s="696">
        <v>120</v>
      </c>
      <c r="FI234" s="696">
        <v>2.5000000000000001E-2</v>
      </c>
      <c r="FJ234" s="255">
        <v>1.8600000000000002E-2</v>
      </c>
      <c r="FK234" s="71">
        <f t="shared" si="351"/>
        <v>1.5238095238095237E-4</v>
      </c>
      <c r="FL234" t="e">
        <f>VLOOKUP(FF234,'SIMULADOR COM SALDO'!$BX$22:$CK$1000,13,FALSE)</f>
        <v>#N/A</v>
      </c>
    </row>
    <row r="235" spans="162:168" x14ac:dyDescent="0.25">
      <c r="FF235" s="6" t="s">
        <v>3069</v>
      </c>
      <c r="FG235" s="696">
        <v>2.5000000000000001E-2</v>
      </c>
      <c r="FH235" s="696">
        <v>120</v>
      </c>
      <c r="FI235" s="696">
        <v>2.0199999999999999E-2</v>
      </c>
      <c r="FJ235" s="255">
        <v>1.3500000000000002E-2</v>
      </c>
      <c r="FK235" s="71">
        <f t="shared" si="351"/>
        <v>2.7380952380952383E-4</v>
      </c>
      <c r="FL235" t="e">
        <f>VLOOKUP(FF235,'SIMULADOR COM SALDO'!$BX$22:$CK$1000,13,FALSE)</f>
        <v>#N/A</v>
      </c>
    </row>
    <row r="236" spans="162:168" x14ac:dyDescent="0.25">
      <c r="FF236" s="6" t="s">
        <v>3070</v>
      </c>
      <c r="FG236" s="696">
        <v>2.5000000000000001E-2</v>
      </c>
      <c r="FH236" s="696">
        <v>120</v>
      </c>
      <c r="FI236" s="696">
        <v>2.3E-2</v>
      </c>
      <c r="FJ236" s="255">
        <v>1.6E-2</v>
      </c>
      <c r="FK236" s="71">
        <f t="shared" si="351"/>
        <v>2.142857142857143E-4</v>
      </c>
      <c r="FL236" t="e">
        <f>VLOOKUP(FF236,'SIMULADOR COM SALDO'!$BX$22:$CK$1000,13,FALSE)</f>
        <v>#N/A</v>
      </c>
    </row>
    <row r="237" spans="162:168" x14ac:dyDescent="0.25">
      <c r="FF237" s="6" t="s">
        <v>3071</v>
      </c>
      <c r="FG237" s="696">
        <v>2.5000000000000001E-2</v>
      </c>
      <c r="FH237" s="696">
        <v>120</v>
      </c>
      <c r="FI237" s="696">
        <v>2.3E-2</v>
      </c>
      <c r="FJ237" s="255">
        <v>1.6E-2</v>
      </c>
      <c r="FK237" s="71">
        <f t="shared" si="351"/>
        <v>2.142857142857143E-4</v>
      </c>
      <c r="FL237" t="e">
        <f>VLOOKUP(FF237,'SIMULADOR COM SALDO'!$BX$22:$CK$1000,13,FALSE)</f>
        <v>#N/A</v>
      </c>
    </row>
    <row r="238" spans="162:168" x14ac:dyDescent="0.25">
      <c r="FF238" s="6" t="s">
        <v>337</v>
      </c>
      <c r="FG238" s="696">
        <v>2.5000000000000001E-2</v>
      </c>
      <c r="FH238" s="696">
        <v>120</v>
      </c>
      <c r="FI238" s="696">
        <v>2.0199999999999999E-2</v>
      </c>
      <c r="FJ238" s="255">
        <v>1.3999999999999999E-2</v>
      </c>
      <c r="FK238" s="71">
        <f t="shared" si="351"/>
        <v>2.6190476190476197E-4</v>
      </c>
      <c r="FL238" t="e">
        <f>VLOOKUP(FF238,'SIMULADOR COM SALDO'!$BX$22:$CK$1000,13,FALSE)</f>
        <v>#N/A</v>
      </c>
    </row>
    <row r="239" spans="162:168" x14ac:dyDescent="0.25">
      <c r="FF239" s="6" t="s">
        <v>2776</v>
      </c>
      <c r="FG239" s="696">
        <v>2.5000000000000001E-2</v>
      </c>
      <c r="FH239" s="696">
        <v>120</v>
      </c>
      <c r="FI239" s="696">
        <v>1.89E-2</v>
      </c>
      <c r="FJ239" s="255">
        <v>1.49E-2</v>
      </c>
      <c r="FK239" s="71">
        <f t="shared" si="351"/>
        <v>2.404761904761905E-4</v>
      </c>
      <c r="FL239" t="e">
        <f>VLOOKUP(FF239,'SIMULADOR COM SALDO'!$BX$22:$CK$1000,13,FALSE)</f>
        <v>#N/A</v>
      </c>
    </row>
    <row r="240" spans="162:168" x14ac:dyDescent="0.25">
      <c r="FF240" s="6" t="s">
        <v>3072</v>
      </c>
      <c r="FG240" s="696">
        <v>2.2499999999999999E-2</v>
      </c>
      <c r="FH240" s="696">
        <v>120</v>
      </c>
      <c r="FI240" s="696">
        <v>0.02</v>
      </c>
      <c r="FJ240" s="255">
        <v>1.4999999999999999E-2</v>
      </c>
      <c r="FK240" s="71">
        <f t="shared" si="351"/>
        <v>1.7857142857142857E-4</v>
      </c>
      <c r="FL240" t="e">
        <f>VLOOKUP(FF240,'SIMULADOR COM SALDO'!$BX$22:$CK$1000,13,FALSE)</f>
        <v>#N/A</v>
      </c>
    </row>
    <row r="241" spans="162:168" x14ac:dyDescent="0.25">
      <c r="FF241" s="6" t="s">
        <v>2532</v>
      </c>
      <c r="FG241" s="696">
        <v>2.4E-2</v>
      </c>
      <c r="FH241" s="696">
        <v>96</v>
      </c>
      <c r="FI241" s="696">
        <v>0.02</v>
      </c>
      <c r="FJ241" s="255">
        <v>1.3500000000000002E-2</v>
      </c>
      <c r="FK241" s="71">
        <f t="shared" si="351"/>
        <v>2.4999999999999995E-4</v>
      </c>
      <c r="FL241" t="e">
        <f>VLOOKUP(FF241,'SIMULADOR COM SALDO'!$BX$22:$CK$1000,13,FALSE)</f>
        <v>#N/A</v>
      </c>
    </row>
    <row r="242" spans="162:168" x14ac:dyDescent="0.25">
      <c r="FF242" s="6" t="s">
        <v>265</v>
      </c>
      <c r="FG242" s="696">
        <v>2.5000000000000001E-2</v>
      </c>
      <c r="FH242" s="696">
        <v>96</v>
      </c>
      <c r="FI242" s="696">
        <v>2.12E-2</v>
      </c>
      <c r="FJ242" s="255">
        <v>1.7500000000000002E-2</v>
      </c>
      <c r="FK242" s="71">
        <f t="shared" si="351"/>
        <v>1.7857142857142857E-4</v>
      </c>
      <c r="FL242" t="e">
        <f>VLOOKUP(FF242,'SIMULADOR COM SALDO'!$BX$22:$CK$1000,13,FALSE)</f>
        <v>#N/A</v>
      </c>
    </row>
    <row r="243" spans="162:168" x14ac:dyDescent="0.25">
      <c r="FF243" s="67" t="s">
        <v>1108</v>
      </c>
      <c r="FG243" s="696">
        <v>2.35E-2</v>
      </c>
      <c r="FH243" s="696">
        <v>120</v>
      </c>
      <c r="FI243" s="696">
        <v>0.02</v>
      </c>
      <c r="FJ243" s="255">
        <v>1.4999999999999999E-2</v>
      </c>
      <c r="FK243" s="71">
        <f t="shared" si="351"/>
        <v>2.0238095238095239E-4</v>
      </c>
      <c r="FL243" t="e">
        <f>VLOOKUP(FF243,'SIMULADOR COM SALDO'!$BX$22:$CK$1000,13,FALSE)</f>
        <v>#N/A</v>
      </c>
    </row>
    <row r="244" spans="162:168" x14ac:dyDescent="0.25">
      <c r="FF244" s="6" t="s">
        <v>989</v>
      </c>
      <c r="FG244" s="696">
        <v>2.2499999999999999E-2</v>
      </c>
      <c r="FH244" s="696">
        <v>120</v>
      </c>
      <c r="FI244" s="696">
        <v>1.9E-2</v>
      </c>
      <c r="FJ244" s="255">
        <v>1.4999999999999999E-2</v>
      </c>
      <c r="FK244" s="71">
        <f t="shared" si="351"/>
        <v>1.7857142857142857E-4</v>
      </c>
      <c r="FL244" t="e">
        <f>VLOOKUP(FF244,'SIMULADOR COM SALDO'!$BX$22:$CK$1000,13,FALSE)</f>
        <v>#N/A</v>
      </c>
    </row>
    <row r="245" spans="162:168" x14ac:dyDescent="0.25">
      <c r="FF245" s="6" t="s">
        <v>558</v>
      </c>
      <c r="FG245" s="696">
        <v>2.5000000000000001E-2</v>
      </c>
      <c r="FH245" s="696">
        <v>96</v>
      </c>
      <c r="FI245" s="696">
        <v>1.95E-2</v>
      </c>
      <c r="FJ245" s="255">
        <v>1.3999999999999999E-2</v>
      </c>
      <c r="FK245" s="71">
        <f t="shared" si="351"/>
        <v>2.6190476190476197E-4</v>
      </c>
      <c r="FL245" t="e">
        <f>VLOOKUP(FF245,'SIMULADOR COM SALDO'!$BX$22:$CK$1000,13,FALSE)</f>
        <v>#N/A</v>
      </c>
    </row>
    <row r="246" spans="162:168" x14ac:dyDescent="0.25">
      <c r="FF246" s="6" t="s">
        <v>3673</v>
      </c>
      <c r="FG246" s="696">
        <v>2.5000000000000001E-2</v>
      </c>
      <c r="FH246" s="696">
        <v>96</v>
      </c>
      <c r="FI246" s="696">
        <v>1.8000000000000002E-2</v>
      </c>
      <c r="FJ246" s="255">
        <v>1.43E-2</v>
      </c>
    </row>
    <row r="247" spans="162:168" x14ac:dyDescent="0.25">
      <c r="FF247" s="6" t="s">
        <v>981</v>
      </c>
      <c r="FG247" s="696">
        <v>2.5000000000000001E-2</v>
      </c>
      <c r="FH247" s="696">
        <v>120</v>
      </c>
      <c r="FI247" s="696">
        <v>1.9900000000000001E-2</v>
      </c>
      <c r="FJ247" s="255">
        <v>1.52E-2</v>
      </c>
    </row>
    <row r="248" spans="162:168" x14ac:dyDescent="0.25">
      <c r="FF248" s="6" t="s">
        <v>2539</v>
      </c>
      <c r="FG248" s="696">
        <v>1.8500000000000003E-2</v>
      </c>
      <c r="FH248" s="696">
        <v>120</v>
      </c>
      <c r="FI248" s="696">
        <v>1.6299999999999999E-2</v>
      </c>
      <c r="FJ248" s="255">
        <v>1.37E-2</v>
      </c>
    </row>
    <row r="249" spans="162:168" x14ac:dyDescent="0.25">
      <c r="FF249" s="6" t="s">
        <v>2544</v>
      </c>
      <c r="FG249" s="696">
        <v>1.8500000000000003E-2</v>
      </c>
      <c r="FH249" s="696">
        <v>120</v>
      </c>
      <c r="FI249" s="696">
        <v>1.6299999999999999E-2</v>
      </c>
      <c r="FJ249" s="255">
        <v>1.37E-2</v>
      </c>
    </row>
    <row r="250" spans="162:168" x14ac:dyDescent="0.25">
      <c r="FF250" s="6" t="s">
        <v>3749</v>
      </c>
      <c r="FG250" s="696">
        <v>2.5000000000000001E-2</v>
      </c>
      <c r="FH250" s="696">
        <v>96</v>
      </c>
      <c r="FI250" s="696">
        <v>1.95E-2</v>
      </c>
      <c r="FJ250" s="255">
        <v>1.55E-2</v>
      </c>
    </row>
    <row r="251" spans="162:168" x14ac:dyDescent="0.25">
      <c r="FF251" s="6" t="s">
        <v>569</v>
      </c>
      <c r="FG251" s="696">
        <v>2.5000000000000001E-2</v>
      </c>
      <c r="FH251" s="696">
        <v>84</v>
      </c>
      <c r="FI251" s="696">
        <v>2.29E-2</v>
      </c>
      <c r="FJ251" s="255">
        <v>1.5900000000000001E-2</v>
      </c>
    </row>
    <row r="252" spans="162:168" x14ac:dyDescent="0.25">
      <c r="FF252" s="6" t="s">
        <v>3815</v>
      </c>
      <c r="FG252" s="696">
        <v>1.8000000000000002E-2</v>
      </c>
      <c r="FH252" s="696">
        <v>120</v>
      </c>
      <c r="FI252" s="696">
        <v>1.67E-2</v>
      </c>
      <c r="FJ252" s="255">
        <v>1.6E-2</v>
      </c>
    </row>
    <row r="253" spans="162:168" x14ac:dyDescent="0.25">
      <c r="FF253" s="6" t="s">
        <v>678</v>
      </c>
      <c r="FG253" s="696">
        <v>2.5000000000000001E-2</v>
      </c>
      <c r="FH253" s="696">
        <v>96</v>
      </c>
      <c r="FI253" s="696">
        <v>2.12E-2</v>
      </c>
      <c r="FJ253" s="255">
        <v>1.49E-2</v>
      </c>
    </row>
    <row r="254" spans="162:168" x14ac:dyDescent="0.25">
      <c r="FF254" s="6" t="s">
        <v>3073</v>
      </c>
      <c r="FG254" s="696">
        <v>2.5000000000000001E-2</v>
      </c>
      <c r="FH254" s="696">
        <v>96</v>
      </c>
      <c r="FI254" s="696">
        <v>1.8000000000000002E-2</v>
      </c>
      <c r="FJ254" s="255">
        <v>1.3999999999999999E-2</v>
      </c>
    </row>
    <row r="255" spans="162:168" x14ac:dyDescent="0.25">
      <c r="FF255" s="6" t="s">
        <v>790</v>
      </c>
      <c r="FG255" s="696">
        <v>2.5000000000000001E-2</v>
      </c>
      <c r="FH255" s="696">
        <v>120</v>
      </c>
      <c r="FI255" s="696">
        <v>2.0899999999999998E-2</v>
      </c>
      <c r="FJ255" s="255">
        <v>1.49E-2</v>
      </c>
    </row>
    <row r="256" spans="162:168" x14ac:dyDescent="0.25">
      <c r="FF256" s="6" t="s">
        <v>3074</v>
      </c>
      <c r="FG256" s="696">
        <v>2.2499999999999999E-2</v>
      </c>
      <c r="FH256" s="696">
        <v>120</v>
      </c>
      <c r="FI256" s="696">
        <v>2.0199999999999999E-2</v>
      </c>
      <c r="FJ256" s="255">
        <v>1.4999999999999999E-2</v>
      </c>
    </row>
    <row r="257" spans="162:166" x14ac:dyDescent="0.25">
      <c r="FF257" s="6" t="s">
        <v>457</v>
      </c>
      <c r="FG257" s="696">
        <v>2.2499999999999999E-2</v>
      </c>
      <c r="FH257" s="696">
        <v>120</v>
      </c>
      <c r="FI257" s="696">
        <v>2.0199999999999999E-2</v>
      </c>
      <c r="FJ257" s="255">
        <v>1.4999999999999999E-2</v>
      </c>
    </row>
    <row r="258" spans="162:166" x14ac:dyDescent="0.25">
      <c r="FF258" s="6" t="s">
        <v>3958</v>
      </c>
      <c r="FG258" s="696">
        <v>2.5000000000000001E-2</v>
      </c>
      <c r="FH258" s="696">
        <v>120</v>
      </c>
      <c r="FI258" s="696">
        <v>1.7899999999999999E-2</v>
      </c>
      <c r="FJ258" s="255">
        <v>1.4499999999999999E-2</v>
      </c>
    </row>
    <row r="259" spans="162:166" x14ac:dyDescent="0.25">
      <c r="FF259" s="6" t="s">
        <v>3075</v>
      </c>
      <c r="FG259" s="696">
        <v>2.5899999999999999E-2</v>
      </c>
      <c r="FH259" s="696">
        <v>120</v>
      </c>
      <c r="FI259" s="696">
        <v>2.4900000000000002E-2</v>
      </c>
      <c r="FJ259" s="255">
        <v>2.2400000000000003E-2</v>
      </c>
    </row>
    <row r="260" spans="162:166" x14ac:dyDescent="0.25">
      <c r="FF260" s="6" t="s">
        <v>3076</v>
      </c>
      <c r="FG260" s="696">
        <v>2.0799999999999999E-2</v>
      </c>
      <c r="FH260" s="696">
        <v>96</v>
      </c>
      <c r="FI260" s="696">
        <v>1.9699999999999999E-2</v>
      </c>
      <c r="FJ260" s="255">
        <v>1.8000000000000002E-2</v>
      </c>
    </row>
    <row r="261" spans="162:166" x14ac:dyDescent="0.25">
      <c r="FF261" s="6" t="s">
        <v>403</v>
      </c>
      <c r="FG261" s="696">
        <v>1.4999999999999999E-2</v>
      </c>
      <c r="FH261" s="696">
        <v>120</v>
      </c>
      <c r="FI261" s="696">
        <v>1.4999999999999999E-2</v>
      </c>
      <c r="FJ261" s="255">
        <v>1.2500000000000001E-2</v>
      </c>
    </row>
    <row r="262" spans="162:166" x14ac:dyDescent="0.25">
      <c r="FF262" s="6" t="s">
        <v>2477</v>
      </c>
      <c r="FG262" s="696">
        <v>1.8500000000000003E-2</v>
      </c>
      <c r="FH262" s="696">
        <v>96</v>
      </c>
      <c r="FI262" s="696">
        <v>1.6899999999999998E-2</v>
      </c>
      <c r="FJ262" s="255">
        <v>1.55E-2</v>
      </c>
    </row>
    <row r="263" spans="162:166" x14ac:dyDescent="0.25">
      <c r="FF263" s="6" t="s">
        <v>3077</v>
      </c>
      <c r="FG263" s="696">
        <v>1.8000000000000002E-2</v>
      </c>
      <c r="FH263" s="696">
        <v>120</v>
      </c>
      <c r="FI263" s="696">
        <v>1.5100000000000001E-2</v>
      </c>
      <c r="FJ263" s="255">
        <v>1.34E-2</v>
      </c>
    </row>
    <row r="264" spans="162:166" x14ac:dyDescent="0.25">
      <c r="FF264" s="6" t="s">
        <v>3084</v>
      </c>
      <c r="FG264" s="696">
        <v>2.5000000000000001E-2</v>
      </c>
      <c r="FH264" s="696">
        <v>120</v>
      </c>
      <c r="FI264" s="696">
        <v>1.95E-2</v>
      </c>
      <c r="FJ264" s="255">
        <v>1.4499999999999999E-2</v>
      </c>
    </row>
    <row r="265" spans="162:166" x14ac:dyDescent="0.25">
      <c r="FF265" s="6" t="s">
        <v>3085</v>
      </c>
      <c r="FG265" s="696">
        <v>2.5000000000000001E-2</v>
      </c>
      <c r="FH265" s="696">
        <v>120</v>
      </c>
      <c r="FI265" s="696">
        <v>1.8000000000000002E-2</v>
      </c>
      <c r="FJ265" s="255">
        <v>1.3000000000000001E-2</v>
      </c>
    </row>
    <row r="266" spans="162:166" x14ac:dyDescent="0.25">
      <c r="FF266" s="6" t="s">
        <v>3342</v>
      </c>
      <c r="FG266" s="696">
        <v>1.8500000000000003E-2</v>
      </c>
      <c r="FH266" s="696">
        <v>120</v>
      </c>
      <c r="FI266" s="696">
        <v>1.7299999999999999E-2</v>
      </c>
      <c r="FJ266" s="255">
        <v>1.3899999999999999E-2</v>
      </c>
    </row>
    <row r="267" spans="162:166" x14ac:dyDescent="0.25">
      <c r="FF267" s="6" t="s">
        <v>1284</v>
      </c>
      <c r="FG267" s="696">
        <v>2.5000000000000001E-2</v>
      </c>
      <c r="FH267" s="696">
        <v>96</v>
      </c>
      <c r="FI267" s="696">
        <v>1.83E-2</v>
      </c>
      <c r="FJ267" s="255">
        <v>1.7000000000000001E-2</v>
      </c>
    </row>
    <row r="268" spans="162:166" x14ac:dyDescent="0.25">
      <c r="FF268" s="6" t="s">
        <v>3086</v>
      </c>
      <c r="FG268" s="696">
        <v>2.5000000000000001E-2</v>
      </c>
      <c r="FH268" s="696">
        <v>120</v>
      </c>
      <c r="FI268" s="696">
        <v>2.1099999999999997E-2</v>
      </c>
      <c r="FJ268" s="255">
        <v>1.5100000000000001E-2</v>
      </c>
    </row>
    <row r="269" spans="162:166" x14ac:dyDescent="0.25">
      <c r="FF269" s="6" t="s">
        <v>791</v>
      </c>
      <c r="FG269" s="696">
        <v>1.7500000000000002E-2</v>
      </c>
      <c r="FH269" s="696">
        <v>120</v>
      </c>
      <c r="FI269" s="696">
        <v>1.7500000000000002E-2</v>
      </c>
      <c r="FJ269" s="255">
        <v>1.3999999999999999E-2</v>
      </c>
    </row>
    <row r="270" spans="162:166" x14ac:dyDescent="0.25">
      <c r="FF270" s="6" t="s">
        <v>855</v>
      </c>
      <c r="FG270" s="696">
        <v>2.5000000000000001E-2</v>
      </c>
      <c r="FH270" s="696">
        <v>120</v>
      </c>
      <c r="FI270" s="696">
        <v>1.9699999999999999E-2</v>
      </c>
      <c r="FJ270" s="255">
        <v>1.66E-2</v>
      </c>
    </row>
    <row r="271" spans="162:166" x14ac:dyDescent="0.25">
      <c r="FF271" s="6" t="s">
        <v>3087</v>
      </c>
      <c r="FG271" s="696">
        <v>2.5000000000000001E-2</v>
      </c>
      <c r="FH271" s="696">
        <v>120</v>
      </c>
      <c r="FI271" s="696">
        <v>1.9E-2</v>
      </c>
      <c r="FJ271" s="255">
        <v>1.41E-2</v>
      </c>
    </row>
    <row r="272" spans="162:166" x14ac:dyDescent="0.25">
      <c r="FF272" s="6" t="s">
        <v>282</v>
      </c>
      <c r="FG272" s="696">
        <v>2.5000000000000001E-2</v>
      </c>
      <c r="FH272" s="696">
        <v>120</v>
      </c>
      <c r="FI272" s="696">
        <v>1.6799999999999999E-2</v>
      </c>
      <c r="FJ272" s="255">
        <v>1.3500000000000002E-2</v>
      </c>
    </row>
    <row r="273" spans="162:166" x14ac:dyDescent="0.25">
      <c r="FF273" s="6" t="s">
        <v>3088</v>
      </c>
      <c r="FG273" s="696">
        <v>2.2499999999999999E-2</v>
      </c>
      <c r="FH273" s="696">
        <v>120</v>
      </c>
      <c r="FI273" s="696">
        <v>2.0499999999999997E-2</v>
      </c>
      <c r="FJ273" s="255">
        <v>1.3999999999999999E-2</v>
      </c>
    </row>
    <row r="274" spans="162:166" x14ac:dyDescent="0.25">
      <c r="FF274" s="6" t="s">
        <v>923</v>
      </c>
      <c r="FG274" s="696">
        <v>2.35E-2</v>
      </c>
      <c r="FH274" s="696">
        <v>96</v>
      </c>
      <c r="FI274" s="696">
        <v>1.6500000000000001E-2</v>
      </c>
      <c r="FJ274" s="255">
        <v>1.3999999999999999E-2</v>
      </c>
    </row>
    <row r="275" spans="162:166" x14ac:dyDescent="0.25">
      <c r="FF275" s="6" t="s">
        <v>3089</v>
      </c>
      <c r="FG275" s="696">
        <v>2.5000000000000001E-2</v>
      </c>
      <c r="FH275" s="696">
        <v>120</v>
      </c>
      <c r="FI275" s="696">
        <v>1.6E-2</v>
      </c>
      <c r="FJ275" s="255">
        <v>1.37E-2</v>
      </c>
    </row>
    <row r="276" spans="162:166" x14ac:dyDescent="0.25">
      <c r="FF276" s="67" t="s">
        <v>84</v>
      </c>
      <c r="FG276" s="696">
        <v>2.5000000000000001E-2</v>
      </c>
      <c r="FH276" s="696">
        <v>96</v>
      </c>
      <c r="FI276" s="696">
        <v>1.5100000000000001E-2</v>
      </c>
      <c r="FJ276" s="255">
        <v>1.32E-2</v>
      </c>
    </row>
    <row r="277" spans="162:166" x14ac:dyDescent="0.25">
      <c r="FF277" s="6" t="s">
        <v>3090</v>
      </c>
      <c r="FG277" s="696">
        <v>2.4E-2</v>
      </c>
      <c r="FH277" s="696">
        <v>120</v>
      </c>
      <c r="FI277" s="696">
        <v>2.18E-2</v>
      </c>
      <c r="FJ277" s="255">
        <v>1.54E-2</v>
      </c>
    </row>
    <row r="278" spans="162:166" x14ac:dyDescent="0.25">
      <c r="FF278" s="6" t="s">
        <v>3091</v>
      </c>
      <c r="FG278" s="696">
        <v>2.5000000000000001E-2</v>
      </c>
      <c r="FH278" s="696">
        <v>120</v>
      </c>
      <c r="FI278" s="696">
        <v>1.9E-2</v>
      </c>
      <c r="FJ278" s="255">
        <v>1.6500000000000001E-2</v>
      </c>
    </row>
    <row r="279" spans="162:166" x14ac:dyDescent="0.25">
      <c r="FF279" s="6" t="s">
        <v>3092</v>
      </c>
      <c r="FG279" s="696">
        <v>2.5000000000000001E-2</v>
      </c>
      <c r="FH279" s="696">
        <v>120</v>
      </c>
      <c r="FI279" s="696">
        <v>1.6799999999999999E-2</v>
      </c>
      <c r="FJ279" s="255">
        <v>1.3500000000000002E-2</v>
      </c>
    </row>
    <row r="280" spans="162:166" x14ac:dyDescent="0.25">
      <c r="FF280" s="6" t="s">
        <v>3093</v>
      </c>
      <c r="FG280" s="696">
        <v>2.5000000000000001E-2</v>
      </c>
      <c r="FH280" s="696">
        <v>120</v>
      </c>
      <c r="FI280" s="696">
        <v>1.67E-2</v>
      </c>
      <c r="FJ280" s="255">
        <v>1.32E-2</v>
      </c>
    </row>
    <row r="281" spans="162:166" x14ac:dyDescent="0.25">
      <c r="FF281" s="6" t="s">
        <v>3094</v>
      </c>
      <c r="FG281" s="696">
        <v>2.5000000000000001E-2</v>
      </c>
      <c r="FH281" s="696">
        <v>96</v>
      </c>
      <c r="FI281" s="696">
        <v>1.7299999999999999E-2</v>
      </c>
      <c r="FJ281" s="255">
        <v>1.55E-2</v>
      </c>
    </row>
    <row r="282" spans="162:166" x14ac:dyDescent="0.25">
      <c r="FF282" s="6" t="s">
        <v>3095</v>
      </c>
      <c r="FG282" s="696">
        <v>2.5000000000000001E-2</v>
      </c>
      <c r="FH282" s="696">
        <v>96</v>
      </c>
      <c r="FI282" s="696">
        <v>1.7299999999999999E-2</v>
      </c>
      <c r="FJ282" s="255">
        <v>1.55E-2</v>
      </c>
    </row>
    <row r="283" spans="162:166" x14ac:dyDescent="0.25">
      <c r="FF283" s="67" t="s">
        <v>1130</v>
      </c>
      <c r="FG283" s="696">
        <v>2.5000000000000001E-2</v>
      </c>
      <c r="FH283" s="696">
        <v>96</v>
      </c>
      <c r="FI283" s="696">
        <v>2.12E-2</v>
      </c>
      <c r="FJ283" s="255">
        <v>1.4499999999999999E-2</v>
      </c>
    </row>
    <row r="284" spans="162:166" x14ac:dyDescent="0.25">
      <c r="FF284" s="6" t="s">
        <v>1136</v>
      </c>
      <c r="FG284" s="696">
        <v>2.5000000000000001E-2</v>
      </c>
      <c r="FH284" s="696">
        <v>96</v>
      </c>
      <c r="FI284" s="696">
        <v>2.12E-2</v>
      </c>
      <c r="FJ284" s="255">
        <v>1.4499999999999999E-2</v>
      </c>
    </row>
    <row r="285" spans="162:166" x14ac:dyDescent="0.25">
      <c r="FF285" s="67" t="s">
        <v>86</v>
      </c>
      <c r="FG285" s="696">
        <v>2.8999999999999998E-2</v>
      </c>
      <c r="FH285" s="696">
        <v>120</v>
      </c>
      <c r="FI285" s="696">
        <v>1.4999999999999999E-2</v>
      </c>
      <c r="FJ285" s="255">
        <v>2.2400000000000003E-2</v>
      </c>
    </row>
    <row r="286" spans="162:166" x14ac:dyDescent="0.25">
      <c r="FF286"/>
      <c r="FG286"/>
      <c r="FH286"/>
      <c r="FI286"/>
      <c r="FJ286"/>
    </row>
  </sheetData>
  <mergeCells count="4">
    <mergeCell ref="H5:I5"/>
    <mergeCell ref="H6:I6"/>
    <mergeCell ref="F7:F8"/>
    <mergeCell ref="F9:F10"/>
  </mergeCells>
  <conditionalFormatting sqref="G11:ET53">
    <cfRule type="cellIs" dxfId="62" priority="1" operator="greaterThan">
      <formula>$L$6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AC3B-4889-4822-B694-484CA2F95489}">
  <sheetPr codeName="Planilha6"/>
  <dimension ref="A1:FL286"/>
  <sheetViews>
    <sheetView showGridLines="0" topLeftCell="E1" workbookViewId="0">
      <pane xSplit="2" ySplit="10" topLeftCell="G20" activePane="bottomRight" state="frozen"/>
      <selection activeCell="E1" sqref="E1"/>
      <selection pane="topRight" activeCell="G1" sqref="G1"/>
      <selection pane="bottomLeft" activeCell="E11" sqref="E11"/>
      <selection pane="bottomRight" activeCell="Z7" sqref="Z7"/>
    </sheetView>
  </sheetViews>
  <sheetFormatPr defaultRowHeight="15" x14ac:dyDescent="0.25"/>
  <cols>
    <col min="1" max="4" width="9.140625" hidden="1" customWidth="1"/>
    <col min="5" max="5" width="15" customWidth="1"/>
    <col min="6" max="6" width="12.42578125" style="12" customWidth="1"/>
    <col min="7" max="8" width="10.140625" bestFit="1" customWidth="1"/>
    <col min="9" max="9" width="10.5703125" customWidth="1"/>
    <col min="10" max="10" width="11.7109375" customWidth="1"/>
    <col min="11" max="11" width="8.85546875" bestFit="1" customWidth="1"/>
    <col min="12" max="12" width="10.140625" customWidth="1"/>
    <col min="13" max="102" width="8.85546875" bestFit="1" customWidth="1"/>
    <col min="103" max="125" width="9.140625" customWidth="1"/>
    <col min="126" max="126" width="9.28515625" customWidth="1"/>
    <col min="127" max="154" width="9.140625" customWidth="1"/>
    <col min="155" max="155" width="16.42578125" customWidth="1"/>
    <col min="156" max="156" width="18.7109375" customWidth="1"/>
    <col min="157" max="157" width="8" customWidth="1"/>
    <col min="158" max="158" width="9.140625" customWidth="1"/>
    <col min="159" max="159" width="9.140625" style="27" customWidth="1"/>
    <col min="160" max="161" width="9.140625" customWidth="1"/>
    <col min="162" max="162" width="23.7109375" style="67" bestFit="1" customWidth="1"/>
    <col min="163" max="163" width="27.5703125" style="6" customWidth="1"/>
    <col min="164" max="164" width="14.7109375" style="6" customWidth="1"/>
    <col min="165" max="165" width="13.140625" style="6" customWidth="1"/>
    <col min="166" max="166" width="18.5703125" style="82" customWidth="1"/>
    <col min="167" max="167" width="9.140625" style="71" customWidth="1"/>
    <col min="168" max="174" width="9.140625" customWidth="1"/>
  </cols>
  <sheetData>
    <row r="1" spans="5:168" hidden="1" x14ac:dyDescent="0.25"/>
    <row r="2" spans="5:168" hidden="1" x14ac:dyDescent="0.25"/>
    <row r="3" spans="5:168" hidden="1" x14ac:dyDescent="0.25"/>
    <row r="4" spans="5:168" ht="9" customHeight="1" thickBot="1" x14ac:dyDescent="0.3"/>
    <row r="5" spans="5:168" s="60" customFormat="1" ht="36" customHeight="1" thickBot="1" x14ac:dyDescent="0.3">
      <c r="F5" s="61"/>
      <c r="H5" s="633" t="s">
        <v>34</v>
      </c>
      <c r="I5" s="634"/>
      <c r="J5" s="63" t="s">
        <v>62</v>
      </c>
      <c r="K5" s="63" t="s">
        <v>36</v>
      </c>
      <c r="L5" s="63" t="s">
        <v>61</v>
      </c>
      <c r="N5" s="353">
        <f>K6</f>
        <v>96</v>
      </c>
      <c r="O5" s="226">
        <f ca="1">T7/30</f>
        <v>2.7333333333333334</v>
      </c>
      <c r="P5" s="225"/>
      <c r="Q5" s="225"/>
      <c r="R5" s="225"/>
      <c r="S5" s="225"/>
      <c r="T5" s="225">
        <f ca="1">N7-O7</f>
        <v>21</v>
      </c>
      <c r="U5" s="225">
        <f ca="1">T5/30</f>
        <v>0.7</v>
      </c>
      <c r="V5" s="225"/>
      <c r="W5" s="225">
        <f ca="1">N5-(G9+U5)</f>
        <v>94.3</v>
      </c>
      <c r="X5" s="225"/>
      <c r="Y5" s="225"/>
      <c r="Z5" s="225"/>
      <c r="AA5" s="225"/>
      <c r="AB5" s="225"/>
      <c r="AC5" s="225"/>
      <c r="FC5" s="62"/>
      <c r="FF5" s="85"/>
      <c r="FG5" s="83"/>
      <c r="FH5" s="83"/>
      <c r="FI5" s="83"/>
      <c r="FJ5" s="84"/>
      <c r="FK5" s="72"/>
    </row>
    <row r="6" spans="5:168" ht="16.5" customHeight="1" thickBot="1" x14ac:dyDescent="0.3">
      <c r="H6" s="635" t="str">
        <f>'SIMULADOR COM SALDO'!F6</f>
        <v>INSS</v>
      </c>
      <c r="I6" s="636"/>
      <c r="J6" s="51">
        <f>VLOOKUP(H6,$FF:$FL,2,FALSE)</f>
        <v>1.8500000000000003E-2</v>
      </c>
      <c r="K6" s="52">
        <f>VLOOKUP(H6,$FF:$FI,3,FALSE)</f>
        <v>96</v>
      </c>
      <c r="L6" s="53">
        <f>VLOOKUP(H6,$FF:$FI,4,FALSE)</f>
        <v>1.5600000000000001E-2</v>
      </c>
      <c r="M6" s="4">
        <f>L6</f>
        <v>1.5600000000000001E-2</v>
      </c>
      <c r="N6" s="227">
        <f ca="1">K6-(AB7/30)</f>
        <v>93.266666666666666</v>
      </c>
      <c r="O6" s="228">
        <f>VLOOKUP(H6,'Base tabelas'!$A:$I,9,0)</f>
        <v>10</v>
      </c>
      <c r="P6" s="229" t="s">
        <v>304</v>
      </c>
      <c r="Q6" s="229" t="s">
        <v>307</v>
      </c>
      <c r="R6" s="230" t="s">
        <v>308</v>
      </c>
      <c r="S6" s="230" t="s">
        <v>309</v>
      </c>
      <c r="T6" s="230" t="s">
        <v>310</v>
      </c>
      <c r="U6" s="230" t="s">
        <v>311</v>
      </c>
      <c r="V6" s="230" t="s">
        <v>312</v>
      </c>
      <c r="W6" s="230"/>
      <c r="X6" s="230"/>
      <c r="Y6" s="230" t="s">
        <v>313</v>
      </c>
      <c r="Z6" s="230" t="s">
        <v>314</v>
      </c>
      <c r="AA6" s="227"/>
      <c r="AB6" s="227" t="s">
        <v>315</v>
      </c>
      <c r="AC6" s="227"/>
    </row>
    <row r="7" spans="5:168" ht="15" customHeight="1" x14ac:dyDescent="0.25">
      <c r="F7" s="637" t="s">
        <v>47</v>
      </c>
      <c r="N7" s="231">
        <f ca="1">IF(DAY(O7)&gt;=O6,EDATE(O7-DAY(O7)+O6,1),EDATE(O7-DAY(O7)+O6,0))</f>
        <v>46183</v>
      </c>
      <c r="O7" s="231">
        <f ca="1">'CALCULAR SALDO APROXIMADO '!H54</f>
        <v>46162</v>
      </c>
      <c r="P7" s="232">
        <f ca="1">VLOOKUP(O7,CALENDARIO!$C:$G,5,FALSE)</f>
        <v>13</v>
      </c>
      <c r="Q7" s="233">
        <f>_xlfn.NUMBERVALUE(VLOOKUP(H6,'Base tabelas'!$A:$N,12,FALSE))</f>
        <v>1.44</v>
      </c>
      <c r="R7" s="234">
        <f>VLOOKUP(H6,'Base tabelas'!$A:$M,13,FALSE)</f>
        <v>3</v>
      </c>
      <c r="S7" s="235"/>
      <c r="T7" s="236">
        <f ca="1">IF(Q7=3,Y7,Z7)-O7</f>
        <v>82</v>
      </c>
      <c r="U7" s="234">
        <f ca="1">_xlfn.NUMBERVALUE(DAY(O7))</f>
        <v>20</v>
      </c>
      <c r="V7" s="234">
        <f>_xlfn.NUMBERVALUE(R7)</f>
        <v>3</v>
      </c>
      <c r="W7" s="237" t="str">
        <f ca="1">IF(DAY(O7)&gt;O6,"ALEM VENCIMENTO","")</f>
        <v>ALEM VENCIMENTO</v>
      </c>
      <c r="X7" s="238" t="str">
        <f>IF(AND(Q7=2,R7&gt;=28),"FINAL MÊS","")</f>
        <v/>
      </c>
      <c r="Y7" s="231" t="b">
        <f>IF(Q7=3,IF(AND(P7&gt;=R7,U7&lt;AA7),EDATE(N7,2),IF(AND(U7&gt;=AA7),EDATE(N7,1),EDATE(N7,1))))</f>
        <v>0</v>
      </c>
      <c r="Z7" s="239">
        <f ca="1">IF(AND(Q7=2,X7&lt;&gt;"FINAL MÊS",U7&lt;=V7,U7&gt;=AA7),EDATE(N7,0),IF(AND(Q7=2,X7&lt;&gt;"FINAL MÊS",U7&lt;=V7,U7&lt;AA7),EDATE(N7,1),IF(AND(Q7=2,X7&lt;&gt;"FINAL MÊS",U7&gt;V7,U7&gt;=AA7),EDATE(N7,1),IF(AND(Q7=2,X7&lt;&gt;"FINAL MÊS",U7&gt;V7,U7&lt;AA7),EDATE(N7,2),IF(AND(X7="FINAL MÊS",U7&gt;AA7,U7&lt;V7),EDATE(N7,1),IF(AND(X7="FINAL MÊS",U7&lt;=V7,U7&gt;=AA7),EDATE(N7,1),EDATE(N7,2)))))))</f>
        <v>46244</v>
      </c>
      <c r="AA7" s="240">
        <f>_xlfn.NUMBERVALUE(O6)</f>
        <v>10</v>
      </c>
      <c r="AB7" s="241">
        <f ca="1">T7</f>
        <v>82</v>
      </c>
      <c r="AC7" s="227"/>
    </row>
    <row r="8" spans="5:168" ht="15.75" thickBot="1" x14ac:dyDescent="0.3">
      <c r="F8" s="638"/>
    </row>
    <row r="9" spans="5:168" s="29" customFormat="1" ht="26.25" thickBot="1" x14ac:dyDescent="0.3">
      <c r="E9" s="75" t="s">
        <v>53</v>
      </c>
      <c r="F9" s="639" t="s">
        <v>28</v>
      </c>
      <c r="G9" s="47">
        <v>1</v>
      </c>
      <c r="H9" s="48">
        <f>IF($K$6-G9&gt;0,G9+1,$K$6)</f>
        <v>2</v>
      </c>
      <c r="I9" s="48">
        <f t="shared" ref="I9:BT9" si="0">IF($K$6-H9&gt;0,H9+1,$K$6)</f>
        <v>3</v>
      </c>
      <c r="J9" s="48">
        <f t="shared" si="0"/>
        <v>4</v>
      </c>
      <c r="K9" s="48">
        <f t="shared" si="0"/>
        <v>5</v>
      </c>
      <c r="L9" s="48">
        <f t="shared" si="0"/>
        <v>6</v>
      </c>
      <c r="M9" s="48">
        <f t="shared" si="0"/>
        <v>7</v>
      </c>
      <c r="N9" s="48">
        <f t="shared" si="0"/>
        <v>8</v>
      </c>
      <c r="O9" s="48">
        <f t="shared" si="0"/>
        <v>9</v>
      </c>
      <c r="P9" s="48">
        <f t="shared" si="0"/>
        <v>10</v>
      </c>
      <c r="Q9" s="48">
        <f t="shared" si="0"/>
        <v>11</v>
      </c>
      <c r="R9" s="48">
        <f t="shared" si="0"/>
        <v>12</v>
      </c>
      <c r="S9" s="48">
        <f t="shared" si="0"/>
        <v>13</v>
      </c>
      <c r="T9" s="48">
        <f t="shared" si="0"/>
        <v>14</v>
      </c>
      <c r="U9" s="48">
        <f t="shared" si="0"/>
        <v>15</v>
      </c>
      <c r="V9" s="48">
        <f t="shared" si="0"/>
        <v>16</v>
      </c>
      <c r="W9" s="48">
        <f t="shared" si="0"/>
        <v>17</v>
      </c>
      <c r="X9" s="48">
        <f t="shared" si="0"/>
        <v>18</v>
      </c>
      <c r="Y9" s="48">
        <f t="shared" si="0"/>
        <v>19</v>
      </c>
      <c r="Z9" s="48">
        <f t="shared" si="0"/>
        <v>20</v>
      </c>
      <c r="AA9" s="48">
        <f t="shared" si="0"/>
        <v>21</v>
      </c>
      <c r="AB9" s="48">
        <f t="shared" si="0"/>
        <v>22</v>
      </c>
      <c r="AC9" s="48">
        <f t="shared" si="0"/>
        <v>23</v>
      </c>
      <c r="AD9" s="48">
        <f t="shared" si="0"/>
        <v>24</v>
      </c>
      <c r="AE9" s="48">
        <f t="shared" si="0"/>
        <v>25</v>
      </c>
      <c r="AF9" s="48">
        <f t="shared" si="0"/>
        <v>26</v>
      </c>
      <c r="AG9" s="48">
        <f t="shared" si="0"/>
        <v>27</v>
      </c>
      <c r="AH9" s="48">
        <f t="shared" si="0"/>
        <v>28</v>
      </c>
      <c r="AI9" s="48">
        <f t="shared" si="0"/>
        <v>29</v>
      </c>
      <c r="AJ9" s="48">
        <f t="shared" si="0"/>
        <v>30</v>
      </c>
      <c r="AK9" s="48">
        <f t="shared" si="0"/>
        <v>31</v>
      </c>
      <c r="AL9" s="48">
        <f t="shared" si="0"/>
        <v>32</v>
      </c>
      <c r="AM9" s="48">
        <f t="shared" si="0"/>
        <v>33</v>
      </c>
      <c r="AN9" s="48">
        <f t="shared" si="0"/>
        <v>34</v>
      </c>
      <c r="AO9" s="48">
        <f t="shared" si="0"/>
        <v>35</v>
      </c>
      <c r="AP9" s="48">
        <f t="shared" si="0"/>
        <v>36</v>
      </c>
      <c r="AQ9" s="48">
        <f t="shared" si="0"/>
        <v>37</v>
      </c>
      <c r="AR9" s="48">
        <f t="shared" si="0"/>
        <v>38</v>
      </c>
      <c r="AS9" s="48">
        <f t="shared" si="0"/>
        <v>39</v>
      </c>
      <c r="AT9" s="48">
        <f t="shared" si="0"/>
        <v>40</v>
      </c>
      <c r="AU9" s="48">
        <f t="shared" si="0"/>
        <v>41</v>
      </c>
      <c r="AV9" s="48">
        <f t="shared" si="0"/>
        <v>42</v>
      </c>
      <c r="AW9" s="48">
        <f t="shared" si="0"/>
        <v>43</v>
      </c>
      <c r="AX9" s="48">
        <f t="shared" si="0"/>
        <v>44</v>
      </c>
      <c r="AY9" s="48">
        <f t="shared" si="0"/>
        <v>45</v>
      </c>
      <c r="AZ9" s="48">
        <f t="shared" si="0"/>
        <v>46</v>
      </c>
      <c r="BA9" s="48">
        <f t="shared" si="0"/>
        <v>47</v>
      </c>
      <c r="BB9" s="48">
        <f t="shared" si="0"/>
        <v>48</v>
      </c>
      <c r="BC9" s="48">
        <f t="shared" si="0"/>
        <v>49</v>
      </c>
      <c r="BD9" s="49">
        <f t="shared" si="0"/>
        <v>50</v>
      </c>
      <c r="BE9" s="48">
        <f t="shared" si="0"/>
        <v>51</v>
      </c>
      <c r="BF9" s="48">
        <f t="shared" si="0"/>
        <v>52</v>
      </c>
      <c r="BG9" s="48">
        <f t="shared" si="0"/>
        <v>53</v>
      </c>
      <c r="BH9" s="48">
        <f t="shared" si="0"/>
        <v>54</v>
      </c>
      <c r="BI9" s="48">
        <f t="shared" si="0"/>
        <v>55</v>
      </c>
      <c r="BJ9" s="48">
        <f t="shared" si="0"/>
        <v>56</v>
      </c>
      <c r="BK9" s="48">
        <f t="shared" si="0"/>
        <v>57</v>
      </c>
      <c r="BL9" s="48">
        <f t="shared" si="0"/>
        <v>58</v>
      </c>
      <c r="BM9" s="48">
        <f t="shared" si="0"/>
        <v>59</v>
      </c>
      <c r="BN9" s="48">
        <f t="shared" si="0"/>
        <v>60</v>
      </c>
      <c r="BO9" s="48">
        <f t="shared" si="0"/>
        <v>61</v>
      </c>
      <c r="BP9" s="48">
        <f t="shared" si="0"/>
        <v>62</v>
      </c>
      <c r="BQ9" s="48">
        <f t="shared" si="0"/>
        <v>63</v>
      </c>
      <c r="BR9" s="48">
        <f t="shared" si="0"/>
        <v>64</v>
      </c>
      <c r="BS9" s="48">
        <f t="shared" si="0"/>
        <v>65</v>
      </c>
      <c r="BT9" s="48">
        <f t="shared" si="0"/>
        <v>66</v>
      </c>
      <c r="BU9" s="48">
        <f t="shared" ref="BU9:EF9" si="1">IF($K$6-BT9&gt;0,BT9+1,$K$6)</f>
        <v>67</v>
      </c>
      <c r="BV9" s="48">
        <f t="shared" si="1"/>
        <v>68</v>
      </c>
      <c r="BW9" s="48">
        <f t="shared" si="1"/>
        <v>69</v>
      </c>
      <c r="BX9" s="48">
        <f t="shared" si="1"/>
        <v>70</v>
      </c>
      <c r="BY9" s="48">
        <f t="shared" si="1"/>
        <v>71</v>
      </c>
      <c r="BZ9" s="48">
        <f t="shared" si="1"/>
        <v>72</v>
      </c>
      <c r="CA9" s="48">
        <f t="shared" si="1"/>
        <v>73</v>
      </c>
      <c r="CB9" s="48">
        <f t="shared" si="1"/>
        <v>74</v>
      </c>
      <c r="CC9" s="48">
        <f t="shared" si="1"/>
        <v>75</v>
      </c>
      <c r="CD9" s="48">
        <f t="shared" si="1"/>
        <v>76</v>
      </c>
      <c r="CE9" s="48">
        <f t="shared" si="1"/>
        <v>77</v>
      </c>
      <c r="CF9" s="48">
        <f t="shared" si="1"/>
        <v>78</v>
      </c>
      <c r="CG9" s="48">
        <f t="shared" si="1"/>
        <v>79</v>
      </c>
      <c r="CH9" s="48">
        <f t="shared" si="1"/>
        <v>80</v>
      </c>
      <c r="CI9" s="48">
        <f t="shared" si="1"/>
        <v>81</v>
      </c>
      <c r="CJ9" s="48">
        <f t="shared" si="1"/>
        <v>82</v>
      </c>
      <c r="CK9" s="48">
        <f t="shared" si="1"/>
        <v>83</v>
      </c>
      <c r="CL9" s="48">
        <f t="shared" si="1"/>
        <v>84</v>
      </c>
      <c r="CM9" s="48">
        <f t="shared" si="1"/>
        <v>85</v>
      </c>
      <c r="CN9" s="49">
        <f t="shared" si="1"/>
        <v>86</v>
      </c>
      <c r="CO9" s="48">
        <f t="shared" si="1"/>
        <v>87</v>
      </c>
      <c r="CP9" s="48">
        <f t="shared" si="1"/>
        <v>88</v>
      </c>
      <c r="CQ9" s="48">
        <f t="shared" si="1"/>
        <v>89</v>
      </c>
      <c r="CR9" s="48">
        <f t="shared" si="1"/>
        <v>90</v>
      </c>
      <c r="CS9" s="48">
        <f t="shared" si="1"/>
        <v>91</v>
      </c>
      <c r="CT9" s="48">
        <f t="shared" si="1"/>
        <v>92</v>
      </c>
      <c r="CU9" s="48">
        <f t="shared" si="1"/>
        <v>93</v>
      </c>
      <c r="CV9" s="48">
        <f t="shared" si="1"/>
        <v>94</v>
      </c>
      <c r="CW9" s="48">
        <f t="shared" si="1"/>
        <v>95</v>
      </c>
      <c r="CX9" s="48">
        <f t="shared" si="1"/>
        <v>96</v>
      </c>
      <c r="CY9" s="48">
        <f t="shared" si="1"/>
        <v>96</v>
      </c>
      <c r="CZ9" s="48">
        <f t="shared" si="1"/>
        <v>96</v>
      </c>
      <c r="DA9" s="48">
        <f t="shared" si="1"/>
        <v>96</v>
      </c>
      <c r="DB9" s="48">
        <f t="shared" si="1"/>
        <v>96</v>
      </c>
      <c r="DC9" s="48">
        <f t="shared" si="1"/>
        <v>96</v>
      </c>
      <c r="DD9" s="48">
        <f t="shared" si="1"/>
        <v>96</v>
      </c>
      <c r="DE9" s="48">
        <f t="shared" si="1"/>
        <v>96</v>
      </c>
      <c r="DF9" s="48">
        <f t="shared" si="1"/>
        <v>96</v>
      </c>
      <c r="DG9" s="48">
        <f t="shared" si="1"/>
        <v>96</v>
      </c>
      <c r="DH9" s="48">
        <f t="shared" si="1"/>
        <v>96</v>
      </c>
      <c r="DI9" s="48">
        <f t="shared" si="1"/>
        <v>96</v>
      </c>
      <c r="DJ9" s="48">
        <f t="shared" si="1"/>
        <v>96</v>
      </c>
      <c r="DK9" s="48">
        <f t="shared" si="1"/>
        <v>96</v>
      </c>
      <c r="DL9" s="48">
        <f t="shared" si="1"/>
        <v>96</v>
      </c>
      <c r="DM9" s="48">
        <f t="shared" si="1"/>
        <v>96</v>
      </c>
      <c r="DN9" s="48">
        <f t="shared" si="1"/>
        <v>96</v>
      </c>
      <c r="DO9" s="48">
        <f t="shared" si="1"/>
        <v>96</v>
      </c>
      <c r="DP9" s="48">
        <f t="shared" si="1"/>
        <v>96</v>
      </c>
      <c r="DQ9" s="48">
        <f t="shared" si="1"/>
        <v>96</v>
      </c>
      <c r="DR9" s="48">
        <f t="shared" si="1"/>
        <v>96</v>
      </c>
      <c r="DS9" s="48">
        <f t="shared" si="1"/>
        <v>96</v>
      </c>
      <c r="DT9" s="48">
        <f t="shared" si="1"/>
        <v>96</v>
      </c>
      <c r="DU9" s="48">
        <f t="shared" si="1"/>
        <v>96</v>
      </c>
      <c r="DV9" s="48">
        <f t="shared" si="1"/>
        <v>96</v>
      </c>
      <c r="DW9" s="48">
        <f t="shared" si="1"/>
        <v>96</v>
      </c>
      <c r="DX9" s="48">
        <f t="shared" si="1"/>
        <v>96</v>
      </c>
      <c r="DY9" s="48">
        <f t="shared" si="1"/>
        <v>96</v>
      </c>
      <c r="DZ9" s="48">
        <f t="shared" si="1"/>
        <v>96</v>
      </c>
      <c r="EA9" s="48">
        <f t="shared" si="1"/>
        <v>96</v>
      </c>
      <c r="EB9" s="48">
        <f t="shared" si="1"/>
        <v>96</v>
      </c>
      <c r="EC9" s="48">
        <f t="shared" si="1"/>
        <v>96</v>
      </c>
      <c r="ED9" s="48">
        <f t="shared" si="1"/>
        <v>96</v>
      </c>
      <c r="EE9" s="48">
        <f t="shared" si="1"/>
        <v>96</v>
      </c>
      <c r="EF9" s="48">
        <f t="shared" si="1"/>
        <v>96</v>
      </c>
      <c r="EG9" s="48">
        <f t="shared" ref="EG9:ET9" si="2">IF($K$6-EF9&gt;0,EF9+1,$K$6)</f>
        <v>96</v>
      </c>
      <c r="EH9" s="48">
        <f t="shared" si="2"/>
        <v>96</v>
      </c>
      <c r="EI9" s="48">
        <f t="shared" si="2"/>
        <v>96</v>
      </c>
      <c r="EJ9" s="48">
        <f t="shared" si="2"/>
        <v>96</v>
      </c>
      <c r="EK9" s="48">
        <f t="shared" si="2"/>
        <v>96</v>
      </c>
      <c r="EL9" s="48">
        <f t="shared" si="2"/>
        <v>96</v>
      </c>
      <c r="EM9" s="48">
        <f t="shared" si="2"/>
        <v>96</v>
      </c>
      <c r="EN9" s="48">
        <f t="shared" si="2"/>
        <v>96</v>
      </c>
      <c r="EO9" s="48">
        <f t="shared" si="2"/>
        <v>96</v>
      </c>
      <c r="EP9" s="48">
        <f t="shared" si="2"/>
        <v>96</v>
      </c>
      <c r="EQ9" s="48">
        <f t="shared" si="2"/>
        <v>96</v>
      </c>
      <c r="ER9" s="48">
        <f t="shared" si="2"/>
        <v>96</v>
      </c>
      <c r="ES9" s="48">
        <f t="shared" si="2"/>
        <v>96</v>
      </c>
      <c r="ET9" s="48">
        <f t="shared" si="2"/>
        <v>96</v>
      </c>
      <c r="EY9" s="29" t="s">
        <v>34</v>
      </c>
      <c r="EZ9" s="29" t="s">
        <v>3</v>
      </c>
      <c r="FA9" s="29" t="s">
        <v>35</v>
      </c>
      <c r="FB9" s="29" t="s">
        <v>36</v>
      </c>
      <c r="FC9" s="30" t="s">
        <v>39</v>
      </c>
      <c r="FF9" s="86"/>
      <c r="FJ9" s="73"/>
      <c r="FK9" s="68"/>
    </row>
    <row r="10" spans="5:168" s="29" customFormat="1" ht="24.75" customHeight="1" thickBot="1" x14ac:dyDescent="0.3">
      <c r="E10" s="76" t="s">
        <v>48</v>
      </c>
      <c r="F10" s="640"/>
      <c r="G10" s="47">
        <f>IF(G9&lt;=$K$6,$K$6-G9,"")</f>
        <v>95</v>
      </c>
      <c r="H10" s="48">
        <f t="shared" ref="H10:BS10" si="3">IF(H9&lt;=$K$6,$K$6-H9,"")</f>
        <v>94</v>
      </c>
      <c r="I10" s="48">
        <f t="shared" si="3"/>
        <v>93</v>
      </c>
      <c r="J10" s="48">
        <f t="shared" si="3"/>
        <v>92</v>
      </c>
      <c r="K10" s="48">
        <f t="shared" si="3"/>
        <v>91</v>
      </c>
      <c r="L10" s="48">
        <f t="shared" si="3"/>
        <v>90</v>
      </c>
      <c r="M10" s="48">
        <f t="shared" si="3"/>
        <v>89</v>
      </c>
      <c r="N10" s="48">
        <f t="shared" si="3"/>
        <v>88</v>
      </c>
      <c r="O10" s="48">
        <f t="shared" si="3"/>
        <v>87</v>
      </c>
      <c r="P10" s="48">
        <f t="shared" si="3"/>
        <v>86</v>
      </c>
      <c r="Q10" s="48">
        <f t="shared" si="3"/>
        <v>85</v>
      </c>
      <c r="R10" s="48">
        <f t="shared" si="3"/>
        <v>84</v>
      </c>
      <c r="S10" s="48">
        <f t="shared" si="3"/>
        <v>83</v>
      </c>
      <c r="T10" s="48">
        <f t="shared" si="3"/>
        <v>82</v>
      </c>
      <c r="U10" s="48">
        <f t="shared" si="3"/>
        <v>81</v>
      </c>
      <c r="V10" s="48">
        <f t="shared" si="3"/>
        <v>80</v>
      </c>
      <c r="W10" s="48">
        <f t="shared" si="3"/>
        <v>79</v>
      </c>
      <c r="X10" s="48">
        <f t="shared" si="3"/>
        <v>78</v>
      </c>
      <c r="Y10" s="50">
        <f t="shared" si="3"/>
        <v>77</v>
      </c>
      <c r="Z10" s="48">
        <f t="shared" si="3"/>
        <v>76</v>
      </c>
      <c r="AA10" s="48">
        <f t="shared" si="3"/>
        <v>75</v>
      </c>
      <c r="AB10" s="48">
        <f t="shared" si="3"/>
        <v>74</v>
      </c>
      <c r="AC10" s="48">
        <f t="shared" si="3"/>
        <v>73</v>
      </c>
      <c r="AD10" s="50">
        <f t="shared" si="3"/>
        <v>72</v>
      </c>
      <c r="AE10" s="48">
        <f t="shared" si="3"/>
        <v>71</v>
      </c>
      <c r="AF10" s="48">
        <f t="shared" si="3"/>
        <v>70</v>
      </c>
      <c r="AG10" s="48">
        <f t="shared" si="3"/>
        <v>69</v>
      </c>
      <c r="AH10" s="48">
        <f t="shared" si="3"/>
        <v>68</v>
      </c>
      <c r="AI10" s="48">
        <f t="shared" si="3"/>
        <v>67</v>
      </c>
      <c r="AJ10" s="48">
        <f t="shared" si="3"/>
        <v>66</v>
      </c>
      <c r="AK10" s="48">
        <f t="shared" si="3"/>
        <v>65</v>
      </c>
      <c r="AL10" s="48">
        <f t="shared" si="3"/>
        <v>64</v>
      </c>
      <c r="AM10" s="50">
        <f t="shared" si="3"/>
        <v>63</v>
      </c>
      <c r="AN10" s="48">
        <f t="shared" si="3"/>
        <v>62</v>
      </c>
      <c r="AO10" s="48">
        <f t="shared" si="3"/>
        <v>61</v>
      </c>
      <c r="AP10" s="48">
        <f t="shared" si="3"/>
        <v>60</v>
      </c>
      <c r="AQ10" s="48">
        <f t="shared" si="3"/>
        <v>59</v>
      </c>
      <c r="AR10" s="48">
        <f t="shared" si="3"/>
        <v>58</v>
      </c>
      <c r="AS10" s="48">
        <f t="shared" si="3"/>
        <v>57</v>
      </c>
      <c r="AT10" s="48">
        <f t="shared" si="3"/>
        <v>56</v>
      </c>
      <c r="AU10" s="48">
        <f t="shared" si="3"/>
        <v>55</v>
      </c>
      <c r="AV10" s="48">
        <f t="shared" si="3"/>
        <v>54</v>
      </c>
      <c r="AW10" s="48">
        <f t="shared" si="3"/>
        <v>53</v>
      </c>
      <c r="AX10" s="48">
        <f t="shared" si="3"/>
        <v>52</v>
      </c>
      <c r="AY10" s="50">
        <f t="shared" si="3"/>
        <v>51</v>
      </c>
      <c r="AZ10" s="48">
        <f t="shared" si="3"/>
        <v>50</v>
      </c>
      <c r="BA10" s="48">
        <f t="shared" si="3"/>
        <v>49</v>
      </c>
      <c r="BB10" s="48">
        <f t="shared" si="3"/>
        <v>48</v>
      </c>
      <c r="BC10" s="48">
        <f t="shared" si="3"/>
        <v>47</v>
      </c>
      <c r="BD10" s="48">
        <f t="shared" si="3"/>
        <v>46</v>
      </c>
      <c r="BE10" s="48">
        <f t="shared" si="3"/>
        <v>45</v>
      </c>
      <c r="BF10" s="50">
        <f t="shared" si="3"/>
        <v>44</v>
      </c>
      <c r="BG10" s="48">
        <f t="shared" si="3"/>
        <v>43</v>
      </c>
      <c r="BH10" s="50">
        <f t="shared" si="3"/>
        <v>42</v>
      </c>
      <c r="BI10" s="48">
        <f t="shared" si="3"/>
        <v>41</v>
      </c>
      <c r="BJ10" s="48">
        <f t="shared" si="3"/>
        <v>40</v>
      </c>
      <c r="BK10" s="48">
        <f t="shared" si="3"/>
        <v>39</v>
      </c>
      <c r="BL10" s="48">
        <f t="shared" si="3"/>
        <v>38</v>
      </c>
      <c r="BM10" s="48">
        <f t="shared" si="3"/>
        <v>37</v>
      </c>
      <c r="BN10" s="48">
        <f t="shared" si="3"/>
        <v>36</v>
      </c>
      <c r="BO10" s="48">
        <f t="shared" si="3"/>
        <v>35</v>
      </c>
      <c r="BP10" s="50">
        <f t="shared" si="3"/>
        <v>34</v>
      </c>
      <c r="BQ10" s="48">
        <f t="shared" si="3"/>
        <v>33</v>
      </c>
      <c r="BR10" s="48">
        <f t="shared" si="3"/>
        <v>32</v>
      </c>
      <c r="BS10" s="48">
        <f t="shared" si="3"/>
        <v>31</v>
      </c>
      <c r="BT10" s="48">
        <f t="shared" ref="BT10:CQ10" si="4">IF(BT9&lt;=$K$6,$K$6-BT9,"")</f>
        <v>30</v>
      </c>
      <c r="BU10" s="48">
        <f t="shared" si="4"/>
        <v>29</v>
      </c>
      <c r="BV10" s="48">
        <f t="shared" si="4"/>
        <v>28</v>
      </c>
      <c r="BW10" s="48">
        <f t="shared" si="4"/>
        <v>27</v>
      </c>
      <c r="BX10" s="48">
        <f t="shared" si="4"/>
        <v>26</v>
      </c>
      <c r="BY10" s="48">
        <f t="shared" si="4"/>
        <v>25</v>
      </c>
      <c r="BZ10" s="48">
        <f t="shared" si="4"/>
        <v>24</v>
      </c>
      <c r="CA10" s="48">
        <f t="shared" si="4"/>
        <v>23</v>
      </c>
      <c r="CB10" s="48">
        <f t="shared" si="4"/>
        <v>22</v>
      </c>
      <c r="CC10" s="48">
        <f t="shared" si="4"/>
        <v>21</v>
      </c>
      <c r="CD10" s="48">
        <f t="shared" si="4"/>
        <v>20</v>
      </c>
      <c r="CE10" s="48">
        <f t="shared" si="4"/>
        <v>19</v>
      </c>
      <c r="CF10" s="48">
        <f t="shared" si="4"/>
        <v>18</v>
      </c>
      <c r="CG10" s="48">
        <f t="shared" si="4"/>
        <v>17</v>
      </c>
      <c r="CH10" s="48">
        <f t="shared" si="4"/>
        <v>16</v>
      </c>
      <c r="CI10" s="48">
        <f t="shared" si="4"/>
        <v>15</v>
      </c>
      <c r="CJ10" s="48">
        <f t="shared" si="4"/>
        <v>14</v>
      </c>
      <c r="CK10" s="48">
        <f t="shared" si="4"/>
        <v>13</v>
      </c>
      <c r="CL10" s="48">
        <f t="shared" si="4"/>
        <v>12</v>
      </c>
      <c r="CM10" s="48">
        <f t="shared" si="4"/>
        <v>11</v>
      </c>
      <c r="CN10" s="48">
        <f t="shared" si="4"/>
        <v>10</v>
      </c>
      <c r="CO10" s="48">
        <f t="shared" si="4"/>
        <v>9</v>
      </c>
      <c r="CP10" s="48">
        <f t="shared" si="4"/>
        <v>8</v>
      </c>
      <c r="CQ10" s="48">
        <f t="shared" si="4"/>
        <v>7</v>
      </c>
      <c r="CR10" s="48">
        <f>IF(CR9&lt;=$K$6,$K$6-CR9,"")</f>
        <v>6</v>
      </c>
      <c r="CS10" s="48">
        <f t="shared" ref="CS10:ET10" si="5">IF(CS9&lt;=$K$6,$K$6-CS9,"")</f>
        <v>5</v>
      </c>
      <c r="CT10" s="48">
        <f t="shared" si="5"/>
        <v>4</v>
      </c>
      <c r="CU10" s="48">
        <f t="shared" si="5"/>
        <v>3</v>
      </c>
      <c r="CV10" s="48">
        <f t="shared" si="5"/>
        <v>2</v>
      </c>
      <c r="CW10" s="48">
        <f t="shared" si="5"/>
        <v>1</v>
      </c>
      <c r="CX10" s="48">
        <f t="shared" si="5"/>
        <v>0</v>
      </c>
      <c r="CY10" s="48">
        <f t="shared" si="5"/>
        <v>0</v>
      </c>
      <c r="CZ10" s="48">
        <f t="shared" si="5"/>
        <v>0</v>
      </c>
      <c r="DA10" s="48">
        <f t="shared" si="5"/>
        <v>0</v>
      </c>
      <c r="DB10" s="48">
        <f t="shared" si="5"/>
        <v>0</v>
      </c>
      <c r="DC10" s="48">
        <f t="shared" si="5"/>
        <v>0</v>
      </c>
      <c r="DD10" s="48">
        <f t="shared" si="5"/>
        <v>0</v>
      </c>
      <c r="DE10" s="48">
        <f t="shared" si="5"/>
        <v>0</v>
      </c>
      <c r="DF10" s="48">
        <f t="shared" si="5"/>
        <v>0</v>
      </c>
      <c r="DG10" s="48">
        <f t="shared" si="5"/>
        <v>0</v>
      </c>
      <c r="DH10" s="48">
        <f t="shared" si="5"/>
        <v>0</v>
      </c>
      <c r="DI10" s="48">
        <f t="shared" si="5"/>
        <v>0</v>
      </c>
      <c r="DJ10" s="48">
        <f t="shared" si="5"/>
        <v>0</v>
      </c>
      <c r="DK10" s="48">
        <f t="shared" si="5"/>
        <v>0</v>
      </c>
      <c r="DL10" s="48">
        <f t="shared" si="5"/>
        <v>0</v>
      </c>
      <c r="DM10" s="48">
        <f t="shared" si="5"/>
        <v>0</v>
      </c>
      <c r="DN10" s="48">
        <f t="shared" si="5"/>
        <v>0</v>
      </c>
      <c r="DO10" s="48">
        <f t="shared" si="5"/>
        <v>0</v>
      </c>
      <c r="DP10" s="48">
        <f t="shared" si="5"/>
        <v>0</v>
      </c>
      <c r="DQ10" s="48">
        <f t="shared" si="5"/>
        <v>0</v>
      </c>
      <c r="DR10" s="48">
        <f t="shared" si="5"/>
        <v>0</v>
      </c>
      <c r="DS10" s="48">
        <f t="shared" si="5"/>
        <v>0</v>
      </c>
      <c r="DT10" s="48">
        <f t="shared" si="5"/>
        <v>0</v>
      </c>
      <c r="DU10" s="48">
        <f t="shared" si="5"/>
        <v>0</v>
      </c>
      <c r="DV10" s="48">
        <f t="shared" si="5"/>
        <v>0</v>
      </c>
      <c r="DW10" s="48">
        <f t="shared" si="5"/>
        <v>0</v>
      </c>
      <c r="DX10" s="48">
        <f t="shared" si="5"/>
        <v>0</v>
      </c>
      <c r="DY10" s="48">
        <f t="shared" si="5"/>
        <v>0</v>
      </c>
      <c r="DZ10" s="48">
        <f t="shared" si="5"/>
        <v>0</v>
      </c>
      <c r="EA10" s="48">
        <f t="shared" si="5"/>
        <v>0</v>
      </c>
      <c r="EB10" s="48">
        <f t="shared" si="5"/>
        <v>0</v>
      </c>
      <c r="EC10" s="48">
        <f t="shared" si="5"/>
        <v>0</v>
      </c>
      <c r="ED10" s="48">
        <f t="shared" si="5"/>
        <v>0</v>
      </c>
      <c r="EE10" s="48">
        <f t="shared" si="5"/>
        <v>0</v>
      </c>
      <c r="EF10" s="48">
        <f t="shared" si="5"/>
        <v>0</v>
      </c>
      <c r="EG10" s="48">
        <f t="shared" si="5"/>
        <v>0</v>
      </c>
      <c r="EH10" s="48">
        <f t="shared" si="5"/>
        <v>0</v>
      </c>
      <c r="EI10" s="48">
        <f t="shared" si="5"/>
        <v>0</v>
      </c>
      <c r="EJ10" s="48">
        <f t="shared" si="5"/>
        <v>0</v>
      </c>
      <c r="EK10" s="48">
        <f t="shared" si="5"/>
        <v>0</v>
      </c>
      <c r="EL10" s="48">
        <f t="shared" si="5"/>
        <v>0</v>
      </c>
      <c r="EM10" s="48">
        <f t="shared" si="5"/>
        <v>0</v>
      </c>
      <c r="EN10" s="48">
        <f t="shared" si="5"/>
        <v>0</v>
      </c>
      <c r="EO10" s="48">
        <f t="shared" si="5"/>
        <v>0</v>
      </c>
      <c r="EP10" s="48">
        <f t="shared" si="5"/>
        <v>0</v>
      </c>
      <c r="EQ10" s="48">
        <f t="shared" si="5"/>
        <v>0</v>
      </c>
      <c r="ER10" s="48">
        <f t="shared" si="5"/>
        <v>0</v>
      </c>
      <c r="ES10" s="48">
        <f t="shared" si="5"/>
        <v>0</v>
      </c>
      <c r="ET10" s="48">
        <f t="shared" si="5"/>
        <v>0</v>
      </c>
      <c r="EY10" s="29" t="s">
        <v>34</v>
      </c>
      <c r="EZ10" s="29" t="s">
        <v>3</v>
      </c>
      <c r="FA10" s="29" t="s">
        <v>35</v>
      </c>
      <c r="FB10" s="29" t="s">
        <v>36</v>
      </c>
      <c r="FC10" s="30" t="s">
        <v>39</v>
      </c>
      <c r="FD10" s="29" t="s">
        <v>60</v>
      </c>
      <c r="FF10" s="254" t="s">
        <v>85</v>
      </c>
      <c r="FG10" s="6" t="s">
        <v>101</v>
      </c>
      <c r="FH10" s="6" t="s">
        <v>87</v>
      </c>
      <c r="FI10" s="6" t="s">
        <v>88</v>
      </c>
      <c r="FJ10" s="6" t="s">
        <v>96</v>
      </c>
      <c r="FK10" s="68"/>
    </row>
    <row r="11" spans="5:168" ht="18" customHeight="1" x14ac:dyDescent="0.25">
      <c r="E11" s="77"/>
      <c r="F11" s="96">
        <f>VLOOKUP(H6,$FF:$FJ,5,FALSE)</f>
        <v>1.44E-2</v>
      </c>
      <c r="G11" s="79">
        <f t="shared" ref="G11:G53" si="6">IF(G$9&lt;=$K$6,RATE($K$6,1,G57,0),"")</f>
        <v>1.849742711818065E-2</v>
      </c>
      <c r="H11" s="79">
        <f t="shared" ref="H11:BS12" si="7">IF(H$9&lt;=$K$6,RATE($K$6,1,H57,0),"")</f>
        <v>1.8492365654669631E-2</v>
      </c>
      <c r="I11" s="79">
        <f t="shared" si="7"/>
        <v>1.8484898814215975E-2</v>
      </c>
      <c r="J11" s="79">
        <f t="shared" si="7"/>
        <v>1.8475108643582636E-2</v>
      </c>
      <c r="K11" s="79">
        <f t="shared" si="7"/>
        <v>1.8463075974574982E-2</v>
      </c>
      <c r="L11" s="79">
        <f t="shared" si="7"/>
        <v>1.8448880372525341E-2</v>
      </c>
      <c r="M11" s="79">
        <f t="shared" si="7"/>
        <v>1.8432600090046509E-2</v>
      </c>
      <c r="N11" s="79">
        <f t="shared" si="7"/>
        <v>1.8414312025861742E-2</v>
      </c>
      <c r="O11" s="79">
        <f t="shared" si="7"/>
        <v>1.8394091688510961E-2</v>
      </c>
      <c r="P11" s="79">
        <f t="shared" si="7"/>
        <v>1.8372013164727918E-2</v>
      </c>
      <c r="Q11" s="79">
        <f t="shared" si="7"/>
        <v>1.834814909228151E-2</v>
      </c>
      <c r="R11" s="79">
        <f t="shared" si="7"/>
        <v>1.8322570637071389E-2</v>
      </c>
      <c r="S11" s="79">
        <f t="shared" si="7"/>
        <v>1.8295347474267382E-2</v>
      </c>
      <c r="T11" s="79">
        <f t="shared" si="7"/>
        <v>1.8266547773284885E-2</v>
      </c>
      <c r="U11" s="79">
        <f t="shared" si="7"/>
        <v>1.8236238186383844E-2</v>
      </c>
      <c r="V11" s="79">
        <f t="shared" si="7"/>
        <v>1.8204483840691118E-2</v>
      </c>
      <c r="W11" s="79">
        <f t="shared" si="7"/>
        <v>1.8171348333437948E-2</v>
      </c>
      <c r="X11" s="79">
        <f t="shared" si="7"/>
        <v>1.8136893730216451E-2</v>
      </c>
      <c r="Y11" s="79">
        <f t="shared" si="7"/>
        <v>1.810118056606045E-2</v>
      </c>
      <c r="Z11" s="79">
        <f t="shared" si="7"/>
        <v>1.8064267849158978E-2</v>
      </c>
      <c r="AA11" s="79">
        <f t="shared" si="7"/>
        <v>1.8026213067020576E-2</v>
      </c>
      <c r="AB11" s="79">
        <f t="shared" si="7"/>
        <v>1.7987072194906903E-2</v>
      </c>
      <c r="AC11" s="79">
        <f t="shared" si="7"/>
        <v>1.7946899706365389E-2</v>
      </c>
      <c r="AD11" s="79">
        <f t="shared" si="7"/>
        <v>1.7905748585692879E-2</v>
      </c>
      <c r="AE11" s="79">
        <f t="shared" si="7"/>
        <v>1.7863670342171286E-2</v>
      </c>
      <c r="AF11" s="79">
        <f t="shared" si="7"/>
        <v>1.7820715025920687E-2</v>
      </c>
      <c r="AG11" s="79">
        <f t="shared" si="7"/>
        <v>1.7776931245224892E-2</v>
      </c>
      <c r="AH11" s="79">
        <f t="shared" si="7"/>
        <v>1.7732366185186282E-2</v>
      </c>
      <c r="AI11" s="79">
        <f t="shared" si="7"/>
        <v>1.7687065627581201E-2</v>
      </c>
      <c r="AJ11" s="79">
        <f t="shared" si="7"/>
        <v>1.7641073971783341E-2</v>
      </c>
      <c r="AK11" s="79">
        <f t="shared" si="7"/>
        <v>1.7594434256639854E-2</v>
      </c>
      <c r="AL11" s="79">
        <f t="shared" si="7"/>
        <v>1.7547188183184195E-2</v>
      </c>
      <c r="AM11" s="79">
        <f t="shared" si="7"/>
        <v>1.7499376138077467E-2</v>
      </c>
      <c r="AN11" s="79">
        <f t="shared" si="7"/>
        <v>1.7451037217679616E-2</v>
      </c>
      <c r="AO11" s="79">
        <f t="shared" si="7"/>
        <v>1.7402209252653605E-2</v>
      </c>
      <c r="AP11" s="79">
        <f t="shared" si="7"/>
        <v>1.7352928833012371E-2</v>
      </c>
      <c r="AQ11" s="79">
        <f t="shared" si="7"/>
        <v>1.7303231333528995E-2</v>
      </c>
      <c r="AR11" s="79">
        <f t="shared" si="7"/>
        <v>1.7253150939426816E-2</v>
      </c>
      <c r="AS11" s="79">
        <f t="shared" si="7"/>
        <v>1.7202720672281919E-2</v>
      </c>
      <c r="AT11" s="79">
        <f t="shared" si="7"/>
        <v>1.715197241606671E-2</v>
      </c>
      <c r="AU11" s="79">
        <f t="shared" si="7"/>
        <v>1.7100936943273724E-2</v>
      </c>
      <c r="AV11" s="79">
        <f t="shared" si="7"/>
        <v>1.7049643941061413E-2</v>
      </c>
      <c r="AW11" s="79">
        <f t="shared" si="7"/>
        <v>1.6998122037368824E-2</v>
      </c>
      <c r="AX11" s="79">
        <f t="shared" si="7"/>
        <v>1.6946398826949396E-2</v>
      </c>
      <c r="AY11" s="79">
        <f t="shared" si="7"/>
        <v>1.6894500897278817E-2</v>
      </c>
      <c r="AZ11" s="79">
        <f t="shared" si="7"/>
        <v>1.6842453854296741E-2</v>
      </c>
      <c r="BA11" s="79">
        <f t="shared" si="7"/>
        <v>1.6790282347943736E-2</v>
      </c>
      <c r="BB11" s="79">
        <f t="shared" si="7"/>
        <v>1.673801009745943E-2</v>
      </c>
      <c r="BC11" s="79">
        <f t="shared" si="7"/>
        <v>1.6685659916412431E-2</v>
      </c>
      <c r="BD11" s="79">
        <f t="shared" si="7"/>
        <v>1.6633253737431776E-2</v>
      </c>
      <c r="BE11" s="79">
        <f t="shared" si="7"/>
        <v>1.6580812636618848E-2</v>
      </c>
      <c r="BF11" s="79">
        <f t="shared" si="7"/>
        <v>1.6528356857612881E-2</v>
      </c>
      <c r="BG11" s="79">
        <f t="shared" si="7"/>
        <v>1.6475905835295845E-2</v>
      </c>
      <c r="BH11" s="79">
        <f t="shared" si="7"/>
        <v>1.6423478219114905E-2</v>
      </c>
      <c r="BI11" s="79">
        <f t="shared" si="7"/>
        <v>1.6371091896010437E-2</v>
      </c>
      <c r="BJ11" s="79">
        <f t="shared" si="7"/>
        <v>1.6318764012936658E-2</v>
      </c>
      <c r="BK11" s="79">
        <f t="shared" si="7"/>
        <v>1.6266510998961876E-2</v>
      </c>
      <c r="BL11" s="79">
        <f t="shared" si="7"/>
        <v>1.6214348586942418E-2</v>
      </c>
      <c r="BM11" s="79">
        <f t="shared" si="7"/>
        <v>1.6162291834760197E-2</v>
      </c>
      <c r="BN11" s="79">
        <f t="shared" si="7"/>
        <v>1.6110355146120407E-2</v>
      </c>
      <c r="BO11" s="79">
        <f t="shared" si="7"/>
        <v>1.6058552290901924E-2</v>
      </c>
      <c r="BP11" s="79">
        <f t="shared" si="7"/>
        <v>1.6006896425062228E-2</v>
      </c>
      <c r="BQ11" s="79">
        <f t="shared" si="7"/>
        <v>1.5955400110088707E-2</v>
      </c>
      <c r="BR11" s="79">
        <f t="shared" si="7"/>
        <v>1.5904075332001749E-2</v>
      </c>
      <c r="BS11" s="79">
        <f t="shared" si="7"/>
        <v>1.5852933519905764E-2</v>
      </c>
      <c r="BT11" s="79">
        <f t="shared" ref="BT11:EE14" si="8">IF(BT$9&lt;=$K$6,RATE($K$6,1,BT57,0),"")</f>
        <v>1.5801985564091122E-2</v>
      </c>
      <c r="BU11" s="79">
        <f t="shared" si="8"/>
        <v>1.5751241833688666E-2</v>
      </c>
      <c r="BV11" s="79">
        <f t="shared" si="8"/>
        <v>1.5700712193880272E-2</v>
      </c>
      <c r="BW11" s="79">
        <f t="shared" si="8"/>
        <v>1.5650406022668043E-2</v>
      </c>
      <c r="BX11" s="79">
        <f t="shared" si="8"/>
        <v>1.5600332227206231E-2</v>
      </c>
      <c r="BY11" s="79">
        <f t="shared" si="8"/>
        <v>1.5550499259703237E-2</v>
      </c>
      <c r="BZ11" s="79">
        <f t="shared" si="8"/>
        <v>1.5500915132893698E-2</v>
      </c>
      <c r="CA11" s="79">
        <f t="shared" si="8"/>
        <v>1.5451587435092642E-2</v>
      </c>
      <c r="CB11" s="79">
        <f t="shared" si="8"/>
        <v>1.5402523344832995E-2</v>
      </c>
      <c r="CC11" s="79">
        <f t="shared" si="8"/>
        <v>1.5353729645094513E-2</v>
      </c>
      <c r="CD11" s="79">
        <f t="shared" si="8"/>
        <v>1.5305212737131474E-2</v>
      </c>
      <c r="CE11" s="79">
        <f t="shared" si="8"/>
        <v>1.5256978653905675E-2</v>
      </c>
      <c r="CF11" s="79">
        <f t="shared" si="8"/>
        <v>1.5209033073130932E-2</v>
      </c>
      <c r="CG11" s="79">
        <f t="shared" si="8"/>
        <v>1.5161381329938042E-2</v>
      </c>
      <c r="CH11" s="79">
        <f t="shared" si="8"/>
        <v>1.5114028429166837E-2</v>
      </c>
      <c r="CI11" s="79">
        <f t="shared" si="8"/>
        <v>1.5066979057293463E-2</v>
      </c>
      <c r="CJ11" s="79">
        <f t="shared" si="8"/>
        <v>1.5020237593999106E-2</v>
      </c>
      <c r="CK11" s="79">
        <f t="shared" si="8"/>
        <v>1.4973808123391096E-2</v>
      </c>
      <c r="CL11" s="79">
        <f t="shared" si="8"/>
        <v>1.4927694444881292E-2</v>
      </c>
      <c r="CM11" s="79">
        <f t="shared" si="8"/>
        <v>1.4881900083729527E-2</v>
      </c>
      <c r="CN11" s="79">
        <f t="shared" si="8"/>
        <v>1.4836428301263813E-2</v>
      </c>
      <c r="CO11" s="79">
        <f t="shared" si="8"/>
        <v>1.4791282104779971E-2</v>
      </c>
      <c r="CP11" s="79">
        <f t="shared" si="8"/>
        <v>1.4746464257132441E-2</v>
      </c>
      <c r="CQ11" s="79">
        <f t="shared" si="8"/>
        <v>1.4701977286021708E-2</v>
      </c>
      <c r="CR11" s="79">
        <f t="shared" si="8"/>
        <v>1.4657823492987533E-2</v>
      </c>
      <c r="CS11" s="79">
        <f t="shared" si="8"/>
        <v>1.4614004962115672E-2</v>
      </c>
      <c r="CT11" s="79">
        <f t="shared" si="8"/>
        <v>1.4570523568462578E-2</v>
      </c>
      <c r="CU11" s="79">
        <f t="shared" si="8"/>
        <v>1.452738098621098E-2</v>
      </c>
      <c r="CV11" s="79">
        <f t="shared" si="8"/>
        <v>1.4484578696559086E-2</v>
      </c>
      <c r="CW11" s="79">
        <f t="shared" si="8"/>
        <v>1.4442117995352059E-2</v>
      </c>
      <c r="CX11" s="79">
        <f t="shared" si="8"/>
        <v>1.4400000000464229E-2</v>
      </c>
      <c r="CY11" s="79">
        <f t="shared" si="8"/>
        <v>1.4400000000464229E-2</v>
      </c>
      <c r="CZ11" s="79">
        <f t="shared" si="8"/>
        <v>1.4400000000464229E-2</v>
      </c>
      <c r="DA11" s="79">
        <f t="shared" si="8"/>
        <v>1.4400000000464229E-2</v>
      </c>
      <c r="DB11" s="79">
        <f t="shared" si="8"/>
        <v>1.4400000000464229E-2</v>
      </c>
      <c r="DC11" s="79">
        <f t="shared" si="8"/>
        <v>1.4400000000464229E-2</v>
      </c>
      <c r="DD11" s="79">
        <f t="shared" si="8"/>
        <v>1.4400000000464229E-2</v>
      </c>
      <c r="DE11" s="79">
        <f t="shared" si="8"/>
        <v>1.4400000000464229E-2</v>
      </c>
      <c r="DF11" s="79">
        <f t="shared" si="8"/>
        <v>1.4400000000464229E-2</v>
      </c>
      <c r="DG11" s="79">
        <f t="shared" si="8"/>
        <v>1.4400000000464229E-2</v>
      </c>
      <c r="DH11" s="79">
        <f t="shared" si="8"/>
        <v>1.4400000000464229E-2</v>
      </c>
      <c r="DI11" s="79">
        <f t="shared" si="8"/>
        <v>1.4400000000464229E-2</v>
      </c>
      <c r="DJ11" s="79">
        <f t="shared" si="8"/>
        <v>1.4400000000464229E-2</v>
      </c>
      <c r="DK11" s="79">
        <f t="shared" si="8"/>
        <v>1.4400000000464229E-2</v>
      </c>
      <c r="DL11" s="79">
        <f t="shared" si="8"/>
        <v>1.4400000000464229E-2</v>
      </c>
      <c r="DM11" s="79">
        <f t="shared" si="8"/>
        <v>1.4400000000464229E-2</v>
      </c>
      <c r="DN11" s="79">
        <f t="shared" si="8"/>
        <v>1.4400000000464229E-2</v>
      </c>
      <c r="DO11" s="79">
        <f t="shared" si="8"/>
        <v>1.4400000000464229E-2</v>
      </c>
      <c r="DP11" s="79">
        <f t="shared" si="8"/>
        <v>1.4400000000464229E-2</v>
      </c>
      <c r="DQ11" s="79">
        <f t="shared" si="8"/>
        <v>1.4400000000464229E-2</v>
      </c>
      <c r="DR11" s="79">
        <f t="shared" si="8"/>
        <v>1.4400000000464229E-2</v>
      </c>
      <c r="DS11" s="79">
        <f t="shared" si="8"/>
        <v>1.4400000000464229E-2</v>
      </c>
      <c r="DT11" s="79">
        <f t="shared" si="8"/>
        <v>1.4400000000464229E-2</v>
      </c>
      <c r="DU11" s="79">
        <f t="shared" si="8"/>
        <v>1.4400000000464229E-2</v>
      </c>
      <c r="DV11" s="79">
        <f t="shared" si="8"/>
        <v>1.4400000000464229E-2</v>
      </c>
      <c r="DW11" s="79">
        <f t="shared" si="8"/>
        <v>1.4400000000464229E-2</v>
      </c>
      <c r="DX11" s="79">
        <f t="shared" si="8"/>
        <v>1.4400000000464229E-2</v>
      </c>
      <c r="DY11" s="79">
        <f t="shared" si="8"/>
        <v>1.4400000000464229E-2</v>
      </c>
      <c r="DZ11" s="79">
        <f t="shared" si="8"/>
        <v>1.4400000000464229E-2</v>
      </c>
      <c r="EA11" s="79">
        <f t="shared" si="8"/>
        <v>1.4400000000464229E-2</v>
      </c>
      <c r="EB11" s="79">
        <f t="shared" si="8"/>
        <v>1.4400000000464229E-2</v>
      </c>
      <c r="EC11" s="79">
        <f t="shared" si="8"/>
        <v>1.4400000000464229E-2</v>
      </c>
      <c r="ED11" s="79">
        <f t="shared" si="8"/>
        <v>1.4400000000464229E-2</v>
      </c>
      <c r="EE11" s="79">
        <f t="shared" si="8"/>
        <v>1.4400000000464229E-2</v>
      </c>
      <c r="EF11" s="79">
        <f t="shared" ref="EF11:ET13" si="9">IF(EF$9&lt;=$K$6,RATE($K$6,1,EF57,0),"")</f>
        <v>1.4400000000464229E-2</v>
      </c>
      <c r="EG11" s="79">
        <f t="shared" si="9"/>
        <v>1.4400000000464229E-2</v>
      </c>
      <c r="EH11" s="79">
        <f t="shared" si="9"/>
        <v>1.4400000000464229E-2</v>
      </c>
      <c r="EI11" s="79">
        <f t="shared" si="9"/>
        <v>1.4400000000464229E-2</v>
      </c>
      <c r="EJ11" s="79">
        <f t="shared" si="9"/>
        <v>1.4400000000464229E-2</v>
      </c>
      <c r="EK11" s="79">
        <f t="shared" si="9"/>
        <v>1.4400000000464229E-2</v>
      </c>
      <c r="EL11" s="79">
        <f t="shared" si="9"/>
        <v>1.4400000000464229E-2</v>
      </c>
      <c r="EM11" s="79">
        <f t="shared" si="9"/>
        <v>1.4400000000464229E-2</v>
      </c>
      <c r="EN11" s="79">
        <f t="shared" si="9"/>
        <v>1.4400000000464229E-2</v>
      </c>
      <c r="EO11" s="79">
        <f t="shared" si="9"/>
        <v>1.4400000000464229E-2</v>
      </c>
      <c r="EP11" s="79">
        <f t="shared" si="9"/>
        <v>1.4400000000464229E-2</v>
      </c>
      <c r="EQ11" s="79">
        <f t="shared" si="9"/>
        <v>1.4400000000464229E-2</v>
      </c>
      <c r="ER11" s="79">
        <f t="shared" si="9"/>
        <v>1.4400000000464229E-2</v>
      </c>
      <c r="ES11" s="79">
        <f t="shared" si="9"/>
        <v>1.4400000000464229E-2</v>
      </c>
      <c r="ET11" s="79">
        <f t="shared" si="9"/>
        <v>1.4400000000464229E-2</v>
      </c>
      <c r="EY11" t="s">
        <v>70</v>
      </c>
      <c r="FA11" s="27">
        <v>1.6E-2</v>
      </c>
      <c r="FB11">
        <v>96</v>
      </c>
      <c r="FC11" s="27">
        <v>1.9E-2</v>
      </c>
      <c r="FF11" s="6" t="s">
        <v>319</v>
      </c>
      <c r="FG11" s="696">
        <v>2.1600000000000001E-2</v>
      </c>
      <c r="FH11" s="696">
        <v>96</v>
      </c>
      <c r="FI11" s="696">
        <v>1.61E-2</v>
      </c>
      <c r="FJ11" s="255">
        <v>1.34E-2</v>
      </c>
      <c r="FK11" s="71">
        <f>(FG11-FJ11)/42</f>
        <v>1.9523809523809525E-4</v>
      </c>
      <c r="FL11" t="e">
        <f>VLOOKUP(FF11,'SIMULADOR COM SALDO'!$BX$22:$CK$1000,13,FALSE)</f>
        <v>#N/A</v>
      </c>
    </row>
    <row r="12" spans="5:168" ht="18" customHeight="1" x14ac:dyDescent="0.25">
      <c r="E12" s="77"/>
      <c r="F12" s="97">
        <f>IF(F11&lt;$J$6,F11+VLOOKUP($H$6,$FF:$FK,6,FALSE),$J$6)</f>
        <v>1.4497619047619047E-2</v>
      </c>
      <c r="G12" s="79">
        <f t="shared" si="6"/>
        <v>1.8497488614782554E-2</v>
      </c>
      <c r="H12" s="79">
        <f t="shared" ref="H12:V12" si="10">IF(H$9&lt;=$K$6,RATE($K$6,1,H58,0),"")</f>
        <v>1.8492548343367509E-2</v>
      </c>
      <c r="I12" s="79">
        <f t="shared" si="10"/>
        <v>1.8485260582306994E-2</v>
      </c>
      <c r="J12" s="79">
        <f t="shared" si="10"/>
        <v>1.8475705567200792E-2</v>
      </c>
      <c r="K12" s="79">
        <f t="shared" si="10"/>
        <v>1.8463962319606828E-2</v>
      </c>
      <c r="L12" s="79">
        <f t="shared" si="10"/>
        <v>1.8450108599167323E-2</v>
      </c>
      <c r="M12" s="79">
        <f t="shared" si="10"/>
        <v>1.8434220860768246E-2</v>
      </c>
      <c r="N12" s="79">
        <f t="shared" si="10"/>
        <v>1.8416374216540618E-2</v>
      </c>
      <c r="O12" s="79">
        <f t="shared" si="10"/>
        <v>1.839664240250781E-2</v>
      </c>
      <c r="P12" s="79">
        <f t="shared" si="10"/>
        <v>1.8375097749680512E-2</v>
      </c>
      <c r="Q12" s="79">
        <f t="shared" si="10"/>
        <v>1.8351811159397002E-2</v>
      </c>
      <c r="R12" s="79">
        <f t="shared" si="10"/>
        <v>1.8326852082705288E-2</v>
      </c>
      <c r="S12" s="79">
        <f t="shared" si="10"/>
        <v>1.8300288503584176E-2</v>
      </c>
      <c r="T12" s="79">
        <f t="shared" si="10"/>
        <v>1.8272186925802562E-2</v>
      </c>
      <c r="U12" s="79">
        <f t="shared" si="10"/>
        <v>1.8242612363212712E-2</v>
      </c>
      <c r="V12" s="79">
        <f t="shared" si="10"/>
        <v>1.8211628333283367E-2</v>
      </c>
      <c r="W12" s="79">
        <f t="shared" si="7"/>
        <v>1.8179296853676405E-2</v>
      </c>
      <c r="X12" s="79">
        <f t="shared" si="7"/>
        <v>1.8145678441675188E-2</v>
      </c>
      <c r="Y12" s="79">
        <f t="shared" si="7"/>
        <v>1.8110832116280774E-2</v>
      </c>
      <c r="Z12" s="79">
        <f t="shared" si="7"/>
        <v>1.8074815402791714E-2</v>
      </c>
      <c r="AA12" s="79">
        <f t="shared" si="7"/>
        <v>1.8037684339693799E-2</v>
      </c>
      <c r="AB12" s="79">
        <f t="shared" si="7"/>
        <v>1.7999493487687538E-2</v>
      </c>
      <c r="AC12" s="79">
        <f t="shared" si="7"/>
        <v>1.7960295940689763E-2</v>
      </c>
      <c r="AD12" s="79">
        <f t="shared" si="7"/>
        <v>1.7920143338650284E-2</v>
      </c>
      <c r="AE12" s="79">
        <f t="shared" si="7"/>
        <v>1.7879085882032002E-2</v>
      </c>
      <c r="AF12" s="79">
        <f t="shared" si="7"/>
        <v>1.7837172347806896E-2</v>
      </c>
      <c r="AG12" s="79">
        <f t="shared" si="7"/>
        <v>1.7794450106831956E-2</v>
      </c>
      <c r="AH12" s="79">
        <f t="shared" si="7"/>
        <v>1.7750965142467292E-2</v>
      </c>
      <c r="AI12" s="79">
        <f t="shared" si="7"/>
        <v>1.7706762070313894E-2</v>
      </c>
      <c r="AJ12" s="79">
        <f t="shared" si="7"/>
        <v>1.7661884158948274E-2</v>
      </c>
      <c r="AK12" s="79">
        <f t="shared" si="7"/>
        <v>1.761637335154102E-2</v>
      </c>
      <c r="AL12" s="79">
        <f t="shared" si="7"/>
        <v>1.7570270288252542E-2</v>
      </c>
      <c r="AM12" s="79">
        <f t="shared" si="7"/>
        <v>1.7523614329300954E-2</v>
      </c>
      <c r="AN12" s="79">
        <f t="shared" si="7"/>
        <v>1.7476443578610456E-2</v>
      </c>
      <c r="AO12" s="79">
        <f t="shared" si="7"/>
        <v>1.7428794907947427E-2</v>
      </c>
      <c r="AP12" s="79">
        <f t="shared" si="7"/>
        <v>1.7380703981461257E-2</v>
      </c>
      <c r="AQ12" s="79">
        <f t="shared" si="7"/>
        <v>1.7332205280550208E-2</v>
      </c>
      <c r="AR12" s="79">
        <f t="shared" si="7"/>
        <v>1.7283332128979218E-2</v>
      </c>
      <c r="AS12" s="79">
        <f t="shared" si="7"/>
        <v>1.7234116718180207E-2</v>
      </c>
      <c r="AT12" s="79">
        <f t="shared" si="7"/>
        <v>1.7184590132673157E-2</v>
      </c>
      <c r="AU12" s="79">
        <f t="shared" si="7"/>
        <v>1.7134782375545589E-2</v>
      </c>
      <c r="AV12" s="79">
        <f t="shared" si="7"/>
        <v>1.7084722393939326E-2</v>
      </c>
      <c r="AW12" s="79">
        <f t="shared" si="7"/>
        <v>1.7034438104491251E-2</v>
      </c>
      <c r="AX12" s="79">
        <f t="shared" si="7"/>
        <v>1.69839564186842E-2</v>
      </c>
      <c r="AY12" s="79">
        <f t="shared" si="7"/>
        <v>1.6933303268063367E-2</v>
      </c>
      <c r="AZ12" s="79">
        <f t="shared" si="7"/>
        <v>1.6882503629281658E-2</v>
      </c>
      <c r="BA12" s="79">
        <f t="shared" si="7"/>
        <v>1.6831581548935826E-2</v>
      </c>
      <c r="BB12" s="79">
        <f t="shared" si="7"/>
        <v>1.6780560168164364E-2</v>
      </c>
      <c r="BC12" s="79">
        <f t="shared" si="7"/>
        <v>1.67294617469773E-2</v>
      </c>
      <c r="BD12" s="79">
        <f t="shared" si="7"/>
        <v>1.6678307688289342E-2</v>
      </c>
      <c r="BE12" s="79">
        <f t="shared" si="7"/>
        <v>1.662711856163808E-2</v>
      </c>
      <c r="BF12" s="79">
        <f t="shared" si="7"/>
        <v>1.6575914126561016E-2</v>
      </c>
      <c r="BG12" s="79">
        <f t="shared" si="7"/>
        <v>1.6524713355618757E-2</v>
      </c>
      <c r="BH12" s="79">
        <f t="shared" si="7"/>
        <v>1.6473534457042787E-2</v>
      </c>
      <c r="BI12" s="79">
        <f t="shared" si="7"/>
        <v>1.6422394896998656E-2</v>
      </c>
      <c r="BJ12" s="79">
        <f t="shared" si="7"/>
        <v>1.6371311421450596E-2</v>
      </c>
      <c r="BK12" s="79">
        <f t="shared" si="7"/>
        <v>1.6320300077616527E-2</v>
      </c>
      <c r="BL12" s="79">
        <f t="shared" si="7"/>
        <v>1.6269376235007311E-2</v>
      </c>
      <c r="BM12" s="79">
        <f t="shared" si="7"/>
        <v>1.6218554606042563E-2</v>
      </c>
      <c r="BN12" s="79">
        <f t="shared" si="7"/>
        <v>1.6167849266236559E-2</v>
      </c>
      <c r="BO12" s="79">
        <f t="shared" si="7"/>
        <v>1.6117273673952579E-2</v>
      </c>
      <c r="BP12" s="79">
        <f t="shared" si="7"/>
        <v>1.6066840689720887E-2</v>
      </c>
      <c r="BQ12" s="79">
        <f t="shared" si="7"/>
        <v>1.6016562595120954E-2</v>
      </c>
      <c r="BR12" s="79">
        <f t="shared" si="7"/>
        <v>1.5966451111223811E-2</v>
      </c>
      <c r="BS12" s="79">
        <f t="shared" si="7"/>
        <v>1.5916517416600245E-2</v>
      </c>
      <c r="BT12" s="79">
        <f t="shared" si="8"/>
        <v>1.5866772164891307E-2</v>
      </c>
      <c r="BU12" s="79">
        <f t="shared" si="8"/>
        <v>1.5817225501945937E-2</v>
      </c>
      <c r="BV12" s="79">
        <f t="shared" si="8"/>
        <v>1.5767887082528791E-2</v>
      </c>
      <c r="BW12" s="79">
        <f t="shared" si="8"/>
        <v>1.5718766086598744E-2</v>
      </c>
      <c r="BX12" s="79">
        <f t="shared" si="8"/>
        <v>1.5669871235167176E-2</v>
      </c>
      <c r="BY12" s="79">
        <f t="shared" si="8"/>
        <v>1.5621210805736042E-2</v>
      </c>
      <c r="BZ12" s="79">
        <f t="shared" si="8"/>
        <v>1.5572792647323161E-2</v>
      </c>
      <c r="CA12" s="79">
        <f t="shared" si="8"/>
        <v>1.5524624195081124E-2</v>
      </c>
      <c r="CB12" s="79">
        <f t="shared" si="8"/>
        <v>1.5476712484512059E-2</v>
      </c>
      <c r="CC12" s="79">
        <f t="shared" si="8"/>
        <v>1.5429064165289417E-2</v>
      </c>
      <c r="CD12" s="79">
        <f t="shared" si="8"/>
        <v>1.538168551468919E-2</v>
      </c>
      <c r="CE12" s="79">
        <f t="shared" si="8"/>
        <v>1.5334582450640347E-2</v>
      </c>
      <c r="CF12" s="79">
        <f t="shared" si="8"/>
        <v>1.5287760544398028E-2</v>
      </c>
      <c r="CG12" s="79">
        <f t="shared" si="8"/>
        <v>1.5241225032851462E-2</v>
      </c>
      <c r="CH12" s="79">
        <f t="shared" si="8"/>
        <v>1.5194980830468149E-2</v>
      </c>
      <c r="CI12" s="79">
        <f t="shared" si="8"/>
        <v>1.5149032540887428E-2</v>
      </c>
      <c r="CJ12" s="79">
        <f t="shared" si="8"/>
        <v>1.5103384468166354E-2</v>
      </c>
      <c r="CK12" s="79">
        <f t="shared" si="8"/>
        <v>1.5058040627687888E-2</v>
      </c>
      <c r="CL12" s="79">
        <f t="shared" si="8"/>
        <v>1.501300475673803E-2</v>
      </c>
      <c r="CM12" s="79">
        <f t="shared" si="8"/>
        <v>1.4968280324760403E-2</v>
      </c>
      <c r="CN12" s="79">
        <f t="shared" si="8"/>
        <v>1.4923870543294604E-2</v>
      </c>
      <c r="CO12" s="79">
        <f t="shared" si="8"/>
        <v>1.4879778375606851E-2</v>
      </c>
      <c r="CP12" s="79">
        <f t="shared" si="8"/>
        <v>1.4836006546020521E-2</v>
      </c>
      <c r="CQ12" s="79">
        <f t="shared" si="8"/>
        <v>1.4792557548952827E-2</v>
      </c>
      <c r="CR12" s="79">
        <f t="shared" si="8"/>
        <v>1.4749433657667E-2</v>
      </c>
      <c r="CS12" s="79">
        <f t="shared" si="8"/>
        <v>1.4706636932745619E-2</v>
      </c>
      <c r="CT12" s="79">
        <f t="shared" si="8"/>
        <v>1.4664169230293745E-2</v>
      </c>
      <c r="CU12" s="79">
        <f t="shared" si="8"/>
        <v>1.4622032209877824E-2</v>
      </c>
      <c r="CV12" s="79">
        <f t="shared" si="8"/>
        <v>1.4580227342207999E-2</v>
      </c>
      <c r="CW12" s="79">
        <f t="shared" si="8"/>
        <v>1.4538755916571841E-2</v>
      </c>
      <c r="CX12" s="79">
        <f t="shared" si="8"/>
        <v>1.4497619048024558E-2</v>
      </c>
      <c r="CY12" s="79">
        <f t="shared" si="8"/>
        <v>1.4497619048024558E-2</v>
      </c>
      <c r="CZ12" s="79">
        <f t="shared" si="8"/>
        <v>1.4497619048024558E-2</v>
      </c>
      <c r="DA12" s="79">
        <f t="shared" si="8"/>
        <v>1.4497619048024558E-2</v>
      </c>
      <c r="DB12" s="79">
        <f t="shared" si="8"/>
        <v>1.4497619048024558E-2</v>
      </c>
      <c r="DC12" s="79">
        <f t="shared" si="8"/>
        <v>1.4497619048024558E-2</v>
      </c>
      <c r="DD12" s="79">
        <f t="shared" si="8"/>
        <v>1.4497619048024558E-2</v>
      </c>
      <c r="DE12" s="79">
        <f t="shared" si="8"/>
        <v>1.4497619048024558E-2</v>
      </c>
      <c r="DF12" s="79">
        <f t="shared" si="8"/>
        <v>1.4497619048024558E-2</v>
      </c>
      <c r="DG12" s="79">
        <f t="shared" si="8"/>
        <v>1.4497619048024558E-2</v>
      </c>
      <c r="DH12" s="79">
        <f t="shared" si="8"/>
        <v>1.4497619048024558E-2</v>
      </c>
      <c r="DI12" s="79">
        <f t="shared" si="8"/>
        <v>1.4497619048024558E-2</v>
      </c>
      <c r="DJ12" s="79">
        <f t="shared" si="8"/>
        <v>1.4497619048024558E-2</v>
      </c>
      <c r="DK12" s="79">
        <f t="shared" si="8"/>
        <v>1.4497619048024558E-2</v>
      </c>
      <c r="DL12" s="79">
        <f t="shared" si="8"/>
        <v>1.4497619048024558E-2</v>
      </c>
      <c r="DM12" s="79">
        <f t="shared" si="8"/>
        <v>1.4497619048024558E-2</v>
      </c>
      <c r="DN12" s="79">
        <f t="shared" si="8"/>
        <v>1.4497619048024558E-2</v>
      </c>
      <c r="DO12" s="79">
        <f t="shared" si="8"/>
        <v>1.4497619048024558E-2</v>
      </c>
      <c r="DP12" s="79">
        <f t="shared" si="8"/>
        <v>1.4497619048024558E-2</v>
      </c>
      <c r="DQ12" s="79">
        <f t="shared" si="8"/>
        <v>1.4497619048024558E-2</v>
      </c>
      <c r="DR12" s="79">
        <f t="shared" si="8"/>
        <v>1.4497619048024558E-2</v>
      </c>
      <c r="DS12" s="79">
        <f t="shared" si="8"/>
        <v>1.4497619048024558E-2</v>
      </c>
      <c r="DT12" s="79">
        <f t="shared" si="8"/>
        <v>1.4497619048024558E-2</v>
      </c>
      <c r="DU12" s="79">
        <f t="shared" si="8"/>
        <v>1.4497619048024558E-2</v>
      </c>
      <c r="DV12" s="79">
        <f t="shared" si="8"/>
        <v>1.4497619048024558E-2</v>
      </c>
      <c r="DW12" s="79">
        <f t="shared" si="8"/>
        <v>1.4497619048024558E-2</v>
      </c>
      <c r="DX12" s="79">
        <f t="shared" si="8"/>
        <v>1.4497619048024558E-2</v>
      </c>
      <c r="DY12" s="79">
        <f t="shared" si="8"/>
        <v>1.4497619048024558E-2</v>
      </c>
      <c r="DZ12" s="79">
        <f t="shared" si="8"/>
        <v>1.4497619048024558E-2</v>
      </c>
      <c r="EA12" s="79">
        <f t="shared" si="8"/>
        <v>1.4497619048024558E-2</v>
      </c>
      <c r="EB12" s="79">
        <f t="shared" si="8"/>
        <v>1.4497619048024558E-2</v>
      </c>
      <c r="EC12" s="79">
        <f t="shared" si="8"/>
        <v>1.4497619048024558E-2</v>
      </c>
      <c r="ED12" s="79">
        <f t="shared" si="8"/>
        <v>1.4497619048024558E-2</v>
      </c>
      <c r="EE12" s="79">
        <f t="shared" si="8"/>
        <v>1.4497619048024558E-2</v>
      </c>
      <c r="EF12" s="79">
        <f t="shared" si="9"/>
        <v>1.4497619048024558E-2</v>
      </c>
      <c r="EG12" s="79">
        <f t="shared" si="9"/>
        <v>1.4497619048024558E-2</v>
      </c>
      <c r="EH12" s="79">
        <f t="shared" si="9"/>
        <v>1.4497619048024558E-2</v>
      </c>
      <c r="EI12" s="79">
        <f t="shared" si="9"/>
        <v>1.4497619048024558E-2</v>
      </c>
      <c r="EJ12" s="79">
        <f t="shared" si="9"/>
        <v>1.4497619048024558E-2</v>
      </c>
      <c r="EK12" s="79">
        <f t="shared" si="9"/>
        <v>1.4497619048024558E-2</v>
      </c>
      <c r="EL12" s="79">
        <f t="shared" si="9"/>
        <v>1.4497619048024558E-2</v>
      </c>
      <c r="EM12" s="79">
        <f t="shared" si="9"/>
        <v>1.4497619048024558E-2</v>
      </c>
      <c r="EN12" s="79">
        <f t="shared" si="9"/>
        <v>1.4497619048024558E-2</v>
      </c>
      <c r="EO12" s="79">
        <f t="shared" si="9"/>
        <v>1.4497619048024558E-2</v>
      </c>
      <c r="EP12" s="79">
        <f t="shared" si="9"/>
        <v>1.4497619048024558E-2</v>
      </c>
      <c r="EQ12" s="79">
        <f t="shared" si="9"/>
        <v>1.4497619048024558E-2</v>
      </c>
      <c r="ER12" s="79">
        <f t="shared" si="9"/>
        <v>1.4497619048024558E-2</v>
      </c>
      <c r="ES12" s="79">
        <f t="shared" si="9"/>
        <v>1.4497619048024558E-2</v>
      </c>
      <c r="ET12" s="79">
        <f t="shared" si="9"/>
        <v>1.4497619048024558E-2</v>
      </c>
      <c r="EY12" t="s">
        <v>32</v>
      </c>
      <c r="FA12" s="27">
        <v>1.61E-2</v>
      </c>
      <c r="FB12">
        <v>72</v>
      </c>
      <c r="FC12" s="27">
        <v>2.0500000000000001E-2</v>
      </c>
      <c r="FF12" s="6" t="s">
        <v>213</v>
      </c>
      <c r="FG12" s="696">
        <v>2.5000000000000001E-2</v>
      </c>
      <c r="FH12" s="696">
        <v>120</v>
      </c>
      <c r="FI12" s="696">
        <v>1.8000000000000002E-2</v>
      </c>
      <c r="FJ12" s="255">
        <v>1.6399999999999998E-2</v>
      </c>
      <c r="FK12" s="71">
        <f t="shared" ref="FK12:FK75" si="11">(FG12-FJ12)/42</f>
        <v>2.0476190476190485E-4</v>
      </c>
      <c r="FL12" t="e">
        <f>VLOOKUP(FF12,'SIMULADOR COM SALDO'!$BX$22:$CK$1000,13,FALSE)</f>
        <v>#N/A</v>
      </c>
    </row>
    <row r="13" spans="5:168" ht="18" customHeight="1" x14ac:dyDescent="0.25">
      <c r="E13" s="77"/>
      <c r="F13" s="97">
        <f t="shared" ref="F13:F26" si="12">IF(F12&lt;$J$6,F12+VLOOKUP($H$6,$FF:$FK,6,FALSE),$J$6)</f>
        <v>1.4595238095238095E-2</v>
      </c>
      <c r="G13" s="79">
        <f t="shared" si="6"/>
        <v>1.8497550099754675E-2</v>
      </c>
      <c r="H13" s="79">
        <f t="shared" ref="H13:BS16" si="13">IF(H$9&lt;=$K$6,RATE($K$6,1,H59,0),"")</f>
        <v>1.8492730987050746E-2</v>
      </c>
      <c r="I13" s="79">
        <f t="shared" si="13"/>
        <v>1.8485622241720796E-2</v>
      </c>
      <c r="J13" s="79">
        <f t="shared" si="13"/>
        <v>1.8476302281164217E-2</v>
      </c>
      <c r="K13" s="79">
        <f t="shared" si="13"/>
        <v>1.8464848311025978E-2</v>
      </c>
      <c r="L13" s="79">
        <f t="shared" si="13"/>
        <v>1.8451336280855195E-2</v>
      </c>
      <c r="M13" s="79">
        <f t="shared" si="13"/>
        <v>1.8435840844561336E-2</v>
      </c>
      <c r="N13" s="79">
        <f t="shared" si="13"/>
        <v>1.8418435325483998E-2</v>
      </c>
      <c r="O13" s="79">
        <f t="shared" si="13"/>
        <v>1.8399191685881958E-2</v>
      </c>
      <c r="P13" s="79">
        <f t="shared" si="13"/>
        <v>1.8378180500650838E-2</v>
      </c>
      <c r="Q13" s="79">
        <f t="shared" si="13"/>
        <v>1.8355470935071651E-2</v>
      </c>
      <c r="R13" s="79">
        <f t="shared" si="13"/>
        <v>1.8331130726393211E-2</v>
      </c>
      <c r="S13" s="79">
        <f t="shared" si="13"/>
        <v>1.830522616905414E-2</v>
      </c>
      <c r="T13" s="79">
        <f t="shared" si="13"/>
        <v>1.8277822103348738E-2</v>
      </c>
      <c r="U13" s="79">
        <f t="shared" si="13"/>
        <v>1.8248981907343084E-2</v>
      </c>
      <c r="V13" s="79">
        <f t="shared" si="13"/>
        <v>1.8218767491852531E-2</v>
      </c>
      <c r="W13" s="79">
        <f t="shared" si="13"/>
        <v>1.8187239298293009E-2</v>
      </c>
      <c r="X13" s="79">
        <f t="shared" si="13"/>
        <v>1.8154456299225647E-2</v>
      </c>
      <c r="Y13" s="79">
        <f t="shared" si="13"/>
        <v>1.8120476001412603E-2</v>
      </c>
      <c r="Z13" s="79">
        <f t="shared" si="13"/>
        <v>1.8085354451215032E-2</v>
      </c>
      <c r="AA13" s="79">
        <f t="shared" si="13"/>
        <v>1.8049146242162875E-2</v>
      </c>
      <c r="AB13" s="79">
        <f t="shared" si="13"/>
        <v>1.8011904524535174E-2</v>
      </c>
      <c r="AC13" s="79">
        <f t="shared" si="13"/>
        <v>1.7973681016793117E-2</v>
      </c>
      <c r="AD13" s="79">
        <f t="shared" si="13"/>
        <v>1.7934526018715792E-2</v>
      </c>
      <c r="AE13" s="79">
        <f t="shared" si="13"/>
        <v>1.78944884260945E-2</v>
      </c>
      <c r="AF13" s="79">
        <f t="shared" si="13"/>
        <v>1.7853615746845377E-2</v>
      </c>
      <c r="AG13" s="79">
        <f t="shared" si="13"/>
        <v>1.7811954118410758E-2</v>
      </c>
      <c r="AH13" s="79">
        <f t="shared" si="13"/>
        <v>1.776954832631986E-2</v>
      </c>
      <c r="AI13" s="79">
        <f t="shared" si="13"/>
        <v>1.7726441823791132E-2</v>
      </c>
      <c r="AJ13" s="79">
        <f t="shared" si="13"/>
        <v>1.7682676752262122E-2</v>
      </c>
      <c r="AK13" s="79">
        <f t="shared" si="13"/>
        <v>1.763829396273724E-2</v>
      </c>
      <c r="AL13" s="79">
        <f t="shared" si="13"/>
        <v>1.7593333037854271E-2</v>
      </c>
      <c r="AM13" s="79">
        <f t="shared" si="13"/>
        <v>1.7547832314571177E-2</v>
      </c>
      <c r="AN13" s="79">
        <f t="shared" si="13"/>
        <v>1.7501828907383263E-2</v>
      </c>
      <c r="AO13" s="79">
        <f t="shared" si="13"/>
        <v>1.7455358731986802E-2</v>
      </c>
      <c r="AP13" s="79">
        <f t="shared" si="13"/>
        <v>1.7408456529307972E-2</v>
      </c>
      <c r="AQ13" s="79">
        <f t="shared" si="13"/>
        <v>1.7361155889823544E-2</v>
      </c>
      <c r="AR13" s="79">
        <f t="shared" si="13"/>
        <v>1.7313489278103413E-2</v>
      </c>
      <c r="AS13" s="79">
        <f t="shared" si="13"/>
        <v>1.7265488057511096E-2</v>
      </c>
      <c r="AT13" s="79">
        <f t="shared" si="13"/>
        <v>1.7217182515000182E-2</v>
      </c>
      <c r="AU13" s="79">
        <f t="shared" si="13"/>
        <v>1.7168601885953705E-2</v>
      </c>
      <c r="AV13" s="79">
        <f t="shared" si="13"/>
        <v>1.7119774379012995E-2</v>
      </c>
      <c r="AW13" s="79">
        <f t="shared" si="13"/>
        <v>1.7070727200849206E-2</v>
      </c>
      <c r="AX13" s="79">
        <f t="shared" si="13"/>
        <v>1.7021486580834137E-2</v>
      </c>
      <c r="AY13" s="79">
        <f t="shared" si="13"/>
        <v>1.6972077795570632E-2</v>
      </c>
      <c r="AZ13" s="79">
        <f t="shared" si="13"/>
        <v>1.6922525193245001E-2</v>
      </c>
      <c r="BA13" s="79">
        <f t="shared" si="13"/>
        <v>1.6872852217770677E-2</v>
      </c>
      <c r="BB13" s="79">
        <f t="shared" si="13"/>
        <v>1.682308143268909E-2</v>
      </c>
      <c r="BC13" s="79">
        <f t="shared" si="13"/>
        <v>1.6773234544805723E-2</v>
      </c>
      <c r="BD13" s="79">
        <f t="shared" si="13"/>
        <v>1.6723332427531899E-2</v>
      </c>
      <c r="BE13" s="79">
        <f t="shared" si="13"/>
        <v>1.6673395143915262E-2</v>
      </c>
      <c r="BF13" s="79">
        <f t="shared" si="13"/>
        <v>1.6623441969334754E-2</v>
      </c>
      <c r="BG13" s="79">
        <f t="shared" si="13"/>
        <v>1.6573491413848517E-2</v>
      </c>
      <c r="BH13" s="79">
        <f t="shared" si="13"/>
        <v>1.6523561244174013E-2</v>
      </c>
      <c r="BI13" s="79">
        <f t="shared" si="13"/>
        <v>1.6473668505292628E-2</v>
      </c>
      <c r="BJ13" s="79">
        <f t="shared" si="13"/>
        <v>1.6423829541664336E-2</v>
      </c>
      <c r="BK13" s="79">
        <f t="shared" si="13"/>
        <v>1.6374060018044683E-2</v>
      </c>
      <c r="BL13" s="79">
        <f t="shared" si="13"/>
        <v>1.6324374939895359E-2</v>
      </c>
      <c r="BM13" s="79">
        <f t="shared" si="13"/>
        <v>1.6274788673384392E-2</v>
      </c>
      <c r="BN13" s="79">
        <f t="shared" si="13"/>
        <v>1.622531496496675E-2</v>
      </c>
      <c r="BO13" s="79">
        <f t="shared" si="13"/>
        <v>1.6175966960548276E-2</v>
      </c>
      <c r="BP13" s="79">
        <f t="shared" si="13"/>
        <v>1.612675722422327E-2</v>
      </c>
      <c r="BQ13" s="79">
        <f t="shared" si="13"/>
        <v>1.6077697756591292E-2</v>
      </c>
      <c r="BR13" s="79">
        <f t="shared" si="13"/>
        <v>1.6028800012647216E-2</v>
      </c>
      <c r="BS13" s="79">
        <f t="shared" si="13"/>
        <v>1.5980074919249902E-2</v>
      </c>
      <c r="BT13" s="79">
        <f t="shared" si="8"/>
        <v>1.5931532892166329E-2</v>
      </c>
      <c r="BU13" s="79">
        <f t="shared" si="8"/>
        <v>1.5883183852698497E-2</v>
      </c>
      <c r="BV13" s="79">
        <f t="shared" si="8"/>
        <v>1.5835037243891681E-2</v>
      </c>
      <c r="BW13" s="79">
        <f t="shared" si="8"/>
        <v>1.5787102046328945E-2</v>
      </c>
      <c r="BX13" s="79">
        <f t="shared" si="8"/>
        <v>1.5739386793517319E-2</v>
      </c>
      <c r="BY13" s="79">
        <f t="shared" si="8"/>
        <v>1.5691899586869101E-2</v>
      </c>
      <c r="BZ13" s="79">
        <f t="shared" si="8"/>
        <v>1.5644648110281708E-2</v>
      </c>
      <c r="CA13" s="79">
        <f t="shared" si="8"/>
        <v>1.5597639644326085E-2</v>
      </c>
      <c r="CB13" s="79">
        <f t="shared" si="8"/>
        <v>1.5550881080043289E-2</v>
      </c>
      <c r="CC13" s="79">
        <f t="shared" si="8"/>
        <v>1.5504378932360695E-2</v>
      </c>
      <c r="CD13" s="79">
        <f t="shared" si="8"/>
        <v>1.5458139353131601E-2</v>
      </c>
      <c r="CE13" s="79">
        <f t="shared" si="8"/>
        <v>1.541216814380396E-2</v>
      </c>
      <c r="CF13" s="79">
        <f t="shared" si="8"/>
        <v>1.5366470767728214E-2</v>
      </c>
      <c r="CG13" s="79">
        <f t="shared" si="8"/>
        <v>1.5321052362107367E-2</v>
      </c>
      <c r="CH13" s="79">
        <f t="shared" si="8"/>
        <v>1.5275917749598559E-2</v>
      </c>
      <c r="CI13" s="79">
        <f t="shared" si="8"/>
        <v>1.5231071449574288E-2</v>
      </c>
      <c r="CJ13" s="79">
        <f t="shared" si="8"/>
        <v>1.5186517689046186E-2</v>
      </c>
      <c r="CK13" s="79">
        <f t="shared" si="8"/>
        <v>1.5142260413264665E-2</v>
      </c>
      <c r="CL13" s="79">
        <f t="shared" si="8"/>
        <v>1.5098303295995709E-2</v>
      </c>
      <c r="CM13" s="79">
        <f t="shared" si="8"/>
        <v>1.5054649749487458E-2</v>
      </c>
      <c r="CN13" s="79">
        <f t="shared" si="8"/>
        <v>1.5011302934129989E-2</v>
      </c>
      <c r="CO13" s="79">
        <f t="shared" si="8"/>
        <v>1.4968265767816905E-2</v>
      </c>
      <c r="CP13" s="79">
        <f t="shared" si="8"/>
        <v>1.4925540935017937E-2</v>
      </c>
      <c r="CQ13" s="79">
        <f t="shared" si="8"/>
        <v>1.4883130895565456E-2</v>
      </c>
      <c r="CR13" s="79">
        <f t="shared" si="8"/>
        <v>1.4841037893167012E-2</v>
      </c>
      <c r="CS13" s="79">
        <f t="shared" si="8"/>
        <v>1.4799263963647304E-2</v>
      </c>
      <c r="CT13" s="79">
        <f t="shared" si="8"/>
        <v>1.475781094292823E-2</v>
      </c>
      <c r="CU13" s="79">
        <f t="shared" si="8"/>
        <v>1.4716680474753717E-2</v>
      </c>
      <c r="CV13" s="79">
        <f t="shared" si="8"/>
        <v>1.4675874018166836E-2</v>
      </c>
      <c r="CW13" s="79">
        <f t="shared" si="8"/>
        <v>1.463539285474311E-2</v>
      </c>
      <c r="CX13" s="79">
        <f t="shared" si="8"/>
        <v>1.4595238095591996E-2</v>
      </c>
      <c r="CY13" s="79">
        <f t="shared" si="8"/>
        <v>1.4595238095591996E-2</v>
      </c>
      <c r="CZ13" s="79">
        <f t="shared" si="8"/>
        <v>1.4595238095591996E-2</v>
      </c>
      <c r="DA13" s="79">
        <f t="shared" si="8"/>
        <v>1.4595238095591996E-2</v>
      </c>
      <c r="DB13" s="79">
        <f t="shared" si="8"/>
        <v>1.4595238095591996E-2</v>
      </c>
      <c r="DC13" s="79">
        <f t="shared" si="8"/>
        <v>1.4595238095591996E-2</v>
      </c>
      <c r="DD13" s="79">
        <f t="shared" si="8"/>
        <v>1.4595238095591996E-2</v>
      </c>
      <c r="DE13" s="79">
        <f t="shared" si="8"/>
        <v>1.4595238095591996E-2</v>
      </c>
      <c r="DF13" s="79">
        <f t="shared" si="8"/>
        <v>1.4595238095591996E-2</v>
      </c>
      <c r="DG13" s="79">
        <f t="shared" si="8"/>
        <v>1.4595238095591996E-2</v>
      </c>
      <c r="DH13" s="79">
        <f t="shared" si="8"/>
        <v>1.4595238095591996E-2</v>
      </c>
      <c r="DI13" s="79">
        <f t="shared" si="8"/>
        <v>1.4595238095591996E-2</v>
      </c>
      <c r="DJ13" s="79">
        <f t="shared" si="8"/>
        <v>1.4595238095591996E-2</v>
      </c>
      <c r="DK13" s="79">
        <f t="shared" si="8"/>
        <v>1.4595238095591996E-2</v>
      </c>
      <c r="DL13" s="79">
        <f t="shared" si="8"/>
        <v>1.4595238095591996E-2</v>
      </c>
      <c r="DM13" s="79">
        <f t="shared" si="8"/>
        <v>1.4595238095591996E-2</v>
      </c>
      <c r="DN13" s="79">
        <f t="shared" si="8"/>
        <v>1.4595238095591996E-2</v>
      </c>
      <c r="DO13" s="79">
        <f t="shared" si="8"/>
        <v>1.4595238095591996E-2</v>
      </c>
      <c r="DP13" s="79">
        <f t="shared" si="8"/>
        <v>1.4595238095591996E-2</v>
      </c>
      <c r="DQ13" s="79">
        <f t="shared" si="8"/>
        <v>1.4595238095591996E-2</v>
      </c>
      <c r="DR13" s="79">
        <f t="shared" si="8"/>
        <v>1.4595238095591996E-2</v>
      </c>
      <c r="DS13" s="79">
        <f t="shared" si="8"/>
        <v>1.4595238095591996E-2</v>
      </c>
      <c r="DT13" s="79">
        <f t="shared" si="8"/>
        <v>1.4595238095591996E-2</v>
      </c>
      <c r="DU13" s="79">
        <f t="shared" si="8"/>
        <v>1.4595238095591996E-2</v>
      </c>
      <c r="DV13" s="79">
        <f t="shared" si="8"/>
        <v>1.4595238095591996E-2</v>
      </c>
      <c r="DW13" s="79">
        <f t="shared" si="8"/>
        <v>1.4595238095591996E-2</v>
      </c>
      <c r="DX13" s="79">
        <f t="shared" si="8"/>
        <v>1.4595238095591996E-2</v>
      </c>
      <c r="DY13" s="79">
        <f t="shared" si="8"/>
        <v>1.4595238095591996E-2</v>
      </c>
      <c r="DZ13" s="79">
        <f t="shared" si="8"/>
        <v>1.4595238095591996E-2</v>
      </c>
      <c r="EA13" s="79">
        <f t="shared" si="8"/>
        <v>1.4595238095591996E-2</v>
      </c>
      <c r="EB13" s="79">
        <f t="shared" si="8"/>
        <v>1.4595238095591996E-2</v>
      </c>
      <c r="EC13" s="79">
        <f t="shared" si="8"/>
        <v>1.4595238095591996E-2</v>
      </c>
      <c r="ED13" s="79">
        <f t="shared" si="8"/>
        <v>1.4595238095591996E-2</v>
      </c>
      <c r="EE13" s="79">
        <f t="shared" si="8"/>
        <v>1.4595238095591996E-2</v>
      </c>
      <c r="EF13" s="79">
        <f t="shared" si="9"/>
        <v>1.4595238095591996E-2</v>
      </c>
      <c r="EG13" s="79">
        <f t="shared" si="9"/>
        <v>1.4595238095591996E-2</v>
      </c>
      <c r="EH13" s="79">
        <f t="shared" si="9"/>
        <v>1.4595238095591996E-2</v>
      </c>
      <c r="EI13" s="79">
        <f t="shared" si="9"/>
        <v>1.4595238095591996E-2</v>
      </c>
      <c r="EJ13" s="79">
        <f t="shared" si="9"/>
        <v>1.4595238095591996E-2</v>
      </c>
      <c r="EK13" s="79">
        <f t="shared" si="9"/>
        <v>1.4595238095591996E-2</v>
      </c>
      <c r="EL13" s="79">
        <f t="shared" si="9"/>
        <v>1.4595238095591996E-2</v>
      </c>
      <c r="EM13" s="79">
        <f t="shared" si="9"/>
        <v>1.4595238095591996E-2</v>
      </c>
      <c r="EN13" s="79">
        <f t="shared" si="9"/>
        <v>1.4595238095591996E-2</v>
      </c>
      <c r="EO13" s="79">
        <f t="shared" si="9"/>
        <v>1.4595238095591996E-2</v>
      </c>
      <c r="EP13" s="79">
        <f t="shared" si="9"/>
        <v>1.4595238095591996E-2</v>
      </c>
      <c r="EQ13" s="79">
        <f t="shared" si="9"/>
        <v>1.4595238095591996E-2</v>
      </c>
      <c r="ER13" s="79">
        <f t="shared" si="9"/>
        <v>1.4595238095591996E-2</v>
      </c>
      <c r="ES13" s="79">
        <f t="shared" si="9"/>
        <v>1.4595238095591996E-2</v>
      </c>
      <c r="ET13" s="79">
        <f t="shared" si="9"/>
        <v>1.4595238095591996E-2</v>
      </c>
      <c r="EY13" t="s">
        <v>72</v>
      </c>
      <c r="FA13" s="27">
        <v>1.6299999999999999E-2</v>
      </c>
      <c r="FB13">
        <v>72</v>
      </c>
      <c r="FC13" s="27">
        <v>1.95E-2</v>
      </c>
      <c r="FF13" s="6" t="s">
        <v>2994</v>
      </c>
      <c r="FG13" s="696">
        <v>2.5000000000000001E-2</v>
      </c>
      <c r="FH13" s="696">
        <v>120</v>
      </c>
      <c r="FI13" s="696">
        <v>1.6E-2</v>
      </c>
      <c r="FJ13" s="255">
        <v>1.3000000000000001E-2</v>
      </c>
      <c r="FK13" s="71">
        <f t="shared" si="11"/>
        <v>2.8571428571428574E-4</v>
      </c>
      <c r="FL13" t="e">
        <f>VLOOKUP(FF13,'SIMULADOR COM SALDO'!$BX$22:$CK$1000,13,FALSE)</f>
        <v>#N/A</v>
      </c>
    </row>
    <row r="14" spans="5:168" ht="18" customHeight="1" x14ac:dyDescent="0.25">
      <c r="E14" s="77"/>
      <c r="F14" s="97">
        <f t="shared" si="12"/>
        <v>1.4692857142857143E-2</v>
      </c>
      <c r="G14" s="79">
        <f t="shared" si="6"/>
        <v>1.8497611573100394E-2</v>
      </c>
      <c r="H14" s="79">
        <f t="shared" si="13"/>
        <v>1.8492913585735325E-2</v>
      </c>
      <c r="I14" s="79">
        <f t="shared" si="13"/>
        <v>1.8485983792501041E-2</v>
      </c>
      <c r="J14" s="79">
        <f t="shared" si="13"/>
        <v>1.847689878556695E-2</v>
      </c>
      <c r="K14" s="79">
        <f t="shared" si="13"/>
        <v>1.8465733949007076E-2</v>
      </c>
      <c r="L14" s="79">
        <f t="shared" si="13"/>
        <v>1.8452563417879111E-2</v>
      </c>
      <c r="M14" s="79">
        <f t="shared" si="13"/>
        <v>1.8437460041871266E-2</v>
      </c>
      <c r="N14" s="79">
        <f t="shared" si="13"/>
        <v>1.8420495353334763E-2</v>
      </c>
      <c r="O14" s="79">
        <f t="shared" si="13"/>
        <v>1.840173953951699E-2</v>
      </c>
      <c r="P14" s="79">
        <f t="shared" si="13"/>
        <v>1.8381261418805916E-2</v>
      </c>
      <c r="Q14" s="79">
        <f t="shared" si="13"/>
        <v>1.8359128420795148E-2</v>
      </c>
      <c r="R14" s="79">
        <f t="shared" si="13"/>
        <v>1.8335406569983045E-2</v>
      </c>
      <c r="S14" s="79">
        <f t="shared" si="13"/>
        <v>1.8310160472912458E-2</v>
      </c>
      <c r="T14" s="79">
        <f t="shared" si="13"/>
        <v>1.8283453308567833E-2</v>
      </c>
      <c r="U14" s="79">
        <f t="shared" si="13"/>
        <v>1.8255346821842131E-2</v>
      </c>
      <c r="V14" s="79">
        <f t="shared" si="13"/>
        <v>1.822590131989121E-2</v>
      </c>
      <c r="W14" s="79">
        <f t="shared" si="13"/>
        <v>1.8195175671199652E-2</v>
      </c>
      <c r="X14" s="79">
        <f t="shared" si="13"/>
        <v>1.8163227307180011E-2</v>
      </c>
      <c r="Y14" s="79">
        <f t="shared" si="13"/>
        <v>1.8130112226138771E-2</v>
      </c>
      <c r="Z14" s="79">
        <f t="shared" si="13"/>
        <v>1.8095884999440988E-2</v>
      </c>
      <c r="AA14" s="79">
        <f t="shared" si="13"/>
        <v>1.8060598779716545E-2</v>
      </c>
      <c r="AB14" s="79">
        <f t="shared" si="13"/>
        <v>1.8024305310950811E-2</v>
      </c>
      <c r="AC14" s="79">
        <f t="shared" si="13"/>
        <v>1.7987054940313434E-2</v>
      </c>
      <c r="AD14" s="79">
        <f t="shared" si="13"/>
        <v>1.7948896631578715E-2</v>
      </c>
      <c r="AE14" s="79">
        <f t="shared" si="13"/>
        <v>1.7909877980004197E-2</v>
      </c>
      <c r="AF14" s="79">
        <f t="shared" si="13"/>
        <v>1.7870045228533589E-2</v>
      </c>
      <c r="AG14" s="79">
        <f t="shared" si="13"/>
        <v>1.7829443285198573E-2</v>
      </c>
      <c r="AH14" s="79">
        <f t="shared" si="13"/>
        <v>1.7788115741602269E-2</v>
      </c>
      <c r="AI14" s="79">
        <f t="shared" si="13"/>
        <v>1.7746104892368029E-2</v>
      </c>
      <c r="AJ14" s="79">
        <f t="shared" si="13"/>
        <v>1.7703451755447346E-2</v>
      </c>
      <c r="AK14" s="79">
        <f t="shared" si="13"/>
        <v>1.7660196093185216E-2</v>
      </c>
      <c r="AL14" s="79">
        <f t="shared" si="13"/>
        <v>1.761637643404558E-2</v>
      </c>
      <c r="AM14" s="79">
        <f t="shared" si="13"/>
        <v>1.7572030094907817E-2</v>
      </c>
      <c r="AN14" s="79">
        <f t="shared" si="13"/>
        <v>1.7527193203845368E-2</v>
      </c>
      <c r="AO14" s="79">
        <f t="shared" si="13"/>
        <v>1.7481900723311853E-2</v>
      </c>
      <c r="AP14" s="79">
        <f t="shared" si="13"/>
        <v>1.7436186473652963E-2</v>
      </c>
      <c r="AQ14" s="79">
        <f t="shared" si="13"/>
        <v>1.7390083156880995E-2</v>
      </c>
      <c r="AR14" s="79">
        <f t="shared" si="13"/>
        <v>1.7343622380639346E-2</v>
      </c>
      <c r="AS14" s="79">
        <f t="shared" si="13"/>
        <v>1.729683468230311E-2</v>
      </c>
      <c r="AT14" s="79">
        <f t="shared" si="13"/>
        <v>1.7249749553152963E-2</v>
      </c>
      <c r="AU14" s="79">
        <f t="shared" si="13"/>
        <v>1.7202395462574918E-2</v>
      </c>
      <c r="AV14" s="79">
        <f t="shared" si="13"/>
        <v>1.7154799882234523E-2</v>
      </c>
      <c r="AW14" s="79">
        <f t="shared" si="13"/>
        <v>1.7106989310181713E-2</v>
      </c>
      <c r="AX14" s="79">
        <f t="shared" si="13"/>
        <v>1.705898929484689E-2</v>
      </c>
      <c r="AY14" s="79">
        <f t="shared" si="13"/>
        <v>1.7010824458888209E-2</v>
      </c>
      <c r="AZ14" s="79">
        <f t="shared" si="13"/>
        <v>1.6962518522857933E-2</v>
      </c>
      <c r="BA14" s="79">
        <f t="shared" si="13"/>
        <v>1.6914094328655781E-2</v>
      </c>
      <c r="BB14" s="79">
        <f t="shared" si="13"/>
        <v>1.6865573862742091E-2</v>
      </c>
      <c r="BC14" s="79">
        <f t="shared" si="13"/>
        <v>1.6816978279083936E-2</v>
      </c>
      <c r="BD14" s="79">
        <f t="shared" si="13"/>
        <v>1.6768327921812026E-2</v>
      </c>
      <c r="BE14" s="79">
        <f t="shared" si="13"/>
        <v>1.6719642347569664E-2</v>
      </c>
      <c r="BF14" s="79">
        <f t="shared" si="13"/>
        <v>1.6670940347533084E-2</v>
      </c>
      <c r="BG14" s="79">
        <f t="shared" si="13"/>
        <v>1.6622239969088636E-2</v>
      </c>
      <c r="BH14" s="79">
        <f t="shared" si="13"/>
        <v>1.657355853715373E-2</v>
      </c>
      <c r="BI14" s="79">
        <f t="shared" si="13"/>
        <v>1.6524912675128064E-2</v>
      </c>
      <c r="BJ14" s="79">
        <f t="shared" si="13"/>
        <v>1.6476318325465249E-2</v>
      </c>
      <c r="BK14" s="79">
        <f t="shared" si="13"/>
        <v>1.6427790769858005E-2</v>
      </c>
      <c r="BL14" s="79">
        <f t="shared" si="13"/>
        <v>1.6379344649027402E-2</v>
      </c>
      <c r="BM14" s="79">
        <f t="shared" si="13"/>
        <v>1.6330993982110815E-2</v>
      </c>
      <c r="BN14" s="79">
        <f t="shared" si="13"/>
        <v>1.628275218564763E-2</v>
      </c>
      <c r="BO14" s="79">
        <f t="shared" si="13"/>
        <v>1.6234632092154318E-2</v>
      </c>
      <c r="BP14" s="79">
        <f t="shared" si="13"/>
        <v>1.6186645968290437E-2</v>
      </c>
      <c r="BQ14" s="79">
        <f t="shared" si="13"/>
        <v>1.6138805532614642E-2</v>
      </c>
      <c r="BR14" s="79">
        <f t="shared" si="13"/>
        <v>1.6091121972927443E-2</v>
      </c>
      <c r="BS14" s="79">
        <f t="shared" si="13"/>
        <v>1.6043605963206049E-2</v>
      </c>
      <c r="BT14" s="79">
        <f t="shared" si="8"/>
        <v>1.5996267680128216E-2</v>
      </c>
      <c r="BU14" s="79">
        <f t="shared" si="8"/>
        <v>1.5949116819191551E-2</v>
      </c>
      <c r="BV14" s="79">
        <f t="shared" si="8"/>
        <v>1.5902162610427772E-2</v>
      </c>
      <c r="BW14" s="79">
        <f t="shared" si="8"/>
        <v>1.5855413833718138E-2</v>
      </c>
      <c r="BX14" s="79">
        <f t="shared" si="8"/>
        <v>1.5808878833711508E-2</v>
      </c>
      <c r="BY14" s="79">
        <f t="shared" si="8"/>
        <v>1.5762565534352371E-2</v>
      </c>
      <c r="BZ14" s="79">
        <f t="shared" si="8"/>
        <v>1.5716481453020341E-2</v>
      </c>
      <c r="CA14" s="79">
        <f t="shared" si="8"/>
        <v>1.5670633714291136E-2</v>
      </c>
      <c r="CB14" s="79">
        <f t="shared" si="8"/>
        <v>1.562502906331855E-2</v>
      </c>
      <c r="CC14" s="79">
        <f t="shared" si="8"/>
        <v>1.557967387884905E-2</v>
      </c>
      <c r="CD14" s="79">
        <f t="shared" si="8"/>
        <v>1.5534574185871331E-2</v>
      </c>
      <c r="CE14" s="79">
        <f t="shared" si="8"/>
        <v>1.5489735667909323E-2</v>
      </c>
      <c r="CF14" s="79">
        <f t="shared" si="8"/>
        <v>1.5445163678963909E-2</v>
      </c>
      <c r="CG14" s="79">
        <f t="shared" si="8"/>
        <v>1.5400863255110539E-2</v>
      </c>
      <c r="CH14" s="79">
        <f t="shared" si="8"/>
        <v>1.5356839125760127E-2</v>
      </c>
      <c r="CI14" s="79">
        <f t="shared" si="8"/>
        <v>1.5313095724588428E-2</v>
      </c>
      <c r="CJ14" s="79">
        <f t="shared" si="8"/>
        <v>1.5269637200143141E-2</v>
      </c>
      <c r="CK14" s="79">
        <f t="shared" si="8"/>
        <v>1.5226467426133703E-2</v>
      </c>
      <c r="CL14" s="79">
        <f t="shared" si="8"/>
        <v>1.5183590011413142E-2</v>
      </c>
      <c r="CM14" s="79">
        <f t="shared" si="8"/>
        <v>1.5141008309654385E-2</v>
      </c>
      <c r="CN14" s="79">
        <f t="shared" si="8"/>
        <v>1.5098725428736271E-2</v>
      </c>
      <c r="CO14" s="79">
        <f t="shared" si="8"/>
        <v>1.505674423983672E-2</v>
      </c>
      <c r="CP14" s="79">
        <f t="shared" si="8"/>
        <v>1.5015067386247648E-2</v>
      </c>
      <c r="CQ14" s="79">
        <f t="shared" si="8"/>
        <v>1.4973697291914112E-2</v>
      </c>
      <c r="CR14" s="79">
        <f t="shared" si="8"/>
        <v>1.4932636169707702E-2</v>
      </c>
      <c r="CS14" s="79">
        <f t="shared" si="8"/>
        <v>1.4891886029437622E-2</v>
      </c>
      <c r="CT14" s="79">
        <f t="shared" si="8"/>
        <v>1.4851448685609574E-2</v>
      </c>
      <c r="CU14" s="79">
        <f t="shared" si="8"/>
        <v>1.4811325764936926E-2</v>
      </c>
      <c r="CV14" s="79">
        <f t="shared" si="8"/>
        <v>1.4771518713612295E-2</v>
      </c>
      <c r="CW14" s="79">
        <f t="shared" si="8"/>
        <v>1.4732028804343949E-2</v>
      </c>
      <c r="CX14" s="79">
        <f t="shared" si="8"/>
        <v>1.4692857143165754E-2</v>
      </c>
      <c r="CY14" s="79">
        <f t="shared" si="8"/>
        <v>1.4692857143165754E-2</v>
      </c>
      <c r="CZ14" s="79">
        <f t="shared" si="8"/>
        <v>1.4692857143165754E-2</v>
      </c>
      <c r="DA14" s="79">
        <f t="shared" si="8"/>
        <v>1.4692857143165754E-2</v>
      </c>
      <c r="DB14" s="79">
        <f t="shared" si="8"/>
        <v>1.4692857143165754E-2</v>
      </c>
      <c r="DC14" s="79">
        <f t="shared" si="8"/>
        <v>1.4692857143165754E-2</v>
      </c>
      <c r="DD14" s="79">
        <f t="shared" si="8"/>
        <v>1.4692857143165754E-2</v>
      </c>
      <c r="DE14" s="79">
        <f t="shared" si="8"/>
        <v>1.4692857143165754E-2</v>
      </c>
      <c r="DF14" s="79">
        <f t="shared" si="8"/>
        <v>1.4692857143165754E-2</v>
      </c>
      <c r="DG14" s="79">
        <f t="shared" si="8"/>
        <v>1.4692857143165754E-2</v>
      </c>
      <c r="DH14" s="79">
        <f t="shared" si="8"/>
        <v>1.4692857143165754E-2</v>
      </c>
      <c r="DI14" s="79">
        <f t="shared" si="8"/>
        <v>1.4692857143165754E-2</v>
      </c>
      <c r="DJ14" s="79">
        <f t="shared" si="8"/>
        <v>1.4692857143165754E-2</v>
      </c>
      <c r="DK14" s="79">
        <f t="shared" si="8"/>
        <v>1.4692857143165754E-2</v>
      </c>
      <c r="DL14" s="79">
        <f t="shared" si="8"/>
        <v>1.4692857143165754E-2</v>
      </c>
      <c r="DM14" s="79">
        <f t="shared" si="8"/>
        <v>1.4692857143165754E-2</v>
      </c>
      <c r="DN14" s="79">
        <f t="shared" si="8"/>
        <v>1.4692857143165754E-2</v>
      </c>
      <c r="DO14" s="79">
        <f t="shared" si="8"/>
        <v>1.4692857143165754E-2</v>
      </c>
      <c r="DP14" s="79">
        <f t="shared" si="8"/>
        <v>1.4692857143165754E-2</v>
      </c>
      <c r="DQ14" s="79">
        <f t="shared" si="8"/>
        <v>1.4692857143165754E-2</v>
      </c>
      <c r="DR14" s="79">
        <f t="shared" si="8"/>
        <v>1.4692857143165754E-2</v>
      </c>
      <c r="DS14" s="79">
        <f t="shared" si="8"/>
        <v>1.4692857143165754E-2</v>
      </c>
      <c r="DT14" s="79">
        <f t="shared" si="8"/>
        <v>1.4692857143165754E-2</v>
      </c>
      <c r="DU14" s="79">
        <f t="shared" si="8"/>
        <v>1.4692857143165754E-2</v>
      </c>
      <c r="DV14" s="79">
        <f t="shared" si="8"/>
        <v>1.4692857143165754E-2</v>
      </c>
      <c r="DW14" s="79">
        <f t="shared" si="8"/>
        <v>1.4692857143165754E-2</v>
      </c>
      <c r="DX14" s="79">
        <f t="shared" si="8"/>
        <v>1.4692857143165754E-2</v>
      </c>
      <c r="DY14" s="79">
        <f t="shared" si="8"/>
        <v>1.4692857143165754E-2</v>
      </c>
      <c r="DZ14" s="79">
        <f t="shared" si="8"/>
        <v>1.4692857143165754E-2</v>
      </c>
      <c r="EA14" s="79">
        <f t="shared" si="8"/>
        <v>1.4692857143165754E-2</v>
      </c>
      <c r="EB14" s="79">
        <f t="shared" si="8"/>
        <v>1.4692857143165754E-2</v>
      </c>
      <c r="EC14" s="79">
        <f t="shared" si="8"/>
        <v>1.4692857143165754E-2</v>
      </c>
      <c r="ED14" s="79">
        <f t="shared" si="8"/>
        <v>1.4692857143165754E-2</v>
      </c>
      <c r="EE14" s="79">
        <f t="shared" ref="EE14:ET29" si="14">IF(EE$9&lt;=$K$6,RATE($K$6,1,EE60,0),"")</f>
        <v>1.4692857143165754E-2</v>
      </c>
      <c r="EF14" s="79">
        <f t="shared" si="14"/>
        <v>1.4692857143165754E-2</v>
      </c>
      <c r="EG14" s="79">
        <f t="shared" si="14"/>
        <v>1.4692857143165754E-2</v>
      </c>
      <c r="EH14" s="79">
        <f t="shared" si="14"/>
        <v>1.4692857143165754E-2</v>
      </c>
      <c r="EI14" s="79">
        <f t="shared" si="14"/>
        <v>1.4692857143165754E-2</v>
      </c>
      <c r="EJ14" s="79">
        <f t="shared" si="14"/>
        <v>1.4692857143165754E-2</v>
      </c>
      <c r="EK14" s="79">
        <f t="shared" si="14"/>
        <v>1.4692857143165754E-2</v>
      </c>
      <c r="EL14" s="79">
        <f t="shared" si="14"/>
        <v>1.4692857143165754E-2</v>
      </c>
      <c r="EM14" s="79">
        <f t="shared" si="14"/>
        <v>1.4692857143165754E-2</v>
      </c>
      <c r="EN14" s="79">
        <f t="shared" si="14"/>
        <v>1.4692857143165754E-2</v>
      </c>
      <c r="EO14" s="79">
        <f t="shared" si="14"/>
        <v>1.4692857143165754E-2</v>
      </c>
      <c r="EP14" s="79">
        <f t="shared" si="14"/>
        <v>1.4692857143165754E-2</v>
      </c>
      <c r="EQ14" s="79">
        <f t="shared" si="14"/>
        <v>1.4692857143165754E-2</v>
      </c>
      <c r="ER14" s="79">
        <f t="shared" si="14"/>
        <v>1.4692857143165754E-2</v>
      </c>
      <c r="ES14" s="79">
        <f t="shared" si="14"/>
        <v>1.4692857143165754E-2</v>
      </c>
      <c r="ET14" s="79">
        <f t="shared" si="14"/>
        <v>1.4692857143165754E-2</v>
      </c>
      <c r="EY14" t="s">
        <v>76</v>
      </c>
      <c r="FA14" s="4">
        <v>1.6500000000000001E-2</v>
      </c>
      <c r="FB14">
        <v>84</v>
      </c>
      <c r="FC14" s="27">
        <v>1.9699999999999999E-2</v>
      </c>
      <c r="FF14" s="6" t="s">
        <v>941</v>
      </c>
      <c r="FG14" s="696">
        <v>2.5000000000000001E-2</v>
      </c>
      <c r="FH14" s="696">
        <v>120</v>
      </c>
      <c r="FI14" s="696">
        <v>2.0099999999999996E-2</v>
      </c>
      <c r="FJ14" s="255">
        <v>1.8000000000000002E-2</v>
      </c>
      <c r="FK14" s="71">
        <f t="shared" si="11"/>
        <v>1.6666666666666666E-4</v>
      </c>
      <c r="FL14" t="e">
        <f>VLOOKUP(FF14,'SIMULADOR COM SALDO'!$BX$22:$CK$1000,13,FALSE)</f>
        <v>#N/A</v>
      </c>
    </row>
    <row r="15" spans="5:168" ht="18" customHeight="1" x14ac:dyDescent="0.25">
      <c r="E15" s="77"/>
      <c r="F15" s="97">
        <f t="shared" si="12"/>
        <v>1.4790476190476191E-2</v>
      </c>
      <c r="G15" s="79">
        <f t="shared" si="6"/>
        <v>1.8497673034823012E-2</v>
      </c>
      <c r="H15" s="79">
        <f t="shared" si="13"/>
        <v>1.8493096139436355E-2</v>
      </c>
      <c r="I15" s="79">
        <f t="shared" si="13"/>
        <v>1.8486345234691039E-2</v>
      </c>
      <c r="J15" s="79">
        <f t="shared" si="13"/>
        <v>1.8477495080503292E-2</v>
      </c>
      <c r="K15" s="79">
        <f t="shared" si="13"/>
        <v>1.8466619233724606E-2</v>
      </c>
      <c r="L15" s="79">
        <f t="shared" si="13"/>
        <v>1.8453790010529342E-2</v>
      </c>
      <c r="M15" s="79">
        <f t="shared" si="13"/>
        <v>1.8439078453143139E-2</v>
      </c>
      <c r="N15" s="79">
        <f t="shared" si="13"/>
        <v>1.8422554300735521E-2</v>
      </c>
      <c r="O15" s="79">
        <f t="shared" si="13"/>
        <v>1.8404285964296382E-2</v>
      </c>
      <c r="P15" s="79">
        <f t="shared" si="13"/>
        <v>1.8384340505311698E-2</v>
      </c>
      <c r="Q15" s="79">
        <f t="shared" si="13"/>
        <v>1.8362783618056593E-2</v>
      </c>
      <c r="R15" s="79">
        <f t="shared" si="13"/>
        <v>1.8339679615321874E-2</v>
      </c>
      <c r="S15" s="79">
        <f t="shared" si="13"/>
        <v>1.8315091417393587E-2</v>
      </c>
      <c r="T15" s="79">
        <f t="shared" si="13"/>
        <v>1.8289080544103581E-2</v>
      </c>
      <c r="U15" s="79">
        <f t="shared" si="13"/>
        <v>1.8261707109775933E-2</v>
      </c>
      <c r="V15" s="79">
        <f t="shared" si="13"/>
        <v>1.8233029820892248E-2</v>
      </c>
      <c r="W15" s="79">
        <f t="shared" si="13"/>
        <v>1.8203105976307879E-2</v>
      </c>
      <c r="X15" s="79">
        <f t="shared" si="13"/>
        <v>1.8171991469851257E-2</v>
      </c>
      <c r="Y15" s="79">
        <f t="shared" si="13"/>
        <v>1.8139740795143945E-2</v>
      </c>
      <c r="Z15" s="79">
        <f t="shared" si="13"/>
        <v>1.8106407052485254E-2</v>
      </c>
      <c r="AA15" s="79">
        <f t="shared" si="13"/>
        <v>1.8072041957648267E-2</v>
      </c>
      <c r="AB15" s="79">
        <f t="shared" si="13"/>
        <v>1.8036695852442129E-2</v>
      </c>
      <c r="AC15" s="79">
        <f t="shared" si="13"/>
        <v>1.8000417716897418E-2</v>
      </c>
      <c r="AD15" s="79">
        <f t="shared" si="13"/>
        <v>1.796325518293955E-2</v>
      </c>
      <c r="AE15" s="79">
        <f t="shared" si="13"/>
        <v>1.7925254549420854E-2</v>
      </c>
      <c r="AF15" s="79">
        <f t="shared" si="13"/>
        <v>1.788646079838619E-2</v>
      </c>
      <c r="AG15" s="79">
        <f t="shared" si="13"/>
        <v>1.7846917612453883E-2</v>
      </c>
      <c r="AH15" s="79">
        <f t="shared" si="13"/>
        <v>1.7806667393198541E-2</v>
      </c>
      <c r="AI15" s="79">
        <f t="shared" si="13"/>
        <v>1.7765751280429089E-2</v>
      </c>
      <c r="AJ15" s="79">
        <f t="shared" si="13"/>
        <v>1.7724209172260235E-2</v>
      </c>
      <c r="AK15" s="79">
        <f t="shared" si="13"/>
        <v>1.7682079745880565E-2</v>
      </c>
      <c r="AL15" s="79">
        <f t="shared" si="13"/>
        <v>1.7639400478926988E-2</v>
      </c>
      <c r="AM15" s="79">
        <f t="shared" si="13"/>
        <v>1.7596207671379916E-2</v>
      </c>
      <c r="AN15" s="79">
        <f t="shared" si="13"/>
        <v>1.7552536467899109E-2</v>
      </c>
      <c r="AO15" s="79">
        <f t="shared" si="13"/>
        <v>1.7508420880522971E-2</v>
      </c>
      <c r="AP15" s="79">
        <f t="shared" si="13"/>
        <v>1.7463893811663141E-2</v>
      </c>
      <c r="AQ15" s="79">
        <f t="shared" si="13"/>
        <v>1.741898707732667E-2</v>
      </c>
      <c r="AR15" s="79">
        <f t="shared" si="13"/>
        <v>1.7373731430504167E-2</v>
      </c>
      <c r="AS15" s="79">
        <f t="shared" si="13"/>
        <v>1.732815658466768E-2</v>
      </c>
      <c r="AT15" s="79">
        <f t="shared" si="13"/>
        <v>1.7282291237325043E-2</v>
      </c>
      <c r="AU15" s="79">
        <f t="shared" si="13"/>
        <v>1.7236163093579684E-2</v>
      </c>
      <c r="AV15" s="79">
        <f t="shared" si="13"/>
        <v>1.7189798889654103E-2</v>
      </c>
      <c r="AW15" s="79">
        <f t="shared" si="13"/>
        <v>1.7143224416331083E-2</v>
      </c>
      <c r="AX15" s="79">
        <f t="shared" si="13"/>
        <v>1.7096464542278214E-2</v>
      </c>
      <c r="AY15" s="79">
        <f t="shared" si="13"/>
        <v>1.7049543237216719E-2</v>
      </c>
      <c r="AZ15" s="79">
        <f t="shared" si="13"/>
        <v>1.7002483594907136E-2</v>
      </c>
      <c r="BA15" s="79">
        <f t="shared" si="13"/>
        <v>1.6955307855917756E-2</v>
      </c>
      <c r="BB15" s="79">
        <f t="shared" si="13"/>
        <v>1.6908037430154087E-2</v>
      </c>
      <c r="BC15" s="79">
        <f t="shared" si="13"/>
        <v>1.6860692919122552E-2</v>
      </c>
      <c r="BD15" s="79">
        <f t="shared" si="13"/>
        <v>1.6813294137908073E-2</v>
      </c>
      <c r="BE15" s="79">
        <f t="shared" si="13"/>
        <v>1.6765860136848009E-2</v>
      </c>
      <c r="BF15" s="79">
        <f t="shared" si="13"/>
        <v>1.6718409222882407E-2</v>
      </c>
      <c r="BG15" s="79">
        <f t="shared" si="13"/>
        <v>1.667095898057008E-2</v>
      </c>
      <c r="BH15" s="79">
        <f t="shared" si="13"/>
        <v>1.6623526292753796E-2</v>
      </c>
      <c r="BI15" s="79">
        <f t="shared" si="13"/>
        <v>1.6576127360866017E-2</v>
      </c>
      <c r="BJ15" s="79">
        <f t="shared" si="13"/>
        <v>1.6528777724864559E-2</v>
      </c>
      <c r="BK15" s="79">
        <f t="shared" si="13"/>
        <v>1.6481492282790354E-2</v>
      </c>
      <c r="BL15" s="79">
        <f t="shared" si="13"/>
        <v>1.6434285309942606E-2</v>
      </c>
      <c r="BM15" s="79">
        <f t="shared" si="13"/>
        <v>1.6387170477662874E-2</v>
      </c>
      <c r="BN15" s="79">
        <f t="shared" si="13"/>
        <v>1.6340160871727273E-2</v>
      </c>
      <c r="BO15" s="79">
        <f t="shared" si="13"/>
        <v>1.6293269010342622E-2</v>
      </c>
      <c r="BP15" s="79">
        <f t="shared" si="13"/>
        <v>1.6246506861745447E-2</v>
      </c>
      <c r="BQ15" s="79">
        <f t="shared" si="13"/>
        <v>1.6199885861401576E-2</v>
      </c>
      <c r="BR15" s="79">
        <f t="shared" si="13"/>
        <v>1.6153416928809432E-2</v>
      </c>
      <c r="BS15" s="79">
        <f t="shared" si="13"/>
        <v>1.6107110483903953E-2</v>
      </c>
      <c r="BT15" s="79">
        <f t="shared" ref="BT15:CY15" si="15">IF(BT$9&lt;=$K$6,RATE($K$6,1,BT61,0),"")</f>
        <v>1.6060976463066298E-2</v>
      </c>
      <c r="BU15" s="79">
        <f t="shared" si="15"/>
        <v>1.6015024334740623E-2</v>
      </c>
      <c r="BV15" s="79">
        <f t="shared" si="15"/>
        <v>1.5969263114659554E-2</v>
      </c>
      <c r="BW15" s="79">
        <f t="shared" si="15"/>
        <v>1.5923701380682546E-2</v>
      </c>
      <c r="BX15" s="79">
        <f t="shared" si="15"/>
        <v>1.5878347287253486E-2</v>
      </c>
      <c r="BY15" s="79">
        <f t="shared" si="15"/>
        <v>1.5833208579477214E-2</v>
      </c>
      <c r="BZ15" s="79">
        <f t="shared" si="15"/>
        <v>1.5788292606824465E-2</v>
      </c>
      <c r="CA15" s="79">
        <f t="shared" si="15"/>
        <v>1.574360633646674E-2</v>
      </c>
      <c r="CB15" s="79">
        <f t="shared" si="15"/>
        <v>1.5699156366249613E-2</v>
      </c>
      <c r="CC15" s="79">
        <f t="shared" si="15"/>
        <v>1.5654948937307234E-2</v>
      </c>
      <c r="CD15" s="79">
        <f t="shared" si="15"/>
        <v>1.561098994632709E-2</v>
      </c>
      <c r="CE15" s="79">
        <f t="shared" si="15"/>
        <v>1.5567284957467816E-2</v>
      </c>
      <c r="CF15" s="79">
        <f t="shared" si="15"/>
        <v>1.5523839213939945E-2</v>
      </c>
      <c r="CG15" s="79">
        <f t="shared" si="15"/>
        <v>1.5480657649252567E-2</v>
      </c>
      <c r="CH15" s="79">
        <f t="shared" si="15"/>
        <v>1.5437744898135168E-2</v>
      </c>
      <c r="CI15" s="79">
        <f t="shared" si="15"/>
        <v>1.53951053071403E-2</v>
      </c>
      <c r="CJ15" s="79">
        <f t="shared" si="15"/>
        <v>1.5352742944933261E-2</v>
      </c>
      <c r="CK15" s="79">
        <f t="shared" si="15"/>
        <v>1.531066161227628E-2</v>
      </c>
      <c r="CL15" s="79">
        <f t="shared" si="15"/>
        <v>1.5268864851714045E-2</v>
      </c>
      <c r="CM15" s="79">
        <f t="shared" si="15"/>
        <v>1.5227355956967581E-2</v>
      </c>
      <c r="CN15" s="79">
        <f t="shared" si="15"/>
        <v>1.5186137982041225E-2</v>
      </c>
      <c r="CO15" s="79">
        <f t="shared" si="15"/>
        <v>1.5145213750053196E-2</v>
      </c>
      <c r="CP15" s="79">
        <f t="shared" si="15"/>
        <v>1.510458586179334E-2</v>
      </c>
      <c r="CQ15" s="79">
        <f t="shared" si="15"/>
        <v>1.5064256704015528E-2</v>
      </c>
      <c r="CR15" s="79">
        <f t="shared" si="15"/>
        <v>1.5024228457473168E-2</v>
      </c>
      <c r="CS15" s="79">
        <f t="shared" si="15"/>
        <v>1.4984503104700819E-2</v>
      </c>
      <c r="CT15" s="79">
        <f t="shared" si="15"/>
        <v>1.4945082437552866E-2</v>
      </c>
      <c r="CU15" s="79">
        <f t="shared" si="15"/>
        <v>1.4905968064501918E-2</v>
      </c>
      <c r="CV15" s="79">
        <f t="shared" si="15"/>
        <v>1.486716141770522E-2</v>
      </c>
      <c r="CW15" s="79">
        <f t="shared" si="15"/>
        <v>1.4828663759843935E-2</v>
      </c>
      <c r="CX15" s="79">
        <f t="shared" si="15"/>
        <v>1.4790476190745029E-2</v>
      </c>
      <c r="CY15" s="79">
        <f t="shared" si="15"/>
        <v>1.4790476190745029E-2</v>
      </c>
      <c r="CZ15" s="79">
        <f t="shared" ref="CZ15:EE15" si="16">IF(CZ$9&lt;=$K$6,RATE($K$6,1,CZ61,0),"")</f>
        <v>1.4790476190745029E-2</v>
      </c>
      <c r="DA15" s="79">
        <f t="shared" si="16"/>
        <v>1.4790476190745029E-2</v>
      </c>
      <c r="DB15" s="79">
        <f t="shared" si="16"/>
        <v>1.4790476190745029E-2</v>
      </c>
      <c r="DC15" s="79">
        <f t="shared" si="16"/>
        <v>1.4790476190745029E-2</v>
      </c>
      <c r="DD15" s="79">
        <f t="shared" si="16"/>
        <v>1.4790476190745029E-2</v>
      </c>
      <c r="DE15" s="79">
        <f t="shared" si="16"/>
        <v>1.4790476190745029E-2</v>
      </c>
      <c r="DF15" s="79">
        <f t="shared" si="16"/>
        <v>1.4790476190745029E-2</v>
      </c>
      <c r="DG15" s="79">
        <f t="shared" si="16"/>
        <v>1.4790476190745029E-2</v>
      </c>
      <c r="DH15" s="79">
        <f t="shared" si="16"/>
        <v>1.4790476190745029E-2</v>
      </c>
      <c r="DI15" s="79">
        <f t="shared" si="16"/>
        <v>1.4790476190745029E-2</v>
      </c>
      <c r="DJ15" s="79">
        <f t="shared" si="16"/>
        <v>1.4790476190745029E-2</v>
      </c>
      <c r="DK15" s="79">
        <f t="shared" si="16"/>
        <v>1.4790476190745029E-2</v>
      </c>
      <c r="DL15" s="79">
        <f t="shared" si="16"/>
        <v>1.4790476190745029E-2</v>
      </c>
      <c r="DM15" s="79">
        <f t="shared" si="16"/>
        <v>1.4790476190745029E-2</v>
      </c>
      <c r="DN15" s="79">
        <f t="shared" si="16"/>
        <v>1.4790476190745029E-2</v>
      </c>
      <c r="DO15" s="79">
        <f t="shared" si="16"/>
        <v>1.4790476190745029E-2</v>
      </c>
      <c r="DP15" s="79">
        <f t="shared" si="16"/>
        <v>1.4790476190745029E-2</v>
      </c>
      <c r="DQ15" s="79">
        <f t="shared" si="16"/>
        <v>1.4790476190745029E-2</v>
      </c>
      <c r="DR15" s="79">
        <f t="shared" si="16"/>
        <v>1.4790476190745029E-2</v>
      </c>
      <c r="DS15" s="79">
        <f t="shared" si="16"/>
        <v>1.4790476190745029E-2</v>
      </c>
      <c r="DT15" s="79">
        <f t="shared" si="16"/>
        <v>1.4790476190745029E-2</v>
      </c>
      <c r="DU15" s="79">
        <f t="shared" si="16"/>
        <v>1.4790476190745029E-2</v>
      </c>
      <c r="DV15" s="79">
        <f t="shared" si="16"/>
        <v>1.4790476190745029E-2</v>
      </c>
      <c r="DW15" s="79">
        <f t="shared" si="16"/>
        <v>1.4790476190745029E-2</v>
      </c>
      <c r="DX15" s="79">
        <f t="shared" si="16"/>
        <v>1.4790476190745029E-2</v>
      </c>
      <c r="DY15" s="79">
        <f t="shared" si="16"/>
        <v>1.4790476190745029E-2</v>
      </c>
      <c r="DZ15" s="79">
        <f t="shared" si="16"/>
        <v>1.4790476190745029E-2</v>
      </c>
      <c r="EA15" s="79">
        <f t="shared" si="16"/>
        <v>1.4790476190745029E-2</v>
      </c>
      <c r="EB15" s="79">
        <f t="shared" si="16"/>
        <v>1.4790476190745029E-2</v>
      </c>
      <c r="EC15" s="79">
        <f t="shared" si="16"/>
        <v>1.4790476190745029E-2</v>
      </c>
      <c r="ED15" s="79">
        <f t="shared" si="16"/>
        <v>1.4790476190745029E-2</v>
      </c>
      <c r="EE15" s="79">
        <f t="shared" si="16"/>
        <v>1.4790476190745029E-2</v>
      </c>
      <c r="EF15" s="79">
        <f t="shared" si="14"/>
        <v>1.4790476190745029E-2</v>
      </c>
      <c r="EG15" s="79">
        <f t="shared" si="14"/>
        <v>1.4790476190745029E-2</v>
      </c>
      <c r="EH15" s="79">
        <f t="shared" si="14"/>
        <v>1.4790476190745029E-2</v>
      </c>
      <c r="EI15" s="79">
        <f t="shared" si="14"/>
        <v>1.4790476190745029E-2</v>
      </c>
      <c r="EJ15" s="79">
        <f t="shared" si="14"/>
        <v>1.4790476190745029E-2</v>
      </c>
      <c r="EK15" s="79">
        <f t="shared" si="14"/>
        <v>1.4790476190745029E-2</v>
      </c>
      <c r="EL15" s="79">
        <f t="shared" si="14"/>
        <v>1.4790476190745029E-2</v>
      </c>
      <c r="EM15" s="79">
        <f t="shared" si="14"/>
        <v>1.4790476190745029E-2</v>
      </c>
      <c r="EN15" s="79">
        <f t="shared" si="14"/>
        <v>1.4790476190745029E-2</v>
      </c>
      <c r="EO15" s="79">
        <f t="shared" si="14"/>
        <v>1.4790476190745029E-2</v>
      </c>
      <c r="EP15" s="79">
        <f t="shared" si="14"/>
        <v>1.4790476190745029E-2</v>
      </c>
      <c r="EQ15" s="79">
        <f t="shared" si="14"/>
        <v>1.4790476190745029E-2</v>
      </c>
      <c r="ER15" s="79">
        <f t="shared" si="14"/>
        <v>1.4790476190745029E-2</v>
      </c>
      <c r="ES15" s="79">
        <f t="shared" si="14"/>
        <v>1.4790476190745029E-2</v>
      </c>
      <c r="ET15" s="79">
        <f t="shared" si="14"/>
        <v>1.4790476190745029E-2</v>
      </c>
      <c r="EY15" t="s">
        <v>33</v>
      </c>
      <c r="FA15" s="27">
        <v>1.8100000000000002E-2</v>
      </c>
      <c r="FB15">
        <v>96</v>
      </c>
      <c r="FC15" s="27">
        <v>2.0500000000000001E-2</v>
      </c>
      <c r="FF15" s="6" t="s">
        <v>500</v>
      </c>
      <c r="FG15" s="696">
        <v>2.5000000000000001E-2</v>
      </c>
      <c r="FH15" s="696">
        <v>96</v>
      </c>
      <c r="FI15" s="696">
        <v>2.2000000000000002E-2</v>
      </c>
      <c r="FJ15" s="255">
        <v>1.6E-2</v>
      </c>
      <c r="FK15" s="71">
        <f t="shared" si="11"/>
        <v>2.142857142857143E-4</v>
      </c>
      <c r="FL15" t="e">
        <f>VLOOKUP(FF15,'SIMULADOR COM SALDO'!$BX$22:$CK$1000,13,FALSE)</f>
        <v>#N/A</v>
      </c>
    </row>
    <row r="16" spans="5:168" ht="18" customHeight="1" x14ac:dyDescent="0.25">
      <c r="E16" s="77"/>
      <c r="F16" s="97">
        <f t="shared" si="12"/>
        <v>1.4888095238095238E-2</v>
      </c>
      <c r="G16" s="79">
        <f t="shared" si="6"/>
        <v>1.849773448492574E-2</v>
      </c>
      <c r="H16" s="79">
        <f t="shared" si="13"/>
        <v>1.8493278648169475E-2</v>
      </c>
      <c r="I16" s="79">
        <f t="shared" si="13"/>
        <v>1.8486706568334232E-2</v>
      </c>
      <c r="J16" s="79">
        <f t="shared" si="13"/>
        <v>1.8478091166067485E-2</v>
      </c>
      <c r="K16" s="79">
        <f t="shared" si="13"/>
        <v>1.846750416535331E-2</v>
      </c>
      <c r="L16" s="79">
        <f t="shared" si="13"/>
        <v>1.8455016059095979E-2</v>
      </c>
      <c r="M16" s="79">
        <f t="shared" si="13"/>
        <v>1.8440696078822042E-2</v>
      </c>
      <c r="N16" s="79">
        <f t="shared" si="13"/>
        <v>1.8424612168328646E-2</v>
      </c>
      <c r="O16" s="79">
        <f t="shared" si="13"/>
        <v>1.8406830961102922E-2</v>
      </c>
      <c r="P16" s="79">
        <f t="shared" si="13"/>
        <v>1.8387417761334346E-2</v>
      </c>
      <c r="Q16" s="79">
        <f t="shared" si="13"/>
        <v>1.8366436528344174E-2</v>
      </c>
      <c r="R16" s="79">
        <f t="shared" si="13"/>
        <v>1.8343949864256113E-2</v>
      </c>
      <c r="S16" s="79">
        <f t="shared" si="13"/>
        <v>1.8320019004731292E-2</v>
      </c>
      <c r="T16" s="79">
        <f t="shared" si="13"/>
        <v>1.8294703812599355E-2</v>
      </c>
      <c r="U16" s="79">
        <f t="shared" si="13"/>
        <v>1.8268062774210787E-2</v>
      </c>
      <c r="V16" s="79">
        <f t="shared" si="13"/>
        <v>1.8240152998348053E-2</v>
      </c>
      <c r="W16" s="79">
        <f t="shared" si="13"/>
        <v>1.8211030217530091E-2</v>
      </c>
      <c r="X16" s="79">
        <f t="shared" si="13"/>
        <v>1.8180748791553632E-2</v>
      </c>
      <c r="Y16" s="79">
        <f t="shared" si="13"/>
        <v>1.8149361713115313E-2</v>
      </c>
      <c r="Z16" s="79">
        <f t="shared" si="13"/>
        <v>1.811692061536662E-2</v>
      </c>
      <c r="AA16" s="79">
        <f t="shared" si="13"/>
        <v>1.8083475781256575E-2</v>
      </c>
      <c r="AB16" s="79">
        <f t="shared" si="13"/>
        <v>1.8049076154523443E-2</v>
      </c>
      <c r="AC16" s="79">
        <f t="shared" si="13"/>
        <v>1.801376935220101E-2</v>
      </c>
      <c r="AD16" s="79">
        <f t="shared" si="13"/>
        <v>1.7977601678510678E-2</v>
      </c>
      <c r="AE16" s="79">
        <f t="shared" si="13"/>
        <v>1.794061814001844E-2</v>
      </c>
      <c r="AF16" s="79">
        <f t="shared" si="13"/>
        <v>1.7902862461935953E-2</v>
      </c>
      <c r="AG16" s="79">
        <f t="shared" si="13"/>
        <v>1.7864377105456408E-2</v>
      </c>
      <c r="AH16" s="79">
        <f t="shared" si="13"/>
        <v>1.7825203286016958E-2</v>
      </c>
      <c r="AI16" s="79">
        <f t="shared" si="13"/>
        <v>1.7785380992387974E-2</v>
      </c>
      <c r="AJ16" s="79">
        <f t="shared" si="13"/>
        <v>1.7744949006491144E-2</v>
      </c>
      <c r="AK16" s="79">
        <f t="shared" si="13"/>
        <v>1.7703944923858139E-2</v>
      </c>
      <c r="AL16" s="79">
        <f t="shared" si="13"/>
        <v>1.766240517464265E-2</v>
      </c>
      <c r="AM16" s="79">
        <f t="shared" si="13"/>
        <v>1.7620365045106185E-2</v>
      </c>
      <c r="AN16" s="79">
        <f t="shared" si="13"/>
        <v>1.7577858699501101E-2</v>
      </c>
      <c r="AO16" s="79">
        <f t="shared" si="13"/>
        <v>1.7534919202281108E-2</v>
      </c>
      <c r="AP16" s="79">
        <f t="shared" si="13"/>
        <v>1.7491578540571009E-2</v>
      </c>
      <c r="AQ16" s="79">
        <f t="shared" si="13"/>
        <v>1.7447867646836441E-2</v>
      </c>
      <c r="AR16" s="79">
        <f t="shared" si="13"/>
        <v>1.7403816421692385E-2</v>
      </c>
      <c r="AS16" s="79">
        <f t="shared" si="13"/>
        <v>1.7359453756799682E-2</v>
      </c>
      <c r="AT16" s="79">
        <f t="shared" si="13"/>
        <v>1.73148075577986E-2</v>
      </c>
      <c r="AU16" s="79">
        <f t="shared" si="13"/>
        <v>1.7269904767232586E-2</v>
      </c>
      <c r="AV16" s="79">
        <f t="shared" si="13"/>
        <v>1.7224771387421536E-2</v>
      </c>
      <c r="AW16" s="79">
        <f t="shared" si="13"/>
        <v>1.7179432503243844E-2</v>
      </c>
      <c r="AX16" s="79">
        <f t="shared" si="13"/>
        <v>1.7133912304791936E-2</v>
      </c>
      <c r="AY16" s="79">
        <f t="shared" si="13"/>
        <v>1.7088234109868983E-2</v>
      </c>
      <c r="AZ16" s="79">
        <f t="shared" si="13"/>
        <v>1.7042420386295918E-2</v>
      </c>
      <c r="BA16" s="79">
        <f t="shared" si="13"/>
        <v>1.6996492774002545E-2</v>
      </c>
      <c r="BB16" s="79">
        <f t="shared" si="13"/>
        <v>1.6950472106877806E-2</v>
      </c>
      <c r="BC16" s="79">
        <f t="shared" si="13"/>
        <v>1.6904378434356833E-2</v>
      </c>
      <c r="BD16" s="79">
        <f t="shared" si="13"/>
        <v>1.6858231042725425E-2</v>
      </c>
      <c r="BE16" s="79">
        <f t="shared" si="13"/>
        <v>1.6812048476124303E-2</v>
      </c>
      <c r="BF16" s="79">
        <f t="shared" si="13"/>
        <v>1.6765848557237843E-2</v>
      </c>
      <c r="BG16" s="79">
        <f t="shared" si="13"/>
        <v>1.6719648407652183E-2</v>
      </c>
      <c r="BH16" s="79">
        <f t="shared" si="13"/>
        <v>1.667346446787394E-2</v>
      </c>
      <c r="BI16" s="79">
        <f t="shared" si="13"/>
        <v>1.6627312516994761E-2</v>
      </c>
      <c r="BJ16" s="79">
        <f t="shared" si="13"/>
        <v>1.6581207691998195E-2</v>
      </c>
      <c r="BK16" s="79">
        <f t="shared" si="13"/>
        <v>1.6535164506697342E-2</v>
      </c>
      <c r="BL16" s="79">
        <f t="shared" si="13"/>
        <v>1.6489196870300201E-2</v>
      </c>
      <c r="BM16" s="79">
        <f t="shared" si="13"/>
        <v>1.6443318105596891E-2</v>
      </c>
      <c r="BN16" s="79">
        <f t="shared" si="13"/>
        <v>1.6397540966765045E-2</v>
      </c>
      <c r="BO16" s="79">
        <f t="shared" si="13"/>
        <v>1.6351877656792298E-2</v>
      </c>
      <c r="BP16" s="79">
        <f t="shared" si="13"/>
        <v>1.6306339844513223E-2</v>
      </c>
      <c r="BQ16" s="79">
        <f t="shared" si="13"/>
        <v>1.6260938681260179E-2</v>
      </c>
      <c r="BR16" s="79">
        <f t="shared" si="13"/>
        <v>1.6215684817129723E-2</v>
      </c>
      <c r="BS16" s="79">
        <f t="shared" ref="BS16:ED19" si="17">IF(BS$9&lt;=$K$6,RATE($K$6,1,BS62,0),"")</f>
        <v>1.6170588416863783E-2</v>
      </c>
      <c r="BT16" s="79">
        <f t="shared" si="17"/>
        <v>1.6125659175348368E-2</v>
      </c>
      <c r="BU16" s="79">
        <f t="shared" si="17"/>
        <v>1.6080906332733499E-2</v>
      </c>
      <c r="BV16" s="79">
        <f t="shared" si="17"/>
        <v>1.6036338689173309E-2</v>
      </c>
      <c r="BW16" s="79">
        <f t="shared" si="17"/>
        <v>1.5991964619195165E-2</v>
      </c>
      <c r="BX16" s="79">
        <f t="shared" si="17"/>
        <v>1.5947792085696431E-2</v>
      </c>
      <c r="BY16" s="79">
        <f t="shared" si="17"/>
        <v>1.5903828653577822E-2</v>
      </c>
      <c r="BZ16" s="79">
        <f t="shared" si="17"/>
        <v>1.5860081503014323E-2</v>
      </c>
      <c r="CA16" s="79">
        <f t="shared" si="17"/>
        <v>1.5816557442370802E-2</v>
      </c>
      <c r="CB16" s="79">
        <f t="shared" si="17"/>
        <v>1.577326292076793E-2</v>
      </c>
      <c r="CC16" s="79">
        <f t="shared" si="17"/>
        <v>1.5730204040301312E-2</v>
      </c>
      <c r="CD16" s="79">
        <f t="shared" si="17"/>
        <v>1.5687386567923376E-2</v>
      </c>
      <c r="CE16" s="79">
        <f t="shared" si="17"/>
        <v>1.5644815946990867E-2</v>
      </c>
      <c r="CF16" s="79">
        <f t="shared" si="17"/>
        <v>1.5602497308484897E-2</v>
      </c>
      <c r="CG16" s="79">
        <f t="shared" si="17"/>
        <v>1.5560435481912355E-2</v>
      </c>
      <c r="CH16" s="79">
        <f t="shared" si="17"/>
        <v>1.5518635005888817E-2</v>
      </c>
      <c r="CI16" s="79">
        <f t="shared" si="17"/>
        <v>1.5477100138418225E-2</v>
      </c>
      <c r="CJ16" s="79">
        <f t="shared" si="17"/>
        <v>1.5435834866866114E-2</v>
      </c>
      <c r="CK16" s="79">
        <f t="shared" si="17"/>
        <v>1.5394842917641781E-2</v>
      </c>
      <c r="CL16" s="79">
        <f t="shared" si="17"/>
        <v>1.535412776558904E-2</v>
      </c>
      <c r="CM16" s="79">
        <f t="shared" si="17"/>
        <v>1.5313692643097272E-2</v>
      </c>
      <c r="CN16" s="79">
        <f t="shared" si="17"/>
        <v>1.5273540548934886E-2</v>
      </c>
      <c r="CO16" s="79">
        <f t="shared" si="17"/>
        <v>1.5233674256815408E-2</v>
      </c>
      <c r="CP16" s="79">
        <f t="shared" si="17"/>
        <v>1.5194096323701015E-2</v>
      </c>
      <c r="CQ16" s="79">
        <f t="shared" si="17"/>
        <v>1.5154809097849678E-2</v>
      </c>
      <c r="CR16" s="79">
        <f t="shared" si="17"/>
        <v>1.5115814726612515E-2</v>
      </c>
      <c r="CS16" s="79">
        <f t="shared" si="17"/>
        <v>1.5077115163989746E-2</v>
      </c>
      <c r="CT16" s="79">
        <f t="shared" si="17"/>
        <v>1.5038712177946431E-2</v>
      </c>
      <c r="CU16" s="79">
        <f t="shared" si="17"/>
        <v>1.5000607357502008E-2</v>
      </c>
      <c r="CV16" s="79">
        <f t="shared" si="17"/>
        <v>1.4962802119590021E-2</v>
      </c>
      <c r="CW16" s="79">
        <f t="shared" si="17"/>
        <v>1.4925297715704467E-2</v>
      </c>
      <c r="CX16" s="79">
        <f t="shared" si="17"/>
        <v>1.4888095238329254E-2</v>
      </c>
      <c r="CY16" s="79">
        <f t="shared" si="17"/>
        <v>1.4888095238329254E-2</v>
      </c>
      <c r="CZ16" s="79">
        <f t="shared" si="17"/>
        <v>1.4888095238329254E-2</v>
      </c>
      <c r="DA16" s="79">
        <f t="shared" si="17"/>
        <v>1.4888095238329254E-2</v>
      </c>
      <c r="DB16" s="79">
        <f t="shared" si="17"/>
        <v>1.4888095238329254E-2</v>
      </c>
      <c r="DC16" s="79">
        <f t="shared" si="17"/>
        <v>1.4888095238329254E-2</v>
      </c>
      <c r="DD16" s="79">
        <f t="shared" si="17"/>
        <v>1.4888095238329254E-2</v>
      </c>
      <c r="DE16" s="79">
        <f t="shared" si="17"/>
        <v>1.4888095238329254E-2</v>
      </c>
      <c r="DF16" s="79">
        <f t="shared" si="17"/>
        <v>1.4888095238329254E-2</v>
      </c>
      <c r="DG16" s="79">
        <f t="shared" si="17"/>
        <v>1.4888095238329254E-2</v>
      </c>
      <c r="DH16" s="79">
        <f t="shared" si="17"/>
        <v>1.4888095238329254E-2</v>
      </c>
      <c r="DI16" s="79">
        <f t="shared" si="17"/>
        <v>1.4888095238329254E-2</v>
      </c>
      <c r="DJ16" s="79">
        <f t="shared" si="17"/>
        <v>1.4888095238329254E-2</v>
      </c>
      <c r="DK16" s="79">
        <f t="shared" si="17"/>
        <v>1.4888095238329254E-2</v>
      </c>
      <c r="DL16" s="79">
        <f t="shared" si="17"/>
        <v>1.4888095238329254E-2</v>
      </c>
      <c r="DM16" s="79">
        <f t="shared" si="17"/>
        <v>1.4888095238329254E-2</v>
      </c>
      <c r="DN16" s="79">
        <f t="shared" si="17"/>
        <v>1.4888095238329254E-2</v>
      </c>
      <c r="DO16" s="79">
        <f t="shared" si="17"/>
        <v>1.4888095238329254E-2</v>
      </c>
      <c r="DP16" s="79">
        <f t="shared" si="17"/>
        <v>1.4888095238329254E-2</v>
      </c>
      <c r="DQ16" s="79">
        <f t="shared" si="17"/>
        <v>1.4888095238329254E-2</v>
      </c>
      <c r="DR16" s="79">
        <f t="shared" si="17"/>
        <v>1.4888095238329254E-2</v>
      </c>
      <c r="DS16" s="79">
        <f t="shared" si="17"/>
        <v>1.4888095238329254E-2</v>
      </c>
      <c r="DT16" s="79">
        <f t="shared" si="17"/>
        <v>1.4888095238329254E-2</v>
      </c>
      <c r="DU16" s="79">
        <f t="shared" si="17"/>
        <v>1.4888095238329254E-2</v>
      </c>
      <c r="DV16" s="79">
        <f t="shared" si="17"/>
        <v>1.4888095238329254E-2</v>
      </c>
      <c r="DW16" s="79">
        <f t="shared" si="17"/>
        <v>1.4888095238329254E-2</v>
      </c>
      <c r="DX16" s="79">
        <f t="shared" si="17"/>
        <v>1.4888095238329254E-2</v>
      </c>
      <c r="DY16" s="79">
        <f t="shared" si="17"/>
        <v>1.4888095238329254E-2</v>
      </c>
      <c r="DZ16" s="79">
        <f t="shared" si="17"/>
        <v>1.4888095238329254E-2</v>
      </c>
      <c r="EA16" s="79">
        <f t="shared" si="17"/>
        <v>1.4888095238329254E-2</v>
      </c>
      <c r="EB16" s="79">
        <f t="shared" si="17"/>
        <v>1.4888095238329254E-2</v>
      </c>
      <c r="EC16" s="79">
        <f t="shared" si="17"/>
        <v>1.4888095238329254E-2</v>
      </c>
      <c r="ED16" s="79">
        <f t="shared" si="17"/>
        <v>1.4888095238329254E-2</v>
      </c>
      <c r="EE16" s="79">
        <f t="shared" ref="EE16:EE30" si="18">IF(EE$9&lt;=$K$6,RATE($K$6,1,EE62,0),"")</f>
        <v>1.4888095238329254E-2</v>
      </c>
      <c r="EF16" s="79">
        <f t="shared" si="14"/>
        <v>1.4888095238329254E-2</v>
      </c>
      <c r="EG16" s="79">
        <f t="shared" si="14"/>
        <v>1.4888095238329254E-2</v>
      </c>
      <c r="EH16" s="79">
        <f t="shared" si="14"/>
        <v>1.4888095238329254E-2</v>
      </c>
      <c r="EI16" s="79">
        <f t="shared" si="14"/>
        <v>1.4888095238329254E-2</v>
      </c>
      <c r="EJ16" s="79">
        <f t="shared" si="14"/>
        <v>1.4888095238329254E-2</v>
      </c>
      <c r="EK16" s="79">
        <f t="shared" si="14"/>
        <v>1.4888095238329254E-2</v>
      </c>
      <c r="EL16" s="79">
        <f t="shared" si="14"/>
        <v>1.4888095238329254E-2</v>
      </c>
      <c r="EM16" s="79">
        <f t="shared" si="14"/>
        <v>1.4888095238329254E-2</v>
      </c>
      <c r="EN16" s="79">
        <f t="shared" si="14"/>
        <v>1.4888095238329254E-2</v>
      </c>
      <c r="EO16" s="79">
        <f t="shared" si="14"/>
        <v>1.4888095238329254E-2</v>
      </c>
      <c r="EP16" s="79">
        <f t="shared" si="14"/>
        <v>1.4888095238329254E-2</v>
      </c>
      <c r="EQ16" s="79">
        <f t="shared" si="14"/>
        <v>1.4888095238329254E-2</v>
      </c>
      <c r="ER16" s="79">
        <f t="shared" si="14"/>
        <v>1.4888095238329254E-2</v>
      </c>
      <c r="ES16" s="79">
        <f t="shared" si="14"/>
        <v>1.4888095238329254E-2</v>
      </c>
      <c r="ET16" s="79">
        <f t="shared" si="14"/>
        <v>1.4888095238329254E-2</v>
      </c>
      <c r="FA16" s="27"/>
      <c r="FF16" s="6" t="s">
        <v>3841</v>
      </c>
      <c r="FG16" s="696">
        <v>2.5000000000000001E-2</v>
      </c>
      <c r="FH16" s="696">
        <v>120</v>
      </c>
      <c r="FI16" s="696">
        <v>2.0400000000000001E-2</v>
      </c>
      <c r="FJ16" s="255">
        <v>1.4999999999999999E-2</v>
      </c>
      <c r="FK16" s="71">
        <f t="shared" si="11"/>
        <v>2.3809523809523815E-4</v>
      </c>
      <c r="FL16" t="e">
        <f>VLOOKUP(FF16,'SIMULADOR COM SALDO'!$BX$22:$CK$1000,13,FALSE)</f>
        <v>#N/A</v>
      </c>
    </row>
    <row r="17" spans="5:168" ht="18" customHeight="1" x14ac:dyDescent="0.25">
      <c r="E17" s="77"/>
      <c r="F17" s="97">
        <f t="shared" si="12"/>
        <v>1.4985714285714286E-2</v>
      </c>
      <c r="G17" s="79">
        <f t="shared" si="6"/>
        <v>1.8497795923411942E-2</v>
      </c>
      <c r="H17" s="79">
        <f t="shared" ref="H17:BS20" si="19">IF(H$9&lt;=$K$6,RATE($K$6,1,H63,0),"")</f>
        <v>1.8493461111950139E-2</v>
      </c>
      <c r="I17" s="79">
        <f t="shared" si="19"/>
        <v>1.848706779347431E-2</v>
      </c>
      <c r="J17" s="79">
        <f t="shared" si="19"/>
        <v>1.8478687042353868E-2</v>
      </c>
      <c r="K17" s="79">
        <f t="shared" si="19"/>
        <v>1.8468388744067449E-2</v>
      </c>
      <c r="L17" s="79">
        <f t="shared" si="19"/>
        <v>1.845624156386861E-2</v>
      </c>
      <c r="M17" s="79">
        <f t="shared" si="19"/>
        <v>1.8442312919352503E-2</v>
      </c>
      <c r="N17" s="79">
        <f t="shared" si="19"/>
        <v>1.8426668956755824E-2</v>
      </c>
      <c r="O17" s="79">
        <f t="shared" si="19"/>
        <v>1.8409374530818746E-2</v>
      </c>
      <c r="P17" s="79">
        <f t="shared" si="19"/>
        <v>1.8390493188038468E-2</v>
      </c>
      <c r="Q17" s="79">
        <f t="shared" si="19"/>
        <v>1.8370087153145722E-2</v>
      </c>
      <c r="R17" s="79">
        <f t="shared" si="19"/>
        <v>1.8348217318631014E-2</v>
      </c>
      <c r="S17" s="79">
        <f t="shared" si="19"/>
        <v>1.832494323715848E-2</v>
      </c>
      <c r="T17" s="79">
        <f t="shared" si="19"/>
        <v>1.8300323116697215E-2</v>
      </c>
      <c r="U17" s="79">
        <f t="shared" si="19"/>
        <v>1.8274413818211755E-2</v>
      </c>
      <c r="V17" s="79">
        <f t="shared" si="19"/>
        <v>1.824727085575063E-2</v>
      </c>
      <c r="W17" s="79">
        <f t="shared" si="19"/>
        <v>1.8218948398778526E-2</v>
      </c>
      <c r="X17" s="79">
        <f t="shared" si="19"/>
        <v>1.8189499276601968E-2</v>
      </c>
      <c r="Y17" s="79">
        <f t="shared" si="19"/>
        <v>1.815897498474129E-2</v>
      </c>
      <c r="Z17" s="79">
        <f t="shared" si="19"/>
        <v>1.8127425693106915E-2</v>
      </c>
      <c r="AA17" s="79">
        <f t="shared" si="19"/>
        <v>1.8094900255844419E-2</v>
      </c>
      <c r="AB17" s="79">
        <f t="shared" si="19"/>
        <v>1.806144622271549E-2</v>
      </c>
      <c r="AC17" s="79">
        <f t="shared" si="19"/>
        <v>1.8027109851888021E-2</v>
      </c>
      <c r="AD17" s="79">
        <f t="shared" si="19"/>
        <v>1.799193612401501E-2</v>
      </c>
      <c r="AE17" s="79">
        <f t="shared" si="19"/>
        <v>1.7955968757484814E-2</v>
      </c>
      <c r="AF17" s="79">
        <f t="shared" si="19"/>
        <v>1.7919250224732432E-2</v>
      </c>
      <c r="AG17" s="79">
        <f t="shared" si="19"/>
        <v>1.7881821769506707E-2</v>
      </c>
      <c r="AH17" s="79">
        <f t="shared" si="19"/>
        <v>1.7843723424991458E-2</v>
      </c>
      <c r="AI17" s="79">
        <f t="shared" si="19"/>
        <v>1.7804994032687784E-2</v>
      </c>
      <c r="AJ17" s="79">
        <f t="shared" si="19"/>
        <v>1.7765671261963777E-2</v>
      </c>
      <c r="AK17" s="79">
        <f t="shared" si="19"/>
        <v>1.772579163019064E-2</v>
      </c>
      <c r="AL17" s="79">
        <f t="shared" si="19"/>
        <v>1.7685390523380418E-2</v>
      </c>
      <c r="AM17" s="79">
        <f t="shared" si="19"/>
        <v>1.7644502217253475E-2</v>
      </c>
      <c r="AN17" s="79">
        <f t="shared" si="19"/>
        <v>1.7603159898662662E-2</v>
      </c>
      <c r="AO17" s="79">
        <f t="shared" si="19"/>
        <v>1.7561395687306899E-2</v>
      </c>
      <c r="AP17" s="79">
        <f t="shared" si="19"/>
        <v>1.7519240657674965E-2</v>
      </c>
      <c r="AQ17" s="79">
        <f t="shared" si="19"/>
        <v>1.7476724861157471E-2</v>
      </c>
      <c r="AR17" s="79">
        <f t="shared" si="19"/>
        <v>1.7433877348275773E-2</v>
      </c>
      <c r="AS17" s="79">
        <f t="shared" si="19"/>
        <v>1.7390726190976272E-2</v>
      </c>
      <c r="AT17" s="79">
        <f t="shared" si="19"/>
        <v>1.7347298504943917E-2</v>
      </c>
      <c r="AU17" s="79">
        <f t="shared" si="19"/>
        <v>1.7303620471891362E-2</v>
      </c>
      <c r="AV17" s="79">
        <f t="shared" si="19"/>
        <v>1.7259717361784908E-2</v>
      </c>
      <c r="AW17" s="79">
        <f t="shared" si="19"/>
        <v>1.7215613554969315E-2</v>
      </c>
      <c r="AX17" s="79">
        <f t="shared" si="19"/>
        <v>1.7171332564160063E-2</v>
      </c>
      <c r="AY17" s="79">
        <f t="shared" si="19"/>
        <v>1.7126897056269658E-2</v>
      </c>
      <c r="AZ17" s="79">
        <f t="shared" si="19"/>
        <v>1.7082328874042992E-2</v>
      </c>
      <c r="BA17" s="79">
        <f t="shared" si="19"/>
        <v>1.703764905747544E-2</v>
      </c>
      <c r="BB17" s="79">
        <f t="shared" si="19"/>
        <v>1.6992877864988164E-2</v>
      </c>
      <c r="BC17" s="79">
        <f t="shared" si="19"/>
        <v>1.6948034794346277E-2</v>
      </c>
      <c r="BD17" s="79">
        <f t="shared" si="19"/>
        <v>1.69031386032946E-2</v>
      </c>
      <c r="BE17" s="79">
        <f t="shared" si="19"/>
        <v>1.6858207329899913E-2</v>
      </c>
      <c r="BF17" s="79">
        <f t="shared" si="19"/>
        <v>1.6813258312581649E-2</v>
      </c>
      <c r="BG17" s="79">
        <f t="shared" si="19"/>
        <v>1.6768308209821989E-2</v>
      </c>
      <c r="BH17" s="79">
        <f t="shared" si="19"/>
        <v>1.6723373019540723E-2</v>
      </c>
      <c r="BI17" s="79">
        <f t="shared" si="19"/>
        <v>1.6678468098128056E-2</v>
      </c>
      <c r="BJ17" s="79">
        <f t="shared" si="19"/>
        <v>1.6633608179126732E-2</v>
      </c>
      <c r="BK17" s="79">
        <f t="shared" si="19"/>
        <v>1.6588807391557027E-2</v>
      </c>
      <c r="BL17" s="79">
        <f t="shared" si="19"/>
        <v>1.6544079277878411E-2</v>
      </c>
      <c r="BM17" s="79">
        <f t="shared" si="19"/>
        <v>1.6499436811585493E-2</v>
      </c>
      <c r="BN17" s="79">
        <f t="shared" si="19"/>
        <v>1.6454892414432903E-2</v>
      </c>
      <c r="BO17" s="79">
        <f t="shared" si="19"/>
        <v>1.6410457973290216E-2</v>
      </c>
      <c r="BP17" s="79">
        <f t="shared" si="19"/>
        <v>1.6366144856621859E-2</v>
      </c>
      <c r="BQ17" s="79">
        <f t="shared" si="19"/>
        <v>1.6321963930595269E-2</v>
      </c>
      <c r="BR17" s="79">
        <f t="shared" si="19"/>
        <v>1.6277925574816207E-2</v>
      </c>
      <c r="BS17" s="79">
        <f t="shared" si="19"/>
        <v>1.6234039697690824E-2</v>
      </c>
      <c r="BT17" s="79">
        <f t="shared" si="17"/>
        <v>1.6190315751420908E-2</v>
      </c>
      <c r="BU17" s="79">
        <f t="shared" si="17"/>
        <v>1.6146762746629028E-2</v>
      </c>
      <c r="BV17" s="79">
        <f t="shared" si="17"/>
        <v>1.6103389266621033E-2</v>
      </c>
      <c r="BW17" s="79">
        <f t="shared" si="17"/>
        <v>1.6060203481286933E-2</v>
      </c>
      <c r="BX17" s="79">
        <f t="shared" si="17"/>
        <v>1.6017213160644587E-2</v>
      </c>
      <c r="BY17" s="79">
        <f t="shared" si="17"/>
        <v>1.5974425688031223E-2</v>
      </c>
      <c r="BZ17" s="79">
        <f t="shared" si="17"/>
        <v>1.5931848072945919E-2</v>
      </c>
      <c r="CA17" s="79">
        <f t="shared" si="17"/>
        <v>1.5889486963549838E-2</v>
      </c>
      <c r="CB17" s="79">
        <f t="shared" si="17"/>
        <v>1.5847348658826695E-2</v>
      </c>
      <c r="CC17" s="79">
        <f t="shared" si="17"/>
        <v>1.5805439120411342E-2</v>
      </c>
      <c r="CD17" s="79">
        <f t="shared" si="17"/>
        <v>1.5763763984092235E-2</v>
      </c>
      <c r="CE17" s="79">
        <f t="shared" si="17"/>
        <v>1.5722328570989767E-2</v>
      </c>
      <c r="CF17" s="79">
        <f t="shared" si="17"/>
        <v>1.5681137898421588E-2</v>
      </c>
      <c r="CG17" s="79">
        <f t="shared" si="17"/>
        <v>1.5640196690457079E-2</v>
      </c>
      <c r="CH17" s="79">
        <f t="shared" si="17"/>
        <v>1.559950938816904E-2</v>
      </c>
      <c r="CI17" s="79">
        <f t="shared" si="17"/>
        <v>1.5559080159587856E-2</v>
      </c>
      <c r="CJ17" s="79">
        <f t="shared" si="17"/>
        <v>1.5518912909364616E-2</v>
      </c>
      <c r="CK17" s="79">
        <f t="shared" si="17"/>
        <v>1.5479011288150215E-2</v>
      </c>
      <c r="CL17" s="79">
        <f t="shared" si="17"/>
        <v>1.5439378701695067E-2</v>
      </c>
      <c r="CM17" s="79">
        <f t="shared" si="17"/>
        <v>1.5400018319678469E-2</v>
      </c>
      <c r="CN17" s="79">
        <f t="shared" si="17"/>
        <v>1.5360933084270098E-2</v>
      </c>
      <c r="CO17" s="79">
        <f t="shared" si="17"/>
        <v>1.5322125718434172E-2</v>
      </c>
      <c r="CP17" s="79">
        <f t="shared" si="17"/>
        <v>1.5283598733978816E-2</v>
      </c>
      <c r="CQ17" s="79">
        <f t="shared" si="17"/>
        <v>1.524535443935927E-2</v>
      </c>
      <c r="CR17" s="79">
        <f t="shared" si="17"/>
        <v>1.5207394947240861E-2</v>
      </c>
      <c r="CS17" s="79">
        <f t="shared" si="17"/>
        <v>1.5169722181825057E-2</v>
      </c>
      <c r="CT17" s="79">
        <f t="shared" si="17"/>
        <v>1.5132337885950463E-2</v>
      </c>
      <c r="CU17" s="79">
        <f t="shared" si="17"/>
        <v>1.5095243627966553E-2</v>
      </c>
      <c r="CV17" s="79">
        <f t="shared" si="17"/>
        <v>1.5058440808395185E-2</v>
      </c>
      <c r="CW17" s="79">
        <f t="shared" si="17"/>
        <v>1.5021930666377749E-2</v>
      </c>
      <c r="CX17" s="79">
        <f t="shared" si="17"/>
        <v>1.4985714285917887E-2</v>
      </c>
      <c r="CY17" s="79">
        <f t="shared" si="17"/>
        <v>1.4985714285917887E-2</v>
      </c>
      <c r="CZ17" s="79">
        <f t="shared" si="17"/>
        <v>1.4985714285917887E-2</v>
      </c>
      <c r="DA17" s="79">
        <f t="shared" si="17"/>
        <v>1.4985714285917887E-2</v>
      </c>
      <c r="DB17" s="79">
        <f t="shared" si="17"/>
        <v>1.4985714285917887E-2</v>
      </c>
      <c r="DC17" s="79">
        <f t="shared" si="17"/>
        <v>1.4985714285917887E-2</v>
      </c>
      <c r="DD17" s="79">
        <f t="shared" si="17"/>
        <v>1.4985714285917887E-2</v>
      </c>
      <c r="DE17" s="79">
        <f t="shared" si="17"/>
        <v>1.4985714285917887E-2</v>
      </c>
      <c r="DF17" s="79">
        <f t="shared" si="17"/>
        <v>1.4985714285917887E-2</v>
      </c>
      <c r="DG17" s="79">
        <f t="shared" si="17"/>
        <v>1.4985714285917887E-2</v>
      </c>
      <c r="DH17" s="79">
        <f t="shared" si="17"/>
        <v>1.4985714285917887E-2</v>
      </c>
      <c r="DI17" s="79">
        <f t="shared" si="17"/>
        <v>1.4985714285917887E-2</v>
      </c>
      <c r="DJ17" s="79">
        <f t="shared" si="17"/>
        <v>1.4985714285917887E-2</v>
      </c>
      <c r="DK17" s="79">
        <f t="shared" si="17"/>
        <v>1.4985714285917887E-2</v>
      </c>
      <c r="DL17" s="79">
        <f t="shared" si="17"/>
        <v>1.4985714285917887E-2</v>
      </c>
      <c r="DM17" s="79">
        <f t="shared" si="17"/>
        <v>1.4985714285917887E-2</v>
      </c>
      <c r="DN17" s="79">
        <f t="shared" si="17"/>
        <v>1.4985714285917887E-2</v>
      </c>
      <c r="DO17" s="79">
        <f t="shared" si="17"/>
        <v>1.4985714285917887E-2</v>
      </c>
      <c r="DP17" s="79">
        <f t="shared" si="17"/>
        <v>1.4985714285917887E-2</v>
      </c>
      <c r="DQ17" s="79">
        <f t="shared" si="17"/>
        <v>1.4985714285917887E-2</v>
      </c>
      <c r="DR17" s="79">
        <f t="shared" si="17"/>
        <v>1.4985714285917887E-2</v>
      </c>
      <c r="DS17" s="79">
        <f t="shared" si="17"/>
        <v>1.4985714285917887E-2</v>
      </c>
      <c r="DT17" s="79">
        <f t="shared" si="17"/>
        <v>1.4985714285917887E-2</v>
      </c>
      <c r="DU17" s="79">
        <f t="shared" si="17"/>
        <v>1.4985714285917887E-2</v>
      </c>
      <c r="DV17" s="79">
        <f t="shared" si="17"/>
        <v>1.4985714285917887E-2</v>
      </c>
      <c r="DW17" s="79">
        <f t="shared" si="17"/>
        <v>1.4985714285917887E-2</v>
      </c>
      <c r="DX17" s="79">
        <f t="shared" si="17"/>
        <v>1.4985714285917887E-2</v>
      </c>
      <c r="DY17" s="79">
        <f t="shared" si="17"/>
        <v>1.4985714285917887E-2</v>
      </c>
      <c r="DZ17" s="79">
        <f t="shared" si="17"/>
        <v>1.4985714285917887E-2</v>
      </c>
      <c r="EA17" s="79">
        <f t="shared" si="17"/>
        <v>1.4985714285917887E-2</v>
      </c>
      <c r="EB17" s="79">
        <f t="shared" si="17"/>
        <v>1.4985714285917887E-2</v>
      </c>
      <c r="EC17" s="79">
        <f t="shared" si="17"/>
        <v>1.4985714285917887E-2</v>
      </c>
      <c r="ED17" s="79">
        <f t="shared" si="17"/>
        <v>1.4985714285917887E-2</v>
      </c>
      <c r="EE17" s="79">
        <f t="shared" si="18"/>
        <v>1.4985714285917887E-2</v>
      </c>
      <c r="EF17" s="79">
        <f t="shared" si="14"/>
        <v>1.4985714285917887E-2</v>
      </c>
      <c r="EG17" s="79">
        <f t="shared" si="14"/>
        <v>1.4985714285917887E-2</v>
      </c>
      <c r="EH17" s="79">
        <f t="shared" si="14"/>
        <v>1.4985714285917887E-2</v>
      </c>
      <c r="EI17" s="79">
        <f t="shared" si="14"/>
        <v>1.4985714285917887E-2</v>
      </c>
      <c r="EJ17" s="79">
        <f t="shared" si="14"/>
        <v>1.4985714285917887E-2</v>
      </c>
      <c r="EK17" s="79">
        <f t="shared" si="14"/>
        <v>1.4985714285917887E-2</v>
      </c>
      <c r="EL17" s="79">
        <f t="shared" si="14"/>
        <v>1.4985714285917887E-2</v>
      </c>
      <c r="EM17" s="79">
        <f t="shared" si="14"/>
        <v>1.4985714285917887E-2</v>
      </c>
      <c r="EN17" s="79">
        <f t="shared" si="14"/>
        <v>1.4985714285917887E-2</v>
      </c>
      <c r="EO17" s="79">
        <f t="shared" si="14"/>
        <v>1.4985714285917887E-2</v>
      </c>
      <c r="EP17" s="79">
        <f t="shared" si="14"/>
        <v>1.4985714285917887E-2</v>
      </c>
      <c r="EQ17" s="79">
        <f t="shared" si="14"/>
        <v>1.4985714285917887E-2</v>
      </c>
      <c r="ER17" s="79">
        <f t="shared" si="14"/>
        <v>1.4985714285917887E-2</v>
      </c>
      <c r="ES17" s="79">
        <f t="shared" si="14"/>
        <v>1.4985714285917887E-2</v>
      </c>
      <c r="ET17" s="79">
        <f t="shared" si="14"/>
        <v>1.4985714285917887E-2</v>
      </c>
      <c r="FA17" s="27"/>
      <c r="FF17" s="6" t="s">
        <v>2331</v>
      </c>
      <c r="FG17" s="696">
        <v>2.35E-2</v>
      </c>
      <c r="FH17" s="696">
        <v>120</v>
      </c>
      <c r="FI17" s="696">
        <v>0.02</v>
      </c>
      <c r="FJ17" s="255">
        <v>1.4999999999999999E-2</v>
      </c>
      <c r="FK17" s="71">
        <f t="shared" si="11"/>
        <v>2.0238095238095239E-4</v>
      </c>
      <c r="FL17" t="e">
        <f>VLOOKUP(FF17,'SIMULADOR COM SALDO'!$BX$22:$CK$1000,13,FALSE)</f>
        <v>#N/A</v>
      </c>
    </row>
    <row r="18" spans="5:168" ht="18" customHeight="1" x14ac:dyDescent="0.25">
      <c r="E18" s="77"/>
      <c r="F18" s="97">
        <f t="shared" si="12"/>
        <v>1.5083333333333334E-2</v>
      </c>
      <c r="G18" s="79">
        <f t="shared" si="6"/>
        <v>1.8497857350284985E-2</v>
      </c>
      <c r="H18" s="79">
        <f t="shared" si="19"/>
        <v>1.8493643530794104E-2</v>
      </c>
      <c r="I18" s="79">
        <f t="shared" si="19"/>
        <v>1.8487428910154386E-2</v>
      </c>
      <c r="J18" s="79">
        <f t="shared" si="19"/>
        <v>1.8479282709456341E-2</v>
      </c>
      <c r="K18" s="79">
        <f t="shared" si="19"/>
        <v>1.8469272970041396E-2</v>
      </c>
      <c r="L18" s="79">
        <f t="shared" si="19"/>
        <v>1.8457466525136915E-2</v>
      </c>
      <c r="M18" s="79">
        <f t="shared" si="19"/>
        <v>1.844392897517922E-2</v>
      </c>
      <c r="N18" s="79">
        <f t="shared" si="19"/>
        <v>1.8428724666658812E-2</v>
      </c>
      <c r="O18" s="79">
        <f t="shared" si="19"/>
        <v>1.8411916674325634E-2</v>
      </c>
      <c r="P18" s="79">
        <f t="shared" si="19"/>
        <v>1.8393566786588988E-2</v>
      </c>
      <c r="Q18" s="79">
        <f t="shared" si="19"/>
        <v>1.8373735493947878E-2</v>
      </c>
      <c r="R18" s="79">
        <f t="shared" si="19"/>
        <v>1.8352481980291692E-2</v>
      </c>
      <c r="S18" s="79">
        <f t="shared" si="19"/>
        <v>1.8329864116907207E-2</v>
      </c>
      <c r="T18" s="79">
        <f t="shared" si="19"/>
        <v>1.8305938459038742E-2</v>
      </c>
      <c r="U18" s="79">
        <f t="shared" si="19"/>
        <v>1.8280760244843475E-2</v>
      </c>
      <c r="V18" s="79">
        <f t="shared" si="19"/>
        <v>1.8254383396591772E-2</v>
      </c>
      <c r="W18" s="79">
        <f t="shared" si="19"/>
        <v>1.8226860523965726E-2</v>
      </c>
      <c r="X18" s="79">
        <f t="shared" si="19"/>
        <v>1.819824292931245E-2</v>
      </c>
      <c r="Y18" s="79">
        <f t="shared" si="19"/>
        <v>1.8168580614712725E-2</v>
      </c>
      <c r="Z18" s="79">
        <f t="shared" si="19"/>
        <v>1.8137922290731218E-2</v>
      </c>
      <c r="AA18" s="79">
        <f t="shared" si="19"/>
        <v>1.8106315386719467E-2</v>
      </c>
      <c r="AB18" s="79">
        <f t="shared" si="19"/>
        <v>1.807380606254538E-2</v>
      </c>
      <c r="AC18" s="79">
        <f t="shared" si="19"/>
        <v>1.8040439221631663E-2</v>
      </c>
      <c r="AD18" s="79">
        <f t="shared" si="19"/>
        <v>1.800625852518728E-2</v>
      </c>
      <c r="AE18" s="79">
        <f t="shared" si="19"/>
        <v>1.7971306407522359E-2</v>
      </c>
      <c r="AF18" s="79">
        <f t="shared" si="19"/>
        <v>1.7935624092342846E-2</v>
      </c>
      <c r="AG18" s="79">
        <f t="shared" si="19"/>
        <v>1.7899251609926354E-2</v>
      </c>
      <c r="AH18" s="79">
        <f t="shared" si="19"/>
        <v>1.7862227815080404E-2</v>
      </c>
      <c r="AI18" s="79">
        <f t="shared" si="19"/>
        <v>1.7824590405800436E-2</v>
      </c>
      <c r="AJ18" s="79">
        <f t="shared" si="19"/>
        <v>1.7786375942536108E-2</v>
      </c>
      <c r="AK18" s="79">
        <f t="shared" si="19"/>
        <v>1.7747619867990064E-2</v>
      </c>
      <c r="AL18" s="79">
        <f t="shared" si="19"/>
        <v>1.7708356527372116E-2</v>
      </c>
      <c r="AM18" s="79">
        <f t="shared" si="19"/>
        <v>1.7668619189038608E-2</v>
      </c>
      <c r="AN18" s="79">
        <f t="shared" si="19"/>
        <v>1.7628440065449492E-2</v>
      </c>
      <c r="AO18" s="79">
        <f t="shared" si="19"/>
        <v>1.7587850334381504E-2</v>
      </c>
      <c r="AP18" s="79">
        <f t="shared" si="19"/>
        <v>1.7546880160339201E-2</v>
      </c>
      <c r="AQ18" s="79">
        <f t="shared" si="19"/>
        <v>1.750555871610858E-2</v>
      </c>
      <c r="AR18" s="79">
        <f t="shared" si="19"/>
        <v>1.7463914204403453E-2</v>
      </c>
      <c r="AS18" s="79">
        <f t="shared" si="19"/>
        <v>1.742197387955793E-2</v>
      </c>
      <c r="AT18" s="79">
        <f t="shared" si="19"/>
        <v>1.7379764069219976E-2</v>
      </c>
      <c r="AU18" s="79">
        <f t="shared" si="19"/>
        <v>1.7337310196008225E-2</v>
      </c>
      <c r="AV18" s="79">
        <f t="shared" si="19"/>
        <v>1.72946367990915E-2</v>
      </c>
      <c r="AW18" s="79">
        <f t="shared" si="19"/>
        <v>1.725176755566156E-2</v>
      </c>
      <c r="AX18" s="79">
        <f t="shared" si="19"/>
        <v>1.7208725302263129E-2</v>
      </c>
      <c r="AY18" s="79">
        <f t="shared" si="19"/>
        <v>1.7165532055956528E-2</v>
      </c>
      <c r="AZ18" s="79">
        <f t="shared" si="19"/>
        <v>1.7122209035284382E-2</v>
      </c>
      <c r="BA18" s="79">
        <f t="shared" si="19"/>
        <v>1.7078776681021236E-2</v>
      </c>
      <c r="BB18" s="79">
        <f t="shared" si="19"/>
        <v>1.7035254676682477E-2</v>
      </c>
      <c r="BC18" s="79">
        <f t="shared" si="19"/>
        <v>1.6991661968775197E-2</v>
      </c>
      <c r="BD18" s="79">
        <f t="shared" si="19"/>
        <v>1.6948016786773538E-2</v>
      </c>
      <c r="BE18" s="79">
        <f t="shared" si="19"/>
        <v>1.6904336662804009E-2</v>
      </c>
      <c r="BF18" s="79">
        <f t="shared" si="19"/>
        <v>1.6860638451025763E-2</v>
      </c>
      <c r="BG18" s="79">
        <f t="shared" si="19"/>
        <v>1.6816938346695877E-2</v>
      </c>
      <c r="BH18" s="79">
        <f t="shared" si="19"/>
        <v>1.6773251904909955E-2</v>
      </c>
      <c r="BI18" s="79">
        <f t="shared" si="19"/>
        <v>1.6729594059007594E-2</v>
      </c>
      <c r="BJ18" s="79">
        <f t="shared" si="19"/>
        <v>1.6685979138636647E-2</v>
      </c>
      <c r="BK18" s="79">
        <f t="shared" si="19"/>
        <v>1.664242088747122E-2</v>
      </c>
      <c r="BL18" s="79">
        <f t="shared" si="19"/>
        <v>1.6598932480576593E-2</v>
      </c>
      <c r="BM18" s="79">
        <f t="shared" si="19"/>
        <v>1.6555526541418765E-2</v>
      </c>
      <c r="BN18" s="79">
        <f t="shared" si="19"/>
        <v>1.6512215158516561E-2</v>
      </c>
      <c r="BO18" s="79">
        <f t="shared" si="19"/>
        <v>1.6469009901732466E-2</v>
      </c>
      <c r="BP18" s="79">
        <f t="shared" si="19"/>
        <v>1.6425921838203662E-2</v>
      </c>
      <c r="BQ18" s="79">
        <f t="shared" si="19"/>
        <v>1.6382961547911086E-2</v>
      </c>
      <c r="BR18" s="79">
        <f t="shared" si="19"/>
        <v>1.6340139138889622E-2</v>
      </c>
      <c r="BS18" s="79">
        <f t="shared" si="19"/>
        <v>1.6297464262077718E-2</v>
      </c>
      <c r="BT18" s="79">
        <f t="shared" si="17"/>
        <v>1.6254946125811021E-2</v>
      </c>
      <c r="BU18" s="79">
        <f t="shared" si="17"/>
        <v>1.6212593509960883E-2</v>
      </c>
      <c r="BV18" s="79">
        <f t="shared" si="17"/>
        <v>1.6170414779721694E-2</v>
      </c>
      <c r="BW18" s="79">
        <f t="shared" si="17"/>
        <v>1.6128417899048897E-2</v>
      </c>
      <c r="BX18" s="79">
        <f t="shared" si="17"/>
        <v>1.60866104437545E-2</v>
      </c>
      <c r="BY18" s="79">
        <f t="shared" si="17"/>
        <v>1.6044999614259467E-2</v>
      </c>
      <c r="BZ18" s="79">
        <f t="shared" si="17"/>
        <v>1.6003592248013305E-2</v>
      </c>
      <c r="CA18" s="79">
        <f t="shared" si="17"/>
        <v>1.5962394831580524E-2</v>
      </c>
      <c r="CB18" s="79">
        <f t="shared" si="17"/>
        <v>1.5921413512401523E-2</v>
      </c>
      <c r="CC18" s="79">
        <f t="shared" si="17"/>
        <v>1.5880654110233393E-2</v>
      </c>
      <c r="CD18" s="79">
        <f t="shared" si="17"/>
        <v>1.5840122128274452E-2</v>
      </c>
      <c r="CE18" s="79">
        <f t="shared" si="17"/>
        <v>1.5799822763978767E-2</v>
      </c>
      <c r="CF18" s="79">
        <f t="shared" si="17"/>
        <v>1.5759760919568305E-2</v>
      </c>
      <c r="CG18" s="79">
        <f t="shared" si="17"/>
        <v>1.5719941212244334E-2</v>
      </c>
      <c r="CH18" s="79">
        <f t="shared" si="17"/>
        <v>1.5680367984108171E-2</v>
      </c>
      <c r="CI18" s="79">
        <f t="shared" si="17"/>
        <v>1.5641045311794912E-2</v>
      </c>
      <c r="CJ18" s="79">
        <f t="shared" si="17"/>
        <v>1.5601977015826938E-2</v>
      </c>
      <c r="CK18" s="79">
        <f t="shared" si="17"/>
        <v>1.5563166669692645E-2</v>
      </c>
      <c r="CL18" s="79">
        <f t="shared" si="17"/>
        <v>1.5524617608657289E-2</v>
      </c>
      <c r="CM18" s="79">
        <f t="shared" si="17"/>
        <v>1.548633293831155E-2</v>
      </c>
      <c r="CN18" s="79">
        <f t="shared" si="17"/>
        <v>1.5448315542864089E-2</v>
      </c>
      <c r="CO18" s="79">
        <f t="shared" si="17"/>
        <v>1.5410568093183934E-2</v>
      </c>
      <c r="CP18" s="79">
        <f t="shared" si="17"/>
        <v>1.5373093054598006E-2</v>
      </c>
      <c r="CQ18" s="79">
        <f t="shared" si="17"/>
        <v>1.5335892694451972E-2</v>
      </c>
      <c r="CR18" s="79">
        <f t="shared" si="17"/>
        <v>1.5298969089438631E-2</v>
      </c>
      <c r="CS18" s="79">
        <f t="shared" si="17"/>
        <v>1.5262324132697404E-2</v>
      </c>
      <c r="CT18" s="79">
        <f t="shared" si="17"/>
        <v>1.5225959540698008E-2</v>
      </c>
      <c r="CU18" s="79">
        <f t="shared" si="17"/>
        <v>1.5189876859904593E-2</v>
      </c>
      <c r="CV18" s="79">
        <f t="shared" si="17"/>
        <v>1.5154077473233923E-2</v>
      </c>
      <c r="CW18" s="79">
        <f t="shared" si="17"/>
        <v>1.5118562606308152E-2</v>
      </c>
      <c r="CX18" s="79">
        <f t="shared" si="17"/>
        <v>1.5083333333510316E-2</v>
      </c>
      <c r="CY18" s="79">
        <f t="shared" si="17"/>
        <v>1.5083333333510316E-2</v>
      </c>
      <c r="CZ18" s="79">
        <f t="shared" si="17"/>
        <v>1.5083333333510316E-2</v>
      </c>
      <c r="DA18" s="79">
        <f t="shared" si="17"/>
        <v>1.5083333333510316E-2</v>
      </c>
      <c r="DB18" s="79">
        <f t="shared" si="17"/>
        <v>1.5083333333510316E-2</v>
      </c>
      <c r="DC18" s="79">
        <f t="shared" si="17"/>
        <v>1.5083333333510316E-2</v>
      </c>
      <c r="DD18" s="79">
        <f t="shared" si="17"/>
        <v>1.5083333333510316E-2</v>
      </c>
      <c r="DE18" s="79">
        <f t="shared" si="17"/>
        <v>1.5083333333510316E-2</v>
      </c>
      <c r="DF18" s="79">
        <f t="shared" si="17"/>
        <v>1.5083333333510316E-2</v>
      </c>
      <c r="DG18" s="79">
        <f t="shared" si="17"/>
        <v>1.5083333333510316E-2</v>
      </c>
      <c r="DH18" s="79">
        <f t="shared" si="17"/>
        <v>1.5083333333510316E-2</v>
      </c>
      <c r="DI18" s="79">
        <f t="shared" si="17"/>
        <v>1.5083333333510316E-2</v>
      </c>
      <c r="DJ18" s="79">
        <f t="shared" si="17"/>
        <v>1.5083333333510316E-2</v>
      </c>
      <c r="DK18" s="79">
        <f t="shared" si="17"/>
        <v>1.5083333333510316E-2</v>
      </c>
      <c r="DL18" s="79">
        <f t="shared" si="17"/>
        <v>1.5083333333510316E-2</v>
      </c>
      <c r="DM18" s="79">
        <f t="shared" si="17"/>
        <v>1.5083333333510316E-2</v>
      </c>
      <c r="DN18" s="79">
        <f t="shared" si="17"/>
        <v>1.5083333333510316E-2</v>
      </c>
      <c r="DO18" s="79">
        <f t="shared" si="17"/>
        <v>1.5083333333510316E-2</v>
      </c>
      <c r="DP18" s="79">
        <f t="shared" si="17"/>
        <v>1.5083333333510316E-2</v>
      </c>
      <c r="DQ18" s="79">
        <f t="shared" si="17"/>
        <v>1.5083333333510316E-2</v>
      </c>
      <c r="DR18" s="79">
        <f t="shared" si="17"/>
        <v>1.5083333333510316E-2</v>
      </c>
      <c r="DS18" s="79">
        <f t="shared" si="17"/>
        <v>1.5083333333510316E-2</v>
      </c>
      <c r="DT18" s="79">
        <f t="shared" si="17"/>
        <v>1.5083333333510316E-2</v>
      </c>
      <c r="DU18" s="79">
        <f t="shared" si="17"/>
        <v>1.5083333333510316E-2</v>
      </c>
      <c r="DV18" s="79">
        <f t="shared" si="17"/>
        <v>1.5083333333510316E-2</v>
      </c>
      <c r="DW18" s="79">
        <f t="shared" si="17"/>
        <v>1.5083333333510316E-2</v>
      </c>
      <c r="DX18" s="79">
        <f t="shared" si="17"/>
        <v>1.5083333333510316E-2</v>
      </c>
      <c r="DY18" s="79">
        <f t="shared" si="17"/>
        <v>1.5083333333510316E-2</v>
      </c>
      <c r="DZ18" s="79">
        <f t="shared" si="17"/>
        <v>1.5083333333510316E-2</v>
      </c>
      <c r="EA18" s="79">
        <f t="shared" si="17"/>
        <v>1.5083333333510316E-2</v>
      </c>
      <c r="EB18" s="79">
        <f t="shared" si="17"/>
        <v>1.5083333333510316E-2</v>
      </c>
      <c r="EC18" s="79">
        <f t="shared" si="17"/>
        <v>1.5083333333510316E-2</v>
      </c>
      <c r="ED18" s="79">
        <f t="shared" si="17"/>
        <v>1.5083333333510316E-2</v>
      </c>
      <c r="EE18" s="79">
        <f t="shared" si="18"/>
        <v>1.5083333333510316E-2</v>
      </c>
      <c r="EF18" s="79">
        <f t="shared" si="14"/>
        <v>1.5083333333510316E-2</v>
      </c>
      <c r="EG18" s="79">
        <f t="shared" si="14"/>
        <v>1.5083333333510316E-2</v>
      </c>
      <c r="EH18" s="79">
        <f t="shared" si="14"/>
        <v>1.5083333333510316E-2</v>
      </c>
      <c r="EI18" s="79">
        <f t="shared" si="14"/>
        <v>1.5083333333510316E-2</v>
      </c>
      <c r="EJ18" s="79">
        <f t="shared" si="14"/>
        <v>1.5083333333510316E-2</v>
      </c>
      <c r="EK18" s="79">
        <f t="shared" si="14"/>
        <v>1.5083333333510316E-2</v>
      </c>
      <c r="EL18" s="79">
        <f t="shared" si="14"/>
        <v>1.5083333333510316E-2</v>
      </c>
      <c r="EM18" s="79">
        <f t="shared" si="14"/>
        <v>1.5083333333510316E-2</v>
      </c>
      <c r="EN18" s="79">
        <f t="shared" si="14"/>
        <v>1.5083333333510316E-2</v>
      </c>
      <c r="EO18" s="79">
        <f t="shared" si="14"/>
        <v>1.5083333333510316E-2</v>
      </c>
      <c r="EP18" s="79">
        <f t="shared" si="14"/>
        <v>1.5083333333510316E-2</v>
      </c>
      <c r="EQ18" s="79">
        <f t="shared" si="14"/>
        <v>1.5083333333510316E-2</v>
      </c>
      <c r="ER18" s="79">
        <f t="shared" si="14"/>
        <v>1.5083333333510316E-2</v>
      </c>
      <c r="ES18" s="79">
        <f t="shared" si="14"/>
        <v>1.5083333333510316E-2</v>
      </c>
      <c r="ET18" s="79">
        <f t="shared" si="14"/>
        <v>1.5083333333510316E-2</v>
      </c>
      <c r="FA18" s="27"/>
      <c r="FF18" s="6" t="s">
        <v>3439</v>
      </c>
      <c r="FG18" s="696">
        <v>2.5000000000000001E-2</v>
      </c>
      <c r="FH18" s="696">
        <v>120</v>
      </c>
      <c r="FI18" s="696">
        <v>1.8500000000000003E-2</v>
      </c>
      <c r="FJ18" s="255">
        <v>1.3999999999999999E-2</v>
      </c>
      <c r="FK18" s="71">
        <f t="shared" si="11"/>
        <v>2.6190476190476197E-4</v>
      </c>
      <c r="FL18" t="e">
        <f>VLOOKUP(FF18,'SIMULADOR COM SALDO'!$BX$22:$CK$1000,13,FALSE)</f>
        <v>#N/A</v>
      </c>
    </row>
    <row r="19" spans="5:168" ht="18" customHeight="1" x14ac:dyDescent="0.25">
      <c r="E19" s="77"/>
      <c r="F19" s="97">
        <f t="shared" si="12"/>
        <v>1.5180952380952382E-2</v>
      </c>
      <c r="G19" s="79">
        <f t="shared" si="6"/>
        <v>1.849791876554796E-2</v>
      </c>
      <c r="H19" s="79">
        <f t="shared" si="19"/>
        <v>1.8493825904716522E-2</v>
      </c>
      <c r="I19" s="79">
        <f t="shared" si="19"/>
        <v>1.8487789918418013E-2</v>
      </c>
      <c r="J19" s="79">
        <f t="shared" si="19"/>
        <v>1.8479878167469183E-2</v>
      </c>
      <c r="K19" s="79">
        <f t="shared" si="19"/>
        <v>1.8470156843449281E-2</v>
      </c>
      <c r="L19" s="79">
        <f t="shared" si="19"/>
        <v>1.8458690943190529E-2</v>
      </c>
      <c r="M19" s="79">
        <f t="shared" si="19"/>
        <v>1.8445544246746354E-2</v>
      </c>
      <c r="N19" s="79">
        <f t="shared" si="19"/>
        <v>1.8430779298678739E-2</v>
      </c>
      <c r="O19" s="79">
        <f t="shared" si="19"/>
        <v>1.8414457392505072E-2</v>
      </c>
      <c r="P19" s="79">
        <f t="shared" si="19"/>
        <v>1.839663855814919E-2</v>
      </c>
      <c r="Q19" s="79">
        <f t="shared" si="19"/>
        <v>1.8377381552236852E-2</v>
      </c>
      <c r="R19" s="79">
        <f t="shared" si="19"/>
        <v>1.8356743851081457E-2</v>
      </c>
      <c r="S19" s="79">
        <f t="shared" si="19"/>
        <v>1.8334781646208359E-2</v>
      </c>
      <c r="T19" s="79">
        <f t="shared" si="19"/>
        <v>1.8311549842264706E-2</v>
      </c>
      <c r="U19" s="79">
        <f t="shared" si="19"/>
        <v>1.8287102057170008E-2</v>
      </c>
      <c r="V19" s="79">
        <f t="shared" si="19"/>
        <v>1.8261490624362921E-2</v>
      </c>
      <c r="W19" s="79">
        <f t="shared" si="19"/>
        <v>1.823476659700447E-2</v>
      </c>
      <c r="X19" s="79">
        <f t="shared" si="19"/>
        <v>1.8206979754001731E-2</v>
      </c>
      <c r="Y19" s="79">
        <f t="shared" si="19"/>
        <v>1.8178178607721959E-2</v>
      </c>
      <c r="Z19" s="79">
        <f t="shared" si="19"/>
        <v>1.814841041326775E-2</v>
      </c>
      <c r="AA19" s="79">
        <f t="shared" si="19"/>
        <v>1.8117721179194017E-2</v>
      </c>
      <c r="AB19" s="79">
        <f t="shared" si="19"/>
        <v>1.8086155679547116E-2</v>
      </c>
      <c r="AC19" s="79">
        <f t="shared" si="19"/>
        <v>1.8053757467113695E-2</v>
      </c>
      <c r="AD19" s="79">
        <f t="shared" si="19"/>
        <v>1.8020568887773127E-2</v>
      </c>
      <c r="AE19" s="79">
        <f t="shared" si="19"/>
        <v>1.7986631095846858E-2</v>
      </c>
      <c r="AF19" s="79">
        <f t="shared" si="19"/>
        <v>1.7951984070351715E-2</v>
      </c>
      <c r="AG19" s="79">
        <f t="shared" si="19"/>
        <v>1.7916666632057633E-2</v>
      </c>
      <c r="AH19" s="79">
        <f t="shared" si="19"/>
        <v>1.7880716461267012E-2</v>
      </c>
      <c r="AI19" s="79">
        <f t="shared" si="19"/>
        <v>1.784417011622727E-2</v>
      </c>
      <c r="AJ19" s="79">
        <f t="shared" si="19"/>
        <v>1.7807063052099333E-2</v>
      </c>
      <c r="AK19" s="79">
        <f t="shared" si="19"/>
        <v>1.7769429640406245E-2</v>
      </c>
      <c r="AL19" s="79">
        <f t="shared" si="19"/>
        <v>1.7731303188892756E-2</v>
      </c>
      <c r="AM19" s="79">
        <f t="shared" si="19"/>
        <v>1.7692715961726398E-2</v>
      </c>
      <c r="AN19" s="79">
        <f t="shared" si="19"/>
        <v>1.7653699199981603E-2</v>
      </c>
      <c r="AO19" s="79">
        <f t="shared" si="19"/>
        <v>1.7614283142345793E-2</v>
      </c>
      <c r="AP19" s="79">
        <f t="shared" si="19"/>
        <v>1.757449704599361E-2</v>
      </c>
      <c r="AQ19" s="79">
        <f t="shared" si="19"/>
        <v>1.7534369207579822E-2</v>
      </c>
      <c r="AR19" s="79">
        <f t="shared" si="19"/>
        <v>1.7493926984301428E-2</v>
      </c>
      <c r="AS19" s="79">
        <f t="shared" si="19"/>
        <v>1.7453196814987408E-2</v>
      </c>
      <c r="AT19" s="79">
        <f t="shared" si="19"/>
        <v>1.7412204241173911E-2</v>
      </c>
      <c r="AU19" s="79">
        <f t="shared" si="19"/>
        <v>1.7370973928128329E-2</v>
      </c>
      <c r="AV19" s="79">
        <f t="shared" si="19"/>
        <v>1.732952968578734E-2</v>
      </c>
      <c r="AW19" s="79">
        <f t="shared" si="19"/>
        <v>1.7287894489577751E-2</v>
      </c>
      <c r="AX19" s="79">
        <f t="shared" si="19"/>
        <v>1.7246090501089776E-2</v>
      </c>
      <c r="AY19" s="79">
        <f t="shared" si="19"/>
        <v>1.7204139088579526E-2</v>
      </c>
      <c r="AZ19" s="79">
        <f t="shared" si="19"/>
        <v>1.7162060847271395E-2</v>
      </c>
      <c r="BA19" s="79">
        <f t="shared" si="19"/>
        <v>1.7119875619444943E-2</v>
      </c>
      <c r="BB19" s="79">
        <f t="shared" si="19"/>
        <v>1.7077602514281004E-2</v>
      </c>
      <c r="BC19" s="79">
        <f t="shared" si="19"/>
        <v>1.7035259927453177E-2</v>
      </c>
      <c r="BD19" s="79">
        <f t="shared" si="19"/>
        <v>1.6992865560447247E-2</v>
      </c>
      <c r="BE19" s="79">
        <f t="shared" si="19"/>
        <v>1.6950436439594836E-2</v>
      </c>
      <c r="BF19" s="79">
        <f t="shared" si="19"/>
        <v>1.6907988934810658E-2</v>
      </c>
      <c r="BG19" s="79">
        <f t="shared" si="19"/>
        <v>1.6865538778019152E-2</v>
      </c>
      <c r="BH19" s="79">
        <f t="shared" si="19"/>
        <v>1.6823101081266001E-2</v>
      </c>
      <c r="BI19" s="79">
        <f t="shared" si="19"/>
        <v>1.6780690354502747E-2</v>
      </c>
      <c r="BJ19" s="79">
        <f t="shared" si="19"/>
        <v>1.6738320523040657E-2</v>
      </c>
      <c r="BK19" s="79">
        <f t="shared" si="19"/>
        <v>1.6696004944665964E-2</v>
      </c>
      <c r="BL19" s="79">
        <f t="shared" si="19"/>
        <v>1.6653756426415006E-2</v>
      </c>
      <c r="BM19" s="79">
        <f t="shared" si="19"/>
        <v>1.6611587241004803E-2</v>
      </c>
      <c r="BN19" s="79">
        <f t="shared" si="19"/>
        <v>1.6569509142915294E-2</v>
      </c>
      <c r="BO19" s="79">
        <f t="shared" si="19"/>
        <v>1.6527533384124746E-2</v>
      </c>
      <c r="BP19" s="79">
        <f t="shared" si="19"/>
        <v>1.6485670729495337E-2</v>
      </c>
      <c r="BQ19" s="79">
        <f t="shared" si="19"/>
        <v>1.6443931471810905E-2</v>
      </c>
      <c r="BR19" s="79">
        <f t="shared" si="19"/>
        <v>1.6402325446465055E-2</v>
      </c>
      <c r="BS19" s="79">
        <f t="shared" si="19"/>
        <v>1.6360862045804676E-2</v>
      </c>
      <c r="BT19" s="79">
        <f t="shared" si="17"/>
        <v>1.6319550233127218E-2</v>
      </c>
      <c r="BU19" s="79">
        <f t="shared" si="17"/>
        <v>1.6278398556336827E-2</v>
      </c>
      <c r="BV19" s="79">
        <f t="shared" si="17"/>
        <v>1.6237415161261176E-2</v>
      </c>
      <c r="BW19" s="79">
        <f t="shared" si="17"/>
        <v>1.6196607804632279E-2</v>
      </c>
      <c r="BX19" s="79">
        <f t="shared" si="17"/>
        <v>1.6155983866735592E-2</v>
      </c>
      <c r="BY19" s="79">
        <f t="shared" si="17"/>
        <v>1.6115550363730594E-2</v>
      </c>
      <c r="BZ19" s="79">
        <f t="shared" si="17"/>
        <v>1.6075313959648438E-2</v>
      </c>
      <c r="CA19" s="79">
        <f t="shared" si="17"/>
        <v>1.6035280978070495E-2</v>
      </c>
      <c r="CB19" s="79">
        <f t="shared" si="17"/>
        <v>1.5995457413492422E-2</v>
      </c>
      <c r="CC19" s="79">
        <f t="shared" si="17"/>
        <v>1.5955848942380054E-2</v>
      </c>
      <c r="CD19" s="79">
        <f t="shared" si="17"/>
        <v>1.5916460933920344E-2</v>
      </c>
      <c r="CE19" s="79">
        <f t="shared" si="17"/>
        <v>1.5877298460474958E-2</v>
      </c>
      <c r="CF19" s="79">
        <f t="shared" si="17"/>
        <v>1.5838366307740558E-2</v>
      </c>
      <c r="CG19" s="79">
        <f t="shared" si="17"/>
        <v>1.5799668984621977E-2</v>
      </c>
      <c r="CH19" s="79">
        <f t="shared" si="17"/>
        <v>1.5761210732823543E-2</v>
      </c>
      <c r="CI19" s="79">
        <f t="shared" si="17"/>
        <v>1.5722995536165098E-2</v>
      </c>
      <c r="CJ19" s="79">
        <f t="shared" si="17"/>
        <v>1.5685027129627001E-2</v>
      </c>
      <c r="CK19" s="79">
        <f t="shared" si="17"/>
        <v>1.5647309008132278E-2</v>
      </c>
      <c r="CL19" s="79">
        <f t="shared" si="17"/>
        <v>1.5609844435069636E-2</v>
      </c>
      <c r="CM19" s="79">
        <f t="shared" si="17"/>
        <v>1.5572636450563509E-2</v>
      </c>
      <c r="CN19" s="79">
        <f t="shared" si="17"/>
        <v>1.55356878794986E-2</v>
      </c>
      <c r="CO19" s="79">
        <f t="shared" si="17"/>
        <v>1.5499001339302555E-2</v>
      </c>
      <c r="CP19" s="79">
        <f t="shared" si="17"/>
        <v>1.5462579247493773E-2</v>
      </c>
      <c r="CQ19" s="79">
        <f t="shared" si="17"/>
        <v>1.5426423829000032E-2</v>
      </c>
      <c r="CR19" s="79">
        <f t="shared" si="17"/>
        <v>1.5390537123253176E-2</v>
      </c>
      <c r="CS19" s="79">
        <f t="shared" si="17"/>
        <v>1.5354920991065994E-2</v>
      </c>
      <c r="CT19" s="79">
        <f t="shared" si="17"/>
        <v>1.5319577121295867E-2</v>
      </c>
      <c r="CU19" s="79">
        <f t="shared" si="17"/>
        <v>1.5284507037302535E-2</v>
      </c>
      <c r="CV19" s="79">
        <f t="shared" si="17"/>
        <v>1.5249712103202964E-2</v>
      </c>
      <c r="CW19" s="79">
        <f t="shared" si="17"/>
        <v>1.5215193529931221E-2</v>
      </c>
      <c r="CX19" s="79">
        <f t="shared" si="17"/>
        <v>1.5180952381106148E-2</v>
      </c>
      <c r="CY19" s="79">
        <f t="shared" si="17"/>
        <v>1.5180952381106148E-2</v>
      </c>
      <c r="CZ19" s="79">
        <f t="shared" si="17"/>
        <v>1.5180952381106148E-2</v>
      </c>
      <c r="DA19" s="79">
        <f t="shared" si="17"/>
        <v>1.5180952381106148E-2</v>
      </c>
      <c r="DB19" s="79">
        <f t="shared" si="17"/>
        <v>1.5180952381106148E-2</v>
      </c>
      <c r="DC19" s="79">
        <f t="shared" si="17"/>
        <v>1.5180952381106148E-2</v>
      </c>
      <c r="DD19" s="79">
        <f t="shared" si="17"/>
        <v>1.5180952381106148E-2</v>
      </c>
      <c r="DE19" s="79">
        <f t="shared" si="17"/>
        <v>1.5180952381106148E-2</v>
      </c>
      <c r="DF19" s="79">
        <f t="shared" si="17"/>
        <v>1.5180952381106148E-2</v>
      </c>
      <c r="DG19" s="79">
        <f t="shared" si="17"/>
        <v>1.5180952381106148E-2</v>
      </c>
      <c r="DH19" s="79">
        <f t="shared" si="17"/>
        <v>1.5180952381106148E-2</v>
      </c>
      <c r="DI19" s="79">
        <f t="shared" si="17"/>
        <v>1.5180952381106148E-2</v>
      </c>
      <c r="DJ19" s="79">
        <f t="shared" si="17"/>
        <v>1.5180952381106148E-2</v>
      </c>
      <c r="DK19" s="79">
        <f t="shared" si="17"/>
        <v>1.5180952381106148E-2</v>
      </c>
      <c r="DL19" s="79">
        <f t="shared" si="17"/>
        <v>1.5180952381106148E-2</v>
      </c>
      <c r="DM19" s="79">
        <f t="shared" si="17"/>
        <v>1.5180952381106148E-2</v>
      </c>
      <c r="DN19" s="79">
        <f t="shared" si="17"/>
        <v>1.5180952381106148E-2</v>
      </c>
      <c r="DO19" s="79">
        <f t="shared" si="17"/>
        <v>1.5180952381106148E-2</v>
      </c>
      <c r="DP19" s="79">
        <f t="shared" si="17"/>
        <v>1.5180952381106148E-2</v>
      </c>
      <c r="DQ19" s="79">
        <f t="shared" si="17"/>
        <v>1.5180952381106148E-2</v>
      </c>
      <c r="DR19" s="79">
        <f t="shared" si="17"/>
        <v>1.5180952381106148E-2</v>
      </c>
      <c r="DS19" s="79">
        <f t="shared" si="17"/>
        <v>1.5180952381106148E-2</v>
      </c>
      <c r="DT19" s="79">
        <f t="shared" si="17"/>
        <v>1.5180952381106148E-2</v>
      </c>
      <c r="DU19" s="79">
        <f t="shared" si="17"/>
        <v>1.5180952381106148E-2</v>
      </c>
      <c r="DV19" s="79">
        <f t="shared" si="17"/>
        <v>1.5180952381106148E-2</v>
      </c>
      <c r="DW19" s="79">
        <f t="shared" si="17"/>
        <v>1.5180952381106148E-2</v>
      </c>
      <c r="DX19" s="79">
        <f t="shared" si="17"/>
        <v>1.5180952381106148E-2</v>
      </c>
      <c r="DY19" s="79">
        <f t="shared" si="17"/>
        <v>1.5180952381106148E-2</v>
      </c>
      <c r="DZ19" s="79">
        <f t="shared" si="17"/>
        <v>1.5180952381106148E-2</v>
      </c>
      <c r="EA19" s="79">
        <f t="shared" si="17"/>
        <v>1.5180952381106148E-2</v>
      </c>
      <c r="EB19" s="79">
        <f t="shared" si="17"/>
        <v>1.5180952381106148E-2</v>
      </c>
      <c r="EC19" s="79">
        <f t="shared" si="17"/>
        <v>1.5180952381106148E-2</v>
      </c>
      <c r="ED19" s="79">
        <f t="shared" si="17"/>
        <v>1.5180952381106148E-2</v>
      </c>
      <c r="EE19" s="79">
        <f t="shared" si="18"/>
        <v>1.5180952381106148E-2</v>
      </c>
      <c r="EF19" s="79">
        <f t="shared" si="14"/>
        <v>1.5180952381106148E-2</v>
      </c>
      <c r="EG19" s="79">
        <f t="shared" si="14"/>
        <v>1.5180952381106148E-2</v>
      </c>
      <c r="EH19" s="79">
        <f t="shared" si="14"/>
        <v>1.5180952381106148E-2</v>
      </c>
      <c r="EI19" s="79">
        <f t="shared" si="14"/>
        <v>1.5180952381106148E-2</v>
      </c>
      <c r="EJ19" s="79">
        <f t="shared" si="14"/>
        <v>1.5180952381106148E-2</v>
      </c>
      <c r="EK19" s="79">
        <f t="shared" si="14"/>
        <v>1.5180952381106148E-2</v>
      </c>
      <c r="EL19" s="79">
        <f t="shared" si="14"/>
        <v>1.5180952381106148E-2</v>
      </c>
      <c r="EM19" s="79">
        <f t="shared" si="14"/>
        <v>1.5180952381106148E-2</v>
      </c>
      <c r="EN19" s="79">
        <f t="shared" si="14"/>
        <v>1.5180952381106148E-2</v>
      </c>
      <c r="EO19" s="79">
        <f t="shared" si="14"/>
        <v>1.5180952381106148E-2</v>
      </c>
      <c r="EP19" s="79">
        <f t="shared" si="14"/>
        <v>1.5180952381106148E-2</v>
      </c>
      <c r="EQ19" s="79">
        <f t="shared" si="14"/>
        <v>1.5180952381106148E-2</v>
      </c>
      <c r="ER19" s="79">
        <f t="shared" si="14"/>
        <v>1.5180952381106148E-2</v>
      </c>
      <c r="ES19" s="79">
        <f t="shared" si="14"/>
        <v>1.5180952381106148E-2</v>
      </c>
      <c r="ET19" s="79">
        <f t="shared" si="14"/>
        <v>1.5180952381106148E-2</v>
      </c>
      <c r="FA19" s="27"/>
      <c r="FF19" s="6" t="s">
        <v>2995</v>
      </c>
      <c r="FG19" s="696">
        <v>2.5000000000000001E-2</v>
      </c>
      <c r="FH19" s="696">
        <v>96</v>
      </c>
      <c r="FI19" s="696">
        <v>1.7500000000000002E-2</v>
      </c>
      <c r="FJ19" s="255">
        <v>1.3999999999999999E-2</v>
      </c>
      <c r="FK19" s="71">
        <f t="shared" si="11"/>
        <v>2.6190476190476197E-4</v>
      </c>
      <c r="FL19" t="e">
        <f>VLOOKUP(FF19,'SIMULADOR COM SALDO'!$BX$22:$CK$1000,13,FALSE)</f>
        <v>#N/A</v>
      </c>
    </row>
    <row r="20" spans="5:168" ht="18" customHeight="1" x14ac:dyDescent="0.25">
      <c r="E20" s="77"/>
      <c r="F20" s="97">
        <f t="shared" si="12"/>
        <v>1.527857142857143E-2</v>
      </c>
      <c r="G20" s="79">
        <f t="shared" si="6"/>
        <v>1.8497980169204353E-2</v>
      </c>
      <c r="H20" s="79">
        <f t="shared" si="19"/>
        <v>1.849400823373315E-2</v>
      </c>
      <c r="I20" s="79">
        <f t="shared" si="19"/>
        <v>1.8488150818308551E-2</v>
      </c>
      <c r="J20" s="79">
        <f t="shared" si="19"/>
        <v>1.8480473416486252E-2</v>
      </c>
      <c r="K20" s="79">
        <f t="shared" si="19"/>
        <v>1.8471040364465219E-2</v>
      </c>
      <c r="L20" s="79">
        <f t="shared" si="19"/>
        <v>1.8459914818318501E-2</v>
      </c>
      <c r="M20" s="79">
        <f t="shared" si="19"/>
        <v>1.8447158734497763E-2</v>
      </c>
      <c r="N20" s="79">
        <f t="shared" si="19"/>
        <v>1.8432832853456052E-2</v>
      </c>
      <c r="O20" s="79">
        <f t="shared" si="19"/>
        <v>1.8416996686237593E-2</v>
      </c>
      <c r="P20" s="79">
        <f t="shared" si="19"/>
        <v>1.8399708503882443E-2</v>
      </c>
      <c r="Q20" s="79">
        <f t="shared" si="19"/>
        <v>1.8381025329497702E-2</v>
      </c>
      <c r="R20" s="79">
        <f t="shared" si="19"/>
        <v>1.8361002932843474E-2</v>
      </c>
      <c r="S20" s="79">
        <f t="shared" si="19"/>
        <v>1.833969582729247E-2</v>
      </c>
      <c r="T20" s="79">
        <f t="shared" si="19"/>
        <v>1.8317157269014957E-2</v>
      </c>
      <c r="U20" s="79">
        <f t="shared" si="19"/>
        <v>1.8293439258254711E-2</v>
      </c>
      <c r="V20" s="79">
        <f t="shared" si="19"/>
        <v>1.8268592542555407E-2</v>
      </c>
      <c r="W20" s="79">
        <f t="shared" si="19"/>
        <v>1.8242666621807558E-2</v>
      </c>
      <c r="X20" s="79">
        <f t="shared" si="19"/>
        <v>1.8215709754987704E-2</v>
      </c>
      <c r="Y20" s="79">
        <f t="shared" si="19"/>
        <v>1.8187768968463257E-2</v>
      </c>
      <c r="Z20" s="79">
        <f t="shared" si="19"/>
        <v>1.8158890065747248E-2</v>
      </c>
      <c r="AA20" s="79">
        <f t="shared" si="19"/>
        <v>1.812911763858463E-2</v>
      </c>
      <c r="AB20" s="79">
        <f t="shared" si="19"/>
        <v>1.8098495079260282E-2</v>
      </c>
      <c r="AC20" s="79">
        <f t="shared" si="19"/>
        <v>1.8067064594023904E-2</v>
      </c>
      <c r="AD20" s="79">
        <f t="shared" si="19"/>
        <v>1.8034867217528783E-2</v>
      </c>
      <c r="AE20" s="79">
        <f t="shared" si="19"/>
        <v>1.8001942828188584E-2</v>
      </c>
      <c r="AF20" s="79">
        <f t="shared" si="19"/>
        <v>1.7968330164359923E-2</v>
      </c>
      <c r="AG20" s="79">
        <f t="shared" si="19"/>
        <v>1.7934066841263561E-2</v>
      </c>
      <c r="AH20" s="79">
        <f t="shared" si="19"/>
        <v>1.7899189368559023E-2</v>
      </c>
      <c r="AI20" s="79">
        <f t="shared" si="19"/>
        <v>1.7863733168498069E-2</v>
      </c>
      <c r="AJ20" s="79">
        <f t="shared" si="19"/>
        <v>1.7827732594577903E-2</v>
      </c>
      <c r="AK20" s="79">
        <f t="shared" si="19"/>
        <v>1.7791220950627625E-2</v>
      </c>
      <c r="AL20" s="79">
        <f t="shared" si="19"/>
        <v>1.7754230510260677E-2</v>
      </c>
      <c r="AM20" s="79">
        <f t="shared" si="19"/>
        <v>1.7716792536630634E-2</v>
      </c>
      <c r="AN20" s="79">
        <f t="shared" si="19"/>
        <v>1.7678937302433178E-2</v>
      </c>
      <c r="AO20" s="79">
        <f t="shared" si="19"/>
        <v>1.7640694110100261E-2</v>
      </c>
      <c r="AP20" s="79">
        <f t="shared" si="19"/>
        <v>1.7602091312133361E-2</v>
      </c>
      <c r="AQ20" s="79">
        <f t="shared" si="19"/>
        <v>1.7563156331532579E-2</v>
      </c>
      <c r="AR20" s="79">
        <f t="shared" si="19"/>
        <v>1.7523915682272764E-2</v>
      </c>
      <c r="AS20" s="79">
        <f t="shared" si="19"/>
        <v>1.7484394989790614E-2</v>
      </c>
      <c r="AT20" s="79">
        <f t="shared" si="19"/>
        <v>1.7444619011440971E-2</v>
      </c>
      <c r="AU20" s="79">
        <f t="shared" si="19"/>
        <v>1.7404611656891014E-2</v>
      </c>
      <c r="AV20" s="79">
        <f t="shared" si="19"/>
        <v>1.7364396008417288E-2</v>
      </c>
      <c r="AW20" s="79">
        <f t="shared" si="19"/>
        <v>1.7323994341078775E-2</v>
      </c>
      <c r="AX20" s="79">
        <f t="shared" si="19"/>
        <v>1.7283428142737166E-2</v>
      </c>
      <c r="AY20" s="79">
        <f t="shared" si="19"/>
        <v>1.7242718133901262E-2</v>
      </c>
      <c r="AZ20" s="79">
        <f t="shared" si="19"/>
        <v>1.7201884287372307E-2</v>
      </c>
      <c r="BA20" s="79">
        <f t="shared" si="19"/>
        <v>1.7160945847670982E-2</v>
      </c>
      <c r="BB20" s="79">
        <f t="shared" si="19"/>
        <v>1.7119921350226632E-2</v>
      </c>
      <c r="BC20" s="79">
        <f t="shared" si="19"/>
        <v>1.7078828640315104E-2</v>
      </c>
      <c r="BD20" s="79">
        <f t="shared" si="19"/>
        <v>1.703768489172729E-2</v>
      </c>
      <c r="BE20" s="79">
        <f t="shared" si="19"/>
        <v>1.6996506625158486E-2</v>
      </c>
      <c r="BF20" s="79">
        <f t="shared" si="19"/>
        <v>1.6955309726306132E-2</v>
      </c>
      <c r="BG20" s="79">
        <f t="shared" si="19"/>
        <v>1.6914109463666629E-2</v>
      </c>
      <c r="BH20" s="79">
        <f t="shared" si="19"/>
        <v>1.6872920506022182E-2</v>
      </c>
      <c r="BI20" s="79">
        <f t="shared" si="19"/>
        <v>1.6831756939611423E-2</v>
      </c>
      <c r="BJ20" s="79">
        <f t="shared" si="19"/>
        <v>1.6790632284978093E-2</v>
      </c>
      <c r="BK20" s="79">
        <f t="shared" si="19"/>
        <v>1.6749559513491278E-2</v>
      </c>
      <c r="BL20" s="79">
        <f t="shared" si="19"/>
        <v>1.6708551063536171E-2</v>
      </c>
      <c r="BM20" s="79">
        <f t="shared" si="19"/>
        <v>1.6667618856370085E-2</v>
      </c>
      <c r="BN20" s="79">
        <f t="shared" si="19"/>
        <v>1.6626774311643406E-2</v>
      </c>
      <c r="BO20" s="79">
        <f t="shared" si="19"/>
        <v>1.6586028362583143E-2</v>
      </c>
      <c r="BP20" s="79">
        <f t="shared" si="19"/>
        <v>1.6545391470839957E-2</v>
      </c>
      <c r="BQ20" s="79">
        <f t="shared" si="19"/>
        <v>1.6504873640998837E-2</v>
      </c>
      <c r="BR20" s="79">
        <f t="shared" si="19"/>
        <v>1.6464484434752121E-2</v>
      </c>
      <c r="BS20" s="79">
        <f t="shared" ref="BS20:ED23" si="20">IF(BS$9&lt;=$K$6,RATE($K$6,1,BS66,0),"")</f>
        <v>1.6424232984740442E-2</v>
      </c>
      <c r="BT20" s="79">
        <f t="shared" si="20"/>
        <v>1.6384128008059877E-2</v>
      </c>
      <c r="BU20" s="79">
        <f t="shared" si="20"/>
        <v>1.634417781943984E-2</v>
      </c>
      <c r="BV20" s="79">
        <f t="shared" si="20"/>
        <v>1.6304390344094304E-2</v>
      </c>
      <c r="BW20" s="79">
        <f t="shared" si="20"/>
        <v>1.626477313024979E-2</v>
      </c>
      <c r="BX20" s="79">
        <f t="shared" si="20"/>
        <v>1.6225333361351978E-2</v>
      </c>
      <c r="BY20" s="79">
        <f t="shared" si="20"/>
        <v>1.6186077867959361E-2</v>
      </c>
      <c r="BZ20" s="79">
        <f t="shared" si="20"/>
        <v>1.6147013139322847E-2</v>
      </c>
      <c r="CA20" s="79">
        <f t="shared" si="20"/>
        <v>1.6108145334659527E-2</v>
      </c>
      <c r="CB20" s="79">
        <f t="shared" si="20"/>
        <v>1.6069480294123792E-2</v>
      </c>
      <c r="CC20" s="79">
        <f t="shared" si="20"/>
        <v>1.6031023549481445E-2</v>
      </c>
      <c r="CD20" s="79">
        <f t="shared" si="20"/>
        <v>1.5992780334491318E-2</v>
      </c>
      <c r="CE20" s="79">
        <f t="shared" si="20"/>
        <v>1.5954755594999339E-2</v>
      </c>
      <c r="CF20" s="79">
        <f t="shared" si="20"/>
        <v>1.5916953998751367E-2</v>
      </c>
      <c r="CG20" s="79">
        <f t="shared" si="20"/>
        <v>1.5879379944930151E-2</v>
      </c>
      <c r="CH20" s="79">
        <f t="shared" si="20"/>
        <v>1.5842037573419492E-2</v>
      </c>
      <c r="CI20" s="79">
        <f t="shared" si="20"/>
        <v>1.5804930773805244E-2</v>
      </c>
      <c r="CJ20" s="79">
        <f t="shared" si="20"/>
        <v>1.5768063194115115E-2</v>
      </c>
      <c r="CK20" s="79">
        <f t="shared" si="20"/>
        <v>1.5731438249304851E-2</v>
      </c>
      <c r="CL20" s="79">
        <f t="shared" si="20"/>
        <v>1.5695059129495485E-2</v>
      </c>
      <c r="CM20" s="79">
        <f t="shared" si="20"/>
        <v>1.5658928807968014E-2</v>
      </c>
      <c r="CN20" s="79">
        <f t="shared" si="20"/>
        <v>1.5623050048920348E-2</v>
      </c>
      <c r="CO20" s="79">
        <f t="shared" si="20"/>
        <v>1.5587425414992436E-2</v>
      </c>
      <c r="CP20" s="79">
        <f t="shared" si="20"/>
        <v>1.555205727456564E-2</v>
      </c>
      <c r="CQ20" s="79">
        <f t="shared" si="20"/>
        <v>1.5516947808840303E-2</v>
      </c>
      <c r="CR20" s="79">
        <f t="shared" si="20"/>
        <v>1.5482099018699076E-2</v>
      </c>
      <c r="CS20" s="79">
        <f t="shared" si="20"/>
        <v>1.5447512731360023E-2</v>
      </c>
      <c r="CT20" s="79">
        <f t="shared" si="20"/>
        <v>1.5413190606824273E-2</v>
      </c>
      <c r="CU20" s="79">
        <f t="shared" si="20"/>
        <v>1.5379134144125237E-2</v>
      </c>
      <c r="CV20" s="79">
        <f t="shared" si="20"/>
        <v>1.5345344687384081E-2</v>
      </c>
      <c r="CW20" s="79">
        <f t="shared" si="20"/>
        <v>1.5311823431674296E-2</v>
      </c>
      <c r="CX20" s="79">
        <f t="shared" si="20"/>
        <v>1.5278571428704684E-2</v>
      </c>
      <c r="CY20" s="79">
        <f t="shared" si="20"/>
        <v>1.5278571428704684E-2</v>
      </c>
      <c r="CZ20" s="79">
        <f t="shared" si="20"/>
        <v>1.5278571428704684E-2</v>
      </c>
      <c r="DA20" s="79">
        <f t="shared" si="20"/>
        <v>1.5278571428704684E-2</v>
      </c>
      <c r="DB20" s="79">
        <f t="shared" si="20"/>
        <v>1.5278571428704684E-2</v>
      </c>
      <c r="DC20" s="79">
        <f t="shared" si="20"/>
        <v>1.5278571428704684E-2</v>
      </c>
      <c r="DD20" s="79">
        <f t="shared" si="20"/>
        <v>1.5278571428704684E-2</v>
      </c>
      <c r="DE20" s="79">
        <f t="shared" si="20"/>
        <v>1.5278571428704684E-2</v>
      </c>
      <c r="DF20" s="79">
        <f t="shared" si="20"/>
        <v>1.5278571428704684E-2</v>
      </c>
      <c r="DG20" s="79">
        <f t="shared" si="20"/>
        <v>1.5278571428704684E-2</v>
      </c>
      <c r="DH20" s="79">
        <f t="shared" si="20"/>
        <v>1.5278571428704684E-2</v>
      </c>
      <c r="DI20" s="79">
        <f t="shared" si="20"/>
        <v>1.5278571428704684E-2</v>
      </c>
      <c r="DJ20" s="79">
        <f t="shared" si="20"/>
        <v>1.5278571428704684E-2</v>
      </c>
      <c r="DK20" s="79">
        <f t="shared" si="20"/>
        <v>1.5278571428704684E-2</v>
      </c>
      <c r="DL20" s="79">
        <f t="shared" si="20"/>
        <v>1.5278571428704684E-2</v>
      </c>
      <c r="DM20" s="79">
        <f t="shared" si="20"/>
        <v>1.5278571428704684E-2</v>
      </c>
      <c r="DN20" s="79">
        <f t="shared" si="20"/>
        <v>1.5278571428704684E-2</v>
      </c>
      <c r="DO20" s="79">
        <f t="shared" si="20"/>
        <v>1.5278571428704684E-2</v>
      </c>
      <c r="DP20" s="79">
        <f t="shared" si="20"/>
        <v>1.5278571428704684E-2</v>
      </c>
      <c r="DQ20" s="79">
        <f t="shared" si="20"/>
        <v>1.5278571428704684E-2</v>
      </c>
      <c r="DR20" s="79">
        <f t="shared" si="20"/>
        <v>1.5278571428704684E-2</v>
      </c>
      <c r="DS20" s="79">
        <f t="shared" si="20"/>
        <v>1.5278571428704684E-2</v>
      </c>
      <c r="DT20" s="79">
        <f t="shared" si="20"/>
        <v>1.5278571428704684E-2</v>
      </c>
      <c r="DU20" s="79">
        <f t="shared" si="20"/>
        <v>1.5278571428704684E-2</v>
      </c>
      <c r="DV20" s="79">
        <f t="shared" si="20"/>
        <v>1.5278571428704684E-2</v>
      </c>
      <c r="DW20" s="79">
        <f t="shared" si="20"/>
        <v>1.5278571428704684E-2</v>
      </c>
      <c r="DX20" s="79">
        <f t="shared" si="20"/>
        <v>1.5278571428704684E-2</v>
      </c>
      <c r="DY20" s="79">
        <f t="shared" si="20"/>
        <v>1.5278571428704684E-2</v>
      </c>
      <c r="DZ20" s="79">
        <f t="shared" si="20"/>
        <v>1.5278571428704684E-2</v>
      </c>
      <c r="EA20" s="79">
        <f t="shared" si="20"/>
        <v>1.5278571428704684E-2</v>
      </c>
      <c r="EB20" s="79">
        <f t="shared" si="20"/>
        <v>1.5278571428704684E-2</v>
      </c>
      <c r="EC20" s="79">
        <f t="shared" si="20"/>
        <v>1.5278571428704684E-2</v>
      </c>
      <c r="ED20" s="79">
        <f t="shared" si="20"/>
        <v>1.5278571428704684E-2</v>
      </c>
      <c r="EE20" s="79">
        <f t="shared" si="18"/>
        <v>1.5278571428704684E-2</v>
      </c>
      <c r="EF20" s="79">
        <f t="shared" si="14"/>
        <v>1.5278571428704684E-2</v>
      </c>
      <c r="EG20" s="79">
        <f t="shared" si="14"/>
        <v>1.5278571428704684E-2</v>
      </c>
      <c r="EH20" s="79">
        <f t="shared" si="14"/>
        <v>1.5278571428704684E-2</v>
      </c>
      <c r="EI20" s="79">
        <f t="shared" si="14"/>
        <v>1.5278571428704684E-2</v>
      </c>
      <c r="EJ20" s="79">
        <f t="shared" si="14"/>
        <v>1.5278571428704684E-2</v>
      </c>
      <c r="EK20" s="79">
        <f t="shared" si="14"/>
        <v>1.5278571428704684E-2</v>
      </c>
      <c r="EL20" s="79">
        <f t="shared" si="14"/>
        <v>1.5278571428704684E-2</v>
      </c>
      <c r="EM20" s="79">
        <f t="shared" si="14"/>
        <v>1.5278571428704684E-2</v>
      </c>
      <c r="EN20" s="79">
        <f t="shared" si="14"/>
        <v>1.5278571428704684E-2</v>
      </c>
      <c r="EO20" s="79">
        <f t="shared" si="14"/>
        <v>1.5278571428704684E-2</v>
      </c>
      <c r="EP20" s="79">
        <f t="shared" si="14"/>
        <v>1.5278571428704684E-2</v>
      </c>
      <c r="EQ20" s="79">
        <f t="shared" si="14"/>
        <v>1.5278571428704684E-2</v>
      </c>
      <c r="ER20" s="79">
        <f t="shared" si="14"/>
        <v>1.5278571428704684E-2</v>
      </c>
      <c r="ES20" s="79">
        <f t="shared" si="14"/>
        <v>1.5278571428704684E-2</v>
      </c>
      <c r="ET20" s="79">
        <f t="shared" si="14"/>
        <v>1.5278571428704684E-2</v>
      </c>
      <c r="FA20" s="27"/>
      <c r="FF20" s="6" t="s">
        <v>2996</v>
      </c>
      <c r="FG20" s="696">
        <v>2.5000000000000001E-2</v>
      </c>
      <c r="FH20" s="696">
        <v>120</v>
      </c>
      <c r="FI20" s="696">
        <v>2.1000000000000001E-2</v>
      </c>
      <c r="FJ20" s="255">
        <v>1.4999999999999999E-2</v>
      </c>
      <c r="FK20" s="71">
        <f t="shared" si="11"/>
        <v>2.3809523809523815E-4</v>
      </c>
      <c r="FL20" t="e">
        <f>VLOOKUP(FF20,'SIMULADOR COM SALDO'!$BX$22:$CK$1000,13,FALSE)</f>
        <v>#N/A</v>
      </c>
    </row>
    <row r="21" spans="5:168" ht="18" customHeight="1" x14ac:dyDescent="0.25">
      <c r="E21" s="77"/>
      <c r="F21" s="97">
        <f t="shared" si="12"/>
        <v>1.5376190476190477E-2</v>
      </c>
      <c r="G21" s="79">
        <f t="shared" si="6"/>
        <v>1.8498041561257346E-2</v>
      </c>
      <c r="H21" s="79">
        <f t="shared" ref="H21:BS24" si="21">IF(H$9&lt;=$K$6,RATE($K$6,1,H67,0),"")</f>
        <v>1.849419051785919E-2</v>
      </c>
      <c r="I21" s="79">
        <f t="shared" si="21"/>
        <v>1.8488511609869186E-2</v>
      </c>
      <c r="J21" s="79">
        <f t="shared" si="21"/>
        <v>1.8481068456601791E-2</v>
      </c>
      <c r="K21" s="79">
        <f t="shared" si="21"/>
        <v>1.8471923533263313E-2</v>
      </c>
      <c r="L21" s="79">
        <f t="shared" si="21"/>
        <v>1.8461138150810168E-2</v>
      </c>
      <c r="M21" s="79">
        <f t="shared" si="21"/>
        <v>1.8448772438877225E-2</v>
      </c>
      <c r="N21" s="79">
        <f t="shared" si="21"/>
        <v>1.8434885331631699E-2</v>
      </c>
      <c r="O21" s="79">
        <f t="shared" si="21"/>
        <v>1.8419534556403615E-2</v>
      </c>
      <c r="P21" s="79">
        <f t="shared" si="21"/>
        <v>1.8402776624951354E-2</v>
      </c>
      <c r="Q21" s="79">
        <f t="shared" si="21"/>
        <v>1.8384666827215252E-2</v>
      </c>
      <c r="R21" s="79">
        <f t="shared" si="21"/>
        <v>1.8365259227420137E-2</v>
      </c>
      <c r="S21" s="79">
        <f t="shared" si="21"/>
        <v>1.834460666238891E-2</v>
      </c>
      <c r="T21" s="79">
        <f t="shared" si="21"/>
        <v>1.8322760741928876E-2</v>
      </c>
      <c r="U21" s="79">
        <f t="shared" si="21"/>
        <v>1.8299771851160492E-2</v>
      </c>
      <c r="V21" s="79">
        <f t="shared" si="21"/>
        <v>1.8275689154660147E-2</v>
      </c>
      <c r="W21" s="79">
        <f t="shared" si="21"/>
        <v>1.8250560602288704E-2</v>
      </c>
      <c r="X21" s="79">
        <f t="shared" si="21"/>
        <v>1.8224432936589253E-2</v>
      </c>
      <c r="Y21" s="79">
        <f t="shared" si="21"/>
        <v>1.8197351701633158E-2</v>
      </c>
      <c r="Z21" s="79">
        <f t="shared" si="21"/>
        <v>1.8169361253204574E-2</v>
      </c>
      <c r="AA21" s="79">
        <f t="shared" si="21"/>
        <v>1.8140504770213332E-2</v>
      </c>
      <c r="AB21" s="79">
        <f t="shared" si="21"/>
        <v>1.8110824267232199E-2</v>
      </c>
      <c r="AC21" s="79">
        <f t="shared" si="21"/>
        <v>1.8080360608061691E-2</v>
      </c>
      <c r="AD21" s="79">
        <f t="shared" si="21"/>
        <v>1.804915352022279E-2</v>
      </c>
      <c r="AE21" s="79">
        <f t="shared" si="21"/>
        <v>1.8017241610291865E-2</v>
      </c>
      <c r="AF21" s="79">
        <f t="shared" si="21"/>
        <v>1.7984662379987203E-2</v>
      </c>
      <c r="AG21" s="79">
        <f t="shared" si="21"/>
        <v>1.7951452242928413E-2</v>
      </c>
      <c r="AH21" s="79">
        <f t="shared" si="21"/>
        <v>1.7917646541989556E-2</v>
      </c>
      <c r="AI21" s="79">
        <f t="shared" si="21"/>
        <v>1.7883279567172356E-2</v>
      </c>
      <c r="AJ21" s="79">
        <f t="shared" si="21"/>
        <v>1.784838457393062E-2</v>
      </c>
      <c r="AK21" s="79">
        <f t="shared" si="21"/>
        <v>1.7812993801881401E-2</v>
      </c>
      <c r="AL21" s="79">
        <f t="shared" si="21"/>
        <v>1.7777138493838673E-2</v>
      </c>
      <c r="AM21" s="79">
        <f t="shared" si="21"/>
        <v>1.7740848915114692E-2</v>
      </c>
      <c r="AN21" s="79">
        <f t="shared" si="21"/>
        <v>1.7704154373033628E-2</v>
      </c>
      <c r="AO21" s="79">
        <f t="shared" si="21"/>
        <v>1.7667083236606273E-2</v>
      </c>
      <c r="AP21" s="79">
        <f t="shared" si="21"/>
        <v>1.7629662956320288E-2</v>
      </c>
      <c r="AQ21" s="79">
        <f t="shared" si="21"/>
        <v>1.7591920084000259E-2</v>
      </c>
      <c r="AR21" s="79">
        <f t="shared" si="21"/>
        <v>1.7553880292698516E-2</v>
      </c>
      <c r="AS21" s="79">
        <f t="shared" si="21"/>
        <v>1.751556839657669E-2</v>
      </c>
      <c r="AT21" s="79">
        <f t="shared" si="21"/>
        <v>1.7477008370745822E-2</v>
      </c>
      <c r="AU21" s="79">
        <f t="shared" si="21"/>
        <v>1.7438223371030032E-2</v>
      </c>
      <c r="AV21" s="79">
        <f t="shared" si="21"/>
        <v>1.739923575362606E-2</v>
      </c>
      <c r="AW21" s="79">
        <f t="shared" si="21"/>
        <v>1.7360067094630678E-2</v>
      </c>
      <c r="AX21" s="79">
        <f t="shared" si="21"/>
        <v>1.7320738209411778E-2</v>
      </c>
      <c r="AY21" s="79">
        <f t="shared" si="21"/>
        <v>1.7281269171798418E-2</v>
      </c>
      <c r="AZ21" s="79">
        <f t="shared" si="21"/>
        <v>1.7241679333073277E-2</v>
      </c>
      <c r="BA21" s="79">
        <f t="shared" si="21"/>
        <v>1.7201987340745083E-2</v>
      </c>
      <c r="BB21" s="79">
        <f t="shared" si="21"/>
        <v>1.7162211157086597E-2</v>
      </c>
      <c r="BC21" s="79">
        <f t="shared" si="21"/>
        <v>1.7122368077422581E-2</v>
      </c>
      <c r="BD21" s="79">
        <f t="shared" si="21"/>
        <v>1.7082474748154629E-2</v>
      </c>
      <c r="BE21" s="79">
        <f t="shared" si="21"/>
        <v>1.7042547184511248E-2</v>
      </c>
      <c r="BF21" s="79">
        <f t="shared" si="21"/>
        <v>1.7002600788013311E-2</v>
      </c>
      <c r="BG21" s="79">
        <f t="shared" si="21"/>
        <v>1.6962650363644836E-2</v>
      </c>
      <c r="BH21" s="79">
        <f t="shared" si="21"/>
        <v>1.6922710136723123E-2</v>
      </c>
      <c r="BI21" s="79">
        <f t="shared" si="21"/>
        <v>1.6882793769461221E-2</v>
      </c>
      <c r="BJ21" s="79">
        <f t="shared" si="21"/>
        <v>1.6842914377216699E-2</v>
      </c>
      <c r="BK21" s="79">
        <f t="shared" si="21"/>
        <v>1.6803084544424144E-2</v>
      </c>
      <c r="BL21" s="79">
        <f t="shared" si="21"/>
        <v>1.6763316340206082E-2</v>
      </c>
      <c r="BM21" s="79">
        <f t="shared" si="21"/>
        <v>1.6723621333661853E-2</v>
      </c>
      <c r="BN21" s="79">
        <f t="shared" si="21"/>
        <v>1.6684010608832046E-2</v>
      </c>
      <c r="BO21" s="79">
        <f t="shared" si="21"/>
        <v>1.6644494779336348E-2</v>
      </c>
      <c r="BP21" s="79">
        <f t="shared" si="21"/>
        <v>1.6605084002687887E-2</v>
      </c>
      <c r="BQ21" s="79">
        <f t="shared" si="21"/>
        <v>1.656578799428135E-2</v>
      </c>
      <c r="BR21" s="79">
        <f t="shared" si="21"/>
        <v>1.6526616041057193E-2</v>
      </c>
      <c r="BS21" s="79">
        <f t="shared" si="21"/>
        <v>1.648757701484499E-2</v>
      </c>
      <c r="BT21" s="79">
        <f t="shared" si="20"/>
        <v>1.6448679385384513E-2</v>
      </c>
      <c r="BU21" s="79">
        <f t="shared" si="20"/>
        <v>1.6409931233031572E-2</v>
      </c>
      <c r="BV21" s="79">
        <f t="shared" si="20"/>
        <v>1.6371340261147452E-2</v>
      </c>
      <c r="BW21" s="79">
        <f t="shared" si="20"/>
        <v>1.6332913808177873E-2</v>
      </c>
      <c r="BX21" s="79">
        <f t="shared" si="20"/>
        <v>1.629465885942397E-2</v>
      </c>
      <c r="BY21" s="79">
        <f t="shared" si="20"/>
        <v>1.6256582058509956E-2</v>
      </c>
      <c r="BZ21" s="79">
        <f t="shared" si="20"/>
        <v>1.6218689718550283E-2</v>
      </c>
      <c r="CA21" s="79">
        <f t="shared" si="20"/>
        <v>1.6180987833022159E-2</v>
      </c>
      <c r="CB21" s="79">
        <f t="shared" si="20"/>
        <v>1.6143482086347472E-2</v>
      </c>
      <c r="CC21" s="79">
        <f t="shared" si="20"/>
        <v>1.6106177864188328E-2</v>
      </c>
      <c r="CD21" s="79">
        <f t="shared" si="20"/>
        <v>1.6069080263462116E-2</v>
      </c>
      <c r="CE21" s="79">
        <f t="shared" si="20"/>
        <v>1.6032194102079764E-2</v>
      </c>
      <c r="CF21" s="79">
        <f t="shared" si="20"/>
        <v>1.5995523928414534E-2</v>
      </c>
      <c r="CG21" s="79">
        <f t="shared" si="20"/>
        <v>1.5959074030502979E-2</v>
      </c>
      <c r="CH21" s="79">
        <f t="shared" si="20"/>
        <v>1.5922848444988331E-2</v>
      </c>
      <c r="CI21" s="79">
        <f t="shared" si="20"/>
        <v>1.588685096580603E-2</v>
      </c>
      <c r="CJ21" s="79">
        <f t="shared" si="20"/>
        <v>1.5851085152621139E-2</v>
      </c>
      <c r="CK21" s="79">
        <f t="shared" si="20"/>
        <v>1.5815554339021355E-2</v>
      </c>
      <c r="CL21" s="79">
        <f t="shared" si="20"/>
        <v>1.5780261640470524E-2</v>
      </c>
      <c r="CM21" s="79">
        <f t="shared" si="20"/>
        <v>1.5745209962028359E-2</v>
      </c>
      <c r="CN21" s="79">
        <f t="shared" si="20"/>
        <v>1.5710402005843869E-2</v>
      </c>
      <c r="CO21" s="79">
        <f t="shared" si="20"/>
        <v>1.5675840278422403E-2</v>
      </c>
      <c r="CP21" s="79">
        <f t="shared" si="20"/>
        <v>1.5641527097679058E-2</v>
      </c>
      <c r="CQ21" s="79">
        <f t="shared" si="20"/>
        <v>1.5607464599776834E-2</v>
      </c>
      <c r="CR21" s="79">
        <f t="shared" si="20"/>
        <v>1.5573654745759162E-2</v>
      </c>
      <c r="CS21" s="79">
        <f t="shared" si="20"/>
        <v>1.5540099327980108E-2</v>
      </c>
      <c r="CT21" s="79">
        <f t="shared" si="20"/>
        <v>1.5506799976338114E-2</v>
      </c>
      <c r="CU21" s="79">
        <f t="shared" si="20"/>
        <v>1.547375816431785E-2</v>
      </c>
      <c r="CV21" s="79">
        <f t="shared" si="20"/>
        <v>1.5440975214844357E-2</v>
      </c>
      <c r="CW21" s="79">
        <f t="shared" si="20"/>
        <v>1.540845230595733E-2</v>
      </c>
      <c r="CX21" s="79">
        <f t="shared" si="20"/>
        <v>1.5376190476306336E-2</v>
      </c>
      <c r="CY21" s="79">
        <f t="shared" si="20"/>
        <v>1.5376190476306336E-2</v>
      </c>
      <c r="CZ21" s="79">
        <f t="shared" si="20"/>
        <v>1.5376190476306336E-2</v>
      </c>
      <c r="DA21" s="79">
        <f t="shared" si="20"/>
        <v>1.5376190476306336E-2</v>
      </c>
      <c r="DB21" s="79">
        <f t="shared" si="20"/>
        <v>1.5376190476306336E-2</v>
      </c>
      <c r="DC21" s="79">
        <f t="shared" si="20"/>
        <v>1.5376190476306336E-2</v>
      </c>
      <c r="DD21" s="79">
        <f t="shared" si="20"/>
        <v>1.5376190476306336E-2</v>
      </c>
      <c r="DE21" s="79">
        <f t="shared" si="20"/>
        <v>1.5376190476306336E-2</v>
      </c>
      <c r="DF21" s="79">
        <f t="shared" si="20"/>
        <v>1.5376190476306336E-2</v>
      </c>
      <c r="DG21" s="79">
        <f t="shared" si="20"/>
        <v>1.5376190476306336E-2</v>
      </c>
      <c r="DH21" s="79">
        <f t="shared" si="20"/>
        <v>1.5376190476306336E-2</v>
      </c>
      <c r="DI21" s="79">
        <f t="shared" si="20"/>
        <v>1.5376190476306336E-2</v>
      </c>
      <c r="DJ21" s="79">
        <f t="shared" si="20"/>
        <v>1.5376190476306336E-2</v>
      </c>
      <c r="DK21" s="79">
        <f t="shared" si="20"/>
        <v>1.5376190476306336E-2</v>
      </c>
      <c r="DL21" s="79">
        <f t="shared" si="20"/>
        <v>1.5376190476306336E-2</v>
      </c>
      <c r="DM21" s="79">
        <f t="shared" si="20"/>
        <v>1.5376190476306336E-2</v>
      </c>
      <c r="DN21" s="79">
        <f t="shared" si="20"/>
        <v>1.5376190476306336E-2</v>
      </c>
      <c r="DO21" s="79">
        <f t="shared" si="20"/>
        <v>1.5376190476306336E-2</v>
      </c>
      <c r="DP21" s="79">
        <f t="shared" si="20"/>
        <v>1.5376190476306336E-2</v>
      </c>
      <c r="DQ21" s="79">
        <f t="shared" si="20"/>
        <v>1.5376190476306336E-2</v>
      </c>
      <c r="DR21" s="79">
        <f t="shared" si="20"/>
        <v>1.5376190476306336E-2</v>
      </c>
      <c r="DS21" s="79">
        <f t="shared" si="20"/>
        <v>1.5376190476306336E-2</v>
      </c>
      <c r="DT21" s="79">
        <f t="shared" si="20"/>
        <v>1.5376190476306336E-2</v>
      </c>
      <c r="DU21" s="79">
        <f t="shared" si="20"/>
        <v>1.5376190476306336E-2</v>
      </c>
      <c r="DV21" s="79">
        <f t="shared" si="20"/>
        <v>1.5376190476306336E-2</v>
      </c>
      <c r="DW21" s="79">
        <f t="shared" si="20"/>
        <v>1.5376190476306336E-2</v>
      </c>
      <c r="DX21" s="79">
        <f t="shared" si="20"/>
        <v>1.5376190476306336E-2</v>
      </c>
      <c r="DY21" s="79">
        <f t="shared" si="20"/>
        <v>1.5376190476306336E-2</v>
      </c>
      <c r="DZ21" s="79">
        <f t="shared" si="20"/>
        <v>1.5376190476306336E-2</v>
      </c>
      <c r="EA21" s="79">
        <f t="shared" si="20"/>
        <v>1.5376190476306336E-2</v>
      </c>
      <c r="EB21" s="79">
        <f t="shared" si="20"/>
        <v>1.5376190476306336E-2</v>
      </c>
      <c r="EC21" s="79">
        <f t="shared" si="20"/>
        <v>1.5376190476306336E-2</v>
      </c>
      <c r="ED21" s="79">
        <f t="shared" si="20"/>
        <v>1.5376190476306336E-2</v>
      </c>
      <c r="EE21" s="79">
        <f t="shared" si="18"/>
        <v>1.5376190476306336E-2</v>
      </c>
      <c r="EF21" s="79">
        <f t="shared" si="14"/>
        <v>1.5376190476306336E-2</v>
      </c>
      <c r="EG21" s="79">
        <f t="shared" si="14"/>
        <v>1.5376190476306336E-2</v>
      </c>
      <c r="EH21" s="79">
        <f t="shared" si="14"/>
        <v>1.5376190476306336E-2</v>
      </c>
      <c r="EI21" s="79">
        <f t="shared" si="14"/>
        <v>1.5376190476306336E-2</v>
      </c>
      <c r="EJ21" s="79">
        <f t="shared" si="14"/>
        <v>1.5376190476306336E-2</v>
      </c>
      <c r="EK21" s="79">
        <f t="shared" si="14"/>
        <v>1.5376190476306336E-2</v>
      </c>
      <c r="EL21" s="79">
        <f t="shared" si="14"/>
        <v>1.5376190476306336E-2</v>
      </c>
      <c r="EM21" s="79">
        <f t="shared" si="14"/>
        <v>1.5376190476306336E-2</v>
      </c>
      <c r="EN21" s="79">
        <f t="shared" si="14"/>
        <v>1.5376190476306336E-2</v>
      </c>
      <c r="EO21" s="79">
        <f t="shared" si="14"/>
        <v>1.5376190476306336E-2</v>
      </c>
      <c r="EP21" s="79">
        <f t="shared" si="14"/>
        <v>1.5376190476306336E-2</v>
      </c>
      <c r="EQ21" s="79">
        <f t="shared" si="14"/>
        <v>1.5376190476306336E-2</v>
      </c>
      <c r="ER21" s="79">
        <f t="shared" si="14"/>
        <v>1.5376190476306336E-2</v>
      </c>
      <c r="ES21" s="79">
        <f t="shared" si="14"/>
        <v>1.5376190476306336E-2</v>
      </c>
      <c r="ET21" s="79">
        <f t="shared" si="14"/>
        <v>1.5376190476306336E-2</v>
      </c>
      <c r="FA21" s="27"/>
      <c r="FF21" s="6" t="s">
        <v>651</v>
      </c>
      <c r="FG21" s="696">
        <v>2.5000000000000001E-2</v>
      </c>
      <c r="FH21" s="696">
        <v>96</v>
      </c>
      <c r="FI21" s="696">
        <v>2.3199999999999998E-2</v>
      </c>
      <c r="FJ21" s="255">
        <v>1.67E-2</v>
      </c>
      <c r="FK21" s="71">
        <f t="shared" si="11"/>
        <v>1.9761904761904765E-4</v>
      </c>
      <c r="FL21" t="e">
        <f>VLOOKUP(FF21,'SIMULADOR COM SALDO'!$BX$22:$CK$1000,13,FALSE)</f>
        <v>#N/A</v>
      </c>
    </row>
    <row r="22" spans="5:168" ht="18" customHeight="1" x14ac:dyDescent="0.25">
      <c r="E22" s="77"/>
      <c r="F22" s="97">
        <f t="shared" si="12"/>
        <v>1.5473809523809525E-2</v>
      </c>
      <c r="G22" s="79">
        <f t="shared" si="6"/>
        <v>1.8498102941710341E-2</v>
      </c>
      <c r="H22" s="79">
        <f t="shared" si="21"/>
        <v>1.849437275711038E-2</v>
      </c>
      <c r="I22" s="79">
        <f t="shared" si="21"/>
        <v>1.8488872293143499E-2</v>
      </c>
      <c r="J22" s="79">
        <f t="shared" si="21"/>
        <v>1.8481663287909542E-2</v>
      </c>
      <c r="K22" s="79">
        <f t="shared" si="21"/>
        <v>1.8472806350017513E-2</v>
      </c>
      <c r="L22" s="79">
        <f t="shared" si="21"/>
        <v>1.8462360940954388E-2</v>
      </c>
      <c r="M22" s="79">
        <f t="shared" si="21"/>
        <v>1.8450385360328034E-2</v>
      </c>
      <c r="N22" s="79">
        <f t="shared" si="21"/>
        <v>1.8436936733845048E-2</v>
      </c>
      <c r="O22" s="79">
        <f t="shared" si="21"/>
        <v>1.8422071003882851E-2</v>
      </c>
      <c r="P22" s="79">
        <f t="shared" si="21"/>
        <v>1.84058429225177E-2</v>
      </c>
      <c r="Q22" s="79">
        <f t="shared" si="21"/>
        <v>1.8388306046873151E-2</v>
      </c>
      <c r="R22" s="79">
        <f t="shared" si="21"/>
        <v>1.8369512736652532E-2</v>
      </c>
      <c r="S22" s="79">
        <f t="shared" si="21"/>
        <v>1.8349514153726234E-2</v>
      </c>
      <c r="T22" s="79">
        <f t="shared" si="21"/>
        <v>1.8328360263644379E-2</v>
      </c>
      <c r="U22" s="79">
        <f t="shared" si="21"/>
        <v>1.8306099838949486E-2</v>
      </c>
      <c r="V22" s="79">
        <f t="shared" si="21"/>
        <v>1.8282780464167529E-2</v>
      </c>
      <c r="W22" s="79">
        <f t="shared" si="21"/>
        <v>1.8258448542360629E-2</v>
      </c>
      <c r="X22" s="79">
        <f t="shared" si="21"/>
        <v>1.8233149303125553E-2</v>
      </c>
      <c r="Y22" s="79">
        <f t="shared" si="21"/>
        <v>1.8206926811929317E-2</v>
      </c>
      <c r="Z22" s="79">
        <f t="shared" si="21"/>
        <v>1.8179823980676756E-2</v>
      </c>
      <c r="AA22" s="79">
        <f t="shared" si="21"/>
        <v>1.8151882579405469E-2</v>
      </c>
      <c r="AB22" s="79">
        <f t="shared" si="21"/>
        <v>1.8123143249015379E-2</v>
      </c>
      <c r="AC22" s="79">
        <f t="shared" si="21"/>
        <v>1.8093645514933778E-2</v>
      </c>
      <c r="AD22" s="79">
        <f t="shared" si="21"/>
        <v>1.8063427801633548E-2</v>
      </c>
      <c r="AE22" s="79">
        <f t="shared" si="21"/>
        <v>1.8032527447914479E-2</v>
      </c>
      <c r="AF22" s="79">
        <f t="shared" si="21"/>
        <v>1.8000980722868837E-2</v>
      </c>
      <c r="AG22" s="79">
        <f t="shared" si="21"/>
        <v>1.7968822842456673E-2</v>
      </c>
      <c r="AH22" s="79">
        <f t="shared" si="21"/>
        <v>1.7936087986615504E-2</v>
      </c>
      <c r="AI22" s="79">
        <f t="shared" si="21"/>
        <v>1.7902809316837544E-2</v>
      </c>
      <c r="AJ22" s="79">
        <f t="shared" si="21"/>
        <v>1.7869018994149079E-2</v>
      </c>
      <c r="AK22" s="79">
        <f t="shared" si="21"/>
        <v>1.783474819743245E-2</v>
      </c>
      <c r="AL22" s="79">
        <f t="shared" si="21"/>
        <v>1.7800027142031643E-2</v>
      </c>
      <c r="AM22" s="79">
        <f t="shared" si="21"/>
        <v>1.7764885098589586E-2</v>
      </c>
      <c r="AN22" s="79">
        <f t="shared" si="21"/>
        <v>1.7729350412065005E-2</v>
      </c>
      <c r="AO22" s="79">
        <f t="shared" si="21"/>
        <v>1.769345052088394E-2</v>
      </c>
      <c r="AP22" s="79">
        <f t="shared" si="21"/>
        <v>1.7657211976180327E-2</v>
      </c>
      <c r="AQ22" s="79">
        <f t="shared" si="21"/>
        <v>1.7620660461086828E-2</v>
      </c>
      <c r="AR22" s="79">
        <f t="shared" si="21"/>
        <v>1.7583820810035511E-2</v>
      </c>
      <c r="AS22" s="79">
        <f t="shared" si="21"/>
        <v>1.7546717028036736E-2</v>
      </c>
      <c r="AT22" s="79">
        <f t="shared" si="21"/>
        <v>1.7509372309900181E-2</v>
      </c>
      <c r="AU22" s="79">
        <f t="shared" si="21"/>
        <v>1.7471809059371627E-2</v>
      </c>
      <c r="AV22" s="79">
        <f t="shared" si="21"/>
        <v>1.743404890815603E-2</v>
      </c>
      <c r="AW22" s="79">
        <f t="shared" si="21"/>
        <v>1.7396112734802266E-2</v>
      </c>
      <c r="AX22" s="79">
        <f t="shared" si="21"/>
        <v>1.735802068342748E-2</v>
      </c>
      <c r="AY22" s="79">
        <f t="shared" si="21"/>
        <v>1.7319792182259038E-2</v>
      </c>
      <c r="AZ22" s="79">
        <f t="shared" si="21"/>
        <v>1.728144596197578E-2</v>
      </c>
      <c r="BA22" s="79">
        <f t="shared" si="21"/>
        <v>1.7243000073832379E-2</v>
      </c>
      <c r="BB22" s="79">
        <f t="shared" si="21"/>
        <v>1.7204471907550121E-2</v>
      </c>
      <c r="BC22" s="79">
        <f t="shared" si="21"/>
        <v>1.7165878208961725E-2</v>
      </c>
      <c r="BD22" s="79">
        <f t="shared" si="21"/>
        <v>1.7127235097396509E-2</v>
      </c>
      <c r="BE22" s="79">
        <f t="shared" si="21"/>
        <v>1.7088558082797935E-2</v>
      </c>
      <c r="BF22" s="79">
        <f t="shared" si="21"/>
        <v>1.7049862082562192E-2</v>
      </c>
      <c r="BG22" s="79">
        <f t="shared" si="21"/>
        <v>1.7011161438089173E-2</v>
      </c>
      <c r="BH22" s="79">
        <f t="shared" si="21"/>
        <v>1.6972469931042393E-2</v>
      </c>
      <c r="BI22" s="79">
        <f t="shared" si="21"/>
        <v>1.693380079930789E-2</v>
      </c>
      <c r="BJ22" s="79">
        <f t="shared" si="21"/>
        <v>1.6895166752651306E-2</v>
      </c>
      <c r="BK22" s="79">
        <f t="shared" si="21"/>
        <v>1.6856579988066084E-2</v>
      </c>
      <c r="BL22" s="79">
        <f t="shared" si="21"/>
        <v>1.6818052204813052E-2</v>
      </c>
      <c r="BM22" s="79">
        <f t="shared" si="21"/>
        <v>1.6779594619146364E-2</v>
      </c>
      <c r="BN22" s="79">
        <f t="shared" si="21"/>
        <v>1.6741217978727661E-2</v>
      </c>
      <c r="BO22" s="79">
        <f t="shared" si="21"/>
        <v>1.670293257672438E-2</v>
      </c>
      <c r="BP22" s="79">
        <f t="shared" si="21"/>
        <v>1.6664748265596031E-2</v>
      </c>
      <c r="BQ22" s="79">
        <f t="shared" si="21"/>
        <v>1.6626674470566104E-2</v>
      </c>
      <c r="BR22" s="79">
        <f t="shared" si="21"/>
        <v>1.6588720202782743E-2</v>
      </c>
      <c r="BS22" s="79">
        <f t="shared" si="21"/>
        <v>1.6550894072167612E-2</v>
      </c>
      <c r="BT22" s="79">
        <f t="shared" si="20"/>
        <v>1.6513204299959731E-2</v>
      </c>
      <c r="BU22" s="79">
        <f t="shared" si="20"/>
        <v>1.6475658730949933E-2</v>
      </c>
      <c r="BV22" s="79">
        <f t="shared" si="20"/>
        <v>1.6438264845416075E-2</v>
      </c>
      <c r="BW22" s="79">
        <f t="shared" si="20"/>
        <v>1.6401029770756147E-2</v>
      </c>
      <c r="BX22" s="79">
        <f t="shared" si="20"/>
        <v>1.6363960292827873E-2</v>
      </c>
      <c r="BY22" s="79">
        <f t="shared" si="20"/>
        <v>1.6327062866994976E-2</v>
      </c>
      <c r="BZ22" s="79">
        <f t="shared" si="20"/>
        <v>1.6290343628885151E-2</v>
      </c>
      <c r="CA22" s="79">
        <f t="shared" si="20"/>
        <v>1.6253808404866503E-2</v>
      </c>
      <c r="CB22" s="79">
        <f t="shared" si="20"/>
        <v>1.6217462722241748E-2</v>
      </c>
      <c r="CC22" s="79">
        <f t="shared" si="20"/>
        <v>1.6181311819170398E-2</v>
      </c>
      <c r="CD22" s="79">
        <f t="shared" si="20"/>
        <v>1.6145360654319298E-2</v>
      </c>
      <c r="CE22" s="79">
        <f t="shared" si="20"/>
        <v>1.610961391624971E-2</v>
      </c>
      <c r="CF22" s="79">
        <f t="shared" si="20"/>
        <v>1.6074076032541802E-2</v>
      </c>
      <c r="CG22" s="79">
        <f t="shared" si="20"/>
        <v>1.6038751178667831E-2</v>
      </c>
      <c r="CH22" s="79">
        <f t="shared" si="20"/>
        <v>1.6003643286610223E-2</v>
      </c>
      <c r="CI22" s="79">
        <f t="shared" si="20"/>
        <v>1.5968756053240222E-2</v>
      </c>
      <c r="CJ22" s="79">
        <f t="shared" si="20"/>
        <v>1.5934092948452456E-2</v>
      </c>
      <c r="CK22" s="79">
        <f t="shared" si="20"/>
        <v>1.5899657223066507E-2</v>
      </c>
      <c r="CL22" s="79">
        <f t="shared" si="20"/>
        <v>1.5865451916500111E-2</v>
      </c>
      <c r="CM22" s="79">
        <f t="shared" si="20"/>
        <v>1.5831479864215625E-2</v>
      </c>
      <c r="CN22" s="79">
        <f t="shared" si="20"/>
        <v>1.5797743704949407E-2</v>
      </c>
      <c r="CO22" s="79">
        <f t="shared" si="20"/>
        <v>1.5764245887726076E-2</v>
      </c>
      <c r="CP22" s="79">
        <f t="shared" si="20"/>
        <v>1.5730988678664522E-2</v>
      </c>
      <c r="CQ22" s="79">
        <f t="shared" si="20"/>
        <v>1.569797416757918E-2</v>
      </c>
      <c r="CR22" s="79">
        <f t="shared" si="20"/>
        <v>1.5665204274383046E-2</v>
      </c>
      <c r="CS22" s="79">
        <f t="shared" si="20"/>
        <v>1.5632680755296075E-2</v>
      </c>
      <c r="CT22" s="79">
        <f t="shared" si="20"/>
        <v>1.5600405208866207E-2</v>
      </c>
      <c r="CU22" s="79">
        <f t="shared" si="20"/>
        <v>1.5568379081802799E-2</v>
      </c>
      <c r="CV22" s="79">
        <f t="shared" si="20"/>
        <v>1.553660367463483E-2</v>
      </c>
      <c r="CW22" s="79">
        <f t="shared" si="20"/>
        <v>1.5505080147190707E-2</v>
      </c>
      <c r="CX22" s="79">
        <f t="shared" si="20"/>
        <v>1.5473809523909735E-2</v>
      </c>
      <c r="CY22" s="79">
        <f t="shared" si="20"/>
        <v>1.5473809523909735E-2</v>
      </c>
      <c r="CZ22" s="79">
        <f t="shared" si="20"/>
        <v>1.5473809523909735E-2</v>
      </c>
      <c r="DA22" s="79">
        <f t="shared" si="20"/>
        <v>1.5473809523909735E-2</v>
      </c>
      <c r="DB22" s="79">
        <f t="shared" si="20"/>
        <v>1.5473809523909735E-2</v>
      </c>
      <c r="DC22" s="79">
        <f t="shared" si="20"/>
        <v>1.5473809523909735E-2</v>
      </c>
      <c r="DD22" s="79">
        <f t="shared" si="20"/>
        <v>1.5473809523909735E-2</v>
      </c>
      <c r="DE22" s="79">
        <f t="shared" si="20"/>
        <v>1.5473809523909735E-2</v>
      </c>
      <c r="DF22" s="79">
        <f t="shared" si="20"/>
        <v>1.5473809523909735E-2</v>
      </c>
      <c r="DG22" s="79">
        <f t="shared" si="20"/>
        <v>1.5473809523909735E-2</v>
      </c>
      <c r="DH22" s="79">
        <f t="shared" si="20"/>
        <v>1.5473809523909735E-2</v>
      </c>
      <c r="DI22" s="79">
        <f t="shared" si="20"/>
        <v>1.5473809523909735E-2</v>
      </c>
      <c r="DJ22" s="79">
        <f t="shared" si="20"/>
        <v>1.5473809523909735E-2</v>
      </c>
      <c r="DK22" s="79">
        <f t="shared" si="20"/>
        <v>1.5473809523909735E-2</v>
      </c>
      <c r="DL22" s="79">
        <f t="shared" si="20"/>
        <v>1.5473809523909735E-2</v>
      </c>
      <c r="DM22" s="79">
        <f t="shared" si="20"/>
        <v>1.5473809523909735E-2</v>
      </c>
      <c r="DN22" s="79">
        <f t="shared" si="20"/>
        <v>1.5473809523909735E-2</v>
      </c>
      <c r="DO22" s="79">
        <f t="shared" si="20"/>
        <v>1.5473809523909735E-2</v>
      </c>
      <c r="DP22" s="79">
        <f t="shared" si="20"/>
        <v>1.5473809523909735E-2</v>
      </c>
      <c r="DQ22" s="79">
        <f t="shared" si="20"/>
        <v>1.5473809523909735E-2</v>
      </c>
      <c r="DR22" s="79">
        <f t="shared" si="20"/>
        <v>1.5473809523909735E-2</v>
      </c>
      <c r="DS22" s="79">
        <f t="shared" si="20"/>
        <v>1.5473809523909735E-2</v>
      </c>
      <c r="DT22" s="79">
        <f t="shared" si="20"/>
        <v>1.5473809523909735E-2</v>
      </c>
      <c r="DU22" s="79">
        <f t="shared" si="20"/>
        <v>1.5473809523909735E-2</v>
      </c>
      <c r="DV22" s="79">
        <f t="shared" si="20"/>
        <v>1.5473809523909735E-2</v>
      </c>
      <c r="DW22" s="79">
        <f t="shared" si="20"/>
        <v>1.5473809523909735E-2</v>
      </c>
      <c r="DX22" s="79">
        <f t="shared" si="20"/>
        <v>1.5473809523909735E-2</v>
      </c>
      <c r="DY22" s="79">
        <f t="shared" si="20"/>
        <v>1.5473809523909735E-2</v>
      </c>
      <c r="DZ22" s="79">
        <f t="shared" si="20"/>
        <v>1.5473809523909735E-2</v>
      </c>
      <c r="EA22" s="79">
        <f t="shared" si="20"/>
        <v>1.5473809523909735E-2</v>
      </c>
      <c r="EB22" s="79">
        <f t="shared" si="20"/>
        <v>1.5473809523909735E-2</v>
      </c>
      <c r="EC22" s="79">
        <f t="shared" si="20"/>
        <v>1.5473809523909735E-2</v>
      </c>
      <c r="ED22" s="79">
        <f t="shared" si="20"/>
        <v>1.5473809523909735E-2</v>
      </c>
      <c r="EE22" s="79">
        <f t="shared" si="18"/>
        <v>1.5473809523909735E-2</v>
      </c>
      <c r="EF22" s="79">
        <f t="shared" si="14"/>
        <v>1.5473809523909735E-2</v>
      </c>
      <c r="EG22" s="79">
        <f t="shared" si="14"/>
        <v>1.5473809523909735E-2</v>
      </c>
      <c r="EH22" s="79">
        <f t="shared" si="14"/>
        <v>1.5473809523909735E-2</v>
      </c>
      <c r="EI22" s="79">
        <f t="shared" si="14"/>
        <v>1.5473809523909735E-2</v>
      </c>
      <c r="EJ22" s="79">
        <f t="shared" si="14"/>
        <v>1.5473809523909735E-2</v>
      </c>
      <c r="EK22" s="79">
        <f t="shared" si="14"/>
        <v>1.5473809523909735E-2</v>
      </c>
      <c r="EL22" s="79">
        <f t="shared" si="14"/>
        <v>1.5473809523909735E-2</v>
      </c>
      <c r="EM22" s="79">
        <f t="shared" si="14"/>
        <v>1.5473809523909735E-2</v>
      </c>
      <c r="EN22" s="79">
        <f t="shared" si="14"/>
        <v>1.5473809523909735E-2</v>
      </c>
      <c r="EO22" s="79">
        <f t="shared" si="14"/>
        <v>1.5473809523909735E-2</v>
      </c>
      <c r="EP22" s="79">
        <f t="shared" si="14"/>
        <v>1.5473809523909735E-2</v>
      </c>
      <c r="EQ22" s="79">
        <f t="shared" si="14"/>
        <v>1.5473809523909735E-2</v>
      </c>
      <c r="ER22" s="79">
        <f t="shared" si="14"/>
        <v>1.5473809523909735E-2</v>
      </c>
      <c r="ES22" s="79">
        <f t="shared" si="14"/>
        <v>1.5473809523909735E-2</v>
      </c>
      <c r="ET22" s="79">
        <f t="shared" si="14"/>
        <v>1.5473809523909735E-2</v>
      </c>
      <c r="FA22" s="27"/>
      <c r="FF22" s="6" t="s">
        <v>2997</v>
      </c>
      <c r="FG22" s="696">
        <v>2.5000000000000001E-2</v>
      </c>
      <c r="FH22" s="696">
        <v>120</v>
      </c>
      <c r="FI22" s="696">
        <v>1.9599999999999999E-2</v>
      </c>
      <c r="FJ22" s="255">
        <v>1.3500000000000002E-2</v>
      </c>
      <c r="FK22" s="71">
        <f t="shared" si="11"/>
        <v>2.7380952380952383E-4</v>
      </c>
      <c r="FL22" t="e">
        <f>VLOOKUP(FF22,'SIMULADOR COM SALDO'!$BX$22:$CK$1000,13,FALSE)</f>
        <v>#N/A</v>
      </c>
    </row>
    <row r="23" spans="5:168" ht="18" customHeight="1" x14ac:dyDescent="0.25">
      <c r="E23" s="77"/>
      <c r="F23" s="97">
        <f t="shared" si="12"/>
        <v>1.5571428571428573E-2</v>
      </c>
      <c r="G23" s="79">
        <f t="shared" si="6"/>
        <v>1.8498164310566511E-2</v>
      </c>
      <c r="H23" s="79">
        <f t="shared" si="21"/>
        <v>1.8494554951502023E-2</v>
      </c>
      <c r="I23" s="79">
        <f t="shared" si="21"/>
        <v>1.8489232868174624E-2</v>
      </c>
      <c r="J23" s="79">
        <f t="shared" si="21"/>
        <v>1.848225791050331E-2</v>
      </c>
      <c r="K23" s="79">
        <f t="shared" si="21"/>
        <v>1.8473688814901461E-2</v>
      </c>
      <c r="L23" s="79">
        <f t="shared" si="21"/>
        <v>1.8463583189039966E-2</v>
      </c>
      <c r="M23" s="79">
        <f t="shared" si="21"/>
        <v>1.8451997499293517E-2</v>
      </c>
      <c r="N23" s="79">
        <f t="shared" si="21"/>
        <v>1.8438987060736264E-2</v>
      </c>
      <c r="O23" s="79">
        <f t="shared" si="21"/>
        <v>1.8424606029554511E-2</v>
      </c>
      <c r="P23" s="79">
        <f t="shared" si="21"/>
        <v>1.840890739774283E-2</v>
      </c>
      <c r="Q23" s="79">
        <f t="shared" si="21"/>
        <v>1.8391942989954668E-2</v>
      </c>
      <c r="R23" s="79">
        <f t="shared" si="21"/>
        <v>1.8373763462381166E-2</v>
      </c>
      <c r="S23" s="79">
        <f t="shared" si="21"/>
        <v>1.8354418303532231E-2</v>
      </c>
      <c r="T23" s="79">
        <f t="shared" si="21"/>
        <v>1.83339558367994E-2</v>
      </c>
      <c r="U23" s="79">
        <f t="shared" si="21"/>
        <v>1.8312423224683228E-2</v>
      </c>
      <c r="V23" s="79">
        <f t="shared" si="21"/>
        <v>1.8289866474568327E-2</v>
      </c>
      <c r="W23" s="79">
        <f t="shared" si="21"/>
        <v>1.8266330445937434E-2</v>
      </c>
      <c r="X23" s="79">
        <f t="shared" si="21"/>
        <v>1.8241858858917558E-2</v>
      </c>
      <c r="Y23" s="79">
        <f t="shared" si="21"/>
        <v>1.82164943040522E-2</v>
      </c>
      <c r="Z23" s="79">
        <f t="shared" si="21"/>
        <v>1.8190278253204215E-2</v>
      </c>
      <c r="AA23" s="79">
        <f t="shared" si="21"/>
        <v>1.8163251071492328E-2</v>
      </c>
      <c r="AB23" s="79">
        <f t="shared" si="21"/>
        <v>1.8135452030169159E-2</v>
      </c>
      <c r="AC23" s="79">
        <f t="shared" si="21"/>
        <v>1.8106919320356341E-2</v>
      </c>
      <c r="AD23" s="79">
        <f t="shared" si="21"/>
        <v>1.8077690067551253E-2</v>
      </c>
      <c r="AE23" s="79">
        <f t="shared" si="21"/>
        <v>1.8047800346828288E-2</v>
      </c>
      <c r="AF23" s="79">
        <f t="shared" si="21"/>
        <v>1.8017285198657935E-2</v>
      </c>
      <c r="AG23" s="79">
        <f t="shared" si="21"/>
        <v>1.7986178645273621E-2</v>
      </c>
      <c r="AH23" s="79">
        <f t="shared" si="21"/>
        <v>1.7954513707519149E-2</v>
      </c>
      <c r="AI23" s="79">
        <f t="shared" si="21"/>
        <v>1.7922322422110892E-2</v>
      </c>
      <c r="AJ23" s="79">
        <f t="shared" si="21"/>
        <v>1.7889635859258571E-2</v>
      </c>
      <c r="AK23" s="79">
        <f t="shared" si="21"/>
        <v>1.7856484140584217E-2</v>
      </c>
      <c r="AL23" s="79">
        <f t="shared" si="21"/>
        <v>1.7822896457288798E-2</v>
      </c>
      <c r="AM23" s="79">
        <f t="shared" si="21"/>
        <v>1.7788901088515802E-2</v>
      </c>
      <c r="AN23" s="79">
        <f t="shared" si="21"/>
        <v>1.7754525419864879E-2</v>
      </c>
      <c r="AO23" s="79">
        <f t="shared" si="21"/>
        <v>1.7719795962013889E-2</v>
      </c>
      <c r="AP23" s="79">
        <f t="shared" si="21"/>
        <v>1.7684738369406192E-2</v>
      </c>
      <c r="AQ23" s="79">
        <f t="shared" si="21"/>
        <v>1.7649377458967972E-2</v>
      </c>
      <c r="AR23" s="79">
        <f t="shared" si="21"/>
        <v>1.7613737228818923E-2</v>
      </c>
      <c r="AS23" s="79">
        <f t="shared" si="21"/>
        <v>1.7577840876945472E-2</v>
      </c>
      <c r="AT23" s="79">
        <f t="shared" si="21"/>
        <v>1.7541710819805247E-2</v>
      </c>
      <c r="AU23" s="79">
        <f t="shared" si="21"/>
        <v>1.7505368710837344E-2</v>
      </c>
      <c r="AV23" s="79">
        <f t="shared" si="21"/>
        <v>1.746883545885013E-2</v>
      </c>
      <c r="AW23" s="79">
        <f t="shared" si="21"/>
        <v>1.7432131246267392E-2</v>
      </c>
      <c r="AX23" s="79">
        <f t="shared" si="21"/>
        <v>1.7395275547208548E-2</v>
      </c>
      <c r="AY23" s="79">
        <f t="shared" si="21"/>
        <v>1.7358287145385624E-2</v>
      </c>
      <c r="AZ23" s="79">
        <f t="shared" si="21"/>
        <v>1.7321184151799618E-2</v>
      </c>
      <c r="BA23" s="79">
        <f t="shared" si="21"/>
        <v>1.7283984022219475E-2</v>
      </c>
      <c r="BB23" s="79">
        <f t="shared" si="21"/>
        <v>1.7246703574431557E-2</v>
      </c>
      <c r="BC23" s="79">
        <f t="shared" si="21"/>
        <v>1.7209359005246123E-2</v>
      </c>
      <c r="BD23" s="79">
        <f t="shared" si="21"/>
        <v>1.7171965907249717E-2</v>
      </c>
      <c r="BE23" s="79">
        <f t="shared" si="21"/>
        <v>1.7134539285294133E-2</v>
      </c>
      <c r="BF23" s="79">
        <f t="shared" si="21"/>
        <v>1.7097093572714637E-2</v>
      </c>
      <c r="BG23" s="79">
        <f t="shared" si="21"/>
        <v>1.705964264726785E-2</v>
      </c>
      <c r="BH23" s="79">
        <f t="shared" si="21"/>
        <v>1.7022199846785827E-2</v>
      </c>
      <c r="BI23" s="79">
        <f t="shared" si="21"/>
        <v>1.6984777984539123E-2</v>
      </c>
      <c r="BJ23" s="31">
        <f t="shared" si="21"/>
        <v>1.6947389364306533E-2</v>
      </c>
      <c r="BK23" s="79">
        <f t="shared" si="21"/>
        <v>1.6910045795146923E-2</v>
      </c>
      <c r="BL23" s="79">
        <f t="shared" si="21"/>
        <v>1.6872758605870893E-2</v>
      </c>
      <c r="BM23" s="79">
        <f t="shared" si="21"/>
        <v>1.6835538659212231E-2</v>
      </c>
      <c r="BN23" s="79">
        <f t="shared" si="21"/>
        <v>1.679839636569536E-2</v>
      </c>
      <c r="BO23" s="79">
        <f t="shared" si="21"/>
        <v>1.6761341697201636E-2</v>
      </c>
      <c r="BP23" s="79">
        <f t="shared" si="21"/>
        <v>1.672438420023124E-2</v>
      </c>
      <c r="BQ23" s="79">
        <f t="shared" si="21"/>
        <v>1.6687533008865937E-2</v>
      </c>
      <c r="BR23" s="79">
        <f t="shared" si="21"/>
        <v>1.6650796857429578E-2</v>
      </c>
      <c r="BS23" s="79">
        <f t="shared" si="21"/>
        <v>1.6614184092851127E-2</v>
      </c>
      <c r="BT23" s="79">
        <f t="shared" si="20"/>
        <v>1.6577702686730925E-2</v>
      </c>
      <c r="BU23" s="79">
        <f t="shared" si="20"/>
        <v>1.6541360247113397E-2</v>
      </c>
      <c r="BV23" s="79">
        <f t="shared" si="20"/>
        <v>1.6505164029969453E-2</v>
      </c>
      <c r="BW23" s="79">
        <f t="shared" si="20"/>
        <v>1.6469120950390635E-2</v>
      </c>
      <c r="BX23" s="79">
        <f t="shared" si="20"/>
        <v>1.6433237593499173E-2</v>
      </c>
      <c r="BY23" s="79">
        <f t="shared" si="20"/>
        <v>1.639752022507859E-2</v>
      </c>
      <c r="BZ23" s="79">
        <f t="shared" si="20"/>
        <v>1.6361974801926828E-2</v>
      </c>
      <c r="CA23" s="79">
        <f t="shared" si="20"/>
        <v>1.6326606981937827E-2</v>
      </c>
      <c r="CB23" s="79">
        <f t="shared" si="20"/>
        <v>1.6291422133914952E-2</v>
      </c>
      <c r="CC23" s="79">
        <f t="shared" si="20"/>
        <v>1.6256425347120042E-2</v>
      </c>
      <c r="CD23" s="79">
        <f t="shared" si="20"/>
        <v>1.6221621440565867E-2</v>
      </c>
      <c r="CE23" s="79">
        <f t="shared" si="20"/>
        <v>1.6187014972051241E-2</v>
      </c>
      <c r="CF23" s="79">
        <f t="shared" si="20"/>
        <v>1.6152610246949178E-2</v>
      </c>
      <c r="CG23" s="79">
        <f t="shared" si="20"/>
        <v>1.6118411326748287E-2</v>
      </c>
      <c r="CH23" s="79">
        <f t="shared" si="20"/>
        <v>1.60844220373563E-2</v>
      </c>
      <c r="CI23" s="79">
        <f t="shared" si="20"/>
        <v>1.6050645977166791E-2</v>
      </c>
      <c r="CJ23" s="79">
        <f t="shared" si="20"/>
        <v>1.6017086524897483E-2</v>
      </c>
      <c r="CK23" s="79">
        <f t="shared" si="20"/>
        <v>1.5983746847202381E-2</v>
      </c>
      <c r="CL23" s="79">
        <f t="shared" si="20"/>
        <v>1.5950629906064176E-2</v>
      </c>
      <c r="CM23" s="79">
        <f t="shared" si="20"/>
        <v>1.5917738465971727E-2</v>
      </c>
      <c r="CN23" s="79">
        <f t="shared" si="20"/>
        <v>1.5885075100886423E-2</v>
      </c>
      <c r="CO23" s="79">
        <f t="shared" si="20"/>
        <v>1.5852642201005129E-2</v>
      </c>
      <c r="CP23" s="79">
        <f t="shared" si="20"/>
        <v>1.5820441979320261E-2</v>
      </c>
      <c r="CQ23" s="79">
        <f t="shared" si="20"/>
        <v>1.5788476477985355E-2</v>
      </c>
      <c r="CR23" s="79">
        <f t="shared" si="20"/>
        <v>1.5756747574490713E-2</v>
      </c>
      <c r="CS23" s="79">
        <f t="shared" si="20"/>
        <v>1.5725256987650853E-2</v>
      </c>
      <c r="CT23" s="79">
        <f t="shared" si="20"/>
        <v>1.5694006283412248E-2</v>
      </c>
      <c r="CU23" s="79">
        <f t="shared" si="20"/>
        <v>1.5662996880483511E-2</v>
      </c>
      <c r="CV23" s="79">
        <f t="shared" si="20"/>
        <v>1.5632230055792635E-2</v>
      </c>
      <c r="CW23" s="79">
        <f t="shared" si="20"/>
        <v>1.5601706949778169E-2</v>
      </c>
      <c r="CX23" s="79">
        <f t="shared" si="20"/>
        <v>1.5571428571515283E-2</v>
      </c>
      <c r="CY23" s="79">
        <f t="shared" si="20"/>
        <v>1.5571428571515283E-2</v>
      </c>
      <c r="CZ23" s="79">
        <f t="shared" si="20"/>
        <v>1.5571428571515283E-2</v>
      </c>
      <c r="DA23" s="79">
        <f t="shared" si="20"/>
        <v>1.5571428571515283E-2</v>
      </c>
      <c r="DB23" s="79">
        <f t="shared" si="20"/>
        <v>1.5571428571515283E-2</v>
      </c>
      <c r="DC23" s="79">
        <f t="shared" si="20"/>
        <v>1.5571428571515283E-2</v>
      </c>
      <c r="DD23" s="79">
        <f t="shared" si="20"/>
        <v>1.5571428571515283E-2</v>
      </c>
      <c r="DE23" s="79">
        <f t="shared" si="20"/>
        <v>1.5571428571515283E-2</v>
      </c>
      <c r="DF23" s="79">
        <f t="shared" si="20"/>
        <v>1.5571428571515283E-2</v>
      </c>
      <c r="DG23" s="79">
        <f t="shared" si="20"/>
        <v>1.5571428571515283E-2</v>
      </c>
      <c r="DH23" s="79">
        <f t="shared" si="20"/>
        <v>1.5571428571515283E-2</v>
      </c>
      <c r="DI23" s="79">
        <f t="shared" si="20"/>
        <v>1.5571428571515283E-2</v>
      </c>
      <c r="DJ23" s="79">
        <f t="shared" si="20"/>
        <v>1.5571428571515283E-2</v>
      </c>
      <c r="DK23" s="79">
        <f t="shared" si="20"/>
        <v>1.5571428571515283E-2</v>
      </c>
      <c r="DL23" s="79">
        <f t="shared" si="20"/>
        <v>1.5571428571515283E-2</v>
      </c>
      <c r="DM23" s="79">
        <f t="shared" si="20"/>
        <v>1.5571428571515283E-2</v>
      </c>
      <c r="DN23" s="79">
        <f t="shared" si="20"/>
        <v>1.5571428571515283E-2</v>
      </c>
      <c r="DO23" s="79">
        <f t="shared" si="20"/>
        <v>1.5571428571515283E-2</v>
      </c>
      <c r="DP23" s="79">
        <f t="shared" si="20"/>
        <v>1.5571428571515283E-2</v>
      </c>
      <c r="DQ23" s="79">
        <f t="shared" si="20"/>
        <v>1.5571428571515283E-2</v>
      </c>
      <c r="DR23" s="79">
        <f t="shared" si="20"/>
        <v>1.5571428571515283E-2</v>
      </c>
      <c r="DS23" s="79">
        <f t="shared" si="20"/>
        <v>1.5571428571515283E-2</v>
      </c>
      <c r="DT23" s="79">
        <f t="shared" si="20"/>
        <v>1.5571428571515283E-2</v>
      </c>
      <c r="DU23" s="79">
        <f t="shared" si="20"/>
        <v>1.5571428571515283E-2</v>
      </c>
      <c r="DV23" s="79">
        <f t="shared" si="20"/>
        <v>1.5571428571515283E-2</v>
      </c>
      <c r="DW23" s="79">
        <f t="shared" si="20"/>
        <v>1.5571428571515283E-2</v>
      </c>
      <c r="DX23" s="79">
        <f t="shared" si="20"/>
        <v>1.5571428571515283E-2</v>
      </c>
      <c r="DY23" s="79">
        <f t="shared" si="20"/>
        <v>1.5571428571515283E-2</v>
      </c>
      <c r="DZ23" s="79">
        <f t="shared" si="20"/>
        <v>1.5571428571515283E-2</v>
      </c>
      <c r="EA23" s="79">
        <f t="shared" si="20"/>
        <v>1.5571428571515283E-2</v>
      </c>
      <c r="EB23" s="79">
        <f t="shared" si="20"/>
        <v>1.5571428571515283E-2</v>
      </c>
      <c r="EC23" s="79">
        <f t="shared" si="20"/>
        <v>1.5571428571515283E-2</v>
      </c>
      <c r="ED23" s="79">
        <f t="shared" si="20"/>
        <v>1.5571428571515283E-2</v>
      </c>
      <c r="EE23" s="79">
        <f t="shared" si="18"/>
        <v>1.5571428571515283E-2</v>
      </c>
      <c r="EF23" s="79">
        <f t="shared" si="14"/>
        <v>1.5571428571515283E-2</v>
      </c>
      <c r="EG23" s="79">
        <f t="shared" si="14"/>
        <v>1.5571428571515283E-2</v>
      </c>
      <c r="EH23" s="79">
        <f t="shared" si="14"/>
        <v>1.5571428571515283E-2</v>
      </c>
      <c r="EI23" s="79">
        <f t="shared" si="14"/>
        <v>1.5571428571515283E-2</v>
      </c>
      <c r="EJ23" s="79">
        <f t="shared" si="14"/>
        <v>1.5571428571515283E-2</v>
      </c>
      <c r="EK23" s="79">
        <f t="shared" si="14"/>
        <v>1.5571428571515283E-2</v>
      </c>
      <c r="EL23" s="79">
        <f t="shared" si="14"/>
        <v>1.5571428571515283E-2</v>
      </c>
      <c r="EM23" s="79">
        <f t="shared" si="14"/>
        <v>1.5571428571515283E-2</v>
      </c>
      <c r="EN23" s="79">
        <f t="shared" si="14"/>
        <v>1.5571428571515283E-2</v>
      </c>
      <c r="EO23" s="79">
        <f t="shared" si="14"/>
        <v>1.5571428571515283E-2</v>
      </c>
      <c r="EP23" s="79">
        <f t="shared" si="14"/>
        <v>1.5571428571515283E-2</v>
      </c>
      <c r="EQ23" s="79">
        <f t="shared" si="14"/>
        <v>1.5571428571515283E-2</v>
      </c>
      <c r="ER23" s="79">
        <f t="shared" si="14"/>
        <v>1.5571428571515283E-2</v>
      </c>
      <c r="ES23" s="79">
        <f t="shared" si="14"/>
        <v>1.5571428571515283E-2</v>
      </c>
      <c r="ET23" s="79">
        <f t="shared" si="14"/>
        <v>1.5571428571515283E-2</v>
      </c>
      <c r="FA23" s="27"/>
      <c r="FF23" s="6" t="s">
        <v>2998</v>
      </c>
      <c r="FG23" s="696">
        <v>1.7500000000000002E-2</v>
      </c>
      <c r="FH23" s="696">
        <v>96</v>
      </c>
      <c r="FI23" s="696">
        <v>1.6799999999999999E-2</v>
      </c>
      <c r="FJ23" s="255">
        <v>1.3999999999999999E-2</v>
      </c>
      <c r="FK23" s="71">
        <f t="shared" si="11"/>
        <v>8.3333333333333412E-5</v>
      </c>
      <c r="FL23" t="e">
        <f>VLOOKUP(FF23,'SIMULADOR COM SALDO'!$BX$22:$CK$1000,13,FALSE)</f>
        <v>#N/A</v>
      </c>
    </row>
    <row r="24" spans="5:168" ht="18" customHeight="1" x14ac:dyDescent="0.25">
      <c r="E24" s="77"/>
      <c r="F24" s="97">
        <f t="shared" si="12"/>
        <v>1.5669047619047621E-2</v>
      </c>
      <c r="G24" s="79">
        <f t="shared" si="6"/>
        <v>1.8498225667829167E-2</v>
      </c>
      <c r="H24" s="79">
        <f t="shared" si="21"/>
        <v>1.849473710104968E-2</v>
      </c>
      <c r="I24" s="79">
        <f t="shared" si="21"/>
        <v>1.8489593335006053E-2</v>
      </c>
      <c r="J24" s="79">
        <f t="shared" si="21"/>
        <v>1.8482852324477057E-2</v>
      </c>
      <c r="K24" s="79">
        <f t="shared" si="21"/>
        <v>1.8474570928089042E-2</v>
      </c>
      <c r="L24" s="79">
        <f t="shared" si="21"/>
        <v>1.8464804895355746E-2</v>
      </c>
      <c r="M24" s="79">
        <f t="shared" si="21"/>
        <v>1.8453608856216455E-2</v>
      </c>
      <c r="N24" s="79">
        <f t="shared" si="21"/>
        <v>1.8441036312944373E-2</v>
      </c>
      <c r="O24" s="79">
        <f t="shared" si="21"/>
        <v>1.842713963429762E-2</v>
      </c>
      <c r="P24" s="79">
        <f t="shared" si="21"/>
        <v>1.8411970051787383E-2</v>
      </c>
      <c r="Q24" s="79">
        <f t="shared" si="21"/>
        <v>1.8395577657942263E-2</v>
      </c>
      <c r="R24" s="79">
        <f t="shared" si="21"/>
        <v>1.8378011406446002E-2</v>
      </c>
      <c r="S24" s="79">
        <f t="shared" si="21"/>
        <v>1.8359319114033702E-2</v>
      </c>
      <c r="T24" s="79">
        <f t="shared" si="21"/>
        <v>1.8339547464030742E-2</v>
      </c>
      <c r="U24" s="79">
        <f t="shared" si="21"/>
        <v>1.8318742011422747E-2</v>
      </c>
      <c r="V24" s="79">
        <f t="shared" si="21"/>
        <v>1.8296947189352163E-2</v>
      </c>
      <c r="W24" s="79">
        <f t="shared" si="21"/>
        <v>1.8274206316932797E-2</v>
      </c>
      <c r="X24" s="79">
        <f t="shared" si="21"/>
        <v>1.8250561608286579E-2</v>
      </c>
      <c r="Y24" s="79">
        <f t="shared" si="21"/>
        <v>1.8226054182703105E-2</v>
      </c>
      <c r="Z24" s="79">
        <f t="shared" si="21"/>
        <v>1.8200724075830545E-2</v>
      </c>
      <c r="AA24" s="79">
        <f t="shared" si="21"/>
        <v>1.817461025180862E-2</v>
      </c>
      <c r="AB24" s="79">
        <f t="shared" si="21"/>
        <v>1.8147750616259534E-2</v>
      </c>
      <c r="AC24" s="79">
        <f t="shared" si="21"/>
        <v>1.8120182030053882E-2</v>
      </c>
      <c r="AD24" s="79">
        <f t="shared" si="21"/>
        <v>1.809194032377686E-2</v>
      </c>
      <c r="AE24" s="79">
        <f t="shared" si="21"/>
        <v>1.8063060312819491E-2</v>
      </c>
      <c r="AF24" s="79">
        <f t="shared" si="21"/>
        <v>1.803357581302489E-2</v>
      </c>
      <c r="AG24" s="79">
        <f t="shared" si="21"/>
        <v>1.8003519656825652E-2</v>
      </c>
      <c r="AH24" s="79">
        <f t="shared" si="21"/>
        <v>1.7972923709806757E-2</v>
      </c>
      <c r="AI24" s="79">
        <f t="shared" si="21"/>
        <v>1.794181888763783E-2</v>
      </c>
      <c r="AJ24" s="79">
        <f t="shared" si="21"/>
        <v>1.7910235173317694E-2</v>
      </c>
      <c r="AK24" s="79">
        <f t="shared" si="21"/>
        <v>1.7878201634678542E-2</v>
      </c>
      <c r="AL24" s="79">
        <f t="shared" si="21"/>
        <v>1.7845746442102392E-2</v>
      </c>
      <c r="AM24" s="79">
        <f t="shared" si="21"/>
        <v>1.7812896886402033E-2</v>
      </c>
      <c r="AN24" s="79">
        <f t="shared" si="21"/>
        <v>1.7779679396824389E-2</v>
      </c>
      <c r="AO24" s="79">
        <f t="shared" si="21"/>
        <v>1.7746119559136443E-2</v>
      </c>
      <c r="AP24" s="79">
        <f t="shared" si="21"/>
        <v>1.7712242133755697E-2</v>
      </c>
      <c r="AQ24" s="79">
        <f t="shared" si="21"/>
        <v>1.7678071073890848E-2</v>
      </c>
      <c r="AR24" s="79">
        <f t="shared" si="21"/>
        <v>1.7643629543660291E-2</v>
      </c>
      <c r="AS24" s="79">
        <f t="shared" si="21"/>
        <v>1.7608939936159956E-2</v>
      </c>
      <c r="AT24" s="79">
        <f t="shared" si="21"/>
        <v>1.7574023891450487E-2</v>
      </c>
      <c r="AU24" s="79">
        <f t="shared" si="21"/>
        <v>1.7538902314441975E-2</v>
      </c>
      <c r="AV24" s="79">
        <f t="shared" si="21"/>
        <v>1.7503595392649996E-2</v>
      </c>
      <c r="AW24" s="79">
        <f t="shared" si="21"/>
        <v>1.7468122613803837E-2</v>
      </c>
      <c r="AX24" s="79">
        <f t="shared" si="21"/>
        <v>1.7432502783287111E-2</v>
      </c>
      <c r="AY24" s="79">
        <f t="shared" si="21"/>
        <v>1.7396754041393743E-2</v>
      </c>
      <c r="AZ24" s="79">
        <f t="shared" si="21"/>
        <v>1.7360893880381697E-2</v>
      </c>
      <c r="BA24" s="79">
        <f t="shared" si="21"/>
        <v>1.7324939161313536E-2</v>
      </c>
      <c r="BB24" s="79">
        <f t="shared" si="21"/>
        <v>1.7288906130668604E-2</v>
      </c>
      <c r="BC24" s="79">
        <f t="shared" si="21"/>
        <v>1.7252810436715844E-2</v>
      </c>
      <c r="BD24" s="79">
        <f t="shared" si="21"/>
        <v>1.7216667145639599E-2</v>
      </c>
      <c r="BE24" s="79">
        <f t="shared" si="21"/>
        <v>1.7180490757405385E-2</v>
      </c>
      <c r="BF24" s="79">
        <f t="shared" si="21"/>
        <v>1.7144295221363706E-2</v>
      </c>
      <c r="BG24" s="79">
        <f t="shared" si="21"/>
        <v>1.7108093951580243E-2</v>
      </c>
      <c r="BH24" s="79">
        <f t="shared" si="21"/>
        <v>1.7071899841890486E-2</v>
      </c>
      <c r="BI24" s="79">
        <f t="shared" si="21"/>
        <v>1.7035725280672685E-2</v>
      </c>
      <c r="BJ24" s="31">
        <f t="shared" si="21"/>
        <v>1.6999582165336407E-2</v>
      </c>
      <c r="BK24" s="79">
        <f t="shared" si="21"/>
        <v>1.696348191652329E-2</v>
      </c>
      <c r="BL24" s="79">
        <f t="shared" si="21"/>
        <v>1.6927435492018118E-2</v>
      </c>
      <c r="BM24" s="79">
        <f t="shared" si="21"/>
        <v>1.6891453400369436E-2</v>
      </c>
      <c r="BN24" s="79">
        <f t="shared" si="21"/>
        <v>1.6855545714218548E-2</v>
      </c>
      <c r="BO24" s="79">
        <f t="shared" si="21"/>
        <v>1.6819722083336094E-2</v>
      </c>
      <c r="BP24" s="79">
        <f t="shared" si="21"/>
        <v>1.6783991747369425E-2</v>
      </c>
      <c r="BQ24" s="79">
        <f t="shared" si="21"/>
        <v>1.6748363548297205E-2</v>
      </c>
      <c r="BR24" s="79">
        <f t="shared" si="21"/>
        <v>1.6712845942598226E-2</v>
      </c>
      <c r="BS24" s="79">
        <f t="shared" ref="BS24:ED27" si="22">IF(BS$9&lt;=$K$6,RATE($K$6,1,BS70,0),"")</f>
        <v>1.6677447013131071E-2</v>
      </c>
      <c r="BT24" s="79">
        <f t="shared" si="22"/>
        <v>1.664217448073026E-2</v>
      </c>
      <c r="BU24" s="79">
        <f t="shared" si="22"/>
        <v>1.6607035715520271E-2</v>
      </c>
      <c r="BV24" s="79">
        <f t="shared" si="22"/>
        <v>1.6572037747950297E-2</v>
      </c>
      <c r="BW24" s="79">
        <f t="shared" si="22"/>
        <v>1.6537187279553299E-2</v>
      </c>
      <c r="BX24" s="79">
        <f t="shared" si="22"/>
        <v>1.6502490693432126E-2</v>
      </c>
      <c r="BY24" s="79">
        <f t="shared" si="22"/>
        <v>1.6467954064477073E-2</v>
      </c>
      <c r="BZ24" s="79">
        <f t="shared" si="22"/>
        <v>1.6433583169318644E-2</v>
      </c>
      <c r="CA24" s="79">
        <f t="shared" si="22"/>
        <v>1.6399383496018591E-2</v>
      </c>
      <c r="CB24" s="79">
        <f t="shared" si="22"/>
        <v>1.6365360253504758E-2</v>
      </c>
      <c r="CC24" s="79">
        <f t="shared" si="22"/>
        <v>1.6331518380752686E-2</v>
      </c>
      <c r="CD24" s="79">
        <f t="shared" si="22"/>
        <v>1.6297862555719973E-2</v>
      </c>
      <c r="CE24" s="79">
        <f t="shared" si="22"/>
        <v>1.6264397204036191E-2</v>
      </c>
      <c r="CF24" s="79">
        <f t="shared" si="22"/>
        <v>1.6231126507453821E-2</v>
      </c>
      <c r="CG24" s="79">
        <f t="shared" si="22"/>
        <v>1.6198054412065004E-2</v>
      </c>
      <c r="CH24" s="79">
        <f t="shared" si="22"/>
        <v>1.6165184636288202E-2</v>
      </c>
      <c r="CI24" s="79">
        <f t="shared" si="22"/>
        <v>1.6132520678630028E-2</v>
      </c>
      <c r="CJ24" s="79">
        <f t="shared" si="22"/>
        <v>1.6100065825226301E-2</v>
      </c>
      <c r="CK24" s="79">
        <f t="shared" si="22"/>
        <v>1.6067823157167885E-2</v>
      </c>
      <c r="CL24" s="79">
        <f t="shared" si="22"/>
        <v>1.6035795557615831E-2</v>
      </c>
      <c r="CM24" s="79">
        <f t="shared" si="22"/>
        <v>1.6003985718709292E-2</v>
      </c>
      <c r="CN24" s="79">
        <f t="shared" si="22"/>
        <v>1.5972396148273314E-2</v>
      </c>
      <c r="CO24" s="79">
        <f t="shared" si="22"/>
        <v>1.5941029176328756E-2</v>
      </c>
      <c r="CP24" s="79">
        <f t="shared" si="22"/>
        <v>1.5909886961410935E-2</v>
      </c>
      <c r="CQ24" s="79">
        <f t="shared" si="22"/>
        <v>1.587897149670044E-2</v>
      </c>
      <c r="CR24" s="79">
        <f t="shared" si="22"/>
        <v>1.5848284615970931E-2</v>
      </c>
      <c r="CS24" s="79">
        <f t="shared" si="22"/>
        <v>1.5817827999358079E-2</v>
      </c>
      <c r="CT24" s="79">
        <f t="shared" si="22"/>
        <v>1.5787603178956146E-2</v>
      </c>
      <c r="CU24" s="79">
        <f t="shared" si="22"/>
        <v>1.5757611544242517E-2</v>
      </c>
      <c r="CV24" s="79">
        <f t="shared" si="22"/>
        <v>1.5727854347340059E-2</v>
      </c>
      <c r="CW24" s="79">
        <f t="shared" si="22"/>
        <v>1.5698332708115284E-2</v>
      </c>
      <c r="CX24" s="79">
        <f t="shared" si="22"/>
        <v>1.5669047619122779E-2</v>
      </c>
      <c r="CY24" s="79">
        <f t="shared" si="22"/>
        <v>1.5669047619122779E-2</v>
      </c>
      <c r="CZ24" s="79">
        <f t="shared" si="22"/>
        <v>1.5669047619122779E-2</v>
      </c>
      <c r="DA24" s="79">
        <f t="shared" si="22"/>
        <v>1.5669047619122779E-2</v>
      </c>
      <c r="DB24" s="79">
        <f t="shared" si="22"/>
        <v>1.5669047619122779E-2</v>
      </c>
      <c r="DC24" s="79">
        <f t="shared" si="22"/>
        <v>1.5669047619122779E-2</v>
      </c>
      <c r="DD24" s="79">
        <f t="shared" si="22"/>
        <v>1.5669047619122779E-2</v>
      </c>
      <c r="DE24" s="79">
        <f t="shared" si="22"/>
        <v>1.5669047619122779E-2</v>
      </c>
      <c r="DF24" s="79">
        <f t="shared" si="22"/>
        <v>1.5669047619122779E-2</v>
      </c>
      <c r="DG24" s="79">
        <f t="shared" si="22"/>
        <v>1.5669047619122779E-2</v>
      </c>
      <c r="DH24" s="79">
        <f t="shared" si="22"/>
        <v>1.5669047619122779E-2</v>
      </c>
      <c r="DI24" s="79">
        <f t="shared" si="22"/>
        <v>1.5669047619122779E-2</v>
      </c>
      <c r="DJ24" s="79">
        <f t="shared" si="22"/>
        <v>1.5669047619122779E-2</v>
      </c>
      <c r="DK24" s="79">
        <f t="shared" si="22"/>
        <v>1.5669047619122779E-2</v>
      </c>
      <c r="DL24" s="79">
        <f t="shared" si="22"/>
        <v>1.5669047619122779E-2</v>
      </c>
      <c r="DM24" s="79">
        <f t="shared" si="22"/>
        <v>1.5669047619122779E-2</v>
      </c>
      <c r="DN24" s="79">
        <f t="shared" si="22"/>
        <v>1.5669047619122779E-2</v>
      </c>
      <c r="DO24" s="79">
        <f t="shared" si="22"/>
        <v>1.5669047619122779E-2</v>
      </c>
      <c r="DP24" s="79">
        <f t="shared" si="22"/>
        <v>1.5669047619122779E-2</v>
      </c>
      <c r="DQ24" s="79">
        <f t="shared" si="22"/>
        <v>1.5669047619122779E-2</v>
      </c>
      <c r="DR24" s="79">
        <f t="shared" si="22"/>
        <v>1.5669047619122779E-2</v>
      </c>
      <c r="DS24" s="79">
        <f t="shared" si="22"/>
        <v>1.5669047619122779E-2</v>
      </c>
      <c r="DT24" s="79">
        <f t="shared" si="22"/>
        <v>1.5669047619122779E-2</v>
      </c>
      <c r="DU24" s="79">
        <f t="shared" si="22"/>
        <v>1.5669047619122779E-2</v>
      </c>
      <c r="DV24" s="79">
        <f t="shared" si="22"/>
        <v>1.5669047619122779E-2</v>
      </c>
      <c r="DW24" s="79">
        <f t="shared" si="22"/>
        <v>1.5669047619122779E-2</v>
      </c>
      <c r="DX24" s="79">
        <f t="shared" si="22"/>
        <v>1.5669047619122779E-2</v>
      </c>
      <c r="DY24" s="79">
        <f t="shared" si="22"/>
        <v>1.5669047619122779E-2</v>
      </c>
      <c r="DZ24" s="79">
        <f t="shared" si="22"/>
        <v>1.5669047619122779E-2</v>
      </c>
      <c r="EA24" s="79">
        <f t="shared" si="22"/>
        <v>1.5669047619122779E-2</v>
      </c>
      <c r="EB24" s="79">
        <f t="shared" si="22"/>
        <v>1.5669047619122779E-2</v>
      </c>
      <c r="EC24" s="79">
        <f t="shared" si="22"/>
        <v>1.5669047619122779E-2</v>
      </c>
      <c r="ED24" s="79">
        <f t="shared" si="22"/>
        <v>1.5669047619122779E-2</v>
      </c>
      <c r="EE24" s="79">
        <f t="shared" si="18"/>
        <v>1.5669047619122779E-2</v>
      </c>
      <c r="EF24" s="79">
        <f t="shared" si="14"/>
        <v>1.5669047619122779E-2</v>
      </c>
      <c r="EG24" s="79">
        <f t="shared" si="14"/>
        <v>1.5669047619122779E-2</v>
      </c>
      <c r="EH24" s="79">
        <f t="shared" si="14"/>
        <v>1.5669047619122779E-2</v>
      </c>
      <c r="EI24" s="79">
        <f t="shared" si="14"/>
        <v>1.5669047619122779E-2</v>
      </c>
      <c r="EJ24" s="79">
        <f t="shared" si="14"/>
        <v>1.5669047619122779E-2</v>
      </c>
      <c r="EK24" s="79">
        <f t="shared" si="14"/>
        <v>1.5669047619122779E-2</v>
      </c>
      <c r="EL24" s="79">
        <f t="shared" si="14"/>
        <v>1.5669047619122779E-2</v>
      </c>
      <c r="EM24" s="79">
        <f t="shared" si="14"/>
        <v>1.5669047619122779E-2</v>
      </c>
      <c r="EN24" s="79">
        <f t="shared" si="14"/>
        <v>1.5669047619122779E-2</v>
      </c>
      <c r="EO24" s="79">
        <f t="shared" si="14"/>
        <v>1.5669047619122779E-2</v>
      </c>
      <c r="EP24" s="79">
        <f t="shared" si="14"/>
        <v>1.5669047619122779E-2</v>
      </c>
      <c r="EQ24" s="79">
        <f t="shared" si="14"/>
        <v>1.5669047619122779E-2</v>
      </c>
      <c r="ER24" s="79">
        <f t="shared" si="14"/>
        <v>1.5669047619122779E-2</v>
      </c>
      <c r="ES24" s="79">
        <f t="shared" si="14"/>
        <v>1.5669047619122779E-2</v>
      </c>
      <c r="ET24" s="79">
        <f t="shared" si="14"/>
        <v>1.5669047619122779E-2</v>
      </c>
      <c r="FA24" s="27"/>
      <c r="FF24" s="67" t="s">
        <v>72</v>
      </c>
      <c r="FG24" s="696">
        <v>2.1600000000000001E-2</v>
      </c>
      <c r="FH24" s="696">
        <v>96</v>
      </c>
      <c r="FI24" s="696">
        <v>1.66E-2</v>
      </c>
      <c r="FJ24" s="255">
        <v>1.34E-2</v>
      </c>
      <c r="FK24" s="71">
        <f t="shared" si="11"/>
        <v>1.9523809523809525E-4</v>
      </c>
      <c r="FL24" t="e">
        <f>VLOOKUP(FF24,'SIMULADOR COM SALDO'!$BX$22:$CK$1000,13,FALSE)</f>
        <v>#N/A</v>
      </c>
    </row>
    <row r="25" spans="5:168" ht="18" customHeight="1" x14ac:dyDescent="0.25">
      <c r="E25" s="77"/>
      <c r="F25" s="97">
        <f t="shared" si="12"/>
        <v>1.5766666666666668E-2</v>
      </c>
      <c r="G25" s="79">
        <f t="shared" si="6"/>
        <v>1.8498287013501612E-2</v>
      </c>
      <c r="H25" s="79">
        <f t="shared" ref="H25:BS28" si="23">IF(H$9&lt;=$K$6,RATE($K$6,1,H71,0),"")</f>
        <v>1.8494919205768564E-2</v>
      </c>
      <c r="I25" s="79">
        <f t="shared" si="23"/>
        <v>1.84899536936807E-2</v>
      </c>
      <c r="J25" s="79">
        <f t="shared" si="23"/>
        <v>1.8483446529924646E-2</v>
      </c>
      <c r="K25" s="79">
        <f t="shared" si="23"/>
        <v>1.8475452689753931E-2</v>
      </c>
      <c r="L25" s="79">
        <f t="shared" si="23"/>
        <v>1.8466026060189916E-2</v>
      </c>
      <c r="M25" s="79">
        <f t="shared" si="23"/>
        <v>1.8455219431539355E-2</v>
      </c>
      <c r="N25" s="79">
        <f t="shared" si="23"/>
        <v>1.8443084491108323E-2</v>
      </c>
      <c r="O25" s="79">
        <f t="shared" si="23"/>
        <v>1.8429671818990145E-2</v>
      </c>
      <c r="P25" s="79">
        <f t="shared" si="23"/>
        <v>1.8415030885811385E-2</v>
      </c>
      <c r="Q25" s="79">
        <f t="shared" si="23"/>
        <v>1.8399210052317174E-2</v>
      </c>
      <c r="R25" s="79">
        <f t="shared" si="23"/>
        <v>1.838225657068553E-2</v>
      </c>
      <c r="S25" s="79">
        <f t="shared" si="23"/>
        <v>1.8364216587456787E-2</v>
      </c>
      <c r="T25" s="79">
        <f t="shared" si="23"/>
        <v>1.834513514797401E-2</v>
      </c>
      <c r="U25" s="79">
        <f t="shared" si="23"/>
        <v>1.8325056202228289E-2</v>
      </c>
      <c r="V25" s="79">
        <f t="shared" si="23"/>
        <v>1.8304022612008784E-2</v>
      </c>
      <c r="W25" s="79">
        <f t="shared" si="23"/>
        <v>1.8282076159260363E-2</v>
      </c>
      <c r="X25" s="79">
        <f t="shared" si="23"/>
        <v>1.8259257555554582E-2</v>
      </c>
      <c r="Y25" s="79">
        <f t="shared" si="23"/>
        <v>1.8235606452585571E-2</v>
      </c>
      <c r="Z25" s="79">
        <f t="shared" si="23"/>
        <v>1.8211161453601802E-2</v>
      </c>
      <c r="AA25" s="79">
        <f t="shared" si="23"/>
        <v>1.8185960125693942E-2</v>
      </c>
      <c r="AB25" s="79">
        <f t="shared" si="23"/>
        <v>1.8160039012858054E-2</v>
      </c>
      <c r="AC25" s="79">
        <f t="shared" si="23"/>
        <v>1.8133433649758817E-2</v>
      </c>
      <c r="AD25" s="79">
        <f t="shared" si="23"/>
        <v>1.8106178576121911E-2</v>
      </c>
      <c r="AE25" s="79">
        <f t="shared" si="23"/>
        <v>1.8078307351687032E-2</v>
      </c>
      <c r="AF25" s="79">
        <f t="shared" si="23"/>
        <v>1.8049852571656404E-2</v>
      </c>
      <c r="AG25" s="79">
        <f t="shared" si="23"/>
        <v>1.8020845882578608E-2</v>
      </c>
      <c r="AH25" s="79">
        <f t="shared" si="23"/>
        <v>1.7991317998608994E-2</v>
      </c>
      <c r="AI25" s="79">
        <f t="shared" si="23"/>
        <v>1.7961298718092593E-2</v>
      </c>
      <c r="AJ25" s="79">
        <f t="shared" si="23"/>
        <v>1.7930816940417996E-2</v>
      </c>
      <c r="AK25" s="79">
        <f t="shared" si="23"/>
        <v>1.7899900683094723E-2</v>
      </c>
      <c r="AL25" s="79">
        <f t="shared" si="23"/>
        <v>1.7868577099007285E-2</v>
      </c>
      <c r="AM25" s="79">
        <f t="shared" si="23"/>
        <v>1.7836872493805063E-2</v>
      </c>
      <c r="AN25" s="79">
        <f t="shared" si="23"/>
        <v>1.7804812343388009E-2</v>
      </c>
      <c r="AO25" s="79">
        <f t="shared" si="23"/>
        <v>1.7772421311450827E-2</v>
      </c>
      <c r="AP25" s="79">
        <f t="shared" si="23"/>
        <v>1.7739723267051456E-2</v>
      </c>
      <c r="AQ25" s="79">
        <f t="shared" si="23"/>
        <v>1.7706741302172927E-2</v>
      </c>
      <c r="AR25" s="79">
        <f t="shared" si="23"/>
        <v>1.7673497749247993E-2</v>
      </c>
      <c r="AS25" s="79">
        <f t="shared" si="23"/>
        <v>1.7640014198619724E-2</v>
      </c>
      <c r="AT25" s="79">
        <f t="shared" si="23"/>
        <v>1.7606311515913096E-2</v>
      </c>
      <c r="AU25" s="79">
        <f t="shared" si="23"/>
        <v>1.7572409859293855E-2</v>
      </c>
      <c r="AV25" s="79">
        <f t="shared" si="23"/>
        <v>1.7538328696595704E-2</v>
      </c>
      <c r="AW25" s="79">
        <f t="shared" si="23"/>
        <v>1.7504086822292854E-2</v>
      </c>
      <c r="AX25" s="79">
        <f t="shared" si="23"/>
        <v>1.7469702374304466E-2</v>
      </c>
      <c r="AY25" s="79">
        <f t="shared" si="23"/>
        <v>1.7435192850611611E-2</v>
      </c>
      <c r="AZ25" s="79">
        <f t="shared" si="23"/>
        <v>1.740057512567578E-2</v>
      </c>
      <c r="BA25" s="79">
        <f t="shared" si="23"/>
        <v>1.7365865466642632E-2</v>
      </c>
      <c r="BB25" s="79">
        <f t="shared" si="23"/>
        <v>1.7331079549322878E-2</v>
      </c>
      <c r="BC25" s="79">
        <f t="shared" si="23"/>
        <v>1.7296232473937544E-2</v>
      </c>
      <c r="BD25" s="79">
        <f t="shared" si="23"/>
        <v>1.726133878062007E-2</v>
      </c>
      <c r="BE25" s="79">
        <f t="shared" si="23"/>
        <v>1.722641246466762E-2</v>
      </c>
      <c r="BF25" s="79">
        <f t="shared" si="23"/>
        <v>1.7191466991533677E-2</v>
      </c>
      <c r="BG25" s="79">
        <f t="shared" si="23"/>
        <v>1.7156515311557315E-2</v>
      </c>
      <c r="BH25" s="79">
        <f t="shared" si="23"/>
        <v>1.7121569874424713E-2</v>
      </c>
      <c r="BI25" s="79">
        <f t="shared" si="23"/>
        <v>1.7086642643357196E-2</v>
      </c>
      <c r="BJ25" s="31">
        <f t="shared" si="23"/>
        <v>1.7051745109024196E-2</v>
      </c>
      <c r="BK25" s="79">
        <f t="shared" si="23"/>
        <v>1.7016888303179892E-2</v>
      </c>
      <c r="BL25" s="79">
        <f t="shared" si="23"/>
        <v>1.6982082812018486E-2</v>
      </c>
      <c r="BM25" s="79">
        <f t="shared" si="23"/>
        <v>1.6947338789250848E-2</v>
      </c>
      <c r="BN25" s="79">
        <f t="shared" si="23"/>
        <v>1.6912665968898913E-2</v>
      </c>
      <c r="BO25" s="79">
        <f t="shared" si="23"/>
        <v>1.6878073677811117E-2</v>
      </c>
      <c r="BP25" s="79">
        <f t="shared" si="23"/>
        <v>1.6843570847896665E-2</v>
      </c>
      <c r="BQ25" s="79">
        <f t="shared" si="23"/>
        <v>1.680916602808178E-2</v>
      </c>
      <c r="BR25" s="79">
        <f t="shared" si="23"/>
        <v>1.6774867395988012E-2</v>
      </c>
      <c r="BS25" s="79">
        <f t="shared" si="23"/>
        <v>1.6740682769336601E-2</v>
      </c>
      <c r="BT25" s="79">
        <f t="shared" si="22"/>
        <v>1.6706619617077336E-2</v>
      </c>
      <c r="BU25" s="79">
        <f t="shared" si="22"/>
        <v>1.6672685070249882E-2</v>
      </c>
      <c r="BV25" s="79">
        <f t="shared" si="22"/>
        <v>1.6638885932575093E-2</v>
      </c>
      <c r="BW25" s="79">
        <f t="shared" si="22"/>
        <v>1.6605228690783458E-2</v>
      </c>
      <c r="BX25" s="79">
        <f t="shared" si="22"/>
        <v>1.6571719524680995E-2</v>
      </c>
      <c r="BY25" s="79">
        <f t="shared" si="22"/>
        <v>1.6538364316959195E-2</v>
      </c>
      <c r="BZ25" s="79">
        <f t="shared" si="22"/>
        <v>1.6505168662749536E-2</v>
      </c>
      <c r="CA25" s="79">
        <f t="shared" si="22"/>
        <v>1.6472137878929094E-2</v>
      </c>
      <c r="CB25" s="79">
        <f t="shared" si="22"/>
        <v>1.6439277013180049E-2</v>
      </c>
      <c r="CC25" s="79">
        <f t="shared" si="22"/>
        <v>1.6406590852806803E-2</v>
      </c>
      <c r="CD25" s="79">
        <f t="shared" si="22"/>
        <v>1.6374083933316713E-2</v>
      </c>
      <c r="CE25" s="79">
        <f t="shared" si="22"/>
        <v>1.6341760546765664E-2</v>
      </c>
      <c r="CF25" s="79">
        <f t="shared" si="22"/>
        <v>1.6309624749877186E-2</v>
      </c>
      <c r="CG25" s="79">
        <f t="shared" si="22"/>
        <v>1.627768037193569E-2</v>
      </c>
      <c r="CH25" s="79">
        <f t="shared" si="22"/>
        <v>1.6245931022459748E-2</v>
      </c>
      <c r="CI25" s="79">
        <f t="shared" si="22"/>
        <v>1.6214380098660719E-2</v>
      </c>
      <c r="CJ25" s="79">
        <f t="shared" si="22"/>
        <v>1.6183030792689762E-2</v>
      </c>
      <c r="CK25" s="79">
        <f t="shared" si="22"/>
        <v>1.615188609867944E-2</v>
      </c>
      <c r="CL25" s="79">
        <f t="shared" si="22"/>
        <v>1.6120948819582207E-2</v>
      </c>
      <c r="CM25" s="79">
        <f t="shared" si="22"/>
        <v>1.6090221573812766E-2</v>
      </c>
      <c r="CN25" s="79">
        <f t="shared" si="22"/>
        <v>1.6059706801697281E-2</v>
      </c>
      <c r="CO25" s="79">
        <f t="shared" si="22"/>
        <v>1.6029406771733805E-2</v>
      </c>
      <c r="CP25" s="79">
        <f t="shared" si="22"/>
        <v>1.5999323586669487E-2</v>
      </c>
      <c r="CQ25" s="79">
        <f t="shared" si="22"/>
        <v>1.5969459189398152E-2</v>
      </c>
      <c r="CR25" s="79">
        <f t="shared" si="22"/>
        <v>1.5939815368681744E-2</v>
      </c>
      <c r="CS25" s="79">
        <f t="shared" si="22"/>
        <v>1.5910393764703594E-2</v>
      </c>
      <c r="CT25" s="79">
        <f t="shared" si="22"/>
        <v>1.5881195874451821E-2</v>
      </c>
      <c r="CU25" s="79">
        <f t="shared" si="22"/>
        <v>1.5852223056942578E-2</v>
      </c>
      <c r="CV25" s="79">
        <f t="shared" si="22"/>
        <v>1.5823476538284521E-2</v>
      </c>
      <c r="CW25" s="79">
        <f t="shared" si="22"/>
        <v>1.5794957416589251E-2</v>
      </c>
      <c r="CX25" s="79">
        <f t="shared" si="22"/>
        <v>1.5766666666731533E-2</v>
      </c>
      <c r="CY25" s="79">
        <f t="shared" si="22"/>
        <v>1.5766666666731533E-2</v>
      </c>
      <c r="CZ25" s="79">
        <f t="shared" si="22"/>
        <v>1.5766666666731533E-2</v>
      </c>
      <c r="DA25" s="79">
        <f t="shared" si="22"/>
        <v>1.5766666666731533E-2</v>
      </c>
      <c r="DB25" s="79">
        <f t="shared" si="22"/>
        <v>1.5766666666731533E-2</v>
      </c>
      <c r="DC25" s="79">
        <f t="shared" si="22"/>
        <v>1.5766666666731533E-2</v>
      </c>
      <c r="DD25" s="79">
        <f t="shared" si="22"/>
        <v>1.5766666666731533E-2</v>
      </c>
      <c r="DE25" s="79">
        <f t="shared" si="22"/>
        <v>1.5766666666731533E-2</v>
      </c>
      <c r="DF25" s="79">
        <f t="shared" si="22"/>
        <v>1.5766666666731533E-2</v>
      </c>
      <c r="DG25" s="79">
        <f t="shared" si="22"/>
        <v>1.5766666666731533E-2</v>
      </c>
      <c r="DH25" s="79">
        <f t="shared" si="22"/>
        <v>1.5766666666731533E-2</v>
      </c>
      <c r="DI25" s="79">
        <f t="shared" si="22"/>
        <v>1.5766666666731533E-2</v>
      </c>
      <c r="DJ25" s="79">
        <f t="shared" si="22"/>
        <v>1.5766666666731533E-2</v>
      </c>
      <c r="DK25" s="79">
        <f t="shared" si="22"/>
        <v>1.5766666666731533E-2</v>
      </c>
      <c r="DL25" s="79">
        <f t="shared" si="22"/>
        <v>1.5766666666731533E-2</v>
      </c>
      <c r="DM25" s="79">
        <f t="shared" si="22"/>
        <v>1.5766666666731533E-2</v>
      </c>
      <c r="DN25" s="79">
        <f t="shared" si="22"/>
        <v>1.5766666666731533E-2</v>
      </c>
      <c r="DO25" s="79">
        <f t="shared" si="22"/>
        <v>1.5766666666731533E-2</v>
      </c>
      <c r="DP25" s="79">
        <f t="shared" si="22"/>
        <v>1.5766666666731533E-2</v>
      </c>
      <c r="DQ25" s="79">
        <f t="shared" si="22"/>
        <v>1.5766666666731533E-2</v>
      </c>
      <c r="DR25" s="79">
        <f t="shared" si="22"/>
        <v>1.5766666666731533E-2</v>
      </c>
      <c r="DS25" s="79">
        <f t="shared" si="22"/>
        <v>1.5766666666731533E-2</v>
      </c>
      <c r="DT25" s="79">
        <f t="shared" si="22"/>
        <v>1.5766666666731533E-2</v>
      </c>
      <c r="DU25" s="79">
        <f t="shared" si="22"/>
        <v>1.5766666666731533E-2</v>
      </c>
      <c r="DV25" s="79">
        <f t="shared" si="22"/>
        <v>1.5766666666731533E-2</v>
      </c>
      <c r="DW25" s="79">
        <f t="shared" si="22"/>
        <v>1.5766666666731533E-2</v>
      </c>
      <c r="DX25" s="79">
        <f t="shared" si="22"/>
        <v>1.5766666666731533E-2</v>
      </c>
      <c r="DY25" s="79">
        <f t="shared" si="22"/>
        <v>1.5766666666731533E-2</v>
      </c>
      <c r="DZ25" s="79">
        <f t="shared" si="22"/>
        <v>1.5766666666731533E-2</v>
      </c>
      <c r="EA25" s="79">
        <f t="shared" si="22"/>
        <v>1.5766666666731533E-2</v>
      </c>
      <c r="EB25" s="79">
        <f t="shared" si="22"/>
        <v>1.5766666666731533E-2</v>
      </c>
      <c r="EC25" s="79">
        <f t="shared" si="22"/>
        <v>1.5766666666731533E-2</v>
      </c>
      <c r="ED25" s="79">
        <f t="shared" si="22"/>
        <v>1.5766666666731533E-2</v>
      </c>
      <c r="EE25" s="79">
        <f t="shared" si="18"/>
        <v>1.5766666666731533E-2</v>
      </c>
      <c r="EF25" s="79">
        <f t="shared" si="14"/>
        <v>1.5766666666731533E-2</v>
      </c>
      <c r="EG25" s="79">
        <f t="shared" si="14"/>
        <v>1.5766666666731533E-2</v>
      </c>
      <c r="EH25" s="79">
        <f t="shared" si="14"/>
        <v>1.5766666666731533E-2</v>
      </c>
      <c r="EI25" s="79">
        <f t="shared" si="14"/>
        <v>1.5766666666731533E-2</v>
      </c>
      <c r="EJ25" s="79">
        <f t="shared" si="14"/>
        <v>1.5766666666731533E-2</v>
      </c>
      <c r="EK25" s="79">
        <f t="shared" si="14"/>
        <v>1.5766666666731533E-2</v>
      </c>
      <c r="EL25" s="79">
        <f t="shared" si="14"/>
        <v>1.5766666666731533E-2</v>
      </c>
      <c r="EM25" s="79">
        <f t="shared" si="14"/>
        <v>1.5766666666731533E-2</v>
      </c>
      <c r="EN25" s="79">
        <f t="shared" si="14"/>
        <v>1.5766666666731533E-2</v>
      </c>
      <c r="EO25" s="79">
        <f t="shared" si="14"/>
        <v>1.5766666666731533E-2</v>
      </c>
      <c r="EP25" s="79">
        <f t="shared" si="14"/>
        <v>1.5766666666731533E-2</v>
      </c>
      <c r="EQ25" s="79">
        <f t="shared" si="14"/>
        <v>1.5766666666731533E-2</v>
      </c>
      <c r="ER25" s="79">
        <f t="shared" si="14"/>
        <v>1.5766666666731533E-2</v>
      </c>
      <c r="ES25" s="79">
        <f t="shared" si="14"/>
        <v>1.5766666666731533E-2</v>
      </c>
      <c r="ET25" s="79">
        <f t="shared" si="14"/>
        <v>1.5766666666731533E-2</v>
      </c>
      <c r="FF25" s="6" t="s">
        <v>2999</v>
      </c>
      <c r="FG25" s="696">
        <v>1.9E-2</v>
      </c>
      <c r="FH25" s="696">
        <v>120</v>
      </c>
      <c r="FI25" s="696">
        <v>1.8000000000000002E-2</v>
      </c>
      <c r="FJ25" s="255">
        <v>1.4499999999999999E-2</v>
      </c>
      <c r="FK25" s="71">
        <f t="shared" si="11"/>
        <v>1.0714285714285715E-4</v>
      </c>
      <c r="FL25" t="e">
        <f>VLOOKUP(FF25,'SIMULADOR COM SALDO'!$BX$22:$CK$1000,13,FALSE)</f>
        <v>#N/A</v>
      </c>
    </row>
    <row r="26" spans="5:168" ht="18" customHeight="1" x14ac:dyDescent="0.25">
      <c r="E26" s="77"/>
      <c r="F26" s="97">
        <f t="shared" si="12"/>
        <v>1.5864285714285716E-2</v>
      </c>
      <c r="G26" s="79">
        <f t="shared" si="6"/>
        <v>1.8498348347587141E-2</v>
      </c>
      <c r="H26" s="79">
        <f t="shared" si="23"/>
        <v>1.8495101265674448E-2</v>
      </c>
      <c r="I26" s="79">
        <f t="shared" si="23"/>
        <v>1.8490313944242231E-2</v>
      </c>
      <c r="J26" s="79">
        <f t="shared" si="23"/>
        <v>1.8484040526939575E-2</v>
      </c>
      <c r="K26" s="79">
        <f t="shared" si="23"/>
        <v>1.8476334100069412E-2</v>
      </c>
      <c r="L26" s="79">
        <f t="shared" si="23"/>
        <v>1.846724668383086E-2</v>
      </c>
      <c r="M26" s="79">
        <f t="shared" si="23"/>
        <v>1.8456829225704942E-2</v>
      </c>
      <c r="N26" s="79">
        <f t="shared" si="23"/>
        <v>1.8445131595866759E-2</v>
      </c>
      <c r="O26" s="79">
        <f t="shared" si="23"/>
        <v>1.8432202584510084E-2</v>
      </c>
      <c r="P26" s="79">
        <f t="shared" si="23"/>
        <v>1.841808990097412E-2</v>
      </c>
      <c r="Q26" s="79">
        <f t="shared" si="23"/>
        <v>1.8402840174560699E-2</v>
      </c>
      <c r="R26" s="79">
        <f t="shared" si="23"/>
        <v>1.8386498956938131E-2</v>
      </c>
      <c r="S26" s="79">
        <f t="shared" si="23"/>
        <v>1.8369110726026584E-2</v>
      </c>
      <c r="T26" s="79">
        <f t="shared" si="23"/>
        <v>1.8350718891264661E-2</v>
      </c>
      <c r="U26" s="79">
        <f t="shared" si="23"/>
        <v>1.8331365800159656E-2</v>
      </c>
      <c r="V26" s="79">
        <f t="shared" si="23"/>
        <v>1.8311092746027727E-2</v>
      </c>
      <c r="W26" s="79">
        <f t="shared" si="23"/>
        <v>1.8289939976834584E-2</v>
      </c>
      <c r="X26" s="79">
        <f t="shared" si="23"/>
        <v>1.8267946705045102E-2</v>
      </c>
      <c r="Y26" s="79">
        <f t="shared" si="23"/>
        <v>1.8245151118405273E-2</v>
      </c>
      <c r="Z26" s="79">
        <f t="shared" si="23"/>
        <v>1.8221590391567812E-2</v>
      </c>
      <c r="AA26" s="79">
        <f t="shared" si="23"/>
        <v>1.8197300698492593E-2</v>
      </c>
      <c r="AB26" s="79">
        <f t="shared" si="23"/>
        <v>1.8172317225543484E-2</v>
      </c>
      <c r="AC26" s="79">
        <f t="shared" si="23"/>
        <v>1.8146674185212854E-2</v>
      </c>
      <c r="AD26" s="79">
        <f t="shared" si="23"/>
        <v>1.8120404830409571E-2</v>
      </c>
      <c r="AE26" s="79">
        <f t="shared" si="23"/>
        <v>1.8093541469244752E-2</v>
      </c>
      <c r="AF26" s="79">
        <f t="shared" si="23"/>
        <v>1.8066115480256766E-2</v>
      </c>
      <c r="AG26" s="79">
        <f t="shared" si="23"/>
        <v>1.8038157328020069E-2</v>
      </c>
      <c r="AH26" s="79">
        <f t="shared" si="23"/>
        <v>1.8009696579081642E-2</v>
      </c>
      <c r="AI26" s="79">
        <f t="shared" si="23"/>
        <v>1.7980761918178201E-2</v>
      </c>
      <c r="AJ26" s="79">
        <f t="shared" si="23"/>
        <v>1.7951381164684761E-2</v>
      </c>
      <c r="AK26" s="79">
        <f t="shared" si="23"/>
        <v>1.7921581289250685E-2</v>
      </c>
      <c r="AL26" s="79">
        <f t="shared" si="23"/>
        <v>1.7891388430582189E-2</v>
      </c>
      <c r="AM26" s="79">
        <f t="shared" si="23"/>
        <v>1.7860827912331175E-2</v>
      </c>
      <c r="AN26" s="79">
        <f t="shared" si="23"/>
        <v>1.7829924260055807E-2</v>
      </c>
      <c r="AO26" s="79">
        <f t="shared" si="23"/>
        <v>1.7798701218217063E-2</v>
      </c>
      <c r="AP26" s="79">
        <f t="shared" si="23"/>
        <v>1.7767181767182411E-2</v>
      </c>
      <c r="AQ26" s="79">
        <f t="shared" si="23"/>
        <v>1.7735388140204051E-2</v>
      </c>
      <c r="AR26" s="79">
        <f t="shared" si="23"/>
        <v>1.7703341840348077E-2</v>
      </c>
      <c r="AS26" s="79">
        <f t="shared" si="23"/>
        <v>1.7671063657347989E-2</v>
      </c>
      <c r="AT26" s="79">
        <f t="shared" si="23"/>
        <v>1.7638573684359317E-2</v>
      </c>
      <c r="AU26" s="79">
        <f t="shared" si="23"/>
        <v>1.7605891334596072E-2</v>
      </c>
      <c r="AV26" s="79">
        <f t="shared" si="23"/>
        <v>1.7573035357827883E-2</v>
      </c>
      <c r="AW26" s="79">
        <f t="shared" si="23"/>
        <v>1.7540023856721629E-2</v>
      </c>
      <c r="AX26" s="79">
        <f t="shared" si="23"/>
        <v>1.7506874303011576E-2</v>
      </c>
      <c r="AY26" s="79">
        <f t="shared" si="23"/>
        <v>1.7473603553482413E-2</v>
      </c>
      <c r="AZ26" s="79">
        <f t="shared" si="23"/>
        <v>1.744022786575436E-2</v>
      </c>
      <c r="BA26" s="79">
        <f t="shared" si="23"/>
        <v>1.7406762913856816E-2</v>
      </c>
      <c r="BB26" s="79">
        <f t="shared" si="23"/>
        <v>1.7373223803581424E-2</v>
      </c>
      <c r="BC26" s="79">
        <f t="shared" si="23"/>
        <v>1.7339625087605153E-2</v>
      </c>
      <c r="BD26" s="79">
        <f t="shared" si="23"/>
        <v>1.7305980780375131E-2</v>
      </c>
      <c r="BE26" s="79">
        <f t="shared" si="23"/>
        <v>1.7272304372748279E-2</v>
      </c>
      <c r="BF26" s="79">
        <f t="shared" si="23"/>
        <v>1.723860884638161E-2</v>
      </c>
      <c r="BG26" s="79">
        <f t="shared" si="23"/>
        <v>1.7204906687864067E-2</v>
      </c>
      <c r="BH26" s="79">
        <f t="shared" si="23"/>
        <v>1.7171209902591151E-2</v>
      </c>
      <c r="BI26" s="79">
        <f t="shared" si="23"/>
        <v>1.7137530028374291E-2</v>
      </c>
      <c r="BJ26" s="31">
        <f t="shared" si="23"/>
        <v>1.7103878148785036E-2</v>
      </c>
      <c r="BK26" s="79">
        <f t="shared" si="23"/>
        <v>1.7070264906230925E-2</v>
      </c>
      <c r="BL26" s="79">
        <f t="shared" si="23"/>
        <v>1.7036700514763199E-2</v>
      </c>
      <c r="BM26" s="79">
        <f t="shared" si="23"/>
        <v>1.7003194772613049E-2</v>
      </c>
      <c r="BN26" s="79">
        <f t="shared" si="23"/>
        <v>1.6969757074459454E-2</v>
      </c>
      <c r="BO26" s="79">
        <f t="shared" si="23"/>
        <v>1.6936396423426297E-2</v>
      </c>
      <c r="BP26" s="79">
        <f t="shared" si="23"/>
        <v>1.6903121442811683E-2</v>
      </c>
      <c r="BQ26" s="79">
        <f t="shared" si="23"/>
        <v>1.6869940387548722E-2</v>
      </c>
      <c r="BR26" s="79">
        <f t="shared" si="23"/>
        <v>1.6836861155400843E-2</v>
      </c>
      <c r="BS26" s="79">
        <f t="shared" si="23"/>
        <v>1.6803891297892982E-2</v>
      </c>
      <c r="BT26" s="79">
        <f t="shared" si="22"/>
        <v>1.6771038030981636E-2</v>
      </c>
      <c r="BU26" s="79">
        <f t="shared" si="22"/>
        <v>1.6738308245465076E-2</v>
      </c>
      <c r="BV26" s="79">
        <f t="shared" si="22"/>
        <v>1.6705708517137322E-2</v>
      </c>
      <c r="BW26" s="79">
        <f t="shared" si="22"/>
        <v>1.6673245116690161E-2</v>
      </c>
      <c r="BX26" s="79">
        <f t="shared" si="22"/>
        <v>1.6640924019362974E-2</v>
      </c>
      <c r="BY26" s="79">
        <f t="shared" si="22"/>
        <v>1.6608750914349137E-2</v>
      </c>
      <c r="BZ26" s="79">
        <f t="shared" si="22"/>
        <v>1.6576731213956298E-2</v>
      </c>
      <c r="CA26" s="79">
        <f t="shared" si="22"/>
        <v>1.6544870062530515E-2</v>
      </c>
      <c r="CB26" s="79">
        <f t="shared" si="22"/>
        <v>1.6513172345143174E-2</v>
      </c>
      <c r="CC26" s="79">
        <f t="shared" si="22"/>
        <v>1.6481642696048168E-2</v>
      </c>
      <c r="CD26" s="79">
        <f t="shared" si="22"/>
        <v>1.645028550691045E-2</v>
      </c>
      <c r="CE26" s="79">
        <f t="shared" si="22"/>
        <v>1.6419104934813529E-2</v>
      </c>
      <c r="CF26" s="79">
        <f t="shared" si="22"/>
        <v>1.6388104910046643E-2</v>
      </c>
      <c r="CG26" s="79">
        <f t="shared" si="22"/>
        <v>1.6357289143678108E-2</v>
      </c>
      <c r="CH26" s="79">
        <f t="shared" si="22"/>
        <v>1.6326661134918652E-2</v>
      </c>
      <c r="CI26" s="79">
        <f t="shared" si="22"/>
        <v>1.6296224178278768E-2</v>
      </c>
      <c r="CJ26" s="79">
        <f t="shared" si="22"/>
        <v>1.6265981370523847E-2</v>
      </c>
      <c r="CK26" s="79">
        <f t="shared" si="22"/>
        <v>1.6235935617433639E-2</v>
      </c>
      <c r="CL26" s="79">
        <f t="shared" si="22"/>
        <v>1.6206089640367065E-2</v>
      </c>
      <c r="CM26" s="79">
        <f t="shared" si="22"/>
        <v>1.6176445982639866E-2</v>
      </c>
      <c r="CN26" s="79">
        <f t="shared" si="22"/>
        <v>1.6147007015717665E-2</v>
      </c>
      <c r="CO26" s="79">
        <f t="shared" si="22"/>
        <v>1.6117774945228126E-2</v>
      </c>
      <c r="CP26" s="79">
        <f t="shared" si="22"/>
        <v>1.6088751816798672E-2</v>
      </c>
      <c r="CQ26" s="79">
        <f t="shared" si="22"/>
        <v>1.6059939521721769E-2</v>
      </c>
      <c r="CR26" s="79">
        <f t="shared" si="22"/>
        <v>1.603133980245329E-2</v>
      </c>
      <c r="CS26" s="79">
        <f t="shared" si="22"/>
        <v>1.6002954257947177E-2</v>
      </c>
      <c r="CT26" s="79">
        <f t="shared" si="22"/>
        <v>1.597478434883105E-2</v>
      </c>
      <c r="CU26" s="79">
        <f t="shared" si="22"/>
        <v>1.5946831402426868E-2</v>
      </c>
      <c r="CV26" s="79">
        <f t="shared" si="22"/>
        <v>1.5919096617620056E-2</v>
      </c>
      <c r="CW26" s="79">
        <f t="shared" si="22"/>
        <v>1.5891581069580562E-2</v>
      </c>
      <c r="CX26" s="79">
        <f t="shared" si="22"/>
        <v>1.5864285714341862E-2</v>
      </c>
      <c r="CY26" s="79">
        <f t="shared" si="22"/>
        <v>1.5864285714341862E-2</v>
      </c>
      <c r="CZ26" s="79">
        <f t="shared" si="22"/>
        <v>1.5864285714341862E-2</v>
      </c>
      <c r="DA26" s="79">
        <f t="shared" si="22"/>
        <v>1.5864285714341862E-2</v>
      </c>
      <c r="DB26" s="79">
        <f t="shared" si="22"/>
        <v>1.5864285714341862E-2</v>
      </c>
      <c r="DC26" s="79">
        <f t="shared" si="22"/>
        <v>1.5864285714341862E-2</v>
      </c>
      <c r="DD26" s="79">
        <f t="shared" si="22"/>
        <v>1.5864285714341862E-2</v>
      </c>
      <c r="DE26" s="79">
        <f t="shared" si="22"/>
        <v>1.5864285714341862E-2</v>
      </c>
      <c r="DF26" s="79">
        <f t="shared" si="22"/>
        <v>1.5864285714341862E-2</v>
      </c>
      <c r="DG26" s="79">
        <f t="shared" si="22"/>
        <v>1.5864285714341862E-2</v>
      </c>
      <c r="DH26" s="79">
        <f t="shared" si="22"/>
        <v>1.5864285714341862E-2</v>
      </c>
      <c r="DI26" s="79">
        <f t="shared" si="22"/>
        <v>1.5864285714341862E-2</v>
      </c>
      <c r="DJ26" s="79">
        <f t="shared" si="22"/>
        <v>1.5864285714341862E-2</v>
      </c>
      <c r="DK26" s="79">
        <f t="shared" si="22"/>
        <v>1.5864285714341862E-2</v>
      </c>
      <c r="DL26" s="79">
        <f t="shared" si="22"/>
        <v>1.5864285714341862E-2</v>
      </c>
      <c r="DM26" s="79">
        <f t="shared" si="22"/>
        <v>1.5864285714341862E-2</v>
      </c>
      <c r="DN26" s="79">
        <f t="shared" si="22"/>
        <v>1.5864285714341862E-2</v>
      </c>
      <c r="DO26" s="79">
        <f t="shared" si="22"/>
        <v>1.5864285714341862E-2</v>
      </c>
      <c r="DP26" s="79">
        <f t="shared" si="22"/>
        <v>1.5864285714341862E-2</v>
      </c>
      <c r="DQ26" s="79">
        <f t="shared" si="22"/>
        <v>1.5864285714341862E-2</v>
      </c>
      <c r="DR26" s="79">
        <f t="shared" si="22"/>
        <v>1.5864285714341862E-2</v>
      </c>
      <c r="DS26" s="79">
        <f t="shared" si="22"/>
        <v>1.5864285714341862E-2</v>
      </c>
      <c r="DT26" s="79">
        <f t="shared" si="22"/>
        <v>1.5864285714341862E-2</v>
      </c>
      <c r="DU26" s="79">
        <f t="shared" si="22"/>
        <v>1.5864285714341862E-2</v>
      </c>
      <c r="DV26" s="79">
        <f t="shared" si="22"/>
        <v>1.5864285714341862E-2</v>
      </c>
      <c r="DW26" s="79">
        <f t="shared" si="22"/>
        <v>1.5864285714341862E-2</v>
      </c>
      <c r="DX26" s="79">
        <f t="shared" si="22"/>
        <v>1.5864285714341862E-2</v>
      </c>
      <c r="DY26" s="79">
        <f t="shared" si="22"/>
        <v>1.5864285714341862E-2</v>
      </c>
      <c r="DZ26" s="79">
        <f t="shared" si="22"/>
        <v>1.5864285714341862E-2</v>
      </c>
      <c r="EA26" s="79">
        <f t="shared" si="22"/>
        <v>1.5864285714341862E-2</v>
      </c>
      <c r="EB26" s="79">
        <f t="shared" si="22"/>
        <v>1.5864285714341862E-2</v>
      </c>
      <c r="EC26" s="79">
        <f t="shared" si="22"/>
        <v>1.5864285714341862E-2</v>
      </c>
      <c r="ED26" s="79">
        <f t="shared" si="22"/>
        <v>1.5864285714341862E-2</v>
      </c>
      <c r="EE26" s="79">
        <f t="shared" si="18"/>
        <v>1.5864285714341862E-2</v>
      </c>
      <c r="EF26" s="79">
        <f t="shared" si="14"/>
        <v>1.5864285714341862E-2</v>
      </c>
      <c r="EG26" s="79">
        <f t="shared" si="14"/>
        <v>1.5864285714341862E-2</v>
      </c>
      <c r="EH26" s="79">
        <f t="shared" si="14"/>
        <v>1.5864285714341862E-2</v>
      </c>
      <c r="EI26" s="79">
        <f t="shared" si="14"/>
        <v>1.5864285714341862E-2</v>
      </c>
      <c r="EJ26" s="79">
        <f t="shared" si="14"/>
        <v>1.5864285714341862E-2</v>
      </c>
      <c r="EK26" s="79">
        <f t="shared" si="14"/>
        <v>1.5864285714341862E-2</v>
      </c>
      <c r="EL26" s="79">
        <f t="shared" si="14"/>
        <v>1.5864285714341862E-2</v>
      </c>
      <c r="EM26" s="79">
        <f t="shared" si="14"/>
        <v>1.5864285714341862E-2</v>
      </c>
      <c r="EN26" s="79">
        <f t="shared" si="14"/>
        <v>1.5864285714341862E-2</v>
      </c>
      <c r="EO26" s="79">
        <f t="shared" si="14"/>
        <v>1.5864285714341862E-2</v>
      </c>
      <c r="EP26" s="79">
        <f t="shared" si="14"/>
        <v>1.5864285714341862E-2</v>
      </c>
      <c r="EQ26" s="79">
        <f t="shared" si="14"/>
        <v>1.5864285714341862E-2</v>
      </c>
      <c r="ER26" s="79">
        <f t="shared" si="14"/>
        <v>1.5864285714341862E-2</v>
      </c>
      <c r="ES26" s="79">
        <f t="shared" si="14"/>
        <v>1.5864285714341862E-2</v>
      </c>
      <c r="ET26" s="79">
        <f t="shared" si="14"/>
        <v>1.5864285714341862E-2</v>
      </c>
      <c r="EY26" t="s">
        <v>70</v>
      </c>
      <c r="EZ26" s="4">
        <v>1.2800000000000001E-2</v>
      </c>
      <c r="FA26" s="27">
        <f>VLOOKUP(EY26,$EY$11:$FC$24,5,FALSE)</f>
        <v>1.9E-2</v>
      </c>
      <c r="FB26" s="4">
        <f>(FA26-EZ26)/18</f>
        <v>3.4444444444444437E-4</v>
      </c>
      <c r="FF26" s="6" t="s">
        <v>3000</v>
      </c>
      <c r="FG26" s="696">
        <v>2.5000000000000001E-2</v>
      </c>
      <c r="FH26" s="696">
        <v>120</v>
      </c>
      <c r="FI26" s="696">
        <v>1.6399999999999998E-2</v>
      </c>
      <c r="FJ26" s="255">
        <v>1.3899999999999999E-2</v>
      </c>
      <c r="FK26" s="71">
        <f t="shared" si="11"/>
        <v>2.6428571428571435E-4</v>
      </c>
      <c r="FL26" t="e">
        <f>VLOOKUP(FF26,'SIMULADOR COM SALDO'!$BX$22:$CK$1000,13,FALSE)</f>
        <v>#N/A</v>
      </c>
    </row>
    <row r="27" spans="5:168" ht="18" customHeight="1" x14ac:dyDescent="0.25">
      <c r="E27" s="77"/>
      <c r="F27" s="97">
        <f t="shared" ref="F27:F53" si="24">IF(F26&lt;$J$6,F26+VLOOKUP($H$6,$FF:$FK,6,FALSE),$J$6)</f>
        <v>1.5961904761904764E-2</v>
      </c>
      <c r="G27" s="79">
        <f t="shared" si="6"/>
        <v>1.8498409670088901E-2</v>
      </c>
      <c r="H27" s="79">
        <f t="shared" si="23"/>
        <v>1.8495283280782489E-2</v>
      </c>
      <c r="I27" s="79">
        <f t="shared" si="23"/>
        <v>1.849067408673355E-2</v>
      </c>
      <c r="J27" s="79">
        <f t="shared" si="23"/>
        <v>1.8484634315615728E-2</v>
      </c>
      <c r="K27" s="79">
        <f t="shared" si="23"/>
        <v>1.8477215159209154E-2</v>
      </c>
      <c r="L27" s="79">
        <f t="shared" si="23"/>
        <v>1.8468466766566816E-2</v>
      </c>
      <c r="M27" s="79">
        <f t="shared" si="23"/>
        <v>1.8458438239155016E-2</v>
      </c>
      <c r="N27" s="79">
        <f t="shared" si="23"/>
        <v>1.8447177627857546E-2</v>
      </c>
      <c r="O27" s="79">
        <f t="shared" si="23"/>
        <v>1.8434731931734633E-2</v>
      </c>
      <c r="P27" s="79">
        <f t="shared" si="23"/>
        <v>1.8421147098434423E-2</v>
      </c>
      <c r="Q27" s="79">
        <f t="shared" si="23"/>
        <v>1.8406468026152506E-2</v>
      </c>
      <c r="R27" s="79">
        <f t="shared" si="23"/>
        <v>1.8390738567040717E-2</v>
      </c>
      <c r="S27" s="79">
        <f t="shared" si="23"/>
        <v>1.837400153196752E-2</v>
      </c>
      <c r="T27" s="79">
        <f t="shared" si="23"/>
        <v>1.8356298696536995E-2</v>
      </c>
      <c r="U27" s="79">
        <f t="shared" si="23"/>
        <v>1.8337670808275579E-2</v>
      </c>
      <c r="V27" s="79">
        <f t="shared" si="23"/>
        <v>1.8318157594897858E-2</v>
      </c>
      <c r="W27" s="79">
        <f t="shared" si="23"/>
        <v>1.8297797773569293E-2</v>
      </c>
      <c r="X27" s="79">
        <f t="shared" si="23"/>
        <v>1.8276629061081986E-2</v>
      </c>
      <c r="Y27" s="79">
        <f t="shared" si="23"/>
        <v>1.8254688184869E-2</v>
      </c>
      <c r="Z27" s="79">
        <f t="shared" si="23"/>
        <v>1.8232010894780607E-2</v>
      </c>
      <c r="AA27" s="79">
        <f t="shared" si="23"/>
        <v>1.8208631975552992E-2</v>
      </c>
      <c r="AB27" s="79">
        <f t="shared" si="23"/>
        <v>1.8184585259899966E-2</v>
      </c>
      <c r="AC27" s="79">
        <f t="shared" si="23"/>
        <v>1.8159903642165295E-2</v>
      </c>
      <c r="AD27" s="79">
        <f t="shared" si="23"/>
        <v>1.8134619092473096E-2</v>
      </c>
      <c r="AE27" s="79">
        <f t="shared" si="23"/>
        <v>1.8108762671319147E-2</v>
      </c>
      <c r="AF27" s="79">
        <f t="shared" si="23"/>
        <v>1.8082364544546859E-2</v>
      </c>
      <c r="AG27" s="79">
        <f t="shared" si="23"/>
        <v>1.8055453998657246E-2</v>
      </c>
      <c r="AH27" s="79">
        <f t="shared" si="23"/>
        <v>1.8028059456404011E-2</v>
      </c>
      <c r="AI27" s="79">
        <f t="shared" si="23"/>
        <v>1.8000208492625958E-2</v>
      </c>
      <c r="AJ27" s="79">
        <f t="shared" si="23"/>
        <v>1.7971927850275647E-2</v>
      </c>
      <c r="AK27" s="79">
        <f t="shared" si="23"/>
        <v>1.7943243456601966E-2</v>
      </c>
      <c r="AL27" s="79">
        <f t="shared" si="23"/>
        <v>1.7914180439448601E-2</v>
      </c>
      <c r="AM27" s="79">
        <f t="shared" si="23"/>
        <v>1.7884763143634068E-2</v>
      </c>
      <c r="AN27" s="79">
        <f t="shared" si="23"/>
        <v>1.7855015147379919E-2</v>
      </c>
      <c r="AO27" s="79">
        <f t="shared" si="23"/>
        <v>1.7824959278753629E-2</v>
      </c>
      <c r="AP27" s="79">
        <f t="shared" si="23"/>
        <v>1.7794617632102053E-2</v>
      </c>
      <c r="AQ27" s="79">
        <f t="shared" si="23"/>
        <v>1.7764011584444055E-2</v>
      </c>
      <c r="AR27" s="79">
        <f t="shared" si="23"/>
        <v>1.7733161811802716E-2</v>
      </c>
      <c r="AS27" s="79">
        <f t="shared" si="23"/>
        <v>1.7702088305449597E-2</v>
      </c>
      <c r="AT27" s="79">
        <f t="shared" si="23"/>
        <v>1.7670810388043533E-2</v>
      </c>
      <c r="AU27" s="79">
        <f t="shared" si="23"/>
        <v>1.7639346729644938E-2</v>
      </c>
      <c r="AV27" s="79">
        <f t="shared" si="23"/>
        <v>1.7607715363585387E-2</v>
      </c>
      <c r="AW27" s="79">
        <f t="shared" si="23"/>
        <v>1.7575933702180326E-2</v>
      </c>
      <c r="AX27" s="79">
        <f t="shared" si="23"/>
        <v>1.7544018552267837E-2</v>
      </c>
      <c r="AY27" s="79">
        <f t="shared" si="23"/>
        <v>1.751198613056151E-2</v>
      </c>
      <c r="AZ27" s="79">
        <f t="shared" si="23"/>
        <v>1.7479852078806455E-2</v>
      </c>
      <c r="BA27" s="79">
        <f t="shared" si="23"/>
        <v>1.744763147872655E-2</v>
      </c>
      <c r="BB27" s="79">
        <f t="shared" si="23"/>
        <v>1.7415338866755243E-2</v>
      </c>
      <c r="BC27" s="79">
        <f t="shared" si="23"/>
        <v>1.7382988248540409E-2</v>
      </c>
      <c r="BD27" s="79">
        <f t="shared" si="23"/>
        <v>1.7350593113217967E-2</v>
      </c>
      <c r="BE27" s="79">
        <f t="shared" si="23"/>
        <v>1.7318166447446076E-2</v>
      </c>
      <c r="BF27" s="79">
        <f t="shared" si="23"/>
        <v>1.7285720749196494E-2</v>
      </c>
      <c r="BG27" s="79">
        <f t="shared" si="23"/>
        <v>1.7253268041297006E-2</v>
      </c>
      <c r="BH27" s="79">
        <f t="shared" si="23"/>
        <v>1.7220819884723564E-2</v>
      </c>
      <c r="BI27" s="79">
        <f t="shared" si="23"/>
        <v>1.7188387391637232E-2</v>
      </c>
      <c r="BJ27" s="99">
        <f t="shared" si="23"/>
        <v>1.7155981238164322E-2</v>
      </c>
      <c r="BK27" s="79">
        <f t="shared" si="23"/>
        <v>1.7123611676919885E-2</v>
      </c>
      <c r="BL27" s="79">
        <f t="shared" si="23"/>
        <v>1.7091288549269862E-2</v>
      </c>
      <c r="BM27" s="79">
        <f t="shared" si="23"/>
        <v>1.7059021297336576E-2</v>
      </c>
      <c r="BN27" s="79">
        <f t="shared" si="23"/>
        <v>1.7026818975742816E-2</v>
      </c>
      <c r="BO27" s="79">
        <f t="shared" si="23"/>
        <v>1.6994690263097544E-2</v>
      </c>
      <c r="BP27" s="79">
        <f t="shared" si="23"/>
        <v>1.6962643473224452E-2</v>
      </c>
      <c r="BQ27" s="79">
        <f t="shared" si="23"/>
        <v>1.6930686566133887E-2</v>
      </c>
      <c r="BR27" s="79">
        <f t="shared" si="23"/>
        <v>1.689882715873901E-2</v>
      </c>
      <c r="BS27" s="79">
        <f t="shared" si="23"/>
        <v>1.6867072535321083E-2</v>
      </c>
      <c r="BT27" s="79">
        <f t="shared" si="22"/>
        <v>1.6835429657742144E-2</v>
      </c>
      <c r="BU27" s="79">
        <f t="shared" si="22"/>
        <v>1.6803905175411464E-2</v>
      </c>
      <c r="BV27" s="79">
        <f t="shared" si="22"/>
        <v>1.6772505435006413E-2</v>
      </c>
      <c r="BW27" s="79">
        <f t="shared" si="22"/>
        <v>1.6741236489951447E-2</v>
      </c>
      <c r="BX27" s="79">
        <f t="shared" si="22"/>
        <v>1.6710104109657217E-2</v>
      </c>
      <c r="BY27" s="79">
        <f t="shared" si="22"/>
        <v>1.6679113788525976E-2</v>
      </c>
      <c r="BZ27" s="79">
        <f t="shared" si="22"/>
        <v>1.664827075472369E-2</v>
      </c>
      <c r="CA27" s="79">
        <f t="shared" si="22"/>
        <v>1.6617579978724317E-2</v>
      </c>
      <c r="CB27" s="79">
        <f t="shared" si="22"/>
        <v>1.658704618162947E-2</v>
      </c>
      <c r="CC27" s="79">
        <f t="shared" si="22"/>
        <v>1.6556673843267217E-2</v>
      </c>
      <c r="CD27" s="79">
        <f t="shared" si="22"/>
        <v>1.6526467210074346E-2</v>
      </c>
      <c r="CE27" s="79">
        <f t="shared" si="22"/>
        <v>1.6496430302765926E-2</v>
      </c>
      <c r="CF27" s="79">
        <f t="shared" si="22"/>
        <v>1.6466566923795022E-2</v>
      </c>
      <c r="CG27" s="79">
        <f t="shared" si="22"/>
        <v>1.643688066460949E-2</v>
      </c>
      <c r="CH27" s="79">
        <f t="shared" si="22"/>
        <v>1.6407374912706704E-2</v>
      </c>
      <c r="CI27" s="79">
        <f t="shared" si="22"/>
        <v>1.6378052858492712E-2</v>
      </c>
      <c r="CJ27" s="79">
        <f t="shared" si="22"/>
        <v>1.6348917501947939E-2</v>
      </c>
      <c r="CK27" s="79">
        <f t="shared" si="22"/>
        <v>1.631997165910648E-2</v>
      </c>
      <c r="CL27" s="79">
        <f t="shared" si="22"/>
        <v>1.6291217968350015E-2</v>
      </c>
      <c r="CM27" s="79">
        <f t="shared" si="22"/>
        <v>1.6262658896521499E-2</v>
      </c>
      <c r="CN27" s="79">
        <f t="shared" si="22"/>
        <v>1.6234296744864252E-2</v>
      </c>
      <c r="CO27" s="79">
        <f t="shared" si="22"/>
        <v>1.6206133654788273E-2</v>
      </c>
      <c r="CP27" s="79">
        <f t="shared" si="22"/>
        <v>1.6178171613469534E-2</v>
      </c>
      <c r="CQ27" s="79">
        <f t="shared" si="22"/>
        <v>1.6150412459284277E-2</v>
      </c>
      <c r="CR27" s="79">
        <f t="shared" si="22"/>
        <v>1.6122857887085087E-2</v>
      </c>
      <c r="CS27" s="79">
        <f t="shared" si="22"/>
        <v>1.609550945332015E-2</v>
      </c>
      <c r="CT27" s="79">
        <f t="shared" si="22"/>
        <v>1.6068368581000622E-2</v>
      </c>
      <c r="CU27" s="79">
        <f t="shared" si="22"/>
        <v>1.6041436564519135E-2</v>
      </c>
      <c r="CV27" s="79">
        <f t="shared" si="22"/>
        <v>1.6014714574325961E-2</v>
      </c>
      <c r="CW27" s="79">
        <f t="shared" si="22"/>
        <v>1.5988203661461236E-2</v>
      </c>
      <c r="CX27" s="79">
        <f t="shared" si="22"/>
        <v>1.5961904761953062E-2</v>
      </c>
      <c r="CY27" s="79">
        <f t="shared" si="22"/>
        <v>1.5961904761953062E-2</v>
      </c>
      <c r="CZ27" s="79">
        <f t="shared" si="22"/>
        <v>1.5961904761953062E-2</v>
      </c>
      <c r="DA27" s="79">
        <f t="shared" si="22"/>
        <v>1.5961904761953062E-2</v>
      </c>
      <c r="DB27" s="79">
        <f t="shared" si="22"/>
        <v>1.5961904761953062E-2</v>
      </c>
      <c r="DC27" s="79">
        <f t="shared" si="22"/>
        <v>1.5961904761953062E-2</v>
      </c>
      <c r="DD27" s="79">
        <f t="shared" si="22"/>
        <v>1.5961904761953062E-2</v>
      </c>
      <c r="DE27" s="79">
        <f t="shared" si="22"/>
        <v>1.5961904761953062E-2</v>
      </c>
      <c r="DF27" s="79">
        <f t="shared" si="22"/>
        <v>1.5961904761953062E-2</v>
      </c>
      <c r="DG27" s="79">
        <f t="shared" si="22"/>
        <v>1.5961904761953062E-2</v>
      </c>
      <c r="DH27" s="79">
        <f t="shared" si="22"/>
        <v>1.5961904761953062E-2</v>
      </c>
      <c r="DI27" s="79">
        <f t="shared" si="22"/>
        <v>1.5961904761953062E-2</v>
      </c>
      <c r="DJ27" s="79">
        <f t="shared" si="22"/>
        <v>1.5961904761953062E-2</v>
      </c>
      <c r="DK27" s="79">
        <f t="shared" si="22"/>
        <v>1.5961904761953062E-2</v>
      </c>
      <c r="DL27" s="79">
        <f t="shared" si="22"/>
        <v>1.5961904761953062E-2</v>
      </c>
      <c r="DM27" s="79">
        <f t="shared" si="22"/>
        <v>1.5961904761953062E-2</v>
      </c>
      <c r="DN27" s="79">
        <f t="shared" si="22"/>
        <v>1.5961904761953062E-2</v>
      </c>
      <c r="DO27" s="79">
        <f t="shared" si="22"/>
        <v>1.5961904761953062E-2</v>
      </c>
      <c r="DP27" s="79">
        <f t="shared" si="22"/>
        <v>1.5961904761953062E-2</v>
      </c>
      <c r="DQ27" s="79">
        <f t="shared" si="22"/>
        <v>1.5961904761953062E-2</v>
      </c>
      <c r="DR27" s="79">
        <f t="shared" si="22"/>
        <v>1.5961904761953062E-2</v>
      </c>
      <c r="DS27" s="79">
        <f t="shared" si="22"/>
        <v>1.5961904761953062E-2</v>
      </c>
      <c r="DT27" s="79">
        <f t="shared" si="22"/>
        <v>1.5961904761953062E-2</v>
      </c>
      <c r="DU27" s="79">
        <f t="shared" si="22"/>
        <v>1.5961904761953062E-2</v>
      </c>
      <c r="DV27" s="79">
        <f t="shared" si="22"/>
        <v>1.5961904761953062E-2</v>
      </c>
      <c r="DW27" s="79">
        <f t="shared" si="22"/>
        <v>1.5961904761953062E-2</v>
      </c>
      <c r="DX27" s="79">
        <f t="shared" si="22"/>
        <v>1.5961904761953062E-2</v>
      </c>
      <c r="DY27" s="79">
        <f t="shared" si="22"/>
        <v>1.5961904761953062E-2</v>
      </c>
      <c r="DZ27" s="79">
        <f t="shared" si="22"/>
        <v>1.5961904761953062E-2</v>
      </c>
      <c r="EA27" s="79">
        <f t="shared" si="22"/>
        <v>1.5961904761953062E-2</v>
      </c>
      <c r="EB27" s="79">
        <f t="shared" si="22"/>
        <v>1.5961904761953062E-2</v>
      </c>
      <c r="EC27" s="79">
        <f t="shared" si="22"/>
        <v>1.5961904761953062E-2</v>
      </c>
      <c r="ED27" s="79">
        <f t="shared" si="22"/>
        <v>1.5961904761953062E-2</v>
      </c>
      <c r="EE27" s="79">
        <f t="shared" si="18"/>
        <v>1.5961904761953062E-2</v>
      </c>
      <c r="EF27" s="79">
        <f t="shared" si="14"/>
        <v>1.5961904761953062E-2</v>
      </c>
      <c r="EG27" s="79">
        <f t="shared" si="14"/>
        <v>1.5961904761953062E-2</v>
      </c>
      <c r="EH27" s="79">
        <f t="shared" si="14"/>
        <v>1.5961904761953062E-2</v>
      </c>
      <c r="EI27" s="79">
        <f t="shared" si="14"/>
        <v>1.5961904761953062E-2</v>
      </c>
      <c r="EJ27" s="79">
        <f t="shared" si="14"/>
        <v>1.5961904761953062E-2</v>
      </c>
      <c r="EK27" s="79">
        <f t="shared" si="14"/>
        <v>1.5961904761953062E-2</v>
      </c>
      <c r="EL27" s="79">
        <f t="shared" si="14"/>
        <v>1.5961904761953062E-2</v>
      </c>
      <c r="EM27" s="79">
        <f t="shared" si="14"/>
        <v>1.5961904761953062E-2</v>
      </c>
      <c r="EN27" s="79">
        <f t="shared" si="14"/>
        <v>1.5961904761953062E-2</v>
      </c>
      <c r="EO27" s="79">
        <f t="shared" si="14"/>
        <v>1.5961904761953062E-2</v>
      </c>
      <c r="EP27" s="79">
        <f t="shared" si="14"/>
        <v>1.5961904761953062E-2</v>
      </c>
      <c r="EQ27" s="79">
        <f t="shared" si="14"/>
        <v>1.5961904761953062E-2</v>
      </c>
      <c r="ER27" s="79">
        <f t="shared" si="14"/>
        <v>1.5961904761953062E-2</v>
      </c>
      <c r="ES27" s="79">
        <f t="shared" si="14"/>
        <v>1.5961904761953062E-2</v>
      </c>
      <c r="ET27" s="79">
        <f t="shared" si="14"/>
        <v>1.5961904761953062E-2</v>
      </c>
      <c r="EY27" t="s">
        <v>32</v>
      </c>
      <c r="EZ27" s="4">
        <v>1.4500000000000001E-2</v>
      </c>
      <c r="FA27" s="27">
        <v>1.9E-2</v>
      </c>
      <c r="FB27" s="4">
        <f>(FA27-EZ27)/18</f>
        <v>2.4999999999999995E-4</v>
      </c>
      <c r="FF27" s="67" t="s">
        <v>3001</v>
      </c>
      <c r="FG27" s="696">
        <v>2.5000000000000001E-2</v>
      </c>
      <c r="FH27" s="696">
        <v>120</v>
      </c>
      <c r="FI27" s="696">
        <v>1.6200000000000003E-2</v>
      </c>
      <c r="FJ27" s="255">
        <v>1.3600000000000001E-2</v>
      </c>
      <c r="FK27" s="71">
        <f t="shared" si="11"/>
        <v>2.7142857142857144E-4</v>
      </c>
      <c r="FL27" t="e">
        <f>VLOOKUP(FF27,'SIMULADOR COM SALDO'!$BX$22:$CK$1000,13,FALSE)</f>
        <v>#N/A</v>
      </c>
    </row>
    <row r="28" spans="5:168" ht="18" customHeight="1" x14ac:dyDescent="0.25">
      <c r="E28" s="77"/>
      <c r="F28" s="97">
        <f t="shared" si="24"/>
        <v>1.6059523809523812E-2</v>
      </c>
      <c r="G28" s="79">
        <f t="shared" si="6"/>
        <v>1.8498470981010422E-2</v>
      </c>
      <c r="H28" s="79">
        <f t="shared" si="23"/>
        <v>1.8495465251108383E-2</v>
      </c>
      <c r="I28" s="79">
        <f t="shared" si="23"/>
        <v>1.8491034121197916E-2</v>
      </c>
      <c r="J28" s="79">
        <f t="shared" si="23"/>
        <v>1.8485227896046733E-2</v>
      </c>
      <c r="K28" s="79">
        <f t="shared" si="23"/>
        <v>1.8478095867346465E-2</v>
      </c>
      <c r="L28" s="79">
        <f t="shared" si="23"/>
        <v>1.8469686308685538E-2</v>
      </c>
      <c r="M28" s="79">
        <f t="shared" si="23"/>
        <v>1.8460046472331664E-2</v>
      </c>
      <c r="N28" s="79">
        <f t="shared" si="23"/>
        <v>1.8449222587718677E-2</v>
      </c>
      <c r="O28" s="79">
        <f t="shared" si="23"/>
        <v>1.8437259861540562E-2</v>
      </c>
      <c r="P28" s="79">
        <f t="shared" si="23"/>
        <v>1.8424202479350452E-2</v>
      </c>
      <c r="Q28" s="79">
        <f t="shared" si="23"/>
        <v>1.8410093608572327E-2</v>
      </c>
      <c r="R28" s="79">
        <f t="shared" si="23"/>
        <v>1.839497540282984E-2</v>
      </c>
      <c r="S28" s="79">
        <f t="shared" si="23"/>
        <v>1.8378889007502838E-2</v>
      </c>
      <c r="T28" s="79">
        <f t="shared" si="23"/>
        <v>1.8361874566424605E-2</v>
      </c>
      <c r="U28" s="79">
        <f t="shared" si="23"/>
        <v>1.8343971229634687E-2</v>
      </c>
      <c r="V28" s="79">
        <f t="shared" si="23"/>
        <v>1.8325217162108103E-2</v>
      </c>
      <c r="W28" s="79">
        <f t="shared" si="23"/>
        <v>1.8305649553379402E-2</v>
      </c>
      <c r="X28" s="79">
        <f t="shared" si="23"/>
        <v>1.8285304627989902E-2</v>
      </c>
      <c r="Y28" s="79">
        <f t="shared" si="23"/>
        <v>1.8264217656685698E-2</v>
      </c>
      <c r="Z28" s="79">
        <f t="shared" si="23"/>
        <v>1.8242422968295861E-2</v>
      </c>
      <c r="AA28" s="79">
        <f t="shared" si="23"/>
        <v>1.8219953962228259E-2</v>
      </c>
      <c r="AB28" s="79">
        <f t="shared" si="23"/>
        <v>1.8196843121518584E-2</v>
      </c>
      <c r="AC28" s="79">
        <f t="shared" si="23"/>
        <v>1.8173122026374403E-2</v>
      </c>
      <c r="AD28" s="79">
        <f t="shared" si="23"/>
        <v>1.8148821368157413E-2</v>
      </c>
      <c r="AE28" s="79">
        <f t="shared" si="23"/>
        <v>1.8123970963751533E-2</v>
      </c>
      <c r="AF28" s="79">
        <f t="shared" si="23"/>
        <v>1.8098599770264314E-2</v>
      </c>
      <c r="AG28" s="79">
        <f t="shared" si="23"/>
        <v>1.8072735900018001E-2</v>
      </c>
      <c r="AH28" s="79">
        <f t="shared" si="23"/>
        <v>1.804640663578002E-2</v>
      </c>
      <c r="AI28" s="79">
        <f t="shared" si="23"/>
        <v>1.8019638446195987E-2</v>
      </c>
      <c r="AJ28" s="79">
        <f t="shared" si="23"/>
        <v>1.7992457001382318E-2</v>
      </c>
      <c r="AK28" s="79">
        <f t="shared" si="23"/>
        <v>1.7964887188642191E-2</v>
      </c>
      <c r="AL28" s="79">
        <f t="shared" si="23"/>
        <v>1.7936953128270795E-2</v>
      </c>
      <c r="AM28" s="79">
        <f t="shared" si="23"/>
        <v>1.7908678189416421E-2</v>
      </c>
      <c r="AN28" s="79">
        <f t="shared" si="23"/>
        <v>1.7880085005967519E-2</v>
      </c>
      <c r="AO28" s="79">
        <f t="shared" si="23"/>
        <v>1.7851195492439249E-2</v>
      </c>
      <c r="AP28" s="79">
        <f t="shared" si="23"/>
        <v>1.7822030859829412E-2</v>
      </c>
      <c r="AQ28" s="79">
        <f t="shared" si="23"/>
        <v>1.7792611631424714E-2</v>
      </c>
      <c r="AR28" s="79">
        <f t="shared" si="23"/>
        <v>1.7762957658531805E-2</v>
      </c>
      <c r="AS28" s="79">
        <f t="shared" si="23"/>
        <v>1.7733088136112719E-2</v>
      </c>
      <c r="AT28" s="79">
        <f t="shared" si="23"/>
        <v>1.7703021618308806E-2</v>
      </c>
      <c r="AU28" s="79">
        <f t="shared" si="23"/>
        <v>1.767277603383112E-2</v>
      </c>
      <c r="AV28" s="79">
        <f t="shared" si="23"/>
        <v>1.764236870120706E-2</v>
      </c>
      <c r="AW28" s="79">
        <f t="shared" si="23"/>
        <v>1.7611816343864346E-2</v>
      </c>
      <c r="AX28" s="79">
        <f t="shared" si="23"/>
        <v>1.7581135105042604E-2</v>
      </c>
      <c r="AY28" s="79">
        <f t="shared" si="23"/>
        <v>1.7550340562519372E-2</v>
      </c>
      <c r="AZ28" s="79">
        <f t="shared" si="23"/>
        <v>1.7519447743140331E-2</v>
      </c>
      <c r="BA28" s="79">
        <f t="shared" si="23"/>
        <v>1.7488471137145228E-2</v>
      </c>
      <c r="BB28" s="79">
        <f t="shared" si="23"/>
        <v>1.7457424712280539E-2</v>
      </c>
      <c r="BC28" s="79">
        <f t="shared" si="23"/>
        <v>1.7426321927692268E-2</v>
      </c>
      <c r="BD28" s="79">
        <f t="shared" si="23"/>
        <v>1.7395175747592004E-2</v>
      </c>
      <c r="BE28" s="79">
        <f t="shared" si="23"/>
        <v>1.7363998654691411E-2</v>
      </c>
      <c r="BF28" s="79">
        <f t="shared" si="23"/>
        <v>1.7332802663400888E-2</v>
      </c>
      <c r="BG28" s="79">
        <f t="shared" si="23"/>
        <v>1.7301599332787621E-2</v>
      </c>
      <c r="BH28" s="79">
        <f t="shared" si="23"/>
        <v>1.7270399779291078E-2</v>
      </c>
      <c r="BI28" s="79">
        <f t="shared" si="23"/>
        <v>1.7239214689193094E-2</v>
      </c>
      <c r="BJ28" s="31">
        <f t="shared" si="23"/>
        <v>1.720805433084047E-2</v>
      </c>
      <c r="BK28" s="79">
        <f t="shared" si="23"/>
        <v>1.7176928566620293E-2</v>
      </c>
      <c r="BL28" s="79">
        <f t="shared" si="23"/>
        <v>1.7145846864684604E-2</v>
      </c>
      <c r="BM28" s="79">
        <f t="shared" si="23"/>
        <v>1.7114818310427826E-2</v>
      </c>
      <c r="BN28" s="79">
        <f t="shared" si="23"/>
        <v>1.7083851617714446E-2</v>
      </c>
      <c r="BO28" s="79">
        <f t="shared" si="23"/>
        <v>1.705295513985907E-2</v>
      </c>
      <c r="BP28" s="79">
        <f t="shared" si="23"/>
        <v>1.7022136880358991E-2</v>
      </c>
      <c r="BQ28" s="79">
        <f t="shared" si="23"/>
        <v>1.6991404503381807E-2</v>
      </c>
      <c r="BR28" s="79">
        <f t="shared" si="23"/>
        <v>1.6960765344009386E-2</v>
      </c>
      <c r="BS28" s="79">
        <f t="shared" ref="BS28:ED31" si="25">IF(BS$9&lt;=$K$6,RATE($K$6,1,BS74,0),"")</f>
        <v>1.6930226418239727E-2</v>
      </c>
      <c r="BT28" s="79">
        <f t="shared" si="25"/>
        <v>1.6899794432749256E-2</v>
      </c>
      <c r="BU28" s="79">
        <f t="shared" si="25"/>
        <v>1.6869475794420056E-2</v>
      </c>
      <c r="BV28" s="79">
        <f t="shared" si="25"/>
        <v>1.6839276619630753E-2</v>
      </c>
      <c r="BW28" s="79">
        <f t="shared" si="25"/>
        <v>1.6809202743317445E-2</v>
      </c>
      <c r="BX28" s="79">
        <f t="shared" si="25"/>
        <v>1.677925972780717E-2</v>
      </c>
      <c r="BY28" s="79">
        <f t="shared" si="25"/>
        <v>1.6749452871426179E-2</v>
      </c>
      <c r="BZ28" s="79">
        <f t="shared" si="25"/>
        <v>1.6719787216886335E-2</v>
      </c>
      <c r="CA28" s="79">
        <f t="shared" si="25"/>
        <v>1.6690267559454783E-2</v>
      </c>
      <c r="CB28" s="79">
        <f t="shared" si="25"/>
        <v>1.6660898454909496E-2</v>
      </c>
      <c r="CC28" s="79">
        <f t="shared" si="25"/>
        <v>1.6631684227283654E-2</v>
      </c>
      <c r="CD28" s="79">
        <f t="shared" si="25"/>
        <v>1.660262897640338E-2</v>
      </c>
      <c r="CE28" s="79">
        <f t="shared" si="25"/>
        <v>1.6573736585223549E-2</v>
      </c>
      <c r="CF28" s="79">
        <f t="shared" si="25"/>
        <v>1.6545010726963651E-2</v>
      </c>
      <c r="CG28" s="79">
        <f t="shared" si="25"/>
        <v>1.6516454872048999E-2</v>
      </c>
      <c r="CH28" s="79">
        <f t="shared" si="25"/>
        <v>1.6488072294861638E-2</v>
      </c>
      <c r="CI28" s="79">
        <f t="shared" si="25"/>
        <v>1.6459866080301432E-2</v>
      </c>
      <c r="CJ28" s="79">
        <f t="shared" si="25"/>
        <v>1.6431839130167145E-2</v>
      </c>
      <c r="CK28" s="79">
        <f t="shared" si="25"/>
        <v>1.6403994169356024E-2</v>
      </c>
      <c r="CL28" s="79">
        <f t="shared" si="25"/>
        <v>1.6376333751888999E-2</v>
      </c>
      <c r="CM28" s="79">
        <f t="shared" si="25"/>
        <v>1.6348860266763361E-2</v>
      </c>
      <c r="CN28" s="79">
        <f t="shared" si="25"/>
        <v>1.6321575943639619E-2</v>
      </c>
      <c r="CO28" s="79">
        <f t="shared" si="25"/>
        <v>1.6294482858362481E-2</v>
      </c>
      <c r="CP28" s="79">
        <f t="shared" si="25"/>
        <v>1.6267582938324074E-2</v>
      </c>
      <c r="CQ28" s="79">
        <f t="shared" si="25"/>
        <v>1.6240877967669126E-2</v>
      </c>
      <c r="CR28" s="79">
        <f t="shared" si="25"/>
        <v>1.6214369592349523E-2</v>
      </c>
      <c r="CS28" s="79">
        <f t="shared" si="25"/>
        <v>1.6188059325029425E-2</v>
      </c>
      <c r="CT28" s="79">
        <f t="shared" si="25"/>
        <v>1.6161948549845099E-2</v>
      </c>
      <c r="CU28" s="79">
        <f t="shared" si="25"/>
        <v>1.6136038527024447E-2</v>
      </c>
      <c r="CV28" s="79">
        <f t="shared" si="25"/>
        <v>1.6110330397368328E-2</v>
      </c>
      <c r="CW28" s="79">
        <f t="shared" si="25"/>
        <v>1.6084825186596631E-2</v>
      </c>
      <c r="CX28" s="79">
        <f t="shared" si="25"/>
        <v>1.6059523809565466E-2</v>
      </c>
      <c r="CY28" s="79">
        <f t="shared" si="25"/>
        <v>1.6059523809565466E-2</v>
      </c>
      <c r="CZ28" s="79">
        <f t="shared" si="25"/>
        <v>1.6059523809565466E-2</v>
      </c>
      <c r="DA28" s="79">
        <f t="shared" si="25"/>
        <v>1.6059523809565466E-2</v>
      </c>
      <c r="DB28" s="79">
        <f t="shared" si="25"/>
        <v>1.6059523809565466E-2</v>
      </c>
      <c r="DC28" s="79">
        <f t="shared" si="25"/>
        <v>1.6059523809565466E-2</v>
      </c>
      <c r="DD28" s="79">
        <f t="shared" si="25"/>
        <v>1.6059523809565466E-2</v>
      </c>
      <c r="DE28" s="79">
        <f t="shared" si="25"/>
        <v>1.6059523809565466E-2</v>
      </c>
      <c r="DF28" s="79">
        <f t="shared" si="25"/>
        <v>1.6059523809565466E-2</v>
      </c>
      <c r="DG28" s="79">
        <f t="shared" si="25"/>
        <v>1.6059523809565466E-2</v>
      </c>
      <c r="DH28" s="79">
        <f t="shared" si="25"/>
        <v>1.6059523809565466E-2</v>
      </c>
      <c r="DI28" s="79">
        <f t="shared" si="25"/>
        <v>1.6059523809565466E-2</v>
      </c>
      <c r="DJ28" s="79">
        <f t="shared" si="25"/>
        <v>1.6059523809565466E-2</v>
      </c>
      <c r="DK28" s="79">
        <f t="shared" si="25"/>
        <v>1.6059523809565466E-2</v>
      </c>
      <c r="DL28" s="79">
        <f t="shared" si="25"/>
        <v>1.6059523809565466E-2</v>
      </c>
      <c r="DM28" s="79">
        <f t="shared" si="25"/>
        <v>1.6059523809565466E-2</v>
      </c>
      <c r="DN28" s="79">
        <f t="shared" si="25"/>
        <v>1.6059523809565466E-2</v>
      </c>
      <c r="DO28" s="79">
        <f t="shared" si="25"/>
        <v>1.6059523809565466E-2</v>
      </c>
      <c r="DP28" s="79">
        <f t="shared" si="25"/>
        <v>1.6059523809565466E-2</v>
      </c>
      <c r="DQ28" s="79">
        <f t="shared" si="25"/>
        <v>1.6059523809565466E-2</v>
      </c>
      <c r="DR28" s="79">
        <f t="shared" si="25"/>
        <v>1.6059523809565466E-2</v>
      </c>
      <c r="DS28" s="79">
        <f t="shared" si="25"/>
        <v>1.6059523809565466E-2</v>
      </c>
      <c r="DT28" s="79">
        <f t="shared" si="25"/>
        <v>1.6059523809565466E-2</v>
      </c>
      <c r="DU28" s="79">
        <f t="shared" si="25"/>
        <v>1.6059523809565466E-2</v>
      </c>
      <c r="DV28" s="79">
        <f t="shared" si="25"/>
        <v>1.6059523809565466E-2</v>
      </c>
      <c r="DW28" s="79">
        <f t="shared" si="25"/>
        <v>1.6059523809565466E-2</v>
      </c>
      <c r="DX28" s="79">
        <f t="shared" si="25"/>
        <v>1.6059523809565466E-2</v>
      </c>
      <c r="DY28" s="79">
        <f t="shared" si="25"/>
        <v>1.6059523809565466E-2</v>
      </c>
      <c r="DZ28" s="79">
        <f t="shared" si="25"/>
        <v>1.6059523809565466E-2</v>
      </c>
      <c r="EA28" s="79">
        <f t="shared" si="25"/>
        <v>1.6059523809565466E-2</v>
      </c>
      <c r="EB28" s="79">
        <f t="shared" si="25"/>
        <v>1.6059523809565466E-2</v>
      </c>
      <c r="EC28" s="79">
        <f t="shared" si="25"/>
        <v>1.6059523809565466E-2</v>
      </c>
      <c r="ED28" s="79">
        <f t="shared" si="25"/>
        <v>1.6059523809565466E-2</v>
      </c>
      <c r="EE28" s="79">
        <f t="shared" si="18"/>
        <v>1.6059523809565466E-2</v>
      </c>
      <c r="EF28" s="79">
        <f t="shared" si="14"/>
        <v>1.6059523809565466E-2</v>
      </c>
      <c r="EG28" s="79">
        <f t="shared" si="14"/>
        <v>1.6059523809565466E-2</v>
      </c>
      <c r="EH28" s="79">
        <f t="shared" si="14"/>
        <v>1.6059523809565466E-2</v>
      </c>
      <c r="EI28" s="79">
        <f t="shared" si="14"/>
        <v>1.6059523809565466E-2</v>
      </c>
      <c r="EJ28" s="79">
        <f t="shared" si="14"/>
        <v>1.6059523809565466E-2</v>
      </c>
      <c r="EK28" s="79">
        <f t="shared" si="14"/>
        <v>1.6059523809565466E-2</v>
      </c>
      <c r="EL28" s="79">
        <f t="shared" si="14"/>
        <v>1.6059523809565466E-2</v>
      </c>
      <c r="EM28" s="79">
        <f t="shared" si="14"/>
        <v>1.6059523809565466E-2</v>
      </c>
      <c r="EN28" s="79">
        <f t="shared" si="14"/>
        <v>1.6059523809565466E-2</v>
      </c>
      <c r="EO28" s="79">
        <f t="shared" si="14"/>
        <v>1.6059523809565466E-2</v>
      </c>
      <c r="EP28" s="79">
        <f t="shared" si="14"/>
        <v>1.6059523809565466E-2</v>
      </c>
      <c r="EQ28" s="79">
        <f t="shared" si="14"/>
        <v>1.6059523809565466E-2</v>
      </c>
      <c r="ER28" s="79">
        <f t="shared" si="14"/>
        <v>1.6059523809565466E-2</v>
      </c>
      <c r="ES28" s="79">
        <f t="shared" si="14"/>
        <v>1.6059523809565466E-2</v>
      </c>
      <c r="ET28" s="79">
        <f t="shared" si="14"/>
        <v>1.6059523809565466E-2</v>
      </c>
      <c r="EY28" t="s">
        <v>72</v>
      </c>
      <c r="EZ28" s="4">
        <v>1.4999999999999999E-2</v>
      </c>
      <c r="FA28" s="27">
        <v>1.95E-2</v>
      </c>
      <c r="FB28" s="4">
        <f>(FA28-EZ28)/18</f>
        <v>2.5000000000000001E-4</v>
      </c>
      <c r="FF28" s="6" t="s">
        <v>214</v>
      </c>
      <c r="FG28" s="696">
        <v>2.5000000000000001E-2</v>
      </c>
      <c r="FH28" s="696">
        <v>120</v>
      </c>
      <c r="FI28" s="696">
        <v>1.54E-2</v>
      </c>
      <c r="FJ28" s="255">
        <v>1.2800000000000001E-2</v>
      </c>
      <c r="FK28" s="71">
        <f t="shared" si="11"/>
        <v>2.904761904761905E-4</v>
      </c>
      <c r="FL28" t="e">
        <f>VLOOKUP(FF28,'SIMULADOR COM SALDO'!$BX$22:$CK$1000,13,FALSE)</f>
        <v>#N/A</v>
      </c>
    </row>
    <row r="29" spans="5:168" ht="18" customHeight="1" x14ac:dyDescent="0.25">
      <c r="E29" s="78"/>
      <c r="F29" s="97">
        <f t="shared" si="24"/>
        <v>1.6157142857142859E-2</v>
      </c>
      <c r="G29" s="79">
        <f t="shared" si="6"/>
        <v>1.8498532280354831E-2</v>
      </c>
      <c r="H29" s="79">
        <f t="shared" ref="H29:BS32" si="26">IF(H$9&lt;=$K$6,RATE($K$6,1,H75,0),"")</f>
        <v>1.8495647176667341E-2</v>
      </c>
      <c r="I29" s="79">
        <f t="shared" si="26"/>
        <v>1.8491394047678626E-2</v>
      </c>
      <c r="J29" s="79">
        <f t="shared" si="26"/>
        <v>1.848582126832608E-2</v>
      </c>
      <c r="K29" s="79">
        <f t="shared" si="26"/>
        <v>1.8478976224654359E-2</v>
      </c>
      <c r="L29" s="79">
        <f t="shared" si="26"/>
        <v>1.8470905310475141E-2</v>
      </c>
      <c r="M29" s="79">
        <f t="shared" si="26"/>
        <v>1.8461653925676329E-2</v>
      </c>
      <c r="N29" s="79">
        <f t="shared" si="26"/>
        <v>1.8451266476087583E-2</v>
      </c>
      <c r="O29" s="79">
        <f t="shared" si="26"/>
        <v>1.8439786374804087E-2</v>
      </c>
      <c r="P29" s="79">
        <f t="shared" si="26"/>
        <v>1.8427256044879669E-2</v>
      </c>
      <c r="Q29" s="79">
        <f t="shared" si="26"/>
        <v>1.8413716923298649E-2</v>
      </c>
      <c r="R29" s="79">
        <f t="shared" si="26"/>
        <v>1.8399209466141115E-2</v>
      </c>
      <c r="S29" s="79">
        <f t="shared" si="26"/>
        <v>1.8383773154855416E-2</v>
      </c>
      <c r="T29" s="79">
        <f t="shared" si="26"/>
        <v>1.8367446503560186E-2</v>
      </c>
      <c r="U29" s="79">
        <f t="shared" si="26"/>
        <v>1.8350267067294909E-2</v>
      </c>
      <c r="V29" s="79">
        <f t="shared" si="26"/>
        <v>1.833227145114678E-2</v>
      </c>
      <c r="W29" s="79">
        <f t="shared" si="26"/>
        <v>1.8313495320179212E-2</v>
      </c>
      <c r="X29" s="79">
        <f t="shared" si="26"/>
        <v>1.8293973410094731E-2</v>
      </c>
      <c r="Y29" s="79">
        <f t="shared" si="26"/>
        <v>1.8273739538566241E-2</v>
      </c>
      <c r="Z29" s="79">
        <f t="shared" si="26"/>
        <v>1.8252826617171848E-2</v>
      </c>
      <c r="AA29" s="79">
        <f t="shared" si="26"/>
        <v>1.8231266663875857E-2</v>
      </c>
      <c r="AB29" s="79">
        <f t="shared" si="26"/>
        <v>1.8209090815996264E-2</v>
      </c>
      <c r="AC29" s="79">
        <f t="shared" si="26"/>
        <v>1.818632934360646E-2</v>
      </c>
      <c r="AD29" s="79">
        <f t="shared" si="26"/>
        <v>1.8163011663317633E-2</v>
      </c>
      <c r="AE29" s="79">
        <f t="shared" si="26"/>
        <v>1.8139166352395847E-2</v>
      </c>
      <c r="AF29" s="79">
        <f t="shared" si="26"/>
        <v>1.8114821163164155E-2</v>
      </c>
      <c r="AG29" s="79">
        <f t="shared" si="26"/>
        <v>1.8090003037650973E-2</v>
      </c>
      <c r="AH29" s="79">
        <f t="shared" si="26"/>
        <v>1.8064738122438362E-2</v>
      </c>
      <c r="AI29" s="79">
        <f t="shared" si="26"/>
        <v>1.8039051783676995E-2</v>
      </c>
      <c r="AJ29" s="79">
        <f t="shared" si="26"/>
        <v>1.801296862222878E-2</v>
      </c>
      <c r="AK29" s="79">
        <f t="shared" si="26"/>
        <v>1.7986512488902831E-2</v>
      </c>
      <c r="AL29" s="79">
        <f t="shared" si="26"/>
        <v>1.7959706499756416E-2</v>
      </c>
      <c r="AM29" s="79">
        <f t="shared" si="26"/>
        <v>1.7932573051428476E-2</v>
      </c>
      <c r="AN29" s="79">
        <f t="shared" si="26"/>
        <v>1.7905133836479351E-2</v>
      </c>
      <c r="AO29" s="79">
        <f t="shared" si="26"/>
        <v>1.7877409858711793E-2</v>
      </c>
      <c r="AP29" s="79">
        <f t="shared" si="26"/>
        <v>1.7849421448448897E-2</v>
      </c>
      <c r="AQ29" s="79">
        <f t="shared" si="26"/>
        <v>1.7821188277748524E-2</v>
      </c>
      <c r="AR29" s="79">
        <f t="shared" si="26"/>
        <v>1.7792729375531488E-2</v>
      </c>
      <c r="AS29" s="79">
        <f t="shared" si="26"/>
        <v>1.7764063142608422E-2</v>
      </c>
      <c r="AT29" s="79">
        <f t="shared" si="26"/>
        <v>1.7735207366586202E-2</v>
      </c>
      <c r="AU29" s="79">
        <f t="shared" si="26"/>
        <v>1.7706179236639245E-2</v>
      </c>
      <c r="AV29" s="79">
        <f t="shared" si="26"/>
        <v>1.7676995358130859E-2</v>
      </c>
      <c r="AW29" s="79">
        <f t="shared" si="26"/>
        <v>1.7647671767073329E-2</v>
      </c>
      <c r="AX29" s="79">
        <f t="shared" si="26"/>
        <v>1.7618223944414521E-2</v>
      </c>
      <c r="AY29" s="79">
        <f t="shared" si="26"/>
        <v>1.758866683013972E-2</v>
      </c>
      <c r="AZ29" s="79">
        <f t="shared" si="26"/>
        <v>1.7559014837181419E-2</v>
      </c>
      <c r="BA29" s="79">
        <f t="shared" si="26"/>
        <v>1.752928186512721E-2</v>
      </c>
      <c r="BB29" s="79">
        <f t="shared" si="26"/>
        <v>1.749948131371901E-2</v>
      </c>
      <c r="BC29" s="79">
        <f t="shared" si="26"/>
        <v>1.7469626096138374E-2</v>
      </c>
      <c r="BD29" s="79">
        <f t="shared" si="26"/>
        <v>1.7439728652071208E-2</v>
      </c>
      <c r="BE29" s="79">
        <f t="shared" si="26"/>
        <v>1.7409800960547051E-2</v>
      </c>
      <c r="BF29" s="79">
        <f t="shared" si="26"/>
        <v>1.7379854552550582E-2</v>
      </c>
      <c r="BG29" s="79">
        <f t="shared" si="26"/>
        <v>1.734990052340088E-2</v>
      </c>
      <c r="BH29" s="79">
        <f t="shared" si="26"/>
        <v>1.7319949544896129E-2</v>
      </c>
      <c r="BI29" s="79">
        <f t="shared" si="26"/>
        <v>1.7290011877222258E-2</v>
      </c>
      <c r="BJ29" s="31">
        <f t="shared" si="26"/>
        <v>1.7260097380623916E-2</v>
      </c>
      <c r="BK29" s="79">
        <f t="shared" si="26"/>
        <v>1.7230215526837095E-2</v>
      </c>
      <c r="BL29" s="79">
        <f t="shared" si="26"/>
        <v>1.7200375410281799E-2</v>
      </c>
      <c r="BM29" s="79">
        <f t="shared" si="26"/>
        <v>1.717058575901801E-2</v>
      </c>
      <c r="BN29" s="79">
        <f t="shared" si="26"/>
        <v>1.7140854945461557E-2</v>
      </c>
      <c r="BO29" s="79">
        <f t="shared" si="26"/>
        <v>1.711119099686368E-2</v>
      </c>
      <c r="BP29" s="79">
        <f t="shared" si="26"/>
        <v>1.7081601605553269E-2</v>
      </c>
      <c r="BQ29" s="79">
        <f t="shared" si="26"/>
        <v>1.7052094138946771E-2</v>
      </c>
      <c r="BR29" s="79">
        <f t="shared" si="26"/>
        <v>1.7022675649322357E-2</v>
      </c>
      <c r="BS29" s="79">
        <f t="shared" si="26"/>
        <v>1.6993352883365533E-2</v>
      </c>
      <c r="BT29" s="79">
        <f t="shared" si="25"/>
        <v>1.696413229148612E-2</v>
      </c>
      <c r="BU29" s="79">
        <f t="shared" si="25"/>
        <v>1.693502003690792E-2</v>
      </c>
      <c r="BV29" s="79">
        <f t="shared" si="25"/>
        <v>1.6906022004537443E-2</v>
      </c>
      <c r="BW29" s="79">
        <f t="shared" si="25"/>
        <v>1.6877143809610307E-2</v>
      </c>
      <c r="BX29" s="79">
        <f t="shared" si="25"/>
        <v>1.6848390806122032E-2</v>
      </c>
      <c r="BY29" s="79">
        <f t="shared" si="25"/>
        <v>1.6819768095044121E-2</v>
      </c>
      <c r="BZ29" s="79">
        <f t="shared" si="25"/>
        <v>1.679128053232919E-2</v>
      </c>
      <c r="CA29" s="79">
        <f t="shared" si="25"/>
        <v>1.6762932736709493E-2</v>
      </c>
      <c r="CB29" s="79">
        <f t="shared" si="25"/>
        <v>1.6734729097290582E-2</v>
      </c>
      <c r="CC29" s="79">
        <f t="shared" si="25"/>
        <v>1.6706673780945924E-2</v>
      </c>
      <c r="CD29" s="79">
        <f t="shared" si="25"/>
        <v>1.6678770739513984E-2</v>
      </c>
      <c r="CE29" s="79">
        <f t="shared" si="25"/>
        <v>1.665102371680206E-2</v>
      </c>
      <c r="CF29" s="79">
        <f t="shared" si="25"/>
        <v>1.6623436255401979E-2</v>
      </c>
      <c r="CG29" s="79">
        <f t="shared" si="25"/>
        <v>1.6596011703318564E-2</v>
      </c>
      <c r="CH29" s="79">
        <f t="shared" si="25"/>
        <v>1.6568753220417645E-2</v>
      </c>
      <c r="CI29" s="79">
        <f t="shared" si="25"/>
        <v>1.6541663784695494E-2</v>
      </c>
      <c r="CJ29" s="79">
        <f t="shared" si="25"/>
        <v>1.6514746198373134E-2</v>
      </c>
      <c r="CK29" s="79">
        <f t="shared" si="25"/>
        <v>1.6488003093821962E-2</v>
      </c>
      <c r="CL29" s="79">
        <f t="shared" si="25"/>
        <v>1.6461436939319975E-2</v>
      </c>
      <c r="CM29" s="79">
        <f t="shared" si="25"/>
        <v>1.6435050044646956E-2</v>
      </c>
      <c r="CN29" s="79">
        <f t="shared" si="25"/>
        <v>1.6408844566519663E-2</v>
      </c>
      <c r="CO29" s="79">
        <f t="shared" si="25"/>
        <v>1.6382822513870552E-2</v>
      </c>
      <c r="CP29" s="79">
        <f t="shared" si="25"/>
        <v>1.6356985752975291E-2</v>
      </c>
      <c r="CQ29" s="79">
        <f t="shared" si="25"/>
        <v>1.6331336012431003E-2</v>
      </c>
      <c r="CR29" s="79">
        <f t="shared" si="25"/>
        <v>1.6305874887990641E-2</v>
      </c>
      <c r="CS29" s="79">
        <f t="shared" si="25"/>
        <v>1.6280603847254771E-2</v>
      </c>
      <c r="CT29" s="79">
        <f t="shared" si="25"/>
        <v>1.6255524234226063E-2</v>
      </c>
      <c r="CU29" s="79">
        <f t="shared" si="25"/>
        <v>1.6230637273728948E-2</v>
      </c>
      <c r="CV29" s="79">
        <f t="shared" si="25"/>
        <v>1.6205944075699419E-2</v>
      </c>
      <c r="CW29" s="79">
        <f t="shared" si="25"/>
        <v>1.6181445639344236E-2</v>
      </c>
      <c r="CX29" s="79">
        <f t="shared" si="25"/>
        <v>1.6157142857178945E-2</v>
      </c>
      <c r="CY29" s="79">
        <f t="shared" si="25"/>
        <v>1.6157142857178945E-2</v>
      </c>
      <c r="CZ29" s="79">
        <f t="shared" si="25"/>
        <v>1.6157142857178945E-2</v>
      </c>
      <c r="DA29" s="79">
        <f t="shared" si="25"/>
        <v>1.6157142857178945E-2</v>
      </c>
      <c r="DB29" s="79">
        <f t="shared" si="25"/>
        <v>1.6157142857178945E-2</v>
      </c>
      <c r="DC29" s="79">
        <f t="shared" si="25"/>
        <v>1.6157142857178945E-2</v>
      </c>
      <c r="DD29" s="79">
        <f t="shared" si="25"/>
        <v>1.6157142857178945E-2</v>
      </c>
      <c r="DE29" s="79">
        <f t="shared" si="25"/>
        <v>1.6157142857178945E-2</v>
      </c>
      <c r="DF29" s="79">
        <f t="shared" si="25"/>
        <v>1.6157142857178945E-2</v>
      </c>
      <c r="DG29" s="79">
        <f t="shared" si="25"/>
        <v>1.6157142857178945E-2</v>
      </c>
      <c r="DH29" s="79">
        <f t="shared" si="25"/>
        <v>1.6157142857178945E-2</v>
      </c>
      <c r="DI29" s="79">
        <f t="shared" si="25"/>
        <v>1.6157142857178945E-2</v>
      </c>
      <c r="DJ29" s="79">
        <f t="shared" si="25"/>
        <v>1.6157142857178945E-2</v>
      </c>
      <c r="DK29" s="79">
        <f t="shared" si="25"/>
        <v>1.6157142857178945E-2</v>
      </c>
      <c r="DL29" s="79">
        <f t="shared" si="25"/>
        <v>1.6157142857178945E-2</v>
      </c>
      <c r="DM29" s="79">
        <f t="shared" si="25"/>
        <v>1.6157142857178945E-2</v>
      </c>
      <c r="DN29" s="79">
        <f t="shared" si="25"/>
        <v>1.6157142857178945E-2</v>
      </c>
      <c r="DO29" s="79">
        <f t="shared" si="25"/>
        <v>1.6157142857178945E-2</v>
      </c>
      <c r="DP29" s="79">
        <f t="shared" si="25"/>
        <v>1.6157142857178945E-2</v>
      </c>
      <c r="DQ29" s="79">
        <f t="shared" si="25"/>
        <v>1.6157142857178945E-2</v>
      </c>
      <c r="DR29" s="79">
        <f t="shared" si="25"/>
        <v>1.6157142857178945E-2</v>
      </c>
      <c r="DS29" s="79">
        <f t="shared" si="25"/>
        <v>1.6157142857178945E-2</v>
      </c>
      <c r="DT29" s="79">
        <f t="shared" si="25"/>
        <v>1.6157142857178945E-2</v>
      </c>
      <c r="DU29" s="79">
        <f t="shared" si="25"/>
        <v>1.6157142857178945E-2</v>
      </c>
      <c r="DV29" s="79">
        <f t="shared" si="25"/>
        <v>1.6157142857178945E-2</v>
      </c>
      <c r="DW29" s="79">
        <f t="shared" si="25"/>
        <v>1.6157142857178945E-2</v>
      </c>
      <c r="DX29" s="79">
        <f t="shared" si="25"/>
        <v>1.6157142857178945E-2</v>
      </c>
      <c r="DY29" s="79">
        <f t="shared" si="25"/>
        <v>1.6157142857178945E-2</v>
      </c>
      <c r="DZ29" s="79">
        <f t="shared" si="25"/>
        <v>1.6157142857178945E-2</v>
      </c>
      <c r="EA29" s="79">
        <f t="shared" si="25"/>
        <v>1.6157142857178945E-2</v>
      </c>
      <c r="EB29" s="79">
        <f t="shared" si="25"/>
        <v>1.6157142857178945E-2</v>
      </c>
      <c r="EC29" s="79">
        <f t="shared" si="25"/>
        <v>1.6157142857178945E-2</v>
      </c>
      <c r="ED29" s="79">
        <f t="shared" si="25"/>
        <v>1.6157142857178945E-2</v>
      </c>
      <c r="EE29" s="79">
        <f t="shared" si="18"/>
        <v>1.6157142857178945E-2</v>
      </c>
      <c r="EF29" s="79">
        <f t="shared" si="14"/>
        <v>1.6157142857178945E-2</v>
      </c>
      <c r="EG29" s="79">
        <f t="shared" si="14"/>
        <v>1.6157142857178945E-2</v>
      </c>
      <c r="EH29" s="79">
        <f t="shared" si="14"/>
        <v>1.6157142857178945E-2</v>
      </c>
      <c r="EI29" s="79">
        <f t="shared" si="14"/>
        <v>1.6157142857178945E-2</v>
      </c>
      <c r="EJ29" s="79">
        <f t="shared" si="14"/>
        <v>1.6157142857178945E-2</v>
      </c>
      <c r="EK29" s="79">
        <f t="shared" si="14"/>
        <v>1.6157142857178945E-2</v>
      </c>
      <c r="EL29" s="79">
        <f t="shared" si="14"/>
        <v>1.6157142857178945E-2</v>
      </c>
      <c r="EM29" s="79">
        <f t="shared" si="14"/>
        <v>1.6157142857178945E-2</v>
      </c>
      <c r="EN29" s="79">
        <f t="shared" si="14"/>
        <v>1.6157142857178945E-2</v>
      </c>
      <c r="EO29" s="79">
        <f t="shared" si="14"/>
        <v>1.6157142857178945E-2</v>
      </c>
      <c r="EP29" s="79">
        <f t="shared" si="14"/>
        <v>1.6157142857178945E-2</v>
      </c>
      <c r="EQ29" s="79">
        <f t="shared" si="14"/>
        <v>1.6157142857178945E-2</v>
      </c>
      <c r="ER29" s="79">
        <f t="shared" si="14"/>
        <v>1.6157142857178945E-2</v>
      </c>
      <c r="ES29" s="79">
        <f t="shared" si="14"/>
        <v>1.6157142857178945E-2</v>
      </c>
      <c r="ET29" s="79">
        <f t="shared" si="14"/>
        <v>1.6157142857178945E-2</v>
      </c>
      <c r="EY29" t="s">
        <v>76</v>
      </c>
      <c r="EZ29" s="4">
        <v>1.15E-2</v>
      </c>
      <c r="FA29" s="27">
        <f>VLOOKUP(EY29,$EY$11:$FC$24,5,FALSE)</f>
        <v>1.9699999999999999E-2</v>
      </c>
      <c r="FB29" s="4">
        <f>(FA29-EZ29)/18</f>
        <v>4.5555555555555551E-4</v>
      </c>
      <c r="FF29" s="6" t="s">
        <v>605</v>
      </c>
      <c r="FG29" s="696">
        <v>2.5000000000000001E-2</v>
      </c>
      <c r="FH29" s="696">
        <v>120</v>
      </c>
      <c r="FI29" s="696">
        <v>1.7000000000000001E-2</v>
      </c>
      <c r="FJ29" s="255">
        <v>1.55E-2</v>
      </c>
      <c r="FK29" s="71">
        <f t="shared" si="11"/>
        <v>2.2619047619047624E-4</v>
      </c>
      <c r="FL29" t="e">
        <f>VLOOKUP(FF29,'SIMULADOR COM SALDO'!$BX$22:$CK$1000,13,FALSE)</f>
        <v>#N/A</v>
      </c>
    </row>
    <row r="30" spans="5:168" x14ac:dyDescent="0.25">
      <c r="F30" s="97">
        <f t="shared" si="24"/>
        <v>1.6254761904761907E-2</v>
      </c>
      <c r="G30" s="79">
        <f t="shared" si="6"/>
        <v>1.8498593568125343E-2</v>
      </c>
      <c r="H30" s="79">
        <f t="shared" si="26"/>
        <v>1.8495829057474766E-2</v>
      </c>
      <c r="I30" s="79">
        <f t="shared" si="26"/>
        <v>1.8491753866218659E-2</v>
      </c>
      <c r="J30" s="79">
        <f t="shared" si="26"/>
        <v>1.8486414432547258E-2</v>
      </c>
      <c r="K30" s="79">
        <f t="shared" si="26"/>
        <v>1.847985623130623E-2</v>
      </c>
      <c r="L30" s="79">
        <f t="shared" si="26"/>
        <v>1.8472123772222956E-2</v>
      </c>
      <c r="M30" s="79">
        <f t="shared" si="26"/>
        <v>1.8463260599630535E-2</v>
      </c>
      <c r="N30" s="79">
        <f t="shared" si="26"/>
        <v>1.8453309293601224E-2</v>
      </c>
      <c r="O30" s="79">
        <f t="shared" si="26"/>
        <v>1.8442311472401034E-2</v>
      </c>
      <c r="P30" s="79">
        <f t="shared" si="26"/>
        <v>1.8430307796178751E-2</v>
      </c>
      <c r="Q30" s="79">
        <f t="shared" si="26"/>
        <v>1.8417337971809233E-2</v>
      </c>
      <c r="R30" s="79">
        <f t="shared" si="26"/>
        <v>1.8403440758808974E-2</v>
      </c>
      <c r="S30" s="79">
        <f t="shared" si="26"/>
        <v>1.8388653976246803E-2</v>
      </c>
      <c r="T30" s="79">
        <f t="shared" si="26"/>
        <v>1.8373014510575544E-2</v>
      </c>
      <c r="U30" s="79">
        <f t="shared" si="26"/>
        <v>1.8356558324312884E-2</v>
      </c>
      <c r="V30" s="79">
        <f t="shared" si="26"/>
        <v>1.8339320465501636E-2</v>
      </c>
      <c r="W30" s="79">
        <f t="shared" si="26"/>
        <v>1.8321335077883236E-2</v>
      </c>
      <c r="X30" s="79">
        <f t="shared" si="26"/>
        <v>1.8302635411722681E-2</v>
      </c>
      <c r="Y30" s="79">
        <f t="shared" si="26"/>
        <v>1.8283253835222463E-2</v>
      </c>
      <c r="Z30" s="79">
        <f t="shared" si="26"/>
        <v>1.8263221846469405E-2</v>
      </c>
      <c r="AA30" s="79">
        <f t="shared" si="26"/>
        <v>1.8242570085857227E-2</v>
      </c>
      <c r="AB30" s="79">
        <f t="shared" si="26"/>
        <v>1.8221328348936066E-2</v>
      </c>
      <c r="AC30" s="79">
        <f t="shared" si="26"/>
        <v>1.8199525599635946E-2</v>
      </c>
      <c r="AD30" s="79">
        <f t="shared" si="26"/>
        <v>1.817718998381973E-2</v>
      </c>
      <c r="AE30" s="79">
        <f t="shared" si="26"/>
        <v>1.8154348843119957E-2</v>
      </c>
      <c r="AF30" s="79">
        <f t="shared" si="26"/>
        <v>1.8131028729017333E-2</v>
      </c>
      <c r="AG30" s="79">
        <f t="shared" si="26"/>
        <v>1.8107255417123973E-2</v>
      </c>
      <c r="AH30" s="79">
        <f t="shared" si="26"/>
        <v>1.808305392163059E-2</v>
      </c>
      <c r="AI30" s="79">
        <f t="shared" si="26"/>
        <v>1.8058448509885538E-2</v>
      </c>
      <c r="AJ30" s="79">
        <f t="shared" si="26"/>
        <v>1.8033462717071711E-2</v>
      </c>
      <c r="AK30" s="79">
        <f t="shared" si="26"/>
        <v>1.8008119360952583E-2</v>
      </c>
      <c r="AL30" s="79">
        <f t="shared" si="26"/>
        <v>1.7982440556655453E-2</v>
      </c>
      <c r="AM30" s="79">
        <f t="shared" si="26"/>
        <v>1.7956447731469077E-2</v>
      </c>
      <c r="AN30" s="79">
        <f t="shared" si="26"/>
        <v>1.7930161639629023E-2</v>
      </c>
      <c r="AO30" s="79">
        <f t="shared" si="26"/>
        <v>1.7903602377067895E-2</v>
      </c>
      <c r="AP30" s="79">
        <f t="shared" si="26"/>
        <v>1.7876789396109427E-2</v>
      </c>
      <c r="AQ30" s="79">
        <f t="shared" si="26"/>
        <v>1.7849741520088294E-2</v>
      </c>
      <c r="AR30" s="79">
        <f t="shared" si="26"/>
        <v>1.782247695787445E-2</v>
      </c>
      <c r="AS30" s="79">
        <f t="shared" si="26"/>
        <v>1.7795013318289254E-2</v>
      </c>
      <c r="AT30" s="79">
        <f t="shared" si="26"/>
        <v>1.7767367624395101E-2</v>
      </c>
      <c r="AU30" s="79">
        <f t="shared" si="26"/>
        <v>1.7739556327647364E-2</v>
      </c>
      <c r="AV30" s="79">
        <f t="shared" si="26"/>
        <v>1.7711595321893692E-2</v>
      </c>
      <c r="AW30" s="79">
        <f t="shared" si="26"/>
        <v>1.7683499957211191E-2</v>
      </c>
      <c r="AX30" s="79">
        <f t="shared" si="26"/>
        <v>1.7655285053570891E-2</v>
      </c>
      <c r="AY30" s="79">
        <f t="shared" si="26"/>
        <v>1.7626964914320163E-2</v>
      </c>
      <c r="AZ30" s="79">
        <f t="shared" si="26"/>
        <v>1.7598553339473681E-2</v>
      </c>
      <c r="BA30" s="79">
        <f t="shared" si="26"/>
        <v>1.7570063638808728E-2</v>
      </c>
      <c r="BB30" s="79">
        <f t="shared" si="26"/>
        <v>1.7541508644756759E-2</v>
      </c>
      <c r="BC30" s="79">
        <f t="shared" si="26"/>
        <v>1.7512900725083668E-2</v>
      </c>
      <c r="BD30" s="79">
        <f t="shared" si="26"/>
        <v>1.7484251795359378E-2</v>
      </c>
      <c r="BE30" s="79">
        <f t="shared" si="26"/>
        <v>1.745557333120756E-2</v>
      </c>
      <c r="BF30" s="79">
        <f t="shared" si="26"/>
        <v>1.7426876380334431E-2</v>
      </c>
      <c r="BG30" s="79">
        <f t="shared" si="26"/>
        <v>1.7398171574335698E-2</v>
      </c>
      <c r="BH30" s="79">
        <f t="shared" si="26"/>
        <v>1.7369469140275415E-2</v>
      </c>
      <c r="BI30" s="79">
        <f t="shared" si="26"/>
        <v>1.7340778912038828E-2</v>
      </c>
      <c r="BJ30" s="31">
        <f t="shared" si="26"/>
        <v>1.7312110341457916E-2</v>
      </c>
      <c r="BK30" s="79">
        <f t="shared" si="26"/>
        <v>1.7283472509206005E-2</v>
      </c>
      <c r="BL30" s="79">
        <f t="shared" si="26"/>
        <v>1.7254874135465208E-2</v>
      </c>
      <c r="BM30" s="79">
        <f t="shared" si="26"/>
        <v>1.7226323590365526E-2</v>
      </c>
      <c r="BN30" s="79">
        <f t="shared" si="26"/>
        <v>1.7197828904194745E-2</v>
      </c>
      <c r="BO30" s="79">
        <f t="shared" si="26"/>
        <v>1.7169397777382855E-2</v>
      </c>
      <c r="BP30" s="79">
        <f t="shared" si="26"/>
        <v>1.7141037590260234E-2</v>
      </c>
      <c r="BQ30" s="79">
        <f t="shared" si="26"/>
        <v>1.7112755412592447E-2</v>
      </c>
      <c r="BR30" s="79">
        <f t="shared" si="26"/>
        <v>1.7084558012892707E-2</v>
      </c>
      <c r="BS30" s="79">
        <f t="shared" si="26"/>
        <v>1.7056451867514776E-2</v>
      </c>
      <c r="BT30" s="79">
        <f t="shared" si="25"/>
        <v>1.7028443169528153E-2</v>
      </c>
      <c r="BU30" s="79">
        <f t="shared" si="25"/>
        <v>1.7000537837378354E-2</v>
      </c>
      <c r="BV30" s="79">
        <f t="shared" si="25"/>
        <v>1.6972741523333723E-2</v>
      </c>
      <c r="BW30" s="79">
        <f t="shared" si="25"/>
        <v>1.6945059621725215E-2</v>
      </c>
      <c r="BX30" s="79">
        <f t="shared" si="25"/>
        <v>1.6917497276976525E-2</v>
      </c>
      <c r="BY30" s="79">
        <f t="shared" si="25"/>
        <v>1.6890059391433173E-2</v>
      </c>
      <c r="BZ30" s="79">
        <f t="shared" si="25"/>
        <v>1.6862750632989653E-2</v>
      </c>
      <c r="CA30" s="79">
        <f t="shared" si="25"/>
        <v>1.6835575442520449E-2</v>
      </c>
      <c r="CB30" s="79">
        <f t="shared" si="25"/>
        <v>1.6808538041116393E-2</v>
      </c>
      <c r="CC30" s="79">
        <f t="shared" si="25"/>
        <v>1.6781642437132219E-2</v>
      </c>
      <c r="CD30" s="79">
        <f t="shared" si="25"/>
        <v>1.67548924330457E-2</v>
      </c>
      <c r="CE30" s="79">
        <f t="shared" si="25"/>
        <v>1.6728291632133626E-2</v>
      </c>
      <c r="CF30" s="79">
        <f t="shared" si="25"/>
        <v>1.6701843444969458E-2</v>
      </c>
      <c r="CG30" s="79">
        <f t="shared" si="25"/>
        <v>1.667555109574281E-2</v>
      </c>
      <c r="CH30" s="79">
        <f t="shared" si="25"/>
        <v>1.6649417628406837E-2</v>
      </c>
      <c r="CI30" s="79">
        <f t="shared" si="25"/>
        <v>1.6623445912657416E-2</v>
      </c>
      <c r="CJ30" s="79">
        <f t="shared" si="25"/>
        <v>1.6597638649745314E-2</v>
      </c>
      <c r="CK30" s="79">
        <f t="shared" si="25"/>
        <v>1.6571998378127357E-2</v>
      </c>
      <c r="CL30" s="79">
        <f t="shared" si="25"/>
        <v>1.6546527478958357E-2</v>
      </c>
      <c r="CM30" s="79">
        <f t="shared" si="25"/>
        <v>1.6521228181429717E-2</v>
      </c>
      <c r="CN30" s="79">
        <f t="shared" si="25"/>
        <v>1.6496102567954054E-2</v>
      </c>
      <c r="CO30" s="79">
        <f t="shared" si="25"/>
        <v>1.6471152579204389E-2</v>
      </c>
      <c r="CP30" s="79">
        <f t="shared" si="25"/>
        <v>1.6446380019007403E-2</v>
      </c>
      <c r="CQ30" s="79">
        <f t="shared" si="25"/>
        <v>1.6421786559096031E-2</v>
      </c>
      <c r="CR30" s="79">
        <f t="shared" si="25"/>
        <v>1.6397373743725015E-2</v>
      </c>
      <c r="CS30" s="79">
        <f t="shared" si="25"/>
        <v>1.6373142994150831E-2</v>
      </c>
      <c r="CT30" s="79">
        <f t="shared" si="25"/>
        <v>1.6349095612981996E-2</v>
      </c>
      <c r="CU30" s="79">
        <f t="shared" si="25"/>
        <v>1.6325232788399952E-2</v>
      </c>
      <c r="CV30" s="79">
        <f t="shared" si="25"/>
        <v>1.630155559825756E-2</v>
      </c>
      <c r="CW30" s="79">
        <f t="shared" si="25"/>
        <v>1.6278065014054065E-2</v>
      </c>
      <c r="CX30" s="79">
        <f t="shared" si="25"/>
        <v>1.6254761904792754E-2</v>
      </c>
      <c r="CY30" s="79">
        <f t="shared" si="25"/>
        <v>1.6254761904792754E-2</v>
      </c>
      <c r="CZ30" s="79">
        <f t="shared" si="25"/>
        <v>1.6254761904792754E-2</v>
      </c>
      <c r="DA30" s="79">
        <f t="shared" si="25"/>
        <v>1.6254761904792754E-2</v>
      </c>
      <c r="DB30" s="79">
        <f t="shared" si="25"/>
        <v>1.6254761904792754E-2</v>
      </c>
      <c r="DC30" s="79">
        <f t="shared" si="25"/>
        <v>1.6254761904792754E-2</v>
      </c>
      <c r="DD30" s="79">
        <f t="shared" si="25"/>
        <v>1.6254761904792754E-2</v>
      </c>
      <c r="DE30" s="79">
        <f t="shared" si="25"/>
        <v>1.6254761904792754E-2</v>
      </c>
      <c r="DF30" s="79">
        <f t="shared" si="25"/>
        <v>1.6254761904792754E-2</v>
      </c>
      <c r="DG30" s="79">
        <f t="shared" si="25"/>
        <v>1.6254761904792754E-2</v>
      </c>
      <c r="DH30" s="79">
        <f t="shared" si="25"/>
        <v>1.6254761904792754E-2</v>
      </c>
      <c r="DI30" s="79">
        <f t="shared" si="25"/>
        <v>1.6254761904792754E-2</v>
      </c>
      <c r="DJ30" s="79">
        <f t="shared" si="25"/>
        <v>1.6254761904792754E-2</v>
      </c>
      <c r="DK30" s="79">
        <f t="shared" si="25"/>
        <v>1.6254761904792754E-2</v>
      </c>
      <c r="DL30" s="79">
        <f t="shared" si="25"/>
        <v>1.6254761904792754E-2</v>
      </c>
      <c r="DM30" s="79">
        <f t="shared" si="25"/>
        <v>1.6254761904792754E-2</v>
      </c>
      <c r="DN30" s="79">
        <f t="shared" si="25"/>
        <v>1.6254761904792754E-2</v>
      </c>
      <c r="DO30" s="79">
        <f t="shared" si="25"/>
        <v>1.6254761904792754E-2</v>
      </c>
      <c r="DP30" s="79">
        <f t="shared" si="25"/>
        <v>1.6254761904792754E-2</v>
      </c>
      <c r="DQ30" s="79">
        <f t="shared" si="25"/>
        <v>1.6254761904792754E-2</v>
      </c>
      <c r="DR30" s="79">
        <f t="shared" si="25"/>
        <v>1.6254761904792754E-2</v>
      </c>
      <c r="DS30" s="79">
        <f t="shared" si="25"/>
        <v>1.6254761904792754E-2</v>
      </c>
      <c r="DT30" s="79">
        <f t="shared" si="25"/>
        <v>1.6254761904792754E-2</v>
      </c>
      <c r="DU30" s="79">
        <f t="shared" si="25"/>
        <v>1.6254761904792754E-2</v>
      </c>
      <c r="DV30" s="79">
        <f t="shared" si="25"/>
        <v>1.6254761904792754E-2</v>
      </c>
      <c r="DW30" s="79">
        <f t="shared" si="25"/>
        <v>1.6254761904792754E-2</v>
      </c>
      <c r="DX30" s="79">
        <f t="shared" si="25"/>
        <v>1.6254761904792754E-2</v>
      </c>
      <c r="DY30" s="79">
        <f t="shared" si="25"/>
        <v>1.6254761904792754E-2</v>
      </c>
      <c r="DZ30" s="79">
        <f t="shared" si="25"/>
        <v>1.6254761904792754E-2</v>
      </c>
      <c r="EA30" s="79">
        <f t="shared" si="25"/>
        <v>1.6254761904792754E-2</v>
      </c>
      <c r="EB30" s="79">
        <f t="shared" si="25"/>
        <v>1.6254761904792754E-2</v>
      </c>
      <c r="EC30" s="79">
        <f t="shared" si="25"/>
        <v>1.6254761904792754E-2</v>
      </c>
      <c r="ED30" s="79">
        <f t="shared" si="25"/>
        <v>1.6254761904792754E-2</v>
      </c>
      <c r="EE30" s="79">
        <f t="shared" si="18"/>
        <v>1.6254761904792754E-2</v>
      </c>
      <c r="EF30" s="79">
        <f t="shared" ref="EF30:ET30" si="27">IF(EF$9&lt;=$K$6,RATE($K$6,1,EF76,0),"")</f>
        <v>1.6254761904792754E-2</v>
      </c>
      <c r="EG30" s="79">
        <f t="shared" si="27"/>
        <v>1.6254761904792754E-2</v>
      </c>
      <c r="EH30" s="79">
        <f t="shared" si="27"/>
        <v>1.6254761904792754E-2</v>
      </c>
      <c r="EI30" s="79">
        <f t="shared" si="27"/>
        <v>1.6254761904792754E-2</v>
      </c>
      <c r="EJ30" s="79">
        <f t="shared" si="27"/>
        <v>1.6254761904792754E-2</v>
      </c>
      <c r="EK30" s="79">
        <f t="shared" si="27"/>
        <v>1.6254761904792754E-2</v>
      </c>
      <c r="EL30" s="79">
        <f t="shared" si="27"/>
        <v>1.6254761904792754E-2</v>
      </c>
      <c r="EM30" s="79">
        <f t="shared" si="27"/>
        <v>1.6254761904792754E-2</v>
      </c>
      <c r="EN30" s="79">
        <f t="shared" si="27"/>
        <v>1.6254761904792754E-2</v>
      </c>
      <c r="EO30" s="79">
        <f t="shared" si="27"/>
        <v>1.6254761904792754E-2</v>
      </c>
      <c r="EP30" s="79">
        <f t="shared" si="27"/>
        <v>1.6254761904792754E-2</v>
      </c>
      <c r="EQ30" s="79">
        <f t="shared" si="27"/>
        <v>1.6254761904792754E-2</v>
      </c>
      <c r="ER30" s="79">
        <f t="shared" si="27"/>
        <v>1.6254761904792754E-2</v>
      </c>
      <c r="ES30" s="79">
        <f t="shared" si="27"/>
        <v>1.6254761904792754E-2</v>
      </c>
      <c r="ET30" s="79">
        <f t="shared" si="27"/>
        <v>1.6254761904792754E-2</v>
      </c>
      <c r="EY30" t="s">
        <v>33</v>
      </c>
      <c r="EZ30" s="4">
        <v>1.5900000000000001E-2</v>
      </c>
      <c r="FA30" s="27">
        <f>VLOOKUP(EY30,$EY$11:$FC$24,5,FALSE)</f>
        <v>2.0500000000000001E-2</v>
      </c>
      <c r="FB30" s="4">
        <f>(FA30-EZ30)/18</f>
        <v>2.5555555555555553E-4</v>
      </c>
      <c r="FF30" s="67" t="s">
        <v>3450</v>
      </c>
      <c r="FG30" s="696">
        <v>1.8500000000000003E-2</v>
      </c>
      <c r="FH30" s="696">
        <v>120</v>
      </c>
      <c r="FI30" s="696">
        <v>1.5100000000000001E-2</v>
      </c>
      <c r="FJ30" s="255">
        <v>1.38E-2</v>
      </c>
      <c r="FK30" s="71">
        <f t="shared" si="11"/>
        <v>1.1190476190476197E-4</v>
      </c>
      <c r="FL30" t="e">
        <f>VLOOKUP(FF30,'SIMULADOR COM SALDO'!$BX$22:$CK$1000,13,FALSE)</f>
        <v>#N/A</v>
      </c>
    </row>
    <row r="31" spans="5:168" x14ac:dyDescent="0.25">
      <c r="E31" s="28"/>
      <c r="F31" s="97">
        <f t="shared" si="24"/>
        <v>1.6352380952380955E-2</v>
      </c>
      <c r="G31" s="79">
        <f t="shared" si="6"/>
        <v>1.8498654844325519E-2</v>
      </c>
      <c r="H31" s="79">
        <f t="shared" si="26"/>
        <v>1.8496010893546244E-2</v>
      </c>
      <c r="I31" s="79">
        <f t="shared" si="26"/>
        <v>1.8492113576861462E-2</v>
      </c>
      <c r="J31" s="79">
        <f t="shared" si="26"/>
        <v>1.8487007388803923E-2</v>
      </c>
      <c r="K31" s="79">
        <f t="shared" si="26"/>
        <v>1.8480735887475095E-2</v>
      </c>
      <c r="L31" s="79">
        <f t="shared" si="26"/>
        <v>1.8473341694216654E-2</v>
      </c>
      <c r="M31" s="79">
        <f t="shared" si="26"/>
        <v>1.8464866494635166E-2</v>
      </c>
      <c r="N31" s="79">
        <f t="shared" si="26"/>
        <v>1.8455351040896392E-2</v>
      </c>
      <c r="O31" s="79">
        <f t="shared" si="26"/>
        <v>1.8444835155206771E-2</v>
      </c>
      <c r="P31" s="79">
        <f t="shared" si="26"/>
        <v>1.8433357734404278E-2</v>
      </c>
      <c r="Q31" s="79">
        <f t="shared" si="26"/>
        <v>1.8420956755581502E-2</v>
      </c>
      <c r="R31" s="79">
        <f t="shared" si="26"/>
        <v>1.8407669282667585E-2</v>
      </c>
      <c r="S31" s="79">
        <f t="shared" si="26"/>
        <v>1.8393531473897811E-2</v>
      </c>
      <c r="T31" s="79">
        <f t="shared" si="26"/>
        <v>1.8378578590102064E-2</v>
      </c>
      <c r="U31" s="79">
        <f t="shared" si="26"/>
        <v>1.8362845003745645E-2</v>
      </c>
      <c r="V31" s="79">
        <f t="shared" si="26"/>
        <v>1.8346364208660745E-2</v>
      </c>
      <c r="W31" s="79">
        <f t="shared" si="26"/>
        <v>1.8329168830406611E-2</v>
      </c>
      <c r="X31" s="79">
        <f t="shared" si="26"/>
        <v>1.8311290637201258E-2</v>
      </c>
      <c r="Y31" s="79">
        <f t="shared" si="26"/>
        <v>1.8292760551369133E-2</v>
      </c>
      <c r="Z31" s="79">
        <f t="shared" si="26"/>
        <v>1.8273608661253181E-2</v>
      </c>
      <c r="AA31" s="79">
        <f t="shared" si="26"/>
        <v>1.825386423353911E-2</v>
      </c>
      <c r="AB31" s="79">
        <f t="shared" si="26"/>
        <v>1.8233555725947641E-2</v>
      </c>
      <c r="AC31" s="79">
        <f t="shared" si="26"/>
        <v>1.8212710800246293E-2</v>
      </c>
      <c r="AD31" s="79">
        <f t="shared" si="26"/>
        <v>1.8191356335540899E-2</v>
      </c>
      <c r="AE31" s="79">
        <f t="shared" si="26"/>
        <v>1.8169518441805591E-2</v>
      </c>
      <c r="AF31" s="79">
        <f t="shared" si="26"/>
        <v>1.8147222473612303E-2</v>
      </c>
      <c r="AG31" s="79">
        <f t="shared" si="26"/>
        <v>1.8124493044026593E-2</v>
      </c>
      <c r="AH31" s="79">
        <f t="shared" si="26"/>
        <v>1.8101354038634117E-2</v>
      </c>
      <c r="AI31" s="79">
        <f t="shared" si="26"/>
        <v>1.8077828629666979E-2</v>
      </c>
      <c r="AJ31" s="79">
        <f t="shared" si="26"/>
        <v>1.805393929020175E-2</v>
      </c>
      <c r="AK31" s="79">
        <f t="shared" si="26"/>
        <v>1.8029707808398888E-2</v>
      </c>
      <c r="AL31" s="79">
        <f t="shared" si="26"/>
        <v>1.8005155301761284E-2</v>
      </c>
      <c r="AM31" s="79">
        <f t="shared" si="26"/>
        <v>1.7980302231385466E-2</v>
      </c>
      <c r="AN31" s="79">
        <f t="shared" si="26"/>
        <v>1.7955168416185E-2</v>
      </c>
      <c r="AO31" s="79">
        <f t="shared" si="26"/>
        <v>1.792977304706465E-2</v>
      </c>
      <c r="AP31" s="79">
        <f t="shared" si="26"/>
        <v>1.7904134701025986E-2</v>
      </c>
      <c r="AQ31" s="79">
        <f t="shared" si="26"/>
        <v>1.7878271355189084E-2</v>
      </c>
      <c r="AR31" s="79">
        <f t="shared" si="26"/>
        <v>1.785220040071148E-2</v>
      </c>
      <c r="AS31" s="79">
        <f t="shared" si="26"/>
        <v>1.782593865659202E-2</v>
      </c>
      <c r="AT31" s="79">
        <f t="shared" si="26"/>
        <v>1.7799502383343994E-2</v>
      </c>
      <c r="AU31" s="79">
        <f t="shared" si="26"/>
        <v>1.7772907296528626E-2</v>
      </c>
      <c r="AV31" s="79">
        <f t="shared" si="26"/>
        <v>1.7746168580132938E-2</v>
      </c>
      <c r="AW31" s="79">
        <f t="shared" si="26"/>
        <v>1.7719300899787224E-2</v>
      </c>
      <c r="AX31" s="79">
        <f t="shared" si="26"/>
        <v>1.7692318415810145E-2</v>
      </c>
      <c r="AY31" s="79">
        <f t="shared" si="26"/>
        <v>1.7665234796073109E-2</v>
      </c>
      <c r="AZ31" s="79">
        <f t="shared" si="26"/>
        <v>1.7638063228679484E-2</v>
      </c>
      <c r="BA31" s="79">
        <f t="shared" si="26"/>
        <v>1.7610816434449634E-2</v>
      </c>
      <c r="BB31" s="79">
        <f t="shared" si="26"/>
        <v>1.758350667920686E-2</v>
      </c>
      <c r="BC31" s="79">
        <f t="shared" si="26"/>
        <v>1.7556145785862818E-2</v>
      </c>
      <c r="BD31" s="79">
        <f t="shared" si="26"/>
        <v>1.7528745146292657E-2</v>
      </c>
      <c r="BE31" s="79">
        <f t="shared" si="26"/>
        <v>1.7501315733001364E-2</v>
      </c>
      <c r="BF31" s="79">
        <f t="shared" si="26"/>
        <v>1.7473868110576857E-2</v>
      </c>
      <c r="BG31" s="79">
        <f t="shared" si="26"/>
        <v>1.744641244692734E-2</v>
      </c>
      <c r="BH31" s="79">
        <f t="shared" si="26"/>
        <v>1.7418958524301822E-2</v>
      </c>
      <c r="BI31" s="79">
        <f t="shared" si="26"/>
        <v>1.7391515750092974E-2</v>
      </c>
      <c r="BJ31" s="31">
        <f t="shared" si="26"/>
        <v>1.7364093167420373E-2</v>
      </c>
      <c r="BK31" s="79">
        <f t="shared" si="26"/>
        <v>1.7336699465495858E-2</v>
      </c>
      <c r="BL31" s="79">
        <f t="shared" si="26"/>
        <v>1.7309342989769331E-2</v>
      </c>
      <c r="BM31" s="79">
        <f t="shared" si="26"/>
        <v>1.7282031751856546E-2</v>
      </c>
      <c r="BN31" s="79">
        <f t="shared" si="26"/>
        <v>1.7254773439249294E-2</v>
      </c>
      <c r="BO31" s="79">
        <f t="shared" si="26"/>
        <v>1.7227575424809811E-2</v>
      </c>
      <c r="BP31" s="79">
        <f t="shared" si="26"/>
        <v>1.7200444776049321E-2</v>
      </c>
      <c r="BQ31" s="79">
        <f t="shared" si="26"/>
        <v>1.7173388264194685E-2</v>
      </c>
      <c r="BR31" s="79">
        <f t="shared" si="26"/>
        <v>1.7146412373042423E-2</v>
      </c>
      <c r="BS31" s="79">
        <f t="shared" si="26"/>
        <v>1.7119523307604616E-2</v>
      </c>
      <c r="BT31" s="79">
        <f t="shared" si="25"/>
        <v>1.7092727002546906E-2</v>
      </c>
      <c r="BU31" s="79">
        <f t="shared" si="25"/>
        <v>1.7066029130423627E-2</v>
      </c>
      <c r="BV31" s="79">
        <f t="shared" si="25"/>
        <v>1.7039435109709386E-2</v>
      </c>
      <c r="BW31" s="79">
        <f t="shared" si="25"/>
        <v>1.7012950112633034E-2</v>
      </c>
      <c r="BX31" s="79">
        <f t="shared" si="25"/>
        <v>1.6986579072814187E-2</v>
      </c>
      <c r="BY31" s="79">
        <f t="shared" si="25"/>
        <v>1.6960326692708069E-2</v>
      </c>
      <c r="BZ31" s="79">
        <f t="shared" si="25"/>
        <v>1.6934197450858588E-2</v>
      </c>
      <c r="CA31" s="79">
        <f t="shared" si="25"/>
        <v>1.6908195608966409E-2</v>
      </c>
      <c r="CB31" s="79">
        <f t="shared" si="25"/>
        <v>1.6882325218770748E-2</v>
      </c>
      <c r="CC31" s="79">
        <f t="shared" si="25"/>
        <v>1.6856590128753499E-2</v>
      </c>
      <c r="CD31" s="79">
        <f t="shared" si="25"/>
        <v>1.6830993990663408E-2</v>
      </c>
      <c r="CE31" s="79">
        <f t="shared" si="25"/>
        <v>1.6805540265868727E-2</v>
      </c>
      <c r="CF31" s="79">
        <f t="shared" si="25"/>
        <v>1.6780232231537628E-2</v>
      </c>
      <c r="CG31" s="79">
        <f t="shared" si="25"/>
        <v>1.6755072986652884E-2</v>
      </c>
      <c r="CH31" s="79">
        <f t="shared" si="25"/>
        <v>1.6730065457861175E-2</v>
      </c>
      <c r="CI31" s="79">
        <f t="shared" si="25"/>
        <v>1.6705212405164489E-2</v>
      </c>
      <c r="CJ31" s="79">
        <f t="shared" si="25"/>
        <v>1.6680516427451966E-2</v>
      </c>
      <c r="CK31" s="79">
        <f t="shared" si="25"/>
        <v>1.6655979967880059E-2</v>
      </c>
      <c r="CL31" s="79">
        <f t="shared" si="25"/>
        <v>1.6631605319101194E-2</v>
      </c>
      <c r="CM31" s="79">
        <f t="shared" si="25"/>
        <v>1.6607394628347347E-2</v>
      </c>
      <c r="CN31" s="79">
        <f t="shared" si="25"/>
        <v>1.6583349902368101E-2</v>
      </c>
      <c r="CO31" s="79">
        <f t="shared" si="25"/>
        <v>1.6559473012230017E-2</v>
      </c>
      <c r="CP31" s="79">
        <f t="shared" si="25"/>
        <v>1.6535765697977784E-2</v>
      </c>
      <c r="CQ31" s="79">
        <f t="shared" si="25"/>
        <v>1.6512229573163607E-2</v>
      </c>
      <c r="CR31" s="79">
        <f t="shared" si="25"/>
        <v>1.6488866129243475E-2</v>
      </c>
      <c r="CS31" s="79">
        <f t="shared" si="25"/>
        <v>1.6465676739848539E-2</v>
      </c>
      <c r="CT31" s="79">
        <f t="shared" si="25"/>
        <v>1.6442662664930704E-2</v>
      </c>
      <c r="CU31" s="79">
        <f t="shared" si="25"/>
        <v>1.6419825054787597E-2</v>
      </c>
      <c r="CV31" s="79">
        <f t="shared" si="25"/>
        <v>1.6397164953969211E-2</v>
      </c>
      <c r="CW31" s="79">
        <f t="shared" si="25"/>
        <v>1.6374683305069932E-2</v>
      </c>
      <c r="CX31" s="79">
        <f t="shared" si="25"/>
        <v>1.6352380952407628E-2</v>
      </c>
      <c r="CY31" s="79">
        <f t="shared" si="25"/>
        <v>1.6352380952407628E-2</v>
      </c>
      <c r="CZ31" s="79">
        <f t="shared" si="25"/>
        <v>1.6352380952407628E-2</v>
      </c>
      <c r="DA31" s="79">
        <f t="shared" si="25"/>
        <v>1.6352380952407628E-2</v>
      </c>
      <c r="DB31" s="79">
        <f t="shared" si="25"/>
        <v>1.6352380952407628E-2</v>
      </c>
      <c r="DC31" s="79">
        <f t="shared" si="25"/>
        <v>1.6352380952407628E-2</v>
      </c>
      <c r="DD31" s="79">
        <f t="shared" si="25"/>
        <v>1.6352380952407628E-2</v>
      </c>
      <c r="DE31" s="79">
        <f t="shared" si="25"/>
        <v>1.6352380952407628E-2</v>
      </c>
      <c r="DF31" s="79">
        <f t="shared" si="25"/>
        <v>1.6352380952407628E-2</v>
      </c>
      <c r="DG31" s="79">
        <f t="shared" si="25"/>
        <v>1.6352380952407628E-2</v>
      </c>
      <c r="DH31" s="79">
        <f t="shared" si="25"/>
        <v>1.6352380952407628E-2</v>
      </c>
      <c r="DI31" s="79">
        <f t="shared" si="25"/>
        <v>1.6352380952407628E-2</v>
      </c>
      <c r="DJ31" s="79">
        <f t="shared" si="25"/>
        <v>1.6352380952407628E-2</v>
      </c>
      <c r="DK31" s="79">
        <f t="shared" si="25"/>
        <v>1.6352380952407628E-2</v>
      </c>
      <c r="DL31" s="79">
        <f t="shared" si="25"/>
        <v>1.6352380952407628E-2</v>
      </c>
      <c r="DM31" s="79">
        <f t="shared" si="25"/>
        <v>1.6352380952407628E-2</v>
      </c>
      <c r="DN31" s="79">
        <f t="shared" si="25"/>
        <v>1.6352380952407628E-2</v>
      </c>
      <c r="DO31" s="79">
        <f t="shared" si="25"/>
        <v>1.6352380952407628E-2</v>
      </c>
      <c r="DP31" s="79">
        <f t="shared" si="25"/>
        <v>1.6352380952407628E-2</v>
      </c>
      <c r="DQ31" s="79">
        <f t="shared" si="25"/>
        <v>1.6352380952407628E-2</v>
      </c>
      <c r="DR31" s="79">
        <f t="shared" si="25"/>
        <v>1.6352380952407628E-2</v>
      </c>
      <c r="DS31" s="79">
        <f t="shared" si="25"/>
        <v>1.6352380952407628E-2</v>
      </c>
      <c r="DT31" s="79">
        <f t="shared" si="25"/>
        <v>1.6352380952407628E-2</v>
      </c>
      <c r="DU31" s="79">
        <f t="shared" si="25"/>
        <v>1.6352380952407628E-2</v>
      </c>
      <c r="DV31" s="79">
        <f t="shared" si="25"/>
        <v>1.6352380952407628E-2</v>
      </c>
      <c r="DW31" s="79">
        <f t="shared" si="25"/>
        <v>1.6352380952407628E-2</v>
      </c>
      <c r="DX31" s="79">
        <f t="shared" si="25"/>
        <v>1.6352380952407628E-2</v>
      </c>
      <c r="DY31" s="79">
        <f t="shared" si="25"/>
        <v>1.6352380952407628E-2</v>
      </c>
      <c r="DZ31" s="79">
        <f t="shared" si="25"/>
        <v>1.6352380952407628E-2</v>
      </c>
      <c r="EA31" s="79">
        <f t="shared" si="25"/>
        <v>1.6352380952407628E-2</v>
      </c>
      <c r="EB31" s="79">
        <f t="shared" si="25"/>
        <v>1.6352380952407628E-2</v>
      </c>
      <c r="EC31" s="79">
        <f t="shared" si="25"/>
        <v>1.6352380952407628E-2</v>
      </c>
      <c r="ED31" s="79">
        <f t="shared" si="25"/>
        <v>1.6352380952407628E-2</v>
      </c>
      <c r="EE31" s="79">
        <f t="shared" ref="EE31:ET46" si="28">IF(EE$9&lt;=$K$6,RATE($K$6,1,EE77,0),"")</f>
        <v>1.6352380952407628E-2</v>
      </c>
      <c r="EF31" s="79">
        <f t="shared" si="28"/>
        <v>1.6352380952407628E-2</v>
      </c>
      <c r="EG31" s="79">
        <f t="shared" si="28"/>
        <v>1.6352380952407628E-2</v>
      </c>
      <c r="EH31" s="79">
        <f t="shared" si="28"/>
        <v>1.6352380952407628E-2</v>
      </c>
      <c r="EI31" s="79">
        <f t="shared" si="28"/>
        <v>1.6352380952407628E-2</v>
      </c>
      <c r="EJ31" s="79">
        <f t="shared" si="28"/>
        <v>1.6352380952407628E-2</v>
      </c>
      <c r="EK31" s="79">
        <f t="shared" si="28"/>
        <v>1.6352380952407628E-2</v>
      </c>
      <c r="EL31" s="79">
        <f t="shared" si="28"/>
        <v>1.6352380952407628E-2</v>
      </c>
      <c r="EM31" s="79">
        <f t="shared" si="28"/>
        <v>1.6352380952407628E-2</v>
      </c>
      <c r="EN31" s="79">
        <f t="shared" si="28"/>
        <v>1.6352380952407628E-2</v>
      </c>
      <c r="EO31" s="79">
        <f t="shared" si="28"/>
        <v>1.6352380952407628E-2</v>
      </c>
      <c r="EP31" s="79">
        <f t="shared" si="28"/>
        <v>1.6352380952407628E-2</v>
      </c>
      <c r="EQ31" s="79">
        <f t="shared" si="28"/>
        <v>1.6352380952407628E-2</v>
      </c>
      <c r="ER31" s="79">
        <f t="shared" si="28"/>
        <v>1.6352380952407628E-2</v>
      </c>
      <c r="ES31" s="79">
        <f t="shared" si="28"/>
        <v>1.6352380952407628E-2</v>
      </c>
      <c r="ET31" s="79">
        <f t="shared" si="28"/>
        <v>1.6352380952407628E-2</v>
      </c>
      <c r="FF31" s="6" t="s">
        <v>3843</v>
      </c>
      <c r="FG31" s="696">
        <v>2.5000000000000001E-2</v>
      </c>
      <c r="FH31" s="696">
        <v>120</v>
      </c>
      <c r="FI31" s="696">
        <v>1.83E-2</v>
      </c>
      <c r="FJ31" s="255">
        <v>0</v>
      </c>
      <c r="FK31" s="71">
        <f t="shared" si="11"/>
        <v>5.9523809523809529E-4</v>
      </c>
      <c r="FL31" t="e">
        <f>VLOOKUP(FF31,'SIMULADOR COM SALDO'!$BX$22:$CK$1000,13,FALSE)</f>
        <v>#N/A</v>
      </c>
    </row>
    <row r="32" spans="5:168" x14ac:dyDescent="0.25">
      <c r="F32" s="97">
        <f t="shared" si="24"/>
        <v>1.6450000000000003E-2</v>
      </c>
      <c r="G32" s="79">
        <f t="shared" si="6"/>
        <v>1.8498716108958244E-2</v>
      </c>
      <c r="H32" s="79">
        <f t="shared" si="26"/>
        <v>1.8496192684897043E-2</v>
      </c>
      <c r="I32" s="79">
        <f t="shared" si="26"/>
        <v>1.8492473179649908E-2</v>
      </c>
      <c r="J32" s="79">
        <f t="shared" si="26"/>
        <v>1.8487600137189475E-2</v>
      </c>
      <c r="K32" s="79">
        <f t="shared" si="26"/>
        <v>1.8481615193333918E-2</v>
      </c>
      <c r="L32" s="79">
        <f t="shared" si="26"/>
        <v>1.8474559076743328E-2</v>
      </c>
      <c r="M32" s="79">
        <f t="shared" si="26"/>
        <v>1.8466471611131029E-2</v>
      </c>
      <c r="N32" s="79">
        <f t="shared" si="26"/>
        <v>1.8457391718609051E-2</v>
      </c>
      <c r="O32" s="79">
        <f t="shared" si="26"/>
        <v>1.844735742409602E-2</v>
      </c>
      <c r="P32" s="79">
        <f t="shared" si="26"/>
        <v>1.8436405860711672E-2</v>
      </c>
      <c r="Q32" s="79">
        <f t="shared" si="26"/>
        <v>1.8424573276091517E-2</v>
      </c>
      <c r="R32" s="79">
        <f t="shared" si="26"/>
        <v>1.8411895039549701E-2</v>
      </c>
      <c r="S32" s="79">
        <f t="shared" si="26"/>
        <v>1.83984056500286E-2</v>
      </c>
      <c r="T32" s="79">
        <f t="shared" si="26"/>
        <v>1.8384138744769851E-2</v>
      </c>
      <c r="U32" s="79">
        <f t="shared" si="26"/>
        <v>1.8369127108648482E-2</v>
      </c>
      <c r="V32" s="79">
        <f t="shared" si="26"/>
        <v>1.8353402684111224E-2</v>
      </c>
      <c r="W32" s="79">
        <f t="shared" si="26"/>
        <v>1.8336996581664079E-2</v>
      </c>
      <c r="X32" s="79">
        <f t="shared" si="26"/>
        <v>1.8319939090858411E-2</v>
      </c>
      <c r="Y32" s="79">
        <f t="shared" si="26"/>
        <v>1.8302259691721636E-2</v>
      </c>
      <c r="Z32" s="79">
        <f t="shared" si="26"/>
        <v>1.8283987066589763E-2</v>
      </c>
      <c r="AA32" s="79">
        <f t="shared" si="26"/>
        <v>1.8265149112291771E-2</v>
      </c>
      <c r="AB32" s="79">
        <f t="shared" si="26"/>
        <v>1.8245772952646112E-2</v>
      </c>
      <c r="AC32" s="79">
        <f t="shared" si="26"/>
        <v>1.8225884951228236E-2</v>
      </c>
      <c r="AD32" s="79">
        <f t="shared" si="26"/>
        <v>1.8205510724368313E-2</v>
      </c>
      <c r="AE32" s="79">
        <f t="shared" si="26"/>
        <v>1.8184675154347532E-2</v>
      </c>
      <c r="AF32" s="79">
        <f t="shared" si="26"/>
        <v>1.8163402402753524E-2</v>
      </c>
      <c r="AG32" s="79">
        <f t="shared" si="26"/>
        <v>1.8141715923967218E-2</v>
      </c>
      <c r="AH32" s="79">
        <f t="shared" si="26"/>
        <v>1.8119638478748763E-2</v>
      </c>
      <c r="AI32" s="79">
        <f t="shared" si="26"/>
        <v>1.8097192147894795E-2</v>
      </c>
      <c r="AJ32" s="79">
        <f t="shared" si="26"/>
        <v>1.8074398345941097E-2</v>
      </c>
      <c r="AK32" s="79">
        <f t="shared" si="26"/>
        <v>1.8051277834885703E-2</v>
      </c>
      <c r="AL32" s="79">
        <f t="shared" si="26"/>
        <v>1.8027850737909214E-2</v>
      </c>
      <c r="AM32" s="79">
        <f t="shared" si="26"/>
        <v>1.8004136553072099E-2</v>
      </c>
      <c r="AN32" s="79">
        <f t="shared" si="26"/>
        <v>1.7980154166968319E-2</v>
      </c>
      <c r="AO32" s="79">
        <f t="shared" si="26"/>
        <v>1.795592186831731E-2</v>
      </c>
      <c r="AP32" s="79">
        <f t="shared" si="26"/>
        <v>1.793145736147737E-2</v>
      </c>
      <c r="AQ32" s="79">
        <f t="shared" si="26"/>
        <v>1.7906777779865365E-2</v>
      </c>
      <c r="AR32" s="79">
        <f t="shared" si="26"/>
        <v>1.7881899699268646E-2</v>
      </c>
      <c r="AS32" s="79">
        <f t="shared" si="26"/>
        <v>1.7856839151034514E-2</v>
      </c>
      <c r="AT32" s="79">
        <f t="shared" si="26"/>
        <v>1.7831611635128804E-2</v>
      </c>
      <c r="AU32" s="79">
        <f t="shared" si="26"/>
        <v>1.7806232133049053E-2</v>
      </c>
      <c r="AV32" s="79">
        <f t="shared" si="26"/>
        <v>1.7780715120584215E-2</v>
      </c>
      <c r="AW32" s="79">
        <f t="shared" si="26"/>
        <v>1.7755074580414577E-2</v>
      </c>
      <c r="AX32" s="79">
        <f t="shared" si="26"/>
        <v>1.7729324014538611E-2</v>
      </c>
      <c r="AY32" s="79">
        <f t="shared" si="26"/>
        <v>1.7703476456524536E-2</v>
      </c>
      <c r="AZ32" s="79">
        <f t="shared" si="26"/>
        <v>1.7677544483579909E-2</v>
      </c>
      <c r="BA32" s="79">
        <f t="shared" si="26"/>
        <v>1.7651540228430275E-2</v>
      </c>
      <c r="BB32" s="79">
        <f t="shared" si="26"/>
        <v>1.7625475391007284E-2</v>
      </c>
      <c r="BC32" s="79">
        <f t="shared" si="26"/>
        <v>1.7599361249938481E-2</v>
      </c>
      <c r="BD32" s="79">
        <f t="shared" si="26"/>
        <v>1.7573208673837132E-2</v>
      </c>
      <c r="BE32" s="79">
        <f t="shared" si="26"/>
        <v>1.7547028132389366E-2</v>
      </c>
      <c r="BF32" s="79">
        <f t="shared" si="26"/>
        <v>1.7520829707235411E-2</v>
      </c>
      <c r="BG32" s="79">
        <f t="shared" si="26"/>
        <v>1.7494623102644921E-2</v>
      </c>
      <c r="BH32" s="79">
        <f t="shared" si="26"/>
        <v>1.7468417655983091E-2</v>
      </c>
      <c r="BI32" s="79">
        <f t="shared" si="26"/>
        <v>1.7442222347968685E-2</v>
      </c>
      <c r="BJ32" s="31">
        <f t="shared" si="26"/>
        <v>1.7416045812722707E-2</v>
      </c>
      <c r="BK32" s="79">
        <f t="shared" si="26"/>
        <v>1.7389896347607698E-2</v>
      </c>
      <c r="BL32" s="79">
        <f t="shared" si="26"/>
        <v>1.7363781922858566E-2</v>
      </c>
      <c r="BM32" s="79">
        <f t="shared" si="26"/>
        <v>1.7337710191004461E-2</v>
      </c>
      <c r="BN32" s="79">
        <f t="shared" si="26"/>
        <v>1.7311688496084523E-2</v>
      </c>
      <c r="BO32" s="79">
        <f t="shared" si="26"/>
        <v>1.7285723882657509E-2</v>
      </c>
      <c r="BP32" s="79">
        <f t="shared" si="26"/>
        <v>1.7259823104606466E-2</v>
      </c>
      <c r="BQ32" s="79">
        <f t="shared" si="26"/>
        <v>1.7233992633741087E-2</v>
      </c>
      <c r="BR32" s="79">
        <f t="shared" si="26"/>
        <v>1.7208238668199871E-2</v>
      </c>
      <c r="BS32" s="79">
        <f t="shared" ref="BS32:ED35" si="29">IF(BS$9&lt;=$K$6,RATE($K$6,1,BS78,0),"")</f>
        <v>1.7182567140652617E-2</v>
      </c>
      <c r="BT32" s="79">
        <f t="shared" si="29"/>
        <v>1.7156983726307612E-2</v>
      </c>
      <c r="BU32" s="79">
        <f t="shared" si="29"/>
        <v>1.7131493850724669E-2</v>
      </c>
      <c r="BV32" s="79">
        <f t="shared" si="29"/>
        <v>1.710610269743593E-2</v>
      </c>
      <c r="BW32" s="79">
        <f t="shared" si="29"/>
        <v>1.708081521537964E-2</v>
      </c>
      <c r="BX32" s="79">
        <f t="shared" si="29"/>
        <v>1.7055636126146363E-2</v>
      </c>
      <c r="BY32" s="79">
        <f t="shared" si="29"/>
        <v>1.7030569931043991E-2</v>
      </c>
      <c r="BZ32" s="79">
        <f t="shared" si="29"/>
        <v>1.7005620917980583E-2</v>
      </c>
      <c r="CA32" s="79">
        <f t="shared" si="29"/>
        <v>1.6980793168172425E-2</v>
      </c>
      <c r="CB32" s="79">
        <f t="shared" si="29"/>
        <v>1.6956090562676399E-2</v>
      </c>
      <c r="CC32" s="79">
        <f t="shared" si="29"/>
        <v>1.6931516788752234E-2</v>
      </c>
      <c r="CD32" s="79">
        <f t="shared" si="29"/>
        <v>1.6907075346057131E-2</v>
      </c>
      <c r="CE32" s="79">
        <f t="shared" si="29"/>
        <v>1.6882769552675921E-2</v>
      </c>
      <c r="CF32" s="79">
        <f t="shared" si="29"/>
        <v>1.6858602550989258E-2</v>
      </c>
      <c r="CG32" s="79">
        <f t="shared" si="29"/>
        <v>1.6834577313384495E-2</v>
      </c>
      <c r="CH32" s="79">
        <f t="shared" si="29"/>
        <v>1.6810696647811776E-2</v>
      </c>
      <c r="CI32" s="79">
        <f t="shared" si="29"/>
        <v>1.6786963203187653E-2</v>
      </c>
      <c r="CJ32" s="79">
        <f t="shared" si="29"/>
        <v>1.676337947465072E-2</v>
      </c>
      <c r="CK32" s="79">
        <f t="shared" si="29"/>
        <v>1.6739947808672509E-2</v>
      </c>
      <c r="CL32" s="79">
        <f t="shared" si="29"/>
        <v>1.6716670408025623E-2</v>
      </c>
      <c r="CM32" s="79">
        <f t="shared" si="29"/>
        <v>1.6693549336612851E-2</v>
      </c>
      <c r="CN32" s="79">
        <f t="shared" si="29"/>
        <v>1.667058652416219E-2</v>
      </c>
      <c r="CO32" s="79">
        <f t="shared" si="29"/>
        <v>1.6647783770786677E-2</v>
      </c>
      <c r="CP32" s="79">
        <f t="shared" si="29"/>
        <v>1.6625142751416525E-2</v>
      </c>
      <c r="CQ32" s="79">
        <f t="shared" si="29"/>
        <v>1.6602665020105267E-2</v>
      </c>
      <c r="CR32" s="79">
        <f t="shared" si="29"/>
        <v>1.6580352014209807E-2</v>
      </c>
      <c r="CS32" s="79">
        <f t="shared" si="29"/>
        <v>1.6558205058453096E-2</v>
      </c>
      <c r="CT32" s="79">
        <f t="shared" si="29"/>
        <v>1.6536225368867348E-2</v>
      </c>
      <c r="CU32" s="79">
        <f t="shared" si="29"/>
        <v>1.6514414056623038E-2</v>
      </c>
      <c r="CV32" s="79">
        <f t="shared" si="29"/>
        <v>1.6492772131746405E-2</v>
      </c>
      <c r="CW32" s="79">
        <f t="shared" si="29"/>
        <v>1.6471300506727515E-2</v>
      </c>
      <c r="CX32" s="79">
        <f t="shared" si="29"/>
        <v>1.6450000000022842E-2</v>
      </c>
      <c r="CY32" s="79">
        <f t="shared" si="29"/>
        <v>1.6450000000022842E-2</v>
      </c>
      <c r="CZ32" s="79">
        <f t="shared" si="29"/>
        <v>1.6450000000022842E-2</v>
      </c>
      <c r="DA32" s="79">
        <f t="shared" si="29"/>
        <v>1.6450000000022842E-2</v>
      </c>
      <c r="DB32" s="79">
        <f t="shared" si="29"/>
        <v>1.6450000000022842E-2</v>
      </c>
      <c r="DC32" s="79">
        <f t="shared" si="29"/>
        <v>1.6450000000022842E-2</v>
      </c>
      <c r="DD32" s="79">
        <f t="shared" si="29"/>
        <v>1.6450000000022842E-2</v>
      </c>
      <c r="DE32" s="79">
        <f t="shared" si="29"/>
        <v>1.6450000000022842E-2</v>
      </c>
      <c r="DF32" s="79">
        <f t="shared" si="29"/>
        <v>1.6450000000022842E-2</v>
      </c>
      <c r="DG32" s="79">
        <f t="shared" si="29"/>
        <v>1.6450000000022842E-2</v>
      </c>
      <c r="DH32" s="79">
        <f t="shared" si="29"/>
        <v>1.6450000000022842E-2</v>
      </c>
      <c r="DI32" s="79">
        <f t="shared" si="29"/>
        <v>1.6450000000022842E-2</v>
      </c>
      <c r="DJ32" s="79">
        <f t="shared" si="29"/>
        <v>1.6450000000022842E-2</v>
      </c>
      <c r="DK32" s="79">
        <f t="shared" si="29"/>
        <v>1.6450000000022842E-2</v>
      </c>
      <c r="DL32" s="79">
        <f t="shared" si="29"/>
        <v>1.6450000000022842E-2</v>
      </c>
      <c r="DM32" s="79">
        <f t="shared" si="29"/>
        <v>1.6450000000022842E-2</v>
      </c>
      <c r="DN32" s="79">
        <f t="shared" si="29"/>
        <v>1.6450000000022842E-2</v>
      </c>
      <c r="DO32" s="79">
        <f t="shared" si="29"/>
        <v>1.6450000000022842E-2</v>
      </c>
      <c r="DP32" s="79">
        <f t="shared" si="29"/>
        <v>1.6450000000022842E-2</v>
      </c>
      <c r="DQ32" s="79">
        <f t="shared" si="29"/>
        <v>1.6450000000022842E-2</v>
      </c>
      <c r="DR32" s="79">
        <f t="shared" si="29"/>
        <v>1.6450000000022842E-2</v>
      </c>
      <c r="DS32" s="79">
        <f t="shared" si="29"/>
        <v>1.6450000000022842E-2</v>
      </c>
      <c r="DT32" s="79">
        <f t="shared" si="29"/>
        <v>1.6450000000022842E-2</v>
      </c>
      <c r="DU32" s="79">
        <f t="shared" si="29"/>
        <v>1.6450000000022842E-2</v>
      </c>
      <c r="DV32" s="79">
        <f t="shared" si="29"/>
        <v>1.6450000000022842E-2</v>
      </c>
      <c r="DW32" s="79">
        <f t="shared" si="29"/>
        <v>1.6450000000022842E-2</v>
      </c>
      <c r="DX32" s="79">
        <f t="shared" si="29"/>
        <v>1.6450000000022842E-2</v>
      </c>
      <c r="DY32" s="79">
        <f t="shared" si="29"/>
        <v>1.6450000000022842E-2</v>
      </c>
      <c r="DZ32" s="79">
        <f t="shared" si="29"/>
        <v>1.6450000000022842E-2</v>
      </c>
      <c r="EA32" s="79">
        <f t="shared" si="29"/>
        <v>1.6450000000022842E-2</v>
      </c>
      <c r="EB32" s="79">
        <f t="shared" si="29"/>
        <v>1.6450000000022842E-2</v>
      </c>
      <c r="EC32" s="79">
        <f t="shared" si="29"/>
        <v>1.6450000000022842E-2</v>
      </c>
      <c r="ED32" s="79">
        <f t="shared" si="29"/>
        <v>1.6450000000022842E-2</v>
      </c>
      <c r="EE32" s="79">
        <f t="shared" si="28"/>
        <v>1.6450000000022842E-2</v>
      </c>
      <c r="EF32" s="79">
        <f t="shared" si="28"/>
        <v>1.6450000000022842E-2</v>
      </c>
      <c r="EG32" s="79">
        <f t="shared" si="28"/>
        <v>1.6450000000022842E-2</v>
      </c>
      <c r="EH32" s="79">
        <f t="shared" si="28"/>
        <v>1.6450000000022842E-2</v>
      </c>
      <c r="EI32" s="79">
        <f t="shared" si="28"/>
        <v>1.6450000000022842E-2</v>
      </c>
      <c r="EJ32" s="79">
        <f t="shared" si="28"/>
        <v>1.6450000000022842E-2</v>
      </c>
      <c r="EK32" s="79">
        <f t="shared" si="28"/>
        <v>1.6450000000022842E-2</v>
      </c>
      <c r="EL32" s="79">
        <f t="shared" si="28"/>
        <v>1.6450000000022842E-2</v>
      </c>
      <c r="EM32" s="79">
        <f t="shared" si="28"/>
        <v>1.6450000000022842E-2</v>
      </c>
      <c r="EN32" s="79">
        <f t="shared" si="28"/>
        <v>1.6450000000022842E-2</v>
      </c>
      <c r="EO32" s="79">
        <f t="shared" si="28"/>
        <v>1.6450000000022842E-2</v>
      </c>
      <c r="EP32" s="79">
        <f t="shared" si="28"/>
        <v>1.6450000000022842E-2</v>
      </c>
      <c r="EQ32" s="79">
        <f t="shared" si="28"/>
        <v>1.6450000000022842E-2</v>
      </c>
      <c r="ER32" s="79">
        <f t="shared" si="28"/>
        <v>1.6450000000022842E-2</v>
      </c>
      <c r="ES32" s="79">
        <f t="shared" si="28"/>
        <v>1.6450000000022842E-2</v>
      </c>
      <c r="ET32" s="79">
        <f t="shared" si="28"/>
        <v>1.6450000000022842E-2</v>
      </c>
      <c r="FF32" s="6" t="s">
        <v>3844</v>
      </c>
      <c r="FG32" s="696">
        <v>2.5000000000000001E-2</v>
      </c>
      <c r="FH32" s="696">
        <v>120</v>
      </c>
      <c r="FI32" s="696">
        <v>1.83E-2</v>
      </c>
      <c r="FJ32" s="255">
        <v>0</v>
      </c>
      <c r="FK32" s="71">
        <f t="shared" si="11"/>
        <v>5.9523809523809529E-4</v>
      </c>
      <c r="FL32" t="e">
        <f>VLOOKUP(FF32,'SIMULADOR COM SALDO'!$BX$22:$CK$1000,13,FALSE)</f>
        <v>#N/A</v>
      </c>
    </row>
    <row r="33" spans="6:168" x14ac:dyDescent="0.25">
      <c r="F33" s="97">
        <f t="shared" si="24"/>
        <v>1.6547619047619051E-2</v>
      </c>
      <c r="G33" s="79">
        <f t="shared" si="6"/>
        <v>1.8498777362027114E-2</v>
      </c>
      <c r="H33" s="79">
        <f t="shared" ref="H33:BS36" si="30">IF(H$9&lt;=$K$6,RATE($K$6,1,H79,0),"")</f>
        <v>1.8496374431542634E-2</v>
      </c>
      <c r="I33" s="79">
        <f t="shared" si="30"/>
        <v>1.8492832674627063E-2</v>
      </c>
      <c r="J33" s="79">
        <f t="shared" si="30"/>
        <v>1.8488192677797225E-2</v>
      </c>
      <c r="K33" s="79">
        <f t="shared" si="30"/>
        <v>1.8482494149055406E-2</v>
      </c>
      <c r="L33" s="79">
        <f t="shared" si="30"/>
        <v>1.8475775920090389E-2</v>
      </c>
      <c r="M33" s="79">
        <f t="shared" si="30"/>
        <v>1.8468075949558873E-2</v>
      </c>
      <c r="N33" s="79">
        <f t="shared" si="30"/>
        <v>1.8459431327375601E-2</v>
      </c>
      <c r="O33" s="79">
        <f t="shared" si="30"/>
        <v>1.8449878279943033E-2</v>
      </c>
      <c r="P33" s="79">
        <f t="shared" si="30"/>
        <v>1.8439452176256099E-2</v>
      </c>
      <c r="Q33" s="79">
        <f t="shared" si="30"/>
        <v>1.8428187534815246E-2</v>
      </c>
      <c r="R33" s="79">
        <f t="shared" si="30"/>
        <v>1.8416118031287877E-2</v>
      </c>
      <c r="S33" s="79">
        <f t="shared" si="30"/>
        <v>1.8403276506858433E-2</v>
      </c>
      <c r="T33" s="79">
        <f t="shared" si="30"/>
        <v>1.8389694977208798E-2</v>
      </c>
      <c r="U33" s="79">
        <f t="shared" si="30"/>
        <v>1.837540464207706E-2</v>
      </c>
      <c r="V33" s="79">
        <f t="shared" si="30"/>
        <v>1.8360435895340203E-2</v>
      </c>
      <c r="W33" s="79">
        <f t="shared" si="30"/>
        <v>1.8344818335571042E-2</v>
      </c>
      <c r="X33" s="79">
        <f t="shared" si="30"/>
        <v>1.8328580777023189E-2</v>
      </c>
      <c r="Y33" s="79">
        <f t="shared" si="30"/>
        <v>1.831175126099786E-2</v>
      </c>
      <c r="Z33" s="79">
        <f t="shared" si="30"/>
        <v>1.8294357067549546E-2</v>
      </c>
      <c r="AA33" s="79">
        <f t="shared" si="30"/>
        <v>1.827642472749031E-2</v>
      </c>
      <c r="AB33" s="79">
        <f t="shared" si="30"/>
        <v>1.8257980034653558E-2</v>
      </c>
      <c r="AC33" s="79">
        <f t="shared" si="30"/>
        <v>1.8239048058381356E-2</v>
      </c>
      <c r="AD33" s="79">
        <f t="shared" si="30"/>
        <v>1.8219653156200482E-2</v>
      </c>
      <c r="AE33" s="79">
        <f t="shared" si="30"/>
        <v>1.8199818986654685E-2</v>
      </c>
      <c r="AF33" s="79">
        <f t="shared" si="30"/>
        <v>1.8179568522262941E-2</v>
      </c>
      <c r="AG33" s="79">
        <f t="shared" si="30"/>
        <v>1.8158924062575636E-2</v>
      </c>
      <c r="AH33" s="79">
        <f t="shared" si="30"/>
        <v>1.8137907247299793E-2</v>
      </c>
      <c r="AI33" s="79">
        <f t="shared" si="30"/>
        <v>1.8116539069470899E-2</v>
      </c>
      <c r="AJ33" s="79">
        <f t="shared" si="30"/>
        <v>1.8094839888645721E-2</v>
      </c>
      <c r="AK33" s="79">
        <f t="shared" si="30"/>
        <v>1.8072829444095339E-2</v>
      </c>
      <c r="AL33" s="79">
        <f t="shared" si="30"/>
        <v>1.8050526867977972E-2</v>
      </c>
      <c r="AM33" s="79">
        <f t="shared" si="30"/>
        <v>1.8027950698472132E-2</v>
      </c>
      <c r="AN33" s="79">
        <f t="shared" si="30"/>
        <v>1.8005118892854211E-2</v>
      </c>
      <c r="AO33" s="79">
        <f t="shared" si="30"/>
        <v>1.7982048840501232E-2</v>
      </c>
      <c r="AP33" s="79">
        <f t="shared" si="30"/>
        <v>1.7958757375808505E-2</v>
      </c>
      <c r="AQ33" s="79">
        <f t="shared" si="30"/>
        <v>1.7935260791003875E-2</v>
      </c>
      <c r="AR33" s="79">
        <f t="shared" si="30"/>
        <v>1.791157484884966E-2</v>
      </c>
      <c r="AS33" s="79">
        <f t="shared" si="30"/>
        <v>1.7887714795218515E-2</v>
      </c>
      <c r="AT33" s="79">
        <f t="shared" si="30"/>
        <v>1.7863695371534573E-2</v>
      </c>
      <c r="AU33" s="79">
        <f t="shared" si="30"/>
        <v>1.7839530827069225E-2</v>
      </c>
      <c r="AV33" s="79">
        <f t="shared" si="30"/>
        <v>1.7815234931083924E-2</v>
      </c>
      <c r="AW33" s="79">
        <f t="shared" si="30"/>
        <v>1.7790820984812192E-2</v>
      </c>
      <c r="AX33" s="79">
        <f t="shared" si="30"/>
        <v>1.7766301833273657E-2</v>
      </c>
      <c r="AY33" s="79">
        <f t="shared" si="30"/>
        <v>1.774168987691566E-2</v>
      </c>
      <c r="AZ33" s="79">
        <f t="shared" si="30"/>
        <v>1.7716997083074663E-2</v>
      </c>
      <c r="BA33" s="79">
        <f t="shared" si="30"/>
        <v>1.7692234997255377E-2</v>
      </c>
      <c r="BB33" s="79">
        <f t="shared" si="30"/>
        <v>1.7667414754222673E-2</v>
      </c>
      <c r="BC33" s="79">
        <f t="shared" si="30"/>
        <v>1.7642547088902831E-2</v>
      </c>
      <c r="BD33" s="79">
        <f t="shared" si="30"/>
        <v>1.7617642347091404E-2</v>
      </c>
      <c r="BE33" s="79">
        <f t="shared" si="30"/>
        <v>1.7592710495966574E-2</v>
      </c>
      <c r="BF33" s="79">
        <f t="shared" si="30"/>
        <v>1.7567761134403944E-2</v>
      </c>
      <c r="BG33" s="79">
        <f t="shared" si="30"/>
        <v>1.7542803503094884E-2</v>
      </c>
      <c r="BH33" s="79">
        <f t="shared" si="30"/>
        <v>1.7517846494463699E-2</v>
      </c>
      <c r="BI33" s="79">
        <f t="shared" si="30"/>
        <v>1.7492898662386996E-2</v>
      </c>
      <c r="BJ33" s="31">
        <f t="shared" si="30"/>
        <v>1.7467968231712063E-2</v>
      </c>
      <c r="BK33" s="79">
        <f t="shared" si="30"/>
        <v>1.7443063107576689E-2</v>
      </c>
      <c r="BL33" s="79">
        <f t="shared" si="30"/>
        <v>1.7418190884529568E-2</v>
      </c>
      <c r="BM33" s="79">
        <f t="shared" si="30"/>
        <v>1.7393358855452346E-2</v>
      </c>
      <c r="BN33" s="79">
        <f t="shared" si="30"/>
        <v>1.736857402028652E-2</v>
      </c>
      <c r="BO33" s="79">
        <f t="shared" si="30"/>
        <v>1.7343843094562304E-2</v>
      </c>
      <c r="BP33" s="79">
        <f t="shared" si="30"/>
        <v>1.7319172517736139E-2</v>
      </c>
      <c r="BQ33" s="79">
        <f t="shared" si="30"/>
        <v>1.7294568461333051E-2</v>
      </c>
      <c r="BR33" s="79">
        <f t="shared" si="30"/>
        <v>1.7270036836901811E-2</v>
      </c>
      <c r="BS33" s="79">
        <f t="shared" si="30"/>
        <v>1.7245583303780197E-2</v>
      </c>
      <c r="BT33" s="79">
        <f t="shared" si="29"/>
        <v>1.7221213276673902E-2</v>
      </c>
      <c r="BU33" s="79">
        <f t="shared" si="29"/>
        <v>1.7196931933053428E-2</v>
      </c>
      <c r="BV33" s="79">
        <f t="shared" si="29"/>
        <v>1.7172744220369299E-2</v>
      </c>
      <c r="BW33" s="79">
        <f t="shared" si="29"/>
        <v>1.7148654863088406E-2</v>
      </c>
      <c r="BX33" s="79">
        <f t="shared" si="29"/>
        <v>1.7124668369555424E-2</v>
      </c>
      <c r="BY33" s="79">
        <f t="shared" si="29"/>
        <v>1.7100789038680137E-2</v>
      </c>
      <c r="BZ33" s="79">
        <f t="shared" si="29"/>
        <v>1.7077020966456753E-2</v>
      </c>
      <c r="CA33" s="79">
        <f t="shared" si="29"/>
        <v>1.7053368052313087E-2</v>
      </c>
      <c r="CB33" s="79">
        <f t="shared" si="29"/>
        <v>1.7029834005297912E-2</v>
      </c>
      <c r="CC33" s="79">
        <f t="shared" si="29"/>
        <v>1.700642235010609E-2</v>
      </c>
      <c r="CD33" s="79">
        <f t="shared" si="29"/>
        <v>1.6983136432944593E-2</v>
      </c>
      <c r="CE33" s="79">
        <f t="shared" si="29"/>
        <v>1.6959979427244806E-2</v>
      </c>
      <c r="CF33" s="79">
        <f t="shared" si="29"/>
        <v>1.6936954339221426E-2</v>
      </c>
      <c r="CG33" s="79">
        <f t="shared" si="29"/>
        <v>1.6914064013282198E-2</v>
      </c>
      <c r="CH33" s="79">
        <f t="shared" si="29"/>
        <v>1.6891311137292135E-2</v>
      </c>
      <c r="CI33" s="79">
        <f t="shared" si="29"/>
        <v>1.6868698247694439E-2</v>
      </c>
      <c r="CJ33" s="79">
        <f t="shared" si="29"/>
        <v>1.684622773449064E-2</v>
      </c>
      <c r="CK33" s="79">
        <f t="shared" si="29"/>
        <v>1.6823901846084576E-2</v>
      </c>
      <c r="CL33" s="79">
        <f t="shared" si="29"/>
        <v>1.6801722693992181E-2</v>
      </c>
      <c r="CM33" s="79">
        <f t="shared" si="29"/>
        <v>1.6779692257419591E-2</v>
      </c>
      <c r="CN33" s="79">
        <f t="shared" si="29"/>
        <v>1.6757812387714205E-2</v>
      </c>
      <c r="CO33" s="79">
        <f t="shared" si="29"/>
        <v>1.6736084812689272E-2</v>
      </c>
      <c r="CP33" s="79">
        <f t="shared" si="29"/>
        <v>1.6714511140828087E-2</v>
      </c>
      <c r="CQ33" s="79">
        <f t="shared" si="29"/>
        <v>1.6693092865367021E-2</v>
      </c>
      <c r="CR33" s="79">
        <f t="shared" si="29"/>
        <v>1.6671831368263005E-2</v>
      </c>
      <c r="CS33" s="79">
        <f t="shared" si="29"/>
        <v>1.6650727924046874E-2</v>
      </c>
      <c r="CT33" s="79">
        <f t="shared" si="29"/>
        <v>1.6629783703566676E-2</v>
      </c>
      <c r="CU33" s="79">
        <f t="shared" si="29"/>
        <v>1.6608999777621272E-2</v>
      </c>
      <c r="CV33" s="79">
        <f t="shared" si="29"/>
        <v>1.658837712048962E-2</v>
      </c>
      <c r="CW33" s="79">
        <f t="shared" si="29"/>
        <v>1.6567916613356583E-2</v>
      </c>
      <c r="CX33" s="79">
        <f t="shared" si="29"/>
        <v>1.6547619047638785E-2</v>
      </c>
      <c r="CY33" s="79">
        <f t="shared" si="29"/>
        <v>1.6547619047638785E-2</v>
      </c>
      <c r="CZ33" s="79">
        <f t="shared" si="29"/>
        <v>1.6547619047638785E-2</v>
      </c>
      <c r="DA33" s="79">
        <f t="shared" si="29"/>
        <v>1.6547619047638785E-2</v>
      </c>
      <c r="DB33" s="79">
        <f t="shared" si="29"/>
        <v>1.6547619047638785E-2</v>
      </c>
      <c r="DC33" s="79">
        <f t="shared" si="29"/>
        <v>1.6547619047638785E-2</v>
      </c>
      <c r="DD33" s="79">
        <f t="shared" si="29"/>
        <v>1.6547619047638785E-2</v>
      </c>
      <c r="DE33" s="79">
        <f t="shared" si="29"/>
        <v>1.6547619047638785E-2</v>
      </c>
      <c r="DF33" s="79">
        <f t="shared" si="29"/>
        <v>1.6547619047638785E-2</v>
      </c>
      <c r="DG33" s="79">
        <f t="shared" si="29"/>
        <v>1.6547619047638785E-2</v>
      </c>
      <c r="DH33" s="79">
        <f t="shared" si="29"/>
        <v>1.6547619047638785E-2</v>
      </c>
      <c r="DI33" s="79">
        <f t="shared" si="29"/>
        <v>1.6547619047638785E-2</v>
      </c>
      <c r="DJ33" s="79">
        <f t="shared" si="29"/>
        <v>1.6547619047638785E-2</v>
      </c>
      <c r="DK33" s="79">
        <f t="shared" si="29"/>
        <v>1.6547619047638785E-2</v>
      </c>
      <c r="DL33" s="79">
        <f t="shared" si="29"/>
        <v>1.6547619047638785E-2</v>
      </c>
      <c r="DM33" s="79">
        <f t="shared" si="29"/>
        <v>1.6547619047638785E-2</v>
      </c>
      <c r="DN33" s="79">
        <f t="shared" si="29"/>
        <v>1.6547619047638785E-2</v>
      </c>
      <c r="DO33" s="79">
        <f t="shared" si="29"/>
        <v>1.6547619047638785E-2</v>
      </c>
      <c r="DP33" s="79">
        <f t="shared" si="29"/>
        <v>1.6547619047638785E-2</v>
      </c>
      <c r="DQ33" s="79">
        <f t="shared" si="29"/>
        <v>1.6547619047638785E-2</v>
      </c>
      <c r="DR33" s="79">
        <f t="shared" si="29"/>
        <v>1.6547619047638785E-2</v>
      </c>
      <c r="DS33" s="79">
        <f t="shared" si="29"/>
        <v>1.6547619047638785E-2</v>
      </c>
      <c r="DT33" s="79">
        <f t="shared" si="29"/>
        <v>1.6547619047638785E-2</v>
      </c>
      <c r="DU33" s="79">
        <f t="shared" si="29"/>
        <v>1.6547619047638785E-2</v>
      </c>
      <c r="DV33" s="79">
        <f t="shared" si="29"/>
        <v>1.6547619047638785E-2</v>
      </c>
      <c r="DW33" s="79">
        <f t="shared" si="29"/>
        <v>1.6547619047638785E-2</v>
      </c>
      <c r="DX33" s="79">
        <f t="shared" si="29"/>
        <v>1.6547619047638785E-2</v>
      </c>
      <c r="DY33" s="79">
        <f t="shared" si="29"/>
        <v>1.6547619047638785E-2</v>
      </c>
      <c r="DZ33" s="79">
        <f t="shared" si="29"/>
        <v>1.6547619047638785E-2</v>
      </c>
      <c r="EA33" s="79">
        <f t="shared" si="29"/>
        <v>1.6547619047638785E-2</v>
      </c>
      <c r="EB33" s="79">
        <f t="shared" si="29"/>
        <v>1.6547619047638785E-2</v>
      </c>
      <c r="EC33" s="79">
        <f t="shared" si="29"/>
        <v>1.6547619047638785E-2</v>
      </c>
      <c r="ED33" s="79">
        <f t="shared" si="29"/>
        <v>1.6547619047638785E-2</v>
      </c>
      <c r="EE33" s="79">
        <f t="shared" si="28"/>
        <v>1.6547619047638785E-2</v>
      </c>
      <c r="EF33" s="79">
        <f t="shared" si="28"/>
        <v>1.6547619047638785E-2</v>
      </c>
      <c r="EG33" s="79">
        <f t="shared" si="28"/>
        <v>1.6547619047638785E-2</v>
      </c>
      <c r="EH33" s="79">
        <f t="shared" si="28"/>
        <v>1.6547619047638785E-2</v>
      </c>
      <c r="EI33" s="79">
        <f t="shared" si="28"/>
        <v>1.6547619047638785E-2</v>
      </c>
      <c r="EJ33" s="79">
        <f t="shared" si="28"/>
        <v>1.6547619047638785E-2</v>
      </c>
      <c r="EK33" s="79">
        <f t="shared" si="28"/>
        <v>1.6547619047638785E-2</v>
      </c>
      <c r="EL33" s="79">
        <f t="shared" si="28"/>
        <v>1.6547619047638785E-2</v>
      </c>
      <c r="EM33" s="79">
        <f t="shared" si="28"/>
        <v>1.6547619047638785E-2</v>
      </c>
      <c r="EN33" s="79">
        <f t="shared" si="28"/>
        <v>1.6547619047638785E-2</v>
      </c>
      <c r="EO33" s="79">
        <f t="shared" si="28"/>
        <v>1.6547619047638785E-2</v>
      </c>
      <c r="EP33" s="79">
        <f t="shared" si="28"/>
        <v>1.6547619047638785E-2</v>
      </c>
      <c r="EQ33" s="79">
        <f t="shared" si="28"/>
        <v>1.6547619047638785E-2</v>
      </c>
      <c r="ER33" s="79">
        <f t="shared" si="28"/>
        <v>1.6547619047638785E-2</v>
      </c>
      <c r="ES33" s="79">
        <f t="shared" si="28"/>
        <v>1.6547619047638785E-2</v>
      </c>
      <c r="ET33" s="79">
        <f t="shared" si="28"/>
        <v>1.6547619047638785E-2</v>
      </c>
      <c r="FF33" s="6" t="s">
        <v>3836</v>
      </c>
      <c r="FG33" s="696">
        <v>2.5000000000000001E-2</v>
      </c>
      <c r="FH33" s="696">
        <v>120</v>
      </c>
      <c r="FI33" s="696">
        <v>1.83E-2</v>
      </c>
      <c r="FJ33" s="255">
        <v>1.49E-2</v>
      </c>
      <c r="FK33" s="71">
        <f t="shared" si="11"/>
        <v>2.404761904761905E-4</v>
      </c>
      <c r="FL33" t="e">
        <f>VLOOKUP(FF33,'SIMULADOR COM SALDO'!$BX$22:$CK$1000,13,FALSE)</f>
        <v>#N/A</v>
      </c>
    </row>
    <row r="34" spans="6:168" x14ac:dyDescent="0.25">
      <c r="F34" s="97">
        <f t="shared" si="24"/>
        <v>1.6645238095238098E-2</v>
      </c>
      <c r="G34" s="79">
        <f t="shared" si="6"/>
        <v>1.8498838603535246E-2</v>
      </c>
      <c r="H34" s="79">
        <f t="shared" si="30"/>
        <v>1.8496556133498276E-2</v>
      </c>
      <c r="I34" s="79">
        <f t="shared" si="30"/>
        <v>1.8493192061836149E-2</v>
      </c>
      <c r="J34" s="79">
        <f t="shared" si="30"/>
        <v>1.8488785010720512E-2</v>
      </c>
      <c r="K34" s="79">
        <f t="shared" si="30"/>
        <v>1.848337275481237E-2</v>
      </c>
      <c r="L34" s="79">
        <f t="shared" si="30"/>
        <v>1.8476992224544561E-2</v>
      </c>
      <c r="M34" s="79">
        <f t="shared" si="30"/>
        <v>1.8469679510358914E-2</v>
      </c>
      <c r="N34" s="79">
        <f t="shared" si="30"/>
        <v>1.8461469867831242E-2</v>
      </c>
      <c r="O34" s="79">
        <f t="shared" si="30"/>
        <v>1.8452397723621526E-2</v>
      </c>
      <c r="P34" s="79">
        <f t="shared" si="30"/>
        <v>1.8442496682191559E-2</v>
      </c>
      <c r="Q34" s="79">
        <f t="shared" si="30"/>
        <v>1.843179953322728E-2</v>
      </c>
      <c r="R34" s="79">
        <f t="shared" si="30"/>
        <v>1.8420338259713342E-2</v>
      </c>
      <c r="S34" s="79">
        <f t="shared" si="30"/>
        <v>1.8408144046605273E-2</v>
      </c>
      <c r="T34" s="79">
        <f t="shared" si="30"/>
        <v>1.8395247290047084E-2</v>
      </c>
      <c r="U34" s="79">
        <f t="shared" si="30"/>
        <v>1.8381677607085548E-2</v>
      </c>
      <c r="V34" s="79">
        <f t="shared" si="30"/>
        <v>1.8367463845834275E-2</v>
      </c>
      <c r="W34" s="79">
        <f t="shared" si="30"/>
        <v>1.8352634096042292E-2</v>
      </c>
      <c r="X34" s="79">
        <f t="shared" si="30"/>
        <v>1.833721570002507E-2</v>
      </c>
      <c r="Y34" s="79">
        <f t="shared" si="30"/>
        <v>1.8321235263916717E-2</v>
      </c>
      <c r="Z34" s="79">
        <f t="shared" si="30"/>
        <v>1.8304718669204918E-2</v>
      </c>
      <c r="AA34" s="79">
        <f t="shared" si="30"/>
        <v>1.8287691084513759E-2</v>
      </c>
      <c r="AB34" s="79">
        <f t="shared" si="30"/>
        <v>1.8270176977597398E-2</v>
      </c>
      <c r="AC34" s="79">
        <f t="shared" si="30"/>
        <v>1.8252200127513395E-2</v>
      </c>
      <c r="AD34" s="79">
        <f t="shared" si="30"/>
        <v>1.8233783636946027E-2</v>
      </c>
      <c r="AE34" s="79">
        <f t="shared" si="30"/>
        <v>1.8214949944648368E-2</v>
      </c>
      <c r="AF34" s="79">
        <f t="shared" si="30"/>
        <v>1.8195720837978095E-2</v>
      </c>
      <c r="AG34" s="79">
        <f t="shared" si="30"/>
        <v>1.8176117465500564E-2</v>
      </c>
      <c r="AH34" s="79">
        <f t="shared" si="30"/>
        <v>1.8156160349635301E-2</v>
      </c>
      <c r="AI34" s="79">
        <f t="shared" si="30"/>
        <v>1.8135869399324947E-2</v>
      </c>
      <c r="AJ34" s="79">
        <f t="shared" si="30"/>
        <v>1.8115263922703573E-2</v>
      </c>
      <c r="AK34" s="79">
        <f t="shared" si="30"/>
        <v>1.8094362639747157E-2</v>
      </c>
      <c r="AL34" s="79">
        <f t="shared" si="30"/>
        <v>1.807318369488831E-2</v>
      </c>
      <c r="AM34" s="79">
        <f t="shared" si="30"/>
        <v>1.8051744669576323E-2</v>
      </c>
      <c r="AN34" s="79">
        <f t="shared" si="30"/>
        <v>1.8030062594770514E-2</v>
      </c>
      <c r="AO34" s="79">
        <f t="shared" si="30"/>
        <v>1.8008153963349847E-2</v>
      </c>
      <c r="AP34" s="79">
        <f t="shared" si="30"/>
        <v>1.7986034742428162E-2</v>
      </c>
      <c r="AQ34" s="79">
        <f t="shared" si="30"/>
        <v>1.7963720385560843E-2</v>
      </c>
      <c r="AR34" s="79">
        <f t="shared" si="30"/>
        <v>1.7941225844834333E-2</v>
      </c>
      <c r="AS34" s="79">
        <f t="shared" si="30"/>
        <v>1.7918565582827232E-2</v>
      </c>
      <c r="AT34" s="79">
        <f t="shared" si="30"/>
        <v>1.7895753584433922E-2</v>
      </c>
      <c r="AU34" s="79">
        <f t="shared" si="30"/>
        <v>1.7872803368543681E-2</v>
      </c>
      <c r="AV34" s="79">
        <f t="shared" si="30"/>
        <v>1.7849727999566741E-2</v>
      </c>
      <c r="AW34" s="79">
        <f t="shared" si="30"/>
        <v>1.782654009880244E-2</v>
      </c>
      <c r="AX34" s="79">
        <f t="shared" si="30"/>
        <v>1.78032518556419E-2</v>
      </c>
      <c r="AY34" s="79">
        <f t="shared" si="30"/>
        <v>1.7779875038601348E-2</v>
      </c>
      <c r="AZ34" s="79">
        <f t="shared" si="30"/>
        <v>1.775642100618206E-2</v>
      </c>
      <c r="BA34" s="79">
        <f t="shared" si="30"/>
        <v>1.773290071755124E-2</v>
      </c>
      <c r="BB34" s="79">
        <f t="shared" si="30"/>
        <v>1.7709324743043389E-2</v>
      </c>
      <c r="BC34" s="79">
        <f t="shared" si="30"/>
        <v>1.76857032744769E-2</v>
      </c>
      <c r="BD34" s="79">
        <f t="shared" si="30"/>
        <v>1.7662046135285315E-2</v>
      </c>
      <c r="BE34" s="79">
        <f t="shared" si="30"/>
        <v>1.7638362790461156E-2</v>
      </c>
      <c r="BF34" s="79">
        <f t="shared" si="30"/>
        <v>1.7614662356310595E-2</v>
      </c>
      <c r="BG34" s="79">
        <f t="shared" si="30"/>
        <v>1.7590953610018643E-2</v>
      </c>
      <c r="BH34" s="79">
        <f t="shared" si="30"/>
        <v>1.7567244999023939E-2</v>
      </c>
      <c r="BI34" s="79">
        <f t="shared" si="30"/>
        <v>1.7543544650204464E-2</v>
      </c>
      <c r="BJ34" s="79">
        <f t="shared" si="30"/>
        <v>1.7519860378870673E-2</v>
      </c>
      <c r="BK34" s="79">
        <f t="shared" si="30"/>
        <v>1.7496199697571588E-2</v>
      </c>
      <c r="BL34" s="79">
        <f t="shared" si="30"/>
        <v>1.7472569824710359E-2</v>
      </c>
      <c r="BM34" s="79">
        <f t="shared" si="30"/>
        <v>1.7448977692972475E-2</v>
      </c>
      <c r="BN34" s="79">
        <f t="shared" si="30"/>
        <v>1.7425429957566841E-2</v>
      </c>
      <c r="BO34" s="79">
        <f t="shared" si="30"/>
        <v>1.7401933004282451E-2</v>
      </c>
      <c r="BP34" s="79">
        <f t="shared" si="30"/>
        <v>1.7378492957360405E-2</v>
      </c>
      <c r="BQ34" s="79">
        <f t="shared" si="30"/>
        <v>1.7355115687185008E-2</v>
      </c>
      <c r="BR34" s="79">
        <f t="shared" si="30"/>
        <v>1.7331806817793914E-2</v>
      </c>
      <c r="BS34" s="79">
        <f t="shared" si="30"/>
        <v>1.7308571734211319E-2</v>
      </c>
      <c r="BT34" s="79">
        <f t="shared" si="29"/>
        <v>1.7285415589605418E-2</v>
      </c>
      <c r="BU34" s="79">
        <f t="shared" si="29"/>
        <v>1.7262343312272565E-2</v>
      </c>
      <c r="BV34" s="79">
        <f t="shared" si="29"/>
        <v>1.723935961244983E-2</v>
      </c>
      <c r="BW34" s="79">
        <f t="shared" si="29"/>
        <v>1.7216468988960756E-2</v>
      </c>
      <c r="BX34" s="79">
        <f t="shared" si="29"/>
        <v>1.7193675735693834E-2</v>
      </c>
      <c r="BY34" s="79">
        <f t="shared" si="29"/>
        <v>1.717098394791941E-2</v>
      </c>
      <c r="BZ34" s="79">
        <f t="shared" si="29"/>
        <v>1.7148397528444471E-2</v>
      </c>
      <c r="CA34" s="79">
        <f t="shared" si="29"/>
        <v>1.7125920193611435E-2</v>
      </c>
      <c r="CB34" s="79">
        <f t="shared" si="29"/>
        <v>1.7103555479141871E-2</v>
      </c>
      <c r="CC34" s="79">
        <f t="shared" si="29"/>
        <v>1.7081306745827075E-2</v>
      </c>
      <c r="CD34" s="79">
        <f t="shared" si="29"/>
        <v>1.7059177185070804E-2</v>
      </c>
      <c r="CE34" s="79">
        <f t="shared" si="29"/>
        <v>1.7037169824285714E-2</v>
      </c>
      <c r="CF34" s="79">
        <f t="shared" si="29"/>
        <v>1.7015287532145575E-2</v>
      </c>
      <c r="CG34" s="79">
        <f t="shared" si="29"/>
        <v>1.6993533023697559E-2</v>
      </c>
      <c r="CH34" s="31">
        <f t="shared" si="29"/>
        <v>1.6971908865337507E-2</v>
      </c>
      <c r="CI34" s="79">
        <f t="shared" si="29"/>
        <v>1.695041747964899E-2</v>
      </c>
      <c r="CJ34" s="79">
        <f t="shared" si="29"/>
        <v>1.6929061150112189E-2</v>
      </c>
      <c r="CK34" s="79">
        <f t="shared" si="29"/>
        <v>1.6907842025682754E-2</v>
      </c>
      <c r="CL34" s="79">
        <f t="shared" si="29"/>
        <v>1.6886762125244707E-2</v>
      </c>
      <c r="CM34" s="79">
        <f t="shared" si="29"/>
        <v>1.6865823341940232E-2</v>
      </c>
      <c r="CN34" s="79">
        <f t="shared" si="29"/>
        <v>1.6845027447378612E-2</v>
      </c>
      <c r="CO34" s="79">
        <f t="shared" si="29"/>
        <v>1.6824376095727959E-2</v>
      </c>
      <c r="CP34" s="79">
        <f t="shared" si="29"/>
        <v>1.6803870827690925E-2</v>
      </c>
      <c r="CQ34" s="79">
        <f t="shared" si="29"/>
        <v>1.6783513074369018E-2</v>
      </c>
      <c r="CR34" s="79">
        <f t="shared" si="29"/>
        <v>1.676330416101655E-2</v>
      </c>
      <c r="CS34" s="79">
        <f t="shared" si="29"/>
        <v>1.674324531068833E-2</v>
      </c>
      <c r="CT34" s="79">
        <f t="shared" si="29"/>
        <v>1.6723337647782107E-2</v>
      </c>
      <c r="CU34" s="79">
        <f t="shared" si="29"/>
        <v>1.6703582201479023E-2</v>
      </c>
      <c r="CV34" s="79">
        <f t="shared" si="29"/>
        <v>1.6683979909085805E-2</v>
      </c>
      <c r="CW34" s="79">
        <f t="shared" si="29"/>
        <v>1.6664531619279034E-2</v>
      </c>
      <c r="CX34" s="79">
        <f t="shared" si="29"/>
        <v>1.6645238095254936E-2</v>
      </c>
      <c r="CY34" s="79">
        <f t="shared" si="29"/>
        <v>1.6645238095254936E-2</v>
      </c>
      <c r="CZ34" s="79">
        <f t="shared" si="29"/>
        <v>1.6645238095254936E-2</v>
      </c>
      <c r="DA34" s="79">
        <f t="shared" si="29"/>
        <v>1.6645238095254936E-2</v>
      </c>
      <c r="DB34" s="79">
        <f t="shared" si="29"/>
        <v>1.6645238095254936E-2</v>
      </c>
      <c r="DC34" s="79">
        <f t="shared" si="29"/>
        <v>1.6645238095254936E-2</v>
      </c>
      <c r="DD34" s="79">
        <f t="shared" si="29"/>
        <v>1.6645238095254936E-2</v>
      </c>
      <c r="DE34" s="79">
        <f t="shared" si="29"/>
        <v>1.6645238095254936E-2</v>
      </c>
      <c r="DF34" s="79">
        <f t="shared" si="29"/>
        <v>1.6645238095254936E-2</v>
      </c>
      <c r="DG34" s="79">
        <f t="shared" si="29"/>
        <v>1.6645238095254936E-2</v>
      </c>
      <c r="DH34" s="79">
        <f t="shared" si="29"/>
        <v>1.6645238095254936E-2</v>
      </c>
      <c r="DI34" s="79">
        <f t="shared" si="29"/>
        <v>1.6645238095254936E-2</v>
      </c>
      <c r="DJ34" s="79">
        <f t="shared" si="29"/>
        <v>1.6645238095254936E-2</v>
      </c>
      <c r="DK34" s="79">
        <f t="shared" si="29"/>
        <v>1.6645238095254936E-2</v>
      </c>
      <c r="DL34" s="79">
        <f t="shared" si="29"/>
        <v>1.6645238095254936E-2</v>
      </c>
      <c r="DM34" s="79">
        <f t="shared" si="29"/>
        <v>1.6645238095254936E-2</v>
      </c>
      <c r="DN34" s="79">
        <f t="shared" si="29"/>
        <v>1.6645238095254936E-2</v>
      </c>
      <c r="DO34" s="79">
        <f t="shared" si="29"/>
        <v>1.6645238095254936E-2</v>
      </c>
      <c r="DP34" s="79">
        <f t="shared" si="29"/>
        <v>1.6645238095254936E-2</v>
      </c>
      <c r="DQ34" s="79">
        <f t="shared" si="29"/>
        <v>1.6645238095254936E-2</v>
      </c>
      <c r="DR34" s="79">
        <f t="shared" si="29"/>
        <v>1.6645238095254936E-2</v>
      </c>
      <c r="DS34" s="79">
        <f t="shared" si="29"/>
        <v>1.6645238095254936E-2</v>
      </c>
      <c r="DT34" s="79">
        <f t="shared" si="29"/>
        <v>1.6645238095254936E-2</v>
      </c>
      <c r="DU34" s="79">
        <f t="shared" si="29"/>
        <v>1.6645238095254936E-2</v>
      </c>
      <c r="DV34" s="79">
        <f t="shared" si="29"/>
        <v>1.6645238095254936E-2</v>
      </c>
      <c r="DW34" s="79">
        <f t="shared" si="29"/>
        <v>1.6645238095254936E-2</v>
      </c>
      <c r="DX34" s="79">
        <f t="shared" si="29"/>
        <v>1.6645238095254936E-2</v>
      </c>
      <c r="DY34" s="79">
        <f t="shared" si="29"/>
        <v>1.6645238095254936E-2</v>
      </c>
      <c r="DZ34" s="79">
        <f t="shared" si="29"/>
        <v>1.6645238095254936E-2</v>
      </c>
      <c r="EA34" s="79">
        <f t="shared" si="29"/>
        <v>1.6645238095254936E-2</v>
      </c>
      <c r="EB34" s="79">
        <f t="shared" si="29"/>
        <v>1.6645238095254936E-2</v>
      </c>
      <c r="EC34" s="79">
        <f t="shared" si="29"/>
        <v>1.6645238095254936E-2</v>
      </c>
      <c r="ED34" s="79">
        <f t="shared" si="29"/>
        <v>1.6645238095254936E-2</v>
      </c>
      <c r="EE34" s="79">
        <f t="shared" si="28"/>
        <v>1.6645238095254936E-2</v>
      </c>
      <c r="EF34" s="79">
        <f t="shared" si="28"/>
        <v>1.6645238095254936E-2</v>
      </c>
      <c r="EG34" s="79">
        <f t="shared" si="28"/>
        <v>1.6645238095254936E-2</v>
      </c>
      <c r="EH34" s="79">
        <f t="shared" si="28"/>
        <v>1.6645238095254936E-2</v>
      </c>
      <c r="EI34" s="79">
        <f t="shared" si="28"/>
        <v>1.6645238095254936E-2</v>
      </c>
      <c r="EJ34" s="79">
        <f t="shared" si="28"/>
        <v>1.6645238095254936E-2</v>
      </c>
      <c r="EK34" s="79">
        <f t="shared" si="28"/>
        <v>1.6645238095254936E-2</v>
      </c>
      <c r="EL34" s="79">
        <f t="shared" si="28"/>
        <v>1.6645238095254936E-2</v>
      </c>
      <c r="EM34" s="79">
        <f t="shared" si="28"/>
        <v>1.6645238095254936E-2</v>
      </c>
      <c r="EN34" s="79">
        <f t="shared" si="28"/>
        <v>1.6645238095254936E-2</v>
      </c>
      <c r="EO34" s="79">
        <f t="shared" si="28"/>
        <v>1.6645238095254936E-2</v>
      </c>
      <c r="EP34" s="79">
        <f t="shared" si="28"/>
        <v>1.6645238095254936E-2</v>
      </c>
      <c r="EQ34" s="79">
        <f t="shared" si="28"/>
        <v>1.6645238095254936E-2</v>
      </c>
      <c r="ER34" s="79">
        <f t="shared" si="28"/>
        <v>1.6645238095254936E-2</v>
      </c>
      <c r="ES34" s="79">
        <f t="shared" si="28"/>
        <v>1.6645238095254936E-2</v>
      </c>
      <c r="ET34" s="79">
        <f t="shared" si="28"/>
        <v>1.6645238095254936E-2</v>
      </c>
      <c r="FF34" s="6" t="s">
        <v>3869</v>
      </c>
      <c r="FG34" s="696">
        <v>2.5000000000000001E-2</v>
      </c>
      <c r="FH34" s="696">
        <v>120</v>
      </c>
      <c r="FI34" s="696">
        <v>1.83E-2</v>
      </c>
      <c r="FJ34" s="255">
        <v>1.49E-2</v>
      </c>
      <c r="FK34" s="71">
        <f t="shared" si="11"/>
        <v>2.404761904761905E-4</v>
      </c>
      <c r="FL34" t="e">
        <f>VLOOKUP(FF34,'SIMULADOR COM SALDO'!$BX$22:$CK$1000,13,FALSE)</f>
        <v>#N/A</v>
      </c>
    </row>
    <row r="35" spans="6:168" x14ac:dyDescent="0.25">
      <c r="F35" s="97">
        <f t="shared" si="24"/>
        <v>1.6742857142857146E-2</v>
      </c>
      <c r="G35" s="79">
        <f t="shared" si="6"/>
        <v>1.849889983348597E-2</v>
      </c>
      <c r="H35" s="79">
        <f t="shared" si="30"/>
        <v>1.8496737790779511E-2</v>
      </c>
      <c r="I35" s="79">
        <f t="shared" si="30"/>
        <v>1.8493551341320115E-2</v>
      </c>
      <c r="J35" s="79">
        <f t="shared" si="30"/>
        <v>1.8489377136052736E-2</v>
      </c>
      <c r="K35" s="79">
        <f t="shared" si="30"/>
        <v>1.8484251010777594E-2</v>
      </c>
      <c r="L35" s="79">
        <f t="shared" si="30"/>
        <v>1.8478207990392917E-2</v>
      </c>
      <c r="M35" s="79">
        <f t="shared" si="30"/>
        <v>1.8471282293971325E-2</v>
      </c>
      <c r="N35" s="79">
        <f t="shared" si="30"/>
        <v>1.8463507340611036E-2</v>
      </c>
      <c r="O35" s="79">
        <f t="shared" si="30"/>
        <v>1.8454915756004952E-2</v>
      </c>
      <c r="P35" s="79">
        <f t="shared" si="30"/>
        <v>1.8445539379672169E-2</v>
      </c>
      <c r="Q35" s="79">
        <f t="shared" si="30"/>
        <v>1.8435409272801909E-2</v>
      </c>
      <c r="R35" s="79">
        <f t="shared" si="30"/>
        <v>1.842455572665655E-2</v>
      </c>
      <c r="S35" s="79">
        <f t="shared" si="30"/>
        <v>1.8413008271486682E-2</v>
      </c>
      <c r="T35" s="79">
        <f t="shared" si="30"/>
        <v>1.8400795685912748E-2</v>
      </c>
      <c r="U35" s="79">
        <f t="shared" si="30"/>
        <v>1.8387946006727694E-2</v>
      </c>
      <c r="V35" s="79">
        <f t="shared" si="30"/>
        <v>1.8374486539079537E-2</v>
      </c>
      <c r="W35" s="79">
        <f t="shared" si="30"/>
        <v>1.8360443866993384E-2</v>
      </c>
      <c r="X35" s="79">
        <f t="shared" si="30"/>
        <v>1.8345843864194706E-2</v>
      </c>
      <c r="Y35" s="79">
        <f t="shared" si="30"/>
        <v>1.8330711705199065E-2</v>
      </c>
      <c r="Z35" s="79">
        <f t="shared" si="30"/>
        <v>1.8315071876631551E-2</v>
      </c>
      <c r="AA35" s="79">
        <f t="shared" si="30"/>
        <v>1.8298948188745823E-2</v>
      </c>
      <c r="AB35" s="79">
        <f t="shared" si="30"/>
        <v>1.8282363787111341E-2</v>
      </c>
      <c r="AC35" s="79">
        <f t="shared" si="30"/>
        <v>1.826534116443998E-2</v>
      </c>
      <c r="AD35" s="79">
        <f t="shared" si="30"/>
        <v>1.8247902172524467E-2</v>
      </c>
      <c r="AE35" s="79">
        <f t="shared" si="30"/>
        <v>1.8230068034264177E-2</v>
      </c>
      <c r="AF35" s="79">
        <f t="shared" si="30"/>
        <v>1.8211859355753715E-2</v>
      </c>
      <c r="AG35" s="79">
        <f t="shared" si="30"/>
        <v>1.8193296138411356E-2</v>
      </c>
      <c r="AH35" s="79">
        <f t="shared" si="30"/>
        <v>1.8174397791127967E-2</v>
      </c>
      <c r="AI35" s="79">
        <f t="shared" si="30"/>
        <v>1.8155183142414957E-2</v>
      </c>
      <c r="AJ35" s="79">
        <f t="shared" si="30"/>
        <v>1.8135670452535283E-2</v>
      </c>
      <c r="AK35" s="79">
        <f t="shared" si="30"/>
        <v>1.8115877425598108E-2</v>
      </c>
      <c r="AL35" s="79">
        <f t="shared" si="30"/>
        <v>1.8095821221603688E-2</v>
      </c>
      <c r="AM35" s="79">
        <f t="shared" si="30"/>
        <v>1.8075518468423118E-2</v>
      </c>
      <c r="AN35" s="79">
        <f t="shared" si="30"/>
        <v>1.8054985273699087E-2</v>
      </c>
      <c r="AO35" s="79">
        <f t="shared" si="30"/>
        <v>1.8034237236656453E-2</v>
      </c>
      <c r="AP35" s="79">
        <f t="shared" si="30"/>
        <v>1.8013289459810684E-2</v>
      </c>
      <c r="AQ35" s="79">
        <f t="shared" si="30"/>
        <v>1.7992156560563834E-2</v>
      </c>
      <c r="AR35" s="79">
        <f t="shared" si="30"/>
        <v>1.7970852682679488E-2</v>
      </c>
      <c r="AS35" s="79">
        <f t="shared" si="30"/>
        <v>1.7949391507626908E-2</v>
      </c>
      <c r="AT35" s="79">
        <f t="shared" si="30"/>
        <v>1.792778626578833E-2</v>
      </c>
      <c r="AU35" s="79">
        <f t="shared" si="30"/>
        <v>1.7906049747520768E-2</v>
      </c>
      <c r="AV35" s="79">
        <f t="shared" si="30"/>
        <v>1.7884194314067542E-2</v>
      </c>
      <c r="AW35" s="79">
        <f t="shared" si="30"/>
        <v>1.7862231908313569E-2</v>
      </c>
      <c r="AX35" s="79">
        <f t="shared" si="30"/>
        <v>1.7840174065379674E-2</v>
      </c>
      <c r="AY35" s="79">
        <f t="shared" si="30"/>
        <v>1.7818031923051422E-2</v>
      </c>
      <c r="AZ35" s="79">
        <f t="shared" si="30"/>
        <v>1.7795816232039484E-2</v>
      </c>
      <c r="BA35" s="79">
        <f t="shared" si="30"/>
        <v>1.7773537366067522E-2</v>
      </c>
      <c r="BB35" s="79">
        <f t="shared" si="30"/>
        <v>1.7751205331786521E-2</v>
      </c>
      <c r="BC35" s="79">
        <f t="shared" si="30"/>
        <v>1.7728829778511618E-2</v>
      </c>
      <c r="BD35" s="79">
        <f t="shared" si="30"/>
        <v>1.7706420007781127E-2</v>
      </c>
      <c r="BE35" s="79">
        <f t="shared" si="30"/>
        <v>1.768398498273625E-2</v>
      </c>
      <c r="BF35" s="79">
        <f t="shared" si="30"/>
        <v>1.7661533337319846E-2</v>
      </c>
      <c r="BG35" s="79">
        <f t="shared" si="30"/>
        <v>1.7639073385295002E-2</v>
      </c>
      <c r="BH35" s="79">
        <f t="shared" si="30"/>
        <v>1.7616613129082064E-2</v>
      </c>
      <c r="BI35" s="79">
        <f t="shared" si="30"/>
        <v>1.7594160268415059E-2</v>
      </c>
      <c r="BJ35" s="79">
        <f t="shared" si="30"/>
        <v>1.7571722208817055E-2</v>
      </c>
      <c r="BK35" s="79">
        <f t="shared" si="30"/>
        <v>1.7549306069896145E-2</v>
      </c>
      <c r="BL35" s="79">
        <f t="shared" si="30"/>
        <v>1.7526918693462543E-2</v>
      </c>
      <c r="BM35" s="79">
        <f t="shared" si="30"/>
        <v>1.7504566651467462E-2</v>
      </c>
      <c r="BN35" s="79">
        <f t="shared" si="30"/>
        <v>1.748225625376499E-2</v>
      </c>
      <c r="BO35" s="79">
        <f t="shared" si="30"/>
        <v>1.7459993555700236E-2</v>
      </c>
      <c r="BP35" s="79">
        <f t="shared" si="30"/>
        <v>1.7437784365522221E-2</v>
      </c>
      <c r="BQ35" s="79">
        <f t="shared" si="30"/>
        <v>1.7415634251627326E-2</v>
      </c>
      <c r="BR35" s="79">
        <f t="shared" si="30"/>
        <v>1.7393548549631453E-2</v>
      </c>
      <c r="BS35" s="79">
        <f t="shared" si="30"/>
        <v>1.7371532369274637E-2</v>
      </c>
      <c r="BT35" s="79">
        <f t="shared" si="29"/>
        <v>1.7349590601161625E-2</v>
      </c>
      <c r="BU35" s="79">
        <f t="shared" si="29"/>
        <v>1.7327727923337588E-2</v>
      </c>
      <c r="BV35" s="79">
        <f t="shared" si="29"/>
        <v>1.7305948807704079E-2</v>
      </c>
      <c r="BW35" s="79">
        <f t="shared" si="29"/>
        <v>1.7284257526277116E-2</v>
      </c>
      <c r="BX35" s="79">
        <f t="shared" si="29"/>
        <v>1.7262658157287517E-2</v>
      </c>
      <c r="BY35" s="79">
        <f t="shared" si="29"/>
        <v>1.7241154591129661E-2</v>
      </c>
      <c r="BZ35" s="79">
        <f t="shared" si="29"/>
        <v>1.7219750536159463E-2</v>
      </c>
      <c r="CA35" s="79">
        <f t="shared" si="29"/>
        <v>1.7198449524342355E-2</v>
      </c>
      <c r="CB35" s="79">
        <f t="shared" si="29"/>
        <v>1.717725491675871E-2</v>
      </c>
      <c r="CC35" s="79">
        <f t="shared" si="29"/>
        <v>1.7156169908964004E-2</v>
      </c>
      <c r="CD35" s="79">
        <f t="shared" si="29"/>
        <v>1.7135197536210792E-2</v>
      </c>
      <c r="CE35" s="79">
        <f t="shared" si="29"/>
        <v>1.7114340678531816E-2</v>
      </c>
      <c r="CF35" s="79">
        <f t="shared" si="29"/>
        <v>1.7093602065689353E-2</v>
      </c>
      <c r="CG35" s="79">
        <f t="shared" si="29"/>
        <v>1.7072984281992831E-2</v>
      </c>
      <c r="CH35" s="79">
        <f t="shared" si="29"/>
        <v>1.7052489770986969E-2</v>
      </c>
      <c r="CI35" s="79">
        <f t="shared" si="29"/>
        <v>1.7032120840013518E-2</v>
      </c>
      <c r="CJ35" s="79">
        <f t="shared" si="29"/>
        <v>1.7011879664649041E-2</v>
      </c>
      <c r="CK35" s="79">
        <f t="shared" si="29"/>
        <v>1.699176829302193E-2</v>
      </c>
      <c r="CL35" s="79">
        <f t="shared" si="29"/>
        <v>1.6971788650011227E-2</v>
      </c>
      <c r="CM35" s="79">
        <f t="shared" si="29"/>
        <v>1.6951942541328719E-2</v>
      </c>
      <c r="CN35" s="79">
        <f t="shared" si="29"/>
        <v>1.6932231657489267E-2</v>
      </c>
      <c r="CO35" s="79">
        <f t="shared" si="29"/>
        <v>1.6912657577669639E-2</v>
      </c>
      <c r="CP35" s="79">
        <f t="shared" si="29"/>
        <v>1.6893221773459234E-2</v>
      </c>
      <c r="CQ35" s="79">
        <f t="shared" si="29"/>
        <v>1.6873925612506255E-2</v>
      </c>
      <c r="CR35" s="79">
        <f t="shared" si="29"/>
        <v>1.6854770362060064E-2</v>
      </c>
      <c r="CS35" s="79">
        <f t="shared" si="29"/>
        <v>1.6835757192413398E-2</v>
      </c>
      <c r="CT35" s="79">
        <f t="shared" si="29"/>
        <v>1.681688718024683E-2</v>
      </c>
      <c r="CU35" s="79">
        <f t="shared" si="29"/>
        <v>1.6798161311876572E-2</v>
      </c>
      <c r="CV35" s="79">
        <f t="shared" si="29"/>
        <v>1.6779580486410255E-2</v>
      </c>
      <c r="CW35" s="79">
        <f t="shared" si="29"/>
        <v>1.6761145518810795E-2</v>
      </c>
      <c r="CX35" s="79">
        <f t="shared" si="29"/>
        <v>1.6742857142871551E-2</v>
      </c>
      <c r="CY35" s="79">
        <f t="shared" si="29"/>
        <v>1.6742857142871551E-2</v>
      </c>
      <c r="CZ35" s="79">
        <f t="shared" si="29"/>
        <v>1.6742857142871551E-2</v>
      </c>
      <c r="DA35" s="79">
        <f t="shared" si="29"/>
        <v>1.6742857142871551E-2</v>
      </c>
      <c r="DB35" s="79">
        <f t="shared" si="29"/>
        <v>1.6742857142871551E-2</v>
      </c>
      <c r="DC35" s="79">
        <f t="shared" si="29"/>
        <v>1.6742857142871551E-2</v>
      </c>
      <c r="DD35" s="79">
        <f t="shared" si="29"/>
        <v>1.6742857142871551E-2</v>
      </c>
      <c r="DE35" s="79">
        <f t="shared" si="29"/>
        <v>1.6742857142871551E-2</v>
      </c>
      <c r="DF35" s="79">
        <f t="shared" si="29"/>
        <v>1.6742857142871551E-2</v>
      </c>
      <c r="DG35" s="79">
        <f t="shared" si="29"/>
        <v>1.6742857142871551E-2</v>
      </c>
      <c r="DH35" s="79">
        <f t="shared" si="29"/>
        <v>1.6742857142871551E-2</v>
      </c>
      <c r="DI35" s="79">
        <f t="shared" si="29"/>
        <v>1.6742857142871551E-2</v>
      </c>
      <c r="DJ35" s="79">
        <f t="shared" si="29"/>
        <v>1.6742857142871551E-2</v>
      </c>
      <c r="DK35" s="79">
        <f t="shared" si="29"/>
        <v>1.6742857142871551E-2</v>
      </c>
      <c r="DL35" s="79">
        <f t="shared" si="29"/>
        <v>1.6742857142871551E-2</v>
      </c>
      <c r="DM35" s="79">
        <f t="shared" si="29"/>
        <v>1.6742857142871551E-2</v>
      </c>
      <c r="DN35" s="79">
        <f t="shared" si="29"/>
        <v>1.6742857142871551E-2</v>
      </c>
      <c r="DO35" s="79">
        <f t="shared" si="29"/>
        <v>1.6742857142871551E-2</v>
      </c>
      <c r="DP35" s="79">
        <f t="shared" si="29"/>
        <v>1.6742857142871551E-2</v>
      </c>
      <c r="DQ35" s="79">
        <f t="shared" si="29"/>
        <v>1.6742857142871551E-2</v>
      </c>
      <c r="DR35" s="79">
        <f t="shared" si="29"/>
        <v>1.6742857142871551E-2</v>
      </c>
      <c r="DS35" s="79">
        <f t="shared" si="29"/>
        <v>1.6742857142871551E-2</v>
      </c>
      <c r="DT35" s="79">
        <f t="shared" si="29"/>
        <v>1.6742857142871551E-2</v>
      </c>
      <c r="DU35" s="79">
        <f t="shared" si="29"/>
        <v>1.6742857142871551E-2</v>
      </c>
      <c r="DV35" s="79">
        <f t="shared" si="29"/>
        <v>1.6742857142871551E-2</v>
      </c>
      <c r="DW35" s="79">
        <f t="shared" si="29"/>
        <v>1.6742857142871551E-2</v>
      </c>
      <c r="DX35" s="79">
        <f t="shared" si="29"/>
        <v>1.6742857142871551E-2</v>
      </c>
      <c r="DY35" s="79">
        <f t="shared" si="29"/>
        <v>1.6742857142871551E-2</v>
      </c>
      <c r="DZ35" s="79">
        <f t="shared" si="29"/>
        <v>1.6742857142871551E-2</v>
      </c>
      <c r="EA35" s="79">
        <f t="shared" si="29"/>
        <v>1.6742857142871551E-2</v>
      </c>
      <c r="EB35" s="79">
        <f t="shared" si="29"/>
        <v>1.6742857142871551E-2</v>
      </c>
      <c r="EC35" s="79">
        <f t="shared" si="29"/>
        <v>1.6742857142871551E-2</v>
      </c>
      <c r="ED35" s="79">
        <f t="shared" si="29"/>
        <v>1.6742857142871551E-2</v>
      </c>
      <c r="EE35" s="79">
        <f t="shared" si="28"/>
        <v>1.6742857142871551E-2</v>
      </c>
      <c r="EF35" s="79">
        <f t="shared" si="28"/>
        <v>1.6742857142871551E-2</v>
      </c>
      <c r="EG35" s="79">
        <f t="shared" si="28"/>
        <v>1.6742857142871551E-2</v>
      </c>
      <c r="EH35" s="79">
        <f t="shared" si="28"/>
        <v>1.6742857142871551E-2</v>
      </c>
      <c r="EI35" s="79">
        <f t="shared" si="28"/>
        <v>1.6742857142871551E-2</v>
      </c>
      <c r="EJ35" s="79">
        <f t="shared" si="28"/>
        <v>1.6742857142871551E-2</v>
      </c>
      <c r="EK35" s="79">
        <f t="shared" si="28"/>
        <v>1.6742857142871551E-2</v>
      </c>
      <c r="EL35" s="79">
        <f t="shared" si="28"/>
        <v>1.6742857142871551E-2</v>
      </c>
      <c r="EM35" s="79">
        <f t="shared" si="28"/>
        <v>1.6742857142871551E-2</v>
      </c>
      <c r="EN35" s="79">
        <f t="shared" si="28"/>
        <v>1.6742857142871551E-2</v>
      </c>
      <c r="EO35" s="79">
        <f t="shared" si="28"/>
        <v>1.6742857142871551E-2</v>
      </c>
      <c r="EP35" s="79">
        <f t="shared" si="28"/>
        <v>1.6742857142871551E-2</v>
      </c>
      <c r="EQ35" s="79">
        <f t="shared" si="28"/>
        <v>1.6742857142871551E-2</v>
      </c>
      <c r="ER35" s="79">
        <f t="shared" si="28"/>
        <v>1.6742857142871551E-2</v>
      </c>
      <c r="ES35" s="79">
        <f t="shared" si="28"/>
        <v>1.6742857142871551E-2</v>
      </c>
      <c r="ET35" s="79">
        <f t="shared" si="28"/>
        <v>1.6742857142871551E-2</v>
      </c>
      <c r="FF35" s="6" t="s">
        <v>215</v>
      </c>
      <c r="FG35" s="696">
        <v>2.5000000000000001E-2</v>
      </c>
      <c r="FH35" s="696">
        <v>120</v>
      </c>
      <c r="FI35" s="696">
        <v>1.7399999999999999E-2</v>
      </c>
      <c r="FJ35" s="255">
        <v>1.3999999999999999E-2</v>
      </c>
      <c r="FK35" s="71">
        <f t="shared" si="11"/>
        <v>2.6190476190476197E-4</v>
      </c>
      <c r="FL35" t="e">
        <f>VLOOKUP(FF35,'SIMULADOR COM SALDO'!$BX$22:$CK$1000,13,FALSE)</f>
        <v>#N/A</v>
      </c>
    </row>
    <row r="36" spans="6:168" x14ac:dyDescent="0.25">
      <c r="F36" s="97">
        <f t="shared" si="24"/>
        <v>1.6840476190476194E-2</v>
      </c>
      <c r="G36" s="79">
        <f t="shared" si="6"/>
        <v>1.8498961051882496E-2</v>
      </c>
      <c r="H36" s="79">
        <f t="shared" si="30"/>
        <v>1.8496919403401726E-2</v>
      </c>
      <c r="I36" s="79">
        <f t="shared" si="30"/>
        <v>1.8493910513122044E-2</v>
      </c>
      <c r="J36" s="79">
        <f t="shared" si="30"/>
        <v>1.8489969053886977E-2</v>
      </c>
      <c r="K36" s="79">
        <f t="shared" si="30"/>
        <v>1.8485128917123478E-2</v>
      </c>
      <c r="L36" s="79">
        <f t="shared" si="30"/>
        <v>1.8479423217921655E-2</v>
      </c>
      <c r="M36" s="79">
        <f t="shared" si="30"/>
        <v>1.8472884300835671E-2</v>
      </c>
      <c r="N36" s="79">
        <f t="shared" si="30"/>
        <v>1.8465543746350285E-2</v>
      </c>
      <c r="O36" s="79">
        <f t="shared" si="30"/>
        <v>1.8457432377965939E-2</v>
      </c>
      <c r="P36" s="79">
        <f t="shared" si="30"/>
        <v>1.8448580269850811E-2</v>
      </c>
      <c r="Q36" s="79">
        <f t="shared" si="30"/>
        <v>1.8439016755012576E-2</v>
      </c>
      <c r="R36" s="79">
        <f t="shared" si="30"/>
        <v>1.8428770433947247E-2</v>
      </c>
      <c r="S36" s="79">
        <f t="shared" si="30"/>
        <v>1.8417869183719276E-2</v>
      </c>
      <c r="T36" s="79">
        <f t="shared" si="30"/>
        <v>1.8406340167433054E-2</v>
      </c>
      <c r="U36" s="79">
        <f t="shared" si="30"/>
        <v>1.8394209844056989E-2</v>
      </c>
      <c r="V36" s="79">
        <f t="shared" si="30"/>
        <v>1.8381503978562277E-2</v>
      </c>
      <c r="W36" s="79">
        <f t="shared" si="30"/>
        <v>1.8368247652339378E-2</v>
      </c>
      <c r="X36" s="79">
        <f t="shared" si="30"/>
        <v>1.8354465273863245E-2</v>
      </c>
      <c r="Y36" s="79">
        <f t="shared" si="30"/>
        <v>1.8340180589567646E-2</v>
      </c>
      <c r="Z36" s="79">
        <f t="shared" si="30"/>
        <v>1.8325416694907903E-2</v>
      </c>
      <c r="AA36" s="79">
        <f t="shared" si="30"/>
        <v>1.8310196045574163E-2</v>
      </c>
      <c r="AB36" s="79">
        <f t="shared" si="30"/>
        <v>1.8294540468835493E-2</v>
      </c>
      <c r="AC36" s="79">
        <f t="shared" si="30"/>
        <v>1.8278471174984996E-2</v>
      </c>
      <c r="AD36" s="79">
        <f t="shared" si="30"/>
        <v>1.8262008768865818E-2</v>
      </c>
      <c r="AE36" s="79">
        <f t="shared" si="30"/>
        <v>1.8245173261450788E-2</v>
      </c>
      <c r="AF36" s="79">
        <f t="shared" si="30"/>
        <v>1.8227984081460872E-2</v>
      </c>
      <c r="AG36" s="79">
        <f t="shared" si="30"/>
        <v>1.821046008699757E-2</v>
      </c>
      <c r="AH36" s="79">
        <f t="shared" si="30"/>
        <v>1.8192619577173968E-2</v>
      </c>
      <c r="AI36" s="79">
        <f t="shared" si="30"/>
        <v>1.8174480303726998E-2</v>
      </c>
      <c r="AJ36" s="79">
        <f t="shared" si="30"/>
        <v>1.8156059482594543E-2</v>
      </c>
      <c r="AK36" s="79">
        <f t="shared" si="30"/>
        <v>1.8137373805442388E-2</v>
      </c>
      <c r="AL36" s="79">
        <f t="shared" si="30"/>
        <v>1.8118439451130119E-2</v>
      </c>
      <c r="AM36" s="79">
        <f t="shared" si="30"/>
        <v>1.8099272097099012E-2</v>
      </c>
      <c r="AN36" s="79">
        <f t="shared" si="30"/>
        <v>1.8079886930674974E-2</v>
      </c>
      <c r="AO36" s="79">
        <f t="shared" si="30"/>
        <v>1.806029866027287E-2</v>
      </c>
      <c r="AP36" s="79">
        <f t="shared" si="30"/>
        <v>1.8040521526494959E-2</v>
      </c>
      <c r="AQ36" s="79">
        <f t="shared" si="30"/>
        <v>1.8020569313111238E-2</v>
      </c>
      <c r="AR36" s="79">
        <f t="shared" si="30"/>
        <v>1.8000455357918384E-2</v>
      </c>
      <c r="AS36" s="79">
        <f t="shared" si="30"/>
        <v>1.7980192563466287E-2</v>
      </c>
      <c r="AT36" s="79">
        <f t="shared" si="30"/>
        <v>1.7959793407647581E-2</v>
      </c>
      <c r="AU36" s="79">
        <f t="shared" si="30"/>
        <v>1.7939269954143303E-2</v>
      </c>
      <c r="AV36" s="79">
        <f t="shared" si="30"/>
        <v>1.7918633862720714E-2</v>
      </c>
      <c r="AW36" s="79">
        <f t="shared" si="30"/>
        <v>1.7897896399378301E-2</v>
      </c>
      <c r="AX36" s="79">
        <f t="shared" si="30"/>
        <v>1.787706844633366E-2</v>
      </c>
      <c r="AY36" s="79">
        <f t="shared" si="30"/>
        <v>1.7856160511850641E-2</v>
      </c>
      <c r="AZ36" s="79">
        <f t="shared" si="30"/>
        <v>1.7835182739903699E-2</v>
      </c>
      <c r="BA36" s="79">
        <f t="shared" si="30"/>
        <v>1.7814144919677328E-2</v>
      </c>
      <c r="BB36" s="79">
        <f t="shared" si="30"/>
        <v>1.7793056494896205E-2</v>
      </c>
      <c r="BC36" s="79">
        <f t="shared" si="30"/>
        <v>1.7771926572987987E-2</v>
      </c>
      <c r="BD36" s="79">
        <f t="shared" si="30"/>
        <v>1.7750763934073734E-2</v>
      </c>
      <c r="BE36" s="79">
        <f t="shared" si="30"/>
        <v>1.7729577039789193E-2</v>
      </c>
      <c r="BF36" s="79">
        <f t="shared" si="30"/>
        <v>1.7708374041932245E-2</v>
      </c>
      <c r="BG36" s="79">
        <f t="shared" si="30"/>
        <v>1.7687162790940198E-2</v>
      </c>
      <c r="BH36" s="79">
        <f t="shared" si="30"/>
        <v>1.7665950844193756E-2</v>
      </c>
      <c r="BI36" s="79">
        <f t="shared" si="30"/>
        <v>1.7644745474150302E-2</v>
      </c>
      <c r="BJ36" s="79">
        <f t="shared" si="30"/>
        <v>1.7623553676306618E-2</v>
      </c>
      <c r="BK36" s="79">
        <f t="shared" si="30"/>
        <v>1.7602382176989777E-2</v>
      </c>
      <c r="BL36" s="79">
        <f t="shared" si="30"/>
        <v>1.7581237440981327E-2</v>
      </c>
      <c r="BM36" s="79">
        <f t="shared" si="30"/>
        <v>1.7560125678971656E-2</v>
      </c>
      <c r="BN36" s="79">
        <f t="shared" si="30"/>
        <v>1.7539052854848827E-2</v>
      </c>
      <c r="BO36" s="79">
        <f t="shared" si="30"/>
        <v>1.7518024692822706E-2</v>
      </c>
      <c r="BP36" s="79">
        <f t="shared" si="30"/>
        <v>1.7497046684384347E-2</v>
      </c>
      <c r="BQ36" s="79">
        <f t="shared" si="30"/>
        <v>1.7476124095106394E-2</v>
      </c>
      <c r="BR36" s="79">
        <f t="shared" si="30"/>
        <v>1.7455261971281524E-2</v>
      </c>
      <c r="BS36" s="79">
        <f t="shared" ref="BS36:ED39" si="31">IF(BS$9&lt;=$K$6,RATE($K$6,1,BS82,0),"")</f>
        <v>1.74344651464051E-2</v>
      </c>
      <c r="BT36" s="79">
        <f t="shared" si="31"/>
        <v>1.7413738247501458E-2</v>
      </c>
      <c r="BU36" s="79">
        <f t="shared" si="31"/>
        <v>1.7393085701297623E-2</v>
      </c>
      <c r="BV36" s="79">
        <f t="shared" si="31"/>
        <v>1.7372511740246267E-2</v>
      </c>
      <c r="BW36" s="79">
        <f t="shared" si="31"/>
        <v>1.735202040839904E-2</v>
      </c>
      <c r="BX36" s="79">
        <f t="shared" si="31"/>
        <v>1.7331615567135399E-2</v>
      </c>
      <c r="BY36" s="79">
        <f t="shared" si="31"/>
        <v>1.7311300900746052E-2</v>
      </c>
      <c r="BZ36" s="79">
        <f t="shared" si="31"/>
        <v>1.7291079921876895E-2</v>
      </c>
      <c r="CA36" s="79">
        <f t="shared" si="31"/>
        <v>1.7270955976832127E-2</v>
      </c>
      <c r="CB36" s="79">
        <f t="shared" si="31"/>
        <v>1.7250932250743572E-2</v>
      </c>
      <c r="CC36" s="79">
        <f t="shared" si="31"/>
        <v>1.7231011772603992E-2</v>
      </c>
      <c r="CD36" s="79">
        <f t="shared" si="31"/>
        <v>1.7211197420170549E-2</v>
      </c>
      <c r="CE36" s="79">
        <f t="shared" si="31"/>
        <v>1.7191491924740235E-2</v>
      </c>
      <c r="CF36" s="79">
        <f t="shared" si="31"/>
        <v>1.7171897875797534E-2</v>
      </c>
      <c r="CG36" s="79">
        <f t="shared" si="31"/>
        <v>1.7152417725540683E-2</v>
      </c>
      <c r="CH36" s="79">
        <f t="shared" si="31"/>
        <v>1.7133053793285034E-2</v>
      </c>
      <c r="CI36" s="79">
        <f t="shared" si="31"/>
        <v>1.7113808269750102E-2</v>
      </c>
      <c r="CJ36" s="79">
        <f t="shared" si="31"/>
        <v>1.7094683221229357E-2</v>
      </c>
      <c r="CK36" s="79">
        <f t="shared" si="31"/>
        <v>1.7075680593647242E-2</v>
      </c>
      <c r="CL36" s="79">
        <f t="shared" si="31"/>
        <v>1.7056802216505702E-2</v>
      </c>
      <c r="CM36" s="79">
        <f t="shared" si="31"/>
        <v>1.7038049806721533E-2</v>
      </c>
      <c r="CN36" s="79">
        <f t="shared" si="31"/>
        <v>1.7019424972359039E-2</v>
      </c>
      <c r="CO36" s="79">
        <f t="shared" si="31"/>
        <v>1.7000929216258419E-2</v>
      </c>
      <c r="CP36" s="79">
        <f t="shared" si="31"/>
        <v>1.6982563939563426E-2</v>
      </c>
      <c r="CQ36" s="79">
        <f t="shared" si="31"/>
        <v>1.6964330445149875E-2</v>
      </c>
      <c r="CR36" s="79">
        <f t="shared" si="31"/>
        <v>1.6946229940959137E-2</v>
      </c>
      <c r="CS36" s="79">
        <f t="shared" si="31"/>
        <v>1.692826354323556E-2</v>
      </c>
      <c r="CT36" s="79">
        <f t="shared" si="31"/>
        <v>1.6910432279674283E-2</v>
      </c>
      <c r="CU36" s="79">
        <f t="shared" si="31"/>
        <v>1.6892737092477808E-2</v>
      </c>
      <c r="CV36" s="79">
        <f t="shared" si="31"/>
        <v>1.6875178841325892E-2</v>
      </c>
      <c r="CW36" s="79">
        <f t="shared" si="31"/>
        <v>1.6857758306260781E-2</v>
      </c>
      <c r="CX36" s="79">
        <f t="shared" si="31"/>
        <v>1.6840476190488576E-2</v>
      </c>
      <c r="CY36" s="79">
        <f t="shared" si="31"/>
        <v>1.6840476190488576E-2</v>
      </c>
      <c r="CZ36" s="79">
        <f t="shared" si="31"/>
        <v>1.6840476190488576E-2</v>
      </c>
      <c r="DA36" s="79">
        <f t="shared" si="31"/>
        <v>1.6840476190488576E-2</v>
      </c>
      <c r="DB36" s="79">
        <f t="shared" si="31"/>
        <v>1.6840476190488576E-2</v>
      </c>
      <c r="DC36" s="79">
        <f t="shared" si="31"/>
        <v>1.6840476190488576E-2</v>
      </c>
      <c r="DD36" s="79">
        <f t="shared" si="31"/>
        <v>1.6840476190488576E-2</v>
      </c>
      <c r="DE36" s="79">
        <f t="shared" si="31"/>
        <v>1.6840476190488576E-2</v>
      </c>
      <c r="DF36" s="79">
        <f t="shared" si="31"/>
        <v>1.6840476190488576E-2</v>
      </c>
      <c r="DG36" s="79">
        <f t="shared" si="31"/>
        <v>1.6840476190488576E-2</v>
      </c>
      <c r="DH36" s="79">
        <f t="shared" si="31"/>
        <v>1.6840476190488576E-2</v>
      </c>
      <c r="DI36" s="79">
        <f t="shared" si="31"/>
        <v>1.6840476190488576E-2</v>
      </c>
      <c r="DJ36" s="79">
        <f t="shared" si="31"/>
        <v>1.6840476190488576E-2</v>
      </c>
      <c r="DK36" s="79">
        <f t="shared" si="31"/>
        <v>1.6840476190488576E-2</v>
      </c>
      <c r="DL36" s="79">
        <f t="shared" si="31"/>
        <v>1.6840476190488576E-2</v>
      </c>
      <c r="DM36" s="79">
        <f t="shared" si="31"/>
        <v>1.6840476190488576E-2</v>
      </c>
      <c r="DN36" s="79">
        <f t="shared" si="31"/>
        <v>1.6840476190488576E-2</v>
      </c>
      <c r="DO36" s="79">
        <f t="shared" si="31"/>
        <v>1.6840476190488576E-2</v>
      </c>
      <c r="DP36" s="79">
        <f t="shared" si="31"/>
        <v>1.6840476190488576E-2</v>
      </c>
      <c r="DQ36" s="79">
        <f t="shared" si="31"/>
        <v>1.6840476190488576E-2</v>
      </c>
      <c r="DR36" s="79">
        <f t="shared" si="31"/>
        <v>1.6840476190488576E-2</v>
      </c>
      <c r="DS36" s="79">
        <f t="shared" si="31"/>
        <v>1.6840476190488576E-2</v>
      </c>
      <c r="DT36" s="79">
        <f t="shared" si="31"/>
        <v>1.6840476190488576E-2</v>
      </c>
      <c r="DU36" s="79">
        <f t="shared" si="31"/>
        <v>1.6840476190488576E-2</v>
      </c>
      <c r="DV36" s="79">
        <f t="shared" si="31"/>
        <v>1.6840476190488576E-2</v>
      </c>
      <c r="DW36" s="79">
        <f t="shared" si="31"/>
        <v>1.6840476190488576E-2</v>
      </c>
      <c r="DX36" s="79">
        <f t="shared" si="31"/>
        <v>1.6840476190488576E-2</v>
      </c>
      <c r="DY36" s="79">
        <f t="shared" si="31"/>
        <v>1.6840476190488576E-2</v>
      </c>
      <c r="DZ36" s="79">
        <f t="shared" si="31"/>
        <v>1.6840476190488576E-2</v>
      </c>
      <c r="EA36" s="79">
        <f t="shared" si="31"/>
        <v>1.6840476190488576E-2</v>
      </c>
      <c r="EB36" s="79">
        <f t="shared" si="31"/>
        <v>1.6840476190488576E-2</v>
      </c>
      <c r="EC36" s="79">
        <f t="shared" si="31"/>
        <v>1.6840476190488576E-2</v>
      </c>
      <c r="ED36" s="79">
        <f t="shared" si="31"/>
        <v>1.6840476190488576E-2</v>
      </c>
      <c r="EE36" s="79">
        <f t="shared" si="28"/>
        <v>1.6840476190488576E-2</v>
      </c>
      <c r="EF36" s="79">
        <f t="shared" si="28"/>
        <v>1.6840476190488576E-2</v>
      </c>
      <c r="EG36" s="79">
        <f t="shared" si="28"/>
        <v>1.6840476190488576E-2</v>
      </c>
      <c r="EH36" s="79">
        <f t="shared" si="28"/>
        <v>1.6840476190488576E-2</v>
      </c>
      <c r="EI36" s="79">
        <f t="shared" si="28"/>
        <v>1.6840476190488576E-2</v>
      </c>
      <c r="EJ36" s="79">
        <f t="shared" si="28"/>
        <v>1.6840476190488576E-2</v>
      </c>
      <c r="EK36" s="79">
        <f t="shared" si="28"/>
        <v>1.6840476190488576E-2</v>
      </c>
      <c r="EL36" s="79">
        <f t="shared" si="28"/>
        <v>1.6840476190488576E-2</v>
      </c>
      <c r="EM36" s="79">
        <f t="shared" si="28"/>
        <v>1.6840476190488576E-2</v>
      </c>
      <c r="EN36" s="79">
        <f t="shared" si="28"/>
        <v>1.6840476190488576E-2</v>
      </c>
      <c r="EO36" s="79">
        <f t="shared" si="28"/>
        <v>1.6840476190488576E-2</v>
      </c>
      <c r="EP36" s="79">
        <f t="shared" si="28"/>
        <v>1.6840476190488576E-2</v>
      </c>
      <c r="EQ36" s="79">
        <f t="shared" si="28"/>
        <v>1.6840476190488576E-2</v>
      </c>
      <c r="ER36" s="79">
        <f t="shared" si="28"/>
        <v>1.6840476190488576E-2</v>
      </c>
      <c r="ES36" s="79">
        <f t="shared" si="28"/>
        <v>1.6840476190488576E-2</v>
      </c>
      <c r="ET36" s="79">
        <f t="shared" si="28"/>
        <v>1.6840476190488576E-2</v>
      </c>
      <c r="FF36" s="6" t="s">
        <v>3002</v>
      </c>
      <c r="FG36" s="696">
        <v>2.5000000000000001E-2</v>
      </c>
      <c r="FH36" s="696">
        <v>120</v>
      </c>
      <c r="FI36" s="696">
        <v>1.61E-2</v>
      </c>
      <c r="FJ36" s="255">
        <v>1.43E-2</v>
      </c>
      <c r="FK36" s="71">
        <f t="shared" si="11"/>
        <v>2.5476190476190477E-4</v>
      </c>
      <c r="FL36" t="e">
        <f>VLOOKUP(FF36,'SIMULADOR COM SALDO'!$BX$22:$CK$1000,13,FALSE)</f>
        <v>#N/A</v>
      </c>
    </row>
    <row r="37" spans="6:168" x14ac:dyDescent="0.25">
      <c r="F37" s="97">
        <f t="shared" si="24"/>
        <v>1.6938095238095242E-2</v>
      </c>
      <c r="G37" s="79">
        <f t="shared" si="6"/>
        <v>1.849902225872814E-2</v>
      </c>
      <c r="H37" s="79">
        <f t="shared" ref="H37:BS40" si="32">IF(H$9&lt;=$K$6,RATE($K$6,1,H83,0),"")</f>
        <v>1.8497100971380031E-2</v>
      </c>
      <c r="I37" s="79">
        <f t="shared" si="32"/>
        <v>1.8494269577284946E-2</v>
      </c>
      <c r="J37" s="79">
        <f t="shared" si="32"/>
        <v>1.8490560764316533E-2</v>
      </c>
      <c r="K37" s="79">
        <f t="shared" si="32"/>
        <v>1.8486006474022453E-2</v>
      </c>
      <c r="L37" s="79">
        <f t="shared" si="32"/>
        <v>1.8480637907417666E-2</v>
      </c>
      <c r="M37" s="79">
        <f t="shared" si="32"/>
        <v>1.8474485531391631E-2</v>
      </c>
      <c r="N37" s="79">
        <f t="shared" si="32"/>
        <v>1.8467579085682986E-2</v>
      </c>
      <c r="O37" s="79">
        <f t="shared" si="32"/>
        <v>1.845994759037695E-2</v>
      </c>
      <c r="P37" s="79">
        <f t="shared" si="32"/>
        <v>1.8451619353879897E-2</v>
      </c>
      <c r="Q37" s="79">
        <f t="shared" si="32"/>
        <v>1.84426219813318E-2</v>
      </c>
      <c r="R37" s="79">
        <f t="shared" si="32"/>
        <v>1.8432982383414422E-2</v>
      </c>
      <c r="S37" s="79">
        <f t="shared" si="32"/>
        <v>1.8422726785518564E-2</v>
      </c>
      <c r="T37" s="79">
        <f t="shared" si="32"/>
        <v>1.8411880737233891E-2</v>
      </c>
      <c r="U37" s="79">
        <f t="shared" si="32"/>
        <v>1.8400469122125784E-2</v>
      </c>
      <c r="V37" s="79">
        <f t="shared" si="32"/>
        <v>1.8388516167767439E-2</v>
      </c>
      <c r="W37" s="79">
        <f t="shared" si="32"/>
        <v>1.8376045455996116E-2</v>
      </c>
      <c r="X37" s="79">
        <f t="shared" si="32"/>
        <v>1.8363079933362302E-2</v>
      </c>
      <c r="Y37" s="79">
        <f t="shared" si="32"/>
        <v>1.8349641921746662E-2</v>
      </c>
      <c r="Z37" s="79">
        <f t="shared" si="32"/>
        <v>1.8335753129115291E-2</v>
      </c>
      <c r="AA37" s="79">
        <f t="shared" si="32"/>
        <v>1.8321434660390955E-2</v>
      </c>
      <c r="AB37" s="79">
        <f t="shared" si="32"/>
        <v>1.8306707028415234E-2</v>
      </c>
      <c r="AC37" s="79">
        <f t="shared" si="32"/>
        <v>1.8291590164980463E-2</v>
      </c>
      <c r="AD37" s="79">
        <f t="shared" si="32"/>
        <v>1.8276103431910457E-2</v>
      </c>
      <c r="AE37" s="79">
        <f t="shared" si="32"/>
        <v>1.826026563216988E-2</v>
      </c>
      <c r="AF37" s="79">
        <f t="shared" si="32"/>
        <v>1.8244095020986902E-2</v>
      </c>
      <c r="AG37" s="79">
        <f t="shared" si="32"/>
        <v>1.8227609316968183E-2</v>
      </c>
      <c r="AH37" s="79">
        <f t="shared" si="32"/>
        <v>1.8210825713193469E-2</v>
      </c>
      <c r="AI37" s="79">
        <f t="shared" si="32"/>
        <v>1.8193760888275061E-2</v>
      </c>
      <c r="AJ37" s="79">
        <f t="shared" si="32"/>
        <v>1.8176431017366879E-2</v>
      </c>
      <c r="AK37" s="79">
        <f t="shared" si="32"/>
        <v>1.8158851783111659E-2</v>
      </c>
      <c r="AL37" s="79">
        <f t="shared" si="32"/>
        <v>1.8141038386515682E-2</v>
      </c>
      <c r="AM37" s="79">
        <f t="shared" si="32"/>
        <v>1.8123005557737833E-2</v>
      </c>
      <c r="AN37" s="79">
        <f t="shared" si="32"/>
        <v>1.8104767566786008E-2</v>
      </c>
      <c r="AO37" s="79">
        <f t="shared" si="32"/>
        <v>1.8086338234109989E-2</v>
      </c>
      <c r="AP37" s="79">
        <f t="shared" si="32"/>
        <v>1.8067730941084499E-2</v>
      </c>
      <c r="AQ37" s="79">
        <f t="shared" si="32"/>
        <v>1.8048958640371482E-2</v>
      </c>
      <c r="AR37" s="79">
        <f t="shared" si="32"/>
        <v>1.8030033866160679E-2</v>
      </c>
      <c r="AS37" s="79">
        <f t="shared" si="32"/>
        <v>1.8010968744276424E-2</v>
      </c>
      <c r="AT37" s="79">
        <f t="shared" si="32"/>
        <v>1.7991775002149334E-2</v>
      </c>
      <c r="AU37" s="79">
        <f t="shared" si="32"/>
        <v>1.7972463978647324E-2</v>
      </c>
      <c r="AV37" s="79">
        <f t="shared" si="32"/>
        <v>1.795304663376001E-2</v>
      </c>
      <c r="AW37" s="79">
        <f t="shared" si="32"/>
        <v>1.7933533558134377E-2</v>
      </c>
      <c r="AX37" s="79">
        <f t="shared" si="32"/>
        <v>1.7913934982460303E-2</v>
      </c>
      <c r="AY37" s="79">
        <f t="shared" si="32"/>
        <v>1.7894260786697928E-2</v>
      </c>
      <c r="AZ37" s="79">
        <f t="shared" si="32"/>
        <v>1.7874520509150369E-2</v>
      </c>
      <c r="BA37" s="79">
        <f t="shared" si="32"/>
        <v>1.7854723355376276E-2</v>
      </c>
      <c r="BB37" s="79">
        <f t="shared" si="32"/>
        <v>1.7834878206943034E-2</v>
      </c>
      <c r="BC37" s="79">
        <f t="shared" si="32"/>
        <v>1.7814993630016498E-2</v>
      </c>
      <c r="BD37" s="79">
        <f t="shared" si="32"/>
        <v>1.7795077883790526E-2</v>
      </c>
      <c r="BE37" s="79">
        <f t="shared" si="32"/>
        <v>1.7775138928752165E-2</v>
      </c>
      <c r="BF37" s="79">
        <f t="shared" si="32"/>
        <v>1.7755184434784809E-2</v>
      </c>
      <c r="BG37" s="79">
        <f t="shared" si="32"/>
        <v>1.7735221789107469E-2</v>
      </c>
      <c r="BH37" s="79">
        <f t="shared" si="32"/>
        <v>1.7715258104052264E-2</v>
      </c>
      <c r="BI37" s="79">
        <f t="shared" si="32"/>
        <v>1.7695300224679494E-2</v>
      </c>
      <c r="BJ37" s="79">
        <f t="shared" si="32"/>
        <v>1.7675354736231913E-2</v>
      </c>
      <c r="BK37" s="79">
        <f t="shared" si="32"/>
        <v>1.7655427971427693E-2</v>
      </c>
      <c r="BL37" s="79">
        <f t="shared" si="32"/>
        <v>1.763552601759558E-2</v>
      </c>
      <c r="BM37" s="79">
        <f t="shared" si="32"/>
        <v>1.7615654723650457E-2</v>
      </c>
      <c r="BN37" s="79">
        <f t="shared" si="32"/>
        <v>1.7595819706914578E-2</v>
      </c>
      <c r="BO37" s="79">
        <f t="shared" si="32"/>
        <v>1.7576026359781997E-2</v>
      </c>
      <c r="BP37" s="79">
        <f t="shared" si="32"/>
        <v>1.7556279856231021E-2</v>
      </c>
      <c r="BQ37" s="79">
        <f t="shared" si="32"/>
        <v>1.7536585158184782E-2</v>
      </c>
      <c r="BR37" s="79">
        <f t="shared" si="32"/>
        <v>1.7516947021722511E-2</v>
      </c>
      <c r="BS37" s="79">
        <f t="shared" si="32"/>
        <v>1.7497370003143269E-2</v>
      </c>
      <c r="BT37" s="79">
        <f t="shared" si="31"/>
        <v>1.7477858464884467E-2</v>
      </c>
      <c r="BU37" s="79">
        <f t="shared" si="31"/>
        <v>1.7458416581296758E-2</v>
      </c>
      <c r="BV37" s="79">
        <f t="shared" si="31"/>
        <v>1.743904834427824E-2</v>
      </c>
      <c r="BW37" s="79">
        <f t="shared" si="31"/>
        <v>1.7419757568769147E-2</v>
      </c>
      <c r="BX37" s="79">
        <f t="shared" si="31"/>
        <v>1.7400547898111011E-2</v>
      </c>
      <c r="BY37" s="79">
        <f t="shared" si="31"/>
        <v>1.7381422809270582E-2</v>
      </c>
      <c r="BZ37" s="79">
        <f t="shared" si="31"/>
        <v>1.7362385617932137E-2</v>
      </c>
      <c r="CA37" s="79">
        <f t="shared" si="31"/>
        <v>1.7343439483460839E-2</v>
      </c>
      <c r="CB37" s="79">
        <f t="shared" si="31"/>
        <v>1.7324587413737959E-2</v>
      </c>
      <c r="CC37" s="79">
        <f t="shared" si="31"/>
        <v>1.730583226987192E-2</v>
      </c>
      <c r="CD37" s="79">
        <f t="shared" si="31"/>
        <v>1.7287176770787158E-2</v>
      </c>
      <c r="CE37" s="79">
        <f t="shared" si="31"/>
        <v>1.726862349769262E-2</v>
      </c>
      <c r="CF37" s="79">
        <f t="shared" si="31"/>
        <v>1.7250174898433251E-2</v>
      </c>
      <c r="CG37" s="79">
        <f t="shared" si="31"/>
        <v>1.7231833291725496E-2</v>
      </c>
      <c r="CH37" s="79">
        <f t="shared" si="31"/>
        <v>1.7213600871281261E-2</v>
      </c>
      <c r="CI37" s="79">
        <f t="shared" si="31"/>
        <v>1.7195479709820289E-2</v>
      </c>
      <c r="CJ37" s="79">
        <f t="shared" si="31"/>
        <v>1.7177471762975755E-2</v>
      </c>
      <c r="CK37" s="79">
        <f t="shared" si="31"/>
        <v>1.7159578873093519E-2</v>
      </c>
      <c r="CL37" s="79">
        <f t="shared" si="31"/>
        <v>1.7141802772928011E-2</v>
      </c>
      <c r="CM37" s="79">
        <f t="shared" si="31"/>
        <v>1.7124145089237503E-2</v>
      </c>
      <c r="CN37" s="79">
        <f t="shared" si="31"/>
        <v>1.7106607346280691E-2</v>
      </c>
      <c r="CO37" s="79">
        <f t="shared" si="31"/>
        <v>1.7089190969216569E-2</v>
      </c>
      <c r="CP37" s="79">
        <f t="shared" si="31"/>
        <v>1.7071897287410466E-2</v>
      </c>
      <c r="CQ37" s="79">
        <f t="shared" si="31"/>
        <v>1.7054727537647276E-2</v>
      </c>
      <c r="CR37" s="79">
        <f t="shared" si="31"/>
        <v>1.7037682867256168E-2</v>
      </c>
      <c r="CS37" s="79">
        <f t="shared" si="31"/>
        <v>1.7020764337146409E-2</v>
      </c>
      <c r="CT37" s="79">
        <f t="shared" si="31"/>
        <v>1.7003972924758137E-2</v>
      </c>
      <c r="CU37" s="79">
        <f t="shared" si="31"/>
        <v>1.6987309526929808E-2</v>
      </c>
      <c r="CV37" s="79">
        <f t="shared" si="31"/>
        <v>1.6970774962683517E-2</v>
      </c>
      <c r="CW37" s="79">
        <f t="shared" si="31"/>
        <v>1.6954369975931589E-2</v>
      </c>
      <c r="CX37" s="79">
        <f t="shared" si="31"/>
        <v>1.6938095238105817E-2</v>
      </c>
      <c r="CY37" s="79">
        <f t="shared" si="31"/>
        <v>1.6938095238105817E-2</v>
      </c>
      <c r="CZ37" s="79">
        <f t="shared" si="31"/>
        <v>1.6938095238105817E-2</v>
      </c>
      <c r="DA37" s="79">
        <f t="shared" si="31"/>
        <v>1.6938095238105817E-2</v>
      </c>
      <c r="DB37" s="79">
        <f t="shared" si="31"/>
        <v>1.6938095238105817E-2</v>
      </c>
      <c r="DC37" s="79">
        <f t="shared" si="31"/>
        <v>1.6938095238105817E-2</v>
      </c>
      <c r="DD37" s="79">
        <f t="shared" si="31"/>
        <v>1.6938095238105817E-2</v>
      </c>
      <c r="DE37" s="79">
        <f t="shared" si="31"/>
        <v>1.6938095238105817E-2</v>
      </c>
      <c r="DF37" s="79">
        <f t="shared" si="31"/>
        <v>1.6938095238105817E-2</v>
      </c>
      <c r="DG37" s="79">
        <f t="shared" si="31"/>
        <v>1.6938095238105817E-2</v>
      </c>
      <c r="DH37" s="79">
        <f t="shared" si="31"/>
        <v>1.6938095238105817E-2</v>
      </c>
      <c r="DI37" s="79">
        <f t="shared" si="31"/>
        <v>1.6938095238105817E-2</v>
      </c>
      <c r="DJ37" s="79">
        <f t="shared" si="31"/>
        <v>1.6938095238105817E-2</v>
      </c>
      <c r="DK37" s="79">
        <f t="shared" si="31"/>
        <v>1.6938095238105817E-2</v>
      </c>
      <c r="DL37" s="79">
        <f t="shared" si="31"/>
        <v>1.6938095238105817E-2</v>
      </c>
      <c r="DM37" s="79">
        <f t="shared" si="31"/>
        <v>1.6938095238105817E-2</v>
      </c>
      <c r="DN37" s="79">
        <f t="shared" si="31"/>
        <v>1.6938095238105817E-2</v>
      </c>
      <c r="DO37" s="79">
        <f t="shared" si="31"/>
        <v>1.6938095238105817E-2</v>
      </c>
      <c r="DP37" s="79">
        <f t="shared" si="31"/>
        <v>1.6938095238105817E-2</v>
      </c>
      <c r="DQ37" s="79">
        <f t="shared" si="31"/>
        <v>1.6938095238105817E-2</v>
      </c>
      <c r="DR37" s="79">
        <f t="shared" si="31"/>
        <v>1.6938095238105817E-2</v>
      </c>
      <c r="DS37" s="79">
        <f t="shared" si="31"/>
        <v>1.6938095238105817E-2</v>
      </c>
      <c r="DT37" s="79">
        <f t="shared" si="31"/>
        <v>1.6938095238105817E-2</v>
      </c>
      <c r="DU37" s="79">
        <f t="shared" si="31"/>
        <v>1.6938095238105817E-2</v>
      </c>
      <c r="DV37" s="79">
        <f t="shared" si="31"/>
        <v>1.6938095238105817E-2</v>
      </c>
      <c r="DW37" s="79">
        <f t="shared" si="31"/>
        <v>1.6938095238105817E-2</v>
      </c>
      <c r="DX37" s="79">
        <f t="shared" si="31"/>
        <v>1.6938095238105817E-2</v>
      </c>
      <c r="DY37" s="79">
        <f t="shared" si="31"/>
        <v>1.6938095238105817E-2</v>
      </c>
      <c r="DZ37" s="79">
        <f t="shared" si="31"/>
        <v>1.6938095238105817E-2</v>
      </c>
      <c r="EA37" s="79">
        <f t="shared" si="31"/>
        <v>1.6938095238105817E-2</v>
      </c>
      <c r="EB37" s="79">
        <f t="shared" si="31"/>
        <v>1.6938095238105817E-2</v>
      </c>
      <c r="EC37" s="79">
        <f t="shared" si="31"/>
        <v>1.6938095238105817E-2</v>
      </c>
      <c r="ED37" s="79">
        <f t="shared" si="31"/>
        <v>1.6938095238105817E-2</v>
      </c>
      <c r="EE37" s="79">
        <f t="shared" si="28"/>
        <v>1.6938095238105817E-2</v>
      </c>
      <c r="EF37" s="79">
        <f t="shared" si="28"/>
        <v>1.6938095238105817E-2</v>
      </c>
      <c r="EG37" s="79">
        <f t="shared" si="28"/>
        <v>1.6938095238105817E-2</v>
      </c>
      <c r="EH37" s="79">
        <f t="shared" si="28"/>
        <v>1.6938095238105817E-2</v>
      </c>
      <c r="EI37" s="79">
        <f t="shared" si="28"/>
        <v>1.6938095238105817E-2</v>
      </c>
      <c r="EJ37" s="79">
        <f t="shared" si="28"/>
        <v>1.6938095238105817E-2</v>
      </c>
      <c r="EK37" s="79">
        <f t="shared" si="28"/>
        <v>1.6938095238105817E-2</v>
      </c>
      <c r="EL37" s="79">
        <f t="shared" si="28"/>
        <v>1.6938095238105817E-2</v>
      </c>
      <c r="EM37" s="79">
        <f t="shared" si="28"/>
        <v>1.6938095238105817E-2</v>
      </c>
      <c r="EN37" s="79">
        <f t="shared" si="28"/>
        <v>1.6938095238105817E-2</v>
      </c>
      <c r="EO37" s="79">
        <f t="shared" si="28"/>
        <v>1.6938095238105817E-2</v>
      </c>
      <c r="EP37" s="79">
        <f t="shared" si="28"/>
        <v>1.6938095238105817E-2</v>
      </c>
      <c r="EQ37" s="79">
        <f t="shared" si="28"/>
        <v>1.6938095238105817E-2</v>
      </c>
      <c r="ER37" s="79">
        <f t="shared" si="28"/>
        <v>1.6938095238105817E-2</v>
      </c>
      <c r="ES37" s="79">
        <f t="shared" si="28"/>
        <v>1.6938095238105817E-2</v>
      </c>
      <c r="ET37" s="79">
        <f t="shared" si="28"/>
        <v>1.6938095238105817E-2</v>
      </c>
      <c r="FF37" s="6" t="s">
        <v>3003</v>
      </c>
      <c r="FG37" s="696">
        <v>2.5000000000000001E-2</v>
      </c>
      <c r="FH37" s="696">
        <v>120</v>
      </c>
      <c r="FI37" s="696">
        <v>1.6500000000000001E-2</v>
      </c>
      <c r="FJ37" s="255">
        <v>1.4499999999999999E-2</v>
      </c>
      <c r="FK37" s="71">
        <f t="shared" si="11"/>
        <v>2.5000000000000006E-4</v>
      </c>
      <c r="FL37" t="e">
        <f>VLOOKUP(FF37,'SIMULADOR COM SALDO'!$BX$22:$CK$1000,13,FALSE)</f>
        <v>#N/A</v>
      </c>
    </row>
    <row r="38" spans="6:168" x14ac:dyDescent="0.25">
      <c r="F38" s="97">
        <f t="shared" si="24"/>
        <v>1.7035714285714289E-2</v>
      </c>
      <c r="G38" s="79">
        <f t="shared" si="6"/>
        <v>1.8499083454026042E-2</v>
      </c>
      <c r="H38" s="79">
        <f t="shared" si="32"/>
        <v>1.8497282494730108E-2</v>
      </c>
      <c r="I38" s="79">
        <f t="shared" si="32"/>
        <v>1.8494628533851951E-2</v>
      </c>
      <c r="J38" s="79">
        <f t="shared" si="32"/>
        <v>1.8491152267434474E-2</v>
      </c>
      <c r="K38" s="79">
        <f t="shared" si="32"/>
        <v>1.8486883681647207E-2</v>
      </c>
      <c r="L38" s="79">
        <f t="shared" si="32"/>
        <v>1.8481852059167053E-2</v>
      </c>
      <c r="M38" s="79">
        <f t="shared" si="32"/>
        <v>1.8476085986078493E-2</v>
      </c>
      <c r="N38" s="79">
        <f t="shared" si="32"/>
        <v>1.8469613359243447E-2</v>
      </c>
      <c r="O38" s="79">
        <f t="shared" si="32"/>
        <v>1.8462461394109599E-2</v>
      </c>
      <c r="P38" s="79">
        <f t="shared" si="32"/>
        <v>1.8454656632911518E-2</v>
      </c>
      <c r="Q38" s="79">
        <f t="shared" si="32"/>
        <v>1.844622495323164E-2</v>
      </c>
      <c r="R38" s="79">
        <f t="shared" si="32"/>
        <v>1.8437191576886048E-2</v>
      </c>
      <c r="S38" s="79">
        <f t="shared" si="32"/>
        <v>1.8427581079099663E-2</v>
      </c>
      <c r="T38" s="79">
        <f t="shared" si="32"/>
        <v>1.8417417397940977E-2</v>
      </c>
      <c r="U38" s="79">
        <f t="shared" si="32"/>
        <v>1.840672384398593E-2</v>
      </c>
      <c r="V38" s="79">
        <f t="shared" si="32"/>
        <v>1.839552311018074E-2</v>
      </c>
      <c r="W38" s="79">
        <f t="shared" si="32"/>
        <v>1.8383837281878989E-2</v>
      </c>
      <c r="X38" s="79">
        <f t="shared" si="32"/>
        <v>1.8371687847025198E-2</v>
      </c>
      <c r="Y38" s="79">
        <f t="shared" si="32"/>
        <v>1.8359095706462131E-2</v>
      </c>
      <c r="Z38" s="79">
        <f t="shared" si="32"/>
        <v>1.8346081184337823E-2</v>
      </c>
      <c r="AA38" s="79">
        <f t="shared" si="32"/>
        <v>1.8332664038592562E-2</v>
      </c>
      <c r="AB38" s="79">
        <f t="shared" si="32"/>
        <v>1.83188634715029E-2</v>
      </c>
      <c r="AC38" s="79">
        <f t="shared" si="32"/>
        <v>1.8304698140266706E-2</v>
      </c>
      <c r="AD38" s="79">
        <f t="shared" si="32"/>
        <v>1.8290186167609537E-2</v>
      </c>
      <c r="AE38" s="79">
        <f t="shared" si="32"/>
        <v>1.827534515239709E-2</v>
      </c>
      <c r="AF38" s="79">
        <f t="shared" si="32"/>
        <v>1.8260192180236126E-2</v>
      </c>
      <c r="AG38" s="79">
        <f t="shared" si="32"/>
        <v>1.8244743834052505E-2</v>
      </c>
      <c r="AH38" s="79">
        <f t="shared" si="32"/>
        <v>1.8229016204630421E-2</v>
      </c>
      <c r="AI38" s="79">
        <f t="shared" si="32"/>
        <v>1.8213024901101108E-2</v>
      </c>
      <c r="AJ38" s="79">
        <f t="shared" si="32"/>
        <v>1.8196785061370804E-2</v>
      </c>
      <c r="AK38" s="79">
        <f t="shared" si="32"/>
        <v>1.8180311362474857E-2</v>
      </c>
      <c r="AL38" s="79">
        <f t="shared" si="32"/>
        <v>1.8163618030851297E-2</v>
      </c>
      <c r="AM38" s="79">
        <f t="shared" si="32"/>
        <v>1.8146718852521608E-2</v>
      </c>
      <c r="AN38" s="79">
        <f t="shared" si="32"/>
        <v>1.8129627183173746E-2</v>
      </c>
      <c r="AO38" s="79">
        <f t="shared" si="32"/>
        <v>1.8112355958137816E-2</v>
      </c>
      <c r="AP38" s="79">
        <f t="shared" si="32"/>
        <v>1.8094917702247616E-2</v>
      </c>
      <c r="AQ38" s="79">
        <f t="shared" si="32"/>
        <v>1.8077324539584192E-2</v>
      </c>
      <c r="AR38" s="79">
        <f t="shared" si="32"/>
        <v>1.8059588203092919E-2</v>
      </c>
      <c r="AS38" s="79">
        <f t="shared" si="32"/>
        <v>1.8041720044070651E-2</v>
      </c>
      <c r="AT38" s="79">
        <f t="shared" si="32"/>
        <v>1.802373104152024E-2</v>
      </c>
      <c r="AU38" s="79">
        <f t="shared" si="32"/>
        <v>1.800563181136406E-2</v>
      </c>
      <c r="AV38" s="79">
        <f t="shared" si="32"/>
        <v>1.7987432615519001E-2</v>
      </c>
      <c r="AW38" s="79">
        <f t="shared" si="32"/>
        <v>1.7969143370824812E-2</v>
      </c>
      <c r="AX38" s="79">
        <f t="shared" si="32"/>
        <v>1.7950773657826529E-2</v>
      </c>
      <c r="AY38" s="79">
        <f t="shared" si="32"/>
        <v>1.7932332729408161E-2</v>
      </c>
      <c r="AZ38" s="79">
        <f t="shared" si="32"/>
        <v>1.791382951927499E-2</v>
      </c>
      <c r="BA38" s="79">
        <f t="shared" si="32"/>
        <v>1.7895272650284694E-2</v>
      </c>
      <c r="BB38" s="79">
        <f t="shared" si="32"/>
        <v>1.7876670442625097E-2</v>
      </c>
      <c r="BC38" s="79">
        <f t="shared" si="32"/>
        <v>1.7858030921838606E-2</v>
      </c>
      <c r="BD38" s="79">
        <f t="shared" si="32"/>
        <v>1.7839361826692199E-2</v>
      </c>
      <c r="BE38" s="79">
        <f t="shared" si="32"/>
        <v>1.78206706168932E-2</v>
      </c>
      <c r="BF38" s="79">
        <f t="shared" si="32"/>
        <v>1.7801964480651834E-2</v>
      </c>
      <c r="BG38" s="79">
        <f t="shared" si="32"/>
        <v>1.7783250342088709E-2</v>
      </c>
      <c r="BH38" s="79">
        <f t="shared" si="32"/>
        <v>1.7764534868490233E-2</v>
      </c>
      <c r="BI38" s="79">
        <f t="shared" si="32"/>
        <v>1.7745824477410847E-2</v>
      </c>
      <c r="BJ38" s="79">
        <f t="shared" si="32"/>
        <v>1.7727125343623928E-2</v>
      </c>
      <c r="BK38" s="79">
        <f t="shared" si="32"/>
        <v>1.7708443405922484E-2</v>
      </c>
      <c r="BL38" s="79">
        <f t="shared" si="32"/>
        <v>1.7689784373769769E-2</v>
      </c>
      <c r="BM38" s="79">
        <f t="shared" si="32"/>
        <v>1.7671153733802649E-2</v>
      </c>
      <c r="BN38" s="79">
        <f t="shared" si="32"/>
        <v>1.7652556756188615E-2</v>
      </c>
      <c r="BO38" s="79">
        <f t="shared" si="32"/>
        <v>1.7633998500837356E-2</v>
      </c>
      <c r="BP38" s="79">
        <f t="shared" si="32"/>
        <v>1.7615483823469388E-2</v>
      </c>
      <c r="BQ38" s="79">
        <f t="shared" si="32"/>
        <v>1.7597017381543928E-2</v>
      </c>
      <c r="BR38" s="79">
        <f t="shared" si="32"/>
        <v>1.7578603640046413E-2</v>
      </c>
      <c r="BS38" s="79">
        <f t="shared" si="32"/>
        <v>1.7560246877138266E-2</v>
      </c>
      <c r="BT38" s="79">
        <f t="shared" si="31"/>
        <v>1.7541951189672705E-2</v>
      </c>
      <c r="BU38" s="79">
        <f t="shared" si="31"/>
        <v>1.7523720498574792E-2</v>
      </c>
      <c r="BV38" s="79">
        <f t="shared" si="31"/>
        <v>1.7505558554091732E-2</v>
      </c>
      <c r="BW38" s="79">
        <f t="shared" si="31"/>
        <v>1.7487468940913228E-2</v>
      </c>
      <c r="BX38" s="79">
        <f t="shared" si="31"/>
        <v>1.7469455083164522E-2</v>
      </c>
      <c r="BY38" s="79">
        <f t="shared" si="31"/>
        <v>1.7451520249274807E-2</v>
      </c>
      <c r="BZ38" s="79">
        <f t="shared" si="31"/>
        <v>1.7433667556723081E-2</v>
      </c>
      <c r="CA38" s="79">
        <f t="shared" si="31"/>
        <v>1.7415899976663138E-2</v>
      </c>
      <c r="CB38" s="79">
        <f t="shared" si="31"/>
        <v>1.7398220338430692E-2</v>
      </c>
      <c r="CC38" s="79">
        <f t="shared" si="31"/>
        <v>1.7380631333933971E-2</v>
      </c>
      <c r="CD38" s="79">
        <f t="shared" si="31"/>
        <v>1.7363135521931458E-2</v>
      </c>
      <c r="CE38" s="79">
        <f t="shared" si="31"/>
        <v>1.7345735332197638E-2</v>
      </c>
      <c r="CF38" s="79">
        <f t="shared" si="31"/>
        <v>1.7328433069579461E-2</v>
      </c>
      <c r="CG38" s="79">
        <f t="shared" si="31"/>
        <v>1.73112309179458E-2</v>
      </c>
      <c r="CH38" s="79">
        <f t="shared" si="31"/>
        <v>1.7294130944033068E-2</v>
      </c>
      <c r="CI38" s="79">
        <f t="shared" si="31"/>
        <v>1.7277135101187856E-2</v>
      </c>
      <c r="CJ38" s="79">
        <f t="shared" si="31"/>
        <v>1.7260245233007933E-2</v>
      </c>
      <c r="CK38" s="79">
        <f t="shared" si="31"/>
        <v>1.7243463076887802E-2</v>
      </c>
      <c r="CL38" s="79">
        <f t="shared" si="31"/>
        <v>1.7226790267466069E-2</v>
      </c>
      <c r="CM38" s="79">
        <f t="shared" si="31"/>
        <v>1.7210228339979927E-2</v>
      </c>
      <c r="CN38" s="79">
        <f t="shared" si="31"/>
        <v>1.7193778733528585E-2</v>
      </c>
      <c r="CO38" s="79">
        <f t="shared" si="31"/>
        <v>1.7177442794245674E-2</v>
      </c>
      <c r="CP38" s="79">
        <f t="shared" si="31"/>
        <v>1.7161221778385319E-2</v>
      </c>
      <c r="CQ38" s="79">
        <f t="shared" si="31"/>
        <v>1.7145116855323082E-2</v>
      </c>
      <c r="CR38" s="79">
        <f t="shared" si="31"/>
        <v>1.7129129110471309E-2</v>
      </c>
      <c r="CS38" s="79">
        <f t="shared" si="31"/>
        <v>1.7113259548116381E-2</v>
      </c>
      <c r="CT38" s="79">
        <f t="shared" si="31"/>
        <v>1.7097509094173301E-2</v>
      </c>
      <c r="CU38" s="79">
        <f t="shared" si="31"/>
        <v>1.7081878598864446E-2</v>
      </c>
      <c r="CV38" s="79">
        <f t="shared" si="31"/>
        <v>1.7066368839322665E-2</v>
      </c>
      <c r="CW38" s="79">
        <f t="shared" si="31"/>
        <v>1.7050980522119619E-2</v>
      </c>
      <c r="CX38" s="79">
        <f t="shared" si="31"/>
        <v>1.7035714285723366E-2</v>
      </c>
      <c r="CY38" s="79">
        <f t="shared" si="31"/>
        <v>1.7035714285723366E-2</v>
      </c>
      <c r="CZ38" s="79">
        <f t="shared" si="31"/>
        <v>1.7035714285723366E-2</v>
      </c>
      <c r="DA38" s="79">
        <f t="shared" si="31"/>
        <v>1.7035714285723366E-2</v>
      </c>
      <c r="DB38" s="79">
        <f t="shared" si="31"/>
        <v>1.7035714285723366E-2</v>
      </c>
      <c r="DC38" s="79">
        <f t="shared" si="31"/>
        <v>1.7035714285723366E-2</v>
      </c>
      <c r="DD38" s="79">
        <f t="shared" si="31"/>
        <v>1.7035714285723366E-2</v>
      </c>
      <c r="DE38" s="79">
        <f t="shared" si="31"/>
        <v>1.7035714285723366E-2</v>
      </c>
      <c r="DF38" s="79">
        <f t="shared" si="31"/>
        <v>1.7035714285723366E-2</v>
      </c>
      <c r="DG38" s="79">
        <f t="shared" si="31"/>
        <v>1.7035714285723366E-2</v>
      </c>
      <c r="DH38" s="79">
        <f t="shared" si="31"/>
        <v>1.7035714285723366E-2</v>
      </c>
      <c r="DI38" s="79">
        <f t="shared" si="31"/>
        <v>1.7035714285723366E-2</v>
      </c>
      <c r="DJ38" s="79">
        <f t="shared" si="31"/>
        <v>1.7035714285723366E-2</v>
      </c>
      <c r="DK38" s="79">
        <f t="shared" si="31"/>
        <v>1.7035714285723366E-2</v>
      </c>
      <c r="DL38" s="79">
        <f t="shared" si="31"/>
        <v>1.7035714285723366E-2</v>
      </c>
      <c r="DM38" s="79">
        <f t="shared" si="31"/>
        <v>1.7035714285723366E-2</v>
      </c>
      <c r="DN38" s="79">
        <f t="shared" si="31"/>
        <v>1.7035714285723366E-2</v>
      </c>
      <c r="DO38" s="79">
        <f t="shared" si="31"/>
        <v>1.7035714285723366E-2</v>
      </c>
      <c r="DP38" s="79">
        <f t="shared" si="31"/>
        <v>1.7035714285723366E-2</v>
      </c>
      <c r="DQ38" s="79">
        <f t="shared" si="31"/>
        <v>1.7035714285723366E-2</v>
      </c>
      <c r="DR38" s="79">
        <f t="shared" si="31"/>
        <v>1.7035714285723366E-2</v>
      </c>
      <c r="DS38" s="79">
        <f t="shared" si="31"/>
        <v>1.7035714285723366E-2</v>
      </c>
      <c r="DT38" s="79">
        <f t="shared" si="31"/>
        <v>1.7035714285723366E-2</v>
      </c>
      <c r="DU38" s="79">
        <f t="shared" si="31"/>
        <v>1.7035714285723366E-2</v>
      </c>
      <c r="DV38" s="79">
        <f t="shared" si="31"/>
        <v>1.7035714285723366E-2</v>
      </c>
      <c r="DW38" s="79">
        <f t="shared" si="31"/>
        <v>1.7035714285723366E-2</v>
      </c>
      <c r="DX38" s="79">
        <f t="shared" si="31"/>
        <v>1.7035714285723366E-2</v>
      </c>
      <c r="DY38" s="79">
        <f t="shared" si="31"/>
        <v>1.7035714285723366E-2</v>
      </c>
      <c r="DZ38" s="79">
        <f t="shared" si="31"/>
        <v>1.7035714285723366E-2</v>
      </c>
      <c r="EA38" s="79">
        <f t="shared" si="31"/>
        <v>1.7035714285723366E-2</v>
      </c>
      <c r="EB38" s="79">
        <f t="shared" si="31"/>
        <v>1.7035714285723366E-2</v>
      </c>
      <c r="EC38" s="79">
        <f t="shared" si="31"/>
        <v>1.7035714285723366E-2</v>
      </c>
      <c r="ED38" s="79">
        <f t="shared" si="31"/>
        <v>1.7035714285723366E-2</v>
      </c>
      <c r="EE38" s="79">
        <f t="shared" si="28"/>
        <v>1.7035714285723366E-2</v>
      </c>
      <c r="EF38" s="79">
        <f t="shared" si="28"/>
        <v>1.7035714285723366E-2</v>
      </c>
      <c r="EG38" s="79">
        <f t="shared" si="28"/>
        <v>1.7035714285723366E-2</v>
      </c>
      <c r="EH38" s="79">
        <f t="shared" si="28"/>
        <v>1.7035714285723366E-2</v>
      </c>
      <c r="EI38" s="79">
        <f t="shared" si="28"/>
        <v>1.7035714285723366E-2</v>
      </c>
      <c r="EJ38" s="79">
        <f t="shared" si="28"/>
        <v>1.7035714285723366E-2</v>
      </c>
      <c r="EK38" s="79">
        <f t="shared" si="28"/>
        <v>1.7035714285723366E-2</v>
      </c>
      <c r="EL38" s="79">
        <f t="shared" si="28"/>
        <v>1.7035714285723366E-2</v>
      </c>
      <c r="EM38" s="79">
        <f t="shared" si="28"/>
        <v>1.7035714285723366E-2</v>
      </c>
      <c r="EN38" s="79">
        <f t="shared" si="28"/>
        <v>1.7035714285723366E-2</v>
      </c>
      <c r="EO38" s="79">
        <f t="shared" si="28"/>
        <v>1.7035714285723366E-2</v>
      </c>
      <c r="EP38" s="79">
        <f t="shared" si="28"/>
        <v>1.7035714285723366E-2</v>
      </c>
      <c r="EQ38" s="79">
        <f t="shared" si="28"/>
        <v>1.7035714285723366E-2</v>
      </c>
      <c r="ER38" s="79">
        <f t="shared" si="28"/>
        <v>1.7035714285723366E-2</v>
      </c>
      <c r="ES38" s="79">
        <f t="shared" si="28"/>
        <v>1.7035714285723366E-2</v>
      </c>
      <c r="ET38" s="79">
        <f t="shared" si="28"/>
        <v>1.7035714285723366E-2</v>
      </c>
      <c r="FF38" s="6" t="s">
        <v>3004</v>
      </c>
      <c r="FG38" s="696">
        <v>2.5000000000000001E-2</v>
      </c>
      <c r="FH38" s="696">
        <v>120</v>
      </c>
      <c r="FI38" s="696">
        <v>1.6500000000000001E-2</v>
      </c>
      <c r="FJ38" s="255">
        <v>1.4499999999999999E-2</v>
      </c>
      <c r="FK38" s="71">
        <f t="shared" si="11"/>
        <v>2.5000000000000006E-4</v>
      </c>
      <c r="FL38" t="e">
        <f>VLOOKUP(FF38,'SIMULADOR COM SALDO'!$BX$22:$CK$1000,13,FALSE)</f>
        <v>#N/A</v>
      </c>
    </row>
    <row r="39" spans="6:168" x14ac:dyDescent="0.25">
      <c r="F39" s="97">
        <f t="shared" si="24"/>
        <v>1.7133333333333337E-2</v>
      </c>
      <c r="G39" s="79">
        <f t="shared" si="6"/>
        <v>1.84991446377798E-2</v>
      </c>
      <c r="H39" s="79">
        <f t="shared" si="32"/>
        <v>1.8497463973466993E-2</v>
      </c>
      <c r="I39" s="79">
        <f t="shared" si="32"/>
        <v>1.8494987382865761E-2</v>
      </c>
      <c r="J39" s="79">
        <f t="shared" si="32"/>
        <v>1.8491743563334058E-2</v>
      </c>
      <c r="K39" s="79">
        <f t="shared" si="32"/>
        <v>1.8487760540169651E-2</v>
      </c>
      <c r="L39" s="79">
        <f t="shared" si="32"/>
        <v>1.8483065673456058E-2</v>
      </c>
      <c r="M39" s="79">
        <f t="shared" si="32"/>
        <v>1.8477685665335086E-2</v>
      </c>
      <c r="N39" s="79">
        <f t="shared" si="32"/>
        <v>1.8471646567665142E-2</v>
      </c>
      <c r="O39" s="79">
        <f t="shared" si="32"/>
        <v>1.8464973790035179E-2</v>
      </c>
      <c r="P39" s="79">
        <f t="shared" si="32"/>
        <v>1.8457692108096484E-2</v>
      </c>
      <c r="Q39" s="79">
        <f t="shared" si="32"/>
        <v>1.8449825672183055E-2</v>
      </c>
      <c r="R39" s="79">
        <f t="shared" si="32"/>
        <v>1.8441398016189162E-2</v>
      </c>
      <c r="S39" s="79">
        <f t="shared" si="32"/>
        <v>1.8432432066676066E-2</v>
      </c>
      <c r="T39" s="79">
        <f t="shared" si="32"/>
        <v>1.8422950152178621E-2</v>
      </c>
      <c r="U39" s="79">
        <f t="shared" si="32"/>
        <v>1.8412974012688474E-2</v>
      </c>
      <c r="V39" s="79">
        <f t="shared" si="32"/>
        <v>1.8402524809286582E-2</v>
      </c>
      <c r="W39" s="79">
        <f t="shared" si="32"/>
        <v>1.8391623133903568E-2</v>
      </c>
      <c r="X39" s="79">
        <f t="shared" si="32"/>
        <v>1.8380289019184797E-2</v>
      </c>
      <c r="Y39" s="79">
        <f t="shared" si="32"/>
        <v>1.8368541948441033E-2</v>
      </c>
      <c r="Z39" s="79">
        <f t="shared" si="32"/>
        <v>1.835640086566221E-2</v>
      </c>
      <c r="AA39" s="79">
        <f t="shared" si="32"/>
        <v>1.83438841855794E-2</v>
      </c>
      <c r="AB39" s="79">
        <f t="shared" si="32"/>
        <v>1.8331009803755849E-2</v>
      </c>
      <c r="AC39" s="79">
        <f t="shared" si="32"/>
        <v>1.8317795106691282E-2</v>
      </c>
      <c r="AD39" s="79">
        <f t="shared" si="32"/>
        <v>1.8304256981924488E-2</v>
      </c>
      <c r="AE39" s="79">
        <f t="shared" si="32"/>
        <v>1.8290411828120443E-2</v>
      </c>
      <c r="AF39" s="79">
        <f t="shared" si="32"/>
        <v>1.8276275565128286E-2</v>
      </c>
      <c r="AG39" s="79">
        <f t="shared" si="32"/>
        <v>1.8261863643999298E-2</v>
      </c>
      <c r="AH39" s="79">
        <f t="shared" si="32"/>
        <v>1.8247191056951946E-2</v>
      </c>
      <c r="AI39" s="79">
        <f t="shared" si="32"/>
        <v>1.8232272347274699E-2</v>
      </c>
      <c r="AJ39" s="79">
        <f t="shared" si="32"/>
        <v>1.8217121619156552E-2</v>
      </c>
      <c r="AK39" s="79">
        <f t="shared" si="32"/>
        <v>1.8201752547437573E-2</v>
      </c>
      <c r="AL39" s="79">
        <f t="shared" si="32"/>
        <v>1.8186178387269217E-2</v>
      </c>
      <c r="AM39" s="79">
        <f t="shared" si="32"/>
        <v>1.8170411983679125E-2</v>
      </c>
      <c r="AN39" s="79">
        <f t="shared" si="32"/>
        <v>1.8154465781032417E-2</v>
      </c>
      <c r="AO39" s="79">
        <f t="shared" si="32"/>
        <v>1.8138351832384214E-2</v>
      </c>
      <c r="AP39" s="79">
        <f t="shared" si="32"/>
        <v>1.812208180871714E-2</v>
      </c>
      <c r="AQ39" s="79">
        <f t="shared" si="32"/>
        <v>1.8105667008059045E-2</v>
      </c>
      <c r="AR39" s="79">
        <f t="shared" si="32"/>
        <v>1.808911836447746E-2</v>
      </c>
      <c r="AS39" s="79">
        <f t="shared" si="32"/>
        <v>1.8072446456945009E-2</v>
      </c>
      <c r="AT39" s="79">
        <f t="shared" si="32"/>
        <v>1.8055661518074157E-2</v>
      </c>
      <c r="AU39" s="79">
        <f t="shared" si="32"/>
        <v>1.8038773442717475E-2</v>
      </c>
      <c r="AV39" s="79">
        <f t="shared" si="32"/>
        <v>1.8021791796430816E-2</v>
      </c>
      <c r="AW39" s="79">
        <f t="shared" si="32"/>
        <v>1.8004725823796985E-2</v>
      </c>
      <c r="AX39" s="79">
        <f t="shared" si="32"/>
        <v>1.79875844566088E-2</v>
      </c>
      <c r="AY39" s="79">
        <f t="shared" si="32"/>
        <v>1.7970376321910161E-2</v>
      </c>
      <c r="AZ39" s="79">
        <f t="shared" si="32"/>
        <v>1.7953109749891814E-2</v>
      </c>
      <c r="BA39" s="79">
        <f t="shared" si="32"/>
        <v>1.7935792781645109E-2</v>
      </c>
      <c r="BB39" s="79">
        <f t="shared" si="32"/>
        <v>1.7918433176767622E-2</v>
      </c>
      <c r="BC39" s="79">
        <f t="shared" si="32"/>
        <v>1.7901038420826066E-2</v>
      </c>
      <c r="BD39" s="79">
        <f t="shared" si="32"/>
        <v>1.7883615732672619E-2</v>
      </c>
      <c r="BE39" s="79">
        <f t="shared" si="32"/>
        <v>1.7866172071615293E-2</v>
      </c>
      <c r="BF39" s="79">
        <f t="shared" si="32"/>
        <v>1.7848714144444215E-2</v>
      </c>
      <c r="BG39" s="79">
        <f t="shared" si="32"/>
        <v>1.7831248412313684E-2</v>
      </c>
      <c r="BH39" s="79">
        <f t="shared" si="32"/>
        <v>1.7813781097478658E-2</v>
      </c>
      <c r="BI39" s="79">
        <f t="shared" si="32"/>
        <v>1.7796318189890817E-2</v>
      </c>
      <c r="BJ39" s="79">
        <f t="shared" si="32"/>
        <v>1.7778865453651323E-2</v>
      </c>
      <c r="BK39" s="79">
        <f t="shared" si="32"/>
        <v>1.7761428433323141E-2</v>
      </c>
      <c r="BL39" s="79">
        <f t="shared" si="32"/>
        <v>1.7744012460103351E-2</v>
      </c>
      <c r="BM39" s="79">
        <f t="shared" si="32"/>
        <v>1.7726622657859681E-2</v>
      </c>
      <c r="BN39" s="79">
        <f t="shared" si="32"/>
        <v>1.7709263949027367E-2</v>
      </c>
      <c r="BO39" s="79">
        <f t="shared" si="32"/>
        <v>1.7691941060373834E-2</v>
      </c>
      <c r="BP39" s="79">
        <f t="shared" si="32"/>
        <v>1.7674658528628935E-2</v>
      </c>
      <c r="BQ39" s="79">
        <f t="shared" si="32"/>
        <v>1.7657420705983338E-2</v>
      </c>
      <c r="BR39" s="79">
        <f t="shared" si="32"/>
        <v>1.7640231765458321E-2</v>
      </c>
      <c r="BS39" s="79">
        <f t="shared" si="32"/>
        <v>1.7623095706147084E-2</v>
      </c>
      <c r="BT39" s="79">
        <f t="shared" si="31"/>
        <v>1.7606016358330433E-2</v>
      </c>
      <c r="BU39" s="79">
        <f t="shared" si="31"/>
        <v>1.7588997388468065E-2</v>
      </c>
      <c r="BV39" s="79">
        <f t="shared" si="31"/>
        <v>1.7572042304068888E-2</v>
      </c>
      <c r="BW39" s="79">
        <f t="shared" si="31"/>
        <v>1.7555154458440768E-2</v>
      </c>
      <c r="BX39" s="79">
        <f t="shared" si="31"/>
        <v>1.7538337055322251E-2</v>
      </c>
      <c r="BY39" s="79">
        <f t="shared" si="31"/>
        <v>1.7521593153399809E-2</v>
      </c>
      <c r="BZ39" s="79">
        <f t="shared" si="31"/>
        <v>1.7504925670709513E-2</v>
      </c>
      <c r="CA39" s="79">
        <f t="shared" si="31"/>
        <v>1.7488337388928955E-2</v>
      </c>
      <c r="CB39" s="79">
        <f t="shared" si="31"/>
        <v>1.7471830957558818E-2</v>
      </c>
      <c r="CC39" s="79">
        <f t="shared" si="31"/>
        <v>1.7455408897997068E-2</v>
      </c>
      <c r="CD39" s="79">
        <f t="shared" si="31"/>
        <v>1.7439073607508602E-2</v>
      </c>
      <c r="CE39" s="79">
        <f t="shared" si="31"/>
        <v>1.7422827363090625E-2</v>
      </c>
      <c r="CF39" s="79">
        <f t="shared" si="31"/>
        <v>1.7406672325239039E-2</v>
      </c>
      <c r="CG39" s="79">
        <f t="shared" si="31"/>
        <v>1.7390610541613189E-2</v>
      </c>
      <c r="CH39" s="79">
        <f t="shared" si="31"/>
        <v>1.7374643950605968E-2</v>
      </c>
      <c r="CI39" s="79">
        <f t="shared" si="31"/>
        <v>1.7358774384818552E-2</v>
      </c>
      <c r="CJ39" s="79">
        <f t="shared" si="31"/>
        <v>1.7343003574442305E-2</v>
      </c>
      <c r="CK39" s="79">
        <f t="shared" si="31"/>
        <v>1.7327333150549178E-2</v>
      </c>
      <c r="CL39" s="79">
        <f t="shared" si="31"/>
        <v>1.7311764648295484E-2</v>
      </c>
      <c r="CM39" s="79">
        <f t="shared" si="31"/>
        <v>1.7296299510036497E-2</v>
      </c>
      <c r="CN39" s="79">
        <f t="shared" si="31"/>
        <v>1.7280939088358465E-2</v>
      </c>
      <c r="CO39" s="79">
        <f t="shared" si="31"/>
        <v>1.7265684649026149E-2</v>
      </c>
      <c r="CP39" s="79">
        <f t="shared" si="31"/>
        <v>1.7250537373851037E-2</v>
      </c>
      <c r="CQ39" s="79">
        <f t="shared" si="31"/>
        <v>1.7235498363479033E-2</v>
      </c>
      <c r="CR39" s="79">
        <f t="shared" si="31"/>
        <v>1.722056864010215E-2</v>
      </c>
      <c r="CS39" s="79">
        <f t="shared" si="31"/>
        <v>1.7205749150094669E-2</v>
      </c>
      <c r="CT39" s="79">
        <f t="shared" si="31"/>
        <v>1.719104076657502E-2</v>
      </c>
      <c r="CU39" s="79">
        <f t="shared" si="31"/>
        <v>1.7176444291897051E-2</v>
      </c>
      <c r="CV39" s="79">
        <f t="shared" si="31"/>
        <v>1.7161960460070746E-2</v>
      </c>
      <c r="CW39" s="79">
        <f t="shared" si="31"/>
        <v>1.7147589939114347E-2</v>
      </c>
      <c r="CX39" s="79">
        <f t="shared" si="31"/>
        <v>1.7133333333341036E-2</v>
      </c>
      <c r="CY39" s="79">
        <f t="shared" si="31"/>
        <v>1.7133333333341036E-2</v>
      </c>
      <c r="CZ39" s="79">
        <f t="shared" si="31"/>
        <v>1.7133333333341036E-2</v>
      </c>
      <c r="DA39" s="79">
        <f t="shared" si="31"/>
        <v>1.7133333333341036E-2</v>
      </c>
      <c r="DB39" s="79">
        <f t="shared" si="31"/>
        <v>1.7133333333341036E-2</v>
      </c>
      <c r="DC39" s="79">
        <f t="shared" si="31"/>
        <v>1.7133333333341036E-2</v>
      </c>
      <c r="DD39" s="79">
        <f t="shared" si="31"/>
        <v>1.7133333333341036E-2</v>
      </c>
      <c r="DE39" s="79">
        <f t="shared" si="31"/>
        <v>1.7133333333341036E-2</v>
      </c>
      <c r="DF39" s="79">
        <f t="shared" si="31"/>
        <v>1.7133333333341036E-2</v>
      </c>
      <c r="DG39" s="79">
        <f t="shared" si="31"/>
        <v>1.7133333333341036E-2</v>
      </c>
      <c r="DH39" s="79">
        <f t="shared" si="31"/>
        <v>1.7133333333341036E-2</v>
      </c>
      <c r="DI39" s="79">
        <f t="shared" si="31"/>
        <v>1.7133333333341036E-2</v>
      </c>
      <c r="DJ39" s="79">
        <f t="shared" si="31"/>
        <v>1.7133333333341036E-2</v>
      </c>
      <c r="DK39" s="79">
        <f t="shared" si="31"/>
        <v>1.7133333333341036E-2</v>
      </c>
      <c r="DL39" s="79">
        <f t="shared" si="31"/>
        <v>1.7133333333341036E-2</v>
      </c>
      <c r="DM39" s="79">
        <f t="shared" si="31"/>
        <v>1.7133333333341036E-2</v>
      </c>
      <c r="DN39" s="79">
        <f t="shared" si="31"/>
        <v>1.7133333333341036E-2</v>
      </c>
      <c r="DO39" s="79">
        <f t="shared" si="31"/>
        <v>1.7133333333341036E-2</v>
      </c>
      <c r="DP39" s="79">
        <f t="shared" si="31"/>
        <v>1.7133333333341036E-2</v>
      </c>
      <c r="DQ39" s="79">
        <f t="shared" si="31"/>
        <v>1.7133333333341036E-2</v>
      </c>
      <c r="DR39" s="79">
        <f t="shared" si="31"/>
        <v>1.7133333333341036E-2</v>
      </c>
      <c r="DS39" s="79">
        <f t="shared" si="31"/>
        <v>1.7133333333341036E-2</v>
      </c>
      <c r="DT39" s="79">
        <f t="shared" si="31"/>
        <v>1.7133333333341036E-2</v>
      </c>
      <c r="DU39" s="79">
        <f t="shared" si="31"/>
        <v>1.7133333333341036E-2</v>
      </c>
      <c r="DV39" s="79">
        <f t="shared" si="31"/>
        <v>1.7133333333341036E-2</v>
      </c>
      <c r="DW39" s="79">
        <f t="shared" si="31"/>
        <v>1.7133333333341036E-2</v>
      </c>
      <c r="DX39" s="79">
        <f t="shared" si="31"/>
        <v>1.7133333333341036E-2</v>
      </c>
      <c r="DY39" s="79">
        <f t="shared" si="31"/>
        <v>1.7133333333341036E-2</v>
      </c>
      <c r="DZ39" s="79">
        <f t="shared" si="31"/>
        <v>1.7133333333341036E-2</v>
      </c>
      <c r="EA39" s="79">
        <f t="shared" si="31"/>
        <v>1.7133333333341036E-2</v>
      </c>
      <c r="EB39" s="79">
        <f t="shared" si="31"/>
        <v>1.7133333333341036E-2</v>
      </c>
      <c r="EC39" s="79">
        <f t="shared" si="31"/>
        <v>1.7133333333341036E-2</v>
      </c>
      <c r="ED39" s="79">
        <f t="shared" si="31"/>
        <v>1.7133333333341036E-2</v>
      </c>
      <c r="EE39" s="79">
        <f t="shared" si="28"/>
        <v>1.7133333333341036E-2</v>
      </c>
      <c r="EF39" s="79">
        <f t="shared" si="28"/>
        <v>1.7133333333341036E-2</v>
      </c>
      <c r="EG39" s="79">
        <f t="shared" si="28"/>
        <v>1.7133333333341036E-2</v>
      </c>
      <c r="EH39" s="79">
        <f t="shared" si="28"/>
        <v>1.7133333333341036E-2</v>
      </c>
      <c r="EI39" s="79">
        <f t="shared" si="28"/>
        <v>1.7133333333341036E-2</v>
      </c>
      <c r="EJ39" s="79">
        <f t="shared" si="28"/>
        <v>1.7133333333341036E-2</v>
      </c>
      <c r="EK39" s="79">
        <f t="shared" si="28"/>
        <v>1.7133333333341036E-2</v>
      </c>
      <c r="EL39" s="79">
        <f t="shared" si="28"/>
        <v>1.7133333333341036E-2</v>
      </c>
      <c r="EM39" s="79">
        <f t="shared" si="28"/>
        <v>1.7133333333341036E-2</v>
      </c>
      <c r="EN39" s="79">
        <f t="shared" si="28"/>
        <v>1.7133333333341036E-2</v>
      </c>
      <c r="EO39" s="79">
        <f t="shared" si="28"/>
        <v>1.7133333333341036E-2</v>
      </c>
      <c r="EP39" s="79">
        <f t="shared" si="28"/>
        <v>1.7133333333341036E-2</v>
      </c>
      <c r="EQ39" s="79">
        <f t="shared" si="28"/>
        <v>1.7133333333341036E-2</v>
      </c>
      <c r="ER39" s="79">
        <f t="shared" si="28"/>
        <v>1.7133333333341036E-2</v>
      </c>
      <c r="ES39" s="79">
        <f t="shared" si="28"/>
        <v>1.7133333333341036E-2</v>
      </c>
      <c r="ET39" s="79">
        <f t="shared" si="28"/>
        <v>1.7133333333341036E-2</v>
      </c>
      <c r="FF39" s="6" t="s">
        <v>3005</v>
      </c>
      <c r="FG39" s="696">
        <v>2.5000000000000001E-2</v>
      </c>
      <c r="FH39" s="696">
        <v>120</v>
      </c>
      <c r="FI39" s="696">
        <v>1.61E-2</v>
      </c>
      <c r="FJ39" s="255">
        <v>1.43E-2</v>
      </c>
      <c r="FK39" s="71">
        <f t="shared" si="11"/>
        <v>2.5476190476190477E-4</v>
      </c>
      <c r="FL39" t="e">
        <f>VLOOKUP(FF39,'SIMULADOR COM SALDO'!$BX$22:$CK$1000,13,FALSE)</f>
        <v>#N/A</v>
      </c>
    </row>
    <row r="40" spans="6:168" x14ac:dyDescent="0.25">
      <c r="F40" s="97">
        <f t="shared" si="24"/>
        <v>1.7230952380952385E-2</v>
      </c>
      <c r="G40" s="79">
        <f t="shared" si="6"/>
        <v>1.8499205809992272E-2</v>
      </c>
      <c r="H40" s="79">
        <f t="shared" si="32"/>
        <v>1.8497645407606365E-2</v>
      </c>
      <c r="I40" s="79">
        <f t="shared" si="32"/>
        <v>1.8495346124369341E-2</v>
      </c>
      <c r="J40" s="79">
        <f t="shared" si="32"/>
        <v>1.8492334652108124E-2</v>
      </c>
      <c r="K40" s="79">
        <f t="shared" si="32"/>
        <v>1.8488637049762117E-2</v>
      </c>
      <c r="L40" s="79">
        <f t="shared" si="32"/>
        <v>1.8484278750570713E-2</v>
      </c>
      <c r="M40" s="79">
        <f t="shared" si="32"/>
        <v>1.8479284569600293E-2</v>
      </c>
      <c r="N40" s="79">
        <f t="shared" si="32"/>
        <v>1.84736787115816E-2</v>
      </c>
      <c r="O40" s="79">
        <f t="shared" si="32"/>
        <v>1.8467484779024764E-2</v>
      </c>
      <c r="P40" s="79">
        <f t="shared" si="32"/>
        <v>1.8460725780585874E-2</v>
      </c>
      <c r="Q40" s="79">
        <f t="shared" si="32"/>
        <v>1.8453424139656754E-2</v>
      </c>
      <c r="R40" s="79">
        <f t="shared" si="32"/>
        <v>1.8445601703150589E-2</v>
      </c>
      <c r="S40" s="79">
        <f t="shared" si="32"/>
        <v>1.8437279750461277E-2</v>
      </c>
      <c r="T40" s="79">
        <f t="shared" si="32"/>
        <v>1.8428479002570806E-2</v>
      </c>
      <c r="U40" s="79">
        <f t="shared" si="32"/>
        <v>1.8419219631284126E-2</v>
      </c>
      <c r="V40" s="79">
        <f t="shared" si="32"/>
        <v>1.8409521268569425E-2</v>
      </c>
      <c r="W40" s="79">
        <f t="shared" si="32"/>
        <v>1.8399403015985499E-2</v>
      </c>
      <c r="X40" s="79">
        <f t="shared" si="32"/>
        <v>1.8388883454175758E-2</v>
      </c>
      <c r="Y40" s="79">
        <f t="shared" si="32"/>
        <v>1.8377980652413032E-2</v>
      </c>
      <c r="Z40" s="79">
        <f t="shared" si="32"/>
        <v>1.8366712178178087E-2</v>
      </c>
      <c r="AA40" s="79">
        <f t="shared" si="32"/>
        <v>1.8355095106756231E-2</v>
      </c>
      <c r="AB40" s="79">
        <f t="shared" si="32"/>
        <v>1.8343146030838055E-2</v>
      </c>
      <c r="AC40" s="79">
        <f t="shared" si="32"/>
        <v>1.8330881070110772E-2</v>
      </c>
      <c r="AD40" s="79">
        <f t="shared" si="32"/>
        <v>1.8318315880827385E-2</v>
      </c>
      <c r="AE40" s="79">
        <f t="shared" si="32"/>
        <v>1.8305465665341726E-2</v>
      </c>
      <c r="AF40" s="79">
        <f t="shared" si="32"/>
        <v>1.8292345181600174E-2</v>
      </c>
      <c r="AG40" s="79">
        <f t="shared" si="32"/>
        <v>1.8278968752577621E-2</v>
      </c>
      <c r="AH40" s="79">
        <f t="shared" si="32"/>
        <v>1.8265350275649662E-2</v>
      </c>
      <c r="AI40" s="79">
        <f t="shared" si="32"/>
        <v>1.8251503231893441E-2</v>
      </c>
      <c r="AJ40" s="79">
        <f t="shared" si="32"/>
        <v>1.8237440695307305E-2</v>
      </c>
      <c r="AK40" s="79">
        <f t="shared" si="32"/>
        <v>1.822317534194301E-2</v>
      </c>
      <c r="AL40" s="79">
        <f t="shared" si="32"/>
        <v>1.8208719458944818E-2</v>
      </c>
      <c r="AM40" s="79">
        <f t="shared" si="32"/>
        <v>1.8194084953487222E-2</v>
      </c>
      <c r="AN40" s="79">
        <f t="shared" si="32"/>
        <v>1.8179283361609431E-2</v>
      </c>
      <c r="AO40" s="79">
        <f t="shared" si="32"/>
        <v>1.816432585693677E-2</v>
      </c>
      <c r="AP40" s="79">
        <f t="shared" si="32"/>
        <v>1.8149223259290415E-2</v>
      </c>
      <c r="AQ40" s="79">
        <f t="shared" si="32"/>
        <v>1.8133986043176273E-2</v>
      </c>
      <c r="AR40" s="79">
        <f t="shared" si="32"/>
        <v>1.8118624346153734E-2</v>
      </c>
      <c r="AS40" s="79">
        <f t="shared" si="32"/>
        <v>1.810314797707754E-2</v>
      </c>
      <c r="AT40" s="79">
        <f t="shared" si="32"/>
        <v>1.8087566424214108E-2</v>
      </c>
      <c r="AU40" s="79">
        <f t="shared" si="32"/>
        <v>1.807188886322654E-2</v>
      </c>
      <c r="AV40" s="79">
        <f t="shared" si="32"/>
        <v>1.8056124165028248E-2</v>
      </c>
      <c r="AW40" s="79">
        <f t="shared" si="32"/>
        <v>1.8040280903503753E-2</v>
      </c>
      <c r="AX40" s="79">
        <f t="shared" si="32"/>
        <v>1.8024367363094276E-2</v>
      </c>
      <c r="AY40" s="79">
        <f t="shared" si="32"/>
        <v>1.8008391546248354E-2</v>
      </c>
      <c r="AZ40" s="79">
        <f t="shared" si="32"/>
        <v>1.7992361180735827E-2</v>
      </c>
      <c r="BA40" s="79">
        <f t="shared" si="32"/>
        <v>1.7976283726824947E-2</v>
      </c>
      <c r="BB40" s="79">
        <f t="shared" si="32"/>
        <v>1.7960166384323368E-2</v>
      </c>
      <c r="BC40" s="79">
        <f t="shared" si="32"/>
        <v>1.794401609948142E-2</v>
      </c>
      <c r="BD40" s="79">
        <f t="shared" si="32"/>
        <v>1.7927839571759318E-2</v>
      </c>
      <c r="BE40" s="79">
        <f t="shared" si="32"/>
        <v>1.7911643260457469E-2</v>
      </c>
      <c r="BF40" s="79">
        <f t="shared" si="32"/>
        <v>1.7895433391211347E-2</v>
      </c>
      <c r="BG40" s="79">
        <f t="shared" si="32"/>
        <v>1.7879215962351397E-2</v>
      </c>
      <c r="BH40" s="79">
        <f t="shared" si="32"/>
        <v>1.7862996751128429E-2</v>
      </c>
      <c r="BI40" s="79">
        <f t="shared" si="32"/>
        <v>1.7846781319806458E-2</v>
      </c>
      <c r="BJ40" s="79">
        <f t="shared" si="32"/>
        <v>1.7830575021622778E-2</v>
      </c>
      <c r="BK40" s="79">
        <f t="shared" si="32"/>
        <v>1.7814383006617224E-2</v>
      </c>
      <c r="BL40" s="79">
        <f t="shared" si="32"/>
        <v>1.7798210227332946E-2</v>
      </c>
      <c r="BM40" s="79">
        <f t="shared" si="32"/>
        <v>1.7782061444387515E-2</v>
      </c>
      <c r="BN40" s="79">
        <f t="shared" si="32"/>
        <v>1.7765941231918762E-2</v>
      </c>
      <c r="BO40" s="79">
        <f t="shared" si="32"/>
        <v>1.7749853982905534E-2</v>
      </c>
      <c r="BP40" s="79">
        <f t="shared" si="32"/>
        <v>1.773380391436372E-2</v>
      </c>
      <c r="BQ40" s="79">
        <f t="shared" si="32"/>
        <v>1.7717795072422392E-2</v>
      </c>
      <c r="BR40" s="79">
        <f t="shared" si="32"/>
        <v>1.770183133727905E-2</v>
      </c>
      <c r="BS40" s="79">
        <f t="shared" ref="BS40:ED43" si="33">IF(BS$9&lt;=$K$6,RATE($K$6,1,BS86,0),"")</f>
        <v>1.7685916428037012E-2</v>
      </c>
      <c r="BT40" s="79">
        <f t="shared" si="33"/>
        <v>1.7670053907426573E-2</v>
      </c>
      <c r="BU40" s="79">
        <f t="shared" si="33"/>
        <v>1.7654247186411565E-2</v>
      </c>
      <c r="BV40" s="79">
        <f t="shared" si="33"/>
        <v>1.7638499528683595E-2</v>
      </c>
      <c r="BW40" s="79">
        <f t="shared" si="33"/>
        <v>1.7622814055046419E-2</v>
      </c>
      <c r="BX40" s="79">
        <f t="shared" si="33"/>
        <v>1.7607193747689764E-2</v>
      </c>
      <c r="BY40" s="79">
        <f t="shared" si="33"/>
        <v>1.7591641454358549E-2</v>
      </c>
      <c r="BZ40" s="79">
        <f t="shared" si="33"/>
        <v>1.7576159892416308E-2</v>
      </c>
      <c r="CA40" s="79">
        <f t="shared" si="33"/>
        <v>1.7560751652805875E-2</v>
      </c>
      <c r="CB40" s="79">
        <f t="shared" si="33"/>
        <v>1.7545419203909732E-2</v>
      </c>
      <c r="CC40" s="79">
        <f t="shared" si="33"/>
        <v>1.7530164895311152E-2</v>
      </c>
      <c r="CD40" s="79">
        <f t="shared" si="33"/>
        <v>1.7514990961458945E-2</v>
      </c>
      <c r="CE40" s="79">
        <f t="shared" si="33"/>
        <v>1.7499899525236264E-2</v>
      </c>
      <c r="CF40" s="79">
        <f t="shared" si="33"/>
        <v>1.7484892601437978E-2</v>
      </c>
      <c r="CG40" s="79">
        <f t="shared" si="33"/>
        <v>1.7469972100155631E-2</v>
      </c>
      <c r="CH40" s="79">
        <f t="shared" si="33"/>
        <v>1.7455139830074521E-2</v>
      </c>
      <c r="CI40" s="79">
        <f t="shared" si="33"/>
        <v>1.7440397501682296E-2</v>
      </c>
      <c r="CJ40" s="79">
        <f t="shared" si="33"/>
        <v>1.7425746730393855E-2</v>
      </c>
      <c r="CK40" s="79">
        <f t="shared" si="33"/>
        <v>1.7411189039590907E-2</v>
      </c>
      <c r="CL40" s="79">
        <f t="shared" si="33"/>
        <v>1.7396725863581947E-2</v>
      </c>
      <c r="CM40" s="79">
        <f t="shared" si="33"/>
        <v>1.7382358550481005E-2</v>
      </c>
      <c r="CN40" s="79">
        <f t="shared" si="33"/>
        <v>1.7368088365009287E-2</v>
      </c>
      <c r="CO40" s="79">
        <f t="shared" si="33"/>
        <v>1.7353916491219895E-2</v>
      </c>
      <c r="CP40" s="79">
        <f t="shared" si="33"/>
        <v>1.7339844035149581E-2</v>
      </c>
      <c r="CQ40" s="79">
        <f t="shared" si="33"/>
        <v>1.7325872027395939E-2</v>
      </c>
      <c r="CR40" s="79">
        <f t="shared" si="33"/>
        <v>1.7312001425625282E-2</v>
      </c>
      <c r="CS40" s="79">
        <f t="shared" si="33"/>
        <v>1.7298233117010554E-2</v>
      </c>
      <c r="CT40" s="79">
        <f t="shared" si="33"/>
        <v>1.7284567920601328E-2</v>
      </c>
      <c r="CU40" s="79">
        <f t="shared" si="33"/>
        <v>1.7271006589628581E-2</v>
      </c>
      <c r="CV40" s="79">
        <f t="shared" si="33"/>
        <v>1.7257549813744489E-2</v>
      </c>
      <c r="CW40" s="79">
        <f t="shared" si="33"/>
        <v>1.7244198221199603E-2</v>
      </c>
      <c r="CX40" s="79">
        <f t="shared" si="33"/>
        <v>1.7230952380958963E-2</v>
      </c>
      <c r="CY40" s="79">
        <f t="shared" si="33"/>
        <v>1.7230952380958963E-2</v>
      </c>
      <c r="CZ40" s="79">
        <f t="shared" si="33"/>
        <v>1.7230952380958963E-2</v>
      </c>
      <c r="DA40" s="79">
        <f t="shared" si="33"/>
        <v>1.7230952380958963E-2</v>
      </c>
      <c r="DB40" s="79">
        <f t="shared" si="33"/>
        <v>1.7230952380958963E-2</v>
      </c>
      <c r="DC40" s="79">
        <f t="shared" si="33"/>
        <v>1.7230952380958963E-2</v>
      </c>
      <c r="DD40" s="79">
        <f t="shared" si="33"/>
        <v>1.7230952380958963E-2</v>
      </c>
      <c r="DE40" s="79">
        <f t="shared" si="33"/>
        <v>1.7230952380958963E-2</v>
      </c>
      <c r="DF40" s="79">
        <f t="shared" si="33"/>
        <v>1.7230952380958963E-2</v>
      </c>
      <c r="DG40" s="79">
        <f t="shared" si="33"/>
        <v>1.7230952380958963E-2</v>
      </c>
      <c r="DH40" s="79">
        <f t="shared" si="33"/>
        <v>1.7230952380958963E-2</v>
      </c>
      <c r="DI40" s="79">
        <f t="shared" si="33"/>
        <v>1.7230952380958963E-2</v>
      </c>
      <c r="DJ40" s="79">
        <f t="shared" si="33"/>
        <v>1.7230952380958963E-2</v>
      </c>
      <c r="DK40" s="79">
        <f t="shared" si="33"/>
        <v>1.7230952380958963E-2</v>
      </c>
      <c r="DL40" s="79">
        <f t="shared" si="33"/>
        <v>1.7230952380958963E-2</v>
      </c>
      <c r="DM40" s="79">
        <f t="shared" si="33"/>
        <v>1.7230952380958963E-2</v>
      </c>
      <c r="DN40" s="79">
        <f t="shared" si="33"/>
        <v>1.7230952380958963E-2</v>
      </c>
      <c r="DO40" s="79">
        <f t="shared" si="33"/>
        <v>1.7230952380958963E-2</v>
      </c>
      <c r="DP40" s="79">
        <f t="shared" si="33"/>
        <v>1.7230952380958963E-2</v>
      </c>
      <c r="DQ40" s="79">
        <f t="shared" si="33"/>
        <v>1.7230952380958963E-2</v>
      </c>
      <c r="DR40" s="79">
        <f t="shared" si="33"/>
        <v>1.7230952380958963E-2</v>
      </c>
      <c r="DS40" s="79">
        <f t="shared" si="33"/>
        <v>1.7230952380958963E-2</v>
      </c>
      <c r="DT40" s="79">
        <f t="shared" si="33"/>
        <v>1.7230952380958963E-2</v>
      </c>
      <c r="DU40" s="79">
        <f t="shared" si="33"/>
        <v>1.7230952380958963E-2</v>
      </c>
      <c r="DV40" s="79">
        <f t="shared" si="33"/>
        <v>1.7230952380958963E-2</v>
      </c>
      <c r="DW40" s="79">
        <f t="shared" si="33"/>
        <v>1.7230952380958963E-2</v>
      </c>
      <c r="DX40" s="79">
        <f t="shared" si="33"/>
        <v>1.7230952380958963E-2</v>
      </c>
      <c r="DY40" s="79">
        <f t="shared" si="33"/>
        <v>1.7230952380958963E-2</v>
      </c>
      <c r="DZ40" s="79">
        <f t="shared" si="33"/>
        <v>1.7230952380958963E-2</v>
      </c>
      <c r="EA40" s="79">
        <f t="shared" si="33"/>
        <v>1.7230952380958963E-2</v>
      </c>
      <c r="EB40" s="79">
        <f t="shared" si="33"/>
        <v>1.7230952380958963E-2</v>
      </c>
      <c r="EC40" s="79">
        <f t="shared" si="33"/>
        <v>1.7230952380958963E-2</v>
      </c>
      <c r="ED40" s="79">
        <f t="shared" si="33"/>
        <v>1.7230952380958963E-2</v>
      </c>
      <c r="EE40" s="79">
        <f t="shared" si="28"/>
        <v>1.7230952380958963E-2</v>
      </c>
      <c r="EF40" s="79">
        <f t="shared" si="28"/>
        <v>1.7230952380958963E-2</v>
      </c>
      <c r="EG40" s="79">
        <f t="shared" si="28"/>
        <v>1.7230952380958963E-2</v>
      </c>
      <c r="EH40" s="79">
        <f t="shared" si="28"/>
        <v>1.7230952380958963E-2</v>
      </c>
      <c r="EI40" s="79">
        <f t="shared" si="28"/>
        <v>1.7230952380958963E-2</v>
      </c>
      <c r="EJ40" s="79">
        <f t="shared" si="28"/>
        <v>1.7230952380958963E-2</v>
      </c>
      <c r="EK40" s="79">
        <f t="shared" si="28"/>
        <v>1.7230952380958963E-2</v>
      </c>
      <c r="EL40" s="79">
        <f t="shared" si="28"/>
        <v>1.7230952380958963E-2</v>
      </c>
      <c r="EM40" s="79">
        <f t="shared" si="28"/>
        <v>1.7230952380958963E-2</v>
      </c>
      <c r="EN40" s="79">
        <f t="shared" si="28"/>
        <v>1.7230952380958963E-2</v>
      </c>
      <c r="EO40" s="79">
        <f t="shared" si="28"/>
        <v>1.7230952380958963E-2</v>
      </c>
      <c r="EP40" s="79">
        <f t="shared" si="28"/>
        <v>1.7230952380958963E-2</v>
      </c>
      <c r="EQ40" s="79">
        <f t="shared" si="28"/>
        <v>1.7230952380958963E-2</v>
      </c>
      <c r="ER40" s="79">
        <f t="shared" si="28"/>
        <v>1.7230952380958963E-2</v>
      </c>
      <c r="ES40" s="79">
        <f t="shared" si="28"/>
        <v>1.7230952380958963E-2</v>
      </c>
      <c r="ET40" s="79">
        <f t="shared" si="28"/>
        <v>1.7230952380958963E-2</v>
      </c>
      <c r="FF40" s="6" t="s">
        <v>3006</v>
      </c>
      <c r="FG40" s="696">
        <v>2.5000000000000001E-2</v>
      </c>
      <c r="FH40" s="696">
        <v>120</v>
      </c>
      <c r="FI40" s="696">
        <v>1.61E-2</v>
      </c>
      <c r="FJ40" s="255">
        <v>1.43E-2</v>
      </c>
      <c r="FK40" s="71">
        <f t="shared" si="11"/>
        <v>2.5476190476190477E-4</v>
      </c>
      <c r="FL40" t="e">
        <f>VLOOKUP(FF40,'SIMULADOR COM SALDO'!$BX$22:$CK$1000,13,FALSE)</f>
        <v>#N/A</v>
      </c>
    </row>
    <row r="41" spans="6:168" x14ac:dyDescent="0.25">
      <c r="F41" s="97">
        <f t="shared" si="24"/>
        <v>1.7328571428571433E-2</v>
      </c>
      <c r="G41" s="79">
        <f t="shared" si="6"/>
        <v>1.8499266970667005E-2</v>
      </c>
      <c r="H41" s="79">
        <f t="shared" ref="H41:BS44" si="34">IF(H$9&lt;=$K$6,RATE($K$6,1,H87,0),"")</f>
        <v>1.8497826797163379E-2</v>
      </c>
      <c r="I41" s="79">
        <f t="shared" si="34"/>
        <v>1.8495704758405861E-2</v>
      </c>
      <c r="J41" s="79">
        <f t="shared" si="34"/>
        <v>1.8492925533849722E-2</v>
      </c>
      <c r="K41" s="79">
        <f t="shared" si="34"/>
        <v>1.8489513210596671E-2</v>
      </c>
      <c r="L41" s="79">
        <f t="shared" si="34"/>
        <v>1.8485491290796616E-2</v>
      </c>
      <c r="M41" s="79">
        <f t="shared" si="34"/>
        <v>1.8480882699312876E-2</v>
      </c>
      <c r="N41" s="79">
        <f t="shared" si="34"/>
        <v>1.8475709791625754E-2</v>
      </c>
      <c r="O41" s="79">
        <f t="shared" si="34"/>
        <v>1.8469994361948381E-2</v>
      </c>
      <c r="P41" s="79">
        <f t="shared" si="34"/>
        <v>1.8463757651529317E-2</v>
      </c>
      <c r="Q41" s="79">
        <f t="shared" si="34"/>
        <v>1.8457020357122121E-2</v>
      </c>
      <c r="R41" s="79">
        <f t="shared" si="34"/>
        <v>1.8449802639595385E-2</v>
      </c>
      <c r="S41" s="79">
        <f t="shared" si="34"/>
        <v>1.8442124132667211E-2</v>
      </c>
      <c r="T41" s="79">
        <f t="shared" si="34"/>
        <v>1.8434003951740156E-2</v>
      </c>
      <c r="U41" s="79">
        <f t="shared" si="34"/>
        <v>1.8425460702822461E-2</v>
      </c>
      <c r="V41" s="79">
        <f t="shared" si="34"/>
        <v>1.8416512491513264E-2</v>
      </c>
      <c r="W41" s="79">
        <f t="shared" si="34"/>
        <v>1.8407176932040786E-2</v>
      </c>
      <c r="X41" s="79">
        <f t="shared" si="34"/>
        <v>1.8397471156332772E-2</v>
      </c>
      <c r="Y41" s="79">
        <f t="shared" si="34"/>
        <v>1.8387411823108664E-2</v>
      </c>
      <c r="Z41" s="79">
        <f t="shared" si="34"/>
        <v>1.8377015126977887E-2</v>
      </c>
      <c r="AA41" s="79">
        <f t="shared" si="34"/>
        <v>1.8366296807531962E-2</v>
      </c>
      <c r="AB41" s="79">
        <f t="shared" si="34"/>
        <v>1.8355272158419172E-2</v>
      </c>
      <c r="AC41" s="79">
        <f t="shared" si="34"/>
        <v>1.8343956036389102E-2</v>
      </c>
      <c r="AD41" s="79">
        <f t="shared" si="34"/>
        <v>1.8332362870300215E-2</v>
      </c>
      <c r="AE41" s="79">
        <f t="shared" si="34"/>
        <v>1.8320506670075686E-2</v>
      </c>
      <c r="AF41" s="79">
        <f t="shared" si="34"/>
        <v>1.8308401035604677E-2</v>
      </c>
      <c r="AG41" s="79">
        <f t="shared" si="34"/>
        <v>1.8296059165575605E-2</v>
      </c>
      <c r="AH41" s="79">
        <f t="shared" si="34"/>
        <v>1.8283493866237913E-2</v>
      </c>
      <c r="AI41" s="79">
        <f t="shared" si="34"/>
        <v>1.8270717560082722E-2</v>
      </c>
      <c r="AJ41" s="79">
        <f t="shared" si="34"/>
        <v>1.8257742294437995E-2</v>
      </c>
      <c r="AK41" s="79">
        <f t="shared" si="34"/>
        <v>1.8244579749971266E-2</v>
      </c>
      <c r="AL41" s="79">
        <f t="shared" si="34"/>
        <v>1.8231241249094785E-2</v>
      </c>
      <c r="AM41" s="79">
        <f t="shared" si="34"/>
        <v>1.821773776427011E-2</v>
      </c>
      <c r="AN41" s="79">
        <f t="shared" si="34"/>
        <v>1.8204079926204788E-2</v>
      </c>
      <c r="AO41" s="79">
        <f t="shared" si="34"/>
        <v>1.819027803194101E-2</v>
      </c>
      <c r="AP41" s="79">
        <f t="shared" si="34"/>
        <v>1.8176342052829114E-2</v>
      </c>
      <c r="AQ41" s="79">
        <f t="shared" si="34"/>
        <v>1.8162281642386674E-2</v>
      </c>
      <c r="AR41" s="79">
        <f t="shared" si="34"/>
        <v>1.8148106144037099E-2</v>
      </c>
      <c r="AS41" s="79">
        <f t="shared" si="34"/>
        <v>1.8133824598728959E-2</v>
      </c>
      <c r="AT41" s="79">
        <f t="shared" si="34"/>
        <v>1.811944575243116E-2</v>
      </c>
      <c r="AU41" s="79">
        <f t="shared" si="34"/>
        <v>1.810497806350371E-2</v>
      </c>
      <c r="AV41" s="79">
        <f t="shared" si="34"/>
        <v>1.8090429709943658E-2</v>
      </c>
      <c r="AW41" s="79">
        <f t="shared" si="34"/>
        <v>1.8075808596503137E-2</v>
      </c>
      <c r="AX41" s="79">
        <f t="shared" si="34"/>
        <v>1.8061122361680233E-2</v>
      </c>
      <c r="AY41" s="79">
        <f t="shared" si="34"/>
        <v>1.8046378384582659E-2</v>
      </c>
      <c r="AZ41" s="79">
        <f t="shared" si="34"/>
        <v>1.8031583791660762E-2</v>
      </c>
      <c r="BA41" s="79">
        <f t="shared" si="34"/>
        <v>1.8016745463315016E-2</v>
      </c>
      <c r="BB41" s="79">
        <f t="shared" si="34"/>
        <v>1.8001870040372875E-2</v>
      </c>
      <c r="BC41" s="79">
        <f t="shared" si="34"/>
        <v>1.7986963930438284E-2</v>
      </c>
      <c r="BD41" s="79">
        <f t="shared" si="34"/>
        <v>1.7972033314113855E-2</v>
      </c>
      <c r="BE41" s="79">
        <f t="shared" si="34"/>
        <v>1.7957084151095277E-2</v>
      </c>
      <c r="BF41" s="79">
        <f t="shared" si="34"/>
        <v>1.7942122186139983E-2</v>
      </c>
      <c r="BG41" s="79">
        <f t="shared" si="34"/>
        <v>1.7927152954910004E-2</v>
      </c>
      <c r="BH41" s="79">
        <f t="shared" si="34"/>
        <v>1.7912181789690534E-2</v>
      </c>
      <c r="BI41" s="79">
        <f t="shared" si="34"/>
        <v>1.7897213824984517E-2</v>
      </c>
      <c r="BJ41" s="79">
        <f t="shared" si="34"/>
        <v>1.7882254002985959E-2</v>
      </c>
      <c r="BK41" s="79">
        <f t="shared" si="34"/>
        <v>1.7867307078931131E-2</v>
      </c>
      <c r="BL41" s="79">
        <f t="shared" si="34"/>
        <v>1.7852377626331493E-2</v>
      </c>
      <c r="BM41" s="79">
        <f t="shared" si="34"/>
        <v>1.7837470042086814E-2</v>
      </c>
      <c r="BN41" s="79">
        <f t="shared" si="34"/>
        <v>1.7822588551483189E-2</v>
      </c>
      <c r="BO41" s="79">
        <f t="shared" si="34"/>
        <v>1.7807737213074878E-2</v>
      </c>
      <c r="BP41" s="79">
        <f t="shared" si="34"/>
        <v>1.779291992345277E-2</v>
      </c>
      <c r="BQ41" s="79">
        <f t="shared" si="34"/>
        <v>1.7778140421901338E-2</v>
      </c>
      <c r="BR41" s="79">
        <f t="shared" si="34"/>
        <v>1.7763402294944948E-2</v>
      </c>
      <c r="BS41" s="79">
        <f t="shared" si="34"/>
        <v>1.7748708980785486E-2</v>
      </c>
      <c r="BT41" s="79">
        <f t="shared" si="33"/>
        <v>1.7734063773634644E-2</v>
      </c>
      <c r="BU41" s="79">
        <f t="shared" si="33"/>
        <v>1.7719469827938615E-2</v>
      </c>
      <c r="BV41" s="79">
        <f t="shared" si="33"/>
        <v>1.770493016250255E-2</v>
      </c>
      <c r="BW41" s="79">
        <f t="shared" si="33"/>
        <v>1.7690447664511302E-2</v>
      </c>
      <c r="BX41" s="79">
        <f t="shared" si="33"/>
        <v>1.7676025093451373E-2</v>
      </c>
      <c r="BY41" s="79">
        <f t="shared" si="33"/>
        <v>1.7661665084936082E-2</v>
      </c>
      <c r="BZ41" s="79">
        <f t="shared" si="33"/>
        <v>1.7647370154433122E-2</v>
      </c>
      <c r="CA41" s="79">
        <f t="shared" si="33"/>
        <v>1.7633142700899038E-2</v>
      </c>
      <c r="CB41" s="79">
        <f t="shared" si="33"/>
        <v>1.7618985010321223E-2</v>
      </c>
      <c r="CC41" s="79">
        <f t="shared" si="33"/>
        <v>1.7604899259169842E-2</v>
      </c>
      <c r="CD41" s="79">
        <f t="shared" si="33"/>
        <v>1.7590887517759966E-2</v>
      </c>
      <c r="CE41" s="79">
        <f t="shared" si="33"/>
        <v>1.7576951753528424E-2</v>
      </c>
      <c r="CF41" s="79">
        <f t="shared" si="33"/>
        <v>1.7563093834224667E-2</v>
      </c>
      <c r="CG41" s="79">
        <f t="shared" si="33"/>
        <v>1.7549315531017885E-2</v>
      </c>
      <c r="CH41" s="79">
        <f t="shared" si="33"/>
        <v>1.753561852152433E-2</v>
      </c>
      <c r="CI41" s="79">
        <f t="shared" si="33"/>
        <v>1.7522004392753771E-2</v>
      </c>
      <c r="CJ41" s="79">
        <f t="shared" si="33"/>
        <v>1.7508474643977309E-2</v>
      </c>
      <c r="CK41" s="79">
        <f t="shared" si="33"/>
        <v>1.7495030689520588E-2</v>
      </c>
      <c r="CL41" s="79">
        <f t="shared" si="33"/>
        <v>1.748167386148132E-2</v>
      </c>
      <c r="CM41" s="79">
        <f t="shared" si="33"/>
        <v>1.7468405412373933E-2</v>
      </c>
      <c r="CN41" s="79">
        <f t="shared" si="33"/>
        <v>1.7455226517703638E-2</v>
      </c>
      <c r="CO41" s="79">
        <f t="shared" si="33"/>
        <v>1.744213827846983E-2</v>
      </c>
      <c r="CP41" s="79">
        <f t="shared" si="33"/>
        <v>1.7429141723602992E-2</v>
      </c>
      <c r="CQ41" s="79">
        <f t="shared" si="33"/>
        <v>1.7416237812333354E-2</v>
      </c>
      <c r="CR41" s="79">
        <f t="shared" si="33"/>
        <v>1.7403427436496286E-2</v>
      </c>
      <c r="CS41" s="79">
        <f t="shared" si="33"/>
        <v>1.7390711422773198E-2</v>
      </c>
      <c r="CT41" s="79">
        <f t="shared" si="33"/>
        <v>1.7378090534871698E-2</v>
      </c>
      <c r="CU41" s="79">
        <f t="shared" si="33"/>
        <v>1.7365565475644364E-2</v>
      </c>
      <c r="CV41" s="79">
        <f t="shared" si="33"/>
        <v>1.7353136889149315E-2</v>
      </c>
      <c r="CW41" s="79">
        <f t="shared" si="33"/>
        <v>1.7340805362652856E-2</v>
      </c>
      <c r="CX41" s="79">
        <f t="shared" si="33"/>
        <v>1.7328571428577171E-2</v>
      </c>
      <c r="CY41" s="79">
        <f t="shared" si="33"/>
        <v>1.7328571428577171E-2</v>
      </c>
      <c r="CZ41" s="79">
        <f t="shared" si="33"/>
        <v>1.7328571428577171E-2</v>
      </c>
      <c r="DA41" s="79">
        <f t="shared" si="33"/>
        <v>1.7328571428577171E-2</v>
      </c>
      <c r="DB41" s="79">
        <f t="shared" si="33"/>
        <v>1.7328571428577171E-2</v>
      </c>
      <c r="DC41" s="79">
        <f t="shared" si="33"/>
        <v>1.7328571428577171E-2</v>
      </c>
      <c r="DD41" s="79">
        <f t="shared" si="33"/>
        <v>1.7328571428577171E-2</v>
      </c>
      <c r="DE41" s="79">
        <f t="shared" si="33"/>
        <v>1.7328571428577171E-2</v>
      </c>
      <c r="DF41" s="79">
        <f t="shared" si="33"/>
        <v>1.7328571428577171E-2</v>
      </c>
      <c r="DG41" s="79">
        <f t="shared" si="33"/>
        <v>1.7328571428577171E-2</v>
      </c>
      <c r="DH41" s="79">
        <f t="shared" si="33"/>
        <v>1.7328571428577171E-2</v>
      </c>
      <c r="DI41" s="79">
        <f t="shared" si="33"/>
        <v>1.7328571428577171E-2</v>
      </c>
      <c r="DJ41" s="79">
        <f t="shared" si="33"/>
        <v>1.7328571428577171E-2</v>
      </c>
      <c r="DK41" s="79">
        <f t="shared" si="33"/>
        <v>1.7328571428577171E-2</v>
      </c>
      <c r="DL41" s="79">
        <f t="shared" si="33"/>
        <v>1.7328571428577171E-2</v>
      </c>
      <c r="DM41" s="79">
        <f t="shared" si="33"/>
        <v>1.7328571428577171E-2</v>
      </c>
      <c r="DN41" s="79">
        <f t="shared" si="33"/>
        <v>1.7328571428577171E-2</v>
      </c>
      <c r="DO41" s="79">
        <f t="shared" si="33"/>
        <v>1.7328571428577171E-2</v>
      </c>
      <c r="DP41" s="79">
        <f t="shared" si="33"/>
        <v>1.7328571428577171E-2</v>
      </c>
      <c r="DQ41" s="79">
        <f t="shared" si="33"/>
        <v>1.7328571428577171E-2</v>
      </c>
      <c r="DR41" s="79">
        <f t="shared" si="33"/>
        <v>1.7328571428577171E-2</v>
      </c>
      <c r="DS41" s="79">
        <f t="shared" si="33"/>
        <v>1.7328571428577171E-2</v>
      </c>
      <c r="DT41" s="79">
        <f t="shared" si="33"/>
        <v>1.7328571428577171E-2</v>
      </c>
      <c r="DU41" s="79">
        <f t="shared" si="33"/>
        <v>1.7328571428577171E-2</v>
      </c>
      <c r="DV41" s="79">
        <f t="shared" si="33"/>
        <v>1.7328571428577171E-2</v>
      </c>
      <c r="DW41" s="79">
        <f t="shared" si="33"/>
        <v>1.7328571428577171E-2</v>
      </c>
      <c r="DX41" s="79">
        <f t="shared" si="33"/>
        <v>1.7328571428577171E-2</v>
      </c>
      <c r="DY41" s="79">
        <f t="shared" si="33"/>
        <v>1.7328571428577171E-2</v>
      </c>
      <c r="DZ41" s="79">
        <f t="shared" si="33"/>
        <v>1.7328571428577171E-2</v>
      </c>
      <c r="EA41" s="79">
        <f t="shared" si="33"/>
        <v>1.7328571428577171E-2</v>
      </c>
      <c r="EB41" s="79">
        <f t="shared" si="33"/>
        <v>1.7328571428577171E-2</v>
      </c>
      <c r="EC41" s="79">
        <f t="shared" si="33"/>
        <v>1.7328571428577171E-2</v>
      </c>
      <c r="ED41" s="79">
        <f t="shared" si="33"/>
        <v>1.7328571428577171E-2</v>
      </c>
      <c r="EE41" s="79">
        <f t="shared" si="28"/>
        <v>1.7328571428577171E-2</v>
      </c>
      <c r="EF41" s="79">
        <f t="shared" si="28"/>
        <v>1.7328571428577171E-2</v>
      </c>
      <c r="EG41" s="79">
        <f t="shared" si="28"/>
        <v>1.7328571428577171E-2</v>
      </c>
      <c r="EH41" s="79">
        <f t="shared" si="28"/>
        <v>1.7328571428577171E-2</v>
      </c>
      <c r="EI41" s="79">
        <f t="shared" si="28"/>
        <v>1.7328571428577171E-2</v>
      </c>
      <c r="EJ41" s="79">
        <f t="shared" si="28"/>
        <v>1.7328571428577171E-2</v>
      </c>
      <c r="EK41" s="79">
        <f t="shared" si="28"/>
        <v>1.7328571428577171E-2</v>
      </c>
      <c r="EL41" s="79">
        <f t="shared" si="28"/>
        <v>1.7328571428577171E-2</v>
      </c>
      <c r="EM41" s="79">
        <f t="shared" si="28"/>
        <v>1.7328571428577171E-2</v>
      </c>
      <c r="EN41" s="79">
        <f t="shared" si="28"/>
        <v>1.7328571428577171E-2</v>
      </c>
      <c r="EO41" s="79">
        <f t="shared" si="28"/>
        <v>1.7328571428577171E-2</v>
      </c>
      <c r="EP41" s="79">
        <f t="shared" si="28"/>
        <v>1.7328571428577171E-2</v>
      </c>
      <c r="EQ41" s="79">
        <f t="shared" si="28"/>
        <v>1.7328571428577171E-2</v>
      </c>
      <c r="ER41" s="79">
        <f t="shared" si="28"/>
        <v>1.7328571428577171E-2</v>
      </c>
      <c r="ES41" s="79">
        <f t="shared" si="28"/>
        <v>1.7328571428577171E-2</v>
      </c>
      <c r="ET41" s="79">
        <f t="shared" si="28"/>
        <v>1.7328571428577171E-2</v>
      </c>
      <c r="FF41" s="6" t="s">
        <v>366</v>
      </c>
      <c r="FG41" s="696">
        <v>2.5000000000000001E-2</v>
      </c>
      <c r="FH41" s="696">
        <v>120</v>
      </c>
      <c r="FI41" s="696">
        <v>1.6200000000000003E-2</v>
      </c>
      <c r="FJ41" s="255">
        <v>1.4199999999999999E-2</v>
      </c>
      <c r="FK41" s="71">
        <f t="shared" si="11"/>
        <v>2.5714285714285721E-4</v>
      </c>
      <c r="FL41">
        <f>VLOOKUP(FF41,'SIMULADOR COM SALDO'!$BX$22:$CK$1000,13,FALSE)</f>
        <v>0</v>
      </c>
    </row>
    <row r="42" spans="6:168" x14ac:dyDescent="0.25">
      <c r="F42" s="97">
        <f t="shared" si="24"/>
        <v>1.7426190476190481E-2</v>
      </c>
      <c r="G42" s="79">
        <f t="shared" si="6"/>
        <v>1.8499328119807219E-2</v>
      </c>
      <c r="H42" s="79">
        <f t="shared" si="34"/>
        <v>1.8498008142153369E-2</v>
      </c>
      <c r="I42" s="79">
        <f t="shared" si="34"/>
        <v>1.8496063285018172E-2</v>
      </c>
      <c r="J42" s="79">
        <f t="shared" si="34"/>
        <v>1.8493516208651889E-2</v>
      </c>
      <c r="K42" s="79">
        <f t="shared" si="34"/>
        <v>1.8490389022845267E-2</v>
      </c>
      <c r="L42" s="79">
        <f t="shared" si="34"/>
        <v>1.8486703294419399E-2</v>
      </c>
      <c r="M42" s="79">
        <f t="shared" si="34"/>
        <v>1.8482480054910603E-2</v>
      </c>
      <c r="N42" s="79">
        <f t="shared" si="34"/>
        <v>1.8477739808430097E-2</v>
      </c>
      <c r="O42" s="79">
        <f t="shared" si="34"/>
        <v>1.8472502539675768E-2</v>
      </c>
      <c r="P42" s="79">
        <f t="shared" si="34"/>
        <v>1.8466787722076276E-2</v>
      </c>
      <c r="Q42" s="79">
        <f t="shared" si="34"/>
        <v>1.8460614326048033E-2</v>
      </c>
      <c r="R42" s="79">
        <f t="shared" si="34"/>
        <v>1.8454000827348521E-2</v>
      </c>
      <c r="S42" s="79">
        <f t="shared" si="34"/>
        <v>1.8446965215505262E-2</v>
      </c>
      <c r="T42" s="79">
        <f t="shared" si="34"/>
        <v>1.8439525002309037E-2</v>
      </c>
      <c r="U42" s="79">
        <f t="shared" si="34"/>
        <v>1.843169723035264E-2</v>
      </c>
      <c r="V42" s="79">
        <f t="shared" si="34"/>
        <v>1.8423498481601686E-2</v>
      </c>
      <c r="W42" s="79">
        <f t="shared" si="34"/>
        <v>1.8414944885984979E-2</v>
      </c>
      <c r="X42" s="79">
        <f t="shared" si="34"/>
        <v>1.840605212999126E-2</v>
      </c>
      <c r="Y42" s="79">
        <f t="shared" si="34"/>
        <v>1.8396835465259942E-2</v>
      </c>
      <c r="Z42" s="79">
        <f t="shared" si="34"/>
        <v>1.8387309717156419E-2</v>
      </c>
      <c r="AA42" s="79">
        <f t="shared" si="34"/>
        <v>1.8377489293319546E-2</v>
      </c>
      <c r="AB42" s="79">
        <f t="shared" si="34"/>
        <v>1.8367388192174337E-2</v>
      </c>
      <c r="AC42" s="79">
        <f t="shared" si="34"/>
        <v>1.8357020011398242E-2</v>
      </c>
      <c r="AD42" s="79">
        <f t="shared" si="34"/>
        <v>1.8346397956335619E-2</v>
      </c>
      <c r="AE42" s="79">
        <f t="shared" si="34"/>
        <v>1.8335534848350078E-2</v>
      </c>
      <c r="AF42" s="79">
        <f t="shared" si="34"/>
        <v>1.8324443133110505E-2</v>
      </c>
      <c r="AG42" s="79">
        <f t="shared" si="34"/>
        <v>1.8313134888801371E-2</v>
      </c>
      <c r="AH42" s="79">
        <f t="shared" si="34"/>
        <v>1.830162183425477E-2</v>
      </c>
      <c r="AI42" s="79">
        <f t="shared" si="34"/>
        <v>1.8289915336995151E-2</v>
      </c>
      <c r="AJ42" s="79">
        <f t="shared" si="34"/>
        <v>1.8278026421195758E-2</v>
      </c>
      <c r="AK42" s="79">
        <f t="shared" si="34"/>
        <v>1.8265965775538909E-2</v>
      </c>
      <c r="AL42" s="79">
        <f t="shared" si="34"/>
        <v>1.8253743760978127E-2</v>
      </c>
      <c r="AM42" s="79">
        <f t="shared" si="34"/>
        <v>1.8241370418398704E-2</v>
      </c>
      <c r="AN42" s="79">
        <f t="shared" si="34"/>
        <v>1.8228855476171681E-2</v>
      </c>
      <c r="AO42" s="79">
        <f t="shared" si="34"/>
        <v>1.8216208357601325E-2</v>
      </c>
      <c r="AP42" s="79">
        <f t="shared" si="34"/>
        <v>1.8203438188259494E-2</v>
      </c>
      <c r="AQ42" s="79">
        <f t="shared" si="34"/>
        <v>1.8190553803210694E-2</v>
      </c>
      <c r="AR42" s="79">
        <f t="shared" si="34"/>
        <v>1.8177563754119132E-2</v>
      </c>
      <c r="AS42" s="79">
        <f t="shared" si="34"/>
        <v>1.8164476316241681E-2</v>
      </c>
      <c r="AT42" s="79">
        <f t="shared" si="34"/>
        <v>1.815129949530371E-2</v>
      </c>
      <c r="AU42" s="79">
        <f t="shared" si="34"/>
        <v>1.8138041034255297E-2</v>
      </c>
      <c r="AV42" s="79">
        <f t="shared" si="34"/>
        <v>1.8124708419908878E-2</v>
      </c>
      <c r="AW42" s="79">
        <f t="shared" si="34"/>
        <v>1.8111308889457878E-2</v>
      </c>
      <c r="AX42" s="79">
        <f t="shared" si="34"/>
        <v>1.8097849436874352E-2</v>
      </c>
      <c r="AY42" s="79">
        <f t="shared" si="34"/>
        <v>1.8084336819187443E-2</v>
      </c>
      <c r="AZ42" s="79">
        <f t="shared" si="34"/>
        <v>1.8070777562640587E-2</v>
      </c>
      <c r="BA42" s="79">
        <f t="shared" si="34"/>
        <v>1.8057177968730419E-2</v>
      </c>
      <c r="BB42" s="79">
        <f t="shared" si="34"/>
        <v>1.8043544120124561E-2</v>
      </c>
      <c r="BC42" s="79">
        <f t="shared" si="34"/>
        <v>1.802988188646143E-2</v>
      </c>
      <c r="BD42" s="79">
        <f t="shared" si="34"/>
        <v>1.8016196930031571E-2</v>
      </c>
      <c r="BE42" s="79">
        <f t="shared" si="34"/>
        <v>1.8002494711340362E-2</v>
      </c>
      <c r="BF42" s="79">
        <f t="shared" si="34"/>
        <v>1.798878049455551E-2</v>
      </c>
      <c r="BG42" s="79">
        <f t="shared" si="34"/>
        <v>1.7975059352837622E-2</v>
      </c>
      <c r="BH42" s="79">
        <f t="shared" si="34"/>
        <v>1.796133617355599E-2</v>
      </c>
      <c r="BI42" s="79">
        <f t="shared" si="34"/>
        <v>1.794761566339197E-2</v>
      </c>
      <c r="BJ42" s="79">
        <f t="shared" si="34"/>
        <v>1.7933902353328618E-2</v>
      </c>
      <c r="BK42" s="79">
        <f t="shared" si="34"/>
        <v>1.7920200603529734E-2</v>
      </c>
      <c r="BL42" s="79">
        <f t="shared" si="34"/>
        <v>1.7906514608109408E-2</v>
      </c>
      <c r="BM42" s="79">
        <f t="shared" si="34"/>
        <v>1.7892848399793423E-2</v>
      </c>
      <c r="BN42" s="79">
        <f t="shared" si="34"/>
        <v>1.7879205854472925E-2</v>
      </c>
      <c r="BO42" s="79">
        <f t="shared" si="34"/>
        <v>1.7865590695653643E-2</v>
      </c>
      <c r="BP42" s="79">
        <f t="shared" si="34"/>
        <v>1.7852006498800674E-2</v>
      </c>
      <c r="BQ42" s="79">
        <f t="shared" si="34"/>
        <v>1.7838456695581605E-2</v>
      </c>
      <c r="BR42" s="79">
        <f t="shared" si="34"/>
        <v>1.7824944578008574E-2</v>
      </c>
      <c r="BS42" s="79">
        <f t="shared" si="34"/>
        <v>1.7811473302481687E-2</v>
      </c>
      <c r="BT42" s="79">
        <f t="shared" si="33"/>
        <v>1.779804589373412E-2</v>
      </c>
      <c r="BU42" s="79">
        <f t="shared" si="33"/>
        <v>1.7784665248683149E-2</v>
      </c>
      <c r="BV42" s="79">
        <f t="shared" si="33"/>
        <v>1.777133414018604E-2</v>
      </c>
      <c r="BW42" s="79">
        <f t="shared" si="33"/>
        <v>1.7758055220703214E-2</v>
      </c>
      <c r="BX42" s="79">
        <f t="shared" si="33"/>
        <v>1.774483102587204E-2</v>
      </c>
      <c r="BY42" s="79">
        <f t="shared" si="33"/>
        <v>1.7731663977991086E-2</v>
      </c>
      <c r="BZ42" s="79">
        <f t="shared" si="33"/>
        <v>1.771855638941628E-2</v>
      </c>
      <c r="CA42" s="79">
        <f t="shared" si="33"/>
        <v>1.7705510465873143E-2</v>
      </c>
      <c r="CB42" s="79">
        <f t="shared" si="33"/>
        <v>1.7692528309683563E-2</v>
      </c>
      <c r="CC42" s="79">
        <f t="shared" si="33"/>
        <v>1.7679611922911394E-2</v>
      </c>
      <c r="CD42" s="79">
        <f t="shared" si="33"/>
        <v>1.7666763210426682E-2</v>
      </c>
      <c r="CE42" s="79">
        <f t="shared" si="33"/>
        <v>1.7653983982892425E-2</v>
      </c>
      <c r="CF42" s="79">
        <f t="shared" si="33"/>
        <v>1.7641275959671555E-2</v>
      </c>
      <c r="CG42" s="79">
        <f t="shared" si="33"/>
        <v>1.7628640771661697E-2</v>
      </c>
      <c r="CH42" s="79">
        <f t="shared" si="33"/>
        <v>1.7616079964052365E-2</v>
      </c>
      <c r="CI42" s="79">
        <f t="shared" si="33"/>
        <v>1.7603594999012918E-2</v>
      </c>
      <c r="CJ42" s="79">
        <f t="shared" si="33"/>
        <v>1.7591187258307463E-2</v>
      </c>
      <c r="CK42" s="79">
        <f t="shared" si="33"/>
        <v>1.7578858045841368E-2</v>
      </c>
      <c r="CL42" s="79">
        <f t="shared" si="33"/>
        <v>1.7566608590140281E-2</v>
      </c>
      <c r="CM42" s="79">
        <f t="shared" si="33"/>
        <v>1.755444004676289E-2</v>
      </c>
      <c r="CN42" s="79">
        <f t="shared" si="33"/>
        <v>1.7542353500648315E-2</v>
      </c>
      <c r="CO42" s="79">
        <f t="shared" si="33"/>
        <v>1.7530349968400891E-2</v>
      </c>
      <c r="CP42" s="79">
        <f t="shared" si="33"/>
        <v>1.7518430400513617E-2</v>
      </c>
      <c r="CQ42" s="79">
        <f t="shared" si="33"/>
        <v>1.7506595683530527E-2</v>
      </c>
      <c r="CR42" s="79">
        <f t="shared" si="33"/>
        <v>1.7494846642150057E-2</v>
      </c>
      <c r="CS42" s="79">
        <f t="shared" si="33"/>
        <v>1.7483184041272234E-2</v>
      </c>
      <c r="CT42" s="79">
        <f t="shared" si="33"/>
        <v>1.7471608587988015E-2</v>
      </c>
      <c r="CU42" s="79">
        <f t="shared" si="33"/>
        <v>1.7460120933514952E-2</v>
      </c>
      <c r="CV42" s="79">
        <f t="shared" si="33"/>
        <v>1.7448721675079364E-2</v>
      </c>
      <c r="CW42" s="79">
        <f t="shared" si="33"/>
        <v>1.7437411357745645E-2</v>
      </c>
      <c r="CX42" s="79">
        <f t="shared" si="33"/>
        <v>1.7426190476195244E-2</v>
      </c>
      <c r="CY42" s="79">
        <f t="shared" si="33"/>
        <v>1.7426190476195244E-2</v>
      </c>
      <c r="CZ42" s="79">
        <f t="shared" si="33"/>
        <v>1.7426190476195244E-2</v>
      </c>
      <c r="DA42" s="79">
        <f t="shared" si="33"/>
        <v>1.7426190476195244E-2</v>
      </c>
      <c r="DB42" s="79">
        <f t="shared" si="33"/>
        <v>1.7426190476195244E-2</v>
      </c>
      <c r="DC42" s="79">
        <f t="shared" si="33"/>
        <v>1.7426190476195244E-2</v>
      </c>
      <c r="DD42" s="79">
        <f t="shared" si="33"/>
        <v>1.7426190476195244E-2</v>
      </c>
      <c r="DE42" s="79">
        <f t="shared" si="33"/>
        <v>1.7426190476195244E-2</v>
      </c>
      <c r="DF42" s="79">
        <f t="shared" si="33"/>
        <v>1.7426190476195244E-2</v>
      </c>
      <c r="DG42" s="79">
        <f t="shared" si="33"/>
        <v>1.7426190476195244E-2</v>
      </c>
      <c r="DH42" s="79">
        <f t="shared" si="33"/>
        <v>1.7426190476195244E-2</v>
      </c>
      <c r="DI42" s="79">
        <f t="shared" si="33"/>
        <v>1.7426190476195244E-2</v>
      </c>
      <c r="DJ42" s="79">
        <f t="shared" si="33"/>
        <v>1.7426190476195244E-2</v>
      </c>
      <c r="DK42" s="79">
        <f t="shared" si="33"/>
        <v>1.7426190476195244E-2</v>
      </c>
      <c r="DL42" s="79">
        <f t="shared" si="33"/>
        <v>1.7426190476195244E-2</v>
      </c>
      <c r="DM42" s="79">
        <f t="shared" si="33"/>
        <v>1.7426190476195244E-2</v>
      </c>
      <c r="DN42" s="79">
        <f t="shared" si="33"/>
        <v>1.7426190476195244E-2</v>
      </c>
      <c r="DO42" s="79">
        <f t="shared" si="33"/>
        <v>1.7426190476195244E-2</v>
      </c>
      <c r="DP42" s="79">
        <f t="shared" si="33"/>
        <v>1.7426190476195244E-2</v>
      </c>
      <c r="DQ42" s="79">
        <f t="shared" si="33"/>
        <v>1.7426190476195244E-2</v>
      </c>
      <c r="DR42" s="79">
        <f t="shared" si="33"/>
        <v>1.7426190476195244E-2</v>
      </c>
      <c r="DS42" s="79">
        <f t="shared" si="33"/>
        <v>1.7426190476195244E-2</v>
      </c>
      <c r="DT42" s="79">
        <f t="shared" si="33"/>
        <v>1.7426190476195244E-2</v>
      </c>
      <c r="DU42" s="79">
        <f t="shared" si="33"/>
        <v>1.7426190476195244E-2</v>
      </c>
      <c r="DV42" s="79">
        <f t="shared" si="33"/>
        <v>1.7426190476195244E-2</v>
      </c>
      <c r="DW42" s="79">
        <f t="shared" si="33"/>
        <v>1.7426190476195244E-2</v>
      </c>
      <c r="DX42" s="79">
        <f t="shared" si="33"/>
        <v>1.7426190476195244E-2</v>
      </c>
      <c r="DY42" s="79">
        <f t="shared" si="33"/>
        <v>1.7426190476195244E-2</v>
      </c>
      <c r="DZ42" s="79">
        <f t="shared" si="33"/>
        <v>1.7426190476195244E-2</v>
      </c>
      <c r="EA42" s="79">
        <f t="shared" si="33"/>
        <v>1.7426190476195244E-2</v>
      </c>
      <c r="EB42" s="79">
        <f t="shared" si="33"/>
        <v>1.7426190476195244E-2</v>
      </c>
      <c r="EC42" s="79">
        <f t="shared" si="33"/>
        <v>1.7426190476195244E-2</v>
      </c>
      <c r="ED42" s="79">
        <f t="shared" si="33"/>
        <v>1.7426190476195244E-2</v>
      </c>
      <c r="EE42" s="79">
        <f t="shared" si="28"/>
        <v>1.7426190476195244E-2</v>
      </c>
      <c r="EF42" s="79">
        <f t="shared" si="28"/>
        <v>1.7426190476195244E-2</v>
      </c>
      <c r="EG42" s="79">
        <f t="shared" si="28"/>
        <v>1.7426190476195244E-2</v>
      </c>
      <c r="EH42" s="79">
        <f t="shared" si="28"/>
        <v>1.7426190476195244E-2</v>
      </c>
      <c r="EI42" s="79">
        <f t="shared" si="28"/>
        <v>1.7426190476195244E-2</v>
      </c>
      <c r="EJ42" s="79">
        <f t="shared" si="28"/>
        <v>1.7426190476195244E-2</v>
      </c>
      <c r="EK42" s="79">
        <f t="shared" si="28"/>
        <v>1.7426190476195244E-2</v>
      </c>
      <c r="EL42" s="79">
        <f t="shared" si="28"/>
        <v>1.7426190476195244E-2</v>
      </c>
      <c r="EM42" s="79">
        <f t="shared" si="28"/>
        <v>1.7426190476195244E-2</v>
      </c>
      <c r="EN42" s="79">
        <f t="shared" si="28"/>
        <v>1.7426190476195244E-2</v>
      </c>
      <c r="EO42" s="79">
        <f t="shared" si="28"/>
        <v>1.7426190476195244E-2</v>
      </c>
      <c r="EP42" s="79">
        <f t="shared" si="28"/>
        <v>1.7426190476195244E-2</v>
      </c>
      <c r="EQ42" s="79">
        <f t="shared" si="28"/>
        <v>1.7426190476195244E-2</v>
      </c>
      <c r="ER42" s="79">
        <f t="shared" si="28"/>
        <v>1.7426190476195244E-2</v>
      </c>
      <c r="ES42" s="79">
        <f t="shared" si="28"/>
        <v>1.7426190476195244E-2</v>
      </c>
      <c r="ET42" s="79">
        <f t="shared" si="28"/>
        <v>1.7426190476195244E-2</v>
      </c>
      <c r="FF42" s="6" t="s">
        <v>3451</v>
      </c>
      <c r="FG42" s="696">
        <v>2.5000000000000001E-2</v>
      </c>
      <c r="FH42" s="696">
        <v>120</v>
      </c>
      <c r="FI42" s="696">
        <v>1.6200000000000003E-2</v>
      </c>
      <c r="FJ42" s="255">
        <v>1.4199999999999999E-2</v>
      </c>
      <c r="FK42" s="71">
        <f t="shared" si="11"/>
        <v>2.5714285714285721E-4</v>
      </c>
      <c r="FL42" t="e">
        <f>VLOOKUP(FF42,'SIMULADOR COM SALDO'!$BX$22:$CK$1000,13,FALSE)</f>
        <v>#N/A</v>
      </c>
    </row>
    <row r="43" spans="6:168" x14ac:dyDescent="0.25">
      <c r="F43" s="97">
        <f t="shared" si="24"/>
        <v>1.7523809523809528E-2</v>
      </c>
      <c r="G43" s="79">
        <f t="shared" si="6"/>
        <v>1.8499389257416149E-2</v>
      </c>
      <c r="H43" s="79">
        <f t="shared" si="34"/>
        <v>1.8498189442591618E-2</v>
      </c>
      <c r="I43" s="79">
        <f t="shared" si="34"/>
        <v>1.8496421704248922E-2</v>
      </c>
      <c r="J43" s="79">
        <f t="shared" si="34"/>
        <v>1.8494106676607367E-2</v>
      </c>
      <c r="K43" s="79">
        <f t="shared" si="34"/>
        <v>1.8491264486679856E-2</v>
      </c>
      <c r="L43" s="79">
        <f t="shared" si="34"/>
        <v>1.8487914761724806E-2</v>
      </c>
      <c r="M43" s="79">
        <f t="shared" si="34"/>
        <v>1.8484076636831829E-2</v>
      </c>
      <c r="N43" s="79">
        <f t="shared" si="34"/>
        <v>1.8479768762626872E-2</v>
      </c>
      <c r="O43" s="79">
        <f t="shared" si="34"/>
        <v>1.8475009313076485E-2</v>
      </c>
      <c r="P43" s="79">
        <f t="shared" si="34"/>
        <v>1.8469815993375341E-2</v>
      </c>
      <c r="Q43" s="79">
        <f t="shared" si="34"/>
        <v>1.8464206047902974E-2</v>
      </c>
      <c r="R43" s="79">
        <f t="shared" si="34"/>
        <v>1.8458196268233723E-2</v>
      </c>
      <c r="S43" s="79">
        <f t="shared" si="34"/>
        <v>1.8451803001185769E-2</v>
      </c>
      <c r="T43" s="79">
        <f t="shared" si="34"/>
        <v>1.8445042156898538E-2</v>
      </c>
      <c r="U43" s="79">
        <f t="shared" si="34"/>
        <v>1.8437929216923193E-2</v>
      </c>
      <c r="V43" s="79">
        <f t="shared" si="34"/>
        <v>1.8430479242317704E-2</v>
      </c>
      <c r="W43" s="79">
        <f t="shared" si="34"/>
        <v>1.8422706881734047E-2</v>
      </c>
      <c r="X43" s="79">
        <f t="shared" si="34"/>
        <v>1.8414626379487681E-2</v>
      </c>
      <c r="Y43" s="79">
        <f t="shared" si="34"/>
        <v>1.8406251583601044E-2</v>
      </c>
      <c r="Z43" s="79">
        <f t="shared" si="34"/>
        <v>1.8397595953811626E-2</v>
      </c>
      <c r="AA43" s="79">
        <f t="shared" si="34"/>
        <v>1.8388672569536319E-2</v>
      </c>
      <c r="AB43" s="79">
        <f t="shared" si="34"/>
        <v>1.8379494137785161E-2</v>
      </c>
      <c r="AC43" s="79">
        <f t="shared" si="34"/>
        <v>1.8370073001018162E-2</v>
      </c>
      <c r="AD43" s="79">
        <f t="shared" si="34"/>
        <v>1.836042114493654E-2</v>
      </c>
      <c r="AE43" s="79">
        <f t="shared" si="34"/>
        <v>1.8350550206206E-2</v>
      </c>
      <c r="AF43" s="79">
        <f t="shared" si="34"/>
        <v>1.8340471480103086E-2</v>
      </c>
      <c r="AG43" s="79">
        <f t="shared" si="34"/>
        <v>1.8330195928082979E-2</v>
      </c>
      <c r="AH43" s="79">
        <f t="shared" si="34"/>
        <v>1.8319734185262084E-2</v>
      </c>
      <c r="AI43" s="79">
        <f t="shared" si="34"/>
        <v>1.8309096567811489E-2</v>
      </c>
      <c r="AJ43" s="79">
        <f t="shared" si="34"/>
        <v>1.8298293080260059E-2</v>
      </c>
      <c r="AK43" s="79">
        <f t="shared" si="34"/>
        <v>1.8287333422699985E-2</v>
      </c>
      <c r="AL43" s="79">
        <f t="shared" si="34"/>
        <v>1.8276226997895849E-2</v>
      </c>
      <c r="AM43" s="79">
        <f t="shared" si="34"/>
        <v>1.8264982918291879E-2</v>
      </c>
      <c r="AN43" s="79">
        <f t="shared" si="34"/>
        <v>1.8253610012916272E-2</v>
      </c>
      <c r="AO43" s="79">
        <f t="shared" si="34"/>
        <v>1.8242116834180432E-2</v>
      </c>
      <c r="AP43" s="79">
        <f t="shared" si="34"/>
        <v>1.8230511664572343E-2</v>
      </c>
      <c r="AQ43" s="79">
        <f t="shared" si="34"/>
        <v>1.8218802523240103E-2</v>
      </c>
      <c r="AR43" s="79">
        <f t="shared" si="34"/>
        <v>1.8206997172467928E-2</v>
      </c>
      <c r="AS43" s="79">
        <f t="shared" si="34"/>
        <v>1.8195103124040921E-2</v>
      </c>
      <c r="AT43" s="79">
        <f t="shared" si="34"/>
        <v>1.8183127645499678E-2</v>
      </c>
      <c r="AU43" s="79">
        <f t="shared" si="34"/>
        <v>1.8171077766282333E-2</v>
      </c>
      <c r="AV43" s="79">
        <f t="shared" si="34"/>
        <v>1.8158960283756114E-2</v>
      </c>
      <c r="AW43" s="79">
        <f t="shared" si="34"/>
        <v>1.8146781769136595E-2</v>
      </c>
      <c r="AX43" s="79">
        <f t="shared" si="34"/>
        <v>1.8134548573294853E-2</v>
      </c>
      <c r="AY43" s="79">
        <f t="shared" si="34"/>
        <v>1.8122266832453406E-2</v>
      </c>
      <c r="AZ43" s="79">
        <f t="shared" si="34"/>
        <v>1.8109942473769566E-2</v>
      </c>
      <c r="BA43" s="79">
        <f t="shared" si="34"/>
        <v>1.8097581220810666E-2</v>
      </c>
      <c r="BB43" s="79">
        <f t="shared" si="34"/>
        <v>1.8085188598915228E-2</v>
      </c>
      <c r="BC43" s="79">
        <f t="shared" si="34"/>
        <v>1.8072769940447715E-2</v>
      </c>
      <c r="BD43" s="79">
        <f t="shared" si="34"/>
        <v>1.8060330389942904E-2</v>
      </c>
      <c r="BE43" s="79">
        <f t="shared" si="34"/>
        <v>1.8047874909141903E-2</v>
      </c>
      <c r="BF43" s="79">
        <f t="shared" si="34"/>
        <v>1.8035408281922446E-2</v>
      </c>
      <c r="BG43" s="79">
        <f t="shared" si="34"/>
        <v>1.8022935119122185E-2</v>
      </c>
      <c r="BH43" s="79">
        <f t="shared" si="34"/>
        <v>1.8010459863257181E-2</v>
      </c>
      <c r="BI43" s="79">
        <f t="shared" si="34"/>
        <v>1.7997986793137702E-2</v>
      </c>
      <c r="BJ43" s="79">
        <f t="shared" si="34"/>
        <v>1.7985520028380102E-2</v>
      </c>
      <c r="BK43" s="79">
        <f t="shared" si="34"/>
        <v>1.7973063533818341E-2</v>
      </c>
      <c r="BL43" s="79">
        <f t="shared" si="34"/>
        <v>1.7960621123816353E-2</v>
      </c>
      <c r="BM43" s="79">
        <f t="shared" si="34"/>
        <v>1.7948196466480108E-2</v>
      </c>
      <c r="BN43" s="79">
        <f t="shared" si="34"/>
        <v>1.7935793087774789E-2</v>
      </c>
      <c r="BO43" s="79">
        <f t="shared" si="34"/>
        <v>1.7923414375544372E-2</v>
      </c>
      <c r="BP43" s="79">
        <f t="shared" si="34"/>
        <v>1.7911063583438917E-2</v>
      </c>
      <c r="BQ43" s="79">
        <f t="shared" si="34"/>
        <v>1.7898743834747498E-2</v>
      </c>
      <c r="BR43" s="79">
        <f t="shared" si="34"/>
        <v>1.7886458126141626E-2</v>
      </c>
      <c r="BS43" s="79">
        <f t="shared" si="34"/>
        <v>1.787420933132779E-2</v>
      </c>
      <c r="BT43" s="79">
        <f t="shared" si="33"/>
        <v>1.7862000204612347E-2</v>
      </c>
      <c r="BU43" s="79">
        <f t="shared" si="33"/>
        <v>1.7849833384380665E-2</v>
      </c>
      <c r="BV43" s="79">
        <f t="shared" si="33"/>
        <v>1.7837711396489816E-2</v>
      </c>
      <c r="BW43" s="79">
        <f t="shared" si="33"/>
        <v>1.7825636657579219E-2</v>
      </c>
      <c r="BX43" s="79">
        <f t="shared" si="33"/>
        <v>1.7813611478298921E-2</v>
      </c>
      <c r="BY43" s="79">
        <f t="shared" si="33"/>
        <v>1.7801638066457112E-2</v>
      </c>
      <c r="BZ43" s="79">
        <f t="shared" si="33"/>
        <v>1.7789718530090211E-2</v>
      </c>
      <c r="CA43" s="79">
        <f t="shared" si="33"/>
        <v>1.7777854880454021E-2</v>
      </c>
      <c r="CB43" s="79">
        <f t="shared" si="33"/>
        <v>1.7766049034940785E-2</v>
      </c>
      <c r="CC43" s="79">
        <f t="shared" si="33"/>
        <v>1.7754302819921103E-2</v>
      </c>
      <c r="CD43" s="79">
        <f t="shared" si="33"/>
        <v>1.7742617973514164E-2</v>
      </c>
      <c r="CE43" s="79">
        <f t="shared" si="33"/>
        <v>1.7730996148285827E-2</v>
      </c>
      <c r="CF43" s="79">
        <f t="shared" si="33"/>
        <v>1.7719438913877748E-2</v>
      </c>
      <c r="CG43" s="79">
        <f t="shared" si="33"/>
        <v>1.7707947759568847E-2</v>
      </c>
      <c r="CH43" s="79">
        <f t="shared" si="33"/>
        <v>1.7696524096768793E-2</v>
      </c>
      <c r="CI43" s="79">
        <f t="shared" si="33"/>
        <v>1.7685169261447902E-2</v>
      </c>
      <c r="CJ43" s="79">
        <f t="shared" si="33"/>
        <v>1.7673884516501363E-2</v>
      </c>
      <c r="CK43" s="79">
        <f t="shared" si="33"/>
        <v>1.7662671054053555E-2</v>
      </c>
      <c r="CL43" s="79">
        <f t="shared" si="33"/>
        <v>1.7651529997698926E-2</v>
      </c>
      <c r="CM43" s="79">
        <f t="shared" si="33"/>
        <v>1.7640462404684872E-2</v>
      </c>
      <c r="CN43" s="79">
        <f t="shared" si="33"/>
        <v>1.762946926803606E-2</v>
      </c>
      <c r="CO43" s="79">
        <f t="shared" si="33"/>
        <v>1.7618551518621305E-2</v>
      </c>
      <c r="CP43" s="79">
        <f t="shared" si="33"/>
        <v>1.7607710027165459E-2</v>
      </c>
      <c r="CQ43" s="79">
        <f t="shared" si="33"/>
        <v>1.7596945606207275E-2</v>
      </c>
      <c r="CR43" s="79">
        <f t="shared" si="33"/>
        <v>1.7586259012002677E-2</v>
      </c>
      <c r="CS43" s="79">
        <f t="shared" si="33"/>
        <v>1.7575650946378998E-2</v>
      </c>
      <c r="CT43" s="79">
        <f t="shared" si="33"/>
        <v>1.7565122058535484E-2</v>
      </c>
      <c r="CU43" s="79">
        <f t="shared" si="33"/>
        <v>1.755467294679712E-2</v>
      </c>
      <c r="CV43" s="79">
        <f t="shared" si="33"/>
        <v>1.7544304160319039E-2</v>
      </c>
      <c r="CW43" s="79">
        <f t="shared" si="33"/>
        <v>1.7534016200743775E-2</v>
      </c>
      <c r="CX43" s="79">
        <f t="shared" si="33"/>
        <v>1.7523809523813674E-2</v>
      </c>
      <c r="CY43" s="79">
        <f t="shared" si="33"/>
        <v>1.7523809523813674E-2</v>
      </c>
      <c r="CZ43" s="79">
        <f t="shared" si="33"/>
        <v>1.7523809523813674E-2</v>
      </c>
      <c r="DA43" s="79">
        <f t="shared" si="33"/>
        <v>1.7523809523813674E-2</v>
      </c>
      <c r="DB43" s="79">
        <f t="shared" si="33"/>
        <v>1.7523809523813674E-2</v>
      </c>
      <c r="DC43" s="79">
        <f t="shared" si="33"/>
        <v>1.7523809523813674E-2</v>
      </c>
      <c r="DD43" s="79">
        <f t="shared" si="33"/>
        <v>1.7523809523813674E-2</v>
      </c>
      <c r="DE43" s="79">
        <f t="shared" si="33"/>
        <v>1.7523809523813674E-2</v>
      </c>
      <c r="DF43" s="79">
        <f t="shared" si="33"/>
        <v>1.7523809523813674E-2</v>
      </c>
      <c r="DG43" s="79">
        <f t="shared" si="33"/>
        <v>1.7523809523813674E-2</v>
      </c>
      <c r="DH43" s="79">
        <f t="shared" si="33"/>
        <v>1.7523809523813674E-2</v>
      </c>
      <c r="DI43" s="79">
        <f t="shared" si="33"/>
        <v>1.7523809523813674E-2</v>
      </c>
      <c r="DJ43" s="79">
        <f t="shared" si="33"/>
        <v>1.7523809523813674E-2</v>
      </c>
      <c r="DK43" s="79">
        <f t="shared" si="33"/>
        <v>1.7523809523813674E-2</v>
      </c>
      <c r="DL43" s="79">
        <f t="shared" si="33"/>
        <v>1.7523809523813674E-2</v>
      </c>
      <c r="DM43" s="79">
        <f t="shared" si="33"/>
        <v>1.7523809523813674E-2</v>
      </c>
      <c r="DN43" s="79">
        <f t="shared" si="33"/>
        <v>1.7523809523813674E-2</v>
      </c>
      <c r="DO43" s="79">
        <f t="shared" si="33"/>
        <v>1.7523809523813674E-2</v>
      </c>
      <c r="DP43" s="79">
        <f t="shared" si="33"/>
        <v>1.7523809523813674E-2</v>
      </c>
      <c r="DQ43" s="79">
        <f t="shared" si="33"/>
        <v>1.7523809523813674E-2</v>
      </c>
      <c r="DR43" s="79">
        <f t="shared" si="33"/>
        <v>1.7523809523813674E-2</v>
      </c>
      <c r="DS43" s="79">
        <f t="shared" si="33"/>
        <v>1.7523809523813674E-2</v>
      </c>
      <c r="DT43" s="79">
        <f t="shared" si="33"/>
        <v>1.7523809523813674E-2</v>
      </c>
      <c r="DU43" s="79">
        <f t="shared" si="33"/>
        <v>1.7523809523813674E-2</v>
      </c>
      <c r="DV43" s="79">
        <f t="shared" si="33"/>
        <v>1.7523809523813674E-2</v>
      </c>
      <c r="DW43" s="79">
        <f t="shared" si="33"/>
        <v>1.7523809523813674E-2</v>
      </c>
      <c r="DX43" s="79">
        <f t="shared" si="33"/>
        <v>1.7523809523813674E-2</v>
      </c>
      <c r="DY43" s="79">
        <f t="shared" si="33"/>
        <v>1.7523809523813674E-2</v>
      </c>
      <c r="DZ43" s="79">
        <f t="shared" si="33"/>
        <v>1.7523809523813674E-2</v>
      </c>
      <c r="EA43" s="79">
        <f t="shared" si="33"/>
        <v>1.7523809523813674E-2</v>
      </c>
      <c r="EB43" s="79">
        <f t="shared" si="33"/>
        <v>1.7523809523813674E-2</v>
      </c>
      <c r="EC43" s="79">
        <f t="shared" si="33"/>
        <v>1.7523809523813674E-2</v>
      </c>
      <c r="ED43" s="79">
        <f t="shared" si="33"/>
        <v>1.7523809523813674E-2</v>
      </c>
      <c r="EE43" s="79">
        <f t="shared" si="28"/>
        <v>1.7523809523813674E-2</v>
      </c>
      <c r="EF43" s="79">
        <f t="shared" si="28"/>
        <v>1.7523809523813674E-2</v>
      </c>
      <c r="EG43" s="79">
        <f t="shared" si="28"/>
        <v>1.7523809523813674E-2</v>
      </c>
      <c r="EH43" s="79">
        <f t="shared" si="28"/>
        <v>1.7523809523813674E-2</v>
      </c>
      <c r="EI43" s="79">
        <f t="shared" si="28"/>
        <v>1.7523809523813674E-2</v>
      </c>
      <c r="EJ43" s="79">
        <f t="shared" si="28"/>
        <v>1.7523809523813674E-2</v>
      </c>
      <c r="EK43" s="79">
        <f t="shared" si="28"/>
        <v>1.7523809523813674E-2</v>
      </c>
      <c r="EL43" s="79">
        <f t="shared" si="28"/>
        <v>1.7523809523813674E-2</v>
      </c>
      <c r="EM43" s="79">
        <f t="shared" si="28"/>
        <v>1.7523809523813674E-2</v>
      </c>
      <c r="EN43" s="79">
        <f t="shared" si="28"/>
        <v>1.7523809523813674E-2</v>
      </c>
      <c r="EO43" s="79">
        <f t="shared" si="28"/>
        <v>1.7523809523813674E-2</v>
      </c>
      <c r="EP43" s="79">
        <f t="shared" si="28"/>
        <v>1.7523809523813674E-2</v>
      </c>
      <c r="EQ43" s="79">
        <f t="shared" si="28"/>
        <v>1.7523809523813674E-2</v>
      </c>
      <c r="ER43" s="79">
        <f t="shared" si="28"/>
        <v>1.7523809523813674E-2</v>
      </c>
      <c r="ES43" s="79">
        <f t="shared" si="28"/>
        <v>1.7523809523813674E-2</v>
      </c>
      <c r="ET43" s="79">
        <f t="shared" si="28"/>
        <v>1.7523809523813674E-2</v>
      </c>
      <c r="FF43" s="67" t="s">
        <v>1046</v>
      </c>
      <c r="FG43" s="696">
        <v>1.9799999999999998E-2</v>
      </c>
      <c r="FH43" s="696">
        <v>120</v>
      </c>
      <c r="FI43" s="696">
        <v>1.6500000000000001E-2</v>
      </c>
      <c r="FJ43" s="255">
        <v>1.37E-2</v>
      </c>
      <c r="FK43" s="71">
        <f t="shared" si="11"/>
        <v>1.452380952380952E-4</v>
      </c>
      <c r="FL43">
        <f>VLOOKUP(FF43,'SIMULADOR COM SALDO'!$BX$22:$CK$1000,13,FALSE)</f>
        <v>0</v>
      </c>
    </row>
    <row r="44" spans="6:168" x14ac:dyDescent="0.25">
      <c r="F44" s="97">
        <f t="shared" si="24"/>
        <v>1.7621428571428576E-2</v>
      </c>
      <c r="G44" s="79">
        <f t="shared" si="6"/>
        <v>1.8499450383497044E-2</v>
      </c>
      <c r="H44" s="79">
        <f t="shared" si="34"/>
        <v>1.849837069849361E-2</v>
      </c>
      <c r="I44" s="79">
        <f t="shared" si="34"/>
        <v>1.8496780016141304E-2</v>
      </c>
      <c r="J44" s="79">
        <f t="shared" si="34"/>
        <v>1.8494696937809123E-2</v>
      </c>
      <c r="K44" s="79">
        <f t="shared" si="34"/>
        <v>1.8492139602272306E-2</v>
      </c>
      <c r="L44" s="79">
        <f t="shared" si="34"/>
        <v>1.8489125692997817E-2</v>
      </c>
      <c r="M44" s="79">
        <f t="shared" si="34"/>
        <v>1.848567244551394E-2</v>
      </c>
      <c r="N44" s="79">
        <f t="shared" si="34"/>
        <v>1.8481796654847879E-2</v>
      </c>
      <c r="O44" s="79">
        <f t="shared" si="34"/>
        <v>1.8477514683019065E-2</v>
      </c>
      <c r="P44" s="79">
        <f t="shared" si="34"/>
        <v>1.8472842466574591E-2</v>
      </c>
      <c r="Q44" s="79">
        <f t="shared" si="34"/>
        <v>1.846779552415416E-2</v>
      </c>
      <c r="R44" s="79">
        <f t="shared" si="34"/>
        <v>1.8462388964073952E-2</v>
      </c>
      <c r="S44" s="79">
        <f t="shared" si="34"/>
        <v>1.8456637491918518E-2</v>
      </c>
      <c r="T44" s="79">
        <f t="shared" si="34"/>
        <v>1.8450555418129008E-2</v>
      </c>
      <c r="U44" s="79">
        <f t="shared" si="34"/>
        <v>1.8444156665581708E-2</v>
      </c>
      <c r="V44" s="79">
        <f t="shared" si="34"/>
        <v>1.8437454777144258E-2</v>
      </c>
      <c r="W44" s="79">
        <f t="shared" si="34"/>
        <v>1.8430462923203873E-2</v>
      </c>
      <c r="X44" s="79">
        <f t="shared" si="34"/>
        <v>1.8423193909158829E-2</v>
      </c>
      <c r="Y44" s="79">
        <f t="shared" si="34"/>
        <v>1.8415660182867222E-2</v>
      </c>
      <c r="Z44" s="79">
        <f t="shared" si="34"/>
        <v>1.8407873842043881E-2</v>
      </c>
      <c r="AA44" s="79">
        <f t="shared" si="34"/>
        <v>1.8399846641603341E-2</v>
      </c>
      <c r="AB44" s="79">
        <f t="shared" si="34"/>
        <v>1.8391590000938925E-2</v>
      </c>
      <c r="AC44" s="79">
        <f t="shared" si="34"/>
        <v>1.8383115011136656E-2</v>
      </c>
      <c r="AD44" s="79">
        <f t="shared" si="34"/>
        <v>1.8374432442116274E-2</v>
      </c>
      <c r="AE44" s="79">
        <f t="shared" si="34"/>
        <v>1.836555274969719E-2</v>
      </c>
      <c r="AF44" s="79">
        <f t="shared" si="34"/>
        <v>1.8356486082583476E-2</v>
      </c>
      <c r="AG44" s="79">
        <f t="shared" si="34"/>
        <v>1.8347242289267585E-2</v>
      </c>
      <c r="AH44" s="79">
        <f t="shared" si="34"/>
        <v>1.8337830924844575E-2</v>
      </c>
      <c r="AI44" s="79">
        <f t="shared" si="34"/>
        <v>1.8328261257739547E-2</v>
      </c>
      <c r="AJ44" s="79">
        <f t="shared" si="34"/>
        <v>1.831854227634187E-2</v>
      </c>
      <c r="AK44" s="79">
        <f t="shared" si="34"/>
        <v>1.8308682695544889E-2</v>
      </c>
      <c r="AL44" s="79">
        <f t="shared" si="34"/>
        <v>1.8298690963190638E-2</v>
      </c>
      <c r="AM44" s="79">
        <f t="shared" si="34"/>
        <v>1.8288575266415297E-2</v>
      </c>
      <c r="AN44" s="79">
        <f t="shared" si="34"/>
        <v>1.8278343537896508E-2</v>
      </c>
      <c r="AO44" s="79">
        <f t="shared" si="34"/>
        <v>1.8268003461999614E-2</v>
      </c>
      <c r="AP44" s="79">
        <f t="shared" si="34"/>
        <v>1.8257562480821957E-2</v>
      </c>
      <c r="AQ44" s="79">
        <f t="shared" si="34"/>
        <v>1.8247027800135946E-2</v>
      </c>
      <c r="AR44" s="79">
        <f t="shared" si="34"/>
        <v>1.8236406395227642E-2</v>
      </c>
      <c r="AS44" s="79">
        <f t="shared" si="34"/>
        <v>1.8225705016633877E-2</v>
      </c>
      <c r="AT44" s="79">
        <f t="shared" si="34"/>
        <v>1.8214930195773901E-2</v>
      </c>
      <c r="AU44" s="79">
        <f t="shared" si="34"/>
        <v>1.8204088250478832E-2</v>
      </c>
      <c r="AV44" s="79">
        <f t="shared" si="34"/>
        <v>1.8193185290416317E-2</v>
      </c>
      <c r="AW44" s="79">
        <f t="shared" si="34"/>
        <v>1.8182227222412264E-2</v>
      </c>
      <c r="AX44" s="79">
        <f t="shared" si="34"/>
        <v>1.8171219755670247E-2</v>
      </c>
      <c r="AY44" s="79">
        <f t="shared" si="34"/>
        <v>1.816016840688589E-2</v>
      </c>
      <c r="AZ44" s="79">
        <f t="shared" si="34"/>
        <v>1.8149078505261811E-2</v>
      </c>
      <c r="BA44" s="79">
        <f t="shared" si="34"/>
        <v>1.8137955197419297E-2</v>
      </c>
      <c r="BB44" s="79">
        <f t="shared" si="34"/>
        <v>1.8126803452209444E-2</v>
      </c>
      <c r="BC44" s="79">
        <f t="shared" si="34"/>
        <v>1.8115628065425021E-2</v>
      </c>
      <c r="BD44" s="79">
        <f t="shared" si="34"/>
        <v>1.8104433664412355E-2</v>
      </c>
      <c r="BE44" s="79">
        <f t="shared" si="34"/>
        <v>1.8093224712585572E-2</v>
      </c>
      <c r="BF44" s="79">
        <f t="shared" si="34"/>
        <v>1.8082005513843927E-2</v>
      </c>
      <c r="BG44" s="79">
        <f t="shared" si="34"/>
        <v>1.8070780216892179E-2</v>
      </c>
      <c r="BH44" s="79">
        <f t="shared" si="34"/>
        <v>1.805955281946775E-2</v>
      </c>
      <c r="BI44" s="79">
        <f t="shared" si="34"/>
        <v>1.8048327172471592E-2</v>
      </c>
      <c r="BJ44" s="79">
        <f t="shared" si="34"/>
        <v>1.8037106984010249E-2</v>
      </c>
      <c r="BK44" s="79">
        <f t="shared" si="34"/>
        <v>1.8025895823342644E-2</v>
      </c>
      <c r="BL44" s="79">
        <f t="shared" si="34"/>
        <v>1.8014697124739985E-2</v>
      </c>
      <c r="BM44" s="79">
        <f t="shared" si="34"/>
        <v>1.8003514191255929E-2</v>
      </c>
      <c r="BN44" s="79">
        <f t="shared" si="34"/>
        <v>1.799235019840912E-2</v>
      </c>
      <c r="BO44" s="79">
        <f t="shared" si="34"/>
        <v>1.7981208197780593E-2</v>
      </c>
      <c r="BP44" s="79">
        <f t="shared" si="34"/>
        <v>1.7970091120526267E-2</v>
      </c>
      <c r="BQ44" s="79">
        <f t="shared" si="34"/>
        <v>1.795900178080629E-2</v>
      </c>
      <c r="BR44" s="79">
        <f t="shared" si="34"/>
        <v>1.7947942879133389E-2</v>
      </c>
      <c r="BS44" s="79">
        <f t="shared" ref="BS44:ED47" si="35">IF(BS$9&lt;=$K$6,RATE($K$6,1,BS90,0),"")</f>
        <v>1.7936917005639139E-2</v>
      </c>
      <c r="BT44" s="79">
        <f t="shared" si="35"/>
        <v>1.7925926643264069E-2</v>
      </c>
      <c r="BU44" s="79">
        <f t="shared" si="35"/>
        <v>1.7914974170868011E-2</v>
      </c>
      <c r="BV44" s="79">
        <f t="shared" si="35"/>
        <v>1.7904061866265253E-2</v>
      </c>
      <c r="BW44" s="79">
        <f t="shared" si="35"/>
        <v>1.7893191909185556E-2</v>
      </c>
      <c r="BX44" s="79">
        <f t="shared" si="35"/>
        <v>1.7882366384161456E-2</v>
      </c>
      <c r="BY44" s="79">
        <f t="shared" si="35"/>
        <v>1.7871587283344006E-2</v>
      </c>
      <c r="BZ44" s="79">
        <f t="shared" si="35"/>
        <v>1.7860856509247867E-2</v>
      </c>
      <c r="CA44" s="79">
        <f t="shared" si="35"/>
        <v>1.7850175877428792E-2</v>
      </c>
      <c r="CB44" s="79">
        <f t="shared" si="35"/>
        <v>1.783954711909104E-2</v>
      </c>
      <c r="CC44" s="79">
        <f t="shared" si="35"/>
        <v>1.7828971883631532E-2</v>
      </c>
      <c r="CD44" s="79">
        <f t="shared" si="35"/>
        <v>1.7818451741117063E-2</v>
      </c>
      <c r="CE44" s="79">
        <f t="shared" si="35"/>
        <v>1.7807988184699503E-2</v>
      </c>
      <c r="CF44" s="79">
        <f t="shared" si="35"/>
        <v>1.7797582632968E-2</v>
      </c>
      <c r="CG44" s="79">
        <f t="shared" si="35"/>
        <v>1.7787236432240804E-2</v>
      </c>
      <c r="CH44" s="79">
        <f t="shared" si="35"/>
        <v>1.7776950858797505E-2</v>
      </c>
      <c r="CI44" s="79">
        <f t="shared" si="35"/>
        <v>1.7766727121053913E-2</v>
      </c>
      <c r="CJ44" s="79">
        <f t="shared" si="35"/>
        <v>1.7756566361678463E-2</v>
      </c>
      <c r="CK44" s="79">
        <f t="shared" si="35"/>
        <v>1.7746469659654988E-2</v>
      </c>
      <c r="CL44" s="79">
        <f t="shared" si="35"/>
        <v>1.7736438032289744E-2</v>
      </c>
      <c r="CM44" s="79">
        <f t="shared" si="35"/>
        <v>1.7726472437165863E-2</v>
      </c>
      <c r="CN44" s="79">
        <f t="shared" si="35"/>
        <v>1.771657377404565E-2</v>
      </c>
      <c r="CO44" s="79">
        <f t="shared" si="35"/>
        <v>1.7706742886722724E-2</v>
      </c>
      <c r="CP44" s="79">
        <f t="shared" si="35"/>
        <v>1.7696980564824133E-2</v>
      </c>
      <c r="CQ44" s="79">
        <f t="shared" si="35"/>
        <v>1.7687287545564052E-2</v>
      </c>
      <c r="CR44" s="79">
        <f t="shared" si="35"/>
        <v>1.7677664515450366E-2</v>
      </c>
      <c r="CS44" s="79">
        <f t="shared" si="35"/>
        <v>1.7668112111945702E-2</v>
      </c>
      <c r="CT44" s="79">
        <f t="shared" si="35"/>
        <v>1.7658630925082047E-2</v>
      </c>
      <c r="CU44" s="79">
        <f t="shared" si="35"/>
        <v>1.7649221499032797E-2</v>
      </c>
      <c r="CV44" s="79">
        <f t="shared" si="35"/>
        <v>1.7639884333641317E-2</v>
      </c>
      <c r="CW44" s="79">
        <f t="shared" si="35"/>
        <v>1.7630619885907053E-2</v>
      </c>
      <c r="CX44" s="79">
        <f t="shared" si="35"/>
        <v>1.762142857143198E-2</v>
      </c>
      <c r="CY44" s="79">
        <f t="shared" si="35"/>
        <v>1.762142857143198E-2</v>
      </c>
      <c r="CZ44" s="79">
        <f t="shared" si="35"/>
        <v>1.762142857143198E-2</v>
      </c>
      <c r="DA44" s="79">
        <f t="shared" si="35"/>
        <v>1.762142857143198E-2</v>
      </c>
      <c r="DB44" s="79">
        <f t="shared" si="35"/>
        <v>1.762142857143198E-2</v>
      </c>
      <c r="DC44" s="79">
        <f t="shared" si="35"/>
        <v>1.762142857143198E-2</v>
      </c>
      <c r="DD44" s="79">
        <f t="shared" si="35"/>
        <v>1.762142857143198E-2</v>
      </c>
      <c r="DE44" s="79">
        <f t="shared" si="35"/>
        <v>1.762142857143198E-2</v>
      </c>
      <c r="DF44" s="79">
        <f t="shared" si="35"/>
        <v>1.762142857143198E-2</v>
      </c>
      <c r="DG44" s="79">
        <f t="shared" si="35"/>
        <v>1.762142857143198E-2</v>
      </c>
      <c r="DH44" s="79">
        <f t="shared" si="35"/>
        <v>1.762142857143198E-2</v>
      </c>
      <c r="DI44" s="79">
        <f t="shared" si="35"/>
        <v>1.762142857143198E-2</v>
      </c>
      <c r="DJ44" s="79">
        <f t="shared" si="35"/>
        <v>1.762142857143198E-2</v>
      </c>
      <c r="DK44" s="79">
        <f t="shared" si="35"/>
        <v>1.762142857143198E-2</v>
      </c>
      <c r="DL44" s="79">
        <f t="shared" si="35"/>
        <v>1.762142857143198E-2</v>
      </c>
      <c r="DM44" s="79">
        <f t="shared" si="35"/>
        <v>1.762142857143198E-2</v>
      </c>
      <c r="DN44" s="79">
        <f t="shared" si="35"/>
        <v>1.762142857143198E-2</v>
      </c>
      <c r="DO44" s="79">
        <f t="shared" si="35"/>
        <v>1.762142857143198E-2</v>
      </c>
      <c r="DP44" s="79">
        <f t="shared" si="35"/>
        <v>1.762142857143198E-2</v>
      </c>
      <c r="DQ44" s="79">
        <f t="shared" si="35"/>
        <v>1.762142857143198E-2</v>
      </c>
      <c r="DR44" s="79">
        <f t="shared" si="35"/>
        <v>1.762142857143198E-2</v>
      </c>
      <c r="DS44" s="79">
        <f t="shared" si="35"/>
        <v>1.762142857143198E-2</v>
      </c>
      <c r="DT44" s="79">
        <f t="shared" si="35"/>
        <v>1.762142857143198E-2</v>
      </c>
      <c r="DU44" s="79">
        <f t="shared" si="35"/>
        <v>1.762142857143198E-2</v>
      </c>
      <c r="DV44" s="79">
        <f t="shared" si="35"/>
        <v>1.762142857143198E-2</v>
      </c>
      <c r="DW44" s="79">
        <f t="shared" si="35"/>
        <v>1.762142857143198E-2</v>
      </c>
      <c r="DX44" s="79">
        <f t="shared" si="35"/>
        <v>1.762142857143198E-2</v>
      </c>
      <c r="DY44" s="79">
        <f t="shared" si="35"/>
        <v>1.762142857143198E-2</v>
      </c>
      <c r="DZ44" s="79">
        <f t="shared" si="35"/>
        <v>1.762142857143198E-2</v>
      </c>
      <c r="EA44" s="79">
        <f t="shared" si="35"/>
        <v>1.762142857143198E-2</v>
      </c>
      <c r="EB44" s="79">
        <f t="shared" si="35"/>
        <v>1.762142857143198E-2</v>
      </c>
      <c r="EC44" s="79">
        <f t="shared" si="35"/>
        <v>1.762142857143198E-2</v>
      </c>
      <c r="ED44" s="79">
        <f t="shared" si="35"/>
        <v>1.762142857143198E-2</v>
      </c>
      <c r="EE44" s="79">
        <f t="shared" si="28"/>
        <v>1.762142857143198E-2</v>
      </c>
      <c r="EF44" s="79">
        <f t="shared" si="28"/>
        <v>1.762142857143198E-2</v>
      </c>
      <c r="EG44" s="79">
        <f t="shared" si="28"/>
        <v>1.762142857143198E-2</v>
      </c>
      <c r="EH44" s="79">
        <f t="shared" si="28"/>
        <v>1.762142857143198E-2</v>
      </c>
      <c r="EI44" s="79">
        <f t="shared" si="28"/>
        <v>1.762142857143198E-2</v>
      </c>
      <c r="EJ44" s="79">
        <f t="shared" si="28"/>
        <v>1.762142857143198E-2</v>
      </c>
      <c r="EK44" s="79">
        <f t="shared" si="28"/>
        <v>1.762142857143198E-2</v>
      </c>
      <c r="EL44" s="79">
        <f t="shared" si="28"/>
        <v>1.762142857143198E-2</v>
      </c>
      <c r="EM44" s="79">
        <f t="shared" si="28"/>
        <v>1.762142857143198E-2</v>
      </c>
      <c r="EN44" s="79">
        <f t="shared" si="28"/>
        <v>1.762142857143198E-2</v>
      </c>
      <c r="EO44" s="79">
        <f t="shared" si="28"/>
        <v>1.762142857143198E-2</v>
      </c>
      <c r="EP44" s="79">
        <f t="shared" si="28"/>
        <v>1.762142857143198E-2</v>
      </c>
      <c r="EQ44" s="79">
        <f t="shared" si="28"/>
        <v>1.762142857143198E-2</v>
      </c>
      <c r="ER44" s="79">
        <f t="shared" si="28"/>
        <v>1.762142857143198E-2</v>
      </c>
      <c r="ES44" s="79">
        <f t="shared" si="28"/>
        <v>1.762142857143198E-2</v>
      </c>
      <c r="ET44" s="79">
        <f t="shared" si="28"/>
        <v>1.762142857143198E-2</v>
      </c>
      <c r="FF44" s="67" t="s">
        <v>74</v>
      </c>
      <c r="FG44" s="696">
        <v>2.5000000000000001E-2</v>
      </c>
      <c r="FH44" s="696">
        <v>120</v>
      </c>
      <c r="FI44" s="696">
        <v>2.1000000000000001E-2</v>
      </c>
      <c r="FJ44" s="255">
        <v>1.8000000000000002E-2</v>
      </c>
      <c r="FK44" s="71">
        <f t="shared" si="11"/>
        <v>1.6666666666666666E-4</v>
      </c>
      <c r="FL44" t="e">
        <f>VLOOKUP(FF44,'SIMULADOR COM SALDO'!$BX$22:$CK$1000,13,FALSE)</f>
        <v>#N/A</v>
      </c>
    </row>
    <row r="45" spans="6:168" x14ac:dyDescent="0.25">
      <c r="F45" s="97">
        <f t="shared" si="24"/>
        <v>1.7719047619047624E-2</v>
      </c>
      <c r="G45" s="79">
        <f t="shared" si="6"/>
        <v>1.8499511498053033E-2</v>
      </c>
      <c r="H45" s="79">
        <f t="shared" ref="H45:BS48" si="36">IF(H$9&lt;=$K$6,RATE($K$6,1,H91,0),"")</f>
        <v>1.8498551909874549E-2</v>
      </c>
      <c r="I45" s="79">
        <f t="shared" si="36"/>
        <v>1.8497138220737896E-2</v>
      </c>
      <c r="J45" s="79">
        <f t="shared" si="36"/>
        <v>1.8495286992349886E-2</v>
      </c>
      <c r="K45" s="79">
        <f t="shared" si="36"/>
        <v>1.8493014369794138E-2</v>
      </c>
      <c r="L45" s="79">
        <f t="shared" si="36"/>
        <v>1.8490336088523952E-2</v>
      </c>
      <c r="M45" s="79">
        <f t="shared" si="36"/>
        <v>1.8487267481394742E-2</v>
      </c>
      <c r="N45" s="79">
        <f t="shared" si="36"/>
        <v>1.8483823485724638E-2</v>
      </c>
      <c r="O45" s="79">
        <f t="shared" si="36"/>
        <v>1.8480018650372108E-2</v>
      </c>
      <c r="P45" s="79">
        <f t="shared" si="36"/>
        <v>1.8475867142821661E-2</v>
      </c>
      <c r="Q45" s="79">
        <f t="shared" si="36"/>
        <v>1.8471382756268372E-2</v>
      </c>
      <c r="R45" s="79">
        <f t="shared" si="36"/>
        <v>1.8466578916691664E-2</v>
      </c>
      <c r="S45" s="79">
        <f t="shared" si="36"/>
        <v>1.8461468689912039E-2</v>
      </c>
      <c r="T45" s="79">
        <f t="shared" si="36"/>
        <v>1.8456064788620202E-2</v>
      </c>
      <c r="U45" s="79">
        <f t="shared" si="36"/>
        <v>1.8450379579375415E-2</v>
      </c>
      <c r="V45" s="79">
        <f t="shared" si="36"/>
        <v>1.8444425089563662E-2</v>
      </c>
      <c r="W45" s="79">
        <f t="shared" si="36"/>
        <v>1.8438213014310426E-2</v>
      </c>
      <c r="X45" s="79">
        <f t="shared" si="36"/>
        <v>1.8431754723342773E-2</v>
      </c>
      <c r="Y45" s="79">
        <f t="shared" si="36"/>
        <v>1.842506126779574E-2</v>
      </c>
      <c r="Z45" s="79">
        <f t="shared" si="36"/>
        <v>1.8418143386956791E-2</v>
      </c>
      <c r="AA45" s="79">
        <f t="shared" si="36"/>
        <v>1.8411011514946344E-2</v>
      </c>
      <c r="AB45" s="79">
        <f t="shared" si="36"/>
        <v>1.8403675787328773E-2</v>
      </c>
      <c r="AC45" s="79">
        <f t="shared" si="36"/>
        <v>1.8396146047649706E-2</v>
      </c>
      <c r="AD45" s="79">
        <f t="shared" si="36"/>
        <v>1.8388431853898431E-2</v>
      </c>
      <c r="AE45" s="79">
        <f t="shared" si="36"/>
        <v>1.8380542484890763E-2</v>
      </c>
      <c r="AF45" s="79">
        <f t="shared" si="36"/>
        <v>1.8372486946569552E-2</v>
      </c>
      <c r="AG45" s="79">
        <f t="shared" si="36"/>
        <v>1.8364273978222094E-2</v>
      </c>
      <c r="AH45" s="79">
        <f t="shared" si="36"/>
        <v>1.8355912058610799E-2</v>
      </c>
      <c r="AI45" s="79">
        <f t="shared" si="36"/>
        <v>1.8347409412015094E-2</v>
      </c>
      <c r="AJ45" s="79">
        <f t="shared" si="36"/>
        <v>1.8338774014184843E-2</v>
      </c>
      <c r="AK45" s="79">
        <f t="shared" si="36"/>
        <v>1.8330013598201331E-2</v>
      </c>
      <c r="AL45" s="79">
        <f t="shared" si="36"/>
        <v>1.8321135660247293E-2</v>
      </c>
      <c r="AM45" s="79">
        <f t="shared" si="36"/>
        <v>1.8312147465282168E-2</v>
      </c>
      <c r="AN45" s="79">
        <f t="shared" si="36"/>
        <v>1.8303056052624344E-2</v>
      </c>
      <c r="AO45" s="79">
        <f t="shared" si="36"/>
        <v>1.8293868241438631E-2</v>
      </c>
      <c r="AP45" s="79">
        <f t="shared" si="36"/>
        <v>1.8284590636127938E-2</v>
      </c>
      <c r="AQ45" s="79">
        <f t="shared" si="36"/>
        <v>1.8275229631629974E-2</v>
      </c>
      <c r="AR45" s="79">
        <f t="shared" si="36"/>
        <v>1.8265791418618799E-2</v>
      </c>
      <c r="AS45" s="79">
        <f t="shared" si="36"/>
        <v>1.8256281988609849E-2</v>
      </c>
      <c r="AT45" s="79">
        <f t="shared" si="36"/>
        <v>1.8246707138970357E-2</v>
      </c>
      <c r="AU45" s="79">
        <f t="shared" si="36"/>
        <v>1.8237072477833863E-2</v>
      </c>
      <c r="AV45" s="79">
        <f t="shared" si="36"/>
        <v>1.8227383428920933E-2</v>
      </c>
      <c r="AW45" s="79">
        <f t="shared" si="36"/>
        <v>1.8217645236264086E-2</v>
      </c>
      <c r="AX45" s="79">
        <f t="shared" si="36"/>
        <v>1.8207862968839847E-2</v>
      </c>
      <c r="AY45" s="79">
        <f t="shared" si="36"/>
        <v>1.8198041525106668E-2</v>
      </c>
      <c r="AZ45" s="79">
        <f t="shared" si="36"/>
        <v>1.8188185637451955E-2</v>
      </c>
      <c r="BA45" s="79">
        <f t="shared" si="36"/>
        <v>1.8178299876545099E-2</v>
      </c>
      <c r="BB45" s="79">
        <f t="shared" si="36"/>
        <v>1.8168388655601157E-2</v>
      </c>
      <c r="BC45" s="79">
        <f t="shared" si="36"/>
        <v>1.8158456234553994E-2</v>
      </c>
      <c r="BD45" s="79">
        <f t="shared" si="36"/>
        <v>1.8148506724140274E-2</v>
      </c>
      <c r="BE45" s="79">
        <f t="shared" si="36"/>
        <v>1.8138544089895479E-2</v>
      </c>
      <c r="BF45" s="79">
        <f t="shared" si="36"/>
        <v>1.8128572156063213E-2</v>
      </c>
      <c r="BG45" s="79">
        <f t="shared" si="36"/>
        <v>1.81185946094179E-2</v>
      </c>
      <c r="BH45" s="79">
        <f t="shared" si="36"/>
        <v>1.8108615003003078E-2</v>
      </c>
      <c r="BI45" s="79">
        <f t="shared" si="36"/>
        <v>1.8098636759786475E-2</v>
      </c>
      <c r="BJ45" s="79">
        <f t="shared" si="36"/>
        <v>1.8088663176231697E-2</v>
      </c>
      <c r="BK45" s="79">
        <f t="shared" si="36"/>
        <v>1.8078697425789457E-2</v>
      </c>
      <c r="BL45" s="79">
        <f t="shared" si="36"/>
        <v>1.8068742562308591E-2</v>
      </c>
      <c r="BM45" s="79">
        <f t="shared" si="36"/>
        <v>1.8058801523368202E-2</v>
      </c>
      <c r="BN45" s="79">
        <f t="shared" si="36"/>
        <v>1.804887713353236E-2</v>
      </c>
      <c r="BO45" s="79">
        <f t="shared" si="36"/>
        <v>1.8038972107528337E-2</v>
      </c>
      <c r="BP45" s="79">
        <f t="shared" si="36"/>
        <v>1.802908905335043E-2</v>
      </c>
      <c r="BQ45" s="79">
        <f t="shared" si="36"/>
        <v>1.8019230475290256E-2</v>
      </c>
      <c r="BR45" s="79">
        <f t="shared" si="36"/>
        <v>1.8009398776893303E-2</v>
      </c>
      <c r="BS45" s="79">
        <f t="shared" si="36"/>
        <v>1.7999596263846389E-2</v>
      </c>
      <c r="BT45" s="79">
        <f t="shared" si="35"/>
        <v>1.7989825146793974E-2</v>
      </c>
      <c r="BU45" s="79">
        <f t="shared" si="35"/>
        <v>1.7980087544086486E-2</v>
      </c>
      <c r="BV45" s="79">
        <f t="shared" si="35"/>
        <v>1.7970385484461712E-2</v>
      </c>
      <c r="BW45" s="79">
        <f t="shared" si="35"/>
        <v>1.7960720909659729E-2</v>
      </c>
      <c r="BX45" s="79">
        <f t="shared" si="35"/>
        <v>1.7951095676974099E-2</v>
      </c>
      <c r="BY45" s="79">
        <f t="shared" si="35"/>
        <v>1.7941511561738625E-2</v>
      </c>
      <c r="BZ45" s="79">
        <f t="shared" si="35"/>
        <v>1.7931970259753106E-2</v>
      </c>
      <c r="CA45" s="79">
        <f t="shared" si="35"/>
        <v>1.7922473389648058E-2</v>
      </c>
      <c r="CB45" s="79">
        <f t="shared" si="35"/>
        <v>1.7913022495188925E-2</v>
      </c>
      <c r="CC45" s="79">
        <f t="shared" si="35"/>
        <v>1.7903619047523675E-2</v>
      </c>
      <c r="CD45" s="79">
        <f t="shared" si="35"/>
        <v>1.7894264447372247E-2</v>
      </c>
      <c r="CE45" s="79">
        <f t="shared" si="35"/>
        <v>1.7884960027159669E-2</v>
      </c>
      <c r="CF45" s="79">
        <f t="shared" si="35"/>
        <v>1.7875707053095911E-2</v>
      </c>
      <c r="CG45" s="79">
        <f t="shared" si="35"/>
        <v>1.7866506727200832E-2</v>
      </c>
      <c r="CH45" s="79">
        <f t="shared" si="35"/>
        <v>1.7857360189277978E-2</v>
      </c>
      <c r="CI45" s="79">
        <f t="shared" si="35"/>
        <v>1.7848268518836471E-2</v>
      </c>
      <c r="CJ45" s="79">
        <f t="shared" si="35"/>
        <v>1.7839232736962325E-2</v>
      </c>
      <c r="CK45" s="79">
        <f t="shared" si="35"/>
        <v>1.7830253808142862E-2</v>
      </c>
      <c r="CL45" s="79">
        <f t="shared" si="35"/>
        <v>1.7821332642040624E-2</v>
      </c>
      <c r="CM45" s="79">
        <f t="shared" si="35"/>
        <v>1.7812470095222795E-2</v>
      </c>
      <c r="CN45" s="79">
        <f t="shared" si="35"/>
        <v>1.7803666972843392E-2</v>
      </c>
      <c r="CO45" s="79">
        <f t="shared" si="35"/>
        <v>1.7794924030282246E-2</v>
      </c>
      <c r="CP45" s="79">
        <f t="shared" si="35"/>
        <v>1.7786241974738565E-2</v>
      </c>
      <c r="CQ45" s="79">
        <f t="shared" si="35"/>
        <v>1.7777621466783713E-2</v>
      </c>
      <c r="CR45" s="79">
        <f t="shared" si="35"/>
        <v>1.7769063121871459E-2</v>
      </c>
      <c r="CS45" s="79">
        <f t="shared" si="35"/>
        <v>1.7760567511807528E-2</v>
      </c>
      <c r="CT45" s="79">
        <f t="shared" si="35"/>
        <v>1.7752135166180127E-2</v>
      </c>
      <c r="CU45" s="79">
        <f t="shared" si="35"/>
        <v>1.7743766573751166E-2</v>
      </c>
      <c r="CV45" s="79">
        <f t="shared" si="35"/>
        <v>1.7735462183809839E-2</v>
      </c>
      <c r="CW45" s="79">
        <f t="shared" si="35"/>
        <v>1.7727222407490192E-2</v>
      </c>
      <c r="CX45" s="79">
        <f t="shared" si="35"/>
        <v>1.7719047619050524E-2</v>
      </c>
      <c r="CY45" s="79">
        <f t="shared" si="35"/>
        <v>1.7719047619050524E-2</v>
      </c>
      <c r="CZ45" s="79">
        <f t="shared" si="35"/>
        <v>1.7719047619050524E-2</v>
      </c>
      <c r="DA45" s="79">
        <f t="shared" si="35"/>
        <v>1.7719047619050524E-2</v>
      </c>
      <c r="DB45" s="79">
        <f t="shared" si="35"/>
        <v>1.7719047619050524E-2</v>
      </c>
      <c r="DC45" s="79">
        <f t="shared" si="35"/>
        <v>1.7719047619050524E-2</v>
      </c>
      <c r="DD45" s="79">
        <f t="shared" si="35"/>
        <v>1.7719047619050524E-2</v>
      </c>
      <c r="DE45" s="79">
        <f t="shared" si="35"/>
        <v>1.7719047619050524E-2</v>
      </c>
      <c r="DF45" s="79">
        <f t="shared" si="35"/>
        <v>1.7719047619050524E-2</v>
      </c>
      <c r="DG45" s="79">
        <f t="shared" si="35"/>
        <v>1.7719047619050524E-2</v>
      </c>
      <c r="DH45" s="79">
        <f t="shared" si="35"/>
        <v>1.7719047619050524E-2</v>
      </c>
      <c r="DI45" s="79">
        <f t="shared" si="35"/>
        <v>1.7719047619050524E-2</v>
      </c>
      <c r="DJ45" s="79">
        <f t="shared" si="35"/>
        <v>1.7719047619050524E-2</v>
      </c>
      <c r="DK45" s="79">
        <f t="shared" si="35"/>
        <v>1.7719047619050524E-2</v>
      </c>
      <c r="DL45" s="79">
        <f t="shared" si="35"/>
        <v>1.7719047619050524E-2</v>
      </c>
      <c r="DM45" s="79">
        <f t="shared" si="35"/>
        <v>1.7719047619050524E-2</v>
      </c>
      <c r="DN45" s="79">
        <f t="shared" si="35"/>
        <v>1.7719047619050524E-2</v>
      </c>
      <c r="DO45" s="79">
        <f t="shared" si="35"/>
        <v>1.7719047619050524E-2</v>
      </c>
      <c r="DP45" s="79">
        <f t="shared" si="35"/>
        <v>1.7719047619050524E-2</v>
      </c>
      <c r="DQ45" s="79">
        <f t="shared" si="35"/>
        <v>1.7719047619050524E-2</v>
      </c>
      <c r="DR45" s="79">
        <f t="shared" si="35"/>
        <v>1.7719047619050524E-2</v>
      </c>
      <c r="DS45" s="79">
        <f t="shared" si="35"/>
        <v>1.7719047619050524E-2</v>
      </c>
      <c r="DT45" s="79">
        <f t="shared" si="35"/>
        <v>1.7719047619050524E-2</v>
      </c>
      <c r="DU45" s="79">
        <f t="shared" si="35"/>
        <v>1.7719047619050524E-2</v>
      </c>
      <c r="DV45" s="79">
        <f t="shared" si="35"/>
        <v>1.7719047619050524E-2</v>
      </c>
      <c r="DW45" s="79">
        <f t="shared" si="35"/>
        <v>1.7719047619050524E-2</v>
      </c>
      <c r="DX45" s="79">
        <f t="shared" si="35"/>
        <v>1.7719047619050524E-2</v>
      </c>
      <c r="DY45" s="79">
        <f t="shared" si="35"/>
        <v>1.7719047619050524E-2</v>
      </c>
      <c r="DZ45" s="79">
        <f t="shared" si="35"/>
        <v>1.7719047619050524E-2</v>
      </c>
      <c r="EA45" s="79">
        <f t="shared" si="35"/>
        <v>1.7719047619050524E-2</v>
      </c>
      <c r="EB45" s="79">
        <f t="shared" si="35"/>
        <v>1.7719047619050524E-2</v>
      </c>
      <c r="EC45" s="79">
        <f t="shared" si="35"/>
        <v>1.7719047619050524E-2</v>
      </c>
      <c r="ED45" s="79">
        <f t="shared" si="35"/>
        <v>1.7719047619050524E-2</v>
      </c>
      <c r="EE45" s="79">
        <f t="shared" si="28"/>
        <v>1.7719047619050524E-2</v>
      </c>
      <c r="EF45" s="79">
        <f t="shared" si="28"/>
        <v>1.7719047619050524E-2</v>
      </c>
      <c r="EG45" s="79">
        <f t="shared" si="28"/>
        <v>1.7719047619050524E-2</v>
      </c>
      <c r="EH45" s="79">
        <f t="shared" si="28"/>
        <v>1.7719047619050524E-2</v>
      </c>
      <c r="EI45" s="79">
        <f t="shared" si="28"/>
        <v>1.7719047619050524E-2</v>
      </c>
      <c r="EJ45" s="79">
        <f t="shared" si="28"/>
        <v>1.7719047619050524E-2</v>
      </c>
      <c r="EK45" s="79">
        <f t="shared" si="28"/>
        <v>1.7719047619050524E-2</v>
      </c>
      <c r="EL45" s="79">
        <f t="shared" si="28"/>
        <v>1.7719047619050524E-2</v>
      </c>
      <c r="EM45" s="79">
        <f t="shared" si="28"/>
        <v>1.7719047619050524E-2</v>
      </c>
      <c r="EN45" s="79">
        <f t="shared" si="28"/>
        <v>1.7719047619050524E-2</v>
      </c>
      <c r="EO45" s="79">
        <f t="shared" si="28"/>
        <v>1.7719047619050524E-2</v>
      </c>
      <c r="EP45" s="79">
        <f t="shared" si="28"/>
        <v>1.7719047619050524E-2</v>
      </c>
      <c r="EQ45" s="79">
        <f t="shared" si="28"/>
        <v>1.7719047619050524E-2</v>
      </c>
      <c r="ER45" s="79">
        <f t="shared" si="28"/>
        <v>1.7719047619050524E-2</v>
      </c>
      <c r="ES45" s="79">
        <f t="shared" si="28"/>
        <v>1.7719047619050524E-2</v>
      </c>
      <c r="ET45" s="79">
        <f t="shared" si="28"/>
        <v>1.7719047619050524E-2</v>
      </c>
      <c r="FF45" s="6" t="s">
        <v>216</v>
      </c>
      <c r="FG45" s="696">
        <v>2.8999999999999998E-2</v>
      </c>
      <c r="FH45" s="696">
        <v>120</v>
      </c>
      <c r="FI45" s="696">
        <v>1.5700000000000002E-2</v>
      </c>
      <c r="FJ45" s="255">
        <v>1.3999999999999999E-2</v>
      </c>
      <c r="FK45" s="71">
        <f t="shared" si="11"/>
        <v>3.5714285714285714E-4</v>
      </c>
      <c r="FL45" t="e">
        <f>VLOOKUP(FF45,'SIMULADOR COM SALDO'!$BX$22:$CK$1000,13,FALSE)</f>
        <v>#N/A</v>
      </c>
    </row>
    <row r="46" spans="6:168" x14ac:dyDescent="0.25">
      <c r="F46" s="97">
        <f t="shared" si="24"/>
        <v>1.7816666666666672E-2</v>
      </c>
      <c r="G46" s="79">
        <f t="shared" si="6"/>
        <v>1.8499572601087703E-2</v>
      </c>
      <c r="H46" s="79">
        <f t="shared" si="36"/>
        <v>1.8498733076749898E-2</v>
      </c>
      <c r="I46" s="79">
        <f t="shared" si="36"/>
        <v>1.8497496318081737E-2</v>
      </c>
      <c r="J46" s="79">
        <f t="shared" si="36"/>
        <v>1.8495876840322438E-2</v>
      </c>
      <c r="K46" s="79">
        <f t="shared" si="36"/>
        <v>1.8493888789416948E-2</v>
      </c>
      <c r="L46" s="79">
        <f t="shared" si="36"/>
        <v>1.8491545948587904E-2</v>
      </c>
      <c r="M46" s="79">
        <f t="shared" si="36"/>
        <v>1.8488861744911385E-2</v>
      </c>
      <c r="N46" s="79">
        <f t="shared" si="36"/>
        <v>1.8485849255888309E-2</v>
      </c>
      <c r="O46" s="79">
        <f t="shared" si="36"/>
        <v>1.8482521216003311E-2</v>
      </c>
      <c r="P46" s="79">
        <f t="shared" si="36"/>
        <v>1.8478890023263254E-2</v>
      </c>
      <c r="Q46" s="79">
        <f t="shared" si="36"/>
        <v>1.8474967745711373E-2</v>
      </c>
      <c r="R46" s="79">
        <f t="shared" si="36"/>
        <v>1.847076612790801E-2</v>
      </c>
      <c r="S46" s="79">
        <f t="shared" si="36"/>
        <v>1.8466296597374185E-2</v>
      </c>
      <c r="T46" s="79">
        <f t="shared" si="36"/>
        <v>1.8461570270990688E-2</v>
      </c>
      <c r="U46" s="79">
        <f t="shared" si="36"/>
        <v>1.8456597961350504E-2</v>
      </c>
      <c r="V46" s="79">
        <f t="shared" si="36"/>
        <v>1.84513901830578E-2</v>
      </c>
      <c r="W46" s="79">
        <f t="shared" si="36"/>
        <v>1.8445957158969673E-2</v>
      </c>
      <c r="X46" s="79">
        <f t="shared" si="36"/>
        <v>1.8440308826377583E-2</v>
      </c>
      <c r="Y46" s="79">
        <f t="shared" si="36"/>
        <v>1.8434454843124844E-2</v>
      </c>
      <c r="Z46" s="79">
        <f t="shared" si="36"/>
        <v>1.8428404593655683E-2</v>
      </c>
      <c r="AA46" s="79">
        <f t="shared" si="36"/>
        <v>1.8422167194994631E-2</v>
      </c>
      <c r="AB46" s="79">
        <f t="shared" si="36"/>
        <v>1.8415751502653323E-2</v>
      </c>
      <c r="AC46" s="79">
        <f t="shared" si="36"/>
        <v>1.8409166116460554E-2</v>
      </c>
      <c r="AD46" s="79">
        <f t="shared" si="36"/>
        <v>1.8402419386316534E-2</v>
      </c>
      <c r="AE46" s="79">
        <f t="shared" si="36"/>
        <v>1.8395519417866539E-2</v>
      </c>
      <c r="AF46" s="79">
        <f t="shared" si="36"/>
        <v>1.8388474078094321E-2</v>
      </c>
      <c r="AG46" s="79">
        <f t="shared" si="36"/>
        <v>1.8381291000833109E-2</v>
      </c>
      <c r="AH46" s="79">
        <f t="shared" si="36"/>
        <v>1.8373977592192295E-2</v>
      </c>
      <c r="AI46" s="79">
        <f t="shared" si="36"/>
        <v>1.8366541035900998E-2</v>
      </c>
      <c r="AJ46" s="79">
        <f t="shared" si="36"/>
        <v>1.8358988298563899E-2</v>
      </c>
      <c r="AK46" s="79">
        <f t="shared" si="36"/>
        <v>1.8351326134833073E-2</v>
      </c>
      <c r="AL46" s="79">
        <f t="shared" si="36"/>
        <v>1.8343561092491939E-2</v>
      </c>
      <c r="AM46" s="79">
        <f t="shared" si="36"/>
        <v>1.8335699517452102E-2</v>
      </c>
      <c r="AN46" s="79">
        <f t="shared" si="36"/>
        <v>1.8327747558663194E-2</v>
      </c>
      <c r="AO46" s="79">
        <f t="shared" si="36"/>
        <v>1.8319711172935155E-2</v>
      </c>
      <c r="AP46" s="79">
        <f t="shared" si="36"/>
        <v>1.8311596129673091E-2</v>
      </c>
      <c r="AQ46" s="79">
        <f t="shared" si="36"/>
        <v>1.8303408015523926E-2</v>
      </c>
      <c r="AR46" s="79">
        <f t="shared" si="36"/>
        <v>1.8295152238937868E-2</v>
      </c>
      <c r="AS46" s="79">
        <f t="shared" si="36"/>
        <v>1.8286834034640341E-2</v>
      </c>
      <c r="AT46" s="79">
        <f t="shared" si="36"/>
        <v>1.8278458468020242E-2</v>
      </c>
      <c r="AU46" s="79">
        <f t="shared" si="36"/>
        <v>1.8270030439429853E-2</v>
      </c>
      <c r="AV46" s="79">
        <f t="shared" si="36"/>
        <v>1.8261554688400992E-2</v>
      </c>
      <c r="AW46" s="79">
        <f t="shared" si="36"/>
        <v>1.8253035797775687E-2</v>
      </c>
      <c r="AX46" s="79">
        <f t="shared" si="36"/>
        <v>1.8244478197753076E-2</v>
      </c>
      <c r="AY46" s="79">
        <f t="shared" si="36"/>
        <v>1.8235886169852583E-2</v>
      </c>
      <c r="AZ46" s="79">
        <f t="shared" si="36"/>
        <v>1.8227263850794675E-2</v>
      </c>
      <c r="BA46" s="79">
        <f t="shared" si="36"/>
        <v>1.8218615236301038E-2</v>
      </c>
      <c r="BB46" s="79">
        <f t="shared" si="36"/>
        <v>1.8209944184812268E-2</v>
      </c>
      <c r="BC46" s="79">
        <f t="shared" si="36"/>
        <v>1.8201254421126849E-2</v>
      </c>
      <c r="BD46" s="79">
        <f t="shared" si="36"/>
        <v>1.8192549539961488E-2</v>
      </c>
      <c r="BE46" s="79">
        <f t="shared" si="36"/>
        <v>1.8183833009432711E-2</v>
      </c>
      <c r="BF46" s="79">
        <f t="shared" si="36"/>
        <v>1.8175108174463047E-2</v>
      </c>
      <c r="BG46" s="79">
        <f t="shared" si="36"/>
        <v>1.8166378260109858E-2</v>
      </c>
      <c r="BH46" s="79">
        <f t="shared" si="36"/>
        <v>1.8157646374821118E-2</v>
      </c>
      <c r="BI46" s="79">
        <f t="shared" si="36"/>
        <v>1.8148915513616998E-2</v>
      </c>
      <c r="BJ46" s="79">
        <f t="shared" si="36"/>
        <v>1.8140188561198582E-2</v>
      </c>
      <c r="BK46" s="79">
        <f t="shared" si="36"/>
        <v>1.8131468294986942E-2</v>
      </c>
      <c r="BL46" s="79">
        <f t="shared" si="36"/>
        <v>1.812275738808989E-2</v>
      </c>
      <c r="BM46" s="79">
        <f t="shared" si="36"/>
        <v>1.811405841220216E-2</v>
      </c>
      <c r="BN46" s="79">
        <f t="shared" si="36"/>
        <v>1.8105373840435899E-2</v>
      </c>
      <c r="BO46" s="79">
        <f t="shared" si="36"/>
        <v>1.8096706050085745E-2</v>
      </c>
      <c r="BP46" s="79">
        <f t="shared" si="36"/>
        <v>1.8088057325328057E-2</v>
      </c>
      <c r="BQ46" s="79">
        <f t="shared" si="36"/>
        <v>1.8079429859856017E-2</v>
      </c>
      <c r="BR46" s="79">
        <f t="shared" si="36"/>
        <v>1.8070825759451549E-2</v>
      </c>
      <c r="BS46" s="79">
        <f t="shared" si="36"/>
        <v>1.8062247044495276E-2</v>
      </c>
      <c r="BT46" s="79">
        <f t="shared" si="35"/>
        <v>1.805369565241622E-2</v>
      </c>
      <c r="BU46" s="79">
        <f t="shared" si="35"/>
        <v>1.8045173440081021E-2</v>
      </c>
      <c r="BV46" s="79">
        <f t="shared" si="35"/>
        <v>1.8036682186126043E-2</v>
      </c>
      <c r="BW46" s="79">
        <f t="shared" si="35"/>
        <v>1.802822359323069E-2</v>
      </c>
      <c r="BX46" s="79">
        <f t="shared" si="35"/>
        <v>1.801979929033572E-2</v>
      </c>
      <c r="BY46" s="79">
        <f t="shared" si="35"/>
        <v>1.8011410834806094E-2</v>
      </c>
      <c r="BZ46" s="79">
        <f t="shared" si="35"/>
        <v>1.8003059714540276E-2</v>
      </c>
      <c r="CA46" s="79">
        <f t="shared" si="35"/>
        <v>1.7994747350026184E-2</v>
      </c>
      <c r="CB46" s="79">
        <f t="shared" si="35"/>
        <v>1.798647509634561E-2</v>
      </c>
      <c r="CC46" s="79">
        <f t="shared" si="35"/>
        <v>1.797824424512898E-2</v>
      </c>
      <c r="CD46" s="79">
        <f t="shared" si="35"/>
        <v>1.797005602645917E-2</v>
      </c>
      <c r="CE46" s="79">
        <f t="shared" si="35"/>
        <v>1.7961911610727591E-2</v>
      </c>
      <c r="CF46" s="79">
        <f t="shared" si="35"/>
        <v>1.7953812110443227E-2</v>
      </c>
      <c r="CG46" s="79">
        <f t="shared" si="35"/>
        <v>1.7945758581994424E-2</v>
      </c>
      <c r="CH46" s="79">
        <f t="shared" si="35"/>
        <v>1.7937752027365611E-2</v>
      </c>
      <c r="CI46" s="79">
        <f t="shared" si="35"/>
        <v>1.7929793395810741E-2</v>
      </c>
      <c r="CJ46" s="79">
        <f t="shared" si="35"/>
        <v>1.792188358548117E-2</v>
      </c>
      <c r="CK46" s="79">
        <f t="shared" si="35"/>
        <v>1.7914023445013461E-2</v>
      </c>
      <c r="CL46" s="79">
        <f t="shared" si="35"/>
        <v>1.7906213775073811E-2</v>
      </c>
      <c r="CM46" s="79">
        <f t="shared" si="35"/>
        <v>1.7898455329863398E-2</v>
      </c>
      <c r="CN46" s="79">
        <f t="shared" si="35"/>
        <v>1.7890748818583338E-2</v>
      </c>
      <c r="CO46" s="79">
        <f t="shared" si="35"/>
        <v>1.788309490686156E-2</v>
      </c>
      <c r="CP46" s="79">
        <f t="shared" si="35"/>
        <v>1.7875494218140803E-2</v>
      </c>
      <c r="CQ46" s="79">
        <f t="shared" si="35"/>
        <v>1.786794733503113E-2</v>
      </c>
      <c r="CR46" s="79">
        <f t="shared" si="35"/>
        <v>1.7860454800625928E-2</v>
      </c>
      <c r="CS46" s="79">
        <f t="shared" si="35"/>
        <v>1.7853017119781715E-2</v>
      </c>
      <c r="CT46" s="79">
        <f t="shared" si="35"/>
        <v>1.7845634760365492E-2</v>
      </c>
      <c r="CU46" s="79">
        <f t="shared" si="35"/>
        <v>1.7838308154466773E-2</v>
      </c>
      <c r="CV46" s="79">
        <f t="shared" si="35"/>
        <v>1.7831037699577734E-2</v>
      </c>
      <c r="CW46" s="79">
        <f t="shared" si="35"/>
        <v>1.7823823759741595E-2</v>
      </c>
      <c r="CX46" s="79">
        <f t="shared" si="35"/>
        <v>1.7816666666669249E-2</v>
      </c>
      <c r="CY46" s="79">
        <f t="shared" si="35"/>
        <v>1.7816666666669249E-2</v>
      </c>
      <c r="CZ46" s="79">
        <f t="shared" si="35"/>
        <v>1.7816666666669249E-2</v>
      </c>
      <c r="DA46" s="79">
        <f t="shared" si="35"/>
        <v>1.7816666666669249E-2</v>
      </c>
      <c r="DB46" s="79">
        <f t="shared" si="35"/>
        <v>1.7816666666669249E-2</v>
      </c>
      <c r="DC46" s="79">
        <f t="shared" si="35"/>
        <v>1.7816666666669249E-2</v>
      </c>
      <c r="DD46" s="79">
        <f t="shared" si="35"/>
        <v>1.7816666666669249E-2</v>
      </c>
      <c r="DE46" s="79">
        <f t="shared" si="35"/>
        <v>1.7816666666669249E-2</v>
      </c>
      <c r="DF46" s="79">
        <f t="shared" si="35"/>
        <v>1.7816666666669249E-2</v>
      </c>
      <c r="DG46" s="79">
        <f t="shared" si="35"/>
        <v>1.7816666666669249E-2</v>
      </c>
      <c r="DH46" s="79">
        <f t="shared" si="35"/>
        <v>1.7816666666669249E-2</v>
      </c>
      <c r="DI46" s="79">
        <f t="shared" si="35"/>
        <v>1.7816666666669249E-2</v>
      </c>
      <c r="DJ46" s="79">
        <f t="shared" si="35"/>
        <v>1.7816666666669249E-2</v>
      </c>
      <c r="DK46" s="79">
        <f t="shared" si="35"/>
        <v>1.7816666666669249E-2</v>
      </c>
      <c r="DL46" s="79">
        <f t="shared" si="35"/>
        <v>1.7816666666669249E-2</v>
      </c>
      <c r="DM46" s="79">
        <f t="shared" si="35"/>
        <v>1.7816666666669249E-2</v>
      </c>
      <c r="DN46" s="79">
        <f t="shared" si="35"/>
        <v>1.7816666666669249E-2</v>
      </c>
      <c r="DO46" s="79">
        <f t="shared" si="35"/>
        <v>1.7816666666669249E-2</v>
      </c>
      <c r="DP46" s="79">
        <f t="shared" si="35"/>
        <v>1.7816666666669249E-2</v>
      </c>
      <c r="DQ46" s="79">
        <f t="shared" si="35"/>
        <v>1.7816666666669249E-2</v>
      </c>
      <c r="DR46" s="79">
        <f t="shared" si="35"/>
        <v>1.7816666666669249E-2</v>
      </c>
      <c r="DS46" s="79">
        <f t="shared" si="35"/>
        <v>1.7816666666669249E-2</v>
      </c>
      <c r="DT46" s="79">
        <f t="shared" si="35"/>
        <v>1.7816666666669249E-2</v>
      </c>
      <c r="DU46" s="79">
        <f t="shared" si="35"/>
        <v>1.7816666666669249E-2</v>
      </c>
      <c r="DV46" s="79">
        <f t="shared" si="35"/>
        <v>1.7816666666669249E-2</v>
      </c>
      <c r="DW46" s="79">
        <f t="shared" si="35"/>
        <v>1.7816666666669249E-2</v>
      </c>
      <c r="DX46" s="79">
        <f t="shared" si="35"/>
        <v>1.7816666666669249E-2</v>
      </c>
      <c r="DY46" s="79">
        <f t="shared" si="35"/>
        <v>1.7816666666669249E-2</v>
      </c>
      <c r="DZ46" s="79">
        <f t="shared" si="35"/>
        <v>1.7816666666669249E-2</v>
      </c>
      <c r="EA46" s="79">
        <f t="shared" si="35"/>
        <v>1.7816666666669249E-2</v>
      </c>
      <c r="EB46" s="79">
        <f t="shared" si="35"/>
        <v>1.7816666666669249E-2</v>
      </c>
      <c r="EC46" s="79">
        <f t="shared" si="35"/>
        <v>1.7816666666669249E-2</v>
      </c>
      <c r="ED46" s="79">
        <f t="shared" si="35"/>
        <v>1.7816666666669249E-2</v>
      </c>
      <c r="EE46" s="79">
        <f t="shared" si="28"/>
        <v>1.7816666666669249E-2</v>
      </c>
      <c r="EF46" s="79">
        <f t="shared" si="28"/>
        <v>1.7816666666669249E-2</v>
      </c>
      <c r="EG46" s="79">
        <f t="shared" si="28"/>
        <v>1.7816666666669249E-2</v>
      </c>
      <c r="EH46" s="79">
        <f t="shared" si="28"/>
        <v>1.7816666666669249E-2</v>
      </c>
      <c r="EI46" s="79">
        <f t="shared" si="28"/>
        <v>1.7816666666669249E-2</v>
      </c>
      <c r="EJ46" s="79">
        <f t="shared" si="28"/>
        <v>1.7816666666669249E-2</v>
      </c>
      <c r="EK46" s="79">
        <f t="shared" si="28"/>
        <v>1.7816666666669249E-2</v>
      </c>
      <c r="EL46" s="79">
        <f t="shared" si="28"/>
        <v>1.7816666666669249E-2</v>
      </c>
      <c r="EM46" s="79">
        <f t="shared" si="28"/>
        <v>1.7816666666669249E-2</v>
      </c>
      <c r="EN46" s="79">
        <f t="shared" si="28"/>
        <v>1.7816666666669249E-2</v>
      </c>
      <c r="EO46" s="79">
        <f t="shared" si="28"/>
        <v>1.7816666666669249E-2</v>
      </c>
      <c r="EP46" s="79">
        <f t="shared" si="28"/>
        <v>1.7816666666669249E-2</v>
      </c>
      <c r="EQ46" s="79">
        <f t="shared" si="28"/>
        <v>1.7816666666669249E-2</v>
      </c>
      <c r="ER46" s="79">
        <f t="shared" si="28"/>
        <v>1.7816666666669249E-2</v>
      </c>
      <c r="ES46" s="79">
        <f t="shared" si="28"/>
        <v>1.7816666666669249E-2</v>
      </c>
      <c r="ET46" s="79">
        <f>IF(ET$9&lt;=$K$6,RATE($K$6,1,ET92,0),"")</f>
        <v>1.7816666666669249E-2</v>
      </c>
      <c r="FF46" s="6" t="s">
        <v>380</v>
      </c>
      <c r="FG46" s="696">
        <v>2.5000000000000001E-2</v>
      </c>
      <c r="FH46" s="696">
        <v>96</v>
      </c>
      <c r="FI46" s="696">
        <v>1.7500000000000002E-2</v>
      </c>
      <c r="FJ46" s="255">
        <v>1.47E-2</v>
      </c>
      <c r="FK46" s="71">
        <f t="shared" si="11"/>
        <v>2.452380952380953E-4</v>
      </c>
      <c r="FL46" t="e">
        <f>VLOOKUP(FF46,'SIMULADOR COM SALDO'!$BX$22:$CK$1000,13,FALSE)</f>
        <v>#N/A</v>
      </c>
    </row>
    <row r="47" spans="6:168" x14ac:dyDescent="0.25">
      <c r="F47" s="97">
        <f t="shared" si="24"/>
        <v>1.7914285714285719E-2</v>
      </c>
      <c r="G47" s="79">
        <f t="shared" si="6"/>
        <v>1.8499633692603896E-2</v>
      </c>
      <c r="H47" s="79">
        <f t="shared" si="36"/>
        <v>1.8498914199134651E-2</v>
      </c>
      <c r="I47" s="79">
        <f t="shared" si="36"/>
        <v>1.8497854308215395E-2</v>
      </c>
      <c r="J47" s="79">
        <f t="shared" si="36"/>
        <v>1.8496466481819556E-2</v>
      </c>
      <c r="K47" s="79">
        <f t="shared" si="36"/>
        <v>1.849476286131246E-2</v>
      </c>
      <c r="L47" s="79">
        <f t="shared" si="36"/>
        <v>1.8492755273474614E-2</v>
      </c>
      <c r="M47" s="79">
        <f t="shared" si="36"/>
        <v>1.8490455236500634E-2</v>
      </c>
      <c r="N47" s="79">
        <f t="shared" si="36"/>
        <v>1.8487873965969574E-2</v>
      </c>
      <c r="O47" s="79">
        <f t="shared" si="36"/>
        <v>1.8485022380779838E-2</v>
      </c>
      <c r="P47" s="79">
        <f t="shared" si="36"/>
        <v>1.8481911109045384E-2</v>
      </c>
      <c r="Q47" s="79">
        <f t="shared" si="36"/>
        <v>1.8478550493948389E-2</v>
      </c>
      <c r="R47" s="79">
        <f t="shared" si="36"/>
        <v>1.8474950599543589E-2</v>
      </c>
      <c r="S47" s="79">
        <f t="shared" si="36"/>
        <v>1.8471121216511878E-2</v>
      </c>
      <c r="T47" s="79">
        <f t="shared" si="36"/>
        <v>1.8467071867858391E-2</v>
      </c>
      <c r="U47" s="79">
        <f t="shared" si="36"/>
        <v>1.8462811814552681E-2</v>
      </c>
      <c r="V47" s="79">
        <f t="shared" si="36"/>
        <v>1.8458350061108159E-2</v>
      </c>
      <c r="W47" s="79">
        <f t="shared" si="36"/>
        <v>1.8453695361097405E-2</v>
      </c>
      <c r="X47" s="79">
        <f t="shared" si="36"/>
        <v>1.84488562226022E-2</v>
      </c>
      <c r="Y47" s="79">
        <f t="shared" si="36"/>
        <v>1.8443840913594637E-2</v>
      </c>
      <c r="Z47" s="79">
        <f t="shared" si="36"/>
        <v>1.8438657467249136E-2</v>
      </c>
      <c r="AA47" s="79">
        <f t="shared" si="36"/>
        <v>1.8433313687181686E-2</v>
      </c>
      <c r="AB47" s="79">
        <f t="shared" si="36"/>
        <v>1.8427817152616949E-2</v>
      </c>
      <c r="AC47" s="79">
        <f t="shared" si="36"/>
        <v>1.8422175223480358E-2</v>
      </c>
      <c r="AD47" s="79">
        <f t="shared" si="36"/>
        <v>1.8416395045414053E-2</v>
      </c>
      <c r="AE47" s="79">
        <f t="shared" si="36"/>
        <v>1.8410483554717052E-2</v>
      </c>
      <c r="AF47" s="79">
        <f t="shared" si="36"/>
        <v>1.8404447483207003E-2</v>
      </c>
      <c r="AG47" s="79">
        <f t="shared" si="36"/>
        <v>1.8398293363005809E-2</v>
      </c>
      <c r="AH47" s="79">
        <f t="shared" si="36"/>
        <v>1.8392027531243846E-2</v>
      </c>
      <c r="AI47" s="79">
        <f t="shared" si="36"/>
        <v>1.83856561346873E-2</v>
      </c>
      <c r="AJ47" s="79">
        <f t="shared" si="36"/>
        <v>1.8379185134285842E-2</v>
      </c>
      <c r="AK47" s="79">
        <f t="shared" si="36"/>
        <v>1.837262030964059E-2</v>
      </c>
      <c r="AL47" s="79">
        <f t="shared" si="36"/>
        <v>1.8365967263392437E-2</v>
      </c>
      <c r="AM47" s="79">
        <f t="shared" si="36"/>
        <v>1.8359231425531829E-2</v>
      </c>
      <c r="AN47" s="79">
        <f t="shared" si="36"/>
        <v>1.8352418057629015E-2</v>
      </c>
      <c r="AO47" s="79">
        <f t="shared" si="36"/>
        <v>1.8345532256985E-2</v>
      </c>
      <c r="AP47" s="79">
        <f t="shared" si="36"/>
        <v>1.8338578960704229E-2</v>
      </c>
      <c r="AQ47" s="79">
        <f t="shared" si="36"/>
        <v>1.8331562949689118E-2</v>
      </c>
      <c r="AR47" s="79">
        <f t="shared" si="36"/>
        <v>1.8324488852556924E-2</v>
      </c>
      <c r="AS47" s="79">
        <f t="shared" si="36"/>
        <v>1.8317361149478587E-2</v>
      </c>
      <c r="AT47" s="79">
        <f t="shared" si="36"/>
        <v>1.8310184175943132E-2</v>
      </c>
      <c r="AU47" s="79">
        <f t="shared" si="36"/>
        <v>1.8302962126442845E-2</v>
      </c>
      <c r="AV47" s="79">
        <f t="shared" si="36"/>
        <v>1.8295699058086687E-2</v>
      </c>
      <c r="AW47" s="79">
        <f t="shared" si="36"/>
        <v>1.8288398894136269E-2</v>
      </c>
      <c r="AX47" s="79">
        <f t="shared" si="36"/>
        <v>1.8281065427470492E-2</v>
      </c>
      <c r="AY47" s="79">
        <f t="shared" si="36"/>
        <v>1.8273702323975977E-2</v>
      </c>
      <c r="AZ47" s="79">
        <f t="shared" si="36"/>
        <v>1.8266313125865206E-2</v>
      </c>
      <c r="BA47" s="79">
        <f t="shared" si="36"/>
        <v>1.8258901254924995E-2</v>
      </c>
      <c r="BB47" s="79">
        <f t="shared" si="36"/>
        <v>1.8251470015693574E-2</v>
      </c>
      <c r="BC47" s="79">
        <f t="shared" si="36"/>
        <v>1.8244022598568391E-2</v>
      </c>
      <c r="BD47" s="79">
        <f t="shared" si="36"/>
        <v>1.8236562082846443E-2</v>
      </c>
      <c r="BE47" s="79">
        <f t="shared" si="36"/>
        <v>1.8229091439696667E-2</v>
      </c>
      <c r="BF47" s="79">
        <f t="shared" si="36"/>
        <v>1.822161353506609E-2</v>
      </c>
      <c r="BG47" s="79">
        <f t="shared" si="36"/>
        <v>1.8214131132520642E-2</v>
      </c>
      <c r="BH47" s="79">
        <f t="shared" si="36"/>
        <v>1.8206646896022131E-2</v>
      </c>
      <c r="BI47" s="79">
        <f t="shared" si="36"/>
        <v>1.8199163392641157E-2</v>
      </c>
      <c r="BJ47" s="79">
        <f t="shared" si="36"/>
        <v>1.8191683095208737E-2</v>
      </c>
      <c r="BK47" s="79">
        <f t="shared" si="36"/>
        <v>1.8184208384905694E-2</v>
      </c>
      <c r="BL47" s="79">
        <f t="shared" si="36"/>
        <v>1.8176741553792914E-2</v>
      </c>
      <c r="BM47" s="79">
        <f t="shared" si="36"/>
        <v>1.8169284807282079E-2</v>
      </c>
      <c r="BN47" s="79">
        <f t="shared" si="36"/>
        <v>1.8161840266548091E-2</v>
      </c>
      <c r="BO47" s="79">
        <f t="shared" si="36"/>
        <v>1.815440997088491E-2</v>
      </c>
      <c r="BP47" s="79">
        <f t="shared" si="36"/>
        <v>1.8146995880005526E-2</v>
      </c>
      <c r="BQ47" s="79">
        <f t="shared" si="36"/>
        <v>1.8139599876286588E-2</v>
      </c>
      <c r="BR47" s="79">
        <f t="shared" si="36"/>
        <v>1.8132223766959506E-2</v>
      </c>
      <c r="BS47" s="79">
        <f t="shared" si="36"/>
        <v>1.8124869286248284E-2</v>
      </c>
      <c r="BT47" s="79">
        <f t="shared" si="35"/>
        <v>1.8117538097456583E-2</v>
      </c>
      <c r="BU47" s="79">
        <f t="shared" si="35"/>
        <v>1.8110231795002513E-2</v>
      </c>
      <c r="BV47" s="79">
        <f t="shared" si="35"/>
        <v>1.8102951906405013E-2</v>
      </c>
      <c r="BW47" s="79">
        <f t="shared" si="35"/>
        <v>1.8095699894220406E-2</v>
      </c>
      <c r="BX47" s="79">
        <f t="shared" si="35"/>
        <v>1.8088477157931684E-2</v>
      </c>
      <c r="BY47" s="79">
        <f t="shared" si="35"/>
        <v>1.8081285035791084E-2</v>
      </c>
      <c r="BZ47" s="79">
        <f t="shared" si="35"/>
        <v>1.8074124806616524E-2</v>
      </c>
      <c r="CA47" s="79">
        <f t="shared" si="35"/>
        <v>1.806699769154305E-2</v>
      </c>
      <c r="CB47" s="79">
        <f t="shared" si="35"/>
        <v>1.8059904855730891E-2</v>
      </c>
      <c r="CC47" s="79">
        <f t="shared" si="35"/>
        <v>1.8052847410029556E-2</v>
      </c>
      <c r="CD47" s="79">
        <f t="shared" si="35"/>
        <v>1.804582641260136E-2</v>
      </c>
      <c r="CE47" s="79">
        <f t="shared" si="35"/>
        <v>1.8038842870502159E-2</v>
      </c>
      <c r="CF47" s="79">
        <f t="shared" si="35"/>
        <v>1.8031897741222758E-2</v>
      </c>
      <c r="CG47" s="79">
        <f t="shared" si="35"/>
        <v>1.8024991934190587E-2</v>
      </c>
      <c r="CH47" s="79">
        <f t="shared" si="35"/>
        <v>1.8018126312233183E-2</v>
      </c>
      <c r="CI47" s="79">
        <f t="shared" si="35"/>
        <v>1.8011301693003624E-2</v>
      </c>
      <c r="CJ47" s="79">
        <f t="shared" si="35"/>
        <v>1.8004518850369057E-2</v>
      </c>
      <c r="CK47" s="79">
        <f t="shared" si="35"/>
        <v>1.7997778515764253E-2</v>
      </c>
      <c r="CL47" s="79">
        <f t="shared" si="35"/>
        <v>1.7991081379508184E-2</v>
      </c>
      <c r="CM47" s="79">
        <f t="shared" si="35"/>
        <v>1.7984428092088015E-2</v>
      </c>
      <c r="CN47" s="79">
        <f t="shared" si="35"/>
        <v>1.7977819265408562E-2</v>
      </c>
      <c r="CO47" s="79">
        <f t="shared" si="35"/>
        <v>1.7971255474008692E-2</v>
      </c>
      <c r="CP47" s="79">
        <f t="shared" si="35"/>
        <v>1.796473725624698E-2</v>
      </c>
      <c r="CQ47" s="79">
        <f t="shared" si="35"/>
        <v>1.7958265115453967E-2</v>
      </c>
      <c r="CR47" s="79">
        <f t="shared" si="35"/>
        <v>1.7951839521056303E-2</v>
      </c>
      <c r="CS47" s="79">
        <f t="shared" si="35"/>
        <v>1.7945460909668767E-2</v>
      </c>
      <c r="CT47" s="79">
        <f t="shared" si="35"/>
        <v>1.7939129686158829E-2</v>
      </c>
      <c r="CU47" s="79">
        <f t="shared" si="35"/>
        <v>1.7932846224681765E-2</v>
      </c>
      <c r="CV47" s="79">
        <f t="shared" si="35"/>
        <v>1.7926610869688178E-2</v>
      </c>
      <c r="CW47" s="79">
        <f t="shared" si="35"/>
        <v>1.7920423936904645E-2</v>
      </c>
      <c r="CX47" s="79">
        <f t="shared" si="35"/>
        <v>1.7914285714287791E-2</v>
      </c>
      <c r="CY47" s="79">
        <f t="shared" si="35"/>
        <v>1.7914285714287791E-2</v>
      </c>
      <c r="CZ47" s="79">
        <f t="shared" si="35"/>
        <v>1.7914285714287791E-2</v>
      </c>
      <c r="DA47" s="79">
        <f t="shared" si="35"/>
        <v>1.7914285714287791E-2</v>
      </c>
      <c r="DB47" s="79">
        <f t="shared" si="35"/>
        <v>1.7914285714287791E-2</v>
      </c>
      <c r="DC47" s="79">
        <f t="shared" si="35"/>
        <v>1.7914285714287791E-2</v>
      </c>
      <c r="DD47" s="79">
        <f t="shared" si="35"/>
        <v>1.7914285714287791E-2</v>
      </c>
      <c r="DE47" s="79">
        <f t="shared" si="35"/>
        <v>1.7914285714287791E-2</v>
      </c>
      <c r="DF47" s="79">
        <f t="shared" si="35"/>
        <v>1.7914285714287791E-2</v>
      </c>
      <c r="DG47" s="79">
        <f t="shared" si="35"/>
        <v>1.7914285714287791E-2</v>
      </c>
      <c r="DH47" s="79">
        <f t="shared" si="35"/>
        <v>1.7914285714287791E-2</v>
      </c>
      <c r="DI47" s="79">
        <f t="shared" si="35"/>
        <v>1.7914285714287791E-2</v>
      </c>
      <c r="DJ47" s="79">
        <f t="shared" si="35"/>
        <v>1.7914285714287791E-2</v>
      </c>
      <c r="DK47" s="79">
        <f t="shared" si="35"/>
        <v>1.7914285714287791E-2</v>
      </c>
      <c r="DL47" s="79">
        <f t="shared" si="35"/>
        <v>1.7914285714287791E-2</v>
      </c>
      <c r="DM47" s="79">
        <f t="shared" si="35"/>
        <v>1.7914285714287791E-2</v>
      </c>
      <c r="DN47" s="79">
        <f t="shared" si="35"/>
        <v>1.7914285714287791E-2</v>
      </c>
      <c r="DO47" s="79">
        <f t="shared" si="35"/>
        <v>1.7914285714287791E-2</v>
      </c>
      <c r="DP47" s="79">
        <f t="shared" si="35"/>
        <v>1.7914285714287791E-2</v>
      </c>
      <c r="DQ47" s="79">
        <f t="shared" si="35"/>
        <v>1.7914285714287791E-2</v>
      </c>
      <c r="DR47" s="79">
        <f t="shared" si="35"/>
        <v>1.7914285714287791E-2</v>
      </c>
      <c r="DS47" s="79">
        <f t="shared" si="35"/>
        <v>1.7914285714287791E-2</v>
      </c>
      <c r="DT47" s="79">
        <f t="shared" si="35"/>
        <v>1.7914285714287791E-2</v>
      </c>
      <c r="DU47" s="79">
        <f t="shared" si="35"/>
        <v>1.7914285714287791E-2</v>
      </c>
      <c r="DV47" s="79">
        <f t="shared" si="35"/>
        <v>1.7914285714287791E-2</v>
      </c>
      <c r="DW47" s="79">
        <f t="shared" si="35"/>
        <v>1.7914285714287791E-2</v>
      </c>
      <c r="DX47" s="79">
        <f t="shared" si="35"/>
        <v>1.7914285714287791E-2</v>
      </c>
      <c r="DY47" s="79">
        <f t="shared" si="35"/>
        <v>1.7914285714287791E-2</v>
      </c>
      <c r="DZ47" s="79">
        <f t="shared" si="35"/>
        <v>1.7914285714287791E-2</v>
      </c>
      <c r="EA47" s="79">
        <f t="shared" si="35"/>
        <v>1.7914285714287791E-2</v>
      </c>
      <c r="EB47" s="79">
        <f t="shared" si="35"/>
        <v>1.7914285714287791E-2</v>
      </c>
      <c r="EC47" s="79">
        <f t="shared" si="35"/>
        <v>1.7914285714287791E-2</v>
      </c>
      <c r="ED47" s="79">
        <f t="shared" si="35"/>
        <v>1.7914285714287791E-2</v>
      </c>
      <c r="EE47" s="79">
        <f t="shared" ref="EE47:ET53" si="37">IF(EE$9&lt;=$K$6,RATE($K$6,1,EE93,0),"")</f>
        <v>1.7914285714287791E-2</v>
      </c>
      <c r="EF47" s="79">
        <f t="shared" si="37"/>
        <v>1.7914285714287791E-2</v>
      </c>
      <c r="EG47" s="79">
        <f t="shared" si="37"/>
        <v>1.7914285714287791E-2</v>
      </c>
      <c r="EH47" s="79">
        <f t="shared" si="37"/>
        <v>1.7914285714287791E-2</v>
      </c>
      <c r="EI47" s="79">
        <f t="shared" si="37"/>
        <v>1.7914285714287791E-2</v>
      </c>
      <c r="EJ47" s="79">
        <f t="shared" si="37"/>
        <v>1.7914285714287791E-2</v>
      </c>
      <c r="EK47" s="79">
        <f t="shared" si="37"/>
        <v>1.7914285714287791E-2</v>
      </c>
      <c r="EL47" s="79">
        <f t="shared" si="37"/>
        <v>1.7914285714287791E-2</v>
      </c>
      <c r="EM47" s="79">
        <f t="shared" si="37"/>
        <v>1.7914285714287791E-2</v>
      </c>
      <c r="EN47" s="79">
        <f t="shared" si="37"/>
        <v>1.7914285714287791E-2</v>
      </c>
      <c r="EO47" s="79">
        <f t="shared" si="37"/>
        <v>1.7914285714287791E-2</v>
      </c>
      <c r="EP47" s="79">
        <f t="shared" si="37"/>
        <v>1.7914285714287791E-2</v>
      </c>
      <c r="EQ47" s="79">
        <f t="shared" si="37"/>
        <v>1.7914285714287791E-2</v>
      </c>
      <c r="ER47" s="79">
        <f t="shared" si="37"/>
        <v>1.7914285714287791E-2</v>
      </c>
      <c r="ES47" s="79">
        <f t="shared" si="37"/>
        <v>1.7914285714287791E-2</v>
      </c>
      <c r="ET47" s="79">
        <f t="shared" si="37"/>
        <v>1.7914285714287791E-2</v>
      </c>
      <c r="FF47" s="67" t="s">
        <v>75</v>
      </c>
      <c r="FG47" s="696">
        <v>2.5000000000000001E-2</v>
      </c>
      <c r="FH47" s="696">
        <v>96</v>
      </c>
      <c r="FI47" s="696">
        <v>1.5800000000000002E-2</v>
      </c>
      <c r="FJ47" s="255">
        <v>1.3500000000000002E-2</v>
      </c>
      <c r="FK47" s="71">
        <f t="shared" si="11"/>
        <v>2.7380952380952383E-4</v>
      </c>
      <c r="FL47" t="e">
        <f>VLOOKUP(FF47,'SIMULADOR COM SALDO'!$BX$22:$CK$1000,13,FALSE)</f>
        <v>#N/A</v>
      </c>
    </row>
    <row r="48" spans="6:168" x14ac:dyDescent="0.25">
      <c r="F48" s="97">
        <f t="shared" si="24"/>
        <v>1.8011904761904767E-2</v>
      </c>
      <c r="G48" s="79">
        <f t="shared" si="6"/>
        <v>1.849969477260523E-2</v>
      </c>
      <c r="H48" s="79">
        <f t="shared" si="36"/>
        <v>1.8499095277044394E-2</v>
      </c>
      <c r="I48" s="79">
        <f t="shared" si="36"/>
        <v>1.8498212191181793E-2</v>
      </c>
      <c r="J48" s="79">
        <f t="shared" si="36"/>
        <v>1.8497055916933677E-2</v>
      </c>
      <c r="K48" s="79">
        <f t="shared" si="36"/>
        <v>1.8495636585651801E-2</v>
      </c>
      <c r="L48" s="79">
        <f t="shared" si="36"/>
        <v>1.8493964063468572E-2</v>
      </c>
      <c r="M48" s="79">
        <f t="shared" si="36"/>
        <v>1.8492047956599374E-2</v>
      </c>
      <c r="N48" s="79">
        <f t="shared" si="36"/>
        <v>1.848989761659877E-2</v>
      </c>
      <c r="O48" s="79">
        <f t="shared" si="36"/>
        <v>1.848752214556873E-2</v>
      </c>
      <c r="P48" s="79">
        <f t="shared" si="36"/>
        <v>1.8484930401313899E-2</v>
      </c>
      <c r="Q48" s="79">
        <f t="shared" si="36"/>
        <v>1.848213100244394E-2</v>
      </c>
      <c r="R48" s="79">
        <f t="shared" si="36"/>
        <v>1.8479132333417803E-2</v>
      </c>
      <c r="S48" s="79">
        <f t="shared" si="36"/>
        <v>1.8475942549531121E-2</v>
      </c>
      <c r="T48" s="79">
        <f t="shared" si="36"/>
        <v>1.8472569581840279E-2</v>
      </c>
      <c r="U48" s="79">
        <f t="shared" si="36"/>
        <v>1.8469021142026802E-2</v>
      </c>
      <c r="V48" s="79">
        <f t="shared" si="36"/>
        <v>1.8465304727195816E-2</v>
      </c>
      <c r="W48" s="79">
        <f t="shared" si="36"/>
        <v>1.8461427624609898E-2</v>
      </c>
      <c r="X48" s="79">
        <f t="shared" si="36"/>
        <v>1.8457396916356283E-2</v>
      </c>
      <c r="Y48" s="79">
        <f t="shared" si="36"/>
        <v>1.8453219483946823E-2</v>
      </c>
      <c r="Z48" s="79">
        <f t="shared" si="36"/>
        <v>1.8448902012848222E-2</v>
      </c>
      <c r="AA48" s="79">
        <f t="shared" si="36"/>
        <v>1.8444450996944969E-2</v>
      </c>
      <c r="AB48" s="79">
        <f t="shared" si="36"/>
        <v>1.8439872742930425E-2</v>
      </c>
      <c r="AC48" s="79">
        <f t="shared" si="36"/>
        <v>1.8435173374628661E-2</v>
      </c>
      <c r="AD48" s="79">
        <f t="shared" si="36"/>
        <v>1.8430358837245413E-2</v>
      </c>
      <c r="AE48" s="79">
        <f t="shared" si="36"/>
        <v>1.8425434901548042E-2</v>
      </c>
      <c r="AF48" s="79">
        <f t="shared" si="36"/>
        <v>1.842040716797335E-2</v>
      </c>
      <c r="AG48" s="79">
        <f t="shared" si="36"/>
        <v>1.8415281070665864E-2</v>
      </c>
      <c r="AH48" s="79">
        <f t="shared" si="36"/>
        <v>1.8410061881443195E-2</v>
      </c>
      <c r="AI48" s="79">
        <f t="shared" si="36"/>
        <v>1.8404754713691695E-2</v>
      </c>
      <c r="AJ48" s="79">
        <f t="shared" si="36"/>
        <v>1.8399364526189718E-2</v>
      </c>
      <c r="AK48" s="79">
        <f t="shared" si="36"/>
        <v>1.8393896126861028E-2</v>
      </c>
      <c r="AL48" s="79">
        <f t="shared" si="36"/>
        <v>1.838835417645833E-2</v>
      </c>
      <c r="AM48" s="79">
        <f t="shared" si="36"/>
        <v>1.8382743192175404E-2</v>
      </c>
      <c r="AN48" s="79">
        <f t="shared" si="36"/>
        <v>1.8377067551191072E-2</v>
      </c>
      <c r="AO48" s="79">
        <f t="shared" si="36"/>
        <v>1.8371331494142721E-2</v>
      </c>
      <c r="AP48" s="79">
        <f t="shared" si="36"/>
        <v>1.836553912853307E-2</v>
      </c>
      <c r="AQ48" s="79">
        <f t="shared" si="36"/>
        <v>1.8359694432067534E-2</v>
      </c>
      <c r="AR48" s="79">
        <f t="shared" si="36"/>
        <v>1.8353801255924649E-2</v>
      </c>
      <c r="AS48" s="79">
        <f t="shared" si="36"/>
        <v>1.8347863327960574E-2</v>
      </c>
      <c r="AT48" s="79">
        <f t="shared" si="36"/>
        <v>1.8341884255846808E-2</v>
      </c>
      <c r="AU48" s="79">
        <f t="shared" si="36"/>
        <v>1.8335867530143705E-2</v>
      </c>
      <c r="AV48" s="79">
        <f t="shared" si="36"/>
        <v>1.832981652730846E-2</v>
      </c>
      <c r="AW48" s="79">
        <f t="shared" si="36"/>
        <v>1.8323734512640414E-2</v>
      </c>
      <c r="AX48" s="79">
        <f t="shared" si="36"/>
        <v>1.8317624643163284E-2</v>
      </c>
      <c r="AY48" s="79">
        <f t="shared" si="36"/>
        <v>1.8311489970445585E-2</v>
      </c>
      <c r="AZ48" s="79">
        <f t="shared" si="36"/>
        <v>1.8305333443359651E-2</v>
      </c>
      <c r="BA48" s="79">
        <f t="shared" si="36"/>
        <v>1.8299157910780243E-2</v>
      </c>
      <c r="BB48" s="79">
        <f t="shared" si="36"/>
        <v>1.829296612422545E-2</v>
      </c>
      <c r="BC48" s="79">
        <f t="shared" si="36"/>
        <v>1.8286760740436375E-2</v>
      </c>
      <c r="BD48" s="79">
        <f t="shared" si="36"/>
        <v>1.8280544323901957E-2</v>
      </c>
      <c r="BE48" s="79">
        <f t="shared" si="36"/>
        <v>1.8274319349325475E-2</v>
      </c>
      <c r="BF48" s="79">
        <f t="shared" si="36"/>
        <v>1.8268088204036154E-2</v>
      </c>
      <c r="BG48" s="79">
        <f t="shared" si="36"/>
        <v>1.8261853190345508E-2</v>
      </c>
      <c r="BH48" s="79">
        <f t="shared" si="36"/>
        <v>1.8255616527850071E-2</v>
      </c>
      <c r="BI48" s="79">
        <f t="shared" si="36"/>
        <v>1.8249380355681338E-2</v>
      </c>
      <c r="BJ48" s="79">
        <f t="shared" si="36"/>
        <v>1.8243146734703394E-2</v>
      </c>
      <c r="BK48" s="79">
        <f t="shared" si="36"/>
        <v>1.8236917649659484E-2</v>
      </c>
      <c r="BL48" s="79">
        <f t="shared" si="36"/>
        <v>1.8230695011268581E-2</v>
      </c>
      <c r="BM48" s="79">
        <f t="shared" si="36"/>
        <v>1.8224480658272511E-2</v>
      </c>
      <c r="BN48" s="79">
        <f t="shared" si="36"/>
        <v>1.8218276359434842E-2</v>
      </c>
      <c r="BO48" s="79">
        <f t="shared" si="36"/>
        <v>1.8212083815492722E-2</v>
      </c>
      <c r="BP48" s="79">
        <f t="shared" si="36"/>
        <v>1.8205904661061006E-2</v>
      </c>
      <c r="BQ48" s="79">
        <f t="shared" si="36"/>
        <v>1.8199740466492385E-2</v>
      </c>
      <c r="BR48" s="79">
        <f t="shared" si="36"/>
        <v>1.8193592739691372E-2</v>
      </c>
      <c r="BS48" s="79">
        <f t="shared" ref="BS48:ED51" si="38">IF(BS$9&lt;=$K$6,RATE($K$6,1,BS94,0),"")</f>
        <v>1.8187462927885686E-2</v>
      </c>
      <c r="BT48" s="79">
        <f t="shared" si="38"/>
        <v>1.8181352419353199E-2</v>
      </c>
      <c r="BU48" s="79">
        <f t="shared" si="38"/>
        <v>1.8175262545108241E-2</v>
      </c>
      <c r="BV48" s="79">
        <f t="shared" si="38"/>
        <v>1.8169194580545858E-2</v>
      </c>
      <c r="BW48" s="79">
        <f t="shared" si="38"/>
        <v>1.8163149747045328E-2</v>
      </c>
      <c r="BX48" s="79">
        <f t="shared" si="38"/>
        <v>1.8157129213535454E-2</v>
      </c>
      <c r="BY48" s="79">
        <f t="shared" si="38"/>
        <v>1.8151134098019439E-2</v>
      </c>
      <c r="BZ48" s="79">
        <f t="shared" si="38"/>
        <v>1.8145165469063213E-2</v>
      </c>
      <c r="CA48" s="79">
        <f t="shared" si="38"/>
        <v>1.8139224347245898E-2</v>
      </c>
      <c r="CB48" s="79">
        <f t="shared" si="38"/>
        <v>1.8133311706574021E-2</v>
      </c>
      <c r="CC48" s="79">
        <f t="shared" si="38"/>
        <v>1.8127428475860272E-2</v>
      </c>
      <c r="CD48" s="79">
        <f t="shared" si="38"/>
        <v>1.8121575540067939E-2</v>
      </c>
      <c r="CE48" s="79">
        <f t="shared" si="38"/>
        <v>1.8115753741620461E-2</v>
      </c>
      <c r="CF48" s="79">
        <f t="shared" si="38"/>
        <v>1.8109963881678549E-2</v>
      </c>
      <c r="CG48" s="79">
        <f t="shared" si="38"/>
        <v>1.8104206721383988E-2</v>
      </c>
      <c r="CH48" s="79">
        <f t="shared" si="38"/>
        <v>1.8098482983072494E-2</v>
      </c>
      <c r="CI48" s="79">
        <f t="shared" si="38"/>
        <v>1.8092793351454865E-2</v>
      </c>
      <c r="CJ48" s="79">
        <f t="shared" si="38"/>
        <v>1.8087138474767769E-2</v>
      </c>
      <c r="CK48" s="79">
        <f t="shared" si="38"/>
        <v>1.8081518965895022E-2</v>
      </c>
      <c r="CL48" s="79">
        <f t="shared" si="38"/>
        <v>1.8075935403460471E-2</v>
      </c>
      <c r="CM48" s="79">
        <f t="shared" si="38"/>
        <v>1.8070388332890687E-2</v>
      </c>
      <c r="CN48" s="79">
        <f t="shared" si="38"/>
        <v>1.8064878267452077E-2</v>
      </c>
      <c r="CO48" s="79">
        <f t="shared" si="38"/>
        <v>1.8059405689259438E-2</v>
      </c>
      <c r="CP48" s="79">
        <f t="shared" si="38"/>
        <v>1.8053971050258875E-2</v>
      </c>
      <c r="CQ48" s="79">
        <f t="shared" si="38"/>
        <v>1.8048574773184081E-2</v>
      </c>
      <c r="CR48" s="79">
        <f t="shared" si="38"/>
        <v>1.8043217252488888E-2</v>
      </c>
      <c r="CS48" s="79">
        <f t="shared" si="38"/>
        <v>1.8037898855253046E-2</v>
      </c>
      <c r="CT48" s="79">
        <f t="shared" si="38"/>
        <v>1.8032619922065903E-2</v>
      </c>
      <c r="CU48" s="79">
        <f t="shared" si="38"/>
        <v>1.8027380767885549E-2</v>
      </c>
      <c r="CV48" s="79">
        <f t="shared" si="38"/>
        <v>1.8022181682875272E-2</v>
      </c>
      <c r="CW48" s="79">
        <f t="shared" si="38"/>
        <v>1.8017022933217452E-2</v>
      </c>
      <c r="CX48" s="79">
        <f t="shared" si="38"/>
        <v>1.801190476190662E-2</v>
      </c>
      <c r="CY48" s="79">
        <f t="shared" si="38"/>
        <v>1.801190476190662E-2</v>
      </c>
      <c r="CZ48" s="79">
        <f t="shared" si="38"/>
        <v>1.801190476190662E-2</v>
      </c>
      <c r="DA48" s="79">
        <f t="shared" si="38"/>
        <v>1.801190476190662E-2</v>
      </c>
      <c r="DB48" s="79">
        <f t="shared" si="38"/>
        <v>1.801190476190662E-2</v>
      </c>
      <c r="DC48" s="79">
        <f t="shared" si="38"/>
        <v>1.801190476190662E-2</v>
      </c>
      <c r="DD48" s="79">
        <f t="shared" si="38"/>
        <v>1.801190476190662E-2</v>
      </c>
      <c r="DE48" s="79">
        <f t="shared" si="38"/>
        <v>1.801190476190662E-2</v>
      </c>
      <c r="DF48" s="79">
        <f t="shared" si="38"/>
        <v>1.801190476190662E-2</v>
      </c>
      <c r="DG48" s="79">
        <f t="shared" si="38"/>
        <v>1.801190476190662E-2</v>
      </c>
      <c r="DH48" s="79">
        <f t="shared" si="38"/>
        <v>1.801190476190662E-2</v>
      </c>
      <c r="DI48" s="79">
        <f t="shared" si="38"/>
        <v>1.801190476190662E-2</v>
      </c>
      <c r="DJ48" s="79">
        <f t="shared" si="38"/>
        <v>1.801190476190662E-2</v>
      </c>
      <c r="DK48" s="79">
        <f t="shared" si="38"/>
        <v>1.801190476190662E-2</v>
      </c>
      <c r="DL48" s="79">
        <f t="shared" si="38"/>
        <v>1.801190476190662E-2</v>
      </c>
      <c r="DM48" s="79">
        <f t="shared" si="38"/>
        <v>1.801190476190662E-2</v>
      </c>
      <c r="DN48" s="79">
        <f t="shared" si="38"/>
        <v>1.801190476190662E-2</v>
      </c>
      <c r="DO48" s="79">
        <f t="shared" si="38"/>
        <v>1.801190476190662E-2</v>
      </c>
      <c r="DP48" s="79">
        <f t="shared" si="38"/>
        <v>1.801190476190662E-2</v>
      </c>
      <c r="DQ48" s="79">
        <f t="shared" si="38"/>
        <v>1.801190476190662E-2</v>
      </c>
      <c r="DR48" s="79">
        <f t="shared" si="38"/>
        <v>1.801190476190662E-2</v>
      </c>
      <c r="DS48" s="79">
        <f t="shared" si="38"/>
        <v>1.801190476190662E-2</v>
      </c>
      <c r="DT48" s="79">
        <f t="shared" si="38"/>
        <v>1.801190476190662E-2</v>
      </c>
      <c r="DU48" s="79">
        <f t="shared" si="38"/>
        <v>1.801190476190662E-2</v>
      </c>
      <c r="DV48" s="79">
        <f t="shared" si="38"/>
        <v>1.801190476190662E-2</v>
      </c>
      <c r="DW48" s="79">
        <f t="shared" si="38"/>
        <v>1.801190476190662E-2</v>
      </c>
      <c r="DX48" s="79">
        <f t="shared" si="38"/>
        <v>1.801190476190662E-2</v>
      </c>
      <c r="DY48" s="79">
        <f t="shared" si="38"/>
        <v>1.801190476190662E-2</v>
      </c>
      <c r="DZ48" s="79">
        <f t="shared" si="38"/>
        <v>1.801190476190662E-2</v>
      </c>
      <c r="EA48" s="79">
        <f t="shared" si="38"/>
        <v>1.801190476190662E-2</v>
      </c>
      <c r="EB48" s="79">
        <f t="shared" si="38"/>
        <v>1.801190476190662E-2</v>
      </c>
      <c r="EC48" s="79">
        <f t="shared" si="38"/>
        <v>1.801190476190662E-2</v>
      </c>
      <c r="ED48" s="79">
        <f t="shared" si="38"/>
        <v>1.801190476190662E-2</v>
      </c>
      <c r="EE48" s="79">
        <f t="shared" si="37"/>
        <v>1.801190476190662E-2</v>
      </c>
      <c r="EF48" s="79">
        <f t="shared" si="37"/>
        <v>1.801190476190662E-2</v>
      </c>
      <c r="EG48" s="79">
        <f t="shared" si="37"/>
        <v>1.801190476190662E-2</v>
      </c>
      <c r="EH48" s="79">
        <f t="shared" si="37"/>
        <v>1.801190476190662E-2</v>
      </c>
      <c r="EI48" s="79">
        <f t="shared" si="37"/>
        <v>1.801190476190662E-2</v>
      </c>
      <c r="EJ48" s="79">
        <f t="shared" si="37"/>
        <v>1.801190476190662E-2</v>
      </c>
      <c r="EK48" s="79">
        <f t="shared" si="37"/>
        <v>1.801190476190662E-2</v>
      </c>
      <c r="EL48" s="79">
        <f t="shared" si="37"/>
        <v>1.801190476190662E-2</v>
      </c>
      <c r="EM48" s="79">
        <f t="shared" si="37"/>
        <v>1.801190476190662E-2</v>
      </c>
      <c r="EN48" s="79">
        <f t="shared" si="37"/>
        <v>1.801190476190662E-2</v>
      </c>
      <c r="EO48" s="79">
        <f t="shared" si="37"/>
        <v>1.801190476190662E-2</v>
      </c>
      <c r="EP48" s="79">
        <f t="shared" si="37"/>
        <v>1.801190476190662E-2</v>
      </c>
      <c r="EQ48" s="79">
        <f t="shared" si="37"/>
        <v>1.801190476190662E-2</v>
      </c>
      <c r="ER48" s="79">
        <f t="shared" si="37"/>
        <v>1.801190476190662E-2</v>
      </c>
      <c r="ES48" s="79">
        <f t="shared" si="37"/>
        <v>1.801190476190662E-2</v>
      </c>
      <c r="ET48" s="79">
        <f t="shared" si="37"/>
        <v>1.801190476190662E-2</v>
      </c>
      <c r="FF48" s="6" t="s">
        <v>573</v>
      </c>
      <c r="FG48" s="696">
        <v>2.5000000000000001E-2</v>
      </c>
      <c r="FH48" s="696">
        <v>120</v>
      </c>
      <c r="FI48" s="696">
        <v>1.8000000000000002E-2</v>
      </c>
      <c r="FJ48" s="255">
        <v>1.6E-2</v>
      </c>
      <c r="FK48" s="71">
        <f t="shared" si="11"/>
        <v>2.142857142857143E-4</v>
      </c>
      <c r="FL48" t="e">
        <f>VLOOKUP(FF48,'SIMULADOR COM SALDO'!$BX$22:$CK$1000,13,FALSE)</f>
        <v>#N/A</v>
      </c>
    </row>
    <row r="49" spans="5:168" x14ac:dyDescent="0.25">
      <c r="F49" s="97">
        <f t="shared" si="24"/>
        <v>1.8109523809523815E-2</v>
      </c>
      <c r="G49" s="79">
        <f t="shared" si="6"/>
        <v>1.8499755841094857E-2</v>
      </c>
      <c r="H49" s="79">
        <f t="shared" ref="H49:BS52" si="39">IF(H$9&lt;=$K$6,RATE($K$6,1,H95,0),"")</f>
        <v>1.8499276310494167E-2</v>
      </c>
      <c r="I49" s="79">
        <f t="shared" si="39"/>
        <v>1.8498569967023756E-2</v>
      </c>
      <c r="J49" s="79">
        <f t="shared" si="39"/>
        <v>1.8497645145757642E-2</v>
      </c>
      <c r="K49" s="79">
        <f t="shared" si="39"/>
        <v>1.849650996260644E-2</v>
      </c>
      <c r="L49" s="79">
        <f t="shared" si="39"/>
        <v>1.8495172318854423E-2</v>
      </c>
      <c r="M49" s="79">
        <f t="shared" si="39"/>
        <v>1.849363990564391E-2</v>
      </c>
      <c r="N49" s="79">
        <f t="shared" si="39"/>
        <v>1.8491920208405795E-2</v>
      </c>
      <c r="O49" s="79">
        <f t="shared" si="39"/>
        <v>1.8490020511236088E-2</v>
      </c>
      <c r="P49" s="79">
        <f t="shared" si="39"/>
        <v>1.8487947901213546E-2</v>
      </c>
      <c r="Q49" s="79">
        <f t="shared" si="39"/>
        <v>1.8485709272661428E-2</v>
      </c>
      <c r="R49" s="79">
        <f t="shared" si="39"/>
        <v>1.8483311331349811E-2</v>
      </c>
      <c r="S49" s="79">
        <f t="shared" si="39"/>
        <v>1.8480760598637007E-2</v>
      </c>
      <c r="T49" s="79">
        <f t="shared" si="39"/>
        <v>1.8478063415552616E-2</v>
      </c>
      <c r="U49" s="79">
        <f t="shared" si="39"/>
        <v>1.8475225946817164E-2</v>
      </c>
      <c r="V49" s="79">
        <f t="shared" si="39"/>
        <v>1.8472254184801411E-2</v>
      </c>
      <c r="W49" s="79">
        <f t="shared" si="39"/>
        <v>1.8469153953422839E-2</v>
      </c>
      <c r="X49" s="79">
        <f t="shared" si="39"/>
        <v>1.8465930911980129E-2</v>
      </c>
      <c r="Y49" s="79">
        <f t="shared" si="39"/>
        <v>1.8462590558924165E-2</v>
      </c>
      <c r="Z49" s="79">
        <f t="shared" si="39"/>
        <v>1.8459138235566743E-2</v>
      </c>
      <c r="AA49" s="79">
        <f t="shared" si="39"/>
        <v>1.8455579129726164E-2</v>
      </c>
      <c r="AB49" s="79">
        <f t="shared" si="39"/>
        <v>1.8451918279309299E-2</v>
      </c>
      <c r="AC49" s="79">
        <f t="shared" si="39"/>
        <v>1.8448160575831769E-2</v>
      </c>
      <c r="AD49" s="79">
        <f t="shared" si="39"/>
        <v>1.8444310767874474E-2</v>
      </c>
      <c r="AE49" s="79">
        <f t="shared" si="39"/>
        <v>1.8440373464477824E-2</v>
      </c>
      <c r="AF49" s="79">
        <f t="shared" si="39"/>
        <v>1.8436353138474162E-2</v>
      </c>
      <c r="AG49" s="79">
        <f t="shared" si="39"/>
        <v>1.8432254129757287E-2</v>
      </c>
      <c r="AH49" s="79">
        <f t="shared" si="39"/>
        <v>1.8428080648491663E-2</v>
      </c>
      <c r="AI49" s="79">
        <f t="shared" si="39"/>
        <v>1.8423836778258908E-2</v>
      </c>
      <c r="AJ49" s="79">
        <f t="shared" si="39"/>
        <v>1.8419526479145375E-2</v>
      </c>
      <c r="AK49" s="79">
        <f t="shared" si="39"/>
        <v>1.8415153590767733E-2</v>
      </c>
      <c r="AL49" s="79">
        <f t="shared" si="39"/>
        <v>1.8410721835240496E-2</v>
      </c>
      <c r="AM49" s="79">
        <f t="shared" si="39"/>
        <v>1.8406234820083141E-2</v>
      </c>
      <c r="AN49" s="79">
        <f t="shared" si="39"/>
        <v>1.8401696041069743E-2</v>
      </c>
      <c r="AO49" s="79">
        <f t="shared" si="39"/>
        <v>1.8397108885020136E-2</v>
      </c>
      <c r="AP49" s="79">
        <f t="shared" si="39"/>
        <v>1.8392476632534446E-2</v>
      </c>
      <c r="AQ49" s="79">
        <f t="shared" si="39"/>
        <v>1.8387802460670327E-2</v>
      </c>
      <c r="AR49" s="79">
        <f t="shared" si="39"/>
        <v>1.838308944556534E-2</v>
      </c>
      <c r="AS49" s="79">
        <f t="shared" si="39"/>
        <v>1.8378340565003239E-2</v>
      </c>
      <c r="AT49" s="79">
        <f t="shared" si="39"/>
        <v>1.8373558700926884E-2</v>
      </c>
      <c r="AU49" s="79">
        <f t="shared" si="39"/>
        <v>1.8368746641896472E-2</v>
      </c>
      <c r="AV49" s="79">
        <f t="shared" si="39"/>
        <v>1.8363907085496286E-2</v>
      </c>
      <c r="AW49" s="79">
        <f t="shared" si="39"/>
        <v>1.8359042640687946E-2</v>
      </c>
      <c r="AX49" s="79">
        <f t="shared" si="39"/>
        <v>1.8354155830113236E-2</v>
      </c>
      <c r="AY49" s="79">
        <f t="shared" si="39"/>
        <v>1.834924909234582E-2</v>
      </c>
      <c r="AZ49" s="79">
        <f t="shared" si="39"/>
        <v>1.8344324784094295E-2</v>
      </c>
      <c r="BA49" s="79">
        <f t="shared" si="39"/>
        <v>1.8339385182354929E-2</v>
      </c>
      <c r="BB49" s="79">
        <f t="shared" si="39"/>
        <v>1.8334432486516953E-2</v>
      </c>
      <c r="BC49" s="79">
        <f t="shared" si="39"/>
        <v>1.8329468820421062E-2</v>
      </c>
      <c r="BD49" s="79">
        <f t="shared" si="39"/>
        <v>1.8324496234370317E-2</v>
      </c>
      <c r="BE49" s="79">
        <f t="shared" si="39"/>
        <v>1.8319516707095793E-2</v>
      </c>
      <c r="BF49" s="79">
        <f t="shared" si="39"/>
        <v>1.8314532147677715E-2</v>
      </c>
      <c r="BG49" s="79">
        <f t="shared" si="39"/>
        <v>1.8309544397421544E-2</v>
      </c>
      <c r="BH49" s="79">
        <f t="shared" si="39"/>
        <v>1.8304555231691978E-2</v>
      </c>
      <c r="BI49" s="79">
        <f t="shared" si="39"/>
        <v>1.829956636170299E-2</v>
      </c>
      <c r="BJ49" s="79">
        <f t="shared" si="39"/>
        <v>1.8294579436267562E-2</v>
      </c>
      <c r="BK49" s="79">
        <f t="shared" si="39"/>
        <v>1.8289596043504979E-2</v>
      </c>
      <c r="BL49" s="79">
        <f t="shared" si="39"/>
        <v>1.8284617712509461E-2</v>
      </c>
      <c r="BM49" s="79">
        <f t="shared" si="39"/>
        <v>1.8279645914977844E-2</v>
      </c>
      <c r="BN49" s="79">
        <f t="shared" si="39"/>
        <v>1.8274682066800062E-2</v>
      </c>
      <c r="BO49" s="79">
        <f t="shared" si="39"/>
        <v>1.8269727529610716E-2</v>
      </c>
      <c r="BP49" s="79">
        <f t="shared" si="39"/>
        <v>1.8264783612303759E-2</v>
      </c>
      <c r="BQ49" s="79">
        <f t="shared" si="39"/>
        <v>1.8259851572510949E-2</v>
      </c>
      <c r="BR49" s="79">
        <f t="shared" si="39"/>
        <v>1.8254932618044756E-2</v>
      </c>
      <c r="BS49" s="79">
        <f t="shared" si="39"/>
        <v>1.825002790830604E-2</v>
      </c>
      <c r="BT49" s="79">
        <f t="shared" si="38"/>
        <v>1.8245138555657393E-2</v>
      </c>
      <c r="BU49" s="79">
        <f t="shared" si="38"/>
        <v>1.8240265626763084E-2</v>
      </c>
      <c r="BV49" s="79">
        <f t="shared" si="38"/>
        <v>1.8235410143897079E-2</v>
      </c>
      <c r="BW49" s="79">
        <f t="shared" si="38"/>
        <v>1.8230573086216839E-2</v>
      </c>
      <c r="BX49" s="79">
        <f t="shared" si="38"/>
        <v>1.8225755391008406E-2</v>
      </c>
      <c r="BY49" s="79">
        <f t="shared" si="38"/>
        <v>1.8220957954898191E-2</v>
      </c>
      <c r="BZ49" s="79">
        <f t="shared" si="38"/>
        <v>1.8216181635036174E-2</v>
      </c>
      <c r="CA49" s="79">
        <f t="shared" si="38"/>
        <v>1.8211427250249032E-2</v>
      </c>
      <c r="CB49" s="79">
        <f t="shared" si="38"/>
        <v>1.820669558216486E-2</v>
      </c>
      <c r="CC49" s="79">
        <f t="shared" si="38"/>
        <v>1.8201987376309302E-2</v>
      </c>
      <c r="CD49" s="79">
        <f t="shared" si="38"/>
        <v>1.8197303343173966E-2</v>
      </c>
      <c r="CE49" s="79">
        <f t="shared" si="38"/>
        <v>1.8192644159258965E-2</v>
      </c>
      <c r="CF49" s="79">
        <f t="shared" si="38"/>
        <v>1.8188010468087254E-2</v>
      </c>
      <c r="CG49" s="79">
        <f t="shared" si="38"/>
        <v>1.8183402881194896E-2</v>
      </c>
      <c r="CH49" s="79">
        <f t="shared" si="38"/>
        <v>1.8178821979094893E-2</v>
      </c>
      <c r="CI49" s="79">
        <f t="shared" si="38"/>
        <v>1.8174268312217801E-2</v>
      </c>
      <c r="CJ49" s="79">
        <f t="shared" si="38"/>
        <v>1.8169742401826356E-2</v>
      </c>
      <c r="CK49" s="79">
        <f t="shared" si="38"/>
        <v>1.816524474090821E-2</v>
      </c>
      <c r="CL49" s="79">
        <f t="shared" si="38"/>
        <v>1.8160775795045006E-2</v>
      </c>
      <c r="CM49" s="79">
        <f t="shared" si="38"/>
        <v>1.8156336003258999E-2</v>
      </c>
      <c r="CN49" s="79">
        <f t="shared" si="38"/>
        <v>1.8151925778837567E-2</v>
      </c>
      <c r="CO49" s="79">
        <f t="shared" si="38"/>
        <v>1.8147545510136816E-2</v>
      </c>
      <c r="CP49" s="79">
        <f t="shared" si="38"/>
        <v>1.8143195561363477E-2</v>
      </c>
      <c r="CQ49" s="79">
        <f t="shared" si="38"/>
        <v>1.8138876273337677E-2</v>
      </c>
      <c r="CR49" s="79">
        <f t="shared" si="38"/>
        <v>1.8134587964233499E-2</v>
      </c>
      <c r="CS49" s="79">
        <f t="shared" si="38"/>
        <v>1.8130330930302786E-2</v>
      </c>
      <c r="CT49" s="79">
        <f t="shared" si="38"/>
        <v>1.8126105446577501E-2</v>
      </c>
      <c r="CU49" s="79">
        <f t="shared" si="38"/>
        <v>1.8121911767554611E-2</v>
      </c>
      <c r="CV49" s="79">
        <f t="shared" si="38"/>
        <v>1.8117750127863125E-2</v>
      </c>
      <c r="CW49" s="79">
        <f t="shared" si="38"/>
        <v>1.8113620742912756E-2</v>
      </c>
      <c r="CX49" s="79">
        <f t="shared" si="38"/>
        <v>1.8109523809525362E-2</v>
      </c>
      <c r="CY49" s="79">
        <f t="shared" si="38"/>
        <v>1.8109523809525362E-2</v>
      </c>
      <c r="CZ49" s="79">
        <f t="shared" si="38"/>
        <v>1.8109523809525362E-2</v>
      </c>
      <c r="DA49" s="79">
        <f t="shared" si="38"/>
        <v>1.8109523809525362E-2</v>
      </c>
      <c r="DB49" s="79">
        <f t="shared" si="38"/>
        <v>1.8109523809525362E-2</v>
      </c>
      <c r="DC49" s="79">
        <f t="shared" si="38"/>
        <v>1.8109523809525362E-2</v>
      </c>
      <c r="DD49" s="79">
        <f t="shared" si="38"/>
        <v>1.8109523809525362E-2</v>
      </c>
      <c r="DE49" s="79">
        <f t="shared" si="38"/>
        <v>1.8109523809525362E-2</v>
      </c>
      <c r="DF49" s="79">
        <f t="shared" si="38"/>
        <v>1.8109523809525362E-2</v>
      </c>
      <c r="DG49" s="79">
        <f t="shared" si="38"/>
        <v>1.8109523809525362E-2</v>
      </c>
      <c r="DH49" s="79">
        <f t="shared" si="38"/>
        <v>1.8109523809525362E-2</v>
      </c>
      <c r="DI49" s="79">
        <f t="shared" si="38"/>
        <v>1.8109523809525362E-2</v>
      </c>
      <c r="DJ49" s="79">
        <f t="shared" si="38"/>
        <v>1.8109523809525362E-2</v>
      </c>
      <c r="DK49" s="79">
        <f t="shared" si="38"/>
        <v>1.8109523809525362E-2</v>
      </c>
      <c r="DL49" s="79">
        <f t="shared" si="38"/>
        <v>1.8109523809525362E-2</v>
      </c>
      <c r="DM49" s="79">
        <f t="shared" si="38"/>
        <v>1.8109523809525362E-2</v>
      </c>
      <c r="DN49" s="79">
        <f t="shared" si="38"/>
        <v>1.8109523809525362E-2</v>
      </c>
      <c r="DO49" s="79">
        <f t="shared" si="38"/>
        <v>1.8109523809525362E-2</v>
      </c>
      <c r="DP49" s="79">
        <f t="shared" si="38"/>
        <v>1.8109523809525362E-2</v>
      </c>
      <c r="DQ49" s="79">
        <f t="shared" si="38"/>
        <v>1.8109523809525362E-2</v>
      </c>
      <c r="DR49" s="79">
        <f t="shared" si="38"/>
        <v>1.8109523809525362E-2</v>
      </c>
      <c r="DS49" s="79">
        <f t="shared" si="38"/>
        <v>1.8109523809525362E-2</v>
      </c>
      <c r="DT49" s="79">
        <f t="shared" si="38"/>
        <v>1.8109523809525362E-2</v>
      </c>
      <c r="DU49" s="79">
        <f t="shared" si="38"/>
        <v>1.8109523809525362E-2</v>
      </c>
      <c r="DV49" s="79">
        <f t="shared" si="38"/>
        <v>1.8109523809525362E-2</v>
      </c>
      <c r="DW49" s="79">
        <f t="shared" si="38"/>
        <v>1.8109523809525362E-2</v>
      </c>
      <c r="DX49" s="79">
        <f t="shared" si="38"/>
        <v>1.8109523809525362E-2</v>
      </c>
      <c r="DY49" s="79">
        <f t="shared" si="38"/>
        <v>1.8109523809525362E-2</v>
      </c>
      <c r="DZ49" s="79">
        <f t="shared" si="38"/>
        <v>1.8109523809525362E-2</v>
      </c>
      <c r="EA49" s="79">
        <f t="shared" si="38"/>
        <v>1.8109523809525362E-2</v>
      </c>
      <c r="EB49" s="79">
        <f t="shared" si="38"/>
        <v>1.8109523809525362E-2</v>
      </c>
      <c r="EC49" s="79">
        <f t="shared" si="38"/>
        <v>1.8109523809525362E-2</v>
      </c>
      <c r="ED49" s="79">
        <f t="shared" si="38"/>
        <v>1.8109523809525362E-2</v>
      </c>
      <c r="EE49" s="79">
        <f t="shared" si="37"/>
        <v>1.8109523809525362E-2</v>
      </c>
      <c r="EF49" s="79">
        <f t="shared" si="37"/>
        <v>1.8109523809525362E-2</v>
      </c>
      <c r="EG49" s="79">
        <f t="shared" si="37"/>
        <v>1.8109523809525362E-2</v>
      </c>
      <c r="EH49" s="79">
        <f t="shared" si="37"/>
        <v>1.8109523809525362E-2</v>
      </c>
      <c r="EI49" s="79">
        <f t="shared" si="37"/>
        <v>1.8109523809525362E-2</v>
      </c>
      <c r="EJ49" s="79">
        <f t="shared" si="37"/>
        <v>1.8109523809525362E-2</v>
      </c>
      <c r="EK49" s="79">
        <f t="shared" si="37"/>
        <v>1.8109523809525362E-2</v>
      </c>
      <c r="EL49" s="79">
        <f t="shared" si="37"/>
        <v>1.8109523809525362E-2</v>
      </c>
      <c r="EM49" s="79">
        <f t="shared" si="37"/>
        <v>1.8109523809525362E-2</v>
      </c>
      <c r="EN49" s="79">
        <f t="shared" si="37"/>
        <v>1.8109523809525362E-2</v>
      </c>
      <c r="EO49" s="79">
        <f t="shared" si="37"/>
        <v>1.8109523809525362E-2</v>
      </c>
      <c r="EP49" s="79">
        <f t="shared" si="37"/>
        <v>1.8109523809525362E-2</v>
      </c>
      <c r="EQ49" s="79">
        <f t="shared" si="37"/>
        <v>1.8109523809525362E-2</v>
      </c>
      <c r="ER49" s="79">
        <f t="shared" si="37"/>
        <v>1.8109523809525362E-2</v>
      </c>
      <c r="ES49" s="79">
        <f t="shared" si="37"/>
        <v>1.8109523809525362E-2</v>
      </c>
      <c r="ET49" s="79">
        <f t="shared" si="37"/>
        <v>1.8109523809525362E-2</v>
      </c>
      <c r="FF49" s="6" t="s">
        <v>3007</v>
      </c>
      <c r="FG49" s="696">
        <v>2.5000000000000001E-2</v>
      </c>
      <c r="FH49" s="696">
        <v>120</v>
      </c>
      <c r="FI49" s="696">
        <v>1.8000000000000002E-2</v>
      </c>
      <c r="FJ49" s="255">
        <v>1.6E-2</v>
      </c>
      <c r="FK49" s="71">
        <f t="shared" si="11"/>
        <v>2.142857142857143E-4</v>
      </c>
      <c r="FL49" t="e">
        <f>VLOOKUP(FF49,'SIMULADOR COM SALDO'!$BX$22:$CK$1000,13,FALSE)</f>
        <v>#N/A</v>
      </c>
    </row>
    <row r="50" spans="5:168" x14ac:dyDescent="0.25">
      <c r="F50" s="97">
        <f t="shared" si="24"/>
        <v>1.8207142857142863E-2</v>
      </c>
      <c r="G50" s="79">
        <f t="shared" si="6"/>
        <v>1.8499816898075963E-2</v>
      </c>
      <c r="H50" s="79">
        <f t="shared" si="39"/>
        <v>1.8499457299499519E-2</v>
      </c>
      <c r="I50" s="79">
        <f t="shared" si="39"/>
        <v>1.8498927635783875E-2</v>
      </c>
      <c r="J50" s="79">
        <f t="shared" si="39"/>
        <v>1.8498234168383771E-2</v>
      </c>
      <c r="K50" s="79">
        <f t="shared" si="39"/>
        <v>1.8497382992347648E-2</v>
      </c>
      <c r="L50" s="79">
        <f t="shared" si="39"/>
        <v>1.8496380039916563E-2</v>
      </c>
      <c r="M50" s="79">
        <f t="shared" si="39"/>
        <v>1.8495231084070543E-2</v>
      </c>
      <c r="N50" s="79">
        <f t="shared" si="39"/>
        <v>1.8493941742020535E-2</v>
      </c>
      <c r="O50" s="79">
        <f t="shared" si="39"/>
        <v>1.8492517478647916E-2</v>
      </c>
      <c r="P50" s="79">
        <f t="shared" si="39"/>
        <v>1.8490963609888712E-2</v>
      </c>
      <c r="Q50" s="79">
        <f t="shared" si="39"/>
        <v>1.8489285306064123E-2</v>
      </c>
      <c r="R50" s="79">
        <f t="shared" si="39"/>
        <v>1.8487487595157292E-2</v>
      </c>
      <c r="S50" s="79">
        <f t="shared" si="39"/>
        <v>1.8485575366034093E-2</v>
      </c>
      <c r="T50" s="79">
        <f t="shared" si="39"/>
        <v>1.8483553371610919E-2</v>
      </c>
      <c r="U50" s="79">
        <f t="shared" si="39"/>
        <v>1.8481426231967298E-2</v>
      </c>
      <c r="V50" s="79">
        <f t="shared" si="39"/>
        <v>1.8479198437405191E-2</v>
      </c>
      <c r="W50" s="79">
        <f t="shared" si="39"/>
        <v>1.8476874351452514E-2</v>
      </c>
      <c r="X50" s="79">
        <f t="shared" si="39"/>
        <v>1.8474458213814712E-2</v>
      </c>
      <c r="Y50" s="79">
        <f t="shared" si="39"/>
        <v>1.8471954143271602E-2</v>
      </c>
      <c r="Z50" s="79">
        <f t="shared" si="39"/>
        <v>1.8469366140521179E-2</v>
      </c>
      <c r="AA50" s="79">
        <f t="shared" si="39"/>
        <v>1.8466698090970908E-2</v>
      </c>
      <c r="AB50" s="79">
        <f t="shared" si="39"/>
        <v>1.8463953767475682E-2</v>
      </c>
      <c r="AC50" s="79">
        <f t="shared" si="39"/>
        <v>1.8461136833024659E-2</v>
      </c>
      <c r="AD50" s="79">
        <f t="shared" si="39"/>
        <v>1.845825084337532E-2</v>
      </c>
      <c r="AE50" s="79">
        <f t="shared" si="39"/>
        <v>1.8455299249637829E-2</v>
      </c>
      <c r="AF50" s="79">
        <f t="shared" si="39"/>
        <v>1.8452285400806595E-2</v>
      </c>
      <c r="AG50" s="79">
        <f t="shared" si="39"/>
        <v>1.8449212546244136E-2</v>
      </c>
      <c r="AH50" s="79">
        <f t="shared" si="39"/>
        <v>1.8446083838113143E-2</v>
      </c>
      <c r="AI50" s="79">
        <f t="shared" si="39"/>
        <v>1.844290233376087E-2</v>
      </c>
      <c r="AJ50" s="79">
        <f t="shared" si="39"/>
        <v>1.8439670998055165E-2</v>
      </c>
      <c r="AK50" s="79">
        <f t="shared" si="39"/>
        <v>1.8436392705670879E-2</v>
      </c>
      <c r="AL50" s="79">
        <f t="shared" si="39"/>
        <v>1.8433070243331517E-2</v>
      </c>
      <c r="AM50" s="79">
        <f t="shared" si="39"/>
        <v>1.8429706312002303E-2</v>
      </c>
      <c r="AN50" s="79">
        <f t="shared" si="39"/>
        <v>1.8426303529038613E-2</v>
      </c>
      <c r="AO50" s="79">
        <f t="shared" si="39"/>
        <v>1.8422864430287685E-2</v>
      </c>
      <c r="AP50" s="79">
        <f t="shared" si="39"/>
        <v>1.8419391472147318E-2</v>
      </c>
      <c r="AQ50" s="79">
        <f t="shared" si="39"/>
        <v>1.841588703357926E-2</v>
      </c>
      <c r="AR50" s="79">
        <f t="shared" si="39"/>
        <v>1.841235341807938E-2</v>
      </c>
      <c r="AS50" s="79">
        <f t="shared" si="39"/>
        <v>1.8408792855606475E-2</v>
      </c>
      <c r="AT50" s="79">
        <f t="shared" si="39"/>
        <v>1.8405207504466805E-2</v>
      </c>
      <c r="AU50" s="79">
        <f t="shared" si="39"/>
        <v>1.8401599453159511E-2</v>
      </c>
      <c r="AV50" s="79">
        <f t="shared" si="39"/>
        <v>1.8397970722180253E-2</v>
      </c>
      <c r="AW50" s="79">
        <f t="shared" si="39"/>
        <v>1.8394323265784406E-2</v>
      </c>
      <c r="AX50" s="79">
        <f t="shared" si="39"/>
        <v>1.8390658973712993E-2</v>
      </c>
      <c r="AY50" s="79">
        <f t="shared" si="39"/>
        <v>1.8386979672877016E-2</v>
      </c>
      <c r="AZ50" s="79">
        <f t="shared" si="39"/>
        <v>1.8383287129006946E-2</v>
      </c>
      <c r="BA50" s="79">
        <f t="shared" si="39"/>
        <v>1.8379583048262396E-2</v>
      </c>
      <c r="BB50" s="79">
        <f t="shared" si="39"/>
        <v>1.8375869078807127E-2</v>
      </c>
      <c r="BC50" s="79">
        <f t="shared" si="39"/>
        <v>1.837214681234646E-2</v>
      </c>
      <c r="BD50" s="79">
        <f t="shared" si="39"/>
        <v>1.8368417785630718E-2</v>
      </c>
      <c r="BE50" s="79">
        <f t="shared" si="39"/>
        <v>1.836468348192365E-2</v>
      </c>
      <c r="BF50" s="79">
        <f t="shared" si="39"/>
        <v>1.8360945332436634E-2</v>
      </c>
      <c r="BG50" s="79">
        <f t="shared" si="39"/>
        <v>1.8357204717729472E-2</v>
      </c>
      <c r="BH50" s="79">
        <f t="shared" si="39"/>
        <v>1.8353462969079536E-2</v>
      </c>
      <c r="BI50" s="79">
        <f t="shared" si="39"/>
        <v>1.8349721369817121E-2</v>
      </c>
      <c r="BJ50" s="79">
        <f t="shared" si="39"/>
        <v>1.8345981156631375E-2</v>
      </c>
      <c r="BK50" s="79">
        <f t="shared" si="39"/>
        <v>1.834224352084356E-2</v>
      </c>
      <c r="BL50" s="79">
        <f t="shared" si="39"/>
        <v>1.8338509609651596E-2</v>
      </c>
      <c r="BM50" s="79">
        <f t="shared" si="39"/>
        <v>1.8334780527344326E-2</v>
      </c>
      <c r="BN50" s="79">
        <f t="shared" si="39"/>
        <v>1.833105733648667E-2</v>
      </c>
      <c r="BO50" s="79">
        <f t="shared" si="39"/>
        <v>1.8327341059077011E-2</v>
      </c>
      <c r="BP50" s="79">
        <f t="shared" si="39"/>
        <v>1.8323632677676099E-2</v>
      </c>
      <c r="BQ50" s="79">
        <f t="shared" si="39"/>
        <v>1.8319933136509325E-2</v>
      </c>
      <c r="BR50" s="79">
        <f t="shared" si="39"/>
        <v>1.8316243342541953E-2</v>
      </c>
      <c r="BS50" s="79">
        <f t="shared" si="39"/>
        <v>1.8312564166528073E-2</v>
      </c>
      <c r="BT50" s="79">
        <f t="shared" si="38"/>
        <v>1.8308896444034911E-2</v>
      </c>
      <c r="BU50" s="79">
        <f t="shared" si="38"/>
        <v>1.8305240976440987E-2</v>
      </c>
      <c r="BV50" s="79">
        <f t="shared" si="38"/>
        <v>1.8301598531910334E-2</v>
      </c>
      <c r="BW50" s="79">
        <f t="shared" si="38"/>
        <v>1.8297969846343274E-2</v>
      </c>
      <c r="BX50" s="79">
        <f t="shared" si="38"/>
        <v>1.8294355624302754E-2</v>
      </c>
      <c r="BY50" s="79">
        <f t="shared" si="38"/>
        <v>1.8290756539918213E-2</v>
      </c>
      <c r="BZ50" s="79">
        <f t="shared" si="38"/>
        <v>1.828717323776765E-2</v>
      </c>
      <c r="CA50" s="79">
        <f t="shared" si="38"/>
        <v>1.8283606333736217E-2</v>
      </c>
      <c r="CB50" s="79">
        <f t="shared" si="38"/>
        <v>1.828005641585562E-2</v>
      </c>
      <c r="CC50" s="79">
        <f t="shared" si="38"/>
        <v>1.8276524045119966E-2</v>
      </c>
      <c r="CD50" s="79">
        <f t="shared" si="38"/>
        <v>1.8273009756283213E-2</v>
      </c>
      <c r="CE50" s="79">
        <f t="shared" si="38"/>
        <v>1.8269514058635423E-2</v>
      </c>
      <c r="CF50" s="79">
        <f t="shared" si="38"/>
        <v>1.8266037436759947E-2</v>
      </c>
      <c r="CG50" s="79">
        <f t="shared" si="38"/>
        <v>1.8262580351270971E-2</v>
      </c>
      <c r="CH50" s="79">
        <f t="shared" si="38"/>
        <v>1.8259143239532875E-2</v>
      </c>
      <c r="CI50" s="79">
        <f t="shared" si="38"/>
        <v>1.8255726516360888E-2</v>
      </c>
      <c r="CJ50" s="79">
        <f t="shared" si="38"/>
        <v>1.8252330574704014E-2</v>
      </c>
      <c r="CK50" s="79">
        <f t="shared" si="38"/>
        <v>1.8248955786310566E-2</v>
      </c>
      <c r="CL50" s="79">
        <f t="shared" si="38"/>
        <v>1.8245602502376272E-2</v>
      </c>
      <c r="CM50" s="79">
        <f t="shared" si="38"/>
        <v>1.8242271054176366E-2</v>
      </c>
      <c r="CN50" s="79">
        <f t="shared" si="38"/>
        <v>1.8238961753680522E-2</v>
      </c>
      <c r="CO50" s="79">
        <f t="shared" si="38"/>
        <v>1.8235674894152804E-2</v>
      </c>
      <c r="CP50" s="79">
        <f t="shared" si="38"/>
        <v>1.8232410750734947E-2</v>
      </c>
      <c r="CQ50" s="79">
        <f t="shared" si="38"/>
        <v>1.8229169581015892E-2</v>
      </c>
      <c r="CR50" s="79">
        <f t="shared" si="38"/>
        <v>1.8225951625584817E-2</v>
      </c>
      <c r="CS50" s="79">
        <f t="shared" si="38"/>
        <v>1.8222757108571335E-2</v>
      </c>
      <c r="CT50" s="79">
        <f t="shared" si="38"/>
        <v>1.8219586238170452E-2</v>
      </c>
      <c r="CU50" s="79">
        <f t="shared" si="38"/>
        <v>1.8216439207153712E-2</v>
      </c>
      <c r="CV50" s="79">
        <f t="shared" si="38"/>
        <v>1.8213316193367638E-2</v>
      </c>
      <c r="CW50" s="79">
        <f t="shared" si="38"/>
        <v>1.8210217360218543E-2</v>
      </c>
      <c r="CX50" s="79">
        <f t="shared" si="38"/>
        <v>1.8207142857144133E-2</v>
      </c>
      <c r="CY50" s="79">
        <f t="shared" si="38"/>
        <v>1.8207142857144133E-2</v>
      </c>
      <c r="CZ50" s="79">
        <f t="shared" si="38"/>
        <v>1.8207142857144133E-2</v>
      </c>
      <c r="DA50" s="79">
        <f t="shared" si="38"/>
        <v>1.8207142857144133E-2</v>
      </c>
      <c r="DB50" s="79">
        <f t="shared" si="38"/>
        <v>1.8207142857144133E-2</v>
      </c>
      <c r="DC50" s="79">
        <f t="shared" si="38"/>
        <v>1.8207142857144133E-2</v>
      </c>
      <c r="DD50" s="79">
        <f t="shared" si="38"/>
        <v>1.8207142857144133E-2</v>
      </c>
      <c r="DE50" s="79">
        <f t="shared" si="38"/>
        <v>1.8207142857144133E-2</v>
      </c>
      <c r="DF50" s="79">
        <f t="shared" si="38"/>
        <v>1.8207142857144133E-2</v>
      </c>
      <c r="DG50" s="79">
        <f t="shared" si="38"/>
        <v>1.8207142857144133E-2</v>
      </c>
      <c r="DH50" s="79">
        <f t="shared" si="38"/>
        <v>1.8207142857144133E-2</v>
      </c>
      <c r="DI50" s="79">
        <f t="shared" si="38"/>
        <v>1.8207142857144133E-2</v>
      </c>
      <c r="DJ50" s="79">
        <f t="shared" si="38"/>
        <v>1.8207142857144133E-2</v>
      </c>
      <c r="DK50" s="79">
        <f t="shared" si="38"/>
        <v>1.8207142857144133E-2</v>
      </c>
      <c r="DL50" s="79">
        <f t="shared" si="38"/>
        <v>1.8207142857144133E-2</v>
      </c>
      <c r="DM50" s="79">
        <f t="shared" si="38"/>
        <v>1.8207142857144133E-2</v>
      </c>
      <c r="DN50" s="79">
        <f t="shared" si="38"/>
        <v>1.8207142857144133E-2</v>
      </c>
      <c r="DO50" s="79">
        <f t="shared" si="38"/>
        <v>1.8207142857144133E-2</v>
      </c>
      <c r="DP50" s="79">
        <f t="shared" si="38"/>
        <v>1.8207142857144133E-2</v>
      </c>
      <c r="DQ50" s="79">
        <f t="shared" si="38"/>
        <v>1.8207142857144133E-2</v>
      </c>
      <c r="DR50" s="79">
        <f t="shared" si="38"/>
        <v>1.8207142857144133E-2</v>
      </c>
      <c r="DS50" s="79">
        <f t="shared" si="38"/>
        <v>1.8207142857144133E-2</v>
      </c>
      <c r="DT50" s="79">
        <f t="shared" si="38"/>
        <v>1.8207142857144133E-2</v>
      </c>
      <c r="DU50" s="79">
        <f t="shared" si="38"/>
        <v>1.8207142857144133E-2</v>
      </c>
      <c r="DV50" s="79">
        <f t="shared" si="38"/>
        <v>1.8207142857144133E-2</v>
      </c>
      <c r="DW50" s="79">
        <f t="shared" si="38"/>
        <v>1.8207142857144133E-2</v>
      </c>
      <c r="DX50" s="79">
        <f t="shared" si="38"/>
        <v>1.8207142857144133E-2</v>
      </c>
      <c r="DY50" s="79">
        <f t="shared" si="38"/>
        <v>1.8207142857144133E-2</v>
      </c>
      <c r="DZ50" s="79">
        <f t="shared" si="38"/>
        <v>1.8207142857144133E-2</v>
      </c>
      <c r="EA50" s="79">
        <f t="shared" si="38"/>
        <v>1.8207142857144133E-2</v>
      </c>
      <c r="EB50" s="79">
        <f t="shared" si="38"/>
        <v>1.8207142857144133E-2</v>
      </c>
      <c r="EC50" s="79">
        <f t="shared" si="38"/>
        <v>1.8207142857144133E-2</v>
      </c>
      <c r="ED50" s="79">
        <f t="shared" si="38"/>
        <v>1.8207142857144133E-2</v>
      </c>
      <c r="EE50" s="79">
        <f t="shared" si="37"/>
        <v>1.8207142857144133E-2</v>
      </c>
      <c r="EF50" s="79">
        <f t="shared" si="37"/>
        <v>1.8207142857144133E-2</v>
      </c>
      <c r="EG50" s="79">
        <f t="shared" si="37"/>
        <v>1.8207142857144133E-2</v>
      </c>
      <c r="EH50" s="79">
        <f t="shared" si="37"/>
        <v>1.8207142857144133E-2</v>
      </c>
      <c r="EI50" s="79">
        <f t="shared" si="37"/>
        <v>1.8207142857144133E-2</v>
      </c>
      <c r="EJ50" s="79">
        <f t="shared" si="37"/>
        <v>1.8207142857144133E-2</v>
      </c>
      <c r="EK50" s="79">
        <f t="shared" si="37"/>
        <v>1.8207142857144133E-2</v>
      </c>
      <c r="EL50" s="79">
        <f t="shared" si="37"/>
        <v>1.8207142857144133E-2</v>
      </c>
      <c r="EM50" s="79">
        <f t="shared" si="37"/>
        <v>1.8207142857144133E-2</v>
      </c>
      <c r="EN50" s="79">
        <f t="shared" si="37"/>
        <v>1.8207142857144133E-2</v>
      </c>
      <c r="EO50" s="79">
        <f t="shared" si="37"/>
        <v>1.8207142857144133E-2</v>
      </c>
      <c r="EP50" s="79">
        <f t="shared" si="37"/>
        <v>1.8207142857144133E-2</v>
      </c>
      <c r="EQ50" s="79">
        <f t="shared" si="37"/>
        <v>1.8207142857144133E-2</v>
      </c>
      <c r="ER50" s="79">
        <f t="shared" si="37"/>
        <v>1.8207142857144133E-2</v>
      </c>
      <c r="ES50" s="79">
        <f t="shared" si="37"/>
        <v>1.8207142857144133E-2</v>
      </c>
      <c r="ET50" s="79">
        <f t="shared" si="37"/>
        <v>1.8207142857144133E-2</v>
      </c>
      <c r="FF50" s="6" t="s">
        <v>1013</v>
      </c>
      <c r="FG50" s="696">
        <v>2.0499999999999997E-2</v>
      </c>
      <c r="FH50" s="696">
        <v>120</v>
      </c>
      <c r="FI50" s="696">
        <v>1.6E-2</v>
      </c>
      <c r="FJ50" s="255">
        <v>1.43E-2</v>
      </c>
      <c r="FK50" s="71">
        <f t="shared" si="11"/>
        <v>1.4761904761904755E-4</v>
      </c>
      <c r="FL50" t="e">
        <f>VLOOKUP(FF50,'SIMULADOR COM SALDO'!$BX$22:$CK$1000,13,FALSE)</f>
        <v>#N/A</v>
      </c>
    </row>
    <row r="51" spans="5:168" x14ac:dyDescent="0.25">
      <c r="F51" s="97">
        <f t="shared" si="24"/>
        <v>1.830476190476191E-2</v>
      </c>
      <c r="G51" s="79">
        <f t="shared" si="6"/>
        <v>1.8499877943551749E-2</v>
      </c>
      <c r="H51" s="79">
        <f t="shared" si="39"/>
        <v>1.8499638244075516E-2</v>
      </c>
      <c r="I51" s="79">
        <f t="shared" si="39"/>
        <v>1.8499285197505037E-2</v>
      </c>
      <c r="J51" s="79">
        <f t="shared" si="39"/>
        <v>1.8498822984904767E-2</v>
      </c>
      <c r="K51" s="79">
        <f t="shared" si="39"/>
        <v>1.8498255675046482E-2</v>
      </c>
      <c r="L51" s="79">
        <f t="shared" si="39"/>
        <v>1.8497587226939022E-2</v>
      </c>
      <c r="M51" s="79">
        <f t="shared" si="39"/>
        <v>1.8496821492315206E-2</v>
      </c>
      <c r="N51" s="79">
        <f t="shared" si="39"/>
        <v>1.8495962218072152E-2</v>
      </c>
      <c r="O51" s="79">
        <f t="shared" si="39"/>
        <v>1.8495013048669569E-2</v>
      </c>
      <c r="P51" s="79">
        <f t="shared" si="39"/>
        <v>1.8493977528483023E-2</v>
      </c>
      <c r="Q51" s="79">
        <f t="shared" si="39"/>
        <v>1.8492859104114166E-2</v>
      </c>
      <c r="R51" s="79">
        <f t="shared" si="39"/>
        <v>1.8491661126657639E-2</v>
      </c>
      <c r="S51" s="79">
        <f t="shared" si="39"/>
        <v>1.849038685392556E-2</v>
      </c>
      <c r="T51" s="79">
        <f t="shared" si="39"/>
        <v>1.8489039452629332E-2</v>
      </c>
      <c r="U51" s="79">
        <f t="shared" si="39"/>
        <v>1.8487622000520128E-2</v>
      </c>
      <c r="V51" s="79">
        <f t="shared" si="39"/>
        <v>1.8486137488486949E-2</v>
      </c>
      <c r="W51" s="79">
        <f t="shared" si="39"/>
        <v>1.8484588822614778E-2</v>
      </c>
      <c r="X51" s="79">
        <f t="shared" si="39"/>
        <v>1.8482978826201441E-2</v>
      </c>
      <c r="Y51" s="79">
        <f t="shared" si="39"/>
        <v>1.8481310241735029E-2</v>
      </c>
      <c r="Z51" s="79">
        <f t="shared" si="39"/>
        <v>1.8479585732830237E-2</v>
      </c>
      <c r="AA51" s="79">
        <f t="shared" si="39"/>
        <v>1.847780788612869E-2</v>
      </c>
      <c r="AB51" s="79">
        <f t="shared" si="39"/>
        <v>1.8475979213156784E-2</v>
      </c>
      <c r="AC51" s="79">
        <f t="shared" si="39"/>
        <v>1.8474102152149334E-2</v>
      </c>
      <c r="AD51" s="79">
        <f t="shared" si="39"/>
        <v>1.8472179069832444E-2</v>
      </c>
      <c r="AE51" s="79">
        <f t="shared" si="39"/>
        <v>1.84702122631718E-2</v>
      </c>
      <c r="AF51" s="79">
        <f t="shared" si="39"/>
        <v>1.8468203961083667E-2</v>
      </c>
      <c r="AG51" s="79">
        <f t="shared" si="39"/>
        <v>1.8466156326109161E-2</v>
      </c>
      <c r="AH51" s="79">
        <f t="shared" si="39"/>
        <v>1.8464071456054661E-2</v>
      </c>
      <c r="AI51" s="79">
        <f t="shared" si="39"/>
        <v>1.8461951385596871E-2</v>
      </c>
      <c r="AJ51" s="79">
        <f t="shared" si="39"/>
        <v>1.8459798087852544E-2</v>
      </c>
      <c r="AK51" s="79">
        <f t="shared" si="39"/>
        <v>1.8457613475916609E-2</v>
      </c>
      <c r="AL51" s="79">
        <f t="shared" si="39"/>
        <v>1.8455399404365136E-2</v>
      </c>
      <c r="AM51" s="79">
        <f t="shared" si="39"/>
        <v>1.8453157670727121E-2</v>
      </c>
      <c r="AN51" s="79">
        <f t="shared" si="39"/>
        <v>1.8450890016923089E-2</v>
      </c>
      <c r="AO51" s="79">
        <f t="shared" si="39"/>
        <v>1.8448598130673531E-2</v>
      </c>
      <c r="AP51" s="79">
        <f t="shared" si="39"/>
        <v>1.8446283646874475E-2</v>
      </c>
      <c r="AQ51" s="79">
        <f t="shared" si="39"/>
        <v>1.8443948148945177E-2</v>
      </c>
      <c r="AR51" s="79">
        <f t="shared" si="39"/>
        <v>1.8441593170142989E-2</v>
      </c>
      <c r="AS51" s="79">
        <f t="shared" si="39"/>
        <v>1.8439220194851443E-2</v>
      </c>
      <c r="AT51" s="79">
        <f t="shared" si="39"/>
        <v>1.8436830659838335E-2</v>
      </c>
      <c r="AU51" s="79">
        <f t="shared" si="39"/>
        <v>1.8434425955485077E-2</v>
      </c>
      <c r="AV51" s="79">
        <f t="shared" si="39"/>
        <v>1.843200742698942E-2</v>
      </c>
      <c r="AW51" s="79">
        <f t="shared" si="39"/>
        <v>1.8429576375540439E-2</v>
      </c>
      <c r="AX51" s="79">
        <f t="shared" si="39"/>
        <v>1.8427134059466044E-2</v>
      </c>
      <c r="AY51" s="79">
        <f t="shared" si="39"/>
        <v>1.8424681695355632E-2</v>
      </c>
      <c r="AZ51" s="79">
        <f t="shared" si="39"/>
        <v>1.8422220459155883E-2</v>
      </c>
      <c r="BA51" s="79">
        <f t="shared" si="39"/>
        <v>1.8419751487242016E-2</v>
      </c>
      <c r="BB51" s="79">
        <f t="shared" si="39"/>
        <v>1.8417275877464157E-2</v>
      </c>
      <c r="BC51" s="79">
        <f t="shared" si="39"/>
        <v>1.8414794690168945E-2</v>
      </c>
      <c r="BD51" s="79">
        <f t="shared" si="39"/>
        <v>1.8412308949198181E-2</v>
      </c>
      <c r="BE51" s="79">
        <f t="shared" si="39"/>
        <v>1.8409819642863999E-2</v>
      </c>
      <c r="BF51" s="79">
        <f t="shared" si="39"/>
        <v>1.8407327724900252E-2</v>
      </c>
      <c r="BG51" s="79">
        <f t="shared" si="39"/>
        <v>1.8404834115393152E-2</v>
      </c>
      <c r="BH51" s="79">
        <f t="shared" si="39"/>
        <v>1.8402339701688777E-2</v>
      </c>
      <c r="BI51" s="79">
        <f t="shared" si="39"/>
        <v>1.8399845339279738E-2</v>
      </c>
      <c r="BJ51" s="79">
        <f t="shared" si="39"/>
        <v>1.8397351852670045E-2</v>
      </c>
      <c r="BK51" s="79">
        <f t="shared" si="39"/>
        <v>1.8394860036220855E-2</v>
      </c>
      <c r="BL51" s="79">
        <f t="shared" si="39"/>
        <v>1.839237065497451E-2</v>
      </c>
      <c r="BM51" s="79">
        <f t="shared" si="39"/>
        <v>1.8389884445459592E-2</v>
      </c>
      <c r="BN51" s="79">
        <f t="shared" si="39"/>
        <v>1.8387402116477054E-2</v>
      </c>
      <c r="BO51" s="79">
        <f t="shared" si="39"/>
        <v>1.8384924349866241E-2</v>
      </c>
      <c r="BP51" s="79">
        <f t="shared" si="39"/>
        <v>1.8382451801253932E-2</v>
      </c>
      <c r="BQ51" s="79">
        <f t="shared" si="39"/>
        <v>1.8379985100783983E-2</v>
      </c>
      <c r="BR51" s="79">
        <f t="shared" si="39"/>
        <v>1.8377524853830107E-2</v>
      </c>
      <c r="BS51" s="79">
        <f t="shared" si="39"/>
        <v>1.8375071641690534E-2</v>
      </c>
      <c r="BT51" s="79">
        <f t="shared" si="38"/>
        <v>1.837262602226691E-2</v>
      </c>
      <c r="BU51" s="79">
        <f t="shared" si="38"/>
        <v>1.8370188530725185E-2</v>
      </c>
      <c r="BV51" s="79">
        <f t="shared" si="38"/>
        <v>1.8367759680141163E-2</v>
      </c>
      <c r="BW51" s="79">
        <f t="shared" si="38"/>
        <v>1.8365339962130148E-2</v>
      </c>
      <c r="BX51" s="79">
        <f t="shared" si="38"/>
        <v>1.836292984746098E-2</v>
      </c>
      <c r="BY51" s="79">
        <f t="shared" si="38"/>
        <v>1.8360529786654284E-2</v>
      </c>
      <c r="BZ51" s="79">
        <f t="shared" si="38"/>
        <v>1.8358140210567003E-2</v>
      </c>
      <c r="CA51" s="79">
        <f t="shared" si="38"/>
        <v>1.8355761530961717E-2</v>
      </c>
      <c r="CB51" s="79">
        <f t="shared" si="38"/>
        <v>1.8353394141061356E-2</v>
      </c>
      <c r="CC51" s="79">
        <f t="shared" si="38"/>
        <v>1.8351038416091477E-2</v>
      </c>
      <c r="CD51" s="79">
        <f t="shared" si="38"/>
        <v>1.8348694713807456E-2</v>
      </c>
      <c r="CE51" s="79">
        <f t="shared" si="38"/>
        <v>1.8346363375008872E-2</v>
      </c>
      <c r="CF51" s="79">
        <f t="shared" si="38"/>
        <v>1.8344044724042195E-2</v>
      </c>
      <c r="CG51" s="79">
        <f t="shared" si="38"/>
        <v>1.8341739069288394E-2</v>
      </c>
      <c r="CH51" s="79">
        <f t="shared" si="38"/>
        <v>1.8339446703640731E-2</v>
      </c>
      <c r="CI51" s="79">
        <f t="shared" si="38"/>
        <v>1.8337167904968546E-2</v>
      </c>
      <c r="CJ51" s="79">
        <f t="shared" si="38"/>
        <v>1.8334902936569902E-2</v>
      </c>
      <c r="CK51" s="79">
        <f t="shared" si="38"/>
        <v>1.8332652047613748E-2</v>
      </c>
      <c r="CL51" s="79">
        <f t="shared" si="38"/>
        <v>1.8330415473568555E-2</v>
      </c>
      <c r="CM51" s="79">
        <f t="shared" si="38"/>
        <v>1.8328193436621929E-2</v>
      </c>
      <c r="CN51" s="79">
        <f t="shared" si="38"/>
        <v>1.8325986146088845E-2</v>
      </c>
      <c r="CO51" s="79">
        <f t="shared" si="38"/>
        <v>1.8323793798808993E-2</v>
      </c>
      <c r="CP51" s="79">
        <f t="shared" si="38"/>
        <v>1.8321616579534111E-2</v>
      </c>
      <c r="CQ51" s="79">
        <f t="shared" si="38"/>
        <v>1.8319454661305742E-2</v>
      </c>
      <c r="CR51" s="79">
        <f t="shared" si="38"/>
        <v>1.8317308205822048E-2</v>
      </c>
      <c r="CS51" s="79">
        <f t="shared" si="38"/>
        <v>1.8315177363796963E-2</v>
      </c>
      <c r="CT51" s="79">
        <f t="shared" si="38"/>
        <v>1.8313062275307879E-2</v>
      </c>
      <c r="CU51" s="79">
        <f t="shared" si="38"/>
        <v>1.8310963070135567E-2</v>
      </c>
      <c r="CV51" s="79">
        <f t="shared" si="38"/>
        <v>1.8308879868095079E-2</v>
      </c>
      <c r="CW51" s="79">
        <f t="shared" si="38"/>
        <v>1.8306812779357334E-2</v>
      </c>
      <c r="CX51" s="79">
        <f t="shared" si="38"/>
        <v>1.8304761904763003E-2</v>
      </c>
      <c r="CY51" s="79">
        <f t="shared" si="38"/>
        <v>1.8304761904763003E-2</v>
      </c>
      <c r="CZ51" s="79">
        <f t="shared" si="38"/>
        <v>1.8304761904763003E-2</v>
      </c>
      <c r="DA51" s="79">
        <f t="shared" si="38"/>
        <v>1.8304761904763003E-2</v>
      </c>
      <c r="DB51" s="79">
        <f t="shared" si="38"/>
        <v>1.8304761904763003E-2</v>
      </c>
      <c r="DC51" s="79">
        <f t="shared" si="38"/>
        <v>1.8304761904763003E-2</v>
      </c>
      <c r="DD51" s="79">
        <f t="shared" si="38"/>
        <v>1.8304761904763003E-2</v>
      </c>
      <c r="DE51" s="79">
        <f t="shared" si="38"/>
        <v>1.8304761904763003E-2</v>
      </c>
      <c r="DF51" s="79">
        <f t="shared" si="38"/>
        <v>1.8304761904763003E-2</v>
      </c>
      <c r="DG51" s="79">
        <f t="shared" si="38"/>
        <v>1.8304761904763003E-2</v>
      </c>
      <c r="DH51" s="79">
        <f t="shared" si="38"/>
        <v>1.8304761904763003E-2</v>
      </c>
      <c r="DI51" s="79">
        <f t="shared" si="38"/>
        <v>1.8304761904763003E-2</v>
      </c>
      <c r="DJ51" s="79">
        <f t="shared" si="38"/>
        <v>1.8304761904763003E-2</v>
      </c>
      <c r="DK51" s="79">
        <f t="shared" si="38"/>
        <v>1.8304761904763003E-2</v>
      </c>
      <c r="DL51" s="79">
        <f t="shared" si="38"/>
        <v>1.8304761904763003E-2</v>
      </c>
      <c r="DM51" s="79">
        <f t="shared" si="38"/>
        <v>1.8304761904763003E-2</v>
      </c>
      <c r="DN51" s="79">
        <f t="shared" si="38"/>
        <v>1.8304761904763003E-2</v>
      </c>
      <c r="DO51" s="79">
        <f t="shared" si="38"/>
        <v>1.8304761904763003E-2</v>
      </c>
      <c r="DP51" s="79">
        <f t="shared" si="38"/>
        <v>1.8304761904763003E-2</v>
      </c>
      <c r="DQ51" s="79">
        <f t="shared" si="38"/>
        <v>1.8304761904763003E-2</v>
      </c>
      <c r="DR51" s="79">
        <f t="shared" si="38"/>
        <v>1.8304761904763003E-2</v>
      </c>
      <c r="DS51" s="79">
        <f t="shared" si="38"/>
        <v>1.8304761904763003E-2</v>
      </c>
      <c r="DT51" s="79">
        <f t="shared" si="38"/>
        <v>1.8304761904763003E-2</v>
      </c>
      <c r="DU51" s="79">
        <f t="shared" si="38"/>
        <v>1.8304761904763003E-2</v>
      </c>
      <c r="DV51" s="79">
        <f t="shared" si="38"/>
        <v>1.8304761904763003E-2</v>
      </c>
      <c r="DW51" s="79">
        <f t="shared" si="38"/>
        <v>1.8304761904763003E-2</v>
      </c>
      <c r="DX51" s="79">
        <f t="shared" si="38"/>
        <v>1.8304761904763003E-2</v>
      </c>
      <c r="DY51" s="79">
        <f t="shared" si="38"/>
        <v>1.8304761904763003E-2</v>
      </c>
      <c r="DZ51" s="79">
        <f t="shared" si="38"/>
        <v>1.8304761904763003E-2</v>
      </c>
      <c r="EA51" s="79">
        <f t="shared" si="38"/>
        <v>1.8304761904763003E-2</v>
      </c>
      <c r="EB51" s="79">
        <f t="shared" si="38"/>
        <v>1.8304761904763003E-2</v>
      </c>
      <c r="EC51" s="79">
        <f t="shared" si="38"/>
        <v>1.8304761904763003E-2</v>
      </c>
      <c r="ED51" s="79">
        <f t="shared" si="38"/>
        <v>1.8304761904763003E-2</v>
      </c>
      <c r="EE51" s="79">
        <f t="shared" si="37"/>
        <v>1.8304761904763003E-2</v>
      </c>
      <c r="EF51" s="79">
        <f t="shared" si="37"/>
        <v>1.8304761904763003E-2</v>
      </c>
      <c r="EG51" s="79">
        <f t="shared" si="37"/>
        <v>1.8304761904763003E-2</v>
      </c>
      <c r="EH51" s="79">
        <f t="shared" si="37"/>
        <v>1.8304761904763003E-2</v>
      </c>
      <c r="EI51" s="79">
        <f t="shared" si="37"/>
        <v>1.8304761904763003E-2</v>
      </c>
      <c r="EJ51" s="79">
        <f t="shared" si="37"/>
        <v>1.8304761904763003E-2</v>
      </c>
      <c r="EK51" s="79">
        <f t="shared" si="37"/>
        <v>1.8304761904763003E-2</v>
      </c>
      <c r="EL51" s="79">
        <f t="shared" si="37"/>
        <v>1.8304761904763003E-2</v>
      </c>
      <c r="EM51" s="79">
        <f t="shared" si="37"/>
        <v>1.8304761904763003E-2</v>
      </c>
      <c r="EN51" s="79">
        <f t="shared" si="37"/>
        <v>1.8304761904763003E-2</v>
      </c>
      <c r="EO51" s="79">
        <f t="shared" si="37"/>
        <v>1.8304761904763003E-2</v>
      </c>
      <c r="EP51" s="79">
        <f t="shared" si="37"/>
        <v>1.8304761904763003E-2</v>
      </c>
      <c r="EQ51" s="79">
        <f t="shared" si="37"/>
        <v>1.8304761904763003E-2</v>
      </c>
      <c r="ER51" s="79">
        <f t="shared" si="37"/>
        <v>1.8304761904763003E-2</v>
      </c>
      <c r="ES51" s="79">
        <f t="shared" si="37"/>
        <v>1.8304761904763003E-2</v>
      </c>
      <c r="ET51" s="79">
        <f t="shared" si="37"/>
        <v>1.8304761904763003E-2</v>
      </c>
      <c r="FF51" s="67" t="s">
        <v>66</v>
      </c>
      <c r="FG51" s="696">
        <v>2.5000000000000001E-2</v>
      </c>
      <c r="FH51" s="696">
        <v>96</v>
      </c>
      <c r="FI51" s="696">
        <v>1.55E-2</v>
      </c>
      <c r="FJ51" s="255">
        <v>1.4499999999999999E-2</v>
      </c>
      <c r="FK51" s="71">
        <f t="shared" si="11"/>
        <v>2.5000000000000006E-4</v>
      </c>
      <c r="FL51" t="e">
        <f>VLOOKUP(FF51,'SIMULADOR COM SALDO'!$BX$22:$CK$1000,13,FALSE)</f>
        <v>#N/A</v>
      </c>
    </row>
    <row r="52" spans="5:168" x14ac:dyDescent="0.25">
      <c r="F52" s="97">
        <f t="shared" si="24"/>
        <v>1.8402380952380958E-2</v>
      </c>
      <c r="G52" s="79">
        <f t="shared" si="6"/>
        <v>1.8499938977525603E-2</v>
      </c>
      <c r="H52" s="79">
        <f t="shared" si="39"/>
        <v>1.849981914423748E-2</v>
      </c>
      <c r="I52" s="79">
        <f t="shared" si="39"/>
        <v>1.8499642652229607E-2</v>
      </c>
      <c r="J52" s="79">
        <f t="shared" si="39"/>
        <v>1.8499411595412931E-2</v>
      </c>
      <c r="K52" s="79">
        <f t="shared" si="39"/>
        <v>1.8499128010873795E-2</v>
      </c>
      <c r="L52" s="79">
        <f t="shared" si="39"/>
        <v>1.8498793880205734E-2</v>
      </c>
      <c r="M52" s="79">
        <f t="shared" si="39"/>
        <v>1.8498411130813488E-2</v>
      </c>
      <c r="N52" s="79">
        <f t="shared" si="39"/>
        <v>1.8497981637189357E-2</v>
      </c>
      <c r="O52" s="79">
        <f t="shared" si="39"/>
        <v>1.8497507222165591E-2</v>
      </c>
      <c r="P52" s="79">
        <f t="shared" si="39"/>
        <v>1.8496989658139517E-2</v>
      </c>
      <c r="Q52" s="79">
        <f t="shared" si="39"/>
        <v>1.8496430668272699E-2</v>
      </c>
      <c r="R52" s="79">
        <f t="shared" si="39"/>
        <v>1.8495831927666944E-2</v>
      </c>
      <c r="S52" s="79">
        <f t="shared" si="39"/>
        <v>1.8495195064513827E-2</v>
      </c>
      <c r="T52" s="79">
        <f t="shared" si="39"/>
        <v>1.8494521661221695E-2</v>
      </c>
      <c r="U52" s="79">
        <f t="shared" si="39"/>
        <v>1.8493813255517376E-2</v>
      </c>
      <c r="V52" s="79">
        <f t="shared" si="39"/>
        <v>1.8493071341525801E-2</v>
      </c>
      <c r="W52" s="79">
        <f t="shared" si="39"/>
        <v>1.8492297370825448E-2</v>
      </c>
      <c r="X52" s="79">
        <f t="shared" si="39"/>
        <v>1.8491492753482566E-2</v>
      </c>
      <c r="Y52" s="79">
        <f t="shared" si="39"/>
        <v>1.8490658859061659E-2</v>
      </c>
      <c r="Z52" s="79">
        <f t="shared" si="39"/>
        <v>1.8489797017615422E-2</v>
      </c>
      <c r="AA52" s="79">
        <f t="shared" si="39"/>
        <v>1.8488908520652686E-2</v>
      </c>
      <c r="AB52" s="79">
        <f t="shared" si="39"/>
        <v>1.8487994622085526E-2</v>
      </c>
      <c r="AC52" s="79">
        <f t="shared" si="39"/>
        <v>1.8487056539155406E-2</v>
      </c>
      <c r="AD52" s="79">
        <f t="shared" si="39"/>
        <v>1.8486095453339384E-2</v>
      </c>
      <c r="AE52" s="79">
        <f t="shared" si="39"/>
        <v>1.8485112511236291E-2</v>
      </c>
      <c r="AF52" s="79">
        <f t="shared" si="39"/>
        <v>1.8484108825433585E-2</v>
      </c>
      <c r="AG52" s="79">
        <f t="shared" si="39"/>
        <v>1.8483085475354176E-2</v>
      </c>
      <c r="AH52" s="79">
        <f t="shared" si="39"/>
        <v>1.8482043508086264E-2</v>
      </c>
      <c r="AI52" s="79">
        <f t="shared" si="39"/>
        <v>1.8480983939192362E-2</v>
      </c>
      <c r="AJ52" s="79">
        <f t="shared" si="39"/>
        <v>1.8479907753502188E-2</v>
      </c>
      <c r="AK52" s="79">
        <f t="shared" si="39"/>
        <v>1.8478815905886847E-2</v>
      </c>
      <c r="AL52" s="79">
        <f t="shared" si="39"/>
        <v>1.8477709322016089E-2</v>
      </c>
      <c r="AM52" s="79">
        <f t="shared" si="39"/>
        <v>1.8476588899097479E-2</v>
      </c>
      <c r="AN52" s="79">
        <f t="shared" si="39"/>
        <v>1.8475455506600579E-2</v>
      </c>
      <c r="AO52" s="79">
        <f t="shared" si="39"/>
        <v>1.8474309986963158E-2</v>
      </c>
      <c r="AP52" s="79">
        <f t="shared" si="39"/>
        <v>1.8473153156282205E-2</v>
      </c>
      <c r="AQ52" s="79">
        <f t="shared" si="39"/>
        <v>1.8471985804988753E-2</v>
      </c>
      <c r="AR52" s="79">
        <f t="shared" si="39"/>
        <v>1.8470808698507535E-2</v>
      </c>
      <c r="AS52" s="79">
        <f t="shared" si="39"/>
        <v>1.8469622577901159E-2</v>
      </c>
      <c r="AT52" s="79">
        <f t="shared" si="39"/>
        <v>1.8468428160500462E-2</v>
      </c>
      <c r="AU52" s="79">
        <f t="shared" si="39"/>
        <v>1.8467226140518839E-2</v>
      </c>
      <c r="AV52" s="79">
        <f t="shared" si="39"/>
        <v>1.8466017189653294E-2</v>
      </c>
      <c r="AW52" s="79">
        <f t="shared" si="39"/>
        <v>1.8464801957671938E-2</v>
      </c>
      <c r="AX52" s="79">
        <f t="shared" si="39"/>
        <v>1.8463581072986835E-2</v>
      </c>
      <c r="AY52" s="79">
        <f t="shared" si="39"/>
        <v>1.8462355143213923E-2</v>
      </c>
      <c r="AZ52" s="79">
        <f t="shared" si="39"/>
        <v>1.8461124755720225E-2</v>
      </c>
      <c r="BA52" s="79">
        <f t="shared" si="39"/>
        <v>1.8459890478158058E-2</v>
      </c>
      <c r="BB52" s="79">
        <f t="shared" si="39"/>
        <v>1.845865285898592E-2</v>
      </c>
      <c r="BC52" s="79">
        <f t="shared" si="39"/>
        <v>1.8457412427979006E-2</v>
      </c>
      <c r="BD52" s="79">
        <f t="shared" si="39"/>
        <v>1.8456169696725162E-2</v>
      </c>
      <c r="BE52" s="79">
        <f t="shared" si="39"/>
        <v>1.8454925159111422E-2</v>
      </c>
      <c r="BF52" s="79">
        <f t="shared" si="39"/>
        <v>1.8453679291797639E-2</v>
      </c>
      <c r="BG52" s="79">
        <f t="shared" si="39"/>
        <v>1.845243255467956E-2</v>
      </c>
      <c r="BH52" s="79">
        <f t="shared" si="39"/>
        <v>1.8451185391340431E-2</v>
      </c>
      <c r="BI52" s="79">
        <f t="shared" si="39"/>
        <v>1.8449938229491619E-2</v>
      </c>
      <c r="BJ52" s="79">
        <f t="shared" si="39"/>
        <v>1.8448691481404059E-2</v>
      </c>
      <c r="BK52" s="79">
        <f t="shared" si="39"/>
        <v>1.8447445544327649E-2</v>
      </c>
      <c r="BL52" s="79">
        <f t="shared" si="39"/>
        <v>1.8446200800901428E-2</v>
      </c>
      <c r="BM52" s="79">
        <f t="shared" si="39"/>
        <v>1.8444957619553875E-2</v>
      </c>
      <c r="BN52" s="79">
        <f t="shared" si="39"/>
        <v>1.8443716354893724E-2</v>
      </c>
      <c r="BO52" s="79">
        <f t="shared" si="39"/>
        <v>1.8442477348090482E-2</v>
      </c>
      <c r="BP52" s="79">
        <f t="shared" si="39"/>
        <v>1.8441240927246964E-2</v>
      </c>
      <c r="BQ52" s="79">
        <f t="shared" si="39"/>
        <v>1.8440007407761555E-2</v>
      </c>
      <c r="BR52" s="79">
        <f t="shared" si="39"/>
        <v>1.8438777092682674E-2</v>
      </c>
      <c r="BS52" s="79">
        <f t="shared" ref="BS52:ED53" si="40">IF(BS$9&lt;=$K$6,RATE($K$6,1,BS98,0),"")</f>
        <v>1.8437550273053719E-2</v>
      </c>
      <c r="BT52" s="79">
        <f t="shared" si="40"/>
        <v>1.8436327228250497E-2</v>
      </c>
      <c r="BU52" s="79">
        <f t="shared" si="40"/>
        <v>1.8435108226309675E-2</v>
      </c>
      <c r="BV52" s="79">
        <f t="shared" si="40"/>
        <v>1.8433893524249057E-2</v>
      </c>
      <c r="BW52" s="79">
        <f t="shared" si="40"/>
        <v>1.8432683368381227E-2</v>
      </c>
      <c r="BX52" s="79">
        <f t="shared" si="40"/>
        <v>1.8431477994617456E-2</v>
      </c>
      <c r="BY52" s="79">
        <f t="shared" si="40"/>
        <v>1.8430277628766027E-2</v>
      </c>
      <c r="BZ52" s="79">
        <f t="shared" si="40"/>
        <v>1.8429082486822113E-2</v>
      </c>
      <c r="CA52" s="79">
        <f t="shared" si="40"/>
        <v>1.8427892775250341E-2</v>
      </c>
      <c r="CB52" s="79">
        <f t="shared" si="40"/>
        <v>1.8426708691261329E-2</v>
      </c>
      <c r="CC52" s="79">
        <f t="shared" si="40"/>
        <v>1.842553042308006E-2</v>
      </c>
      <c r="CD52" s="79">
        <f t="shared" si="40"/>
        <v>1.842435815020858E-2</v>
      </c>
      <c r="CE52" s="79">
        <f t="shared" si="40"/>
        <v>1.8423192043681671E-2</v>
      </c>
      <c r="CF52" s="79">
        <f t="shared" si="40"/>
        <v>1.8422032266315776E-2</v>
      </c>
      <c r="CG52" s="79">
        <f t="shared" si="40"/>
        <v>1.8420878972952831E-2</v>
      </c>
      <c r="CH52" s="79">
        <f t="shared" si="40"/>
        <v>1.8419732310696053E-2</v>
      </c>
      <c r="CI52" s="79">
        <f t="shared" si="40"/>
        <v>1.8418592419141743E-2</v>
      </c>
      <c r="CJ52" s="79">
        <f t="shared" si="40"/>
        <v>1.8417459430604414E-2</v>
      </c>
      <c r="CK52" s="79">
        <f t="shared" si="40"/>
        <v>1.841633347033533E-2</v>
      </c>
      <c r="CL52" s="79">
        <f t="shared" si="40"/>
        <v>1.8415214656737244E-2</v>
      </c>
      <c r="CM52" s="79">
        <f t="shared" si="40"/>
        <v>1.8414103101571926E-2</v>
      </c>
      <c r="CN52" s="79">
        <f t="shared" si="40"/>
        <v>1.8412998910163653E-2</v>
      </c>
      <c r="CO52" s="79">
        <f t="shared" si="40"/>
        <v>1.8411902181597262E-2</v>
      </c>
      <c r="CP52" s="79">
        <f t="shared" si="40"/>
        <v>1.8410813008910006E-2</v>
      </c>
      <c r="CQ52" s="79">
        <f t="shared" si="40"/>
        <v>1.8409731479280423E-2</v>
      </c>
      <c r="CR52" s="79">
        <f t="shared" si="40"/>
        <v>1.8408657674210141E-2</v>
      </c>
      <c r="CS52" s="79">
        <f t="shared" si="40"/>
        <v>1.840759166970328E-2</v>
      </c>
      <c r="CT52" s="79">
        <f t="shared" si="40"/>
        <v>1.8406533536438913E-2</v>
      </c>
      <c r="CU52" s="79">
        <f t="shared" si="40"/>
        <v>1.8405483339941242E-2</v>
      </c>
      <c r="CV52" s="79">
        <f t="shared" si="40"/>
        <v>1.8404441140742907E-2</v>
      </c>
      <c r="CW52" s="79">
        <f t="shared" si="40"/>
        <v>1.8403406994546987E-2</v>
      </c>
      <c r="CX52" s="79">
        <f t="shared" si="40"/>
        <v>1.8402380952381923E-2</v>
      </c>
      <c r="CY52" s="79">
        <f t="shared" si="40"/>
        <v>1.8402380952381923E-2</v>
      </c>
      <c r="CZ52" s="79">
        <f t="shared" si="40"/>
        <v>1.8402380952381923E-2</v>
      </c>
      <c r="DA52" s="79">
        <f t="shared" si="40"/>
        <v>1.8402380952381923E-2</v>
      </c>
      <c r="DB52" s="79">
        <f t="shared" si="40"/>
        <v>1.8402380952381923E-2</v>
      </c>
      <c r="DC52" s="79">
        <f t="shared" si="40"/>
        <v>1.8402380952381923E-2</v>
      </c>
      <c r="DD52" s="79">
        <f t="shared" si="40"/>
        <v>1.8402380952381923E-2</v>
      </c>
      <c r="DE52" s="79">
        <f t="shared" si="40"/>
        <v>1.8402380952381923E-2</v>
      </c>
      <c r="DF52" s="79">
        <f t="shared" si="40"/>
        <v>1.8402380952381923E-2</v>
      </c>
      <c r="DG52" s="79">
        <f t="shared" si="40"/>
        <v>1.8402380952381923E-2</v>
      </c>
      <c r="DH52" s="79">
        <f t="shared" si="40"/>
        <v>1.8402380952381923E-2</v>
      </c>
      <c r="DI52" s="79">
        <f t="shared" si="40"/>
        <v>1.8402380952381923E-2</v>
      </c>
      <c r="DJ52" s="79">
        <f t="shared" si="40"/>
        <v>1.8402380952381923E-2</v>
      </c>
      <c r="DK52" s="79">
        <f t="shared" si="40"/>
        <v>1.8402380952381923E-2</v>
      </c>
      <c r="DL52" s="79">
        <f t="shared" si="40"/>
        <v>1.8402380952381923E-2</v>
      </c>
      <c r="DM52" s="79">
        <f t="shared" si="40"/>
        <v>1.8402380952381923E-2</v>
      </c>
      <c r="DN52" s="79">
        <f t="shared" si="40"/>
        <v>1.8402380952381923E-2</v>
      </c>
      <c r="DO52" s="79">
        <f t="shared" si="40"/>
        <v>1.8402380952381923E-2</v>
      </c>
      <c r="DP52" s="79">
        <f t="shared" si="40"/>
        <v>1.8402380952381923E-2</v>
      </c>
      <c r="DQ52" s="79">
        <f t="shared" si="40"/>
        <v>1.8402380952381923E-2</v>
      </c>
      <c r="DR52" s="79">
        <f t="shared" si="40"/>
        <v>1.8402380952381923E-2</v>
      </c>
      <c r="DS52" s="79">
        <f t="shared" si="40"/>
        <v>1.8402380952381923E-2</v>
      </c>
      <c r="DT52" s="79">
        <f t="shared" si="40"/>
        <v>1.8402380952381923E-2</v>
      </c>
      <c r="DU52" s="79">
        <f t="shared" si="40"/>
        <v>1.8402380952381923E-2</v>
      </c>
      <c r="DV52" s="79">
        <f t="shared" si="40"/>
        <v>1.8402380952381923E-2</v>
      </c>
      <c r="DW52" s="79">
        <f t="shared" si="40"/>
        <v>1.8402380952381923E-2</v>
      </c>
      <c r="DX52" s="79">
        <f t="shared" si="40"/>
        <v>1.8402380952381923E-2</v>
      </c>
      <c r="DY52" s="79">
        <f t="shared" si="40"/>
        <v>1.8402380952381923E-2</v>
      </c>
      <c r="DZ52" s="79">
        <f t="shared" si="40"/>
        <v>1.8402380952381923E-2</v>
      </c>
      <c r="EA52" s="79">
        <f t="shared" si="40"/>
        <v>1.8402380952381923E-2</v>
      </c>
      <c r="EB52" s="79">
        <f t="shared" si="40"/>
        <v>1.8402380952381923E-2</v>
      </c>
      <c r="EC52" s="79">
        <f t="shared" si="40"/>
        <v>1.8402380952381923E-2</v>
      </c>
      <c r="ED52" s="79">
        <f t="shared" si="40"/>
        <v>1.8402380952381923E-2</v>
      </c>
      <c r="EE52" s="79">
        <f t="shared" si="37"/>
        <v>1.8402380952381923E-2</v>
      </c>
      <c r="EF52" s="79">
        <f t="shared" si="37"/>
        <v>1.8402380952381923E-2</v>
      </c>
      <c r="EG52" s="79">
        <f t="shared" si="37"/>
        <v>1.8402380952381923E-2</v>
      </c>
      <c r="EH52" s="79">
        <f t="shared" si="37"/>
        <v>1.8402380952381923E-2</v>
      </c>
      <c r="EI52" s="79">
        <f t="shared" si="37"/>
        <v>1.8402380952381923E-2</v>
      </c>
      <c r="EJ52" s="79">
        <f t="shared" si="37"/>
        <v>1.8402380952381923E-2</v>
      </c>
      <c r="EK52" s="79">
        <f t="shared" si="37"/>
        <v>1.8402380952381923E-2</v>
      </c>
      <c r="EL52" s="79">
        <f t="shared" si="37"/>
        <v>1.8402380952381923E-2</v>
      </c>
      <c r="EM52" s="79">
        <f t="shared" si="37"/>
        <v>1.8402380952381923E-2</v>
      </c>
      <c r="EN52" s="79">
        <f t="shared" si="37"/>
        <v>1.8402380952381923E-2</v>
      </c>
      <c r="EO52" s="79">
        <f t="shared" si="37"/>
        <v>1.8402380952381923E-2</v>
      </c>
      <c r="EP52" s="79">
        <f t="shared" si="37"/>
        <v>1.8402380952381923E-2</v>
      </c>
      <c r="EQ52" s="79">
        <f t="shared" si="37"/>
        <v>1.8402380952381923E-2</v>
      </c>
      <c r="ER52" s="79">
        <f t="shared" si="37"/>
        <v>1.8402380952381923E-2</v>
      </c>
      <c r="ES52" s="79">
        <f t="shared" si="37"/>
        <v>1.8402380952381923E-2</v>
      </c>
      <c r="ET52" s="79">
        <f t="shared" si="37"/>
        <v>1.8402380952381923E-2</v>
      </c>
      <c r="FF52" s="6" t="s">
        <v>2775</v>
      </c>
      <c r="FG52" s="696">
        <v>2.5000000000000001E-2</v>
      </c>
      <c r="FH52" s="696">
        <v>96</v>
      </c>
      <c r="FI52" s="696">
        <v>1.6500000000000001E-2</v>
      </c>
      <c r="FJ52" s="255">
        <v>1.4499999999999999E-2</v>
      </c>
      <c r="FK52" s="71">
        <f t="shared" si="11"/>
        <v>2.5000000000000006E-4</v>
      </c>
      <c r="FL52" t="e">
        <f>VLOOKUP(FF52,'SIMULADOR COM SALDO'!$BX$22:$CK$1000,13,FALSE)</f>
        <v>#N/A</v>
      </c>
    </row>
    <row r="53" spans="5:168" x14ac:dyDescent="0.25">
      <c r="F53" s="97">
        <f t="shared" si="24"/>
        <v>1.8500000000000006E-2</v>
      </c>
      <c r="G53" s="79">
        <f t="shared" si="6"/>
        <v>1.85000000000007E-2</v>
      </c>
      <c r="H53" s="79">
        <f t="shared" ref="H53:BS53" si="41">IF(H$9&lt;=$K$6,RATE($K$6,1,H99,0),"")</f>
        <v>1.85000000000007E-2</v>
      </c>
      <c r="I53" s="79">
        <f t="shared" si="41"/>
        <v>1.85000000000007E-2</v>
      </c>
      <c r="J53" s="79">
        <f t="shared" si="41"/>
        <v>1.8500000000000696E-2</v>
      </c>
      <c r="K53" s="79">
        <f t="shared" si="41"/>
        <v>1.8500000000000696E-2</v>
      </c>
      <c r="L53" s="79">
        <f t="shared" si="41"/>
        <v>1.8500000000000696E-2</v>
      </c>
      <c r="M53" s="79">
        <f t="shared" si="41"/>
        <v>1.8500000000000696E-2</v>
      </c>
      <c r="N53" s="79">
        <f t="shared" si="41"/>
        <v>1.8500000000000696E-2</v>
      </c>
      <c r="O53" s="79">
        <f t="shared" si="41"/>
        <v>1.8500000000000696E-2</v>
      </c>
      <c r="P53" s="79">
        <f t="shared" si="41"/>
        <v>1.850000000000071E-2</v>
      </c>
      <c r="Q53" s="79">
        <f t="shared" si="41"/>
        <v>1.8500000000000696E-2</v>
      </c>
      <c r="R53" s="79">
        <f t="shared" si="41"/>
        <v>1.85000000000007E-2</v>
      </c>
      <c r="S53" s="79">
        <f t="shared" si="41"/>
        <v>1.8500000000000696E-2</v>
      </c>
      <c r="T53" s="79">
        <f t="shared" si="41"/>
        <v>1.85000000000007E-2</v>
      </c>
      <c r="U53" s="79">
        <f t="shared" si="41"/>
        <v>1.85000000000007E-2</v>
      </c>
      <c r="V53" s="79">
        <f t="shared" si="41"/>
        <v>1.8500000000000696E-2</v>
      </c>
      <c r="W53" s="79">
        <f t="shared" si="41"/>
        <v>1.85000000000007E-2</v>
      </c>
      <c r="X53" s="79">
        <f t="shared" si="41"/>
        <v>1.8500000000000696E-2</v>
      </c>
      <c r="Y53" s="79">
        <f t="shared" si="41"/>
        <v>1.8500000000000696E-2</v>
      </c>
      <c r="Z53" s="79">
        <f t="shared" si="41"/>
        <v>1.8500000000000696E-2</v>
      </c>
      <c r="AA53" s="79">
        <f t="shared" si="41"/>
        <v>1.85000000000007E-2</v>
      </c>
      <c r="AB53" s="79">
        <f t="shared" si="41"/>
        <v>1.85000000000007E-2</v>
      </c>
      <c r="AC53" s="79">
        <f t="shared" si="41"/>
        <v>1.8500000000000696E-2</v>
      </c>
      <c r="AD53" s="79">
        <f t="shared" si="41"/>
        <v>1.85000000000007E-2</v>
      </c>
      <c r="AE53" s="79">
        <f t="shared" si="41"/>
        <v>1.850000000000071E-2</v>
      </c>
      <c r="AF53" s="79">
        <f t="shared" si="41"/>
        <v>1.85000000000007E-2</v>
      </c>
      <c r="AG53" s="79">
        <f t="shared" si="41"/>
        <v>1.850000000000071E-2</v>
      </c>
      <c r="AH53" s="79">
        <f t="shared" si="41"/>
        <v>1.85000000000007E-2</v>
      </c>
      <c r="AI53" s="79">
        <f t="shared" si="41"/>
        <v>1.85000000000007E-2</v>
      </c>
      <c r="AJ53" s="79">
        <f t="shared" si="41"/>
        <v>1.85000000000007E-2</v>
      </c>
      <c r="AK53" s="79">
        <f t="shared" si="41"/>
        <v>1.85000000000007E-2</v>
      </c>
      <c r="AL53" s="79">
        <f t="shared" si="41"/>
        <v>1.85000000000007E-2</v>
      </c>
      <c r="AM53" s="79">
        <f t="shared" si="41"/>
        <v>1.850000000000071E-2</v>
      </c>
      <c r="AN53" s="79">
        <f t="shared" si="41"/>
        <v>1.85000000000007E-2</v>
      </c>
      <c r="AO53" s="79">
        <f t="shared" si="41"/>
        <v>1.850000000000071E-2</v>
      </c>
      <c r="AP53" s="79">
        <f t="shared" si="41"/>
        <v>1.850000000000071E-2</v>
      </c>
      <c r="AQ53" s="79">
        <f t="shared" si="41"/>
        <v>1.850000000000071E-2</v>
      </c>
      <c r="AR53" s="79">
        <f t="shared" si="41"/>
        <v>1.850000000000071E-2</v>
      </c>
      <c r="AS53" s="79">
        <f t="shared" si="41"/>
        <v>1.85000000000007E-2</v>
      </c>
      <c r="AT53" s="79">
        <f t="shared" si="41"/>
        <v>1.85000000000007E-2</v>
      </c>
      <c r="AU53" s="79">
        <f t="shared" si="41"/>
        <v>1.850000000000071E-2</v>
      </c>
      <c r="AV53" s="79">
        <f t="shared" si="41"/>
        <v>1.850000000000071E-2</v>
      </c>
      <c r="AW53" s="79">
        <f t="shared" si="41"/>
        <v>1.85000000000007E-2</v>
      </c>
      <c r="AX53" s="79">
        <f t="shared" si="41"/>
        <v>1.85000000000007E-2</v>
      </c>
      <c r="AY53" s="79">
        <f t="shared" si="41"/>
        <v>1.850000000000071E-2</v>
      </c>
      <c r="AZ53" s="79">
        <f t="shared" si="41"/>
        <v>1.850000000000071E-2</v>
      </c>
      <c r="BA53" s="79">
        <f t="shared" si="41"/>
        <v>1.850000000000071E-2</v>
      </c>
      <c r="BB53" s="79">
        <f t="shared" si="41"/>
        <v>1.850000000000071E-2</v>
      </c>
      <c r="BC53" s="79">
        <f t="shared" si="41"/>
        <v>1.850000000000071E-2</v>
      </c>
      <c r="BD53" s="79">
        <f t="shared" si="41"/>
        <v>1.850000000000071E-2</v>
      </c>
      <c r="BE53" s="79">
        <f t="shared" si="41"/>
        <v>1.850000000000071E-2</v>
      </c>
      <c r="BF53" s="79">
        <f t="shared" si="41"/>
        <v>1.850000000000071E-2</v>
      </c>
      <c r="BG53" s="79">
        <f t="shared" si="41"/>
        <v>1.850000000000071E-2</v>
      </c>
      <c r="BH53" s="79">
        <f t="shared" si="41"/>
        <v>1.85000000000007E-2</v>
      </c>
      <c r="BI53" s="79">
        <f t="shared" si="41"/>
        <v>1.85000000000007E-2</v>
      </c>
      <c r="BJ53" s="79">
        <f t="shared" si="41"/>
        <v>1.850000000000071E-2</v>
      </c>
      <c r="BK53" s="79">
        <f t="shared" si="41"/>
        <v>1.85000000000007E-2</v>
      </c>
      <c r="BL53" s="79">
        <f t="shared" si="41"/>
        <v>1.85000000000007E-2</v>
      </c>
      <c r="BM53" s="79">
        <f t="shared" si="41"/>
        <v>1.85000000000007E-2</v>
      </c>
      <c r="BN53" s="79">
        <f t="shared" si="41"/>
        <v>1.850000000000071E-2</v>
      </c>
      <c r="BO53" s="79">
        <f t="shared" si="41"/>
        <v>1.85000000000007E-2</v>
      </c>
      <c r="BP53" s="79">
        <f t="shared" si="41"/>
        <v>1.85000000000007E-2</v>
      </c>
      <c r="BQ53" s="79">
        <f t="shared" si="41"/>
        <v>1.850000000000071E-2</v>
      </c>
      <c r="BR53" s="79">
        <f t="shared" si="41"/>
        <v>1.85000000000007E-2</v>
      </c>
      <c r="BS53" s="79">
        <f t="shared" si="41"/>
        <v>1.850000000000071E-2</v>
      </c>
      <c r="BT53" s="79">
        <f t="shared" si="40"/>
        <v>1.850000000000071E-2</v>
      </c>
      <c r="BU53" s="79">
        <f t="shared" si="40"/>
        <v>1.85000000000007E-2</v>
      </c>
      <c r="BV53" s="79">
        <f t="shared" si="40"/>
        <v>1.85000000000007E-2</v>
      </c>
      <c r="BW53" s="79">
        <f t="shared" si="40"/>
        <v>1.85000000000007E-2</v>
      </c>
      <c r="BX53" s="79">
        <f t="shared" si="40"/>
        <v>1.85000000000007E-2</v>
      </c>
      <c r="BY53" s="79">
        <f t="shared" si="40"/>
        <v>1.85000000000007E-2</v>
      </c>
      <c r="BZ53" s="79">
        <f t="shared" si="40"/>
        <v>1.850000000000071E-2</v>
      </c>
      <c r="CA53" s="79">
        <f t="shared" si="40"/>
        <v>1.85000000000007E-2</v>
      </c>
      <c r="CB53" s="79">
        <f t="shared" si="40"/>
        <v>1.850000000000071E-2</v>
      </c>
      <c r="CC53" s="79">
        <f t="shared" si="40"/>
        <v>1.85000000000007E-2</v>
      </c>
      <c r="CD53" s="79">
        <f t="shared" si="40"/>
        <v>1.85000000000007E-2</v>
      </c>
      <c r="CE53" s="79">
        <f t="shared" si="40"/>
        <v>1.85000000000007E-2</v>
      </c>
      <c r="CF53" s="79">
        <f t="shared" si="40"/>
        <v>1.85000000000007E-2</v>
      </c>
      <c r="CG53" s="79">
        <f t="shared" si="40"/>
        <v>1.85000000000007E-2</v>
      </c>
      <c r="CH53" s="79">
        <f t="shared" si="40"/>
        <v>1.85000000000007E-2</v>
      </c>
      <c r="CI53" s="79">
        <f t="shared" si="40"/>
        <v>1.850000000000071E-2</v>
      </c>
      <c r="CJ53" s="79">
        <f t="shared" si="40"/>
        <v>1.85000000000007E-2</v>
      </c>
      <c r="CK53" s="79">
        <f t="shared" si="40"/>
        <v>1.85000000000007E-2</v>
      </c>
      <c r="CL53" s="79">
        <f t="shared" si="40"/>
        <v>1.85000000000007E-2</v>
      </c>
      <c r="CM53" s="79">
        <f t="shared" si="40"/>
        <v>1.850000000000071E-2</v>
      </c>
      <c r="CN53" s="79">
        <f t="shared" si="40"/>
        <v>1.85000000000007E-2</v>
      </c>
      <c r="CO53" s="79">
        <f t="shared" si="40"/>
        <v>1.85000000000007E-2</v>
      </c>
      <c r="CP53" s="79">
        <f t="shared" si="40"/>
        <v>1.85000000000007E-2</v>
      </c>
      <c r="CQ53" s="79">
        <f t="shared" si="40"/>
        <v>1.850000000000071E-2</v>
      </c>
      <c r="CR53" s="79">
        <f t="shared" si="40"/>
        <v>1.850000000000071E-2</v>
      </c>
      <c r="CS53" s="79">
        <f t="shared" si="40"/>
        <v>1.850000000000071E-2</v>
      </c>
      <c r="CT53" s="79">
        <f t="shared" si="40"/>
        <v>1.85000000000007E-2</v>
      </c>
      <c r="CU53" s="79">
        <f t="shared" si="40"/>
        <v>1.850000000000071E-2</v>
      </c>
      <c r="CV53" s="79">
        <f t="shared" si="40"/>
        <v>1.85000000000007E-2</v>
      </c>
      <c r="CW53" s="79">
        <f t="shared" si="40"/>
        <v>1.85000000000007E-2</v>
      </c>
      <c r="CX53" s="79">
        <f t="shared" si="40"/>
        <v>1.85000000000007E-2</v>
      </c>
      <c r="CY53" s="79">
        <f t="shared" si="40"/>
        <v>1.85000000000007E-2</v>
      </c>
      <c r="CZ53" s="79">
        <f t="shared" si="40"/>
        <v>1.85000000000007E-2</v>
      </c>
      <c r="DA53" s="79">
        <f t="shared" si="40"/>
        <v>1.85000000000007E-2</v>
      </c>
      <c r="DB53" s="79">
        <f t="shared" si="40"/>
        <v>1.85000000000007E-2</v>
      </c>
      <c r="DC53" s="79">
        <f t="shared" si="40"/>
        <v>1.85000000000007E-2</v>
      </c>
      <c r="DD53" s="79">
        <f t="shared" si="40"/>
        <v>1.85000000000007E-2</v>
      </c>
      <c r="DE53" s="79">
        <f t="shared" si="40"/>
        <v>1.85000000000007E-2</v>
      </c>
      <c r="DF53" s="79">
        <f t="shared" si="40"/>
        <v>1.85000000000007E-2</v>
      </c>
      <c r="DG53" s="79">
        <f t="shared" si="40"/>
        <v>1.85000000000007E-2</v>
      </c>
      <c r="DH53" s="79">
        <f t="shared" si="40"/>
        <v>1.85000000000007E-2</v>
      </c>
      <c r="DI53" s="79">
        <f t="shared" si="40"/>
        <v>1.85000000000007E-2</v>
      </c>
      <c r="DJ53" s="79">
        <f t="shared" si="40"/>
        <v>1.85000000000007E-2</v>
      </c>
      <c r="DK53" s="79">
        <f t="shared" si="40"/>
        <v>1.85000000000007E-2</v>
      </c>
      <c r="DL53" s="79">
        <f t="shared" si="40"/>
        <v>1.85000000000007E-2</v>
      </c>
      <c r="DM53" s="79">
        <f t="shared" si="40"/>
        <v>1.85000000000007E-2</v>
      </c>
      <c r="DN53" s="79">
        <f t="shared" si="40"/>
        <v>1.85000000000007E-2</v>
      </c>
      <c r="DO53" s="79">
        <f t="shared" si="40"/>
        <v>1.85000000000007E-2</v>
      </c>
      <c r="DP53" s="79">
        <f t="shared" si="40"/>
        <v>1.85000000000007E-2</v>
      </c>
      <c r="DQ53" s="79">
        <f t="shared" si="40"/>
        <v>1.85000000000007E-2</v>
      </c>
      <c r="DR53" s="79">
        <f t="shared" si="40"/>
        <v>1.85000000000007E-2</v>
      </c>
      <c r="DS53" s="79">
        <f t="shared" si="40"/>
        <v>1.85000000000007E-2</v>
      </c>
      <c r="DT53" s="79">
        <f t="shared" si="40"/>
        <v>1.85000000000007E-2</v>
      </c>
      <c r="DU53" s="79">
        <f t="shared" si="40"/>
        <v>1.85000000000007E-2</v>
      </c>
      <c r="DV53" s="79">
        <f t="shared" si="40"/>
        <v>1.85000000000007E-2</v>
      </c>
      <c r="DW53" s="79">
        <f t="shared" si="40"/>
        <v>1.85000000000007E-2</v>
      </c>
      <c r="DX53" s="79">
        <f t="shared" si="40"/>
        <v>1.85000000000007E-2</v>
      </c>
      <c r="DY53" s="79">
        <f t="shared" si="40"/>
        <v>1.85000000000007E-2</v>
      </c>
      <c r="DZ53" s="79">
        <f t="shared" si="40"/>
        <v>1.85000000000007E-2</v>
      </c>
      <c r="EA53" s="79">
        <f t="shared" si="40"/>
        <v>1.85000000000007E-2</v>
      </c>
      <c r="EB53" s="79">
        <f t="shared" si="40"/>
        <v>1.85000000000007E-2</v>
      </c>
      <c r="EC53" s="79">
        <f t="shared" si="40"/>
        <v>1.85000000000007E-2</v>
      </c>
      <c r="ED53" s="79">
        <f t="shared" si="40"/>
        <v>1.85000000000007E-2</v>
      </c>
      <c r="EE53" s="79">
        <f t="shared" si="37"/>
        <v>1.85000000000007E-2</v>
      </c>
      <c r="EF53" s="79">
        <f t="shared" si="37"/>
        <v>1.85000000000007E-2</v>
      </c>
      <c r="EG53" s="79">
        <f t="shared" si="37"/>
        <v>1.85000000000007E-2</v>
      </c>
      <c r="EH53" s="79">
        <f t="shared" si="37"/>
        <v>1.85000000000007E-2</v>
      </c>
      <c r="EI53" s="79">
        <f t="shared" si="37"/>
        <v>1.85000000000007E-2</v>
      </c>
      <c r="EJ53" s="79">
        <f t="shared" si="37"/>
        <v>1.85000000000007E-2</v>
      </c>
      <c r="EK53" s="79">
        <f t="shared" si="37"/>
        <v>1.85000000000007E-2</v>
      </c>
      <c r="EL53" s="79">
        <f t="shared" si="37"/>
        <v>1.85000000000007E-2</v>
      </c>
      <c r="EM53" s="79">
        <f t="shared" si="37"/>
        <v>1.85000000000007E-2</v>
      </c>
      <c r="EN53" s="79">
        <f t="shared" si="37"/>
        <v>1.85000000000007E-2</v>
      </c>
      <c r="EO53" s="79">
        <f t="shared" si="37"/>
        <v>1.85000000000007E-2</v>
      </c>
      <c r="EP53" s="79">
        <f t="shared" si="37"/>
        <v>1.85000000000007E-2</v>
      </c>
      <c r="EQ53" s="79">
        <f t="shared" si="37"/>
        <v>1.85000000000007E-2</v>
      </c>
      <c r="ER53" s="79">
        <f t="shared" si="37"/>
        <v>1.85000000000007E-2</v>
      </c>
      <c r="ES53" s="79">
        <f t="shared" si="37"/>
        <v>1.85000000000007E-2</v>
      </c>
      <c r="ET53" s="79">
        <f t="shared" si="37"/>
        <v>1.85000000000007E-2</v>
      </c>
      <c r="FF53" s="6" t="s">
        <v>788</v>
      </c>
      <c r="FG53" s="696">
        <v>2.5000000000000001E-2</v>
      </c>
      <c r="FH53" s="696">
        <v>96</v>
      </c>
      <c r="FI53" s="696">
        <v>1.7399999999999999E-2</v>
      </c>
      <c r="FJ53" s="255">
        <v>1.5600000000000001E-2</v>
      </c>
      <c r="FK53" s="71">
        <f t="shared" si="11"/>
        <v>2.2380952380952383E-4</v>
      </c>
      <c r="FL53" t="e">
        <f>VLOOKUP(FF53,'SIMULADOR COM SALDO'!$BX$22:$CK$1000,13,FALSE)</f>
        <v>#N/A</v>
      </c>
    </row>
    <row r="54" spans="5:168" x14ac:dyDescent="0.25">
      <c r="FF54" s="6" t="s">
        <v>3010</v>
      </c>
      <c r="FG54" s="696">
        <v>2.4900000000000002E-2</v>
      </c>
      <c r="FH54" s="696">
        <v>120</v>
      </c>
      <c r="FI54" s="696">
        <v>1.6899999999999998E-2</v>
      </c>
      <c r="FJ54" s="255">
        <v>1.4499999999999999E-2</v>
      </c>
      <c r="FK54" s="71">
        <f t="shared" si="11"/>
        <v>2.4761904761904768E-4</v>
      </c>
      <c r="FL54" t="e">
        <f>VLOOKUP(FF54,'SIMULADOR COM SALDO'!$BX$22:$CK$1000,13,FALSE)</f>
        <v>#N/A</v>
      </c>
    </row>
    <row r="55" spans="5:168" x14ac:dyDescent="0.25">
      <c r="FF55" s="6" t="s">
        <v>512</v>
      </c>
      <c r="FG55" s="696">
        <v>2.5000000000000001E-2</v>
      </c>
      <c r="FH55" s="696">
        <v>120</v>
      </c>
      <c r="FI55" s="696">
        <v>1.7500000000000002E-2</v>
      </c>
      <c r="FJ55" s="255">
        <v>1.4499999999999999E-2</v>
      </c>
      <c r="FK55" s="71">
        <f t="shared" si="11"/>
        <v>2.5000000000000006E-4</v>
      </c>
      <c r="FL55" t="e">
        <f>VLOOKUP(FF55,'SIMULADOR COM SALDO'!$BX$22:$CK$1000,13,FALSE)</f>
        <v>#N/A</v>
      </c>
    </row>
    <row r="56" spans="5:168" x14ac:dyDescent="0.25">
      <c r="FF56" s="67" t="s">
        <v>42</v>
      </c>
      <c r="FG56" s="696">
        <v>1.8500000000000003E-2</v>
      </c>
      <c r="FH56" s="696">
        <v>96</v>
      </c>
      <c r="FI56" s="696">
        <v>1.5600000000000001E-2</v>
      </c>
      <c r="FJ56" s="255">
        <v>1.44E-2</v>
      </c>
      <c r="FK56" s="71">
        <f t="shared" si="11"/>
        <v>9.7619047619047691E-5</v>
      </c>
      <c r="FL56" t="e">
        <f>VLOOKUP(FF56,'SIMULADOR COM SALDO'!$BX$22:$CK$1000,13,FALSE)</f>
        <v>#N/A</v>
      </c>
    </row>
    <row r="57" spans="5:168" x14ac:dyDescent="0.25">
      <c r="E57" s="27">
        <f>INT(J6*1000+0.5)/1000</f>
        <v>1.9E-2</v>
      </c>
      <c r="G57" s="103">
        <f>PV($F11,G$9,1,0)+(PV($J$6,$N$5-(G$9),1,0)/($J$6+1))^G$9</f>
        <v>-44.756178017654356</v>
      </c>
      <c r="H57" s="204">
        <f>PV($F11,H$9,1,0)+(PV($J$6,$N$5-(H$9),1,0)/($J$6+1)^H$9)</f>
        <v>-44.763986368607434</v>
      </c>
      <c r="I57" s="204">
        <f>PV($F11,I$9,1,0)+(PV($J$6,$N$5-(I$9),1,0)/($J$6+1)^I$9)</f>
        <v>-44.775509404617068</v>
      </c>
      <c r="J57" s="204">
        <f t="shared" ref="J57:BU57" si="42">PV($F11,J$9,1,0)+(PV($J$6,$N$5-(J$9),1,0)/($J$6+1)^J$9)</f>
        <v>-44.79062490677714</v>
      </c>
      <c r="K57" s="204">
        <f t="shared" si="42"/>
        <v>-44.809213653305839</v>
      </c>
      <c r="L57" s="204">
        <f t="shared" si="42"/>
        <v>-44.831159354074011</v>
      </c>
      <c r="M57" s="204">
        <f t="shared" si="42"/>
        <v>-44.856348586479278</v>
      </c>
      <c r="N57" s="204">
        <f t="shared" si="42"/>
        <v>-44.884670732639357</v>
      </c>
      <c r="O57" s="204">
        <f t="shared" si="42"/>
        <v>-44.916017917878406</v>
      </c>
      <c r="P57" s="204">
        <f t="shared" si="42"/>
        <v>-44.950284950480722</v>
      </c>
      <c r="Q57" s="204">
        <f t="shared" si="42"/>
        <v>-44.987369262686556</v>
      </c>
      <c r="R57" s="204">
        <f t="shared" si="42"/>
        <v>-45.027170852905627</v>
      </c>
      <c r="S57" s="204">
        <f t="shared" si="42"/>
        <v>-45.069592229123927</v>
      </c>
      <c r="T57" s="204">
        <f t="shared" si="42"/>
        <v>-45.114538353480221</v>
      </c>
      <c r="U57" s="204">
        <f t="shared" si="42"/>
        <v>-45.161916587988799</v>
      </c>
      <c r="V57" s="204">
        <f t="shared" si="42"/>
        <v>-45.211636641386022</v>
      </c>
      <c r="W57" s="204">
        <f t="shared" si="42"/>
        <v>-45.263610517077893</v>
      </c>
      <c r="X57" s="204">
        <f t="shared" si="42"/>
        <v>-45.317752462167078</v>
      </c>
      <c r="Y57" s="204">
        <f t="shared" si="42"/>
        <v>-45.373978917537606</v>
      </c>
      <c r="Z57" s="204">
        <f t="shared" si="42"/>
        <v>-45.43220846897632</v>
      </c>
      <c r="AA57" s="204">
        <f t="shared" si="42"/>
        <v>-45.492361799310373</v>
      </c>
      <c r="AB57" s="204">
        <f t="shared" si="42"/>
        <v>-45.554361641540439</v>
      </c>
      <c r="AC57" s="204">
        <f t="shared" si="42"/>
        <v>-45.618132732949739</v>
      </c>
      <c r="AD57" s="204">
        <f t="shared" si="42"/>
        <v>-45.683601770169588</v>
      </c>
      <c r="AE57" s="204">
        <f t="shared" si="42"/>
        <v>-45.750697365182099</v>
      </c>
      <c r="AF57" s="204">
        <f t="shared" si="42"/>
        <v>-45.81935000224145</v>
      </c>
      <c r="AG57" s="204">
        <f t="shared" si="42"/>
        <v>-45.889491995695174</v>
      </c>
      <c r="AH57" s="204">
        <f t="shared" si="42"/>
        <v>-45.961057448687797</v>
      </c>
      <c r="AI57" s="204">
        <f t="shared" si="42"/>
        <v>-46.033982212728645</v>
      </c>
      <c r="AJ57" s="204">
        <f t="shared" si="42"/>
        <v>-46.108203848107067</v>
      </c>
      <c r="AK57" s="204">
        <f t="shared" si="42"/>
        <v>-46.1836615851376</v>
      </c>
      <c r="AL57" s="204">
        <f t="shared" si="42"/>
        <v>-46.260296286218569</v>
      </c>
      <c r="AM57" s="204">
        <f t="shared" si="42"/>
        <v>-46.338050408688076</v>
      </c>
      <c r="AN57" s="204">
        <f t="shared" si="42"/>
        <v>-46.416867968460949</v>
      </c>
      <c r="AO57" s="204">
        <f t="shared" si="42"/>
        <v>-46.496694504431069</v>
      </c>
      <c r="AP57" s="204">
        <f t="shared" si="42"/>
        <v>-46.577477043623993</v>
      </c>
      <c r="AQ57" s="204">
        <f t="shared" si="42"/>
        <v>-46.659164067084262</v>
      </c>
      <c r="AR57" s="204">
        <f t="shared" si="42"/>
        <v>-46.741705476483062</v>
      </c>
      <c r="AS57" s="204">
        <f t="shared" si="42"/>
        <v>-46.825052561431349</v>
      </c>
      <c r="AT57" s="204">
        <f t="shared" si="42"/>
        <v>-46.909157967484617</v>
      </c>
      <c r="AU57" s="204">
        <f t="shared" si="42"/>
        <v>-46.99397566482493</v>
      </c>
      <c r="AV57" s="204">
        <f t="shared" si="42"/>
        <v>-47.079460917606959</v>
      </c>
      <c r="AW57" s="204">
        <f t="shared" si="42"/>
        <v>-47.165570253954151</v>
      </c>
      <c r="AX57" s="204">
        <f t="shared" si="42"/>
        <v>-47.252261436592519</v>
      </c>
      <c r="AY57" s="204">
        <f t="shared" si="42"/>
        <v>-47.339493434108419</v>
      </c>
      <c r="AZ57" s="204">
        <f t="shared" si="42"/>
        <v>-47.427226392818383</v>
      </c>
      <c r="BA57" s="204">
        <f t="shared" si="42"/>
        <v>-47.515421609238103</v>
      </c>
      <c r="BB57" s="204">
        <f t="shared" si="42"/>
        <v>-47.604041503138731</v>
      </c>
      <c r="BC57" s="204">
        <f t="shared" si="42"/>
        <v>-47.693049591178422</v>
      </c>
      <c r="BD57" s="204">
        <f t="shared" si="42"/>
        <v>-47.782410461097612</v>
      </c>
      <c r="BE57" s="204">
        <f t="shared" si="42"/>
        <v>-47.872089746466372</v>
      </c>
      <c r="BF57" s="204">
        <f t="shared" si="42"/>
        <v>-47.962054101972853</v>
      </c>
      <c r="BG57" s="204">
        <f t="shared" si="42"/>
        <v>-48.052271179241714</v>
      </c>
      <c r="BH57" s="204">
        <f t="shared" si="42"/>
        <v>-48.142709603171674</v>
      </c>
      <c r="BI57" s="204">
        <f t="shared" si="42"/>
        <v>-48.233338948781771</v>
      </c>
      <c r="BJ57" s="204">
        <f t="shared" si="42"/>
        <v>-48.324129718555938</v>
      </c>
      <c r="BK57" s="204">
        <f t="shared" si="42"/>
        <v>-48.415053320275661</v>
      </c>
      <c r="BL57" s="204">
        <f t="shared" si="42"/>
        <v>-48.506082045330857</v>
      </c>
      <c r="BM57" s="204">
        <f t="shared" si="42"/>
        <v>-48.597189047499135</v>
      </c>
      <c r="BN57" s="204">
        <f t="shared" si="42"/>
        <v>-48.688348322183927</v>
      </c>
      <c r="BO57" s="204">
        <f t="shared" si="42"/>
        <v>-48.779534686102089</v>
      </c>
      <c r="BP57" s="204">
        <f t="shared" si="42"/>
        <v>-48.870723757411859</v>
      </c>
      <c r="BQ57" s="204">
        <f t="shared" si="42"/>
        <v>-48.961891936271961</v>
      </c>
      <c r="BR57" s="204">
        <f t="shared" si="42"/>
        <v>-49.053016385823327</v>
      </c>
      <c r="BS57" s="204">
        <f t="shared" si="42"/>
        <v>-49.144075013584391</v>
      </c>
      <c r="BT57" s="204">
        <f t="shared" si="42"/>
        <v>-49.235046453251911</v>
      </c>
      <c r="BU57" s="204">
        <f t="shared" si="42"/>
        <v>-49.325910046898635</v>
      </c>
      <c r="BV57" s="204">
        <f t="shared" ref="BV57:EG57" si="43">PV($F11,BV$9,1,0)+(PV($J$6,$N$5-(BV$9),1,0)/($J$6+1)^BV$9)</f>
        <v>-49.416645827559805</v>
      </c>
      <c r="BW57" s="204">
        <f t="shared" si="43"/>
        <v>-49.507234502200575</v>
      </c>
      <c r="BX57" s="204">
        <f t="shared" si="43"/>
        <v>-49.597657435056355</v>
      </c>
      <c r="BY57" s="204">
        <f t="shared" si="43"/>
        <v>-49.687896631338532</v>
      </c>
      <c r="BZ57" s="204">
        <f t="shared" si="43"/>
        <v>-49.777934721297946</v>
      </c>
      <c r="CA57" s="204">
        <f t="shared" si="43"/>
        <v>-49.867754944638861</v>
      </c>
      <c r="CB57" s="204">
        <f t="shared" si="43"/>
        <v>-49.95734113527606</v>
      </c>
      <c r="CC57" s="204">
        <f t="shared" si="43"/>
        <v>-50.046677706428014</v>
      </c>
      <c r="CD57" s="204">
        <f t="shared" si="43"/>
        <v>-50.135749636039392</v>
      </c>
      <c r="CE57" s="204">
        <f t="shared" si="43"/>
        <v>-50.224542452525668</v>
      </c>
      <c r="CF57" s="204">
        <f t="shared" si="43"/>
        <v>-50.313042220833665</v>
      </c>
      <c r="CG57" s="204">
        <f t="shared" si="43"/>
        <v>-50.401235528810986</v>
      </c>
      <c r="CH57" s="204">
        <f t="shared" si="43"/>
        <v>-50.489109473878422</v>
      </c>
      <c r="CI57" s="204">
        <f t="shared" si="43"/>
        <v>-50.576651649998603</v>
      </c>
      <c r="CJ57" s="204">
        <f t="shared" si="43"/>
        <v>-50.663850134935096</v>
      </c>
      <c r="CK57" s="204">
        <f t="shared" si="43"/>
        <v>-50.750693477795672</v>
      </c>
      <c r="CL57" s="204">
        <f t="shared" si="43"/>
        <v>-50.837170686853895</v>
      </c>
      <c r="CM57" s="204">
        <f t="shared" si="43"/>
        <v>-50.923271217643446</v>
      </c>
      <c r="CN57" s="204">
        <f t="shared" si="43"/>
        <v>-51.008984961319037</v>
      </c>
      <c r="CO57" s="204">
        <f t="shared" si="43"/>
        <v>-51.094302233278867</v>
      </c>
      <c r="CP57" s="204">
        <f t="shared" si="43"/>
        <v>-51.179213762042821</v>
      </c>
      <c r="CQ57" s="204">
        <f t="shared" si="43"/>
        <v>-51.26371067838118</v>
      </c>
      <c r="CR57" s="204">
        <f t="shared" si="43"/>
        <v>-51.347784504688661</v>
      </c>
      <c r="CS57" s="204">
        <f t="shared" si="43"/>
        <v>-51.431427144598437</v>
      </c>
      <c r="CT57" s="204">
        <f t="shared" si="43"/>
        <v>-51.514630872831503</v>
      </c>
      <c r="CU57" s="204">
        <f t="shared" si="43"/>
        <v>-51.597388325275951</v>
      </c>
      <c r="CV57" s="204">
        <f t="shared" si="43"/>
        <v>-51.679692489291796</v>
      </c>
      <c r="CW57" s="204">
        <f t="shared" si="43"/>
        <v>-51.761536694236291</v>
      </c>
      <c r="CX57" s="204">
        <f t="shared" si="43"/>
        <v>-51.842914602205255</v>
      </c>
      <c r="CY57" s="204">
        <f t="shared" si="43"/>
        <v>-51.842914602205255</v>
      </c>
      <c r="CZ57" s="204">
        <f t="shared" si="43"/>
        <v>-51.842914602205255</v>
      </c>
      <c r="DA57" s="204">
        <f t="shared" si="43"/>
        <v>-51.842914602205255</v>
      </c>
      <c r="DB57" s="204">
        <f t="shared" si="43"/>
        <v>-51.842914602205255</v>
      </c>
      <c r="DC57" s="204">
        <f t="shared" si="43"/>
        <v>-51.842914602205255</v>
      </c>
      <c r="DD57" s="204">
        <f t="shared" si="43"/>
        <v>-51.842914602205255</v>
      </c>
      <c r="DE57" s="204">
        <f t="shared" si="43"/>
        <v>-51.842914602205255</v>
      </c>
      <c r="DF57" s="204">
        <f t="shared" si="43"/>
        <v>-51.842914602205255</v>
      </c>
      <c r="DG57" s="204">
        <f t="shared" si="43"/>
        <v>-51.842914602205255</v>
      </c>
      <c r="DH57" s="204">
        <f t="shared" si="43"/>
        <v>-51.842914602205255</v>
      </c>
      <c r="DI57" s="204">
        <f t="shared" si="43"/>
        <v>-51.842914602205255</v>
      </c>
      <c r="DJ57" s="204">
        <f t="shared" si="43"/>
        <v>-51.842914602205255</v>
      </c>
      <c r="DK57" s="204">
        <f t="shared" si="43"/>
        <v>-51.842914602205255</v>
      </c>
      <c r="DL57" s="204">
        <f t="shared" si="43"/>
        <v>-51.842914602205255</v>
      </c>
      <c r="DM57" s="204">
        <f t="shared" si="43"/>
        <v>-51.842914602205255</v>
      </c>
      <c r="DN57" s="204">
        <f t="shared" si="43"/>
        <v>-51.842914602205255</v>
      </c>
      <c r="DO57" s="204">
        <f t="shared" si="43"/>
        <v>-51.842914602205255</v>
      </c>
      <c r="DP57" s="204">
        <f t="shared" si="43"/>
        <v>-51.842914602205255</v>
      </c>
      <c r="DQ57" s="204">
        <f t="shared" si="43"/>
        <v>-51.842914602205255</v>
      </c>
      <c r="DR57" s="204">
        <f t="shared" si="43"/>
        <v>-51.842914602205255</v>
      </c>
      <c r="DS57" s="204">
        <f t="shared" si="43"/>
        <v>-51.842914602205255</v>
      </c>
      <c r="DT57" s="204">
        <f t="shared" si="43"/>
        <v>-51.842914602205255</v>
      </c>
      <c r="DU57" s="204">
        <f t="shared" si="43"/>
        <v>-51.842914602205255</v>
      </c>
      <c r="DV57" s="204">
        <f t="shared" si="43"/>
        <v>-51.842914602205255</v>
      </c>
      <c r="DW57" s="204">
        <f t="shared" si="43"/>
        <v>-51.842914602205255</v>
      </c>
      <c r="DX57" s="204">
        <f t="shared" si="43"/>
        <v>-51.842914602205255</v>
      </c>
      <c r="DY57" s="204">
        <f t="shared" si="43"/>
        <v>-51.842914602205255</v>
      </c>
      <c r="DZ57" s="204">
        <f t="shared" si="43"/>
        <v>-51.842914602205255</v>
      </c>
      <c r="EA57" s="204">
        <f t="shared" si="43"/>
        <v>-51.842914602205255</v>
      </c>
      <c r="EB57" s="204">
        <f t="shared" si="43"/>
        <v>-51.842914602205255</v>
      </c>
      <c r="EC57" s="204">
        <f t="shared" si="43"/>
        <v>-51.842914602205255</v>
      </c>
      <c r="ED57" s="204">
        <f t="shared" si="43"/>
        <v>-51.842914602205255</v>
      </c>
      <c r="EE57" s="204">
        <f t="shared" si="43"/>
        <v>-51.842914602205255</v>
      </c>
      <c r="EF57" s="204">
        <f t="shared" si="43"/>
        <v>-51.842914602205255</v>
      </c>
      <c r="EG57" s="204">
        <f t="shared" si="43"/>
        <v>-51.842914602205255</v>
      </c>
      <c r="EH57" s="204">
        <f t="shared" ref="EH57:ET57" si="44">PV($F11,EH$9,1,0)+(PV($J$6,$N$5-(EH$9),1,0)/($J$6+1)^EH$9)</f>
        <v>-51.842914602205255</v>
      </c>
      <c r="EI57" s="204">
        <f t="shared" si="44"/>
        <v>-51.842914602205255</v>
      </c>
      <c r="EJ57" s="204">
        <f t="shared" si="44"/>
        <v>-51.842914602205255</v>
      </c>
      <c r="EK57" s="204">
        <f t="shared" si="44"/>
        <v>-51.842914602205255</v>
      </c>
      <c r="EL57" s="204">
        <f t="shared" si="44"/>
        <v>-51.842914602205255</v>
      </c>
      <c r="EM57" s="204">
        <f t="shared" si="44"/>
        <v>-51.842914602205255</v>
      </c>
      <c r="EN57" s="204">
        <f t="shared" si="44"/>
        <v>-51.842914602205255</v>
      </c>
      <c r="EO57" s="204">
        <f t="shared" si="44"/>
        <v>-51.842914602205255</v>
      </c>
      <c r="EP57" s="204">
        <f t="shared" si="44"/>
        <v>-51.842914602205255</v>
      </c>
      <c r="EQ57" s="204">
        <f t="shared" si="44"/>
        <v>-51.842914602205255</v>
      </c>
      <c r="ER57" s="204">
        <f t="shared" si="44"/>
        <v>-51.842914602205255</v>
      </c>
      <c r="ES57" s="204">
        <f t="shared" si="44"/>
        <v>-51.842914602205255</v>
      </c>
      <c r="ET57" s="204">
        <f t="shared" si="44"/>
        <v>-51.842914602205255</v>
      </c>
      <c r="FF57" s="6" t="s">
        <v>3011</v>
      </c>
      <c r="FG57" s="696">
        <v>2.5000000000000001E-2</v>
      </c>
      <c r="FH57" s="696">
        <v>120</v>
      </c>
      <c r="FI57" s="696">
        <v>1.67E-2</v>
      </c>
      <c r="FJ57" s="255">
        <v>1.4199999999999999E-2</v>
      </c>
      <c r="FK57" s="71">
        <f t="shared" si="11"/>
        <v>2.5714285714285721E-4</v>
      </c>
      <c r="FL57" t="e">
        <f>VLOOKUP(FF57,'SIMULADOR COM SALDO'!$BX$22:$CK$1000,13,FALSE)</f>
        <v>#N/A</v>
      </c>
    </row>
    <row r="58" spans="5:168" x14ac:dyDescent="0.25">
      <c r="G58" s="103">
        <f t="shared" ref="G58:G121" si="45">PV($F12,G$9,1,0)+(PV($J$6,$N$5-(G$9),1,0)/($J$6+1))^G$9</f>
        <v>-44.756083159582289</v>
      </c>
      <c r="H58" s="204">
        <f t="shared" ref="H58:W121" si="46">PV($F12,H$9,1,0)+(PV($J$6,$N$5-(H$9),1,0)/($J$6+1)^H$9)</f>
        <v>-44.76370449652066</v>
      </c>
      <c r="I58" s="204">
        <f t="shared" si="46"/>
        <v>-44.774951006972479</v>
      </c>
      <c r="J58" s="204">
        <f t="shared" si="46"/>
        <v>-44.789703059797574</v>
      </c>
      <c r="K58" s="204">
        <f t="shared" si="46"/>
        <v>-44.807843965423366</v>
      </c>
      <c r="L58" s="204">
        <f t="shared" si="46"/>
        <v>-44.829259911430768</v>
      </c>
      <c r="M58" s="204">
        <f t="shared" si="46"/>
        <v>-44.853839899467161</v>
      </c>
      <c r="N58" s="204">
        <f t="shared" si="46"/>
        <v>-44.881475683459904</v>
      </c>
      <c r="O58" s="204">
        <f t="shared" si="46"/>
        <v>-44.912061709104762</v>
      </c>
      <c r="P58" s="204">
        <f t="shared" si="46"/>
        <v>-44.945495054603597</v>
      </c>
      <c r="Q58" s="204">
        <f t="shared" si="46"/>
        <v>-44.981675372626881</v>
      </c>
      <c r="R58" s="204">
        <f t="shared" si="46"/>
        <v>-45.020504833476252</v>
      </c>
      <c r="S58" s="204">
        <f t="shared" si="46"/>
        <v>-45.061888069423752</v>
      </c>
      <c r="T58" s="204">
        <f t="shared" si="46"/>
        <v>-45.105732120203541</v>
      </c>
      <c r="U58" s="204">
        <f t="shared" si="46"/>
        <v>-45.151946379634076</v>
      </c>
      <c r="V58" s="204">
        <f t="shared" si="46"/>
        <v>-45.200442543347322</v>
      </c>
      <c r="W58" s="204">
        <f t="shared" si="46"/>
        <v>-45.251134557603649</v>
      </c>
      <c r="X58" s="204">
        <f t="shared" ref="X58:CI58" si="47">PV($F12,X$9,1,0)+(PV($J$6,$N$5-(X$9),1,0)/($J$6+1)^X$9)</f>
        <v>-45.303938569170143</v>
      </c>
      <c r="Y58" s="204">
        <f t="shared" si="47"/>
        <v>-45.358772876241659</v>
      </c>
      <c r="Z58" s="204">
        <f t="shared" si="47"/>
        <v>-45.415557880383233</v>
      </c>
      <c r="AA58" s="204">
        <f t="shared" si="47"/>
        <v>-45.474216039474058</v>
      </c>
      <c r="AB58" s="204">
        <f t="shared" si="47"/>
        <v>-45.534671821632301</v>
      </c>
      <c r="AC58" s="204">
        <f t="shared" si="47"/>
        <v>-45.596851660101819</v>
      </c>
      <c r="AD58" s="204">
        <f t="shared" si="47"/>
        <v>-45.660683909080944</v>
      </c>
      <c r="AE58" s="204">
        <f t="shared" si="47"/>
        <v>-45.726098800474944</v>
      </c>
      <c r="AF58" s="204">
        <f t="shared" si="47"/>
        <v>-45.793028401553329</v>
      </c>
      <c r="AG58" s="204">
        <f t="shared" si="47"/>
        <v>-45.861406573493838</v>
      </c>
      <c r="AH58" s="204">
        <f t="shared" si="47"/>
        <v>-45.931168930795778</v>
      </c>
      <c r="AI58" s="204">
        <f t="shared" si="47"/>
        <v>-46.0022528015446</v>
      </c>
      <c r="AJ58" s="204">
        <f t="shared" si="47"/>
        <v>-46.074597188511142</v>
      </c>
      <c r="AK58" s="204">
        <f t="shared" si="47"/>
        <v>-46.148142731068518</v>
      </c>
      <c r="AL58" s="204">
        <f t="shared" si="47"/>
        <v>-46.222831667910263</v>
      </c>
      <c r="AM58" s="204">
        <f t="shared" si="47"/>
        <v>-46.298607800553675</v>
      </c>
      <c r="AN58" s="204">
        <f t="shared" si="47"/>
        <v>-46.375416457612417</v>
      </c>
      <c r="AO58" s="204">
        <f t="shared" si="47"/>
        <v>-46.453204459823041</v>
      </c>
      <c r="AP58" s="204">
        <f t="shared" si="47"/>
        <v>-46.531920085810086</v>
      </c>
      <c r="AQ58" s="204">
        <f t="shared" si="47"/>
        <v>-46.611513038575097</v>
      </c>
      <c r="AR58" s="204">
        <f t="shared" si="47"/>
        <v>-46.69193441269455</v>
      </c>
      <c r="AS58" s="204">
        <f t="shared" si="47"/>
        <v>-46.773136662212849</v>
      </c>
      <c r="AT58" s="204">
        <f t="shared" si="47"/>
        <v>-46.855073569215989</v>
      </c>
      <c r="AU58" s="204">
        <f t="shared" si="47"/>
        <v>-46.937700213072333</v>
      </c>
      <c r="AV58" s="204">
        <f t="shared" si="47"/>
        <v>-47.020972940326956</v>
      </c>
      <c r="AW58" s="204">
        <f t="shared" si="47"/>
        <v>-47.104849335236132</v>
      </c>
      <c r="AX58" s="204">
        <f t="shared" si="47"/>
        <v>-47.189288190929474</v>
      </c>
      <c r="AY58" s="204">
        <f t="shared" si="47"/>
        <v>-47.274249481186523</v>
      </c>
      <c r="AZ58" s="204">
        <f t="shared" si="47"/>
        <v>-47.359694332815522</v>
      </c>
      <c r="BA58" s="204">
        <f t="shared" si="47"/>
        <v>-47.445584998622252</v>
      </c>
      <c r="BB58" s="204">
        <f t="shared" si="47"/>
        <v>-47.53188483095677</v>
      </c>
      <c r="BC58" s="204">
        <f t="shared" si="47"/>
        <v>-47.618558255826471</v>
      </c>
      <c r="BD58" s="204">
        <f t="shared" si="47"/>
        <v>-47.705570747563797</v>
      </c>
      <c r="BE58" s="204">
        <f t="shared" si="47"/>
        <v>-47.792888804037489</v>
      </c>
      <c r="BF58" s="204">
        <f t="shared" si="47"/>
        <v>-47.880479922396169</v>
      </c>
      <c r="BG58" s="204">
        <f t="shared" si="47"/>
        <v>-47.968312575333499</v>
      </c>
      <c r="BH58" s="204">
        <f t="shared" si="47"/>
        <v>-48.056356187864239</v>
      </c>
      <c r="BI58" s="204">
        <f t="shared" si="47"/>
        <v>-48.144581114600783</v>
      </c>
      <c r="BJ58" s="204">
        <f t="shared" si="47"/>
        <v>-48.23295861752004</v>
      </c>
      <c r="BK58" s="204">
        <f t="shared" si="47"/>
        <v>-48.321460844210534</v>
      </c>
      <c r="BL58" s="204">
        <f t="shared" si="47"/>
        <v>-48.410060806589932</v>
      </c>
      <c r="BM58" s="204">
        <f t="shared" si="47"/>
        <v>-48.49873236008348</v>
      </c>
      <c r="BN58" s="204">
        <f t="shared" si="47"/>
        <v>-48.587450183253736</v>
      </c>
      <c r="BO58" s="204">
        <f t="shared" si="47"/>
        <v>-48.676189757872585</v>
      </c>
      <c r="BP58" s="204">
        <f t="shared" si="47"/>
        <v>-48.764927349426202</v>
      </c>
      <c r="BQ58" s="204">
        <f t="shared" si="47"/>
        <v>-48.853639988044293</v>
      </c>
      <c r="BR58" s="204">
        <f t="shared" si="47"/>
        <v>-48.942305449844909</v>
      </c>
      <c r="BS58" s="204">
        <f t="shared" si="47"/>
        <v>-49.030902238686075</v>
      </c>
      <c r="BT58" s="204">
        <f t="shared" si="47"/>
        <v>-49.119409568316108</v>
      </c>
      <c r="BU58" s="204">
        <f t="shared" si="47"/>
        <v>-49.207807344914372</v>
      </c>
      <c r="BV58" s="204">
        <f t="shared" si="47"/>
        <v>-49.296076150014279</v>
      </c>
      <c r="BW58" s="204">
        <f t="shared" si="47"/>
        <v>-49.384197223800925</v>
      </c>
      <c r="BX58" s="204">
        <f t="shared" si="47"/>
        <v>-49.472152448775347</v>
      </c>
      <c r="BY58" s="204">
        <f t="shared" si="47"/>
        <v>-49.559924333778085</v>
      </c>
      <c r="BZ58" s="204">
        <f t="shared" si="47"/>
        <v>-49.647495998364434</v>
      </c>
      <c r="CA58" s="204">
        <f t="shared" si="47"/>
        <v>-49.734851157524361</v>
      </c>
      <c r="CB58" s="204">
        <f t="shared" si="47"/>
        <v>-49.821974106739567</v>
      </c>
      <c r="CC58" s="204">
        <f t="shared" si="47"/>
        <v>-49.908849707371182</v>
      </c>
      <c r="CD58" s="204">
        <f t="shared" si="47"/>
        <v>-49.995463372370899</v>
      </c>
      <c r="CE58" s="204">
        <f t="shared" si="47"/>
        <v>-50.081801052308968</v>
      </c>
      <c r="CF58" s="204">
        <f t="shared" si="47"/>
        <v>-50.167849221712487</v>
      </c>
      <c r="CG58" s="204">
        <f t="shared" si="47"/>
        <v>-50.253594865707534</v>
      </c>
      <c r="CH58" s="204">
        <f t="shared" si="47"/>
        <v>-50.339025466958759</v>
      </c>
      <c r="CI58" s="204">
        <f t="shared" si="47"/>
        <v>-50.424128992900442</v>
      </c>
      <c r="CJ58" s="204">
        <f t="shared" ref="CJ58:ET58" si="48">PV($F12,CJ$9,1,0)+(PV($J$6,$N$5-(CJ$9),1,0)/($J$6+1)^CJ$9)</f>
        <v>-50.50889388325259</v>
      </c>
      <c r="CK58" s="204">
        <f t="shared" si="48"/>
        <v>-50.593309037816589</v>
      </c>
      <c r="CL58" s="204">
        <f t="shared" si="48"/>
        <v>-50.677363804544207</v>
      </c>
      <c r="CM58" s="204">
        <f t="shared" si="48"/>
        <v>-50.761047967874447</v>
      </c>
      <c r="CN58" s="204">
        <f t="shared" si="48"/>
        <v>-50.844351737332566</v>
      </c>
      <c r="CO58" s="204">
        <f t="shared" si="48"/>
        <v>-50.927265736385813</v>
      </c>
      <c r="CP58" s="204">
        <f t="shared" si="48"/>
        <v>-51.009780991550521</v>
      </c>
      <c r="CQ58" s="204">
        <f t="shared" si="48"/>
        <v>-51.091888921745266</v>
      </c>
      <c r="CR58" s="204">
        <f t="shared" si="48"/>
        <v>-51.173581327884946</v>
      </c>
      <c r="CS58" s="204">
        <f t="shared" si="48"/>
        <v>-51.254850382710657</v>
      </c>
      <c r="CT58" s="204">
        <f t="shared" si="48"/>
        <v>-51.335688620850654</v>
      </c>
      <c r="CU58" s="204">
        <f t="shared" si="48"/>
        <v>-51.416088929107147</v>
      </c>
      <c r="CV58" s="204">
        <f t="shared" si="48"/>
        <v>-51.496044536964547</v>
      </c>
      <c r="CW58" s="204">
        <f t="shared" si="48"/>
        <v>-51.575549007314279</v>
      </c>
      <c r="CX58" s="204">
        <f t="shared" si="48"/>
        <v>-51.654596227391679</v>
      </c>
      <c r="CY58" s="204">
        <f t="shared" si="48"/>
        <v>-51.654596227391679</v>
      </c>
      <c r="CZ58" s="204">
        <f t="shared" si="48"/>
        <v>-51.654596227391679</v>
      </c>
      <c r="DA58" s="204">
        <f t="shared" si="48"/>
        <v>-51.654596227391679</v>
      </c>
      <c r="DB58" s="204">
        <f t="shared" si="48"/>
        <v>-51.654596227391679</v>
      </c>
      <c r="DC58" s="204">
        <f t="shared" si="48"/>
        <v>-51.654596227391679</v>
      </c>
      <c r="DD58" s="204">
        <f t="shared" si="48"/>
        <v>-51.654596227391679</v>
      </c>
      <c r="DE58" s="204">
        <f t="shared" si="48"/>
        <v>-51.654596227391679</v>
      </c>
      <c r="DF58" s="204">
        <f t="shared" si="48"/>
        <v>-51.654596227391679</v>
      </c>
      <c r="DG58" s="204">
        <f t="shared" si="48"/>
        <v>-51.654596227391679</v>
      </c>
      <c r="DH58" s="204">
        <f t="shared" si="48"/>
        <v>-51.654596227391679</v>
      </c>
      <c r="DI58" s="204">
        <f t="shared" si="48"/>
        <v>-51.654596227391679</v>
      </c>
      <c r="DJ58" s="204">
        <f t="shared" si="48"/>
        <v>-51.654596227391679</v>
      </c>
      <c r="DK58" s="204">
        <f t="shared" si="48"/>
        <v>-51.654596227391679</v>
      </c>
      <c r="DL58" s="204">
        <f t="shared" si="48"/>
        <v>-51.654596227391679</v>
      </c>
      <c r="DM58" s="204">
        <f t="shared" si="48"/>
        <v>-51.654596227391679</v>
      </c>
      <c r="DN58" s="204">
        <f t="shared" si="48"/>
        <v>-51.654596227391679</v>
      </c>
      <c r="DO58" s="204">
        <f t="shared" si="48"/>
        <v>-51.654596227391679</v>
      </c>
      <c r="DP58" s="204">
        <f t="shared" si="48"/>
        <v>-51.654596227391679</v>
      </c>
      <c r="DQ58" s="204">
        <f t="shared" si="48"/>
        <v>-51.654596227391679</v>
      </c>
      <c r="DR58" s="204">
        <f t="shared" si="48"/>
        <v>-51.654596227391679</v>
      </c>
      <c r="DS58" s="204">
        <f t="shared" si="48"/>
        <v>-51.654596227391679</v>
      </c>
      <c r="DT58" s="204">
        <f t="shared" si="48"/>
        <v>-51.654596227391679</v>
      </c>
      <c r="DU58" s="204">
        <f t="shared" si="48"/>
        <v>-51.654596227391679</v>
      </c>
      <c r="DV58" s="204">
        <f t="shared" si="48"/>
        <v>-51.654596227391679</v>
      </c>
      <c r="DW58" s="204">
        <f t="shared" si="48"/>
        <v>-51.654596227391679</v>
      </c>
      <c r="DX58" s="204">
        <f t="shared" si="48"/>
        <v>-51.654596227391679</v>
      </c>
      <c r="DY58" s="204">
        <f t="shared" si="48"/>
        <v>-51.654596227391679</v>
      </c>
      <c r="DZ58" s="204">
        <f t="shared" si="48"/>
        <v>-51.654596227391679</v>
      </c>
      <c r="EA58" s="204">
        <f t="shared" si="48"/>
        <v>-51.654596227391679</v>
      </c>
      <c r="EB58" s="204">
        <f t="shared" si="48"/>
        <v>-51.654596227391679</v>
      </c>
      <c r="EC58" s="204">
        <f t="shared" si="48"/>
        <v>-51.654596227391679</v>
      </c>
      <c r="ED58" s="204">
        <f t="shared" si="48"/>
        <v>-51.654596227391679</v>
      </c>
      <c r="EE58" s="204">
        <f t="shared" si="48"/>
        <v>-51.654596227391679</v>
      </c>
      <c r="EF58" s="204">
        <f t="shared" si="48"/>
        <v>-51.654596227391679</v>
      </c>
      <c r="EG58" s="204">
        <f t="shared" si="48"/>
        <v>-51.654596227391679</v>
      </c>
      <c r="EH58" s="204">
        <f t="shared" si="48"/>
        <v>-51.654596227391679</v>
      </c>
      <c r="EI58" s="204">
        <f t="shared" si="48"/>
        <v>-51.654596227391679</v>
      </c>
      <c r="EJ58" s="204">
        <f t="shared" si="48"/>
        <v>-51.654596227391679</v>
      </c>
      <c r="EK58" s="204">
        <f t="shared" si="48"/>
        <v>-51.654596227391679</v>
      </c>
      <c r="EL58" s="204">
        <f t="shared" si="48"/>
        <v>-51.654596227391679</v>
      </c>
      <c r="EM58" s="204">
        <f t="shared" si="48"/>
        <v>-51.654596227391679</v>
      </c>
      <c r="EN58" s="204">
        <f t="shared" si="48"/>
        <v>-51.654596227391679</v>
      </c>
      <c r="EO58" s="204">
        <f t="shared" si="48"/>
        <v>-51.654596227391679</v>
      </c>
      <c r="EP58" s="204">
        <f t="shared" si="48"/>
        <v>-51.654596227391679</v>
      </c>
      <c r="EQ58" s="204">
        <f t="shared" si="48"/>
        <v>-51.654596227391679</v>
      </c>
      <c r="ER58" s="204">
        <f t="shared" si="48"/>
        <v>-51.654596227391679</v>
      </c>
      <c r="ES58" s="204">
        <f t="shared" si="48"/>
        <v>-51.654596227391679</v>
      </c>
      <c r="ET58" s="204">
        <f t="shared" si="48"/>
        <v>-51.654596227391679</v>
      </c>
      <c r="FF58" s="6" t="s">
        <v>2902</v>
      </c>
      <c r="FG58" s="696">
        <v>2.5000000000000001E-2</v>
      </c>
      <c r="FH58" s="696">
        <v>120</v>
      </c>
      <c r="FI58" s="696">
        <v>1.6799999999999999E-2</v>
      </c>
      <c r="FJ58" s="255">
        <v>1.3000000000000001E-2</v>
      </c>
      <c r="FK58" s="71">
        <f t="shared" si="11"/>
        <v>2.8571428571428574E-4</v>
      </c>
      <c r="FL58" t="e">
        <f>VLOOKUP(FF58,'SIMULADOR COM SALDO'!$BX$22:$CK$1000,13,FALSE)</f>
        <v>#N/A</v>
      </c>
    </row>
    <row r="59" spans="5:168" x14ac:dyDescent="0.25">
      <c r="G59" s="103">
        <f t="shared" si="45"/>
        <v>-44.755988319763709</v>
      </c>
      <c r="H59" s="204">
        <f t="shared" si="46"/>
        <v>-44.76342269666528</v>
      </c>
      <c r="I59" s="204">
        <f t="shared" si="46"/>
        <v>-44.774392787972403</v>
      </c>
      <c r="J59" s="204">
        <f t="shared" si="46"/>
        <v>-44.788781566283255</v>
      </c>
      <c r="K59" s="204">
        <f t="shared" si="46"/>
        <v>-44.806474889489834</v>
      </c>
      <c r="L59" s="204">
        <f t="shared" si="46"/>
        <v>-44.827361437442271</v>
      </c>
      <c r="M59" s="204">
        <f t="shared" si="46"/>
        <v>-44.851332649920906</v>
      </c>
      <c r="N59" s="204">
        <f t="shared" si="46"/>
        <v>-44.878282665889806</v>
      </c>
      <c r="O59" s="204">
        <f t="shared" si="46"/>
        <v>-44.908108264006607</v>
      </c>
      <c r="P59" s="204">
        <f t="shared" si="46"/>
        <v>-44.940708804363176</v>
      </c>
      <c r="Q59" s="204">
        <f t="shared" si="46"/>
        <v>-44.975986171433021</v>
      </c>
      <c r="R59" s="204">
        <f t="shared" si="46"/>
        <v>-45.013844718201121</v>
      </c>
      <c r="S59" s="204">
        <f t="shared" si="46"/>
        <v>-45.054191211452746</v>
      </c>
      <c r="T59" s="204">
        <f t="shared" si="46"/>
        <v>-45.09693477819804</v>
      </c>
      <c r="U59" s="204">
        <f t="shared" si="46"/>
        <v>-45.14198685320968</v>
      </c>
      <c r="V59" s="204">
        <f t="shared" si="46"/>
        <v>-45.189261127651527</v>
      </c>
      <c r="W59" s="204">
        <f t="shared" si="46"/>
        <v>-45.238673498776357</v>
      </c>
      <c r="X59" s="204">
        <f t="shared" ref="X59:CI59" si="49">PV($F13,X$9,1,0)+(PV($J$6,$N$5-(X$9),1,0)/($J$6+1)^X$9)</f>
        <v>-45.290142020671247</v>
      </c>
      <c r="Y59" s="204">
        <f t="shared" si="49"/>
        <v>-45.343586856029759</v>
      </c>
      <c r="Z59" s="204">
        <f t="shared" si="49"/>
        <v>-45.398930228930382</v>
      </c>
      <c r="AA59" s="204">
        <f t="shared" si="49"/>
        <v>-45.456096378600961</v>
      </c>
      <c r="AB59" s="204">
        <f t="shared" si="49"/>
        <v>-45.515011514149457</v>
      </c>
      <c r="AC59" s="204">
        <f t="shared" si="49"/>
        <v>-45.575603770241713</v>
      </c>
      <c r="AD59" s="204">
        <f t="shared" si="49"/>
        <v>-45.637803163706948</v>
      </c>
      <c r="AE59" s="204">
        <f t="shared" si="49"/>
        <v>-45.701541551052934</v>
      </c>
      <c r="AF59" s="204">
        <f t="shared" si="49"/>
        <v>-45.766752586871839</v>
      </c>
      <c r="AG59" s="204">
        <f t="shared" si="49"/>
        <v>-45.833371683119417</v>
      </c>
      <c r="AH59" s="204">
        <f t="shared" si="49"/>
        <v>-45.901335969249899</v>
      </c>
      <c r="AI59" s="204">
        <f t="shared" si="49"/>
        <v>-45.970584253188989</v>
      </c>
      <c r="AJ59" s="204">
        <f t="shared" si="49"/>
        <v>-46.041056983128769</v>
      </c>
      <c r="AK59" s="204">
        <f t="shared" si="49"/>
        <v>-46.11269621012719</v>
      </c>
      <c r="AL59" s="204">
        <f t="shared" si="49"/>
        <v>-46.185445551496571</v>
      </c>
      <c r="AM59" s="204">
        <f t="shared" si="49"/>
        <v>-46.259250154964974</v>
      </c>
      <c r="AN59" s="204">
        <f t="shared" si="49"/>
        <v>-46.334056663594623</v>
      </c>
      <c r="AO59" s="204">
        <f t="shared" si="49"/>
        <v>-46.409813181442594</v>
      </c>
      <c r="AP59" s="204">
        <f t="shared" si="49"/>
        <v>-46.486469239948235</v>
      </c>
      <c r="AQ59" s="204">
        <f t="shared" si="49"/>
        <v>-46.563975765033177</v>
      </c>
      <c r="AR59" s="204">
        <f t="shared" si="49"/>
        <v>-46.642285044898983</v>
      </c>
      <c r="AS59" s="204">
        <f t="shared" si="49"/>
        <v>-46.721350698508793</v>
      </c>
      <c r="AT59" s="204">
        <f t="shared" si="49"/>
        <v>-46.801127644738742</v>
      </c>
      <c r="AU59" s="204">
        <f t="shared" si="49"/>
        <v>-46.881572072185961</v>
      </c>
      <c r="AV59" s="204">
        <f t="shared" si="49"/>
        <v>-46.962641409619465</v>
      </c>
      <c r="AW59" s="204">
        <f t="shared" si="49"/>
        <v>-47.0442942970611</v>
      </c>
      <c r="AX59" s="204">
        <f t="shared" si="49"/>
        <v>-47.126490557483848</v>
      </c>
      <c r="AY59" s="204">
        <f t="shared" si="49"/>
        <v>-47.20919116911471</v>
      </c>
      <c r="AZ59" s="204">
        <f t="shared" si="49"/>
        <v>-47.292358238330124</v>
      </c>
      <c r="BA59" s="204">
        <f t="shared" si="49"/>
        <v>-47.375954973131584</v>
      </c>
      <c r="BB59" s="204">
        <f t="shared" si="49"/>
        <v>-47.459945657190076</v>
      </c>
      <c r="BC59" s="204">
        <f t="shared" si="49"/>
        <v>-47.544295624447258</v>
      </c>
      <c r="BD59" s="204">
        <f t="shared" si="49"/>
        <v>-47.628971234262451</v>
      </c>
      <c r="BE59" s="204">
        <f t="shared" si="49"/>
        <v>-47.713939847094053</v>
      </c>
      <c r="BF59" s="204">
        <f t="shared" si="49"/>
        <v>-47.799169800704661</v>
      </c>
      <c r="BG59" s="204">
        <f t="shared" si="49"/>
        <v>-47.88463038687901</v>
      </c>
      <c r="BH59" s="204">
        <f t="shared" si="49"/>
        <v>-47.970291828644413</v>
      </c>
      <c r="BI59" s="204">
        <f t="shared" si="49"/>
        <v>-48.05612525798346</v>
      </c>
      <c r="BJ59" s="204">
        <f t="shared" si="49"/>
        <v>-48.142102694028608</v>
      </c>
      <c r="BK59" s="204">
        <f t="shared" si="49"/>
        <v>-48.228197021729301</v>
      </c>
      <c r="BL59" s="204">
        <f t="shared" si="49"/>
        <v>-48.314381970981401</v>
      </c>
      <c r="BM59" s="204">
        <f t="shared" si="49"/>
        <v>-48.400632096209861</v>
      </c>
      <c r="BN59" s="204">
        <f t="shared" si="49"/>
        <v>-48.48692275639511</v>
      </c>
      <c r="BO59" s="204">
        <f t="shared" si="49"/>
        <v>-48.573230095534164</v>
      </c>
      <c r="BP59" s="204">
        <f t="shared" si="49"/>
        <v>-48.659531023527478</v>
      </c>
      <c r="BQ59" s="204">
        <f t="shared" si="49"/>
        <v>-48.745803197482758</v>
      </c>
      <c r="BR59" s="204">
        <f t="shared" si="49"/>
        <v>-48.832025003427248</v>
      </c>
      <c r="BS59" s="204">
        <f t="shared" si="49"/>
        <v>-48.918175538420037</v>
      </c>
      <c r="BT59" s="204">
        <f t="shared" si="49"/>
        <v>-49.004234593056026</v>
      </c>
      <c r="BU59" s="204">
        <f t="shared" si="49"/>
        <v>-49.090182634353766</v>
      </c>
      <c r="BV59" s="204">
        <f t="shared" si="49"/>
        <v>-49.176000789018858</v>
      </c>
      <c r="BW59" s="204">
        <f t="shared" si="49"/>
        <v>-49.261670827075584</v>
      </c>
      <c r="BX59" s="204">
        <f t="shared" si="49"/>
        <v>-49.347175145858763</v>
      </c>
      <c r="BY59" s="204">
        <f t="shared" si="49"/>
        <v>-49.432496754358709</v>
      </c>
      <c r="BZ59" s="204">
        <f t="shared" si="49"/>
        <v>-49.517619257911697</v>
      </c>
      <c r="CA59" s="204">
        <f t="shared" si="49"/>
        <v>-49.602526843229093</v>
      </c>
      <c r="CB59" s="204">
        <f t="shared" si="49"/>
        <v>-49.687204263757771</v>
      </c>
      <c r="CC59" s="204">
        <f t="shared" si="49"/>
        <v>-49.771636825365235</v>
      </c>
      <c r="CD59" s="204">
        <f t="shared" si="49"/>
        <v>-49.855810372342589</v>
      </c>
      <c r="CE59" s="204">
        <f t="shared" si="49"/>
        <v>-49.939711273718736</v>
      </c>
      <c r="CF59" s="204">
        <f t="shared" si="49"/>
        <v>-50.023326409879324</v>
      </c>
      <c r="CG59" s="204">
        <f t="shared" si="49"/>
        <v>-50.106643159484229</v>
      </c>
      <c r="CH59" s="204">
        <f t="shared" si="49"/>
        <v>-50.189649386677068</v>
      </c>
      <c r="CI59" s="204">
        <f t="shared" si="49"/>
        <v>-50.272333428581064</v>
      </c>
      <c r="CJ59" s="204">
        <f t="shared" ref="CJ59:ET59" si="50">PV($F13,CJ$9,1,0)+(PV($J$6,$N$5-(CJ$9),1,0)/($J$6+1)^CJ$9)</f>
        <v>-50.354684083074844</v>
      </c>
      <c r="CK59" s="204">
        <f t="shared" si="50"/>
        <v>-50.436690596842702</v>
      </c>
      <c r="CL59" s="204">
        <f t="shared" si="50"/>
        <v>-50.518342653693281</v>
      </c>
      <c r="CM59" s="204">
        <f t="shared" si="50"/>
        <v>-50.599630363141387</v>
      </c>
      <c r="CN59" s="204">
        <f t="shared" si="50"/>
        <v>-50.680544249246999</v>
      </c>
      <c r="CO59" s="204">
        <f t="shared" si="50"/>
        <v>-50.761075239706614</v>
      </c>
      <c r="CP59" s="204">
        <f t="shared" si="50"/>
        <v>-50.841214655190988</v>
      </c>
      <c r="CQ59" s="204">
        <f t="shared" si="50"/>
        <v>-50.920954198924861</v>
      </c>
      <c r="CR59" s="204">
        <f t="shared" si="50"/>
        <v>-51.000285946502828</v>
      </c>
      <c r="CS59" s="204">
        <f t="shared" si="50"/>
        <v>-51.079202335936927</v>
      </c>
      <c r="CT59" s="204">
        <f t="shared" si="50"/>
        <v>-51.157696157930815</v>
      </c>
      <c r="CU59" s="204">
        <f t="shared" si="50"/>
        <v>-51.235760546375801</v>
      </c>
      <c r="CV59" s="204">
        <f t="shared" si="50"/>
        <v>-51.313388969064164</v>
      </c>
      <c r="CW59" s="204">
        <f t="shared" si="50"/>
        <v>-51.390575218614892</v>
      </c>
      <c r="CX59" s="204">
        <f t="shared" si="50"/>
        <v>-51.467313403607704</v>
      </c>
      <c r="CY59" s="204">
        <f t="shared" si="50"/>
        <v>-51.467313403607704</v>
      </c>
      <c r="CZ59" s="204">
        <f t="shared" si="50"/>
        <v>-51.467313403607704</v>
      </c>
      <c r="DA59" s="204">
        <f t="shared" si="50"/>
        <v>-51.467313403607704</v>
      </c>
      <c r="DB59" s="204">
        <f t="shared" si="50"/>
        <v>-51.467313403607704</v>
      </c>
      <c r="DC59" s="204">
        <f t="shared" si="50"/>
        <v>-51.467313403607704</v>
      </c>
      <c r="DD59" s="204">
        <f t="shared" si="50"/>
        <v>-51.467313403607704</v>
      </c>
      <c r="DE59" s="204">
        <f t="shared" si="50"/>
        <v>-51.467313403607704</v>
      </c>
      <c r="DF59" s="204">
        <f t="shared" si="50"/>
        <v>-51.467313403607704</v>
      </c>
      <c r="DG59" s="204">
        <f t="shared" si="50"/>
        <v>-51.467313403607704</v>
      </c>
      <c r="DH59" s="204">
        <f t="shared" si="50"/>
        <v>-51.467313403607704</v>
      </c>
      <c r="DI59" s="204">
        <f t="shared" si="50"/>
        <v>-51.467313403607704</v>
      </c>
      <c r="DJ59" s="204">
        <f t="shared" si="50"/>
        <v>-51.467313403607704</v>
      </c>
      <c r="DK59" s="204">
        <f t="shared" si="50"/>
        <v>-51.467313403607704</v>
      </c>
      <c r="DL59" s="204">
        <f t="shared" si="50"/>
        <v>-51.467313403607704</v>
      </c>
      <c r="DM59" s="204">
        <f t="shared" si="50"/>
        <v>-51.467313403607704</v>
      </c>
      <c r="DN59" s="204">
        <f t="shared" si="50"/>
        <v>-51.467313403607704</v>
      </c>
      <c r="DO59" s="204">
        <f t="shared" si="50"/>
        <v>-51.467313403607704</v>
      </c>
      <c r="DP59" s="204">
        <f t="shared" si="50"/>
        <v>-51.467313403607704</v>
      </c>
      <c r="DQ59" s="204">
        <f t="shared" si="50"/>
        <v>-51.467313403607704</v>
      </c>
      <c r="DR59" s="204">
        <f t="shared" si="50"/>
        <v>-51.467313403607704</v>
      </c>
      <c r="DS59" s="204">
        <f t="shared" si="50"/>
        <v>-51.467313403607704</v>
      </c>
      <c r="DT59" s="204">
        <f t="shared" si="50"/>
        <v>-51.467313403607704</v>
      </c>
      <c r="DU59" s="204">
        <f t="shared" si="50"/>
        <v>-51.467313403607704</v>
      </c>
      <c r="DV59" s="204">
        <f t="shared" si="50"/>
        <v>-51.467313403607704</v>
      </c>
      <c r="DW59" s="204">
        <f t="shared" si="50"/>
        <v>-51.467313403607704</v>
      </c>
      <c r="DX59" s="204">
        <f t="shared" si="50"/>
        <v>-51.467313403607704</v>
      </c>
      <c r="DY59" s="204">
        <f t="shared" si="50"/>
        <v>-51.467313403607704</v>
      </c>
      <c r="DZ59" s="204">
        <f t="shared" si="50"/>
        <v>-51.467313403607704</v>
      </c>
      <c r="EA59" s="204">
        <f t="shared" si="50"/>
        <v>-51.467313403607704</v>
      </c>
      <c r="EB59" s="204">
        <f t="shared" si="50"/>
        <v>-51.467313403607704</v>
      </c>
      <c r="EC59" s="204">
        <f t="shared" si="50"/>
        <v>-51.467313403607704</v>
      </c>
      <c r="ED59" s="204">
        <f t="shared" si="50"/>
        <v>-51.467313403607704</v>
      </c>
      <c r="EE59" s="204">
        <f t="shared" si="50"/>
        <v>-51.467313403607704</v>
      </c>
      <c r="EF59" s="204">
        <f t="shared" si="50"/>
        <v>-51.467313403607704</v>
      </c>
      <c r="EG59" s="204">
        <f t="shared" si="50"/>
        <v>-51.467313403607704</v>
      </c>
      <c r="EH59" s="204">
        <f t="shared" si="50"/>
        <v>-51.467313403607704</v>
      </c>
      <c r="EI59" s="204">
        <f t="shared" si="50"/>
        <v>-51.467313403607704</v>
      </c>
      <c r="EJ59" s="204">
        <f t="shared" si="50"/>
        <v>-51.467313403607704</v>
      </c>
      <c r="EK59" s="204">
        <f t="shared" si="50"/>
        <v>-51.467313403607704</v>
      </c>
      <c r="EL59" s="204">
        <f t="shared" si="50"/>
        <v>-51.467313403607704</v>
      </c>
      <c r="EM59" s="204">
        <f t="shared" si="50"/>
        <v>-51.467313403607704</v>
      </c>
      <c r="EN59" s="204">
        <f t="shared" si="50"/>
        <v>-51.467313403607704</v>
      </c>
      <c r="EO59" s="204">
        <f t="shared" si="50"/>
        <v>-51.467313403607704</v>
      </c>
      <c r="EP59" s="204">
        <f t="shared" si="50"/>
        <v>-51.467313403607704</v>
      </c>
      <c r="EQ59" s="204">
        <f t="shared" si="50"/>
        <v>-51.467313403607704</v>
      </c>
      <c r="ER59" s="204">
        <f t="shared" si="50"/>
        <v>-51.467313403607704</v>
      </c>
      <c r="ES59" s="204">
        <f t="shared" si="50"/>
        <v>-51.467313403607704</v>
      </c>
      <c r="ET59" s="204">
        <f t="shared" si="50"/>
        <v>-51.467313403607704</v>
      </c>
      <c r="FF59" s="6" t="s">
        <v>2514</v>
      </c>
      <c r="FG59" s="696">
        <v>2.5000000000000001E-2</v>
      </c>
      <c r="FH59" s="696">
        <v>96</v>
      </c>
      <c r="FI59" s="696">
        <v>1.95E-2</v>
      </c>
      <c r="FJ59" s="255">
        <v>1.6500000000000001E-2</v>
      </c>
      <c r="FK59" s="71">
        <f t="shared" si="11"/>
        <v>2.0238095238095239E-4</v>
      </c>
      <c r="FL59" t="e">
        <f>VLOOKUP(FF59,'SIMULADOR COM SALDO'!$BX$22:$CK$1000,13,FALSE)</f>
        <v>#N/A</v>
      </c>
    </row>
    <row r="60" spans="5:168" x14ac:dyDescent="0.25">
      <c r="G60" s="103">
        <f t="shared" si="45"/>
        <v>-44.755893498193345</v>
      </c>
      <c r="H60" s="204">
        <f t="shared" si="46"/>
        <v>-44.763140969015296</v>
      </c>
      <c r="I60" s="204">
        <f t="shared" si="46"/>
        <v>-44.773834747539681</v>
      </c>
      <c r="J60" s="204">
        <f t="shared" si="46"/>
        <v>-44.787860426056142</v>
      </c>
      <c r="K60" s="204">
        <f t="shared" si="46"/>
        <v>-44.805106425153184</v>
      </c>
      <c r="L60" s="204">
        <f t="shared" si="46"/>
        <v>-44.825463931482005</v>
      </c>
      <c r="M60" s="204">
        <f t="shared" si="46"/>
        <v>-44.848826836808186</v>
      </c>
      <c r="N60" s="204">
        <f t="shared" si="46"/>
        <v>-44.875091678325347</v>
      </c>
      <c r="O60" s="204">
        <f t="shared" si="46"/>
        <v>-44.904157580205847</v>
      </c>
      <c r="P60" s="204">
        <f t="shared" si="46"/>
        <v>-44.935926196363589</v>
      </c>
      <c r="Q60" s="204">
        <f t="shared" si="46"/>
        <v>-44.970301654405048</v>
      </c>
      <c r="R60" s="204">
        <f t="shared" si="46"/>
        <v>-45.007190500744287</v>
      </c>
      <c r="S60" s="204">
        <f t="shared" si="46"/>
        <v>-45.046501646859397</v>
      </c>
      <c r="T60" s="204">
        <f t="shared" si="46"/>
        <v>-45.088146316666929</v>
      </c>
      <c r="U60" s="204">
        <f t="shared" si="46"/>
        <v>-45.132037994992203</v>
      </c>
      <c r="V60" s="204">
        <f t="shared" si="46"/>
        <v>-45.178092377113614</v>
      </c>
      <c r="W60" s="204">
        <f t="shared" si="46"/>
        <v>-45.22622731935931</v>
      </c>
      <c r="X60" s="204">
        <f t="shared" ref="X60:CI60" si="51">PV($F14,X$9,1,0)+(PV($J$6,$N$5-(X$9),1,0)/($J$6+1)^X$9)</f>
        <v>-45.276362790735263</v>
      </c>
      <c r="Y60" s="204">
        <f t="shared" si="51"/>
        <v>-45.328420825563981</v>
      </c>
      <c r="Z60" s="204">
        <f t="shared" si="51"/>
        <v>-45.382325477113554</v>
      </c>
      <c r="AA60" s="204">
        <f t="shared" si="51"/>
        <v>-45.438002772197365</v>
      </c>
      <c r="AB60" s="204">
        <f t="shared" si="51"/>
        <v>-45.495380666724678</v>
      </c>
      <c r="AC60" s="204">
        <f t="shared" si="51"/>
        <v>-45.554389002183292</v>
      </c>
      <c r="AD60" s="204">
        <f t="shared" si="51"/>
        <v>-45.614959463035298</v>
      </c>
      <c r="AE60" s="204">
        <f t="shared" si="51"/>
        <v>-45.677025535007758</v>
      </c>
      <c r="AF60" s="204">
        <f t="shared" si="51"/>
        <v>-45.740522464260138</v>
      </c>
      <c r="AG60" s="204">
        <f t="shared" si="51"/>
        <v>-45.805387217410981</v>
      </c>
      <c r="AH60" s="204">
        <f t="shared" si="51"/>
        <v>-45.87155844240641</v>
      </c>
      <c r="AI60" s="204">
        <f t="shared" si="51"/>
        <v>-45.938976430213522</v>
      </c>
      <c r="AJ60" s="204">
        <f t="shared" si="51"/>
        <v>-46.007583077322145</v>
      </c>
      <c r="AK60" s="204">
        <f t="shared" si="51"/>
        <v>-46.077321849038427</v>
      </c>
      <c r="AL60" s="204">
        <f t="shared" si="51"/>
        <v>-46.148137743554457</v>
      </c>
      <c r="AM60" s="204">
        <f t="shared" si="51"/>
        <v>-46.219977256778137</v>
      </c>
      <c r="AN60" s="204">
        <f t="shared" si="51"/>
        <v>-46.292788347908058</v>
      </c>
      <c r="AO60" s="204">
        <f t="shared" si="51"/>
        <v>-46.366520405738164</v>
      </c>
      <c r="AP60" s="204">
        <f t="shared" si="51"/>
        <v>-46.441124215677462</v>
      </c>
      <c r="AQ60" s="204">
        <f t="shared" si="51"/>
        <v>-46.516551927470445</v>
      </c>
      <c r="AR60" s="204">
        <f t="shared" si="51"/>
        <v>-46.592757023603809</v>
      </c>
      <c r="AS60" s="204">
        <f t="shared" si="51"/>
        <v>-46.66969428838577</v>
      </c>
      <c r="AT60" s="204">
        <f t="shared" si="51"/>
        <v>-46.747319777684105</v>
      </c>
      <c r="AU60" s="204">
        <f t="shared" si="51"/>
        <v>-46.82559078930975</v>
      </c>
      <c r="AV60" s="204">
        <f t="shared" si="51"/>
        <v>-46.904465834032777</v>
      </c>
      <c r="AW60" s="204">
        <f t="shared" si="51"/>
        <v>-46.983904607217767</v>
      </c>
      <c r="AX60" s="204">
        <f t="shared" si="51"/>
        <v>-47.063867961066208</v>
      </c>
      <c r="AY60" s="204">
        <f t="shared" si="51"/>
        <v>-47.144317877453368</v>
      </c>
      <c r="AZ60" s="204">
        <f t="shared" si="51"/>
        <v>-47.225217441347695</v>
      </c>
      <c r="BA60" s="204">
        <f t="shared" si="51"/>
        <v>-47.306530814800695</v>
      </c>
      <c r="BB60" s="204">
        <f t="shared" si="51"/>
        <v>-47.388223211495813</v>
      </c>
      <c r="BC60" s="204">
        <f t="shared" si="51"/>
        <v>-47.470260871844872</v>
      </c>
      <c r="BD60" s="204">
        <f t="shared" si="51"/>
        <v>-47.55261103862081</v>
      </c>
      <c r="BE60" s="204">
        <f t="shared" si="51"/>
        <v>-47.635241933115893</v>
      </c>
      <c r="BF60" s="204">
        <f t="shared" si="51"/>
        <v>-47.718122731814461</v>
      </c>
      <c r="BG60" s="204">
        <f t="shared" si="51"/>
        <v>-47.801223543570003</v>
      </c>
      <c r="BH60" s="204">
        <f t="shared" si="51"/>
        <v>-47.884515387275805</v>
      </c>
      <c r="BI60" s="204">
        <f t="shared" si="51"/>
        <v>-47.967970170019434</v>
      </c>
      <c r="BJ60" s="204">
        <f t="shared" si="51"/>
        <v>-48.05156066571098</v>
      </c>
      <c r="BK60" s="204">
        <f t="shared" si="51"/>
        <v>-48.135260494175334</v>
      </c>
      <c r="BL60" s="204">
        <f t="shared" si="51"/>
        <v>-48.21904410069893</v>
      </c>
      <c r="BM60" s="204">
        <f t="shared" si="51"/>
        <v>-48.302886736021819</v>
      </c>
      <c r="BN60" s="204">
        <f t="shared" si="51"/>
        <v>-48.38676443676561</v>
      </c>
      <c r="BO60" s="204">
        <f t="shared" si="51"/>
        <v>-48.470654006288576</v>
      </c>
      <c r="BP60" s="204">
        <f t="shared" si="51"/>
        <v>-48.554532995959029</v>
      </c>
      <c r="BQ60" s="204">
        <f t="shared" si="51"/>
        <v>-48.638379686838284</v>
      </c>
      <c r="BR60" s="204">
        <f t="shared" si="51"/>
        <v>-48.722173071764885</v>
      </c>
      <c r="BS60" s="204">
        <f t="shared" si="51"/>
        <v>-48.80589283783172</v>
      </c>
      <c r="BT60" s="204">
        <f t="shared" si="51"/>
        <v>-48.889519349247919</v>
      </c>
      <c r="BU60" s="204">
        <f t="shared" si="51"/>
        <v>-48.973033630577753</v>
      </c>
      <c r="BV60" s="204">
        <f t="shared" si="51"/>
        <v>-49.056417350348354</v>
      </c>
      <c r="BW60" s="204">
        <f t="shared" si="51"/>
        <v>-49.139652805019075</v>
      </c>
      <c r="BX60" s="204">
        <f t="shared" si="51"/>
        <v>-49.222722903304692</v>
      </c>
      <c r="BY60" s="204">
        <f t="shared" si="51"/>
        <v>-49.305611150845174</v>
      </c>
      <c r="BZ60" s="204">
        <f t="shared" si="51"/>
        <v>-49.388301635214916</v>
      </c>
      <c r="CA60" s="204">
        <f t="shared" si="51"/>
        <v>-49.470779011264334</v>
      </c>
      <c r="CB60" s="204">
        <f t="shared" si="51"/>
        <v>-49.553028486786879</v>
      </c>
      <c r="CC60" s="204">
        <f t="shared" si="51"/>
        <v>-49.635035808504753</v>
      </c>
      <c r="CD60" s="204">
        <f t="shared" si="51"/>
        <v>-49.716787248366614</v>
      </c>
      <c r="CE60" s="204">
        <f t="shared" si="51"/>
        <v>-49.798269590150987</v>
      </c>
      <c r="CF60" s="204">
        <f t="shared" si="51"/>
        <v>-49.879470116368658</v>
      </c>
      <c r="CG60" s="204">
        <f t="shared" si="51"/>
        <v>-49.9603765954582</v>
      </c>
      <c r="CH60" s="204">
        <f t="shared" si="51"/>
        <v>-50.040977269268126</v>
      </c>
      <c r="CI60" s="204">
        <f t="shared" si="51"/>
        <v>-50.121260840819993</v>
      </c>
      <c r="CJ60" s="204">
        <f t="shared" ref="CJ60:ET60" si="52">PV($F14,CJ$9,1,0)+(PV($J$6,$N$5-(CJ$9),1,0)/($J$6+1)^CJ$9)</f>
        <v>-50.201216462346437</v>
      </c>
      <c r="CK60" s="204">
        <f t="shared" si="52"/>
        <v>-50.280833723598391</v>
      </c>
      <c r="CL60" s="204">
        <f t="shared" si="52"/>
        <v>-50.360102640415754</v>
      </c>
      <c r="CM60" s="204">
        <f t="shared" si="52"/>
        <v>-50.439013643556336</v>
      </c>
      <c r="CN60" s="204">
        <f t="shared" si="52"/>
        <v>-50.517557567777082</v>
      </c>
      <c r="CO60" s="204">
        <f t="shared" si="52"/>
        <v>-50.595725641162879</v>
      </c>
      <c r="CP60" s="204">
        <f t="shared" si="52"/>
        <v>-50.673509474697262</v>
      </c>
      <c r="CQ60" s="204">
        <f t="shared" si="52"/>
        <v>-50.750901052070226</v>
      </c>
      <c r="CR60" s="204">
        <f t="shared" si="52"/>
        <v>-50.827892719718051</v>
      </c>
      <c r="CS60" s="204">
        <f t="shared" si="52"/>
        <v>-50.904477177090136</v>
      </c>
      <c r="CT60" s="204">
        <f t="shared" si="52"/>
        <v>-50.98064746713829</v>
      </c>
      <c r="CU60" s="204">
        <f t="shared" si="52"/>
        <v>-51.056396967023531</v>
      </c>
      <c r="CV60" s="204">
        <f t="shared" si="52"/>
        <v>-51.131719379035992</v>
      </c>
      <c r="CW60" s="204">
        <f t="shared" si="52"/>
        <v>-51.206608721723256</v>
      </c>
      <c r="CX60" s="204">
        <f t="shared" si="52"/>
        <v>-51.281059321222862</v>
      </c>
      <c r="CY60" s="204">
        <f t="shared" si="52"/>
        <v>-51.281059321222862</v>
      </c>
      <c r="CZ60" s="204">
        <f t="shared" si="52"/>
        <v>-51.281059321222862</v>
      </c>
      <c r="DA60" s="204">
        <f t="shared" si="52"/>
        <v>-51.281059321222862</v>
      </c>
      <c r="DB60" s="204">
        <f t="shared" si="52"/>
        <v>-51.281059321222862</v>
      </c>
      <c r="DC60" s="204">
        <f t="shared" si="52"/>
        <v>-51.281059321222862</v>
      </c>
      <c r="DD60" s="204">
        <f t="shared" si="52"/>
        <v>-51.281059321222862</v>
      </c>
      <c r="DE60" s="204">
        <f t="shared" si="52"/>
        <v>-51.281059321222862</v>
      </c>
      <c r="DF60" s="204">
        <f t="shared" si="52"/>
        <v>-51.281059321222862</v>
      </c>
      <c r="DG60" s="204">
        <f t="shared" si="52"/>
        <v>-51.281059321222862</v>
      </c>
      <c r="DH60" s="204">
        <f t="shared" si="52"/>
        <v>-51.281059321222862</v>
      </c>
      <c r="DI60" s="204">
        <f t="shared" si="52"/>
        <v>-51.281059321222862</v>
      </c>
      <c r="DJ60" s="204">
        <f t="shared" si="52"/>
        <v>-51.281059321222862</v>
      </c>
      <c r="DK60" s="204">
        <f t="shared" si="52"/>
        <v>-51.281059321222862</v>
      </c>
      <c r="DL60" s="204">
        <f t="shared" si="52"/>
        <v>-51.281059321222862</v>
      </c>
      <c r="DM60" s="204">
        <f t="shared" si="52"/>
        <v>-51.281059321222862</v>
      </c>
      <c r="DN60" s="204">
        <f t="shared" si="52"/>
        <v>-51.281059321222862</v>
      </c>
      <c r="DO60" s="204">
        <f t="shared" si="52"/>
        <v>-51.281059321222862</v>
      </c>
      <c r="DP60" s="204">
        <f t="shared" si="52"/>
        <v>-51.281059321222862</v>
      </c>
      <c r="DQ60" s="204">
        <f t="shared" si="52"/>
        <v>-51.281059321222862</v>
      </c>
      <c r="DR60" s="204">
        <f t="shared" si="52"/>
        <v>-51.281059321222862</v>
      </c>
      <c r="DS60" s="204">
        <f t="shared" si="52"/>
        <v>-51.281059321222862</v>
      </c>
      <c r="DT60" s="204">
        <f t="shared" si="52"/>
        <v>-51.281059321222862</v>
      </c>
      <c r="DU60" s="204">
        <f t="shared" si="52"/>
        <v>-51.281059321222862</v>
      </c>
      <c r="DV60" s="204">
        <f t="shared" si="52"/>
        <v>-51.281059321222862</v>
      </c>
      <c r="DW60" s="204">
        <f t="shared" si="52"/>
        <v>-51.281059321222862</v>
      </c>
      <c r="DX60" s="204">
        <f t="shared" si="52"/>
        <v>-51.281059321222862</v>
      </c>
      <c r="DY60" s="204">
        <f t="shared" si="52"/>
        <v>-51.281059321222862</v>
      </c>
      <c r="DZ60" s="204">
        <f t="shared" si="52"/>
        <v>-51.281059321222862</v>
      </c>
      <c r="EA60" s="204">
        <f t="shared" si="52"/>
        <v>-51.281059321222862</v>
      </c>
      <c r="EB60" s="204">
        <f t="shared" si="52"/>
        <v>-51.281059321222862</v>
      </c>
      <c r="EC60" s="204">
        <f t="shared" si="52"/>
        <v>-51.281059321222862</v>
      </c>
      <c r="ED60" s="204">
        <f t="shared" si="52"/>
        <v>-51.281059321222862</v>
      </c>
      <c r="EE60" s="204">
        <f t="shared" si="52"/>
        <v>-51.281059321222862</v>
      </c>
      <c r="EF60" s="204">
        <f t="shared" si="52"/>
        <v>-51.281059321222862</v>
      </c>
      <c r="EG60" s="204">
        <f t="shared" si="52"/>
        <v>-51.281059321222862</v>
      </c>
      <c r="EH60" s="204">
        <f t="shared" si="52"/>
        <v>-51.281059321222862</v>
      </c>
      <c r="EI60" s="204">
        <f t="shared" si="52"/>
        <v>-51.281059321222862</v>
      </c>
      <c r="EJ60" s="204">
        <f t="shared" si="52"/>
        <v>-51.281059321222862</v>
      </c>
      <c r="EK60" s="204">
        <f t="shared" si="52"/>
        <v>-51.281059321222862</v>
      </c>
      <c r="EL60" s="204">
        <f t="shared" si="52"/>
        <v>-51.281059321222862</v>
      </c>
      <c r="EM60" s="204">
        <f t="shared" si="52"/>
        <v>-51.281059321222862</v>
      </c>
      <c r="EN60" s="204">
        <f t="shared" si="52"/>
        <v>-51.281059321222862</v>
      </c>
      <c r="EO60" s="204">
        <f t="shared" si="52"/>
        <v>-51.281059321222862</v>
      </c>
      <c r="EP60" s="204">
        <f t="shared" si="52"/>
        <v>-51.281059321222862</v>
      </c>
      <c r="EQ60" s="204">
        <f t="shared" si="52"/>
        <v>-51.281059321222862</v>
      </c>
      <c r="ER60" s="204">
        <f t="shared" si="52"/>
        <v>-51.281059321222862</v>
      </c>
      <c r="ES60" s="204">
        <f t="shared" si="52"/>
        <v>-51.281059321222862</v>
      </c>
      <c r="ET60" s="204">
        <f t="shared" si="52"/>
        <v>-51.281059321222862</v>
      </c>
      <c r="FF60" s="6" t="s">
        <v>2523</v>
      </c>
      <c r="FG60" s="696">
        <v>2.5000000000000001E-2</v>
      </c>
      <c r="FH60" s="696">
        <v>96</v>
      </c>
      <c r="FI60" s="696">
        <v>1.95E-2</v>
      </c>
      <c r="FJ60" s="255">
        <v>1.6500000000000001E-2</v>
      </c>
      <c r="FK60" s="71">
        <f t="shared" si="11"/>
        <v>2.0238095238095239E-4</v>
      </c>
      <c r="FL60" t="e">
        <f>VLOOKUP(FF60,'SIMULADOR COM SALDO'!$BX$22:$CK$1000,13,FALSE)</f>
        <v>#N/A</v>
      </c>
    </row>
    <row r="61" spans="5:168" x14ac:dyDescent="0.25">
      <c r="G61" s="103">
        <f t="shared" si="45"/>
        <v>-44.755798694865966</v>
      </c>
      <c r="H61" s="204">
        <f t="shared" si="46"/>
        <v>-44.762859313544709</v>
      </c>
      <c r="I61" s="204">
        <f t="shared" si="46"/>
        <v>-44.773276885597156</v>
      </c>
      <c r="J61" s="204">
        <f t="shared" si="46"/>
        <v>-44.786939638938236</v>
      </c>
      <c r="K61" s="204">
        <f t="shared" si="46"/>
        <v>-44.803738572061512</v>
      </c>
      <c r="L61" s="204">
        <f t="shared" si="46"/>
        <v>-44.823567392923863</v>
      </c>
      <c r="M61" s="204">
        <f t="shared" si="46"/>
        <v>-44.8463224590975</v>
      </c>
      <c r="N61" s="204">
        <f t="shared" si="46"/>
        <v>-44.871902719164197</v>
      </c>
      <c r="O61" s="204">
        <f t="shared" si="46"/>
        <v>-44.900209655326613</v>
      </c>
      <c r="P61" s="204">
        <f t="shared" si="46"/>
        <v>-44.931147227212534</v>
      </c>
      <c r="Q61" s="204">
        <f t="shared" si="46"/>
        <v>-44.964621816848265</v>
      </c>
      <c r="R61" s="204">
        <f t="shared" si="46"/>
        <v>-45.000542174777443</v>
      </c>
      <c r="S61" s="204">
        <f t="shared" si="46"/>
        <v>-45.038819367302835</v>
      </c>
      <c r="T61" s="204">
        <f t="shared" si="46"/>
        <v>-45.079366724828148</v>
      </c>
      <c r="U61" s="204">
        <f t="shared" si="46"/>
        <v>-45.122099791278018</v>
      </c>
      <c r="V61" s="204">
        <f t="shared" si="46"/>
        <v>-45.166936274574624</v>
      </c>
      <c r="W61" s="204">
        <f t="shared" si="46"/>
        <v>-45.213795998149585</v>
      </c>
      <c r="X61" s="204">
        <f t="shared" ref="X61:CI61" si="53">PV($F15,X$9,1,0)+(PV($J$6,$N$5-(X$9),1,0)/($J$6+1)^X$9)</f>
        <v>-45.262600853470389</v>
      </c>
      <c r="Y61" s="204">
        <f t="shared" si="53"/>
        <v>-45.313274753561046</v>
      </c>
      <c r="Z61" s="204">
        <f t="shared" si="53"/>
        <v>-45.365743587496866</v>
      </c>
      <c r="AA61" s="204">
        <f t="shared" si="53"/>
        <v>-45.419935175853993</v>
      </c>
      <c r="AB61" s="204">
        <f t="shared" si="53"/>
        <v>-45.475779227094122</v>
      </c>
      <c r="AC61" s="204">
        <f t="shared" si="53"/>
        <v>-45.533207294865917</v>
      </c>
      <c r="AD61" s="204">
        <f t="shared" si="53"/>
        <v>-45.592152736204568</v>
      </c>
      <c r="AE61" s="204">
        <f t="shared" si="53"/>
        <v>-45.652550670611291</v>
      </c>
      <c r="AF61" s="204">
        <f t="shared" si="53"/>
        <v>-45.71433793999509</v>
      </c>
      <c r="AG61" s="204">
        <f t="shared" si="53"/>
        <v>-45.777453069459398</v>
      </c>
      <c r="AH61" s="204">
        <f t="shared" si="53"/>
        <v>-45.841836228916563</v>
      </c>
      <c r="AI61" s="204">
        <f t="shared" si="53"/>
        <v>-45.907429195513409</v>
      </c>
      <c r="AJ61" s="204">
        <f t="shared" si="53"/>
        <v>-45.974175316851486</v>
      </c>
      <c r="AK61" s="204">
        <f t="shared" si="53"/>
        <v>-46.042019474985985</v>
      </c>
      <c r="AL61" s="204">
        <f t="shared" si="53"/>
        <v>-46.110908051187423</v>
      </c>
      <c r="AM61" s="204">
        <f t="shared" si="53"/>
        <v>-46.180788891450973</v>
      </c>
      <c r="AN61" s="204">
        <f t="shared" si="53"/>
        <v>-46.25161127273784</v>
      </c>
      <c r="AO61" s="204">
        <f t="shared" si="53"/>
        <v>-46.323325869934251</v>
      </c>
      <c r="AP61" s="204">
        <f t="shared" si="53"/>
        <v>-46.395884723513262</v>
      </c>
      <c r="AQ61" s="204">
        <f t="shared" si="53"/>
        <v>-46.469241207885247</v>
      </c>
      <c r="AR61" s="204">
        <f t="shared" si="53"/>
        <v>-46.543350000423004</v>
      </c>
      <c r="AS61" s="204">
        <f t="shared" si="53"/>
        <v>-46.618167051147772</v>
      </c>
      <c r="AT61" s="204">
        <f t="shared" si="53"/>
        <v>-46.693649553062812</v>
      </c>
      <c r="AU61" s="204">
        <f t="shared" si="53"/>
        <v>-46.769755913121301</v>
      </c>
      <c r="AV61" s="204">
        <f t="shared" si="53"/>
        <v>-46.846445723815577</v>
      </c>
      <c r="AW61" s="204">
        <f t="shared" si="53"/>
        <v>-46.923679735375224</v>
      </c>
      <c r="AX61" s="204">
        <f t="shared" si="53"/>
        <v>-47.001419828561453</v>
      </c>
      <c r="AY61" s="204">
        <f t="shared" si="53"/>
        <v>-47.07962898804567</v>
      </c>
      <c r="AZ61" s="204">
        <f t="shared" si="53"/>
        <v>-47.158271276360352</v>
      </c>
      <c r="BA61" s="204">
        <f t="shared" si="53"/>
        <v>-47.237311808410425</v>
      </c>
      <c r="BB61" s="204">
        <f t="shared" si="53"/>
        <v>-47.316716726533784</v>
      </c>
      <c r="BC61" s="204">
        <f t="shared" si="53"/>
        <v>-47.396453176099755</v>
      </c>
      <c r="BD61" s="204">
        <f t="shared" si="53"/>
        <v>-47.476489281634358</v>
      </c>
      <c r="BE61" s="204">
        <f t="shared" si="53"/>
        <v>-47.556794123461685</v>
      </c>
      <c r="BF61" s="204">
        <f t="shared" si="53"/>
        <v>-47.637337714850808</v>
      </c>
      <c r="BG61" s="204">
        <f t="shared" si="53"/>
        <v>-47.718090979657887</v>
      </c>
      <c r="BH61" s="204">
        <f t="shared" si="53"/>
        <v>-47.79902573045311</v>
      </c>
      <c r="BI61" s="204">
        <f t="shared" si="53"/>
        <v>-47.880114647122802</v>
      </c>
      <c r="BJ61" s="204">
        <f t="shared" si="53"/>
        <v>-47.96133125593677</v>
      </c>
      <c r="BK61" s="204">
        <f t="shared" si="53"/>
        <v>-48.042649909071351</v>
      </c>
      <c r="BL61" s="204">
        <f t="shared" si="53"/>
        <v>-48.124045764578703</v>
      </c>
      <c r="BM61" s="204">
        <f t="shared" si="53"/>
        <v>-48.2054947667934</v>
      </c>
      <c r="BN61" s="204">
        <f t="shared" si="53"/>
        <v>-48.286973627166915</v>
      </c>
      <c r="BO61" s="204">
        <f t="shared" si="53"/>
        <v>-48.368459805521631</v>
      </c>
      <c r="BP61" s="204">
        <f t="shared" si="53"/>
        <v>-48.449931491715347</v>
      </c>
      <c r="BQ61" s="204">
        <f t="shared" si="53"/>
        <v>-48.53136758770799</v>
      </c>
      <c r="BR61" s="204">
        <f t="shared" si="53"/>
        <v>-48.612747690022154</v>
      </c>
      <c r="BS61" s="204">
        <f t="shared" si="53"/>
        <v>-48.6940520725894</v>
      </c>
      <c r="BT61" s="204">
        <f t="shared" si="53"/>
        <v>-48.775261669974164</v>
      </c>
      <c r="BU61" s="204">
        <f t="shared" si="53"/>
        <v>-48.856358060967693</v>
      </c>
      <c r="BV61" s="204">
        <f t="shared" si="53"/>
        <v>-48.937323452544064</v>
      </c>
      <c r="BW61" s="204">
        <f t="shared" si="53"/>
        <v>-49.018140664171042</v>
      </c>
      <c r="BX61" s="204">
        <f t="shared" si="53"/>
        <v>-49.098793112468194</v>
      </c>
      <c r="BY61" s="204">
        <f t="shared" si="53"/>
        <v>-49.179264796205125</v>
      </c>
      <c r="BZ61" s="204">
        <f t="shared" si="53"/>
        <v>-49.259540281632852</v>
      </c>
      <c r="CA61" s="204">
        <f t="shared" si="53"/>
        <v>-49.339604688141208</v>
      </c>
      <c r="CB61" s="204">
        <f t="shared" si="53"/>
        <v>-49.41944367423558</v>
      </c>
      <c r="CC61" s="204">
        <f t="shared" si="53"/>
        <v>-49.499043423826386</v>
      </c>
      <c r="CD61" s="204">
        <f t="shared" si="53"/>
        <v>-49.5783906328246</v>
      </c>
      <c r="CE61" s="204">
        <f t="shared" si="53"/>
        <v>-49.657472496037116</v>
      </c>
      <c r="CF61" s="204">
        <f t="shared" si="53"/>
        <v>-49.736276694355517</v>
      </c>
      <c r="CG61" s="204">
        <f t="shared" si="53"/>
        <v>-49.814791382232272</v>
      </c>
      <c r="CH61" s="204">
        <f t="shared" si="53"/>
        <v>-49.893005175438212</v>
      </c>
      <c r="CI61" s="204">
        <f t="shared" si="53"/>
        <v>-49.970907139095424</v>
      </c>
      <c r="CJ61" s="204">
        <f t="shared" ref="CJ61:ET61" si="54">PV($F15,CJ$9,1,0)+(PV($J$6,$N$5-(CJ$9),1,0)/($J$6+1)^CJ$9)</f>
        <v>-50.048486775979889</v>
      </c>
      <c r="CK61" s="204">
        <f t="shared" si="54"/>
        <v>-50.125734015088014</v>
      </c>
      <c r="CL61" s="204">
        <f t="shared" si="54"/>
        <v>-50.202639200461718</v>
      </c>
      <c r="CM61" s="204">
        <f t="shared" si="54"/>
        <v>-50.279193080266445</v>
      </c>
      <c r="CN61" s="204">
        <f t="shared" si="54"/>
        <v>-50.355386796116953</v>
      </c>
      <c r="CO61" s="204">
        <f t="shared" si="54"/>
        <v>-50.431211872645498</v>
      </c>
      <c r="CP61" s="204">
        <f t="shared" si="54"/>
        <v>-50.50666020730749</v>
      </c>
      <c r="CQ61" s="204">
        <f t="shared" si="54"/>
        <v>-50.581724060419354</v>
      </c>
      <c r="CR61" s="204">
        <f t="shared" si="54"/>
        <v>-50.656396045424003</v>
      </c>
      <c r="CS61" s="204">
        <f t="shared" si="54"/>
        <v>-50.730669119378781</v>
      </c>
      <c r="CT61" s="204">
        <f t="shared" si="54"/>
        <v>-50.804536573661501</v>
      </c>
      <c r="CU61" s="204">
        <f t="shared" si="54"/>
        <v>-50.877992024889629</v>
      </c>
      <c r="CV61" s="204">
        <f t="shared" si="54"/>
        <v>-50.951029406048391</v>
      </c>
      <c r="CW61" s="204">
        <f t="shared" si="54"/>
        <v>-51.023642957823157</v>
      </c>
      <c r="CX61" s="204">
        <f t="shared" si="54"/>
        <v>-51.095827220131824</v>
      </c>
      <c r="CY61" s="204">
        <f t="shared" si="54"/>
        <v>-51.095827220131824</v>
      </c>
      <c r="CZ61" s="204">
        <f t="shared" si="54"/>
        <v>-51.095827220131824</v>
      </c>
      <c r="DA61" s="204">
        <f t="shared" si="54"/>
        <v>-51.095827220131824</v>
      </c>
      <c r="DB61" s="204">
        <f t="shared" si="54"/>
        <v>-51.095827220131824</v>
      </c>
      <c r="DC61" s="204">
        <f t="shared" si="54"/>
        <v>-51.095827220131824</v>
      </c>
      <c r="DD61" s="204">
        <f t="shared" si="54"/>
        <v>-51.095827220131824</v>
      </c>
      <c r="DE61" s="204">
        <f t="shared" si="54"/>
        <v>-51.095827220131824</v>
      </c>
      <c r="DF61" s="204">
        <f t="shared" si="54"/>
        <v>-51.095827220131824</v>
      </c>
      <c r="DG61" s="204">
        <f t="shared" si="54"/>
        <v>-51.095827220131824</v>
      </c>
      <c r="DH61" s="204">
        <f t="shared" si="54"/>
        <v>-51.095827220131824</v>
      </c>
      <c r="DI61" s="204">
        <f t="shared" si="54"/>
        <v>-51.095827220131824</v>
      </c>
      <c r="DJ61" s="204">
        <f t="shared" si="54"/>
        <v>-51.095827220131824</v>
      </c>
      <c r="DK61" s="204">
        <f t="shared" si="54"/>
        <v>-51.095827220131824</v>
      </c>
      <c r="DL61" s="204">
        <f t="shared" si="54"/>
        <v>-51.095827220131824</v>
      </c>
      <c r="DM61" s="204">
        <f t="shared" si="54"/>
        <v>-51.095827220131824</v>
      </c>
      <c r="DN61" s="204">
        <f t="shared" si="54"/>
        <v>-51.095827220131824</v>
      </c>
      <c r="DO61" s="204">
        <f t="shared" si="54"/>
        <v>-51.095827220131824</v>
      </c>
      <c r="DP61" s="204">
        <f t="shared" si="54"/>
        <v>-51.095827220131824</v>
      </c>
      <c r="DQ61" s="204">
        <f t="shared" si="54"/>
        <v>-51.095827220131824</v>
      </c>
      <c r="DR61" s="204">
        <f t="shared" si="54"/>
        <v>-51.095827220131824</v>
      </c>
      <c r="DS61" s="204">
        <f t="shared" si="54"/>
        <v>-51.095827220131824</v>
      </c>
      <c r="DT61" s="204">
        <f t="shared" si="54"/>
        <v>-51.095827220131824</v>
      </c>
      <c r="DU61" s="204">
        <f t="shared" si="54"/>
        <v>-51.095827220131824</v>
      </c>
      <c r="DV61" s="204">
        <f t="shared" si="54"/>
        <v>-51.095827220131824</v>
      </c>
      <c r="DW61" s="204">
        <f t="shared" si="54"/>
        <v>-51.095827220131824</v>
      </c>
      <c r="DX61" s="204">
        <f t="shared" si="54"/>
        <v>-51.095827220131824</v>
      </c>
      <c r="DY61" s="204">
        <f t="shared" si="54"/>
        <v>-51.095827220131824</v>
      </c>
      <c r="DZ61" s="204">
        <f t="shared" si="54"/>
        <v>-51.095827220131824</v>
      </c>
      <c r="EA61" s="204">
        <f t="shared" si="54"/>
        <v>-51.095827220131824</v>
      </c>
      <c r="EB61" s="204">
        <f t="shared" si="54"/>
        <v>-51.095827220131824</v>
      </c>
      <c r="EC61" s="204">
        <f t="shared" si="54"/>
        <v>-51.095827220131824</v>
      </c>
      <c r="ED61" s="204">
        <f t="shared" si="54"/>
        <v>-51.095827220131824</v>
      </c>
      <c r="EE61" s="204">
        <f t="shared" si="54"/>
        <v>-51.095827220131824</v>
      </c>
      <c r="EF61" s="204">
        <f t="shared" si="54"/>
        <v>-51.095827220131824</v>
      </c>
      <c r="EG61" s="204">
        <f t="shared" si="54"/>
        <v>-51.095827220131824</v>
      </c>
      <c r="EH61" s="204">
        <f t="shared" si="54"/>
        <v>-51.095827220131824</v>
      </c>
      <c r="EI61" s="204">
        <f t="shared" si="54"/>
        <v>-51.095827220131824</v>
      </c>
      <c r="EJ61" s="204">
        <f t="shared" si="54"/>
        <v>-51.095827220131824</v>
      </c>
      <c r="EK61" s="204">
        <f t="shared" si="54"/>
        <v>-51.095827220131824</v>
      </c>
      <c r="EL61" s="204">
        <f t="shared" si="54"/>
        <v>-51.095827220131824</v>
      </c>
      <c r="EM61" s="204">
        <f t="shared" si="54"/>
        <v>-51.095827220131824</v>
      </c>
      <c r="EN61" s="204">
        <f t="shared" si="54"/>
        <v>-51.095827220131824</v>
      </c>
      <c r="EO61" s="204">
        <f t="shared" si="54"/>
        <v>-51.095827220131824</v>
      </c>
      <c r="EP61" s="204">
        <f t="shared" si="54"/>
        <v>-51.095827220131824</v>
      </c>
      <c r="EQ61" s="204">
        <f t="shared" si="54"/>
        <v>-51.095827220131824</v>
      </c>
      <c r="ER61" s="204">
        <f t="shared" si="54"/>
        <v>-51.095827220131824</v>
      </c>
      <c r="ES61" s="204">
        <f t="shared" si="54"/>
        <v>-51.095827220131824</v>
      </c>
      <c r="ET61" s="204">
        <f t="shared" si="54"/>
        <v>-51.095827220131824</v>
      </c>
      <c r="FF61" s="6" t="s">
        <v>2611</v>
      </c>
      <c r="FG61" s="696">
        <v>2.5000000000000001E-2</v>
      </c>
      <c r="FH61" s="696">
        <v>96</v>
      </c>
      <c r="FI61" s="696">
        <v>1.9599999999999999E-2</v>
      </c>
      <c r="FJ61" s="255">
        <v>1.3500000000000002E-2</v>
      </c>
      <c r="FK61" s="71">
        <f t="shared" si="11"/>
        <v>2.7380952380952383E-4</v>
      </c>
      <c r="FL61" t="e">
        <f>VLOOKUP(FF61,'SIMULADOR COM SALDO'!$BX$22:$CK$1000,13,FALSE)</f>
        <v>#N/A</v>
      </c>
    </row>
    <row r="62" spans="5:168" x14ac:dyDescent="0.25">
      <c r="G62" s="103">
        <f t="shared" si="45"/>
        <v>-44.755703909776258</v>
      </c>
      <c r="H62" s="204">
        <f t="shared" si="46"/>
        <v>-44.762577730227449</v>
      </c>
      <c r="I62" s="204">
        <f t="shared" si="46"/>
        <v>-44.772719202067613</v>
      </c>
      <c r="J62" s="204">
        <f t="shared" si="46"/>
        <v>-44.786019204751568</v>
      </c>
      <c r="K62" s="204">
        <f t="shared" si="46"/>
        <v>-44.802371329863078</v>
      </c>
      <c r="L62" s="204">
        <f t="shared" si="46"/>
        <v>-44.82167182114204</v>
      </c>
      <c r="M62" s="204">
        <f t="shared" si="46"/>
        <v>-44.843819515758</v>
      </c>
      <c r="N62" s="204">
        <f t="shared" si="46"/>
        <v>-44.868715786805318</v>
      </c>
      <c r="O62" s="204">
        <f t="shared" si="46"/>
        <v>-44.896264486995221</v>
      </c>
      <c r="P62" s="204">
        <f t="shared" si="46"/>
        <v>-44.926371893521086</v>
      </c>
      <c r="Q62" s="204">
        <f t="shared" si="46"/>
        <v>-44.958946654073152</v>
      </c>
      <c r="R62" s="204">
        <f t="shared" si="46"/>
        <v>-44.993899733979802</v>
      </c>
      <c r="S62" s="204">
        <f t="shared" si="46"/>
        <v>-45.0311443644528</v>
      </c>
      <c r="T62" s="204">
        <f t="shared" si="46"/>
        <v>-45.070595991914161</v>
      </c>
      <c r="U62" s="204">
        <f t="shared" si="46"/>
        <v>-45.112172228383038</v>
      </c>
      <c r="V62" s="204">
        <f t="shared" si="46"/>
        <v>-45.15579280290153</v>
      </c>
      <c r="W62" s="204">
        <f t="shared" si="46"/>
        <v>-45.201379513977997</v>
      </c>
      <c r="X62" s="204">
        <f t="shared" ref="X62:CI62" si="55">PV($F16,X$9,1,0)+(PV($J$6,$N$5-(X$9),1,0)/($J$6+1)^X$9)</f>
        <v>-45.248856183027954</v>
      </c>
      <c r="Y62" s="204">
        <f t="shared" si="55"/>
        <v>-45.298148608792218</v>
      </c>
      <c r="Z62" s="204">
        <f t="shared" si="55"/>
        <v>-45.349184522712562</v>
      </c>
      <c r="AA62" s="204">
        <f t="shared" si="55"/>
        <v>-45.40189354524577</v>
      </c>
      <c r="AB62" s="204">
        <f t="shared" si="55"/>
        <v>-45.456207143096947</v>
      </c>
      <c r="AC62" s="204">
        <f t="shared" si="55"/>
        <v>-45.512058587353863</v>
      </c>
      <c r="AD62" s="204">
        <f t="shared" si="55"/>
        <v>-45.569382912503762</v>
      </c>
      <c r="AE62" s="204">
        <f t="shared" si="55"/>
        <v>-45.628116876315083</v>
      </c>
      <c r="AF62" s="204">
        <f t="shared" si="55"/>
        <v>-45.688198920566592</v>
      </c>
      <c r="AG62" s="204">
        <f t="shared" si="55"/>
        <v>-45.74956913260656</v>
      </c>
      <c r="AH62" s="204">
        <f t="shared" si="55"/>
        <v>-45.812169207725617</v>
      </c>
      <c r="AI62" s="204">
        <f t="shared" si="55"/>
        <v>-45.87594241232631</v>
      </c>
      <c r="AJ62" s="204">
        <f t="shared" si="55"/>
        <v>-45.940833547873737</v>
      </c>
      <c r="AK62" s="204">
        <f t="shared" si="55"/>
        <v>-46.006788915610933</v>
      </c>
      <c r="AL62" s="204">
        <f t="shared" si="55"/>
        <v>-46.073756282023965</v>
      </c>
      <c r="AM62" s="204">
        <f t="shared" si="55"/>
        <v>-46.141684845041112</v>
      </c>
      <c r="AN62" s="204">
        <f t="shared" si="55"/>
        <v>-46.210525200951594</v>
      </c>
      <c r="AO62" s="204">
        <f t="shared" si="55"/>
        <v>-46.280229312028908</v>
      </c>
      <c r="AP62" s="204">
        <f t="shared" si="55"/>
        <v>-46.350750474844723</v>
      </c>
      <c r="AQ62" s="204">
        <f t="shared" si="55"/>
        <v>-46.422043289259072</v>
      </c>
      <c r="AR62" s="204">
        <f t="shared" si="55"/>
        <v>-46.494063628073228</v>
      </c>
      <c r="AS62" s="204">
        <f t="shared" si="55"/>
        <v>-46.56676860733171</v>
      </c>
      <c r="AT62" s="204">
        <f t="shared" si="55"/>
        <v>-46.640116557260171</v>
      </c>
      <c r="AU62" s="204">
        <f t="shared" si="55"/>
        <v>-46.714066993826222</v>
      </c>
      <c r="AV62" s="204">
        <f t="shared" si="55"/>
        <v>-46.788580590910584</v>
      </c>
      <c r="AW62" s="204">
        <f t="shared" si="55"/>
        <v>-46.863619153075781</v>
      </c>
      <c r="AX62" s="204">
        <f t="shared" si="55"/>
        <v>-46.939145588920709</v>
      </c>
      <c r="AY62" s="204">
        <f t="shared" si="55"/>
        <v>-47.015123885008542</v>
      </c>
      <c r="AZ62" s="204">
        <f t="shared" si="55"/>
        <v>-47.091519080356619</v>
      </c>
      <c r="BA62" s="204">
        <f t="shared" si="55"/>
        <v>-47.168297241476623</v>
      </c>
      <c r="BB62" s="204">
        <f t="shared" si="55"/>
        <v>-47.245425437953912</v>
      </c>
      <c r="BC62" s="204">
        <f t="shared" si="55"/>
        <v>-47.32287171855485</v>
      </c>
      <c r="BD62" s="204">
        <f t="shared" si="55"/>
        <v>-47.400605087851346</v>
      </c>
      <c r="BE62" s="204">
        <f t="shared" si="55"/>
        <v>-47.478595483351938</v>
      </c>
      <c r="BF62" s="204">
        <f t="shared" si="55"/>
        <v>-47.556813753129148</v>
      </c>
      <c r="BG62" s="204">
        <f t="shared" si="55"/>
        <v>-47.635231633932804</v>
      </c>
      <c r="BH62" s="204">
        <f t="shared" si="55"/>
        <v>-47.713821729779255</v>
      </c>
      <c r="BI62" s="204">
        <f t="shared" si="55"/>
        <v>-47.792557491006889</v>
      </c>
      <c r="BJ62" s="204">
        <f t="shared" si="55"/>
        <v>-47.871413193788285</v>
      </c>
      <c r="BK62" s="204">
        <f t="shared" si="55"/>
        <v>-47.950363920089337</v>
      </c>
      <c r="BL62" s="204">
        <f t="shared" si="55"/>
        <v>-48.029385538066606</v>
      </c>
      <c r="BM62" s="204">
        <f t="shared" si="55"/>
        <v>-48.108454682893367</v>
      </c>
      <c r="BN62" s="204">
        <f t="shared" si="55"/>
        <v>-48.187548738005873</v>
      </c>
      <c r="BO62" s="204">
        <f t="shared" si="55"/>
        <v>-48.266645816760878</v>
      </c>
      <c r="BP62" s="204">
        <f t="shared" si="55"/>
        <v>-48.345724744496138</v>
      </c>
      <c r="BQ62" s="204">
        <f t="shared" si="55"/>
        <v>-48.424765040985292</v>
      </c>
      <c r="BR62" s="204">
        <f t="shared" si="55"/>
        <v>-48.503746903279342</v>
      </c>
      <c r="BS62" s="204">
        <f t="shared" si="55"/>
        <v>-48.582651188926135</v>
      </c>
      <c r="BT62" s="204">
        <f t="shared" si="55"/>
        <v>-48.661459399560634</v>
      </c>
      <c r="BU62" s="204">
        <f t="shared" si="55"/>
        <v>-48.740153664857878</v>
      </c>
      <c r="BV62" s="204">
        <f t="shared" si="55"/>
        <v>-48.818716726841132</v>
      </c>
      <c r="BW62" s="204">
        <f t="shared" si="55"/>
        <v>-48.897131924538058</v>
      </c>
      <c r="BX62" s="204">
        <f t="shared" si="55"/>
        <v>-48.975383178977367</v>
      </c>
      <c r="BY62" s="204">
        <f t="shared" si="55"/>
        <v>-49.053454978519106</v>
      </c>
      <c r="BZ62" s="204">
        <f t="shared" si="55"/>
        <v>-49.131332364511501</v>
      </c>
      <c r="CA62" s="204">
        <f t="shared" si="55"/>
        <v>-49.209000917267531</v>
      </c>
      <c r="CB62" s="204">
        <f t="shared" si="55"/>
        <v>-49.286446742354684</v>
      </c>
      <c r="CC62" s="204">
        <f t="shared" si="55"/>
        <v>-49.363656457191091</v>
      </c>
      <c r="CD62" s="204">
        <f t="shared" si="55"/>
        <v>-49.440617177942023</v>
      </c>
      <c r="CE62" s="204">
        <f t="shared" si="55"/>
        <v>-49.517316506710031</v>
      </c>
      <c r="CF62" s="204">
        <f t="shared" si="55"/>
        <v>-49.593742519012899</v>
      </c>
      <c r="CG62" s="204">
        <f t="shared" si="55"/>
        <v>-49.669883751543253</v>
      </c>
      <c r="CH62" s="204">
        <f t="shared" si="55"/>
        <v>-49.745729190203882</v>
      </c>
      <c r="CI62" s="204">
        <f t="shared" si="55"/>
        <v>-49.821268258413021</v>
      </c>
      <c r="CJ62" s="204">
        <f t="shared" ref="CJ62:ET62" si="56">PV($F16,CJ$9,1,0)+(PV($J$6,$N$5-(CJ$9),1,0)/($J$6+1)^CJ$9)</f>
        <v>-49.896490805673956</v>
      </c>
      <c r="CK62" s="204">
        <f t="shared" si="56"/>
        <v>-49.971387096403312</v>
      </c>
      <c r="CL62" s="204">
        <f t="shared" si="56"/>
        <v>-50.045947799012637</v>
      </c>
      <c r="CM62" s="204">
        <f t="shared" si="56"/>
        <v>-50.120163975237894</v>
      </c>
      <c r="CN62" s="204">
        <f t="shared" si="56"/>
        <v>-50.194027069711716</v>
      </c>
      <c r="CO62" s="204">
        <f t="shared" si="56"/>
        <v>-50.26752889977314</v>
      </c>
      <c r="CP62" s="204">
        <f t="shared" si="56"/>
        <v>-50.340661645510018</v>
      </c>
      <c r="CQ62" s="204">
        <f t="shared" si="56"/>
        <v>-50.413417840028934</v>
      </c>
      <c r="CR62" s="204">
        <f t="shared" si="56"/>
        <v>-50.485790359948041</v>
      </c>
      <c r="CS62" s="204">
        <f t="shared" si="56"/>
        <v>-50.55777241610793</v>
      </c>
      <c r="CT62" s="204">
        <f t="shared" si="56"/>
        <v>-50.629357544495974</v>
      </c>
      <c r="CU62" s="204">
        <f t="shared" si="56"/>
        <v>-50.700539597379631</v>
      </c>
      <c r="CV62" s="204">
        <f t="shared" si="56"/>
        <v>-50.771312734644205</v>
      </c>
      <c r="CW62" s="204">
        <f t="shared" si="56"/>
        <v>-50.841671415330694</v>
      </c>
      <c r="CX62" s="204">
        <f t="shared" si="56"/>
        <v>-50.911610389369663</v>
      </c>
      <c r="CY62" s="204">
        <f t="shared" si="56"/>
        <v>-50.911610389369663</v>
      </c>
      <c r="CZ62" s="204">
        <f t="shared" si="56"/>
        <v>-50.911610389369663</v>
      </c>
      <c r="DA62" s="204">
        <f t="shared" si="56"/>
        <v>-50.911610389369663</v>
      </c>
      <c r="DB62" s="204">
        <f t="shared" si="56"/>
        <v>-50.911610389369663</v>
      </c>
      <c r="DC62" s="204">
        <f t="shared" si="56"/>
        <v>-50.911610389369663</v>
      </c>
      <c r="DD62" s="204">
        <f t="shared" si="56"/>
        <v>-50.911610389369663</v>
      </c>
      <c r="DE62" s="204">
        <f t="shared" si="56"/>
        <v>-50.911610389369663</v>
      </c>
      <c r="DF62" s="204">
        <f t="shared" si="56"/>
        <v>-50.911610389369663</v>
      </c>
      <c r="DG62" s="204">
        <f t="shared" si="56"/>
        <v>-50.911610389369663</v>
      </c>
      <c r="DH62" s="204">
        <f t="shared" si="56"/>
        <v>-50.911610389369663</v>
      </c>
      <c r="DI62" s="204">
        <f t="shared" si="56"/>
        <v>-50.911610389369663</v>
      </c>
      <c r="DJ62" s="204">
        <f t="shared" si="56"/>
        <v>-50.911610389369663</v>
      </c>
      <c r="DK62" s="204">
        <f t="shared" si="56"/>
        <v>-50.911610389369663</v>
      </c>
      <c r="DL62" s="204">
        <f t="shared" si="56"/>
        <v>-50.911610389369663</v>
      </c>
      <c r="DM62" s="204">
        <f t="shared" si="56"/>
        <v>-50.911610389369663</v>
      </c>
      <c r="DN62" s="204">
        <f t="shared" si="56"/>
        <v>-50.911610389369663</v>
      </c>
      <c r="DO62" s="204">
        <f t="shared" si="56"/>
        <v>-50.911610389369663</v>
      </c>
      <c r="DP62" s="204">
        <f t="shared" si="56"/>
        <v>-50.911610389369663</v>
      </c>
      <c r="DQ62" s="204">
        <f t="shared" si="56"/>
        <v>-50.911610389369663</v>
      </c>
      <c r="DR62" s="204">
        <f t="shared" si="56"/>
        <v>-50.911610389369663</v>
      </c>
      <c r="DS62" s="204">
        <f t="shared" si="56"/>
        <v>-50.911610389369663</v>
      </c>
      <c r="DT62" s="204">
        <f t="shared" si="56"/>
        <v>-50.911610389369663</v>
      </c>
      <c r="DU62" s="204">
        <f t="shared" si="56"/>
        <v>-50.911610389369663</v>
      </c>
      <c r="DV62" s="204">
        <f t="shared" si="56"/>
        <v>-50.911610389369663</v>
      </c>
      <c r="DW62" s="204">
        <f t="shared" si="56"/>
        <v>-50.911610389369663</v>
      </c>
      <c r="DX62" s="204">
        <f t="shared" si="56"/>
        <v>-50.911610389369663</v>
      </c>
      <c r="DY62" s="204">
        <f t="shared" si="56"/>
        <v>-50.911610389369663</v>
      </c>
      <c r="DZ62" s="204">
        <f t="shared" si="56"/>
        <v>-50.911610389369663</v>
      </c>
      <c r="EA62" s="204">
        <f t="shared" si="56"/>
        <v>-50.911610389369663</v>
      </c>
      <c r="EB62" s="204">
        <f t="shared" si="56"/>
        <v>-50.911610389369663</v>
      </c>
      <c r="EC62" s="204">
        <f t="shared" si="56"/>
        <v>-50.911610389369663</v>
      </c>
      <c r="ED62" s="204">
        <f t="shared" si="56"/>
        <v>-50.911610389369663</v>
      </c>
      <c r="EE62" s="204">
        <f t="shared" si="56"/>
        <v>-50.911610389369663</v>
      </c>
      <c r="EF62" s="204">
        <f t="shared" si="56"/>
        <v>-50.911610389369663</v>
      </c>
      <c r="EG62" s="204">
        <f t="shared" si="56"/>
        <v>-50.911610389369663</v>
      </c>
      <c r="EH62" s="204">
        <f t="shared" si="56"/>
        <v>-50.911610389369663</v>
      </c>
      <c r="EI62" s="204">
        <f t="shared" si="56"/>
        <v>-50.911610389369663</v>
      </c>
      <c r="EJ62" s="204">
        <f t="shared" si="56"/>
        <v>-50.911610389369663</v>
      </c>
      <c r="EK62" s="204">
        <f t="shared" si="56"/>
        <v>-50.911610389369663</v>
      </c>
      <c r="EL62" s="204">
        <f t="shared" si="56"/>
        <v>-50.911610389369663</v>
      </c>
      <c r="EM62" s="204">
        <f t="shared" si="56"/>
        <v>-50.911610389369663</v>
      </c>
      <c r="EN62" s="204">
        <f t="shared" si="56"/>
        <v>-50.911610389369663</v>
      </c>
      <c r="EO62" s="204">
        <f t="shared" si="56"/>
        <v>-50.911610389369663</v>
      </c>
      <c r="EP62" s="204">
        <f t="shared" si="56"/>
        <v>-50.911610389369663</v>
      </c>
      <c r="EQ62" s="204">
        <f t="shared" si="56"/>
        <v>-50.911610389369663</v>
      </c>
      <c r="ER62" s="204">
        <f t="shared" si="56"/>
        <v>-50.911610389369663</v>
      </c>
      <c r="ES62" s="204">
        <f t="shared" si="56"/>
        <v>-50.911610389369663</v>
      </c>
      <c r="ET62" s="204">
        <f t="shared" si="56"/>
        <v>-50.911610389369663</v>
      </c>
      <c r="FF62" s="6" t="s">
        <v>2338</v>
      </c>
      <c r="FG62" s="696">
        <v>1.9900000000000001E-2</v>
      </c>
      <c r="FH62" s="696">
        <v>96</v>
      </c>
      <c r="FI62" s="696">
        <v>1.9900000000000001E-2</v>
      </c>
      <c r="FJ62" s="255">
        <v>1.6E-2</v>
      </c>
      <c r="FK62" s="71">
        <f t="shared" si="11"/>
        <v>9.2857142857142872E-5</v>
      </c>
      <c r="FL62" t="e">
        <f>VLOOKUP(FF62,'SIMULADOR COM SALDO'!$BX$22:$CK$1000,13,FALSE)</f>
        <v>#N/A</v>
      </c>
    </row>
    <row r="63" spans="5:168" x14ac:dyDescent="0.25">
      <c r="G63" s="103">
        <f t="shared" si="45"/>
        <v>-44.755609142919006</v>
      </c>
      <c r="H63" s="204">
        <f t="shared" si="46"/>
        <v>-44.762296219037545</v>
      </c>
      <c r="I63" s="204">
        <f t="shared" si="46"/>
        <v>-44.772161696874036</v>
      </c>
      <c r="J63" s="204">
        <f t="shared" si="46"/>
        <v>-44.785099123318396</v>
      </c>
      <c r="K63" s="204">
        <f t="shared" si="46"/>
        <v>-44.801004698206498</v>
      </c>
      <c r="L63" s="204">
        <f t="shared" si="46"/>
        <v>-44.819777215511444</v>
      </c>
      <c r="M63" s="204">
        <f t="shared" si="46"/>
        <v>-44.841318005760002</v>
      </c>
      <c r="N63" s="204">
        <f t="shared" si="46"/>
        <v>-44.865530879649427</v>
      </c>
      <c r="O63" s="204">
        <f t="shared" si="46"/>
        <v>-44.892322072840692</v>
      </c>
      <c r="P63" s="204">
        <f t="shared" si="46"/>
        <v>-44.921600191904304</v>
      </c>
      <c r="Q63" s="204">
        <f t="shared" si="46"/>
        <v>-44.953276161395948</v>
      </c>
      <c r="R63" s="204">
        <f t="shared" si="46"/>
        <v>-44.987263172038688</v>
      </c>
      <c r="S63" s="204">
        <f t="shared" si="46"/>
        <v>-45.023476629990242</v>
      </c>
      <c r="T63" s="204">
        <f t="shared" si="46"/>
        <v>-45.061834107172643</v>
      </c>
      <c r="U63" s="204">
        <f t="shared" si="46"/>
        <v>-45.10225529264352</v>
      </c>
      <c r="V63" s="204">
        <f t="shared" si="46"/>
        <v>-45.144661944987881</v>
      </c>
      <c r="W63" s="204">
        <f t="shared" si="46"/>
        <v>-45.188977845709665</v>
      </c>
      <c r="X63" s="204">
        <f t="shared" ref="X63:CI63" si="57">PV($F17,X$9,1,0)+(PV($J$6,$N$5-(X$9),1,0)/($J$6+1)^X$9)</f>
        <v>-45.235128753603107</v>
      </c>
      <c r="Y63" s="204">
        <f t="shared" si="57"/>
        <v>-45.283042360084025</v>
      </c>
      <c r="Z63" s="204">
        <f t="shared" si="57"/>
        <v>-45.332648245461669</v>
      </c>
      <c r="AA63" s="204">
        <f t="shared" si="57"/>
        <v>-45.38387783613242</v>
      </c>
      <c r="AB63" s="204">
        <f t="shared" si="57"/>
        <v>-45.436664362676055</v>
      </c>
      <c r="AC63" s="204">
        <f t="shared" si="57"/>
        <v>-45.490942818837098</v>
      </c>
      <c r="AD63" s="204">
        <f t="shared" si="57"/>
        <v>-45.546649921372882</v>
      </c>
      <c r="AE63" s="204">
        <f t="shared" si="57"/>
        <v>-45.603724070750857</v>
      </c>
      <c r="AF63" s="204">
        <f t="shared" si="57"/>
        <v>-45.662105312678072</v>
      </c>
      <c r="AG63" s="204">
        <f t="shared" si="57"/>
        <v>-45.721735300445843</v>
      </c>
      <c r="AH63" s="204">
        <f t="shared" si="57"/>
        <v>-45.782557258073147</v>
      </c>
      <c r="AI63" s="204">
        <f t="shared" si="57"/>
        <v>-45.844515944232512</v>
      </c>
      <c r="AJ63" s="204">
        <f t="shared" si="57"/>
        <v>-45.907557616942597</v>
      </c>
      <c r="AK63" s="204">
        <f t="shared" si="57"/>
        <v>-45.971629999011654</v>
      </c>
      <c r="AL63" s="204">
        <f t="shared" si="57"/>
        <v>-46.036682244216998</v>
      </c>
      <c r="AM63" s="204">
        <f t="shared" si="57"/>
        <v>-46.102664904205191</v>
      </c>
      <c r="AN63" s="204">
        <f t="shared" si="57"/>
        <v>-46.169529896098354</v>
      </c>
      <c r="AO63" s="204">
        <f t="shared" si="57"/>
        <v>-46.23723047079239</v>
      </c>
      <c r="AP63" s="204">
        <f t="shared" si="57"/>
        <v>-46.305721181932753</v>
      </c>
      <c r="AQ63" s="204">
        <f t="shared" si="57"/>
        <v>-46.374957855554307</v>
      </c>
      <c r="AR63" s="204">
        <f t="shared" si="57"/>
        <v>-46.44489756037126</v>
      </c>
      <c r="AS63" s="204">
        <f t="shared" si="57"/>
        <v>-46.51549857870441</v>
      </c>
      <c r="AT63" s="204">
        <f t="shared" si="57"/>
        <v>-46.586720378032311</v>
      </c>
      <c r="AU63" s="204">
        <f t="shared" si="57"/>
        <v>-46.658523583153837</v>
      </c>
      <c r="AV63" s="204">
        <f t="shared" si="57"/>
        <v>-46.730869948949447</v>
      </c>
      <c r="AW63" s="204">
        <f t="shared" si="57"/>
        <v>-46.803722333729084</v>
      </c>
      <c r="AX63" s="204">
        <f t="shared" si="57"/>
        <v>-46.877044673154586</v>
      </c>
      <c r="AY63" s="204">
        <f t="shared" si="57"/>
        <v>-46.950801954724938</v>
      </c>
      <c r="AZ63" s="204">
        <f t="shared" si="57"/>
        <v>-47.024960192812657</v>
      </c>
      <c r="BA63" s="204">
        <f t="shared" si="57"/>
        <v>-47.099486404240139</v>
      </c>
      <c r="BB63" s="204">
        <f t="shared" si="57"/>
        <v>-47.174348584384944</v>
      </c>
      <c r="BC63" s="204">
        <f t="shared" si="57"/>
        <v>-47.249515683802912</v>
      </c>
      <c r="BD63" s="204">
        <f t="shared" si="57"/>
        <v>-47.324957585358703</v>
      </c>
      <c r="BE63" s="204">
        <f t="shared" si="57"/>
        <v>-47.400645081853213</v>
      </c>
      <c r="BF63" s="204">
        <f t="shared" si="57"/>
        <v>-47.476549854137637</v>
      </c>
      <c r="BG63" s="204">
        <f t="shared" si="57"/>
        <v>-47.552644449704268</v>
      </c>
      <c r="BH63" s="204">
        <f t="shared" si="57"/>
        <v>-47.628902261743931</v>
      </c>
      <c r="BI63" s="204">
        <f t="shared" si="57"/>
        <v>-47.705297508660713</v>
      </c>
      <c r="BJ63" s="204">
        <f t="shared" si="57"/>
        <v>-47.78180521403452</v>
      </c>
      <c r="BK63" s="204">
        <f t="shared" si="57"/>
        <v>-47.858401187022004</v>
      </c>
      <c r="BL63" s="204">
        <f t="shared" si="57"/>
        <v>-47.935062003186879</v>
      </c>
      <c r="BM63" s="204">
        <f t="shared" si="57"/>
        <v>-48.011764985751029</v>
      </c>
      <c r="BN63" s="204">
        <f t="shared" si="57"/>
        <v>-48.088488187257155</v>
      </c>
      <c r="BO63" s="204">
        <f t="shared" si="57"/>
        <v>-48.165210371634927</v>
      </c>
      <c r="BP63" s="204">
        <f t="shared" si="57"/>
        <v>-48.241910996662057</v>
      </c>
      <c r="BQ63" s="204">
        <f t="shared" si="57"/>
        <v>-48.318570196812004</v>
      </c>
      <c r="BR63" s="204">
        <f t="shared" si="57"/>
        <v>-48.395168766480602</v>
      </c>
      <c r="BS63" s="204">
        <f t="shared" si="57"/>
        <v>-48.4716881435833</v>
      </c>
      <c r="BT63" s="204">
        <f t="shared" si="57"/>
        <v>-48.548110393515728</v>
      </c>
      <c r="BU63" s="204">
        <f t="shared" si="57"/>
        <v>-48.624418193469744</v>
      </c>
      <c r="BV63" s="204">
        <f t="shared" si="57"/>
        <v>-48.700594817097652</v>
      </c>
      <c r="BW63" s="204">
        <f t="shared" si="57"/>
        <v>-48.776624119517379</v>
      </c>
      <c r="BX63" s="204">
        <f t="shared" si="57"/>
        <v>-48.852490522651401</v>
      </c>
      <c r="BY63" s="204">
        <f t="shared" si="57"/>
        <v>-48.928179000892513</v>
      </c>
      <c r="BZ63" s="204">
        <f t="shared" si="57"/>
        <v>-49.00367506708961</v>
      </c>
      <c r="CA63" s="204">
        <f t="shared" si="57"/>
        <v>-49.078964758846759</v>
      </c>
      <c r="CB63" s="204">
        <f t="shared" si="57"/>
        <v>-49.154034625128993</v>
      </c>
      <c r="CC63" s="204">
        <f t="shared" si="57"/>
        <v>-49.228871713168495</v>
      </c>
      <c r="CD63" s="204">
        <f t="shared" si="57"/>
        <v>-49.303463555664706</v>
      </c>
      <c r="CE63" s="204">
        <f t="shared" si="57"/>
        <v>-49.377798158272398</v>
      </c>
      <c r="CF63" s="204">
        <f t="shared" si="57"/>
        <v>-49.451863987371468</v>
      </c>
      <c r="CG63" s="204">
        <f t="shared" si="57"/>
        <v>-49.525649958112595</v>
      </c>
      <c r="CH63" s="204">
        <f t="shared" si="57"/>
        <v>-49.599145422733123</v>
      </c>
      <c r="CI63" s="204">
        <f t="shared" si="57"/>
        <v>-49.672340159137143</v>
      </c>
      <c r="CJ63" s="204">
        <f t="shared" ref="CJ63:ET63" si="58">PV($F17,CJ$9,1,0)+(PV($J$6,$N$5-(CJ$9),1,0)/($J$6+1)^CJ$9)</f>
        <v>-49.745224359734564</v>
      </c>
      <c r="CK63" s="204">
        <f t="shared" si="58"/>
        <v>-49.817788620533385</v>
      </c>
      <c r="CL63" s="204">
        <f t="shared" si="58"/>
        <v>-49.890023930480083</v>
      </c>
      <c r="CM63" s="204">
        <f t="shared" si="58"/>
        <v>-49.961921661042794</v>
      </c>
      <c r="CN63" s="204">
        <f t="shared" si="58"/>
        <v>-50.033473556032007</v>
      </c>
      <c r="CO63" s="204">
        <f t="shared" si="58"/>
        <v>-50.104671721653936</v>
      </c>
      <c r="CP63" s="204">
        <f t="shared" si="58"/>
        <v>-50.175508616791582</v>
      </c>
      <c r="CQ63" s="204">
        <f t="shared" si="58"/>
        <v>-50.245977043508582</v>
      </c>
      <c r="CR63" s="204">
        <f t="shared" si="58"/>
        <v>-50.316070137771206</v>
      </c>
      <c r="CS63" s="204">
        <f t="shared" si="58"/>
        <v>-50.385781360383852</v>
      </c>
      <c r="CT63" s="204">
        <f t="shared" si="58"/>
        <v>-50.455104488133358</v>
      </c>
      <c r="CU63" s="204">
        <f t="shared" si="58"/>
        <v>-50.524033605137959</v>
      </c>
      <c r="CV63" s="204">
        <f t="shared" si="58"/>
        <v>-50.592563094396311</v>
      </c>
      <c r="CW63" s="204">
        <f t="shared" si="58"/>
        <v>-50.660687629532283</v>
      </c>
      <c r="CX63" s="204">
        <f t="shared" si="58"/>
        <v>-50.728402166731541</v>
      </c>
      <c r="CY63" s="204">
        <f t="shared" si="58"/>
        <v>-50.728402166731541</v>
      </c>
      <c r="CZ63" s="204">
        <f t="shared" si="58"/>
        <v>-50.728402166731541</v>
      </c>
      <c r="DA63" s="204">
        <f t="shared" si="58"/>
        <v>-50.728402166731541</v>
      </c>
      <c r="DB63" s="204">
        <f t="shared" si="58"/>
        <v>-50.728402166731541</v>
      </c>
      <c r="DC63" s="204">
        <f t="shared" si="58"/>
        <v>-50.728402166731541</v>
      </c>
      <c r="DD63" s="204">
        <f t="shared" si="58"/>
        <v>-50.728402166731541</v>
      </c>
      <c r="DE63" s="204">
        <f t="shared" si="58"/>
        <v>-50.728402166731541</v>
      </c>
      <c r="DF63" s="204">
        <f t="shared" si="58"/>
        <v>-50.728402166731541</v>
      </c>
      <c r="DG63" s="204">
        <f t="shared" si="58"/>
        <v>-50.728402166731541</v>
      </c>
      <c r="DH63" s="204">
        <f t="shared" si="58"/>
        <v>-50.728402166731541</v>
      </c>
      <c r="DI63" s="204">
        <f t="shared" si="58"/>
        <v>-50.728402166731541</v>
      </c>
      <c r="DJ63" s="204">
        <f t="shared" si="58"/>
        <v>-50.728402166731541</v>
      </c>
      <c r="DK63" s="204">
        <f t="shared" si="58"/>
        <v>-50.728402166731541</v>
      </c>
      <c r="DL63" s="204">
        <f t="shared" si="58"/>
        <v>-50.728402166731541</v>
      </c>
      <c r="DM63" s="204">
        <f t="shared" si="58"/>
        <v>-50.728402166731541</v>
      </c>
      <c r="DN63" s="204">
        <f t="shared" si="58"/>
        <v>-50.728402166731541</v>
      </c>
      <c r="DO63" s="204">
        <f t="shared" si="58"/>
        <v>-50.728402166731541</v>
      </c>
      <c r="DP63" s="204">
        <f t="shared" si="58"/>
        <v>-50.728402166731541</v>
      </c>
      <c r="DQ63" s="204">
        <f t="shared" si="58"/>
        <v>-50.728402166731541</v>
      </c>
      <c r="DR63" s="204">
        <f t="shared" si="58"/>
        <v>-50.728402166731541</v>
      </c>
      <c r="DS63" s="204">
        <f t="shared" si="58"/>
        <v>-50.728402166731541</v>
      </c>
      <c r="DT63" s="204">
        <f t="shared" si="58"/>
        <v>-50.728402166731541</v>
      </c>
      <c r="DU63" s="204">
        <f t="shared" si="58"/>
        <v>-50.728402166731541</v>
      </c>
      <c r="DV63" s="204">
        <f t="shared" si="58"/>
        <v>-50.728402166731541</v>
      </c>
      <c r="DW63" s="204">
        <f t="shared" si="58"/>
        <v>-50.728402166731541</v>
      </c>
      <c r="DX63" s="204">
        <f t="shared" si="58"/>
        <v>-50.728402166731541</v>
      </c>
      <c r="DY63" s="204">
        <f t="shared" si="58"/>
        <v>-50.728402166731541</v>
      </c>
      <c r="DZ63" s="204">
        <f t="shared" si="58"/>
        <v>-50.728402166731541</v>
      </c>
      <c r="EA63" s="204">
        <f t="shared" si="58"/>
        <v>-50.728402166731541</v>
      </c>
      <c r="EB63" s="204">
        <f t="shared" si="58"/>
        <v>-50.728402166731541</v>
      </c>
      <c r="EC63" s="204">
        <f t="shared" si="58"/>
        <v>-50.728402166731541</v>
      </c>
      <c r="ED63" s="204">
        <f t="shared" si="58"/>
        <v>-50.728402166731541</v>
      </c>
      <c r="EE63" s="204">
        <f t="shared" si="58"/>
        <v>-50.728402166731541</v>
      </c>
      <c r="EF63" s="204">
        <f t="shared" si="58"/>
        <v>-50.728402166731541</v>
      </c>
      <c r="EG63" s="204">
        <f t="shared" si="58"/>
        <v>-50.728402166731541</v>
      </c>
      <c r="EH63" s="204">
        <f t="shared" si="58"/>
        <v>-50.728402166731541</v>
      </c>
      <c r="EI63" s="204">
        <f t="shared" si="58"/>
        <v>-50.728402166731541</v>
      </c>
      <c r="EJ63" s="204">
        <f t="shared" si="58"/>
        <v>-50.728402166731541</v>
      </c>
      <c r="EK63" s="204">
        <f t="shared" si="58"/>
        <v>-50.728402166731541</v>
      </c>
      <c r="EL63" s="204">
        <f t="shared" si="58"/>
        <v>-50.728402166731541</v>
      </c>
      <c r="EM63" s="204">
        <f t="shared" si="58"/>
        <v>-50.728402166731541</v>
      </c>
      <c r="EN63" s="204">
        <f t="shared" si="58"/>
        <v>-50.728402166731541</v>
      </c>
      <c r="EO63" s="204">
        <f t="shared" si="58"/>
        <v>-50.728402166731541</v>
      </c>
      <c r="EP63" s="204">
        <f t="shared" si="58"/>
        <v>-50.728402166731541</v>
      </c>
      <c r="EQ63" s="204">
        <f t="shared" si="58"/>
        <v>-50.728402166731541</v>
      </c>
      <c r="ER63" s="204">
        <f t="shared" si="58"/>
        <v>-50.728402166731541</v>
      </c>
      <c r="ES63" s="204">
        <f t="shared" si="58"/>
        <v>-50.728402166731541</v>
      </c>
      <c r="ET63" s="204">
        <f t="shared" si="58"/>
        <v>-50.728402166731541</v>
      </c>
      <c r="FF63" s="6" t="s">
        <v>536</v>
      </c>
      <c r="FG63" s="696">
        <v>2.5000000000000001E-2</v>
      </c>
      <c r="FH63" s="696">
        <v>120</v>
      </c>
      <c r="FI63" s="696">
        <v>1.7000000000000001E-2</v>
      </c>
      <c r="FJ63" s="255">
        <v>1.3999999999999999E-2</v>
      </c>
      <c r="FK63" s="71">
        <f t="shared" si="11"/>
        <v>2.6190476190476197E-4</v>
      </c>
      <c r="FL63" t="e">
        <f>VLOOKUP(FF63,'SIMULADOR COM SALDO'!$BX$22:$CK$1000,13,FALSE)</f>
        <v>#N/A</v>
      </c>
    </row>
    <row r="64" spans="5:168" x14ac:dyDescent="0.25">
      <c r="G64" s="103">
        <f t="shared" si="45"/>
        <v>-44.755514394288916</v>
      </c>
      <c r="H64" s="204">
        <f t="shared" si="46"/>
        <v>-44.762014779948977</v>
      </c>
      <c r="I64" s="204">
        <f t="shared" si="46"/>
        <v>-44.771604369939283</v>
      </c>
      <c r="J64" s="204">
        <f t="shared" si="46"/>
        <v>-44.784179394460999</v>
      </c>
      <c r="K64" s="204">
        <f t="shared" si="46"/>
        <v>-44.799638676740528</v>
      </c>
      <c r="L64" s="204">
        <f t="shared" si="46"/>
        <v>-44.817883575407286</v>
      </c>
      <c r="M64" s="204">
        <f t="shared" si="46"/>
        <v>-44.838817928074413</v>
      </c>
      <c r="N64" s="204">
        <f t="shared" si="46"/>
        <v>-44.862347996098464</v>
      </c>
      <c r="O64" s="204">
        <f t="shared" si="46"/>
        <v>-44.888382410494046</v>
      </c>
      <c r="P64" s="204">
        <f t="shared" si="46"/>
        <v>-44.916832118980558</v>
      </c>
      <c r="Q64" s="204">
        <f t="shared" si="46"/>
        <v>-44.947610334137877</v>
      </c>
      <c r="R64" s="204">
        <f t="shared" si="46"/>
        <v>-44.980632482648787</v>
      </c>
      <c r="S64" s="204">
        <f t="shared" si="46"/>
        <v>-45.015816155606586</v>
      </c>
      <c r="T64" s="204">
        <f t="shared" si="46"/>
        <v>-45.053081059865733</v>
      </c>
      <c r="U64" s="204">
        <f t="shared" si="46"/>
        <v>-45.092348970415102</v>
      </c>
      <c r="V64" s="204">
        <f t="shared" si="46"/>
        <v>-45.133543683752926</v>
      </c>
      <c r="W64" s="204">
        <f t="shared" si="46"/>
        <v>-45.176590972243204</v>
      </c>
      <c r="X64" s="204">
        <f t="shared" ref="X64:CI64" si="59">PV($F18,X$9,1,0)+(PV($J$6,$N$5-(X$9),1,0)/($J$6+1)^X$9)</f>
        <v>-45.221418539433849</v>
      </c>
      <c r="Y64" s="204">
        <f t="shared" si="59"/>
        <v>-45.267955976317069</v>
      </c>
      <c r="Z64" s="204">
        <f t="shared" si="59"/>
        <v>-45.316134718512942</v>
      </c>
      <c r="AA64" s="204">
        <f t="shared" si="59"/>
        <v>-45.36588800435743</v>
      </c>
      <c r="AB64" s="204">
        <f t="shared" si="59"/>
        <v>-45.417150833876775</v>
      </c>
      <c r="AC64" s="204">
        <f t="shared" si="59"/>
        <v>-45.469859928629866</v>
      </c>
      <c r="AD64" s="204">
        <f t="shared" si="59"/>
        <v>-45.523953692401506</v>
      </c>
      <c r="AE64" s="204">
        <f t="shared" si="59"/>
        <v>-45.57937217272891</v>
      </c>
      <c r="AF64" s="204">
        <f t="shared" si="59"/>
        <v>-45.636057023244774</v>
      </c>
      <c r="AG64" s="204">
        <f t="shared" si="59"/>
        <v>-45.693951466820138</v>
      </c>
      <c r="AH64" s="204">
        <f t="shared" si="59"/>
        <v>-45.753000259491031</v>
      </c>
      <c r="AI64" s="204">
        <f t="shared" si="59"/>
        <v>-45.813149655152714</v>
      </c>
      <c r="AJ64" s="204">
        <f t="shared" si="59"/>
        <v>-45.874347371006138</v>
      </c>
      <c r="AK64" s="204">
        <f t="shared" si="59"/>
        <v>-45.936542553741077</v>
      </c>
      <c r="AL64" s="204">
        <f t="shared" si="59"/>
        <v>-45.999685746441145</v>
      </c>
      <c r="AM64" s="204">
        <f t="shared" si="59"/>
        <v>-46.06372885619583</v>
      </c>
      <c r="AN64" s="204">
        <f t="shared" si="59"/>
        <v>-46.128625122405239</v>
      </c>
      <c r="AO64" s="204">
        <f t="shared" si="59"/>
        <v>-46.194329085763371</v>
      </c>
      <c r="AP64" s="204">
        <f t="shared" si="59"/>
        <v>-46.260796557905998</v>
      </c>
      <c r="AQ64" s="204">
        <f t="shared" si="59"/>
        <v>-46.327984591709736</v>
      </c>
      <c r="AR64" s="204">
        <f t="shared" si="59"/>
        <v>-46.395851452228854</v>
      </c>
      <c r="AS64" s="204">
        <f t="shared" si="59"/>
        <v>-46.464356588256848</v>
      </c>
      <c r="AT64" s="204">
        <f t="shared" si="59"/>
        <v>-46.533460604499965</v>
      </c>
      <c r="AU64" s="204">
        <f t="shared" si="59"/>
        <v>-46.603125234350131</v>
      </c>
      <c r="AV64" s="204">
        <f t="shared" si="59"/>
        <v>-46.673313313245103</v>
      </c>
      <c r="AW64" s="204">
        <f t="shared" si="59"/>
        <v>-46.74398875260357</v>
      </c>
      <c r="AX64" s="204">
        <f t="shared" si="59"/>
        <v>-46.815116514323712</v>
      </c>
      <c r="AY64" s="204">
        <f t="shared" si="59"/>
        <v>-46.886662585833399</v>
      </c>
      <c r="AZ64" s="204">
        <f t="shared" si="59"/>
        <v>-46.958593955680783</v>
      </c>
      <c r="BA64" s="204">
        <f t="shared" si="59"/>
        <v>-47.03087858965425</v>
      </c>
      <c r="BB64" s="204">
        <f t="shared" si="59"/>
        <v>-47.103485407420621</v>
      </c>
      <c r="BC64" s="204">
        <f t="shared" si="59"/>
        <v>-47.176384259671252</v>
      </c>
      <c r="BD64" s="204">
        <f t="shared" si="59"/>
        <v>-47.249545905765231</v>
      </c>
      <c r="BE64" s="204">
        <f t="shared" si="59"/>
        <v>-47.322941991859693</v>
      </c>
      <c r="BF64" s="204">
        <f t="shared" si="59"/>
        <v>-47.396545029517014</v>
      </c>
      <c r="BG64" s="204">
        <f t="shared" si="59"/>
        <v>-47.470328374779164</v>
      </c>
      <c r="BH64" s="204">
        <f t="shared" si="59"/>
        <v>-47.544266207699508</v>
      </c>
      <c r="BI64" s="204">
        <f t="shared" si="59"/>
        <v>-47.618333512322543</v>
      </c>
      <c r="BJ64" s="204">
        <f t="shared" si="59"/>
        <v>-47.692506057102506</v>
      </c>
      <c r="BK64" s="204">
        <f t="shared" si="59"/>
        <v>-47.76676037575146</v>
      </c>
      <c r="BL64" s="204">
        <f t="shared" si="59"/>
        <v>-47.841073748508215</v>
      </c>
      <c r="BM64" s="204">
        <f t="shared" si="59"/>
        <v>-47.915424183819283</v>
      </c>
      <c r="BN64" s="204">
        <f t="shared" si="59"/>
        <v>-47.98979040042321</v>
      </c>
      <c r="BO64" s="204">
        <f t="shared" si="59"/>
        <v>-48.064151809830086</v>
      </c>
      <c r="BP64" s="204">
        <f t="shared" si="59"/>
        <v>-48.138488499187872</v>
      </c>
      <c r="BQ64" s="204">
        <f t="shared" si="59"/>
        <v>-48.212781214527546</v>
      </c>
      <c r="BR64" s="204">
        <f t="shared" si="59"/>
        <v>-48.287011344379295</v>
      </c>
      <c r="BS64" s="204">
        <f t="shared" si="59"/>
        <v>-48.361160903751724</v>
      </c>
      <c r="BT64" s="204">
        <f t="shared" si="59"/>
        <v>-48.435212518466919</v>
      </c>
      <c r="BU64" s="204">
        <f t="shared" si="59"/>
        <v>-48.509149409843609</v>
      </c>
      <c r="BV64" s="204">
        <f t="shared" si="59"/>
        <v>-48.582955379721291</v>
      </c>
      <c r="BW64" s="204">
        <f t="shared" si="59"/>
        <v>-48.656614795818207</v>
      </c>
      <c r="BX64" s="204">
        <f t="shared" si="59"/>
        <v>-48.730112577416122</v>
      </c>
      <c r="BY64" s="204">
        <f t="shared" si="59"/>
        <v>-48.803434181365191</v>
      </c>
      <c r="BZ64" s="204">
        <f t="shared" si="59"/>
        <v>-48.876565588402002</v>
      </c>
      <c r="CA64" s="204">
        <f t="shared" si="59"/>
        <v>-48.949493289774452</v>
      </c>
      <c r="CB64" s="204">
        <f t="shared" si="59"/>
        <v>-49.022204274166853</v>
      </c>
      <c r="CC64" s="204">
        <f t="shared" si="59"/>
        <v>-49.094686014919056</v>
      </c>
      <c r="CD64" s="204">
        <f t="shared" si="59"/>
        <v>-49.166926457533322</v>
      </c>
      <c r="CE64" s="204">
        <f t="shared" si="59"/>
        <v>-49.23891400746308</v>
      </c>
      <c r="CF64" s="204">
        <f t="shared" si="59"/>
        <v>-49.310637518177352</v>
      </c>
      <c r="CG64" s="204">
        <f t="shared" si="59"/>
        <v>-49.382086279495255</v>
      </c>
      <c r="CH64" s="204">
        <f t="shared" si="59"/>
        <v>-49.453250006184824</v>
      </c>
      <c r="CI64" s="204">
        <f t="shared" si="59"/>
        <v>-49.524118826820526</v>
      </c>
      <c r="CJ64" s="204">
        <f t="shared" ref="CJ64:ET64" si="60">PV($F18,CJ$9,1,0)+(PV($J$6,$N$5-(CJ$9),1,0)/($J$6+1)^CJ$9)</f>
        <v>-49.59468327289413</v>
      </c>
      <c r="CK64" s="204">
        <f t="shared" si="60"/>
        <v>-49.664934268173319</v>
      </c>
      <c r="CL64" s="204">
        <f t="shared" si="60"/>
        <v>-49.734863118303139</v>
      </c>
      <c r="CM64" s="204">
        <f t="shared" si="60"/>
        <v>-49.804461500644877</v>
      </c>
      <c r="CN64" s="204">
        <f t="shared" si="60"/>
        <v>-49.873721454347404</v>
      </c>
      <c r="CO64" s="204">
        <f t="shared" si="60"/>
        <v>-49.942635370646151</v>
      </c>
      <c r="CP64" s="204">
        <f t="shared" si="60"/>
        <v>-50.011195983384688</v>
      </c>
      <c r="CQ64" s="204">
        <f t="shared" si="60"/>
        <v>-50.079396359754391</v>
      </c>
      <c r="CR64" s="204">
        <f t="shared" si="60"/>
        <v>-50.147229891247349</v>
      </c>
      <c r="CS64" s="204">
        <f t="shared" si="60"/>
        <v>-50.214690284818133</v>
      </c>
      <c r="CT64" s="204">
        <f t="shared" si="60"/>
        <v>-50.281771554249843</v>
      </c>
      <c r="CU64" s="204">
        <f t="shared" si="60"/>
        <v>-50.3484680117202</v>
      </c>
      <c r="CV64" s="204">
        <f t="shared" si="60"/>
        <v>-50.414774259563281</v>
      </c>
      <c r="CW64" s="204">
        <f t="shared" si="60"/>
        <v>-50.480685182222786</v>
      </c>
      <c r="CX64" s="204">
        <f t="shared" si="60"/>
        <v>-50.546195938392742</v>
      </c>
      <c r="CY64" s="204">
        <f t="shared" si="60"/>
        <v>-50.546195938392742</v>
      </c>
      <c r="CZ64" s="204">
        <f t="shared" si="60"/>
        <v>-50.546195938392742</v>
      </c>
      <c r="DA64" s="204">
        <f t="shared" si="60"/>
        <v>-50.546195938392742</v>
      </c>
      <c r="DB64" s="204">
        <f t="shared" si="60"/>
        <v>-50.546195938392742</v>
      </c>
      <c r="DC64" s="204">
        <f t="shared" si="60"/>
        <v>-50.546195938392742</v>
      </c>
      <c r="DD64" s="204">
        <f t="shared" si="60"/>
        <v>-50.546195938392742</v>
      </c>
      <c r="DE64" s="204">
        <f t="shared" si="60"/>
        <v>-50.546195938392742</v>
      </c>
      <c r="DF64" s="204">
        <f t="shared" si="60"/>
        <v>-50.546195938392742</v>
      </c>
      <c r="DG64" s="204">
        <f t="shared" si="60"/>
        <v>-50.546195938392742</v>
      </c>
      <c r="DH64" s="204">
        <f t="shared" si="60"/>
        <v>-50.546195938392742</v>
      </c>
      <c r="DI64" s="204">
        <f t="shared" si="60"/>
        <v>-50.546195938392742</v>
      </c>
      <c r="DJ64" s="204">
        <f t="shared" si="60"/>
        <v>-50.546195938392742</v>
      </c>
      <c r="DK64" s="204">
        <f t="shared" si="60"/>
        <v>-50.546195938392742</v>
      </c>
      <c r="DL64" s="204">
        <f t="shared" si="60"/>
        <v>-50.546195938392742</v>
      </c>
      <c r="DM64" s="204">
        <f t="shared" si="60"/>
        <v>-50.546195938392742</v>
      </c>
      <c r="DN64" s="204">
        <f t="shared" si="60"/>
        <v>-50.546195938392742</v>
      </c>
      <c r="DO64" s="204">
        <f t="shared" si="60"/>
        <v>-50.546195938392742</v>
      </c>
      <c r="DP64" s="204">
        <f t="shared" si="60"/>
        <v>-50.546195938392742</v>
      </c>
      <c r="DQ64" s="204">
        <f t="shared" si="60"/>
        <v>-50.546195938392742</v>
      </c>
      <c r="DR64" s="204">
        <f t="shared" si="60"/>
        <v>-50.546195938392742</v>
      </c>
      <c r="DS64" s="204">
        <f t="shared" si="60"/>
        <v>-50.546195938392742</v>
      </c>
      <c r="DT64" s="204">
        <f t="shared" si="60"/>
        <v>-50.546195938392742</v>
      </c>
      <c r="DU64" s="204">
        <f t="shared" si="60"/>
        <v>-50.546195938392742</v>
      </c>
      <c r="DV64" s="204">
        <f t="shared" si="60"/>
        <v>-50.546195938392742</v>
      </c>
      <c r="DW64" s="204">
        <f t="shared" si="60"/>
        <v>-50.546195938392742</v>
      </c>
      <c r="DX64" s="204">
        <f t="shared" si="60"/>
        <v>-50.546195938392742</v>
      </c>
      <c r="DY64" s="204">
        <f t="shared" si="60"/>
        <v>-50.546195938392742</v>
      </c>
      <c r="DZ64" s="204">
        <f t="shared" si="60"/>
        <v>-50.546195938392742</v>
      </c>
      <c r="EA64" s="204">
        <f t="shared" si="60"/>
        <v>-50.546195938392742</v>
      </c>
      <c r="EB64" s="204">
        <f t="shared" si="60"/>
        <v>-50.546195938392742</v>
      </c>
      <c r="EC64" s="204">
        <f t="shared" si="60"/>
        <v>-50.546195938392742</v>
      </c>
      <c r="ED64" s="204">
        <f t="shared" si="60"/>
        <v>-50.546195938392742</v>
      </c>
      <c r="EE64" s="204">
        <f t="shared" si="60"/>
        <v>-50.546195938392742</v>
      </c>
      <c r="EF64" s="204">
        <f t="shared" si="60"/>
        <v>-50.546195938392742</v>
      </c>
      <c r="EG64" s="204">
        <f t="shared" si="60"/>
        <v>-50.546195938392742</v>
      </c>
      <c r="EH64" s="204">
        <f t="shared" si="60"/>
        <v>-50.546195938392742</v>
      </c>
      <c r="EI64" s="204">
        <f t="shared" si="60"/>
        <v>-50.546195938392742</v>
      </c>
      <c r="EJ64" s="204">
        <f t="shared" si="60"/>
        <v>-50.546195938392742</v>
      </c>
      <c r="EK64" s="204">
        <f t="shared" si="60"/>
        <v>-50.546195938392742</v>
      </c>
      <c r="EL64" s="204">
        <f t="shared" si="60"/>
        <v>-50.546195938392742</v>
      </c>
      <c r="EM64" s="204">
        <f t="shared" si="60"/>
        <v>-50.546195938392742</v>
      </c>
      <c r="EN64" s="204">
        <f t="shared" si="60"/>
        <v>-50.546195938392742</v>
      </c>
      <c r="EO64" s="204">
        <f t="shared" si="60"/>
        <v>-50.546195938392742</v>
      </c>
      <c r="EP64" s="204">
        <f t="shared" si="60"/>
        <v>-50.546195938392742</v>
      </c>
      <c r="EQ64" s="204">
        <f t="shared" si="60"/>
        <v>-50.546195938392742</v>
      </c>
      <c r="ER64" s="204">
        <f t="shared" si="60"/>
        <v>-50.546195938392742</v>
      </c>
      <c r="ES64" s="204">
        <f t="shared" si="60"/>
        <v>-50.546195938392742</v>
      </c>
      <c r="ET64" s="204">
        <f t="shared" si="60"/>
        <v>-50.546195938392742</v>
      </c>
      <c r="FF64" s="6" t="s">
        <v>209</v>
      </c>
      <c r="FG64" s="696">
        <v>2.5000000000000001E-2</v>
      </c>
      <c r="FH64" s="696">
        <v>120</v>
      </c>
      <c r="FI64" s="696">
        <v>1.89E-2</v>
      </c>
      <c r="FJ64" s="255">
        <v>1.4199999999999999E-2</v>
      </c>
      <c r="FK64" s="71">
        <f t="shared" si="11"/>
        <v>2.5714285714285721E-4</v>
      </c>
      <c r="FL64" t="e">
        <f>VLOOKUP(FF64,'SIMULADOR COM SALDO'!$BX$22:$CK$1000,13,FALSE)</f>
        <v>#N/A</v>
      </c>
    </row>
    <row r="65" spans="7:168" x14ac:dyDescent="0.25">
      <c r="G65" s="103">
        <f t="shared" si="45"/>
        <v>-44.755419663880737</v>
      </c>
      <c r="H65" s="204">
        <f t="shared" si="46"/>
        <v>-44.761733412935783</v>
      </c>
      <c r="I65" s="204">
        <f t="shared" si="46"/>
        <v>-44.771047221186379</v>
      </c>
      <c r="J65" s="204">
        <f t="shared" si="46"/>
        <v>-44.783260018001805</v>
      </c>
      <c r="K65" s="204">
        <f t="shared" si="46"/>
        <v>-44.798273265114254</v>
      </c>
      <c r="L65" s="204">
        <f t="shared" si="46"/>
        <v>-44.815990900205364</v>
      </c>
      <c r="M65" s="204">
        <f t="shared" si="46"/>
        <v>-44.836319281673219</v>
      </c>
      <c r="N65" s="204">
        <f t="shared" si="46"/>
        <v>-44.859167134555967</v>
      </c>
      <c r="O65" s="204">
        <f t="shared" si="46"/>
        <v>-44.884445497588921</v>
      </c>
      <c r="P65" s="204">
        <f t="shared" si="46"/>
        <v>-44.912067671372064</v>
      </c>
      <c r="Q65" s="204">
        <f t="shared" si="46"/>
        <v>-44.9419491676258</v>
      </c>
      <c r="R65" s="204">
        <f t="shared" si="46"/>
        <v>-44.974007659512722</v>
      </c>
      <c r="S65" s="204">
        <f t="shared" si="46"/>
        <v>-45.008162933004236</v>
      </c>
      <c r="T65" s="204">
        <f t="shared" si="46"/>
        <v>-45.044336839270521</v>
      </c>
      <c r="U65" s="204">
        <f t="shared" si="46"/>
        <v>-45.082453248073506</v>
      </c>
      <c r="V65" s="204">
        <f t="shared" si="46"/>
        <v>-45.122438002142246</v>
      </c>
      <c r="W65" s="204">
        <f t="shared" si="46"/>
        <v>-45.164218872511228</v>
      </c>
      <c r="X65" s="204">
        <f t="shared" ref="X65:CI65" si="61">PV($F19,X$9,1,0)+(PV($J$6,$N$5-(X$9),1,0)/($J$6+1)^X$9)</f>
        <v>-45.207725514801631</v>
      </c>
      <c r="Y65" s="204">
        <f t="shared" si="61"/>
        <v>-45.252889426426876</v>
      </c>
      <c r="Z65" s="204">
        <f t="shared" si="61"/>
        <v>-45.299643904703387</v>
      </c>
      <c r="AA65" s="204">
        <f t="shared" si="61"/>
        <v>-45.347924005848554</v>
      </c>
      <c r="AB65" s="204">
        <f t="shared" si="61"/>
        <v>-45.397666504847464</v>
      </c>
      <c r="AC65" s="204">
        <f t="shared" si="61"/>
        <v>-45.448809856171252</v>
      </c>
      <c r="AD65" s="204">
        <f t="shared" si="61"/>
        <v>-45.50129415532929</v>
      </c>
      <c r="AE65" s="204">
        <f t="shared" si="61"/>
        <v>-45.555061101238678</v>
      </c>
      <c r="AF65" s="204">
        <f t="shared" si="61"/>
        <v>-45.610053959394172</v>
      </c>
      <c r="AG65" s="204">
        <f t="shared" si="61"/>
        <v>-45.666217525822276</v>
      </c>
      <c r="AH65" s="204">
        <f t="shared" si="61"/>
        <v>-45.723498091803648</v>
      </c>
      <c r="AI65" s="204">
        <f t="shared" si="61"/>
        <v>-45.781843409348078</v>
      </c>
      <c r="AJ65" s="204">
        <f t="shared" si="61"/>
        <v>-45.841202657406711</v>
      </c>
      <c r="AK65" s="204">
        <f t="shared" si="61"/>
        <v>-45.901526408806518</v>
      </c>
      <c r="AL65" s="204">
        <f t="shared" si="61"/>
        <v>-45.962766597892113</v>
      </c>
      <c r="AM65" s="204">
        <f t="shared" si="61"/>
        <v>-46.024876488860805</v>
      </c>
      <c r="AN65" s="204">
        <f t="shared" si="61"/>
        <v>-46.087810644776319</v>
      </c>
      <c r="AO65" s="204">
        <f t="shared" si="61"/>
        <v>-46.151524897247612</v>
      </c>
      <c r="AP65" s="204">
        <f t="shared" si="61"/>
        <v>-46.215976316758983</v>
      </c>
      <c r="AQ65" s="204">
        <f t="shared" si="61"/>
        <v>-46.2811231836383</v>
      </c>
      <c r="AR65" s="204">
        <f t="shared" si="61"/>
        <v>-46.346924959650138</v>
      </c>
      <c r="AS65" s="204">
        <f t="shared" si="61"/>
        <v>-46.413342260201091</v>
      </c>
      <c r="AT65" s="204">
        <f t="shared" si="61"/>
        <v>-46.480336827144654</v>
      </c>
      <c r="AU65" s="204">
        <f t="shared" si="61"/>
        <v>-46.547871502173436</v>
      </c>
      <c r="AV65" s="204">
        <f t="shared" si="61"/>
        <v>-46.615910200786601</v>
      </c>
      <c r="AW65" s="204">
        <f t="shared" si="61"/>
        <v>-46.68441788682064</v>
      </c>
      <c r="AX65" s="204">
        <f t="shared" si="61"/>
        <v>-46.75336054753204</v>
      </c>
      <c r="AY65" s="204">
        <f t="shared" si="61"/>
        <v>-46.822705169220391</v>
      </c>
      <c r="AZ65" s="204">
        <f t="shared" si="61"/>
        <v>-46.892419713380789</v>
      </c>
      <c r="BA65" s="204">
        <f t="shared" si="61"/>
        <v>-46.962473093374683</v>
      </c>
      <c r="BB65" s="204">
        <f t="shared" si="61"/>
        <v>-47.032835151608438</v>
      </c>
      <c r="BC65" s="204">
        <f t="shared" si="61"/>
        <v>-47.103476637209184</v>
      </c>
      <c r="BD65" s="204">
        <f t="shared" si="61"/>
        <v>-47.174369184187583</v>
      </c>
      <c r="BE65" s="204">
        <f t="shared" si="61"/>
        <v>-47.245485290077582</v>
      </c>
      <c r="BF65" s="204">
        <f t="shared" si="61"/>
        <v>-47.316798295043121</v>
      </c>
      <c r="BG65" s="204">
        <f t="shared" si="61"/>
        <v>-47.388282361442357</v>
      </c>
      <c r="BH65" s="204">
        <f t="shared" si="61"/>
        <v>-47.459912453839706</v>
      </c>
      <c r="BI65" s="204">
        <f t="shared" si="61"/>
        <v>-47.531664319456532</v>
      </c>
      <c r="BJ65" s="204">
        <f t="shared" si="61"/>
        <v>-47.603514469051419</v>
      </c>
      <c r="BK65" s="204">
        <f t="shared" si="61"/>
        <v>-47.675440158220972</v>
      </c>
      <c r="BL65" s="204">
        <f t="shared" si="61"/>
        <v>-47.747419369112635</v>
      </c>
      <c r="BM65" s="204">
        <f t="shared" si="61"/>
        <v>-47.819430792540707</v>
      </c>
      <c r="BN65" s="204">
        <f t="shared" si="61"/>
        <v>-47.891453810497289</v>
      </c>
      <c r="BO65" s="204">
        <f t="shared" si="61"/>
        <v>-47.963468479050057</v>
      </c>
      <c r="BP65" s="204">
        <f t="shared" si="61"/>
        <v>-48.035455511618586</v>
      </c>
      <c r="BQ65" s="204">
        <f t="shared" si="61"/>
        <v>-48.107396262621464</v>
      </c>
      <c r="BR65" s="204">
        <f t="shared" si="61"/>
        <v>-48.179272711486391</v>
      </c>
      <c r="BS65" s="204">
        <f t="shared" si="61"/>
        <v>-48.251067447015807</v>
      </c>
      <c r="BT65" s="204">
        <f t="shared" si="61"/>
        <v>-48.322763652100427</v>
      </c>
      <c r="BU65" s="204">
        <f t="shared" si="61"/>
        <v>-48.394345088773605</v>
      </c>
      <c r="BV65" s="204">
        <f t="shared" si="61"/>
        <v>-48.465796083599223</v>
      </c>
      <c r="BW65" s="204">
        <f t="shared" si="61"/>
        <v>-48.537101513386219</v>
      </c>
      <c r="BX65" s="204">
        <f t="shared" si="61"/>
        <v>-48.608246791222932</v>
      </c>
      <c r="BY65" s="204">
        <f t="shared" si="61"/>
        <v>-48.679217852824408</v>
      </c>
      <c r="BZ65" s="204">
        <f t="shared" si="61"/>
        <v>-48.75000114318626</v>
      </c>
      <c r="CA65" s="204">
        <f t="shared" si="61"/>
        <v>-48.820583603538545</v>
      </c>
      <c r="CB65" s="204">
        <f t="shared" si="61"/>
        <v>-48.890952658593349</v>
      </c>
      <c r="CC65" s="204">
        <f t="shared" si="61"/>
        <v>-48.961096204079965</v>
      </c>
      <c r="CD65" s="204">
        <f t="shared" si="61"/>
        <v>-49.031002594561507</v>
      </c>
      <c r="CE65" s="204">
        <f t="shared" si="61"/>
        <v>-49.100660631527084</v>
      </c>
      <c r="CF65" s="204">
        <f t="shared" si="61"/>
        <v>-49.170059551753731</v>
      </c>
      <c r="CG65" s="204">
        <f t="shared" si="61"/>
        <v>-49.239189015932347</v>
      </c>
      <c r="CH65" s="204">
        <f t="shared" si="61"/>
        <v>-49.308039097552111</v>
      </c>
      <c r="CI65" s="204">
        <f t="shared" si="61"/>
        <v>-49.37660027203782</v>
      </c>
      <c r="CJ65" s="204">
        <f t="shared" ref="CJ65:ET65" si="62">PV($F19,CJ$9,1,0)+(PV($J$6,$N$5-(CJ$9),1,0)/($J$6+1)^CJ$9)</f>
        <v>-49.444863406134935</v>
      </c>
      <c r="CK65" s="204">
        <f t="shared" si="62"/>
        <v>-49.512819747536945</v>
      </c>
      <c r="CL65" s="204">
        <f t="shared" si="62"/>
        <v>-49.580460914749906</v>
      </c>
      <c r="CM65" s="204">
        <f t="shared" si="62"/>
        <v>-49.647778887189347</v>
      </c>
      <c r="CN65" s="204">
        <f t="shared" si="62"/>
        <v>-49.714765995504202</v>
      </c>
      <c r="CO65" s="204">
        <f t="shared" si="62"/>
        <v>-49.781414912123331</v>
      </c>
      <c r="CP65" s="204">
        <f t="shared" si="62"/>
        <v>-49.847718642019629</v>
      </c>
      <c r="CQ65" s="204">
        <f t="shared" si="62"/>
        <v>-49.913670513687201</v>
      </c>
      <c r="CR65" s="204">
        <f t="shared" si="62"/>
        <v>-49.97926417032707</v>
      </c>
      <c r="CS65" s="204">
        <f t="shared" si="62"/>
        <v>-50.04449356123682</v>
      </c>
      <c r="CT65" s="204">
        <f t="shared" si="62"/>
        <v>-50.109352933399968</v>
      </c>
      <c r="CU65" s="204">
        <f t="shared" si="62"/>
        <v>-50.173836823270776</v>
      </c>
      <c r="CV65" s="204">
        <f t="shared" si="62"/>
        <v>-50.237940048750275</v>
      </c>
      <c r="CW65" s="204">
        <f t="shared" si="62"/>
        <v>-50.301657701349235</v>
      </c>
      <c r="CX65" s="204">
        <f t="shared" si="62"/>
        <v>-50.364985138534472</v>
      </c>
      <c r="CY65" s="204">
        <f t="shared" si="62"/>
        <v>-50.364985138534472</v>
      </c>
      <c r="CZ65" s="204">
        <f t="shared" si="62"/>
        <v>-50.364985138534472</v>
      </c>
      <c r="DA65" s="204">
        <f t="shared" si="62"/>
        <v>-50.364985138534472</v>
      </c>
      <c r="DB65" s="204">
        <f t="shared" si="62"/>
        <v>-50.364985138534472</v>
      </c>
      <c r="DC65" s="204">
        <f t="shared" si="62"/>
        <v>-50.364985138534472</v>
      </c>
      <c r="DD65" s="204">
        <f t="shared" si="62"/>
        <v>-50.364985138534472</v>
      </c>
      <c r="DE65" s="204">
        <f t="shared" si="62"/>
        <v>-50.364985138534472</v>
      </c>
      <c r="DF65" s="204">
        <f t="shared" si="62"/>
        <v>-50.364985138534472</v>
      </c>
      <c r="DG65" s="204">
        <f t="shared" si="62"/>
        <v>-50.364985138534472</v>
      </c>
      <c r="DH65" s="204">
        <f t="shared" si="62"/>
        <v>-50.364985138534472</v>
      </c>
      <c r="DI65" s="204">
        <f t="shared" si="62"/>
        <v>-50.364985138534472</v>
      </c>
      <c r="DJ65" s="204">
        <f t="shared" si="62"/>
        <v>-50.364985138534472</v>
      </c>
      <c r="DK65" s="204">
        <f t="shared" si="62"/>
        <v>-50.364985138534472</v>
      </c>
      <c r="DL65" s="204">
        <f t="shared" si="62"/>
        <v>-50.364985138534472</v>
      </c>
      <c r="DM65" s="204">
        <f t="shared" si="62"/>
        <v>-50.364985138534472</v>
      </c>
      <c r="DN65" s="204">
        <f t="shared" si="62"/>
        <v>-50.364985138534472</v>
      </c>
      <c r="DO65" s="204">
        <f t="shared" si="62"/>
        <v>-50.364985138534472</v>
      </c>
      <c r="DP65" s="204">
        <f t="shared" si="62"/>
        <v>-50.364985138534472</v>
      </c>
      <c r="DQ65" s="204">
        <f t="shared" si="62"/>
        <v>-50.364985138534472</v>
      </c>
      <c r="DR65" s="204">
        <f t="shared" si="62"/>
        <v>-50.364985138534472</v>
      </c>
      <c r="DS65" s="204">
        <f t="shared" si="62"/>
        <v>-50.364985138534472</v>
      </c>
      <c r="DT65" s="204">
        <f t="shared" si="62"/>
        <v>-50.364985138534472</v>
      </c>
      <c r="DU65" s="204">
        <f t="shared" si="62"/>
        <v>-50.364985138534472</v>
      </c>
      <c r="DV65" s="204">
        <f t="shared" si="62"/>
        <v>-50.364985138534472</v>
      </c>
      <c r="DW65" s="204">
        <f t="shared" si="62"/>
        <v>-50.364985138534472</v>
      </c>
      <c r="DX65" s="204">
        <f t="shared" si="62"/>
        <v>-50.364985138534472</v>
      </c>
      <c r="DY65" s="204">
        <f t="shared" si="62"/>
        <v>-50.364985138534472</v>
      </c>
      <c r="DZ65" s="204">
        <f t="shared" si="62"/>
        <v>-50.364985138534472</v>
      </c>
      <c r="EA65" s="204">
        <f t="shared" si="62"/>
        <v>-50.364985138534472</v>
      </c>
      <c r="EB65" s="204">
        <f t="shared" si="62"/>
        <v>-50.364985138534472</v>
      </c>
      <c r="EC65" s="204">
        <f t="shared" si="62"/>
        <v>-50.364985138534472</v>
      </c>
      <c r="ED65" s="204">
        <f t="shared" si="62"/>
        <v>-50.364985138534472</v>
      </c>
      <c r="EE65" s="204">
        <f t="shared" si="62"/>
        <v>-50.364985138534472</v>
      </c>
      <c r="EF65" s="204">
        <f t="shared" si="62"/>
        <v>-50.364985138534472</v>
      </c>
      <c r="EG65" s="204">
        <f t="shared" si="62"/>
        <v>-50.364985138534472</v>
      </c>
      <c r="EH65" s="204">
        <f t="shared" si="62"/>
        <v>-50.364985138534472</v>
      </c>
      <c r="EI65" s="204">
        <f t="shared" si="62"/>
        <v>-50.364985138534472</v>
      </c>
      <c r="EJ65" s="204">
        <f t="shared" si="62"/>
        <v>-50.364985138534472</v>
      </c>
      <c r="EK65" s="204">
        <f t="shared" si="62"/>
        <v>-50.364985138534472</v>
      </c>
      <c r="EL65" s="204">
        <f t="shared" si="62"/>
        <v>-50.364985138534472</v>
      </c>
      <c r="EM65" s="204">
        <f t="shared" si="62"/>
        <v>-50.364985138534472</v>
      </c>
      <c r="EN65" s="204">
        <f t="shared" si="62"/>
        <v>-50.364985138534472</v>
      </c>
      <c r="EO65" s="204">
        <f t="shared" si="62"/>
        <v>-50.364985138534472</v>
      </c>
      <c r="EP65" s="204">
        <f t="shared" si="62"/>
        <v>-50.364985138534472</v>
      </c>
      <c r="EQ65" s="204">
        <f t="shared" si="62"/>
        <v>-50.364985138534472</v>
      </c>
      <c r="ER65" s="204">
        <f t="shared" si="62"/>
        <v>-50.364985138534472</v>
      </c>
      <c r="ES65" s="204">
        <f t="shared" si="62"/>
        <v>-50.364985138534472</v>
      </c>
      <c r="ET65" s="204">
        <f t="shared" si="62"/>
        <v>-50.364985138534472</v>
      </c>
      <c r="FF65" s="6" t="s">
        <v>3748</v>
      </c>
      <c r="FG65" s="696">
        <v>2.5000000000000001E-2</v>
      </c>
      <c r="FH65" s="696">
        <v>96</v>
      </c>
      <c r="FI65" s="696">
        <v>1.7000000000000001E-2</v>
      </c>
      <c r="FJ65" s="255">
        <v>1.4499999999999999E-2</v>
      </c>
      <c r="FK65" s="71">
        <f t="shared" si="11"/>
        <v>2.5000000000000006E-4</v>
      </c>
      <c r="FL65" t="e">
        <f>VLOOKUP(FF65,'SIMULADOR COM SALDO'!$BX$22:$CK$1000,13,FALSE)</f>
        <v>#N/A</v>
      </c>
    </row>
    <row r="66" spans="7:168" x14ac:dyDescent="0.25">
      <c r="G66" s="103">
        <f t="shared" si="45"/>
        <v>-44.755324951689232</v>
      </c>
      <c r="H66" s="204">
        <f t="shared" si="46"/>
        <v>-44.761452117972027</v>
      </c>
      <c r="I66" s="204">
        <f t="shared" si="46"/>
        <v>-44.770490250538415</v>
      </c>
      <c r="J66" s="204">
        <f t="shared" si="46"/>
        <v>-44.782340993763448</v>
      </c>
      <c r="K66" s="204">
        <f t="shared" si="46"/>
        <v>-44.796908462977072</v>
      </c>
      <c r="L66" s="204">
        <f t="shared" si="46"/>
        <v>-44.814099189282075</v>
      </c>
      <c r="M66" s="204">
        <f t="shared" si="46"/>
        <v>-44.833822065529333</v>
      </c>
      <c r="N66" s="204">
        <f t="shared" si="46"/>
        <v>-44.855988293427131</v>
      </c>
      <c r="O66" s="204">
        <f t="shared" si="46"/>
        <v>-44.880511331761411</v>
      </c>
      <c r="P66" s="204">
        <f t="shared" si="46"/>
        <v>-44.907306845704802</v>
      </c>
      <c r="Q66" s="204">
        <f t="shared" si="46"/>
        <v>-44.936292657192119</v>
      </c>
      <c r="R66" s="204">
        <f t="shared" si="46"/>
        <v>-44.96738869634104</v>
      </c>
      <c r="S66" s="204">
        <f t="shared" si="46"/>
        <v>-45.000516953896621</v>
      </c>
      <c r="T66" s="204">
        <f t="shared" si="46"/>
        <v>-45.035601434679116</v>
      </c>
      <c r="U66" s="204">
        <f t="shared" si="46"/>
        <v>-45.072568112014409</v>
      </c>
      <c r="V66" s="204">
        <f t="shared" si="46"/>
        <v>-45.111344883127707</v>
      </c>
      <c r="W66" s="204">
        <f t="shared" si="46"/>
        <v>-45.151861525480399</v>
      </c>
      <c r="X66" s="204">
        <f t="shared" ref="X66:CI66" si="63">PV($F20,X$9,1,0)+(PV($J$6,$N$5-(X$9),1,0)/($J$6+1)^X$9)</f>
        <v>-45.194049654031325</v>
      </c>
      <c r="Y66" s="204">
        <f t="shared" si="63"/>
        <v>-45.237842679403585</v>
      </c>
      <c r="Z66" s="204">
        <f t="shared" si="63"/>
        <v>-45.283175766938285</v>
      </c>
      <c r="AA66" s="204">
        <f t="shared" si="63"/>
        <v>-45.329985796617649</v>
      </c>
      <c r="AB66" s="204">
        <f t="shared" si="63"/>
        <v>-45.378211323839331</v>
      </c>
      <c r="AC66" s="204">
        <f t="shared" si="63"/>
        <v>-45.427792541024928</v>
      </c>
      <c r="AD66" s="204">
        <f t="shared" si="63"/>
        <v>-45.478671240045621</v>
      </c>
      <c r="AE66" s="204">
        <f t="shared" si="63"/>
        <v>-45.53079077544821</v>
      </c>
      <c r="AF66" s="204">
        <f t="shared" si="63"/>
        <v>-45.584096028465453</v>
      </c>
      <c r="AG66" s="204">
        <f t="shared" si="63"/>
        <v>-45.638533371794338</v>
      </c>
      <c r="AH66" s="204">
        <f t="shared" si="63"/>
        <v>-45.694050635127155</v>
      </c>
      <c r="AI66" s="204">
        <f t="shared" si="63"/>
        <v>-45.750597071419364</v>
      </c>
      <c r="AJ66" s="204">
        <f t="shared" si="63"/>
        <v>-45.80812332387989</v>
      </c>
      <c r="AK66" s="204">
        <f t="shared" si="63"/>
        <v>-45.866581393668326</v>
      </c>
      <c r="AL66" s="204">
        <f t="shared" si="63"/>
        <v>-45.9259246082853</v>
      </c>
      <c r="AM66" s="204">
        <f t="shared" si="63"/>
        <v>-45.986107590641367</v>
      </c>
      <c r="AN66" s="204">
        <f t="shared" si="63"/>
        <v>-46.047086228790612</v>
      </c>
      <c r="AO66" s="204">
        <f t="shared" si="63"/>
        <v>-46.108817646315508</v>
      </c>
      <c r="AP66" s="204">
        <f t="shared" si="63"/>
        <v>-46.171260173349424</v>
      </c>
      <c r="AQ66" s="204">
        <f t="shared" si="63"/>
        <v>-46.234373318223945</v>
      </c>
      <c r="AR66" s="204">
        <f t="shared" si="63"/>
        <v>-46.298117739727942</v>
      </c>
      <c r="AS66" s="204">
        <f t="shared" si="63"/>
        <v>-46.362455219966037</v>
      </c>
      <c r="AT66" s="204">
        <f t="shared" si="63"/>
        <v>-46.427348637804002</v>
      </c>
      <c r="AU66" s="204">
        <f t="shared" si="63"/>
        <v>-46.49276194288899</v>
      </c>
      <c r="AV66" s="204">
        <f t="shared" si="63"/>
        <v>-46.558660130233037</v>
      </c>
      <c r="AW66" s="204">
        <f t="shared" si="63"/>
        <v>-46.62500921534766</v>
      </c>
      <c r="AX66" s="204">
        <f t="shared" si="63"/>
        <v>-46.691776209918999</v>
      </c>
      <c r="AY66" s="204">
        <f t="shared" si="63"/>
        <v>-46.758929098011507</v>
      </c>
      <c r="AZ66" s="204">
        <f t="shared" si="63"/>
        <v>-46.826436812789979</v>
      </c>
      <c r="BA66" s="204">
        <f t="shared" si="63"/>
        <v>-46.894269213748657</v>
      </c>
      <c r="BB66" s="204">
        <f t="shared" si="63"/>
        <v>-46.96239706443744</v>
      </c>
      <c r="BC66" s="204">
        <f t="shared" si="63"/>
        <v>-47.03079201067446</v>
      </c>
      <c r="BD66" s="204">
        <f t="shared" si="63"/>
        <v>-47.099426559235212</v>
      </c>
      <c r="BE66" s="204">
        <f t="shared" si="63"/>
        <v>-47.168274057008404</v>
      </c>
      <c r="BF66" s="204">
        <f t="shared" si="63"/>
        <v>-47.237308670608613</v>
      </c>
      <c r="BG66" s="204">
        <f t="shared" si="63"/>
        <v>-47.306505366436518</v>
      </c>
      <c r="BH66" s="204">
        <f t="shared" si="63"/>
        <v>-47.375839891177328</v>
      </c>
      <c r="BI66" s="204">
        <f t="shared" si="63"/>
        <v>-47.44528875272816</v>
      </c>
      <c r="BJ66" s="204">
        <f t="shared" si="63"/>
        <v>-47.514829201545766</v>
      </c>
      <c r="BK66" s="204">
        <f t="shared" si="63"/>
        <v>-47.58443921240557</v>
      </c>
      <c r="BL66" s="204">
        <f t="shared" si="63"/>
        <v>-47.654097466563563</v>
      </c>
      <c r="BM66" s="204">
        <f t="shared" si="63"/>
        <v>-47.723783334312678</v>
      </c>
      <c r="BN66" s="204">
        <f t="shared" si="63"/>
        <v>-47.79347685792542</v>
      </c>
      <c r="BO66" s="204">
        <f t="shared" si="63"/>
        <v>-47.863158734974668</v>
      </c>
      <c r="BP66" s="204">
        <f t="shared" si="63"/>
        <v>-47.932810302024713</v>
      </c>
      <c r="BQ66" s="204">
        <f t="shared" si="63"/>
        <v>-48.002413518684868</v>
      </c>
      <c r="BR66" s="204">
        <f t="shared" si="63"/>
        <v>-48.071950952018071</v>
      </c>
      <c r="BS66" s="204">
        <f t="shared" si="63"/>
        <v>-48.141405761296944</v>
      </c>
      <c r="BT66" s="204">
        <f t="shared" si="63"/>
        <v>-48.210761683100145</v>
      </c>
      <c r="BU66" s="204">
        <f t="shared" si="63"/>
        <v>-48.280003016741844</v>
      </c>
      <c r="BV66" s="204">
        <f t="shared" si="63"/>
        <v>-48.34911461002725</v>
      </c>
      <c r="BW66" s="204">
        <f t="shared" si="63"/>
        <v>-48.418081845327507</v>
      </c>
      <c r="BX66" s="204">
        <f t="shared" si="63"/>
        <v>-48.486890625967099</v>
      </c>
      <c r="BY66" s="204">
        <f t="shared" si="63"/>
        <v>-48.555527362917253</v>
      </c>
      <c r="BZ66" s="204">
        <f t="shared" si="63"/>
        <v>-48.623978961788872</v>
      </c>
      <c r="CA66" s="204">
        <f t="shared" si="63"/>
        <v>-48.692232810118774</v>
      </c>
      <c r="CB66" s="204">
        <f t="shared" si="63"/>
        <v>-48.760276764942894</v>
      </c>
      <c r="CC66" s="204">
        <f t="shared" si="63"/>
        <v>-48.828099140650515</v>
      </c>
      <c r="CD66" s="204">
        <f t="shared" si="63"/>
        <v>-48.895688697113613</v>
      </c>
      <c r="CE66" s="204">
        <f t="shared" si="63"/>
        <v>-48.963034628085317</v>
      </c>
      <c r="CF66" s="204">
        <f t="shared" si="63"/>
        <v>-49.030126549862075</v>
      </c>
      <c r="CG66" s="204">
        <f t="shared" si="63"/>
        <v>-49.096954490203629</v>
      </c>
      <c r="CH66" s="204">
        <f t="shared" si="63"/>
        <v>-49.16350887750562</v>
      </c>
      <c r="CI66" s="204">
        <f t="shared" si="63"/>
        <v>-49.229780530219195</v>
      </c>
      <c r="CJ66" s="204">
        <f t="shared" ref="CJ66:ET66" si="64">PV($F20,CJ$9,1,0)+(PV($J$6,$N$5-(CJ$9),1,0)/($J$6+1)^CJ$9)</f>
        <v>-49.295760646512633</v>
      </c>
      <c r="CK66" s="204">
        <f t="shared" si="64"/>
        <v>-49.361440794169667</v>
      </c>
      <c r="CL66" s="204">
        <f t="shared" si="64"/>
        <v>-49.426812900719419</v>
      </c>
      <c r="CM66" s="204">
        <f t="shared" si="64"/>
        <v>-49.49186924379331</v>
      </c>
      <c r="CN66" s="204">
        <f t="shared" si="64"/>
        <v>-49.556602441703745</v>
      </c>
      <c r="CO66" s="204">
        <f t="shared" si="64"/>
        <v>-49.621005444240083</v>
      </c>
      <c r="CP66" s="204">
        <f t="shared" si="64"/>
        <v>-49.685071523677138</v>
      </c>
      <c r="CQ66" s="204">
        <f t="shared" si="64"/>
        <v>-49.748794265991705</v>
      </c>
      <c r="CR66" s="204">
        <f t="shared" si="64"/>
        <v>-49.812167562282767</v>
      </c>
      <c r="CS66" s="204">
        <f t="shared" si="64"/>
        <v>-49.875185600390665</v>
      </c>
      <c r="CT66" s="204">
        <f t="shared" si="64"/>
        <v>-49.937842856711505</v>
      </c>
      <c r="CU66" s="204">
        <f t="shared" si="64"/>
        <v>-50.000134088202088</v>
      </c>
      <c r="CV66" s="204">
        <f t="shared" si="64"/>
        <v>-50.062054324571697</v>
      </c>
      <c r="CW66" s="204">
        <f t="shared" si="64"/>
        <v>-50.123598860656294</v>
      </c>
      <c r="CX66" s="204">
        <f t="shared" si="64"/>
        <v>-50.184763248971642</v>
      </c>
      <c r="CY66" s="204">
        <f t="shared" si="64"/>
        <v>-50.184763248971642</v>
      </c>
      <c r="CZ66" s="204">
        <f t="shared" si="64"/>
        <v>-50.184763248971642</v>
      </c>
      <c r="DA66" s="204">
        <f t="shared" si="64"/>
        <v>-50.184763248971642</v>
      </c>
      <c r="DB66" s="204">
        <f t="shared" si="64"/>
        <v>-50.184763248971642</v>
      </c>
      <c r="DC66" s="204">
        <f t="shared" si="64"/>
        <v>-50.184763248971642</v>
      </c>
      <c r="DD66" s="204">
        <f t="shared" si="64"/>
        <v>-50.184763248971642</v>
      </c>
      <c r="DE66" s="204">
        <f t="shared" si="64"/>
        <v>-50.184763248971642</v>
      </c>
      <c r="DF66" s="204">
        <f t="shared" si="64"/>
        <v>-50.184763248971642</v>
      </c>
      <c r="DG66" s="204">
        <f t="shared" si="64"/>
        <v>-50.184763248971642</v>
      </c>
      <c r="DH66" s="204">
        <f t="shared" si="64"/>
        <v>-50.184763248971642</v>
      </c>
      <c r="DI66" s="204">
        <f t="shared" si="64"/>
        <v>-50.184763248971642</v>
      </c>
      <c r="DJ66" s="204">
        <f t="shared" si="64"/>
        <v>-50.184763248971642</v>
      </c>
      <c r="DK66" s="204">
        <f t="shared" si="64"/>
        <v>-50.184763248971642</v>
      </c>
      <c r="DL66" s="204">
        <f t="shared" si="64"/>
        <v>-50.184763248971642</v>
      </c>
      <c r="DM66" s="204">
        <f t="shared" si="64"/>
        <v>-50.184763248971642</v>
      </c>
      <c r="DN66" s="204">
        <f t="shared" si="64"/>
        <v>-50.184763248971642</v>
      </c>
      <c r="DO66" s="204">
        <f t="shared" si="64"/>
        <v>-50.184763248971642</v>
      </c>
      <c r="DP66" s="204">
        <f t="shared" si="64"/>
        <v>-50.184763248971642</v>
      </c>
      <c r="DQ66" s="204">
        <f t="shared" si="64"/>
        <v>-50.184763248971642</v>
      </c>
      <c r="DR66" s="204">
        <f t="shared" si="64"/>
        <v>-50.184763248971642</v>
      </c>
      <c r="DS66" s="204">
        <f t="shared" si="64"/>
        <v>-50.184763248971642</v>
      </c>
      <c r="DT66" s="204">
        <f t="shared" si="64"/>
        <v>-50.184763248971642</v>
      </c>
      <c r="DU66" s="204">
        <f t="shared" si="64"/>
        <v>-50.184763248971642</v>
      </c>
      <c r="DV66" s="204">
        <f t="shared" si="64"/>
        <v>-50.184763248971642</v>
      </c>
      <c r="DW66" s="204">
        <f t="shared" si="64"/>
        <v>-50.184763248971642</v>
      </c>
      <c r="DX66" s="204">
        <f t="shared" si="64"/>
        <v>-50.184763248971642</v>
      </c>
      <c r="DY66" s="204">
        <f t="shared" si="64"/>
        <v>-50.184763248971642</v>
      </c>
      <c r="DZ66" s="204">
        <f t="shared" si="64"/>
        <v>-50.184763248971642</v>
      </c>
      <c r="EA66" s="204">
        <f t="shared" si="64"/>
        <v>-50.184763248971642</v>
      </c>
      <c r="EB66" s="204">
        <f t="shared" si="64"/>
        <v>-50.184763248971642</v>
      </c>
      <c r="EC66" s="204">
        <f t="shared" si="64"/>
        <v>-50.184763248971642</v>
      </c>
      <c r="ED66" s="204">
        <f t="shared" si="64"/>
        <v>-50.184763248971642</v>
      </c>
      <c r="EE66" s="204">
        <f t="shared" si="64"/>
        <v>-50.184763248971642</v>
      </c>
      <c r="EF66" s="204">
        <f t="shared" si="64"/>
        <v>-50.184763248971642</v>
      </c>
      <c r="EG66" s="204">
        <f t="shared" si="64"/>
        <v>-50.184763248971642</v>
      </c>
      <c r="EH66" s="204">
        <f t="shared" si="64"/>
        <v>-50.184763248971642</v>
      </c>
      <c r="EI66" s="204">
        <f t="shared" si="64"/>
        <v>-50.184763248971642</v>
      </c>
      <c r="EJ66" s="204">
        <f t="shared" si="64"/>
        <v>-50.184763248971642</v>
      </c>
      <c r="EK66" s="204">
        <f t="shared" si="64"/>
        <v>-50.184763248971642</v>
      </c>
      <c r="EL66" s="204">
        <f t="shared" si="64"/>
        <v>-50.184763248971642</v>
      </c>
      <c r="EM66" s="204">
        <f t="shared" si="64"/>
        <v>-50.184763248971642</v>
      </c>
      <c r="EN66" s="204">
        <f t="shared" si="64"/>
        <v>-50.184763248971642</v>
      </c>
      <c r="EO66" s="204">
        <f t="shared" si="64"/>
        <v>-50.184763248971642</v>
      </c>
      <c r="EP66" s="204">
        <f t="shared" si="64"/>
        <v>-50.184763248971642</v>
      </c>
      <c r="EQ66" s="204">
        <f t="shared" si="64"/>
        <v>-50.184763248971642</v>
      </c>
      <c r="ER66" s="204">
        <f t="shared" si="64"/>
        <v>-50.184763248971642</v>
      </c>
      <c r="ES66" s="204">
        <f t="shared" si="64"/>
        <v>-50.184763248971642</v>
      </c>
      <c r="ET66" s="204">
        <f t="shared" si="64"/>
        <v>-50.184763248971642</v>
      </c>
      <c r="FF66" s="6" t="s">
        <v>3012</v>
      </c>
      <c r="FG66" s="696">
        <v>2.1400000000000002E-2</v>
      </c>
      <c r="FH66" s="696">
        <v>96</v>
      </c>
      <c r="FI66" s="696">
        <v>1.9400000000000001E-2</v>
      </c>
      <c r="FJ66" s="255">
        <v>1.37E-2</v>
      </c>
      <c r="FK66" s="71">
        <f t="shared" si="11"/>
        <v>1.8333333333333339E-4</v>
      </c>
      <c r="FL66" t="e">
        <f>VLOOKUP(FF66,'SIMULADOR COM SALDO'!$BX$22:$CK$1000,13,FALSE)</f>
        <v>#N/A</v>
      </c>
    </row>
    <row r="67" spans="7:168" x14ac:dyDescent="0.25">
      <c r="G67" s="103">
        <f t="shared" si="45"/>
        <v>-44.755230257709123</v>
      </c>
      <c r="H67" s="204">
        <f t="shared" si="46"/>
        <v>-44.76117089503169</v>
      </c>
      <c r="I67" s="204">
        <f t="shared" si="46"/>
        <v>-44.769933457918327</v>
      </c>
      <c r="J67" s="204">
        <f t="shared" si="46"/>
        <v>-44.7814223215684</v>
      </c>
      <c r="K67" s="204">
        <f t="shared" si="46"/>
        <v>-44.795544269978315</v>
      </c>
      <c r="L67" s="204">
        <f t="shared" si="46"/>
        <v>-44.812208442013869</v>
      </c>
      <c r="M67" s="204">
        <f t="shared" si="46"/>
        <v>-44.831326278616118</v>
      </c>
      <c r="N67" s="204">
        <f t="shared" si="46"/>
        <v>-44.852811471118059</v>
      </c>
      <c r="O67" s="204">
        <f t="shared" si="46"/>
        <v>-44.87657991064944</v>
      </c>
      <c r="P67" s="204">
        <f t="shared" si="46"/>
        <v>-44.902549638607745</v>
      </c>
      <c r="Q67" s="204">
        <f t="shared" si="46"/>
        <v>-44.930640798173911</v>
      </c>
      <c r="R67" s="204">
        <f t="shared" si="46"/>
        <v>-44.960775586851227</v>
      </c>
      <c r="S67" s="204">
        <f t="shared" si="46"/>
        <v>-44.992878210007177</v>
      </c>
      <c r="T67" s="204">
        <f t="shared" si="46"/>
        <v>-45.026874835397479</v>
      </c>
      <c r="U67" s="204">
        <f t="shared" si="46"/>
        <v>-45.062693548652398</v>
      </c>
      <c r="V67" s="204">
        <f t="shared" si="46"/>
        <v>-45.100264309706212</v>
      </c>
      <c r="W67" s="204">
        <f t="shared" si="46"/>
        <v>-45.139518910150052</v>
      </c>
      <c r="X67" s="204">
        <f t="shared" ref="X67:CI67" si="65">PV($F21,X$9,1,0)+(PV($J$6,$N$5-(X$9),1,0)/($J$6+1)^X$9)</f>
        <v>-45.180390931489839</v>
      </c>
      <c r="Y67" s="204">
        <f t="shared" si="65"/>
        <v>-45.222815704290653</v>
      </c>
      <c r="Z67" s="204">
        <f t="shared" si="65"/>
        <v>-45.266730268189541</v>
      </c>
      <c r="AA67" s="204">
        <f t="shared" si="65"/>
        <v>-45.312073332759141</v>
      </c>
      <c r="AB67" s="204">
        <f t="shared" si="65"/>
        <v>-45.358785239204664</v>
      </c>
      <c r="AC67" s="204">
        <f t="shared" si="65"/>
        <v>-45.406807922877363</v>
      </c>
      <c r="AD67" s="204">
        <f t="shared" si="65"/>
        <v>-45.456084876587738</v>
      </c>
      <c r="AE67" s="204">
        <f t="shared" si="65"/>
        <v>-45.506561114702237</v>
      </c>
      <c r="AF67" s="204">
        <f t="shared" si="65"/>
        <v>-45.558183138007323</v>
      </c>
      <c r="AG67" s="204">
        <f t="shared" si="65"/>
        <v>-45.61089889932537</v>
      </c>
      <c r="AH67" s="204">
        <f t="shared" si="65"/>
        <v>-45.664657769866942</v>
      </c>
      <c r="AI67" s="204">
        <f t="shared" si="65"/>
        <v>-45.719410506304264</v>
      </c>
      <c r="AJ67" s="204">
        <f t="shared" si="65"/>
        <v>-45.775109218551513</v>
      </c>
      <c r="AK67" s="204">
        <f t="shared" si="65"/>
        <v>-45.831707338236782</v>
      </c>
      <c r="AL67" s="204">
        <f t="shared" si="65"/>
        <v>-45.889159587852319</v>
      </c>
      <c r="AM67" s="204">
        <f t="shared" si="65"/>
        <v>-45.947421950568454</v>
      </c>
      <c r="AN67" s="204">
        <f t="shared" si="65"/>
        <v>-46.006451640698039</v>
      </c>
      <c r="AO67" s="204">
        <f t="shared" si="65"/>
        <v>-46.066207074797759</v>
      </c>
      <c r="AP67" s="204">
        <f t="shared" si="65"/>
        <v>-46.126647843393442</v>
      </c>
      <c r="AQ67" s="204">
        <f t="shared" si="65"/>
        <v>-46.187734683316357</v>
      </c>
      <c r="AR67" s="204">
        <f t="shared" si="65"/>
        <v>-46.249429450638019</v>
      </c>
      <c r="AS67" s="204">
        <f t="shared" si="65"/>
        <v>-46.311695094191137</v>
      </c>
      <c r="AT67" s="204">
        <f t="shared" si="65"/>
        <v>-46.374495629664729</v>
      </c>
      <c r="AU67" s="204">
        <f t="shared" si="65"/>
        <v>-46.43779611426136</v>
      </c>
      <c r="AV67" s="204">
        <f t="shared" si="65"/>
        <v>-46.501562621905137</v>
      </c>
      <c r="AW67" s="204">
        <f t="shared" si="65"/>
        <v>-46.565762218988858</v>
      </c>
      <c r="AX67" s="204">
        <f t="shared" si="65"/>
        <v>-46.630362940649448</v>
      </c>
      <c r="AY67" s="204">
        <f t="shared" si="65"/>
        <v>-46.695333767560456</v>
      </c>
      <c r="AZ67" s="204">
        <f t="shared" si="65"/>
        <v>-46.760644603231171</v>
      </c>
      <c r="BA67" s="204">
        <f t="shared" si="65"/>
        <v>-46.82626625180167</v>
      </c>
      <c r="BB67" s="204">
        <f t="shared" si="65"/>
        <v>-46.892170396323749</v>
      </c>
      <c r="BC67" s="204">
        <f t="shared" si="65"/>
        <v>-46.958329577517361</v>
      </c>
      <c r="BD67" s="204">
        <f t="shared" si="65"/>
        <v>-47.024717172992979</v>
      </c>
      <c r="BE67" s="204">
        <f t="shared" si="65"/>
        <v>-47.091307376930061</v>
      </c>
      <c r="BF67" s="204">
        <f t="shared" si="65"/>
        <v>-47.158075180202182</v>
      </c>
      <c r="BG67" s="204">
        <f t="shared" si="65"/>
        <v>-47.224996350939527</v>
      </c>
      <c r="BH67" s="204">
        <f t="shared" si="65"/>
        <v>-47.292047415519633</v>
      </c>
      <c r="BI67" s="204">
        <f t="shared" si="65"/>
        <v>-47.359205639977517</v>
      </c>
      <c r="BJ67" s="204">
        <f t="shared" si="65"/>
        <v>-47.426449011826392</v>
      </c>
      <c r="BK67" s="204">
        <f t="shared" si="65"/>
        <v>-47.49375622228051</v>
      </c>
      <c r="BL67" s="204">
        <f t="shared" si="65"/>
        <v>-47.561106648871473</v>
      </c>
      <c r="BM67" s="204">
        <f t="shared" si="65"/>
        <v>-47.628480338450245</v>
      </c>
      <c r="BN67" s="204">
        <f t="shared" si="65"/>
        <v>-47.69585799056631</v>
      </c>
      <c r="BO67" s="204">
        <f t="shared" si="65"/>
        <v>-47.76322094121646</v>
      </c>
      <c r="BP67" s="204">
        <f t="shared" si="65"/>
        <v>-47.830551146955308</v>
      </c>
      <c r="BQ67" s="204">
        <f t="shared" si="65"/>
        <v>-47.897831169359868</v>
      </c>
      <c r="BR67" s="204">
        <f t="shared" si="65"/>
        <v>-47.965044159841113</v>
      </c>
      <c r="BS67" s="204">
        <f t="shared" si="65"/>
        <v>-48.032173844794748</v>
      </c>
      <c r="BT67" s="204">
        <f t="shared" si="65"/>
        <v>-48.099204511084451</v>
      </c>
      <c r="BU67" s="204">
        <f t="shared" si="65"/>
        <v>-48.166120991850548</v>
      </c>
      <c r="BV67" s="204">
        <f t="shared" si="65"/>
        <v>-48.232908652636993</v>
      </c>
      <c r="BW67" s="204">
        <f t="shared" si="65"/>
        <v>-48.299553377830392</v>
      </c>
      <c r="BX67" s="204">
        <f t="shared" si="65"/>
        <v>-48.366041557404074</v>
      </c>
      <c r="BY67" s="204">
        <f t="shared" si="65"/>
        <v>-48.432360073961057</v>
      </c>
      <c r="BZ67" s="204">
        <f t="shared" si="65"/>
        <v>-48.498496290069518</v>
      </c>
      <c r="CA67" s="204">
        <f t="shared" si="65"/>
        <v>-48.564438035884564</v>
      </c>
      <c r="CB67" s="204">
        <f t="shared" si="65"/>
        <v>-48.630173597050209</v>
      </c>
      <c r="CC67" s="204">
        <f t="shared" si="65"/>
        <v>-48.695691702875799</v>
      </c>
      <c r="CD67" s="204">
        <f t="shared" si="65"/>
        <v>-48.760981514780852</v>
      </c>
      <c r="CE67" s="204">
        <f t="shared" si="65"/>
        <v>-48.826032615002831</v>
      </c>
      <c r="CF67" s="204">
        <f t="shared" si="65"/>
        <v>-48.890834995562095</v>
      </c>
      <c r="CG67" s="204">
        <f t="shared" si="65"/>
        <v>-48.955379047478658</v>
      </c>
      <c r="CH67" s="204">
        <f t="shared" si="65"/>
        <v>-49.019655550235463</v>
      </c>
      <c r="CI67" s="204">
        <f t="shared" si="65"/>
        <v>-49.083655661482766</v>
      </c>
      <c r="CJ67" s="204">
        <f t="shared" ref="CJ67:ET67" si="66">PV($F21,CJ$9,1,0)+(PV($J$6,$N$5-(CJ$9),1,0)/($J$6+1)^CJ$9)</f>
        <v>-49.147370906978622</v>
      </c>
      <c r="CK67" s="204">
        <f t="shared" si="66"/>
        <v>-49.210793170760439</v>
      </c>
      <c r="CL67" s="204">
        <f t="shared" si="66"/>
        <v>-49.273914685542564</v>
      </c>
      <c r="CM67" s="204">
        <f t="shared" si="66"/>
        <v>-49.336728023335247</v>
      </c>
      <c r="CN67" s="204">
        <f t="shared" si="66"/>
        <v>-49.399226086280059</v>
      </c>
      <c r="CO67" s="204">
        <f t="shared" si="66"/>
        <v>-49.461402097697288</v>
      </c>
      <c r="CP67" s="204">
        <f t="shared" si="66"/>
        <v>-49.523249593340701</v>
      </c>
      <c r="CQ67" s="204">
        <f t="shared" si="66"/>
        <v>-49.584762412855248</v>
      </c>
      <c r="CR67" s="204">
        <f t="shared" si="66"/>
        <v>-49.645934691433325</v>
      </c>
      <c r="CS67" s="204">
        <f t="shared" si="66"/>
        <v>-49.706760851665358</v>
      </c>
      <c r="CT67" s="204">
        <f t="shared" si="66"/>
        <v>-49.767235595580587</v>
      </c>
      <c r="CU67" s="204">
        <f t="shared" si="66"/>
        <v>-49.827353896873809</v>
      </c>
      <c r="CV67" s="204">
        <f t="shared" si="66"/>
        <v>-49.887110993314231</v>
      </c>
      <c r="CW67" s="204">
        <f t="shared" si="66"/>
        <v>-49.946502379332372</v>
      </c>
      <c r="CX67" s="204">
        <f t="shared" si="66"/>
        <v>-50.00552379878134</v>
      </c>
      <c r="CY67" s="204">
        <f t="shared" si="66"/>
        <v>-50.00552379878134</v>
      </c>
      <c r="CZ67" s="204">
        <f t="shared" si="66"/>
        <v>-50.00552379878134</v>
      </c>
      <c r="DA67" s="204">
        <f t="shared" si="66"/>
        <v>-50.00552379878134</v>
      </c>
      <c r="DB67" s="204">
        <f t="shared" si="66"/>
        <v>-50.00552379878134</v>
      </c>
      <c r="DC67" s="204">
        <f t="shared" si="66"/>
        <v>-50.00552379878134</v>
      </c>
      <c r="DD67" s="204">
        <f t="shared" si="66"/>
        <v>-50.00552379878134</v>
      </c>
      <c r="DE67" s="204">
        <f t="shared" si="66"/>
        <v>-50.00552379878134</v>
      </c>
      <c r="DF67" s="204">
        <f t="shared" si="66"/>
        <v>-50.00552379878134</v>
      </c>
      <c r="DG67" s="204">
        <f t="shared" si="66"/>
        <v>-50.00552379878134</v>
      </c>
      <c r="DH67" s="204">
        <f t="shared" si="66"/>
        <v>-50.00552379878134</v>
      </c>
      <c r="DI67" s="204">
        <f t="shared" si="66"/>
        <v>-50.00552379878134</v>
      </c>
      <c r="DJ67" s="204">
        <f t="shared" si="66"/>
        <v>-50.00552379878134</v>
      </c>
      <c r="DK67" s="204">
        <f t="shared" si="66"/>
        <v>-50.00552379878134</v>
      </c>
      <c r="DL67" s="204">
        <f t="shared" si="66"/>
        <v>-50.00552379878134</v>
      </c>
      <c r="DM67" s="204">
        <f t="shared" si="66"/>
        <v>-50.00552379878134</v>
      </c>
      <c r="DN67" s="204">
        <f t="shared" si="66"/>
        <v>-50.00552379878134</v>
      </c>
      <c r="DO67" s="204">
        <f t="shared" si="66"/>
        <v>-50.00552379878134</v>
      </c>
      <c r="DP67" s="204">
        <f t="shared" si="66"/>
        <v>-50.00552379878134</v>
      </c>
      <c r="DQ67" s="204">
        <f t="shared" si="66"/>
        <v>-50.00552379878134</v>
      </c>
      <c r="DR67" s="204">
        <f t="shared" si="66"/>
        <v>-50.00552379878134</v>
      </c>
      <c r="DS67" s="204">
        <f t="shared" si="66"/>
        <v>-50.00552379878134</v>
      </c>
      <c r="DT67" s="204">
        <f t="shared" si="66"/>
        <v>-50.00552379878134</v>
      </c>
      <c r="DU67" s="204">
        <f t="shared" si="66"/>
        <v>-50.00552379878134</v>
      </c>
      <c r="DV67" s="204">
        <f t="shared" si="66"/>
        <v>-50.00552379878134</v>
      </c>
      <c r="DW67" s="204">
        <f t="shared" si="66"/>
        <v>-50.00552379878134</v>
      </c>
      <c r="DX67" s="204">
        <f t="shared" si="66"/>
        <v>-50.00552379878134</v>
      </c>
      <c r="DY67" s="204">
        <f t="shared" si="66"/>
        <v>-50.00552379878134</v>
      </c>
      <c r="DZ67" s="204">
        <f t="shared" si="66"/>
        <v>-50.00552379878134</v>
      </c>
      <c r="EA67" s="204">
        <f t="shared" si="66"/>
        <v>-50.00552379878134</v>
      </c>
      <c r="EB67" s="204">
        <f t="shared" si="66"/>
        <v>-50.00552379878134</v>
      </c>
      <c r="EC67" s="204">
        <f t="shared" si="66"/>
        <v>-50.00552379878134</v>
      </c>
      <c r="ED67" s="204">
        <f t="shared" si="66"/>
        <v>-50.00552379878134</v>
      </c>
      <c r="EE67" s="204">
        <f t="shared" si="66"/>
        <v>-50.00552379878134</v>
      </c>
      <c r="EF67" s="204">
        <f t="shared" si="66"/>
        <v>-50.00552379878134</v>
      </c>
      <c r="EG67" s="204">
        <f t="shared" si="66"/>
        <v>-50.00552379878134</v>
      </c>
      <c r="EH67" s="204">
        <f t="shared" si="66"/>
        <v>-50.00552379878134</v>
      </c>
      <c r="EI67" s="204">
        <f t="shared" si="66"/>
        <v>-50.00552379878134</v>
      </c>
      <c r="EJ67" s="204">
        <f t="shared" si="66"/>
        <v>-50.00552379878134</v>
      </c>
      <c r="EK67" s="204">
        <f t="shared" si="66"/>
        <v>-50.00552379878134</v>
      </c>
      <c r="EL67" s="204">
        <f t="shared" si="66"/>
        <v>-50.00552379878134</v>
      </c>
      <c r="EM67" s="204">
        <f t="shared" si="66"/>
        <v>-50.00552379878134</v>
      </c>
      <c r="EN67" s="204">
        <f t="shared" si="66"/>
        <v>-50.00552379878134</v>
      </c>
      <c r="EO67" s="204">
        <f t="shared" si="66"/>
        <v>-50.00552379878134</v>
      </c>
      <c r="EP67" s="204">
        <f t="shared" si="66"/>
        <v>-50.00552379878134</v>
      </c>
      <c r="EQ67" s="204">
        <f t="shared" si="66"/>
        <v>-50.00552379878134</v>
      </c>
      <c r="ER67" s="204">
        <f t="shared" si="66"/>
        <v>-50.00552379878134</v>
      </c>
      <c r="ES67" s="204">
        <f t="shared" si="66"/>
        <v>-50.00552379878134</v>
      </c>
      <c r="ET67" s="204">
        <f t="shared" si="66"/>
        <v>-50.00552379878134</v>
      </c>
      <c r="FF67" s="6" t="s">
        <v>3013</v>
      </c>
      <c r="FG67" s="696">
        <v>2.1400000000000002E-2</v>
      </c>
      <c r="FH67" s="696">
        <v>96</v>
      </c>
      <c r="FI67" s="696">
        <v>1.72E-2</v>
      </c>
      <c r="FJ67" s="255">
        <v>1.37E-2</v>
      </c>
      <c r="FK67" s="71">
        <f t="shared" si="11"/>
        <v>1.8333333333333339E-4</v>
      </c>
      <c r="FL67" t="e">
        <f>VLOOKUP(FF67,'SIMULADOR COM SALDO'!$BX$22:$CK$1000,13,FALSE)</f>
        <v>#N/A</v>
      </c>
    </row>
    <row r="68" spans="7:168" x14ac:dyDescent="0.25">
      <c r="G68" s="103">
        <f t="shared" si="45"/>
        <v>-44.755135581935178</v>
      </c>
      <c r="H68" s="204">
        <f t="shared" si="46"/>
        <v>-44.760889744088892</v>
      </c>
      <c r="I68" s="204">
        <f t="shared" si="46"/>
        <v>-44.769376843249361</v>
      </c>
      <c r="J68" s="204">
        <f t="shared" si="46"/>
        <v>-44.780504001239599</v>
      </c>
      <c r="K68" s="204">
        <f t="shared" si="46"/>
        <v>-44.794180685767998</v>
      </c>
      <c r="L68" s="204">
        <f t="shared" si="46"/>
        <v>-44.810318657778225</v>
      </c>
      <c r="M68" s="204">
        <f t="shared" si="46"/>
        <v>-44.828831919908396</v>
      </c>
      <c r="N68" s="204">
        <f t="shared" si="46"/>
        <v>-44.849636666037036</v>
      </c>
      <c r="O68" s="204">
        <f t="shared" si="46"/>
        <v>-44.872651231893983</v>
      </c>
      <c r="P68" s="204">
        <f t="shared" si="46"/>
        <v>-44.897796046714305</v>
      </c>
      <c r="Q68" s="204">
        <f t="shared" si="46"/>
        <v>-44.924993585914471</v>
      </c>
      <c r="R68" s="204">
        <f t="shared" si="46"/>
        <v>-44.954168324769427</v>
      </c>
      <c r="S68" s="204">
        <f t="shared" si="46"/>
        <v>-44.985246693071083</v>
      </c>
      <c r="T68" s="204">
        <f t="shared" si="46"/>
        <v>-45.018157030747361</v>
      </c>
      <c r="U68" s="204">
        <f t="shared" si="46"/>
        <v>-45.052829544422877</v>
      </c>
      <c r="V68" s="204">
        <f t="shared" si="46"/>
        <v>-45.089196264901837</v>
      </c>
      <c r="W68" s="204">
        <f t="shared" si="46"/>
        <v>-45.127191005554451</v>
      </c>
      <c r="X68" s="204">
        <f t="shared" ref="X68:CI68" si="67">PV($F22,X$9,1,0)+(PV($J$6,$N$5-(X$9),1,0)/($J$6+1)^X$9)</f>
        <v>-45.166749321588341</v>
      </c>
      <c r="Y68" s="204">
        <f t="shared" si="67"/>
        <v>-45.207808470187118</v>
      </c>
      <c r="Z68" s="204">
        <f t="shared" si="67"/>
        <v>-45.250307371498124</v>
      </c>
      <c r="AA68" s="204">
        <f t="shared" si="67"/>
        <v>-45.294186570452382</v>
      </c>
      <c r="AB68" s="204">
        <f t="shared" si="67"/>
        <v>-45.339388199399366</v>
      </c>
      <c r="AC68" s="204">
        <f t="shared" si="67"/>
        <v>-45.385855941540285</v>
      </c>
      <c r="AD68" s="204">
        <f t="shared" si="67"/>
        <v>-45.433534995143205</v>
      </c>
      <c r="AE68" s="204">
        <f t="shared" si="67"/>
        <v>-45.482372038524545</v>
      </c>
      <c r="AF68" s="204">
        <f t="shared" si="67"/>
        <v>-45.532315195780498</v>
      </c>
      <c r="AG68" s="204">
        <f t="shared" si="67"/>
        <v>-45.583314003253776</v>
      </c>
      <c r="AH68" s="204">
        <f t="shared" si="67"/>
        <v>-45.635319376720034</v>
      </c>
      <c r="AI68" s="204">
        <f t="shared" si="67"/>
        <v>-45.688283579279613</v>
      </c>
      <c r="AJ68" s="204">
        <f t="shared" si="67"/>
        <v>-45.742160189939902</v>
      </c>
      <c r="AK68" s="204">
        <f t="shared" si="67"/>
        <v>-45.796904072874163</v>
      </c>
      <c r="AL68" s="204">
        <f t="shared" si="67"/>
        <v>-45.852471347342913</v>
      </c>
      <c r="AM68" s="204">
        <f t="shared" si="67"/>
        <v>-45.908819358264466</v>
      </c>
      <c r="AN68" s="204">
        <f t="shared" si="67"/>
        <v>-45.965906647420852</v>
      </c>
      <c r="AO68" s="204">
        <f t="shared" si="67"/>
        <v>-46.023692925286483</v>
      </c>
      <c r="AP68" s="204">
        <f t="shared" si="67"/>
        <v>-46.082139043466327</v>
      </c>
      <c r="AQ68" s="204">
        <f t="shared" si="67"/>
        <v>-46.141206967731421</v>
      </c>
      <c r="AR68" s="204">
        <f t="shared" si="67"/>
        <v>-46.200859751639086</v>
      </c>
      <c r="AS68" s="204">
        <f t="shared" si="67"/>
        <v>-46.261061510725931</v>
      </c>
      <c r="AT68" s="204">
        <f t="shared" si="67"/>
        <v>-46.321777397261727</v>
      </c>
      <c r="AU68" s="204">
        <f t="shared" si="67"/>
        <v>-46.382973575552768</v>
      </c>
      <c r="AV68" s="204">
        <f t="shared" si="67"/>
        <v>-46.444617197783032</v>
      </c>
      <c r="AW68" s="204">
        <f t="shared" si="67"/>
        <v>-46.506676380382224</v>
      </c>
      <c r="AX68" s="204">
        <f t="shared" si="67"/>
        <v>-46.569120180909806</v>
      </c>
      <c r="AY68" s="204">
        <f t="shared" si="67"/>
        <v>-46.631918575444224</v>
      </c>
      <c r="AZ68" s="204">
        <f t="shared" si="67"/>
        <v>-46.695042436466863</v>
      </c>
      <c r="BA68" s="204">
        <f t="shared" si="67"/>
        <v>-46.758463511230545</v>
      </c>
      <c r="BB68" s="204">
        <f t="shared" si="67"/>
        <v>-46.822154400602372</v>
      </c>
      <c r="BC68" s="204">
        <f t="shared" si="67"/>
        <v>-46.886088538371254</v>
      </c>
      <c r="BD68" s="204">
        <f t="shared" si="67"/>
        <v>-46.950240171010236</v>
      </c>
      <c r="BE68" s="204">
        <f t="shared" si="67"/>
        <v>-47.014584337884287</v>
      </c>
      <c r="BF68" s="204">
        <f t="shared" si="67"/>
        <v>-47.079096851894377</v>
      </c>
      <c r="BG68" s="204">
        <f t="shared" si="67"/>
        <v>-47.143754280548372</v>
      </c>
      <c r="BH68" s="204">
        <f t="shared" si="67"/>
        <v>-47.208533927450333</v>
      </c>
      <c r="BI68" s="204">
        <f t="shared" si="67"/>
        <v>-47.273413814199124</v>
      </c>
      <c r="BJ68" s="204">
        <f t="shared" si="67"/>
        <v>-47.338372662687902</v>
      </c>
      <c r="BK68" s="204">
        <f t="shared" si="67"/>
        <v>-47.403389877796258</v>
      </c>
      <c r="BL68" s="204">
        <f t="shared" si="67"/>
        <v>-47.468445530466362</v>
      </c>
      <c r="BM68" s="204">
        <f t="shared" si="67"/>
        <v>-47.533520341155686</v>
      </c>
      <c r="BN68" s="204">
        <f t="shared" si="67"/>
        <v>-47.598595663657775</v>
      </c>
      <c r="BO68" s="204">
        <f t="shared" si="67"/>
        <v>-47.66365346928395</v>
      </c>
      <c r="BP68" s="204">
        <f t="shared" si="67"/>
        <v>-47.728676331397843</v>
      </c>
      <c r="BQ68" s="204">
        <f t="shared" si="67"/>
        <v>-47.793647410295748</v>
      </c>
      <c r="BR68" s="204">
        <f t="shared" si="67"/>
        <v>-47.858550438425247</v>
      </c>
      <c r="BS68" s="204">
        <f t="shared" si="67"/>
        <v>-47.923369705935187</v>
      </c>
      <c r="BT68" s="204">
        <f t="shared" si="67"/>
        <v>-47.988090046549942</v>
      </c>
      <c r="BU68" s="204">
        <f t="shared" si="67"/>
        <v>-48.052696823761117</v>
      </c>
      <c r="BV68" s="204">
        <f t="shared" si="67"/>
        <v>-48.117175917330023</v>
      </c>
      <c r="BW68" s="204">
        <f t="shared" si="67"/>
        <v>-48.1815137100944</v>
      </c>
      <c r="BX68" s="204">
        <f t="shared" si="67"/>
        <v>-48.24569707507289</v>
      </c>
      <c r="BY68" s="204">
        <f t="shared" si="67"/>
        <v>-48.309713362861018</v>
      </c>
      <c r="BZ68" s="204">
        <f t="shared" si="67"/>
        <v>-48.373550389312513</v>
      </c>
      <c r="CA68" s="204">
        <f t="shared" si="67"/>
        <v>-48.437196423499898</v>
      </c>
      <c r="CB68" s="204">
        <f t="shared" si="67"/>
        <v>-48.500640175948448</v>
      </c>
      <c r="CC68" s="204">
        <f t="shared" si="67"/>
        <v>-48.563870787137674</v>
      </c>
      <c r="CD68" s="204">
        <f t="shared" si="67"/>
        <v>-48.626877816264766</v>
      </c>
      <c r="CE68" s="204">
        <f t="shared" si="67"/>
        <v>-48.689651230264325</v>
      </c>
      <c r="CF68" s="204">
        <f t="shared" si="67"/>
        <v>-48.752181393078935</v>
      </c>
      <c r="CG68" s="204">
        <f t="shared" si="67"/>
        <v>-48.814459055175313</v>
      </c>
      <c r="CH68" s="204">
        <f t="shared" si="67"/>
        <v>-48.876475343300697</v>
      </c>
      <c r="CI68" s="204">
        <f t="shared" si="67"/>
        <v>-48.93822175047449</v>
      </c>
      <c r="CJ68" s="204">
        <f t="shared" ref="CJ68:ET68" si="68">PV($F22,CJ$9,1,0)+(PV($J$6,$N$5-(CJ$9),1,0)/($J$6+1)^CJ$9)</f>
        <v>-48.999690126209977</v>
      </c>
      <c r="CK68" s="204">
        <f t="shared" si="68"/>
        <v>-49.060872666961302</v>
      </c>
      <c r="CL68" s="204">
        <f t="shared" si="68"/>
        <v>-49.121761906790844</v>
      </c>
      <c r="CM68" s="204">
        <f t="shared" si="68"/>
        <v>-49.182350708252436</v>
      </c>
      <c r="CN68" s="204">
        <f t="shared" si="68"/>
        <v>-49.242632253485382</v>
      </c>
      <c r="CO68" s="204">
        <f t="shared" si="68"/>
        <v>-49.302600035515304</v>
      </c>
      <c r="CP68" s="204">
        <f t="shared" si="68"/>
        <v>-49.362247849756955</v>
      </c>
      <c r="CQ68" s="204">
        <f t="shared" si="68"/>
        <v>-49.421569785714816</v>
      </c>
      <c r="CR68" s="204">
        <f t="shared" si="68"/>
        <v>-49.480560218877301</v>
      </c>
      <c r="CS68" s="204">
        <f t="shared" si="68"/>
        <v>-49.539213802800155</v>
      </c>
      <c r="CT68" s="204">
        <f t="shared" si="68"/>
        <v>-49.597525461375326</v>
      </c>
      <c r="CU68" s="204">
        <f t="shared" si="68"/>
        <v>-49.655490381280899</v>
      </c>
      <c r="CV68" s="204">
        <f t="shared" si="68"/>
        <v>-49.71310400460861</v>
      </c>
      <c r="CW68" s="204">
        <f t="shared" si="68"/>
        <v>-49.770362021664674</v>
      </c>
      <c r="CX68" s="204">
        <f t="shared" si="68"/>
        <v>-49.827260363940503</v>
      </c>
      <c r="CY68" s="204">
        <f t="shared" si="68"/>
        <v>-49.827260363940503</v>
      </c>
      <c r="CZ68" s="204">
        <f t="shared" si="68"/>
        <v>-49.827260363940503</v>
      </c>
      <c r="DA68" s="204">
        <f t="shared" si="68"/>
        <v>-49.827260363940503</v>
      </c>
      <c r="DB68" s="204">
        <f t="shared" si="68"/>
        <v>-49.827260363940503</v>
      </c>
      <c r="DC68" s="204">
        <f t="shared" si="68"/>
        <v>-49.827260363940503</v>
      </c>
      <c r="DD68" s="204">
        <f t="shared" si="68"/>
        <v>-49.827260363940503</v>
      </c>
      <c r="DE68" s="204">
        <f t="shared" si="68"/>
        <v>-49.827260363940503</v>
      </c>
      <c r="DF68" s="204">
        <f t="shared" si="68"/>
        <v>-49.827260363940503</v>
      </c>
      <c r="DG68" s="204">
        <f t="shared" si="68"/>
        <v>-49.827260363940503</v>
      </c>
      <c r="DH68" s="204">
        <f t="shared" si="68"/>
        <v>-49.827260363940503</v>
      </c>
      <c r="DI68" s="204">
        <f t="shared" si="68"/>
        <v>-49.827260363940503</v>
      </c>
      <c r="DJ68" s="204">
        <f t="shared" si="68"/>
        <v>-49.827260363940503</v>
      </c>
      <c r="DK68" s="204">
        <f t="shared" si="68"/>
        <v>-49.827260363940503</v>
      </c>
      <c r="DL68" s="204">
        <f t="shared" si="68"/>
        <v>-49.827260363940503</v>
      </c>
      <c r="DM68" s="204">
        <f t="shared" si="68"/>
        <v>-49.827260363940503</v>
      </c>
      <c r="DN68" s="204">
        <f t="shared" si="68"/>
        <v>-49.827260363940503</v>
      </c>
      <c r="DO68" s="204">
        <f t="shared" si="68"/>
        <v>-49.827260363940503</v>
      </c>
      <c r="DP68" s="204">
        <f t="shared" si="68"/>
        <v>-49.827260363940503</v>
      </c>
      <c r="DQ68" s="204">
        <f t="shared" si="68"/>
        <v>-49.827260363940503</v>
      </c>
      <c r="DR68" s="204">
        <f t="shared" si="68"/>
        <v>-49.827260363940503</v>
      </c>
      <c r="DS68" s="204">
        <f t="shared" si="68"/>
        <v>-49.827260363940503</v>
      </c>
      <c r="DT68" s="204">
        <f t="shared" si="68"/>
        <v>-49.827260363940503</v>
      </c>
      <c r="DU68" s="204">
        <f t="shared" si="68"/>
        <v>-49.827260363940503</v>
      </c>
      <c r="DV68" s="204">
        <f t="shared" si="68"/>
        <v>-49.827260363940503</v>
      </c>
      <c r="DW68" s="204">
        <f t="shared" si="68"/>
        <v>-49.827260363940503</v>
      </c>
      <c r="DX68" s="204">
        <f t="shared" si="68"/>
        <v>-49.827260363940503</v>
      </c>
      <c r="DY68" s="204">
        <f t="shared" si="68"/>
        <v>-49.827260363940503</v>
      </c>
      <c r="DZ68" s="204">
        <f t="shared" si="68"/>
        <v>-49.827260363940503</v>
      </c>
      <c r="EA68" s="204">
        <f t="shared" si="68"/>
        <v>-49.827260363940503</v>
      </c>
      <c r="EB68" s="204">
        <f t="shared" si="68"/>
        <v>-49.827260363940503</v>
      </c>
      <c r="EC68" s="204">
        <f t="shared" si="68"/>
        <v>-49.827260363940503</v>
      </c>
      <c r="ED68" s="204">
        <f t="shared" si="68"/>
        <v>-49.827260363940503</v>
      </c>
      <c r="EE68" s="204">
        <f t="shared" si="68"/>
        <v>-49.827260363940503</v>
      </c>
      <c r="EF68" s="204">
        <f t="shared" si="68"/>
        <v>-49.827260363940503</v>
      </c>
      <c r="EG68" s="204">
        <f t="shared" si="68"/>
        <v>-49.827260363940503</v>
      </c>
      <c r="EH68" s="204">
        <f t="shared" si="68"/>
        <v>-49.827260363940503</v>
      </c>
      <c r="EI68" s="204">
        <f t="shared" si="68"/>
        <v>-49.827260363940503</v>
      </c>
      <c r="EJ68" s="204">
        <f t="shared" si="68"/>
        <v>-49.827260363940503</v>
      </c>
      <c r="EK68" s="204">
        <f t="shared" si="68"/>
        <v>-49.827260363940503</v>
      </c>
      <c r="EL68" s="204">
        <f t="shared" si="68"/>
        <v>-49.827260363940503</v>
      </c>
      <c r="EM68" s="204">
        <f t="shared" si="68"/>
        <v>-49.827260363940503</v>
      </c>
      <c r="EN68" s="204">
        <f t="shared" si="68"/>
        <v>-49.827260363940503</v>
      </c>
      <c r="EO68" s="204">
        <f t="shared" si="68"/>
        <v>-49.827260363940503</v>
      </c>
      <c r="EP68" s="204">
        <f t="shared" si="68"/>
        <v>-49.827260363940503</v>
      </c>
      <c r="EQ68" s="204">
        <f t="shared" si="68"/>
        <v>-49.827260363940503</v>
      </c>
      <c r="ER68" s="204">
        <f t="shared" si="68"/>
        <v>-49.827260363940503</v>
      </c>
      <c r="ES68" s="204">
        <f t="shared" si="68"/>
        <v>-49.827260363940503</v>
      </c>
      <c r="ET68" s="204">
        <f t="shared" si="68"/>
        <v>-49.827260363940503</v>
      </c>
      <c r="FF68" s="6" t="s">
        <v>810</v>
      </c>
      <c r="FG68" s="696">
        <v>2.4E-2</v>
      </c>
      <c r="FH68" s="696">
        <v>96</v>
      </c>
      <c r="FI68" s="696">
        <v>2.4E-2</v>
      </c>
      <c r="FJ68" s="255">
        <v>2.1499999999999998E-2</v>
      </c>
      <c r="FK68" s="71">
        <f t="shared" si="11"/>
        <v>5.9523809523809578E-5</v>
      </c>
      <c r="FL68" t="e">
        <f>VLOOKUP(FF68,'SIMULADOR COM SALDO'!$BX$22:$CK$1000,13,FALSE)</f>
        <v>#N/A</v>
      </c>
    </row>
    <row r="69" spans="7:168" x14ac:dyDescent="0.25">
      <c r="G69" s="103">
        <f t="shared" si="45"/>
        <v>-44.755040924362127</v>
      </c>
      <c r="H69" s="204">
        <f t="shared" si="46"/>
        <v>-44.760608665117651</v>
      </c>
      <c r="I69" s="204">
        <f t="shared" si="46"/>
        <v>-44.768820406454573</v>
      </c>
      <c r="J69" s="204">
        <f t="shared" si="46"/>
        <v>-44.779586032599774</v>
      </c>
      <c r="K69" s="204">
        <f t="shared" si="46"/>
        <v>-44.792817709995965</v>
      </c>
      <c r="L69" s="204">
        <f t="shared" si="46"/>
        <v>-44.808429835952651</v>
      </c>
      <c r="M69" s="204">
        <f t="shared" si="46"/>
        <v>-44.826338988381323</v>
      </c>
      <c r="N69" s="204">
        <f t="shared" si="46"/>
        <v>-44.846463876593219</v>
      </c>
      <c r="O69" s="204">
        <f t="shared" si="46"/>
        <v>-44.868725293137778</v>
      </c>
      <c r="P69" s="204">
        <f t="shared" si="46"/>
        <v>-44.893046066660844</v>
      </c>
      <c r="Q69" s="204">
        <f t="shared" si="46"/>
        <v>-44.919351015761713</v>
      </c>
      <c r="R69" s="204">
        <f t="shared" si="46"/>
        <v>-44.947566903828665</v>
      </c>
      <c r="S69" s="204">
        <f t="shared" si="46"/>
        <v>-44.977622394833375</v>
      </c>
      <c r="T69" s="204">
        <f t="shared" si="46"/>
        <v>-45.009448010064304</v>
      </c>
      <c r="U69" s="204">
        <f t="shared" si="46"/>
        <v>-45.042976085779941</v>
      </c>
      <c r="V69" s="204">
        <f t="shared" si="46"/>
        <v>-45.07814073176354</v>
      </c>
      <c r="W69" s="204">
        <f t="shared" si="46"/>
        <v>-45.114877790760332</v>
      </c>
      <c r="X69" s="204">
        <f t="shared" ref="X69:CI69" si="69">PV($F23,X$9,1,0)+(PV($J$6,$N$5-(X$9),1,0)/($J$6+1)^X$9)</f>
        <v>-45.1531247987798</v>
      </c>
      <c r="Y69" s="204">
        <f t="shared" si="69"/>
        <v>-45.19282094624495</v>
      </c>
      <c r="Z69" s="204">
        <f t="shared" si="69"/>
        <v>-45.233907039971314</v>
      </c>
      <c r="AA69" s="204">
        <f t="shared" si="69"/>
        <v>-45.27632546595882</v>
      </c>
      <c r="AB69" s="204">
        <f t="shared" si="69"/>
        <v>-45.320020152979936</v>
      </c>
      <c r="AC69" s="204">
        <f t="shared" si="69"/>
        <v>-45.364936536947496</v>
      </c>
      <c r="AD69" s="204">
        <f t="shared" si="69"/>
        <v>-45.411021526046611</v>
      </c>
      <c r="AE69" s="204">
        <f t="shared" si="69"/>
        <v>-45.458223466614633</v>
      </c>
      <c r="AF69" s="204">
        <f t="shared" si="69"/>
        <v>-45.506492109754113</v>
      </c>
      <c r="AG69" s="204">
        <f t="shared" si="69"/>
        <v>-45.555778578663514</v>
      </c>
      <c r="AH69" s="204">
        <f t="shared" si="69"/>
        <v>-45.60603533667107</v>
      </c>
      <c r="AI69" s="204">
        <f t="shared" si="69"/>
        <v>-45.657216155957173</v>
      </c>
      <c r="AJ69" s="204">
        <f t="shared" si="69"/>
        <v>-45.709276086951405</v>
      </c>
      <c r="AK69" s="204">
        <f t="shared" si="69"/>
        <v>-45.762171428389905</v>
      </c>
      <c r="AL69" s="204">
        <f t="shared" si="69"/>
        <v>-45.815859698019892</v>
      </c>
      <c r="AM69" s="204">
        <f t="shared" si="69"/>
        <v>-45.870299603937781</v>
      </c>
      <c r="AN69" s="204">
        <f t="shared" si="69"/>
        <v>-45.925451016547953</v>
      </c>
      <c r="AO69" s="204">
        <f t="shared" si="69"/>
        <v>-45.981274941129101</v>
      </c>
      <c r="AP69" s="204">
        <f t="shared" si="69"/>
        <v>-46.037733490996018</v>
      </c>
      <c r="AQ69" s="204">
        <f t="shared" si="69"/>
        <v>-46.094789861244195</v>
      </c>
      <c r="AR69" s="204">
        <f t="shared" si="69"/>
        <v>-46.152408303065336</v>
      </c>
      <c r="AS69" s="204">
        <f t="shared" si="69"/>
        <v>-46.210554098621927</v>
      </c>
      <c r="AT69" s="204">
        <f t="shared" si="69"/>
        <v>-46.269193536469295</v>
      </c>
      <c r="AU69" s="204">
        <f t="shared" si="69"/>
        <v>-46.32829388751378</v>
      </c>
      <c r="AV69" s="204">
        <f t="shared" si="69"/>
        <v>-46.387823381496091</v>
      </c>
      <c r="AW69" s="204">
        <f t="shared" si="69"/>
        <v>-46.447751183988565</v>
      </c>
      <c r="AX69" s="204">
        <f t="shared" si="69"/>
        <v>-46.508047373896176</v>
      </c>
      <c r="AY69" s="204">
        <f t="shared" si="69"/>
        <v>-46.568682921450261</v>
      </c>
      <c r="AZ69" s="204">
        <f t="shared" si="69"/>
        <v>-46.629629666685332</v>
      </c>
      <c r="BA69" s="204">
        <f t="shared" si="69"/>
        <v>-46.690860298388301</v>
      </c>
      <c r="BB69" s="204">
        <f t="shared" si="69"/>
        <v>-46.752348333510866</v>
      </c>
      <c r="BC69" s="204">
        <f t="shared" si="69"/>
        <v>-46.814068097034863</v>
      </c>
      <c r="BD69" s="204">
        <f t="shared" si="69"/>
        <v>-46.875994702281659</v>
      </c>
      <c r="BE69" s="204">
        <f t="shared" si="69"/>
        <v>-46.938104031655996</v>
      </c>
      <c r="BF69" s="204">
        <f t="shared" si="69"/>
        <v>-47.000372717815146</v>
      </c>
      <c r="BG69" s="204">
        <f t="shared" si="69"/>
        <v>-47.062778125254908</v>
      </c>
      <c r="BH69" s="204">
        <f t="shared" si="69"/>
        <v>-47.125298332303274</v>
      </c>
      <c r="BI69" s="204">
        <f t="shared" si="69"/>
        <v>-47.187912113513441</v>
      </c>
      <c r="BJ69" s="204">
        <f t="shared" si="69"/>
        <v>-47.250598922447921</v>
      </c>
      <c r="BK69" s="204">
        <f t="shared" si="69"/>
        <v>-47.313338874845329</v>
      </c>
      <c r="BL69" s="204">
        <f t="shared" si="69"/>
        <v>-47.376112732161843</v>
      </c>
      <c r="BM69" s="204">
        <f t="shared" si="69"/>
        <v>-47.438901885479773</v>
      </c>
      <c r="BN69" s="204">
        <f t="shared" si="69"/>
        <v>-47.501688339775072</v>
      </c>
      <c r="BO69" s="204">
        <f t="shared" si="69"/>
        <v>-47.56445469853665</v>
      </c>
      <c r="BP69" s="204">
        <f t="shared" si="69"/>
        <v>-47.627184148729853</v>
      </c>
      <c r="BQ69" s="204">
        <f t="shared" si="69"/>
        <v>-47.689860446096844</v>
      </c>
      <c r="BR69" s="204">
        <f t="shared" si="69"/>
        <v>-47.752467900787096</v>
      </c>
      <c r="BS69" s="204">
        <f t="shared" si="69"/>
        <v>-47.814991363310519</v>
      </c>
      <c r="BT69" s="204">
        <f t="shared" si="69"/>
        <v>-47.877416210806977</v>
      </c>
      <c r="BU69" s="204">
        <f t="shared" si="69"/>
        <v>-47.939728333625055</v>
      </c>
      <c r="BV69" s="204">
        <f t="shared" si="69"/>
        <v>-48.001914122203821</v>
      </c>
      <c r="BW69" s="204">
        <f t="shared" si="69"/>
        <v>-48.063960454251017</v>
      </c>
      <c r="BX69" s="204">
        <f t="shared" si="69"/>
        <v>-48.125854682211497</v>
      </c>
      <c r="BY69" s="204">
        <f t="shared" si="69"/>
        <v>-48.187584621019717</v>
      </c>
      <c r="BZ69" s="204">
        <f t="shared" si="69"/>
        <v>-48.249138536130253</v>
      </c>
      <c r="CA69" s="204">
        <f t="shared" si="69"/>
        <v>-48.310505131820477</v>
      </c>
      <c r="CB69" s="204">
        <f t="shared" si="69"/>
        <v>-48.371673539759541</v>
      </c>
      <c r="CC69" s="204">
        <f t="shared" si="69"/>
        <v>-48.432633307838067</v>
      </c>
      <c r="CD69" s="204">
        <f t="shared" si="69"/>
        <v>-48.493374389253006</v>
      </c>
      <c r="CE69" s="204">
        <f t="shared" si="69"/>
        <v>-48.553887131842131</v>
      </c>
      <c r="CF69" s="204">
        <f t="shared" si="69"/>
        <v>-48.614162267663012</v>
      </c>
      <c r="CG69" s="204">
        <f t="shared" si="69"/>
        <v>-48.67419090281102</v>
      </c>
      <c r="CH69" s="204">
        <f t="shared" si="69"/>
        <v>-48.733964507471505</v>
      </c>
      <c r="CI69" s="204">
        <f t="shared" si="69"/>
        <v>-48.793474906200984</v>
      </c>
      <c r="CJ69" s="204">
        <f t="shared" ref="CJ69:ET69" si="70">PV($F23,CJ$9,1,0)+(PV($J$6,$N$5-(CJ$9),1,0)/($J$6+1)^CJ$9)</f>
        <v>-48.852714268432429</v>
      </c>
      <c r="CK69" s="204">
        <f t="shared" si="70"/>
        <v>-48.911675099199961</v>
      </c>
      <c r="CL69" s="204">
        <f t="shared" si="70"/>
        <v>-48.970350230078182</v>
      </c>
      <c r="CM69" s="204">
        <f t="shared" si="70"/>
        <v>-49.028732810331512</v>
      </c>
      <c r="CN69" s="204">
        <f t="shared" si="70"/>
        <v>-49.086816298269085</v>
      </c>
      <c r="CO69" s="204">
        <f t="shared" si="70"/>
        <v>-49.144594452800717</v>
      </c>
      <c r="CP69" s="204">
        <f t="shared" si="70"/>
        <v>-49.202061325189661</v>
      </c>
      <c r="CQ69" s="204">
        <f t="shared" si="70"/>
        <v>-49.259211250997929</v>
      </c>
      <c r="CR69" s="204">
        <f t="shared" si="70"/>
        <v>-49.316038842219982</v>
      </c>
      <c r="CS69" s="204">
        <f t="shared" si="70"/>
        <v>-49.372538979600698</v>
      </c>
      <c r="CT69" s="204">
        <f t="shared" si="70"/>
        <v>-49.4287068051337</v>
      </c>
      <c r="CU69" s="204">
        <f t="shared" si="70"/>
        <v>-49.484537714736163</v>
      </c>
      <c r="CV69" s="204">
        <f t="shared" si="70"/>
        <v>-49.540027351096192</v>
      </c>
      <c r="CW69" s="204">
        <f t="shared" si="70"/>
        <v>-49.595171596689021</v>
      </c>
      <c r="CX69" s="204">
        <f t="shared" si="70"/>
        <v>-49.649966566958533</v>
      </c>
      <c r="CY69" s="204">
        <f t="shared" si="70"/>
        <v>-49.649966566958533</v>
      </c>
      <c r="CZ69" s="204">
        <f t="shared" si="70"/>
        <v>-49.649966566958533</v>
      </c>
      <c r="DA69" s="204">
        <f t="shared" si="70"/>
        <v>-49.649966566958533</v>
      </c>
      <c r="DB69" s="204">
        <f t="shared" si="70"/>
        <v>-49.649966566958533</v>
      </c>
      <c r="DC69" s="204">
        <f t="shared" si="70"/>
        <v>-49.649966566958533</v>
      </c>
      <c r="DD69" s="204">
        <f t="shared" si="70"/>
        <v>-49.649966566958533</v>
      </c>
      <c r="DE69" s="204">
        <f t="shared" si="70"/>
        <v>-49.649966566958533</v>
      </c>
      <c r="DF69" s="204">
        <f t="shared" si="70"/>
        <v>-49.649966566958533</v>
      </c>
      <c r="DG69" s="204">
        <f t="shared" si="70"/>
        <v>-49.649966566958533</v>
      </c>
      <c r="DH69" s="204">
        <f t="shared" si="70"/>
        <v>-49.649966566958533</v>
      </c>
      <c r="DI69" s="204">
        <f t="shared" si="70"/>
        <v>-49.649966566958533</v>
      </c>
      <c r="DJ69" s="204">
        <f t="shared" si="70"/>
        <v>-49.649966566958533</v>
      </c>
      <c r="DK69" s="204">
        <f t="shared" si="70"/>
        <v>-49.649966566958533</v>
      </c>
      <c r="DL69" s="204">
        <f t="shared" si="70"/>
        <v>-49.649966566958533</v>
      </c>
      <c r="DM69" s="204">
        <f t="shared" si="70"/>
        <v>-49.649966566958533</v>
      </c>
      <c r="DN69" s="204">
        <f t="shared" si="70"/>
        <v>-49.649966566958533</v>
      </c>
      <c r="DO69" s="204">
        <f t="shared" si="70"/>
        <v>-49.649966566958533</v>
      </c>
      <c r="DP69" s="204">
        <f t="shared" si="70"/>
        <v>-49.649966566958533</v>
      </c>
      <c r="DQ69" s="204">
        <f t="shared" si="70"/>
        <v>-49.649966566958533</v>
      </c>
      <c r="DR69" s="204">
        <f t="shared" si="70"/>
        <v>-49.649966566958533</v>
      </c>
      <c r="DS69" s="204">
        <f t="shared" si="70"/>
        <v>-49.649966566958533</v>
      </c>
      <c r="DT69" s="204">
        <f t="shared" si="70"/>
        <v>-49.649966566958533</v>
      </c>
      <c r="DU69" s="204">
        <f t="shared" si="70"/>
        <v>-49.649966566958533</v>
      </c>
      <c r="DV69" s="204">
        <f t="shared" si="70"/>
        <v>-49.649966566958533</v>
      </c>
      <c r="DW69" s="204">
        <f t="shared" si="70"/>
        <v>-49.649966566958533</v>
      </c>
      <c r="DX69" s="204">
        <f t="shared" si="70"/>
        <v>-49.649966566958533</v>
      </c>
      <c r="DY69" s="204">
        <f t="shared" si="70"/>
        <v>-49.649966566958533</v>
      </c>
      <c r="DZ69" s="204">
        <f t="shared" si="70"/>
        <v>-49.649966566958533</v>
      </c>
      <c r="EA69" s="204">
        <f t="shared" si="70"/>
        <v>-49.649966566958533</v>
      </c>
      <c r="EB69" s="204">
        <f t="shared" si="70"/>
        <v>-49.649966566958533</v>
      </c>
      <c r="EC69" s="204">
        <f t="shared" si="70"/>
        <v>-49.649966566958533</v>
      </c>
      <c r="ED69" s="204">
        <f t="shared" si="70"/>
        <v>-49.649966566958533</v>
      </c>
      <c r="EE69" s="204">
        <f t="shared" si="70"/>
        <v>-49.649966566958533</v>
      </c>
      <c r="EF69" s="204">
        <f t="shared" si="70"/>
        <v>-49.649966566958533</v>
      </c>
      <c r="EG69" s="204">
        <f t="shared" si="70"/>
        <v>-49.649966566958533</v>
      </c>
      <c r="EH69" s="204">
        <f t="shared" si="70"/>
        <v>-49.649966566958533</v>
      </c>
      <c r="EI69" s="204">
        <f t="shared" si="70"/>
        <v>-49.649966566958533</v>
      </c>
      <c r="EJ69" s="204">
        <f t="shared" si="70"/>
        <v>-49.649966566958533</v>
      </c>
      <c r="EK69" s="204">
        <f t="shared" si="70"/>
        <v>-49.649966566958533</v>
      </c>
      <c r="EL69" s="204">
        <f t="shared" si="70"/>
        <v>-49.649966566958533</v>
      </c>
      <c r="EM69" s="204">
        <f t="shared" si="70"/>
        <v>-49.649966566958533</v>
      </c>
      <c r="EN69" s="204">
        <f t="shared" si="70"/>
        <v>-49.649966566958533</v>
      </c>
      <c r="EO69" s="204">
        <f t="shared" si="70"/>
        <v>-49.649966566958533</v>
      </c>
      <c r="EP69" s="204">
        <f t="shared" si="70"/>
        <v>-49.649966566958533</v>
      </c>
      <c r="EQ69" s="204">
        <f t="shared" si="70"/>
        <v>-49.649966566958533</v>
      </c>
      <c r="ER69" s="204">
        <f t="shared" si="70"/>
        <v>-49.649966566958533</v>
      </c>
      <c r="ES69" s="204">
        <f t="shared" si="70"/>
        <v>-49.649966566958533</v>
      </c>
      <c r="ET69" s="204">
        <f t="shared" si="70"/>
        <v>-49.649966566958533</v>
      </c>
      <c r="FF69" s="6" t="s">
        <v>610</v>
      </c>
      <c r="FG69" s="696">
        <v>2.5000000000000001E-2</v>
      </c>
      <c r="FH69" s="696">
        <v>96</v>
      </c>
      <c r="FI69" s="696">
        <v>2.2499999999999999E-2</v>
      </c>
      <c r="FJ69" s="255">
        <v>1.3999999999999999E-2</v>
      </c>
      <c r="FK69" s="71">
        <f t="shared" si="11"/>
        <v>2.6190476190476197E-4</v>
      </c>
      <c r="FL69" t="e">
        <f>VLOOKUP(FF69,'SIMULADOR COM SALDO'!$BX$22:$CK$1000,13,FALSE)</f>
        <v>#N/A</v>
      </c>
    </row>
    <row r="70" spans="7:168" x14ac:dyDescent="0.25">
      <c r="G70" s="103">
        <f t="shared" si="45"/>
        <v>-44.754946284984726</v>
      </c>
      <c r="H70" s="204">
        <f t="shared" si="46"/>
        <v>-44.760327658092059</v>
      </c>
      <c r="I70" s="204">
        <f t="shared" si="46"/>
        <v>-44.768264147457181</v>
      </c>
      <c r="J70" s="204">
        <f t="shared" si="46"/>
        <v>-44.778668415471913</v>
      </c>
      <c r="K70" s="204">
        <f t="shared" si="46"/>
        <v>-44.791455342312531</v>
      </c>
      <c r="L70" s="204">
        <f t="shared" si="46"/>
        <v>-44.80654197591533</v>
      </c>
      <c r="M70" s="204">
        <f t="shared" si="46"/>
        <v>-44.823847483011178</v>
      </c>
      <c r="N70" s="204">
        <f t="shared" si="46"/>
        <v>-44.843293101197446</v>
      </c>
      <c r="O70" s="204">
        <f t="shared" si="46"/>
        <v>-44.864802092026146</v>
      </c>
      <c r="P70" s="204">
        <f t="shared" si="46"/>
        <v>-44.888299695087554</v>
      </c>
      <c r="Q70" s="204">
        <f t="shared" si="46"/>
        <v>-44.913713083069183</v>
      </c>
      <c r="R70" s="204">
        <f t="shared" si="46"/>
        <v>-44.940971317769908</v>
      </c>
      <c r="S70" s="204">
        <f t="shared" si="46"/>
        <v>-44.970005307050215</v>
      </c>
      <c r="T70" s="204">
        <f t="shared" ref="T70:CE70" si="71">PV($F24,T$9,1,0)+(PV($J$6,$N$5-(T$9),1,0)/($J$6+1)^T$9)</f>
        <v>-45.000747762698843</v>
      </c>
      <c r="U70" s="204">
        <f t="shared" si="71"/>
        <v>-45.033133159197746</v>
      </c>
      <c r="V70" s="204">
        <f t="shared" si="71"/>
        <v>-45.067097693366463</v>
      </c>
      <c r="W70" s="204">
        <f t="shared" si="71"/>
        <v>-45.102579244868309</v>
      </c>
      <c r="X70" s="204">
        <f t="shared" si="71"/>
        <v>-45.139517337560385</v>
      </c>
      <c r="Y70" s="204">
        <f t="shared" si="71"/>
        <v>-45.177853101670607</v>
      </c>
      <c r="Z70" s="204">
        <f t="shared" si="71"/>
        <v>-45.217529236784138</v>
      </c>
      <c r="AA70" s="204">
        <f t="shared" si="71"/>
        <v>-45.258489975623448</v>
      </c>
      <c r="AB70" s="204">
        <f t="shared" si="71"/>
        <v>-45.300681048604901</v>
      </c>
      <c r="AC70" s="204">
        <f t="shared" si="71"/>
        <v>-45.344049649156531</v>
      </c>
      <c r="AD70" s="204">
        <f t="shared" si="71"/>
        <v>-45.388544399781082</v>
      </c>
      <c r="AE70" s="204">
        <f t="shared" si="71"/>
        <v>-45.434115318849123</v>
      </c>
      <c r="AF70" s="204">
        <f t="shared" si="71"/>
        <v>-45.480713788107046</v>
      </c>
      <c r="AG70" s="204">
        <f t="shared" si="71"/>
        <v>-45.528292520885486</v>
      </c>
      <c r="AH70" s="204">
        <f t="shared" si="71"/>
        <v>-45.576805530993582</v>
      </c>
      <c r="AI70" s="204">
        <f t="shared" si="71"/>
        <v>-45.626208102284906</v>
      </c>
      <c r="AJ70" s="204">
        <f t="shared" si="71"/>
        <v>-45.676456758881415</v>
      </c>
      <c r="AK70" s="204">
        <f t="shared" si="71"/>
        <v>-45.72750923604162</v>
      </c>
      <c r="AL70" s="204">
        <f t="shared" si="71"/>
        <v>-45.779324451659825</v>
      </c>
      <c r="AM70" s="204">
        <f t="shared" si="71"/>
        <v>-45.831862478383371</v>
      </c>
      <c r="AN70" s="204">
        <f t="shared" si="71"/>
        <v>-45.88508451633507</v>
      </c>
      <c r="AO70" s="204">
        <f t="shared" si="71"/>
        <v>-45.938952866428323</v>
      </c>
      <c r="AP70" s="204">
        <f t="shared" si="71"/>
        <v>-45.993430904262738</v>
      </c>
      <c r="AQ70" s="204">
        <f t="shared" si="71"/>
        <v>-46.048483054588147</v>
      </c>
      <c r="AR70" s="204">
        <f t="shared" si="71"/>
        <v>-46.104074766325162</v>
      </c>
      <c r="AS70" s="204">
        <f t="shared" si="71"/>
        <v>-46.160172488130982</v>
      </c>
      <c r="AT70" s="204">
        <f t="shared" si="71"/>
        <v>-46.216743644498848</v>
      </c>
      <c r="AU70" s="204">
        <f t="shared" si="71"/>
        <v>-46.273756612380311</v>
      </c>
      <c r="AV70" s="204">
        <f t="shared" si="71"/>
        <v>-46.331180698319287</v>
      </c>
      <c r="AW70" s="204">
        <f t="shared" si="71"/>
        <v>-46.388986116087189</v>
      </c>
      <c r="AX70" s="204">
        <f t="shared" si="71"/>
        <v>-46.447143964809129</v>
      </c>
      <c r="AY70" s="204">
        <f t="shared" si="71"/>
        <v>-46.505626207570366</v>
      </c>
      <c r="AZ70" s="204">
        <f t="shared" si="71"/>
        <v>-46.564405650493455</v>
      </c>
      <c r="BA70" s="204">
        <f t="shared" si="71"/>
        <v>-46.623455922276051</v>
      </c>
      <c r="BB70" s="204">
        <f t="shared" si="71"/>
        <v>-46.682751454179893</v>
      </c>
      <c r="BC70" s="204">
        <f t="shared" si="71"/>
        <v>-46.742267460461491</v>
      </c>
      <c r="BD70" s="204">
        <f t="shared" si="71"/>
        <v>-46.80197991923508</v>
      </c>
      <c r="BE70" s="204">
        <f t="shared" si="71"/>
        <v>-46.86186555375933</v>
      </c>
      <c r="BF70" s="204">
        <f t="shared" si="71"/>
        <v>-46.921901814138295</v>
      </c>
      <c r="BG70" s="204">
        <f t="shared" si="71"/>
        <v>-46.982066859428478</v>
      </c>
      <c r="BH70" s="204">
        <f t="shared" si="71"/>
        <v>-47.042339540143097</v>
      </c>
      <c r="BI70" s="204">
        <f t="shared" si="71"/>
        <v>-47.102699381145513</v>
      </c>
      <c r="BJ70" s="204">
        <f t="shared" si="71"/>
        <v>-47.163126564923417</v>
      </c>
      <c r="BK70" s="204">
        <f t="shared" si="71"/>
        <v>-47.223601915236081</v>
      </c>
      <c r="BL70" s="204">
        <f t="shared" si="71"/>
        <v>-47.284106881126334</v>
      </c>
      <c r="BM70" s="204">
        <f t="shared" si="71"/>
        <v>-47.344623521290238</v>
      </c>
      <c r="BN70" s="204">
        <f t="shared" si="71"/>
        <v>-47.405134488796307</v>
      </c>
      <c r="BO70" s="204">
        <f t="shared" si="71"/>
        <v>-47.465623016147397</v>
      </c>
      <c r="BP70" s="204">
        <f t="shared" si="71"/>
        <v>-47.526072900677676</v>
      </c>
      <c r="BQ70" s="204">
        <f t="shared" si="71"/>
        <v>-47.586468490277852</v>
      </c>
      <c r="BR70" s="204">
        <f t="shared" si="71"/>
        <v>-47.646794669441633</v>
      </c>
      <c r="BS70" s="204">
        <f t="shared" si="71"/>
        <v>-47.70703684562654</v>
      </c>
      <c r="BT70" s="204">
        <f t="shared" si="71"/>
        <v>-47.767180935922596</v>
      </c>
      <c r="BU70" s="204">
        <f t="shared" si="71"/>
        <v>-47.827213354022284</v>
      </c>
      <c r="BV70" s="204">
        <f t="shared" si="71"/>
        <v>-47.887120997485304</v>
      </c>
      <c r="BW70" s="204">
        <f t="shared" si="71"/>
        <v>-47.946891235292085</v>
      </c>
      <c r="BX70" s="204">
        <f t="shared" si="71"/>
        <v>-48.006511895679694</v>
      </c>
      <c r="BY70" s="204">
        <f t="shared" si="71"/>
        <v>-48.065971254254315</v>
      </c>
      <c r="BZ70" s="204">
        <f t="shared" si="71"/>
        <v>-48.125258022374354</v>
      </c>
      <c r="CA70" s="204">
        <f t="shared" si="71"/>
        <v>-48.184361335798357</v>
      </c>
      <c r="CB70" s="204">
        <f t="shared" si="71"/>
        <v>-48.243270743592184</v>
      </c>
      <c r="CC70" s="204">
        <f t="shared" si="71"/>
        <v>-48.301976197289896</v>
      </c>
      <c r="CD70" s="204">
        <f t="shared" si="71"/>
        <v>-48.360468040302891</v>
      </c>
      <c r="CE70" s="204">
        <f t="shared" si="71"/>
        <v>-48.418736997572033</v>
      </c>
      <c r="CF70" s="204">
        <f t="shared" ref="CF70:EQ70" si="72">PV($F24,CF$9,1,0)+(PV($J$6,$N$5-(CF$9),1,0)/($J$6+1)^CF$9)</f>
        <v>-48.476774165457599</v>
      </c>
      <c r="CG70" s="204">
        <f t="shared" si="72"/>
        <v>-48.534571001861828</v>
      </c>
      <c r="CH70" s="204">
        <f t="shared" si="72"/>
        <v>-48.592119316579328</v>
      </c>
      <c r="CI70" s="204">
        <f t="shared" si="72"/>
        <v>-48.649411261870213</v>
      </c>
      <c r="CJ70" s="204">
        <f t="shared" si="72"/>
        <v>-48.706439323251274</v>
      </c>
      <c r="CK70" s="204">
        <f t="shared" si="72"/>
        <v>-48.763196310500625</v>
      </c>
      <c r="CL70" s="204">
        <f t="shared" si="72"/>
        <v>-48.819675348871009</v>
      </c>
      <c r="CM70" s="204">
        <f t="shared" si="72"/>
        <v>-48.875869870507508</v>
      </c>
      <c r="CN70" s="204">
        <f t="shared" si="72"/>
        <v>-48.93177360606505</v>
      </c>
      <c r="CO70" s="204">
        <f t="shared" si="72"/>
        <v>-48.987380576521538</v>
      </c>
      <c r="CP70" s="204">
        <f t="shared" si="72"/>
        <v>-49.042685085182363</v>
      </c>
      <c r="CQ70" s="204">
        <f t="shared" si="72"/>
        <v>-49.097681709872049</v>
      </c>
      <c r="CR70" s="204">
        <f t="shared" si="72"/>
        <v>-49.15236529530921</v>
      </c>
      <c r="CS70" s="204">
        <f t="shared" si="72"/>
        <v>-49.206730945660588</v>
      </c>
      <c r="CT70" s="204">
        <f t="shared" si="72"/>
        <v>-49.260774017270506</v>
      </c>
      <c r="CU70" s="204">
        <f t="shared" si="72"/>
        <v>-49.314490111561803</v>
      </c>
      <c r="CV70" s="204">
        <f t="shared" si="72"/>
        <v>-49.367875068104603</v>
      </c>
      <c r="CW70" s="204">
        <f t="shared" si="72"/>
        <v>-49.420924957849174</v>
      </c>
      <c r="CX70" s="204">
        <f t="shared" si="72"/>
        <v>-49.473636076519462</v>
      </c>
      <c r="CY70" s="204">
        <f t="shared" si="72"/>
        <v>-49.473636076519462</v>
      </c>
      <c r="CZ70" s="204">
        <f t="shared" si="72"/>
        <v>-49.473636076519462</v>
      </c>
      <c r="DA70" s="204">
        <f t="shared" si="72"/>
        <v>-49.473636076519462</v>
      </c>
      <c r="DB70" s="204">
        <f t="shared" si="72"/>
        <v>-49.473636076519462</v>
      </c>
      <c r="DC70" s="204">
        <f t="shared" si="72"/>
        <v>-49.473636076519462</v>
      </c>
      <c r="DD70" s="204">
        <f t="shared" si="72"/>
        <v>-49.473636076519462</v>
      </c>
      <c r="DE70" s="204">
        <f t="shared" si="72"/>
        <v>-49.473636076519462</v>
      </c>
      <c r="DF70" s="204">
        <f t="shared" si="72"/>
        <v>-49.473636076519462</v>
      </c>
      <c r="DG70" s="204">
        <f t="shared" si="72"/>
        <v>-49.473636076519462</v>
      </c>
      <c r="DH70" s="204">
        <f t="shared" si="72"/>
        <v>-49.473636076519462</v>
      </c>
      <c r="DI70" s="204">
        <f t="shared" si="72"/>
        <v>-49.473636076519462</v>
      </c>
      <c r="DJ70" s="204">
        <f t="shared" si="72"/>
        <v>-49.473636076519462</v>
      </c>
      <c r="DK70" s="204">
        <f t="shared" si="72"/>
        <v>-49.473636076519462</v>
      </c>
      <c r="DL70" s="204">
        <f t="shared" si="72"/>
        <v>-49.473636076519462</v>
      </c>
      <c r="DM70" s="204">
        <f t="shared" si="72"/>
        <v>-49.473636076519462</v>
      </c>
      <c r="DN70" s="204">
        <f t="shared" si="72"/>
        <v>-49.473636076519462</v>
      </c>
      <c r="DO70" s="204">
        <f t="shared" si="72"/>
        <v>-49.473636076519462</v>
      </c>
      <c r="DP70" s="204">
        <f t="shared" si="72"/>
        <v>-49.473636076519462</v>
      </c>
      <c r="DQ70" s="204">
        <f t="shared" si="72"/>
        <v>-49.473636076519462</v>
      </c>
      <c r="DR70" s="204">
        <f t="shared" si="72"/>
        <v>-49.473636076519462</v>
      </c>
      <c r="DS70" s="204">
        <f t="shared" si="72"/>
        <v>-49.473636076519462</v>
      </c>
      <c r="DT70" s="204">
        <f t="shared" si="72"/>
        <v>-49.473636076519462</v>
      </c>
      <c r="DU70" s="204">
        <f t="shared" si="72"/>
        <v>-49.473636076519462</v>
      </c>
      <c r="DV70" s="204">
        <f t="shared" si="72"/>
        <v>-49.473636076519462</v>
      </c>
      <c r="DW70" s="204">
        <f t="shared" si="72"/>
        <v>-49.473636076519462</v>
      </c>
      <c r="DX70" s="204">
        <f t="shared" si="72"/>
        <v>-49.473636076519462</v>
      </c>
      <c r="DY70" s="204">
        <f t="shared" si="72"/>
        <v>-49.473636076519462</v>
      </c>
      <c r="DZ70" s="204">
        <f t="shared" si="72"/>
        <v>-49.473636076519462</v>
      </c>
      <c r="EA70" s="204">
        <f t="shared" si="72"/>
        <v>-49.473636076519462</v>
      </c>
      <c r="EB70" s="204">
        <f t="shared" si="72"/>
        <v>-49.473636076519462</v>
      </c>
      <c r="EC70" s="204">
        <f t="shared" si="72"/>
        <v>-49.473636076519462</v>
      </c>
      <c r="ED70" s="204">
        <f t="shared" si="72"/>
        <v>-49.473636076519462</v>
      </c>
      <c r="EE70" s="204">
        <f t="shared" si="72"/>
        <v>-49.473636076519462</v>
      </c>
      <c r="EF70" s="204">
        <f t="shared" si="72"/>
        <v>-49.473636076519462</v>
      </c>
      <c r="EG70" s="204">
        <f t="shared" si="72"/>
        <v>-49.473636076519462</v>
      </c>
      <c r="EH70" s="204">
        <f t="shared" si="72"/>
        <v>-49.473636076519462</v>
      </c>
      <c r="EI70" s="204">
        <f t="shared" si="72"/>
        <v>-49.473636076519462</v>
      </c>
      <c r="EJ70" s="204">
        <f t="shared" si="72"/>
        <v>-49.473636076519462</v>
      </c>
      <c r="EK70" s="204">
        <f t="shared" si="72"/>
        <v>-49.473636076519462</v>
      </c>
      <c r="EL70" s="204">
        <f t="shared" si="72"/>
        <v>-49.473636076519462</v>
      </c>
      <c r="EM70" s="204">
        <f t="shared" si="72"/>
        <v>-49.473636076519462</v>
      </c>
      <c r="EN70" s="204">
        <f t="shared" si="72"/>
        <v>-49.473636076519462</v>
      </c>
      <c r="EO70" s="204">
        <f t="shared" si="72"/>
        <v>-49.473636076519462</v>
      </c>
      <c r="EP70" s="204">
        <f t="shared" si="72"/>
        <v>-49.473636076519462</v>
      </c>
      <c r="EQ70" s="204">
        <f t="shared" si="72"/>
        <v>-49.473636076519462</v>
      </c>
      <c r="ER70" s="204">
        <f t="shared" ref="ER70:ET70" si="73">PV($F24,ER$9,1,0)+(PV($J$6,$N$5-(ER$9),1,0)/($J$6+1)^ER$9)</f>
        <v>-49.473636076519462</v>
      </c>
      <c r="ES70" s="204">
        <f t="shared" si="73"/>
        <v>-49.473636076519462</v>
      </c>
      <c r="ET70" s="204">
        <f t="shared" si="73"/>
        <v>-49.473636076519462</v>
      </c>
      <c r="FF70" s="6" t="s">
        <v>1166</v>
      </c>
      <c r="FG70" s="696">
        <v>2.5000000000000001E-2</v>
      </c>
      <c r="FH70" s="696">
        <v>96</v>
      </c>
      <c r="FI70" s="696">
        <v>2.1499999999999998E-2</v>
      </c>
      <c r="FJ70" s="255">
        <v>1.4499999999999999E-2</v>
      </c>
      <c r="FK70" s="71">
        <f t="shared" si="11"/>
        <v>2.5000000000000006E-4</v>
      </c>
      <c r="FL70" t="e">
        <f>VLOOKUP(FF70,'SIMULADOR COM SALDO'!$BX$22:$CK$1000,13,FALSE)</f>
        <v>#N/A</v>
      </c>
    </row>
    <row r="71" spans="7:168" x14ac:dyDescent="0.25">
      <c r="G71" s="103">
        <f t="shared" si="45"/>
        <v>-44.754851663797751</v>
      </c>
      <c r="H71" s="204">
        <f t="shared" si="46"/>
        <v>-44.760046722986253</v>
      </c>
      <c r="I71" s="204">
        <f t="shared" ref="I71:BT71" si="74">PV($F25,I$9,1,0)+(PV($J$6,$N$5-(I$9),1,0)/($J$6+1)^I$9)</f>
        <v>-44.767708066180461</v>
      </c>
      <c r="J71" s="204">
        <f t="shared" si="74"/>
        <v>-44.777751149679204</v>
      </c>
      <c r="K71" s="204">
        <f t="shared" si="74"/>
        <v>-44.790093582368307</v>
      </c>
      <c r="L71" s="204">
        <f t="shared" si="74"/>
        <v>-44.804655077045027</v>
      </c>
      <c r="M71" s="204">
        <f t="shared" si="74"/>
        <v>-44.821357402775213</v>
      </c>
      <c r="N71" s="204">
        <f t="shared" si="74"/>
        <v>-44.84012433826225</v>
      </c>
      <c r="O71" s="204">
        <f t="shared" si="74"/>
        <v>-44.860881626206961</v>
      </c>
      <c r="P71" s="204">
        <f t="shared" si="74"/>
        <v>-44.883556928638484</v>
      </c>
      <c r="Q71" s="204">
        <f t="shared" si="74"/>
        <v>-44.908079783196015</v>
      </c>
      <c r="R71" s="204">
        <f t="shared" si="74"/>
        <v>-44.934381560342125</v>
      </c>
      <c r="S71" s="204">
        <f t="shared" si="74"/>
        <v>-44.962395421488694</v>
      </c>
      <c r="T71" s="204">
        <f t="shared" si="74"/>
        <v>-44.992056278016477</v>
      </c>
      <c r="U71" s="204">
        <f t="shared" si="74"/>
        <v>-45.023300751170339</v>
      </c>
      <c r="V71" s="204">
        <f t="shared" si="74"/>
        <v>-45.056067132812025</v>
      </c>
      <c r="W71" s="204">
        <f t="shared" si="74"/>
        <v>-45.090295347012891</v>
      </c>
      <c r="X71" s="204">
        <f t="shared" si="74"/>
        <v>-45.125926912469446</v>
      </c>
      <c r="Y71" s="204">
        <f t="shared" si="74"/>
        <v>-45.162904905724801</v>
      </c>
      <c r="Z71" s="204">
        <f t="shared" si="74"/>
        <v>-45.201173925179376</v>
      </c>
      <c r="AA71" s="204">
        <f t="shared" si="74"/>
        <v>-45.240680055874741</v>
      </c>
      <c r="AB71" s="204">
        <f t="shared" si="74"/>
        <v>-45.28137083503475</v>
      </c>
      <c r="AC71" s="204">
        <f t="shared" si="74"/>
        <v>-45.323195218348211</v>
      </c>
      <c r="AD71" s="204">
        <f t="shared" si="74"/>
        <v>-45.366103546977953</v>
      </c>
      <c r="AE71" s="204">
        <f t="shared" si="74"/>
        <v>-45.410047515281349</v>
      </c>
      <c r="AF71" s="204">
        <f t="shared" si="74"/>
        <v>-45.454980139227523</v>
      </c>
      <c r="AG71" s="204">
        <f t="shared" si="74"/>
        <v>-45.500855725496919</v>
      </c>
      <c r="AH71" s="204">
        <f t="shared" si="74"/>
        <v>-45.547629841249275</v>
      </c>
      <c r="AI71" s="204">
        <f t="shared" si="74"/>
        <v>-45.595259284545932</v>
      </c>
      <c r="AJ71" s="204">
        <f t="shared" si="74"/>
        <v>-45.643702055413279</v>
      </c>
      <c r="AK71" s="204">
        <f t="shared" si="74"/>
        <v>-45.692917327533728</v>
      </c>
      <c r="AL71" s="204">
        <f t="shared" si="74"/>
        <v>-45.74286542055161</v>
      </c>
      <c r="AM71" s="204">
        <f t="shared" si="74"/>
        <v>-45.793507772980931</v>
      </c>
      <c r="AN71" s="204">
        <f t="shared" si="74"/>
        <v>-45.844806915702726</v>
      </c>
      <c r="AO71" s="204">
        <f t="shared" si="74"/>
        <v>-45.896726446039693</v>
      </c>
      <c r="AP71" s="204">
        <f t="shared" si="74"/>
        <v>-45.949231002396218</v>
      </c>
      <c r="AQ71" s="204">
        <f t="shared" si="74"/>
        <v>-46.002286239451962</v>
      </c>
      <c r="AR71" s="204">
        <f t="shared" si="74"/>
        <v>-46.055858803897507</v>
      </c>
      <c r="AS71" s="204">
        <f t="shared" si="74"/>
        <v>-46.109916310700967</v>
      </c>
      <c r="AT71" s="204">
        <f t="shared" si="74"/>
        <v>-46.16442731989423</v>
      </c>
      <c r="AU71" s="204">
        <f t="shared" si="74"/>
        <v>-46.219361313868347</v>
      </c>
      <c r="AV71" s="204">
        <f t="shared" si="74"/>
        <v>-46.274688675167155</v>
      </c>
      <c r="AW71" s="204">
        <f t="shared" si="74"/>
        <v>-46.33038066476896</v>
      </c>
      <c r="AX71" s="204">
        <f t="shared" si="74"/>
        <v>-46.386409400846048</v>
      </c>
      <c r="AY71" s="204">
        <f t="shared" si="74"/>
        <v>-46.442747837992002</v>
      </c>
      <c r="AZ71" s="204">
        <f t="shared" si="74"/>
        <v>-46.499369746907036</v>
      </c>
      <c r="BA71" s="204">
        <f t="shared" si="74"/>
        <v>-46.556249694531985</v>
      </c>
      <c r="BB71" s="204">
        <f t="shared" si="74"/>
        <v>-46.613363024621236</v>
      </c>
      <c r="BC71" s="204">
        <f t="shared" si="74"/>
        <v>-46.670685838745698</v>
      </c>
      <c r="BD71" s="204">
        <f t="shared" si="74"/>
        <v>-46.728194977716598</v>
      </c>
      <c r="BE71" s="204">
        <f t="shared" si="74"/>
        <v>-46.78586800342147</v>
      </c>
      <c r="BF71" s="204">
        <f t="shared" si="74"/>
        <v>-46.84368318106354</v>
      </c>
      <c r="BG71" s="204">
        <f t="shared" si="74"/>
        <v>-46.901619461796088</v>
      </c>
      <c r="BH71" s="204">
        <f t="shared" si="74"/>
        <v>-46.959656465743514</v>
      </c>
      <c r="BI71" s="204">
        <f t="shared" si="74"/>
        <v>-47.017774465400962</v>
      </c>
      <c r="BJ71" s="204">
        <f t="shared" si="74"/>
        <v>-47.075954369404499</v>
      </c>
      <c r="BK71" s="204">
        <f t="shared" si="74"/>
        <v>-47.13417770666414</v>
      </c>
      <c r="BL71" s="204">
        <f t="shared" si="74"/>
        <v>-47.192426610851918</v>
      </c>
      <c r="BM71" s="204">
        <f t="shared" si="74"/>
        <v>-47.250683805237756</v>
      </c>
      <c r="BN71" s="204">
        <f t="shared" si="74"/>
        <v>-47.308932587865471</v>
      </c>
      <c r="BO71" s="204">
        <f t="shared" si="74"/>
        <v>-47.367156817062053</v>
      </c>
      <c r="BP71" s="204">
        <f t="shared" si="74"/>
        <v>-47.42534089727296</v>
      </c>
      <c r="BQ71" s="204">
        <f t="shared" si="74"/>
        <v>-47.483469765216562</v>
      </c>
      <c r="BR71" s="204">
        <f t="shared" si="74"/>
        <v>-47.541528876351137</v>
      </c>
      <c r="BS71" s="204">
        <f t="shared" si="74"/>
        <v>-47.599504191647512</v>
      </c>
      <c r="BT71" s="204">
        <f t="shared" si="74"/>
        <v>-47.657382164661165</v>
      </c>
      <c r="BU71" s="204">
        <f t="shared" ref="BU71:EF71" si="75">PV($F25,BU$9,1,0)+(PV($J$6,$N$5-(BU$9),1,0)/($J$6+1)^BU$9)</f>
        <v>-47.715149728897167</v>
      </c>
      <c r="BV71" s="204">
        <f t="shared" si="75"/>
        <v>-47.77279428546197</v>
      </c>
      <c r="BW71" s="204">
        <f t="shared" si="75"/>
        <v>-47.830303690995812</v>
      </c>
      <c r="BX71" s="204">
        <f t="shared" si="75"/>
        <v>-47.887666245879743</v>
      </c>
      <c r="BY71" s="204">
        <f t="shared" si="75"/>
        <v>-47.944870682711525</v>
      </c>
      <c r="BZ71" s="204">
        <f t="shared" si="75"/>
        <v>-48.00190615504463</v>
      </c>
      <c r="CA71" s="204">
        <f t="shared" si="75"/>
        <v>-48.05876222638468</v>
      </c>
      <c r="CB71" s="204">
        <f t="shared" si="75"/>
        <v>-48.115428859437884</v>
      </c>
      <c r="CC71" s="204">
        <f t="shared" si="75"/>
        <v>-48.171896405606084</v>
      </c>
      <c r="CD71" s="204">
        <f t="shared" si="75"/>
        <v>-48.228155594723084</v>
      </c>
      <c r="CE71" s="204">
        <f t="shared" si="75"/>
        <v>-48.284197525027167</v>
      </c>
      <c r="CF71" s="204">
        <f t="shared" si="75"/>
        <v>-48.340013653364686</v>
      </c>
      <c r="CG71" s="204">
        <f t="shared" si="75"/>
        <v>-48.395595785619783</v>
      </c>
      <c r="CH71" s="204">
        <f t="shared" si="75"/>
        <v>-48.450936067365419</v>
      </c>
      <c r="CI71" s="204">
        <f t="shared" si="75"/>
        <v>-48.506026974730837</v>
      </c>
      <c r="CJ71" s="204">
        <f t="shared" si="75"/>
        <v>-48.560861305481026</v>
      </c>
      <c r="CK71" s="204">
        <f t="shared" si="75"/>
        <v>-48.615432170303372</v>
      </c>
      <c r="CL71" s="204">
        <f t="shared" si="75"/>
        <v>-48.669732984297134</v>
      </c>
      <c r="CM71" s="204">
        <f t="shared" si="75"/>
        <v>-48.723757458661552</v>
      </c>
      <c r="CN71" s="204">
        <f t="shared" si="75"/>
        <v>-48.777499592577868</v>
      </c>
      <c r="CO71" s="204">
        <f t="shared" si="75"/>
        <v>-48.830953665281534</v>
      </c>
      <c r="CP71" s="204">
        <f t="shared" si="75"/>
        <v>-48.884114228320172</v>
      </c>
      <c r="CQ71" s="204">
        <f t="shared" si="75"/>
        <v>-48.936976097993416</v>
      </c>
      <c r="CR71" s="204">
        <f t="shared" si="75"/>
        <v>-48.989534347970633</v>
      </c>
      <c r="CS71" s="204">
        <f t="shared" si="75"/>
        <v>-49.041784302082704</v>
      </c>
      <c r="CT71" s="204">
        <f t="shared" si="75"/>
        <v>-49.093721527283989</v>
      </c>
      <c r="CU71" s="204">
        <f t="shared" si="75"/>
        <v>-49.145341826780928</v>
      </c>
      <c r="CV71" s="204">
        <f t="shared" si="75"/>
        <v>-49.196641233323533</v>
      </c>
      <c r="CW71" s="204">
        <f t="shared" si="75"/>
        <v>-49.247616002656223</v>
      </c>
      <c r="CX71" s="204">
        <f t="shared" si="75"/>
        <v>-49.298262607124599</v>
      </c>
      <c r="CY71" s="204">
        <f t="shared" si="75"/>
        <v>-49.298262607124599</v>
      </c>
      <c r="CZ71" s="204">
        <f t="shared" si="75"/>
        <v>-49.298262607124599</v>
      </c>
      <c r="DA71" s="204">
        <f t="shared" si="75"/>
        <v>-49.298262607124599</v>
      </c>
      <c r="DB71" s="204">
        <f t="shared" si="75"/>
        <v>-49.298262607124599</v>
      </c>
      <c r="DC71" s="204">
        <f t="shared" si="75"/>
        <v>-49.298262607124599</v>
      </c>
      <c r="DD71" s="204">
        <f t="shared" si="75"/>
        <v>-49.298262607124599</v>
      </c>
      <c r="DE71" s="204">
        <f t="shared" si="75"/>
        <v>-49.298262607124599</v>
      </c>
      <c r="DF71" s="204">
        <f t="shared" si="75"/>
        <v>-49.298262607124599</v>
      </c>
      <c r="DG71" s="204">
        <f t="shared" si="75"/>
        <v>-49.298262607124599</v>
      </c>
      <c r="DH71" s="204">
        <f t="shared" si="75"/>
        <v>-49.298262607124599</v>
      </c>
      <c r="DI71" s="204">
        <f t="shared" si="75"/>
        <v>-49.298262607124599</v>
      </c>
      <c r="DJ71" s="204">
        <f t="shared" si="75"/>
        <v>-49.298262607124599</v>
      </c>
      <c r="DK71" s="204">
        <f t="shared" si="75"/>
        <v>-49.298262607124599</v>
      </c>
      <c r="DL71" s="204">
        <f t="shared" si="75"/>
        <v>-49.298262607124599</v>
      </c>
      <c r="DM71" s="204">
        <f t="shared" si="75"/>
        <v>-49.298262607124599</v>
      </c>
      <c r="DN71" s="204">
        <f t="shared" si="75"/>
        <v>-49.298262607124599</v>
      </c>
      <c r="DO71" s="204">
        <f t="shared" si="75"/>
        <v>-49.298262607124599</v>
      </c>
      <c r="DP71" s="204">
        <f t="shared" si="75"/>
        <v>-49.298262607124599</v>
      </c>
      <c r="DQ71" s="204">
        <f t="shared" si="75"/>
        <v>-49.298262607124599</v>
      </c>
      <c r="DR71" s="204">
        <f t="shared" si="75"/>
        <v>-49.298262607124599</v>
      </c>
      <c r="DS71" s="204">
        <f t="shared" si="75"/>
        <v>-49.298262607124599</v>
      </c>
      <c r="DT71" s="204">
        <f t="shared" si="75"/>
        <v>-49.298262607124599</v>
      </c>
      <c r="DU71" s="204">
        <f t="shared" si="75"/>
        <v>-49.298262607124599</v>
      </c>
      <c r="DV71" s="204">
        <f t="shared" si="75"/>
        <v>-49.298262607124599</v>
      </c>
      <c r="DW71" s="204">
        <f t="shared" si="75"/>
        <v>-49.298262607124599</v>
      </c>
      <c r="DX71" s="204">
        <f t="shared" si="75"/>
        <v>-49.298262607124599</v>
      </c>
      <c r="DY71" s="204">
        <f t="shared" si="75"/>
        <v>-49.298262607124599</v>
      </c>
      <c r="DZ71" s="204">
        <f t="shared" si="75"/>
        <v>-49.298262607124599</v>
      </c>
      <c r="EA71" s="204">
        <f t="shared" si="75"/>
        <v>-49.298262607124599</v>
      </c>
      <c r="EB71" s="204">
        <f t="shared" si="75"/>
        <v>-49.298262607124599</v>
      </c>
      <c r="EC71" s="204">
        <f t="shared" si="75"/>
        <v>-49.298262607124599</v>
      </c>
      <c r="ED71" s="204">
        <f t="shared" si="75"/>
        <v>-49.298262607124599</v>
      </c>
      <c r="EE71" s="204">
        <f t="shared" si="75"/>
        <v>-49.298262607124599</v>
      </c>
      <c r="EF71" s="204">
        <f t="shared" si="75"/>
        <v>-49.298262607124599</v>
      </c>
      <c r="EG71" s="204">
        <f t="shared" ref="EG71:ET71" si="76">PV($F25,EG$9,1,0)+(PV($J$6,$N$5-(EG$9),1,0)/($J$6+1)^EG$9)</f>
        <v>-49.298262607124599</v>
      </c>
      <c r="EH71" s="204">
        <f t="shared" si="76"/>
        <v>-49.298262607124599</v>
      </c>
      <c r="EI71" s="204">
        <f t="shared" si="76"/>
        <v>-49.298262607124599</v>
      </c>
      <c r="EJ71" s="204">
        <f t="shared" si="76"/>
        <v>-49.298262607124599</v>
      </c>
      <c r="EK71" s="204">
        <f t="shared" si="76"/>
        <v>-49.298262607124599</v>
      </c>
      <c r="EL71" s="204">
        <f t="shared" si="76"/>
        <v>-49.298262607124599</v>
      </c>
      <c r="EM71" s="204">
        <f t="shared" si="76"/>
        <v>-49.298262607124599</v>
      </c>
      <c r="EN71" s="204">
        <f t="shared" si="76"/>
        <v>-49.298262607124599</v>
      </c>
      <c r="EO71" s="204">
        <f t="shared" si="76"/>
        <v>-49.298262607124599</v>
      </c>
      <c r="EP71" s="204">
        <f t="shared" si="76"/>
        <v>-49.298262607124599</v>
      </c>
      <c r="EQ71" s="204">
        <f t="shared" si="76"/>
        <v>-49.298262607124599</v>
      </c>
      <c r="ER71" s="204">
        <f t="shared" si="76"/>
        <v>-49.298262607124599</v>
      </c>
      <c r="ES71" s="204">
        <f t="shared" si="76"/>
        <v>-49.298262607124599</v>
      </c>
      <c r="ET71" s="204">
        <f t="shared" si="76"/>
        <v>-49.298262607124599</v>
      </c>
      <c r="FF71" s="6" t="s">
        <v>1509</v>
      </c>
      <c r="FG71" s="696">
        <v>2.5000000000000001E-2</v>
      </c>
      <c r="FH71" s="696">
        <v>96</v>
      </c>
      <c r="FI71" s="696">
        <v>2.1499999999999998E-2</v>
      </c>
      <c r="FJ71" s="255">
        <v>1.4499999999999999E-2</v>
      </c>
      <c r="FK71" s="71">
        <f t="shared" si="11"/>
        <v>2.5000000000000006E-4</v>
      </c>
      <c r="FL71" t="e">
        <f>VLOOKUP(FF71,'SIMULADOR COM SALDO'!$BX$22:$CK$1000,13,FALSE)</f>
        <v>#N/A</v>
      </c>
    </row>
    <row r="72" spans="7:168" x14ac:dyDescent="0.25">
      <c r="G72" s="103">
        <f t="shared" si="45"/>
        <v>-44.754757060795924</v>
      </c>
      <c r="H72" s="204">
        <f t="shared" si="46"/>
        <v>-44.759765859774269</v>
      </c>
      <c r="I72" s="204">
        <f t="shared" ref="I72:BT72" si="77">PV($F26,I$9,1,0)+(PV($J$6,$N$5-(I$9),1,0)/($J$6+1)^I$9)</f>
        <v>-44.767152162547603</v>
      </c>
      <c r="J72" s="204">
        <f t="shared" si="77"/>
        <v>-44.776834235044689</v>
      </c>
      <c r="K72" s="204">
        <f t="shared" si="77"/>
        <v>-44.788732429813876</v>
      </c>
      <c r="L72" s="204">
        <f t="shared" si="77"/>
        <v>-44.80276913872067</v>
      </c>
      <c r="M72" s="204">
        <f t="shared" si="77"/>
        <v>-44.818868746651184</v>
      </c>
      <c r="N72" s="204">
        <f t="shared" si="77"/>
        <v>-44.836957586201116</v>
      </c>
      <c r="O72" s="204">
        <f t="shared" si="77"/>
        <v>-44.856963893329933</v>
      </c>
      <c r="P72" s="204">
        <f t="shared" si="77"/>
        <v>-44.878817763960711</v>
      </c>
      <c r="Q72" s="204">
        <f t="shared" si="77"/>
        <v>-44.902451111506046</v>
      </c>
      <c r="R72" s="204">
        <f t="shared" si="77"/>
        <v>-44.92779762530121</v>
      </c>
      <c r="S72" s="204">
        <f t="shared" si="77"/>
        <v>-44.954792729925941</v>
      </c>
      <c r="T72" s="204">
        <f t="shared" si="77"/>
        <v>-44.983373545396546</v>
      </c>
      <c r="U72" s="204">
        <f t="shared" si="77"/>
        <v>-45.013478848210582</v>
      </c>
      <c r="V72" s="204">
        <f t="shared" si="77"/>
        <v>-45.045049033226476</v>
      </c>
      <c r="W72" s="204">
        <f t="shared" si="77"/>
        <v>-45.078026076361041</v>
      </c>
      <c r="X72" s="204">
        <f t="shared" si="77"/>
        <v>-45.112353498088012</v>
      </c>
      <c r="Y72" s="204">
        <f t="shared" si="77"/>
        <v>-45.147976327721167</v>
      </c>
      <c r="Z72" s="204">
        <f t="shared" si="77"/>
        <v>-45.184841068465822</v>
      </c>
      <c r="AA72" s="204">
        <f t="shared" si="77"/>
        <v>-45.222895663222886</v>
      </c>
      <c r="AB72" s="204">
        <f t="shared" si="77"/>
        <v>-45.262089461130074</v>
      </c>
      <c r="AC72" s="204">
        <f t="shared" si="77"/>
        <v>-45.302373184824916</v>
      </c>
      <c r="AD72" s="204">
        <f t="shared" si="77"/>
        <v>-45.343698898414786</v>
      </c>
      <c r="AE72" s="204">
        <f t="shared" si="77"/>
        <v>-45.386019976139295</v>
      </c>
      <c r="AF72" s="204">
        <f t="shared" si="77"/>
        <v>-45.429291071710814</v>
      </c>
      <c r="AG72" s="204">
        <f t="shared" si="77"/>
        <v>-45.473468088318917</v>
      </c>
      <c r="AH72" s="204">
        <f t="shared" si="77"/>
        <v>-45.518508149285395</v>
      </c>
      <c r="AI72" s="204">
        <f t="shared" si="77"/>
        <v>-45.564369569355897</v>
      </c>
      <c r="AJ72" s="204">
        <f t="shared" si="77"/>
        <v>-45.611011826615382</v>
      </c>
      <c r="AK72" s="204">
        <f t="shared" si="77"/>
        <v>-45.658395535014328</v>
      </c>
      <c r="AL72" s="204">
        <f t="shared" si="77"/>
        <v>-45.706482417492978</v>
      </c>
      <c r="AM72" s="204">
        <f t="shared" si="77"/>
        <v>-45.755235279691234</v>
      </c>
      <c r="AN72" s="204">
        <f t="shared" si="77"/>
        <v>-45.804617984232223</v>
      </c>
      <c r="AO72" s="204">
        <f t="shared" si="77"/>
        <v>-45.854595425567254</v>
      </c>
      <c r="AP72" s="204">
        <f t="shared" si="77"/>
        <v>-45.90513350537087</v>
      </c>
      <c r="AQ72" s="204">
        <f t="shared" si="77"/>
        <v>-45.956199108474294</v>
      </c>
      <c r="AR72" s="204">
        <f t="shared" si="77"/>
        <v>-46.007760079326189</v>
      </c>
      <c r="AS72" s="204">
        <f t="shared" si="77"/>
        <v>-46.059785198969649</v>
      </c>
      <c r="AT72" s="204">
        <f t="shared" si="77"/>
        <v>-46.112244162524803</v>
      </c>
      <c r="AU72" s="204">
        <f t="shared" si="77"/>
        <v>-46.165107557166301</v>
      </c>
      <c r="AV72" s="204">
        <f t="shared" si="77"/>
        <v>-46.218346840585554</v>
      </c>
      <c r="AW72" s="204">
        <f t="shared" si="77"/>
        <v>-46.27193431992734</v>
      </c>
      <c r="AX72" s="204">
        <f t="shared" si="77"/>
        <v>-46.325843131191164</v>
      </c>
      <c r="AY72" s="204">
        <f t="shared" si="77"/>
        <v>-46.380047219087444</v>
      </c>
      <c r="AZ72" s="204">
        <f t="shared" si="77"/>
        <v>-46.434521317338962</v>
      </c>
      <c r="BA72" s="204">
        <f t="shared" si="77"/>
        <v>-46.489240929418571</v>
      </c>
      <c r="BB72" s="204">
        <f t="shared" si="77"/>
        <v>-46.544182309713477</v>
      </c>
      <c r="BC72" s="204">
        <f t="shared" si="77"/>
        <v>-46.599322445107688</v>
      </c>
      <c r="BD72" s="204">
        <f t="shared" si="77"/>
        <v>-46.654639036973578</v>
      </c>
      <c r="BE72" s="204">
        <f t="shared" si="77"/>
        <v>-46.710110483563923</v>
      </c>
      <c r="BF72" s="204">
        <f t="shared" si="77"/>
        <v>-46.765715862796114</v>
      </c>
      <c r="BG72" s="204">
        <f t="shared" si="77"/>
        <v>-46.821434915420276</v>
      </c>
      <c r="BH72" s="204">
        <f t="shared" si="77"/>
        <v>-46.877248028563159</v>
      </c>
      <c r="BI72" s="204">
        <f t="shared" si="77"/>
        <v>-46.933136219639898</v>
      </c>
      <c r="BJ72" s="204">
        <f t="shared" si="77"/>
        <v>-46.989081120625954</v>
      </c>
      <c r="BK72" s="204">
        <f t="shared" si="77"/>
        <v>-47.045064962681472</v>
      </c>
      <c r="BL72" s="204">
        <f t="shared" si="77"/>
        <v>-47.101070561120771</v>
      </c>
      <c r="BM72" s="204">
        <f t="shared" si="77"/>
        <v>-47.157081300719639</v>
      </c>
      <c r="BN72" s="204">
        <f t="shared" si="77"/>
        <v>-47.213081121353149</v>
      </c>
      <c r="BO72" s="204">
        <f t="shared" si="77"/>
        <v>-47.269054503957221</v>
      </c>
      <c r="BP72" s="204">
        <f t="shared" si="77"/>
        <v>-47.324986456806869</v>
      </c>
      <c r="BQ72" s="204">
        <f t="shared" si="77"/>
        <v>-47.380862502104577</v>
      </c>
      <c r="BR72" s="204">
        <f t="shared" si="77"/>
        <v>-47.436668662872052</v>
      </c>
      <c r="BS72" s="204">
        <f t="shared" si="77"/>
        <v>-47.492391450139039</v>
      </c>
      <c r="BT72" s="204">
        <f t="shared" si="77"/>
        <v>-47.548017850422873</v>
      </c>
      <c r="BU72" s="204">
        <f t="shared" ref="BU72:EF72" si="78">PV($F26,BU$9,1,0)+(PV($J$6,$N$5-(BU$9),1,0)/($J$6+1)^BU$9)</f>
        <v>-47.603535313492543</v>
      </c>
      <c r="BV72" s="204">
        <f t="shared" si="78"/>
        <v>-47.658931740411148</v>
      </c>
      <c r="BW72" s="204">
        <f t="shared" si="78"/>
        <v>-47.714195471850978</v>
      </c>
      <c r="BX72" s="204">
        <f t="shared" si="78"/>
        <v>-47.769315276675215</v>
      </c>
      <c r="BY72" s="204">
        <f t="shared" si="78"/>
        <v>-47.824280340780717</v>
      </c>
      <c r="BZ72" s="204">
        <f t="shared" si="78"/>
        <v>-47.879080256196239</v>
      </c>
      <c r="CA72" s="204">
        <f t="shared" si="78"/>
        <v>-47.933705010430558</v>
      </c>
      <c r="CB72" s="204">
        <f t="shared" si="78"/>
        <v>-47.988144976065264</v>
      </c>
      <c r="CC72" s="204">
        <f t="shared" si="78"/>
        <v>-48.042390900586966</v>
      </c>
      <c r="CD72" s="204">
        <f t="shared" si="78"/>
        <v>-48.096433896453703</v>
      </c>
      <c r="CE72" s="204">
        <f t="shared" si="78"/>
        <v>-48.15026543139053</v>
      </c>
      <c r="CF72" s="204">
        <f t="shared" si="78"/>
        <v>-48.203877318909505</v>
      </c>
      <c r="CG72" s="204">
        <f t="shared" si="78"/>
        <v>-48.257261709049047</v>
      </c>
      <c r="CH72" s="204">
        <f t="shared" si="78"/>
        <v>-48.310411079328063</v>
      </c>
      <c r="CI72" s="204">
        <f t="shared" si="78"/>
        <v>-48.363318225910234</v>
      </c>
      <c r="CJ72" s="204">
        <f t="shared" si="78"/>
        <v>-48.415976254973799</v>
      </c>
      <c r="CK72" s="204">
        <f t="shared" si="78"/>
        <v>-48.468378574282575</v>
      </c>
      <c r="CL72" s="204">
        <f t="shared" si="78"/>
        <v>-48.520518884953688</v>
      </c>
      <c r="CM72" s="204">
        <f t="shared" si="78"/>
        <v>-48.572391173417977</v>
      </c>
      <c r="CN72" s="204">
        <f t="shared" si="78"/>
        <v>-48.623989703568562</v>
      </c>
      <c r="CO72" s="204">
        <f t="shared" si="78"/>
        <v>-48.67530900909393</v>
      </c>
      <c r="CP72" s="204">
        <f t="shared" si="78"/>
        <v>-48.726343885991163</v>
      </c>
      <c r="CQ72" s="204">
        <f t="shared" si="78"/>
        <v>-48.777089385255564</v>
      </c>
      <c r="CR72" s="204">
        <f t="shared" si="78"/>
        <v>-48.827540805742927</v>
      </c>
      <c r="CS72" s="204">
        <f t="shared" si="78"/>
        <v>-48.87769368720037</v>
      </c>
      <c r="CT72" s="204">
        <f t="shared" si="78"/>
        <v>-48.927543803462591</v>
      </c>
      <c r="CU72" s="204">
        <f t="shared" si="78"/>
        <v>-48.977087155809308</v>
      </c>
      <c r="CV72" s="204">
        <f t="shared" si="78"/>
        <v>-49.026319966480948</v>
      </c>
      <c r="CW72" s="204">
        <f t="shared" si="78"/>
        <v>-49.075238672348689</v>
      </c>
      <c r="CX72" s="204">
        <f t="shared" si="78"/>
        <v>-49.123839918735747</v>
      </c>
      <c r="CY72" s="204">
        <f t="shared" si="78"/>
        <v>-49.123839918735747</v>
      </c>
      <c r="CZ72" s="204">
        <f t="shared" si="78"/>
        <v>-49.123839918735747</v>
      </c>
      <c r="DA72" s="204">
        <f t="shared" si="78"/>
        <v>-49.123839918735747</v>
      </c>
      <c r="DB72" s="204">
        <f t="shared" si="78"/>
        <v>-49.123839918735747</v>
      </c>
      <c r="DC72" s="204">
        <f t="shared" si="78"/>
        <v>-49.123839918735747</v>
      </c>
      <c r="DD72" s="204">
        <f t="shared" si="78"/>
        <v>-49.123839918735747</v>
      </c>
      <c r="DE72" s="204">
        <f t="shared" si="78"/>
        <v>-49.123839918735747</v>
      </c>
      <c r="DF72" s="204">
        <f t="shared" si="78"/>
        <v>-49.123839918735747</v>
      </c>
      <c r="DG72" s="204">
        <f t="shared" si="78"/>
        <v>-49.123839918735747</v>
      </c>
      <c r="DH72" s="204">
        <f t="shared" si="78"/>
        <v>-49.123839918735747</v>
      </c>
      <c r="DI72" s="204">
        <f t="shared" si="78"/>
        <v>-49.123839918735747</v>
      </c>
      <c r="DJ72" s="204">
        <f t="shared" si="78"/>
        <v>-49.123839918735747</v>
      </c>
      <c r="DK72" s="204">
        <f t="shared" si="78"/>
        <v>-49.123839918735747</v>
      </c>
      <c r="DL72" s="204">
        <f t="shared" si="78"/>
        <v>-49.123839918735747</v>
      </c>
      <c r="DM72" s="204">
        <f t="shared" si="78"/>
        <v>-49.123839918735747</v>
      </c>
      <c r="DN72" s="204">
        <f t="shared" si="78"/>
        <v>-49.123839918735747</v>
      </c>
      <c r="DO72" s="204">
        <f t="shared" si="78"/>
        <v>-49.123839918735747</v>
      </c>
      <c r="DP72" s="204">
        <f t="shared" si="78"/>
        <v>-49.123839918735747</v>
      </c>
      <c r="DQ72" s="204">
        <f t="shared" si="78"/>
        <v>-49.123839918735747</v>
      </c>
      <c r="DR72" s="204">
        <f t="shared" si="78"/>
        <v>-49.123839918735747</v>
      </c>
      <c r="DS72" s="204">
        <f t="shared" si="78"/>
        <v>-49.123839918735747</v>
      </c>
      <c r="DT72" s="204">
        <f t="shared" si="78"/>
        <v>-49.123839918735747</v>
      </c>
      <c r="DU72" s="204">
        <f t="shared" si="78"/>
        <v>-49.123839918735747</v>
      </c>
      <c r="DV72" s="204">
        <f t="shared" si="78"/>
        <v>-49.123839918735747</v>
      </c>
      <c r="DW72" s="204">
        <f t="shared" si="78"/>
        <v>-49.123839918735747</v>
      </c>
      <c r="DX72" s="204">
        <f t="shared" si="78"/>
        <v>-49.123839918735747</v>
      </c>
      <c r="DY72" s="204">
        <f t="shared" si="78"/>
        <v>-49.123839918735747</v>
      </c>
      <c r="DZ72" s="204">
        <f t="shared" si="78"/>
        <v>-49.123839918735747</v>
      </c>
      <c r="EA72" s="204">
        <f t="shared" si="78"/>
        <v>-49.123839918735747</v>
      </c>
      <c r="EB72" s="204">
        <f t="shared" si="78"/>
        <v>-49.123839918735747</v>
      </c>
      <c r="EC72" s="204">
        <f t="shared" si="78"/>
        <v>-49.123839918735747</v>
      </c>
      <c r="ED72" s="204">
        <f t="shared" si="78"/>
        <v>-49.123839918735747</v>
      </c>
      <c r="EE72" s="204">
        <f t="shared" si="78"/>
        <v>-49.123839918735747</v>
      </c>
      <c r="EF72" s="204">
        <f t="shared" si="78"/>
        <v>-49.123839918735747</v>
      </c>
      <c r="EG72" s="204">
        <f t="shared" ref="EG72:ET72" si="79">PV($F26,EG$9,1,0)+(PV($J$6,$N$5-(EG$9),1,0)/($J$6+1)^EG$9)</f>
        <v>-49.123839918735747</v>
      </c>
      <c r="EH72" s="204">
        <f t="shared" si="79"/>
        <v>-49.123839918735747</v>
      </c>
      <c r="EI72" s="204">
        <f t="shared" si="79"/>
        <v>-49.123839918735747</v>
      </c>
      <c r="EJ72" s="204">
        <f t="shared" si="79"/>
        <v>-49.123839918735747</v>
      </c>
      <c r="EK72" s="204">
        <f t="shared" si="79"/>
        <v>-49.123839918735747</v>
      </c>
      <c r="EL72" s="204">
        <f t="shared" si="79"/>
        <v>-49.123839918735747</v>
      </c>
      <c r="EM72" s="204">
        <f t="shared" si="79"/>
        <v>-49.123839918735747</v>
      </c>
      <c r="EN72" s="204">
        <f t="shared" si="79"/>
        <v>-49.123839918735747</v>
      </c>
      <c r="EO72" s="204">
        <f t="shared" si="79"/>
        <v>-49.123839918735747</v>
      </c>
      <c r="EP72" s="204">
        <f t="shared" si="79"/>
        <v>-49.123839918735747</v>
      </c>
      <c r="EQ72" s="204">
        <f t="shared" si="79"/>
        <v>-49.123839918735747</v>
      </c>
      <c r="ER72" s="204">
        <f t="shared" si="79"/>
        <v>-49.123839918735747</v>
      </c>
      <c r="ES72" s="204">
        <f t="shared" si="79"/>
        <v>-49.123839918735747</v>
      </c>
      <c r="ET72" s="204">
        <f t="shared" si="79"/>
        <v>-49.123839918735747</v>
      </c>
      <c r="FF72" s="6" t="s">
        <v>3014</v>
      </c>
      <c r="FG72" s="696">
        <v>2.5000000000000001E-2</v>
      </c>
      <c r="FH72" s="696">
        <v>120</v>
      </c>
      <c r="FI72" s="696">
        <v>1.9400000000000001E-2</v>
      </c>
      <c r="FJ72" s="255">
        <v>1.4999999999999999E-2</v>
      </c>
      <c r="FK72" s="71">
        <f t="shared" si="11"/>
        <v>2.3809523809523815E-4</v>
      </c>
      <c r="FL72" t="e">
        <f>VLOOKUP(FF72,'SIMULADOR COM SALDO'!$BX$22:$CK$1000,13,FALSE)</f>
        <v>#N/A</v>
      </c>
    </row>
    <row r="73" spans="7:168" x14ac:dyDescent="0.25">
      <c r="G73" s="103">
        <f t="shared" si="45"/>
        <v>-44.754662475974044</v>
      </c>
      <c r="H73" s="204">
        <f t="shared" si="46"/>
        <v>-44.759485068430287</v>
      </c>
      <c r="I73" s="204">
        <f t="shared" ref="I73:BT73" si="80">PV($F27,I$9,1,0)+(PV($J$6,$N$5-(I$9),1,0)/($J$6+1)^I$9)</f>
        <v>-44.766596436482033</v>
      </c>
      <c r="J73" s="204">
        <f t="shared" si="80"/>
        <v>-44.775917671391774</v>
      </c>
      <c r="K73" s="204">
        <f t="shared" si="80"/>
        <v>-44.787371884300356</v>
      </c>
      <c r="L73" s="204">
        <f t="shared" si="80"/>
        <v>-44.800884160322013</v>
      </c>
      <c r="M73" s="204">
        <f t="shared" si="80"/>
        <v>-44.816381513618119</v>
      </c>
      <c r="N73" s="204">
        <f t="shared" si="80"/>
        <v>-44.833792843429499</v>
      </c>
      <c r="O73" s="204">
        <f t="shared" si="80"/>
        <v>-44.853048891047649</v>
      </c>
      <c r="P73" s="204">
        <f t="shared" si="80"/>
        <v>-44.874082197705491</v>
      </c>
      <c r="Q73" s="204">
        <f t="shared" si="80"/>
        <v>-44.896827063369088</v>
      </c>
      <c r="R73" s="204">
        <f t="shared" si="80"/>
        <v>-44.921219506411383</v>
      </c>
      <c r="S73" s="204">
        <f t="shared" si="80"/>
        <v>-44.94719722415045</v>
      </c>
      <c r="T73" s="204">
        <f t="shared" si="80"/>
        <v>-44.97469955423378</v>
      </c>
      <c r="U73" s="204">
        <f t="shared" si="80"/>
        <v>-45.003667436851693</v>
      </c>
      <c r="V73" s="204">
        <f t="shared" si="80"/>
        <v>-45.034043377762679</v>
      </c>
      <c r="W73" s="204">
        <f t="shared" si="80"/>
        <v>-45.065771412113932</v>
      </c>
      <c r="X73" s="204">
        <f t="shared" si="80"/>
        <v>-45.098797069040614</v>
      </c>
      <c r="Y73" s="204">
        <f t="shared" si="80"/>
        <v>-45.133067337027953</v>
      </c>
      <c r="Z73" s="204">
        <f t="shared" si="80"/>
        <v>-45.168530630020257</v>
      </c>
      <c r="AA73" s="204">
        <f t="shared" si="80"/>
        <v>-45.20513675426173</v>
      </c>
      <c r="AB73" s="204">
        <f t="shared" si="80"/>
        <v>-45.242836875853477</v>
      </c>
      <c r="AC73" s="204">
        <f t="shared" si="80"/>
        <v>-45.281583489012419</v>
      </c>
      <c r="AD73" s="204">
        <f t="shared" si="80"/>
        <v>-45.321330385017248</v>
      </c>
      <c r="AE73" s="204">
        <f t="shared" si="80"/>
        <v>-45.362032621827439</v>
      </c>
      <c r="AF73" s="204">
        <f t="shared" si="80"/>
        <v>-45.403646494361098</v>
      </c>
      <c r="AG73" s="204">
        <f t="shared" si="80"/>
        <v>-45.446129505418355</v>
      </c>
      <c r="AH73" s="204">
        <f t="shared" si="80"/>
        <v>-45.489440337236559</v>
      </c>
      <c r="AI73" s="204">
        <f t="shared" si="80"/>
        <v>-45.533538823664514</v>
      </c>
      <c r="AJ73" s="204">
        <f t="shared" si="80"/>
        <v>-45.578385922942644</v>
      </c>
      <c r="AK73" s="204">
        <f t="shared" si="80"/>
        <v>-45.623943691076519</v>
      </c>
      <c r="AL73" s="204">
        <f t="shared" si="80"/>
        <v>-45.670175255791612</v>
      </c>
      <c r="AM73" s="204">
        <f t="shared" si="80"/>
        <v>-45.71704479105702</v>
      </c>
      <c r="AN73" s="204">
        <f t="shared" si="80"/>
        <v>-45.764517492166291</v>
      </c>
      <c r="AO73" s="204">
        <f t="shared" si="80"/>
        <v>-45.81255955136389</v>
      </c>
      <c r="AP73" s="204">
        <f t="shared" si="80"/>
        <v>-45.861138134005849</v>
      </c>
      <c r="AQ73" s="204">
        <f t="shared" si="80"/>
        <v>-45.910221355243465</v>
      </c>
      <c r="AR73" s="204">
        <f t="shared" si="80"/>
        <v>-45.959778257219071</v>
      </c>
      <c r="AS73" s="204">
        <f t="shared" si="80"/>
        <v>-46.009778786763377</v>
      </c>
      <c r="AT73" s="204">
        <f t="shared" si="80"/>
        <v>-46.060193773583656</v>
      </c>
      <c r="AU73" s="204">
        <f t="shared" si="80"/>
        <v>-46.110994908932739</v>
      </c>
      <c r="AV73" s="204">
        <f t="shared" si="80"/>
        <v>-46.162154724748568</v>
      </c>
      <c r="AW73" s="204">
        <f t="shared" si="80"/>
        <v>-46.213646573254508</v>
      </c>
      <c r="AX73" s="204">
        <f t="shared" si="80"/>
        <v>-46.265444607010906</v>
      </c>
      <c r="AY73" s="204">
        <f t="shared" si="80"/>
        <v>-46.317523759408232</v>
      </c>
      <c r="AZ73" s="204">
        <f t="shared" si="80"/>
        <v>-46.369859725592633</v>
      </c>
      <c r="BA73" s="204">
        <f t="shared" si="80"/>
        <v>-46.422428943814765</v>
      </c>
      <c r="BB73" s="204">
        <f t="shared" si="80"/>
        <v>-46.475208577193143</v>
      </c>
      <c r="BC73" s="204">
        <f t="shared" si="80"/>
        <v>-46.528176495883159</v>
      </c>
      <c r="BD73" s="204">
        <f t="shared" si="80"/>
        <v>-46.581311259643158</v>
      </c>
      <c r="BE73" s="204">
        <f t="shared" si="80"/>
        <v>-46.634592100789519</v>
      </c>
      <c r="BF73" s="204">
        <f t="shared" si="80"/>
        <v>-46.687998907532112</v>
      </c>
      <c r="BG73" s="204">
        <f t="shared" si="80"/>
        <v>-46.741512207682575</v>
      </c>
      <c r="BH73" s="204">
        <f t="shared" si="80"/>
        <v>-46.795113152727097</v>
      </c>
      <c r="BI73" s="204">
        <f t="shared" si="80"/>
        <v>-46.848783502256261</v>
      </c>
      <c r="BJ73" s="204">
        <f t="shared" si="80"/>
        <v>-46.902505608744463</v>
      </c>
      <c r="BK73" s="204">
        <f t="shared" si="80"/>
        <v>-46.956262402671236</v>
      </c>
      <c r="BL73" s="204">
        <f t="shared" si="80"/>
        <v>-47.010037377977483</v>
      </c>
      <c r="BM73" s="204">
        <f t="shared" si="80"/>
        <v>-47.063814577849399</v>
      </c>
      <c r="BN73" s="204">
        <f t="shared" si="80"/>
        <v>-47.11757858082315</v>
      </c>
      <c r="BO73" s="204">
        <f t="shared" si="80"/>
        <v>-47.171314487203595</v>
      </c>
      <c r="BP73" s="204">
        <f t="shared" si="80"/>
        <v>-47.225007905790235</v>
      </c>
      <c r="BQ73" s="204">
        <f t="shared" si="80"/>
        <v>-47.27864494090386</v>
      </c>
      <c r="BR73" s="204">
        <f t="shared" si="80"/>
        <v>-47.332212179707739</v>
      </c>
      <c r="BS73" s="204">
        <f t="shared" si="80"/>
        <v>-47.385696679816697</v>
      </c>
      <c r="BT73" s="204">
        <f t="shared" si="80"/>
        <v>-47.439085957188247</v>
      </c>
      <c r="BU73" s="204">
        <f t="shared" ref="BU73:EF73" si="81">PV($F27,BU$9,1,0)+(PV($J$6,$N$5-(BU$9),1,0)/($J$6+1)^BU$9)</f>
        <v>-47.492367974289706</v>
      </c>
      <c r="BV73" s="204">
        <f t="shared" si="81"/>
        <v>-47.545531128535188</v>
      </c>
      <c r="BW73" s="204">
        <f t="shared" si="81"/>
        <v>-47.598564240987038</v>
      </c>
      <c r="BX73" s="204">
        <f t="shared" si="81"/>
        <v>-47.651456545315774</v>
      </c>
      <c r="BY73" s="204">
        <f t="shared" si="81"/>
        <v>-47.704197677013191</v>
      </c>
      <c r="BZ73" s="204">
        <f t="shared" si="81"/>
        <v>-47.756777662853032</v>
      </c>
      <c r="CA73" s="204">
        <f t="shared" si="81"/>
        <v>-47.809186910594121</v>
      </c>
      <c r="CB73" s="204">
        <f t="shared" si="81"/>
        <v>-47.86141619892053</v>
      </c>
      <c r="CC73" s="204">
        <f t="shared" si="81"/>
        <v>-47.913456667613886</v>
      </c>
      <c r="CD73" s="204">
        <f t="shared" si="81"/>
        <v>-47.965299807952668</v>
      </c>
      <c r="CE73" s="204">
        <f t="shared" si="81"/>
        <v>-48.016937453333746</v>
      </c>
      <c r="CF73" s="204">
        <f t="shared" si="81"/>
        <v>-48.068361770111288</v>
      </c>
      <c r="CG73" s="204">
        <f t="shared" si="81"/>
        <v>-48.119565248648307</v>
      </c>
      <c r="CH73" s="204">
        <f t="shared" si="81"/>
        <v>-48.170540694576417</v>
      </c>
      <c r="CI73" s="204">
        <f t="shared" si="81"/>
        <v>-48.221281220259122</v>
      </c>
      <c r="CJ73" s="204">
        <f t="shared" si="81"/>
        <v>-48.271780236454383</v>
      </c>
      <c r="CK73" s="204">
        <f t="shared" si="81"/>
        <v>-48.322031444172005</v>
      </c>
      <c r="CL73" s="204">
        <f t="shared" si="81"/>
        <v>-48.372028826721746</v>
      </c>
      <c r="CM73" s="204">
        <f t="shared" si="81"/>
        <v>-48.421766641948011</v>
      </c>
      <c r="CN73" s="204">
        <f t="shared" si="81"/>
        <v>-48.471239414646952</v>
      </c>
      <c r="CO73" s="204">
        <f t="shared" si="81"/>
        <v>-48.520441929162104</v>
      </c>
      <c r="CP73" s="204">
        <f t="shared" si="81"/>
        <v>-48.569369222154734</v>
      </c>
      <c r="CQ73" s="204">
        <f t="shared" si="81"/>
        <v>-48.618016575544956</v>
      </c>
      <c r="CR73" s="204">
        <f t="shared" si="81"/>
        <v>-48.66637950962</v>
      </c>
      <c r="CS73" s="204">
        <f t="shared" si="81"/>
        <v>-48.714453776305902</v>
      </c>
      <c r="CT73" s="204">
        <f t="shared" si="81"/>
        <v>-48.762235352599156</v>
      </c>
      <c r="CU73" s="204">
        <f t="shared" si="81"/>
        <v>-48.809720434154698</v>
      </c>
      <c r="CV73" s="204">
        <f t="shared" si="81"/>
        <v>-48.856905429026959</v>
      </c>
      <c r="CW73" s="204">
        <f t="shared" si="81"/>
        <v>-48.903786951560392</v>
      </c>
      <c r="CX73" s="204">
        <f t="shared" si="81"/>
        <v>-48.950361816426522</v>
      </c>
      <c r="CY73" s="204">
        <f t="shared" si="81"/>
        <v>-48.950361816426522</v>
      </c>
      <c r="CZ73" s="204">
        <f t="shared" si="81"/>
        <v>-48.950361816426522</v>
      </c>
      <c r="DA73" s="204">
        <f t="shared" si="81"/>
        <v>-48.950361816426522</v>
      </c>
      <c r="DB73" s="204">
        <f t="shared" si="81"/>
        <v>-48.950361816426522</v>
      </c>
      <c r="DC73" s="204">
        <f t="shared" si="81"/>
        <v>-48.950361816426522</v>
      </c>
      <c r="DD73" s="204">
        <f t="shared" si="81"/>
        <v>-48.950361816426522</v>
      </c>
      <c r="DE73" s="204">
        <f t="shared" si="81"/>
        <v>-48.950361816426522</v>
      </c>
      <c r="DF73" s="204">
        <f t="shared" si="81"/>
        <v>-48.950361816426522</v>
      </c>
      <c r="DG73" s="204">
        <f t="shared" si="81"/>
        <v>-48.950361816426522</v>
      </c>
      <c r="DH73" s="204">
        <f t="shared" si="81"/>
        <v>-48.950361816426522</v>
      </c>
      <c r="DI73" s="204">
        <f t="shared" si="81"/>
        <v>-48.950361816426522</v>
      </c>
      <c r="DJ73" s="204">
        <f t="shared" si="81"/>
        <v>-48.950361816426522</v>
      </c>
      <c r="DK73" s="204">
        <f t="shared" si="81"/>
        <v>-48.950361816426522</v>
      </c>
      <c r="DL73" s="204">
        <f t="shared" si="81"/>
        <v>-48.950361816426522</v>
      </c>
      <c r="DM73" s="204">
        <f t="shared" si="81"/>
        <v>-48.950361816426522</v>
      </c>
      <c r="DN73" s="204">
        <f t="shared" si="81"/>
        <v>-48.950361816426522</v>
      </c>
      <c r="DO73" s="204">
        <f t="shared" si="81"/>
        <v>-48.950361816426522</v>
      </c>
      <c r="DP73" s="204">
        <f t="shared" si="81"/>
        <v>-48.950361816426522</v>
      </c>
      <c r="DQ73" s="204">
        <f t="shared" si="81"/>
        <v>-48.950361816426522</v>
      </c>
      <c r="DR73" s="204">
        <f t="shared" si="81"/>
        <v>-48.950361816426522</v>
      </c>
      <c r="DS73" s="204">
        <f t="shared" si="81"/>
        <v>-48.950361816426522</v>
      </c>
      <c r="DT73" s="204">
        <f t="shared" si="81"/>
        <v>-48.950361816426522</v>
      </c>
      <c r="DU73" s="204">
        <f t="shared" si="81"/>
        <v>-48.950361816426522</v>
      </c>
      <c r="DV73" s="204">
        <f t="shared" si="81"/>
        <v>-48.950361816426522</v>
      </c>
      <c r="DW73" s="204">
        <f t="shared" si="81"/>
        <v>-48.950361816426522</v>
      </c>
      <c r="DX73" s="204">
        <f t="shared" si="81"/>
        <v>-48.950361816426522</v>
      </c>
      <c r="DY73" s="204">
        <f t="shared" si="81"/>
        <v>-48.950361816426522</v>
      </c>
      <c r="DZ73" s="204">
        <f t="shared" si="81"/>
        <v>-48.950361816426522</v>
      </c>
      <c r="EA73" s="204">
        <f t="shared" si="81"/>
        <v>-48.950361816426522</v>
      </c>
      <c r="EB73" s="204">
        <f t="shared" si="81"/>
        <v>-48.950361816426522</v>
      </c>
      <c r="EC73" s="204">
        <f t="shared" si="81"/>
        <v>-48.950361816426522</v>
      </c>
      <c r="ED73" s="204">
        <f t="shared" si="81"/>
        <v>-48.950361816426522</v>
      </c>
      <c r="EE73" s="204">
        <f t="shared" si="81"/>
        <v>-48.950361816426522</v>
      </c>
      <c r="EF73" s="204">
        <f t="shared" si="81"/>
        <v>-48.950361816426522</v>
      </c>
      <c r="EG73" s="204">
        <f t="shared" ref="EG73:ET73" si="82">PV($F27,EG$9,1,0)+(PV($J$6,$N$5-(EG$9),1,0)/($J$6+1)^EG$9)</f>
        <v>-48.950361816426522</v>
      </c>
      <c r="EH73" s="204">
        <f t="shared" si="82"/>
        <v>-48.950361816426522</v>
      </c>
      <c r="EI73" s="204">
        <f t="shared" si="82"/>
        <v>-48.950361816426522</v>
      </c>
      <c r="EJ73" s="204">
        <f t="shared" si="82"/>
        <v>-48.950361816426522</v>
      </c>
      <c r="EK73" s="204">
        <f t="shared" si="82"/>
        <v>-48.950361816426522</v>
      </c>
      <c r="EL73" s="204">
        <f t="shared" si="82"/>
        <v>-48.950361816426522</v>
      </c>
      <c r="EM73" s="204">
        <f t="shared" si="82"/>
        <v>-48.950361816426522</v>
      </c>
      <c r="EN73" s="204">
        <f t="shared" si="82"/>
        <v>-48.950361816426522</v>
      </c>
      <c r="EO73" s="204">
        <f t="shared" si="82"/>
        <v>-48.950361816426522</v>
      </c>
      <c r="EP73" s="204">
        <f t="shared" si="82"/>
        <v>-48.950361816426522</v>
      </c>
      <c r="EQ73" s="204">
        <f t="shared" si="82"/>
        <v>-48.950361816426522</v>
      </c>
      <c r="ER73" s="204">
        <f t="shared" si="82"/>
        <v>-48.950361816426522</v>
      </c>
      <c r="ES73" s="204">
        <f t="shared" si="82"/>
        <v>-48.950361816426522</v>
      </c>
      <c r="ET73" s="204">
        <f t="shared" si="82"/>
        <v>-48.950361816426522</v>
      </c>
      <c r="FF73" s="6" t="s">
        <v>3015</v>
      </c>
      <c r="FG73" s="696">
        <v>2.2499999999999999E-2</v>
      </c>
      <c r="FH73" s="696">
        <v>96</v>
      </c>
      <c r="FI73" s="696">
        <v>2.07E-2</v>
      </c>
      <c r="FJ73" s="255">
        <v>1.4999999999999999E-2</v>
      </c>
      <c r="FK73" s="71">
        <f t="shared" si="11"/>
        <v>1.7857142857142857E-4</v>
      </c>
      <c r="FL73" t="e">
        <f>VLOOKUP(FF73,'SIMULADOR COM SALDO'!$BX$22:$CK$1000,13,FALSE)</f>
        <v>#N/A</v>
      </c>
    </row>
    <row r="74" spans="7:168" x14ac:dyDescent="0.25">
      <c r="G74" s="103">
        <f t="shared" si="45"/>
        <v>-44.754567909326823</v>
      </c>
      <c r="H74" s="204">
        <f t="shared" si="46"/>
        <v>-44.759204348928385</v>
      </c>
      <c r="I74" s="204">
        <f t="shared" ref="I74:BT74" si="83">PV($F28,I$9,1,0)+(PV($J$6,$N$5-(I$9),1,0)/($J$6+1)^I$9)</f>
        <v>-44.766040887906996</v>
      </c>
      <c r="J74" s="204">
        <f t="shared" si="83"/>
        <v>-44.775001458543805</v>
      </c>
      <c r="K74" s="204">
        <f t="shared" si="83"/>
        <v>-44.786011945478904</v>
      </c>
      <c r="L74" s="204">
        <f t="shared" si="83"/>
        <v>-44.799000141229001</v>
      </c>
      <c r="M74" s="204">
        <f t="shared" si="83"/>
        <v>-44.813895702655543</v>
      </c>
      <c r="N74" s="204">
        <f t="shared" si="83"/>
        <v>-44.830630108363948</v>
      </c>
      <c r="O74" s="204">
        <f t="shared" si="83"/>
        <v>-44.849136617014622</v>
      </c>
      <c r="P74" s="204">
        <f t="shared" si="83"/>
        <v>-44.869350226527231</v>
      </c>
      <c r="Q74" s="204">
        <f t="shared" si="83"/>
        <v>-44.891207634159734</v>
      </c>
      <c r="R74" s="204">
        <f t="shared" si="83"/>
        <v>-44.914647197443983</v>
      </c>
      <c r="S74" s="204">
        <f t="shared" si="83"/>
        <v>-44.939608895960859</v>
      </c>
      <c r="T74" s="204">
        <f t="shared" si="83"/>
        <v>-44.966034293936865</v>
      </c>
      <c r="U74" s="204">
        <f t="shared" si="83"/>
        <v>-44.993866503645748</v>
      </c>
      <c r="V74" s="204">
        <f t="shared" si="83"/>
        <v>-45.023050149598539</v>
      </c>
      <c r="W74" s="204">
        <f t="shared" si="83"/>
        <v>-45.05353133350539</v>
      </c>
      <c r="X74" s="204">
        <f t="shared" si="83"/>
        <v>-45.085257599993625</v>
      </c>
      <c r="Y74" s="204">
        <f t="shared" si="83"/>
        <v>-45.118177903066254</v>
      </c>
      <c r="Z74" s="204">
        <f t="shared" si="83"/>
        <v>-45.152242573285562</v>
      </c>
      <c r="AA74" s="204">
        <f t="shared" si="83"/>
        <v>-45.187403285666818</v>
      </c>
      <c r="AB74" s="204">
        <f t="shared" si="83"/>
        <v>-45.223613028267565</v>
      </c>
      <c r="AC74" s="204">
        <f t="shared" si="83"/>
        <v>-45.260826071457757</v>
      </c>
      <c r="AD74" s="204">
        <f t="shared" si="83"/>
        <v>-45.298997937856925</v>
      </c>
      <c r="AE74" s="204">
        <f t="shared" si="83"/>
        <v>-45.338085372924368</v>
      </c>
      <c r="AF74" s="204">
        <f t="shared" si="83"/>
        <v>-45.378046316188971</v>
      </c>
      <c r="AG74" s="204">
        <f t="shared" si="83"/>
        <v>-45.418839873105071</v>
      </c>
      <c r="AH74" s="204">
        <f t="shared" si="83"/>
        <v>-45.460426287521784</v>
      </c>
      <c r="AI74" s="204">
        <f t="shared" si="83"/>
        <v>-45.502766914752613</v>
      </c>
      <c r="AJ74" s="204">
        <f t="shared" si="83"/>
        <v>-45.545824195233251</v>
      </c>
      <c r="AK74" s="204">
        <f t="shared" si="83"/>
        <v>-45.589561628754907</v>
      </c>
      <c r="AL74" s="204">
        <f t="shared" si="83"/>
        <v>-45.633943749261519</v>
      </c>
      <c r="AM74" s="204">
        <f t="shared" si="83"/>
        <v>-45.678936100198982</v>
      </c>
      <c r="AN74" s="204">
        <f t="shared" si="83"/>
        <v>-45.724505210404736</v>
      </c>
      <c r="AO74" s="204">
        <f t="shared" si="83"/>
        <v>-45.770618570526636</v>
      </c>
      <c r="AP74" s="204">
        <f t="shared" si="83"/>
        <v>-45.817244609960014</v>
      </c>
      <c r="AQ74" s="204">
        <f t="shared" si="83"/>
        <v>-45.864352674291908</v>
      </c>
      <c r="AR74" s="204">
        <f t="shared" si="83"/>
        <v>-45.91191300324212</v>
      </c>
      <c r="AS74" s="204">
        <f t="shared" si="83"/>
        <v>-45.959896709090529</v>
      </c>
      <c r="AT74" s="204">
        <f t="shared" si="83"/>
        <v>-46.008275755580513</v>
      </c>
      <c r="AU74" s="204">
        <f t="shared" si="83"/>
        <v>-46.057022937288501</v>
      </c>
      <c r="AV74" s="204">
        <f t="shared" si="83"/>
        <v>-46.106111859449982</v>
      </c>
      <c r="AW74" s="204">
        <f t="shared" si="83"/>
        <v>-46.155516918232081</v>
      </c>
      <c r="AX74" s="204">
        <f t="shared" si="83"/>
        <v>-46.205213281443761</v>
      </c>
      <c r="AY74" s="204">
        <f t="shared" si="83"/>
        <v>-46.255176869674074</v>
      </c>
      <c r="AZ74" s="204">
        <f t="shared" si="83"/>
        <v>-46.305384337849716</v>
      </c>
      <c r="BA74" s="204">
        <f t="shared" si="83"/>
        <v>-46.355813057202738</v>
      </c>
      <c r="BB74" s="204">
        <f t="shared" si="83"/>
        <v>-46.406441097640339</v>
      </c>
      <c r="BC74" s="204">
        <f t="shared" si="83"/>
        <v>-46.457247210507518</v>
      </c>
      <c r="BD74" s="204">
        <f t="shared" si="83"/>
        <v>-46.508210811734926</v>
      </c>
      <c r="BE74" s="204">
        <f t="shared" si="83"/>
        <v>-46.559311965363534</v>
      </c>
      <c r="BF74" s="204">
        <f t="shared" si="83"/>
        <v>-46.610531367438</v>
      </c>
      <c r="BG74" s="204">
        <f t="shared" si="83"/>
        <v>-46.661850330261316</v>
      </c>
      <c r="BH74" s="204">
        <f t="shared" si="83"/>
        <v>-46.713250767002734</v>
      </c>
      <c r="BI74" s="204">
        <f t="shared" si="83"/>
        <v>-46.764715176651649</v>
      </c>
      <c r="BJ74" s="204">
        <f t="shared" si="83"/>
        <v>-46.816226629310137</v>
      </c>
      <c r="BK74" s="204">
        <f t="shared" si="83"/>
        <v>-46.867768751816897</v>
      </c>
      <c r="BL74" s="204">
        <f t="shared" si="83"/>
        <v>-46.919325713695557</v>
      </c>
      <c r="BM74" s="204">
        <f t="shared" si="83"/>
        <v>-46.970882213420474</v>
      </c>
      <c r="BN74" s="204">
        <f t="shared" si="83"/>
        <v>-47.022423464993331</v>
      </c>
      <c r="BO74" s="204">
        <f t="shared" si="83"/>
        <v>-47.073935184823789</v>
      </c>
      <c r="BP74" s="204">
        <f t="shared" si="83"/>
        <v>-47.125403578907871</v>
      </c>
      <c r="BQ74" s="204">
        <f t="shared" si="83"/>
        <v>-47.176815330297551</v>
      </c>
      <c r="BR74" s="204">
        <f t="shared" si="83"/>
        <v>-47.228157586855609</v>
      </c>
      <c r="BS74" s="204">
        <f t="shared" si="83"/>
        <v>-47.279417949289261</v>
      </c>
      <c r="BT74" s="204">
        <f t="shared" si="83"/>
        <v>-47.33058445945705</v>
      </c>
      <c r="BU74" s="204">
        <f t="shared" ref="BU74:EF74" si="84">PV($F28,BU$9,1,0)+(PV($J$6,$N$5-(BU$9),1,0)/($J$6+1)^BU$9)</f>
        <v>-47.381645588942803</v>
      </c>
      <c r="BV74" s="204">
        <f t="shared" si="84"/>
        <v>-47.43259022789114</v>
      </c>
      <c r="BW74" s="204">
        <f t="shared" si="84"/>
        <v>-47.483407674098856</v>
      </c>
      <c r="BX74" s="204">
        <f t="shared" si="84"/>
        <v>-47.534087622356651</v>
      </c>
      <c r="BY74" s="204">
        <f t="shared" si="84"/>
        <v>-47.58462015403596</v>
      </c>
      <c r="BZ74" s="204">
        <f t="shared" si="84"/>
        <v>-47.634995726915484</v>
      </c>
      <c r="CA74" s="204">
        <f t="shared" si="84"/>
        <v>-47.685205165242365</v>
      </c>
      <c r="CB74" s="204">
        <f t="shared" si="84"/>
        <v>-47.735239650022862</v>
      </c>
      <c r="CC74" s="204">
        <f t="shared" si="84"/>
        <v>-47.785090709537677</v>
      </c>
      <c r="CD74" s="204">
        <f t="shared" si="84"/>
        <v>-47.83475021007704</v>
      </c>
      <c r="CE74" s="204">
        <f t="shared" si="84"/>
        <v>-47.884210346890868</v>
      </c>
      <c r="CF74" s="204">
        <f t="shared" si="84"/>
        <v>-47.933463635349177</v>
      </c>
      <c r="CG74" s="204">
        <f t="shared" si="84"/>
        <v>-47.982502902308461</v>
      </c>
      <c r="CH74" s="204">
        <f t="shared" si="84"/>
        <v>-48.031321277679396</v>
      </c>
      <c r="CI74" s="204">
        <f t="shared" si="84"/>
        <v>-48.079912186191542</v>
      </c>
      <c r="CJ74" s="204">
        <f t="shared" si="84"/>
        <v>-48.128269339350801</v>
      </c>
      <c r="CK74" s="204">
        <f t="shared" si="84"/>
        <v>-48.176386727585474</v>
      </c>
      <c r="CL74" s="204">
        <f t="shared" si="84"/>
        <v>-48.224258612576719</v>
      </c>
      <c r="CM74" s="204">
        <f t="shared" si="84"/>
        <v>-48.271879519769527</v>
      </c>
      <c r="CN74" s="204">
        <f t="shared" si="84"/>
        <v>-48.319244231060161</v>
      </c>
      <c r="CO74" s="204">
        <f t="shared" si="84"/>
        <v>-48.366347777656323</v>
      </c>
      <c r="CP74" s="204">
        <f t="shared" si="84"/>
        <v>-48.413185433106236</v>
      </c>
      <c r="CQ74" s="204">
        <f t="shared" si="84"/>
        <v>-48.459752706492871</v>
      </c>
      <c r="CR74" s="204">
        <f t="shared" si="84"/>
        <v>-48.506045335789935</v>
      </c>
      <c r="CS74" s="204">
        <f t="shared" si="84"/>
        <v>-48.552059281375747</v>
      </c>
      <c r="CT74" s="204">
        <f t="shared" si="84"/>
        <v>-48.597790719701919</v>
      </c>
      <c r="CU74" s="204">
        <f t="shared" si="84"/>
        <v>-48.643236037113098</v>
      </c>
      <c r="CV74" s="204">
        <f t="shared" si="84"/>
        <v>-48.688391823814776</v>
      </c>
      <c r="CW74" s="204">
        <f t="shared" si="84"/>
        <v>-48.733254867985565</v>
      </c>
      <c r="CX74" s="204">
        <f t="shared" si="84"/>
        <v>-48.777822150031135</v>
      </c>
      <c r="CY74" s="204">
        <f t="shared" si="84"/>
        <v>-48.777822150031135</v>
      </c>
      <c r="CZ74" s="204">
        <f t="shared" si="84"/>
        <v>-48.777822150031135</v>
      </c>
      <c r="DA74" s="204">
        <f t="shared" si="84"/>
        <v>-48.777822150031135</v>
      </c>
      <c r="DB74" s="204">
        <f t="shared" si="84"/>
        <v>-48.777822150031135</v>
      </c>
      <c r="DC74" s="204">
        <f t="shared" si="84"/>
        <v>-48.777822150031135</v>
      </c>
      <c r="DD74" s="204">
        <f t="shared" si="84"/>
        <v>-48.777822150031135</v>
      </c>
      <c r="DE74" s="204">
        <f t="shared" si="84"/>
        <v>-48.777822150031135</v>
      </c>
      <c r="DF74" s="204">
        <f t="shared" si="84"/>
        <v>-48.777822150031135</v>
      </c>
      <c r="DG74" s="204">
        <f t="shared" si="84"/>
        <v>-48.777822150031135</v>
      </c>
      <c r="DH74" s="204">
        <f t="shared" si="84"/>
        <v>-48.777822150031135</v>
      </c>
      <c r="DI74" s="204">
        <f t="shared" si="84"/>
        <v>-48.777822150031135</v>
      </c>
      <c r="DJ74" s="204">
        <f t="shared" si="84"/>
        <v>-48.777822150031135</v>
      </c>
      <c r="DK74" s="204">
        <f t="shared" si="84"/>
        <v>-48.777822150031135</v>
      </c>
      <c r="DL74" s="204">
        <f t="shared" si="84"/>
        <v>-48.777822150031135</v>
      </c>
      <c r="DM74" s="204">
        <f t="shared" si="84"/>
        <v>-48.777822150031135</v>
      </c>
      <c r="DN74" s="204">
        <f t="shared" si="84"/>
        <v>-48.777822150031135</v>
      </c>
      <c r="DO74" s="204">
        <f t="shared" si="84"/>
        <v>-48.777822150031135</v>
      </c>
      <c r="DP74" s="204">
        <f t="shared" si="84"/>
        <v>-48.777822150031135</v>
      </c>
      <c r="DQ74" s="204">
        <f t="shared" si="84"/>
        <v>-48.777822150031135</v>
      </c>
      <c r="DR74" s="204">
        <f t="shared" si="84"/>
        <v>-48.777822150031135</v>
      </c>
      <c r="DS74" s="204">
        <f t="shared" si="84"/>
        <v>-48.777822150031135</v>
      </c>
      <c r="DT74" s="204">
        <f t="shared" si="84"/>
        <v>-48.777822150031135</v>
      </c>
      <c r="DU74" s="204">
        <f t="shared" si="84"/>
        <v>-48.777822150031135</v>
      </c>
      <c r="DV74" s="204">
        <f t="shared" si="84"/>
        <v>-48.777822150031135</v>
      </c>
      <c r="DW74" s="204">
        <f t="shared" si="84"/>
        <v>-48.777822150031135</v>
      </c>
      <c r="DX74" s="204">
        <f t="shared" si="84"/>
        <v>-48.777822150031135</v>
      </c>
      <c r="DY74" s="204">
        <f t="shared" si="84"/>
        <v>-48.777822150031135</v>
      </c>
      <c r="DZ74" s="204">
        <f t="shared" si="84"/>
        <v>-48.777822150031135</v>
      </c>
      <c r="EA74" s="204">
        <f t="shared" si="84"/>
        <v>-48.777822150031135</v>
      </c>
      <c r="EB74" s="204">
        <f t="shared" si="84"/>
        <v>-48.777822150031135</v>
      </c>
      <c r="EC74" s="204">
        <f t="shared" si="84"/>
        <v>-48.777822150031135</v>
      </c>
      <c r="ED74" s="204">
        <f t="shared" si="84"/>
        <v>-48.777822150031135</v>
      </c>
      <c r="EE74" s="204">
        <f t="shared" si="84"/>
        <v>-48.777822150031135</v>
      </c>
      <c r="EF74" s="204">
        <f t="shared" si="84"/>
        <v>-48.777822150031135</v>
      </c>
      <c r="EG74" s="204">
        <f t="shared" ref="EG74:ET74" si="85">PV($F28,EG$9,1,0)+(PV($J$6,$N$5-(EG$9),1,0)/($J$6+1)^EG$9)</f>
        <v>-48.777822150031135</v>
      </c>
      <c r="EH74" s="204">
        <f t="shared" si="85"/>
        <v>-48.777822150031135</v>
      </c>
      <c r="EI74" s="204">
        <f t="shared" si="85"/>
        <v>-48.777822150031135</v>
      </c>
      <c r="EJ74" s="204">
        <f t="shared" si="85"/>
        <v>-48.777822150031135</v>
      </c>
      <c r="EK74" s="204">
        <f t="shared" si="85"/>
        <v>-48.777822150031135</v>
      </c>
      <c r="EL74" s="204">
        <f t="shared" si="85"/>
        <v>-48.777822150031135</v>
      </c>
      <c r="EM74" s="204">
        <f t="shared" si="85"/>
        <v>-48.777822150031135</v>
      </c>
      <c r="EN74" s="204">
        <f t="shared" si="85"/>
        <v>-48.777822150031135</v>
      </c>
      <c r="EO74" s="204">
        <f t="shared" si="85"/>
        <v>-48.777822150031135</v>
      </c>
      <c r="EP74" s="204">
        <f t="shared" si="85"/>
        <v>-48.777822150031135</v>
      </c>
      <c r="EQ74" s="204">
        <f t="shared" si="85"/>
        <v>-48.777822150031135</v>
      </c>
      <c r="ER74" s="204">
        <f t="shared" si="85"/>
        <v>-48.777822150031135</v>
      </c>
      <c r="ES74" s="204">
        <f t="shared" si="85"/>
        <v>-48.777822150031135</v>
      </c>
      <c r="ET74" s="204">
        <f t="shared" si="85"/>
        <v>-48.777822150031135</v>
      </c>
      <c r="FF74" s="6" t="s">
        <v>3016</v>
      </c>
      <c r="FG74" s="696">
        <v>2.4900000000000002E-2</v>
      </c>
      <c r="FH74" s="696">
        <v>120</v>
      </c>
      <c r="FI74" s="696">
        <v>1.5700000000000002E-2</v>
      </c>
      <c r="FJ74" s="255">
        <v>1.37E-2</v>
      </c>
      <c r="FK74" s="71">
        <f t="shared" si="11"/>
        <v>2.6666666666666668E-4</v>
      </c>
      <c r="FL74" t="e">
        <f>VLOOKUP(FF74,'SIMULADOR COM SALDO'!$BX$22:$CK$1000,13,FALSE)</f>
        <v>#N/A</v>
      </c>
    </row>
    <row r="75" spans="7:168" x14ac:dyDescent="0.25">
      <c r="G75" s="103">
        <f t="shared" si="45"/>
        <v>-44.754473360849055</v>
      </c>
      <c r="H75" s="204">
        <f t="shared" si="46"/>
        <v>-44.758923701242708</v>
      </c>
      <c r="I75" s="204">
        <f t="shared" ref="I75:BT75" si="86">PV($F29,I$9,1,0)+(PV($J$6,$N$5-(I$9),1,0)/($J$6+1)^I$9)</f>
        <v>-44.76548551674594</v>
      </c>
      <c r="J75" s="204">
        <f t="shared" si="86"/>
        <v>-44.774085596324284</v>
      </c>
      <c r="K75" s="204">
        <f t="shared" si="86"/>
        <v>-44.784652613000986</v>
      </c>
      <c r="L75" s="204">
        <f t="shared" si="86"/>
        <v>-44.797117080822176</v>
      </c>
      <c r="M75" s="204">
        <f t="shared" si="86"/>
        <v>-44.811411312744049</v>
      </c>
      <c r="N75" s="204">
        <f t="shared" si="86"/>
        <v>-44.827469379422567</v>
      </c>
      <c r="O75" s="204">
        <f t="shared" si="86"/>
        <v>-44.845227068887837</v>
      </c>
      <c r="P75" s="204">
        <f t="shared" si="86"/>
        <v>-44.864621847084088</v>
      </c>
      <c r="Q75" s="204">
        <f t="shared" si="86"/>
        <v>-44.885592819258108</v>
      </c>
      <c r="R75" s="204">
        <f t="shared" si="86"/>
        <v>-44.908080692178153</v>
      </c>
      <c r="S75" s="204">
        <f t="shared" si="86"/>
        <v>-44.932027737166621</v>
      </c>
      <c r="T75" s="204">
        <f t="shared" si="86"/>
        <v>-44.957377753929229</v>
      </c>
      <c r="U75" s="204">
        <f t="shared" si="86"/>
        <v>-44.984076035164591</v>
      </c>
      <c r="V75" s="204">
        <f t="shared" si="86"/>
        <v>-45.012069331937809</v>
      </c>
      <c r="W75" s="204">
        <f t="shared" si="86"/>
        <v>-45.041305819802616</v>
      </c>
      <c r="X75" s="204">
        <f t="shared" si="86"/>
        <v>-45.071735065656028</v>
      </c>
      <c r="Y75" s="204">
        <f t="shared" si="86"/>
        <v>-45.103307995310985</v>
      </c>
      <c r="Z75" s="204">
        <f t="shared" si="86"/>
        <v>-45.13597686177151</v>
      </c>
      <c r="AA75" s="204">
        <f t="shared" si="86"/>
        <v>-45.169695214196224</v>
      </c>
      <c r="AB75" s="204">
        <f t="shared" si="86"/>
        <v>-45.204417867535746</v>
      </c>
      <c r="AC75" s="204">
        <f t="shared" si="86"/>
        <v>-45.240100872830055</v>
      </c>
      <c r="AD75" s="204">
        <f t="shared" si="86"/>
        <v>-45.276701488151943</v>
      </c>
      <c r="AE75" s="204">
        <f t="shared" si="86"/>
        <v>-45.314178150183494</v>
      </c>
      <c r="AF75" s="204">
        <f t="shared" si="86"/>
        <v>-45.352490446411977</v>
      </c>
      <c r="AG75" s="204">
        <f t="shared" si="86"/>
        <v>-45.391599087932534</v>
      </c>
      <c r="AH75" s="204">
        <f t="shared" si="86"/>
        <v>-45.431465882844989</v>
      </c>
      <c r="AI75" s="204">
        <f t="shared" si="86"/>
        <v>-45.472053710232331</v>
      </c>
      <c r="AJ75" s="204">
        <f t="shared" si="86"/>
        <v>-45.513326494708792</v>
      </c>
      <c r="AK75" s="204">
        <f t="shared" si="86"/>
        <v>-45.555249181525582</v>
      </c>
      <c r="AL75" s="204">
        <f t="shared" si="86"/>
        <v>-45.59778771222269</v>
      </c>
      <c r="AM75" s="204">
        <f t="shared" si="86"/>
        <v>-45.640909000815313</v>
      </c>
      <c r="AN75" s="204">
        <f t="shared" si="86"/>
        <v>-45.684580910503726</v>
      </c>
      <c r="AO75" s="204">
        <f t="shared" si="86"/>
        <v>-45.728772230895665</v>
      </c>
      <c r="AP75" s="204">
        <f t="shared" si="86"/>
        <v>-45.773452655730438</v>
      </c>
      <c r="AQ75" s="204">
        <f t="shared" si="86"/>
        <v>-45.818592761094365</v>
      </c>
      <c r="AR75" s="204">
        <f t="shared" si="86"/>
        <v>-45.86416398411707</v>
      </c>
      <c r="AS75" s="204">
        <f t="shared" si="86"/>
        <v>-45.910138602138773</v>
      </c>
      <c r="AT75" s="204">
        <f t="shared" si="86"/>
        <v>-45.95648971233831</v>
      </c>
      <c r="AU75" s="204">
        <f t="shared" si="86"/>
        <v>-46.003191211812776</v>
      </c>
      <c r="AV75" s="204">
        <f t="shared" si="86"/>
        <v>-46.050217778098684</v>
      </c>
      <c r="AW75" s="204">
        <f t="shared" si="86"/>
        <v>-46.09754485012575</v>
      </c>
      <c r="AX75" s="204">
        <f t="shared" si="86"/>
        <v>-46.14514860959406</v>
      </c>
      <c r="AY75" s="204">
        <f t="shared" si="86"/>
        <v>-46.19300596276571</v>
      </c>
      <c r="AZ75" s="204">
        <f t="shared" si="86"/>
        <v>-46.241094522662166</v>
      </c>
      <c r="BA75" s="204">
        <f t="shared" si="86"/>
        <v>-46.28939259165881</v>
      </c>
      <c r="BB75" s="204">
        <f t="shared" si="86"/>
        <v>-46.337879144468232</v>
      </c>
      <c r="BC75" s="204">
        <f t="shared" si="86"/>
        <v>-46.386533811504194</v>
      </c>
      <c r="BD75" s="204">
        <f t="shared" si="86"/>
        <v>-46.435336862617902</v>
      </c>
      <c r="BE75" s="204">
        <f t="shared" si="86"/>
        <v>-46.484269191199175</v>
      </c>
      <c r="BF75" s="204">
        <f t="shared" si="86"/>
        <v>-46.533312298634343</v>
      </c>
      <c r="BG75" s="204">
        <f t="shared" si="86"/>
        <v>-46.5824482791135</v>
      </c>
      <c r="BH75" s="204">
        <f t="shared" si="86"/>
        <v>-46.631659804779787</v>
      </c>
      <c r="BI75" s="204">
        <f t="shared" si="86"/>
        <v>-46.680930111213236</v>
      </c>
      <c r="BJ75" s="204">
        <f t="shared" si="86"/>
        <v>-46.730242983242221</v>
      </c>
      <c r="BK75" s="204">
        <f t="shared" si="86"/>
        <v>-46.779582741075536</v>
      </c>
      <c r="BL75" s="204">
        <f t="shared" si="86"/>
        <v>-46.82893422674821</v>
      </c>
      <c r="BM75" s="204">
        <f t="shared" si="86"/>
        <v>-46.878282790874394</v>
      </c>
      <c r="BN75" s="204">
        <f t="shared" si="86"/>
        <v>-46.927614279700805</v>
      </c>
      <c r="BO75" s="204">
        <f t="shared" si="86"/>
        <v>-46.976915022454328</v>
      </c>
      <c r="BP75" s="204">
        <f t="shared" si="86"/>
        <v>-47.026171818977438</v>
      </c>
      <c r="BQ75" s="204">
        <f t="shared" si="86"/>
        <v>-47.075371927645307</v>
      </c>
      <c r="BR75" s="204">
        <f t="shared" si="86"/>
        <v>-47.124503053558662</v>
      </c>
      <c r="BS75" s="204">
        <f t="shared" si="86"/>
        <v>-47.173553337006297</v>
      </c>
      <c r="BT75" s="204">
        <f t="shared" si="86"/>
        <v>-47.222511342191666</v>
      </c>
      <c r="BU75" s="204">
        <f t="shared" ref="BU75:EF75" si="87">PV($F29,BU$9,1,0)+(PV($J$6,$N$5-(BU$9),1,0)/($J$6+1)^BU$9)</f>
        <v>-47.271366046217828</v>
      </c>
      <c r="BV75" s="204">
        <f t="shared" si="87"/>
        <v>-47.320106828325066</v>
      </c>
      <c r="BW75" s="204">
        <f t="shared" si="87"/>
        <v>-47.368723459376</v>
      </c>
      <c r="BX75" s="204">
        <f t="shared" si="87"/>
        <v>-47.417206091582642</v>
      </c>
      <c r="BY75" s="204">
        <f t="shared" si="87"/>
        <v>-47.465545248470342</v>
      </c>
      <c r="BZ75" s="204">
        <f t="shared" si="87"/>
        <v>-47.513731815073434</v>
      </c>
      <c r="CA75" s="204">
        <f t="shared" si="87"/>
        <v>-47.561757028357682</v>
      </c>
      <c r="CB75" s="204">
        <f t="shared" si="87"/>
        <v>-47.609612467864444</v>
      </c>
      <c r="CC75" s="204">
        <f t="shared" si="87"/>
        <v>-47.657290046572001</v>
      </c>
      <c r="CD75" s="204">
        <f t="shared" si="87"/>
        <v>-47.704782001969257</v>
      </c>
      <c r="CE75" s="204">
        <f t="shared" si="87"/>
        <v>-47.752080887337101</v>
      </c>
      <c r="CF75" s="204">
        <f t="shared" si="87"/>
        <v>-47.79917956323316</v>
      </c>
      <c r="CG75" s="204">
        <f t="shared" si="87"/>
        <v>-47.846071189175333</v>
      </c>
      <c r="CH75" s="204">
        <f t="shared" si="87"/>
        <v>-47.892749215519892</v>
      </c>
      <c r="CI75" s="204">
        <f t="shared" si="87"/>
        <v>-47.939207375529939</v>
      </c>
      <c r="CJ75" s="204">
        <f t="shared" si="87"/>
        <v>-47.985439677629991</v>
      </c>
      <c r="CK75" s="204">
        <f t="shared" si="87"/>
        <v>-48.031440397842765</v>
      </c>
      <c r="CL75" s="204">
        <f t="shared" si="87"/>
        <v>-48.077204072404037</v>
      </c>
      <c r="CM75" s="204">
        <f t="shared" si="87"/>
        <v>-48.122725490551915</v>
      </c>
      <c r="CN75" s="204">
        <f t="shared" si="87"/>
        <v>-48.16799968748645</v>
      </c>
      <c r="CO75" s="204">
        <f t="shared" si="87"/>
        <v>-48.213021937496094</v>
      </c>
      <c r="CP75" s="204">
        <f t="shared" si="87"/>
        <v>-48.257787747247228</v>
      </c>
      <c r="CQ75" s="204">
        <f t="shared" si="87"/>
        <v>-48.302292849233226</v>
      </c>
      <c r="CR75" s="204">
        <f t="shared" si="87"/>
        <v>-48.346533195379607</v>
      </c>
      <c r="CS75" s="204">
        <f t="shared" si="87"/>
        <v>-48.39050495080167</v>
      </c>
      <c r="CT75" s="204">
        <f t="shared" si="87"/>
        <v>-48.434204487711575</v>
      </c>
      <c r="CU75" s="204">
        <f t="shared" si="87"/>
        <v>-48.477628379471227</v>
      </c>
      <c r="CV75" s="204">
        <f t="shared" si="87"/>
        <v>-48.520773394788108</v>
      </c>
      <c r="CW75" s="204">
        <f t="shared" si="87"/>
        <v>-48.563636492050563</v>
      </c>
      <c r="CX75" s="204">
        <f t="shared" si="87"/>
        <v>-48.606214813799738</v>
      </c>
      <c r="CY75" s="204">
        <f t="shared" si="87"/>
        <v>-48.606214813799738</v>
      </c>
      <c r="CZ75" s="204">
        <f t="shared" si="87"/>
        <v>-48.606214813799738</v>
      </c>
      <c r="DA75" s="204">
        <f t="shared" si="87"/>
        <v>-48.606214813799738</v>
      </c>
      <c r="DB75" s="204">
        <f t="shared" si="87"/>
        <v>-48.606214813799738</v>
      </c>
      <c r="DC75" s="204">
        <f t="shared" si="87"/>
        <v>-48.606214813799738</v>
      </c>
      <c r="DD75" s="204">
        <f t="shared" si="87"/>
        <v>-48.606214813799738</v>
      </c>
      <c r="DE75" s="204">
        <f t="shared" si="87"/>
        <v>-48.606214813799738</v>
      </c>
      <c r="DF75" s="204">
        <f t="shared" si="87"/>
        <v>-48.606214813799738</v>
      </c>
      <c r="DG75" s="204">
        <f t="shared" si="87"/>
        <v>-48.606214813799738</v>
      </c>
      <c r="DH75" s="204">
        <f t="shared" si="87"/>
        <v>-48.606214813799738</v>
      </c>
      <c r="DI75" s="204">
        <f t="shared" si="87"/>
        <v>-48.606214813799738</v>
      </c>
      <c r="DJ75" s="204">
        <f t="shared" si="87"/>
        <v>-48.606214813799738</v>
      </c>
      <c r="DK75" s="204">
        <f t="shared" si="87"/>
        <v>-48.606214813799738</v>
      </c>
      <c r="DL75" s="204">
        <f t="shared" si="87"/>
        <v>-48.606214813799738</v>
      </c>
      <c r="DM75" s="204">
        <f t="shared" si="87"/>
        <v>-48.606214813799738</v>
      </c>
      <c r="DN75" s="204">
        <f t="shared" si="87"/>
        <v>-48.606214813799738</v>
      </c>
      <c r="DO75" s="204">
        <f t="shared" si="87"/>
        <v>-48.606214813799738</v>
      </c>
      <c r="DP75" s="204">
        <f t="shared" si="87"/>
        <v>-48.606214813799738</v>
      </c>
      <c r="DQ75" s="204">
        <f t="shared" si="87"/>
        <v>-48.606214813799738</v>
      </c>
      <c r="DR75" s="204">
        <f t="shared" si="87"/>
        <v>-48.606214813799738</v>
      </c>
      <c r="DS75" s="204">
        <f t="shared" si="87"/>
        <v>-48.606214813799738</v>
      </c>
      <c r="DT75" s="204">
        <f t="shared" si="87"/>
        <v>-48.606214813799738</v>
      </c>
      <c r="DU75" s="204">
        <f t="shared" si="87"/>
        <v>-48.606214813799738</v>
      </c>
      <c r="DV75" s="204">
        <f t="shared" si="87"/>
        <v>-48.606214813799738</v>
      </c>
      <c r="DW75" s="204">
        <f t="shared" si="87"/>
        <v>-48.606214813799738</v>
      </c>
      <c r="DX75" s="204">
        <f t="shared" si="87"/>
        <v>-48.606214813799738</v>
      </c>
      <c r="DY75" s="204">
        <f t="shared" si="87"/>
        <v>-48.606214813799738</v>
      </c>
      <c r="DZ75" s="204">
        <f t="shared" si="87"/>
        <v>-48.606214813799738</v>
      </c>
      <c r="EA75" s="204">
        <f t="shared" si="87"/>
        <v>-48.606214813799738</v>
      </c>
      <c r="EB75" s="204">
        <f t="shared" si="87"/>
        <v>-48.606214813799738</v>
      </c>
      <c r="EC75" s="204">
        <f t="shared" si="87"/>
        <v>-48.606214813799738</v>
      </c>
      <c r="ED75" s="204">
        <f t="shared" si="87"/>
        <v>-48.606214813799738</v>
      </c>
      <c r="EE75" s="204">
        <f t="shared" si="87"/>
        <v>-48.606214813799738</v>
      </c>
      <c r="EF75" s="204">
        <f t="shared" si="87"/>
        <v>-48.606214813799738</v>
      </c>
      <c r="EG75" s="204">
        <f t="shared" ref="EG75:ET75" si="88">PV($F29,EG$9,1,0)+(PV($J$6,$N$5-(EG$9),1,0)/($J$6+1)^EG$9)</f>
        <v>-48.606214813799738</v>
      </c>
      <c r="EH75" s="204">
        <f t="shared" si="88"/>
        <v>-48.606214813799738</v>
      </c>
      <c r="EI75" s="204">
        <f t="shared" si="88"/>
        <v>-48.606214813799738</v>
      </c>
      <c r="EJ75" s="204">
        <f t="shared" si="88"/>
        <v>-48.606214813799738</v>
      </c>
      <c r="EK75" s="204">
        <f t="shared" si="88"/>
        <v>-48.606214813799738</v>
      </c>
      <c r="EL75" s="204">
        <f t="shared" si="88"/>
        <v>-48.606214813799738</v>
      </c>
      <c r="EM75" s="204">
        <f t="shared" si="88"/>
        <v>-48.606214813799738</v>
      </c>
      <c r="EN75" s="204">
        <f t="shared" si="88"/>
        <v>-48.606214813799738</v>
      </c>
      <c r="EO75" s="204">
        <f t="shared" si="88"/>
        <v>-48.606214813799738</v>
      </c>
      <c r="EP75" s="204">
        <f t="shared" si="88"/>
        <v>-48.606214813799738</v>
      </c>
      <c r="EQ75" s="204">
        <f t="shared" si="88"/>
        <v>-48.606214813799738</v>
      </c>
      <c r="ER75" s="204">
        <f t="shared" si="88"/>
        <v>-48.606214813799738</v>
      </c>
      <c r="ES75" s="204">
        <f t="shared" si="88"/>
        <v>-48.606214813799738</v>
      </c>
      <c r="ET75" s="204">
        <f t="shared" si="88"/>
        <v>-48.606214813799738</v>
      </c>
      <c r="FF75" s="6" t="s">
        <v>3017</v>
      </c>
      <c r="FG75" s="696">
        <v>2.4900000000000002E-2</v>
      </c>
      <c r="FH75" s="696">
        <v>120</v>
      </c>
      <c r="FI75" s="696">
        <v>1.5700000000000002E-2</v>
      </c>
      <c r="FJ75" s="255">
        <v>1.37E-2</v>
      </c>
      <c r="FK75" s="71">
        <f t="shared" si="11"/>
        <v>2.6666666666666668E-4</v>
      </c>
      <c r="FL75" t="e">
        <f>VLOOKUP(FF75,'SIMULADOR COM SALDO'!$BX$22:$CK$1000,13,FALSE)</f>
        <v>#N/A</v>
      </c>
    </row>
    <row r="76" spans="7:168" x14ac:dyDescent="0.25">
      <c r="G76" s="103">
        <f t="shared" si="45"/>
        <v>-44.754378830535508</v>
      </c>
      <c r="H76" s="204">
        <f t="shared" si="46"/>
        <v>-44.758643125347469</v>
      </c>
      <c r="I76" s="204">
        <f t="shared" ref="I76:BT76" si="89">PV($F30,I$9,1,0)+(PV($J$6,$N$5-(I$9),1,0)/($J$6+1)^I$9)</f>
        <v>-44.764930322922353</v>
      </c>
      <c r="J76" s="204">
        <f t="shared" si="89"/>
        <v>-44.773170084556952</v>
      </c>
      <c r="K76" s="204">
        <f t="shared" si="89"/>
        <v>-44.783293886518436</v>
      </c>
      <c r="L76" s="204">
        <f t="shared" si="89"/>
        <v>-44.795234978482746</v>
      </c>
      <c r="M76" s="204">
        <f t="shared" si="89"/>
        <v>-44.80892834286518</v>
      </c>
      <c r="N76" s="204">
        <f t="shared" si="89"/>
        <v>-44.824310655025172</v>
      </c>
      <c r="O76" s="204">
        <f t="shared" si="89"/>
        <v>-44.841320244326873</v>
      </c>
      <c r="P76" s="204">
        <f t="shared" si="89"/>
        <v>-44.859897056038029</v>
      </c>
      <c r="Q76" s="204">
        <f t="shared" si="89"/>
        <v>-44.879982614049879</v>
      </c>
      <c r="R76" s="204">
        <f t="shared" si="89"/>
        <v>-44.901519984400927</v>
      </c>
      <c r="S76" s="204">
        <f t="shared" si="89"/>
        <v>-44.924453739588159</v>
      </c>
      <c r="T76" s="204">
        <f t="shared" si="89"/>
        <v>-44.948729923649246</v>
      </c>
      <c r="U76" s="204">
        <f t="shared" si="89"/>
        <v>-44.974296017999819</v>
      </c>
      <c r="V76" s="204">
        <f t="shared" si="89"/>
        <v>-45.001100908010251</v>
      </c>
      <c r="W76" s="204">
        <f t="shared" si="89"/>
        <v>-45.029094850306407</v>
      </c>
      <c r="X76" s="204">
        <f t="shared" si="89"/>
        <v>-45.058229440779606</v>
      </c>
      <c r="Y76" s="204">
        <f t="shared" si="89"/>
        <v>-45.088457583290833</v>
      </c>
      <c r="Z76" s="204">
        <f t="shared" si="89"/>
        <v>-45.119733459054935</v>
      </c>
      <c r="AA76" s="204">
        <f t="shared" si="89"/>
        <v>-45.152012496690595</v>
      </c>
      <c r="AB76" s="204">
        <f t="shared" si="89"/>
        <v>-45.185251342922271</v>
      </c>
      <c r="AC76" s="204">
        <f t="shared" si="89"/>
        <v>-45.219407833920428</v>
      </c>
      <c r="AD76" s="204">
        <f t="shared" si="89"/>
        <v>-45.254440967267016</v>
      </c>
      <c r="AE76" s="204">
        <f t="shared" si="89"/>
        <v>-45.290310874532878</v>
      </c>
      <c r="AF76" s="204">
        <f t="shared" si="89"/>
        <v>-45.326978794454476</v>
      </c>
      <c r="AG76" s="204">
        <f t="shared" si="89"/>
        <v>-45.364407046697401</v>
      </c>
      <c r="AH76" s="204">
        <f t="shared" si="89"/>
        <v>-45.402559006194551</v>
      </c>
      <c r="AI76" s="204">
        <f t="shared" si="89"/>
        <v>-45.441399078046601</v>
      </c>
      <c r="AJ76" s="204">
        <f t="shared" si="89"/>
        <v>-45.480892672973553</v>
      </c>
      <c r="AK76" s="204">
        <f t="shared" si="89"/>
        <v>-45.521006183305232</v>
      </c>
      <c r="AL76" s="204">
        <f t="shared" si="89"/>
        <v>-45.561706959500015</v>
      </c>
      <c r="AM76" s="204">
        <f t="shared" si="89"/>
        <v>-45.602963287180295</v>
      </c>
      <c r="AN76" s="204">
        <f t="shared" si="89"/>
        <v>-45.644744364674125</v>
      </c>
      <c r="AO76" s="204">
        <f t="shared" si="89"/>
        <v>-45.687020281052199</v>
      </c>
      <c r="AP76" s="204">
        <f t="shared" si="89"/>
        <v>-45.729761994650097</v>
      </c>
      <c r="AQ76" s="204">
        <f t="shared" si="89"/>
        <v>-45.772941312065129</v>
      </c>
      <c r="AR76" s="204">
        <f t="shared" si="89"/>
        <v>-45.816530867618319</v>
      </c>
      <c r="AS76" s="204">
        <f t="shared" si="89"/>
        <v>-45.860504103271339</v>
      </c>
      <c r="AT76" s="204">
        <f t="shared" si="89"/>
        <v>-45.904835248989073</v>
      </c>
      <c r="AU76" s="204">
        <f t="shared" si="89"/>
        <v>-45.949499303538246</v>
      </c>
      <c r="AV76" s="204">
        <f t="shared" si="89"/>
        <v>-45.994472015713107</v>
      </c>
      <c r="AW76" s="204">
        <f t="shared" si="89"/>
        <v>-46.039729865978934</v>
      </c>
      <c r="AX76" s="204">
        <f t="shared" si="89"/>
        <v>-46.085250048524827</v>
      </c>
      <c r="AY76" s="204">
        <f t="shared" si="89"/>
        <v>-46.131010453716812</v>
      </c>
      <c r="AZ76" s="204">
        <f t="shared" si="89"/>
        <v>-46.176989650943142</v>
      </c>
      <c r="BA76" s="204">
        <f t="shared" si="89"/>
        <v>-46.223166871843119</v>
      </c>
      <c r="BB76" s="204">
        <f t="shared" si="89"/>
        <v>-46.269521993911781</v>
      </c>
      <c r="BC76" s="204">
        <f t="shared" si="89"/>
        <v>-46.316035524471971</v>
      </c>
      <c r="BD76" s="204">
        <f t="shared" si="89"/>
        <v>-46.36268858500641</v>
      </c>
      <c r="BE76" s="204">
        <f t="shared" si="89"/>
        <v>-46.409462895841955</v>
      </c>
      <c r="BF76" s="204">
        <f t="shared" si="89"/>
        <v>-46.456340761178616</v>
      </c>
      <c r="BG76" s="204">
        <f t="shared" si="89"/>
        <v>-46.503305054455879</v>
      </c>
      <c r="BH76" s="204">
        <f t="shared" si="89"/>
        <v>-46.550339204049429</v>
      </c>
      <c r="BI76" s="204">
        <f t="shared" si="89"/>
        <v>-46.597427179290861</v>
      </c>
      <c r="BJ76" s="204">
        <f t="shared" si="89"/>
        <v>-46.644553476803978</v>
      </c>
      <c r="BK76" s="204">
        <f t="shared" si="89"/>
        <v>-46.691703107150424</v>
      </c>
      <c r="BL76" s="204">
        <f t="shared" si="89"/>
        <v>-46.738861581778437</v>
      </c>
      <c r="BM76" s="204">
        <f t="shared" si="89"/>
        <v>-46.786014900268022</v>
      </c>
      <c r="BN76" s="204">
        <f t="shared" si="89"/>
        <v>-46.833149537866348</v>
      </c>
      <c r="BO76" s="204">
        <f t="shared" si="89"/>
        <v>-46.880252433307049</v>
      </c>
      <c r="BP76" s="204">
        <f t="shared" si="89"/>
        <v>-46.927310976907492</v>
      </c>
      <c r="BQ76" s="204">
        <f t="shared" si="89"/>
        <v>-46.974312998937833</v>
      </c>
      <c r="BR76" s="204">
        <f t="shared" si="89"/>
        <v>-47.021246758256353</v>
      </c>
      <c r="BS76" s="204">
        <f t="shared" si="89"/>
        <v>-47.068100931205009</v>
      </c>
      <c r="BT76" s="204">
        <f t="shared" si="89"/>
        <v>-47.114864600759887</v>
      </c>
      <c r="BU76" s="204">
        <f t="shared" ref="BU76:EF76" si="90">PV($F30,BU$9,1,0)+(PV($J$6,$N$5-(BU$9),1,0)/($J$6+1)^BU$9)</f>
        <v>-47.161527245930927</v>
      </c>
      <c r="BV76" s="204">
        <f t="shared" si="90"/>
        <v>-47.208078731405628</v>
      </c>
      <c r="BW76" s="204">
        <f t="shared" si="90"/>
        <v>-47.254509297431433</v>
      </c>
      <c r="BX76" s="204">
        <f t="shared" si="90"/>
        <v>-47.300809549931643</v>
      </c>
      <c r="BY76" s="204">
        <f t="shared" si="90"/>
        <v>-47.346970450849923</v>
      </c>
      <c r="BZ76" s="204">
        <f t="shared" si="90"/>
        <v>-47.3929833087183</v>
      </c>
      <c r="CA76" s="204">
        <f t="shared" si="90"/>
        <v>-47.438839769444009</v>
      </c>
      <c r="CB76" s="204">
        <f t="shared" si="90"/>
        <v>-47.484531807310233</v>
      </c>
      <c r="CC76" s="204">
        <f t="shared" si="90"/>
        <v>-47.530051716186357</v>
      </c>
      <c r="CD76" s="204">
        <f t="shared" si="90"/>
        <v>-47.57539210094297</v>
      </c>
      <c r="CE76" s="204">
        <f t="shared" si="90"/>
        <v>-47.620545869067314</v>
      </c>
      <c r="CF76" s="204">
        <f t="shared" si="90"/>
        <v>-47.665506222474782</v>
      </c>
      <c r="CG76" s="204">
        <f t="shared" si="90"/>
        <v>-47.710266649512214</v>
      </c>
      <c r="CH76" s="204">
        <f t="shared" si="90"/>
        <v>-47.754820917148777</v>
      </c>
      <c r="CI76" s="204">
        <f t="shared" si="90"/>
        <v>-47.799163063350392</v>
      </c>
      <c r="CJ76" s="204">
        <f t="shared" si="90"/>
        <v>-47.843287389633737</v>
      </c>
      <c r="CK76" s="204">
        <f t="shared" si="90"/>
        <v>-47.887188453795787</v>
      </c>
      <c r="CL76" s="204">
        <f t="shared" si="90"/>
        <v>-47.93086106281519</v>
      </c>
      <c r="CM76" s="204">
        <f t="shared" si="90"/>
        <v>-47.974300265921656</v>
      </c>
      <c r="CN76" s="204">
        <f t="shared" si="90"/>
        <v>-48.017501347829707</v>
      </c>
      <c r="CO76" s="204">
        <f t="shared" si="90"/>
        <v>-48.060459822133076</v>
      </c>
      <c r="CP76" s="204">
        <f t="shared" si="90"/>
        <v>-48.103171424856484</v>
      </c>
      <c r="CQ76" s="204">
        <f t="shared" si="90"/>
        <v>-48.145632108161109</v>
      </c>
      <c r="CR76" s="204">
        <f t="shared" si="90"/>
        <v>-48.187838034200382</v>
      </c>
      <c r="CS76" s="204">
        <f t="shared" si="90"/>
        <v>-48.229785569122988</v>
      </c>
      <c r="CT76" s="204">
        <f t="shared" si="90"/>
        <v>-48.271471277219604</v>
      </c>
      <c r="CU76" s="204">
        <f t="shared" si="90"/>
        <v>-48.312891915210386</v>
      </c>
      <c r="CV76" s="204">
        <f t="shared" si="90"/>
        <v>-48.354044426670008</v>
      </c>
      <c r="CW76" s="204">
        <f t="shared" si="90"/>
        <v>-48.39492593658715</v>
      </c>
      <c r="CX76" s="204">
        <f t="shared" si="90"/>
        <v>-48.435533746055661</v>
      </c>
      <c r="CY76" s="204">
        <f t="shared" si="90"/>
        <v>-48.435533746055661</v>
      </c>
      <c r="CZ76" s="204">
        <f t="shared" si="90"/>
        <v>-48.435533746055661</v>
      </c>
      <c r="DA76" s="204">
        <f t="shared" si="90"/>
        <v>-48.435533746055661</v>
      </c>
      <c r="DB76" s="204">
        <f t="shared" si="90"/>
        <v>-48.435533746055661</v>
      </c>
      <c r="DC76" s="204">
        <f t="shared" si="90"/>
        <v>-48.435533746055661</v>
      </c>
      <c r="DD76" s="204">
        <f t="shared" si="90"/>
        <v>-48.435533746055661</v>
      </c>
      <c r="DE76" s="204">
        <f t="shared" si="90"/>
        <v>-48.435533746055661</v>
      </c>
      <c r="DF76" s="204">
        <f t="shared" si="90"/>
        <v>-48.435533746055661</v>
      </c>
      <c r="DG76" s="204">
        <f t="shared" si="90"/>
        <v>-48.435533746055661</v>
      </c>
      <c r="DH76" s="204">
        <f t="shared" si="90"/>
        <v>-48.435533746055661</v>
      </c>
      <c r="DI76" s="204">
        <f t="shared" si="90"/>
        <v>-48.435533746055661</v>
      </c>
      <c r="DJ76" s="204">
        <f t="shared" si="90"/>
        <v>-48.435533746055661</v>
      </c>
      <c r="DK76" s="204">
        <f t="shared" si="90"/>
        <v>-48.435533746055661</v>
      </c>
      <c r="DL76" s="204">
        <f t="shared" si="90"/>
        <v>-48.435533746055661</v>
      </c>
      <c r="DM76" s="204">
        <f t="shared" si="90"/>
        <v>-48.435533746055661</v>
      </c>
      <c r="DN76" s="204">
        <f t="shared" si="90"/>
        <v>-48.435533746055661</v>
      </c>
      <c r="DO76" s="204">
        <f t="shared" si="90"/>
        <v>-48.435533746055661</v>
      </c>
      <c r="DP76" s="204">
        <f t="shared" si="90"/>
        <v>-48.435533746055661</v>
      </c>
      <c r="DQ76" s="204">
        <f t="shared" si="90"/>
        <v>-48.435533746055661</v>
      </c>
      <c r="DR76" s="204">
        <f t="shared" si="90"/>
        <v>-48.435533746055661</v>
      </c>
      <c r="DS76" s="204">
        <f t="shared" si="90"/>
        <v>-48.435533746055661</v>
      </c>
      <c r="DT76" s="204">
        <f t="shared" si="90"/>
        <v>-48.435533746055661</v>
      </c>
      <c r="DU76" s="204">
        <f t="shared" si="90"/>
        <v>-48.435533746055661</v>
      </c>
      <c r="DV76" s="204">
        <f t="shared" si="90"/>
        <v>-48.435533746055661</v>
      </c>
      <c r="DW76" s="204">
        <f t="shared" si="90"/>
        <v>-48.435533746055661</v>
      </c>
      <c r="DX76" s="204">
        <f t="shared" si="90"/>
        <v>-48.435533746055661</v>
      </c>
      <c r="DY76" s="204">
        <f t="shared" si="90"/>
        <v>-48.435533746055661</v>
      </c>
      <c r="DZ76" s="204">
        <f t="shared" si="90"/>
        <v>-48.435533746055661</v>
      </c>
      <c r="EA76" s="204">
        <f t="shared" si="90"/>
        <v>-48.435533746055661</v>
      </c>
      <c r="EB76" s="204">
        <f t="shared" si="90"/>
        <v>-48.435533746055661</v>
      </c>
      <c r="EC76" s="204">
        <f t="shared" si="90"/>
        <v>-48.435533746055661</v>
      </c>
      <c r="ED76" s="204">
        <f t="shared" si="90"/>
        <v>-48.435533746055661</v>
      </c>
      <c r="EE76" s="204">
        <f t="shared" si="90"/>
        <v>-48.435533746055661</v>
      </c>
      <c r="EF76" s="204">
        <f t="shared" si="90"/>
        <v>-48.435533746055661</v>
      </c>
      <c r="EG76" s="204">
        <f t="shared" ref="EG76:ET76" si="91">PV($F30,EG$9,1,0)+(PV($J$6,$N$5-(EG$9),1,0)/($J$6+1)^EG$9)</f>
        <v>-48.435533746055661</v>
      </c>
      <c r="EH76" s="204">
        <f t="shared" si="91"/>
        <v>-48.435533746055661</v>
      </c>
      <c r="EI76" s="204">
        <f t="shared" si="91"/>
        <v>-48.435533746055661</v>
      </c>
      <c r="EJ76" s="204">
        <f t="shared" si="91"/>
        <v>-48.435533746055661</v>
      </c>
      <c r="EK76" s="204">
        <f t="shared" si="91"/>
        <v>-48.435533746055661</v>
      </c>
      <c r="EL76" s="204">
        <f t="shared" si="91"/>
        <v>-48.435533746055661</v>
      </c>
      <c r="EM76" s="204">
        <f t="shared" si="91"/>
        <v>-48.435533746055661</v>
      </c>
      <c r="EN76" s="204">
        <f t="shared" si="91"/>
        <v>-48.435533746055661</v>
      </c>
      <c r="EO76" s="204">
        <f t="shared" si="91"/>
        <v>-48.435533746055661</v>
      </c>
      <c r="EP76" s="204">
        <f t="shared" si="91"/>
        <v>-48.435533746055661</v>
      </c>
      <c r="EQ76" s="204">
        <f t="shared" si="91"/>
        <v>-48.435533746055661</v>
      </c>
      <c r="ER76" s="204">
        <f t="shared" si="91"/>
        <v>-48.435533746055661</v>
      </c>
      <c r="ES76" s="204">
        <f t="shared" si="91"/>
        <v>-48.435533746055661</v>
      </c>
      <c r="ET76" s="204">
        <f t="shared" si="91"/>
        <v>-48.435533746055661</v>
      </c>
      <c r="FF76" s="6" t="s">
        <v>3018</v>
      </c>
      <c r="FG76" s="696">
        <v>2.4900000000000002E-2</v>
      </c>
      <c r="FH76" s="696">
        <v>120</v>
      </c>
      <c r="FI76" s="696">
        <v>1.6899999999999998E-2</v>
      </c>
      <c r="FJ76" s="255">
        <v>1.37E-2</v>
      </c>
      <c r="FK76" s="71">
        <f t="shared" ref="FK76:FK139" si="92">(FG76-FJ76)/42</f>
        <v>2.6666666666666668E-4</v>
      </c>
      <c r="FL76" t="e">
        <f>VLOOKUP(FF76,'SIMULADOR COM SALDO'!$BX$22:$CK$1000,13,FALSE)</f>
        <v>#N/A</v>
      </c>
    </row>
    <row r="77" spans="7:168" x14ac:dyDescent="0.25">
      <c r="G77" s="103">
        <f t="shared" si="45"/>
        <v>-44.754284318380925</v>
      </c>
      <c r="H77" s="204">
        <f t="shared" si="46"/>
        <v>-44.758362621216754</v>
      </c>
      <c r="I77" s="204">
        <f t="shared" ref="I77:BT77" si="93">PV($F31,I$9,1,0)+(PV($J$6,$N$5-(I$9),1,0)/($J$6+1)^I$9)</f>
        <v>-44.764375306359639</v>
      </c>
      <c r="J77" s="204">
        <f t="shared" si="93"/>
        <v>-44.772254923065383</v>
      </c>
      <c r="K77" s="204">
        <f t="shared" si="93"/>
        <v>-44.781935765683031</v>
      </c>
      <c r="L77" s="204">
        <f t="shared" si="93"/>
        <v>-44.793353833591929</v>
      </c>
      <c r="M77" s="204">
        <f t="shared" si="93"/>
        <v>-44.80644679200099</v>
      </c>
      <c r="N77" s="204">
        <f t="shared" si="93"/>
        <v>-44.821153933592527</v>
      </c>
      <c r="O77" s="204">
        <f t="shared" si="93"/>
        <v>-44.837416140993078</v>
      </c>
      <c r="P77" s="204">
        <f t="shared" si="93"/>
        <v>-44.85517585005401</v>
      </c>
      <c r="Q77" s="204">
        <f t="shared" si="93"/>
        <v>-44.874377013925404</v>
      </c>
      <c r="R77" s="204">
        <f t="shared" si="93"/>
        <v>-44.894965067906256</v>
      </c>
      <c r="S77" s="204">
        <f t="shared" si="93"/>
        <v>-44.916886895055747</v>
      </c>
      <c r="T77" s="204">
        <f t="shared" si="93"/>
        <v>-44.940090792548901</v>
      </c>
      <c r="U77" s="204">
        <f t="shared" si="93"/>
        <v>-44.964526438761681</v>
      </c>
      <c r="V77" s="204">
        <f t="shared" si="93"/>
        <v>-44.990144861070263</v>
      </c>
      <c r="W77" s="204">
        <f t="shared" si="93"/>
        <v>-45.016898404349746</v>
      </c>
      <c r="X77" s="204">
        <f t="shared" si="93"/>
        <v>-45.044740700157419</v>
      </c>
      <c r="Y77" s="204">
        <f t="shared" si="93"/>
        <v>-45.073626636586795</v>
      </c>
      <c r="Z77" s="204">
        <f t="shared" si="93"/>
        <v>-45.103512328778052</v>
      </c>
      <c r="AA77" s="204">
        <f t="shared" si="93"/>
        <v>-45.13435509007148</v>
      </c>
      <c r="AB77" s="204">
        <f t="shared" si="93"/>
        <v>-45.166113403790334</v>
      </c>
      <c r="AC77" s="204">
        <f t="shared" si="93"/>
        <v>-45.198746895640141</v>
      </c>
      <c r="AD77" s="204">
        <f t="shared" si="93"/>
        <v>-45.232216306711351</v>
      </c>
      <c r="AE77" s="204">
        <f t="shared" si="93"/>
        <v>-45.266483467073101</v>
      </c>
      <c r="AF77" s="204">
        <f t="shared" si="93"/>
        <v>-45.301511269945266</v>
      </c>
      <c r="AG77" s="204">
        <f t="shared" si="93"/>
        <v>-45.337263646437165</v>
      </c>
      <c r="AH77" s="204">
        <f t="shared" si="93"/>
        <v>-45.373705540840646</v>
      </c>
      <c r="AI77" s="204">
        <f t="shared" si="93"/>
        <v>-45.410802886466364</v>
      </c>
      <c r="AJ77" s="204">
        <f t="shared" si="93"/>
        <v>-45.448522582011464</v>
      </c>
      <c r="AK77" s="204">
        <f t="shared" si="93"/>
        <v>-45.486832468447844</v>
      </c>
      <c r="AL77" s="204">
        <f t="shared" si="93"/>
        <v>-45.525701306419755</v>
      </c>
      <c r="AM77" s="204">
        <f t="shared" si="93"/>
        <v>-45.565098754140521</v>
      </c>
      <c r="AN77" s="204">
        <f t="shared" si="93"/>
        <v>-45.604995345777311</v>
      </c>
      <c r="AO77" s="204">
        <f t="shared" si="93"/>
        <v>-45.645362470314197</v>
      </c>
      <c r="AP77" s="204">
        <f t="shared" si="93"/>
        <v>-45.686172350883048</v>
      </c>
      <c r="AQ77" s="204">
        <f t="shared" si="93"/>
        <v>-45.727398024552798</v>
      </c>
      <c r="AR77" s="204">
        <f t="shared" si="93"/>
        <v>-45.769013322567048</v>
      </c>
      <c r="AS77" s="204">
        <f t="shared" si="93"/>
        <v>-45.810992851020785</v>
      </c>
      <c r="AT77" s="204">
        <f t="shared" si="93"/>
        <v>-45.853311971966932</v>
      </c>
      <c r="AU77" s="204">
        <f t="shared" si="93"/>
        <v>-45.895946784943561</v>
      </c>
      <c r="AV77" s="204">
        <f t="shared" si="93"/>
        <v>-45.938874108912962</v>
      </c>
      <c r="AW77" s="204">
        <f t="shared" si="93"/>
        <v>-45.982071464603813</v>
      </c>
      <c r="AX77" s="204">
        <f t="shared" si="93"/>
        <v>-46.025517057247917</v>
      </c>
      <c r="AY77" s="204">
        <f t="shared" si="93"/>
        <v>-46.069189759703278</v>
      </c>
      <c r="AZ77" s="204">
        <f t="shared" si="93"/>
        <v>-46.113069095955098</v>
      </c>
      <c r="BA77" s="204">
        <f t="shared" si="93"/>
        <v>-46.15713522498686</v>
      </c>
      <c r="BB77" s="204">
        <f t="shared" si="93"/>
        <v>-46.201368925013583</v>
      </c>
      <c r="BC77" s="204">
        <f t="shared" si="93"/>
        <v>-46.245751578069644</v>
      </c>
      <c r="BD77" s="204">
        <f t="shared" si="93"/>
        <v>-46.290265154943384</v>
      </c>
      <c r="BE77" s="204">
        <f t="shared" si="93"/>
        <v>-46.334892200451407</v>
      </c>
      <c r="BF77" s="204">
        <f t="shared" si="93"/>
        <v>-46.379615819045256</v>
      </c>
      <c r="BG77" s="204">
        <f t="shared" si="93"/>
        <v>-46.424419660743212</v>
      </c>
      <c r="BH77" s="204">
        <f t="shared" si="93"/>
        <v>-46.469287907380568</v>
      </c>
      <c r="BI77" s="204">
        <f t="shared" si="93"/>
        <v>-46.514205259171334</v>
      </c>
      <c r="BJ77" s="204">
        <f t="shared" si="93"/>
        <v>-46.559156921574811</v>
      </c>
      <c r="BK77" s="204">
        <f t="shared" si="93"/>
        <v>-46.604128592460761</v>
      </c>
      <c r="BL77" s="204">
        <f t="shared" si="93"/>
        <v>-46.649106449566162</v>
      </c>
      <c r="BM77" s="204">
        <f t="shared" si="93"/>
        <v>-46.694077138238129</v>
      </c>
      <c r="BN77" s="204">
        <f t="shared" si="93"/>
        <v>-46.73902775945605</v>
      </c>
      <c r="BO77" s="204">
        <f t="shared" si="93"/>
        <v>-46.78394585812768</v>
      </c>
      <c r="BP77" s="204">
        <f t="shared" si="93"/>
        <v>-46.828819411652773</v>
      </c>
      <c r="BQ77" s="204">
        <f t="shared" si="93"/>
        <v>-46.87363681874875</v>
      </c>
      <c r="BR77" s="204">
        <f t="shared" si="93"/>
        <v>-46.918386888532766</v>
      </c>
      <c r="BS77" s="204">
        <f t="shared" si="93"/>
        <v>-46.963058829854603</v>
      </c>
      <c r="BT77" s="204">
        <f t="shared" si="93"/>
        <v>-47.007642240875001</v>
      </c>
      <c r="BU77" s="204">
        <f t="shared" ref="BU77:EF77" si="94">PV($F31,BU$9,1,0)+(PV($J$6,$N$5-(BU$9),1,0)/($J$6+1)^BU$9)</f>
        <v>-47.052127098884192</v>
      </c>
      <c r="BV77" s="204">
        <f t="shared" si="94"/>
        <v>-47.096503750355296</v>
      </c>
      <c r="BW77" s="204">
        <f t="shared" si="94"/>
        <v>-47.140762901227802</v>
      </c>
      <c r="BX77" s="204">
        <f t="shared" si="94"/>
        <v>-47.184895607415754</v>
      </c>
      <c r="BY77" s="204">
        <f t="shared" si="94"/>
        <v>-47.228893265536222</v>
      </c>
      <c r="BZ77" s="204">
        <f t="shared" si="94"/>
        <v>-47.272747603852949</v>
      </c>
      <c r="CA77" s="204">
        <f t="shared" si="94"/>
        <v>-47.316450673430651</v>
      </c>
      <c r="CB77" s="204">
        <f t="shared" si="94"/>
        <v>-47.359994839495464</v>
      </c>
      <c r="CC77" s="204">
        <f t="shared" si="94"/>
        <v>-47.403372772996889</v>
      </c>
      <c r="CD77" s="204">
        <f t="shared" si="94"/>
        <v>-47.44657744236698</v>
      </c>
      <c r="CE77" s="204">
        <f t="shared" si="94"/>
        <v>-47.489602105472549</v>
      </c>
      <c r="CF77" s="204">
        <f t="shared" si="94"/>
        <v>-47.532440301755983</v>
      </c>
      <c r="CG77" s="204">
        <f t="shared" si="94"/>
        <v>-47.575085844560711</v>
      </c>
      <c r="CH77" s="204">
        <f t="shared" si="94"/>
        <v>-47.617532813637283</v>
      </c>
      <c r="CI77" s="204">
        <f t="shared" si="94"/>
        <v>-47.659775547826108</v>
      </c>
      <c r="CJ77" s="204">
        <f t="shared" si="94"/>
        <v>-47.701808637912919</v>
      </c>
      <c r="CK77" s="204">
        <f t="shared" si="94"/>
        <v>-47.743626919653266</v>
      </c>
      <c r="CL77" s="204">
        <f t="shared" si="94"/>
        <v>-47.785225466962324</v>
      </c>
      <c r="CM77" s="204">
        <f t="shared" si="94"/>
        <v>-47.826599585266443</v>
      </c>
      <c r="CN77" s="204">
        <f t="shared" si="94"/>
        <v>-47.867744805012642</v>
      </c>
      <c r="CO77" s="204">
        <f t="shared" si="94"/>
        <v>-47.908656875332987</v>
      </c>
      <c r="CP77" s="204">
        <f t="shared" si="94"/>
        <v>-47.94933175786008</v>
      </c>
      <c r="CQ77" s="204">
        <f t="shared" si="94"/>
        <v>-47.989765620690534</v>
      </c>
      <c r="CR77" s="204">
        <f t="shared" si="94"/>
        <v>-48.02995483249309</v>
      </c>
      <c r="CS77" s="204">
        <f t="shared" si="94"/>
        <v>-48.069895956758259</v>
      </c>
      <c r="CT77" s="204">
        <f t="shared" si="94"/>
        <v>-48.109585746186205</v>
      </c>
      <c r="CU77" s="204">
        <f t="shared" si="94"/>
        <v>-48.149021137210092</v>
      </c>
      <c r="CV77" s="204">
        <f t="shared" si="94"/>
        <v>-48.188199244651614</v>
      </c>
      <c r="CW77" s="204">
        <f t="shared" si="94"/>
        <v>-48.227117356505872</v>
      </c>
      <c r="CX77" s="204">
        <f t="shared" si="94"/>
        <v>-48.265772928852869</v>
      </c>
      <c r="CY77" s="204">
        <f t="shared" si="94"/>
        <v>-48.265772928852869</v>
      </c>
      <c r="CZ77" s="204">
        <f t="shared" si="94"/>
        <v>-48.265772928852869</v>
      </c>
      <c r="DA77" s="204">
        <f t="shared" si="94"/>
        <v>-48.265772928852869</v>
      </c>
      <c r="DB77" s="204">
        <f t="shared" si="94"/>
        <v>-48.265772928852869</v>
      </c>
      <c r="DC77" s="204">
        <f t="shared" si="94"/>
        <v>-48.265772928852869</v>
      </c>
      <c r="DD77" s="204">
        <f t="shared" si="94"/>
        <v>-48.265772928852869</v>
      </c>
      <c r="DE77" s="204">
        <f t="shared" si="94"/>
        <v>-48.265772928852869</v>
      </c>
      <c r="DF77" s="204">
        <f t="shared" si="94"/>
        <v>-48.265772928852869</v>
      </c>
      <c r="DG77" s="204">
        <f t="shared" si="94"/>
        <v>-48.265772928852869</v>
      </c>
      <c r="DH77" s="204">
        <f t="shared" si="94"/>
        <v>-48.265772928852869</v>
      </c>
      <c r="DI77" s="204">
        <f t="shared" si="94"/>
        <v>-48.265772928852869</v>
      </c>
      <c r="DJ77" s="204">
        <f t="shared" si="94"/>
        <v>-48.265772928852869</v>
      </c>
      <c r="DK77" s="204">
        <f t="shared" si="94"/>
        <v>-48.265772928852869</v>
      </c>
      <c r="DL77" s="204">
        <f t="shared" si="94"/>
        <v>-48.265772928852869</v>
      </c>
      <c r="DM77" s="204">
        <f t="shared" si="94"/>
        <v>-48.265772928852869</v>
      </c>
      <c r="DN77" s="204">
        <f t="shared" si="94"/>
        <v>-48.265772928852869</v>
      </c>
      <c r="DO77" s="204">
        <f t="shared" si="94"/>
        <v>-48.265772928852869</v>
      </c>
      <c r="DP77" s="204">
        <f t="shared" si="94"/>
        <v>-48.265772928852869</v>
      </c>
      <c r="DQ77" s="204">
        <f t="shared" si="94"/>
        <v>-48.265772928852869</v>
      </c>
      <c r="DR77" s="204">
        <f t="shared" si="94"/>
        <v>-48.265772928852869</v>
      </c>
      <c r="DS77" s="204">
        <f t="shared" si="94"/>
        <v>-48.265772928852869</v>
      </c>
      <c r="DT77" s="204">
        <f t="shared" si="94"/>
        <v>-48.265772928852869</v>
      </c>
      <c r="DU77" s="204">
        <f t="shared" si="94"/>
        <v>-48.265772928852869</v>
      </c>
      <c r="DV77" s="204">
        <f t="shared" si="94"/>
        <v>-48.265772928852869</v>
      </c>
      <c r="DW77" s="204">
        <f t="shared" si="94"/>
        <v>-48.265772928852869</v>
      </c>
      <c r="DX77" s="204">
        <f t="shared" si="94"/>
        <v>-48.265772928852869</v>
      </c>
      <c r="DY77" s="204">
        <f t="shared" si="94"/>
        <v>-48.265772928852869</v>
      </c>
      <c r="DZ77" s="204">
        <f t="shared" si="94"/>
        <v>-48.265772928852869</v>
      </c>
      <c r="EA77" s="204">
        <f t="shared" si="94"/>
        <v>-48.265772928852869</v>
      </c>
      <c r="EB77" s="204">
        <f t="shared" si="94"/>
        <v>-48.265772928852869</v>
      </c>
      <c r="EC77" s="204">
        <f t="shared" si="94"/>
        <v>-48.265772928852869</v>
      </c>
      <c r="ED77" s="204">
        <f t="shared" si="94"/>
        <v>-48.265772928852869</v>
      </c>
      <c r="EE77" s="204">
        <f t="shared" si="94"/>
        <v>-48.265772928852869</v>
      </c>
      <c r="EF77" s="204">
        <f t="shared" si="94"/>
        <v>-48.265772928852869</v>
      </c>
      <c r="EG77" s="204">
        <f t="shared" ref="EG77:ET77" si="95">PV($F31,EG$9,1,0)+(PV($J$6,$N$5-(EG$9),1,0)/($J$6+1)^EG$9)</f>
        <v>-48.265772928852869</v>
      </c>
      <c r="EH77" s="204">
        <f t="shared" si="95"/>
        <v>-48.265772928852869</v>
      </c>
      <c r="EI77" s="204">
        <f t="shared" si="95"/>
        <v>-48.265772928852869</v>
      </c>
      <c r="EJ77" s="204">
        <f t="shared" si="95"/>
        <v>-48.265772928852869</v>
      </c>
      <c r="EK77" s="204">
        <f t="shared" si="95"/>
        <v>-48.265772928852869</v>
      </c>
      <c r="EL77" s="204">
        <f t="shared" si="95"/>
        <v>-48.265772928852869</v>
      </c>
      <c r="EM77" s="204">
        <f t="shared" si="95"/>
        <v>-48.265772928852869</v>
      </c>
      <c r="EN77" s="204">
        <f t="shared" si="95"/>
        <v>-48.265772928852869</v>
      </c>
      <c r="EO77" s="204">
        <f t="shared" si="95"/>
        <v>-48.265772928852869</v>
      </c>
      <c r="EP77" s="204">
        <f t="shared" si="95"/>
        <v>-48.265772928852869</v>
      </c>
      <c r="EQ77" s="204">
        <f t="shared" si="95"/>
        <v>-48.265772928852869</v>
      </c>
      <c r="ER77" s="204">
        <f t="shared" si="95"/>
        <v>-48.265772928852869</v>
      </c>
      <c r="ES77" s="204">
        <f t="shared" si="95"/>
        <v>-48.265772928852869</v>
      </c>
      <c r="ET77" s="204">
        <f t="shared" si="95"/>
        <v>-48.265772928852869</v>
      </c>
      <c r="FF77" s="6" t="s">
        <v>3019</v>
      </c>
      <c r="FG77" s="696">
        <v>2.4900000000000002E-2</v>
      </c>
      <c r="FH77" s="696">
        <v>120</v>
      </c>
      <c r="FI77" s="696">
        <v>1.6899999999999998E-2</v>
      </c>
      <c r="FJ77" s="255">
        <v>1.37E-2</v>
      </c>
      <c r="FK77" s="71">
        <f t="shared" si="92"/>
        <v>2.6666666666666668E-4</v>
      </c>
      <c r="FL77" t="e">
        <f>VLOOKUP(FF77,'SIMULADOR COM SALDO'!$BX$22:$CK$1000,13,FALSE)</f>
        <v>#N/A</v>
      </c>
    </row>
    <row r="78" spans="7:168" x14ac:dyDescent="0.25">
      <c r="G78" s="103">
        <f t="shared" si="45"/>
        <v>-44.754189824380099</v>
      </c>
      <c r="H78" s="204">
        <f t="shared" si="46"/>
        <v>-44.758082188824801</v>
      </c>
      <c r="I78" s="204">
        <f t="shared" ref="I78:BT78" si="96">PV($F32,I$9,1,0)+(PV($J$6,$N$5-(I$9),1,0)/($J$6+1)^I$9)</f>
        <v>-44.763820466981379</v>
      </c>
      <c r="J78" s="204">
        <f t="shared" si="96"/>
        <v>-44.771340111673538</v>
      </c>
      <c r="K78" s="204">
        <f t="shared" si="96"/>
        <v>-44.780578250147137</v>
      </c>
      <c r="L78" s="204">
        <f t="shared" si="96"/>
        <v>-44.791473645531916</v>
      </c>
      <c r="M78" s="204">
        <f t="shared" si="96"/>
        <v>-44.803966659134787</v>
      </c>
      <c r="N78" s="204">
        <f t="shared" si="96"/>
        <v>-44.817999213547331</v>
      </c>
      <c r="O78" s="204">
        <f t="shared" si="96"/>
        <v>-44.833514756550677</v>
      </c>
      <c r="P78" s="204">
        <f t="shared" si="96"/>
        <v>-44.850458225801219</v>
      </c>
      <c r="Q78" s="204">
        <f t="shared" si="96"/>
        <v>-44.868776014280932</v>
      </c>
      <c r="R78" s="204">
        <f t="shared" si="96"/>
        <v>-44.888415936496372</v>
      </c>
      <c r="S78" s="204">
        <f t="shared" si="96"/>
        <v>-44.909327195411066</v>
      </c>
      <c r="T78" s="204">
        <f t="shared" si="96"/>
        <v>-44.931460350095549</v>
      </c>
      <c r="U78" s="204">
        <f t="shared" si="96"/>
        <v>-44.954767284080596</v>
      </c>
      <c r="V78" s="204">
        <f t="shared" si="96"/>
        <v>-44.979201174398682</v>
      </c>
      <c r="W78" s="204">
        <f t="shared" si="96"/>
        <v>-45.004716461299559</v>
      </c>
      <c r="X78" s="204">
        <f t="shared" si="96"/>
        <v>-45.031268818625719</v>
      </c>
      <c r="Y78" s="204">
        <f t="shared" si="96"/>
        <v>-45.058815124834098</v>
      </c>
      <c r="Z78" s="204">
        <f t="shared" si="96"/>
        <v>-45.08731343465044</v>
      </c>
      <c r="AA78" s="204">
        <f t="shared" si="96"/>
        <v>-45.116722951343263</v>
      </c>
      <c r="AB78" s="204">
        <f t="shared" si="96"/>
        <v>-45.147003999604252</v>
      </c>
      <c r="AC78" s="204">
        <f t="shared" si="96"/>
        <v>-45.178117999022575</v>
      </c>
      <c r="AD78" s="204">
        <f t="shared" si="96"/>
        <v>-45.210027438140656</v>
      </c>
      <c r="AE78" s="204">
        <f t="shared" si="96"/>
        <v>-45.242695849079226</v>
      </c>
      <c r="AF78" s="204">
        <f t="shared" si="96"/>
        <v>-45.276087782719671</v>
      </c>
      <c r="AG78" s="204">
        <f t="shared" si="96"/>
        <v>-45.310168784431994</v>
      </c>
      <c r="AH78" s="204">
        <f t="shared" si="96"/>
        <v>-45.344905370337159</v>
      </c>
      <c r="AI78" s="204">
        <f t="shared" si="96"/>
        <v>-45.380265004092266</v>
      </c>
      <c r="AJ78" s="204">
        <f t="shared" si="96"/>
        <v>-45.416216074187822</v>
      </c>
      <c r="AK78" s="204">
        <f t="shared" si="96"/>
        <v>-45.452727871746205</v>
      </c>
      <c r="AL78" s="204">
        <f t="shared" si="96"/>
        <v>-45.489770568810883</v>
      </c>
      <c r="AM78" s="204">
        <f t="shared" si="96"/>
        <v>-45.527315197115989</v>
      </c>
      <c r="AN78" s="204">
        <f t="shared" si="96"/>
        <v>-45.56533362732619</v>
      </c>
      <c r="AO78" s="204">
        <f t="shared" si="96"/>
        <v>-45.603798548736791</v>
      </c>
      <c r="AP78" s="204">
        <f t="shared" si="96"/>
        <v>-45.642683449424666</v>
      </c>
      <c r="AQ78" s="204">
        <f t="shared" si="96"/>
        <v>-45.681962596840151</v>
      </c>
      <c r="AR78" s="204">
        <f t="shared" si="96"/>
        <v>-45.721611018830814</v>
      </c>
      <c r="AS78" s="204">
        <f t="shared" si="96"/>
        <v>-45.761604485087929</v>
      </c>
      <c r="AT78" s="204">
        <f t="shared" si="96"/>
        <v>-45.801919489006643</v>
      </c>
      <c r="AU78" s="204">
        <f t="shared" si="96"/>
        <v>-45.842533229951194</v>
      </c>
      <c r="AV78" s="204">
        <f t="shared" si="96"/>
        <v>-45.883423595916511</v>
      </c>
      <c r="AW78" s="204">
        <f t="shared" si="96"/>
        <v>-45.924569146577738</v>
      </c>
      <c r="AX78" s="204">
        <f t="shared" si="96"/>
        <v>-45.965949096719704</v>
      </c>
      <c r="AY78" s="204">
        <f t="shared" si="96"/>
        <v>-46.007543300037966</v>
      </c>
      <c r="AZ78" s="204">
        <f t="shared" si="96"/>
        <v>-46.049332233303744</v>
      </c>
      <c r="BA78" s="204">
        <f t="shared" si="96"/>
        <v>-46.09129698088492</v>
      </c>
      <c r="BB78" s="204">
        <f t="shared" si="96"/>
        <v>-46.133419219615519</v>
      </c>
      <c r="BC78" s="204">
        <f t="shared" si="96"/>
        <v>-46.175681204006295</v>
      </c>
      <c r="BD78" s="204">
        <f t="shared" si="96"/>
        <v>-46.218065751789226</v>
      </c>
      <c r="BE78" s="204">
        <f t="shared" si="96"/>
        <v>-46.260556229788492</v>
      </c>
      <c r="BF78" s="204">
        <f t="shared" si="96"/>
        <v>-46.303136540111467</v>
      </c>
      <c r="BG78" s="204">
        <f t="shared" si="96"/>
        <v>-46.345791106652364</v>
      </c>
      <c r="BH78" s="204">
        <f t="shared" si="96"/>
        <v>-46.388504861902241</v>
      </c>
      <c r="BI78" s="204">
        <f t="shared" si="96"/>
        <v>-46.431263234058612</v>
      </c>
      <c r="BJ78" s="204">
        <f t="shared" si="96"/>
        <v>-46.474052134428305</v>
      </c>
      <c r="BK78" s="204">
        <f t="shared" si="96"/>
        <v>-46.516857945117323</v>
      </c>
      <c r="BL78" s="204">
        <f t="shared" si="96"/>
        <v>-46.5596675070015</v>
      </c>
      <c r="BM78" s="204">
        <f t="shared" si="96"/>
        <v>-46.602468107971852</v>
      </c>
      <c r="BN78" s="204">
        <f t="shared" si="96"/>
        <v>-46.64524747144899</v>
      </c>
      <c r="BO78" s="204">
        <f t="shared" si="96"/>
        <v>-46.687993745160469</v>
      </c>
      <c r="BP78" s="204">
        <f t="shared" si="96"/>
        <v>-46.730695490175691</v>
      </c>
      <c r="BQ78" s="204">
        <f t="shared" si="96"/>
        <v>-46.773341670192586</v>
      </c>
      <c r="BR78" s="204">
        <f t="shared" si="96"/>
        <v>-46.815921641070929</v>
      </c>
      <c r="BS78" s="204">
        <f t="shared" si="96"/>
        <v>-46.858425140606649</v>
      </c>
      <c r="BT78" s="204">
        <f t="shared" si="96"/>
        <v>-46.900842278542157</v>
      </c>
      <c r="BU78" s="204">
        <f t="shared" ref="BU78:EF78" si="97">PV($F32,BU$9,1,0)+(PV($J$6,$N$5-(BU$9),1,0)/($J$6+1)^BU$9)</f>
        <v>-46.943163526807567</v>
      </c>
      <c r="BV78" s="204">
        <f t="shared" si="97"/>
        <v>-46.985379709987633</v>
      </c>
      <c r="BW78" s="204">
        <f t="shared" si="97"/>
        <v>-47.027481996009861</v>
      </c>
      <c r="BX78" s="204">
        <f t="shared" si="97"/>
        <v>-47.069461887048561</v>
      </c>
      <c r="BY78" s="204">
        <f t="shared" si="97"/>
        <v>-47.111311210640615</v>
      </c>
      <c r="BZ78" s="204">
        <f t="shared" si="97"/>
        <v>-47.153022111007935</v>
      </c>
      <c r="CA78" s="204">
        <f t="shared" si="97"/>
        <v>-47.194587040582569</v>
      </c>
      <c r="CB78" s="204">
        <f t="shared" si="97"/>
        <v>-47.235998751729561</v>
      </c>
      <c r="CC78" s="204">
        <f t="shared" si="97"/>
        <v>-47.277250288663659</v>
      </c>
      <c r="CD78" s="204">
        <f t="shared" si="97"/>
        <v>-47.318334979555495</v>
      </c>
      <c r="CE78" s="204">
        <f t="shared" si="97"/>
        <v>-47.359246428823042</v>
      </c>
      <c r="CF78" s="204">
        <f t="shared" si="97"/>
        <v>-47.399978509604402</v>
      </c>
      <c r="CG78" s="204">
        <f t="shared" si="97"/>
        <v>-47.440525356407953</v>
      </c>
      <c r="CH78" s="204">
        <f t="shared" si="97"/>
        <v>-47.4808813579359</v>
      </c>
      <c r="CI78" s="204">
        <f t="shared" si="97"/>
        <v>-47.521041150077558</v>
      </c>
      <c r="CJ78" s="204">
        <f t="shared" si="97"/>
        <v>-47.560999609068524</v>
      </c>
      <c r="CK78" s="204">
        <f t="shared" si="97"/>
        <v>-47.60075184481213</v>
      </c>
      <c r="CL78" s="204">
        <f t="shared" si="97"/>
        <v>-47.640293194359735</v>
      </c>
      <c r="CM78" s="204">
        <f t="shared" si="97"/>
        <v>-47.679619215546161</v>
      </c>
      <c r="CN78" s="204">
        <f t="shared" si="97"/>
        <v>-47.718725680777027</v>
      </c>
      <c r="CO78" s="204">
        <f t="shared" si="97"/>
        <v>-47.757608570964543</v>
      </c>
      <c r="CP78" s="204">
        <f t="shared" si="97"/>
        <v>-47.796264069608519</v>
      </c>
      <c r="CQ78" s="204">
        <f t="shared" si="97"/>
        <v>-47.834688557019426</v>
      </c>
      <c r="CR78" s="204">
        <f t="shared" si="97"/>
        <v>-47.872878604680295</v>
      </c>
      <c r="CS78" s="204">
        <f t="shared" si="97"/>
        <v>-47.91083096974436</v>
      </c>
      <c r="CT78" s="204">
        <f t="shared" si="97"/>
        <v>-47.948542589665635</v>
      </c>
      <c r="CU78" s="204">
        <f t="shared" si="97"/>
        <v>-47.986010576959217</v>
      </c>
      <c r="CV78" s="204">
        <f t="shared" si="97"/>
        <v>-48.023232214088644</v>
      </c>
      <c r="CW78" s="204">
        <f t="shared" si="97"/>
        <v>-48.060204948477292</v>
      </c>
      <c r="CX78" s="204">
        <f t="shared" si="97"/>
        <v>-48.096926387641304</v>
      </c>
      <c r="CY78" s="204">
        <f t="shared" si="97"/>
        <v>-48.096926387641304</v>
      </c>
      <c r="CZ78" s="204">
        <f t="shared" si="97"/>
        <v>-48.096926387641304</v>
      </c>
      <c r="DA78" s="204">
        <f t="shared" si="97"/>
        <v>-48.096926387641304</v>
      </c>
      <c r="DB78" s="204">
        <f t="shared" si="97"/>
        <v>-48.096926387641304</v>
      </c>
      <c r="DC78" s="204">
        <f t="shared" si="97"/>
        <v>-48.096926387641304</v>
      </c>
      <c r="DD78" s="204">
        <f t="shared" si="97"/>
        <v>-48.096926387641304</v>
      </c>
      <c r="DE78" s="204">
        <f t="shared" si="97"/>
        <v>-48.096926387641304</v>
      </c>
      <c r="DF78" s="204">
        <f t="shared" si="97"/>
        <v>-48.096926387641304</v>
      </c>
      <c r="DG78" s="204">
        <f t="shared" si="97"/>
        <v>-48.096926387641304</v>
      </c>
      <c r="DH78" s="204">
        <f t="shared" si="97"/>
        <v>-48.096926387641304</v>
      </c>
      <c r="DI78" s="204">
        <f t="shared" si="97"/>
        <v>-48.096926387641304</v>
      </c>
      <c r="DJ78" s="204">
        <f t="shared" si="97"/>
        <v>-48.096926387641304</v>
      </c>
      <c r="DK78" s="204">
        <f t="shared" si="97"/>
        <v>-48.096926387641304</v>
      </c>
      <c r="DL78" s="204">
        <f t="shared" si="97"/>
        <v>-48.096926387641304</v>
      </c>
      <c r="DM78" s="204">
        <f t="shared" si="97"/>
        <v>-48.096926387641304</v>
      </c>
      <c r="DN78" s="204">
        <f t="shared" si="97"/>
        <v>-48.096926387641304</v>
      </c>
      <c r="DO78" s="204">
        <f t="shared" si="97"/>
        <v>-48.096926387641304</v>
      </c>
      <c r="DP78" s="204">
        <f t="shared" si="97"/>
        <v>-48.096926387641304</v>
      </c>
      <c r="DQ78" s="204">
        <f t="shared" si="97"/>
        <v>-48.096926387641304</v>
      </c>
      <c r="DR78" s="204">
        <f t="shared" si="97"/>
        <v>-48.096926387641304</v>
      </c>
      <c r="DS78" s="204">
        <f t="shared" si="97"/>
        <v>-48.096926387641304</v>
      </c>
      <c r="DT78" s="204">
        <f t="shared" si="97"/>
        <v>-48.096926387641304</v>
      </c>
      <c r="DU78" s="204">
        <f t="shared" si="97"/>
        <v>-48.096926387641304</v>
      </c>
      <c r="DV78" s="204">
        <f t="shared" si="97"/>
        <v>-48.096926387641304</v>
      </c>
      <c r="DW78" s="204">
        <f t="shared" si="97"/>
        <v>-48.096926387641304</v>
      </c>
      <c r="DX78" s="204">
        <f t="shared" si="97"/>
        <v>-48.096926387641304</v>
      </c>
      <c r="DY78" s="204">
        <f t="shared" si="97"/>
        <v>-48.096926387641304</v>
      </c>
      <c r="DZ78" s="204">
        <f t="shared" si="97"/>
        <v>-48.096926387641304</v>
      </c>
      <c r="EA78" s="204">
        <f t="shared" si="97"/>
        <v>-48.096926387641304</v>
      </c>
      <c r="EB78" s="204">
        <f t="shared" si="97"/>
        <v>-48.096926387641304</v>
      </c>
      <c r="EC78" s="204">
        <f t="shared" si="97"/>
        <v>-48.096926387641304</v>
      </c>
      <c r="ED78" s="204">
        <f t="shared" si="97"/>
        <v>-48.096926387641304</v>
      </c>
      <c r="EE78" s="204">
        <f t="shared" si="97"/>
        <v>-48.096926387641304</v>
      </c>
      <c r="EF78" s="204">
        <f t="shared" si="97"/>
        <v>-48.096926387641304</v>
      </c>
      <c r="EG78" s="204">
        <f t="shared" ref="EG78:ET78" si="98">PV($F32,EG$9,1,0)+(PV($J$6,$N$5-(EG$9),1,0)/($J$6+1)^EG$9)</f>
        <v>-48.096926387641304</v>
      </c>
      <c r="EH78" s="204">
        <f t="shared" si="98"/>
        <v>-48.096926387641304</v>
      </c>
      <c r="EI78" s="204">
        <f t="shared" si="98"/>
        <v>-48.096926387641304</v>
      </c>
      <c r="EJ78" s="204">
        <f t="shared" si="98"/>
        <v>-48.096926387641304</v>
      </c>
      <c r="EK78" s="204">
        <f t="shared" si="98"/>
        <v>-48.096926387641304</v>
      </c>
      <c r="EL78" s="204">
        <f t="shared" si="98"/>
        <v>-48.096926387641304</v>
      </c>
      <c r="EM78" s="204">
        <f t="shared" si="98"/>
        <v>-48.096926387641304</v>
      </c>
      <c r="EN78" s="204">
        <f t="shared" si="98"/>
        <v>-48.096926387641304</v>
      </c>
      <c r="EO78" s="204">
        <f t="shared" si="98"/>
        <v>-48.096926387641304</v>
      </c>
      <c r="EP78" s="204">
        <f t="shared" si="98"/>
        <v>-48.096926387641304</v>
      </c>
      <c r="EQ78" s="204">
        <f t="shared" si="98"/>
        <v>-48.096926387641304</v>
      </c>
      <c r="ER78" s="204">
        <f t="shared" si="98"/>
        <v>-48.096926387641304</v>
      </c>
      <c r="ES78" s="204">
        <f t="shared" si="98"/>
        <v>-48.096926387641304</v>
      </c>
      <c r="ET78" s="204">
        <f t="shared" si="98"/>
        <v>-48.096926387641304</v>
      </c>
      <c r="FF78" s="6" t="s">
        <v>2393</v>
      </c>
      <c r="FG78" s="696">
        <v>2.5000000000000001E-2</v>
      </c>
      <c r="FH78" s="696">
        <v>120</v>
      </c>
      <c r="FI78" s="696">
        <v>1.9400000000000001E-2</v>
      </c>
      <c r="FJ78" s="255">
        <v>1.3899999999999999E-2</v>
      </c>
      <c r="FK78" s="71">
        <f t="shared" si="92"/>
        <v>2.6428571428571435E-4</v>
      </c>
      <c r="FL78" t="e">
        <f>VLOOKUP(FF78,'SIMULADOR COM SALDO'!$BX$22:$CK$1000,13,FALSE)</f>
        <v>#N/A</v>
      </c>
    </row>
    <row r="79" spans="7:168" x14ac:dyDescent="0.25">
      <c r="G79" s="103">
        <f t="shared" si="45"/>
        <v>-44.754095348527777</v>
      </c>
      <c r="H79" s="204">
        <f t="shared" si="46"/>
        <v>-44.75780182814573</v>
      </c>
      <c r="I79" s="204">
        <f t="shared" ref="I79:BT79" si="99">PV($F33,I$9,1,0)+(PV($J$6,$N$5-(I$9),1,0)/($J$6+1)^I$9)</f>
        <v>-44.763265804711061</v>
      </c>
      <c r="J79" s="204">
        <f t="shared" si="99"/>
        <v>-44.770425650205254</v>
      </c>
      <c r="K79" s="204">
        <f t="shared" si="99"/>
        <v>-44.779221339563001</v>
      </c>
      <c r="L79" s="204">
        <f t="shared" si="99"/>
        <v>-44.789594413684931</v>
      </c>
      <c r="M79" s="204">
        <f t="shared" si="99"/>
        <v>-44.801487943250358</v>
      </c>
      <c r="N79" s="204">
        <f t="shared" si="99"/>
        <v>-44.814846493313311</v>
      </c>
      <c r="O79" s="204">
        <f t="shared" si="99"/>
        <v>-44.829616088665766</v>
      </c>
      <c r="P79" s="204">
        <f t="shared" si="99"/>
        <v>-44.845744179951794</v>
      </c>
      <c r="Q79" s="204">
        <f t="shared" si="99"/>
        <v>-44.863179610517427</v>
      </c>
      <c r="R79" s="204">
        <f t="shared" si="99"/>
        <v>-44.881872583980446</v>
      </c>
      <c r="S79" s="204">
        <f t="shared" si="99"/>
        <v>-44.901774632505642</v>
      </c>
      <c r="T79" s="204">
        <f t="shared" si="99"/>
        <v>-44.922838585770236</v>
      </c>
      <c r="U79" s="204">
        <f t="shared" si="99"/>
        <v>-44.945018540605645</v>
      </c>
      <c r="V79" s="204">
        <f t="shared" si="99"/>
        <v>-44.968269831300994</v>
      </c>
      <c r="W79" s="204">
        <f t="shared" si="99"/>
        <v>-44.992549000554945</v>
      </c>
      <c r="X79" s="204">
        <f t="shared" si="99"/>
        <v>-45.017813771061959</v>
      </c>
      <c r="Y79" s="204">
        <f t="shared" si="99"/>
        <v>-45.044023017720093</v>
      </c>
      <c r="Z79" s="204">
        <f t="shared" si="99"/>
        <v>-45.071136740446875</v>
      </c>
      <c r="AA79" s="204">
        <f t="shared" si="99"/>
        <v>-45.099116037590974</v>
      </c>
      <c r="AB79" s="204">
        <f t="shared" si="99"/>
        <v>-45.127923079926944</v>
      </c>
      <c r="AC79" s="204">
        <f t="shared" si="99"/>
        <v>-45.157521085220822</v>
      </c>
      <c r="AD79" s="204">
        <f t="shared" si="99"/>
        <v>-45.187874293354618</v>
      </c>
      <c r="AE79" s="204">
        <f t="shared" si="99"/>
        <v>-45.218947941998174</v>
      </c>
      <c r="AF79" s="204">
        <f t="shared" si="99"/>
        <v>-45.250708242816529</v>
      </c>
      <c r="AG79" s="204">
        <f t="shared" si="99"/>
        <v>-45.283122358201759</v>
      </c>
      <c r="AH79" s="204">
        <f t="shared" si="99"/>
        <v>-45.316158378518423</v>
      </c>
      <c r="AI79" s="204">
        <f t="shared" si="99"/>
        <v>-45.34978529985132</v>
      </c>
      <c r="AJ79" s="204">
        <f t="shared" si="99"/>
        <v>-45.383973002245561</v>
      </c>
      <c r="AK79" s="204">
        <f t="shared" si="99"/>
        <v>-45.418692228428142</v>
      </c>
      <c r="AL79" s="204">
        <f t="shared" si="99"/>
        <v>-45.453914563000993</v>
      </c>
      <c r="AM79" s="204">
        <f t="shared" si="99"/>
        <v>-45.489612412095795</v>
      </c>
      <c r="AN79" s="204">
        <f t="shared" si="99"/>
        <v>-45.52575898348033</v>
      </c>
      <c r="AO79" s="204">
        <f t="shared" si="99"/>
        <v>-45.562328267107347</v>
      </c>
      <c r="AP79" s="204">
        <f t="shared" si="99"/>
        <v>-45.599295016096164</v>
      </c>
      <c r="AQ79" s="204">
        <f t="shared" si="99"/>
        <v>-45.636634728138205</v>
      </c>
      <c r="AR79" s="204">
        <f t="shared" si="99"/>
        <v>-45.674323627317079</v>
      </c>
      <c r="AS79" s="204">
        <f t="shared" si="99"/>
        <v>-45.712338646334963</v>
      </c>
      <c r="AT79" s="204">
        <f t="shared" si="99"/>
        <v>-45.750657409136068</v>
      </c>
      <c r="AU79" s="204">
        <f t="shared" si="99"/>
        <v>-45.789258213919339</v>
      </c>
      <c r="AV79" s="204">
        <f t="shared" si="99"/>
        <v>-45.828120016531663</v>
      </c>
      <c r="AW79" s="204">
        <f t="shared" si="99"/>
        <v>-45.867222414233709</v>
      </c>
      <c r="AX79" s="204">
        <f t="shared" si="99"/>
        <v>-45.906545629830589</v>
      </c>
      <c r="AY79" s="204">
        <f t="shared" si="99"/>
        <v>-45.946070496159308</v>
      </c>
      <c r="AZ79" s="204">
        <f t="shared" si="99"/>
        <v>-45.985778440925571</v>
      </c>
      <c r="BA79" s="204">
        <f t="shared" si="99"/>
        <v>-46.02565147188254</v>
      </c>
      <c r="BB79" s="204">
        <f t="shared" si="99"/>
        <v>-46.065672162344029</v>
      </c>
      <c r="BC79" s="204">
        <f t="shared" si="99"/>
        <v>-46.105823637025367</v>
      </c>
      <c r="BD79" s="204">
        <f t="shared" si="99"/>
        <v>-46.14608955820448</v>
      </c>
      <c r="BE79" s="204">
        <f t="shared" si="99"/>
        <v>-46.186454112196785</v>
      </c>
      <c r="BF79" s="204">
        <f t="shared" si="99"/>
        <v>-46.226901996136739</v>
      </c>
      <c r="BG79" s="204">
        <f t="shared" si="99"/>
        <v>-46.26741840506002</v>
      </c>
      <c r="BH79" s="204">
        <f t="shared" si="99"/>
        <v>-46.30798901927929</v>
      </c>
      <c r="BI79" s="204">
        <f t="shared" si="99"/>
        <v>-46.348599992047703</v>
      </c>
      <c r="BJ79" s="204">
        <f t="shared" si="99"/>
        <v>-46.389237937503836</v>
      </c>
      <c r="BK79" s="204">
        <f t="shared" si="99"/>
        <v>-46.429889918891917</v>
      </c>
      <c r="BL79" s="204">
        <f t="shared" si="99"/>
        <v>-46.470543437051539</v>
      </c>
      <c r="BM79" s="204">
        <f t="shared" si="99"/>
        <v>-46.51118641917099</v>
      </c>
      <c r="BN79" s="204">
        <f t="shared" si="99"/>
        <v>-46.551807207798618</v>
      </c>
      <c r="BO79" s="204">
        <f t="shared" si="99"/>
        <v>-46.592394550106526</v>
      </c>
      <c r="BP79" s="204">
        <f t="shared" si="99"/>
        <v>-46.632937587401329</v>
      </c>
      <c r="BQ79" s="204">
        <f t="shared" si="99"/>
        <v>-46.673425844876441</v>
      </c>
      <c r="BR79" s="204">
        <f t="shared" si="99"/>
        <v>-46.713849221600903</v>
      </c>
      <c r="BS79" s="204">
        <f t="shared" si="99"/>
        <v>-46.754197980739363</v>
      </c>
      <c r="BT79" s="204">
        <f t="shared" si="99"/>
        <v>-46.794462739998494</v>
      </c>
      <c r="BU79" s="204">
        <f t="shared" ref="BU79:EF79" si="100">PV($F33,BU$9,1,0)+(PV($J$6,$N$5-(BU$9),1,0)/($J$6+1)^BU$9)</f>
        <v>-46.83463446229473</v>
      </c>
      <c r="BV79" s="204">
        <f t="shared" si="100"/>
        <v>-46.874704446638589</v>
      </c>
      <c r="BW79" s="204">
        <f t="shared" si="100"/>
        <v>-46.914664319230958</v>
      </c>
      <c r="BX79" s="204">
        <f t="shared" si="100"/>
        <v>-46.954506024766545</v>
      </c>
      <c r="BY79" s="204">
        <f t="shared" si="100"/>
        <v>-46.994221817940257</v>
      </c>
      <c r="BZ79" s="204">
        <f t="shared" si="100"/>
        <v>-47.033804255151857</v>
      </c>
      <c r="CA79" s="204">
        <f t="shared" si="100"/>
        <v>-47.073246186404681</v>
      </c>
      <c r="CB79" s="204">
        <f t="shared" si="100"/>
        <v>-47.112540747394199</v>
      </c>
      <c r="CC79" s="204">
        <f t="shared" si="100"/>
        <v>-47.151681351782237</v>
      </c>
      <c r="CD79" s="204">
        <f t="shared" si="100"/>
        <v>-47.190661683652799</v>
      </c>
      <c r="CE79" s="204">
        <f t="shared" si="100"/>
        <v>-47.229475690145598</v>
      </c>
      <c r="CF79" s="204">
        <f t="shared" si="100"/>
        <v>-47.268117574263279</v>
      </c>
      <c r="CG79" s="204">
        <f t="shared" si="100"/>
        <v>-47.306581787848629</v>
      </c>
      <c r="CH79" s="204">
        <f t="shared" si="100"/>
        <v>-47.344863024728035</v>
      </c>
      <c r="CI79" s="204">
        <f t="shared" si="100"/>
        <v>-47.382956214017483</v>
      </c>
      <c r="CJ79" s="204">
        <f t="shared" si="100"/>
        <v>-47.420856513587559</v>
      </c>
      <c r="CK79" s="204">
        <f t="shared" si="100"/>
        <v>-47.458559303684034</v>
      </c>
      <c r="CL79" s="204">
        <f t="shared" si="100"/>
        <v>-47.496060180700397</v>
      </c>
      <c r="CM79" s="204">
        <f t="shared" si="100"/>
        <v>-47.533354951099298</v>
      </c>
      <c r="CN79" s="204">
        <f t="shared" si="100"/>
        <v>-47.570439625479281</v>
      </c>
      <c r="CO79" s="204">
        <f t="shared" si="100"/>
        <v>-47.607310412783846</v>
      </c>
      <c r="CP79" s="204">
        <f t="shared" si="100"/>
        <v>-47.643963714649594</v>
      </c>
      <c r="CQ79" s="204">
        <f t="shared" si="100"/>
        <v>-47.680396119890368</v>
      </c>
      <c r="CR79" s="204">
        <f t="shared" si="100"/>
        <v>-47.716604399114445</v>
      </c>
      <c r="CS79" s="204">
        <f t="shared" si="100"/>
        <v>-47.75258549947165</v>
      </c>
      <c r="CT79" s="204">
        <f t="shared" si="100"/>
        <v>-47.788336539527855</v>
      </c>
      <c r="CU79" s="204">
        <f t="shared" si="100"/>
        <v>-47.823854804263583</v>
      </c>
      <c r="CV79" s="204">
        <f t="shared" si="100"/>
        <v>-47.859137740194384</v>
      </c>
      <c r="CW79" s="204">
        <f t="shared" si="100"/>
        <v>-47.894182950609895</v>
      </c>
      <c r="CX79" s="204">
        <f t="shared" si="100"/>
        <v>-47.928988190929282</v>
      </c>
      <c r="CY79" s="204">
        <f t="shared" si="100"/>
        <v>-47.928988190929282</v>
      </c>
      <c r="CZ79" s="204">
        <f t="shared" si="100"/>
        <v>-47.928988190929282</v>
      </c>
      <c r="DA79" s="204">
        <f t="shared" si="100"/>
        <v>-47.928988190929282</v>
      </c>
      <c r="DB79" s="204">
        <f t="shared" si="100"/>
        <v>-47.928988190929282</v>
      </c>
      <c r="DC79" s="204">
        <f t="shared" si="100"/>
        <v>-47.928988190929282</v>
      </c>
      <c r="DD79" s="204">
        <f t="shared" si="100"/>
        <v>-47.928988190929282</v>
      </c>
      <c r="DE79" s="204">
        <f t="shared" si="100"/>
        <v>-47.928988190929282</v>
      </c>
      <c r="DF79" s="204">
        <f t="shared" si="100"/>
        <v>-47.928988190929282</v>
      </c>
      <c r="DG79" s="204">
        <f t="shared" si="100"/>
        <v>-47.928988190929282</v>
      </c>
      <c r="DH79" s="204">
        <f t="shared" si="100"/>
        <v>-47.928988190929282</v>
      </c>
      <c r="DI79" s="204">
        <f t="shared" si="100"/>
        <v>-47.928988190929282</v>
      </c>
      <c r="DJ79" s="204">
        <f t="shared" si="100"/>
        <v>-47.928988190929282</v>
      </c>
      <c r="DK79" s="204">
        <f t="shared" si="100"/>
        <v>-47.928988190929282</v>
      </c>
      <c r="DL79" s="204">
        <f t="shared" si="100"/>
        <v>-47.928988190929282</v>
      </c>
      <c r="DM79" s="204">
        <f t="shared" si="100"/>
        <v>-47.928988190929282</v>
      </c>
      <c r="DN79" s="204">
        <f t="shared" si="100"/>
        <v>-47.928988190929282</v>
      </c>
      <c r="DO79" s="204">
        <f t="shared" si="100"/>
        <v>-47.928988190929282</v>
      </c>
      <c r="DP79" s="204">
        <f t="shared" si="100"/>
        <v>-47.928988190929282</v>
      </c>
      <c r="DQ79" s="204">
        <f t="shared" si="100"/>
        <v>-47.928988190929282</v>
      </c>
      <c r="DR79" s="204">
        <f t="shared" si="100"/>
        <v>-47.928988190929282</v>
      </c>
      <c r="DS79" s="204">
        <f t="shared" si="100"/>
        <v>-47.928988190929282</v>
      </c>
      <c r="DT79" s="204">
        <f t="shared" si="100"/>
        <v>-47.928988190929282</v>
      </c>
      <c r="DU79" s="204">
        <f t="shared" si="100"/>
        <v>-47.928988190929282</v>
      </c>
      <c r="DV79" s="204">
        <f t="shared" si="100"/>
        <v>-47.928988190929282</v>
      </c>
      <c r="DW79" s="204">
        <f t="shared" si="100"/>
        <v>-47.928988190929282</v>
      </c>
      <c r="DX79" s="204">
        <f t="shared" si="100"/>
        <v>-47.928988190929282</v>
      </c>
      <c r="DY79" s="204">
        <f t="shared" si="100"/>
        <v>-47.928988190929282</v>
      </c>
      <c r="DZ79" s="204">
        <f t="shared" si="100"/>
        <v>-47.928988190929282</v>
      </c>
      <c r="EA79" s="204">
        <f t="shared" si="100"/>
        <v>-47.928988190929282</v>
      </c>
      <c r="EB79" s="204">
        <f t="shared" si="100"/>
        <v>-47.928988190929282</v>
      </c>
      <c r="EC79" s="204">
        <f t="shared" si="100"/>
        <v>-47.928988190929282</v>
      </c>
      <c r="ED79" s="204">
        <f t="shared" si="100"/>
        <v>-47.928988190929282</v>
      </c>
      <c r="EE79" s="204">
        <f t="shared" si="100"/>
        <v>-47.928988190929282</v>
      </c>
      <c r="EF79" s="204">
        <f t="shared" si="100"/>
        <v>-47.928988190929282</v>
      </c>
      <c r="EG79" s="204">
        <f t="shared" ref="EG79:ET79" si="101">PV($F33,EG$9,1,0)+(PV($J$6,$N$5-(EG$9),1,0)/($J$6+1)^EG$9)</f>
        <v>-47.928988190929282</v>
      </c>
      <c r="EH79" s="204">
        <f t="shared" si="101"/>
        <v>-47.928988190929282</v>
      </c>
      <c r="EI79" s="204">
        <f t="shared" si="101"/>
        <v>-47.928988190929282</v>
      </c>
      <c r="EJ79" s="204">
        <f t="shared" si="101"/>
        <v>-47.928988190929282</v>
      </c>
      <c r="EK79" s="204">
        <f t="shared" si="101"/>
        <v>-47.928988190929282</v>
      </c>
      <c r="EL79" s="204">
        <f t="shared" si="101"/>
        <v>-47.928988190929282</v>
      </c>
      <c r="EM79" s="204">
        <f t="shared" si="101"/>
        <v>-47.928988190929282</v>
      </c>
      <c r="EN79" s="204">
        <f t="shared" si="101"/>
        <v>-47.928988190929282</v>
      </c>
      <c r="EO79" s="204">
        <f t="shared" si="101"/>
        <v>-47.928988190929282</v>
      </c>
      <c r="EP79" s="204">
        <f t="shared" si="101"/>
        <v>-47.928988190929282</v>
      </c>
      <c r="EQ79" s="204">
        <f t="shared" si="101"/>
        <v>-47.928988190929282</v>
      </c>
      <c r="ER79" s="204">
        <f t="shared" si="101"/>
        <v>-47.928988190929282</v>
      </c>
      <c r="ES79" s="204">
        <f t="shared" si="101"/>
        <v>-47.928988190929282</v>
      </c>
      <c r="ET79" s="204">
        <f t="shared" si="101"/>
        <v>-47.928988190929282</v>
      </c>
      <c r="FF79" s="6" t="s">
        <v>3772</v>
      </c>
      <c r="FG79" s="696">
        <v>2.5000000000000001E-2</v>
      </c>
      <c r="FH79" s="696">
        <v>96</v>
      </c>
      <c r="FI79" s="696">
        <v>1.6899999999999998E-2</v>
      </c>
      <c r="FJ79" s="255">
        <v>1.49E-2</v>
      </c>
      <c r="FK79" s="71">
        <f t="shared" si="92"/>
        <v>2.404761904761905E-4</v>
      </c>
      <c r="FL79" t="e">
        <f>VLOOKUP(FF79,'SIMULADOR COM SALDO'!$BX$22:$CK$1000,13,FALSE)</f>
        <v>#N/A</v>
      </c>
    </row>
    <row r="80" spans="7:168" x14ac:dyDescent="0.25">
      <c r="G80" s="103">
        <f t="shared" si="45"/>
        <v>-44.75400089081873</v>
      </c>
      <c r="H80" s="204">
        <f t="shared" si="46"/>
        <v>-44.757521539153807</v>
      </c>
      <c r="I80" s="204">
        <f t="shared" ref="I80:BT80" si="102">PV($F34,I$9,1,0)+(PV($J$6,$N$5-(I$9),1,0)/($J$6+1)^I$9)</f>
        <v>-44.762711319472366</v>
      </c>
      <c r="J80" s="204">
        <f t="shared" si="102"/>
        <v>-44.769511538484679</v>
      </c>
      <c r="K80" s="204">
        <f t="shared" si="102"/>
        <v>-44.777865033583431</v>
      </c>
      <c r="L80" s="204">
        <f t="shared" si="102"/>
        <v>-44.787716137434053</v>
      </c>
      <c r="M80" s="204">
        <f t="shared" si="102"/>
        <v>-44.7990106433327</v>
      </c>
      <c r="N80" s="204">
        <f t="shared" si="102"/>
        <v>-44.811695771316046</v>
      </c>
      <c r="O80" s="204">
        <f t="shared" si="102"/>
        <v>-44.825720135007145</v>
      </c>
      <c r="P80" s="204">
        <f t="shared" si="102"/>
        <v>-44.841033709181964</v>
      </c>
      <c r="Q80" s="204">
        <f t="shared" si="102"/>
        <v>-44.857587798041664</v>
      </c>
      <c r="R80" s="204">
        <f t="shared" si="102"/>
        <v>-44.875335004175803</v>
      </c>
      <c r="S80" s="204">
        <f t="shared" si="102"/>
        <v>-44.894229198202211</v>
      </c>
      <c r="T80" s="204">
        <f t="shared" si="102"/>
        <v>-44.914225489069111</v>
      </c>
      <c r="U80" s="204">
        <f t="shared" si="102"/>
        <v>-44.935280195005888</v>
      </c>
      <c r="V80" s="204">
        <f t="shared" si="102"/>
        <v>-44.957350815108839</v>
      </c>
      <c r="W80" s="204">
        <f t="shared" si="102"/>
        <v>-44.980396001548627</v>
      </c>
      <c r="X80" s="204">
        <f t="shared" si="102"/>
        <v>-45.00437553238644</v>
      </c>
      <c r="Y80" s="204">
        <f t="shared" si="102"/>
        <v>-45.029250284985991</v>
      </c>
      <c r="Z80" s="204">
        <f t="shared" si="102"/>
        <v>-45.054982210009001</v>
      </c>
      <c r="AA80" s="204">
        <f t="shared" si="102"/>
        <v>-45.081534305981918</v>
      </c>
      <c r="AB80" s="204">
        <f t="shared" si="102"/>
        <v>-45.108870594421745</v>
      </c>
      <c r="AC80" s="204">
        <f t="shared" si="102"/>
        <v>-45.136956095509305</v>
      </c>
      <c r="AD80" s="204">
        <f t="shared" si="102"/>
        <v>-45.165756804298496</v>
      </c>
      <c r="AE80" s="204">
        <f t="shared" si="102"/>
        <v>-45.195239667450245</v>
      </c>
      <c r="AF80" s="204">
        <f t="shared" si="102"/>
        <v>-45.225372560479911</v>
      </c>
      <c r="AG80" s="204">
        <f t="shared" si="102"/>
        <v>-45.256124265507594</v>
      </c>
      <c r="AH80" s="204">
        <f t="shared" si="102"/>
        <v>-45.287464449500717</v>
      </c>
      <c r="AI80" s="204">
        <f t="shared" si="102"/>
        <v>-45.319363642998205</v>
      </c>
      <c r="AJ80" s="204">
        <f t="shared" si="102"/>
        <v>-45.351793219306572</v>
      </c>
      <c r="AK80" s="204">
        <f t="shared" si="102"/>
        <v>-45.384725374157448</v>
      </c>
      <c r="AL80" s="204">
        <f t="shared" si="102"/>
        <v>-45.418133105817134</v>
      </c>
      <c r="AM80" s="204">
        <f t="shared" si="102"/>
        <v>-45.451990195638636</v>
      </c>
      <c r="AN80" s="204">
        <f t="shared" si="102"/>
        <v>-45.486271189046469</v>
      </c>
      <c r="AO80" s="204">
        <f t="shared" si="102"/>
        <v>-45.52095137694549</v>
      </c>
      <c r="AP80" s="204">
        <f t="shared" si="102"/>
        <v>-45.55600677754444</v>
      </c>
      <c r="AQ80" s="204">
        <f t="shared" si="102"/>
        <v>-45.591414118585675</v>
      </c>
      <c r="AR80" s="204">
        <f t="shared" si="102"/>
        <v>-45.627150819972258</v>
      </c>
      <c r="AS80" s="204">
        <f t="shared" si="102"/>
        <v>-45.663194976783977</v>
      </c>
      <c r="AT80" s="204">
        <f t="shared" si="102"/>
        <v>-45.699525342674178</v>
      </c>
      <c r="AU80" s="204">
        <f t="shared" si="102"/>
        <v>-45.736121313639245</v>
      </c>
      <c r="AV80" s="204">
        <f t="shared" si="102"/>
        <v>-45.772962912152735</v>
      </c>
      <c r="AW80" s="204">
        <f t="shared" si="102"/>
        <v>-45.810030771656301</v>
      </c>
      <c r="AX80" s="204">
        <f t="shared" si="102"/>
        <v>-45.847306121400251</v>
      </c>
      <c r="AY80" s="204">
        <f t="shared" si="102"/>
        <v>-45.884770771625647</v>
      </c>
      <c r="AZ80" s="204">
        <f t="shared" si="102"/>
        <v>-45.922407099081198</v>
      </c>
      <c r="BA80" s="204">
        <f t="shared" si="102"/>
        <v>-45.96019803286741</v>
      </c>
      <c r="BB80" s="204">
        <f t="shared" si="102"/>
        <v>-45.998127040601275</v>
      </c>
      <c r="BC80" s="204">
        <f t="shared" si="102"/>
        <v>-46.036178114894469</v>
      </c>
      <c r="BD80" s="204">
        <f t="shared" si="102"/>
        <v>-46.074335760138382</v>
      </c>
      <c r="BE80" s="204">
        <f t="shared" si="102"/>
        <v>-46.112584979589457</v>
      </c>
      <c r="BF80" s="204">
        <f t="shared" si="102"/>
        <v>-46.150911262748309</v>
      </c>
      <c r="BG80" s="204">
        <f t="shared" si="102"/>
        <v>-46.189300573026458</v>
      </c>
      <c r="BH80" s="204">
        <f t="shared" si="102"/>
        <v>-46.227739335694302</v>
      </c>
      <c r="BI80" s="204">
        <f t="shared" si="102"/>
        <v>-46.266214426104426</v>
      </c>
      <c r="BJ80" s="204">
        <f t="shared" si="102"/>
        <v>-46.304713158184313</v>
      </c>
      <c r="BK80" s="204">
        <f t="shared" si="102"/>
        <v>-46.343223273192642</v>
      </c>
      <c r="BL80" s="204">
        <f t="shared" si="102"/>
        <v>-46.381732928733356</v>
      </c>
      <c r="BM80" s="204">
        <f t="shared" si="102"/>
        <v>-46.420230688022237</v>
      </c>
      <c r="BN80" s="204">
        <f t="shared" si="102"/>
        <v>-46.458705509400211</v>
      </c>
      <c r="BO80" s="204">
        <f t="shared" si="102"/>
        <v>-46.49714673608829</v>
      </c>
      <c r="BP80" s="204">
        <f t="shared" si="102"/>
        <v>-46.535544086178824</v>
      </c>
      <c r="BQ80" s="204">
        <f t="shared" si="102"/>
        <v>-46.573887642857891</v>
      </c>
      <c r="BR80" s="204">
        <f t="shared" si="102"/>
        <v>-46.612167844853978</v>
      </c>
      <c r="BS80" s="204">
        <f t="shared" si="102"/>
        <v>-46.65037547710795</v>
      </c>
      <c r="BT80" s="204">
        <f t="shared" si="102"/>
        <v>-46.688501661659444</v>
      </c>
      <c r="BU80" s="204">
        <f t="shared" ref="BU80:EF80" si="103">PV($F34,BU$9,1,0)+(PV($J$6,$N$5-(BU$9),1,0)/($J$6+1)^BU$9)</f>
        <v>-46.72653784874511</v>
      </c>
      <c r="BV80" s="204">
        <f t="shared" si="103"/>
        <v>-46.764475808103995</v>
      </c>
      <c r="BW80" s="204">
        <f t="shared" si="103"/>
        <v>-46.802307620485699</v>
      </c>
      <c r="BX80" s="204">
        <f t="shared" si="103"/>
        <v>-46.840025669356656</v>
      </c>
      <c r="BY80" s="204">
        <f t="shared" si="103"/>
        <v>-46.877622632800488</v>
      </c>
      <c r="BZ80" s="204">
        <f t="shared" si="103"/>
        <v>-46.915091475607987</v>
      </c>
      <c r="CA80" s="204">
        <f t="shared" si="103"/>
        <v>-46.952425441552684</v>
      </c>
      <c r="CB80" s="204">
        <f t="shared" si="103"/>
        <v>-46.989618045847969</v>
      </c>
      <c r="CC80" s="204">
        <f t="shared" si="103"/>
        <v>-47.026663067781683</v>
      </c>
      <c r="CD80" s="204">
        <f t="shared" si="103"/>
        <v>-47.063554543524418</v>
      </c>
      <c r="CE80" s="204">
        <f t="shared" si="103"/>
        <v>-47.100286759107625</v>
      </c>
      <c r="CF80" s="204">
        <f t="shared" si="103"/>
        <v>-47.136854243567861</v>
      </c>
      <c r="CG80" s="204">
        <f t="shared" si="103"/>
        <v>-47.1732517622535</v>
      </c>
      <c r="CH80" s="204">
        <f t="shared" si="103"/>
        <v>-47.209474310290325</v>
      </c>
      <c r="CI80" s="204">
        <f t="shared" si="103"/>
        <v>-47.245517106202534</v>
      </c>
      <c r="CJ80" s="204">
        <f t="shared" si="103"/>
        <v>-47.281375585685758</v>
      </c>
      <c r="CK80" s="204">
        <f t="shared" si="103"/>
        <v>-47.317045395528574</v>
      </c>
      <c r="CL80" s="204">
        <f t="shared" si="103"/>
        <v>-47.3525223876795</v>
      </c>
      <c r="CM80" s="204">
        <f t="shared" si="103"/>
        <v>-47.38780261345611</v>
      </c>
      <c r="CN80" s="204">
        <f t="shared" si="103"/>
        <v>-47.422882317893027</v>
      </c>
      <c r="CO80" s="204">
        <f t="shared" si="103"/>
        <v>-47.457757934225903</v>
      </c>
      <c r="CP80" s="204">
        <f t="shared" si="103"/>
        <v>-47.492426078508309</v>
      </c>
      <c r="CQ80" s="204">
        <f t="shared" si="103"/>
        <v>-47.526883544358533</v>
      </c>
      <c r="CR80" s="204">
        <f t="shared" si="103"/>
        <v>-47.561127297833423</v>
      </c>
      <c r="CS80" s="204">
        <f t="shared" si="103"/>
        <v>-47.595154472426543</v>
      </c>
      <c r="CT80" s="204">
        <f t="shared" si="103"/>
        <v>-47.628962364187686</v>
      </c>
      <c r="CU80" s="204">
        <f t="shared" si="103"/>
        <v>-47.662548426961195</v>
      </c>
      <c r="CV80" s="204">
        <f t="shared" si="103"/>
        <v>-47.695910267740487</v>
      </c>
      <c r="CW80" s="204">
        <f t="shared" si="103"/>
        <v>-47.729045642135915</v>
      </c>
      <c r="CX80" s="204">
        <f t="shared" si="103"/>
        <v>-47.761952449953696</v>
      </c>
      <c r="CY80" s="204">
        <f t="shared" si="103"/>
        <v>-47.761952449953696</v>
      </c>
      <c r="CZ80" s="204">
        <f t="shared" si="103"/>
        <v>-47.761952449953696</v>
      </c>
      <c r="DA80" s="204">
        <f t="shared" si="103"/>
        <v>-47.761952449953696</v>
      </c>
      <c r="DB80" s="204">
        <f t="shared" si="103"/>
        <v>-47.761952449953696</v>
      </c>
      <c r="DC80" s="204">
        <f t="shared" si="103"/>
        <v>-47.761952449953696</v>
      </c>
      <c r="DD80" s="204">
        <f t="shared" si="103"/>
        <v>-47.761952449953696</v>
      </c>
      <c r="DE80" s="204">
        <f t="shared" si="103"/>
        <v>-47.761952449953696</v>
      </c>
      <c r="DF80" s="204">
        <f t="shared" si="103"/>
        <v>-47.761952449953696</v>
      </c>
      <c r="DG80" s="204">
        <f t="shared" si="103"/>
        <v>-47.761952449953696</v>
      </c>
      <c r="DH80" s="204">
        <f t="shared" si="103"/>
        <v>-47.761952449953696</v>
      </c>
      <c r="DI80" s="204">
        <f t="shared" si="103"/>
        <v>-47.761952449953696</v>
      </c>
      <c r="DJ80" s="204">
        <f t="shared" si="103"/>
        <v>-47.761952449953696</v>
      </c>
      <c r="DK80" s="204">
        <f t="shared" si="103"/>
        <v>-47.761952449953696</v>
      </c>
      <c r="DL80" s="204">
        <f t="shared" si="103"/>
        <v>-47.761952449953696</v>
      </c>
      <c r="DM80" s="204">
        <f t="shared" si="103"/>
        <v>-47.761952449953696</v>
      </c>
      <c r="DN80" s="204">
        <f t="shared" si="103"/>
        <v>-47.761952449953696</v>
      </c>
      <c r="DO80" s="204">
        <f t="shared" si="103"/>
        <v>-47.761952449953696</v>
      </c>
      <c r="DP80" s="204">
        <f t="shared" si="103"/>
        <v>-47.761952449953696</v>
      </c>
      <c r="DQ80" s="204">
        <f t="shared" si="103"/>
        <v>-47.761952449953696</v>
      </c>
      <c r="DR80" s="204">
        <f t="shared" si="103"/>
        <v>-47.761952449953696</v>
      </c>
      <c r="DS80" s="204">
        <f t="shared" si="103"/>
        <v>-47.761952449953696</v>
      </c>
      <c r="DT80" s="204">
        <f t="shared" si="103"/>
        <v>-47.761952449953696</v>
      </c>
      <c r="DU80" s="204">
        <f t="shared" si="103"/>
        <v>-47.761952449953696</v>
      </c>
      <c r="DV80" s="204">
        <f t="shared" si="103"/>
        <v>-47.761952449953696</v>
      </c>
      <c r="DW80" s="204">
        <f t="shared" si="103"/>
        <v>-47.761952449953696</v>
      </c>
      <c r="DX80" s="204">
        <f t="shared" si="103"/>
        <v>-47.761952449953696</v>
      </c>
      <c r="DY80" s="204">
        <f t="shared" si="103"/>
        <v>-47.761952449953696</v>
      </c>
      <c r="DZ80" s="204">
        <f t="shared" si="103"/>
        <v>-47.761952449953696</v>
      </c>
      <c r="EA80" s="204">
        <f t="shared" si="103"/>
        <v>-47.761952449953696</v>
      </c>
      <c r="EB80" s="204">
        <f t="shared" si="103"/>
        <v>-47.761952449953696</v>
      </c>
      <c r="EC80" s="204">
        <f t="shared" si="103"/>
        <v>-47.761952449953696</v>
      </c>
      <c r="ED80" s="204">
        <f t="shared" si="103"/>
        <v>-47.761952449953696</v>
      </c>
      <c r="EE80" s="204">
        <f t="shared" si="103"/>
        <v>-47.761952449953696</v>
      </c>
      <c r="EF80" s="204">
        <f t="shared" si="103"/>
        <v>-47.761952449953696</v>
      </c>
      <c r="EG80" s="204">
        <f t="shared" ref="EG80:ET80" si="104">PV($F34,EG$9,1,0)+(PV($J$6,$N$5-(EG$9),1,0)/($J$6+1)^EG$9)</f>
        <v>-47.761952449953696</v>
      </c>
      <c r="EH80" s="204">
        <f t="shared" si="104"/>
        <v>-47.761952449953696</v>
      </c>
      <c r="EI80" s="204">
        <f t="shared" si="104"/>
        <v>-47.761952449953696</v>
      </c>
      <c r="EJ80" s="204">
        <f t="shared" si="104"/>
        <v>-47.761952449953696</v>
      </c>
      <c r="EK80" s="204">
        <f t="shared" si="104"/>
        <v>-47.761952449953696</v>
      </c>
      <c r="EL80" s="204">
        <f t="shared" si="104"/>
        <v>-47.761952449953696</v>
      </c>
      <c r="EM80" s="204">
        <f t="shared" si="104"/>
        <v>-47.761952449953696</v>
      </c>
      <c r="EN80" s="204">
        <f t="shared" si="104"/>
        <v>-47.761952449953696</v>
      </c>
      <c r="EO80" s="204">
        <f t="shared" si="104"/>
        <v>-47.761952449953696</v>
      </c>
      <c r="EP80" s="204">
        <f t="shared" si="104"/>
        <v>-47.761952449953696</v>
      </c>
      <c r="EQ80" s="204">
        <f t="shared" si="104"/>
        <v>-47.761952449953696</v>
      </c>
      <c r="ER80" s="204">
        <f t="shared" si="104"/>
        <v>-47.761952449953696</v>
      </c>
      <c r="ES80" s="204">
        <f t="shared" si="104"/>
        <v>-47.761952449953696</v>
      </c>
      <c r="ET80" s="204">
        <f t="shared" si="104"/>
        <v>-47.761952449953696</v>
      </c>
      <c r="FF80" s="6" t="s">
        <v>3020</v>
      </c>
      <c r="FG80" s="696">
        <v>1.8500000000000003E-2</v>
      </c>
      <c r="FH80" s="696">
        <v>120</v>
      </c>
      <c r="FI80" s="696">
        <v>1.7100000000000001E-2</v>
      </c>
      <c r="FJ80" s="255">
        <v>1.3500000000000002E-2</v>
      </c>
      <c r="FK80" s="71">
        <f t="shared" si="92"/>
        <v>1.1904761904761907E-4</v>
      </c>
      <c r="FL80" t="e">
        <f>VLOOKUP(FF80,'SIMULADOR COM SALDO'!$BX$22:$CK$1000,13,FALSE)</f>
        <v>#N/A</v>
      </c>
    </row>
    <row r="81" spans="7:168" x14ac:dyDescent="0.25">
      <c r="G81" s="103">
        <f t="shared" si="45"/>
        <v>-44.753906451247765</v>
      </c>
      <c r="H81" s="204">
        <f t="shared" si="46"/>
        <v>-44.757241321823223</v>
      </c>
      <c r="I81" s="204">
        <f t="shared" ref="I81:BT81" si="105">PV($F35,I$9,1,0)+(PV($J$6,$N$5-(I$9),1,0)/($J$6+1)^I$9)</f>
        <v>-44.762157011188918</v>
      </c>
      <c r="J81" s="204">
        <f t="shared" si="105"/>
        <v>-44.768597776335959</v>
      </c>
      <c r="K81" s="204">
        <f t="shared" si="105"/>
        <v>-44.776509331861327</v>
      </c>
      <c r="L81" s="204">
        <f t="shared" si="105"/>
        <v>-44.785838816162624</v>
      </c>
      <c r="M81" s="204">
        <f t="shared" si="105"/>
        <v>-44.796534758367464</v>
      </c>
      <c r="N81" s="204">
        <f t="shared" si="105"/>
        <v>-44.808547045982316</v>
      </c>
      <c r="O81" s="204">
        <f t="shared" si="105"/>
        <v>-44.821826893245735</v>
      </c>
      <c r="P81" s="204">
        <f t="shared" si="105"/>
        <v>-44.836326810171229</v>
      </c>
      <c r="Q81" s="204">
        <f t="shared" si="105"/>
        <v>-44.852000572265368</v>
      </c>
      <c r="R81" s="204">
        <f t="shared" si="105"/>
        <v>-44.868803190906974</v>
      </c>
      <c r="S81" s="204">
        <f t="shared" si="105"/>
        <v>-44.886690884373721</v>
      </c>
      <c r="T81" s="204">
        <f t="shared" si="105"/>
        <v>-44.905621049502351</v>
      </c>
      <c r="U81" s="204">
        <f t="shared" si="105"/>
        <v>-44.925552233969277</v>
      </c>
      <c r="V81" s="204">
        <f t="shared" si="105"/>
        <v>-44.946444109178799</v>
      </c>
      <c r="W81" s="204">
        <f t="shared" si="105"/>
        <v>-44.968257443745827</v>
      </c>
      <c r="X81" s="204">
        <f t="shared" si="105"/>
        <v>-44.99095407756095</v>
      </c>
      <c r="Y81" s="204">
        <f t="shared" si="105"/>
        <v>-45.014496896425371</v>
      </c>
      <c r="Z81" s="204">
        <f t="shared" si="105"/>
        <v>-45.038849807243921</v>
      </c>
      <c r="AA81" s="204">
        <f t="shared" si="105"/>
        <v>-45.063977713764217</v>
      </c>
      <c r="AB81" s="204">
        <f t="shared" si="105"/>
        <v>-45.089846492850697</v>
      </c>
      <c r="AC81" s="204">
        <f t="shared" si="105"/>
        <v>-45.116422971282113</v>
      </c>
      <c r="AD81" s="204">
        <f t="shared" si="105"/>
        <v>-45.143674903061381</v>
      </c>
      <c r="AE81" s="204">
        <f t="shared" si="105"/>
        <v>-45.171570947227266</v>
      </c>
      <c r="AF81" s="204">
        <f t="shared" si="105"/>
        <v>-45.200080646157005</v>
      </c>
      <c r="AG81" s="204">
        <f t="shared" si="105"/>
        <v>-45.229174404349614</v>
      </c>
      <c r="AH81" s="204">
        <f t="shared" si="105"/>
        <v>-45.258823467679896</v>
      </c>
      <c r="AI81" s="204">
        <f t="shared" si="105"/>
        <v>-45.28899990311281</v>
      </c>
      <c r="AJ81" s="204">
        <f t="shared" si="105"/>
        <v>-45.319676578868943</v>
      </c>
      <c r="AK81" s="204">
        <f t="shared" si="105"/>
        <v>-45.350827145031047</v>
      </c>
      <c r="AL81" s="204">
        <f t="shared" si="105"/>
        <v>-45.382426014582663</v>
      </c>
      <c r="AM81" s="204">
        <f t="shared" si="105"/>
        <v>-45.414448344869513</v>
      </c>
      <c r="AN81" s="204">
        <f t="shared" si="105"/>
        <v>-45.44687001947473</v>
      </c>
      <c r="AO81" s="204">
        <f t="shared" si="105"/>
        <v>-45.479667630499037</v>
      </c>
      <c r="AP81" s="204">
        <f t="shared" si="105"/>
        <v>-45.51281846123748</v>
      </c>
      <c r="AQ81" s="204">
        <f t="shared" si="105"/>
        <v>-45.546300469244095</v>
      </c>
      <c r="AR81" s="204">
        <f t="shared" si="105"/>
        <v>-45.580092269776308</v>
      </c>
      <c r="AS81" s="204">
        <f t="shared" si="105"/>
        <v>-45.614173119611038</v>
      </c>
      <c r="AT81" s="204">
        <f t="shared" si="105"/>
        <v>-45.648522901224538</v>
      </c>
      <c r="AU81" s="204">
        <f t="shared" si="105"/>
        <v>-45.68312210732816</v>
      </c>
      <c r="AV81" s="204">
        <f t="shared" si="105"/>
        <v>-45.717951825752635</v>
      </c>
      <c r="AW81" s="204">
        <f t="shared" si="105"/>
        <v>-45.752993724673146</v>
      </c>
      <c r="AX81" s="204">
        <f t="shared" si="105"/>
        <v>-45.788230038168194</v>
      </c>
      <c r="AY81" s="204">
        <f t="shared" si="105"/>
        <v>-45.823643552104954</v>
      </c>
      <c r="AZ81" s="204">
        <f t="shared" si="105"/>
        <v>-45.859217590344123</v>
      </c>
      <c r="BA81" s="204">
        <f t="shared" si="105"/>
        <v>-45.894936001257506</v>
      </c>
      <c r="BB81" s="204">
        <f t="shared" si="105"/>
        <v>-45.930783144551626</v>
      </c>
      <c r="BC81" s="204">
        <f t="shared" si="105"/>
        <v>-45.966743878390702</v>
      </c>
      <c r="BD81" s="204">
        <f t="shared" si="105"/>
        <v>-46.002803546812615</v>
      </c>
      <c r="BE81" s="204">
        <f t="shared" si="105"/>
        <v>-46.038947967431668</v>
      </c>
      <c r="BF81" s="204">
        <f t="shared" si="105"/>
        <v>-46.075163419421862</v>
      </c>
      <c r="BG81" s="204">
        <f t="shared" si="105"/>
        <v>-46.111436631774531</v>
      </c>
      <c r="BH81" s="204">
        <f t="shared" si="105"/>
        <v>-46.147754771824793</v>
      </c>
      <c r="BI81" s="204">
        <f t="shared" si="105"/>
        <v>-46.184105434040639</v>
      </c>
      <c r="BJ81" s="204">
        <f t="shared" si="105"/>
        <v>-46.220476629069211</v>
      </c>
      <c r="BK81" s="204">
        <f t="shared" si="105"/>
        <v>-46.256856773034684</v>
      </c>
      <c r="BL81" s="204">
        <f t="shared" si="105"/>
        <v>-46.293234677082211</v>
      </c>
      <c r="BM81" s="204">
        <f t="shared" si="105"/>
        <v>-46.329599537162807</v>
      </c>
      <c r="BN81" s="204">
        <f t="shared" si="105"/>
        <v>-46.365940924053724</v>
      </c>
      <c r="BO81" s="204">
        <f t="shared" si="105"/>
        <v>-46.402248773609422</v>
      </c>
      <c r="BP81" s="204">
        <f t="shared" si="105"/>
        <v>-46.43851337723801</v>
      </c>
      <c r="BQ81" s="204">
        <f t="shared" si="105"/>
        <v>-46.474725372598229</v>
      </c>
      <c r="BR81" s="204">
        <f t="shared" si="105"/>
        <v>-46.51087573451246</v>
      </c>
      <c r="BS81" s="204">
        <f t="shared" si="105"/>
        <v>-46.546955766090619</v>
      </c>
      <c r="BT81" s="204">
        <f t="shared" si="105"/>
        <v>-46.582957090060724</v>
      </c>
      <c r="BU81" s="204">
        <f t="shared" ref="BU81:EF81" si="106">PV($F35,BU$9,1,0)+(PV($J$6,$N$5-(BU$9),1,0)/($J$6+1)^BU$9)</f>
        <v>-46.618871640301535</v>
      </c>
      <c r="BV81" s="204">
        <f t="shared" si="106"/>
        <v>-46.654691653572705</v>
      </c>
      <c r="BW81" s="204">
        <f t="shared" si="106"/>
        <v>-46.690409661438366</v>
      </c>
      <c r="BX81" s="204">
        <f t="shared" si="106"/>
        <v>-46.726018482379757</v>
      </c>
      <c r="BY81" s="204">
        <f t="shared" si="106"/>
        <v>-46.761511214092835</v>
      </c>
      <c r="BZ81" s="204">
        <f t="shared" si="106"/>
        <v>-46.796881225966807</v>
      </c>
      <c r="CA81" s="204">
        <f t="shared" si="106"/>
        <v>-46.832122151739682</v>
      </c>
      <c r="CB81" s="204">
        <f t="shared" si="106"/>
        <v>-46.867227882326766</v>
      </c>
      <c r="CC81" s="204">
        <f t="shared" si="106"/>
        <v>-46.902192558818612</v>
      </c>
      <c r="CD81" s="204">
        <f t="shared" si="106"/>
        <v>-46.937010565644371</v>
      </c>
      <c r="CE81" s="204">
        <f t="shared" si="106"/>
        <v>-46.971676523897244</v>
      </c>
      <c r="CF81" s="204">
        <f t="shared" si="106"/>
        <v>-47.006185284818116</v>
      </c>
      <c r="CG81" s="204">
        <f t="shared" si="106"/>
        <v>-47.040531923434244</v>
      </c>
      <c r="CH81" s="204">
        <f t="shared" si="106"/>
        <v>-47.074711732349307</v>
      </c>
      <c r="CI81" s="204">
        <f t="shared" si="106"/>
        <v>-47.108720215681508</v>
      </c>
      <c r="CJ81" s="204">
        <f t="shared" si="106"/>
        <v>-47.142553083146758</v>
      </c>
      <c r="CK81" s="204">
        <f t="shared" si="106"/>
        <v>-47.176206244283229</v>
      </c>
      <c r="CL81" s="204">
        <f t="shared" si="106"/>
        <v>-47.209675802814623</v>
      </c>
      <c r="CM81" s="204">
        <f t="shared" si="106"/>
        <v>-47.242958051148769</v>
      </c>
      <c r="CN81" s="204">
        <f t="shared" si="106"/>
        <v>-47.276049465008711</v>
      </c>
      <c r="CO81" s="204">
        <f t="shared" si="106"/>
        <v>-47.308946698193239</v>
      </c>
      <c r="CP81" s="204">
        <f t="shared" si="106"/>
        <v>-47.341646577464125</v>
      </c>
      <c r="CQ81" s="204">
        <f t="shared" si="106"/>
        <v>-47.374146097557023</v>
      </c>
      <c r="CR81" s="204">
        <f t="shared" si="106"/>
        <v>-47.406442416313581</v>
      </c>
      <c r="CS81" s="204">
        <f t="shared" si="106"/>
        <v>-47.438532849931697</v>
      </c>
      <c r="CT81" s="204">
        <f t="shared" si="106"/>
        <v>-47.470414868331687</v>
      </c>
      <c r="CU81" s="204">
        <f t="shared" si="106"/>
        <v>-47.502086090635338</v>
      </c>
      <c r="CV81" s="204">
        <f t="shared" si="106"/>
        <v>-47.533544280755798</v>
      </c>
      <c r="CW81" s="204">
        <f t="shared" si="106"/>
        <v>-47.564787343095311</v>
      </c>
      <c r="CX81" s="204">
        <f t="shared" si="106"/>
        <v>-47.59581331834881</v>
      </c>
      <c r="CY81" s="204">
        <f t="shared" si="106"/>
        <v>-47.59581331834881</v>
      </c>
      <c r="CZ81" s="204">
        <f t="shared" si="106"/>
        <v>-47.59581331834881</v>
      </c>
      <c r="DA81" s="204">
        <f t="shared" si="106"/>
        <v>-47.59581331834881</v>
      </c>
      <c r="DB81" s="204">
        <f t="shared" si="106"/>
        <v>-47.59581331834881</v>
      </c>
      <c r="DC81" s="204">
        <f t="shared" si="106"/>
        <v>-47.59581331834881</v>
      </c>
      <c r="DD81" s="204">
        <f t="shared" si="106"/>
        <v>-47.59581331834881</v>
      </c>
      <c r="DE81" s="204">
        <f t="shared" si="106"/>
        <v>-47.59581331834881</v>
      </c>
      <c r="DF81" s="204">
        <f t="shared" si="106"/>
        <v>-47.59581331834881</v>
      </c>
      <c r="DG81" s="204">
        <f t="shared" si="106"/>
        <v>-47.59581331834881</v>
      </c>
      <c r="DH81" s="204">
        <f t="shared" si="106"/>
        <v>-47.59581331834881</v>
      </c>
      <c r="DI81" s="204">
        <f t="shared" si="106"/>
        <v>-47.59581331834881</v>
      </c>
      <c r="DJ81" s="204">
        <f t="shared" si="106"/>
        <v>-47.59581331834881</v>
      </c>
      <c r="DK81" s="204">
        <f t="shared" si="106"/>
        <v>-47.59581331834881</v>
      </c>
      <c r="DL81" s="204">
        <f t="shared" si="106"/>
        <v>-47.59581331834881</v>
      </c>
      <c r="DM81" s="204">
        <f t="shared" si="106"/>
        <v>-47.59581331834881</v>
      </c>
      <c r="DN81" s="204">
        <f t="shared" si="106"/>
        <v>-47.59581331834881</v>
      </c>
      <c r="DO81" s="204">
        <f t="shared" si="106"/>
        <v>-47.59581331834881</v>
      </c>
      <c r="DP81" s="204">
        <f t="shared" si="106"/>
        <v>-47.59581331834881</v>
      </c>
      <c r="DQ81" s="204">
        <f t="shared" si="106"/>
        <v>-47.59581331834881</v>
      </c>
      <c r="DR81" s="204">
        <f t="shared" si="106"/>
        <v>-47.59581331834881</v>
      </c>
      <c r="DS81" s="204">
        <f t="shared" si="106"/>
        <v>-47.59581331834881</v>
      </c>
      <c r="DT81" s="204">
        <f t="shared" si="106"/>
        <v>-47.59581331834881</v>
      </c>
      <c r="DU81" s="204">
        <f t="shared" si="106"/>
        <v>-47.59581331834881</v>
      </c>
      <c r="DV81" s="204">
        <f t="shared" si="106"/>
        <v>-47.59581331834881</v>
      </c>
      <c r="DW81" s="204">
        <f t="shared" si="106"/>
        <v>-47.59581331834881</v>
      </c>
      <c r="DX81" s="204">
        <f t="shared" si="106"/>
        <v>-47.59581331834881</v>
      </c>
      <c r="DY81" s="204">
        <f t="shared" si="106"/>
        <v>-47.59581331834881</v>
      </c>
      <c r="DZ81" s="204">
        <f t="shared" si="106"/>
        <v>-47.59581331834881</v>
      </c>
      <c r="EA81" s="204">
        <f t="shared" si="106"/>
        <v>-47.59581331834881</v>
      </c>
      <c r="EB81" s="204">
        <f t="shared" si="106"/>
        <v>-47.59581331834881</v>
      </c>
      <c r="EC81" s="204">
        <f t="shared" si="106"/>
        <v>-47.59581331834881</v>
      </c>
      <c r="ED81" s="204">
        <f t="shared" si="106"/>
        <v>-47.59581331834881</v>
      </c>
      <c r="EE81" s="204">
        <f t="shared" si="106"/>
        <v>-47.59581331834881</v>
      </c>
      <c r="EF81" s="204">
        <f t="shared" si="106"/>
        <v>-47.59581331834881</v>
      </c>
      <c r="EG81" s="204">
        <f t="shared" ref="EG81:ET81" si="107">PV($F35,EG$9,1,0)+(PV($J$6,$N$5-(EG$9),1,0)/($J$6+1)^EG$9)</f>
        <v>-47.59581331834881</v>
      </c>
      <c r="EH81" s="204">
        <f t="shared" si="107"/>
        <v>-47.59581331834881</v>
      </c>
      <c r="EI81" s="204">
        <f t="shared" si="107"/>
        <v>-47.59581331834881</v>
      </c>
      <c r="EJ81" s="204">
        <f t="shared" si="107"/>
        <v>-47.59581331834881</v>
      </c>
      <c r="EK81" s="204">
        <f t="shared" si="107"/>
        <v>-47.59581331834881</v>
      </c>
      <c r="EL81" s="204">
        <f t="shared" si="107"/>
        <v>-47.59581331834881</v>
      </c>
      <c r="EM81" s="204">
        <f t="shared" si="107"/>
        <v>-47.59581331834881</v>
      </c>
      <c r="EN81" s="204">
        <f t="shared" si="107"/>
        <v>-47.59581331834881</v>
      </c>
      <c r="EO81" s="204">
        <f t="shared" si="107"/>
        <v>-47.59581331834881</v>
      </c>
      <c r="EP81" s="204">
        <f t="shared" si="107"/>
        <v>-47.59581331834881</v>
      </c>
      <c r="EQ81" s="204">
        <f t="shared" si="107"/>
        <v>-47.59581331834881</v>
      </c>
      <c r="ER81" s="204">
        <f t="shared" si="107"/>
        <v>-47.59581331834881</v>
      </c>
      <c r="ES81" s="204">
        <f t="shared" si="107"/>
        <v>-47.59581331834881</v>
      </c>
      <c r="ET81" s="204">
        <f t="shared" si="107"/>
        <v>-47.59581331834881</v>
      </c>
      <c r="FF81" s="6" t="s">
        <v>542</v>
      </c>
      <c r="FG81" s="696">
        <v>2.5000000000000001E-2</v>
      </c>
      <c r="FH81" s="696">
        <v>96</v>
      </c>
      <c r="FI81" s="696">
        <v>2.1000000000000001E-2</v>
      </c>
      <c r="FJ81" s="255">
        <v>1.5300000000000001E-2</v>
      </c>
      <c r="FK81" s="71">
        <f t="shared" si="92"/>
        <v>2.3095238095238095E-4</v>
      </c>
      <c r="FL81" t="e">
        <f>VLOOKUP(FF81,'SIMULADOR COM SALDO'!$BX$22:$CK$1000,13,FALSE)</f>
        <v>#N/A</v>
      </c>
    </row>
    <row r="82" spans="7:168" x14ac:dyDescent="0.25">
      <c r="G82" s="103">
        <f t="shared" si="45"/>
        <v>-44.753812029809623</v>
      </c>
      <c r="H82" s="204">
        <f t="shared" si="46"/>
        <v>-44.756961176128186</v>
      </c>
      <c r="I82" s="204">
        <f t="shared" ref="I82:BT82" si="108">PV($F36,I$9,1,0)+(PV($J$6,$N$5-(I$9),1,0)/($J$6+1)^I$9)</f>
        <v>-44.761602879784377</v>
      </c>
      <c r="J82" s="204">
        <f t="shared" si="108"/>
        <v>-44.767684363583321</v>
      </c>
      <c r="K82" s="204">
        <f t="shared" si="108"/>
        <v>-44.775154234049786</v>
      </c>
      <c r="L82" s="204">
        <f t="shared" si="108"/>
        <v>-44.78396244925446</v>
      </c>
      <c r="M82" s="204">
        <f t="shared" si="108"/>
        <v>-44.794060287341146</v>
      </c>
      <c r="N82" s="204">
        <f t="shared" si="108"/>
        <v>-44.805400315740329</v>
      </c>
      <c r="O82" s="204">
        <f t="shared" si="108"/>
        <v>-44.817936361054713</v>
      </c>
      <c r="P82" s="204">
        <f t="shared" si="108"/>
        <v>-44.831623479602605</v>
      </c>
      <c r="Q82" s="204">
        <f t="shared" si="108"/>
        <v>-44.846417928605462</v>
      </c>
      <c r="R82" s="204">
        <f t="shared" si="108"/>
        <v>-44.862277138005979</v>
      </c>
      <c r="S82" s="204">
        <f t="shared" si="108"/>
        <v>-44.879159682903619</v>
      </c>
      <c r="T82" s="204">
        <f t="shared" si="108"/>
        <v>-44.897025256594503</v>
      </c>
      <c r="U82" s="204">
        <f t="shared" si="108"/>
        <v>-44.915834644203038</v>
      </c>
      <c r="V82" s="204">
        <f t="shared" si="108"/>
        <v>-44.935549696892785</v>
      </c>
      <c r="W82" s="204">
        <f t="shared" si="108"/>
        <v>-44.956133306644467</v>
      </c>
      <c r="X82" s="204">
        <f t="shared" si="108"/>
        <v>-44.977549381589085</v>
      </c>
      <c r="Y82" s="204">
        <f t="shared" si="108"/>
        <v>-44.999762821884588</v>
      </c>
      <c r="Z82" s="204">
        <f t="shared" si="108"/>
        <v>-45.022739496124416</v>
      </c>
      <c r="AA82" s="204">
        <f t="shared" si="108"/>
        <v>-45.046446218266972</v>
      </c>
      <c r="AB82" s="204">
        <f t="shared" si="108"/>
        <v>-45.070850725074877</v>
      </c>
      <c r="AC82" s="204">
        <f t="shared" si="108"/>
        <v>-45.095921654053214</v>
      </c>
      <c r="AD82" s="204">
        <f t="shared" si="108"/>
        <v>-45.121628521876296</v>
      </c>
      <c r="AE82" s="204">
        <f t="shared" si="108"/>
        <v>-45.147941703292673</v>
      </c>
      <c r="AF82" s="204">
        <f t="shared" si="108"/>
        <v>-45.174832410498155</v>
      </c>
      <c r="AG82" s="204">
        <f t="shared" si="108"/>
        <v>-45.202272672966899</v>
      </c>
      <c r="AH82" s="204">
        <f t="shared" si="108"/>
        <v>-45.230235317731186</v>
      </c>
      <c r="AI82" s="204">
        <f t="shared" si="108"/>
        <v>-45.258693950099826</v>
      </c>
      <c r="AJ82" s="204">
        <f t="shared" si="108"/>
        <v>-45.287622934806464</v>
      </c>
      <c r="AK82" s="204">
        <f t="shared" si="108"/>
        <v>-45.316997377578303</v>
      </c>
      <c r="AL82" s="204">
        <f t="shared" si="108"/>
        <v>-45.346793107116326</v>
      </c>
      <c r="AM82" s="204">
        <f t="shared" si="108"/>
        <v>-45.376986657478511</v>
      </c>
      <c r="AN82" s="204">
        <f t="shared" si="108"/>
        <v>-45.407555250857186</v>
      </c>
      <c r="AO82" s="204">
        <f t="shared" si="108"/>
        <v>-45.438476780742313</v>
      </c>
      <c r="AP82" s="204">
        <f t="shared" si="108"/>
        <v>-45.469729795462449</v>
      </c>
      <c r="AQ82" s="204">
        <f t="shared" si="108"/>
        <v>-45.501293482095278</v>
      </c>
      <c r="AR82" s="204">
        <f t="shared" si="108"/>
        <v>-45.533147650739849</v>
      </c>
      <c r="AS82" s="204">
        <f t="shared" si="108"/>
        <v>-45.565272719142882</v>
      </c>
      <c r="AT82" s="204">
        <f t="shared" si="108"/>
        <v>-45.597649697671457</v>
      </c>
      <c r="AU82" s="204">
        <f t="shared" si="108"/>
        <v>-45.630260174624787</v>
      </c>
      <c r="AV82" s="204">
        <f t="shared" si="108"/>
        <v>-45.663086301877755</v>
      </c>
      <c r="AW82" s="204">
        <f t="shared" si="108"/>
        <v>-45.696110780849018</v>
      </c>
      <c r="AX82" s="204">
        <f t="shared" si="108"/>
        <v>-45.729316848787136</v>
      </c>
      <c r="AY82" s="204">
        <f t="shared" si="108"/>
        <v>-45.762688265367217</v>
      </c>
      <c r="AZ82" s="204">
        <f t="shared" si="108"/>
        <v>-45.796209299592164</v>
      </c>
      <c r="BA82" s="204">
        <f t="shared" si="108"/>
        <v>-45.829864716991366</v>
      </c>
      <c r="BB82" s="204">
        <f t="shared" si="108"/>
        <v>-45.863639767110868</v>
      </c>
      <c r="BC82" s="204">
        <f t="shared" si="108"/>
        <v>-45.897520171288505</v>
      </c>
      <c r="BD82" s="204">
        <f t="shared" si="108"/>
        <v>-45.93149211070795</v>
      </c>
      <c r="BE82" s="204">
        <f t="shared" si="108"/>
        <v>-45.965542214725716</v>
      </c>
      <c r="BF82" s="204">
        <f t="shared" si="108"/>
        <v>-45.999657549465098</v>
      </c>
      <c r="BG82" s="204">
        <f t="shared" si="108"/>
        <v>-46.033825606671478</v>
      </c>
      <c r="BH82" s="204">
        <f t="shared" si="108"/>
        <v>-46.068034292823135</v>
      </c>
      <c r="BI82" s="204">
        <f t="shared" si="108"/>
        <v>-46.102271918492221</v>
      </c>
      <c r="BJ82" s="204">
        <f t="shared" si="108"/>
        <v>-46.136527187950406</v>
      </c>
      <c r="BK82" s="204">
        <f t="shared" si="108"/>
        <v>-46.170789189013902</v>
      </c>
      <c r="BL82" s="204">
        <f t="shared" si="108"/>
        <v>-46.205047383122725</v>
      </c>
      <c r="BM82" s="204">
        <f t="shared" si="108"/>
        <v>-46.239291595648993</v>
      </c>
      <c r="BN82" s="204">
        <f t="shared" si="108"/>
        <v>-46.273512006429527</v>
      </c>
      <c r="BO82" s="204">
        <f t="shared" si="108"/>
        <v>-46.307699140517528</v>
      </c>
      <c r="BP82" s="204">
        <f t="shared" si="108"/>
        <v>-46.341843859149009</v>
      </c>
      <c r="BQ82" s="204">
        <f t="shared" si="108"/>
        <v>-46.375937350918868</v>
      </c>
      <c r="BR82" s="204">
        <f t="shared" si="108"/>
        <v>-46.409971123162386</v>
      </c>
      <c r="BS82" s="204">
        <f t="shared" si="108"/>
        <v>-46.443936993537442</v>
      </c>
      <c r="BT82" s="204">
        <f t="shared" si="108"/>
        <v>-46.477827081803206</v>
      </c>
      <c r="BU82" s="204">
        <f t="shared" ref="BU82:EF82" si="109">PV($F36,BU$9,1,0)+(PV($J$6,$N$5-(BU$9),1,0)/($J$6+1)^BU$9)</f>
        <v>-46.511633801790964</v>
      </c>
      <c r="BV82" s="204">
        <f t="shared" si="109"/>
        <v>-46.545349853562847</v>
      </c>
      <c r="BW82" s="204">
        <f t="shared" si="109"/>
        <v>-46.578968215754436</v>
      </c>
      <c r="BX82" s="204">
        <f t="shared" si="109"/>
        <v>-46.6124821380971</v>
      </c>
      <c r="BY82" s="204">
        <f t="shared" si="109"/>
        <v>-46.645885134116277</v>
      </c>
      <c r="BZ82" s="204">
        <f t="shared" si="109"/>
        <v>-46.679170974001757</v>
      </c>
      <c r="CA82" s="204">
        <f t="shared" si="109"/>
        <v>-46.712333677646086</v>
      </c>
      <c r="CB82" s="204">
        <f t="shared" si="109"/>
        <v>-46.745367507847625</v>
      </c>
      <c r="CC82" s="204">
        <f t="shared" si="109"/>
        <v>-46.778266963674483</v>
      </c>
      <c r="CD82" s="204">
        <f t="shared" si="109"/>
        <v>-46.811026773985759</v>
      </c>
      <c r="CE82" s="204">
        <f t="shared" si="109"/>
        <v>-46.843641891106778</v>
      </c>
      <c r="CF82" s="204">
        <f t="shared" si="109"/>
        <v>-46.87610748465481</v>
      </c>
      <c r="CG82" s="204">
        <f t="shared" si="109"/>
        <v>-46.908418935511897</v>
      </c>
      <c r="CH82" s="204">
        <f t="shared" si="109"/>
        <v>-46.940571829941703</v>
      </c>
      <c r="CI82" s="204">
        <f t="shared" si="109"/>
        <v>-46.972561953847048</v>
      </c>
      <c r="CJ82" s="204">
        <f t="shared" si="109"/>
        <v>-47.0043852871651</v>
      </c>
      <c r="CK82" s="204">
        <f t="shared" si="109"/>
        <v>-47.036037998397134</v>
      </c>
      <c r="CL82" s="204">
        <f t="shared" si="109"/>
        <v>-47.067516439269852</v>
      </c>
      <c r="CM82" s="204">
        <f t="shared" si="109"/>
        <v>-47.098817139525394</v>
      </c>
      <c r="CN82" s="204">
        <f t="shared" si="109"/>
        <v>-47.129936801837161</v>
      </c>
      <c r="CO82" s="204">
        <f t="shared" si="109"/>
        <v>-47.160872296848602</v>
      </c>
      <c r="CP82" s="204">
        <f t="shared" si="109"/>
        <v>-47.191620658332283</v>
      </c>
      <c r="CQ82" s="204">
        <f t="shared" si="109"/>
        <v>-47.222179078466525</v>
      </c>
      <c r="CR82" s="204">
        <f t="shared" si="109"/>
        <v>-47.252544903227005</v>
      </c>
      <c r="CS82" s="204">
        <f t="shared" si="109"/>
        <v>-47.282715627890681</v>
      </c>
      <c r="CT82" s="204">
        <f t="shared" si="109"/>
        <v>-47.312688892649682</v>
      </c>
      <c r="CU82" s="204">
        <f t="shared" si="109"/>
        <v>-47.34246247833245</v>
      </c>
      <c r="CV82" s="204">
        <f t="shared" si="109"/>
        <v>-47.372034302230034</v>
      </c>
      <c r="CW82" s="204">
        <f t="shared" si="109"/>
        <v>-47.401402414024879</v>
      </c>
      <c r="CX82" s="204">
        <f t="shared" si="109"/>
        <v>-47.430564991820006</v>
      </c>
      <c r="CY82" s="204">
        <f t="shared" si="109"/>
        <v>-47.430564991820006</v>
      </c>
      <c r="CZ82" s="204">
        <f t="shared" si="109"/>
        <v>-47.430564991820006</v>
      </c>
      <c r="DA82" s="204">
        <f t="shared" si="109"/>
        <v>-47.430564991820006</v>
      </c>
      <c r="DB82" s="204">
        <f t="shared" si="109"/>
        <v>-47.430564991820006</v>
      </c>
      <c r="DC82" s="204">
        <f t="shared" si="109"/>
        <v>-47.430564991820006</v>
      </c>
      <c r="DD82" s="204">
        <f t="shared" si="109"/>
        <v>-47.430564991820006</v>
      </c>
      <c r="DE82" s="204">
        <f t="shared" si="109"/>
        <v>-47.430564991820006</v>
      </c>
      <c r="DF82" s="204">
        <f t="shared" si="109"/>
        <v>-47.430564991820006</v>
      </c>
      <c r="DG82" s="204">
        <f t="shared" si="109"/>
        <v>-47.430564991820006</v>
      </c>
      <c r="DH82" s="204">
        <f t="shared" si="109"/>
        <v>-47.430564991820006</v>
      </c>
      <c r="DI82" s="204">
        <f t="shared" si="109"/>
        <v>-47.430564991820006</v>
      </c>
      <c r="DJ82" s="204">
        <f t="shared" si="109"/>
        <v>-47.430564991820006</v>
      </c>
      <c r="DK82" s="204">
        <f t="shared" si="109"/>
        <v>-47.430564991820006</v>
      </c>
      <c r="DL82" s="204">
        <f t="shared" si="109"/>
        <v>-47.430564991820006</v>
      </c>
      <c r="DM82" s="204">
        <f t="shared" si="109"/>
        <v>-47.430564991820006</v>
      </c>
      <c r="DN82" s="204">
        <f t="shared" si="109"/>
        <v>-47.430564991820006</v>
      </c>
      <c r="DO82" s="204">
        <f t="shared" si="109"/>
        <v>-47.430564991820006</v>
      </c>
      <c r="DP82" s="204">
        <f t="shared" si="109"/>
        <v>-47.430564991820006</v>
      </c>
      <c r="DQ82" s="204">
        <f t="shared" si="109"/>
        <v>-47.430564991820006</v>
      </c>
      <c r="DR82" s="204">
        <f t="shared" si="109"/>
        <v>-47.430564991820006</v>
      </c>
      <c r="DS82" s="204">
        <f t="shared" si="109"/>
        <v>-47.430564991820006</v>
      </c>
      <c r="DT82" s="204">
        <f t="shared" si="109"/>
        <v>-47.430564991820006</v>
      </c>
      <c r="DU82" s="204">
        <f t="shared" si="109"/>
        <v>-47.430564991820006</v>
      </c>
      <c r="DV82" s="204">
        <f t="shared" si="109"/>
        <v>-47.430564991820006</v>
      </c>
      <c r="DW82" s="204">
        <f t="shared" si="109"/>
        <v>-47.430564991820006</v>
      </c>
      <c r="DX82" s="204">
        <f t="shared" si="109"/>
        <v>-47.430564991820006</v>
      </c>
      <c r="DY82" s="204">
        <f t="shared" si="109"/>
        <v>-47.430564991820006</v>
      </c>
      <c r="DZ82" s="204">
        <f t="shared" si="109"/>
        <v>-47.430564991820006</v>
      </c>
      <c r="EA82" s="204">
        <f t="shared" si="109"/>
        <v>-47.430564991820006</v>
      </c>
      <c r="EB82" s="204">
        <f t="shared" si="109"/>
        <v>-47.430564991820006</v>
      </c>
      <c r="EC82" s="204">
        <f t="shared" si="109"/>
        <v>-47.430564991820006</v>
      </c>
      <c r="ED82" s="204">
        <f t="shared" si="109"/>
        <v>-47.430564991820006</v>
      </c>
      <c r="EE82" s="204">
        <f t="shared" si="109"/>
        <v>-47.430564991820006</v>
      </c>
      <c r="EF82" s="204">
        <f t="shared" si="109"/>
        <v>-47.430564991820006</v>
      </c>
      <c r="EG82" s="204">
        <f t="shared" ref="EG82:ET82" si="110">PV($F36,EG$9,1,0)+(PV($J$6,$N$5-(EG$9),1,0)/($J$6+1)^EG$9)</f>
        <v>-47.430564991820006</v>
      </c>
      <c r="EH82" s="204">
        <f t="shared" si="110"/>
        <v>-47.430564991820006</v>
      </c>
      <c r="EI82" s="204">
        <f t="shared" si="110"/>
        <v>-47.430564991820006</v>
      </c>
      <c r="EJ82" s="204">
        <f t="shared" si="110"/>
        <v>-47.430564991820006</v>
      </c>
      <c r="EK82" s="204">
        <f t="shared" si="110"/>
        <v>-47.430564991820006</v>
      </c>
      <c r="EL82" s="204">
        <f t="shared" si="110"/>
        <v>-47.430564991820006</v>
      </c>
      <c r="EM82" s="204">
        <f t="shared" si="110"/>
        <v>-47.430564991820006</v>
      </c>
      <c r="EN82" s="204">
        <f t="shared" si="110"/>
        <v>-47.430564991820006</v>
      </c>
      <c r="EO82" s="204">
        <f t="shared" si="110"/>
        <v>-47.430564991820006</v>
      </c>
      <c r="EP82" s="204">
        <f t="shared" si="110"/>
        <v>-47.430564991820006</v>
      </c>
      <c r="EQ82" s="204">
        <f t="shared" si="110"/>
        <v>-47.430564991820006</v>
      </c>
      <c r="ER82" s="204">
        <f t="shared" si="110"/>
        <v>-47.430564991820006</v>
      </c>
      <c r="ES82" s="204">
        <f t="shared" si="110"/>
        <v>-47.430564991820006</v>
      </c>
      <c r="ET82" s="204">
        <f t="shared" si="110"/>
        <v>-47.430564991820006</v>
      </c>
      <c r="FF82" s="6" t="s">
        <v>3124</v>
      </c>
      <c r="FG82" s="696">
        <v>2.35E-2</v>
      </c>
      <c r="FH82" s="696">
        <v>120</v>
      </c>
      <c r="FI82" s="696">
        <v>0.02</v>
      </c>
      <c r="FJ82" s="255">
        <v>1.4999999999999999E-2</v>
      </c>
      <c r="FK82" s="71">
        <f t="shared" si="92"/>
        <v>2.0238095238095239E-4</v>
      </c>
      <c r="FL82" t="e">
        <f>VLOOKUP(FF82,'SIMULADOR COM SALDO'!$BX$22:$CK$1000,13,FALSE)</f>
        <v>#N/A</v>
      </c>
    </row>
    <row r="83" spans="7:168" x14ac:dyDescent="0.25">
      <c r="G83" s="103">
        <f t="shared" si="45"/>
        <v>-44.75371762649911</v>
      </c>
      <c r="H83" s="204">
        <f t="shared" si="46"/>
        <v>-44.756681102042954</v>
      </c>
      <c r="I83" s="204">
        <f t="shared" ref="I83:BT83" si="111">PV($F37,I$9,1,0)+(PV($J$6,$N$5-(I$9),1,0)/($J$6+1)^I$9)</f>
        <v>-44.761048925182529</v>
      </c>
      <c r="J83" s="204">
        <f t="shared" si="111"/>
        <v>-44.766771300051218</v>
      </c>
      <c r="K83" s="204">
        <f t="shared" si="111"/>
        <v>-44.773799739802264</v>
      </c>
      <c r="L83" s="204">
        <f t="shared" si="111"/>
        <v>-44.782087036093962</v>
      </c>
      <c r="M83" s="204">
        <f t="shared" si="111"/>
        <v>-44.791587229241237</v>
      </c>
      <c r="N83" s="204">
        <f t="shared" si="111"/>
        <v>-44.802255579019928</v>
      </c>
      <c r="O83" s="204">
        <f t="shared" si="111"/>
        <v>-44.81404853610978</v>
      </c>
      <c r="P83" s="204">
        <f t="shared" si="111"/>
        <v>-44.826923714162895</v>
      </c>
      <c r="Q83" s="204">
        <f t="shared" si="111"/>
        <v>-44.840839862484422</v>
      </c>
      <c r="R83" s="204">
        <f t="shared" si="111"/>
        <v>-44.855756839312654</v>
      </c>
      <c r="S83" s="204">
        <f t="shared" si="111"/>
        <v>-44.8716355856861</v>
      </c>
      <c r="T83" s="204">
        <f t="shared" si="111"/>
        <v>-44.888438099884752</v>
      </c>
      <c r="U83" s="204">
        <f t="shared" si="111"/>
        <v>-44.906127412433875</v>
      </c>
      <c r="V83" s="204">
        <f t="shared" si="111"/>
        <v>-44.924667561658289</v>
      </c>
      <c r="W83" s="204">
        <f t="shared" si="111"/>
        <v>-44.944023569775553</v>
      </c>
      <c r="X83" s="204">
        <f t="shared" si="111"/>
        <v>-44.964161419516614</v>
      </c>
      <c r="Y83" s="204">
        <f t="shared" si="111"/>
        <v>-44.985048031262991</v>
      </c>
      <c r="Z83" s="204">
        <f t="shared" si="111"/>
        <v>-45.006651240689273</v>
      </c>
      <c r="AA83" s="204">
        <f t="shared" si="111"/>
        <v>-45.028939776900636</v>
      </c>
      <c r="AB83" s="204">
        <f t="shared" si="111"/>
        <v>-45.051883241054554</v>
      </c>
      <c r="AC83" s="204">
        <f t="shared" si="111"/>
        <v>-45.07545208545659</v>
      </c>
      <c r="AD83" s="204">
        <f t="shared" si="111"/>
        <v>-45.099617593120321</v>
      </c>
      <c r="AE83" s="204">
        <f t="shared" si="111"/>
        <v>-45.124351857781527</v>
      </c>
      <c r="AF83" s="204">
        <f t="shared" si="111"/>
        <v>-45.149627764356808</v>
      </c>
      <c r="AG83" s="204">
        <f t="shared" si="111"/>
        <v>-45.175418969837374</v>
      </c>
      <c r="AH83" s="204">
        <f t="shared" si="111"/>
        <v>-45.201699884608985</v>
      </c>
      <c r="AI83" s="204">
        <f t="shared" si="111"/>
        <v>-45.228445654188391</v>
      </c>
      <c r="AJ83" s="204">
        <f t="shared" si="111"/>
        <v>-45.255632141368118</v>
      </c>
      <c r="AK83" s="204">
        <f t="shared" si="111"/>
        <v>-45.283235908760275</v>
      </c>
      <c r="AL83" s="204">
        <f t="shared" si="111"/>
        <v>-45.311234201731395</v>
      </c>
      <c r="AM83" s="204">
        <f t="shared" si="111"/>
        <v>-45.339604931719656</v>
      </c>
      <c r="AN83" s="204">
        <f t="shared" si="111"/>
        <v>-45.368326659926467</v>
      </c>
      <c r="AO83" s="204">
        <f t="shared" si="111"/>
        <v>-45.397378581374369</v>
      </c>
      <c r="AP83" s="204">
        <f t="shared" si="111"/>
        <v>-45.426740509323501</v>
      </c>
      <c r="AQ83" s="204">
        <f t="shared" si="111"/>
        <v>-45.456392860038918</v>
      </c>
      <c r="AR83" s="204">
        <f t="shared" si="111"/>
        <v>-45.486316637901254</v>
      </c>
      <c r="AS83" s="204">
        <f t="shared" si="111"/>
        <v>-45.516493420853394</v>
      </c>
      <c r="AT83" s="204">
        <f t="shared" si="111"/>
        <v>-45.546905346176004</v>
      </c>
      <c r="AU83" s="204">
        <f t="shared" si="111"/>
        <v>-45.577535096584782</v>
      </c>
      <c r="AV83" s="204">
        <f t="shared" si="111"/>
        <v>-45.608365886642645</v>
      </c>
      <c r="AW83" s="204">
        <f t="shared" si="111"/>
        <v>-45.639381449479906</v>
      </c>
      <c r="AX83" s="204">
        <f t="shared" si="111"/>
        <v>-45.670566023816107</v>
      </c>
      <c r="AY83" s="204">
        <f t="shared" si="111"/>
        <v>-45.701904341276759</v>
      </c>
      <c r="AZ83" s="204">
        <f t="shared" si="111"/>
        <v>-45.733381613998773</v>
      </c>
      <c r="BA83" s="204">
        <f t="shared" si="111"/>
        <v>-45.764983522518364</v>
      </c>
      <c r="BB83" s="204">
        <f t="shared" si="111"/>
        <v>-45.796696203935326</v>
      </c>
      <c r="BC83" s="204">
        <f t="shared" si="111"/>
        <v>-45.82850624034765</v>
      </c>
      <c r="BD83" s="204">
        <f t="shared" si="111"/>
        <v>-45.860400647550861</v>
      </c>
      <c r="BE83" s="204">
        <f t="shared" si="111"/>
        <v>-45.892366863996045</v>
      </c>
      <c r="BF83" s="204">
        <f t="shared" si="111"/>
        <v>-45.924392740001281</v>
      </c>
      <c r="BG83" s="204">
        <f t="shared" si="111"/>
        <v>-45.9564665272108</v>
      </c>
      <c r="BH83" s="204">
        <f t="shared" si="111"/>
        <v>-45.988576868296576</v>
      </c>
      <c r="BI83" s="204">
        <f t="shared" si="111"/>
        <v>-46.020712786897079</v>
      </c>
      <c r="BJ83" s="204">
        <f t="shared" si="111"/>
        <v>-46.052863677788068</v>
      </c>
      <c r="BK83" s="204">
        <f t="shared" si="111"/>
        <v>-46.085019297280461</v>
      </c>
      <c r="BL83" s="204">
        <f t="shared" si="111"/>
        <v>-46.117169753840081</v>
      </c>
      <c r="BM83" s="204">
        <f t="shared" si="111"/>
        <v>-46.149305498924839</v>
      </c>
      <c r="BN83" s="204">
        <f t="shared" si="111"/>
        <v>-46.181417318034278</v>
      </c>
      <c r="BO83" s="204">
        <f t="shared" si="111"/>
        <v>-46.213496321967135</v>
      </c>
      <c r="BP83" s="204">
        <f t="shared" si="111"/>
        <v>-46.245533938282108</v>
      </c>
      <c r="BQ83" s="204">
        <f t="shared" si="111"/>
        <v>-46.277521902957652</v>
      </c>
      <c r="BR83" s="204">
        <f t="shared" si="111"/>
        <v>-46.309452252246366</v>
      </c>
      <c r="BS83" s="204">
        <f t="shared" si="111"/>
        <v>-46.341317314719554</v>
      </c>
      <c r="BT83" s="204">
        <f t="shared" si="111"/>
        <v>-46.373109703498116</v>
      </c>
      <c r="BU83" s="204">
        <f t="shared" ref="BU83:EF83" si="112">PV($F37,BU$9,1,0)+(PV($J$6,$N$5-(BU$9),1,0)/($J$6+1)^BU$9)</f>
        <v>-46.404822308665423</v>
      </c>
      <c r="BV83" s="204">
        <f t="shared" si="112"/>
        <v>-46.436448289858326</v>
      </c>
      <c r="BW83" s="204">
        <f t="shared" si="112"/>
        <v>-46.467981069032334</v>
      </c>
      <c r="BX83" s="204">
        <f t="shared" si="112"/>
        <v>-46.499414323397168</v>
      </c>
      <c r="BY83" s="204">
        <f t="shared" si="112"/>
        <v>-46.530741978518968</v>
      </c>
      <c r="BZ83" s="204">
        <f t="shared" si="112"/>
        <v>-46.561958201585348</v>
      </c>
      <c r="CA83" s="204">
        <f t="shared" si="112"/>
        <v>-46.593057394830019</v>
      </c>
      <c r="CB83" s="204">
        <f t="shared" si="112"/>
        <v>-46.624034189113019</v>
      </c>
      <c r="CC83" s="204">
        <f t="shared" si="112"/>
        <v>-46.654883437653595</v>
      </c>
      <c r="CD83" s="204">
        <f t="shared" si="112"/>
        <v>-46.685600209911996</v>
      </c>
      <c r="CE83" s="204">
        <f t="shared" si="112"/>
        <v>-46.716179785617065</v>
      </c>
      <c r="CF83" s="204">
        <f t="shared" si="112"/>
        <v>-46.746617648936429</v>
      </c>
      <c r="CG83" s="204">
        <f t="shared" si="112"/>
        <v>-46.776909482785946</v>
      </c>
      <c r="CH83" s="204">
        <f t="shared" si="112"/>
        <v>-46.807051163275581</v>
      </c>
      <c r="CI83" s="204">
        <f t="shared" si="112"/>
        <v>-46.83703875428845</v>
      </c>
      <c r="CJ83" s="204">
        <f t="shared" si="112"/>
        <v>-46.866868502190194</v>
      </c>
      <c r="CK83" s="204">
        <f t="shared" si="112"/>
        <v>-46.896536830665823</v>
      </c>
      <c r="CL83" s="204">
        <f t="shared" si="112"/>
        <v>-46.926040335681002</v>
      </c>
      <c r="CM83" s="204">
        <f t="shared" si="112"/>
        <v>-46.95537578056534</v>
      </c>
      <c r="CN83" s="204">
        <f t="shared" si="112"/>
        <v>-46.984540091214534</v>
      </c>
      <c r="CO83" s="204">
        <f t="shared" si="112"/>
        <v>-47.013530351409081</v>
      </c>
      <c r="CP83" s="204">
        <f t="shared" si="112"/>
        <v>-47.042343798246783</v>
      </c>
      <c r="CQ83" s="204">
        <f t="shared" si="112"/>
        <v>-47.070977817686519</v>
      </c>
      <c r="CR83" s="204">
        <f t="shared" si="112"/>
        <v>-47.099429940200793</v>
      </c>
      <c r="CS83" s="204">
        <f t="shared" si="112"/>
        <v>-47.127697836534601</v>
      </c>
      <c r="CT83" s="204">
        <f t="shared" si="112"/>
        <v>-47.155779313568296</v>
      </c>
      <c r="CU83" s="204">
        <f t="shared" si="112"/>
        <v>-47.18367231028207</v>
      </c>
      <c r="CV83" s="204">
        <f t="shared" si="112"/>
        <v>-47.211374893819738</v>
      </c>
      <c r="CW83" s="204">
        <f t="shared" si="112"/>
        <v>-47.238885255649578</v>
      </c>
      <c r="CX83" s="204">
        <f t="shared" si="112"/>
        <v>-47.266201707820208</v>
      </c>
      <c r="CY83" s="204">
        <f t="shared" si="112"/>
        <v>-47.266201707820208</v>
      </c>
      <c r="CZ83" s="204">
        <f t="shared" si="112"/>
        <v>-47.266201707820208</v>
      </c>
      <c r="DA83" s="204">
        <f t="shared" si="112"/>
        <v>-47.266201707820208</v>
      </c>
      <c r="DB83" s="204">
        <f t="shared" si="112"/>
        <v>-47.266201707820208</v>
      </c>
      <c r="DC83" s="204">
        <f t="shared" si="112"/>
        <v>-47.266201707820208</v>
      </c>
      <c r="DD83" s="204">
        <f t="shared" si="112"/>
        <v>-47.266201707820208</v>
      </c>
      <c r="DE83" s="204">
        <f t="shared" si="112"/>
        <v>-47.266201707820208</v>
      </c>
      <c r="DF83" s="204">
        <f t="shared" si="112"/>
        <v>-47.266201707820208</v>
      </c>
      <c r="DG83" s="204">
        <f t="shared" si="112"/>
        <v>-47.266201707820208</v>
      </c>
      <c r="DH83" s="204">
        <f t="shared" si="112"/>
        <v>-47.266201707820208</v>
      </c>
      <c r="DI83" s="204">
        <f t="shared" si="112"/>
        <v>-47.266201707820208</v>
      </c>
      <c r="DJ83" s="204">
        <f t="shared" si="112"/>
        <v>-47.266201707820208</v>
      </c>
      <c r="DK83" s="204">
        <f t="shared" si="112"/>
        <v>-47.266201707820208</v>
      </c>
      <c r="DL83" s="204">
        <f t="shared" si="112"/>
        <v>-47.266201707820208</v>
      </c>
      <c r="DM83" s="204">
        <f t="shared" si="112"/>
        <v>-47.266201707820208</v>
      </c>
      <c r="DN83" s="204">
        <f t="shared" si="112"/>
        <v>-47.266201707820208</v>
      </c>
      <c r="DO83" s="204">
        <f t="shared" si="112"/>
        <v>-47.266201707820208</v>
      </c>
      <c r="DP83" s="204">
        <f t="shared" si="112"/>
        <v>-47.266201707820208</v>
      </c>
      <c r="DQ83" s="204">
        <f t="shared" si="112"/>
        <v>-47.266201707820208</v>
      </c>
      <c r="DR83" s="204">
        <f t="shared" si="112"/>
        <v>-47.266201707820208</v>
      </c>
      <c r="DS83" s="204">
        <f t="shared" si="112"/>
        <v>-47.266201707820208</v>
      </c>
      <c r="DT83" s="204">
        <f t="shared" si="112"/>
        <v>-47.266201707820208</v>
      </c>
      <c r="DU83" s="204">
        <f t="shared" si="112"/>
        <v>-47.266201707820208</v>
      </c>
      <c r="DV83" s="204">
        <f t="shared" si="112"/>
        <v>-47.266201707820208</v>
      </c>
      <c r="DW83" s="204">
        <f t="shared" si="112"/>
        <v>-47.266201707820208</v>
      </c>
      <c r="DX83" s="204">
        <f t="shared" si="112"/>
        <v>-47.266201707820208</v>
      </c>
      <c r="DY83" s="204">
        <f t="shared" si="112"/>
        <v>-47.266201707820208</v>
      </c>
      <c r="DZ83" s="204">
        <f t="shared" si="112"/>
        <v>-47.266201707820208</v>
      </c>
      <c r="EA83" s="204">
        <f t="shared" si="112"/>
        <v>-47.266201707820208</v>
      </c>
      <c r="EB83" s="204">
        <f t="shared" si="112"/>
        <v>-47.266201707820208</v>
      </c>
      <c r="EC83" s="204">
        <f t="shared" si="112"/>
        <v>-47.266201707820208</v>
      </c>
      <c r="ED83" s="204">
        <f t="shared" si="112"/>
        <v>-47.266201707820208</v>
      </c>
      <c r="EE83" s="204">
        <f t="shared" si="112"/>
        <v>-47.266201707820208</v>
      </c>
      <c r="EF83" s="204">
        <f t="shared" si="112"/>
        <v>-47.266201707820208</v>
      </c>
      <c r="EG83" s="204">
        <f t="shared" ref="EG83:ET83" si="113">PV($F37,EG$9,1,0)+(PV($J$6,$N$5-(EG$9),1,0)/($J$6+1)^EG$9)</f>
        <v>-47.266201707820208</v>
      </c>
      <c r="EH83" s="204">
        <f t="shared" si="113"/>
        <v>-47.266201707820208</v>
      </c>
      <c r="EI83" s="204">
        <f t="shared" si="113"/>
        <v>-47.266201707820208</v>
      </c>
      <c r="EJ83" s="204">
        <f t="shared" si="113"/>
        <v>-47.266201707820208</v>
      </c>
      <c r="EK83" s="204">
        <f t="shared" si="113"/>
        <v>-47.266201707820208</v>
      </c>
      <c r="EL83" s="204">
        <f t="shared" si="113"/>
        <v>-47.266201707820208</v>
      </c>
      <c r="EM83" s="204">
        <f t="shared" si="113"/>
        <v>-47.266201707820208</v>
      </c>
      <c r="EN83" s="204">
        <f t="shared" si="113"/>
        <v>-47.266201707820208</v>
      </c>
      <c r="EO83" s="204">
        <f t="shared" si="113"/>
        <v>-47.266201707820208</v>
      </c>
      <c r="EP83" s="204">
        <f t="shared" si="113"/>
        <v>-47.266201707820208</v>
      </c>
      <c r="EQ83" s="204">
        <f t="shared" si="113"/>
        <v>-47.266201707820208</v>
      </c>
      <c r="ER83" s="204">
        <f t="shared" si="113"/>
        <v>-47.266201707820208</v>
      </c>
      <c r="ES83" s="204">
        <f t="shared" si="113"/>
        <v>-47.266201707820208</v>
      </c>
      <c r="ET83" s="204">
        <f t="shared" si="113"/>
        <v>-47.266201707820208</v>
      </c>
      <c r="FF83" s="6" t="s">
        <v>3021</v>
      </c>
      <c r="FG83" s="696">
        <v>2.4E-2</v>
      </c>
      <c r="FH83" s="696">
        <v>96</v>
      </c>
      <c r="FI83" s="696">
        <v>1.8500000000000003E-2</v>
      </c>
      <c r="FJ83" s="255">
        <v>1.3500000000000002E-2</v>
      </c>
      <c r="FK83" s="71">
        <f t="shared" si="92"/>
        <v>2.4999999999999995E-4</v>
      </c>
      <c r="FL83" t="e">
        <f>VLOOKUP(FF83,'SIMULADOR COM SALDO'!$BX$22:$CK$1000,13,FALSE)</f>
        <v>#N/A</v>
      </c>
    </row>
    <row r="84" spans="7:168" x14ac:dyDescent="0.25">
      <c r="G84" s="103">
        <f t="shared" si="45"/>
        <v>-44.753623241310976</v>
      </c>
      <c r="H84" s="204">
        <f t="shared" si="46"/>
        <v>-44.756401099541741</v>
      </c>
      <c r="I84" s="204">
        <f t="shared" ref="I84:BT84" si="114">PV($F38,I$9,1,0)+(PV($J$6,$N$5-(I$9),1,0)/($J$6+1)^I$9)</f>
        <v>-44.76049514730704</v>
      </c>
      <c r="J84" s="204">
        <f t="shared" si="114"/>
        <v>-44.765858585564025</v>
      </c>
      <c r="K84" s="204">
        <f t="shared" si="114"/>
        <v>-44.772445848772293</v>
      </c>
      <c r="L84" s="204">
        <f t="shared" si="114"/>
        <v>-44.780212576065786</v>
      </c>
      <c r="M84" s="204">
        <f t="shared" si="114"/>
        <v>-44.789115583055811</v>
      </c>
      <c r="N84" s="204">
        <f t="shared" si="114"/>
        <v>-44.799112834252078</v>
      </c>
      <c r="O84" s="204">
        <f t="shared" si="114"/>
        <v>-44.810163416088635</v>
      </c>
      <c r="P84" s="204">
        <f t="shared" si="114"/>
        <v>-44.822227510542071</v>
      </c>
      <c r="Q84" s="204">
        <f t="shared" si="114"/>
        <v>-44.835266369329503</v>
      </c>
      <c r="R84" s="204">
        <f t="shared" si="114"/>
        <v>-44.849242288673942</v>
      </c>
      <c r="S84" s="204">
        <f t="shared" si="114"/>
        <v>-44.864118584625494</v>
      </c>
      <c r="T84" s="204">
        <f t="shared" si="114"/>
        <v>-44.879859568926179</v>
      </c>
      <c r="U84" s="204">
        <f t="shared" si="114"/>
        <v>-44.896430525407233</v>
      </c>
      <c r="V84" s="204">
        <f t="shared" si="114"/>
        <v>-44.913797686907579</v>
      </c>
      <c r="W84" s="204">
        <f t="shared" si="114"/>
        <v>-44.931928212702289</v>
      </c>
      <c r="X84" s="204">
        <f t="shared" si="114"/>
        <v>-44.950790166430473</v>
      </c>
      <c r="Y84" s="204">
        <f t="shared" si="114"/>
        <v>-44.970352494511943</v>
      </c>
      <c r="Z84" s="204">
        <f t="shared" si="114"/>
        <v>-44.99058500504222</v>
      </c>
      <c r="AA84" s="204">
        <f t="shared" si="114"/>
        <v>-45.011458347155809</v>
      </c>
      <c r="AB84" s="204">
        <f t="shared" si="114"/>
        <v>-45.032943990847983</v>
      </c>
      <c r="AC84" s="204">
        <f t="shared" si="114"/>
        <v>-45.055014207244923</v>
      </c>
      <c r="AD84" s="204">
        <f t="shared" si="114"/>
        <v>-45.077642049313255</v>
      </c>
      <c r="AE84" s="204">
        <f t="shared" si="114"/>
        <v>-45.100801332999097</v>
      </c>
      <c r="AF84" s="204">
        <f t="shared" si="114"/>
        <v>-45.12446661878792</v>
      </c>
      <c r="AG84" s="204">
        <f t="shared" si="114"/>
        <v>-45.14861319367602</v>
      </c>
      <c r="AH84" s="204">
        <f t="shared" si="114"/>
        <v>-45.173217053544917</v>
      </c>
      <c r="AI84" s="204">
        <f t="shared" si="114"/>
        <v>-45.198254885930112</v>
      </c>
      <c r="AJ84" s="204">
        <f t="shared" si="114"/>
        <v>-45.223704053175823</v>
      </c>
      <c r="AK84" s="204">
        <f t="shared" si="114"/>
        <v>-45.249542575967304</v>
      </c>
      <c r="AL84" s="204">
        <f t="shared" si="114"/>
        <v>-45.275749117232934</v>
      </c>
      <c r="AM84" s="204">
        <f t="shared" si="114"/>
        <v>-45.302302966408021</v>
      </c>
      <c r="AN84" s="204">
        <f t="shared" si="114"/>
        <v>-45.329184024052545</v>
      </c>
      <c r="AO84" s="204">
        <f t="shared" si="114"/>
        <v>-45.356372786815442</v>
      </c>
      <c r="AP84" s="204">
        <f t="shared" si="114"/>
        <v>-45.383850332737865</v>
      </c>
      <c r="AQ84" s="204">
        <f t="shared" si="114"/>
        <v>-45.411598306888223</v>
      </c>
      <c r="AR84" s="204">
        <f t="shared" si="114"/>
        <v>-45.439598907321859</v>
      </c>
      <c r="AS84" s="204">
        <f t="shared" si="114"/>
        <v>-45.467834871358427</v>
      </c>
      <c r="AT84" s="204">
        <f t="shared" si="114"/>
        <v>-45.496289462170139</v>
      </c>
      <c r="AU84" s="204">
        <f t="shared" si="114"/>
        <v>-45.524946455674218</v>
      </c>
      <c r="AV84" s="204">
        <f t="shared" si="114"/>
        <v>-45.553790127722948</v>
      </c>
      <c r="AW84" s="204">
        <f t="shared" si="114"/>
        <v>-45.582805241585021</v>
      </c>
      <c r="AX84" s="204">
        <f t="shared" si="114"/>
        <v>-45.61197703571186</v>
      </c>
      <c r="AY84" s="204">
        <f t="shared" si="114"/>
        <v>-45.641291211782672</v>
      </c>
      <c r="AZ84" s="204">
        <f t="shared" si="114"/>
        <v>-45.67073392302256</v>
      </c>
      <c r="BA84" s="204">
        <f t="shared" si="114"/>
        <v>-45.700291762787231</v>
      </c>
      <c r="BB84" s="204">
        <f t="shared" si="114"/>
        <v>-45.729951753409182</v>
      </c>
      <c r="BC84" s="204">
        <f t="shared" si="114"/>
        <v>-45.759701335299255</v>
      </c>
      <c r="BD84" s="204">
        <f t="shared" si="114"/>
        <v>-45.789528356298121</v>
      </c>
      <c r="BE84" s="204">
        <f t="shared" si="114"/>
        <v>-45.819421061272564</v>
      </c>
      <c r="BF84" s="204">
        <f t="shared" si="114"/>
        <v>-45.849368081950821</v>
      </c>
      <c r="BG84" s="204">
        <f t="shared" si="114"/>
        <v>-45.879358426992141</v>
      </c>
      <c r="BH84" s="204">
        <f t="shared" si="114"/>
        <v>-45.909381472285318</v>
      </c>
      <c r="BI84" s="204">
        <f t="shared" si="114"/>
        <v>-45.939426951471262</v>
      </c>
      <c r="BJ84" s="204">
        <f t="shared" si="114"/>
        <v>-45.969484946684759</v>
      </c>
      <c r="BK84" s="204">
        <f t="shared" si="114"/>
        <v>-45.999545879510585</v>
      </c>
      <c r="BL84" s="204">
        <f t="shared" si="114"/>
        <v>-46.029600502149414</v>
      </c>
      <c r="BM84" s="204">
        <f t="shared" si="114"/>
        <v>-46.059639888788809</v>
      </c>
      <c r="BN84" s="204">
        <f t="shared" si="114"/>
        <v>-46.089655427174982</v>
      </c>
      <c r="BO84" s="204">
        <f t="shared" si="114"/>
        <v>-46.119638810380742</v>
      </c>
      <c r="BP84" s="204">
        <f t="shared" si="114"/>
        <v>-46.149582028765629</v>
      </c>
      <c r="BQ84" s="204">
        <f t="shared" si="114"/>
        <v>-46.179477362123627</v>
      </c>
      <c r="BR84" s="204">
        <f t="shared" si="114"/>
        <v>-46.209317372014837</v>
      </c>
      <c r="BS84" s="204">
        <f t="shared" si="114"/>
        <v>-46.239094894276612</v>
      </c>
      <c r="BT84" s="204">
        <f t="shared" si="114"/>
        <v>-46.268803031710547</v>
      </c>
      <c r="BU84" s="204">
        <f t="shared" ref="BU84:EF84" si="115">PV($F38,BU$9,1,0)+(PV($J$6,$N$5-(BU$9),1,0)/($J$6+1)^BU$9)</f>
        <v>-46.298435146941344</v>
      </c>
      <c r="BV84" s="204">
        <f t="shared" si="115"/>
        <v>-46.327984855443724</v>
      </c>
      <c r="BW84" s="204">
        <f t="shared" si="115"/>
        <v>-46.357446018733775</v>
      </c>
      <c r="BX84" s="204">
        <f t="shared" si="115"/>
        <v>-46.386812737721122</v>
      </c>
      <c r="BY84" s="204">
        <f t="shared" si="115"/>
        <v>-46.416079346218297</v>
      </c>
      <c r="BZ84" s="204">
        <f t="shared" si="115"/>
        <v>-46.445240404603936</v>
      </c>
      <c r="CA84" s="204">
        <f t="shared" si="115"/>
        <v>-46.474290693636277</v>
      </c>
      <c r="CB84" s="204">
        <f t="shared" si="115"/>
        <v>-46.503225208413809</v>
      </c>
      <c r="CC84" s="204">
        <f t="shared" si="115"/>
        <v>-46.532039152479712</v>
      </c>
      <c r="CD84" s="204">
        <f t="shared" si="115"/>
        <v>-46.560727932066868</v>
      </c>
      <c r="CE84" s="204">
        <f t="shared" si="115"/>
        <v>-46.589287150480445</v>
      </c>
      <c r="CF84" s="204">
        <f t="shared" si="115"/>
        <v>-46.617712602614922</v>
      </c>
      <c r="CG84" s="204">
        <f t="shared" si="115"/>
        <v>-46.646000269602581</v>
      </c>
      <c r="CH84" s="204">
        <f t="shared" si="115"/>
        <v>-46.674146313590541</v>
      </c>
      <c r="CI84" s="204">
        <f t="shared" si="115"/>
        <v>-46.70214707264352</v>
      </c>
      <c r="CJ84" s="204">
        <f t="shared" si="115"/>
        <v>-46.729999055769461</v>
      </c>
      <c r="CK84" s="204">
        <f t="shared" si="115"/>
        <v>-46.757698938065317</v>
      </c>
      <c r="CL84" s="204">
        <f t="shared" si="115"/>
        <v>-46.785243555980294</v>
      </c>
      <c r="CM84" s="204">
        <f t="shared" si="115"/>
        <v>-46.812629902694006</v>
      </c>
      <c r="CN84" s="204">
        <f t="shared" si="115"/>
        <v>-46.839855123606796</v>
      </c>
      <c r="CO84" s="204">
        <f t="shared" si="115"/>
        <v>-46.866916511939934</v>
      </c>
      <c r="CP84" s="204">
        <f t="shared" si="115"/>
        <v>-46.89381150444305</v>
      </c>
      <c r="CQ84" s="204">
        <f t="shared" si="115"/>
        <v>-46.920537677206468</v>
      </c>
      <c r="CR84" s="204">
        <f t="shared" si="115"/>
        <v>-46.947092741576142</v>
      </c>
      <c r="CS84" s="204">
        <f t="shared" si="115"/>
        <v>-46.973474540168723</v>
      </c>
      <c r="CT84" s="204">
        <f t="shared" si="115"/>
        <v>-46.999681042984705</v>
      </c>
      <c r="CU84" s="204">
        <f t="shared" si="115"/>
        <v>-47.025710343617256</v>
      </c>
      <c r="CV84" s="204">
        <f t="shared" si="115"/>
        <v>-47.051560655554752</v>
      </c>
      <c r="CW84" s="204">
        <f t="shared" si="115"/>
        <v>-47.07723030857467</v>
      </c>
      <c r="CX84" s="204">
        <f t="shared" si="115"/>
        <v>-47.102717745227046</v>
      </c>
      <c r="CY84" s="204">
        <f t="shared" si="115"/>
        <v>-47.102717745227046</v>
      </c>
      <c r="CZ84" s="204">
        <f t="shared" si="115"/>
        <v>-47.102717745227046</v>
      </c>
      <c r="DA84" s="204">
        <f t="shared" si="115"/>
        <v>-47.102717745227046</v>
      </c>
      <c r="DB84" s="204">
        <f t="shared" si="115"/>
        <v>-47.102717745227046</v>
      </c>
      <c r="DC84" s="204">
        <f t="shared" si="115"/>
        <v>-47.102717745227046</v>
      </c>
      <c r="DD84" s="204">
        <f t="shared" si="115"/>
        <v>-47.102717745227046</v>
      </c>
      <c r="DE84" s="204">
        <f t="shared" si="115"/>
        <v>-47.102717745227046</v>
      </c>
      <c r="DF84" s="204">
        <f t="shared" si="115"/>
        <v>-47.102717745227046</v>
      </c>
      <c r="DG84" s="204">
        <f t="shared" si="115"/>
        <v>-47.102717745227046</v>
      </c>
      <c r="DH84" s="204">
        <f t="shared" si="115"/>
        <v>-47.102717745227046</v>
      </c>
      <c r="DI84" s="204">
        <f t="shared" si="115"/>
        <v>-47.102717745227046</v>
      </c>
      <c r="DJ84" s="204">
        <f t="shared" si="115"/>
        <v>-47.102717745227046</v>
      </c>
      <c r="DK84" s="204">
        <f t="shared" si="115"/>
        <v>-47.102717745227046</v>
      </c>
      <c r="DL84" s="204">
        <f t="shared" si="115"/>
        <v>-47.102717745227046</v>
      </c>
      <c r="DM84" s="204">
        <f t="shared" si="115"/>
        <v>-47.102717745227046</v>
      </c>
      <c r="DN84" s="204">
        <f t="shared" si="115"/>
        <v>-47.102717745227046</v>
      </c>
      <c r="DO84" s="204">
        <f t="shared" si="115"/>
        <v>-47.102717745227046</v>
      </c>
      <c r="DP84" s="204">
        <f t="shared" si="115"/>
        <v>-47.102717745227046</v>
      </c>
      <c r="DQ84" s="204">
        <f t="shared" si="115"/>
        <v>-47.102717745227046</v>
      </c>
      <c r="DR84" s="204">
        <f t="shared" si="115"/>
        <v>-47.102717745227046</v>
      </c>
      <c r="DS84" s="204">
        <f t="shared" si="115"/>
        <v>-47.102717745227046</v>
      </c>
      <c r="DT84" s="204">
        <f t="shared" si="115"/>
        <v>-47.102717745227046</v>
      </c>
      <c r="DU84" s="204">
        <f t="shared" si="115"/>
        <v>-47.102717745227046</v>
      </c>
      <c r="DV84" s="204">
        <f t="shared" si="115"/>
        <v>-47.102717745227046</v>
      </c>
      <c r="DW84" s="204">
        <f t="shared" si="115"/>
        <v>-47.102717745227046</v>
      </c>
      <c r="DX84" s="204">
        <f t="shared" si="115"/>
        <v>-47.102717745227046</v>
      </c>
      <c r="DY84" s="204">
        <f t="shared" si="115"/>
        <v>-47.102717745227046</v>
      </c>
      <c r="DZ84" s="204">
        <f t="shared" si="115"/>
        <v>-47.102717745227046</v>
      </c>
      <c r="EA84" s="204">
        <f t="shared" si="115"/>
        <v>-47.102717745227046</v>
      </c>
      <c r="EB84" s="204">
        <f t="shared" si="115"/>
        <v>-47.102717745227046</v>
      </c>
      <c r="EC84" s="204">
        <f t="shared" si="115"/>
        <v>-47.102717745227046</v>
      </c>
      <c r="ED84" s="204">
        <f t="shared" si="115"/>
        <v>-47.102717745227046</v>
      </c>
      <c r="EE84" s="204">
        <f t="shared" si="115"/>
        <v>-47.102717745227046</v>
      </c>
      <c r="EF84" s="204">
        <f t="shared" si="115"/>
        <v>-47.102717745227046</v>
      </c>
      <c r="EG84" s="204">
        <f t="shared" ref="EG84:ET84" si="116">PV($F38,EG$9,1,0)+(PV($J$6,$N$5-(EG$9),1,0)/($J$6+1)^EG$9)</f>
        <v>-47.102717745227046</v>
      </c>
      <c r="EH84" s="204">
        <f t="shared" si="116"/>
        <v>-47.102717745227046</v>
      </c>
      <c r="EI84" s="204">
        <f t="shared" si="116"/>
        <v>-47.102717745227046</v>
      </c>
      <c r="EJ84" s="204">
        <f t="shared" si="116"/>
        <v>-47.102717745227046</v>
      </c>
      <c r="EK84" s="204">
        <f t="shared" si="116"/>
        <v>-47.102717745227046</v>
      </c>
      <c r="EL84" s="204">
        <f t="shared" si="116"/>
        <v>-47.102717745227046</v>
      </c>
      <c r="EM84" s="204">
        <f t="shared" si="116"/>
        <v>-47.102717745227046</v>
      </c>
      <c r="EN84" s="204">
        <f t="shared" si="116"/>
        <v>-47.102717745227046</v>
      </c>
      <c r="EO84" s="204">
        <f t="shared" si="116"/>
        <v>-47.102717745227046</v>
      </c>
      <c r="EP84" s="204">
        <f t="shared" si="116"/>
        <v>-47.102717745227046</v>
      </c>
      <c r="EQ84" s="204">
        <f t="shared" si="116"/>
        <v>-47.102717745227046</v>
      </c>
      <c r="ER84" s="204">
        <f t="shared" si="116"/>
        <v>-47.102717745227046</v>
      </c>
      <c r="ES84" s="204">
        <f t="shared" si="116"/>
        <v>-47.102717745227046</v>
      </c>
      <c r="ET84" s="204">
        <f t="shared" si="116"/>
        <v>-47.102717745227046</v>
      </c>
      <c r="FF84" s="6" t="s">
        <v>236</v>
      </c>
      <c r="FG84" s="696">
        <v>2.5000000000000001E-2</v>
      </c>
      <c r="FH84" s="696">
        <v>120</v>
      </c>
      <c r="FI84" s="696">
        <v>2.23E-2</v>
      </c>
      <c r="FJ84" s="255">
        <v>1.6E-2</v>
      </c>
      <c r="FK84" s="71">
        <f t="shared" si="92"/>
        <v>2.142857142857143E-4</v>
      </c>
      <c r="FL84" t="e">
        <f>VLOOKUP(FF84,'SIMULADOR COM SALDO'!$BX$22:$CK$1000,13,FALSE)</f>
        <v>#N/A</v>
      </c>
    </row>
    <row r="85" spans="7:168" x14ac:dyDescent="0.25">
      <c r="G85" s="103">
        <f t="shared" si="45"/>
        <v>-44.753528874240033</v>
      </c>
      <c r="H85" s="204">
        <f t="shared" si="46"/>
        <v>-44.756121168598845</v>
      </c>
      <c r="I85" s="204">
        <f t="shared" ref="I85:BT85" si="117">PV($F39,I$9,1,0)+(PV($J$6,$N$5-(I$9),1,0)/($J$6+1)^I$9)</f>
        <v>-44.759941546081826</v>
      </c>
      <c r="J85" s="204">
        <f t="shared" si="117"/>
        <v>-44.764946219946452</v>
      </c>
      <c r="K85" s="204">
        <f t="shared" si="117"/>
        <v>-44.771092560613852</v>
      </c>
      <c r="L85" s="204">
        <f t="shared" si="117"/>
        <v>-44.778339068555361</v>
      </c>
      <c r="M85" s="204">
        <f t="shared" si="117"/>
        <v>-44.786645347774154</v>
      </c>
      <c r="N85" s="204">
        <f t="shared" si="117"/>
        <v>-44.795972079869564</v>
      </c>
      <c r="O85" s="204">
        <f t="shared" si="117"/>
        <v>-44.806280998671632</v>
      </c>
      <c r="P85" s="204">
        <f t="shared" si="117"/>
        <v>-44.817534865434084</v>
      </c>
      <c r="Q85" s="204">
        <f t="shared" si="117"/>
        <v>-44.829697444573704</v>
      </c>
      <c r="R85" s="204">
        <f t="shared" si="117"/>
        <v>-44.842733479944762</v>
      </c>
      <c r="S85" s="204">
        <f t="shared" si="117"/>
        <v>-44.85660867163709</v>
      </c>
      <c r="T85" s="204">
        <f t="shared" si="117"/>
        <v>-44.871289653286723</v>
      </c>
      <c r="U85" s="204">
        <f t="shared" si="117"/>
        <v>-44.886743969888315</v>
      </c>
      <c r="V85" s="204">
        <f t="shared" si="117"/>
        <v>-44.902940056098693</v>
      </c>
      <c r="W85" s="204">
        <f t="shared" si="117"/>
        <v>-44.919847215021079</v>
      </c>
      <c r="X85" s="204">
        <f t="shared" si="117"/>
        <v>-44.93743559745986</v>
      </c>
      <c r="Y85" s="204">
        <f t="shared" si="117"/>
        <v>-44.955676181636001</v>
      </c>
      <c r="Z85" s="204">
        <f t="shared" si="117"/>
        <v>-44.974540753353025</v>
      </c>
      <c r="AA85" s="204">
        <f t="shared" si="117"/>
        <v>-44.994001886604394</v>
      </c>
      <c r="AB85" s="204">
        <f t="shared" si="117"/>
        <v>-45.014032924612579</v>
      </c>
      <c r="AC85" s="204">
        <f t="shared" si="117"/>
        <v>-45.034607961290867</v>
      </c>
      <c r="AD85" s="204">
        <f t="shared" si="117"/>
        <v>-45.055701823118667</v>
      </c>
      <c r="AE85" s="204">
        <f t="shared" si="117"/>
        <v>-45.077290051421826</v>
      </c>
      <c r="AF85" s="204">
        <f t="shared" si="117"/>
        <v>-45.099348885049011</v>
      </c>
      <c r="AG85" s="204">
        <f t="shared" si="117"/>
        <v>-45.12185524343586</v>
      </c>
      <c r="AH85" s="204">
        <f t="shared" si="117"/>
        <v>-45.144786710048749</v>
      </c>
      <c r="AI85" s="204">
        <f t="shared" si="117"/>
        <v>-45.168121516199712</v>
      </c>
      <c r="AJ85" s="204">
        <f t="shared" si="117"/>
        <v>-45.191838525225059</v>
      </c>
      <c r="AK85" s="204">
        <f t="shared" si="117"/>
        <v>-45.215917217019438</v>
      </c>
      <c r="AL85" s="204">
        <f t="shared" si="117"/>
        <v>-45.240337672918088</v>
      </c>
      <c r="AM85" s="204">
        <f t="shared" si="117"/>
        <v>-45.265080560919678</v>
      </c>
      <c r="AN85" s="204">
        <f t="shared" si="117"/>
        <v>-45.290127121242428</v>
      </c>
      <c r="AO85" s="204">
        <f t="shared" si="117"/>
        <v>-45.315459152206415</v>
      </c>
      <c r="AP85" s="204">
        <f t="shared" si="117"/>
        <v>-45.341058996435009</v>
      </c>
      <c r="AQ85" s="204">
        <f t="shared" si="117"/>
        <v>-45.366909527368662</v>
      </c>
      <c r="AR85" s="204">
        <f t="shared" si="117"/>
        <v>-45.392994136084276</v>
      </c>
      <c r="AS85" s="204">
        <f t="shared" si="117"/>
        <v>-45.41929671841357</v>
      </c>
      <c r="AT85" s="204">
        <f t="shared" si="117"/>
        <v>-45.445801662354057</v>
      </c>
      <c r="AU85" s="204">
        <f t="shared" si="117"/>
        <v>-45.472493835766329</v>
      </c>
      <c r="AV85" s="204">
        <f t="shared" si="117"/>
        <v>-45.499358574351447</v>
      </c>
      <c r="AW85" s="204">
        <f t="shared" si="117"/>
        <v>-45.526381669902307</v>
      </c>
      <c r="AX85" s="204">
        <f t="shared" si="117"/>
        <v>-45.553549358823375</v>
      </c>
      <c r="AY85" s="204">
        <f t="shared" si="117"/>
        <v>-45.580848310912572</v>
      </c>
      <c r="AZ85" s="204">
        <f t="shared" si="117"/>
        <v>-45.608265618399976</v>
      </c>
      <c r="BA85" s="204">
        <f t="shared" si="117"/>
        <v>-45.635788785237622</v>
      </c>
      <c r="BB85" s="204">
        <f t="shared" si="117"/>
        <v>-45.663405716635026</v>
      </c>
      <c r="BC85" s="204">
        <f t="shared" si="117"/>
        <v>-45.691104708835013</v>
      </c>
      <c r="BD85" s="204">
        <f t="shared" si="117"/>
        <v>-45.718874439124818</v>
      </c>
      <c r="BE85" s="204">
        <f t="shared" si="117"/>
        <v>-45.746703956077127</v>
      </c>
      <c r="BF85" s="204">
        <f t="shared" si="117"/>
        <v>-45.774582670016287</v>
      </c>
      <c r="BG85" s="204">
        <f t="shared" si="117"/>
        <v>-45.802500343704608</v>
      </c>
      <c r="BH85" s="204">
        <f t="shared" si="117"/>
        <v>-45.830447083244046</v>
      </c>
      <c r="BI85" s="204">
        <f t="shared" si="117"/>
        <v>-45.858413329188608</v>
      </c>
      <c r="BJ85" s="204">
        <f t="shared" si="117"/>
        <v>-45.886389847862816</v>
      </c>
      <c r="BK85" s="204">
        <f t="shared" si="117"/>
        <v>-45.914367722881821</v>
      </c>
      <c r="BL85" s="204">
        <f t="shared" si="117"/>
        <v>-45.942338346868596</v>
      </c>
      <c r="BM85" s="204">
        <f t="shared" si="117"/>
        <v>-45.970293413364189</v>
      </c>
      <c r="BN85" s="204">
        <f t="shared" si="117"/>
        <v>-45.998224908926474</v>
      </c>
      <c r="BO85" s="204">
        <f t="shared" si="117"/>
        <v>-46.026125105413541</v>
      </c>
      <c r="BP85" s="204">
        <f t="shared" si="117"/>
        <v>-46.053986552447583</v>
      </c>
      <c r="BQ85" s="204">
        <f t="shared" si="117"/>
        <v>-46.081802070055247</v>
      </c>
      <c r="BR85" s="204">
        <f t="shared" si="117"/>
        <v>-46.109564741480753</v>
      </c>
      <c r="BS85" s="204">
        <f t="shared" si="117"/>
        <v>-46.137267906167779</v>
      </c>
      <c r="BT85" s="204">
        <f t="shared" si="117"/>
        <v>-46.16490515290657</v>
      </c>
      <c r="BU85" s="204">
        <f t="shared" ref="BU85:EF85" si="118">PV($F39,BU$9,1,0)+(PV($J$6,$N$5-(BU$9),1,0)/($J$6+1)^BU$9)</f>
        <v>-46.192470313142557</v>
      </c>
      <c r="BV85" s="204">
        <f t="shared" si="118"/>
        <v>-46.21995745444292</v>
      </c>
      <c r="BW85" s="204">
        <f t="shared" si="118"/>
        <v>-46.247360874117668</v>
      </c>
      <c r="BX85" s="204">
        <f t="shared" si="118"/>
        <v>-46.27467509299175</v>
      </c>
      <c r="BY85" s="204">
        <f t="shared" si="118"/>
        <v>-46.301894849324938</v>
      </c>
      <c r="BZ85" s="204">
        <f t="shared" si="118"/>
        <v>-46.329015092876169</v>
      </c>
      <c r="CA85" s="204">
        <f t="shared" si="118"/>
        <v>-46.35603097910915</v>
      </c>
      <c r="CB85" s="204">
        <f t="shared" si="118"/>
        <v>-46.382937863536085</v>
      </c>
      <c r="CC85" s="204">
        <f t="shared" si="118"/>
        <v>-46.409731296196576</v>
      </c>
      <c r="CD85" s="204">
        <f t="shared" si="118"/>
        <v>-46.436407016268426</v>
      </c>
      <c r="CE85" s="204">
        <f t="shared" si="118"/>
        <v>-46.462960946807812</v>
      </c>
      <c r="CF85" s="204">
        <f t="shared" si="118"/>
        <v>-46.489389189615537</v>
      </c>
      <c r="CG85" s="204">
        <f t="shared" si="118"/>
        <v>-46.515688020226861</v>
      </c>
      <c r="CH85" s="204">
        <f t="shared" si="118"/>
        <v>-46.541853883021986</v>
      </c>
      <c r="CI85" s="204">
        <f t="shared" si="118"/>
        <v>-46.567883386454596</v>
      </c>
      <c r="CJ85" s="204">
        <f t="shared" si="118"/>
        <v>-46.593773298395739</v>
      </c>
      <c r="CK85" s="204">
        <f t="shared" si="118"/>
        <v>-46.619520541590575</v>
      </c>
      <c r="CL85" s="204">
        <f t="shared" si="118"/>
        <v>-46.645122189225297</v>
      </c>
      <c r="CM85" s="204">
        <f t="shared" si="118"/>
        <v>-46.670575460601995</v>
      </c>
      <c r="CN85" s="204">
        <f t="shared" si="118"/>
        <v>-46.695877716918787</v>
      </c>
      <c r="CO85" s="204">
        <f t="shared" si="118"/>
        <v>-46.721026457153059</v>
      </c>
      <c r="CP85" s="204">
        <f t="shared" si="118"/>
        <v>-46.746019314045348</v>
      </c>
      <c r="CQ85" s="204">
        <f t="shared" si="118"/>
        <v>-46.770854050181718</v>
      </c>
      <c r="CR85" s="204">
        <f t="shared" si="118"/>
        <v>-46.795528554172378</v>
      </c>
      <c r="CS85" s="204">
        <f t="shared" si="118"/>
        <v>-46.820040836924214</v>
      </c>
      <c r="CT85" s="204">
        <f t="shared" si="118"/>
        <v>-46.844389028005473</v>
      </c>
      <c r="CU85" s="204">
        <f t="shared" si="118"/>
        <v>-46.868571372100099</v>
      </c>
      <c r="CV85" s="204">
        <f t="shared" si="118"/>
        <v>-46.892586225550033</v>
      </c>
      <c r="CW85" s="204">
        <f t="shared" si="118"/>
        <v>-46.916432052983232</v>
      </c>
      <c r="CX85" s="204">
        <f t="shared" si="118"/>
        <v>-46.940107424025641</v>
      </c>
      <c r="CY85" s="204">
        <f t="shared" si="118"/>
        <v>-46.940107424025641</v>
      </c>
      <c r="CZ85" s="204">
        <f t="shared" si="118"/>
        <v>-46.940107424025641</v>
      </c>
      <c r="DA85" s="204">
        <f t="shared" si="118"/>
        <v>-46.940107424025641</v>
      </c>
      <c r="DB85" s="204">
        <f t="shared" si="118"/>
        <v>-46.940107424025641</v>
      </c>
      <c r="DC85" s="204">
        <f t="shared" si="118"/>
        <v>-46.940107424025641</v>
      </c>
      <c r="DD85" s="204">
        <f t="shared" si="118"/>
        <v>-46.940107424025641</v>
      </c>
      <c r="DE85" s="204">
        <f t="shared" si="118"/>
        <v>-46.940107424025641</v>
      </c>
      <c r="DF85" s="204">
        <f t="shared" si="118"/>
        <v>-46.940107424025641</v>
      </c>
      <c r="DG85" s="204">
        <f t="shared" si="118"/>
        <v>-46.940107424025641</v>
      </c>
      <c r="DH85" s="204">
        <f t="shared" si="118"/>
        <v>-46.940107424025641</v>
      </c>
      <c r="DI85" s="204">
        <f t="shared" si="118"/>
        <v>-46.940107424025641</v>
      </c>
      <c r="DJ85" s="204">
        <f t="shared" si="118"/>
        <v>-46.940107424025641</v>
      </c>
      <c r="DK85" s="204">
        <f t="shared" si="118"/>
        <v>-46.940107424025641</v>
      </c>
      <c r="DL85" s="204">
        <f t="shared" si="118"/>
        <v>-46.940107424025641</v>
      </c>
      <c r="DM85" s="204">
        <f t="shared" si="118"/>
        <v>-46.940107424025641</v>
      </c>
      <c r="DN85" s="204">
        <f t="shared" si="118"/>
        <v>-46.940107424025641</v>
      </c>
      <c r="DO85" s="204">
        <f t="shared" si="118"/>
        <v>-46.940107424025641</v>
      </c>
      <c r="DP85" s="204">
        <f t="shared" si="118"/>
        <v>-46.940107424025641</v>
      </c>
      <c r="DQ85" s="204">
        <f t="shared" si="118"/>
        <v>-46.940107424025641</v>
      </c>
      <c r="DR85" s="204">
        <f t="shared" si="118"/>
        <v>-46.940107424025641</v>
      </c>
      <c r="DS85" s="204">
        <f t="shared" si="118"/>
        <v>-46.940107424025641</v>
      </c>
      <c r="DT85" s="204">
        <f t="shared" si="118"/>
        <v>-46.940107424025641</v>
      </c>
      <c r="DU85" s="204">
        <f t="shared" si="118"/>
        <v>-46.940107424025641</v>
      </c>
      <c r="DV85" s="204">
        <f t="shared" si="118"/>
        <v>-46.940107424025641</v>
      </c>
      <c r="DW85" s="204">
        <f t="shared" si="118"/>
        <v>-46.940107424025641</v>
      </c>
      <c r="DX85" s="204">
        <f t="shared" si="118"/>
        <v>-46.940107424025641</v>
      </c>
      <c r="DY85" s="204">
        <f t="shared" si="118"/>
        <v>-46.940107424025641</v>
      </c>
      <c r="DZ85" s="204">
        <f t="shared" si="118"/>
        <v>-46.940107424025641</v>
      </c>
      <c r="EA85" s="204">
        <f t="shared" si="118"/>
        <v>-46.940107424025641</v>
      </c>
      <c r="EB85" s="204">
        <f t="shared" si="118"/>
        <v>-46.940107424025641</v>
      </c>
      <c r="EC85" s="204">
        <f t="shared" si="118"/>
        <v>-46.940107424025641</v>
      </c>
      <c r="ED85" s="204">
        <f t="shared" si="118"/>
        <v>-46.940107424025641</v>
      </c>
      <c r="EE85" s="204">
        <f t="shared" si="118"/>
        <v>-46.940107424025641</v>
      </c>
      <c r="EF85" s="204">
        <f t="shared" si="118"/>
        <v>-46.940107424025641</v>
      </c>
      <c r="EG85" s="204">
        <f t="shared" ref="EG85:ET85" si="119">PV($F39,EG$9,1,0)+(PV($J$6,$N$5-(EG$9),1,0)/($J$6+1)^EG$9)</f>
        <v>-46.940107424025641</v>
      </c>
      <c r="EH85" s="204">
        <f t="shared" si="119"/>
        <v>-46.940107424025641</v>
      </c>
      <c r="EI85" s="204">
        <f t="shared" si="119"/>
        <v>-46.940107424025641</v>
      </c>
      <c r="EJ85" s="204">
        <f t="shared" si="119"/>
        <v>-46.940107424025641</v>
      </c>
      <c r="EK85" s="204">
        <f t="shared" si="119"/>
        <v>-46.940107424025641</v>
      </c>
      <c r="EL85" s="204">
        <f t="shared" si="119"/>
        <v>-46.940107424025641</v>
      </c>
      <c r="EM85" s="204">
        <f t="shared" si="119"/>
        <v>-46.940107424025641</v>
      </c>
      <c r="EN85" s="204">
        <f t="shared" si="119"/>
        <v>-46.940107424025641</v>
      </c>
      <c r="EO85" s="204">
        <f t="shared" si="119"/>
        <v>-46.940107424025641</v>
      </c>
      <c r="EP85" s="204">
        <f t="shared" si="119"/>
        <v>-46.940107424025641</v>
      </c>
      <c r="EQ85" s="204">
        <f t="shared" si="119"/>
        <v>-46.940107424025641</v>
      </c>
      <c r="ER85" s="204">
        <f t="shared" si="119"/>
        <v>-46.940107424025641</v>
      </c>
      <c r="ES85" s="204">
        <f t="shared" si="119"/>
        <v>-46.940107424025641</v>
      </c>
      <c r="ET85" s="204">
        <f t="shared" si="119"/>
        <v>-46.940107424025641</v>
      </c>
      <c r="FF85" s="67" t="s">
        <v>77</v>
      </c>
      <c r="FG85" s="696">
        <v>2.5000000000000001E-2</v>
      </c>
      <c r="FH85" s="696">
        <v>120</v>
      </c>
      <c r="FI85" s="696">
        <v>2.1000000000000001E-2</v>
      </c>
      <c r="FJ85" s="255">
        <v>1.55E-2</v>
      </c>
      <c r="FK85" s="71">
        <f t="shared" si="92"/>
        <v>2.2619047619047624E-4</v>
      </c>
      <c r="FL85" t="e">
        <f>VLOOKUP(FF85,'SIMULADOR COM SALDO'!$BX$22:$CK$1000,13,FALSE)</f>
        <v>#N/A</v>
      </c>
    </row>
    <row r="86" spans="7:168" x14ac:dyDescent="0.25">
      <c r="G86" s="103">
        <f t="shared" si="45"/>
        <v>-44.75343452528103</v>
      </c>
      <c r="H86" s="204">
        <f t="shared" si="46"/>
        <v>-44.755841309188511</v>
      </c>
      <c r="I86" s="204">
        <f t="shared" ref="I86:BT86" si="120">PV($F40,I$9,1,0)+(PV($J$6,$N$5-(I$9),1,0)/($J$6+1)^I$9)</f>
        <v>-44.759388121430675</v>
      </c>
      <c r="J86" s="204">
        <f t="shared" si="120"/>
        <v>-44.764034203023115</v>
      </c>
      <c r="K86" s="204">
        <f t="shared" si="120"/>
        <v>-44.769739874980942</v>
      </c>
      <c r="L86" s="204">
        <f t="shared" si="120"/>
        <v>-44.776466512948303</v>
      </c>
      <c r="M86" s="204">
        <f t="shared" si="120"/>
        <v>-44.784176522386083</v>
      </c>
      <c r="N86" s="204">
        <f t="shared" si="120"/>
        <v>-44.792833314306293</v>
      </c>
      <c r="O86" s="204">
        <f t="shared" si="120"/>
        <v>-44.802401281541144</v>
      </c>
      <c r="P86" s="204">
        <f t="shared" si="120"/>
        <v>-44.812845775536019</v>
      </c>
      <c r="Q86" s="204">
        <f t="shared" si="120"/>
        <v>-44.824133083654857</v>
      </c>
      <c r="R86" s="204">
        <f t="shared" si="120"/>
        <v>-44.836230406987127</v>
      </c>
      <c r="S86" s="204">
        <f t="shared" si="120"/>
        <v>-44.849105838646238</v>
      </c>
      <c r="T86" s="204">
        <f t="shared" si="120"/>
        <v>-44.862728342548188</v>
      </c>
      <c r="U86" s="204">
        <f t="shared" si="120"/>
        <v>-44.877067732660961</v>
      </c>
      <c r="V86" s="204">
        <f t="shared" si="120"/>
        <v>-44.892094652714363</v>
      </c>
      <c r="W86" s="204">
        <f t="shared" si="120"/>
        <v>-44.907780556360407</v>
      </c>
      <c r="X86" s="204">
        <f t="shared" si="120"/>
        <v>-44.924097687775046</v>
      </c>
      <c r="Y86" s="204">
        <f t="shared" si="120"/>
        <v>-44.941019062691488</v>
      </c>
      <c r="Z86" s="204">
        <f t="shared" si="120"/>
        <v>-44.958518449856143</v>
      </c>
      <c r="AA86" s="204">
        <f t="shared" si="120"/>
        <v>-44.976570352898094</v>
      </c>
      <c r="AB86" s="204">
        <f t="shared" si="120"/>
        <v>-44.995149992603352</v>
      </c>
      <c r="AC86" s="204">
        <f t="shared" si="120"/>
        <v>-45.014233289585178</v>
      </c>
      <c r="AD86" s="204">
        <f t="shared" si="120"/>
        <v>-45.03379684734216</v>
      </c>
      <c r="AE86" s="204">
        <f t="shared" si="120"/>
        <v>-45.053817935695541</v>
      </c>
      <c r="AF86" s="204">
        <f t="shared" si="120"/>
        <v>-45.074274474598056</v>
      </c>
      <c r="AG86" s="204">
        <f t="shared" si="120"/>
        <v>-45.0951450183058</v>
      </c>
      <c r="AH86" s="204">
        <f t="shared" si="120"/>
        <v>-45.116408739906021</v>
      </c>
      <c r="AI86" s="204">
        <f t="shared" si="120"/>
        <v>-45.138045416192583</v>
      </c>
      <c r="AJ86" s="204">
        <f t="shared" si="120"/>
        <v>-45.160035412882181</v>
      </c>
      <c r="AK86" s="204">
        <f t="shared" si="120"/>
        <v>-45.182359670163549</v>
      </c>
      <c r="AL86" s="204">
        <f t="shared" si="120"/>
        <v>-45.204999688572912</v>
      </c>
      <c r="AM86" s="204">
        <f t="shared" si="120"/>
        <v>-45.227937515188358</v>
      </c>
      <c r="AN86" s="204">
        <f t="shared" si="120"/>
        <v>-45.251155730136546</v>
      </c>
      <c r="AO86" s="204">
        <f t="shared" si="120"/>
        <v>-45.274637433404806</v>
      </c>
      <c r="AP86" s="204">
        <f t="shared" si="120"/>
        <v>-45.298366231952215</v>
      </c>
      <c r="AQ86" s="204">
        <f t="shared" si="120"/>
        <v>-45.32232622711318</v>
      </c>
      <c r="AR86" s="204">
        <f t="shared" si="120"/>
        <v>-45.346502002287167</v>
      </c>
      <c r="AS86" s="204">
        <f t="shared" si="120"/>
        <v>-45.370878610908449</v>
      </c>
      <c r="AT86" s="204">
        <f t="shared" si="120"/>
        <v>-45.395441564689882</v>
      </c>
      <c r="AU86" s="204">
        <f t="shared" si="120"/>
        <v>-45.420176822134664</v>
      </c>
      <c r="AV86" s="204">
        <f t="shared" si="120"/>
        <v>-45.445070777310463</v>
      </c>
      <c r="AW86" s="204">
        <f t="shared" si="120"/>
        <v>-45.47011024887999</v>
      </c>
      <c r="AX86" s="204">
        <f t="shared" si="120"/>
        <v>-45.495282469382772</v>
      </c>
      <c r="AY86" s="204">
        <f t="shared" si="120"/>
        <v>-45.520575074762462</v>
      </c>
      <c r="AZ86" s="204">
        <f t="shared" si="120"/>
        <v>-45.545976094134389</v>
      </c>
      <c r="BA86" s="204">
        <f t="shared" si="120"/>
        <v>-45.57147393978822</v>
      </c>
      <c r="BB86" s="204">
        <f t="shared" si="120"/>
        <v>-45.597057397420684</v>
      </c>
      <c r="BC86" s="204">
        <f t="shared" si="120"/>
        <v>-45.622715616592998</v>
      </c>
      <c r="BD86" s="204">
        <f t="shared" si="120"/>
        <v>-45.648438101408658</v>
      </c>
      <c r="BE86" s="204">
        <f t="shared" si="120"/>
        <v>-45.674214701406399</v>
      </c>
      <c r="BF86" s="204">
        <f t="shared" si="120"/>
        <v>-45.700035602663689</v>
      </c>
      <c r="BG86" s="204">
        <f t="shared" si="120"/>
        <v>-45.725891319106374</v>
      </c>
      <c r="BH86" s="204">
        <f t="shared" si="120"/>
        <v>-45.751772684019684</v>
      </c>
      <c r="BI86" s="204">
        <f t="shared" si="120"/>
        <v>-45.777670841756461</v>
      </c>
      <c r="BJ86" s="204">
        <f t="shared" si="120"/>
        <v>-45.803577239638187</v>
      </c>
      <c r="BK86" s="204">
        <f t="shared" si="120"/>
        <v>-45.82948362004452</v>
      </c>
      <c r="BL86" s="204">
        <f t="shared" si="120"/>
        <v>-45.855382012687436</v>
      </c>
      <c r="BM86" s="204">
        <f t="shared" si="120"/>
        <v>-45.881264727065592</v>
      </c>
      <c r="BN86" s="204">
        <f t="shared" si="120"/>
        <v>-45.907124345095362</v>
      </c>
      <c r="BO86" s="204">
        <f t="shared" si="120"/>
        <v>-45.932953713914294</v>
      </c>
      <c r="BP86" s="204">
        <f t="shared" si="120"/>
        <v>-45.958745938853511</v>
      </c>
      <c r="BQ86" s="204">
        <f t="shared" si="120"/>
        <v>-45.984494376575043</v>
      </c>
      <c r="BR86" s="204">
        <f t="shared" si="120"/>
        <v>-46.010192628370817</v>
      </c>
      <c r="BS86" s="204">
        <f t="shared" si="120"/>
        <v>-46.035834533619322</v>
      </c>
      <c r="BT86" s="204">
        <f t="shared" si="120"/>
        <v>-46.061414163396869</v>
      </c>
      <c r="BU86" s="204">
        <f t="shared" ref="BU86:EF86" si="121">PV($F40,BU$9,1,0)+(PV($J$6,$N$5-(BU$9),1,0)/($J$6+1)^BU$9)</f>
        <v>-46.08692581423977</v>
      </c>
      <c r="BV86" s="204">
        <f t="shared" si="121"/>
        <v>-46.112364002054257</v>
      </c>
      <c r="BW86" s="204">
        <f t="shared" si="121"/>
        <v>-46.137723456170733</v>
      </c>
      <c r="BX86" s="204">
        <f t="shared" si="121"/>
        <v>-46.162999113539307</v>
      </c>
      <c r="BY86" s="204">
        <f t="shared" si="121"/>
        <v>-46.188186113063388</v>
      </c>
      <c r="BZ86" s="204">
        <f t="shared" si="121"/>
        <v>-46.213279790068327</v>
      </c>
      <c r="CA86" s="204">
        <f t="shared" si="121"/>
        <v>-46.238275670902063</v>
      </c>
      <c r="CB86" s="204">
        <f t="shared" si="121"/>
        <v>-46.263169467664881</v>
      </c>
      <c r="CC86" s="204">
        <f t="shared" si="121"/>
        <v>-46.287957073065414</v>
      </c>
      <c r="CD86" s="204">
        <f t="shared" si="121"/>
        <v>-46.312634555399988</v>
      </c>
      <c r="CE86" s="204">
        <f t="shared" si="121"/>
        <v>-46.337198153652764</v>
      </c>
      <c r="CF86" s="204">
        <f t="shared" si="121"/>
        <v>-46.361644272713761</v>
      </c>
      <c r="CG86" s="204">
        <f t="shared" si="121"/>
        <v>-46.385969478712212</v>
      </c>
      <c r="CH86" s="204">
        <f t="shared" si="121"/>
        <v>-46.410170494462797</v>
      </c>
      <c r="CI86" s="204">
        <f t="shared" si="121"/>
        <v>-46.434244195021975</v>
      </c>
      <c r="CJ86" s="204">
        <f t="shared" si="121"/>
        <v>-46.458187603352187</v>
      </c>
      <c r="CK86" s="204">
        <f t="shared" si="121"/>
        <v>-46.481997886091399</v>
      </c>
      <c r="CL86" s="204">
        <f t="shared" si="121"/>
        <v>-46.505672349425623</v>
      </c>
      <c r="CM86" s="204">
        <f t="shared" si="121"/>
        <v>-46.529208435062124</v>
      </c>
      <c r="CN86" s="204">
        <f t="shared" si="121"/>
        <v>-46.552603716301057</v>
      </c>
      <c r="CO86" s="204">
        <f t="shared" si="121"/>
        <v>-46.575855894203279</v>
      </c>
      <c r="CP86" s="204">
        <f t="shared" si="121"/>
        <v>-46.598962793852223</v>
      </c>
      <c r="CQ86" s="204">
        <f t="shared" si="121"/>
        <v>-46.62192236070765</v>
      </c>
      <c r="CR86" s="204">
        <f t="shared" si="121"/>
        <v>-46.644732657049289</v>
      </c>
      <c r="CS86" s="204">
        <f t="shared" si="121"/>
        <v>-46.667391858508203</v>
      </c>
      <c r="CT86" s="204">
        <f t="shared" si="121"/>
        <v>-46.689898250684024</v>
      </c>
      <c r="CU86" s="204">
        <f t="shared" si="121"/>
        <v>-46.712250225846049</v>
      </c>
      <c r="CV86" s="204">
        <f t="shared" si="121"/>
        <v>-46.73444627971633</v>
      </c>
      <c r="CW86" s="204">
        <f t="shared" si="121"/>
        <v>-46.756485008332746</v>
      </c>
      <c r="CX86" s="204">
        <f t="shared" si="121"/>
        <v>-46.778365104990556</v>
      </c>
      <c r="CY86" s="204">
        <f t="shared" si="121"/>
        <v>-46.778365104990556</v>
      </c>
      <c r="CZ86" s="204">
        <f t="shared" si="121"/>
        <v>-46.778365104990556</v>
      </c>
      <c r="DA86" s="204">
        <f t="shared" si="121"/>
        <v>-46.778365104990556</v>
      </c>
      <c r="DB86" s="204">
        <f t="shared" si="121"/>
        <v>-46.778365104990556</v>
      </c>
      <c r="DC86" s="204">
        <f t="shared" si="121"/>
        <v>-46.778365104990556</v>
      </c>
      <c r="DD86" s="204">
        <f t="shared" si="121"/>
        <v>-46.778365104990556</v>
      </c>
      <c r="DE86" s="204">
        <f t="shared" si="121"/>
        <v>-46.778365104990556</v>
      </c>
      <c r="DF86" s="204">
        <f t="shared" si="121"/>
        <v>-46.778365104990556</v>
      </c>
      <c r="DG86" s="204">
        <f t="shared" si="121"/>
        <v>-46.778365104990556</v>
      </c>
      <c r="DH86" s="204">
        <f t="shared" si="121"/>
        <v>-46.778365104990556</v>
      </c>
      <c r="DI86" s="204">
        <f t="shared" si="121"/>
        <v>-46.778365104990556</v>
      </c>
      <c r="DJ86" s="204">
        <f t="shared" si="121"/>
        <v>-46.778365104990556</v>
      </c>
      <c r="DK86" s="204">
        <f t="shared" si="121"/>
        <v>-46.778365104990556</v>
      </c>
      <c r="DL86" s="204">
        <f t="shared" si="121"/>
        <v>-46.778365104990556</v>
      </c>
      <c r="DM86" s="204">
        <f t="shared" si="121"/>
        <v>-46.778365104990556</v>
      </c>
      <c r="DN86" s="204">
        <f t="shared" si="121"/>
        <v>-46.778365104990556</v>
      </c>
      <c r="DO86" s="204">
        <f t="shared" si="121"/>
        <v>-46.778365104990556</v>
      </c>
      <c r="DP86" s="204">
        <f t="shared" si="121"/>
        <v>-46.778365104990556</v>
      </c>
      <c r="DQ86" s="204">
        <f t="shared" si="121"/>
        <v>-46.778365104990556</v>
      </c>
      <c r="DR86" s="204">
        <f t="shared" si="121"/>
        <v>-46.778365104990556</v>
      </c>
      <c r="DS86" s="204">
        <f t="shared" si="121"/>
        <v>-46.778365104990556</v>
      </c>
      <c r="DT86" s="204">
        <f t="shared" si="121"/>
        <v>-46.778365104990556</v>
      </c>
      <c r="DU86" s="204">
        <f t="shared" si="121"/>
        <v>-46.778365104990556</v>
      </c>
      <c r="DV86" s="204">
        <f t="shared" si="121"/>
        <v>-46.778365104990556</v>
      </c>
      <c r="DW86" s="204">
        <f t="shared" si="121"/>
        <v>-46.778365104990556</v>
      </c>
      <c r="DX86" s="204">
        <f t="shared" si="121"/>
        <v>-46.778365104990556</v>
      </c>
      <c r="DY86" s="204">
        <f t="shared" si="121"/>
        <v>-46.778365104990556</v>
      </c>
      <c r="DZ86" s="204">
        <f t="shared" si="121"/>
        <v>-46.778365104990556</v>
      </c>
      <c r="EA86" s="204">
        <f t="shared" si="121"/>
        <v>-46.778365104990556</v>
      </c>
      <c r="EB86" s="204">
        <f t="shared" si="121"/>
        <v>-46.778365104990556</v>
      </c>
      <c r="EC86" s="204">
        <f t="shared" si="121"/>
        <v>-46.778365104990556</v>
      </c>
      <c r="ED86" s="204">
        <f t="shared" si="121"/>
        <v>-46.778365104990556</v>
      </c>
      <c r="EE86" s="204">
        <f t="shared" si="121"/>
        <v>-46.778365104990556</v>
      </c>
      <c r="EF86" s="204">
        <f t="shared" si="121"/>
        <v>-46.778365104990556</v>
      </c>
      <c r="EG86" s="204">
        <f t="shared" ref="EG86:ET86" si="122">PV($F40,EG$9,1,0)+(PV($J$6,$N$5-(EG$9),1,0)/($J$6+1)^EG$9)</f>
        <v>-46.778365104990556</v>
      </c>
      <c r="EH86" s="204">
        <f t="shared" si="122"/>
        <v>-46.778365104990556</v>
      </c>
      <c r="EI86" s="204">
        <f t="shared" si="122"/>
        <v>-46.778365104990556</v>
      </c>
      <c r="EJ86" s="204">
        <f t="shared" si="122"/>
        <v>-46.778365104990556</v>
      </c>
      <c r="EK86" s="204">
        <f t="shared" si="122"/>
        <v>-46.778365104990556</v>
      </c>
      <c r="EL86" s="204">
        <f t="shared" si="122"/>
        <v>-46.778365104990556</v>
      </c>
      <c r="EM86" s="204">
        <f t="shared" si="122"/>
        <v>-46.778365104990556</v>
      </c>
      <c r="EN86" s="204">
        <f t="shared" si="122"/>
        <v>-46.778365104990556</v>
      </c>
      <c r="EO86" s="204">
        <f t="shared" si="122"/>
        <v>-46.778365104990556</v>
      </c>
      <c r="EP86" s="204">
        <f t="shared" si="122"/>
        <v>-46.778365104990556</v>
      </c>
      <c r="EQ86" s="204">
        <f t="shared" si="122"/>
        <v>-46.778365104990556</v>
      </c>
      <c r="ER86" s="204">
        <f t="shared" si="122"/>
        <v>-46.778365104990556</v>
      </c>
      <c r="ES86" s="204">
        <f t="shared" si="122"/>
        <v>-46.778365104990556</v>
      </c>
      <c r="ET86" s="204">
        <f t="shared" si="122"/>
        <v>-46.778365104990556</v>
      </c>
      <c r="FF86" s="6" t="s">
        <v>3022</v>
      </c>
      <c r="FG86" s="696">
        <v>2.1600000000000001E-2</v>
      </c>
      <c r="FH86" s="696">
        <v>72</v>
      </c>
      <c r="FI86" s="696">
        <v>1.5900000000000001E-2</v>
      </c>
      <c r="FJ86" s="255">
        <v>1.3600000000000001E-2</v>
      </c>
      <c r="FK86" s="71">
        <f t="shared" si="92"/>
        <v>1.9047619047619048E-4</v>
      </c>
      <c r="FL86" t="e">
        <f>VLOOKUP(FF86,'SIMULADOR COM SALDO'!$BX$22:$CK$1000,13,FALSE)</f>
        <v>#N/A</v>
      </c>
    </row>
    <row r="87" spans="7:168" x14ac:dyDescent="0.25">
      <c r="G87" s="103">
        <f t="shared" si="45"/>
        <v>-44.75334019442878</v>
      </c>
      <c r="H87" s="204">
        <f t="shared" si="46"/>
        <v>-44.755561521285024</v>
      </c>
      <c r="I87" s="204">
        <f t="shared" ref="I87:BT87" si="123">PV($F41,I$9,1,0)+(PV($J$6,$N$5-(I$9),1,0)/($J$6+1)^I$9)</f>
        <v>-44.758834873277486</v>
      </c>
      <c r="J87" s="204">
        <f t="shared" si="123"/>
        <v>-44.763122534618851</v>
      </c>
      <c r="K87" s="204">
        <f t="shared" si="123"/>
        <v>-44.768387791527957</v>
      </c>
      <c r="L87" s="204">
        <f t="shared" si="123"/>
        <v>-44.77459490863086</v>
      </c>
      <c r="M87" s="204">
        <f t="shared" si="123"/>
        <v>-44.781709105882449</v>
      </c>
      <c r="N87" s="204">
        <f t="shared" si="123"/>
        <v>-44.789696535997749</v>
      </c>
      <c r="O87" s="204">
        <f t="shared" si="123"/>
        <v>-44.798524262381981</v>
      </c>
      <c r="P87" s="204">
        <f t="shared" si="123"/>
        <v>-44.808160237548726</v>
      </c>
      <c r="Q87" s="204">
        <f t="shared" si="123"/>
        <v>-44.818573282016175</v>
      </c>
      <c r="R87" s="204">
        <f t="shared" si="123"/>
        <v>-44.829733063670744</v>
      </c>
      <c r="S87" s="204">
        <f t="shared" si="123"/>
        <v>-44.841610077588939</v>
      </c>
      <c r="T87" s="204">
        <f t="shared" si="123"/>
        <v>-44.854175626306848</v>
      </c>
      <c r="U87" s="204">
        <f t="shared" si="123"/>
        <v>-44.86740180052837</v>
      </c>
      <c r="V87" s="204">
        <f t="shared" si="123"/>
        <v>-44.88126146026265</v>
      </c>
      <c r="W87" s="204">
        <f t="shared" si="123"/>
        <v>-44.895728216381521</v>
      </c>
      <c r="X87" s="204">
        <f t="shared" si="123"/>
        <v>-44.910776412588</v>
      </c>
      <c r="Y87" s="204">
        <f t="shared" si="123"/>
        <v>-44.926381107787307</v>
      </c>
      <c r="Z87" s="204">
        <f t="shared" si="123"/>
        <v>-44.942518058851405</v>
      </c>
      <c r="AA87" s="204">
        <f t="shared" si="123"/>
        <v>-44.959163703769207</v>
      </c>
      <c r="AB87" s="204">
        <f t="shared" si="123"/>
        <v>-44.976295145173552</v>
      </c>
      <c r="AC87" s="204">
        <f t="shared" si="123"/>
        <v>-44.993890134237567</v>
      </c>
      <c r="AD87" s="204">
        <f t="shared" si="123"/>
        <v>-45.011927054931967</v>
      </c>
      <c r="AE87" s="204">
        <f t="shared" si="123"/>
        <v>-45.030384908636009</v>
      </c>
      <c r="AF87" s="204">
        <f t="shared" si="123"/>
        <v>-45.049243299094101</v>
      </c>
      <c r="AG87" s="204">
        <f t="shared" si="123"/>
        <v>-45.068482417711053</v>
      </c>
      <c r="AH87" s="204">
        <f t="shared" si="123"/>
        <v>-45.088083029178428</v>
      </c>
      <c r="AI87" s="204">
        <f t="shared" si="123"/>
        <v>-45.108026457425012</v>
      </c>
      <c r="AJ87" s="204">
        <f t="shared" si="123"/>
        <v>-45.128294571884489</v>
      </c>
      <c r="AK87" s="204">
        <f t="shared" si="123"/>
        <v>-45.148869774073276</v>
      </c>
      <c r="AL87" s="204">
        <f t="shared" si="123"/>
        <v>-45.169734984472136</v>
      </c>
      <c r="AM87" s="204">
        <f t="shared" si="123"/>
        <v>-45.190873629704932</v>
      </c>
      <c r="AN87" s="204">
        <f t="shared" si="123"/>
        <v>-45.212269630007924</v>
      </c>
      <c r="AO87" s="204">
        <f t="shared" si="123"/>
        <v>-45.233907386983688</v>
      </c>
      <c r="AP87" s="204">
        <f t="shared" si="123"/>
        <v>-45.255771771633192</v>
      </c>
      <c r="AQ87" s="204">
        <f t="shared" si="123"/>
        <v>-45.277848112660394</v>
      </c>
      <c r="AR87" s="204">
        <f t="shared" si="123"/>
        <v>-45.300122185042987</v>
      </c>
      <c r="AS87" s="204">
        <f t="shared" si="123"/>
        <v>-45.322580198864003</v>
      </c>
      <c r="AT87" s="204">
        <f t="shared" si="123"/>
        <v>-45.345208788398423</v>
      </c>
      <c r="AU87" s="204">
        <f t="shared" si="123"/>
        <v>-45.367995001449174</v>
      </c>
      <c r="AV87" s="204">
        <f t="shared" si="123"/>
        <v>-45.390926288927432</v>
      </c>
      <c r="AW87" s="204">
        <f t="shared" si="123"/>
        <v>-45.413990494671459</v>
      </c>
      <c r="AX87" s="204">
        <f t="shared" si="123"/>
        <v>-45.437175845499326</v>
      </c>
      <c r="AY87" s="204">
        <f t="shared" si="123"/>
        <v>-45.460470941490016</v>
      </c>
      <c r="AZ87" s="204">
        <f t="shared" si="123"/>
        <v>-45.483864746488251</v>
      </c>
      <c r="BA87" s="204">
        <f t="shared" si="123"/>
        <v>-45.507346578827857</v>
      </c>
      <c r="BB87" s="204">
        <f t="shared" si="123"/>
        <v>-45.53090610226927</v>
      </c>
      <c r="BC87" s="204">
        <f t="shared" si="123"/>
        <v>-45.55453331714628</v>
      </c>
      <c r="BD87" s="204">
        <f t="shared" si="123"/>
        <v>-45.578218551717441</v>
      </c>
      <c r="BE87" s="204">
        <f t="shared" si="123"/>
        <v>-45.601952453717914</v>
      </c>
      <c r="BF87" s="204">
        <f t="shared" si="123"/>
        <v>-45.625725982107014</v>
      </c>
      <c r="BG87" s="204">
        <f t="shared" si="123"/>
        <v>-45.64953039900756</v>
      </c>
      <c r="BH87" s="204">
        <f t="shared" si="123"/>
        <v>-45.6733572618325</v>
      </c>
      <c r="BI87" s="204">
        <f t="shared" si="123"/>
        <v>-45.697198415594919</v>
      </c>
      <c r="BJ87" s="204">
        <f t="shared" si="123"/>
        <v>-45.721045985397424</v>
      </c>
      <c r="BK87" s="204">
        <f t="shared" si="123"/>
        <v>-45.744892369096789</v>
      </c>
      <c r="BL87" s="204">
        <f t="shared" si="123"/>
        <v>-45.768730230140129</v>
      </c>
      <c r="BM87" s="204">
        <f t="shared" si="123"/>
        <v>-45.792552490569001</v>
      </c>
      <c r="BN87" s="204">
        <f t="shared" si="123"/>
        <v>-45.816352324187299</v>
      </c>
      <c r="BO87" s="204">
        <f t="shared" si="123"/>
        <v>-45.840123149889862</v>
      </c>
      <c r="BP87" s="204">
        <f t="shared" si="123"/>
        <v>-45.863858625147877</v>
      </c>
      <c r="BQ87" s="204">
        <f t="shared" si="123"/>
        <v>-45.887552639647751</v>
      </c>
      <c r="BR87" s="204">
        <f t="shared" si="123"/>
        <v>-45.911199309080111</v>
      </c>
      <c r="BS87" s="204">
        <f t="shared" si="123"/>
        <v>-45.934792969075552</v>
      </c>
      <c r="BT87" s="204">
        <f t="shared" si="123"/>
        <v>-45.958328169283845</v>
      </c>
      <c r="BU87" s="204">
        <f t="shared" ref="BU87:EF87" si="124">PV($F41,BU$9,1,0)+(PV($J$6,$N$5-(BU$9),1,0)/($J$6+1)^BU$9)</f>
        <v>-45.981799667593648</v>
      </c>
      <c r="BV87" s="204">
        <f t="shared" si="124"/>
        <v>-46.005202424489219</v>
      </c>
      <c r="BW87" s="204">
        <f t="shared" si="124"/>
        <v>-46.028531597541601</v>
      </c>
      <c r="BX87" s="204">
        <f t="shared" si="124"/>
        <v>-46.051782536030778</v>
      </c>
      <c r="BY87" s="204">
        <f t="shared" si="124"/>
        <v>-46.074950775696273</v>
      </c>
      <c r="BZ87" s="204">
        <f t="shared" si="124"/>
        <v>-46.098032033613194</v>
      </c>
      <c r="CA87" s="204">
        <f t="shared" si="124"/>
        <v>-46.121022203190897</v>
      </c>
      <c r="CB87" s="204">
        <f t="shared" si="124"/>
        <v>-46.143917349291577</v>
      </c>
      <c r="CC87" s="204">
        <f t="shared" si="124"/>
        <v>-46.166713703466179</v>
      </c>
      <c r="CD87" s="204">
        <f t="shared" si="124"/>
        <v>-46.189407659304827</v>
      </c>
      <c r="CE87" s="204">
        <f t="shared" si="124"/>
        <v>-46.211995767899488</v>
      </c>
      <c r="CF87" s="204">
        <f t="shared" si="124"/>
        <v>-46.234474733416086</v>
      </c>
      <c r="CG87" s="204">
        <f t="shared" si="124"/>
        <v>-46.256841408773752</v>
      </c>
      <c r="CH87" s="204">
        <f t="shared" si="124"/>
        <v>-46.279092791428866</v>
      </c>
      <c r="CI87" s="204">
        <f t="shared" si="124"/>
        <v>-46.301226019261357</v>
      </c>
      <c r="CJ87" s="204">
        <f t="shared" si="124"/>
        <v>-46.323238366561185</v>
      </c>
      <c r="CK87" s="204">
        <f t="shared" si="124"/>
        <v>-46.345127240112554</v>
      </c>
      <c r="CL87" s="204">
        <f t="shared" si="124"/>
        <v>-46.366890175373769</v>
      </c>
      <c r="CM87" s="204">
        <f t="shared" si="124"/>
        <v>-46.38852483275064</v>
      </c>
      <c r="CN87" s="204">
        <f t="shared" si="124"/>
        <v>-46.410028993961113</v>
      </c>
      <c r="CO87" s="204">
        <f t="shared" si="124"/>
        <v>-46.431400558489237</v>
      </c>
      <c r="CP87" s="204">
        <f t="shared" si="124"/>
        <v>-46.45263754012651</v>
      </c>
      <c r="CQ87" s="204">
        <f t="shared" si="124"/>
        <v>-46.47373806359839</v>
      </c>
      <c r="CR87" s="204">
        <f t="shared" si="124"/>
        <v>-46.494700361274241</v>
      </c>
      <c r="CS87" s="204">
        <f t="shared" si="124"/>
        <v>-46.51552276995875</v>
      </c>
      <c r="CT87" s="204">
        <f t="shared" si="124"/>
        <v>-46.536203727762974</v>
      </c>
      <c r="CU87" s="204">
        <f t="shared" si="124"/>
        <v>-46.556741771053204</v>
      </c>
      <c r="CV87" s="204">
        <f t="shared" si="124"/>
        <v>-46.577135531475889</v>
      </c>
      <c r="CW87" s="204">
        <f t="shared" si="124"/>
        <v>-46.597383733056859</v>
      </c>
      <c r="CX87" s="204">
        <f t="shared" si="124"/>
        <v>-46.617485189373141</v>
      </c>
      <c r="CY87" s="204">
        <f t="shared" si="124"/>
        <v>-46.617485189373141</v>
      </c>
      <c r="CZ87" s="204">
        <f t="shared" si="124"/>
        <v>-46.617485189373141</v>
      </c>
      <c r="DA87" s="204">
        <f t="shared" si="124"/>
        <v>-46.617485189373141</v>
      </c>
      <c r="DB87" s="204">
        <f t="shared" si="124"/>
        <v>-46.617485189373141</v>
      </c>
      <c r="DC87" s="204">
        <f t="shared" si="124"/>
        <v>-46.617485189373141</v>
      </c>
      <c r="DD87" s="204">
        <f t="shared" si="124"/>
        <v>-46.617485189373141</v>
      </c>
      <c r="DE87" s="204">
        <f t="shared" si="124"/>
        <v>-46.617485189373141</v>
      </c>
      <c r="DF87" s="204">
        <f t="shared" si="124"/>
        <v>-46.617485189373141</v>
      </c>
      <c r="DG87" s="204">
        <f t="shared" si="124"/>
        <v>-46.617485189373141</v>
      </c>
      <c r="DH87" s="204">
        <f t="shared" si="124"/>
        <v>-46.617485189373141</v>
      </c>
      <c r="DI87" s="204">
        <f t="shared" si="124"/>
        <v>-46.617485189373141</v>
      </c>
      <c r="DJ87" s="204">
        <f t="shared" si="124"/>
        <v>-46.617485189373141</v>
      </c>
      <c r="DK87" s="204">
        <f t="shared" si="124"/>
        <v>-46.617485189373141</v>
      </c>
      <c r="DL87" s="204">
        <f t="shared" si="124"/>
        <v>-46.617485189373141</v>
      </c>
      <c r="DM87" s="204">
        <f t="shared" si="124"/>
        <v>-46.617485189373141</v>
      </c>
      <c r="DN87" s="204">
        <f t="shared" si="124"/>
        <v>-46.617485189373141</v>
      </c>
      <c r="DO87" s="204">
        <f t="shared" si="124"/>
        <v>-46.617485189373141</v>
      </c>
      <c r="DP87" s="204">
        <f t="shared" si="124"/>
        <v>-46.617485189373141</v>
      </c>
      <c r="DQ87" s="204">
        <f t="shared" si="124"/>
        <v>-46.617485189373141</v>
      </c>
      <c r="DR87" s="204">
        <f t="shared" si="124"/>
        <v>-46.617485189373141</v>
      </c>
      <c r="DS87" s="204">
        <f t="shared" si="124"/>
        <v>-46.617485189373141</v>
      </c>
      <c r="DT87" s="204">
        <f t="shared" si="124"/>
        <v>-46.617485189373141</v>
      </c>
      <c r="DU87" s="204">
        <f t="shared" si="124"/>
        <v>-46.617485189373141</v>
      </c>
      <c r="DV87" s="204">
        <f t="shared" si="124"/>
        <v>-46.617485189373141</v>
      </c>
      <c r="DW87" s="204">
        <f t="shared" si="124"/>
        <v>-46.617485189373141</v>
      </c>
      <c r="DX87" s="204">
        <f t="shared" si="124"/>
        <v>-46.617485189373141</v>
      </c>
      <c r="DY87" s="204">
        <f t="shared" si="124"/>
        <v>-46.617485189373141</v>
      </c>
      <c r="DZ87" s="204">
        <f t="shared" si="124"/>
        <v>-46.617485189373141</v>
      </c>
      <c r="EA87" s="204">
        <f t="shared" si="124"/>
        <v>-46.617485189373141</v>
      </c>
      <c r="EB87" s="204">
        <f t="shared" si="124"/>
        <v>-46.617485189373141</v>
      </c>
      <c r="EC87" s="204">
        <f t="shared" si="124"/>
        <v>-46.617485189373141</v>
      </c>
      <c r="ED87" s="204">
        <f t="shared" si="124"/>
        <v>-46.617485189373141</v>
      </c>
      <c r="EE87" s="204">
        <f t="shared" si="124"/>
        <v>-46.617485189373141</v>
      </c>
      <c r="EF87" s="204">
        <f t="shared" si="124"/>
        <v>-46.617485189373141</v>
      </c>
      <c r="EG87" s="204">
        <f t="shared" ref="EG87:ET87" si="125">PV($F41,EG$9,1,0)+(PV($J$6,$N$5-(EG$9),1,0)/($J$6+1)^EG$9)</f>
        <v>-46.617485189373141</v>
      </c>
      <c r="EH87" s="204">
        <f t="shared" si="125"/>
        <v>-46.617485189373141</v>
      </c>
      <c r="EI87" s="204">
        <f t="shared" si="125"/>
        <v>-46.617485189373141</v>
      </c>
      <c r="EJ87" s="204">
        <f t="shared" si="125"/>
        <v>-46.617485189373141</v>
      </c>
      <c r="EK87" s="204">
        <f t="shared" si="125"/>
        <v>-46.617485189373141</v>
      </c>
      <c r="EL87" s="204">
        <f t="shared" si="125"/>
        <v>-46.617485189373141</v>
      </c>
      <c r="EM87" s="204">
        <f t="shared" si="125"/>
        <v>-46.617485189373141</v>
      </c>
      <c r="EN87" s="204">
        <f t="shared" si="125"/>
        <v>-46.617485189373141</v>
      </c>
      <c r="EO87" s="204">
        <f t="shared" si="125"/>
        <v>-46.617485189373141</v>
      </c>
      <c r="EP87" s="204">
        <f t="shared" si="125"/>
        <v>-46.617485189373141</v>
      </c>
      <c r="EQ87" s="204">
        <f t="shared" si="125"/>
        <v>-46.617485189373141</v>
      </c>
      <c r="ER87" s="204">
        <f t="shared" si="125"/>
        <v>-46.617485189373141</v>
      </c>
      <c r="ES87" s="204">
        <f t="shared" si="125"/>
        <v>-46.617485189373141</v>
      </c>
      <c r="ET87" s="204">
        <f t="shared" si="125"/>
        <v>-46.617485189373141</v>
      </c>
      <c r="FF87" s="6" t="s">
        <v>246</v>
      </c>
      <c r="FG87" s="696">
        <v>2.5000000000000001E-2</v>
      </c>
      <c r="FH87" s="696">
        <v>96</v>
      </c>
      <c r="FI87" s="696">
        <v>1.9E-2</v>
      </c>
      <c r="FJ87" s="255">
        <v>1.6E-2</v>
      </c>
      <c r="FK87" s="71">
        <f t="shared" si="92"/>
        <v>2.142857142857143E-4</v>
      </c>
      <c r="FL87" t="e">
        <f>VLOOKUP(FF87,'SIMULADOR COM SALDO'!$BX$22:$CK$1000,13,FALSE)</f>
        <v>#N/A</v>
      </c>
    </row>
    <row r="88" spans="7:168" x14ac:dyDescent="0.25">
      <c r="G88" s="103">
        <f t="shared" si="45"/>
        <v>-44.753245881678083</v>
      </c>
      <c r="H88" s="204">
        <f t="shared" si="46"/>
        <v>-44.755281804862705</v>
      </c>
      <c r="I88" s="204">
        <f t="shared" ref="I88:BT88" si="126">PV($F42,I$9,1,0)+(PV($J$6,$N$5-(I$9),1,0)/($J$6+1)^I$9)</f>
        <v>-44.758281801546225</v>
      </c>
      <c r="J88" s="204">
        <f t="shared" si="126"/>
        <v>-44.762211214558619</v>
      </c>
      <c r="K88" s="204">
        <f t="shared" si="126"/>
        <v>-44.767036309909543</v>
      </c>
      <c r="L88" s="204">
        <f t="shared" si="126"/>
        <v>-44.772724254989782</v>
      </c>
      <c r="M88" s="204">
        <f t="shared" si="126"/>
        <v>-44.77924309725497</v>
      </c>
      <c r="N88" s="204">
        <f t="shared" si="126"/>
        <v>-44.786561743380972</v>
      </c>
      <c r="O88" s="204">
        <f t="shared" si="126"/>
        <v>-44.794649938881349</v>
      </c>
      <c r="P88" s="204">
        <f t="shared" si="126"/>
        <v>-44.80347824817666</v>
      </c>
      <c r="Q88" s="204">
        <f t="shared" si="126"/>
        <v>-44.813018035106239</v>
      </c>
      <c r="R88" s="204">
        <f t="shared" si="126"/>
        <v>-44.823241443872924</v>
      </c>
      <c r="S88" s="204">
        <f t="shared" si="126"/>
        <v>-44.834121380411815</v>
      </c>
      <c r="T88" s="204">
        <f t="shared" si="126"/>
        <v>-44.845631494173404</v>
      </c>
      <c r="U88" s="204">
        <f t="shared" si="126"/>
        <v>-44.857746160312956</v>
      </c>
      <c r="V88" s="204">
        <f t="shared" si="126"/>
        <v>-44.870440462276918</v>
      </c>
      <c r="W88" s="204">
        <f t="shared" si="126"/>
        <v>-44.883690174778287</v>
      </c>
      <c r="X88" s="204">
        <f t="shared" si="126"/>
        <v>-44.897471747152323</v>
      </c>
      <c r="Y88" s="204">
        <f t="shared" si="126"/>
        <v>-44.91176228708467</v>
      </c>
      <c r="Z88" s="204">
        <f t="shared" si="126"/>
        <v>-44.926539544703836</v>
      </c>
      <c r="AA88" s="204">
        <f t="shared" si="126"/>
        <v>-44.941781897030282</v>
      </c>
      <c r="AB88" s="204">
        <f t="shared" si="126"/>
        <v>-44.957468332774447</v>
      </c>
      <c r="AC88" s="204">
        <f t="shared" si="126"/>
        <v>-44.973578437476242</v>
      </c>
      <c r="AD88" s="204">
        <f t="shared" si="126"/>
        <v>-44.99009237897863</v>
      </c>
      <c r="AE88" s="204">
        <f t="shared" si="126"/>
        <v>-45.006990893228398</v>
      </c>
      <c r="AF88" s="204">
        <f t="shared" si="126"/>
        <v>-45.024255270396651</v>
      </c>
      <c r="AG88" s="204">
        <f t="shared" si="126"/>
        <v>-45.041867341312482</v>
      </c>
      <c r="AH88" s="204">
        <f t="shared" si="126"/>
        <v>-45.05980946420302</v>
      </c>
      <c r="AI88" s="204">
        <f t="shared" si="126"/>
        <v>-45.07806451173326</v>
      </c>
      <c r="AJ88" s="204">
        <f t="shared" si="126"/>
        <v>-45.096615858339128</v>
      </c>
      <c r="AK88" s="204">
        <f t="shared" si="126"/>
        <v>-45.115447367847608</v>
      </c>
      <c r="AL88" s="204">
        <f t="shared" si="126"/>
        <v>-45.13454338137759</v>
      </c>
      <c r="AM88" s="204">
        <f t="shared" si="126"/>
        <v>-45.153888705515591</v>
      </c>
      <c r="AN88" s="204">
        <f t="shared" si="126"/>
        <v>-45.173468600760145</v>
      </c>
      <c r="AO88" s="204">
        <f t="shared" si="126"/>
        <v>-45.193268770229302</v>
      </c>
      <c r="AP88" s="204">
        <f t="shared" si="126"/>
        <v>-45.213275348625373</v>
      </c>
      <c r="AQ88" s="204">
        <f t="shared" si="126"/>
        <v>-45.233474891451522</v>
      </c>
      <c r="AR88" s="204">
        <f t="shared" si="126"/>
        <v>-45.253854364474485</v>
      </c>
      <c r="AS88" s="204">
        <f t="shared" si="126"/>
        <v>-45.274401133428483</v>
      </c>
      <c r="AT88" s="204">
        <f t="shared" si="126"/>
        <v>-45.295102953954625</v>
      </c>
      <c r="AU88" s="204">
        <f t="shared" si="126"/>
        <v>-45.31594796177113</v>
      </c>
      <c r="AV88" s="204">
        <f t="shared" si="126"/>
        <v>-45.33692466306907</v>
      </c>
      <c r="AW88" s="204">
        <f t="shared" si="126"/>
        <v>-45.358021925128732</v>
      </c>
      <c r="AX88" s="204">
        <f t="shared" si="126"/>
        <v>-45.379228967152102</v>
      </c>
      <c r="AY88" s="204">
        <f t="shared" si="126"/>
        <v>-45.40053535130636</v>
      </c>
      <c r="AZ88" s="204">
        <f t="shared" si="126"/>
        <v>-45.421930973974028</v>
      </c>
      <c r="BA88" s="204">
        <f t="shared" si="126"/>
        <v>-45.443406057205308</v>
      </c>
      <c r="BB88" s="204">
        <f t="shared" si="126"/>
        <v>-45.464951140367944</v>
      </c>
      <c r="BC88" s="204">
        <f t="shared" si="126"/>
        <v>-45.486557071990603</v>
      </c>
      <c r="BD88" s="204">
        <f t="shared" si="126"/>
        <v>-45.508215001795293</v>
      </c>
      <c r="BE88" s="204">
        <f t="shared" si="126"/>
        <v>-45.529916372914869</v>
      </c>
      <c r="BF88" s="204">
        <f t="shared" si="126"/>
        <v>-45.551652914291431</v>
      </c>
      <c r="BG88" s="204">
        <f t="shared" si="126"/>
        <v>-45.573416633251774</v>
      </c>
      <c r="BH88" s="204">
        <f t="shared" si="126"/>
        <v>-45.595199808255863</v>
      </c>
      <c r="BI88" s="204">
        <f t="shared" si="126"/>
        <v>-45.61699498181467</v>
      </c>
      <c r="BJ88" s="204">
        <f t="shared" si="126"/>
        <v>-45.638794953573637</v>
      </c>
      <c r="BK88" s="204">
        <f t="shared" si="126"/>
        <v>-45.660592773558001</v>
      </c>
      <c r="BL88" s="204">
        <f t="shared" si="126"/>
        <v>-45.682381735576598</v>
      </c>
      <c r="BM88" s="204">
        <f t="shared" si="126"/>
        <v>-45.704155370780477</v>
      </c>
      <c r="BN88" s="204">
        <f t="shared" si="126"/>
        <v>-45.725907441373039</v>
      </c>
      <c r="BO88" s="204">
        <f t="shared" si="126"/>
        <v>-45.747631934468345</v>
      </c>
      <c r="BP88" s="204">
        <f t="shared" si="126"/>
        <v>-45.769323056094258</v>
      </c>
      <c r="BQ88" s="204">
        <f t="shared" si="126"/>
        <v>-45.790975225337213</v>
      </c>
      <c r="BR88" s="204">
        <f t="shared" si="126"/>
        <v>-45.812583068625649</v>
      </c>
      <c r="BS88" s="204">
        <f t="shared" si="126"/>
        <v>-45.834141414148746</v>
      </c>
      <c r="BT88" s="204">
        <f t="shared" si="126"/>
        <v>-45.85564528640775</v>
      </c>
      <c r="BU88" s="204">
        <f t="shared" ref="BU88:EF88" si="127">PV($F42,BU$9,1,0)+(PV($J$6,$N$5-(BU$9),1,0)/($J$6+1)^BU$9)</f>
        <v>-45.877089900896763</v>
      </c>
      <c r="BV88" s="204">
        <f t="shared" si="127"/>
        <v>-45.898470658910178</v>
      </c>
      <c r="BW88" s="204">
        <f t="shared" si="127"/>
        <v>-45.919783142474046</v>
      </c>
      <c r="BX88" s="204">
        <f t="shared" si="127"/>
        <v>-45.94102310939833</v>
      </c>
      <c r="BY88" s="204">
        <f t="shared" si="127"/>
        <v>-45.962186488447742</v>
      </c>
      <c r="BZ88" s="204">
        <f t="shared" si="127"/>
        <v>-45.983269374628186</v>
      </c>
      <c r="CA88" s="204">
        <f t="shared" si="127"/>
        <v>-46.004268024586473</v>
      </c>
      <c r="CB88" s="204">
        <f t="shared" si="127"/>
        <v>-46.025178852120561</v>
      </c>
      <c r="CC88" s="204">
        <f t="shared" si="127"/>
        <v>-46.045998423798039</v>
      </c>
      <c r="CD88" s="204">
        <f t="shared" si="127"/>
        <v>-46.066723454680307</v>
      </c>
      <c r="CE88" s="204">
        <f t="shared" si="127"/>
        <v>-46.087350804150162</v>
      </c>
      <c r="CF88" s="204">
        <f t="shared" si="127"/>
        <v>-46.107877471840403</v>
      </c>
      <c r="CG88" s="204">
        <f t="shared" si="127"/>
        <v>-46.128300593661251</v>
      </c>
      <c r="CH88" s="204">
        <f t="shared" si="127"/>
        <v>-46.148617437924322</v>
      </c>
      <c r="CI88" s="204">
        <f t="shared" si="127"/>
        <v>-46.168825401561016</v>
      </c>
      <c r="CJ88" s="204">
        <f t="shared" si="127"/>
        <v>-46.188922006433138</v>
      </c>
      <c r="CK88" s="204">
        <f t="shared" si="127"/>
        <v>-46.208904895733703</v>
      </c>
      <c r="CL88" s="204">
        <f t="shared" si="127"/>
        <v>-46.228771830475949</v>
      </c>
      <c r="CM88" s="204">
        <f t="shared" si="127"/>
        <v>-46.248520686068531</v>
      </c>
      <c r="CN88" s="204">
        <f t="shared" si="127"/>
        <v>-46.268149448974768</v>
      </c>
      <c r="CO88" s="204">
        <f t="shared" si="127"/>
        <v>-46.28765621345439</v>
      </c>
      <c r="CP88" s="204">
        <f t="shared" si="127"/>
        <v>-46.307039178385644</v>
      </c>
      <c r="CQ88" s="204">
        <f t="shared" si="127"/>
        <v>-46.326296644165986</v>
      </c>
      <c r="CR88" s="204">
        <f t="shared" si="127"/>
        <v>-46.345427009689686</v>
      </c>
      <c r="CS88" s="204">
        <f t="shared" si="127"/>
        <v>-46.364428769400391</v>
      </c>
      <c r="CT88" s="204">
        <f t="shared" si="127"/>
        <v>-46.383300510417243</v>
      </c>
      <c r="CU88" s="204">
        <f t="shared" si="127"/>
        <v>-46.402040909732513</v>
      </c>
      <c r="CV88" s="204">
        <f t="shared" si="127"/>
        <v>-46.420648731479432</v>
      </c>
      <c r="CW88" s="204">
        <f t="shared" si="127"/>
        <v>-46.439122824268395</v>
      </c>
      <c r="CX88" s="204">
        <f t="shared" si="127"/>
        <v>-46.457462118590151</v>
      </c>
      <c r="CY88" s="204">
        <f t="shared" si="127"/>
        <v>-46.457462118590151</v>
      </c>
      <c r="CZ88" s="204">
        <f t="shared" si="127"/>
        <v>-46.457462118590151</v>
      </c>
      <c r="DA88" s="204">
        <f t="shared" si="127"/>
        <v>-46.457462118590151</v>
      </c>
      <c r="DB88" s="204">
        <f t="shared" si="127"/>
        <v>-46.457462118590151</v>
      </c>
      <c r="DC88" s="204">
        <f t="shared" si="127"/>
        <v>-46.457462118590151</v>
      </c>
      <c r="DD88" s="204">
        <f t="shared" si="127"/>
        <v>-46.457462118590151</v>
      </c>
      <c r="DE88" s="204">
        <f t="shared" si="127"/>
        <v>-46.457462118590151</v>
      </c>
      <c r="DF88" s="204">
        <f t="shared" si="127"/>
        <v>-46.457462118590151</v>
      </c>
      <c r="DG88" s="204">
        <f t="shared" si="127"/>
        <v>-46.457462118590151</v>
      </c>
      <c r="DH88" s="204">
        <f t="shared" si="127"/>
        <v>-46.457462118590151</v>
      </c>
      <c r="DI88" s="204">
        <f t="shared" si="127"/>
        <v>-46.457462118590151</v>
      </c>
      <c r="DJ88" s="204">
        <f t="shared" si="127"/>
        <v>-46.457462118590151</v>
      </c>
      <c r="DK88" s="204">
        <f t="shared" si="127"/>
        <v>-46.457462118590151</v>
      </c>
      <c r="DL88" s="204">
        <f t="shared" si="127"/>
        <v>-46.457462118590151</v>
      </c>
      <c r="DM88" s="204">
        <f t="shared" si="127"/>
        <v>-46.457462118590151</v>
      </c>
      <c r="DN88" s="204">
        <f t="shared" si="127"/>
        <v>-46.457462118590151</v>
      </c>
      <c r="DO88" s="204">
        <f t="shared" si="127"/>
        <v>-46.457462118590151</v>
      </c>
      <c r="DP88" s="204">
        <f t="shared" si="127"/>
        <v>-46.457462118590151</v>
      </c>
      <c r="DQ88" s="204">
        <f t="shared" si="127"/>
        <v>-46.457462118590151</v>
      </c>
      <c r="DR88" s="204">
        <f t="shared" si="127"/>
        <v>-46.457462118590151</v>
      </c>
      <c r="DS88" s="204">
        <f t="shared" si="127"/>
        <v>-46.457462118590151</v>
      </c>
      <c r="DT88" s="204">
        <f t="shared" si="127"/>
        <v>-46.457462118590151</v>
      </c>
      <c r="DU88" s="204">
        <f t="shared" si="127"/>
        <v>-46.457462118590151</v>
      </c>
      <c r="DV88" s="204">
        <f t="shared" si="127"/>
        <v>-46.457462118590151</v>
      </c>
      <c r="DW88" s="204">
        <f t="shared" si="127"/>
        <v>-46.457462118590151</v>
      </c>
      <c r="DX88" s="204">
        <f t="shared" si="127"/>
        <v>-46.457462118590151</v>
      </c>
      <c r="DY88" s="204">
        <f t="shared" si="127"/>
        <v>-46.457462118590151</v>
      </c>
      <c r="DZ88" s="204">
        <f t="shared" si="127"/>
        <v>-46.457462118590151</v>
      </c>
      <c r="EA88" s="204">
        <f t="shared" si="127"/>
        <v>-46.457462118590151</v>
      </c>
      <c r="EB88" s="204">
        <f t="shared" si="127"/>
        <v>-46.457462118590151</v>
      </c>
      <c r="EC88" s="204">
        <f t="shared" si="127"/>
        <v>-46.457462118590151</v>
      </c>
      <c r="ED88" s="204">
        <f t="shared" si="127"/>
        <v>-46.457462118590151</v>
      </c>
      <c r="EE88" s="204">
        <f t="shared" si="127"/>
        <v>-46.457462118590151</v>
      </c>
      <c r="EF88" s="204">
        <f t="shared" si="127"/>
        <v>-46.457462118590151</v>
      </c>
      <c r="EG88" s="204">
        <f t="shared" ref="EG88:ET88" si="128">PV($F42,EG$9,1,0)+(PV($J$6,$N$5-(EG$9),1,0)/($J$6+1)^EG$9)</f>
        <v>-46.457462118590151</v>
      </c>
      <c r="EH88" s="204">
        <f t="shared" si="128"/>
        <v>-46.457462118590151</v>
      </c>
      <c r="EI88" s="204">
        <f t="shared" si="128"/>
        <v>-46.457462118590151</v>
      </c>
      <c r="EJ88" s="204">
        <f t="shared" si="128"/>
        <v>-46.457462118590151</v>
      </c>
      <c r="EK88" s="204">
        <f t="shared" si="128"/>
        <v>-46.457462118590151</v>
      </c>
      <c r="EL88" s="204">
        <f t="shared" si="128"/>
        <v>-46.457462118590151</v>
      </c>
      <c r="EM88" s="204">
        <f t="shared" si="128"/>
        <v>-46.457462118590151</v>
      </c>
      <c r="EN88" s="204">
        <f t="shared" si="128"/>
        <v>-46.457462118590151</v>
      </c>
      <c r="EO88" s="204">
        <f t="shared" si="128"/>
        <v>-46.457462118590151</v>
      </c>
      <c r="EP88" s="204">
        <f t="shared" si="128"/>
        <v>-46.457462118590151</v>
      </c>
      <c r="EQ88" s="204">
        <f t="shared" si="128"/>
        <v>-46.457462118590151</v>
      </c>
      <c r="ER88" s="204">
        <f t="shared" si="128"/>
        <v>-46.457462118590151</v>
      </c>
      <c r="ES88" s="204">
        <f t="shared" si="128"/>
        <v>-46.457462118590151</v>
      </c>
      <c r="ET88" s="204">
        <f t="shared" si="128"/>
        <v>-46.457462118590151</v>
      </c>
      <c r="FF88" s="6" t="s">
        <v>394</v>
      </c>
      <c r="FG88" s="696">
        <v>2.1000000000000001E-2</v>
      </c>
      <c r="FH88" s="696">
        <v>120</v>
      </c>
      <c r="FI88" s="696">
        <v>1.7000000000000001E-2</v>
      </c>
      <c r="FJ88" s="255">
        <v>1.3000000000000001E-2</v>
      </c>
      <c r="FK88" s="71">
        <f t="shared" si="92"/>
        <v>1.9047619047619048E-4</v>
      </c>
      <c r="FL88" t="e">
        <f>VLOOKUP(FF88,'SIMULADOR COM SALDO'!$BX$22:$CK$1000,13,FALSE)</f>
        <v>#N/A</v>
      </c>
    </row>
    <row r="89" spans="7:168" x14ac:dyDescent="0.25">
      <c r="G89" s="103">
        <f t="shared" si="45"/>
        <v>-44.753151587023694</v>
      </c>
      <c r="H89" s="204">
        <f t="shared" si="46"/>
        <v>-44.755002159895824</v>
      </c>
      <c r="I89" s="204">
        <f t="shared" ref="I89:BT89" si="129">PV($F43,I$9,1,0)+(PV($J$6,$N$5-(I$9),1,0)/($J$6+1)^I$9)</f>
        <v>-44.757728906160814</v>
      </c>
      <c r="J89" s="204">
        <f t="shared" si="129"/>
        <v>-44.761300242667396</v>
      </c>
      <c r="K89" s="204">
        <f t="shared" si="129"/>
        <v>-44.765685429780433</v>
      </c>
      <c r="L89" s="204">
        <f t="shared" si="129"/>
        <v>-44.770854551412135</v>
      </c>
      <c r="M89" s="204">
        <f t="shared" si="129"/>
        <v>-44.776778495496025</v>
      </c>
      <c r="N89" s="204">
        <f t="shared" si="129"/>
        <v>-44.783428934894154</v>
      </c>
      <c r="O89" s="204">
        <f t="shared" si="129"/>
        <v>-44.79077830872852</v>
      </c>
      <c r="P89" s="204">
        <f t="shared" si="129"/>
        <v>-44.798799804127491</v>
      </c>
      <c r="Q89" s="204">
        <f t="shared" si="129"/>
        <v>-44.807467338378487</v>
      </c>
      <c r="R89" s="204">
        <f t="shared" si="129"/>
        <v>-44.816755541478102</v>
      </c>
      <c r="S89" s="204">
        <f t="shared" si="129"/>
        <v>-44.82663973907151</v>
      </c>
      <c r="T89" s="204">
        <f t="shared" si="129"/>
        <v>-44.83709593577241</v>
      </c>
      <c r="U89" s="204">
        <f t="shared" si="129"/>
        <v>-44.848100798855775</v>
      </c>
      <c r="V89" s="204">
        <f t="shared" si="129"/>
        <v>-44.859631642315072</v>
      </c>
      <c r="W89" s="204">
        <f t="shared" si="129"/>
        <v>-44.871666411276529</v>
      </c>
      <c r="X89" s="204">
        <f t="shared" si="129"/>
        <v>-44.884183666762461</v>
      </c>
      <c r="Y89" s="204">
        <f t="shared" si="129"/>
        <v>-44.897162570796453</v>
      </c>
      <c r="Z89" s="204">
        <f t="shared" si="129"/>
        <v>-44.910582871842784</v>
      </c>
      <c r="AA89" s="204">
        <f t="shared" si="129"/>
        <v>-44.924424890573313</v>
      </c>
      <c r="AB89" s="204">
        <f t="shared" si="129"/>
        <v>-44.938669505954323</v>
      </c>
      <c r="AC89" s="204">
        <f t="shared" si="129"/>
        <v>-44.953298141646911</v>
      </c>
      <c r="AD89" s="204">
        <f t="shared" si="129"/>
        <v>-44.968292752713765</v>
      </c>
      <c r="AE89" s="204">
        <f t="shared" si="129"/>
        <v>-44.983635812626176</v>
      </c>
      <c r="AF89" s="204">
        <f t="shared" si="129"/>
        <v>-44.999310300564346</v>
      </c>
      <c r="AG89" s="204">
        <f t="shared" si="129"/>
        <v>-45.015299689005126</v>
      </c>
      <c r="AH89" s="204">
        <f t="shared" si="129"/>
        <v>-45.031587931590586</v>
      </c>
      <c r="AI89" s="204">
        <f t="shared" si="129"/>
        <v>-45.048159451271729</v>
      </c>
      <c r="AJ89" s="204">
        <f t="shared" si="129"/>
        <v>-45.064999128721148</v>
      </c>
      <c r="AK89" s="204">
        <f t="shared" si="129"/>
        <v>-45.082092291008891</v>
      </c>
      <c r="AL89" s="204">
        <f t="shared" si="129"/>
        <v>-45.099424700535877</v>
      </c>
      <c r="AM89" s="204">
        <f t="shared" si="129"/>
        <v>-45.11698254421929</v>
      </c>
      <c r="AN89" s="204">
        <f t="shared" si="129"/>
        <v>-45.134752422924464</v>
      </c>
      <c r="AO89" s="204">
        <f t="shared" si="129"/>
        <v>-45.152721341137905</v>
      </c>
      <c r="AP89" s="204">
        <f t="shared" si="129"/>
        <v>-45.170876696876306</v>
      </c>
      <c r="AQ89" s="204">
        <f t="shared" si="129"/>
        <v>-45.189206271826343</v>
      </c>
      <c r="AR89" s="204">
        <f t="shared" si="129"/>
        <v>-45.207698221710274</v>
      </c>
      <c r="AS89" s="204">
        <f t="shared" si="129"/>
        <v>-45.226341066872521</v>
      </c>
      <c r="AT89" s="204">
        <f t="shared" si="129"/>
        <v>-45.245123683082141</v>
      </c>
      <c r="AU89" s="204">
        <f t="shared" si="129"/>
        <v>-45.264035292547049</v>
      </c>
      <c r="AV89" s="204">
        <f t="shared" si="129"/>
        <v>-45.283065455134654</v>
      </c>
      <c r="AW89" s="204">
        <f t="shared" si="129"/>
        <v>-45.30220405979501</v>
      </c>
      <c r="AX89" s="204">
        <f t="shared" si="129"/>
        <v>-45.321441316181819</v>
      </c>
      <c r="AY89" s="204">
        <f t="shared" si="129"/>
        <v>-45.340767746466909</v>
      </c>
      <c r="AZ89" s="204">
        <f t="shared" si="129"/>
        <v>-45.36017417734412</v>
      </c>
      <c r="BA89" s="204">
        <f t="shared" si="129"/>
        <v>-45.379651732218335</v>
      </c>
      <c r="BB89" s="204">
        <f t="shared" si="129"/>
        <v>-45.399191823575705</v>
      </c>
      <c r="BC89" s="204">
        <f t="shared" si="129"/>
        <v>-45.418786145530902</v>
      </c>
      <c r="BD89" s="204">
        <f t="shared" si="129"/>
        <v>-45.438426666547898</v>
      </c>
      <c r="BE89" s="204">
        <f t="shared" si="129"/>
        <v>-45.458105622329953</v>
      </c>
      <c r="BF89" s="204">
        <f t="shared" si="129"/>
        <v>-45.477815508875651</v>
      </c>
      <c r="BG89" s="204">
        <f t="shared" si="129"/>
        <v>-45.497549075696824</v>
      </c>
      <c r="BH89" s="204">
        <f t="shared" si="129"/>
        <v>-45.517299319195189</v>
      </c>
      <c r="BI89" s="204">
        <f t="shared" si="129"/>
        <v>-45.537059476193988</v>
      </c>
      <c r="BJ89" s="204">
        <f t="shared" si="129"/>
        <v>-45.556823017621298</v>
      </c>
      <c r="BK89" s="204">
        <f t="shared" si="129"/>
        <v>-45.576583642341681</v>
      </c>
      <c r="BL89" s="204">
        <f t="shared" si="129"/>
        <v>-45.596335271132837</v>
      </c>
      <c r="BM89" s="204">
        <f t="shared" si="129"/>
        <v>-45.616072040804113</v>
      </c>
      <c r="BN89" s="204">
        <f t="shared" si="129"/>
        <v>-45.635788298453718</v>
      </c>
      <c r="BO89" s="204">
        <f t="shared" si="129"/>
        <v>-45.655478595861553</v>
      </c>
      <c r="BP89" s="204">
        <f t="shared" si="129"/>
        <v>-45.675137684014707</v>
      </c>
      <c r="BQ89" s="204">
        <f t="shared" si="129"/>
        <v>-45.694760507762652</v>
      </c>
      <c r="BR89" s="204">
        <f t="shared" si="129"/>
        <v>-45.71434220059917</v>
      </c>
      <c r="BS89" s="204">
        <f t="shared" si="129"/>
        <v>-45.733878079568392</v>
      </c>
      <c r="BT89" s="204">
        <f t="shared" si="129"/>
        <v>-45.753363640291987</v>
      </c>
      <c r="BU89" s="204">
        <f t="shared" ref="BU89:EF89" si="130">PV($F43,BU$9,1,0)+(PV($J$6,$N$5-(BU$9),1,0)/($J$6+1)^BU$9)</f>
        <v>-45.772794552115009</v>
      </c>
      <c r="BV89" s="204">
        <f t="shared" si="130"/>
        <v>-45.792166653367495</v>
      </c>
      <c r="BW89" s="204">
        <f t="shared" si="130"/>
        <v>-45.81147594673957</v>
      </c>
      <c r="BX89" s="204">
        <f t="shared" si="130"/>
        <v>-45.830718594767191</v>
      </c>
      <c r="BY89" s="204">
        <f t="shared" si="130"/>
        <v>-45.849890915426322</v>
      </c>
      <c r="BZ89" s="204">
        <f t="shared" si="130"/>
        <v>-45.868989377832953</v>
      </c>
      <c r="CA89" s="204">
        <f t="shared" si="130"/>
        <v>-45.888010598046705</v>
      </c>
      <c r="CB89" s="204">
        <f t="shared" si="130"/>
        <v>-45.906951334975567</v>
      </c>
      <c r="CC89" s="204">
        <f t="shared" si="130"/>
        <v>-45.92580848637968</v>
      </c>
      <c r="CD89" s="204">
        <f t="shared" si="130"/>
        <v>-45.94457908497175</v>
      </c>
      <c r="CE89" s="204">
        <f t="shared" si="130"/>
        <v>-45.963260294612098</v>
      </c>
      <c r="CF89" s="204">
        <f t="shared" si="130"/>
        <v>-45.981849406596098</v>
      </c>
      <c r="CG89" s="204">
        <f t="shared" si="130"/>
        <v>-46.000343836031938</v>
      </c>
      <c r="CH89" s="204">
        <f t="shared" si="130"/>
        <v>-46.018741118306735</v>
      </c>
      <c r="CI89" s="204">
        <f t="shared" si="130"/>
        <v>-46.037038905638973</v>
      </c>
      <c r="CJ89" s="204">
        <f t="shared" si="130"/>
        <v>-46.055234963715257</v>
      </c>
      <c r="CK89" s="204">
        <f t="shared" si="130"/>
        <v>-46.073327168409584</v>
      </c>
      <c r="CL89" s="204">
        <f t="shared" si="130"/>
        <v>-46.091313502583169</v>
      </c>
      <c r="CM89" s="204">
        <f t="shared" si="130"/>
        <v>-46.109192052963131</v>
      </c>
      <c r="CN89" s="204">
        <f t="shared" si="130"/>
        <v>-46.126961007097997</v>
      </c>
      <c r="CO89" s="204">
        <f t="shared" si="130"/>
        <v>-46.144618650388644</v>
      </c>
      <c r="CP89" s="204">
        <f t="shared" si="130"/>
        <v>-46.162163363192612</v>
      </c>
      <c r="CQ89" s="204">
        <f t="shared" si="130"/>
        <v>-46.179593618000347</v>
      </c>
      <c r="CR89" s="204">
        <f t="shared" si="130"/>
        <v>-46.196907976681658</v>
      </c>
      <c r="CS89" s="204">
        <f t="shared" si="130"/>
        <v>-46.214105087800732</v>
      </c>
      <c r="CT89" s="204">
        <f t="shared" si="130"/>
        <v>-46.231183683998317</v>
      </c>
      <c r="CU89" s="204">
        <f t="shared" si="130"/>
        <v>-46.248142579439261</v>
      </c>
      <c r="CV89" s="204">
        <f t="shared" si="130"/>
        <v>-46.264980667324217</v>
      </c>
      <c r="CW89" s="204">
        <f t="shared" si="130"/>
        <v>-46.281696917463854</v>
      </c>
      <c r="CX89" s="204">
        <f t="shared" si="130"/>
        <v>-46.298290373914064</v>
      </c>
      <c r="CY89" s="204">
        <f t="shared" si="130"/>
        <v>-46.298290373914064</v>
      </c>
      <c r="CZ89" s="204">
        <f t="shared" si="130"/>
        <v>-46.298290373914064</v>
      </c>
      <c r="DA89" s="204">
        <f t="shared" si="130"/>
        <v>-46.298290373914064</v>
      </c>
      <c r="DB89" s="204">
        <f t="shared" si="130"/>
        <v>-46.298290373914064</v>
      </c>
      <c r="DC89" s="204">
        <f t="shared" si="130"/>
        <v>-46.298290373914064</v>
      </c>
      <c r="DD89" s="204">
        <f t="shared" si="130"/>
        <v>-46.298290373914064</v>
      </c>
      <c r="DE89" s="204">
        <f t="shared" si="130"/>
        <v>-46.298290373914064</v>
      </c>
      <c r="DF89" s="204">
        <f t="shared" si="130"/>
        <v>-46.298290373914064</v>
      </c>
      <c r="DG89" s="204">
        <f t="shared" si="130"/>
        <v>-46.298290373914064</v>
      </c>
      <c r="DH89" s="204">
        <f t="shared" si="130"/>
        <v>-46.298290373914064</v>
      </c>
      <c r="DI89" s="204">
        <f t="shared" si="130"/>
        <v>-46.298290373914064</v>
      </c>
      <c r="DJ89" s="204">
        <f t="shared" si="130"/>
        <v>-46.298290373914064</v>
      </c>
      <c r="DK89" s="204">
        <f t="shared" si="130"/>
        <v>-46.298290373914064</v>
      </c>
      <c r="DL89" s="204">
        <f t="shared" si="130"/>
        <v>-46.298290373914064</v>
      </c>
      <c r="DM89" s="204">
        <f t="shared" si="130"/>
        <v>-46.298290373914064</v>
      </c>
      <c r="DN89" s="204">
        <f t="shared" si="130"/>
        <v>-46.298290373914064</v>
      </c>
      <c r="DO89" s="204">
        <f t="shared" si="130"/>
        <v>-46.298290373914064</v>
      </c>
      <c r="DP89" s="204">
        <f t="shared" si="130"/>
        <v>-46.298290373914064</v>
      </c>
      <c r="DQ89" s="204">
        <f t="shared" si="130"/>
        <v>-46.298290373914064</v>
      </c>
      <c r="DR89" s="204">
        <f t="shared" si="130"/>
        <v>-46.298290373914064</v>
      </c>
      <c r="DS89" s="204">
        <f t="shared" si="130"/>
        <v>-46.298290373914064</v>
      </c>
      <c r="DT89" s="204">
        <f t="shared" si="130"/>
        <v>-46.298290373914064</v>
      </c>
      <c r="DU89" s="204">
        <f t="shared" si="130"/>
        <v>-46.298290373914064</v>
      </c>
      <c r="DV89" s="204">
        <f t="shared" si="130"/>
        <v>-46.298290373914064</v>
      </c>
      <c r="DW89" s="204">
        <f t="shared" si="130"/>
        <v>-46.298290373914064</v>
      </c>
      <c r="DX89" s="204">
        <f t="shared" si="130"/>
        <v>-46.298290373914064</v>
      </c>
      <c r="DY89" s="204">
        <f t="shared" si="130"/>
        <v>-46.298290373914064</v>
      </c>
      <c r="DZ89" s="204">
        <f t="shared" si="130"/>
        <v>-46.298290373914064</v>
      </c>
      <c r="EA89" s="204">
        <f t="shared" si="130"/>
        <v>-46.298290373914064</v>
      </c>
      <c r="EB89" s="204">
        <f t="shared" si="130"/>
        <v>-46.298290373914064</v>
      </c>
      <c r="EC89" s="204">
        <f t="shared" si="130"/>
        <v>-46.298290373914064</v>
      </c>
      <c r="ED89" s="204">
        <f t="shared" si="130"/>
        <v>-46.298290373914064</v>
      </c>
      <c r="EE89" s="204">
        <f t="shared" si="130"/>
        <v>-46.298290373914064</v>
      </c>
      <c r="EF89" s="204">
        <f t="shared" si="130"/>
        <v>-46.298290373914064</v>
      </c>
      <c r="EG89" s="204">
        <f t="shared" ref="EG89:ET89" si="131">PV($F43,EG$9,1,0)+(PV($J$6,$N$5-(EG$9),1,0)/($J$6+1)^EG$9)</f>
        <v>-46.298290373914064</v>
      </c>
      <c r="EH89" s="204">
        <f t="shared" si="131"/>
        <v>-46.298290373914064</v>
      </c>
      <c r="EI89" s="204">
        <f t="shared" si="131"/>
        <v>-46.298290373914064</v>
      </c>
      <c r="EJ89" s="204">
        <f t="shared" si="131"/>
        <v>-46.298290373914064</v>
      </c>
      <c r="EK89" s="204">
        <f t="shared" si="131"/>
        <v>-46.298290373914064</v>
      </c>
      <c r="EL89" s="204">
        <f t="shared" si="131"/>
        <v>-46.298290373914064</v>
      </c>
      <c r="EM89" s="204">
        <f t="shared" si="131"/>
        <v>-46.298290373914064</v>
      </c>
      <c r="EN89" s="204">
        <f t="shared" si="131"/>
        <v>-46.298290373914064</v>
      </c>
      <c r="EO89" s="204">
        <f t="shared" si="131"/>
        <v>-46.298290373914064</v>
      </c>
      <c r="EP89" s="204">
        <f t="shared" si="131"/>
        <v>-46.298290373914064</v>
      </c>
      <c r="EQ89" s="204">
        <f t="shared" si="131"/>
        <v>-46.298290373914064</v>
      </c>
      <c r="ER89" s="204">
        <f t="shared" si="131"/>
        <v>-46.298290373914064</v>
      </c>
      <c r="ES89" s="204">
        <f t="shared" si="131"/>
        <v>-46.298290373914064</v>
      </c>
      <c r="ET89" s="204">
        <f t="shared" si="131"/>
        <v>-46.298290373914064</v>
      </c>
      <c r="FF89" s="6" t="s">
        <v>1081</v>
      </c>
      <c r="FG89" s="696">
        <v>2.5000000000000001E-2</v>
      </c>
      <c r="FH89" s="696">
        <v>120</v>
      </c>
      <c r="FI89" s="696">
        <v>1.6799999999999999E-2</v>
      </c>
      <c r="FJ89" s="255">
        <v>1.4499999999999999E-2</v>
      </c>
      <c r="FK89" s="71">
        <f t="shared" si="92"/>
        <v>2.5000000000000006E-4</v>
      </c>
      <c r="FL89" t="e">
        <f>VLOOKUP(FF89,'SIMULADOR COM SALDO'!$BX$22:$CK$1000,13,FALSE)</f>
        <v>#N/A</v>
      </c>
    </row>
    <row r="90" spans="7:168" x14ac:dyDescent="0.25">
      <c r="G90" s="103">
        <f t="shared" si="45"/>
        <v>-44.753057310460434</v>
      </c>
      <c r="H90" s="204">
        <f t="shared" si="46"/>
        <v>-44.754722586358739</v>
      </c>
      <c r="I90" s="204">
        <f t="shared" ref="I90:BT90" si="132">PV($F44,I$9,1,0)+(PV($J$6,$N$5-(I$9),1,0)/($J$6+1)^I$9)</f>
        <v>-44.757176187045332</v>
      </c>
      <c r="J90" s="204">
        <f t="shared" si="132"/>
        <v>-44.760389618770347</v>
      </c>
      <c r="K90" s="204">
        <f t="shared" si="132"/>
        <v>-44.764335150795745</v>
      </c>
      <c r="L90" s="204">
        <f t="shared" si="132"/>
        <v>-44.768985797285609</v>
      </c>
      <c r="M90" s="204">
        <f t="shared" si="132"/>
        <v>-44.774315299599081</v>
      </c>
      <c r="N90" s="204">
        <f t="shared" si="132"/>
        <v>-44.780298108977178</v>
      </c>
      <c r="O90" s="204">
        <f t="shared" si="132"/>
        <v>-44.786909369615266</v>
      </c>
      <c r="P90" s="204">
        <f t="shared" si="132"/>
        <v>-44.794124902112713</v>
      </c>
      <c r="Q90" s="204">
        <f t="shared" si="132"/>
        <v>-44.801921187291917</v>
      </c>
      <c r="R90" s="204">
        <f t="shared" si="132"/>
        <v>-44.810275350378504</v>
      </c>
      <c r="S90" s="204">
        <f t="shared" si="132"/>
        <v>-44.81916514553545</v>
      </c>
      <c r="T90" s="204">
        <f t="shared" si="132"/>
        <v>-44.828568940743011</v>
      </c>
      <c r="U90" s="204">
        <f t="shared" si="132"/>
        <v>-44.838465703017334</v>
      </c>
      <c r="V90" s="204">
        <f t="shared" si="132"/>
        <v>-44.848834983960501</v>
      </c>
      <c r="W90" s="204">
        <f t="shared" si="132"/>
        <v>-44.859656905634864</v>
      </c>
      <c r="X90" s="204">
        <f t="shared" si="132"/>
        <v>-44.870912146754627</v>
      </c>
      <c r="Y90" s="204">
        <f t="shared" si="132"/>
        <v>-44.88258192918795</v>
      </c>
      <c r="Z90" s="204">
        <f t="shared" si="132"/>
        <v>-44.894648004762864</v>
      </c>
      <c r="AA90" s="204">
        <f t="shared" si="132"/>
        <v>-44.907092642370543</v>
      </c>
      <c r="AB90" s="204">
        <f t="shared" si="132"/>
        <v>-44.919898615359358</v>
      </c>
      <c r="AC90" s="204">
        <f t="shared" si="132"/>
        <v>-44.933049189213662</v>
      </c>
      <c r="AD90" s="204">
        <f t="shared" si="132"/>
        <v>-44.946528109510965</v>
      </c>
      <c r="AE90" s="204">
        <f t="shared" si="132"/>
        <v>-44.960319590151741</v>
      </c>
      <c r="AF90" s="204">
        <f t="shared" si="132"/>
        <v>-44.974408301855661</v>
      </c>
      <c r="AG90" s="204">
        <f t="shared" si="132"/>
        <v>-44.988779360918841</v>
      </c>
      <c r="AH90" s="204">
        <f t="shared" si="132"/>
        <v>-45.003418318226181</v>
      </c>
      <c r="AI90" s="204">
        <f t="shared" si="132"/>
        <v>-45.018311148513462</v>
      </c>
      <c r="AJ90" s="204">
        <f t="shared" si="132"/>
        <v>-45.033444239873788</v>
      </c>
      <c r="AK90" s="204">
        <f t="shared" si="132"/>
        <v>-45.048804383502883</v>
      </c>
      <c r="AL90" s="204">
        <f t="shared" si="132"/>
        <v>-45.064378763678306</v>
      </c>
      <c r="AM90" s="204">
        <f t="shared" si="132"/>
        <v>-45.080154947967458</v>
      </c>
      <c r="AN90" s="204">
        <f t="shared" si="132"/>
        <v>-45.096120877659274</v>
      </c>
      <c r="AO90" s="204">
        <f t="shared" si="132"/>
        <v>-45.112264858414903</v>
      </c>
      <c r="AP90" s="204">
        <f t="shared" si="132"/>
        <v>-45.128575551132528</v>
      </c>
      <c r="AQ90" s="204">
        <f t="shared" si="132"/>
        <v>-45.145041963021761</v>
      </c>
      <c r="AR90" s="204">
        <f t="shared" si="132"/>
        <v>-45.161653438882894</v>
      </c>
      <c r="AS90" s="204">
        <f t="shared" si="132"/>
        <v>-45.17839965258672</v>
      </c>
      <c r="AT90" s="204">
        <f t="shared" si="132"/>
        <v>-45.195270598750383</v>
      </c>
      <c r="AU90" s="204">
        <f t="shared" si="132"/>
        <v>-45.212256584605171</v>
      </c>
      <c r="AV90" s="204">
        <f t="shared" si="132"/>
        <v>-45.229348222051911</v>
      </c>
      <c r="AW90" s="204">
        <f t="shared" si="132"/>
        <v>-45.24653641989984</v>
      </c>
      <c r="AX90" s="204">
        <f t="shared" si="132"/>
        <v>-45.263812376285145</v>
      </c>
      <c r="AY90" s="204">
        <f t="shared" si="132"/>
        <v>-45.281167571265001</v>
      </c>
      <c r="AZ90" s="204">
        <f t="shared" si="132"/>
        <v>-45.298593759583447</v>
      </c>
      <c r="BA90" s="204">
        <f t="shared" si="132"/>
        <v>-45.316082963605211</v>
      </c>
      <c r="BB90" s="204">
        <f t="shared" si="132"/>
        <v>-45.333627466413859</v>
      </c>
      <c r="BC90" s="204">
        <f t="shared" si="132"/>
        <v>-45.351219805070642</v>
      </c>
      <c r="BD90" s="204">
        <f t="shared" si="132"/>
        <v>-45.368852764030535</v>
      </c>
      <c r="BE90" s="204">
        <f t="shared" si="132"/>
        <v>-45.386519368711973</v>
      </c>
      <c r="BF90" s="204">
        <f t="shared" si="132"/>
        <v>-45.404212879216949</v>
      </c>
      <c r="BG90" s="204">
        <f t="shared" si="132"/>
        <v>-45.421926784198099</v>
      </c>
      <c r="BH90" s="204">
        <f t="shared" si="132"/>
        <v>-45.439654794869561</v>
      </c>
      <c r="BI90" s="204">
        <f t="shared" si="132"/>
        <v>-45.457390839158499</v>
      </c>
      <c r="BJ90" s="204">
        <f t="shared" si="132"/>
        <v>-45.475129055994088</v>
      </c>
      <c r="BK90" s="204">
        <f t="shared" si="132"/>
        <v>-45.492863789730961</v>
      </c>
      <c r="BL90" s="204">
        <f t="shared" si="132"/>
        <v>-45.510589584704185</v>
      </c>
      <c r="BM90" s="204">
        <f t="shared" si="132"/>
        <v>-45.528301179912773</v>
      </c>
      <c r="BN90" s="204">
        <f t="shared" si="132"/>
        <v>-45.545993503828917</v>
      </c>
      <c r="BO90" s="204">
        <f t="shared" si="132"/>
        <v>-45.563661669330216</v>
      </c>
      <c r="BP90" s="204">
        <f t="shared" si="132"/>
        <v>-45.581300968752089</v>
      </c>
      <c r="BQ90" s="204">
        <f t="shared" si="132"/>
        <v>-45.5989068690577</v>
      </c>
      <c r="BR90" s="204">
        <f t="shared" si="132"/>
        <v>-45.616475007122865</v>
      </c>
      <c r="BS90" s="204">
        <f t="shared" si="132"/>
        <v>-45.634001185133258</v>
      </c>
      <c r="BT90" s="204">
        <f t="shared" si="132"/>
        <v>-45.651481366091545</v>
      </c>
      <c r="BU90" s="204">
        <f t="shared" ref="BU90:EF90" si="133">PV($F44,BU$9,1,0)+(PV($J$6,$N$5-(BU$9),1,0)/($J$6+1)^BU$9)</f>
        <v>-45.668911669431921</v>
      </c>
      <c r="BV90" s="204">
        <f t="shared" si="133"/>
        <v>-45.686288366739575</v>
      </c>
      <c r="BW90" s="204">
        <f t="shared" si="133"/>
        <v>-45.703607877573006</v>
      </c>
      <c r="BX90" s="204">
        <f t="shared" si="133"/>
        <v>-45.720866765386496</v>
      </c>
      <c r="BY90" s="204">
        <f t="shared" si="133"/>
        <v>-45.738061733550872</v>
      </c>
      <c r="BZ90" s="204">
        <f t="shared" si="133"/>
        <v>-45.755189621470116</v>
      </c>
      <c r="CA90" s="204">
        <f t="shared" si="133"/>
        <v>-45.772247400791805</v>
      </c>
      <c r="CB90" s="204">
        <f t="shared" si="133"/>
        <v>-45.789232171709138</v>
      </c>
      <c r="CC90" s="204">
        <f t="shared" si="133"/>
        <v>-45.806141159352649</v>
      </c>
      <c r="CD90" s="204">
        <f t="shared" si="133"/>
        <v>-45.822971710269464</v>
      </c>
      <c r="CE90" s="204">
        <f t="shared" si="133"/>
        <v>-45.839721288988201</v>
      </c>
      <c r="CF90" s="204">
        <f t="shared" si="133"/>
        <v>-45.856387474667585</v>
      </c>
      <c r="CG90" s="204">
        <f t="shared" si="133"/>
        <v>-45.872967957826773</v>
      </c>
      <c r="CH90" s="204">
        <f t="shared" si="133"/>
        <v>-45.88946053715572</v>
      </c>
      <c r="CI90" s="204">
        <f t="shared" si="133"/>
        <v>-45.905863116403694</v>
      </c>
      <c r="CJ90" s="204">
        <f t="shared" si="133"/>
        <v>-45.922173701344043</v>
      </c>
      <c r="CK90" s="204">
        <f t="shared" si="133"/>
        <v>-45.938390396813787</v>
      </c>
      <c r="CL90" s="204">
        <f t="shared" si="133"/>
        <v>-45.954511403825983</v>
      </c>
      <c r="CM90" s="204">
        <f t="shared" si="133"/>
        <v>-45.970535016753523</v>
      </c>
      <c r="CN90" s="204">
        <f t="shared" si="133"/>
        <v>-45.986459620582522</v>
      </c>
      <c r="CO90" s="204">
        <f t="shared" si="133"/>
        <v>-46.002283688233781</v>
      </c>
      <c r="CP90" s="204">
        <f t="shared" si="133"/>
        <v>-46.01800577795089</v>
      </c>
      <c r="CQ90" s="204">
        <f t="shared" si="133"/>
        <v>-46.03362453075318</v>
      </c>
      <c r="CR90" s="204">
        <f t="shared" si="133"/>
        <v>-46.049138667952391</v>
      </c>
      <c r="CS90" s="204">
        <f t="shared" si="133"/>
        <v>-46.064546988731237</v>
      </c>
      <c r="CT90" s="204">
        <f t="shared" si="133"/>
        <v>-46.079848367782766</v>
      </c>
      <c r="CU90" s="204">
        <f t="shared" si="133"/>
        <v>-46.095041753008886</v>
      </c>
      <c r="CV90" s="204">
        <f t="shared" si="133"/>
        <v>-46.110126163276917</v>
      </c>
      <c r="CW90" s="204">
        <f t="shared" si="133"/>
        <v>-46.125100686232543</v>
      </c>
      <c r="CX90" s="204">
        <f t="shared" si="133"/>
        <v>-46.13996447616821</v>
      </c>
      <c r="CY90" s="204">
        <f t="shared" si="133"/>
        <v>-46.13996447616821</v>
      </c>
      <c r="CZ90" s="204">
        <f t="shared" si="133"/>
        <v>-46.13996447616821</v>
      </c>
      <c r="DA90" s="204">
        <f t="shared" si="133"/>
        <v>-46.13996447616821</v>
      </c>
      <c r="DB90" s="204">
        <f t="shared" si="133"/>
        <v>-46.13996447616821</v>
      </c>
      <c r="DC90" s="204">
        <f t="shared" si="133"/>
        <v>-46.13996447616821</v>
      </c>
      <c r="DD90" s="204">
        <f t="shared" si="133"/>
        <v>-46.13996447616821</v>
      </c>
      <c r="DE90" s="204">
        <f t="shared" si="133"/>
        <v>-46.13996447616821</v>
      </c>
      <c r="DF90" s="204">
        <f t="shared" si="133"/>
        <v>-46.13996447616821</v>
      </c>
      <c r="DG90" s="204">
        <f t="shared" si="133"/>
        <v>-46.13996447616821</v>
      </c>
      <c r="DH90" s="204">
        <f t="shared" si="133"/>
        <v>-46.13996447616821</v>
      </c>
      <c r="DI90" s="204">
        <f t="shared" si="133"/>
        <v>-46.13996447616821</v>
      </c>
      <c r="DJ90" s="204">
        <f t="shared" si="133"/>
        <v>-46.13996447616821</v>
      </c>
      <c r="DK90" s="204">
        <f t="shared" si="133"/>
        <v>-46.13996447616821</v>
      </c>
      <c r="DL90" s="204">
        <f t="shared" si="133"/>
        <v>-46.13996447616821</v>
      </c>
      <c r="DM90" s="204">
        <f t="shared" si="133"/>
        <v>-46.13996447616821</v>
      </c>
      <c r="DN90" s="204">
        <f t="shared" si="133"/>
        <v>-46.13996447616821</v>
      </c>
      <c r="DO90" s="204">
        <f t="shared" si="133"/>
        <v>-46.13996447616821</v>
      </c>
      <c r="DP90" s="204">
        <f t="shared" si="133"/>
        <v>-46.13996447616821</v>
      </c>
      <c r="DQ90" s="204">
        <f t="shared" si="133"/>
        <v>-46.13996447616821</v>
      </c>
      <c r="DR90" s="204">
        <f t="shared" si="133"/>
        <v>-46.13996447616821</v>
      </c>
      <c r="DS90" s="204">
        <f t="shared" si="133"/>
        <v>-46.13996447616821</v>
      </c>
      <c r="DT90" s="204">
        <f t="shared" si="133"/>
        <v>-46.13996447616821</v>
      </c>
      <c r="DU90" s="204">
        <f t="shared" si="133"/>
        <v>-46.13996447616821</v>
      </c>
      <c r="DV90" s="204">
        <f t="shared" si="133"/>
        <v>-46.13996447616821</v>
      </c>
      <c r="DW90" s="204">
        <f t="shared" si="133"/>
        <v>-46.13996447616821</v>
      </c>
      <c r="DX90" s="204">
        <f t="shared" si="133"/>
        <v>-46.13996447616821</v>
      </c>
      <c r="DY90" s="204">
        <f t="shared" si="133"/>
        <v>-46.13996447616821</v>
      </c>
      <c r="DZ90" s="204">
        <f t="shared" si="133"/>
        <v>-46.13996447616821</v>
      </c>
      <c r="EA90" s="204">
        <f t="shared" si="133"/>
        <v>-46.13996447616821</v>
      </c>
      <c r="EB90" s="204">
        <f t="shared" si="133"/>
        <v>-46.13996447616821</v>
      </c>
      <c r="EC90" s="204">
        <f t="shared" si="133"/>
        <v>-46.13996447616821</v>
      </c>
      <c r="ED90" s="204">
        <f t="shared" si="133"/>
        <v>-46.13996447616821</v>
      </c>
      <c r="EE90" s="204">
        <f t="shared" si="133"/>
        <v>-46.13996447616821</v>
      </c>
      <c r="EF90" s="204">
        <f t="shared" si="133"/>
        <v>-46.13996447616821</v>
      </c>
      <c r="EG90" s="204">
        <f t="shared" ref="EG90:ET90" si="134">PV($F44,EG$9,1,0)+(PV($J$6,$N$5-(EG$9),1,0)/($J$6+1)^EG$9)</f>
        <v>-46.13996447616821</v>
      </c>
      <c r="EH90" s="204">
        <f t="shared" si="134"/>
        <v>-46.13996447616821</v>
      </c>
      <c r="EI90" s="204">
        <f t="shared" si="134"/>
        <v>-46.13996447616821</v>
      </c>
      <c r="EJ90" s="204">
        <f t="shared" si="134"/>
        <v>-46.13996447616821</v>
      </c>
      <c r="EK90" s="204">
        <f t="shared" si="134"/>
        <v>-46.13996447616821</v>
      </c>
      <c r="EL90" s="204">
        <f t="shared" si="134"/>
        <v>-46.13996447616821</v>
      </c>
      <c r="EM90" s="204">
        <f t="shared" si="134"/>
        <v>-46.13996447616821</v>
      </c>
      <c r="EN90" s="204">
        <f t="shared" si="134"/>
        <v>-46.13996447616821</v>
      </c>
      <c r="EO90" s="204">
        <f t="shared" si="134"/>
        <v>-46.13996447616821</v>
      </c>
      <c r="EP90" s="204">
        <f t="shared" si="134"/>
        <v>-46.13996447616821</v>
      </c>
      <c r="EQ90" s="204">
        <f t="shared" si="134"/>
        <v>-46.13996447616821</v>
      </c>
      <c r="ER90" s="204">
        <f t="shared" si="134"/>
        <v>-46.13996447616821</v>
      </c>
      <c r="ES90" s="204">
        <f t="shared" si="134"/>
        <v>-46.13996447616821</v>
      </c>
      <c r="ET90" s="204">
        <f t="shared" si="134"/>
        <v>-46.13996447616821</v>
      </c>
      <c r="FF90" s="6" t="s">
        <v>3023</v>
      </c>
      <c r="FG90" s="696">
        <v>2.5000000000000001E-2</v>
      </c>
      <c r="FH90" s="696">
        <v>120</v>
      </c>
      <c r="FI90" s="696">
        <v>1.7899999999999999E-2</v>
      </c>
      <c r="FJ90" s="255">
        <v>1.3899999999999999E-2</v>
      </c>
      <c r="FK90" s="71">
        <f t="shared" si="92"/>
        <v>2.6428571428571435E-4</v>
      </c>
      <c r="FL90" t="e">
        <f>VLOOKUP(FF90,'SIMULADOR COM SALDO'!$BX$22:$CK$1000,13,FALSE)</f>
        <v>#N/A</v>
      </c>
    </row>
    <row r="91" spans="7:168" x14ac:dyDescent="0.25">
      <c r="G91" s="103">
        <f t="shared" si="45"/>
        <v>-44.752963051983073</v>
      </c>
      <c r="H91" s="204">
        <f t="shared" si="46"/>
        <v>-44.754443084225727</v>
      </c>
      <c r="I91" s="204">
        <f t="shared" ref="I91:BT91" si="135">PV($F45,I$9,1,0)+(PV($J$6,$N$5-(I$9),1,0)/($J$6+1)^I$9)</f>
        <v>-44.756623644123735</v>
      </c>
      <c r="J91" s="204">
        <f t="shared" si="135"/>
        <v>-44.759479342692636</v>
      </c>
      <c r="K91" s="204">
        <f t="shared" si="135"/>
        <v>-44.76298547261068</v>
      </c>
      <c r="L91" s="204">
        <f t="shared" si="135"/>
        <v>-44.767117991998163</v>
      </c>
      <c r="M91" s="204">
        <f t="shared" si="135"/>
        <v>-44.771853508558152</v>
      </c>
      <c r="N91" s="204">
        <f t="shared" si="135"/>
        <v>-44.777169264071077</v>
      </c>
      <c r="O91" s="204">
        <f t="shared" si="135"/>
        <v>-44.783043119235394</v>
      </c>
      <c r="P91" s="204">
        <f t="shared" si="135"/>
        <v>-44.789453538847006</v>
      </c>
      <c r="Q91" s="204">
        <f t="shared" si="135"/>
        <v>-44.796379577310312</v>
      </c>
      <c r="R91" s="204">
        <f t="shared" si="135"/>
        <v>-44.803800864473409</v>
      </c>
      <c r="S91" s="204">
        <f t="shared" si="135"/>
        <v>-44.811697591781076</v>
      </c>
      <c r="T91" s="204">
        <f t="shared" si="135"/>
        <v>-44.820050498738098</v>
      </c>
      <c r="U91" s="204">
        <f t="shared" si="135"/>
        <v>-44.828840859676617</v>
      </c>
      <c r="V91" s="204">
        <f t="shared" si="135"/>
        <v>-44.838050470821003</v>
      </c>
      <c r="W91" s="204">
        <f t="shared" si="135"/>
        <v>-44.847661637643675</v>
      </c>
      <c r="X91" s="204">
        <f t="shared" si="135"/>
        <v>-44.857657162505646</v>
      </c>
      <c r="Y91" s="204">
        <f t="shared" si="135"/>
        <v>-44.868020332575782</v>
      </c>
      <c r="Z91" s="204">
        <f t="shared" si="135"/>
        <v>-44.878734908022679</v>
      </c>
      <c r="AA91" s="204">
        <f t="shared" si="135"/>
        <v>-44.889785110473227</v>
      </c>
      <c r="AB91" s="204">
        <f t="shared" si="135"/>
        <v>-44.90115561173225</v>
      </c>
      <c r="AC91" s="204">
        <f t="shared" si="135"/>
        <v>-44.912831522757443</v>
      </c>
      <c r="AD91" s="204">
        <f t="shared" si="135"/>
        <v>-44.924798382884205</v>
      </c>
      <c r="AE91" s="204">
        <f t="shared" si="135"/>
        <v>-44.937042149294868</v>
      </c>
      <c r="AF91" s="204">
        <f t="shared" si="135"/>
        <v>-44.949549186727126</v>
      </c>
      <c r="AG91" s="204">
        <f t="shared" si="135"/>
        <v>-44.962306257416394</v>
      </c>
      <c r="AH91" s="204">
        <f t="shared" si="135"/>
        <v>-44.975300511267079</v>
      </c>
      <c r="AI91" s="204">
        <f t="shared" si="135"/>
        <v>-44.98851947624788</v>
      </c>
      <c r="AJ91" s="204">
        <f t="shared" si="135"/>
        <v>-45.001951049006053</v>
      </c>
      <c r="AK91" s="204">
        <f t="shared" si="135"/>
        <v>-45.015583485696084</v>
      </c>
      <c r="AL91" s="204">
        <f t="shared" si="135"/>
        <v>-45.029405393017996</v>
      </c>
      <c r="AM91" s="204">
        <f t="shared" si="135"/>
        <v>-45.043405719460807</v>
      </c>
      <c r="AN91" s="204">
        <f t="shared" si="135"/>
        <v>-45.057573746746641</v>
      </c>
      <c r="AO91" s="204">
        <f t="shared" si="135"/>
        <v>-45.071899081471045</v>
      </c>
      <c r="AP91" s="204">
        <f t="shared" si="135"/>
        <v>-45.086371646935419</v>
      </c>
      <c r="AQ91" s="204">
        <f t="shared" si="135"/>
        <v>-45.100981675167205</v>
      </c>
      <c r="AR91" s="204">
        <f t="shared" si="135"/>
        <v>-45.115719699123815</v>
      </c>
      <c r="AS91" s="204">
        <f t="shared" si="135"/>
        <v>-45.130576545076238</v>
      </c>
      <c r="AT91" s="204">
        <f t="shared" si="135"/>
        <v>-45.145543325168475</v>
      </c>
      <c r="AU91" s="204">
        <f t="shared" si="135"/>
        <v>-45.160611430148897</v>
      </c>
      <c r="AV91" s="204">
        <f t="shared" si="135"/>
        <v>-45.175772522269739</v>
      </c>
      <c r="AW91" s="204">
        <f t="shared" si="135"/>
        <v>-45.191018528351137</v>
      </c>
      <c r="AX91" s="204">
        <f t="shared" si="135"/>
        <v>-45.206341633005984</v>
      </c>
      <c r="AY91" s="204">
        <f t="shared" si="135"/>
        <v>-45.221734272022211</v>
      </c>
      <c r="AZ91" s="204">
        <f t="shared" si="135"/>
        <v>-45.237189125898936</v>
      </c>
      <c r="BA91" s="204">
        <f t="shared" si="135"/>
        <v>-45.252699113533097</v>
      </c>
      <c r="BB91" s="204">
        <f t="shared" si="135"/>
        <v>-45.268257386053335</v>
      </c>
      <c r="BC91" s="204">
        <f t="shared" si="135"/>
        <v>-45.283857320797807</v>
      </c>
      <c r="BD91" s="204">
        <f t="shared" si="135"/>
        <v>-45.299492515432831</v>
      </c>
      <c r="BE91" s="204">
        <f t="shared" si="135"/>
        <v>-45.315156782209186</v>
      </c>
      <c r="BF91" s="204">
        <f t="shared" si="135"/>
        <v>-45.330844142353094</v>
      </c>
      <c r="BG91" s="204">
        <f t="shared" si="135"/>
        <v>-45.346548820588843</v>
      </c>
      <c r="BH91" s="204">
        <f t="shared" si="135"/>
        <v>-45.362265239790212</v>
      </c>
      <c r="BI91" s="204">
        <f t="shared" si="135"/>
        <v>-45.377988015757779</v>
      </c>
      <c r="BJ91" s="204">
        <f t="shared" si="135"/>
        <v>-45.393711952119389</v>
      </c>
      <c r="BK91" s="204">
        <f t="shared" si="135"/>
        <v>-45.409432035351045</v>
      </c>
      <c r="BL91" s="204">
        <f t="shared" si="135"/>
        <v>-45.425143429915444</v>
      </c>
      <c r="BM91" s="204">
        <f t="shared" si="135"/>
        <v>-45.440841473515732</v>
      </c>
      <c r="BN91" s="204">
        <f t="shared" si="135"/>
        <v>-45.456521672461726</v>
      </c>
      <c r="BO91" s="204">
        <f t="shared" si="135"/>
        <v>-45.472179697146302</v>
      </c>
      <c r="BP91" s="204">
        <f t="shared" si="135"/>
        <v>-45.487811377629271</v>
      </c>
      <c r="BQ91" s="204">
        <f t="shared" si="135"/>
        <v>-45.503412699326525</v>
      </c>
      <c r="BR91" s="204">
        <f t="shared" si="135"/>
        <v>-45.518979798802079</v>
      </c>
      <c r="BS91" s="204">
        <f t="shared" si="135"/>
        <v>-45.534508959660606</v>
      </c>
      <c r="BT91" s="204">
        <f t="shared" si="135"/>
        <v>-45.549996608538336</v>
      </c>
      <c r="BU91" s="204">
        <f t="shared" ref="BU91:EF91" si="136">PV($F45,BU$9,1,0)+(PV($J$6,$N$5-(BU$9),1,0)/($J$6+1)^BU$9)</f>
        <v>-45.565439311190076</v>
      </c>
      <c r="BV91" s="204">
        <f t="shared" si="136"/>
        <v>-45.580833768670175</v>
      </c>
      <c r="BW91" s="204">
        <f t="shared" si="136"/>
        <v>-45.596176813605382</v>
      </c>
      <c r="BX91" s="204">
        <f t="shared" si="136"/>
        <v>-45.6114654065575</v>
      </c>
      <c r="BY91" s="204">
        <f t="shared" si="136"/>
        <v>-45.626696632473802</v>
      </c>
      <c r="BZ91" s="204">
        <f t="shared" si="136"/>
        <v>-45.641867697223304</v>
      </c>
      <c r="CA91" s="204">
        <f t="shared" si="136"/>
        <v>-45.656975924216916</v>
      </c>
      <c r="CB91" s="204">
        <f t="shared" si="136"/>
        <v>-45.672018751109533</v>
      </c>
      <c r="CC91" s="204">
        <f t="shared" si="136"/>
        <v>-45.686993726582337</v>
      </c>
      <c r="CD91" s="204">
        <f t="shared" si="136"/>
        <v>-45.701898507203438</v>
      </c>
      <c r="CE91" s="204">
        <f t="shared" si="136"/>
        <v>-45.716730854365032</v>
      </c>
      <c r="CF91" s="204">
        <f t="shared" si="136"/>
        <v>-45.731488631295463</v>
      </c>
      <c r="CG91" s="204">
        <f t="shared" si="136"/>
        <v>-45.746169800144372</v>
      </c>
      <c r="CH91" s="204">
        <f t="shared" si="136"/>
        <v>-45.760772419139393</v>
      </c>
      <c r="CI91" s="204">
        <f t="shared" si="136"/>
        <v>-45.77529463981265</v>
      </c>
      <c r="CJ91" s="204">
        <f t="shared" si="136"/>
        <v>-45.789734704295604</v>
      </c>
      <c r="CK91" s="204">
        <f t="shared" si="136"/>
        <v>-45.804090942680553</v>
      </c>
      <c r="CL91" s="204">
        <f t="shared" si="136"/>
        <v>-45.818361770447424</v>
      </c>
      <c r="CM91" s="204">
        <f t="shared" si="136"/>
        <v>-45.83254568595423</v>
      </c>
      <c r="CN91" s="204">
        <f t="shared" si="136"/>
        <v>-45.846641267989824</v>
      </c>
      <c r="CO91" s="204">
        <f t="shared" si="136"/>
        <v>-45.860647173387484</v>
      </c>
      <c r="CP91" s="204">
        <f t="shared" si="136"/>
        <v>-45.874562134697982</v>
      </c>
      <c r="CQ91" s="204">
        <f t="shared" si="136"/>
        <v>-45.888384957920735</v>
      </c>
      <c r="CR91" s="204">
        <f t="shared" si="136"/>
        <v>-45.902114520291761</v>
      </c>
      <c r="CS91" s="204">
        <f t="shared" si="136"/>
        <v>-45.915749768127</v>
      </c>
      <c r="CT91" s="204">
        <f t="shared" si="136"/>
        <v>-45.929289714719964</v>
      </c>
      <c r="CU91" s="204">
        <f t="shared" si="136"/>
        <v>-45.942733438292208</v>
      </c>
      <c r="CV91" s="204">
        <f t="shared" si="136"/>
        <v>-45.956080079995651</v>
      </c>
      <c r="CW91" s="204">
        <f t="shared" si="136"/>
        <v>-45.969328841965307</v>
      </c>
      <c r="CX91" s="204">
        <f t="shared" si="136"/>
        <v>-45.98247898542148</v>
      </c>
      <c r="CY91" s="204">
        <f t="shared" si="136"/>
        <v>-45.98247898542148</v>
      </c>
      <c r="CZ91" s="204">
        <f t="shared" si="136"/>
        <v>-45.98247898542148</v>
      </c>
      <c r="DA91" s="204">
        <f t="shared" si="136"/>
        <v>-45.98247898542148</v>
      </c>
      <c r="DB91" s="204">
        <f t="shared" si="136"/>
        <v>-45.98247898542148</v>
      </c>
      <c r="DC91" s="204">
        <f t="shared" si="136"/>
        <v>-45.98247898542148</v>
      </c>
      <c r="DD91" s="204">
        <f t="shared" si="136"/>
        <v>-45.98247898542148</v>
      </c>
      <c r="DE91" s="204">
        <f t="shared" si="136"/>
        <v>-45.98247898542148</v>
      </c>
      <c r="DF91" s="204">
        <f t="shared" si="136"/>
        <v>-45.98247898542148</v>
      </c>
      <c r="DG91" s="204">
        <f t="shared" si="136"/>
        <v>-45.98247898542148</v>
      </c>
      <c r="DH91" s="204">
        <f t="shared" si="136"/>
        <v>-45.98247898542148</v>
      </c>
      <c r="DI91" s="204">
        <f t="shared" si="136"/>
        <v>-45.98247898542148</v>
      </c>
      <c r="DJ91" s="204">
        <f t="shared" si="136"/>
        <v>-45.98247898542148</v>
      </c>
      <c r="DK91" s="204">
        <f t="shared" si="136"/>
        <v>-45.98247898542148</v>
      </c>
      <c r="DL91" s="204">
        <f t="shared" si="136"/>
        <v>-45.98247898542148</v>
      </c>
      <c r="DM91" s="204">
        <f t="shared" si="136"/>
        <v>-45.98247898542148</v>
      </c>
      <c r="DN91" s="204">
        <f t="shared" si="136"/>
        <v>-45.98247898542148</v>
      </c>
      <c r="DO91" s="204">
        <f t="shared" si="136"/>
        <v>-45.98247898542148</v>
      </c>
      <c r="DP91" s="204">
        <f t="shared" si="136"/>
        <v>-45.98247898542148</v>
      </c>
      <c r="DQ91" s="204">
        <f t="shared" si="136"/>
        <v>-45.98247898542148</v>
      </c>
      <c r="DR91" s="204">
        <f t="shared" si="136"/>
        <v>-45.98247898542148</v>
      </c>
      <c r="DS91" s="204">
        <f t="shared" si="136"/>
        <v>-45.98247898542148</v>
      </c>
      <c r="DT91" s="204">
        <f t="shared" si="136"/>
        <v>-45.98247898542148</v>
      </c>
      <c r="DU91" s="204">
        <f t="shared" si="136"/>
        <v>-45.98247898542148</v>
      </c>
      <c r="DV91" s="204">
        <f t="shared" si="136"/>
        <v>-45.98247898542148</v>
      </c>
      <c r="DW91" s="204">
        <f t="shared" si="136"/>
        <v>-45.98247898542148</v>
      </c>
      <c r="DX91" s="204">
        <f t="shared" si="136"/>
        <v>-45.98247898542148</v>
      </c>
      <c r="DY91" s="204">
        <f t="shared" si="136"/>
        <v>-45.98247898542148</v>
      </c>
      <c r="DZ91" s="204">
        <f t="shared" si="136"/>
        <v>-45.98247898542148</v>
      </c>
      <c r="EA91" s="204">
        <f t="shared" si="136"/>
        <v>-45.98247898542148</v>
      </c>
      <c r="EB91" s="204">
        <f t="shared" si="136"/>
        <v>-45.98247898542148</v>
      </c>
      <c r="EC91" s="204">
        <f t="shared" si="136"/>
        <v>-45.98247898542148</v>
      </c>
      <c r="ED91" s="204">
        <f t="shared" si="136"/>
        <v>-45.98247898542148</v>
      </c>
      <c r="EE91" s="204">
        <f t="shared" si="136"/>
        <v>-45.98247898542148</v>
      </c>
      <c r="EF91" s="204">
        <f t="shared" si="136"/>
        <v>-45.98247898542148</v>
      </c>
      <c r="EG91" s="204">
        <f t="shared" ref="EG91:ET91" si="137">PV($F45,EG$9,1,0)+(PV($J$6,$N$5-(EG$9),1,0)/($J$6+1)^EG$9)</f>
        <v>-45.98247898542148</v>
      </c>
      <c r="EH91" s="204">
        <f t="shared" si="137"/>
        <v>-45.98247898542148</v>
      </c>
      <c r="EI91" s="204">
        <f t="shared" si="137"/>
        <v>-45.98247898542148</v>
      </c>
      <c r="EJ91" s="204">
        <f t="shared" si="137"/>
        <v>-45.98247898542148</v>
      </c>
      <c r="EK91" s="204">
        <f t="shared" si="137"/>
        <v>-45.98247898542148</v>
      </c>
      <c r="EL91" s="204">
        <f t="shared" si="137"/>
        <v>-45.98247898542148</v>
      </c>
      <c r="EM91" s="204">
        <f t="shared" si="137"/>
        <v>-45.98247898542148</v>
      </c>
      <c r="EN91" s="204">
        <f t="shared" si="137"/>
        <v>-45.98247898542148</v>
      </c>
      <c r="EO91" s="204">
        <f t="shared" si="137"/>
        <v>-45.98247898542148</v>
      </c>
      <c r="EP91" s="204">
        <f t="shared" si="137"/>
        <v>-45.98247898542148</v>
      </c>
      <c r="EQ91" s="204">
        <f t="shared" si="137"/>
        <v>-45.98247898542148</v>
      </c>
      <c r="ER91" s="204">
        <f t="shared" si="137"/>
        <v>-45.98247898542148</v>
      </c>
      <c r="ES91" s="204">
        <f t="shared" si="137"/>
        <v>-45.98247898542148</v>
      </c>
      <c r="ET91" s="204">
        <f t="shared" si="137"/>
        <v>-45.98247898542148</v>
      </c>
      <c r="FF91" s="6" t="s">
        <v>3024</v>
      </c>
      <c r="FG91" s="696">
        <v>2.5000000000000001E-2</v>
      </c>
      <c r="FH91" s="696">
        <v>120</v>
      </c>
      <c r="FI91" s="696">
        <v>2.1499999999999998E-2</v>
      </c>
      <c r="FJ91" s="255">
        <v>1.4999999999999999E-2</v>
      </c>
      <c r="FK91" s="71">
        <f t="shared" si="92"/>
        <v>2.3809523809523815E-4</v>
      </c>
      <c r="FL91" t="e">
        <f>VLOOKUP(FF91,'SIMULADOR COM SALDO'!$BX$22:$CK$1000,13,FALSE)</f>
        <v>#N/A</v>
      </c>
    </row>
    <row r="92" spans="7:168" x14ac:dyDescent="0.25">
      <c r="G92" s="103">
        <f t="shared" si="45"/>
        <v>-44.752868811586424</v>
      </c>
      <c r="H92" s="204">
        <f t="shared" si="46"/>
        <v>-44.754163653471167</v>
      </c>
      <c r="I92" s="204">
        <f t="shared" ref="I92:BT92" si="138">PV($F46,I$9,1,0)+(PV($J$6,$N$5-(I$9),1,0)/($J$6+1)^I$9)</f>
        <v>-44.756071277320189</v>
      </c>
      <c r="J92" s="204">
        <f t="shared" si="138"/>
        <v>-44.758569414259661</v>
      </c>
      <c r="K92" s="204">
        <f t="shared" si="138"/>
        <v>-44.761636394880838</v>
      </c>
      <c r="L92" s="204">
        <f t="shared" si="138"/>
        <v>-44.765251134938417</v>
      </c>
      <c r="M92" s="204">
        <f t="shared" si="138"/>
        <v>-44.769393121368388</v>
      </c>
      <c r="N92" s="204">
        <f t="shared" si="138"/>
        <v>-44.77404239861859</v>
      </c>
      <c r="O92" s="204">
        <f t="shared" si="138"/>
        <v>-44.779179555285253</v>
      </c>
      <c r="P92" s="204">
        <f t="shared" si="138"/>
        <v>-44.784785711048855</v>
      </c>
      <c r="Q92" s="204">
        <f t="shared" si="138"/>
        <v>-44.790842503903008</v>
      </c>
      <c r="R92" s="204">
        <f t="shared" si="138"/>
        <v>-44.797332077669921</v>
      </c>
      <c r="S92" s="204">
        <f t="shared" si="138"/>
        <v>-44.804237069796585</v>
      </c>
      <c r="T92" s="204">
        <f t="shared" si="138"/>
        <v>-44.811540599425143</v>
      </c>
      <c r="U92" s="204">
        <f t="shared" si="138"/>
        <v>-44.819226255732048</v>
      </c>
      <c r="V92" s="204">
        <f t="shared" si="138"/>
        <v>-44.827278086529816</v>
      </c>
      <c r="W92" s="204">
        <f t="shared" si="138"/>
        <v>-44.835680587126078</v>
      </c>
      <c r="X92" s="204">
        <f t="shared" si="138"/>
        <v>-44.844418689433979</v>
      </c>
      <c r="Y92" s="204">
        <f t="shared" si="138"/>
        <v>-44.853477751328903</v>
      </c>
      <c r="Z92" s="204">
        <f t="shared" si="138"/>
        <v>-44.86284354624587</v>
      </c>
      <c r="AA92" s="204">
        <f t="shared" si="138"/>
        <v>-44.872502253012641</v>
      </c>
      <c r="AB92" s="204">
        <f t="shared" si="138"/>
        <v>-44.882440445913247</v>
      </c>
      <c r="AC92" s="204">
        <f t="shared" si="138"/>
        <v>-44.892645084977126</v>
      </c>
      <c r="AD92" s="204">
        <f t="shared" si="138"/>
        <v>-44.903103506488804</v>
      </c>
      <c r="AE92" s="204">
        <f t="shared" si="138"/>
        <v>-44.91380341371358</v>
      </c>
      <c r="AF92" s="204">
        <f t="shared" si="138"/>
        <v>-44.924732867834194</v>
      </c>
      <c r="AG92" s="204">
        <f t="shared" si="138"/>
        <v>-44.935880279094221</v>
      </c>
      <c r="AH92" s="204">
        <f t="shared" si="138"/>
        <v>-44.947234398143507</v>
      </c>
      <c r="AI92" s="204">
        <f t="shared" si="138"/>
        <v>-44.958784307581382</v>
      </c>
      <c r="AJ92" s="204">
        <f t="shared" si="138"/>
        <v>-44.970519413693189</v>
      </c>
      <c r="AK92" s="204">
        <f t="shared" si="138"/>
        <v>-44.982429438376137</v>
      </c>
      <c r="AL92" s="204">
        <f t="shared" si="138"/>
        <v>-44.994504411250034</v>
      </c>
      <c r="AM92" s="204">
        <f t="shared" si="138"/>
        <v>-45.006734661949324</v>
      </c>
      <c r="AN92" s="204">
        <f t="shared" si="138"/>
        <v>-45.019110812592018</v>
      </c>
      <c r="AO92" s="204">
        <f t="shared" si="138"/>
        <v>-45.031623770421916</v>
      </c>
      <c r="AP92" s="204">
        <f t="shared" si="138"/>
        <v>-45.044264720620298</v>
      </c>
      <c r="AQ92" s="204">
        <f t="shared" si="138"/>
        <v>-45.057025119283367</v>
      </c>
      <c r="AR92" s="204">
        <f t="shared" si="138"/>
        <v>-45.069896686561741</v>
      </c>
      <c r="AS92" s="204">
        <f t="shared" si="138"/>
        <v>-45.082871399958563</v>
      </c>
      <c r="AT92" s="204">
        <f t="shared" si="138"/>
        <v>-45.095941487782653</v>
      </c>
      <c r="AU92" s="204">
        <f t="shared" si="138"/>
        <v>-45.109099422753481</v>
      </c>
      <c r="AV92" s="204">
        <f t="shared" si="138"/>
        <v>-45.122337915754315</v>
      </c>
      <c r="AW92" s="204">
        <f t="shared" si="138"/>
        <v>-45.13564990973056</v>
      </c>
      <c r="AX92" s="204">
        <f t="shared" si="138"/>
        <v>-45.149028573730071</v>
      </c>
      <c r="AY92" s="204">
        <f t="shared" si="138"/>
        <v>-45.162467297082166</v>
      </c>
      <c r="AZ92" s="204">
        <f t="shared" si="138"/>
        <v>-45.175959683712364</v>
      </c>
      <c r="BA92" s="204">
        <f t="shared" si="138"/>
        <v>-45.18949954659</v>
      </c>
      <c r="BB92" s="204">
        <f t="shared" si="138"/>
        <v>-45.203080902305487</v>
      </c>
      <c r="BC92" s="204">
        <f t="shared" si="138"/>
        <v>-45.216697965774628</v>
      </c>
      <c r="BD92" s="204">
        <f t="shared" si="138"/>
        <v>-45.230345145067105</v>
      </c>
      <c r="BE92" s="204">
        <f t="shared" si="138"/>
        <v>-45.244017036356269</v>
      </c>
      <c r="BF92" s="204">
        <f t="shared" si="138"/>
        <v>-45.257708418987697</v>
      </c>
      <c r="BG92" s="204">
        <f t="shared" si="138"/>
        <v>-45.271414250663952</v>
      </c>
      <c r="BH92" s="204">
        <f t="shared" si="138"/>
        <v>-45.285129662742627</v>
      </c>
      <c r="BI92" s="204">
        <f t="shared" si="138"/>
        <v>-45.298849955645551</v>
      </c>
      <c r="BJ92" s="204">
        <f t="shared" si="138"/>
        <v>-45.312570594376552</v>
      </c>
      <c r="BK92" s="204">
        <f t="shared" si="138"/>
        <v>-45.326287204145238</v>
      </c>
      <c r="BL92" s="204">
        <f t="shared" si="138"/>
        <v>-45.339995566094572</v>
      </c>
      <c r="BM92" s="204">
        <f t="shared" si="138"/>
        <v>-45.353691613129939</v>
      </c>
      <c r="BN92" s="204">
        <f t="shared" si="138"/>
        <v>-45.367371425847388</v>
      </c>
      <c r="BO92" s="204">
        <f t="shared" si="138"/>
        <v>-45.381031228558832</v>
      </c>
      <c r="BP92" s="204">
        <f t="shared" si="138"/>
        <v>-45.394667385412077</v>
      </c>
      <c r="BQ92" s="204">
        <f t="shared" si="138"/>
        <v>-45.408276396603583</v>
      </c>
      <c r="BR92" s="204">
        <f t="shared" si="138"/>
        <v>-45.421854894681793</v>
      </c>
      <c r="BS92" s="204">
        <f t="shared" si="138"/>
        <v>-45.435399640939096</v>
      </c>
      <c r="BT92" s="204">
        <f t="shared" si="138"/>
        <v>-45.448907521890398</v>
      </c>
      <c r="BU92" s="204">
        <f t="shared" ref="BU92:EF92" si="139">PV($F46,BU$9,1,0)+(PV($J$6,$N$5-(BU$9),1,0)/($J$6+1)^BU$9)</f>
        <v>-45.462375545836345</v>
      </c>
      <c r="BV92" s="204">
        <f t="shared" si="139"/>
        <v>-45.475800839509347</v>
      </c>
      <c r="BW92" s="204">
        <f t="shared" si="139"/>
        <v>-45.489180644800491</v>
      </c>
      <c r="BX92" s="204">
        <f t="shared" si="139"/>
        <v>-45.502512315565525</v>
      </c>
      <c r="BY92" s="204">
        <f t="shared" si="139"/>
        <v>-45.515793314508194</v>
      </c>
      <c r="BZ92" s="204">
        <f t="shared" si="139"/>
        <v>-45.529021210139156</v>
      </c>
      <c r="CA92" s="204">
        <f t="shared" si="139"/>
        <v>-45.542193673808676</v>
      </c>
      <c r="CB92" s="204">
        <f t="shared" si="139"/>
        <v>-45.555308476811597</v>
      </c>
      <c r="CC92" s="204">
        <f t="shared" si="139"/>
        <v>-45.56836348756287</v>
      </c>
      <c r="CD92" s="204">
        <f t="shared" si="139"/>
        <v>-45.581356668841984</v>
      </c>
      <c r="CE92" s="204">
        <f t="shared" si="139"/>
        <v>-45.594286075104904</v>
      </c>
      <c r="CF92" s="204">
        <f t="shared" si="139"/>
        <v>-45.607149849861784</v>
      </c>
      <c r="CG92" s="204">
        <f t="shared" si="139"/>
        <v>-45.619946223119165</v>
      </c>
      <c r="CH92" s="204">
        <f t="shared" si="139"/>
        <v>-45.632673508884999</v>
      </c>
      <c r="CI92" s="204">
        <f t="shared" si="139"/>
        <v>-45.645330102735215</v>
      </c>
      <c r="CJ92" s="204">
        <f t="shared" si="139"/>
        <v>-45.657914479440372</v>
      </c>
      <c r="CK92" s="204">
        <f t="shared" si="139"/>
        <v>-45.670425190651009</v>
      </c>
      <c r="CL92" s="204">
        <f t="shared" si="139"/>
        <v>-45.682860862640368</v>
      </c>
      <c r="CM92" s="204">
        <f t="shared" si="139"/>
        <v>-45.695220194103292</v>
      </c>
      <c r="CN92" s="204">
        <f t="shared" si="139"/>
        <v>-45.707501954009707</v>
      </c>
      <c r="CO92" s="204">
        <f t="shared" si="139"/>
        <v>-45.719704979511839</v>
      </c>
      <c r="CP92" s="204">
        <f t="shared" si="139"/>
        <v>-45.731828173903608</v>
      </c>
      <c r="CQ92" s="204">
        <f t="shared" si="139"/>
        <v>-45.743870504631182</v>
      </c>
      <c r="CR92" s="204">
        <f t="shared" si="139"/>
        <v>-45.755831001353499</v>
      </c>
      <c r="CS92" s="204">
        <f t="shared" si="139"/>
        <v>-45.767708754051405</v>
      </c>
      <c r="CT92" s="204">
        <f t="shared" si="139"/>
        <v>-45.779502911184693</v>
      </c>
      <c r="CU92" s="204">
        <f t="shared" si="139"/>
        <v>-45.791212677895516</v>
      </c>
      <c r="CV92" s="204">
        <f t="shared" si="139"/>
        <v>-45.802837314257367</v>
      </c>
      <c r="CW92" s="204">
        <f t="shared" si="139"/>
        <v>-45.814376133568466</v>
      </c>
      <c r="CX92" s="204">
        <f t="shared" si="139"/>
        <v>-45.825828500688573</v>
      </c>
      <c r="CY92" s="204">
        <f t="shared" si="139"/>
        <v>-45.825828500688573</v>
      </c>
      <c r="CZ92" s="204">
        <f t="shared" si="139"/>
        <v>-45.825828500688573</v>
      </c>
      <c r="DA92" s="204">
        <f t="shared" si="139"/>
        <v>-45.825828500688573</v>
      </c>
      <c r="DB92" s="204">
        <f t="shared" si="139"/>
        <v>-45.825828500688573</v>
      </c>
      <c r="DC92" s="204">
        <f t="shared" si="139"/>
        <v>-45.825828500688573</v>
      </c>
      <c r="DD92" s="204">
        <f t="shared" si="139"/>
        <v>-45.825828500688573</v>
      </c>
      <c r="DE92" s="204">
        <f t="shared" si="139"/>
        <v>-45.825828500688573</v>
      </c>
      <c r="DF92" s="204">
        <f t="shared" si="139"/>
        <v>-45.825828500688573</v>
      </c>
      <c r="DG92" s="204">
        <f t="shared" si="139"/>
        <v>-45.825828500688573</v>
      </c>
      <c r="DH92" s="204">
        <f t="shared" si="139"/>
        <v>-45.825828500688573</v>
      </c>
      <c r="DI92" s="204">
        <f t="shared" si="139"/>
        <v>-45.825828500688573</v>
      </c>
      <c r="DJ92" s="204">
        <f t="shared" si="139"/>
        <v>-45.825828500688573</v>
      </c>
      <c r="DK92" s="204">
        <f t="shared" si="139"/>
        <v>-45.825828500688573</v>
      </c>
      <c r="DL92" s="204">
        <f t="shared" si="139"/>
        <v>-45.825828500688573</v>
      </c>
      <c r="DM92" s="204">
        <f t="shared" si="139"/>
        <v>-45.825828500688573</v>
      </c>
      <c r="DN92" s="204">
        <f t="shared" si="139"/>
        <v>-45.825828500688573</v>
      </c>
      <c r="DO92" s="204">
        <f t="shared" si="139"/>
        <v>-45.825828500688573</v>
      </c>
      <c r="DP92" s="204">
        <f t="shared" si="139"/>
        <v>-45.825828500688573</v>
      </c>
      <c r="DQ92" s="204">
        <f t="shared" si="139"/>
        <v>-45.825828500688573</v>
      </c>
      <c r="DR92" s="204">
        <f t="shared" si="139"/>
        <v>-45.825828500688573</v>
      </c>
      <c r="DS92" s="204">
        <f t="shared" si="139"/>
        <v>-45.825828500688573</v>
      </c>
      <c r="DT92" s="204">
        <f t="shared" si="139"/>
        <v>-45.825828500688573</v>
      </c>
      <c r="DU92" s="204">
        <f t="shared" si="139"/>
        <v>-45.825828500688573</v>
      </c>
      <c r="DV92" s="204">
        <f t="shared" si="139"/>
        <v>-45.825828500688573</v>
      </c>
      <c r="DW92" s="204">
        <f t="shared" si="139"/>
        <v>-45.825828500688573</v>
      </c>
      <c r="DX92" s="204">
        <f t="shared" si="139"/>
        <v>-45.825828500688573</v>
      </c>
      <c r="DY92" s="204">
        <f t="shared" si="139"/>
        <v>-45.825828500688573</v>
      </c>
      <c r="DZ92" s="204">
        <f t="shared" si="139"/>
        <v>-45.825828500688573</v>
      </c>
      <c r="EA92" s="204">
        <f t="shared" si="139"/>
        <v>-45.825828500688573</v>
      </c>
      <c r="EB92" s="204">
        <f t="shared" si="139"/>
        <v>-45.825828500688573</v>
      </c>
      <c r="EC92" s="204">
        <f t="shared" si="139"/>
        <v>-45.825828500688573</v>
      </c>
      <c r="ED92" s="204">
        <f t="shared" si="139"/>
        <v>-45.825828500688573</v>
      </c>
      <c r="EE92" s="204">
        <f t="shared" si="139"/>
        <v>-45.825828500688573</v>
      </c>
      <c r="EF92" s="204">
        <f t="shared" si="139"/>
        <v>-45.825828500688573</v>
      </c>
      <c r="EG92" s="204">
        <f t="shared" ref="EG92:ET92" si="140">PV($F46,EG$9,1,0)+(PV($J$6,$N$5-(EG$9),1,0)/($J$6+1)^EG$9)</f>
        <v>-45.825828500688573</v>
      </c>
      <c r="EH92" s="204">
        <f t="shared" si="140"/>
        <v>-45.825828500688573</v>
      </c>
      <c r="EI92" s="204">
        <f t="shared" si="140"/>
        <v>-45.825828500688573</v>
      </c>
      <c r="EJ92" s="204">
        <f t="shared" si="140"/>
        <v>-45.825828500688573</v>
      </c>
      <c r="EK92" s="204">
        <f t="shared" si="140"/>
        <v>-45.825828500688573</v>
      </c>
      <c r="EL92" s="204">
        <f t="shared" si="140"/>
        <v>-45.825828500688573</v>
      </c>
      <c r="EM92" s="204">
        <f t="shared" si="140"/>
        <v>-45.825828500688573</v>
      </c>
      <c r="EN92" s="204">
        <f t="shared" si="140"/>
        <v>-45.825828500688573</v>
      </c>
      <c r="EO92" s="204">
        <f t="shared" si="140"/>
        <v>-45.825828500688573</v>
      </c>
      <c r="EP92" s="204">
        <f t="shared" si="140"/>
        <v>-45.825828500688573</v>
      </c>
      <c r="EQ92" s="204">
        <f t="shared" si="140"/>
        <v>-45.825828500688573</v>
      </c>
      <c r="ER92" s="204">
        <f t="shared" si="140"/>
        <v>-45.825828500688573</v>
      </c>
      <c r="ES92" s="204">
        <f t="shared" si="140"/>
        <v>-45.825828500688573</v>
      </c>
      <c r="ET92" s="204">
        <f t="shared" si="140"/>
        <v>-45.825828500688573</v>
      </c>
      <c r="FF92" s="67" t="s">
        <v>218</v>
      </c>
      <c r="FG92" s="696">
        <v>2.5000000000000001E-2</v>
      </c>
      <c r="FH92" s="696">
        <v>120</v>
      </c>
      <c r="FI92" s="696">
        <v>1.9E-2</v>
      </c>
      <c r="FJ92" s="255">
        <v>1.3999999999999999E-2</v>
      </c>
      <c r="FK92" s="71">
        <f t="shared" si="92"/>
        <v>2.6190476190476197E-4</v>
      </c>
      <c r="FL92" t="e">
        <f>VLOOKUP(FF92,'SIMULADOR COM SALDO'!$BX$22:$CK$1000,13,FALSE)</f>
        <v>#N/A</v>
      </c>
    </row>
    <row r="93" spans="7:168" x14ac:dyDescent="0.25">
      <c r="G93" s="103">
        <f t="shared" si="45"/>
        <v>-44.752774589265286</v>
      </c>
      <c r="H93" s="204">
        <f t="shared" si="46"/>
        <v>-44.753884294069415</v>
      </c>
      <c r="I93" s="204">
        <f t="shared" ref="I93:BT93" si="141">PV($F47,I$9,1,0)+(PV($J$6,$N$5-(I$9),1,0)/($J$6+1)^I$9)</f>
        <v>-44.755519086558841</v>
      </c>
      <c r="J93" s="204">
        <f t="shared" si="141"/>
        <v>-44.757659833296906</v>
      </c>
      <c r="K93" s="204">
        <f t="shared" si="141"/>
        <v>-44.760287917262048</v>
      </c>
      <c r="L93" s="204">
        <f t="shared" si="141"/>
        <v>-44.763385225495469</v>
      </c>
      <c r="M93" s="204">
        <f t="shared" si="141"/>
        <v>-44.766934137025729</v>
      </c>
      <c r="N93" s="204">
        <f t="shared" si="141"/>
        <v>-44.770917511063843</v>
      </c>
      <c r="O93" s="204">
        <f t="shared" si="141"/>
        <v>-44.77531867546351</v>
      </c>
      <c r="P93" s="204">
        <f t="shared" si="141"/>
        <v>-44.780121415440256</v>
      </c>
      <c r="Q93" s="204">
        <f t="shared" si="141"/>
        <v>-44.785309962544517</v>
      </c>
      <c r="R93" s="204">
        <f t="shared" si="141"/>
        <v>-44.790868983882547</v>
      </c>
      <c r="S93" s="204">
        <f t="shared" si="141"/>
        <v>-44.796783571580519</v>
      </c>
      <c r="T93" s="204">
        <f t="shared" si="141"/>
        <v>-44.803039232485794</v>
      </c>
      <c r="U93" s="204">
        <f t="shared" si="141"/>
        <v>-44.809621878100941</v>
      </c>
      <c r="V93" s="204">
        <f t="shared" si="141"/>
        <v>-44.816517814744984</v>
      </c>
      <c r="W93" s="204">
        <f t="shared" si="141"/>
        <v>-44.823713733937318</v>
      </c>
      <c r="X93" s="204">
        <f t="shared" si="141"/>
        <v>-44.831196702999108</v>
      </c>
      <c r="Y93" s="204">
        <f t="shared" si="141"/>
        <v>-44.838954155867903</v>
      </c>
      <c r="Z93" s="204">
        <f t="shared" si="141"/>
        <v>-44.846973884120402</v>
      </c>
      <c r="AA93" s="204">
        <f t="shared" si="141"/>
        <v>-44.855244028199294</v>
      </c>
      <c r="AB93" s="204">
        <f t="shared" si="141"/>
        <v>-44.863753068839301</v>
      </c>
      <c r="AC93" s="204">
        <f t="shared" si="141"/>
        <v>-44.872489818688507</v>
      </c>
      <c r="AD93" s="204">
        <f t="shared" si="141"/>
        <v>-44.881443414120476</v>
      </c>
      <c r="AE93" s="204">
        <f t="shared" si="141"/>
        <v>-44.890603307233093</v>
      </c>
      <c r="AF93" s="204">
        <f t="shared" si="141"/>
        <v>-44.899959258030094</v>
      </c>
      <c r="AG93" s="204">
        <f t="shared" si="141"/>
        <v>-44.909501326781182</v>
      </c>
      <c r="AH93" s="204">
        <f t="shared" si="141"/>
        <v>-44.919219866557142</v>
      </c>
      <c r="AI93" s="204">
        <f t="shared" si="141"/>
        <v>-44.929105515935724</v>
      </c>
      <c r="AJ93" s="204">
        <f t="shared" si="141"/>
        <v>-44.939149191874911</v>
      </c>
      <c r="AK93" s="204">
        <f t="shared" si="141"/>
        <v>-44.949342082749766</v>
      </c>
      <c r="AL93" s="204">
        <f t="shared" si="141"/>
        <v>-44.959675641549254</v>
      </c>
      <c r="AM93" s="204">
        <f t="shared" si="141"/>
        <v>-44.970141579229747</v>
      </c>
      <c r="AN93" s="204">
        <f t="shared" si="141"/>
        <v>-44.980731858221461</v>
      </c>
      <c r="AO93" s="204">
        <f t="shared" si="141"/>
        <v>-44.99143868608477</v>
      </c>
      <c r="AP93" s="204">
        <f t="shared" si="141"/>
        <v>-45.002254509312984</v>
      </c>
      <c r="AQ93" s="204">
        <f t="shared" si="141"/>
        <v>-45.013172007278392</v>
      </c>
      <c r="AR93" s="204">
        <f t="shared" si="141"/>
        <v>-45.0241840863184</v>
      </c>
      <c r="AS93" s="204">
        <f t="shared" si="141"/>
        <v>-45.035283873958797</v>
      </c>
      <c r="AT93" s="204">
        <f t="shared" si="141"/>
        <v>-45.04646471327095</v>
      </c>
      <c r="AU93" s="204">
        <f t="shared" si="141"/>
        <v>-45.057720157360251</v>
      </c>
      <c r="AV93" s="204">
        <f t="shared" si="141"/>
        <v>-45.069043963982594</v>
      </c>
      <c r="AW93" s="204">
        <f t="shared" si="141"/>
        <v>-45.080430090286377</v>
      </c>
      <c r="AX93" s="204">
        <f t="shared" si="141"/>
        <v>-45.091872687677068</v>
      </c>
      <c r="AY93" s="204">
        <f t="shared" si="141"/>
        <v>-45.1033660968017</v>
      </c>
      <c r="AZ93" s="204">
        <f t="shared" si="141"/>
        <v>-45.114904842650617</v>
      </c>
      <c r="BA93" s="204">
        <f t="shared" si="141"/>
        <v>-45.126483629773951</v>
      </c>
      <c r="BB93" s="204">
        <f t="shared" si="141"/>
        <v>-45.138097337610191</v>
      </c>
      <c r="BC93" s="204">
        <f t="shared" si="141"/>
        <v>-45.149741015924477</v>
      </c>
      <c r="BD93" s="204">
        <f t="shared" si="141"/>
        <v>-45.161409880354029</v>
      </c>
      <c r="BE93" s="204">
        <f t="shared" si="141"/>
        <v>-45.173099308058553</v>
      </c>
      <c r="BF93" s="204">
        <f t="shared" si="141"/>
        <v>-45.184804833473059</v>
      </c>
      <c r="BG93" s="204">
        <f t="shared" si="141"/>
        <v>-45.196522144161122</v>
      </c>
      <c r="BH93" s="204">
        <f t="shared" si="141"/>
        <v>-45.2082470767659</v>
      </c>
      <c r="BI93" s="204">
        <f t="shared" si="141"/>
        <v>-45.219975613057251</v>
      </c>
      <c r="BJ93" s="204">
        <f t="shared" si="141"/>
        <v>-45.231703876072402</v>
      </c>
      <c r="BK93" s="204">
        <f t="shared" si="141"/>
        <v>-45.243428126348391</v>
      </c>
      <c r="BL93" s="204">
        <f t="shared" si="141"/>
        <v>-45.25514475824388</v>
      </c>
      <c r="BM93" s="204">
        <f t="shared" si="141"/>
        <v>-45.266850296348792</v>
      </c>
      <c r="BN93" s="204">
        <f t="shared" si="141"/>
        <v>-45.27854139197941</v>
      </c>
      <c r="BO93" s="204">
        <f t="shared" si="141"/>
        <v>-45.290214819757225</v>
      </c>
      <c r="BP93" s="204">
        <f t="shared" si="141"/>
        <v>-45.301867474269706</v>
      </c>
      <c r="BQ93" s="204">
        <f t="shared" si="141"/>
        <v>-45.313496366810931</v>
      </c>
      <c r="BR93" s="204">
        <f t="shared" si="141"/>
        <v>-45.325098622200571</v>
      </c>
      <c r="BS93" s="204">
        <f t="shared" si="141"/>
        <v>-45.336671475679253</v>
      </c>
      <c r="BT93" s="204">
        <f t="shared" si="141"/>
        <v>-45.348212269878651</v>
      </c>
      <c r="BU93" s="204">
        <f t="shared" ref="BU93:EF93" si="142">PV($F47,BU$9,1,0)+(PV($J$6,$N$5-(BU$9),1,0)/($J$6+1)^BU$9)</f>
        <v>-45.35971845186473</v>
      </c>
      <c r="BV93" s="204">
        <f t="shared" si="142"/>
        <v>-45.371187570252246</v>
      </c>
      <c r="BW93" s="204">
        <f t="shared" si="142"/>
        <v>-45.382617272389268</v>
      </c>
      <c r="BX93" s="204">
        <f t="shared" si="142"/>
        <v>-45.394005301609695</v>
      </c>
      <c r="BY93" s="204">
        <f t="shared" si="142"/>
        <v>-45.405349494552667</v>
      </c>
      <c r="BZ93" s="204">
        <f t="shared" si="142"/>
        <v>-45.416647778547031</v>
      </c>
      <c r="CA93" s="204">
        <f t="shared" si="142"/>
        <v>-45.427898169059588</v>
      </c>
      <c r="CB93" s="204">
        <f t="shared" si="142"/>
        <v>-45.439098767205557</v>
      </c>
      <c r="CC93" s="204">
        <f t="shared" si="142"/>
        <v>-45.450247757319978</v>
      </c>
      <c r="CD93" s="204">
        <f t="shared" si="142"/>
        <v>-45.461343404588433</v>
      </c>
      <c r="CE93" s="204">
        <f t="shared" si="142"/>
        <v>-45.472384052736125</v>
      </c>
      <c r="CF93" s="204">
        <f t="shared" si="142"/>
        <v>-45.48336812177353</v>
      </c>
      <c r="CG93" s="204">
        <f t="shared" si="142"/>
        <v>-45.494294105797735</v>
      </c>
      <c r="CH93" s="204">
        <f t="shared" si="142"/>
        <v>-45.505160570847906</v>
      </c>
      <c r="CI93" s="204">
        <f t="shared" si="142"/>
        <v>-45.515966152813839</v>
      </c>
      <c r="CJ93" s="204">
        <f t="shared" si="142"/>
        <v>-45.52670955539628</v>
      </c>
      <c r="CK93" s="204">
        <f t="shared" si="142"/>
        <v>-45.537389548117879</v>
      </c>
      <c r="CL93" s="204">
        <f t="shared" si="142"/>
        <v>-45.548004964383516</v>
      </c>
      <c r="CM93" s="204">
        <f t="shared" si="142"/>
        <v>-45.558554699589145</v>
      </c>
      <c r="CN93" s="204">
        <f t="shared" si="142"/>
        <v>-45.569037709277637</v>
      </c>
      <c r="CO93" s="204">
        <f t="shared" si="142"/>
        <v>-45.579453007340888</v>
      </c>
      <c r="CP93" s="204">
        <f t="shared" si="142"/>
        <v>-45.589799664266963</v>
      </c>
      <c r="CQ93" s="204">
        <f t="shared" si="142"/>
        <v>-45.600076805431279</v>
      </c>
      <c r="CR93" s="204">
        <f t="shared" si="142"/>
        <v>-45.610283609430795</v>
      </c>
      <c r="CS93" s="204">
        <f t="shared" si="142"/>
        <v>-45.620419306460249</v>
      </c>
      <c r="CT93" s="204">
        <f t="shared" si="142"/>
        <v>-45.630483176729427</v>
      </c>
      <c r="CU93" s="204">
        <f t="shared" si="142"/>
        <v>-45.640474548920572</v>
      </c>
      <c r="CV93" s="204">
        <f t="shared" si="142"/>
        <v>-45.650392798684976</v>
      </c>
      <c r="CW93" s="204">
        <f t="shared" si="142"/>
        <v>-45.660237347177791</v>
      </c>
      <c r="CX93" s="204">
        <f t="shared" si="142"/>
        <v>-45.670007659630265</v>
      </c>
      <c r="CY93" s="204">
        <f t="shared" si="142"/>
        <v>-45.670007659630265</v>
      </c>
      <c r="CZ93" s="204">
        <f t="shared" si="142"/>
        <v>-45.670007659630265</v>
      </c>
      <c r="DA93" s="204">
        <f t="shared" si="142"/>
        <v>-45.670007659630265</v>
      </c>
      <c r="DB93" s="204">
        <f t="shared" si="142"/>
        <v>-45.670007659630265</v>
      </c>
      <c r="DC93" s="204">
        <f t="shared" si="142"/>
        <v>-45.670007659630265</v>
      </c>
      <c r="DD93" s="204">
        <f t="shared" si="142"/>
        <v>-45.670007659630265</v>
      </c>
      <c r="DE93" s="204">
        <f t="shared" si="142"/>
        <v>-45.670007659630265</v>
      </c>
      <c r="DF93" s="204">
        <f t="shared" si="142"/>
        <v>-45.670007659630265</v>
      </c>
      <c r="DG93" s="204">
        <f t="shared" si="142"/>
        <v>-45.670007659630265</v>
      </c>
      <c r="DH93" s="204">
        <f t="shared" si="142"/>
        <v>-45.670007659630265</v>
      </c>
      <c r="DI93" s="204">
        <f t="shared" si="142"/>
        <v>-45.670007659630265</v>
      </c>
      <c r="DJ93" s="204">
        <f t="shared" si="142"/>
        <v>-45.670007659630265</v>
      </c>
      <c r="DK93" s="204">
        <f t="shared" si="142"/>
        <v>-45.670007659630265</v>
      </c>
      <c r="DL93" s="204">
        <f t="shared" si="142"/>
        <v>-45.670007659630265</v>
      </c>
      <c r="DM93" s="204">
        <f t="shared" si="142"/>
        <v>-45.670007659630265</v>
      </c>
      <c r="DN93" s="204">
        <f t="shared" si="142"/>
        <v>-45.670007659630265</v>
      </c>
      <c r="DO93" s="204">
        <f t="shared" si="142"/>
        <v>-45.670007659630265</v>
      </c>
      <c r="DP93" s="204">
        <f t="shared" si="142"/>
        <v>-45.670007659630265</v>
      </c>
      <c r="DQ93" s="204">
        <f t="shared" si="142"/>
        <v>-45.670007659630265</v>
      </c>
      <c r="DR93" s="204">
        <f t="shared" si="142"/>
        <v>-45.670007659630265</v>
      </c>
      <c r="DS93" s="204">
        <f t="shared" si="142"/>
        <v>-45.670007659630265</v>
      </c>
      <c r="DT93" s="204">
        <f t="shared" si="142"/>
        <v>-45.670007659630265</v>
      </c>
      <c r="DU93" s="204">
        <f t="shared" si="142"/>
        <v>-45.670007659630265</v>
      </c>
      <c r="DV93" s="204">
        <f t="shared" si="142"/>
        <v>-45.670007659630265</v>
      </c>
      <c r="DW93" s="204">
        <f t="shared" si="142"/>
        <v>-45.670007659630265</v>
      </c>
      <c r="DX93" s="204">
        <f t="shared" si="142"/>
        <v>-45.670007659630265</v>
      </c>
      <c r="DY93" s="204">
        <f t="shared" si="142"/>
        <v>-45.670007659630265</v>
      </c>
      <c r="DZ93" s="204">
        <f t="shared" si="142"/>
        <v>-45.670007659630265</v>
      </c>
      <c r="EA93" s="204">
        <f t="shared" si="142"/>
        <v>-45.670007659630265</v>
      </c>
      <c r="EB93" s="204">
        <f t="shared" si="142"/>
        <v>-45.670007659630265</v>
      </c>
      <c r="EC93" s="204">
        <f t="shared" si="142"/>
        <v>-45.670007659630265</v>
      </c>
      <c r="ED93" s="204">
        <f t="shared" si="142"/>
        <v>-45.670007659630265</v>
      </c>
      <c r="EE93" s="204">
        <f t="shared" si="142"/>
        <v>-45.670007659630265</v>
      </c>
      <c r="EF93" s="204">
        <f t="shared" si="142"/>
        <v>-45.670007659630265</v>
      </c>
      <c r="EG93" s="204">
        <f t="shared" ref="EG93:ET93" si="143">PV($F47,EG$9,1,0)+(PV($J$6,$N$5-(EG$9),1,0)/($J$6+1)^EG$9)</f>
        <v>-45.670007659630265</v>
      </c>
      <c r="EH93" s="204">
        <f t="shared" si="143"/>
        <v>-45.670007659630265</v>
      </c>
      <c r="EI93" s="204">
        <f t="shared" si="143"/>
        <v>-45.670007659630265</v>
      </c>
      <c r="EJ93" s="204">
        <f t="shared" si="143"/>
        <v>-45.670007659630265</v>
      </c>
      <c r="EK93" s="204">
        <f t="shared" si="143"/>
        <v>-45.670007659630265</v>
      </c>
      <c r="EL93" s="204">
        <f t="shared" si="143"/>
        <v>-45.670007659630265</v>
      </c>
      <c r="EM93" s="204">
        <f t="shared" si="143"/>
        <v>-45.670007659630265</v>
      </c>
      <c r="EN93" s="204">
        <f t="shared" si="143"/>
        <v>-45.670007659630265</v>
      </c>
      <c r="EO93" s="204">
        <f t="shared" si="143"/>
        <v>-45.670007659630265</v>
      </c>
      <c r="EP93" s="204">
        <f t="shared" si="143"/>
        <v>-45.670007659630265</v>
      </c>
      <c r="EQ93" s="204">
        <f t="shared" si="143"/>
        <v>-45.670007659630265</v>
      </c>
      <c r="ER93" s="204">
        <f t="shared" si="143"/>
        <v>-45.670007659630265</v>
      </c>
      <c r="ES93" s="204">
        <f t="shared" si="143"/>
        <v>-45.670007659630265</v>
      </c>
      <c r="ET93" s="204">
        <f t="shared" si="143"/>
        <v>-45.670007659630265</v>
      </c>
      <c r="FF93" s="6" t="s">
        <v>3343</v>
      </c>
      <c r="FG93" s="696">
        <v>2.5000000000000001E-2</v>
      </c>
      <c r="FH93" s="696">
        <v>120</v>
      </c>
      <c r="FI93" s="696">
        <v>1.6799999999999999E-2</v>
      </c>
      <c r="FJ93" s="255">
        <v>1.4199999999999999E-2</v>
      </c>
      <c r="FK93" s="71">
        <f t="shared" si="92"/>
        <v>2.5714285714285721E-4</v>
      </c>
      <c r="FL93" t="e">
        <f>VLOOKUP(FF93,'SIMULADOR COM SALDO'!$BX$22:$CK$1000,13,FALSE)</f>
        <v>#N/A</v>
      </c>
    </row>
    <row r="94" spans="7:168" x14ac:dyDescent="0.25">
      <c r="G94" s="103">
        <f t="shared" si="45"/>
        <v>-44.752680385014443</v>
      </c>
      <c r="H94" s="204">
        <f t="shared" si="46"/>
        <v>-44.753605005994821</v>
      </c>
      <c r="I94" s="204">
        <f t="shared" ref="I94:BT94" si="144">PV($F48,I$9,1,0)+(PV($J$6,$N$5-(I$9),1,0)/($J$6+1)^I$9)</f>
        <v>-44.754967071763815</v>
      </c>
      <c r="J94" s="204">
        <f t="shared" si="144"/>
        <v>-44.756750599629875</v>
      </c>
      <c r="K94" s="204">
        <f t="shared" si="144"/>
        <v>-44.758940039410206</v>
      </c>
      <c r="L94" s="204">
        <f t="shared" si="144"/>
        <v>-44.761520263058692</v>
      </c>
      <c r="M94" s="204">
        <f t="shared" si="144"/>
        <v>-44.764476554526773</v>
      </c>
      <c r="N94" s="204">
        <f t="shared" si="144"/>
        <v>-44.767794599852202</v>
      </c>
      <c r="O94" s="204">
        <f t="shared" si="144"/>
        <v>-44.771460477470818</v>
      </c>
      <c r="P94" s="204">
        <f t="shared" si="144"/>
        <v>-44.775460648746417</v>
      </c>
      <c r="Q94" s="204">
        <f t="shared" si="144"/>
        <v>-44.779781948714209</v>
      </c>
      <c r="R94" s="204">
        <f t="shared" si="144"/>
        <v>-44.784411577032905</v>
      </c>
      <c r="S94" s="204">
        <f t="shared" si="144"/>
        <v>-44.789337089141455</v>
      </c>
      <c r="T94" s="204">
        <f t="shared" si="144"/>
        <v>-44.794546387615426</v>
      </c>
      <c r="U94" s="204">
        <f t="shared" si="144"/>
        <v>-44.800027713719132</v>
      </c>
      <c r="V94" s="204">
        <f t="shared" si="144"/>
        <v>-44.805769639149027</v>
      </c>
      <c r="W94" s="204">
        <f t="shared" si="144"/>
        <v>-44.811761057964389</v>
      </c>
      <c r="X94" s="204">
        <f t="shared" si="144"/>
        <v>-44.817991178701071</v>
      </c>
      <c r="Y94" s="204">
        <f t="shared" si="144"/>
        <v>-44.824449516664529</v>
      </c>
      <c r="Z94" s="204">
        <f t="shared" si="144"/>
        <v>-44.831125886397999</v>
      </c>
      <c r="AA94" s="204">
        <f t="shared" si="144"/>
        <v>-44.838010394322325</v>
      </c>
      <c r="AB94" s="204">
        <f t="shared" si="144"/>
        <v>-44.84509343154339</v>
      </c>
      <c r="AC94" s="204">
        <f t="shared" si="144"/>
        <v>-44.852365666823701</v>
      </c>
      <c r="AD94" s="204">
        <f t="shared" si="144"/>
        <v>-44.859818039714497</v>
      </c>
      <c r="AE94" s="204">
        <f t="shared" si="144"/>
        <v>-44.867441753844915</v>
      </c>
      <c r="AF94" s="204">
        <f t="shared" si="144"/>
        <v>-44.875228270364772</v>
      </c>
      <c r="AG94" s="204">
        <f t="shared" si="144"/>
        <v>-44.883169301537436</v>
      </c>
      <c r="AH94" s="204">
        <f t="shared" si="144"/>
        <v>-44.891256804479951</v>
      </c>
      <c r="AI94" s="204">
        <f t="shared" si="144"/>
        <v>-44.899482975046709</v>
      </c>
      <c r="AJ94" s="204">
        <f t="shared" si="144"/>
        <v>-44.907840241853847</v>
      </c>
      <c r="AK94" s="204">
        <f t="shared" si="144"/>
        <v>-44.916321260441109</v>
      </c>
      <c r="AL94" s="204">
        <f t="shared" si="144"/>
        <v>-44.924918907568326</v>
      </c>
      <c r="AM94" s="204">
        <f t="shared" si="144"/>
        <v>-44.933626275643448</v>
      </c>
      <c r="AN94" s="204">
        <f t="shared" si="144"/>
        <v>-44.942436667279225</v>
      </c>
      <c r="AO94" s="204">
        <f t="shared" si="144"/>
        <v>-44.951343589975878</v>
      </c>
      <c r="AP94" s="204">
        <f t="shared" si="144"/>
        <v>-44.960340750926719</v>
      </c>
      <c r="AQ94" s="204">
        <f t="shared" si="144"/>
        <v>-44.969422051944385</v>
      </c>
      <c r="AR94" s="204">
        <f t="shared" si="144"/>
        <v>-44.978581584504596</v>
      </c>
      <c r="AS94" s="204">
        <f t="shared" si="144"/>
        <v>-44.987813624905314</v>
      </c>
      <c r="AT94" s="204">
        <f t="shared" si="144"/>
        <v>-44.9971126295383</v>
      </c>
      <c r="AU94" s="204">
        <f t="shared" si="144"/>
        <v>-45.006473230271041</v>
      </c>
      <c r="AV94" s="204">
        <f t="shared" si="144"/>
        <v>-45.015890229936211</v>
      </c>
      <c r="AW94" s="204">
        <f t="shared" si="144"/>
        <v>-45.025358597926584</v>
      </c>
      <c r="AX94" s="204">
        <f t="shared" si="144"/>
        <v>-45.034873465892886</v>
      </c>
      <c r="AY94" s="204">
        <f t="shared" si="144"/>
        <v>-45.044430123542448</v>
      </c>
      <c r="AZ94" s="204">
        <f t="shared" si="144"/>
        <v>-45.05402401453631</v>
      </c>
      <c r="BA94" s="204">
        <f t="shared" si="144"/>
        <v>-45.063650732482671</v>
      </c>
      <c r="BB94" s="204">
        <f t="shared" si="144"/>
        <v>-45.073306017024478</v>
      </c>
      <c r="BC94" s="204">
        <f t="shared" si="144"/>
        <v>-45.082985750019233</v>
      </c>
      <c r="BD94" s="204">
        <f t="shared" si="144"/>
        <v>-45.092685951808718</v>
      </c>
      <c r="BE94" s="204">
        <f t="shared" si="144"/>
        <v>-45.102402777576785</v>
      </c>
      <c r="BF94" s="204">
        <f t="shared" si="144"/>
        <v>-45.112132513793348</v>
      </c>
      <c r="BG94" s="204">
        <f t="shared" si="144"/>
        <v>-45.121871574742471</v>
      </c>
      <c r="BH94" s="204">
        <f t="shared" si="144"/>
        <v>-45.131616499132726</v>
      </c>
      <c r="BI94" s="204">
        <f t="shared" si="144"/>
        <v>-45.141363946788054</v>
      </c>
      <c r="BJ94" s="204">
        <f t="shared" si="144"/>
        <v>-45.15111069541733</v>
      </c>
      <c r="BK94" s="204">
        <f t="shared" si="144"/>
        <v>-45.160853637460797</v>
      </c>
      <c r="BL94" s="204">
        <f t="shared" si="144"/>
        <v>-45.170589777011671</v>
      </c>
      <c r="BM94" s="204">
        <f t="shared" si="144"/>
        <v>-45.180316226811307</v>
      </c>
      <c r="BN94" s="204">
        <f t="shared" si="144"/>
        <v>-45.190030205316212</v>
      </c>
      <c r="BO94" s="204">
        <f t="shared" si="144"/>
        <v>-45.199729033835254</v>
      </c>
      <c r="BP94" s="204">
        <f t="shared" si="144"/>
        <v>-45.209410133735673</v>
      </c>
      <c r="BQ94" s="204">
        <f t="shared" si="144"/>
        <v>-45.219071023716083</v>
      </c>
      <c r="BR94" s="204">
        <f t="shared" si="144"/>
        <v>-45.228709317145174</v>
      </c>
      <c r="BS94" s="204">
        <f t="shared" si="144"/>
        <v>-45.238322719464577</v>
      </c>
      <c r="BT94" s="204">
        <f t="shared" si="144"/>
        <v>-45.247909025654344</v>
      </c>
      <c r="BU94" s="204">
        <f t="shared" ref="BU94:EF94" si="145">PV($F48,BU$9,1,0)+(PV($J$6,$N$5-(BU$9),1,0)/($J$6+1)^BU$9)</f>
        <v>-45.257466117759847</v>
      </c>
      <c r="BV94" s="204">
        <f t="shared" si="145"/>
        <v>-45.26699196247845</v>
      </c>
      <c r="BW94" s="204">
        <f t="shared" si="145"/>
        <v>-45.276484608804829</v>
      </c>
      <c r="BX94" s="204">
        <f t="shared" si="145"/>
        <v>-45.285942185733447</v>
      </c>
      <c r="BY94" s="204">
        <f t="shared" si="145"/>
        <v>-45.295362900017025</v>
      </c>
      <c r="BZ94" s="204">
        <f t="shared" si="145"/>
        <v>-45.304745033979671</v>
      </c>
      <c r="CA94" s="204">
        <f t="shared" si="145"/>
        <v>-45.314086943383373</v>
      </c>
      <c r="CB94" s="204">
        <f t="shared" si="145"/>
        <v>-45.323387055346757</v>
      </c>
      <c r="CC94" s="204">
        <f t="shared" si="145"/>
        <v>-45.332643866314896</v>
      </c>
      <c r="CD94" s="204">
        <f t="shared" si="145"/>
        <v>-45.341855940078901</v>
      </c>
      <c r="CE94" s="204">
        <f t="shared" si="145"/>
        <v>-45.351021905844334</v>
      </c>
      <c r="CF94" s="204">
        <f t="shared" si="145"/>
        <v>-45.360140456347182</v>
      </c>
      <c r="CG94" s="204">
        <f t="shared" si="145"/>
        <v>-45.369210346016374</v>
      </c>
      <c r="CH94" s="204">
        <f t="shared" si="145"/>
        <v>-45.378230389181759</v>
      </c>
      <c r="CI94" s="204">
        <f t="shared" si="145"/>
        <v>-45.387199458326592</v>
      </c>
      <c r="CJ94" s="204">
        <f t="shared" si="145"/>
        <v>-45.396116482383285</v>
      </c>
      <c r="CK94" s="204">
        <f t="shared" si="145"/>
        <v>-45.404980445071708</v>
      </c>
      <c r="CL94" s="204">
        <f t="shared" si="145"/>
        <v>-45.413790383278865</v>
      </c>
      <c r="CM94" s="204">
        <f t="shared" si="145"/>
        <v>-45.422545385479083</v>
      </c>
      <c r="CN94" s="204">
        <f t="shared" si="145"/>
        <v>-45.431244590193792</v>
      </c>
      <c r="CO94" s="204">
        <f t="shared" si="145"/>
        <v>-45.439887184489862</v>
      </c>
      <c r="CP94" s="204">
        <f t="shared" si="145"/>
        <v>-45.448472402515804</v>
      </c>
      <c r="CQ94" s="204">
        <f t="shared" si="145"/>
        <v>-45.456999524074824</v>
      </c>
      <c r="CR94" s="204">
        <f t="shared" si="145"/>
        <v>-45.465467873233862</v>
      </c>
      <c r="CS94" s="204">
        <f t="shared" si="145"/>
        <v>-45.473876816967916</v>
      </c>
      <c r="CT94" s="204">
        <f t="shared" si="145"/>
        <v>-45.48222576383867</v>
      </c>
      <c r="CU94" s="204">
        <f t="shared" si="145"/>
        <v>-45.490514162706774</v>
      </c>
      <c r="CV94" s="204">
        <f t="shared" si="145"/>
        <v>-45.498741501476943</v>
      </c>
      <c r="CW94" s="204">
        <f t="shared" si="145"/>
        <v>-45.506907305875025</v>
      </c>
      <c r="CX94" s="204">
        <f t="shared" si="145"/>
        <v>-45.515011138256426</v>
      </c>
      <c r="CY94" s="204">
        <f t="shared" si="145"/>
        <v>-45.515011138256426</v>
      </c>
      <c r="CZ94" s="204">
        <f t="shared" si="145"/>
        <v>-45.515011138256426</v>
      </c>
      <c r="DA94" s="204">
        <f t="shared" si="145"/>
        <v>-45.515011138256426</v>
      </c>
      <c r="DB94" s="204">
        <f t="shared" si="145"/>
        <v>-45.515011138256426</v>
      </c>
      <c r="DC94" s="204">
        <f t="shared" si="145"/>
        <v>-45.515011138256426</v>
      </c>
      <c r="DD94" s="204">
        <f t="shared" si="145"/>
        <v>-45.515011138256426</v>
      </c>
      <c r="DE94" s="204">
        <f t="shared" si="145"/>
        <v>-45.515011138256426</v>
      </c>
      <c r="DF94" s="204">
        <f t="shared" si="145"/>
        <v>-45.515011138256426</v>
      </c>
      <c r="DG94" s="204">
        <f t="shared" si="145"/>
        <v>-45.515011138256426</v>
      </c>
      <c r="DH94" s="204">
        <f t="shared" si="145"/>
        <v>-45.515011138256426</v>
      </c>
      <c r="DI94" s="204">
        <f t="shared" si="145"/>
        <v>-45.515011138256426</v>
      </c>
      <c r="DJ94" s="204">
        <f t="shared" si="145"/>
        <v>-45.515011138256426</v>
      </c>
      <c r="DK94" s="204">
        <f t="shared" si="145"/>
        <v>-45.515011138256426</v>
      </c>
      <c r="DL94" s="204">
        <f t="shared" si="145"/>
        <v>-45.515011138256426</v>
      </c>
      <c r="DM94" s="204">
        <f t="shared" si="145"/>
        <v>-45.515011138256426</v>
      </c>
      <c r="DN94" s="204">
        <f t="shared" si="145"/>
        <v>-45.515011138256426</v>
      </c>
      <c r="DO94" s="204">
        <f t="shared" si="145"/>
        <v>-45.515011138256426</v>
      </c>
      <c r="DP94" s="204">
        <f t="shared" si="145"/>
        <v>-45.515011138256426</v>
      </c>
      <c r="DQ94" s="204">
        <f t="shared" si="145"/>
        <v>-45.515011138256426</v>
      </c>
      <c r="DR94" s="204">
        <f t="shared" si="145"/>
        <v>-45.515011138256426</v>
      </c>
      <c r="DS94" s="204">
        <f t="shared" si="145"/>
        <v>-45.515011138256426</v>
      </c>
      <c r="DT94" s="204">
        <f t="shared" si="145"/>
        <v>-45.515011138256426</v>
      </c>
      <c r="DU94" s="204">
        <f t="shared" si="145"/>
        <v>-45.515011138256426</v>
      </c>
      <c r="DV94" s="204">
        <f t="shared" si="145"/>
        <v>-45.515011138256426</v>
      </c>
      <c r="DW94" s="204">
        <f t="shared" si="145"/>
        <v>-45.515011138256426</v>
      </c>
      <c r="DX94" s="204">
        <f t="shared" si="145"/>
        <v>-45.515011138256426</v>
      </c>
      <c r="DY94" s="204">
        <f t="shared" si="145"/>
        <v>-45.515011138256426</v>
      </c>
      <c r="DZ94" s="204">
        <f t="shared" si="145"/>
        <v>-45.515011138256426</v>
      </c>
      <c r="EA94" s="204">
        <f t="shared" si="145"/>
        <v>-45.515011138256426</v>
      </c>
      <c r="EB94" s="204">
        <f t="shared" si="145"/>
        <v>-45.515011138256426</v>
      </c>
      <c r="EC94" s="204">
        <f t="shared" si="145"/>
        <v>-45.515011138256426</v>
      </c>
      <c r="ED94" s="204">
        <f t="shared" si="145"/>
        <v>-45.515011138256426</v>
      </c>
      <c r="EE94" s="204">
        <f t="shared" si="145"/>
        <v>-45.515011138256426</v>
      </c>
      <c r="EF94" s="204">
        <f t="shared" si="145"/>
        <v>-45.515011138256426</v>
      </c>
      <c r="EG94" s="204">
        <f t="shared" ref="EG94:ET94" si="146">PV($F48,EG$9,1,0)+(PV($J$6,$N$5-(EG$9),1,0)/($J$6+1)^EG$9)</f>
        <v>-45.515011138256426</v>
      </c>
      <c r="EH94" s="204">
        <f t="shared" si="146"/>
        <v>-45.515011138256426</v>
      </c>
      <c r="EI94" s="204">
        <f t="shared" si="146"/>
        <v>-45.515011138256426</v>
      </c>
      <c r="EJ94" s="204">
        <f t="shared" si="146"/>
        <v>-45.515011138256426</v>
      </c>
      <c r="EK94" s="204">
        <f t="shared" si="146"/>
        <v>-45.515011138256426</v>
      </c>
      <c r="EL94" s="204">
        <f t="shared" si="146"/>
        <v>-45.515011138256426</v>
      </c>
      <c r="EM94" s="204">
        <f t="shared" si="146"/>
        <v>-45.515011138256426</v>
      </c>
      <c r="EN94" s="204">
        <f t="shared" si="146"/>
        <v>-45.515011138256426</v>
      </c>
      <c r="EO94" s="204">
        <f t="shared" si="146"/>
        <v>-45.515011138256426</v>
      </c>
      <c r="EP94" s="204">
        <f t="shared" si="146"/>
        <v>-45.515011138256426</v>
      </c>
      <c r="EQ94" s="204">
        <f t="shared" si="146"/>
        <v>-45.515011138256426</v>
      </c>
      <c r="ER94" s="204">
        <f t="shared" si="146"/>
        <v>-45.515011138256426</v>
      </c>
      <c r="ES94" s="204">
        <f t="shared" si="146"/>
        <v>-45.515011138256426</v>
      </c>
      <c r="ET94" s="204">
        <f t="shared" si="146"/>
        <v>-45.515011138256426</v>
      </c>
      <c r="FF94" s="6" t="s">
        <v>3025</v>
      </c>
      <c r="FG94" s="696">
        <v>2.5000000000000001E-2</v>
      </c>
      <c r="FH94" s="696">
        <v>96</v>
      </c>
      <c r="FI94" s="696">
        <v>0.02</v>
      </c>
      <c r="FJ94" s="255">
        <v>1.46E-2</v>
      </c>
      <c r="FK94" s="71">
        <f t="shared" si="92"/>
        <v>2.4761904761904762E-4</v>
      </c>
      <c r="FL94" t="e">
        <f>VLOOKUP(FF94,'SIMULADOR COM SALDO'!$BX$22:$CK$1000,13,FALSE)</f>
        <v>#N/A</v>
      </c>
    </row>
    <row r="95" spans="7:168" x14ac:dyDescent="0.25">
      <c r="G95" s="103">
        <f t="shared" si="45"/>
        <v>-44.752586198828723</v>
      </c>
      <c r="H95" s="204">
        <f t="shared" si="46"/>
        <v>-44.75332578922179</v>
      </c>
      <c r="I95" s="204">
        <f t="shared" ref="I95:BT95" si="147">PV($F49,I$9,1,0)+(PV($J$6,$N$5-(I$9),1,0)/($J$6+1)^I$9)</f>
        <v>-44.754415232859387</v>
      </c>
      <c r="J95" s="204">
        <f t="shared" si="147"/>
        <v>-44.75584171308428</v>
      </c>
      <c r="K95" s="204">
        <f t="shared" si="147"/>
        <v>-44.757592760981659</v>
      </c>
      <c r="L95" s="204">
        <f t="shared" si="147"/>
        <v>-44.759656247018142</v>
      </c>
      <c r="M95" s="204">
        <f t="shared" si="147"/>
        <v>-44.762020372869216</v>
      </c>
      <c r="N95" s="204">
        <f t="shared" si="147"/>
        <v>-44.764673663430685</v>
      </c>
      <c r="O95" s="204">
        <f t="shared" si="147"/>
        <v>-44.767604959010441</v>
      </c>
      <c r="P95" s="204">
        <f t="shared" si="147"/>
        <v>-44.770803407696384</v>
      </c>
      <c r="Q95" s="204">
        <f t="shared" si="147"/>
        <v>-44.774258457896991</v>
      </c>
      <c r="R95" s="204">
        <f t="shared" si="147"/>
        <v>-44.777959851050355</v>
      </c>
      <c r="S95" s="204">
        <f t="shared" si="147"/>
        <v>-44.781897614498696</v>
      </c>
      <c r="T95" s="204">
        <f t="shared" si="147"/>
        <v>-44.786062054523967</v>
      </c>
      <c r="U95" s="204">
        <f t="shared" si="147"/>
        <v>-44.79044374954178</v>
      </c>
      <c r="V95" s="204">
        <f t="shared" si="147"/>
        <v>-44.795033543449684</v>
      </c>
      <c r="W95" s="204">
        <f t="shared" si="147"/>
        <v>-44.799822539126794</v>
      </c>
      <c r="X95" s="204">
        <f t="shared" si="147"/>
        <v>-44.804802092081253</v>
      </c>
      <c r="Y95" s="204">
        <f t="shared" si="147"/>
        <v>-44.809963804242507</v>
      </c>
      <c r="Z95" s="204">
        <f t="shared" si="147"/>
        <v>-44.815299517894978</v>
      </c>
      <c r="AA95" s="204">
        <f t="shared" si="147"/>
        <v>-44.820801309750394</v>
      </c>
      <c r="AB95" s="204">
        <f t="shared" si="147"/>
        <v>-44.82646148515542</v>
      </c>
      <c r="AC95" s="204">
        <f t="shared" si="147"/>
        <v>-44.832272572431854</v>
      </c>
      <c r="AD95" s="204">
        <f t="shared" si="147"/>
        <v>-44.83822731734648</v>
      </c>
      <c r="AE95" s="204">
        <f t="shared" si="147"/>
        <v>-44.844318677707598</v>
      </c>
      <c r="AF95" s="204">
        <f t="shared" si="147"/>
        <v>-44.850539818085636</v>
      </c>
      <c r="AG95" s="204">
        <f t="shared" si="147"/>
        <v>-44.856884104655009</v>
      </c>
      <c r="AH95" s="204">
        <f t="shared" si="147"/>
        <v>-44.863345100154632</v>
      </c>
      <c r="AI95" s="204">
        <f t="shared" si="147"/>
        <v>-44.869916558964519</v>
      </c>
      <c r="AJ95" s="204">
        <f t="shared" si="147"/>
        <v>-44.876592422295786</v>
      </c>
      <c r="AK95" s="204">
        <f t="shared" si="147"/>
        <v>-44.883366813491776</v>
      </c>
      <c r="AL95" s="204">
        <f t="shared" si="147"/>
        <v>-44.890234033437594</v>
      </c>
      <c r="AM95" s="204">
        <f t="shared" si="147"/>
        <v>-44.897188556076024</v>
      </c>
      <c r="AN95" s="204">
        <f t="shared" si="147"/>
        <v>-44.904225024027141</v>
      </c>
      <c r="AO95" s="204">
        <f t="shared" si="147"/>
        <v>-44.91133824430954</v>
      </c>
      <c r="AP95" s="204">
        <f t="shared" si="147"/>
        <v>-44.918523184160932</v>
      </c>
      <c r="AQ95" s="204">
        <f t="shared" si="147"/>
        <v>-44.925774966955828</v>
      </c>
      <c r="AR95" s="204">
        <f t="shared" si="147"/>
        <v>-44.933088868218228</v>
      </c>
      <c r="AS95" s="204">
        <f t="shared" si="147"/>
        <v>-44.94046031172725</v>
      </c>
      <c r="AT95" s="204">
        <f t="shared" si="147"/>
        <v>-44.947884865713576</v>
      </c>
      <c r="AU95" s="204">
        <f t="shared" si="147"/>
        <v>-44.955358239144729</v>
      </c>
      <c r="AV95" s="204">
        <f t="shared" si="147"/>
        <v>-44.962876278097312</v>
      </c>
      <c r="AW95" s="204">
        <f t="shared" si="147"/>
        <v>-44.970434962214064</v>
      </c>
      <c r="AX95" s="204">
        <f t="shared" si="147"/>
        <v>-44.978030401244112</v>
      </c>
      <c r="AY95" s="204">
        <f t="shared" si="147"/>
        <v>-44.985658831664381</v>
      </c>
      <c r="AZ95" s="204">
        <f t="shared" si="147"/>
        <v>-44.993316613380472</v>
      </c>
      <c r="BA95" s="204">
        <f t="shared" si="147"/>
        <v>-45.001000226505198</v>
      </c>
      <c r="BB95" s="204">
        <f t="shared" si="147"/>
        <v>-45.00870626821299</v>
      </c>
      <c r="BC95" s="204">
        <f t="shared" si="147"/>
        <v>-45.016431449668701</v>
      </c>
      <c r="BD95" s="204">
        <f t="shared" si="147"/>
        <v>-45.024172593028823</v>
      </c>
      <c r="BE95" s="204">
        <f t="shared" si="147"/>
        <v>-45.031926628513844</v>
      </c>
      <c r="BF95" s="204">
        <f t="shared" si="147"/>
        <v>-45.039690591549878</v>
      </c>
      <c r="BG95" s="204">
        <f t="shared" si="147"/>
        <v>-45.047461619978243</v>
      </c>
      <c r="BH95" s="204">
        <f t="shared" si="147"/>
        <v>-45.055236951331274</v>
      </c>
      <c r="BI95" s="204">
        <f t="shared" si="147"/>
        <v>-45.063013920173027</v>
      </c>
      <c r="BJ95" s="204">
        <f t="shared" si="147"/>
        <v>-45.070789955503415</v>
      </c>
      <c r="BK95" s="204">
        <f t="shared" si="147"/>
        <v>-45.078562578224286</v>
      </c>
      <c r="BL95" s="204">
        <f t="shared" si="147"/>
        <v>-45.086329398666031</v>
      </c>
      <c r="BM95" s="204">
        <f t="shared" si="147"/>
        <v>-45.094088114173552</v>
      </c>
      <c r="BN95" s="204">
        <f t="shared" si="147"/>
        <v>-45.101836506749976</v>
      </c>
      <c r="BO95" s="204">
        <f t="shared" si="147"/>
        <v>-45.109572440757105</v>
      </c>
      <c r="BP95" s="204">
        <f t="shared" si="147"/>
        <v>-45.117293860671069</v>
      </c>
      <c r="BQ95" s="204">
        <f t="shared" si="147"/>
        <v>-45.12499878889215</v>
      </c>
      <c r="BR95" s="204">
        <f t="shared" si="147"/>
        <v>-45.13268532360739</v>
      </c>
      <c r="BS95" s="204">
        <f t="shared" si="147"/>
        <v>-45.140351636704914</v>
      </c>
      <c r="BT95" s="204">
        <f t="shared" si="147"/>
        <v>-45.147995971738716</v>
      </c>
      <c r="BU95" s="204">
        <f t="shared" ref="BU95:EF95" si="148">PV($F49,BU$9,1,0)+(PV($J$6,$N$5-(BU$9),1,0)/($J$6+1)^BU$9)</f>
        <v>-45.155616641942856</v>
      </c>
      <c r="BV95" s="204">
        <f t="shared" si="148"/>
        <v>-45.163212028293778</v>
      </c>
      <c r="BW95" s="204">
        <f t="shared" si="148"/>
        <v>-45.170780577619944</v>
      </c>
      <c r="BX95" s="204">
        <f t="shared" si="148"/>
        <v>-45.178320800757412</v>
      </c>
      <c r="BY95" s="204">
        <f t="shared" si="148"/>
        <v>-45.185831270750455</v>
      </c>
      <c r="BZ95" s="204">
        <f t="shared" si="148"/>
        <v>-45.193310621096295</v>
      </c>
      <c r="CA95" s="204">
        <f t="shared" si="148"/>
        <v>-45.200757544032747</v>
      </c>
      <c r="CB95" s="204">
        <f t="shared" si="148"/>
        <v>-45.208170788867854</v>
      </c>
      <c r="CC95" s="204">
        <f t="shared" si="148"/>
        <v>-45.215549160350768</v>
      </c>
      <c r="CD95" s="204">
        <f t="shared" si="148"/>
        <v>-45.222891517082566</v>
      </c>
      <c r="CE95" s="204">
        <f t="shared" si="148"/>
        <v>-45.230196769966398</v>
      </c>
      <c r="CF95" s="204">
        <f t="shared" si="148"/>
        <v>-45.237463880695962</v>
      </c>
      <c r="CG95" s="204">
        <f t="shared" si="148"/>
        <v>-45.244691860281343</v>
      </c>
      <c r="CH95" s="204">
        <f t="shared" si="148"/>
        <v>-45.251879767611499</v>
      </c>
      <c r="CI95" s="204">
        <f t="shared" si="148"/>
        <v>-45.259026708052524</v>
      </c>
      <c r="CJ95" s="204">
        <f t="shared" si="148"/>
        <v>-45.266131832080731</v>
      </c>
      <c r="CK95" s="204">
        <f t="shared" si="148"/>
        <v>-45.273194333949967</v>
      </c>
      <c r="CL95" s="204">
        <f t="shared" si="148"/>
        <v>-45.280213450392218</v>
      </c>
      <c r="CM95" s="204">
        <f t="shared" si="148"/>
        <v>-45.287188459350773</v>
      </c>
      <c r="CN95" s="204">
        <f t="shared" si="148"/>
        <v>-45.294118678745242</v>
      </c>
      <c r="CO95" s="204">
        <f t="shared" si="148"/>
        <v>-45.301003465267641</v>
      </c>
      <c r="CP95" s="204">
        <f t="shared" si="148"/>
        <v>-45.307842213208822</v>
      </c>
      <c r="CQ95" s="204">
        <f t="shared" si="148"/>
        <v>-45.314634353314631</v>
      </c>
      <c r="CR95" s="204">
        <f t="shared" si="148"/>
        <v>-45.321379351670956</v>
      </c>
      <c r="CS95" s="204">
        <f t="shared" si="148"/>
        <v>-45.328076708617175</v>
      </c>
      <c r="CT95" s="204">
        <f t="shared" si="148"/>
        <v>-45.33472595768712</v>
      </c>
      <c r="CU95" s="204">
        <f t="shared" si="148"/>
        <v>-45.341326664577196</v>
      </c>
      <c r="CV95" s="204">
        <f t="shared" si="148"/>
        <v>-45.347878426140781</v>
      </c>
      <c r="CW95" s="204">
        <f t="shared" si="148"/>
        <v>-45.35438086940843</v>
      </c>
      <c r="CX95" s="204">
        <f t="shared" si="148"/>
        <v>-45.360833650633147</v>
      </c>
      <c r="CY95" s="204">
        <f t="shared" si="148"/>
        <v>-45.360833650633147</v>
      </c>
      <c r="CZ95" s="204">
        <f t="shared" si="148"/>
        <v>-45.360833650633147</v>
      </c>
      <c r="DA95" s="204">
        <f t="shared" si="148"/>
        <v>-45.360833650633147</v>
      </c>
      <c r="DB95" s="204">
        <f t="shared" si="148"/>
        <v>-45.360833650633147</v>
      </c>
      <c r="DC95" s="204">
        <f t="shared" si="148"/>
        <v>-45.360833650633147</v>
      </c>
      <c r="DD95" s="204">
        <f t="shared" si="148"/>
        <v>-45.360833650633147</v>
      </c>
      <c r="DE95" s="204">
        <f t="shared" si="148"/>
        <v>-45.360833650633147</v>
      </c>
      <c r="DF95" s="204">
        <f t="shared" si="148"/>
        <v>-45.360833650633147</v>
      </c>
      <c r="DG95" s="204">
        <f t="shared" si="148"/>
        <v>-45.360833650633147</v>
      </c>
      <c r="DH95" s="204">
        <f t="shared" si="148"/>
        <v>-45.360833650633147</v>
      </c>
      <c r="DI95" s="204">
        <f t="shared" si="148"/>
        <v>-45.360833650633147</v>
      </c>
      <c r="DJ95" s="204">
        <f t="shared" si="148"/>
        <v>-45.360833650633147</v>
      </c>
      <c r="DK95" s="204">
        <f t="shared" si="148"/>
        <v>-45.360833650633147</v>
      </c>
      <c r="DL95" s="204">
        <f t="shared" si="148"/>
        <v>-45.360833650633147</v>
      </c>
      <c r="DM95" s="204">
        <f t="shared" si="148"/>
        <v>-45.360833650633147</v>
      </c>
      <c r="DN95" s="204">
        <f t="shared" si="148"/>
        <v>-45.360833650633147</v>
      </c>
      <c r="DO95" s="204">
        <f t="shared" si="148"/>
        <v>-45.360833650633147</v>
      </c>
      <c r="DP95" s="204">
        <f t="shared" si="148"/>
        <v>-45.360833650633147</v>
      </c>
      <c r="DQ95" s="204">
        <f t="shared" si="148"/>
        <v>-45.360833650633147</v>
      </c>
      <c r="DR95" s="204">
        <f t="shared" si="148"/>
        <v>-45.360833650633147</v>
      </c>
      <c r="DS95" s="204">
        <f t="shared" si="148"/>
        <v>-45.360833650633147</v>
      </c>
      <c r="DT95" s="204">
        <f t="shared" si="148"/>
        <v>-45.360833650633147</v>
      </c>
      <c r="DU95" s="204">
        <f t="shared" si="148"/>
        <v>-45.360833650633147</v>
      </c>
      <c r="DV95" s="204">
        <f t="shared" si="148"/>
        <v>-45.360833650633147</v>
      </c>
      <c r="DW95" s="204">
        <f t="shared" si="148"/>
        <v>-45.360833650633147</v>
      </c>
      <c r="DX95" s="204">
        <f t="shared" si="148"/>
        <v>-45.360833650633147</v>
      </c>
      <c r="DY95" s="204">
        <f t="shared" si="148"/>
        <v>-45.360833650633147</v>
      </c>
      <c r="DZ95" s="204">
        <f t="shared" si="148"/>
        <v>-45.360833650633147</v>
      </c>
      <c r="EA95" s="204">
        <f t="shared" si="148"/>
        <v>-45.360833650633147</v>
      </c>
      <c r="EB95" s="204">
        <f t="shared" si="148"/>
        <v>-45.360833650633147</v>
      </c>
      <c r="EC95" s="204">
        <f t="shared" si="148"/>
        <v>-45.360833650633147</v>
      </c>
      <c r="ED95" s="204">
        <f t="shared" si="148"/>
        <v>-45.360833650633147</v>
      </c>
      <c r="EE95" s="204">
        <f t="shared" si="148"/>
        <v>-45.360833650633147</v>
      </c>
      <c r="EF95" s="204">
        <f t="shared" si="148"/>
        <v>-45.360833650633147</v>
      </c>
      <c r="EG95" s="204">
        <f t="shared" ref="EG95:ET95" si="149">PV($F49,EG$9,1,0)+(PV($J$6,$N$5-(EG$9),1,0)/($J$6+1)^EG$9)</f>
        <v>-45.360833650633147</v>
      </c>
      <c r="EH95" s="204">
        <f t="shared" si="149"/>
        <v>-45.360833650633147</v>
      </c>
      <c r="EI95" s="204">
        <f t="shared" si="149"/>
        <v>-45.360833650633147</v>
      </c>
      <c r="EJ95" s="204">
        <f t="shared" si="149"/>
        <v>-45.360833650633147</v>
      </c>
      <c r="EK95" s="204">
        <f t="shared" si="149"/>
        <v>-45.360833650633147</v>
      </c>
      <c r="EL95" s="204">
        <f t="shared" si="149"/>
        <v>-45.360833650633147</v>
      </c>
      <c r="EM95" s="204">
        <f t="shared" si="149"/>
        <v>-45.360833650633147</v>
      </c>
      <c r="EN95" s="204">
        <f t="shared" si="149"/>
        <v>-45.360833650633147</v>
      </c>
      <c r="EO95" s="204">
        <f t="shared" si="149"/>
        <v>-45.360833650633147</v>
      </c>
      <c r="EP95" s="204">
        <f t="shared" si="149"/>
        <v>-45.360833650633147</v>
      </c>
      <c r="EQ95" s="204">
        <f t="shared" si="149"/>
        <v>-45.360833650633147</v>
      </c>
      <c r="ER95" s="204">
        <f t="shared" si="149"/>
        <v>-45.360833650633147</v>
      </c>
      <c r="ES95" s="204">
        <f t="shared" si="149"/>
        <v>-45.360833650633147</v>
      </c>
      <c r="ET95" s="204">
        <f t="shared" si="149"/>
        <v>-45.360833650633147</v>
      </c>
      <c r="FF95" s="6" t="s">
        <v>3026</v>
      </c>
      <c r="FG95" s="696">
        <v>2.5000000000000001E-2</v>
      </c>
      <c r="FH95" s="696">
        <v>120</v>
      </c>
      <c r="FI95" s="696">
        <v>1.6799999999999999E-2</v>
      </c>
      <c r="FJ95" s="255">
        <v>1.4499999999999999E-2</v>
      </c>
      <c r="FK95" s="71">
        <f t="shared" si="92"/>
        <v>2.5000000000000006E-4</v>
      </c>
      <c r="FL95" t="e">
        <f>VLOOKUP(FF95,'SIMULADOR COM SALDO'!$BX$22:$CK$1000,13,FALSE)</f>
        <v>#N/A</v>
      </c>
    </row>
    <row r="96" spans="7:168" x14ac:dyDescent="0.25">
      <c r="G96" s="103">
        <f t="shared" si="45"/>
        <v>-44.752492030702903</v>
      </c>
      <c r="H96" s="204">
        <f t="shared" si="46"/>
        <v>-44.753046643724673</v>
      </c>
      <c r="I96" s="204">
        <f t="shared" ref="I96:BT96" si="150">PV($F50,I$9,1,0)+(PV($J$6,$N$5-(I$9),1,0)/($J$6+1)^I$9)</f>
        <v>-44.753863569769756</v>
      </c>
      <c r="J96" s="204">
        <f t="shared" si="150"/>
        <v>-44.754933173485846</v>
      </c>
      <c r="K96" s="204">
        <f t="shared" si="150"/>
        <v>-44.756246081632796</v>
      </c>
      <c r="L96" s="204">
        <f t="shared" si="150"/>
        <v>-44.757793176764153</v>
      </c>
      <c r="M96" s="204">
        <f t="shared" si="150"/>
        <v>-44.759565591051363</v>
      </c>
      <c r="N96" s="204">
        <f t="shared" si="150"/>
        <v>-44.761554700247501</v>
      </c>
      <c r="O96" s="204">
        <f t="shared" si="150"/>
        <v>-44.763752117787618</v>
      </c>
      <c r="P96" s="204">
        <f t="shared" si="150"/>
        <v>-44.76614968902237</v>
      </c>
      <c r="Q96" s="204">
        <f t="shared" si="150"/>
        <v>-44.768739485582586</v>
      </c>
      <c r="R96" s="204">
        <f t="shared" si="150"/>
        <v>-44.771513799871357</v>
      </c>
      <c r="S96" s="204">
        <f t="shared" si="150"/>
        <v>-44.77446513968151</v>
      </c>
      <c r="T96" s="204">
        <f t="shared" si="150"/>
        <v>-44.777586222935042</v>
      </c>
      <c r="U96" s="204">
        <f t="shared" si="150"/>
        <v>-44.780869972542462</v>
      </c>
      <c r="V96" s="204">
        <f t="shared" si="150"/>
        <v>-44.784309511379014</v>
      </c>
      <c r="W96" s="204">
        <f t="shared" si="150"/>
        <v>-44.787898157375587</v>
      </c>
      <c r="X96" s="204">
        <f t="shared" si="150"/>
        <v>-44.791629418721406</v>
      </c>
      <c r="Y96" s="204">
        <f t="shared" si="150"/>
        <v>-44.795496989176499</v>
      </c>
      <c r="Z96" s="204">
        <f t="shared" si="150"/>
        <v>-44.799494743491159</v>
      </c>
      <c r="AA96" s="204">
        <f t="shared" si="150"/>
        <v>-44.803616732930401</v>
      </c>
      <c r="AB96" s="204">
        <f t="shared" si="150"/>
        <v>-44.807857180900825</v>
      </c>
      <c r="AC96" s="204">
        <f t="shared" si="150"/>
        <v>-44.812210478677827</v>
      </c>
      <c r="AD96" s="204">
        <f t="shared" si="150"/>
        <v>-44.816671181230944</v>
      </c>
      <c r="AE96" s="204">
        <f t="shared" si="150"/>
        <v>-44.821234003145122</v>
      </c>
      <c r="AF96" s="204">
        <f t="shared" si="150"/>
        <v>-44.825893814635847</v>
      </c>
      <c r="AG96" s="204">
        <f t="shared" si="150"/>
        <v>-44.830645637656033</v>
      </c>
      <c r="AH96" s="204">
        <f t="shared" si="150"/>
        <v>-44.835484642092709</v>
      </c>
      <c r="AI96" s="204">
        <f t="shared" si="150"/>
        <v>-44.840406142051599</v>
      </c>
      <c r="AJ96" s="204">
        <f t="shared" si="150"/>
        <v>-44.845405592227429</v>
      </c>
      <c r="AK96" s="204">
        <f t="shared" si="150"/>
        <v>-44.850478584358349</v>
      </c>
      <c r="AL96" s="204">
        <f t="shared" si="150"/>
        <v>-44.855620843762395</v>
      </c>
      <c r="AM96" s="204">
        <f t="shared" si="150"/>
        <v>-44.860828225954393</v>
      </c>
      <c r="AN96" s="204">
        <f t="shared" si="150"/>
        <v>-44.866096713341335</v>
      </c>
      <c r="AO96" s="204">
        <f t="shared" si="150"/>
        <v>-44.871422411994608</v>
      </c>
      <c r="AP96" s="204">
        <f t="shared" si="150"/>
        <v>-44.87680154849734</v>
      </c>
      <c r="AQ96" s="204">
        <f t="shared" si="150"/>
        <v>-44.882230466865309</v>
      </c>
      <c r="AR96" s="204">
        <f t="shared" si="150"/>
        <v>-44.887705625539553</v>
      </c>
      <c r="AS96" s="204">
        <f t="shared" si="150"/>
        <v>-44.893223594449346</v>
      </c>
      <c r="AT96" s="204">
        <f t="shared" si="150"/>
        <v>-44.898781052143818</v>
      </c>
      <c r="AU96" s="204">
        <f t="shared" si="150"/>
        <v>-44.904374782990864</v>
      </c>
      <c r="AV96" s="204">
        <f t="shared" si="150"/>
        <v>-44.91000167444156</v>
      </c>
      <c r="AW96" s="204">
        <f t="shared" si="150"/>
        <v>-44.915658714358941</v>
      </c>
      <c r="AX96" s="204">
        <f t="shared" si="150"/>
        <v>-44.921342988409577</v>
      </c>
      <c r="AY96" s="204">
        <f t="shared" si="150"/>
        <v>-44.927051677516516</v>
      </c>
      <c r="AZ96" s="204">
        <f t="shared" si="150"/>
        <v>-44.932782055372343</v>
      </c>
      <c r="BA96" s="204">
        <f t="shared" si="150"/>
        <v>-44.93853148601076</v>
      </c>
      <c r="BB96" s="204">
        <f t="shared" si="150"/>
        <v>-44.94429742143582</v>
      </c>
      <c r="BC96" s="204">
        <f t="shared" si="150"/>
        <v>-44.950077399307148</v>
      </c>
      <c r="BD96" s="204">
        <f t="shared" si="150"/>
        <v>-44.955869040679929</v>
      </c>
      <c r="BE96" s="204">
        <f t="shared" si="150"/>
        <v>-44.961670047798734</v>
      </c>
      <c r="BF96" s="204">
        <f t="shared" si="150"/>
        <v>-44.967478201943628</v>
      </c>
      <c r="BG96" s="204">
        <f t="shared" si="150"/>
        <v>-44.973291361327682</v>
      </c>
      <c r="BH96" s="204">
        <f t="shared" si="150"/>
        <v>-44.979107459044435</v>
      </c>
      <c r="BI96" s="204">
        <f t="shared" si="150"/>
        <v>-44.984924501064469</v>
      </c>
      <c r="BJ96" s="204">
        <f t="shared" si="150"/>
        <v>-44.990740564279861</v>
      </c>
      <c r="BK96" s="204">
        <f t="shared" si="150"/>
        <v>-44.996553794595478</v>
      </c>
      <c r="BL96" s="204">
        <f t="shared" si="150"/>
        <v>-45.002362405065895</v>
      </c>
      <c r="BM96" s="204">
        <f t="shared" si="150"/>
        <v>-45.008164674077271</v>
      </c>
      <c r="BN96" s="204">
        <f t="shared" si="150"/>
        <v>-45.013958943572753</v>
      </c>
      <c r="BO96" s="204">
        <f t="shared" si="150"/>
        <v>-45.019743617320763</v>
      </c>
      <c r="BP96" s="204">
        <f t="shared" si="150"/>
        <v>-45.025517159225004</v>
      </c>
      <c r="BQ96" s="204">
        <f t="shared" si="150"/>
        <v>-45.031278091675262</v>
      </c>
      <c r="BR96" s="204">
        <f t="shared" si="150"/>
        <v>-45.037024993938225</v>
      </c>
      <c r="BS96" s="204">
        <f t="shared" si="150"/>
        <v>-45.042756500587245</v>
      </c>
      <c r="BT96" s="204">
        <f t="shared" si="150"/>
        <v>-45.048471299970188</v>
      </c>
      <c r="BU96" s="204">
        <f t="shared" ref="BU96:EF96" si="151">PV($F50,BU$9,1,0)+(PV($J$6,$N$5-(BU$9),1,0)/($J$6+1)^BU$9)</f>
        <v>-45.054168132714643</v>
      </c>
      <c r="BV96" s="204">
        <f t="shared" si="151"/>
        <v>-45.059845790269463</v>
      </c>
      <c r="BW96" s="204">
        <f t="shared" si="151"/>
        <v>-45.065503113481981</v>
      </c>
      <c r="BX96" s="204">
        <f t="shared" si="151"/>
        <v>-45.071138991209864</v>
      </c>
      <c r="BY96" s="204">
        <f t="shared" si="151"/>
        <v>-45.076752358967141</v>
      </c>
      <c r="BZ96" s="204">
        <f t="shared" si="151"/>
        <v>-45.082342197603303</v>
      </c>
      <c r="CA96" s="204">
        <f t="shared" si="151"/>
        <v>-45.087907532014896</v>
      </c>
      <c r="CB96" s="204">
        <f t="shared" si="151"/>
        <v>-45.093447429888876</v>
      </c>
      <c r="CC96" s="204">
        <f t="shared" si="151"/>
        <v>-45.098961000476898</v>
      </c>
      <c r="CD96" s="204">
        <f t="shared" si="151"/>
        <v>-45.104447393399887</v>
      </c>
      <c r="CE96" s="204">
        <f t="shared" si="151"/>
        <v>-45.109905797482291</v>
      </c>
      <c r="CF96" s="204">
        <f t="shared" si="151"/>
        <v>-45.115335439615109</v>
      </c>
      <c r="CG96" s="204">
        <f t="shared" si="151"/>
        <v>-45.120735583647232</v>
      </c>
      <c r="CH96" s="204">
        <f t="shared" si="151"/>
        <v>-45.126105529304425</v>
      </c>
      <c r="CI96" s="204">
        <f t="shared" si="151"/>
        <v>-45.131444611135215</v>
      </c>
      <c r="CJ96" s="204">
        <f t="shared" si="151"/>
        <v>-45.136752197483098</v>
      </c>
      <c r="CK96" s="204">
        <f t="shared" si="151"/>
        <v>-45.142027689484557</v>
      </c>
      <c r="CL96" s="204">
        <f t="shared" si="151"/>
        <v>-45.147270520092171</v>
      </c>
      <c r="CM96" s="204">
        <f t="shared" si="151"/>
        <v>-45.152480153122319</v>
      </c>
      <c r="CN96" s="204">
        <f t="shared" si="151"/>
        <v>-45.157656082326795</v>
      </c>
      <c r="CO96" s="204">
        <f t="shared" si="151"/>
        <v>-45.16279783048801</v>
      </c>
      <c r="CP96" s="204">
        <f t="shared" si="151"/>
        <v>-45.167904948536901</v>
      </c>
      <c r="CQ96" s="204">
        <f t="shared" si="151"/>
        <v>-45.172977014693387</v>
      </c>
      <c r="CR96" s="204">
        <f t="shared" si="151"/>
        <v>-45.178013633628552</v>
      </c>
      <c r="CS96" s="204">
        <f t="shared" si="151"/>
        <v>-45.183014435648168</v>
      </c>
      <c r="CT96" s="204">
        <f t="shared" si="151"/>
        <v>-45.18797907589709</v>
      </c>
      <c r="CU96" s="204">
        <f t="shared" si="151"/>
        <v>-45.192907233584016</v>
      </c>
      <c r="CV96" s="204">
        <f t="shared" si="151"/>
        <v>-45.197798611226119</v>
      </c>
      <c r="CW96" s="204">
        <f t="shared" si="151"/>
        <v>-45.202652933913001</v>
      </c>
      <c r="CX96" s="204">
        <f t="shared" si="151"/>
        <v>-45.20746994858974</v>
      </c>
      <c r="CY96" s="204">
        <f t="shared" si="151"/>
        <v>-45.20746994858974</v>
      </c>
      <c r="CZ96" s="204">
        <f t="shared" si="151"/>
        <v>-45.20746994858974</v>
      </c>
      <c r="DA96" s="204">
        <f t="shared" si="151"/>
        <v>-45.20746994858974</v>
      </c>
      <c r="DB96" s="204">
        <f t="shared" si="151"/>
        <v>-45.20746994858974</v>
      </c>
      <c r="DC96" s="204">
        <f t="shared" si="151"/>
        <v>-45.20746994858974</v>
      </c>
      <c r="DD96" s="204">
        <f t="shared" si="151"/>
        <v>-45.20746994858974</v>
      </c>
      <c r="DE96" s="204">
        <f t="shared" si="151"/>
        <v>-45.20746994858974</v>
      </c>
      <c r="DF96" s="204">
        <f t="shared" si="151"/>
        <v>-45.20746994858974</v>
      </c>
      <c r="DG96" s="204">
        <f t="shared" si="151"/>
        <v>-45.20746994858974</v>
      </c>
      <c r="DH96" s="204">
        <f t="shared" si="151"/>
        <v>-45.20746994858974</v>
      </c>
      <c r="DI96" s="204">
        <f t="shared" si="151"/>
        <v>-45.20746994858974</v>
      </c>
      <c r="DJ96" s="204">
        <f t="shared" si="151"/>
        <v>-45.20746994858974</v>
      </c>
      <c r="DK96" s="204">
        <f t="shared" si="151"/>
        <v>-45.20746994858974</v>
      </c>
      <c r="DL96" s="204">
        <f t="shared" si="151"/>
        <v>-45.20746994858974</v>
      </c>
      <c r="DM96" s="204">
        <f t="shared" si="151"/>
        <v>-45.20746994858974</v>
      </c>
      <c r="DN96" s="204">
        <f t="shared" si="151"/>
        <v>-45.20746994858974</v>
      </c>
      <c r="DO96" s="204">
        <f t="shared" si="151"/>
        <v>-45.20746994858974</v>
      </c>
      <c r="DP96" s="204">
        <f t="shared" si="151"/>
        <v>-45.20746994858974</v>
      </c>
      <c r="DQ96" s="204">
        <f t="shared" si="151"/>
        <v>-45.20746994858974</v>
      </c>
      <c r="DR96" s="204">
        <f t="shared" si="151"/>
        <v>-45.20746994858974</v>
      </c>
      <c r="DS96" s="204">
        <f t="shared" si="151"/>
        <v>-45.20746994858974</v>
      </c>
      <c r="DT96" s="204">
        <f t="shared" si="151"/>
        <v>-45.20746994858974</v>
      </c>
      <c r="DU96" s="204">
        <f t="shared" si="151"/>
        <v>-45.20746994858974</v>
      </c>
      <c r="DV96" s="204">
        <f t="shared" si="151"/>
        <v>-45.20746994858974</v>
      </c>
      <c r="DW96" s="204">
        <f t="shared" si="151"/>
        <v>-45.20746994858974</v>
      </c>
      <c r="DX96" s="204">
        <f t="shared" si="151"/>
        <v>-45.20746994858974</v>
      </c>
      <c r="DY96" s="204">
        <f t="shared" si="151"/>
        <v>-45.20746994858974</v>
      </c>
      <c r="DZ96" s="204">
        <f t="shared" si="151"/>
        <v>-45.20746994858974</v>
      </c>
      <c r="EA96" s="204">
        <f t="shared" si="151"/>
        <v>-45.20746994858974</v>
      </c>
      <c r="EB96" s="204">
        <f t="shared" si="151"/>
        <v>-45.20746994858974</v>
      </c>
      <c r="EC96" s="204">
        <f t="shared" si="151"/>
        <v>-45.20746994858974</v>
      </c>
      <c r="ED96" s="204">
        <f t="shared" si="151"/>
        <v>-45.20746994858974</v>
      </c>
      <c r="EE96" s="204">
        <f t="shared" si="151"/>
        <v>-45.20746994858974</v>
      </c>
      <c r="EF96" s="204">
        <f t="shared" si="151"/>
        <v>-45.20746994858974</v>
      </c>
      <c r="EG96" s="204">
        <f t="shared" ref="EG96:ET96" si="152">PV($F50,EG$9,1,0)+(PV($J$6,$N$5-(EG$9),1,0)/($J$6+1)^EG$9)</f>
        <v>-45.20746994858974</v>
      </c>
      <c r="EH96" s="204">
        <f t="shared" si="152"/>
        <v>-45.20746994858974</v>
      </c>
      <c r="EI96" s="204">
        <f t="shared" si="152"/>
        <v>-45.20746994858974</v>
      </c>
      <c r="EJ96" s="204">
        <f t="shared" si="152"/>
        <v>-45.20746994858974</v>
      </c>
      <c r="EK96" s="204">
        <f t="shared" si="152"/>
        <v>-45.20746994858974</v>
      </c>
      <c r="EL96" s="204">
        <f t="shared" si="152"/>
        <v>-45.20746994858974</v>
      </c>
      <c r="EM96" s="204">
        <f t="shared" si="152"/>
        <v>-45.20746994858974</v>
      </c>
      <c r="EN96" s="204">
        <f t="shared" si="152"/>
        <v>-45.20746994858974</v>
      </c>
      <c r="EO96" s="204">
        <f t="shared" si="152"/>
        <v>-45.20746994858974</v>
      </c>
      <c r="EP96" s="204">
        <f t="shared" si="152"/>
        <v>-45.20746994858974</v>
      </c>
      <c r="EQ96" s="204">
        <f t="shared" si="152"/>
        <v>-45.20746994858974</v>
      </c>
      <c r="ER96" s="204">
        <f t="shared" si="152"/>
        <v>-45.20746994858974</v>
      </c>
      <c r="ES96" s="204">
        <f t="shared" si="152"/>
        <v>-45.20746994858974</v>
      </c>
      <c r="ET96" s="204">
        <f t="shared" si="152"/>
        <v>-45.20746994858974</v>
      </c>
      <c r="FF96" s="6" t="s">
        <v>3027</v>
      </c>
      <c r="FG96" s="696">
        <v>2.5000000000000001E-2</v>
      </c>
      <c r="FH96" s="696">
        <v>120</v>
      </c>
      <c r="FI96" s="696">
        <v>2.1099999999999997E-2</v>
      </c>
      <c r="FJ96" s="255">
        <v>1.7000000000000001E-2</v>
      </c>
      <c r="FK96" s="71">
        <f t="shared" si="92"/>
        <v>1.9047619047619048E-4</v>
      </c>
      <c r="FL96" t="e">
        <f>VLOOKUP(FF96,'SIMULADOR COM SALDO'!$BX$22:$CK$1000,13,FALSE)</f>
        <v>#N/A</v>
      </c>
    </row>
    <row r="97" spans="7:168" x14ac:dyDescent="0.25">
      <c r="G97" s="103">
        <f t="shared" si="45"/>
        <v>-44.752397880631804</v>
      </c>
      <c r="H97" s="204">
        <f t="shared" si="46"/>
        <v>-44.752767569477882</v>
      </c>
      <c r="I97" s="204">
        <f t="shared" ref="I97:BT97" si="153">PV($F51,I$9,1,0)+(PV($J$6,$N$5-(I$9),1,0)/($J$6+1)^I$9)</f>
        <v>-44.753312082419221</v>
      </c>
      <c r="J97" s="204">
        <f t="shared" si="153"/>
        <v>-44.754024980660461</v>
      </c>
      <c r="K97" s="204">
        <f t="shared" si="153"/>
        <v>-44.754900001020374</v>
      </c>
      <c r="L97" s="204">
        <f t="shared" si="153"/>
        <v>-44.755931051687618</v>
      </c>
      <c r="M97" s="204">
        <f t="shared" si="153"/>
        <v>-44.757112208072456</v>
      </c>
      <c r="N97" s="204">
        <f t="shared" si="153"/>
        <v>-44.758437708752439</v>
      </c>
      <c r="O97" s="204">
        <f t="shared" si="153"/>
        <v>-44.759901951510059</v>
      </c>
      <c r="P97" s="204">
        <f t="shared" si="153"/>
        <v>-44.761499489460277</v>
      </c>
      <c r="Q97" s="204">
        <f t="shared" si="153"/>
        <v>-44.763225027266074</v>
      </c>
      <c r="R97" s="204">
        <f t="shared" si="153"/>
        <v>-44.765073417439936</v>
      </c>
      <c r="S97" s="204">
        <f t="shared" si="153"/>
        <v>-44.767039656729693</v>
      </c>
      <c r="T97" s="204">
        <f t="shared" si="153"/>
        <v>-44.769118882586554</v>
      </c>
      <c r="U97" s="204">
        <f t="shared" si="153"/>
        <v>-44.771306369713784</v>
      </c>
      <c r="V97" s="204">
        <f t="shared" si="153"/>
        <v>-44.773597526694068</v>
      </c>
      <c r="W97" s="204">
        <f t="shared" si="153"/>
        <v>-44.77598789269409</v>
      </c>
      <c r="X97" s="204">
        <f t="shared" si="153"/>
        <v>-44.778473134244322</v>
      </c>
      <c r="Y97" s="204">
        <f t="shared" si="153"/>
        <v>-44.781049042092732</v>
      </c>
      <c r="Z97" s="204">
        <f t="shared" si="153"/>
        <v>-44.783711528130482</v>
      </c>
      <c r="AA97" s="204">
        <f t="shared" si="153"/>
        <v>-44.786456622388208</v>
      </c>
      <c r="AB97" s="204">
        <f t="shared" si="153"/>
        <v>-44.789280470101318</v>
      </c>
      <c r="AC97" s="204">
        <f t="shared" si="153"/>
        <v>-44.792179328842778</v>
      </c>
      <c r="AD97" s="204">
        <f t="shared" si="153"/>
        <v>-44.795149565721871</v>
      </c>
      <c r="AE97" s="204">
        <f t="shared" si="153"/>
        <v>-44.798187654647521</v>
      </c>
      <c r="AF97" s="204">
        <f t="shared" si="153"/>
        <v>-44.801290173654799</v>
      </c>
      <c r="AG97" s="204">
        <f t="shared" si="153"/>
        <v>-44.804453802293096</v>
      </c>
      <c r="AH97" s="204">
        <f t="shared" si="153"/>
        <v>-44.807675319074797</v>
      </c>
      <c r="AI97" s="204">
        <f t="shared" si="153"/>
        <v>-44.810951598982854</v>
      </c>
      <c r="AJ97" s="204">
        <f t="shared" si="153"/>
        <v>-44.814279611036326</v>
      </c>
      <c r="AK97" s="204">
        <f t="shared" si="153"/>
        <v>-44.817656415912225</v>
      </c>
      <c r="AL97" s="204">
        <f t="shared" si="153"/>
        <v>-44.821079163622713</v>
      </c>
      <c r="AM97" s="204">
        <f t="shared" si="153"/>
        <v>-44.824545091246222</v>
      </c>
      <c r="AN97" s="204">
        <f t="shared" si="153"/>
        <v>-44.828051520711512</v>
      </c>
      <c r="AO97" s="204">
        <f t="shared" si="153"/>
        <v>-44.831595856633335</v>
      </c>
      <c r="AP97" s="204">
        <f t="shared" si="153"/>
        <v>-44.835175584198538</v>
      </c>
      <c r="AQ97" s="204">
        <f t="shared" si="153"/>
        <v>-44.838788267101705</v>
      </c>
      <c r="AR97" s="204">
        <f t="shared" si="153"/>
        <v>-44.842431545528981</v>
      </c>
      <c r="AS97" s="204">
        <f t="shared" si="153"/>
        <v>-44.846103134189214</v>
      </c>
      <c r="AT97" s="204">
        <f t="shared" si="153"/>
        <v>-44.84980082039116</v>
      </c>
      <c r="AU97" s="204">
        <f t="shared" si="153"/>
        <v>-44.853522462165976</v>
      </c>
      <c r="AV97" s="204">
        <f t="shared" si="153"/>
        <v>-44.857265986433816</v>
      </c>
      <c r="AW97" s="204">
        <f t="shared" si="153"/>
        <v>-44.861029387213499</v>
      </c>
      <c r="AX97" s="204">
        <f t="shared" si="153"/>
        <v>-44.864810723874555</v>
      </c>
      <c r="AY97" s="204">
        <f t="shared" si="153"/>
        <v>-44.868608119430377</v>
      </c>
      <c r="AZ97" s="204">
        <f t="shared" si="153"/>
        <v>-44.872419758871807</v>
      </c>
      <c r="BA97" s="204">
        <f t="shared" si="153"/>
        <v>-44.876243887540213</v>
      </c>
      <c r="BB97" s="204">
        <f t="shared" si="153"/>
        <v>-44.880078809538936</v>
      </c>
      <c r="BC97" s="204">
        <f t="shared" si="153"/>
        <v>-44.88392288618266</v>
      </c>
      <c r="BD97" s="204">
        <f t="shared" si="153"/>
        <v>-44.887774534483498</v>
      </c>
      <c r="BE97" s="204">
        <f t="shared" si="153"/>
        <v>-44.891632225673177</v>
      </c>
      <c r="BF97" s="204">
        <f t="shared" si="153"/>
        <v>-44.895494483760388</v>
      </c>
      <c r="BG97" s="204">
        <f t="shared" si="153"/>
        <v>-44.899359884122646</v>
      </c>
      <c r="BH97" s="204">
        <f t="shared" si="153"/>
        <v>-44.903227052131712</v>
      </c>
      <c r="BI97" s="204">
        <f t="shared" si="153"/>
        <v>-44.90709466181201</v>
      </c>
      <c r="BJ97" s="204">
        <f t="shared" si="153"/>
        <v>-44.910961434531131</v>
      </c>
      <c r="BK97" s="204">
        <f t="shared" si="153"/>
        <v>-44.914826137721882</v>
      </c>
      <c r="BL97" s="204">
        <f t="shared" si="153"/>
        <v>-44.91868758363487</v>
      </c>
      <c r="BM97" s="204">
        <f t="shared" si="153"/>
        <v>-44.922544628121372</v>
      </c>
      <c r="BN97" s="204">
        <f t="shared" si="153"/>
        <v>-44.926396169445354</v>
      </c>
      <c r="BO97" s="204">
        <f t="shared" si="153"/>
        <v>-44.930241147124285</v>
      </c>
      <c r="BP97" s="204">
        <f t="shared" si="153"/>
        <v>-44.934078540797998</v>
      </c>
      <c r="BQ97" s="204">
        <f t="shared" si="153"/>
        <v>-44.937907369124893</v>
      </c>
      <c r="BR97" s="204">
        <f t="shared" si="153"/>
        <v>-44.941726688705046</v>
      </c>
      <c r="BS97" s="204">
        <f t="shared" si="153"/>
        <v>-44.945535593029355</v>
      </c>
      <c r="BT97" s="204">
        <f t="shared" si="153"/>
        <v>-44.949333211454373</v>
      </c>
      <c r="BU97" s="204">
        <f t="shared" ref="BU97:EF97" si="154">PV($F51,BU$9,1,0)+(PV($J$6,$N$5-(BU$9),1,0)/($J$6+1)^BU$9)</f>
        <v>-44.953118708202155</v>
      </c>
      <c r="BV97" s="204">
        <f t="shared" si="154"/>
        <v>-44.956891281384436</v>
      </c>
      <c r="BW97" s="204">
        <f t="shared" si="154"/>
        <v>-44.96065016205084</v>
      </c>
      <c r="BX97" s="204">
        <f t="shared" si="154"/>
        <v>-44.964394613260247</v>
      </c>
      <c r="BY97" s="204">
        <f t="shared" si="154"/>
        <v>-44.968123929175121</v>
      </c>
      <c r="BZ97" s="204">
        <f t="shared" si="154"/>
        <v>-44.971837434178084</v>
      </c>
      <c r="CA97" s="204">
        <f t="shared" si="154"/>
        <v>-44.97553448201014</v>
      </c>
      <c r="CB97" s="204">
        <f t="shared" si="154"/>
        <v>-44.979214454930336</v>
      </c>
      <c r="CC97" s="204">
        <f t="shared" si="154"/>
        <v>-44.982876762896119</v>
      </c>
      <c r="CD97" s="204">
        <f t="shared" si="154"/>
        <v>-44.986520842764023</v>
      </c>
      <c r="CE97" s="204">
        <f t="shared" si="154"/>
        <v>-44.990146157510218</v>
      </c>
      <c r="CF97" s="204">
        <f t="shared" si="154"/>
        <v>-44.993752195470371</v>
      </c>
      <c r="CG97" s="204">
        <f t="shared" si="154"/>
        <v>-44.997338469598596</v>
      </c>
      <c r="CH97" s="204">
        <f t="shared" si="154"/>
        <v>-45.000904516744725</v>
      </c>
      <c r="CI97" s="204">
        <f t="shared" si="154"/>
        <v>-45.004449896949815</v>
      </c>
      <c r="CJ97" s="204">
        <f t="shared" si="154"/>
        <v>-45.0079741927592</v>
      </c>
      <c r="CK97" s="204">
        <f t="shared" si="154"/>
        <v>-45.01147700855288</v>
      </c>
      <c r="CL97" s="204">
        <f t="shared" si="154"/>
        <v>-45.014957969892706</v>
      </c>
      <c r="CM97" s="204">
        <f t="shared" si="154"/>
        <v>-45.018416722886059</v>
      </c>
      <c r="CN97" s="204">
        <f t="shared" si="154"/>
        <v>-45.021852933565583</v>
      </c>
      <c r="CO97" s="204">
        <f t="shared" si="154"/>
        <v>-45.02526628728468</v>
      </c>
      <c r="CP97" s="204">
        <f t="shared" si="154"/>
        <v>-45.028656488128256</v>
      </c>
      <c r="CQ97" s="204">
        <f t="shared" si="154"/>
        <v>-45.032023258338533</v>
      </c>
      <c r="CR97" s="204">
        <f t="shared" si="154"/>
        <v>-45.035366337755477</v>
      </c>
      <c r="CS97" s="204">
        <f t="shared" si="154"/>
        <v>-45.038685483271514</v>
      </c>
      <c r="CT97" s="204">
        <f t="shared" si="154"/>
        <v>-45.041980468300153</v>
      </c>
      <c r="CU97" s="204">
        <f t="shared" si="154"/>
        <v>-45.045251082258368</v>
      </c>
      <c r="CV97" s="204">
        <f t="shared" si="154"/>
        <v>-45.048497130062174</v>
      </c>
      <c r="CW97" s="204">
        <f t="shared" si="154"/>
        <v>-45.051718431635273</v>
      </c>
      <c r="CX97" s="204">
        <f t="shared" si="154"/>
        <v>-45.054914821430373</v>
      </c>
      <c r="CY97" s="204">
        <f t="shared" si="154"/>
        <v>-45.054914821430373</v>
      </c>
      <c r="CZ97" s="204">
        <f t="shared" si="154"/>
        <v>-45.054914821430373</v>
      </c>
      <c r="DA97" s="204">
        <f t="shared" si="154"/>
        <v>-45.054914821430373</v>
      </c>
      <c r="DB97" s="204">
        <f t="shared" si="154"/>
        <v>-45.054914821430373</v>
      </c>
      <c r="DC97" s="204">
        <f t="shared" si="154"/>
        <v>-45.054914821430373</v>
      </c>
      <c r="DD97" s="204">
        <f t="shared" si="154"/>
        <v>-45.054914821430373</v>
      </c>
      <c r="DE97" s="204">
        <f t="shared" si="154"/>
        <v>-45.054914821430373</v>
      </c>
      <c r="DF97" s="204">
        <f t="shared" si="154"/>
        <v>-45.054914821430373</v>
      </c>
      <c r="DG97" s="204">
        <f t="shared" si="154"/>
        <v>-45.054914821430373</v>
      </c>
      <c r="DH97" s="204">
        <f t="shared" si="154"/>
        <v>-45.054914821430373</v>
      </c>
      <c r="DI97" s="204">
        <f t="shared" si="154"/>
        <v>-45.054914821430373</v>
      </c>
      <c r="DJ97" s="204">
        <f t="shared" si="154"/>
        <v>-45.054914821430373</v>
      </c>
      <c r="DK97" s="204">
        <f t="shared" si="154"/>
        <v>-45.054914821430373</v>
      </c>
      <c r="DL97" s="204">
        <f t="shared" si="154"/>
        <v>-45.054914821430373</v>
      </c>
      <c r="DM97" s="204">
        <f t="shared" si="154"/>
        <v>-45.054914821430373</v>
      </c>
      <c r="DN97" s="204">
        <f t="shared" si="154"/>
        <v>-45.054914821430373</v>
      </c>
      <c r="DO97" s="204">
        <f t="shared" si="154"/>
        <v>-45.054914821430373</v>
      </c>
      <c r="DP97" s="204">
        <f t="shared" si="154"/>
        <v>-45.054914821430373</v>
      </c>
      <c r="DQ97" s="204">
        <f t="shared" si="154"/>
        <v>-45.054914821430373</v>
      </c>
      <c r="DR97" s="204">
        <f t="shared" si="154"/>
        <v>-45.054914821430373</v>
      </c>
      <c r="DS97" s="204">
        <f t="shared" si="154"/>
        <v>-45.054914821430373</v>
      </c>
      <c r="DT97" s="204">
        <f t="shared" si="154"/>
        <v>-45.054914821430373</v>
      </c>
      <c r="DU97" s="204">
        <f t="shared" si="154"/>
        <v>-45.054914821430373</v>
      </c>
      <c r="DV97" s="204">
        <f t="shared" si="154"/>
        <v>-45.054914821430373</v>
      </c>
      <c r="DW97" s="204">
        <f t="shared" si="154"/>
        <v>-45.054914821430373</v>
      </c>
      <c r="DX97" s="204">
        <f t="shared" si="154"/>
        <v>-45.054914821430373</v>
      </c>
      <c r="DY97" s="204">
        <f t="shared" si="154"/>
        <v>-45.054914821430373</v>
      </c>
      <c r="DZ97" s="204">
        <f t="shared" si="154"/>
        <v>-45.054914821430373</v>
      </c>
      <c r="EA97" s="204">
        <f t="shared" si="154"/>
        <v>-45.054914821430373</v>
      </c>
      <c r="EB97" s="204">
        <f t="shared" si="154"/>
        <v>-45.054914821430373</v>
      </c>
      <c r="EC97" s="204">
        <f t="shared" si="154"/>
        <v>-45.054914821430373</v>
      </c>
      <c r="ED97" s="204">
        <f t="shared" si="154"/>
        <v>-45.054914821430373</v>
      </c>
      <c r="EE97" s="204">
        <f t="shared" si="154"/>
        <v>-45.054914821430373</v>
      </c>
      <c r="EF97" s="204">
        <f t="shared" si="154"/>
        <v>-45.054914821430373</v>
      </c>
      <c r="EG97" s="204">
        <f t="shared" ref="EG97:ET97" si="155">PV($F51,EG$9,1,0)+(PV($J$6,$N$5-(EG$9),1,0)/($J$6+1)^EG$9)</f>
        <v>-45.054914821430373</v>
      </c>
      <c r="EH97" s="204">
        <f t="shared" si="155"/>
        <v>-45.054914821430373</v>
      </c>
      <c r="EI97" s="204">
        <f t="shared" si="155"/>
        <v>-45.054914821430373</v>
      </c>
      <c r="EJ97" s="204">
        <f t="shared" si="155"/>
        <v>-45.054914821430373</v>
      </c>
      <c r="EK97" s="204">
        <f t="shared" si="155"/>
        <v>-45.054914821430373</v>
      </c>
      <c r="EL97" s="204">
        <f t="shared" si="155"/>
        <v>-45.054914821430373</v>
      </c>
      <c r="EM97" s="204">
        <f t="shared" si="155"/>
        <v>-45.054914821430373</v>
      </c>
      <c r="EN97" s="204">
        <f t="shared" si="155"/>
        <v>-45.054914821430373</v>
      </c>
      <c r="EO97" s="204">
        <f t="shared" si="155"/>
        <v>-45.054914821430373</v>
      </c>
      <c r="EP97" s="204">
        <f t="shared" si="155"/>
        <v>-45.054914821430373</v>
      </c>
      <c r="EQ97" s="204">
        <f t="shared" si="155"/>
        <v>-45.054914821430373</v>
      </c>
      <c r="ER97" s="204">
        <f t="shared" si="155"/>
        <v>-45.054914821430373</v>
      </c>
      <c r="ES97" s="204">
        <f t="shared" si="155"/>
        <v>-45.054914821430373</v>
      </c>
      <c r="ET97" s="204">
        <f t="shared" si="155"/>
        <v>-45.054914821430373</v>
      </c>
      <c r="FF97" s="6" t="s">
        <v>211</v>
      </c>
      <c r="FG97" s="696">
        <v>2.5000000000000001E-2</v>
      </c>
      <c r="FH97" s="696">
        <v>120</v>
      </c>
      <c r="FI97" s="696">
        <v>1.7600000000000001E-2</v>
      </c>
      <c r="FJ97" s="255">
        <v>1.43E-2</v>
      </c>
      <c r="FK97" s="71">
        <f t="shared" si="92"/>
        <v>2.5476190476190477E-4</v>
      </c>
      <c r="FL97" t="e">
        <f>VLOOKUP(FF97,'SIMULADOR COM SALDO'!$BX$22:$CK$1000,13,FALSE)</f>
        <v>#N/A</v>
      </c>
    </row>
    <row r="98" spans="7:168" x14ac:dyDescent="0.25">
      <c r="G98" s="103">
        <f t="shared" si="45"/>
        <v>-44.752303748610238</v>
      </c>
      <c r="H98" s="204">
        <f t="shared" si="46"/>
        <v>-44.75248856645586</v>
      </c>
      <c r="I98" s="204">
        <f t="shared" ref="I98:BT98" si="156">PV($F52,I$9,1,0)+(PV($J$6,$N$5-(I$9),1,0)/($J$6+1)^I$9)</f>
        <v>-44.752760770732209</v>
      </c>
      <c r="J98" s="204">
        <f t="shared" si="156"/>
        <v>-44.75311713443417</v>
      </c>
      <c r="K98" s="204">
        <f t="shared" si="156"/>
        <v>-44.753554518801408</v>
      </c>
      <c r="L98" s="204">
        <f t="shared" si="156"/>
        <v>-44.754069871180008</v>
      </c>
      <c r="M98" s="204">
        <f t="shared" si="156"/>
        <v>-44.754660222932742</v>
      </c>
      <c r="N98" s="204">
        <f t="shared" si="156"/>
        <v>-44.755322687396792</v>
      </c>
      <c r="O98" s="204">
        <f t="shared" si="156"/>
        <v>-44.756054457887842</v>
      </c>
      <c r="P98" s="204">
        <f t="shared" si="156"/>
        <v>-44.756852805749602</v>
      </c>
      <c r="Q98" s="204">
        <f t="shared" si="156"/>
        <v>-44.757715078447838</v>
      </c>
      <c r="R98" s="204">
        <f t="shared" si="156"/>
        <v>-44.758638697707632</v>
      </c>
      <c r="S98" s="204">
        <f t="shared" si="156"/>
        <v>-44.759621157693481</v>
      </c>
      <c r="T98" s="204">
        <f t="shared" si="156"/>
        <v>-44.760660023230642</v>
      </c>
      <c r="U98" s="204">
        <f t="shared" si="156"/>
        <v>-44.761752928067338</v>
      </c>
      <c r="V98" s="204">
        <f t="shared" si="156"/>
        <v>-44.762897573176716</v>
      </c>
      <c r="W98" s="204">
        <f t="shared" si="156"/>
        <v>-44.76409172509765</v>
      </c>
      <c r="X98" s="204">
        <f t="shared" si="156"/>
        <v>-44.765333214313607</v>
      </c>
      <c r="Y98" s="204">
        <f t="shared" si="156"/>
        <v>-44.766619933668842</v>
      </c>
      <c r="Z98" s="204">
        <f t="shared" si="156"/>
        <v>-44.76794983682079</v>
      </c>
      <c r="AA98" s="204">
        <f t="shared" si="156"/>
        <v>-44.76932093672832</v>
      </c>
      <c r="AB98" s="204">
        <f t="shared" si="156"/>
        <v>-44.770731304174532</v>
      </c>
      <c r="AC98" s="204">
        <f t="shared" si="156"/>
        <v>-44.772179066323844</v>
      </c>
      <c r="AD98" s="204">
        <f t="shared" si="156"/>
        <v>-44.773662405312258</v>
      </c>
      <c r="AE98" s="204">
        <f t="shared" si="156"/>
        <v>-44.775179556870235</v>
      </c>
      <c r="AF98" s="204">
        <f t="shared" si="156"/>
        <v>-44.776728808977431</v>
      </c>
      <c r="AG98" s="204">
        <f t="shared" si="156"/>
        <v>-44.778308500548547</v>
      </c>
      <c r="AH98" s="204">
        <f t="shared" si="156"/>
        <v>-44.779917020149718</v>
      </c>
      <c r="AI98" s="204">
        <f t="shared" si="156"/>
        <v>-44.781552804744621</v>
      </c>
      <c r="AJ98" s="204">
        <f t="shared" si="156"/>
        <v>-44.78321433846979</v>
      </c>
      <c r="AK98" s="204">
        <f t="shared" si="156"/>
        <v>-44.784900151438343</v>
      </c>
      <c r="AL98" s="204">
        <f t="shared" si="156"/>
        <v>-44.786608818571615</v>
      </c>
      <c r="AM98" s="204">
        <f t="shared" si="156"/>
        <v>-44.788338958458077</v>
      </c>
      <c r="AN98" s="204">
        <f t="shared" si="156"/>
        <v>-44.790089232238799</v>
      </c>
      <c r="AO98" s="204">
        <f t="shared" si="156"/>
        <v>-44.791858342519042</v>
      </c>
      <c r="AP98" s="204">
        <f t="shared" si="156"/>
        <v>-44.793645032305264</v>
      </c>
      <c r="AQ98" s="204">
        <f t="shared" si="156"/>
        <v>-44.795448083967102</v>
      </c>
      <c r="AR98" s="204">
        <f t="shared" si="156"/>
        <v>-44.797266318223635</v>
      </c>
      <c r="AS98" s="204">
        <f t="shared" si="156"/>
        <v>-44.799098593153488</v>
      </c>
      <c r="AT98" s="204">
        <f t="shared" si="156"/>
        <v>-44.800943803228222</v>
      </c>
      <c r="AU98" s="204">
        <f t="shared" si="156"/>
        <v>-44.802800878368501</v>
      </c>
      <c r="AV98" s="204">
        <f t="shared" si="156"/>
        <v>-44.804668783022478</v>
      </c>
      <c r="AW98" s="204">
        <f t="shared" si="156"/>
        <v>-44.806546515265907</v>
      </c>
      <c r="AX98" s="204">
        <f t="shared" si="156"/>
        <v>-44.808433105923669</v>
      </c>
      <c r="AY98" s="204">
        <f t="shared" si="156"/>
        <v>-44.81032761771192</v>
      </c>
      <c r="AZ98" s="204">
        <f t="shared" si="156"/>
        <v>-44.812229144400696</v>
      </c>
      <c r="BA98" s="204">
        <f t="shared" si="156"/>
        <v>-44.814136809996299</v>
      </c>
      <c r="BB98" s="204">
        <f t="shared" si="156"/>
        <v>-44.816049767943241</v>
      </c>
      <c r="BC98" s="204">
        <f t="shared" si="156"/>
        <v>-44.817967200345038</v>
      </c>
      <c r="BD98" s="204">
        <f t="shared" si="156"/>
        <v>-44.819888317203649</v>
      </c>
      <c r="BE98" s="204">
        <f t="shared" si="156"/>
        <v>-44.821812355677082</v>
      </c>
      <c r="BF98" s="204">
        <f t="shared" si="156"/>
        <v>-44.823738579354703</v>
      </c>
      <c r="BG98" s="204">
        <f t="shared" si="156"/>
        <v>-44.825666277549963</v>
      </c>
      <c r="BH98" s="204">
        <f t="shared" si="156"/>
        <v>-44.827594764609913</v>
      </c>
      <c r="BI98" s="204">
        <f t="shared" si="156"/>
        <v>-44.829523379241479</v>
      </c>
      <c r="BJ98" s="204">
        <f t="shared" si="156"/>
        <v>-44.831451483853854</v>
      </c>
      <c r="BK98" s="204">
        <f t="shared" si="156"/>
        <v>-44.833378463916709</v>
      </c>
      <c r="BL98" s="204">
        <f t="shared" si="156"/>
        <v>-44.835303727333859</v>
      </c>
      <c r="BM98" s="204">
        <f t="shared" si="156"/>
        <v>-44.837226703832187</v>
      </c>
      <c r="BN98" s="204">
        <f t="shared" si="156"/>
        <v>-44.839146844365125</v>
      </c>
      <c r="BO98" s="204">
        <f t="shared" si="156"/>
        <v>-44.841063620530811</v>
      </c>
      <c r="BP98" s="204">
        <f t="shared" si="156"/>
        <v>-44.842976524004214</v>
      </c>
      <c r="BQ98" s="204">
        <f t="shared" si="156"/>
        <v>-44.844885065983092</v>
      </c>
      <c r="BR98" s="204">
        <f t="shared" si="156"/>
        <v>-44.846788776647514</v>
      </c>
      <c r="BS98" s="204">
        <f t="shared" si="156"/>
        <v>-44.848687204632405</v>
      </c>
      <c r="BT98" s="204">
        <f t="shared" si="156"/>
        <v>-44.850579916513126</v>
      </c>
      <c r="BU98" s="204">
        <f t="shared" ref="BU98:EF98" si="157">PV($F52,BU$9,1,0)+(PV($J$6,$N$5-(BU$9),1,0)/($J$6+1)^BU$9)</f>
        <v>-44.852466496303563</v>
      </c>
      <c r="BV98" s="204">
        <f t="shared" si="157"/>
        <v>-44.854346544966482</v>
      </c>
      <c r="BW98" s="204">
        <f t="shared" si="157"/>
        <v>-44.856219679935982</v>
      </c>
      <c r="BX98" s="204">
        <f t="shared" si="157"/>
        <v>-44.858085534651643</v>
      </c>
      <c r="BY98" s="204">
        <f t="shared" si="157"/>
        <v>-44.859943758104116</v>
      </c>
      <c r="BZ98" s="204">
        <f t="shared" si="157"/>
        <v>-44.861794014392004</v>
      </c>
      <c r="CA98" s="204">
        <f t="shared" si="157"/>
        <v>-44.863635982289651</v>
      </c>
      <c r="CB98" s="204">
        <f t="shared" si="157"/>
        <v>-44.865469354825592</v>
      </c>
      <c r="CC98" s="204">
        <f t="shared" si="157"/>
        <v>-44.867293838871547</v>
      </c>
      <c r="CD98" s="204">
        <f t="shared" si="157"/>
        <v>-44.86910915474153</v>
      </c>
      <c r="CE98" s="204">
        <f t="shared" si="157"/>
        <v>-44.87091503580109</v>
      </c>
      <c r="CF98" s="204">
        <f t="shared" si="157"/>
        <v>-44.872711228086075</v>
      </c>
      <c r="CG98" s="204">
        <f t="shared" si="157"/>
        <v>-44.874497489931152</v>
      </c>
      <c r="CH98" s="204">
        <f t="shared" si="157"/>
        <v>-44.876273591607514</v>
      </c>
      <c r="CI98" s="204">
        <f t="shared" si="157"/>
        <v>-44.878039314969634</v>
      </c>
      <c r="CJ98" s="204">
        <f t="shared" si="157"/>
        <v>-44.879794453111046</v>
      </c>
      <c r="CK98" s="204">
        <f t="shared" si="157"/>
        <v>-44.881538810028637</v>
      </c>
      <c r="CL98" s="204">
        <f t="shared" si="157"/>
        <v>-44.883272200295529</v>
      </c>
      <c r="CM98" s="204">
        <f t="shared" si="157"/>
        <v>-44.884994448742198</v>
      </c>
      <c r="CN98" s="204">
        <f t="shared" si="157"/>
        <v>-44.886705390145636</v>
      </c>
      <c r="CO98" s="204">
        <f t="shared" si="157"/>
        <v>-44.888404868926465</v>
      </c>
      <c r="CP98" s="204">
        <f t="shared" si="157"/>
        <v>-44.89009273885376</v>
      </c>
      <c r="CQ98" s="204">
        <f t="shared" si="157"/>
        <v>-44.891768862757353</v>
      </c>
      <c r="CR98" s="204">
        <f t="shared" si="157"/>
        <v>-44.893433112247536</v>
      </c>
      <c r="CS98" s="204">
        <f t="shared" si="157"/>
        <v>-44.895085367441951</v>
      </c>
      <c r="CT98" s="204">
        <f t="shared" si="157"/>
        <v>-44.896725516699426</v>
      </c>
      <c r="CU98" s="204">
        <f t="shared" si="157"/>
        <v>-44.898353456360766</v>
      </c>
      <c r="CV98" s="204">
        <f t="shared" si="157"/>
        <v>-44.899969090496157</v>
      </c>
      <c r="CW98" s="204">
        <f t="shared" si="157"/>
        <v>-44.901572330659114</v>
      </c>
      <c r="CX98" s="204">
        <f t="shared" si="157"/>
        <v>-44.903163095646832</v>
      </c>
      <c r="CY98" s="204">
        <f t="shared" si="157"/>
        <v>-44.903163095646832</v>
      </c>
      <c r="CZ98" s="204">
        <f t="shared" si="157"/>
        <v>-44.903163095646832</v>
      </c>
      <c r="DA98" s="204">
        <f t="shared" si="157"/>
        <v>-44.903163095646832</v>
      </c>
      <c r="DB98" s="204">
        <f t="shared" si="157"/>
        <v>-44.903163095646832</v>
      </c>
      <c r="DC98" s="204">
        <f t="shared" si="157"/>
        <v>-44.903163095646832</v>
      </c>
      <c r="DD98" s="204">
        <f t="shared" si="157"/>
        <v>-44.903163095646832</v>
      </c>
      <c r="DE98" s="204">
        <f t="shared" si="157"/>
        <v>-44.903163095646832</v>
      </c>
      <c r="DF98" s="204">
        <f t="shared" si="157"/>
        <v>-44.903163095646832</v>
      </c>
      <c r="DG98" s="204">
        <f t="shared" si="157"/>
        <v>-44.903163095646832</v>
      </c>
      <c r="DH98" s="204">
        <f t="shared" si="157"/>
        <v>-44.903163095646832</v>
      </c>
      <c r="DI98" s="204">
        <f t="shared" si="157"/>
        <v>-44.903163095646832</v>
      </c>
      <c r="DJ98" s="204">
        <f t="shared" si="157"/>
        <v>-44.903163095646832</v>
      </c>
      <c r="DK98" s="204">
        <f t="shared" si="157"/>
        <v>-44.903163095646832</v>
      </c>
      <c r="DL98" s="204">
        <f t="shared" si="157"/>
        <v>-44.903163095646832</v>
      </c>
      <c r="DM98" s="204">
        <f t="shared" si="157"/>
        <v>-44.903163095646832</v>
      </c>
      <c r="DN98" s="204">
        <f t="shared" si="157"/>
        <v>-44.903163095646832</v>
      </c>
      <c r="DO98" s="204">
        <f t="shared" si="157"/>
        <v>-44.903163095646832</v>
      </c>
      <c r="DP98" s="204">
        <f t="shared" si="157"/>
        <v>-44.903163095646832</v>
      </c>
      <c r="DQ98" s="204">
        <f t="shared" si="157"/>
        <v>-44.903163095646832</v>
      </c>
      <c r="DR98" s="204">
        <f t="shared" si="157"/>
        <v>-44.903163095646832</v>
      </c>
      <c r="DS98" s="204">
        <f t="shared" si="157"/>
        <v>-44.903163095646832</v>
      </c>
      <c r="DT98" s="204">
        <f t="shared" si="157"/>
        <v>-44.903163095646832</v>
      </c>
      <c r="DU98" s="204">
        <f t="shared" si="157"/>
        <v>-44.903163095646832</v>
      </c>
      <c r="DV98" s="204">
        <f t="shared" si="157"/>
        <v>-44.903163095646832</v>
      </c>
      <c r="DW98" s="204">
        <f t="shared" si="157"/>
        <v>-44.903163095646832</v>
      </c>
      <c r="DX98" s="204">
        <f t="shared" si="157"/>
        <v>-44.903163095646832</v>
      </c>
      <c r="DY98" s="204">
        <f t="shared" si="157"/>
        <v>-44.903163095646832</v>
      </c>
      <c r="DZ98" s="204">
        <f t="shared" si="157"/>
        <v>-44.903163095646832</v>
      </c>
      <c r="EA98" s="204">
        <f t="shared" si="157"/>
        <v>-44.903163095646832</v>
      </c>
      <c r="EB98" s="204">
        <f t="shared" si="157"/>
        <v>-44.903163095646832</v>
      </c>
      <c r="EC98" s="204">
        <f t="shared" si="157"/>
        <v>-44.903163095646832</v>
      </c>
      <c r="ED98" s="204">
        <f t="shared" si="157"/>
        <v>-44.903163095646832</v>
      </c>
      <c r="EE98" s="204">
        <f t="shared" si="157"/>
        <v>-44.903163095646832</v>
      </c>
      <c r="EF98" s="204">
        <f t="shared" si="157"/>
        <v>-44.903163095646832</v>
      </c>
      <c r="EG98" s="204">
        <f t="shared" ref="EG98:ET98" si="158">PV($F52,EG$9,1,0)+(PV($J$6,$N$5-(EG$9),1,0)/($J$6+1)^EG$9)</f>
        <v>-44.903163095646832</v>
      </c>
      <c r="EH98" s="204">
        <f t="shared" si="158"/>
        <v>-44.903163095646832</v>
      </c>
      <c r="EI98" s="204">
        <f t="shared" si="158"/>
        <v>-44.903163095646832</v>
      </c>
      <c r="EJ98" s="204">
        <f t="shared" si="158"/>
        <v>-44.903163095646832</v>
      </c>
      <c r="EK98" s="204">
        <f t="shared" si="158"/>
        <v>-44.903163095646832</v>
      </c>
      <c r="EL98" s="204">
        <f t="shared" si="158"/>
        <v>-44.903163095646832</v>
      </c>
      <c r="EM98" s="204">
        <f t="shared" si="158"/>
        <v>-44.903163095646832</v>
      </c>
      <c r="EN98" s="204">
        <f t="shared" si="158"/>
        <v>-44.903163095646832</v>
      </c>
      <c r="EO98" s="204">
        <f t="shared" si="158"/>
        <v>-44.903163095646832</v>
      </c>
      <c r="EP98" s="204">
        <f t="shared" si="158"/>
        <v>-44.903163095646832</v>
      </c>
      <c r="EQ98" s="204">
        <f t="shared" si="158"/>
        <v>-44.903163095646832</v>
      </c>
      <c r="ER98" s="204">
        <f t="shared" si="158"/>
        <v>-44.903163095646832</v>
      </c>
      <c r="ES98" s="204">
        <f t="shared" si="158"/>
        <v>-44.903163095646832</v>
      </c>
      <c r="ET98" s="204">
        <f t="shared" si="158"/>
        <v>-44.903163095646832</v>
      </c>
      <c r="FF98" s="6" t="s">
        <v>360</v>
      </c>
      <c r="FG98" s="696">
        <v>2.5000000000000001E-2</v>
      </c>
      <c r="FH98" s="696">
        <v>120</v>
      </c>
      <c r="FI98" s="696">
        <v>1.7600000000000001E-2</v>
      </c>
      <c r="FJ98" s="255">
        <v>1.43E-2</v>
      </c>
      <c r="FK98" s="71">
        <f t="shared" si="92"/>
        <v>2.5476190476190477E-4</v>
      </c>
      <c r="FL98" t="e">
        <f>VLOOKUP(FF98,'SIMULADOR COM SALDO'!$BX$22:$CK$1000,13,FALSE)</f>
        <v>#N/A</v>
      </c>
    </row>
    <row r="99" spans="7:168" x14ac:dyDescent="0.25">
      <c r="G99" s="103">
        <f t="shared" si="45"/>
        <v>-44.752209634632997</v>
      </c>
      <c r="H99" s="204">
        <f t="shared" si="46"/>
        <v>-44.752209634632997</v>
      </c>
      <c r="I99" s="204">
        <f t="shared" ref="I99:BT99" si="159">PV($F53,I$9,1,0)+(PV($J$6,$N$5-(I$9),1,0)/($J$6+1)^I$9)</f>
        <v>-44.752209634632997</v>
      </c>
      <c r="J99" s="204">
        <f t="shared" si="159"/>
        <v>-44.752209634633004</v>
      </c>
      <c r="K99" s="204">
        <f t="shared" si="159"/>
        <v>-44.752209634633004</v>
      </c>
      <c r="L99" s="204">
        <f t="shared" si="159"/>
        <v>-44.752209634633004</v>
      </c>
      <c r="M99" s="204">
        <f t="shared" si="159"/>
        <v>-44.752209634633004</v>
      </c>
      <c r="N99" s="204">
        <f t="shared" si="159"/>
        <v>-44.752209634633004</v>
      </c>
      <c r="O99" s="204">
        <f t="shared" si="159"/>
        <v>-44.752209634633004</v>
      </c>
      <c r="P99" s="204">
        <f t="shared" si="159"/>
        <v>-44.75220963463299</v>
      </c>
      <c r="Q99" s="204">
        <f t="shared" si="159"/>
        <v>-44.752209634633004</v>
      </c>
      <c r="R99" s="204">
        <f t="shared" si="159"/>
        <v>-44.752209634632997</v>
      </c>
      <c r="S99" s="204">
        <f t="shared" si="159"/>
        <v>-44.752209634633004</v>
      </c>
      <c r="T99" s="204">
        <f t="shared" si="159"/>
        <v>-44.752209634632997</v>
      </c>
      <c r="U99" s="204">
        <f t="shared" si="159"/>
        <v>-44.752209634632997</v>
      </c>
      <c r="V99" s="204">
        <f t="shared" si="159"/>
        <v>-44.752209634633004</v>
      </c>
      <c r="W99" s="204">
        <f t="shared" si="159"/>
        <v>-44.752209634632997</v>
      </c>
      <c r="X99" s="204">
        <f t="shared" si="159"/>
        <v>-44.752209634633004</v>
      </c>
      <c r="Y99" s="204">
        <f t="shared" si="159"/>
        <v>-44.752209634633004</v>
      </c>
      <c r="Z99" s="204">
        <f t="shared" si="159"/>
        <v>-44.752209634633004</v>
      </c>
      <c r="AA99" s="204">
        <f t="shared" si="159"/>
        <v>-44.752209634632997</v>
      </c>
      <c r="AB99" s="204">
        <f t="shared" si="159"/>
        <v>-44.752209634632997</v>
      </c>
      <c r="AC99" s="204">
        <f t="shared" si="159"/>
        <v>-44.752209634633004</v>
      </c>
      <c r="AD99" s="204">
        <f t="shared" si="159"/>
        <v>-44.752209634632997</v>
      </c>
      <c r="AE99" s="204">
        <f t="shared" si="159"/>
        <v>-44.75220963463299</v>
      </c>
      <c r="AF99" s="204">
        <f t="shared" si="159"/>
        <v>-44.752209634632997</v>
      </c>
      <c r="AG99" s="204">
        <f t="shared" si="159"/>
        <v>-44.75220963463299</v>
      </c>
      <c r="AH99" s="204">
        <f t="shared" si="159"/>
        <v>-44.752209634632997</v>
      </c>
      <c r="AI99" s="204">
        <f t="shared" si="159"/>
        <v>-44.752209634632997</v>
      </c>
      <c r="AJ99" s="204">
        <f t="shared" si="159"/>
        <v>-44.752209634632997</v>
      </c>
      <c r="AK99" s="204">
        <f t="shared" si="159"/>
        <v>-44.752209634632997</v>
      </c>
      <c r="AL99" s="204">
        <f t="shared" si="159"/>
        <v>-44.752209634632997</v>
      </c>
      <c r="AM99" s="204">
        <f t="shared" si="159"/>
        <v>-44.75220963463299</v>
      </c>
      <c r="AN99" s="204">
        <f t="shared" si="159"/>
        <v>-44.752209634632997</v>
      </c>
      <c r="AO99" s="204">
        <f t="shared" si="159"/>
        <v>-44.75220963463299</v>
      </c>
      <c r="AP99" s="204">
        <f t="shared" si="159"/>
        <v>-44.75220963463299</v>
      </c>
      <c r="AQ99" s="204">
        <f t="shared" si="159"/>
        <v>-44.75220963463299</v>
      </c>
      <c r="AR99" s="204">
        <f t="shared" si="159"/>
        <v>-44.75220963463299</v>
      </c>
      <c r="AS99" s="204">
        <f t="shared" si="159"/>
        <v>-44.752209634632997</v>
      </c>
      <c r="AT99" s="204">
        <f t="shared" si="159"/>
        <v>-44.752209634632997</v>
      </c>
      <c r="AU99" s="204">
        <f t="shared" si="159"/>
        <v>-44.75220963463299</v>
      </c>
      <c r="AV99" s="204">
        <f t="shared" si="159"/>
        <v>-44.75220963463299</v>
      </c>
      <c r="AW99" s="204">
        <f t="shared" si="159"/>
        <v>-44.752209634632997</v>
      </c>
      <c r="AX99" s="204">
        <f t="shared" si="159"/>
        <v>-44.752209634632997</v>
      </c>
      <c r="AY99" s="204">
        <f t="shared" si="159"/>
        <v>-44.75220963463299</v>
      </c>
      <c r="AZ99" s="204">
        <f t="shared" si="159"/>
        <v>-44.75220963463299</v>
      </c>
      <c r="BA99" s="204">
        <f t="shared" si="159"/>
        <v>-44.75220963463299</v>
      </c>
      <c r="BB99" s="204">
        <f t="shared" si="159"/>
        <v>-44.75220963463299</v>
      </c>
      <c r="BC99" s="204">
        <f t="shared" si="159"/>
        <v>-44.75220963463299</v>
      </c>
      <c r="BD99" s="204">
        <f t="shared" si="159"/>
        <v>-44.75220963463299</v>
      </c>
      <c r="BE99" s="204">
        <f t="shared" si="159"/>
        <v>-44.75220963463299</v>
      </c>
      <c r="BF99" s="204">
        <f t="shared" si="159"/>
        <v>-44.75220963463299</v>
      </c>
      <c r="BG99" s="204">
        <f t="shared" si="159"/>
        <v>-44.75220963463299</v>
      </c>
      <c r="BH99" s="204">
        <f t="shared" si="159"/>
        <v>-44.752209634632997</v>
      </c>
      <c r="BI99" s="204">
        <f t="shared" si="159"/>
        <v>-44.752209634632997</v>
      </c>
      <c r="BJ99" s="204">
        <f t="shared" si="159"/>
        <v>-44.75220963463299</v>
      </c>
      <c r="BK99" s="204">
        <f t="shared" si="159"/>
        <v>-44.752209634632997</v>
      </c>
      <c r="BL99" s="204">
        <f t="shared" si="159"/>
        <v>-44.752209634632997</v>
      </c>
      <c r="BM99" s="204">
        <f t="shared" si="159"/>
        <v>-44.752209634632997</v>
      </c>
      <c r="BN99" s="204">
        <f t="shared" si="159"/>
        <v>-44.75220963463299</v>
      </c>
      <c r="BO99" s="204">
        <f t="shared" si="159"/>
        <v>-44.752209634632997</v>
      </c>
      <c r="BP99" s="204">
        <f t="shared" si="159"/>
        <v>-44.752209634632997</v>
      </c>
      <c r="BQ99" s="204">
        <f t="shared" si="159"/>
        <v>-44.75220963463299</v>
      </c>
      <c r="BR99" s="204">
        <f t="shared" si="159"/>
        <v>-44.752209634632997</v>
      </c>
      <c r="BS99" s="204">
        <f t="shared" si="159"/>
        <v>-44.75220963463299</v>
      </c>
      <c r="BT99" s="204">
        <f t="shared" si="159"/>
        <v>-44.75220963463299</v>
      </c>
      <c r="BU99" s="204">
        <f t="shared" ref="BU99:EF99" si="160">PV($F53,BU$9,1,0)+(PV($J$6,$N$5-(BU$9),1,0)/($J$6+1)^BU$9)</f>
        <v>-44.752209634632997</v>
      </c>
      <c r="BV99" s="204">
        <f t="shared" si="160"/>
        <v>-44.752209634632997</v>
      </c>
      <c r="BW99" s="204">
        <f t="shared" si="160"/>
        <v>-44.752209634632997</v>
      </c>
      <c r="BX99" s="204">
        <f t="shared" si="160"/>
        <v>-44.752209634632997</v>
      </c>
      <c r="BY99" s="204">
        <f t="shared" si="160"/>
        <v>-44.752209634632997</v>
      </c>
      <c r="BZ99" s="204">
        <f t="shared" si="160"/>
        <v>-44.75220963463299</v>
      </c>
      <c r="CA99" s="204">
        <f t="shared" si="160"/>
        <v>-44.752209634632997</v>
      </c>
      <c r="CB99" s="204">
        <f t="shared" si="160"/>
        <v>-44.75220963463299</v>
      </c>
      <c r="CC99" s="204">
        <f t="shared" si="160"/>
        <v>-44.752209634632997</v>
      </c>
      <c r="CD99" s="204">
        <f t="shared" si="160"/>
        <v>-44.752209634632997</v>
      </c>
      <c r="CE99" s="204">
        <f t="shared" si="160"/>
        <v>-44.752209634632997</v>
      </c>
      <c r="CF99" s="204">
        <f t="shared" si="160"/>
        <v>-44.752209634632997</v>
      </c>
      <c r="CG99" s="204">
        <f t="shared" si="160"/>
        <v>-44.752209634632997</v>
      </c>
      <c r="CH99" s="204">
        <f t="shared" si="160"/>
        <v>-44.752209634632997</v>
      </c>
      <c r="CI99" s="204">
        <f t="shared" si="160"/>
        <v>-44.75220963463299</v>
      </c>
      <c r="CJ99" s="204">
        <f t="shared" si="160"/>
        <v>-44.752209634632997</v>
      </c>
      <c r="CK99" s="204">
        <f t="shared" si="160"/>
        <v>-44.752209634632997</v>
      </c>
      <c r="CL99" s="204">
        <f t="shared" si="160"/>
        <v>-44.752209634632997</v>
      </c>
      <c r="CM99" s="204">
        <f t="shared" si="160"/>
        <v>-44.75220963463299</v>
      </c>
      <c r="CN99" s="204">
        <f t="shared" si="160"/>
        <v>-44.752209634632997</v>
      </c>
      <c r="CO99" s="204">
        <f t="shared" si="160"/>
        <v>-44.752209634632997</v>
      </c>
      <c r="CP99" s="204">
        <f t="shared" si="160"/>
        <v>-44.752209634632997</v>
      </c>
      <c r="CQ99" s="204">
        <f t="shared" si="160"/>
        <v>-44.75220963463299</v>
      </c>
      <c r="CR99" s="204">
        <f t="shared" si="160"/>
        <v>-44.75220963463299</v>
      </c>
      <c r="CS99" s="204">
        <f t="shared" si="160"/>
        <v>-44.75220963463299</v>
      </c>
      <c r="CT99" s="204">
        <f t="shared" si="160"/>
        <v>-44.752209634632997</v>
      </c>
      <c r="CU99" s="204">
        <f t="shared" si="160"/>
        <v>-44.75220963463299</v>
      </c>
      <c r="CV99" s="204">
        <f t="shared" si="160"/>
        <v>-44.752209634632997</v>
      </c>
      <c r="CW99" s="204">
        <f t="shared" si="160"/>
        <v>-44.752209634632997</v>
      </c>
      <c r="CX99" s="204">
        <f t="shared" si="160"/>
        <v>-44.752209634632997</v>
      </c>
      <c r="CY99" s="204">
        <f t="shared" si="160"/>
        <v>-44.752209634632997</v>
      </c>
      <c r="CZ99" s="204">
        <f t="shared" si="160"/>
        <v>-44.752209634632997</v>
      </c>
      <c r="DA99" s="204">
        <f t="shared" si="160"/>
        <v>-44.752209634632997</v>
      </c>
      <c r="DB99" s="204">
        <f t="shared" si="160"/>
        <v>-44.752209634632997</v>
      </c>
      <c r="DC99" s="204">
        <f t="shared" si="160"/>
        <v>-44.752209634632997</v>
      </c>
      <c r="DD99" s="204">
        <f t="shared" si="160"/>
        <v>-44.752209634632997</v>
      </c>
      <c r="DE99" s="204">
        <f t="shared" si="160"/>
        <v>-44.752209634632997</v>
      </c>
      <c r="DF99" s="204">
        <f t="shared" si="160"/>
        <v>-44.752209634632997</v>
      </c>
      <c r="DG99" s="204">
        <f t="shared" si="160"/>
        <v>-44.752209634632997</v>
      </c>
      <c r="DH99" s="204">
        <f t="shared" si="160"/>
        <v>-44.752209634632997</v>
      </c>
      <c r="DI99" s="204">
        <f t="shared" si="160"/>
        <v>-44.752209634632997</v>
      </c>
      <c r="DJ99" s="204">
        <f t="shared" si="160"/>
        <v>-44.752209634632997</v>
      </c>
      <c r="DK99" s="204">
        <f t="shared" si="160"/>
        <v>-44.752209634632997</v>
      </c>
      <c r="DL99" s="204">
        <f t="shared" si="160"/>
        <v>-44.752209634632997</v>
      </c>
      <c r="DM99" s="204">
        <f t="shared" si="160"/>
        <v>-44.752209634632997</v>
      </c>
      <c r="DN99" s="204">
        <f t="shared" si="160"/>
        <v>-44.752209634632997</v>
      </c>
      <c r="DO99" s="204">
        <f t="shared" si="160"/>
        <v>-44.752209634632997</v>
      </c>
      <c r="DP99" s="204">
        <f t="shared" si="160"/>
        <v>-44.752209634632997</v>
      </c>
      <c r="DQ99" s="204">
        <f t="shared" si="160"/>
        <v>-44.752209634632997</v>
      </c>
      <c r="DR99" s="204">
        <f t="shared" si="160"/>
        <v>-44.752209634632997</v>
      </c>
      <c r="DS99" s="204">
        <f t="shared" si="160"/>
        <v>-44.752209634632997</v>
      </c>
      <c r="DT99" s="204">
        <f t="shared" si="160"/>
        <v>-44.752209634632997</v>
      </c>
      <c r="DU99" s="204">
        <f t="shared" si="160"/>
        <v>-44.752209634632997</v>
      </c>
      <c r="DV99" s="204">
        <f t="shared" si="160"/>
        <v>-44.752209634632997</v>
      </c>
      <c r="DW99" s="204">
        <f t="shared" si="160"/>
        <v>-44.752209634632997</v>
      </c>
      <c r="DX99" s="204">
        <f t="shared" si="160"/>
        <v>-44.752209634632997</v>
      </c>
      <c r="DY99" s="204">
        <f t="shared" si="160"/>
        <v>-44.752209634632997</v>
      </c>
      <c r="DZ99" s="204">
        <f t="shared" si="160"/>
        <v>-44.752209634632997</v>
      </c>
      <c r="EA99" s="204">
        <f t="shared" si="160"/>
        <v>-44.752209634632997</v>
      </c>
      <c r="EB99" s="204">
        <f t="shared" si="160"/>
        <v>-44.752209634632997</v>
      </c>
      <c r="EC99" s="204">
        <f t="shared" si="160"/>
        <v>-44.752209634632997</v>
      </c>
      <c r="ED99" s="204">
        <f t="shared" si="160"/>
        <v>-44.752209634632997</v>
      </c>
      <c r="EE99" s="204">
        <f t="shared" si="160"/>
        <v>-44.752209634632997</v>
      </c>
      <c r="EF99" s="204">
        <f t="shared" si="160"/>
        <v>-44.752209634632997</v>
      </c>
      <c r="EG99" s="204">
        <f t="shared" ref="EG99:ET99" si="161">PV($F53,EG$9,1,0)+(PV($J$6,$N$5-(EG$9),1,0)/($J$6+1)^EG$9)</f>
        <v>-44.752209634632997</v>
      </c>
      <c r="EH99" s="204">
        <f t="shared" si="161"/>
        <v>-44.752209634632997</v>
      </c>
      <c r="EI99" s="204">
        <f t="shared" si="161"/>
        <v>-44.752209634632997</v>
      </c>
      <c r="EJ99" s="204">
        <f t="shared" si="161"/>
        <v>-44.752209634632997</v>
      </c>
      <c r="EK99" s="204">
        <f t="shared" si="161"/>
        <v>-44.752209634632997</v>
      </c>
      <c r="EL99" s="204">
        <f t="shared" si="161"/>
        <v>-44.752209634632997</v>
      </c>
      <c r="EM99" s="204">
        <f t="shared" si="161"/>
        <v>-44.752209634632997</v>
      </c>
      <c r="EN99" s="204">
        <f t="shared" si="161"/>
        <v>-44.752209634632997</v>
      </c>
      <c r="EO99" s="204">
        <f t="shared" si="161"/>
        <v>-44.752209634632997</v>
      </c>
      <c r="EP99" s="204">
        <f t="shared" si="161"/>
        <v>-44.752209634632997</v>
      </c>
      <c r="EQ99" s="204">
        <f t="shared" si="161"/>
        <v>-44.752209634632997</v>
      </c>
      <c r="ER99" s="204">
        <f t="shared" si="161"/>
        <v>-44.752209634632997</v>
      </c>
      <c r="ES99" s="204">
        <f t="shared" si="161"/>
        <v>-44.752209634632997</v>
      </c>
      <c r="ET99" s="204">
        <f t="shared" si="161"/>
        <v>-44.752209634632997</v>
      </c>
      <c r="FF99" s="6" t="s">
        <v>381</v>
      </c>
      <c r="FG99" s="696">
        <v>2.5000000000000001E-2</v>
      </c>
      <c r="FH99" s="696">
        <v>120</v>
      </c>
      <c r="FI99" s="696">
        <v>1.7500000000000002E-2</v>
      </c>
      <c r="FJ99" s="255">
        <v>1.5900000000000001E-2</v>
      </c>
      <c r="FK99" s="71">
        <f t="shared" si="92"/>
        <v>2.1666666666666668E-4</v>
      </c>
      <c r="FL99" t="e">
        <f>VLOOKUP(FF99,'SIMULADOR COM SALDO'!$BX$22:$CK$1000,13,FALSE)</f>
        <v>#N/A</v>
      </c>
    </row>
    <row r="100" spans="7:168" x14ac:dyDescent="0.25">
      <c r="G100" s="103">
        <f t="shared" si="45"/>
        <v>-44.770373601250576</v>
      </c>
      <c r="H100" s="204">
        <f t="shared" si="46"/>
        <v>-44.806371604802436</v>
      </c>
      <c r="I100" s="204">
        <f t="shared" ref="I100:BT100" si="162">PV($F54,I$9,1,0)+(PV($J$6,$N$5-(I$9),1,0)/($J$6+1)^I$9)</f>
        <v>-44.859879708437063</v>
      </c>
      <c r="J100" s="204">
        <f t="shared" si="162"/>
        <v>-44.930579859281075</v>
      </c>
      <c r="K100" s="204">
        <f t="shared" si="162"/>
        <v>-45.018159781562872</v>
      </c>
      <c r="L100" s="204">
        <f t="shared" si="162"/>
        <v>-45.122312871677551</v>
      </c>
      <c r="M100" s="204">
        <f t="shared" si="162"/>
        <v>-45.24273809515784</v>
      </c>
      <c r="N100" s="204">
        <f t="shared" si="162"/>
        <v>-45.379139885516487</v>
      </c>
      <c r="O100" s="204">
        <f t="shared" si="162"/>
        <v>-45.53122804492606</v>
      </c>
      <c r="P100" s="204">
        <f t="shared" si="162"/>
        <v>-45.698717646702761</v>
      </c>
      <c r="Q100" s="204">
        <f t="shared" si="162"/>
        <v>-45.881328939561598</v>
      </c>
      <c r="R100" s="204">
        <f t="shared" si="162"/>
        <v>-46.078787253610507</v>
      </c>
      <c r="S100" s="204">
        <f t="shared" si="162"/>
        <v>-46.290822908052249</v>
      </c>
      <c r="T100" s="204">
        <f t="shared" si="162"/>
        <v>-46.517171120562551</v>
      </c>
      <c r="U100" s="204">
        <f t="shared" si="162"/>
        <v>-46.75757191831444</v>
      </c>
      <c r="V100" s="204">
        <f t="shared" si="162"/>
        <v>-47.011770050618708</v>
      </c>
      <c r="W100" s="204">
        <f t="shared" si="162"/>
        <v>-47.279514903151124</v>
      </c>
      <c r="X100" s="204">
        <f t="shared" si="162"/>
        <v>-47.560560413737676</v>
      </c>
      <c r="Y100" s="204">
        <f t="shared" si="162"/>
        <v>-47.854664989669509</v>
      </c>
      <c r="Z100" s="204">
        <f t="shared" si="162"/>
        <v>-48.161591426519607</v>
      </c>
      <c r="AA100" s="204">
        <f t="shared" si="162"/>
        <v>-48.481106828434278</v>
      </c>
      <c r="AB100" s="204">
        <f t="shared" si="162"/>
        <v>-48.81298252987235</v>
      </c>
      <c r="AC100" s="204">
        <f t="shared" si="162"/>
        <v>-49.156994018765893</v>
      </c>
      <c r="AD100" s="204">
        <f t="shared" si="162"/>
        <v>-49.51292086107668</v>
      </c>
      <c r="AE100" s="204">
        <f t="shared" si="162"/>
        <v>-49.880546626723003</v>
      </c>
      <c r="AF100" s="204">
        <f t="shared" si="162"/>
        <v>-50.259658816851953</v>
      </c>
      <c r="AG100" s="204">
        <f t="shared" si="162"/>
        <v>-50.650048792432663</v>
      </c>
      <c r="AH100" s="204">
        <f t="shared" si="162"/>
        <v>-51.051511704146662</v>
      </c>
      <c r="AI100" s="204">
        <f t="shared" si="162"/>
        <v>-51.463846423551665</v>
      </c>
      <c r="AJ100" s="204">
        <f t="shared" si="162"/>
        <v>-51.886855475495707</v>
      </c>
      <c r="AK100" s="204">
        <f t="shared" si="162"/>
        <v>-52.320344971758878</v>
      </c>
      <c r="AL100" s="204">
        <f t="shared" si="162"/>
        <v>-52.76412454590043</v>
      </c>
      <c r="AM100" s="204">
        <f t="shared" si="162"/>
        <v>-53.218007289289282</v>
      </c>
      <c r="AN100" s="204">
        <f t="shared" si="162"/>
        <v>-53.681809688296511</v>
      </c>
      <c r="AO100" s="204">
        <f t="shared" si="162"/>
        <v>-54.155351562628589</v>
      </c>
      <c r="AP100" s="204">
        <f t="shared" si="162"/>
        <v>-54.638456004780849</v>
      </c>
      <c r="AQ100" s="204">
        <f t="shared" si="162"/>
        <v>-55.130949320590631</v>
      </c>
      <c r="AR100" s="204">
        <f t="shared" si="162"/>
        <v>-55.632660970870248</v>
      </c>
      <c r="AS100" s="204">
        <f t="shared" si="162"/>
        <v>-56.143423514100107</v>
      </c>
      <c r="AT100" s="204">
        <f t="shared" si="162"/>
        <v>-56.663072550162802</v>
      </c>
      <c r="AU100" s="204">
        <f t="shared" si="162"/>
        <v>-57.191446665099171</v>
      </c>
      <c r="AV100" s="204">
        <f t="shared" si="162"/>
        <v>-57.728387376867829</v>
      </c>
      <c r="AW100" s="204">
        <f t="shared" si="162"/>
        <v>-58.273739082089882</v>
      </c>
      <c r="AX100" s="204">
        <f t="shared" si="162"/>
        <v>-58.827349003761015</v>
      </c>
      <c r="AY100" s="204">
        <f t="shared" si="162"/>
        <v>-59.389067139913323</v>
      </c>
      <c r="AZ100" s="204">
        <f t="shared" si="162"/>
        <v>-59.95874621320965</v>
      </c>
      <c r="BA100" s="204">
        <f t="shared" si="162"/>
        <v>-60.53624162145347</v>
      </c>
      <c r="BB100" s="204">
        <f t="shared" si="162"/>
        <v>-61.121411388997728</v>
      </c>
      <c r="BC100" s="204">
        <f t="shared" si="162"/>
        <v>-61.714116119036262</v>
      </c>
      <c r="BD100" s="204">
        <f t="shared" si="162"/>
        <v>-62.314218946761883</v>
      </c>
      <c r="BE100" s="204">
        <f t="shared" si="162"/>
        <v>-62.921585493375147</v>
      </c>
      <c r="BF100" s="204">
        <f t="shared" si="162"/>
        <v>-63.536083820928674</v>
      </c>
      <c r="BG100" s="204">
        <f t="shared" si="162"/>
        <v>-64.157584387991548</v>
      </c>
      <c r="BH100" s="204">
        <f t="shared" si="162"/>
        <v>-64.785960006119055</v>
      </c>
      <c r="BI100" s="204">
        <f t="shared" si="162"/>
        <v>-65.421085797113165</v>
      </c>
      <c r="BJ100" s="204">
        <f t="shared" si="162"/>
        <v>-66.062839151059279</v>
      </c>
      <c r="BK100" s="204">
        <f t="shared" si="162"/>
        <v>-66.711099685125177</v>
      </c>
      <c r="BL100" s="204">
        <f t="shared" si="162"/>
        <v>-67.365749203108379</v>
      </c>
      <c r="BM100" s="204">
        <f t="shared" si="162"/>
        <v>-68.026671655718303</v>
      </c>
      <c r="BN100" s="204">
        <f t="shared" si="162"/>
        <v>-68.693753101579787</v>
      </c>
      <c r="BO100" s="204">
        <f t="shared" si="162"/>
        <v>-69.366881668945013</v>
      </c>
      <c r="BP100" s="204">
        <f t="shared" si="162"/>
        <v>-70.04594751810086</v>
      </c>
      <c r="BQ100" s="204">
        <f t="shared" si="162"/>
        <v>-70.730842804459073</v>
      </c>
      <c r="BR100" s="204">
        <f t="shared" si="162"/>
        <v>-71.421461642316928</v>
      </c>
      <c r="BS100" s="204">
        <f t="shared" si="162"/>
        <v>-72.117700069276026</v>
      </c>
      <c r="BT100" s="204">
        <f t="shared" si="162"/>
        <v>-72.819456011307551</v>
      </c>
      <c r="BU100" s="204">
        <f t="shared" ref="BU100:EF100" si="163">PV($F54,BU$9,1,0)+(PV($J$6,$N$5-(BU$9),1,0)/($J$6+1)^BU$9)</f>
        <v>-73.526629248451897</v>
      </c>
      <c r="BV100" s="204">
        <f t="shared" si="163"/>
        <v>-74.239121381141487</v>
      </c>
      <c r="BW100" s="204">
        <f t="shared" si="163"/>
        <v>-74.956835797135199</v>
      </c>
      <c r="BX100" s="204">
        <f t="shared" si="163"/>
        <v>-75.679677639053423</v>
      </c>
      <c r="BY100" s="204">
        <f t="shared" si="163"/>
        <v>-76.407553772502823</v>
      </c>
      <c r="BZ100" s="204">
        <f t="shared" si="163"/>
        <v>-77.140372754780103</v>
      </c>
      <c r="CA100" s="204">
        <f t="shared" si="163"/>
        <v>-77.878044804144153</v>
      </c>
      <c r="CB100" s="204">
        <f t="shared" si="163"/>
        <v>-78.620481769646403</v>
      </c>
      <c r="CC100" s="204">
        <f t="shared" si="163"/>
        <v>-79.36759710150919</v>
      </c>
      <c r="CD100" s="204">
        <f t="shared" si="163"/>
        <v>-80.119305822042122</v>
      </c>
      <c r="CE100" s="204">
        <f t="shared" si="163"/>
        <v>-80.87552449708673</v>
      </c>
      <c r="CF100" s="204">
        <f t="shared" si="163"/>
        <v>-81.636171207979814</v>
      </c>
      <c r="CG100" s="204">
        <f t="shared" si="163"/>
        <v>-82.401165524026041</v>
      </c>
      <c r="CH100" s="204">
        <f t="shared" si="163"/>
        <v>-83.170428475470544</v>
      </c>
      <c r="CI100" s="204">
        <f t="shared" si="163"/>
        <v>-83.943882526962454</v>
      </c>
      <c r="CJ100" s="204">
        <f t="shared" si="163"/>
        <v>-84.721451551500408</v>
      </c>
      <c r="CK100" s="204">
        <f t="shared" si="163"/>
        <v>-85.503060804851359</v>
      </c>
      <c r="CL100" s="204">
        <f t="shared" si="163"/>
        <v>-86.288636900434042</v>
      </c>
      <c r="CM100" s="204">
        <f t="shared" si="163"/>
        <v>-87.07810778465857</v>
      </c>
      <c r="CN100" s="204">
        <f t="shared" si="163"/>
        <v>-87.871402712714072</v>
      </c>
      <c r="CO100" s="204">
        <f t="shared" si="163"/>
        <v>-88.668452224796056</v>
      </c>
      <c r="CP100" s="204">
        <f t="shared" si="163"/>
        <v>-89.469188122765601</v>
      </c>
      <c r="CQ100" s="204">
        <f t="shared" si="163"/>
        <v>-90.273543447232512</v>
      </c>
      <c r="CR100" s="204">
        <f t="shared" si="163"/>
        <v>-91.081452455054702</v>
      </c>
      <c r="CS100" s="204">
        <f t="shared" si="163"/>
        <v>-91.892850597246365</v>
      </c>
      <c r="CT100" s="204">
        <f t="shared" si="163"/>
        <v>-92.707674497287258</v>
      </c>
      <c r="CU100" s="204">
        <f t="shared" si="163"/>
        <v>-93.525861929826178</v>
      </c>
      <c r="CV100" s="204">
        <f t="shared" si="163"/>
        <v>-94.347351799771133</v>
      </c>
      <c r="CW100" s="204">
        <f t="shared" si="163"/>
        <v>-95.172084121759283</v>
      </c>
      <c r="CX100" s="204">
        <f t="shared" si="163"/>
        <v>-96</v>
      </c>
      <c r="CY100" s="204">
        <f t="shared" si="163"/>
        <v>-96</v>
      </c>
      <c r="CZ100" s="204">
        <f t="shared" si="163"/>
        <v>-96</v>
      </c>
      <c r="DA100" s="204">
        <f t="shared" si="163"/>
        <v>-96</v>
      </c>
      <c r="DB100" s="204">
        <f t="shared" si="163"/>
        <v>-96</v>
      </c>
      <c r="DC100" s="204">
        <f t="shared" si="163"/>
        <v>-96</v>
      </c>
      <c r="DD100" s="204">
        <f t="shared" si="163"/>
        <v>-96</v>
      </c>
      <c r="DE100" s="204">
        <f t="shared" si="163"/>
        <v>-96</v>
      </c>
      <c r="DF100" s="204">
        <f t="shared" si="163"/>
        <v>-96</v>
      </c>
      <c r="DG100" s="204">
        <f t="shared" si="163"/>
        <v>-96</v>
      </c>
      <c r="DH100" s="204">
        <f t="shared" si="163"/>
        <v>-96</v>
      </c>
      <c r="DI100" s="204">
        <f t="shared" si="163"/>
        <v>-96</v>
      </c>
      <c r="DJ100" s="204">
        <f t="shared" si="163"/>
        <v>-96</v>
      </c>
      <c r="DK100" s="204">
        <f t="shared" si="163"/>
        <v>-96</v>
      </c>
      <c r="DL100" s="204">
        <f t="shared" si="163"/>
        <v>-96</v>
      </c>
      <c r="DM100" s="204">
        <f t="shared" si="163"/>
        <v>-96</v>
      </c>
      <c r="DN100" s="204">
        <f t="shared" si="163"/>
        <v>-96</v>
      </c>
      <c r="DO100" s="204">
        <f t="shared" si="163"/>
        <v>-96</v>
      </c>
      <c r="DP100" s="204">
        <f t="shared" si="163"/>
        <v>-96</v>
      </c>
      <c r="DQ100" s="204">
        <f t="shared" si="163"/>
        <v>-96</v>
      </c>
      <c r="DR100" s="204">
        <f t="shared" si="163"/>
        <v>-96</v>
      </c>
      <c r="DS100" s="204">
        <f t="shared" si="163"/>
        <v>-96</v>
      </c>
      <c r="DT100" s="204">
        <f t="shared" si="163"/>
        <v>-96</v>
      </c>
      <c r="DU100" s="204">
        <f t="shared" si="163"/>
        <v>-96</v>
      </c>
      <c r="DV100" s="204">
        <f t="shared" si="163"/>
        <v>-96</v>
      </c>
      <c r="DW100" s="204">
        <f t="shared" si="163"/>
        <v>-96</v>
      </c>
      <c r="DX100" s="204">
        <f t="shared" si="163"/>
        <v>-96</v>
      </c>
      <c r="DY100" s="204">
        <f t="shared" si="163"/>
        <v>-96</v>
      </c>
      <c r="DZ100" s="204">
        <f t="shared" si="163"/>
        <v>-96</v>
      </c>
      <c r="EA100" s="204">
        <f t="shared" si="163"/>
        <v>-96</v>
      </c>
      <c r="EB100" s="204">
        <f t="shared" si="163"/>
        <v>-96</v>
      </c>
      <c r="EC100" s="204">
        <f t="shared" si="163"/>
        <v>-96</v>
      </c>
      <c r="ED100" s="204">
        <f t="shared" si="163"/>
        <v>-96</v>
      </c>
      <c r="EE100" s="204">
        <f t="shared" si="163"/>
        <v>-96</v>
      </c>
      <c r="EF100" s="204">
        <f t="shared" si="163"/>
        <v>-96</v>
      </c>
      <c r="EG100" s="204">
        <f t="shared" ref="EG100:ET100" si="164">PV($F54,EG$9,1,0)+(PV($J$6,$N$5-(EG$9),1,0)/($J$6+1)^EG$9)</f>
        <v>-96</v>
      </c>
      <c r="EH100" s="204">
        <f t="shared" si="164"/>
        <v>-96</v>
      </c>
      <c r="EI100" s="204">
        <f t="shared" si="164"/>
        <v>-96</v>
      </c>
      <c r="EJ100" s="204">
        <f t="shared" si="164"/>
        <v>-96</v>
      </c>
      <c r="EK100" s="204">
        <f t="shared" si="164"/>
        <v>-96</v>
      </c>
      <c r="EL100" s="204">
        <f t="shared" si="164"/>
        <v>-96</v>
      </c>
      <c r="EM100" s="204">
        <f t="shared" si="164"/>
        <v>-96</v>
      </c>
      <c r="EN100" s="204">
        <f t="shared" si="164"/>
        <v>-96</v>
      </c>
      <c r="EO100" s="204">
        <f t="shared" si="164"/>
        <v>-96</v>
      </c>
      <c r="EP100" s="204">
        <f t="shared" si="164"/>
        <v>-96</v>
      </c>
      <c r="EQ100" s="204">
        <f t="shared" si="164"/>
        <v>-96</v>
      </c>
      <c r="ER100" s="204">
        <f t="shared" si="164"/>
        <v>-96</v>
      </c>
      <c r="ES100" s="204">
        <f t="shared" si="164"/>
        <v>-96</v>
      </c>
      <c r="ET100" s="204">
        <f t="shared" si="164"/>
        <v>-96</v>
      </c>
      <c r="FF100" s="6" t="s">
        <v>220</v>
      </c>
      <c r="FG100" s="696">
        <v>2.5000000000000001E-2</v>
      </c>
      <c r="FH100" s="696">
        <v>120</v>
      </c>
      <c r="FI100" s="696">
        <v>2.1000000000000001E-2</v>
      </c>
      <c r="FJ100" s="255">
        <v>1.6500000000000001E-2</v>
      </c>
      <c r="FK100" s="71">
        <f t="shared" si="92"/>
        <v>2.0238095238095239E-4</v>
      </c>
      <c r="FL100" t="e">
        <f>VLOOKUP(FF100,'SIMULADOR COM SALDO'!$BX$22:$CK$1000,13,FALSE)</f>
        <v>#N/A</v>
      </c>
    </row>
    <row r="101" spans="7:168" x14ac:dyDescent="0.25">
      <c r="G101" s="103">
        <f t="shared" si="45"/>
        <v>-44.770373601250576</v>
      </c>
      <c r="H101" s="204">
        <f t="shared" si="46"/>
        <v>-44.806371604802436</v>
      </c>
      <c r="I101" s="204">
        <f t="shared" ref="I101:BT101" si="165">PV($F55,I$9,1,0)+(PV($J$6,$N$5-(I$9),1,0)/($J$6+1)^I$9)</f>
        <v>-44.859879708437063</v>
      </c>
      <c r="J101" s="204">
        <f t="shared" si="165"/>
        <v>-44.930579859281075</v>
      </c>
      <c r="K101" s="204">
        <f t="shared" si="165"/>
        <v>-45.018159781562872</v>
      </c>
      <c r="L101" s="204">
        <f t="shared" si="165"/>
        <v>-45.122312871677551</v>
      </c>
      <c r="M101" s="204">
        <f t="shared" si="165"/>
        <v>-45.24273809515784</v>
      </c>
      <c r="N101" s="204">
        <f t="shared" si="165"/>
        <v>-45.379139885516487</v>
      </c>
      <c r="O101" s="204">
        <f t="shared" si="165"/>
        <v>-45.53122804492606</v>
      </c>
      <c r="P101" s="204">
        <f t="shared" si="165"/>
        <v>-45.698717646702761</v>
      </c>
      <c r="Q101" s="204">
        <f t="shared" si="165"/>
        <v>-45.881328939561598</v>
      </c>
      <c r="R101" s="204">
        <f t="shared" si="165"/>
        <v>-46.078787253610507</v>
      </c>
      <c r="S101" s="204">
        <f t="shared" si="165"/>
        <v>-46.290822908052249</v>
      </c>
      <c r="T101" s="204">
        <f t="shared" si="165"/>
        <v>-46.517171120562551</v>
      </c>
      <c r="U101" s="204">
        <f t="shared" si="165"/>
        <v>-46.75757191831444</v>
      </c>
      <c r="V101" s="204">
        <f t="shared" si="165"/>
        <v>-47.011770050618708</v>
      </c>
      <c r="W101" s="204">
        <f t="shared" si="165"/>
        <v>-47.279514903151124</v>
      </c>
      <c r="X101" s="204">
        <f t="shared" si="165"/>
        <v>-47.560560413737676</v>
      </c>
      <c r="Y101" s="204">
        <f t="shared" si="165"/>
        <v>-47.854664989669509</v>
      </c>
      <c r="Z101" s="204">
        <f t="shared" si="165"/>
        <v>-48.161591426519607</v>
      </c>
      <c r="AA101" s="204">
        <f t="shared" si="165"/>
        <v>-48.481106828434278</v>
      </c>
      <c r="AB101" s="204">
        <f t="shared" si="165"/>
        <v>-48.81298252987235</v>
      </c>
      <c r="AC101" s="204">
        <f t="shared" si="165"/>
        <v>-49.156994018765893</v>
      </c>
      <c r="AD101" s="204">
        <f t="shared" si="165"/>
        <v>-49.51292086107668</v>
      </c>
      <c r="AE101" s="204">
        <f t="shared" si="165"/>
        <v>-49.880546626723003</v>
      </c>
      <c r="AF101" s="204">
        <f t="shared" si="165"/>
        <v>-50.259658816851953</v>
      </c>
      <c r="AG101" s="204">
        <f t="shared" si="165"/>
        <v>-50.650048792432663</v>
      </c>
      <c r="AH101" s="204">
        <f t="shared" si="165"/>
        <v>-51.051511704146662</v>
      </c>
      <c r="AI101" s="204">
        <f t="shared" si="165"/>
        <v>-51.463846423551665</v>
      </c>
      <c r="AJ101" s="204">
        <f t="shared" si="165"/>
        <v>-51.886855475495707</v>
      </c>
      <c r="AK101" s="204">
        <f t="shared" si="165"/>
        <v>-52.320344971758878</v>
      </c>
      <c r="AL101" s="204">
        <f t="shared" si="165"/>
        <v>-52.76412454590043</v>
      </c>
      <c r="AM101" s="204">
        <f t="shared" si="165"/>
        <v>-53.218007289289282</v>
      </c>
      <c r="AN101" s="204">
        <f t="shared" si="165"/>
        <v>-53.681809688296511</v>
      </c>
      <c r="AO101" s="204">
        <f t="shared" si="165"/>
        <v>-54.155351562628589</v>
      </c>
      <c r="AP101" s="204">
        <f t="shared" si="165"/>
        <v>-54.638456004780849</v>
      </c>
      <c r="AQ101" s="204">
        <f t="shared" si="165"/>
        <v>-55.130949320590631</v>
      </c>
      <c r="AR101" s="204">
        <f t="shared" si="165"/>
        <v>-55.632660970870248</v>
      </c>
      <c r="AS101" s="204">
        <f t="shared" si="165"/>
        <v>-56.143423514100107</v>
      </c>
      <c r="AT101" s="204">
        <f t="shared" si="165"/>
        <v>-56.663072550162802</v>
      </c>
      <c r="AU101" s="204">
        <f t="shared" si="165"/>
        <v>-57.191446665099171</v>
      </c>
      <c r="AV101" s="204">
        <f t="shared" si="165"/>
        <v>-57.728387376867829</v>
      </c>
      <c r="AW101" s="204">
        <f t="shared" si="165"/>
        <v>-58.273739082089882</v>
      </c>
      <c r="AX101" s="204">
        <f t="shared" si="165"/>
        <v>-58.827349003761015</v>
      </c>
      <c r="AY101" s="204">
        <f t="shared" si="165"/>
        <v>-59.389067139913323</v>
      </c>
      <c r="AZ101" s="204">
        <f t="shared" si="165"/>
        <v>-59.95874621320965</v>
      </c>
      <c r="BA101" s="204">
        <f t="shared" si="165"/>
        <v>-60.53624162145347</v>
      </c>
      <c r="BB101" s="204">
        <f t="shared" si="165"/>
        <v>-61.121411388997728</v>
      </c>
      <c r="BC101" s="204">
        <f t="shared" si="165"/>
        <v>-61.714116119036262</v>
      </c>
      <c r="BD101" s="204">
        <f t="shared" si="165"/>
        <v>-62.314218946761883</v>
      </c>
      <c r="BE101" s="204">
        <f t="shared" si="165"/>
        <v>-62.921585493375147</v>
      </c>
      <c r="BF101" s="204">
        <f t="shared" si="165"/>
        <v>-63.536083820928674</v>
      </c>
      <c r="BG101" s="204">
        <f t="shared" si="165"/>
        <v>-64.157584387991548</v>
      </c>
      <c r="BH101" s="204">
        <f t="shared" si="165"/>
        <v>-64.785960006119055</v>
      </c>
      <c r="BI101" s="204">
        <f t="shared" si="165"/>
        <v>-65.421085797113165</v>
      </c>
      <c r="BJ101" s="204">
        <f t="shared" si="165"/>
        <v>-66.062839151059279</v>
      </c>
      <c r="BK101" s="204">
        <f t="shared" si="165"/>
        <v>-66.711099685125177</v>
      </c>
      <c r="BL101" s="204">
        <f t="shared" si="165"/>
        <v>-67.365749203108379</v>
      </c>
      <c r="BM101" s="204">
        <f t="shared" si="165"/>
        <v>-68.026671655718303</v>
      </c>
      <c r="BN101" s="204">
        <f t="shared" si="165"/>
        <v>-68.693753101579787</v>
      </c>
      <c r="BO101" s="204">
        <f t="shared" si="165"/>
        <v>-69.366881668945013</v>
      </c>
      <c r="BP101" s="204">
        <f t="shared" si="165"/>
        <v>-70.04594751810086</v>
      </c>
      <c r="BQ101" s="204">
        <f t="shared" si="165"/>
        <v>-70.730842804459073</v>
      </c>
      <c r="BR101" s="204">
        <f t="shared" si="165"/>
        <v>-71.421461642316928</v>
      </c>
      <c r="BS101" s="204">
        <f t="shared" si="165"/>
        <v>-72.117700069276026</v>
      </c>
      <c r="BT101" s="204">
        <f t="shared" si="165"/>
        <v>-72.819456011307551</v>
      </c>
      <c r="BU101" s="204">
        <f t="shared" ref="BU101:EF101" si="166">PV($F55,BU$9,1,0)+(PV($J$6,$N$5-(BU$9),1,0)/($J$6+1)^BU$9)</f>
        <v>-73.526629248451897</v>
      </c>
      <c r="BV101" s="204">
        <f t="shared" si="166"/>
        <v>-74.239121381141487</v>
      </c>
      <c r="BW101" s="204">
        <f t="shared" si="166"/>
        <v>-74.956835797135199</v>
      </c>
      <c r="BX101" s="204">
        <f t="shared" si="166"/>
        <v>-75.679677639053423</v>
      </c>
      <c r="BY101" s="204">
        <f t="shared" si="166"/>
        <v>-76.407553772502823</v>
      </c>
      <c r="BZ101" s="204">
        <f t="shared" si="166"/>
        <v>-77.140372754780103</v>
      </c>
      <c r="CA101" s="204">
        <f t="shared" si="166"/>
        <v>-77.878044804144153</v>
      </c>
      <c r="CB101" s="204">
        <f t="shared" si="166"/>
        <v>-78.620481769646403</v>
      </c>
      <c r="CC101" s="204">
        <f t="shared" si="166"/>
        <v>-79.36759710150919</v>
      </c>
      <c r="CD101" s="204">
        <f t="shared" si="166"/>
        <v>-80.119305822042122</v>
      </c>
      <c r="CE101" s="204">
        <f t="shared" si="166"/>
        <v>-80.87552449708673</v>
      </c>
      <c r="CF101" s="204">
        <f t="shared" si="166"/>
        <v>-81.636171207979814</v>
      </c>
      <c r="CG101" s="204">
        <f t="shared" si="166"/>
        <v>-82.401165524026041</v>
      </c>
      <c r="CH101" s="204">
        <f t="shared" si="166"/>
        <v>-83.170428475470544</v>
      </c>
      <c r="CI101" s="204">
        <f t="shared" si="166"/>
        <v>-83.943882526962454</v>
      </c>
      <c r="CJ101" s="204">
        <f t="shared" si="166"/>
        <v>-84.721451551500408</v>
      </c>
      <c r="CK101" s="204">
        <f t="shared" si="166"/>
        <v>-85.503060804851359</v>
      </c>
      <c r="CL101" s="204">
        <f t="shared" si="166"/>
        <v>-86.288636900434042</v>
      </c>
      <c r="CM101" s="204">
        <f t="shared" si="166"/>
        <v>-87.07810778465857</v>
      </c>
      <c r="CN101" s="204">
        <f t="shared" si="166"/>
        <v>-87.871402712714072</v>
      </c>
      <c r="CO101" s="204">
        <f t="shared" si="166"/>
        <v>-88.668452224796056</v>
      </c>
      <c r="CP101" s="204">
        <f t="shared" si="166"/>
        <v>-89.469188122765601</v>
      </c>
      <c r="CQ101" s="204">
        <f t="shared" si="166"/>
        <v>-90.273543447232512</v>
      </c>
      <c r="CR101" s="204">
        <f t="shared" si="166"/>
        <v>-91.081452455054702</v>
      </c>
      <c r="CS101" s="204">
        <f t="shared" si="166"/>
        <v>-91.892850597246365</v>
      </c>
      <c r="CT101" s="204">
        <f t="shared" si="166"/>
        <v>-92.707674497287258</v>
      </c>
      <c r="CU101" s="204">
        <f t="shared" si="166"/>
        <v>-93.525861929826178</v>
      </c>
      <c r="CV101" s="204">
        <f t="shared" si="166"/>
        <v>-94.347351799771133</v>
      </c>
      <c r="CW101" s="204">
        <f t="shared" si="166"/>
        <v>-95.172084121759283</v>
      </c>
      <c r="CX101" s="204">
        <f t="shared" si="166"/>
        <v>-96</v>
      </c>
      <c r="CY101" s="204">
        <f t="shared" si="166"/>
        <v>-96</v>
      </c>
      <c r="CZ101" s="204">
        <f t="shared" si="166"/>
        <v>-96</v>
      </c>
      <c r="DA101" s="204">
        <f t="shared" si="166"/>
        <v>-96</v>
      </c>
      <c r="DB101" s="204">
        <f t="shared" si="166"/>
        <v>-96</v>
      </c>
      <c r="DC101" s="204">
        <f t="shared" si="166"/>
        <v>-96</v>
      </c>
      <c r="DD101" s="204">
        <f t="shared" si="166"/>
        <v>-96</v>
      </c>
      <c r="DE101" s="204">
        <f t="shared" si="166"/>
        <v>-96</v>
      </c>
      <c r="DF101" s="204">
        <f t="shared" si="166"/>
        <v>-96</v>
      </c>
      <c r="DG101" s="204">
        <f t="shared" si="166"/>
        <v>-96</v>
      </c>
      <c r="DH101" s="204">
        <f t="shared" si="166"/>
        <v>-96</v>
      </c>
      <c r="DI101" s="204">
        <f t="shared" si="166"/>
        <v>-96</v>
      </c>
      <c r="DJ101" s="204">
        <f t="shared" si="166"/>
        <v>-96</v>
      </c>
      <c r="DK101" s="204">
        <f t="shared" si="166"/>
        <v>-96</v>
      </c>
      <c r="DL101" s="204">
        <f t="shared" si="166"/>
        <v>-96</v>
      </c>
      <c r="DM101" s="204">
        <f t="shared" si="166"/>
        <v>-96</v>
      </c>
      <c r="DN101" s="204">
        <f t="shared" si="166"/>
        <v>-96</v>
      </c>
      <c r="DO101" s="204">
        <f t="shared" si="166"/>
        <v>-96</v>
      </c>
      <c r="DP101" s="204">
        <f t="shared" si="166"/>
        <v>-96</v>
      </c>
      <c r="DQ101" s="204">
        <f t="shared" si="166"/>
        <v>-96</v>
      </c>
      <c r="DR101" s="204">
        <f t="shared" si="166"/>
        <v>-96</v>
      </c>
      <c r="DS101" s="204">
        <f t="shared" si="166"/>
        <v>-96</v>
      </c>
      <c r="DT101" s="204">
        <f t="shared" si="166"/>
        <v>-96</v>
      </c>
      <c r="DU101" s="204">
        <f t="shared" si="166"/>
        <v>-96</v>
      </c>
      <c r="DV101" s="204">
        <f t="shared" si="166"/>
        <v>-96</v>
      </c>
      <c r="DW101" s="204">
        <f t="shared" si="166"/>
        <v>-96</v>
      </c>
      <c r="DX101" s="204">
        <f t="shared" si="166"/>
        <v>-96</v>
      </c>
      <c r="DY101" s="204">
        <f t="shared" si="166"/>
        <v>-96</v>
      </c>
      <c r="DZ101" s="204">
        <f t="shared" si="166"/>
        <v>-96</v>
      </c>
      <c r="EA101" s="204">
        <f t="shared" si="166"/>
        <v>-96</v>
      </c>
      <c r="EB101" s="204">
        <f t="shared" si="166"/>
        <v>-96</v>
      </c>
      <c r="EC101" s="204">
        <f t="shared" si="166"/>
        <v>-96</v>
      </c>
      <c r="ED101" s="204">
        <f t="shared" si="166"/>
        <v>-96</v>
      </c>
      <c r="EE101" s="204">
        <f t="shared" si="166"/>
        <v>-96</v>
      </c>
      <c r="EF101" s="204">
        <f t="shared" si="166"/>
        <v>-96</v>
      </c>
      <c r="EG101" s="204">
        <f t="shared" ref="EG101:ET101" si="167">PV($F55,EG$9,1,0)+(PV($J$6,$N$5-(EG$9),1,0)/($J$6+1)^EG$9)</f>
        <v>-96</v>
      </c>
      <c r="EH101" s="204">
        <f t="shared" si="167"/>
        <v>-96</v>
      </c>
      <c r="EI101" s="204">
        <f t="shared" si="167"/>
        <v>-96</v>
      </c>
      <c r="EJ101" s="204">
        <f t="shared" si="167"/>
        <v>-96</v>
      </c>
      <c r="EK101" s="204">
        <f t="shared" si="167"/>
        <v>-96</v>
      </c>
      <c r="EL101" s="204">
        <f t="shared" si="167"/>
        <v>-96</v>
      </c>
      <c r="EM101" s="204">
        <f t="shared" si="167"/>
        <v>-96</v>
      </c>
      <c r="EN101" s="204">
        <f t="shared" si="167"/>
        <v>-96</v>
      </c>
      <c r="EO101" s="204">
        <f t="shared" si="167"/>
        <v>-96</v>
      </c>
      <c r="EP101" s="204">
        <f t="shared" si="167"/>
        <v>-96</v>
      </c>
      <c r="EQ101" s="204">
        <f t="shared" si="167"/>
        <v>-96</v>
      </c>
      <c r="ER101" s="204">
        <f t="shared" si="167"/>
        <v>-96</v>
      </c>
      <c r="ES101" s="204">
        <f t="shared" si="167"/>
        <v>-96</v>
      </c>
      <c r="ET101" s="204">
        <f t="shared" si="167"/>
        <v>-96</v>
      </c>
      <c r="FF101" s="6" t="s">
        <v>390</v>
      </c>
      <c r="FG101" s="696">
        <v>2.5000000000000001E-2</v>
      </c>
      <c r="FH101" s="696">
        <v>120</v>
      </c>
      <c r="FI101" s="696">
        <v>1.9099999999999999E-2</v>
      </c>
      <c r="FJ101" s="255">
        <v>1.67E-2</v>
      </c>
      <c r="FK101" s="71">
        <f t="shared" si="92"/>
        <v>1.9761904761904765E-4</v>
      </c>
      <c r="FL101" t="e">
        <f>VLOOKUP(FF101,'SIMULADOR COM SALDO'!$BX$22:$CK$1000,13,FALSE)</f>
        <v>#N/A</v>
      </c>
    </row>
    <row r="102" spans="7:168" x14ac:dyDescent="0.25">
      <c r="G102" s="103">
        <f t="shared" si="45"/>
        <v>-44.770373601250576</v>
      </c>
      <c r="H102" s="204">
        <f t="shared" si="46"/>
        <v>-44.806371604802436</v>
      </c>
      <c r="I102" s="204">
        <f t="shared" ref="I102:BT102" si="168">PV($F56,I$9,1,0)+(PV($J$6,$N$5-(I$9),1,0)/($J$6+1)^I$9)</f>
        <v>-44.859879708437063</v>
      </c>
      <c r="J102" s="204">
        <f t="shared" si="168"/>
        <v>-44.930579859281075</v>
      </c>
      <c r="K102" s="204">
        <f t="shared" si="168"/>
        <v>-45.018159781562872</v>
      </c>
      <c r="L102" s="204">
        <f t="shared" si="168"/>
        <v>-45.122312871677551</v>
      </c>
      <c r="M102" s="204">
        <f t="shared" si="168"/>
        <v>-45.24273809515784</v>
      </c>
      <c r="N102" s="204">
        <f t="shared" si="168"/>
        <v>-45.379139885516487</v>
      </c>
      <c r="O102" s="204">
        <f t="shared" si="168"/>
        <v>-45.53122804492606</v>
      </c>
      <c r="P102" s="204">
        <f t="shared" si="168"/>
        <v>-45.698717646702761</v>
      </c>
      <c r="Q102" s="204">
        <f t="shared" si="168"/>
        <v>-45.881328939561598</v>
      </c>
      <c r="R102" s="204">
        <f t="shared" si="168"/>
        <v>-46.078787253610507</v>
      </c>
      <c r="S102" s="204">
        <f t="shared" si="168"/>
        <v>-46.290822908052249</v>
      </c>
      <c r="T102" s="204">
        <f t="shared" si="168"/>
        <v>-46.517171120562551</v>
      </c>
      <c r="U102" s="204">
        <f t="shared" si="168"/>
        <v>-46.75757191831444</v>
      </c>
      <c r="V102" s="204">
        <f t="shared" si="168"/>
        <v>-47.011770050618708</v>
      </c>
      <c r="W102" s="204">
        <f t="shared" si="168"/>
        <v>-47.279514903151124</v>
      </c>
      <c r="X102" s="204">
        <f t="shared" si="168"/>
        <v>-47.560560413737676</v>
      </c>
      <c r="Y102" s="204">
        <f t="shared" si="168"/>
        <v>-47.854664989669509</v>
      </c>
      <c r="Z102" s="204">
        <f t="shared" si="168"/>
        <v>-48.161591426519607</v>
      </c>
      <c r="AA102" s="204">
        <f t="shared" si="168"/>
        <v>-48.481106828434278</v>
      </c>
      <c r="AB102" s="204">
        <f t="shared" si="168"/>
        <v>-48.81298252987235</v>
      </c>
      <c r="AC102" s="204">
        <f t="shared" si="168"/>
        <v>-49.156994018765893</v>
      </c>
      <c r="AD102" s="204">
        <f t="shared" si="168"/>
        <v>-49.51292086107668</v>
      </c>
      <c r="AE102" s="204">
        <f t="shared" si="168"/>
        <v>-49.880546626723003</v>
      </c>
      <c r="AF102" s="204">
        <f t="shared" si="168"/>
        <v>-50.259658816851953</v>
      </c>
      <c r="AG102" s="204">
        <f t="shared" si="168"/>
        <v>-50.650048792432663</v>
      </c>
      <c r="AH102" s="204">
        <f t="shared" si="168"/>
        <v>-51.051511704146662</v>
      </c>
      <c r="AI102" s="204">
        <f t="shared" si="168"/>
        <v>-51.463846423551665</v>
      </c>
      <c r="AJ102" s="204">
        <f t="shared" si="168"/>
        <v>-51.886855475495707</v>
      </c>
      <c r="AK102" s="204">
        <f t="shared" si="168"/>
        <v>-52.320344971758878</v>
      </c>
      <c r="AL102" s="204">
        <f t="shared" si="168"/>
        <v>-52.76412454590043</v>
      </c>
      <c r="AM102" s="204">
        <f t="shared" si="168"/>
        <v>-53.218007289289282</v>
      </c>
      <c r="AN102" s="204">
        <f t="shared" si="168"/>
        <v>-53.681809688296511</v>
      </c>
      <c r="AO102" s="204">
        <f t="shared" si="168"/>
        <v>-54.155351562628589</v>
      </c>
      <c r="AP102" s="204">
        <f t="shared" si="168"/>
        <v>-54.638456004780849</v>
      </c>
      <c r="AQ102" s="204">
        <f t="shared" si="168"/>
        <v>-55.130949320590631</v>
      </c>
      <c r="AR102" s="204">
        <f t="shared" si="168"/>
        <v>-55.632660970870248</v>
      </c>
      <c r="AS102" s="204">
        <f t="shared" si="168"/>
        <v>-56.143423514100107</v>
      </c>
      <c r="AT102" s="204">
        <f t="shared" si="168"/>
        <v>-56.663072550162802</v>
      </c>
      <c r="AU102" s="204">
        <f t="shared" si="168"/>
        <v>-57.191446665099171</v>
      </c>
      <c r="AV102" s="204">
        <f t="shared" si="168"/>
        <v>-57.728387376867829</v>
      </c>
      <c r="AW102" s="204">
        <f t="shared" si="168"/>
        <v>-58.273739082089882</v>
      </c>
      <c r="AX102" s="204">
        <f t="shared" si="168"/>
        <v>-58.827349003761015</v>
      </c>
      <c r="AY102" s="204">
        <f t="shared" si="168"/>
        <v>-59.389067139913323</v>
      </c>
      <c r="AZ102" s="204">
        <f t="shared" si="168"/>
        <v>-59.95874621320965</v>
      </c>
      <c r="BA102" s="204">
        <f t="shared" si="168"/>
        <v>-60.53624162145347</v>
      </c>
      <c r="BB102" s="204">
        <f t="shared" si="168"/>
        <v>-61.121411388997728</v>
      </c>
      <c r="BC102" s="204">
        <f t="shared" si="168"/>
        <v>-61.714116119036262</v>
      </c>
      <c r="BD102" s="204">
        <f t="shared" si="168"/>
        <v>-62.314218946761883</v>
      </c>
      <c r="BE102" s="204">
        <f t="shared" si="168"/>
        <v>-62.921585493375147</v>
      </c>
      <c r="BF102" s="204">
        <f t="shared" si="168"/>
        <v>-63.536083820928674</v>
      </c>
      <c r="BG102" s="204">
        <f t="shared" si="168"/>
        <v>-64.157584387991548</v>
      </c>
      <c r="BH102" s="204">
        <f t="shared" si="168"/>
        <v>-64.785960006119055</v>
      </c>
      <c r="BI102" s="204">
        <f t="shared" si="168"/>
        <v>-65.421085797113165</v>
      </c>
      <c r="BJ102" s="204">
        <f t="shared" si="168"/>
        <v>-66.062839151059279</v>
      </c>
      <c r="BK102" s="204">
        <f t="shared" si="168"/>
        <v>-66.711099685125177</v>
      </c>
      <c r="BL102" s="204">
        <f t="shared" si="168"/>
        <v>-67.365749203108379</v>
      </c>
      <c r="BM102" s="204">
        <f t="shared" si="168"/>
        <v>-68.026671655718303</v>
      </c>
      <c r="BN102" s="204">
        <f t="shared" si="168"/>
        <v>-68.693753101579787</v>
      </c>
      <c r="BO102" s="204">
        <f t="shared" si="168"/>
        <v>-69.366881668945013</v>
      </c>
      <c r="BP102" s="204">
        <f t="shared" si="168"/>
        <v>-70.04594751810086</v>
      </c>
      <c r="BQ102" s="204">
        <f t="shared" si="168"/>
        <v>-70.730842804459073</v>
      </c>
      <c r="BR102" s="204">
        <f t="shared" si="168"/>
        <v>-71.421461642316928</v>
      </c>
      <c r="BS102" s="204">
        <f t="shared" si="168"/>
        <v>-72.117700069276026</v>
      </c>
      <c r="BT102" s="204">
        <f t="shared" si="168"/>
        <v>-72.819456011307551</v>
      </c>
      <c r="BU102" s="204">
        <f t="shared" ref="BU102:EF102" si="169">PV($F56,BU$9,1,0)+(PV($J$6,$N$5-(BU$9),1,0)/($J$6+1)^BU$9)</f>
        <v>-73.526629248451897</v>
      </c>
      <c r="BV102" s="204">
        <f t="shared" si="169"/>
        <v>-74.239121381141487</v>
      </c>
      <c r="BW102" s="204">
        <f t="shared" si="169"/>
        <v>-74.956835797135199</v>
      </c>
      <c r="BX102" s="204">
        <f t="shared" si="169"/>
        <v>-75.679677639053423</v>
      </c>
      <c r="BY102" s="204">
        <f t="shared" si="169"/>
        <v>-76.407553772502823</v>
      </c>
      <c r="BZ102" s="204">
        <f t="shared" si="169"/>
        <v>-77.140372754780103</v>
      </c>
      <c r="CA102" s="204">
        <f t="shared" si="169"/>
        <v>-77.878044804144153</v>
      </c>
      <c r="CB102" s="204">
        <f t="shared" si="169"/>
        <v>-78.620481769646403</v>
      </c>
      <c r="CC102" s="204">
        <f t="shared" si="169"/>
        <v>-79.36759710150919</v>
      </c>
      <c r="CD102" s="204">
        <f t="shared" si="169"/>
        <v>-80.119305822042122</v>
      </c>
      <c r="CE102" s="204">
        <f t="shared" si="169"/>
        <v>-80.87552449708673</v>
      </c>
      <c r="CF102" s="204">
        <f t="shared" si="169"/>
        <v>-81.636171207979814</v>
      </c>
      <c r="CG102" s="204">
        <f t="shared" si="169"/>
        <v>-82.401165524026041</v>
      </c>
      <c r="CH102" s="204">
        <f t="shared" si="169"/>
        <v>-83.170428475470544</v>
      </c>
      <c r="CI102" s="204">
        <f t="shared" si="169"/>
        <v>-83.943882526962454</v>
      </c>
      <c r="CJ102" s="204">
        <f t="shared" si="169"/>
        <v>-84.721451551500408</v>
      </c>
      <c r="CK102" s="204">
        <f t="shared" si="169"/>
        <v>-85.503060804851359</v>
      </c>
      <c r="CL102" s="204">
        <f t="shared" si="169"/>
        <v>-86.288636900434042</v>
      </c>
      <c r="CM102" s="204">
        <f t="shared" si="169"/>
        <v>-87.07810778465857</v>
      </c>
      <c r="CN102" s="204">
        <f t="shared" si="169"/>
        <v>-87.871402712714072</v>
      </c>
      <c r="CO102" s="204">
        <f t="shared" si="169"/>
        <v>-88.668452224796056</v>
      </c>
      <c r="CP102" s="204">
        <f t="shared" si="169"/>
        <v>-89.469188122765601</v>
      </c>
      <c r="CQ102" s="204">
        <f t="shared" si="169"/>
        <v>-90.273543447232512</v>
      </c>
      <c r="CR102" s="204">
        <f t="shared" si="169"/>
        <v>-91.081452455054702</v>
      </c>
      <c r="CS102" s="204">
        <f t="shared" si="169"/>
        <v>-91.892850597246365</v>
      </c>
      <c r="CT102" s="204">
        <f t="shared" si="169"/>
        <v>-92.707674497287258</v>
      </c>
      <c r="CU102" s="204">
        <f t="shared" si="169"/>
        <v>-93.525861929826178</v>
      </c>
      <c r="CV102" s="204">
        <f t="shared" si="169"/>
        <v>-94.347351799771133</v>
      </c>
      <c r="CW102" s="204">
        <f t="shared" si="169"/>
        <v>-95.172084121759283</v>
      </c>
      <c r="CX102" s="204">
        <f t="shared" si="169"/>
        <v>-96</v>
      </c>
      <c r="CY102" s="204">
        <f t="shared" si="169"/>
        <v>-96</v>
      </c>
      <c r="CZ102" s="204">
        <f t="shared" si="169"/>
        <v>-96</v>
      </c>
      <c r="DA102" s="204">
        <f t="shared" si="169"/>
        <v>-96</v>
      </c>
      <c r="DB102" s="204">
        <f t="shared" si="169"/>
        <v>-96</v>
      </c>
      <c r="DC102" s="204">
        <f t="shared" si="169"/>
        <v>-96</v>
      </c>
      <c r="DD102" s="204">
        <f t="shared" si="169"/>
        <v>-96</v>
      </c>
      <c r="DE102" s="204">
        <f t="shared" si="169"/>
        <v>-96</v>
      </c>
      <c r="DF102" s="204">
        <f t="shared" si="169"/>
        <v>-96</v>
      </c>
      <c r="DG102" s="204">
        <f t="shared" si="169"/>
        <v>-96</v>
      </c>
      <c r="DH102" s="204">
        <f t="shared" si="169"/>
        <v>-96</v>
      </c>
      <c r="DI102" s="204">
        <f t="shared" si="169"/>
        <v>-96</v>
      </c>
      <c r="DJ102" s="204">
        <f t="shared" si="169"/>
        <v>-96</v>
      </c>
      <c r="DK102" s="204">
        <f t="shared" si="169"/>
        <v>-96</v>
      </c>
      <c r="DL102" s="204">
        <f t="shared" si="169"/>
        <v>-96</v>
      </c>
      <c r="DM102" s="204">
        <f t="shared" si="169"/>
        <v>-96</v>
      </c>
      <c r="DN102" s="204">
        <f t="shared" si="169"/>
        <v>-96</v>
      </c>
      <c r="DO102" s="204">
        <f t="shared" si="169"/>
        <v>-96</v>
      </c>
      <c r="DP102" s="204">
        <f t="shared" si="169"/>
        <v>-96</v>
      </c>
      <c r="DQ102" s="204">
        <f t="shared" si="169"/>
        <v>-96</v>
      </c>
      <c r="DR102" s="204">
        <f t="shared" si="169"/>
        <v>-96</v>
      </c>
      <c r="DS102" s="204">
        <f t="shared" si="169"/>
        <v>-96</v>
      </c>
      <c r="DT102" s="204">
        <f t="shared" si="169"/>
        <v>-96</v>
      </c>
      <c r="DU102" s="204">
        <f t="shared" si="169"/>
        <v>-96</v>
      </c>
      <c r="DV102" s="204">
        <f t="shared" si="169"/>
        <v>-96</v>
      </c>
      <c r="DW102" s="204">
        <f t="shared" si="169"/>
        <v>-96</v>
      </c>
      <c r="DX102" s="204">
        <f t="shared" si="169"/>
        <v>-96</v>
      </c>
      <c r="DY102" s="204">
        <f t="shared" si="169"/>
        <v>-96</v>
      </c>
      <c r="DZ102" s="204">
        <f t="shared" si="169"/>
        <v>-96</v>
      </c>
      <c r="EA102" s="204">
        <f t="shared" si="169"/>
        <v>-96</v>
      </c>
      <c r="EB102" s="204">
        <f t="shared" si="169"/>
        <v>-96</v>
      </c>
      <c r="EC102" s="204">
        <f t="shared" si="169"/>
        <v>-96</v>
      </c>
      <c r="ED102" s="204">
        <f t="shared" si="169"/>
        <v>-96</v>
      </c>
      <c r="EE102" s="204">
        <f t="shared" si="169"/>
        <v>-96</v>
      </c>
      <c r="EF102" s="204">
        <f t="shared" si="169"/>
        <v>-96</v>
      </c>
      <c r="EG102" s="204">
        <f t="shared" ref="EG102:ET102" si="170">PV($F56,EG$9,1,0)+(PV($J$6,$N$5-(EG$9),1,0)/($J$6+1)^EG$9)</f>
        <v>-96</v>
      </c>
      <c r="EH102" s="204">
        <f t="shared" si="170"/>
        <v>-96</v>
      </c>
      <c r="EI102" s="204">
        <f t="shared" si="170"/>
        <v>-96</v>
      </c>
      <c r="EJ102" s="204">
        <f t="shared" si="170"/>
        <v>-96</v>
      </c>
      <c r="EK102" s="204">
        <f t="shared" si="170"/>
        <v>-96</v>
      </c>
      <c r="EL102" s="204">
        <f t="shared" si="170"/>
        <v>-96</v>
      </c>
      <c r="EM102" s="204">
        <f t="shared" si="170"/>
        <v>-96</v>
      </c>
      <c r="EN102" s="204">
        <f t="shared" si="170"/>
        <v>-96</v>
      </c>
      <c r="EO102" s="204">
        <f t="shared" si="170"/>
        <v>-96</v>
      </c>
      <c r="EP102" s="204">
        <f t="shared" si="170"/>
        <v>-96</v>
      </c>
      <c r="EQ102" s="204">
        <f t="shared" si="170"/>
        <v>-96</v>
      </c>
      <c r="ER102" s="204">
        <f t="shared" si="170"/>
        <v>-96</v>
      </c>
      <c r="ES102" s="204">
        <f t="shared" si="170"/>
        <v>-96</v>
      </c>
      <c r="ET102" s="204">
        <f t="shared" si="170"/>
        <v>-96</v>
      </c>
      <c r="FF102" s="6" t="s">
        <v>3028</v>
      </c>
      <c r="FG102" s="696">
        <v>2.5000000000000001E-2</v>
      </c>
      <c r="FH102" s="696">
        <v>96</v>
      </c>
      <c r="FI102" s="696">
        <v>2.2000000000000002E-2</v>
      </c>
      <c r="FJ102" s="255">
        <v>1.4999999999999999E-2</v>
      </c>
      <c r="FK102" s="71">
        <f t="shared" si="92"/>
        <v>2.3809523809523815E-4</v>
      </c>
      <c r="FL102" t="e">
        <f>VLOOKUP(FF102,'SIMULADOR COM SALDO'!$BX$22:$CK$1000,13,FALSE)</f>
        <v>#N/A</v>
      </c>
    </row>
    <row r="103" spans="7:168" x14ac:dyDescent="0.25">
      <c r="G103" s="103">
        <f t="shared" si="45"/>
        <v>-44.770373601250576</v>
      </c>
      <c r="H103" s="204">
        <f t="shared" si="46"/>
        <v>-44.806371604802436</v>
      </c>
      <c r="I103" s="204">
        <f t="shared" ref="I103:BT103" si="171">PV($F57,I$9,1,0)+(PV($J$6,$N$5-(I$9),1,0)/($J$6+1)^I$9)</f>
        <v>-44.859879708437063</v>
      </c>
      <c r="J103" s="204">
        <f t="shared" si="171"/>
        <v>-44.930579859281075</v>
      </c>
      <c r="K103" s="204">
        <f t="shared" si="171"/>
        <v>-45.018159781562872</v>
      </c>
      <c r="L103" s="204">
        <f t="shared" si="171"/>
        <v>-45.122312871677551</v>
      </c>
      <c r="M103" s="204">
        <f t="shared" si="171"/>
        <v>-45.24273809515784</v>
      </c>
      <c r="N103" s="204">
        <f t="shared" si="171"/>
        <v>-45.379139885516487</v>
      </c>
      <c r="O103" s="204">
        <f t="shared" si="171"/>
        <v>-45.53122804492606</v>
      </c>
      <c r="P103" s="204">
        <f t="shared" si="171"/>
        <v>-45.698717646702761</v>
      </c>
      <c r="Q103" s="204">
        <f t="shared" si="171"/>
        <v>-45.881328939561598</v>
      </c>
      <c r="R103" s="204">
        <f t="shared" si="171"/>
        <v>-46.078787253610507</v>
      </c>
      <c r="S103" s="204">
        <f t="shared" si="171"/>
        <v>-46.290822908052249</v>
      </c>
      <c r="T103" s="204">
        <f t="shared" si="171"/>
        <v>-46.517171120562551</v>
      </c>
      <c r="U103" s="204">
        <f t="shared" si="171"/>
        <v>-46.75757191831444</v>
      </c>
      <c r="V103" s="204">
        <f t="shared" si="171"/>
        <v>-47.011770050618708</v>
      </c>
      <c r="W103" s="204">
        <f t="shared" si="171"/>
        <v>-47.279514903151124</v>
      </c>
      <c r="X103" s="204">
        <f t="shared" si="171"/>
        <v>-47.560560413737676</v>
      </c>
      <c r="Y103" s="204">
        <f t="shared" si="171"/>
        <v>-47.854664989669509</v>
      </c>
      <c r="Z103" s="204">
        <f t="shared" si="171"/>
        <v>-48.161591426519607</v>
      </c>
      <c r="AA103" s="204">
        <f t="shared" si="171"/>
        <v>-48.481106828434278</v>
      </c>
      <c r="AB103" s="204">
        <f t="shared" si="171"/>
        <v>-48.81298252987235</v>
      </c>
      <c r="AC103" s="204">
        <f t="shared" si="171"/>
        <v>-49.156994018765893</v>
      </c>
      <c r="AD103" s="204">
        <f t="shared" si="171"/>
        <v>-49.51292086107668</v>
      </c>
      <c r="AE103" s="204">
        <f t="shared" si="171"/>
        <v>-49.880546626723003</v>
      </c>
      <c r="AF103" s="204">
        <f t="shared" si="171"/>
        <v>-50.259658816851953</v>
      </c>
      <c r="AG103" s="204">
        <f t="shared" si="171"/>
        <v>-50.650048792432663</v>
      </c>
      <c r="AH103" s="204">
        <f t="shared" si="171"/>
        <v>-51.051511704146662</v>
      </c>
      <c r="AI103" s="204">
        <f t="shared" si="171"/>
        <v>-51.463846423551665</v>
      </c>
      <c r="AJ103" s="204">
        <f t="shared" si="171"/>
        <v>-51.886855475495707</v>
      </c>
      <c r="AK103" s="204">
        <f t="shared" si="171"/>
        <v>-52.320344971758878</v>
      </c>
      <c r="AL103" s="204">
        <f t="shared" si="171"/>
        <v>-52.76412454590043</v>
      </c>
      <c r="AM103" s="204">
        <f t="shared" si="171"/>
        <v>-53.218007289289282</v>
      </c>
      <c r="AN103" s="204">
        <f t="shared" si="171"/>
        <v>-53.681809688296511</v>
      </c>
      <c r="AO103" s="204">
        <f t="shared" si="171"/>
        <v>-54.155351562628589</v>
      </c>
      <c r="AP103" s="204">
        <f t="shared" si="171"/>
        <v>-54.638456004780849</v>
      </c>
      <c r="AQ103" s="204">
        <f t="shared" si="171"/>
        <v>-55.130949320590631</v>
      </c>
      <c r="AR103" s="204">
        <f t="shared" si="171"/>
        <v>-55.632660970870248</v>
      </c>
      <c r="AS103" s="204">
        <f t="shared" si="171"/>
        <v>-56.143423514100107</v>
      </c>
      <c r="AT103" s="204">
        <f t="shared" si="171"/>
        <v>-56.663072550162802</v>
      </c>
      <c r="AU103" s="204">
        <f t="shared" si="171"/>
        <v>-57.191446665099171</v>
      </c>
      <c r="AV103" s="204">
        <f t="shared" si="171"/>
        <v>-57.728387376867829</v>
      </c>
      <c r="AW103" s="204">
        <f t="shared" si="171"/>
        <v>-58.273739082089882</v>
      </c>
      <c r="AX103" s="204">
        <f t="shared" si="171"/>
        <v>-58.827349003761015</v>
      </c>
      <c r="AY103" s="204">
        <f t="shared" si="171"/>
        <v>-59.389067139913323</v>
      </c>
      <c r="AZ103" s="204">
        <f t="shared" si="171"/>
        <v>-59.95874621320965</v>
      </c>
      <c r="BA103" s="204">
        <f t="shared" si="171"/>
        <v>-60.53624162145347</v>
      </c>
      <c r="BB103" s="204">
        <f t="shared" si="171"/>
        <v>-61.121411388997728</v>
      </c>
      <c r="BC103" s="204">
        <f t="shared" si="171"/>
        <v>-61.714116119036262</v>
      </c>
      <c r="BD103" s="204">
        <f t="shared" si="171"/>
        <v>-62.314218946761883</v>
      </c>
      <c r="BE103" s="204">
        <f t="shared" si="171"/>
        <v>-62.921585493375147</v>
      </c>
      <c r="BF103" s="204">
        <f t="shared" si="171"/>
        <v>-63.536083820928674</v>
      </c>
      <c r="BG103" s="204">
        <f t="shared" si="171"/>
        <v>-64.157584387991548</v>
      </c>
      <c r="BH103" s="204">
        <f t="shared" si="171"/>
        <v>-64.785960006119055</v>
      </c>
      <c r="BI103" s="204">
        <f t="shared" si="171"/>
        <v>-65.421085797113165</v>
      </c>
      <c r="BJ103" s="204">
        <f t="shared" si="171"/>
        <v>-66.062839151059279</v>
      </c>
      <c r="BK103" s="204">
        <f t="shared" si="171"/>
        <v>-66.711099685125177</v>
      </c>
      <c r="BL103" s="204">
        <f t="shared" si="171"/>
        <v>-67.365749203108379</v>
      </c>
      <c r="BM103" s="204">
        <f t="shared" si="171"/>
        <v>-68.026671655718303</v>
      </c>
      <c r="BN103" s="204">
        <f t="shared" si="171"/>
        <v>-68.693753101579787</v>
      </c>
      <c r="BO103" s="204">
        <f t="shared" si="171"/>
        <v>-69.366881668945013</v>
      </c>
      <c r="BP103" s="204">
        <f t="shared" si="171"/>
        <v>-70.04594751810086</v>
      </c>
      <c r="BQ103" s="204">
        <f t="shared" si="171"/>
        <v>-70.730842804459073</v>
      </c>
      <c r="BR103" s="204">
        <f t="shared" si="171"/>
        <v>-71.421461642316928</v>
      </c>
      <c r="BS103" s="204">
        <f t="shared" si="171"/>
        <v>-72.117700069276026</v>
      </c>
      <c r="BT103" s="204">
        <f t="shared" si="171"/>
        <v>-72.819456011307551</v>
      </c>
      <c r="BU103" s="204">
        <f t="shared" ref="BU103:EF103" si="172">PV($F57,BU$9,1,0)+(PV($J$6,$N$5-(BU$9),1,0)/($J$6+1)^BU$9)</f>
        <v>-73.526629248451897</v>
      </c>
      <c r="BV103" s="204">
        <f t="shared" si="172"/>
        <v>-74.239121381141487</v>
      </c>
      <c r="BW103" s="204">
        <f t="shared" si="172"/>
        <v>-74.956835797135199</v>
      </c>
      <c r="BX103" s="204">
        <f t="shared" si="172"/>
        <v>-75.679677639053423</v>
      </c>
      <c r="BY103" s="204">
        <f t="shared" si="172"/>
        <v>-76.407553772502823</v>
      </c>
      <c r="BZ103" s="204">
        <f t="shared" si="172"/>
        <v>-77.140372754780103</v>
      </c>
      <c r="CA103" s="204">
        <f t="shared" si="172"/>
        <v>-77.878044804144153</v>
      </c>
      <c r="CB103" s="204">
        <f t="shared" si="172"/>
        <v>-78.620481769646403</v>
      </c>
      <c r="CC103" s="204">
        <f t="shared" si="172"/>
        <v>-79.36759710150919</v>
      </c>
      <c r="CD103" s="204">
        <f t="shared" si="172"/>
        <v>-80.119305822042122</v>
      </c>
      <c r="CE103" s="204">
        <f t="shared" si="172"/>
        <v>-80.87552449708673</v>
      </c>
      <c r="CF103" s="204">
        <f t="shared" si="172"/>
        <v>-81.636171207979814</v>
      </c>
      <c r="CG103" s="204">
        <f t="shared" si="172"/>
        <v>-82.401165524026041</v>
      </c>
      <c r="CH103" s="204">
        <f t="shared" si="172"/>
        <v>-83.170428475470544</v>
      </c>
      <c r="CI103" s="204">
        <f t="shared" si="172"/>
        <v>-83.943882526962454</v>
      </c>
      <c r="CJ103" s="204">
        <f t="shared" si="172"/>
        <v>-84.721451551500408</v>
      </c>
      <c r="CK103" s="204">
        <f t="shared" si="172"/>
        <v>-85.503060804851359</v>
      </c>
      <c r="CL103" s="204">
        <f t="shared" si="172"/>
        <v>-86.288636900434042</v>
      </c>
      <c r="CM103" s="204">
        <f t="shared" si="172"/>
        <v>-87.07810778465857</v>
      </c>
      <c r="CN103" s="204">
        <f t="shared" si="172"/>
        <v>-87.871402712714072</v>
      </c>
      <c r="CO103" s="204">
        <f t="shared" si="172"/>
        <v>-88.668452224796056</v>
      </c>
      <c r="CP103" s="204">
        <f t="shared" si="172"/>
        <v>-89.469188122765601</v>
      </c>
      <c r="CQ103" s="204">
        <f t="shared" si="172"/>
        <v>-90.273543447232512</v>
      </c>
      <c r="CR103" s="204">
        <f t="shared" si="172"/>
        <v>-91.081452455054702</v>
      </c>
      <c r="CS103" s="204">
        <f t="shared" si="172"/>
        <v>-91.892850597246365</v>
      </c>
      <c r="CT103" s="204">
        <f t="shared" si="172"/>
        <v>-92.707674497287258</v>
      </c>
      <c r="CU103" s="204">
        <f t="shared" si="172"/>
        <v>-93.525861929826178</v>
      </c>
      <c r="CV103" s="204">
        <f t="shared" si="172"/>
        <v>-94.347351799771133</v>
      </c>
      <c r="CW103" s="204">
        <f t="shared" si="172"/>
        <v>-95.172084121759283</v>
      </c>
      <c r="CX103" s="204">
        <f t="shared" si="172"/>
        <v>-96</v>
      </c>
      <c r="CY103" s="204">
        <f t="shared" si="172"/>
        <v>-96</v>
      </c>
      <c r="CZ103" s="204">
        <f t="shared" si="172"/>
        <v>-96</v>
      </c>
      <c r="DA103" s="204">
        <f t="shared" si="172"/>
        <v>-96</v>
      </c>
      <c r="DB103" s="204">
        <f t="shared" si="172"/>
        <v>-96</v>
      </c>
      <c r="DC103" s="204">
        <f t="shared" si="172"/>
        <v>-96</v>
      </c>
      <c r="DD103" s="204">
        <f t="shared" si="172"/>
        <v>-96</v>
      </c>
      <c r="DE103" s="204">
        <f t="shared" si="172"/>
        <v>-96</v>
      </c>
      <c r="DF103" s="204">
        <f t="shared" si="172"/>
        <v>-96</v>
      </c>
      <c r="DG103" s="204">
        <f t="shared" si="172"/>
        <v>-96</v>
      </c>
      <c r="DH103" s="204">
        <f t="shared" si="172"/>
        <v>-96</v>
      </c>
      <c r="DI103" s="204">
        <f t="shared" si="172"/>
        <v>-96</v>
      </c>
      <c r="DJ103" s="204">
        <f t="shared" si="172"/>
        <v>-96</v>
      </c>
      <c r="DK103" s="204">
        <f t="shared" si="172"/>
        <v>-96</v>
      </c>
      <c r="DL103" s="204">
        <f t="shared" si="172"/>
        <v>-96</v>
      </c>
      <c r="DM103" s="204">
        <f t="shared" si="172"/>
        <v>-96</v>
      </c>
      <c r="DN103" s="204">
        <f t="shared" si="172"/>
        <v>-96</v>
      </c>
      <c r="DO103" s="204">
        <f t="shared" si="172"/>
        <v>-96</v>
      </c>
      <c r="DP103" s="204">
        <f t="shared" si="172"/>
        <v>-96</v>
      </c>
      <c r="DQ103" s="204">
        <f t="shared" si="172"/>
        <v>-96</v>
      </c>
      <c r="DR103" s="204">
        <f t="shared" si="172"/>
        <v>-96</v>
      </c>
      <c r="DS103" s="204">
        <f t="shared" si="172"/>
        <v>-96</v>
      </c>
      <c r="DT103" s="204">
        <f t="shared" si="172"/>
        <v>-96</v>
      </c>
      <c r="DU103" s="204">
        <f t="shared" si="172"/>
        <v>-96</v>
      </c>
      <c r="DV103" s="204">
        <f t="shared" si="172"/>
        <v>-96</v>
      </c>
      <c r="DW103" s="204">
        <f t="shared" si="172"/>
        <v>-96</v>
      </c>
      <c r="DX103" s="204">
        <f t="shared" si="172"/>
        <v>-96</v>
      </c>
      <c r="DY103" s="204">
        <f t="shared" si="172"/>
        <v>-96</v>
      </c>
      <c r="DZ103" s="204">
        <f t="shared" si="172"/>
        <v>-96</v>
      </c>
      <c r="EA103" s="204">
        <f t="shared" si="172"/>
        <v>-96</v>
      </c>
      <c r="EB103" s="204">
        <f t="shared" si="172"/>
        <v>-96</v>
      </c>
      <c r="EC103" s="204">
        <f t="shared" si="172"/>
        <v>-96</v>
      </c>
      <c r="ED103" s="204">
        <f t="shared" si="172"/>
        <v>-96</v>
      </c>
      <c r="EE103" s="204">
        <f t="shared" si="172"/>
        <v>-96</v>
      </c>
      <c r="EF103" s="204">
        <f t="shared" si="172"/>
        <v>-96</v>
      </c>
      <c r="EG103" s="204">
        <f t="shared" ref="EG103:ET103" si="173">PV($F57,EG$9,1,0)+(PV($J$6,$N$5-(EG$9),1,0)/($J$6+1)^EG$9)</f>
        <v>-96</v>
      </c>
      <c r="EH103" s="204">
        <f t="shared" si="173"/>
        <v>-96</v>
      </c>
      <c r="EI103" s="204">
        <f t="shared" si="173"/>
        <v>-96</v>
      </c>
      <c r="EJ103" s="204">
        <f t="shared" si="173"/>
        <v>-96</v>
      </c>
      <c r="EK103" s="204">
        <f t="shared" si="173"/>
        <v>-96</v>
      </c>
      <c r="EL103" s="204">
        <f t="shared" si="173"/>
        <v>-96</v>
      </c>
      <c r="EM103" s="204">
        <f t="shared" si="173"/>
        <v>-96</v>
      </c>
      <c r="EN103" s="204">
        <f t="shared" si="173"/>
        <v>-96</v>
      </c>
      <c r="EO103" s="204">
        <f t="shared" si="173"/>
        <v>-96</v>
      </c>
      <c r="EP103" s="204">
        <f t="shared" si="173"/>
        <v>-96</v>
      </c>
      <c r="EQ103" s="204">
        <f t="shared" si="173"/>
        <v>-96</v>
      </c>
      <c r="ER103" s="204">
        <f t="shared" si="173"/>
        <v>-96</v>
      </c>
      <c r="ES103" s="204">
        <f t="shared" si="173"/>
        <v>-96</v>
      </c>
      <c r="ET103" s="204">
        <f t="shared" si="173"/>
        <v>-96</v>
      </c>
      <c r="FF103" s="67" t="s">
        <v>78</v>
      </c>
      <c r="FG103" s="696">
        <v>2.5000000000000001E-2</v>
      </c>
      <c r="FH103" s="696">
        <v>120</v>
      </c>
      <c r="FI103" s="696">
        <v>1.77E-2</v>
      </c>
      <c r="FJ103" s="255">
        <v>1.4800000000000001E-2</v>
      </c>
      <c r="FK103" s="71">
        <f t="shared" si="92"/>
        <v>2.4285714285714289E-4</v>
      </c>
      <c r="FL103" t="e">
        <f>VLOOKUP(FF103,'SIMULADOR COM SALDO'!$BX$22:$CK$1000,13,FALSE)</f>
        <v>#N/A</v>
      </c>
    </row>
    <row r="104" spans="7:168" x14ac:dyDescent="0.25">
      <c r="G104" s="103">
        <f t="shared" si="45"/>
        <v>-44.770373601250576</v>
      </c>
      <c r="H104" s="204">
        <f t="shared" si="46"/>
        <v>-44.806371604802436</v>
      </c>
      <c r="I104" s="204">
        <f t="shared" ref="I104:BT104" si="174">PV($F58,I$9,1,0)+(PV($J$6,$N$5-(I$9),1,0)/($J$6+1)^I$9)</f>
        <v>-44.859879708437063</v>
      </c>
      <c r="J104" s="204">
        <f t="shared" si="174"/>
        <v>-44.930579859281075</v>
      </c>
      <c r="K104" s="204">
        <f t="shared" si="174"/>
        <v>-45.018159781562872</v>
      </c>
      <c r="L104" s="204">
        <f t="shared" si="174"/>
        <v>-45.122312871677551</v>
      </c>
      <c r="M104" s="204">
        <f t="shared" si="174"/>
        <v>-45.24273809515784</v>
      </c>
      <c r="N104" s="204">
        <f t="shared" si="174"/>
        <v>-45.379139885516487</v>
      </c>
      <c r="O104" s="204">
        <f t="shared" si="174"/>
        <v>-45.53122804492606</v>
      </c>
      <c r="P104" s="204">
        <f t="shared" si="174"/>
        <v>-45.698717646702761</v>
      </c>
      <c r="Q104" s="204">
        <f t="shared" si="174"/>
        <v>-45.881328939561598</v>
      </c>
      <c r="R104" s="204">
        <f t="shared" si="174"/>
        <v>-46.078787253610507</v>
      </c>
      <c r="S104" s="204">
        <f t="shared" si="174"/>
        <v>-46.290822908052249</v>
      </c>
      <c r="T104" s="204">
        <f t="shared" si="174"/>
        <v>-46.517171120562551</v>
      </c>
      <c r="U104" s="204">
        <f t="shared" si="174"/>
        <v>-46.75757191831444</v>
      </c>
      <c r="V104" s="204">
        <f t="shared" si="174"/>
        <v>-47.011770050618708</v>
      </c>
      <c r="W104" s="204">
        <f t="shared" si="174"/>
        <v>-47.279514903151124</v>
      </c>
      <c r="X104" s="204">
        <f t="shared" si="174"/>
        <v>-47.560560413737676</v>
      </c>
      <c r="Y104" s="204">
        <f t="shared" si="174"/>
        <v>-47.854664989669509</v>
      </c>
      <c r="Z104" s="204">
        <f t="shared" si="174"/>
        <v>-48.161591426519607</v>
      </c>
      <c r="AA104" s="204">
        <f t="shared" si="174"/>
        <v>-48.481106828434278</v>
      </c>
      <c r="AB104" s="204">
        <f t="shared" si="174"/>
        <v>-48.81298252987235</v>
      </c>
      <c r="AC104" s="204">
        <f t="shared" si="174"/>
        <v>-49.156994018765893</v>
      </c>
      <c r="AD104" s="204">
        <f t="shared" si="174"/>
        <v>-49.51292086107668</v>
      </c>
      <c r="AE104" s="204">
        <f t="shared" si="174"/>
        <v>-49.880546626723003</v>
      </c>
      <c r="AF104" s="204">
        <f t="shared" si="174"/>
        <v>-50.259658816851953</v>
      </c>
      <c r="AG104" s="204">
        <f t="shared" si="174"/>
        <v>-50.650048792432663</v>
      </c>
      <c r="AH104" s="204">
        <f t="shared" si="174"/>
        <v>-51.051511704146662</v>
      </c>
      <c r="AI104" s="204">
        <f t="shared" si="174"/>
        <v>-51.463846423551665</v>
      </c>
      <c r="AJ104" s="204">
        <f t="shared" si="174"/>
        <v>-51.886855475495707</v>
      </c>
      <c r="AK104" s="204">
        <f t="shared" si="174"/>
        <v>-52.320344971758878</v>
      </c>
      <c r="AL104" s="204">
        <f t="shared" si="174"/>
        <v>-52.76412454590043</v>
      </c>
      <c r="AM104" s="204">
        <f t="shared" si="174"/>
        <v>-53.218007289289282</v>
      </c>
      <c r="AN104" s="204">
        <f t="shared" si="174"/>
        <v>-53.681809688296511</v>
      </c>
      <c r="AO104" s="204">
        <f t="shared" si="174"/>
        <v>-54.155351562628589</v>
      </c>
      <c r="AP104" s="204">
        <f t="shared" si="174"/>
        <v>-54.638456004780849</v>
      </c>
      <c r="AQ104" s="204">
        <f t="shared" si="174"/>
        <v>-55.130949320590631</v>
      </c>
      <c r="AR104" s="204">
        <f t="shared" si="174"/>
        <v>-55.632660970870248</v>
      </c>
      <c r="AS104" s="204">
        <f t="shared" si="174"/>
        <v>-56.143423514100107</v>
      </c>
      <c r="AT104" s="204">
        <f t="shared" si="174"/>
        <v>-56.663072550162802</v>
      </c>
      <c r="AU104" s="204">
        <f t="shared" si="174"/>
        <v>-57.191446665099171</v>
      </c>
      <c r="AV104" s="204">
        <f t="shared" si="174"/>
        <v>-57.728387376867829</v>
      </c>
      <c r="AW104" s="204">
        <f t="shared" si="174"/>
        <v>-58.273739082089882</v>
      </c>
      <c r="AX104" s="204">
        <f t="shared" si="174"/>
        <v>-58.827349003761015</v>
      </c>
      <c r="AY104" s="204">
        <f t="shared" si="174"/>
        <v>-59.389067139913323</v>
      </c>
      <c r="AZ104" s="204">
        <f t="shared" si="174"/>
        <v>-59.95874621320965</v>
      </c>
      <c r="BA104" s="204">
        <f t="shared" si="174"/>
        <v>-60.53624162145347</v>
      </c>
      <c r="BB104" s="204">
        <f t="shared" si="174"/>
        <v>-61.121411388997728</v>
      </c>
      <c r="BC104" s="204">
        <f t="shared" si="174"/>
        <v>-61.714116119036262</v>
      </c>
      <c r="BD104" s="204">
        <f t="shared" si="174"/>
        <v>-62.314218946761883</v>
      </c>
      <c r="BE104" s="204">
        <f t="shared" si="174"/>
        <v>-62.921585493375147</v>
      </c>
      <c r="BF104" s="204">
        <f t="shared" si="174"/>
        <v>-63.536083820928674</v>
      </c>
      <c r="BG104" s="204">
        <f t="shared" si="174"/>
        <v>-64.157584387991548</v>
      </c>
      <c r="BH104" s="204">
        <f t="shared" si="174"/>
        <v>-64.785960006119055</v>
      </c>
      <c r="BI104" s="204">
        <f t="shared" si="174"/>
        <v>-65.421085797113165</v>
      </c>
      <c r="BJ104" s="204">
        <f t="shared" si="174"/>
        <v>-66.062839151059279</v>
      </c>
      <c r="BK104" s="204">
        <f t="shared" si="174"/>
        <v>-66.711099685125177</v>
      </c>
      <c r="BL104" s="204">
        <f t="shared" si="174"/>
        <v>-67.365749203108379</v>
      </c>
      <c r="BM104" s="204">
        <f t="shared" si="174"/>
        <v>-68.026671655718303</v>
      </c>
      <c r="BN104" s="204">
        <f t="shared" si="174"/>
        <v>-68.693753101579787</v>
      </c>
      <c r="BO104" s="204">
        <f t="shared" si="174"/>
        <v>-69.366881668945013</v>
      </c>
      <c r="BP104" s="204">
        <f t="shared" si="174"/>
        <v>-70.04594751810086</v>
      </c>
      <c r="BQ104" s="204">
        <f t="shared" si="174"/>
        <v>-70.730842804459073</v>
      </c>
      <c r="BR104" s="204">
        <f t="shared" si="174"/>
        <v>-71.421461642316928</v>
      </c>
      <c r="BS104" s="204">
        <f t="shared" si="174"/>
        <v>-72.117700069276026</v>
      </c>
      <c r="BT104" s="204">
        <f t="shared" si="174"/>
        <v>-72.819456011307551</v>
      </c>
      <c r="BU104" s="204">
        <f t="shared" ref="BU104:EF104" si="175">PV($F58,BU$9,1,0)+(PV($J$6,$N$5-(BU$9),1,0)/($J$6+1)^BU$9)</f>
        <v>-73.526629248451897</v>
      </c>
      <c r="BV104" s="204">
        <f t="shared" si="175"/>
        <v>-74.239121381141487</v>
      </c>
      <c r="BW104" s="204">
        <f t="shared" si="175"/>
        <v>-74.956835797135199</v>
      </c>
      <c r="BX104" s="204">
        <f t="shared" si="175"/>
        <v>-75.679677639053423</v>
      </c>
      <c r="BY104" s="204">
        <f t="shared" si="175"/>
        <v>-76.407553772502823</v>
      </c>
      <c r="BZ104" s="204">
        <f t="shared" si="175"/>
        <v>-77.140372754780103</v>
      </c>
      <c r="CA104" s="204">
        <f t="shared" si="175"/>
        <v>-77.878044804144153</v>
      </c>
      <c r="CB104" s="204">
        <f t="shared" si="175"/>
        <v>-78.620481769646403</v>
      </c>
      <c r="CC104" s="204">
        <f t="shared" si="175"/>
        <v>-79.36759710150919</v>
      </c>
      <c r="CD104" s="204">
        <f t="shared" si="175"/>
        <v>-80.119305822042122</v>
      </c>
      <c r="CE104" s="204">
        <f t="shared" si="175"/>
        <v>-80.87552449708673</v>
      </c>
      <c r="CF104" s="204">
        <f t="shared" si="175"/>
        <v>-81.636171207979814</v>
      </c>
      <c r="CG104" s="204">
        <f t="shared" si="175"/>
        <v>-82.401165524026041</v>
      </c>
      <c r="CH104" s="204">
        <f t="shared" si="175"/>
        <v>-83.170428475470544</v>
      </c>
      <c r="CI104" s="204">
        <f t="shared" si="175"/>
        <v>-83.943882526962454</v>
      </c>
      <c r="CJ104" s="204">
        <f t="shared" si="175"/>
        <v>-84.721451551500408</v>
      </c>
      <c r="CK104" s="204">
        <f t="shared" si="175"/>
        <v>-85.503060804851359</v>
      </c>
      <c r="CL104" s="204">
        <f t="shared" si="175"/>
        <v>-86.288636900434042</v>
      </c>
      <c r="CM104" s="204">
        <f t="shared" si="175"/>
        <v>-87.07810778465857</v>
      </c>
      <c r="CN104" s="204">
        <f t="shared" si="175"/>
        <v>-87.871402712714072</v>
      </c>
      <c r="CO104" s="204">
        <f t="shared" si="175"/>
        <v>-88.668452224796056</v>
      </c>
      <c r="CP104" s="204">
        <f t="shared" si="175"/>
        <v>-89.469188122765601</v>
      </c>
      <c r="CQ104" s="204">
        <f t="shared" si="175"/>
        <v>-90.273543447232512</v>
      </c>
      <c r="CR104" s="204">
        <f t="shared" si="175"/>
        <v>-91.081452455054702</v>
      </c>
      <c r="CS104" s="204">
        <f t="shared" si="175"/>
        <v>-91.892850597246365</v>
      </c>
      <c r="CT104" s="204">
        <f t="shared" si="175"/>
        <v>-92.707674497287258</v>
      </c>
      <c r="CU104" s="204">
        <f t="shared" si="175"/>
        <v>-93.525861929826178</v>
      </c>
      <c r="CV104" s="204">
        <f t="shared" si="175"/>
        <v>-94.347351799771133</v>
      </c>
      <c r="CW104" s="204">
        <f t="shared" si="175"/>
        <v>-95.172084121759283</v>
      </c>
      <c r="CX104" s="204">
        <f t="shared" si="175"/>
        <v>-96</v>
      </c>
      <c r="CY104" s="204">
        <f t="shared" si="175"/>
        <v>-96</v>
      </c>
      <c r="CZ104" s="204">
        <f t="shared" si="175"/>
        <v>-96</v>
      </c>
      <c r="DA104" s="204">
        <f t="shared" si="175"/>
        <v>-96</v>
      </c>
      <c r="DB104" s="204">
        <f t="shared" si="175"/>
        <v>-96</v>
      </c>
      <c r="DC104" s="204">
        <f t="shared" si="175"/>
        <v>-96</v>
      </c>
      <c r="DD104" s="204">
        <f t="shared" si="175"/>
        <v>-96</v>
      </c>
      <c r="DE104" s="204">
        <f t="shared" si="175"/>
        <v>-96</v>
      </c>
      <c r="DF104" s="204">
        <f t="shared" si="175"/>
        <v>-96</v>
      </c>
      <c r="DG104" s="204">
        <f t="shared" si="175"/>
        <v>-96</v>
      </c>
      <c r="DH104" s="204">
        <f t="shared" si="175"/>
        <v>-96</v>
      </c>
      <c r="DI104" s="204">
        <f t="shared" si="175"/>
        <v>-96</v>
      </c>
      <c r="DJ104" s="204">
        <f t="shared" si="175"/>
        <v>-96</v>
      </c>
      <c r="DK104" s="204">
        <f t="shared" si="175"/>
        <v>-96</v>
      </c>
      <c r="DL104" s="204">
        <f t="shared" si="175"/>
        <v>-96</v>
      </c>
      <c r="DM104" s="204">
        <f t="shared" si="175"/>
        <v>-96</v>
      </c>
      <c r="DN104" s="204">
        <f t="shared" si="175"/>
        <v>-96</v>
      </c>
      <c r="DO104" s="204">
        <f t="shared" si="175"/>
        <v>-96</v>
      </c>
      <c r="DP104" s="204">
        <f t="shared" si="175"/>
        <v>-96</v>
      </c>
      <c r="DQ104" s="204">
        <f t="shared" si="175"/>
        <v>-96</v>
      </c>
      <c r="DR104" s="204">
        <f t="shared" si="175"/>
        <v>-96</v>
      </c>
      <c r="DS104" s="204">
        <f t="shared" si="175"/>
        <v>-96</v>
      </c>
      <c r="DT104" s="204">
        <f t="shared" si="175"/>
        <v>-96</v>
      </c>
      <c r="DU104" s="204">
        <f t="shared" si="175"/>
        <v>-96</v>
      </c>
      <c r="DV104" s="204">
        <f t="shared" si="175"/>
        <v>-96</v>
      </c>
      <c r="DW104" s="204">
        <f t="shared" si="175"/>
        <v>-96</v>
      </c>
      <c r="DX104" s="204">
        <f t="shared" si="175"/>
        <v>-96</v>
      </c>
      <c r="DY104" s="204">
        <f t="shared" si="175"/>
        <v>-96</v>
      </c>
      <c r="DZ104" s="204">
        <f t="shared" si="175"/>
        <v>-96</v>
      </c>
      <c r="EA104" s="204">
        <f t="shared" si="175"/>
        <v>-96</v>
      </c>
      <c r="EB104" s="204">
        <f t="shared" si="175"/>
        <v>-96</v>
      </c>
      <c r="EC104" s="204">
        <f t="shared" si="175"/>
        <v>-96</v>
      </c>
      <c r="ED104" s="204">
        <f t="shared" si="175"/>
        <v>-96</v>
      </c>
      <c r="EE104" s="204">
        <f t="shared" si="175"/>
        <v>-96</v>
      </c>
      <c r="EF104" s="204">
        <f t="shared" si="175"/>
        <v>-96</v>
      </c>
      <c r="EG104" s="204">
        <f t="shared" ref="EG104:ET104" si="176">PV($F58,EG$9,1,0)+(PV($J$6,$N$5-(EG$9),1,0)/($J$6+1)^EG$9)</f>
        <v>-96</v>
      </c>
      <c r="EH104" s="204">
        <f t="shared" si="176"/>
        <v>-96</v>
      </c>
      <c r="EI104" s="204">
        <f t="shared" si="176"/>
        <v>-96</v>
      </c>
      <c r="EJ104" s="204">
        <f t="shared" si="176"/>
        <v>-96</v>
      </c>
      <c r="EK104" s="204">
        <f t="shared" si="176"/>
        <v>-96</v>
      </c>
      <c r="EL104" s="204">
        <f t="shared" si="176"/>
        <v>-96</v>
      </c>
      <c r="EM104" s="204">
        <f t="shared" si="176"/>
        <v>-96</v>
      </c>
      <c r="EN104" s="204">
        <f t="shared" si="176"/>
        <v>-96</v>
      </c>
      <c r="EO104" s="204">
        <f t="shared" si="176"/>
        <v>-96</v>
      </c>
      <c r="EP104" s="204">
        <f t="shared" si="176"/>
        <v>-96</v>
      </c>
      <c r="EQ104" s="204">
        <f t="shared" si="176"/>
        <v>-96</v>
      </c>
      <c r="ER104" s="204">
        <f t="shared" si="176"/>
        <v>-96</v>
      </c>
      <c r="ES104" s="204">
        <f t="shared" si="176"/>
        <v>-96</v>
      </c>
      <c r="ET104" s="204">
        <f t="shared" si="176"/>
        <v>-96</v>
      </c>
      <c r="FF104" s="6" t="s">
        <v>367</v>
      </c>
      <c r="FG104" s="696">
        <v>2.23E-2</v>
      </c>
      <c r="FH104" s="696">
        <v>120</v>
      </c>
      <c r="FI104" s="696">
        <v>2.23E-2</v>
      </c>
      <c r="FJ104" s="255">
        <v>1.9799999999999998E-2</v>
      </c>
      <c r="FK104" s="71">
        <f t="shared" si="92"/>
        <v>5.9523809523809578E-5</v>
      </c>
      <c r="FL104" t="e">
        <f>VLOOKUP(FF104,'SIMULADOR COM SALDO'!$BX$22:$CK$1000,13,FALSE)</f>
        <v>#N/A</v>
      </c>
    </row>
    <row r="105" spans="7:168" x14ac:dyDescent="0.25">
      <c r="G105" s="103">
        <f t="shared" si="45"/>
        <v>-44.770373601250576</v>
      </c>
      <c r="H105" s="204">
        <f t="shared" si="46"/>
        <v>-44.806371604802436</v>
      </c>
      <c r="I105" s="204">
        <f t="shared" ref="I105:BT105" si="177">PV($F59,I$9,1,0)+(PV($J$6,$N$5-(I$9),1,0)/($J$6+1)^I$9)</f>
        <v>-44.859879708437063</v>
      </c>
      <c r="J105" s="204">
        <f t="shared" si="177"/>
        <v>-44.930579859281075</v>
      </c>
      <c r="K105" s="204">
        <f t="shared" si="177"/>
        <v>-45.018159781562872</v>
      </c>
      <c r="L105" s="204">
        <f t="shared" si="177"/>
        <v>-45.122312871677551</v>
      </c>
      <c r="M105" s="204">
        <f t="shared" si="177"/>
        <v>-45.24273809515784</v>
      </c>
      <c r="N105" s="204">
        <f t="shared" si="177"/>
        <v>-45.379139885516487</v>
      </c>
      <c r="O105" s="204">
        <f t="shared" si="177"/>
        <v>-45.53122804492606</v>
      </c>
      <c r="P105" s="204">
        <f t="shared" si="177"/>
        <v>-45.698717646702761</v>
      </c>
      <c r="Q105" s="204">
        <f t="shared" si="177"/>
        <v>-45.881328939561598</v>
      </c>
      <c r="R105" s="204">
        <f t="shared" si="177"/>
        <v>-46.078787253610507</v>
      </c>
      <c r="S105" s="204">
        <f t="shared" si="177"/>
        <v>-46.290822908052249</v>
      </c>
      <c r="T105" s="204">
        <f t="shared" si="177"/>
        <v>-46.517171120562551</v>
      </c>
      <c r="U105" s="204">
        <f t="shared" si="177"/>
        <v>-46.75757191831444</v>
      </c>
      <c r="V105" s="204">
        <f t="shared" si="177"/>
        <v>-47.011770050618708</v>
      </c>
      <c r="W105" s="204">
        <f t="shared" si="177"/>
        <v>-47.279514903151124</v>
      </c>
      <c r="X105" s="204">
        <f t="shared" si="177"/>
        <v>-47.560560413737676</v>
      </c>
      <c r="Y105" s="204">
        <f t="shared" si="177"/>
        <v>-47.854664989669509</v>
      </c>
      <c r="Z105" s="204">
        <f t="shared" si="177"/>
        <v>-48.161591426519607</v>
      </c>
      <c r="AA105" s="204">
        <f t="shared" si="177"/>
        <v>-48.481106828434278</v>
      </c>
      <c r="AB105" s="204">
        <f t="shared" si="177"/>
        <v>-48.81298252987235</v>
      </c>
      <c r="AC105" s="204">
        <f t="shared" si="177"/>
        <v>-49.156994018765893</v>
      </c>
      <c r="AD105" s="204">
        <f t="shared" si="177"/>
        <v>-49.51292086107668</v>
      </c>
      <c r="AE105" s="204">
        <f t="shared" si="177"/>
        <v>-49.880546626723003</v>
      </c>
      <c r="AF105" s="204">
        <f t="shared" si="177"/>
        <v>-50.259658816851953</v>
      </c>
      <c r="AG105" s="204">
        <f t="shared" si="177"/>
        <v>-50.650048792432663</v>
      </c>
      <c r="AH105" s="204">
        <f t="shared" si="177"/>
        <v>-51.051511704146662</v>
      </c>
      <c r="AI105" s="204">
        <f t="shared" si="177"/>
        <v>-51.463846423551665</v>
      </c>
      <c r="AJ105" s="204">
        <f t="shared" si="177"/>
        <v>-51.886855475495707</v>
      </c>
      <c r="AK105" s="204">
        <f t="shared" si="177"/>
        <v>-52.320344971758878</v>
      </c>
      <c r="AL105" s="204">
        <f t="shared" si="177"/>
        <v>-52.76412454590043</v>
      </c>
      <c r="AM105" s="204">
        <f t="shared" si="177"/>
        <v>-53.218007289289282</v>
      </c>
      <c r="AN105" s="204">
        <f t="shared" si="177"/>
        <v>-53.681809688296511</v>
      </c>
      <c r="AO105" s="204">
        <f t="shared" si="177"/>
        <v>-54.155351562628589</v>
      </c>
      <c r="AP105" s="204">
        <f t="shared" si="177"/>
        <v>-54.638456004780849</v>
      </c>
      <c r="AQ105" s="204">
        <f t="shared" si="177"/>
        <v>-55.130949320590631</v>
      </c>
      <c r="AR105" s="204">
        <f t="shared" si="177"/>
        <v>-55.632660970870248</v>
      </c>
      <c r="AS105" s="204">
        <f t="shared" si="177"/>
        <v>-56.143423514100107</v>
      </c>
      <c r="AT105" s="204">
        <f t="shared" si="177"/>
        <v>-56.663072550162802</v>
      </c>
      <c r="AU105" s="204">
        <f t="shared" si="177"/>
        <v>-57.191446665099171</v>
      </c>
      <c r="AV105" s="204">
        <f t="shared" si="177"/>
        <v>-57.728387376867829</v>
      </c>
      <c r="AW105" s="204">
        <f t="shared" si="177"/>
        <v>-58.273739082089882</v>
      </c>
      <c r="AX105" s="204">
        <f t="shared" si="177"/>
        <v>-58.827349003761015</v>
      </c>
      <c r="AY105" s="204">
        <f t="shared" si="177"/>
        <v>-59.389067139913323</v>
      </c>
      <c r="AZ105" s="204">
        <f t="shared" si="177"/>
        <v>-59.95874621320965</v>
      </c>
      <c r="BA105" s="204">
        <f t="shared" si="177"/>
        <v>-60.53624162145347</v>
      </c>
      <c r="BB105" s="204">
        <f t="shared" si="177"/>
        <v>-61.121411388997728</v>
      </c>
      <c r="BC105" s="204">
        <f t="shared" si="177"/>
        <v>-61.714116119036262</v>
      </c>
      <c r="BD105" s="204">
        <f t="shared" si="177"/>
        <v>-62.314218946761883</v>
      </c>
      <c r="BE105" s="204">
        <f t="shared" si="177"/>
        <v>-62.921585493375147</v>
      </c>
      <c r="BF105" s="204">
        <f t="shared" si="177"/>
        <v>-63.536083820928674</v>
      </c>
      <c r="BG105" s="204">
        <f t="shared" si="177"/>
        <v>-64.157584387991548</v>
      </c>
      <c r="BH105" s="204">
        <f t="shared" si="177"/>
        <v>-64.785960006119055</v>
      </c>
      <c r="BI105" s="204">
        <f t="shared" si="177"/>
        <v>-65.421085797113165</v>
      </c>
      <c r="BJ105" s="204">
        <f t="shared" si="177"/>
        <v>-66.062839151059279</v>
      </c>
      <c r="BK105" s="204">
        <f t="shared" si="177"/>
        <v>-66.711099685125177</v>
      </c>
      <c r="BL105" s="204">
        <f t="shared" si="177"/>
        <v>-67.365749203108379</v>
      </c>
      <c r="BM105" s="204">
        <f t="shared" si="177"/>
        <v>-68.026671655718303</v>
      </c>
      <c r="BN105" s="204">
        <f t="shared" si="177"/>
        <v>-68.693753101579787</v>
      </c>
      <c r="BO105" s="204">
        <f t="shared" si="177"/>
        <v>-69.366881668945013</v>
      </c>
      <c r="BP105" s="204">
        <f t="shared" si="177"/>
        <v>-70.04594751810086</v>
      </c>
      <c r="BQ105" s="204">
        <f t="shared" si="177"/>
        <v>-70.730842804459073</v>
      </c>
      <c r="BR105" s="204">
        <f t="shared" si="177"/>
        <v>-71.421461642316928</v>
      </c>
      <c r="BS105" s="204">
        <f t="shared" si="177"/>
        <v>-72.117700069276026</v>
      </c>
      <c r="BT105" s="204">
        <f t="shared" si="177"/>
        <v>-72.819456011307551</v>
      </c>
      <c r="BU105" s="204">
        <f t="shared" ref="BU105:EF105" si="178">PV($F59,BU$9,1,0)+(PV($J$6,$N$5-(BU$9),1,0)/($J$6+1)^BU$9)</f>
        <v>-73.526629248451897</v>
      </c>
      <c r="BV105" s="204">
        <f t="shared" si="178"/>
        <v>-74.239121381141487</v>
      </c>
      <c r="BW105" s="204">
        <f t="shared" si="178"/>
        <v>-74.956835797135199</v>
      </c>
      <c r="BX105" s="204">
        <f t="shared" si="178"/>
        <v>-75.679677639053423</v>
      </c>
      <c r="BY105" s="204">
        <f t="shared" si="178"/>
        <v>-76.407553772502823</v>
      </c>
      <c r="BZ105" s="204">
        <f t="shared" si="178"/>
        <v>-77.140372754780103</v>
      </c>
      <c r="CA105" s="204">
        <f t="shared" si="178"/>
        <v>-77.878044804144153</v>
      </c>
      <c r="CB105" s="204">
        <f t="shared" si="178"/>
        <v>-78.620481769646403</v>
      </c>
      <c r="CC105" s="204">
        <f t="shared" si="178"/>
        <v>-79.36759710150919</v>
      </c>
      <c r="CD105" s="204">
        <f t="shared" si="178"/>
        <v>-80.119305822042122</v>
      </c>
      <c r="CE105" s="204">
        <f t="shared" si="178"/>
        <v>-80.87552449708673</v>
      </c>
      <c r="CF105" s="204">
        <f t="shared" si="178"/>
        <v>-81.636171207979814</v>
      </c>
      <c r="CG105" s="204">
        <f t="shared" si="178"/>
        <v>-82.401165524026041</v>
      </c>
      <c r="CH105" s="204">
        <f t="shared" si="178"/>
        <v>-83.170428475470544</v>
      </c>
      <c r="CI105" s="204">
        <f t="shared" si="178"/>
        <v>-83.943882526962454</v>
      </c>
      <c r="CJ105" s="204">
        <f t="shared" si="178"/>
        <v>-84.721451551500408</v>
      </c>
      <c r="CK105" s="204">
        <f t="shared" si="178"/>
        <v>-85.503060804851359</v>
      </c>
      <c r="CL105" s="204">
        <f t="shared" si="178"/>
        <v>-86.288636900434042</v>
      </c>
      <c r="CM105" s="204">
        <f t="shared" si="178"/>
        <v>-87.07810778465857</v>
      </c>
      <c r="CN105" s="204">
        <f t="shared" si="178"/>
        <v>-87.871402712714072</v>
      </c>
      <c r="CO105" s="204">
        <f t="shared" si="178"/>
        <v>-88.668452224796056</v>
      </c>
      <c r="CP105" s="204">
        <f t="shared" si="178"/>
        <v>-89.469188122765601</v>
      </c>
      <c r="CQ105" s="204">
        <f t="shared" si="178"/>
        <v>-90.273543447232512</v>
      </c>
      <c r="CR105" s="204">
        <f t="shared" si="178"/>
        <v>-91.081452455054702</v>
      </c>
      <c r="CS105" s="204">
        <f t="shared" si="178"/>
        <v>-91.892850597246365</v>
      </c>
      <c r="CT105" s="204">
        <f t="shared" si="178"/>
        <v>-92.707674497287258</v>
      </c>
      <c r="CU105" s="204">
        <f t="shared" si="178"/>
        <v>-93.525861929826178</v>
      </c>
      <c r="CV105" s="204">
        <f t="shared" si="178"/>
        <v>-94.347351799771133</v>
      </c>
      <c r="CW105" s="204">
        <f t="shared" si="178"/>
        <v>-95.172084121759283</v>
      </c>
      <c r="CX105" s="204">
        <f t="shared" si="178"/>
        <v>-96</v>
      </c>
      <c r="CY105" s="204">
        <f t="shared" si="178"/>
        <v>-96</v>
      </c>
      <c r="CZ105" s="204">
        <f t="shared" si="178"/>
        <v>-96</v>
      </c>
      <c r="DA105" s="204">
        <f t="shared" si="178"/>
        <v>-96</v>
      </c>
      <c r="DB105" s="204">
        <f t="shared" si="178"/>
        <v>-96</v>
      </c>
      <c r="DC105" s="204">
        <f t="shared" si="178"/>
        <v>-96</v>
      </c>
      <c r="DD105" s="204">
        <f t="shared" si="178"/>
        <v>-96</v>
      </c>
      <c r="DE105" s="204">
        <f t="shared" si="178"/>
        <v>-96</v>
      </c>
      <c r="DF105" s="204">
        <f t="shared" si="178"/>
        <v>-96</v>
      </c>
      <c r="DG105" s="204">
        <f t="shared" si="178"/>
        <v>-96</v>
      </c>
      <c r="DH105" s="204">
        <f t="shared" si="178"/>
        <v>-96</v>
      </c>
      <c r="DI105" s="204">
        <f t="shared" si="178"/>
        <v>-96</v>
      </c>
      <c r="DJ105" s="204">
        <f t="shared" si="178"/>
        <v>-96</v>
      </c>
      <c r="DK105" s="204">
        <f t="shared" si="178"/>
        <v>-96</v>
      </c>
      <c r="DL105" s="204">
        <f t="shared" si="178"/>
        <v>-96</v>
      </c>
      <c r="DM105" s="204">
        <f t="shared" si="178"/>
        <v>-96</v>
      </c>
      <c r="DN105" s="204">
        <f t="shared" si="178"/>
        <v>-96</v>
      </c>
      <c r="DO105" s="204">
        <f t="shared" si="178"/>
        <v>-96</v>
      </c>
      <c r="DP105" s="204">
        <f t="shared" si="178"/>
        <v>-96</v>
      </c>
      <c r="DQ105" s="204">
        <f t="shared" si="178"/>
        <v>-96</v>
      </c>
      <c r="DR105" s="204">
        <f t="shared" si="178"/>
        <v>-96</v>
      </c>
      <c r="DS105" s="204">
        <f t="shared" si="178"/>
        <v>-96</v>
      </c>
      <c r="DT105" s="204">
        <f t="shared" si="178"/>
        <v>-96</v>
      </c>
      <c r="DU105" s="204">
        <f t="shared" si="178"/>
        <v>-96</v>
      </c>
      <c r="DV105" s="204">
        <f t="shared" si="178"/>
        <v>-96</v>
      </c>
      <c r="DW105" s="204">
        <f t="shared" si="178"/>
        <v>-96</v>
      </c>
      <c r="DX105" s="204">
        <f t="shared" si="178"/>
        <v>-96</v>
      </c>
      <c r="DY105" s="204">
        <f t="shared" si="178"/>
        <v>-96</v>
      </c>
      <c r="DZ105" s="204">
        <f t="shared" si="178"/>
        <v>-96</v>
      </c>
      <c r="EA105" s="204">
        <f t="shared" si="178"/>
        <v>-96</v>
      </c>
      <c r="EB105" s="204">
        <f t="shared" si="178"/>
        <v>-96</v>
      </c>
      <c r="EC105" s="204">
        <f t="shared" si="178"/>
        <v>-96</v>
      </c>
      <c r="ED105" s="204">
        <f t="shared" si="178"/>
        <v>-96</v>
      </c>
      <c r="EE105" s="204">
        <f t="shared" si="178"/>
        <v>-96</v>
      </c>
      <c r="EF105" s="204">
        <f t="shared" si="178"/>
        <v>-96</v>
      </c>
      <c r="EG105" s="204">
        <f t="shared" ref="EG105:ET105" si="179">PV($F59,EG$9,1,0)+(PV($J$6,$N$5-(EG$9),1,0)/($J$6+1)^EG$9)</f>
        <v>-96</v>
      </c>
      <c r="EH105" s="204">
        <f t="shared" si="179"/>
        <v>-96</v>
      </c>
      <c r="EI105" s="204">
        <f t="shared" si="179"/>
        <v>-96</v>
      </c>
      <c r="EJ105" s="204">
        <f t="shared" si="179"/>
        <v>-96</v>
      </c>
      <c r="EK105" s="204">
        <f t="shared" si="179"/>
        <v>-96</v>
      </c>
      <c r="EL105" s="204">
        <f t="shared" si="179"/>
        <v>-96</v>
      </c>
      <c r="EM105" s="204">
        <f t="shared" si="179"/>
        <v>-96</v>
      </c>
      <c r="EN105" s="204">
        <f t="shared" si="179"/>
        <v>-96</v>
      </c>
      <c r="EO105" s="204">
        <f t="shared" si="179"/>
        <v>-96</v>
      </c>
      <c r="EP105" s="204">
        <f t="shared" si="179"/>
        <v>-96</v>
      </c>
      <c r="EQ105" s="204">
        <f t="shared" si="179"/>
        <v>-96</v>
      </c>
      <c r="ER105" s="204">
        <f t="shared" si="179"/>
        <v>-96</v>
      </c>
      <c r="ES105" s="204">
        <f t="shared" si="179"/>
        <v>-96</v>
      </c>
      <c r="ET105" s="204">
        <f t="shared" si="179"/>
        <v>-96</v>
      </c>
      <c r="FF105" s="6" t="s">
        <v>3750</v>
      </c>
      <c r="FG105" s="696">
        <v>2.5000000000000001E-2</v>
      </c>
      <c r="FH105" s="696">
        <v>120</v>
      </c>
      <c r="FI105" s="696">
        <v>1.8100000000000002E-2</v>
      </c>
      <c r="FJ105" s="255">
        <v>1.5600000000000001E-2</v>
      </c>
      <c r="FK105" s="71">
        <f t="shared" si="92"/>
        <v>2.2380952380952383E-4</v>
      </c>
      <c r="FL105" t="e">
        <f>VLOOKUP(FF105,'SIMULADOR COM SALDO'!$BX$22:$CK$1000,13,FALSE)</f>
        <v>#N/A</v>
      </c>
    </row>
    <row r="106" spans="7:168" x14ac:dyDescent="0.25">
      <c r="G106" s="103">
        <f t="shared" si="45"/>
        <v>-44.770373601250576</v>
      </c>
      <c r="H106" s="204">
        <f t="shared" si="46"/>
        <v>-44.806371604802436</v>
      </c>
      <c r="I106" s="204">
        <f t="shared" ref="I106:BT106" si="180">PV($F60,I$9,1,0)+(PV($J$6,$N$5-(I$9),1,0)/($J$6+1)^I$9)</f>
        <v>-44.859879708437063</v>
      </c>
      <c r="J106" s="204">
        <f t="shared" si="180"/>
        <v>-44.930579859281075</v>
      </c>
      <c r="K106" s="204">
        <f t="shared" si="180"/>
        <v>-45.018159781562872</v>
      </c>
      <c r="L106" s="204">
        <f t="shared" si="180"/>
        <v>-45.122312871677551</v>
      </c>
      <c r="M106" s="204">
        <f t="shared" si="180"/>
        <v>-45.24273809515784</v>
      </c>
      <c r="N106" s="204">
        <f t="shared" si="180"/>
        <v>-45.379139885516487</v>
      </c>
      <c r="O106" s="204">
        <f t="shared" si="180"/>
        <v>-45.53122804492606</v>
      </c>
      <c r="P106" s="204">
        <f t="shared" si="180"/>
        <v>-45.698717646702761</v>
      </c>
      <c r="Q106" s="204">
        <f t="shared" si="180"/>
        <v>-45.881328939561598</v>
      </c>
      <c r="R106" s="204">
        <f t="shared" si="180"/>
        <v>-46.078787253610507</v>
      </c>
      <c r="S106" s="204">
        <f t="shared" si="180"/>
        <v>-46.290822908052249</v>
      </c>
      <c r="T106" s="204">
        <f t="shared" si="180"/>
        <v>-46.517171120562551</v>
      </c>
      <c r="U106" s="204">
        <f t="shared" si="180"/>
        <v>-46.75757191831444</v>
      </c>
      <c r="V106" s="204">
        <f t="shared" si="180"/>
        <v>-47.011770050618708</v>
      </c>
      <c r="W106" s="204">
        <f t="shared" si="180"/>
        <v>-47.279514903151124</v>
      </c>
      <c r="X106" s="204">
        <f t="shared" si="180"/>
        <v>-47.560560413737676</v>
      </c>
      <c r="Y106" s="204">
        <f t="shared" si="180"/>
        <v>-47.854664989669509</v>
      </c>
      <c r="Z106" s="204">
        <f t="shared" si="180"/>
        <v>-48.161591426519607</v>
      </c>
      <c r="AA106" s="204">
        <f t="shared" si="180"/>
        <v>-48.481106828434278</v>
      </c>
      <c r="AB106" s="204">
        <f t="shared" si="180"/>
        <v>-48.81298252987235</v>
      </c>
      <c r="AC106" s="204">
        <f t="shared" si="180"/>
        <v>-49.156994018765893</v>
      </c>
      <c r="AD106" s="204">
        <f t="shared" si="180"/>
        <v>-49.51292086107668</v>
      </c>
      <c r="AE106" s="204">
        <f t="shared" si="180"/>
        <v>-49.880546626723003</v>
      </c>
      <c r="AF106" s="204">
        <f t="shared" si="180"/>
        <v>-50.259658816851953</v>
      </c>
      <c r="AG106" s="204">
        <f t="shared" si="180"/>
        <v>-50.650048792432663</v>
      </c>
      <c r="AH106" s="204">
        <f t="shared" si="180"/>
        <v>-51.051511704146662</v>
      </c>
      <c r="AI106" s="204">
        <f t="shared" si="180"/>
        <v>-51.463846423551665</v>
      </c>
      <c r="AJ106" s="204">
        <f t="shared" si="180"/>
        <v>-51.886855475495707</v>
      </c>
      <c r="AK106" s="204">
        <f t="shared" si="180"/>
        <v>-52.320344971758878</v>
      </c>
      <c r="AL106" s="204">
        <f t="shared" si="180"/>
        <v>-52.76412454590043</v>
      </c>
      <c r="AM106" s="204">
        <f t="shared" si="180"/>
        <v>-53.218007289289282</v>
      </c>
      <c r="AN106" s="204">
        <f t="shared" si="180"/>
        <v>-53.681809688296511</v>
      </c>
      <c r="AO106" s="204">
        <f t="shared" si="180"/>
        <v>-54.155351562628589</v>
      </c>
      <c r="AP106" s="204">
        <f t="shared" si="180"/>
        <v>-54.638456004780849</v>
      </c>
      <c r="AQ106" s="204">
        <f t="shared" si="180"/>
        <v>-55.130949320590631</v>
      </c>
      <c r="AR106" s="204">
        <f t="shared" si="180"/>
        <v>-55.632660970870248</v>
      </c>
      <c r="AS106" s="204">
        <f t="shared" si="180"/>
        <v>-56.143423514100107</v>
      </c>
      <c r="AT106" s="204">
        <f t="shared" si="180"/>
        <v>-56.663072550162802</v>
      </c>
      <c r="AU106" s="204">
        <f t="shared" si="180"/>
        <v>-57.191446665099171</v>
      </c>
      <c r="AV106" s="204">
        <f t="shared" si="180"/>
        <v>-57.728387376867829</v>
      </c>
      <c r="AW106" s="204">
        <f t="shared" si="180"/>
        <v>-58.273739082089882</v>
      </c>
      <c r="AX106" s="204">
        <f t="shared" si="180"/>
        <v>-58.827349003761015</v>
      </c>
      <c r="AY106" s="204">
        <f t="shared" si="180"/>
        <v>-59.389067139913323</v>
      </c>
      <c r="AZ106" s="204">
        <f t="shared" si="180"/>
        <v>-59.95874621320965</v>
      </c>
      <c r="BA106" s="204">
        <f t="shared" si="180"/>
        <v>-60.53624162145347</v>
      </c>
      <c r="BB106" s="204">
        <f t="shared" si="180"/>
        <v>-61.121411388997728</v>
      </c>
      <c r="BC106" s="204">
        <f t="shared" si="180"/>
        <v>-61.714116119036262</v>
      </c>
      <c r="BD106" s="204">
        <f t="shared" si="180"/>
        <v>-62.314218946761883</v>
      </c>
      <c r="BE106" s="204">
        <f t="shared" si="180"/>
        <v>-62.921585493375147</v>
      </c>
      <c r="BF106" s="204">
        <f t="shared" si="180"/>
        <v>-63.536083820928674</v>
      </c>
      <c r="BG106" s="204">
        <f t="shared" si="180"/>
        <v>-64.157584387991548</v>
      </c>
      <c r="BH106" s="204">
        <f t="shared" si="180"/>
        <v>-64.785960006119055</v>
      </c>
      <c r="BI106" s="204">
        <f t="shared" si="180"/>
        <v>-65.421085797113165</v>
      </c>
      <c r="BJ106" s="204">
        <f t="shared" si="180"/>
        <v>-66.062839151059279</v>
      </c>
      <c r="BK106" s="204">
        <f t="shared" si="180"/>
        <v>-66.711099685125177</v>
      </c>
      <c r="BL106" s="204">
        <f t="shared" si="180"/>
        <v>-67.365749203108379</v>
      </c>
      <c r="BM106" s="204">
        <f t="shared" si="180"/>
        <v>-68.026671655718303</v>
      </c>
      <c r="BN106" s="204">
        <f t="shared" si="180"/>
        <v>-68.693753101579787</v>
      </c>
      <c r="BO106" s="204">
        <f t="shared" si="180"/>
        <v>-69.366881668945013</v>
      </c>
      <c r="BP106" s="204">
        <f t="shared" si="180"/>
        <v>-70.04594751810086</v>
      </c>
      <c r="BQ106" s="204">
        <f t="shared" si="180"/>
        <v>-70.730842804459073</v>
      </c>
      <c r="BR106" s="204">
        <f t="shared" si="180"/>
        <v>-71.421461642316928</v>
      </c>
      <c r="BS106" s="204">
        <f t="shared" si="180"/>
        <v>-72.117700069276026</v>
      </c>
      <c r="BT106" s="204">
        <f t="shared" si="180"/>
        <v>-72.819456011307551</v>
      </c>
      <c r="BU106" s="204">
        <f t="shared" ref="BU106:EF106" si="181">PV($F60,BU$9,1,0)+(PV($J$6,$N$5-(BU$9),1,0)/($J$6+1)^BU$9)</f>
        <v>-73.526629248451897</v>
      </c>
      <c r="BV106" s="204">
        <f t="shared" si="181"/>
        <v>-74.239121381141487</v>
      </c>
      <c r="BW106" s="204">
        <f t="shared" si="181"/>
        <v>-74.956835797135199</v>
      </c>
      <c r="BX106" s="204">
        <f t="shared" si="181"/>
        <v>-75.679677639053423</v>
      </c>
      <c r="BY106" s="204">
        <f t="shared" si="181"/>
        <v>-76.407553772502823</v>
      </c>
      <c r="BZ106" s="204">
        <f t="shared" si="181"/>
        <v>-77.140372754780103</v>
      </c>
      <c r="CA106" s="204">
        <f t="shared" si="181"/>
        <v>-77.878044804144153</v>
      </c>
      <c r="CB106" s="204">
        <f t="shared" si="181"/>
        <v>-78.620481769646403</v>
      </c>
      <c r="CC106" s="204">
        <f t="shared" si="181"/>
        <v>-79.36759710150919</v>
      </c>
      <c r="CD106" s="204">
        <f t="shared" si="181"/>
        <v>-80.119305822042122</v>
      </c>
      <c r="CE106" s="204">
        <f t="shared" si="181"/>
        <v>-80.87552449708673</v>
      </c>
      <c r="CF106" s="204">
        <f t="shared" si="181"/>
        <v>-81.636171207979814</v>
      </c>
      <c r="CG106" s="204">
        <f t="shared" si="181"/>
        <v>-82.401165524026041</v>
      </c>
      <c r="CH106" s="204">
        <f t="shared" si="181"/>
        <v>-83.170428475470544</v>
      </c>
      <c r="CI106" s="204">
        <f t="shared" si="181"/>
        <v>-83.943882526962454</v>
      </c>
      <c r="CJ106" s="204">
        <f t="shared" si="181"/>
        <v>-84.721451551500408</v>
      </c>
      <c r="CK106" s="204">
        <f t="shared" si="181"/>
        <v>-85.503060804851359</v>
      </c>
      <c r="CL106" s="204">
        <f t="shared" si="181"/>
        <v>-86.288636900434042</v>
      </c>
      <c r="CM106" s="204">
        <f t="shared" si="181"/>
        <v>-87.07810778465857</v>
      </c>
      <c r="CN106" s="204">
        <f t="shared" si="181"/>
        <v>-87.871402712714072</v>
      </c>
      <c r="CO106" s="204">
        <f t="shared" si="181"/>
        <v>-88.668452224796056</v>
      </c>
      <c r="CP106" s="204">
        <f t="shared" si="181"/>
        <v>-89.469188122765601</v>
      </c>
      <c r="CQ106" s="204">
        <f t="shared" si="181"/>
        <v>-90.273543447232512</v>
      </c>
      <c r="CR106" s="204">
        <f t="shared" si="181"/>
        <v>-91.081452455054702</v>
      </c>
      <c r="CS106" s="204">
        <f t="shared" si="181"/>
        <v>-91.892850597246365</v>
      </c>
      <c r="CT106" s="204">
        <f t="shared" si="181"/>
        <v>-92.707674497287258</v>
      </c>
      <c r="CU106" s="204">
        <f t="shared" si="181"/>
        <v>-93.525861929826178</v>
      </c>
      <c r="CV106" s="204">
        <f t="shared" si="181"/>
        <v>-94.347351799771133</v>
      </c>
      <c r="CW106" s="204">
        <f t="shared" si="181"/>
        <v>-95.172084121759283</v>
      </c>
      <c r="CX106" s="204">
        <f t="shared" si="181"/>
        <v>-96</v>
      </c>
      <c r="CY106" s="204">
        <f t="shared" si="181"/>
        <v>-96</v>
      </c>
      <c r="CZ106" s="204">
        <f t="shared" si="181"/>
        <v>-96</v>
      </c>
      <c r="DA106" s="204">
        <f t="shared" si="181"/>
        <v>-96</v>
      </c>
      <c r="DB106" s="204">
        <f t="shared" si="181"/>
        <v>-96</v>
      </c>
      <c r="DC106" s="204">
        <f t="shared" si="181"/>
        <v>-96</v>
      </c>
      <c r="DD106" s="204">
        <f t="shared" si="181"/>
        <v>-96</v>
      </c>
      <c r="DE106" s="204">
        <f t="shared" si="181"/>
        <v>-96</v>
      </c>
      <c r="DF106" s="204">
        <f t="shared" si="181"/>
        <v>-96</v>
      </c>
      <c r="DG106" s="204">
        <f t="shared" si="181"/>
        <v>-96</v>
      </c>
      <c r="DH106" s="204">
        <f t="shared" si="181"/>
        <v>-96</v>
      </c>
      <c r="DI106" s="204">
        <f t="shared" si="181"/>
        <v>-96</v>
      </c>
      <c r="DJ106" s="204">
        <f t="shared" si="181"/>
        <v>-96</v>
      </c>
      <c r="DK106" s="204">
        <f t="shared" si="181"/>
        <v>-96</v>
      </c>
      <c r="DL106" s="204">
        <f t="shared" si="181"/>
        <v>-96</v>
      </c>
      <c r="DM106" s="204">
        <f t="shared" si="181"/>
        <v>-96</v>
      </c>
      <c r="DN106" s="204">
        <f t="shared" si="181"/>
        <v>-96</v>
      </c>
      <c r="DO106" s="204">
        <f t="shared" si="181"/>
        <v>-96</v>
      </c>
      <c r="DP106" s="204">
        <f t="shared" si="181"/>
        <v>-96</v>
      </c>
      <c r="DQ106" s="204">
        <f t="shared" si="181"/>
        <v>-96</v>
      </c>
      <c r="DR106" s="204">
        <f t="shared" si="181"/>
        <v>-96</v>
      </c>
      <c r="DS106" s="204">
        <f t="shared" si="181"/>
        <v>-96</v>
      </c>
      <c r="DT106" s="204">
        <f t="shared" si="181"/>
        <v>-96</v>
      </c>
      <c r="DU106" s="204">
        <f t="shared" si="181"/>
        <v>-96</v>
      </c>
      <c r="DV106" s="204">
        <f t="shared" si="181"/>
        <v>-96</v>
      </c>
      <c r="DW106" s="204">
        <f t="shared" si="181"/>
        <v>-96</v>
      </c>
      <c r="DX106" s="204">
        <f t="shared" si="181"/>
        <v>-96</v>
      </c>
      <c r="DY106" s="204">
        <f t="shared" si="181"/>
        <v>-96</v>
      </c>
      <c r="DZ106" s="204">
        <f t="shared" si="181"/>
        <v>-96</v>
      </c>
      <c r="EA106" s="204">
        <f t="shared" si="181"/>
        <v>-96</v>
      </c>
      <c r="EB106" s="204">
        <f t="shared" si="181"/>
        <v>-96</v>
      </c>
      <c r="EC106" s="204">
        <f t="shared" si="181"/>
        <v>-96</v>
      </c>
      <c r="ED106" s="204">
        <f t="shared" si="181"/>
        <v>-96</v>
      </c>
      <c r="EE106" s="204">
        <f t="shared" si="181"/>
        <v>-96</v>
      </c>
      <c r="EF106" s="204">
        <f t="shared" si="181"/>
        <v>-96</v>
      </c>
      <c r="EG106" s="204">
        <f t="shared" ref="EG106:ET106" si="182">PV($F60,EG$9,1,0)+(PV($J$6,$N$5-(EG$9),1,0)/($J$6+1)^EG$9)</f>
        <v>-96</v>
      </c>
      <c r="EH106" s="204">
        <f t="shared" si="182"/>
        <v>-96</v>
      </c>
      <c r="EI106" s="204">
        <f t="shared" si="182"/>
        <v>-96</v>
      </c>
      <c r="EJ106" s="204">
        <f t="shared" si="182"/>
        <v>-96</v>
      </c>
      <c r="EK106" s="204">
        <f t="shared" si="182"/>
        <v>-96</v>
      </c>
      <c r="EL106" s="204">
        <f t="shared" si="182"/>
        <v>-96</v>
      </c>
      <c r="EM106" s="204">
        <f t="shared" si="182"/>
        <v>-96</v>
      </c>
      <c r="EN106" s="204">
        <f t="shared" si="182"/>
        <v>-96</v>
      </c>
      <c r="EO106" s="204">
        <f t="shared" si="182"/>
        <v>-96</v>
      </c>
      <c r="EP106" s="204">
        <f t="shared" si="182"/>
        <v>-96</v>
      </c>
      <c r="EQ106" s="204">
        <f t="shared" si="182"/>
        <v>-96</v>
      </c>
      <c r="ER106" s="204">
        <f t="shared" si="182"/>
        <v>-96</v>
      </c>
      <c r="ES106" s="204">
        <f t="shared" si="182"/>
        <v>-96</v>
      </c>
      <c r="ET106" s="204">
        <f t="shared" si="182"/>
        <v>-96</v>
      </c>
      <c r="FF106" s="6" t="s">
        <v>387</v>
      </c>
      <c r="FG106" s="696">
        <v>2.5000000000000001E-2</v>
      </c>
      <c r="FH106" s="696">
        <v>120</v>
      </c>
      <c r="FI106" s="696">
        <v>1.7500000000000002E-2</v>
      </c>
      <c r="FJ106" s="255">
        <v>1.55E-2</v>
      </c>
      <c r="FK106" s="71">
        <f t="shared" si="92"/>
        <v>2.2619047619047624E-4</v>
      </c>
      <c r="FL106" t="e">
        <f>VLOOKUP(FF106,'SIMULADOR COM SALDO'!$BX$22:$CK$1000,13,FALSE)</f>
        <v>#N/A</v>
      </c>
    </row>
    <row r="107" spans="7:168" x14ac:dyDescent="0.25">
      <c r="G107" s="103">
        <f t="shared" si="45"/>
        <v>-44.770373601250576</v>
      </c>
      <c r="H107" s="204">
        <f t="shared" si="46"/>
        <v>-44.806371604802436</v>
      </c>
      <c r="I107" s="204">
        <f t="shared" ref="I107:BT107" si="183">PV($F61,I$9,1,0)+(PV($J$6,$N$5-(I$9),1,0)/($J$6+1)^I$9)</f>
        <v>-44.859879708437063</v>
      </c>
      <c r="J107" s="204">
        <f t="shared" si="183"/>
        <v>-44.930579859281075</v>
      </c>
      <c r="K107" s="204">
        <f t="shared" si="183"/>
        <v>-45.018159781562872</v>
      </c>
      <c r="L107" s="204">
        <f t="shared" si="183"/>
        <v>-45.122312871677551</v>
      </c>
      <c r="M107" s="204">
        <f t="shared" si="183"/>
        <v>-45.24273809515784</v>
      </c>
      <c r="N107" s="204">
        <f t="shared" si="183"/>
        <v>-45.379139885516487</v>
      </c>
      <c r="O107" s="204">
        <f t="shared" si="183"/>
        <v>-45.53122804492606</v>
      </c>
      <c r="P107" s="204">
        <f t="shared" si="183"/>
        <v>-45.698717646702761</v>
      </c>
      <c r="Q107" s="204">
        <f t="shared" si="183"/>
        <v>-45.881328939561598</v>
      </c>
      <c r="R107" s="204">
        <f t="shared" si="183"/>
        <v>-46.078787253610507</v>
      </c>
      <c r="S107" s="204">
        <f t="shared" si="183"/>
        <v>-46.290822908052249</v>
      </c>
      <c r="T107" s="204">
        <f t="shared" si="183"/>
        <v>-46.517171120562551</v>
      </c>
      <c r="U107" s="204">
        <f t="shared" si="183"/>
        <v>-46.75757191831444</v>
      </c>
      <c r="V107" s="204">
        <f t="shared" si="183"/>
        <v>-47.011770050618708</v>
      </c>
      <c r="W107" s="204">
        <f t="shared" si="183"/>
        <v>-47.279514903151124</v>
      </c>
      <c r="X107" s="204">
        <f t="shared" si="183"/>
        <v>-47.560560413737676</v>
      </c>
      <c r="Y107" s="204">
        <f t="shared" si="183"/>
        <v>-47.854664989669509</v>
      </c>
      <c r="Z107" s="204">
        <f t="shared" si="183"/>
        <v>-48.161591426519607</v>
      </c>
      <c r="AA107" s="204">
        <f t="shared" si="183"/>
        <v>-48.481106828434278</v>
      </c>
      <c r="AB107" s="204">
        <f t="shared" si="183"/>
        <v>-48.81298252987235</v>
      </c>
      <c r="AC107" s="204">
        <f t="shared" si="183"/>
        <v>-49.156994018765893</v>
      </c>
      <c r="AD107" s="204">
        <f t="shared" si="183"/>
        <v>-49.51292086107668</v>
      </c>
      <c r="AE107" s="204">
        <f t="shared" si="183"/>
        <v>-49.880546626723003</v>
      </c>
      <c r="AF107" s="204">
        <f t="shared" si="183"/>
        <v>-50.259658816851953</v>
      </c>
      <c r="AG107" s="204">
        <f t="shared" si="183"/>
        <v>-50.650048792432663</v>
      </c>
      <c r="AH107" s="204">
        <f t="shared" si="183"/>
        <v>-51.051511704146662</v>
      </c>
      <c r="AI107" s="204">
        <f t="shared" si="183"/>
        <v>-51.463846423551665</v>
      </c>
      <c r="AJ107" s="204">
        <f t="shared" si="183"/>
        <v>-51.886855475495707</v>
      </c>
      <c r="AK107" s="204">
        <f t="shared" si="183"/>
        <v>-52.320344971758878</v>
      </c>
      <c r="AL107" s="204">
        <f t="shared" si="183"/>
        <v>-52.76412454590043</v>
      </c>
      <c r="AM107" s="204">
        <f t="shared" si="183"/>
        <v>-53.218007289289282</v>
      </c>
      <c r="AN107" s="204">
        <f t="shared" si="183"/>
        <v>-53.681809688296511</v>
      </c>
      <c r="AO107" s="204">
        <f t="shared" si="183"/>
        <v>-54.155351562628589</v>
      </c>
      <c r="AP107" s="204">
        <f t="shared" si="183"/>
        <v>-54.638456004780849</v>
      </c>
      <c r="AQ107" s="204">
        <f t="shared" si="183"/>
        <v>-55.130949320590631</v>
      </c>
      <c r="AR107" s="204">
        <f t="shared" si="183"/>
        <v>-55.632660970870248</v>
      </c>
      <c r="AS107" s="204">
        <f t="shared" si="183"/>
        <v>-56.143423514100107</v>
      </c>
      <c r="AT107" s="204">
        <f t="shared" si="183"/>
        <v>-56.663072550162802</v>
      </c>
      <c r="AU107" s="204">
        <f t="shared" si="183"/>
        <v>-57.191446665099171</v>
      </c>
      <c r="AV107" s="204">
        <f t="shared" si="183"/>
        <v>-57.728387376867829</v>
      </c>
      <c r="AW107" s="204">
        <f t="shared" si="183"/>
        <v>-58.273739082089882</v>
      </c>
      <c r="AX107" s="204">
        <f t="shared" si="183"/>
        <v>-58.827349003761015</v>
      </c>
      <c r="AY107" s="204">
        <f t="shared" si="183"/>
        <v>-59.389067139913323</v>
      </c>
      <c r="AZ107" s="204">
        <f t="shared" si="183"/>
        <v>-59.95874621320965</v>
      </c>
      <c r="BA107" s="204">
        <f t="shared" si="183"/>
        <v>-60.53624162145347</v>
      </c>
      <c r="BB107" s="204">
        <f t="shared" si="183"/>
        <v>-61.121411388997728</v>
      </c>
      <c r="BC107" s="204">
        <f t="shared" si="183"/>
        <v>-61.714116119036262</v>
      </c>
      <c r="BD107" s="204">
        <f t="shared" si="183"/>
        <v>-62.314218946761883</v>
      </c>
      <c r="BE107" s="204">
        <f t="shared" si="183"/>
        <v>-62.921585493375147</v>
      </c>
      <c r="BF107" s="204">
        <f t="shared" si="183"/>
        <v>-63.536083820928674</v>
      </c>
      <c r="BG107" s="204">
        <f t="shared" si="183"/>
        <v>-64.157584387991548</v>
      </c>
      <c r="BH107" s="204">
        <f t="shared" si="183"/>
        <v>-64.785960006119055</v>
      </c>
      <c r="BI107" s="204">
        <f t="shared" si="183"/>
        <v>-65.421085797113165</v>
      </c>
      <c r="BJ107" s="204">
        <f t="shared" si="183"/>
        <v>-66.062839151059279</v>
      </c>
      <c r="BK107" s="204">
        <f t="shared" si="183"/>
        <v>-66.711099685125177</v>
      </c>
      <c r="BL107" s="204">
        <f t="shared" si="183"/>
        <v>-67.365749203108379</v>
      </c>
      <c r="BM107" s="204">
        <f t="shared" si="183"/>
        <v>-68.026671655718303</v>
      </c>
      <c r="BN107" s="204">
        <f t="shared" si="183"/>
        <v>-68.693753101579787</v>
      </c>
      <c r="BO107" s="204">
        <f t="shared" si="183"/>
        <v>-69.366881668945013</v>
      </c>
      <c r="BP107" s="204">
        <f t="shared" si="183"/>
        <v>-70.04594751810086</v>
      </c>
      <c r="BQ107" s="204">
        <f t="shared" si="183"/>
        <v>-70.730842804459073</v>
      </c>
      <c r="BR107" s="204">
        <f t="shared" si="183"/>
        <v>-71.421461642316928</v>
      </c>
      <c r="BS107" s="204">
        <f t="shared" si="183"/>
        <v>-72.117700069276026</v>
      </c>
      <c r="BT107" s="204">
        <f t="shared" si="183"/>
        <v>-72.819456011307551</v>
      </c>
      <c r="BU107" s="204">
        <f t="shared" ref="BU107:EF107" si="184">PV($F61,BU$9,1,0)+(PV($J$6,$N$5-(BU$9),1,0)/($J$6+1)^BU$9)</f>
        <v>-73.526629248451897</v>
      </c>
      <c r="BV107" s="204">
        <f t="shared" si="184"/>
        <v>-74.239121381141487</v>
      </c>
      <c r="BW107" s="204">
        <f t="shared" si="184"/>
        <v>-74.956835797135199</v>
      </c>
      <c r="BX107" s="204">
        <f t="shared" si="184"/>
        <v>-75.679677639053423</v>
      </c>
      <c r="BY107" s="204">
        <f t="shared" si="184"/>
        <v>-76.407553772502823</v>
      </c>
      <c r="BZ107" s="204">
        <f t="shared" si="184"/>
        <v>-77.140372754780103</v>
      </c>
      <c r="CA107" s="204">
        <f t="shared" si="184"/>
        <v>-77.878044804144153</v>
      </c>
      <c r="CB107" s="204">
        <f t="shared" si="184"/>
        <v>-78.620481769646403</v>
      </c>
      <c r="CC107" s="204">
        <f t="shared" si="184"/>
        <v>-79.36759710150919</v>
      </c>
      <c r="CD107" s="204">
        <f t="shared" si="184"/>
        <v>-80.119305822042122</v>
      </c>
      <c r="CE107" s="204">
        <f t="shared" si="184"/>
        <v>-80.87552449708673</v>
      </c>
      <c r="CF107" s="204">
        <f t="shared" si="184"/>
        <v>-81.636171207979814</v>
      </c>
      <c r="CG107" s="204">
        <f t="shared" si="184"/>
        <v>-82.401165524026041</v>
      </c>
      <c r="CH107" s="204">
        <f t="shared" si="184"/>
        <v>-83.170428475470544</v>
      </c>
      <c r="CI107" s="204">
        <f t="shared" si="184"/>
        <v>-83.943882526962454</v>
      </c>
      <c r="CJ107" s="204">
        <f t="shared" si="184"/>
        <v>-84.721451551500408</v>
      </c>
      <c r="CK107" s="204">
        <f t="shared" si="184"/>
        <v>-85.503060804851359</v>
      </c>
      <c r="CL107" s="204">
        <f t="shared" si="184"/>
        <v>-86.288636900434042</v>
      </c>
      <c r="CM107" s="204">
        <f t="shared" si="184"/>
        <v>-87.07810778465857</v>
      </c>
      <c r="CN107" s="204">
        <f t="shared" si="184"/>
        <v>-87.871402712714072</v>
      </c>
      <c r="CO107" s="204">
        <f t="shared" si="184"/>
        <v>-88.668452224796056</v>
      </c>
      <c r="CP107" s="204">
        <f t="shared" si="184"/>
        <v>-89.469188122765601</v>
      </c>
      <c r="CQ107" s="204">
        <f t="shared" si="184"/>
        <v>-90.273543447232512</v>
      </c>
      <c r="CR107" s="204">
        <f t="shared" si="184"/>
        <v>-91.081452455054702</v>
      </c>
      <c r="CS107" s="204">
        <f t="shared" si="184"/>
        <v>-91.892850597246365</v>
      </c>
      <c r="CT107" s="204">
        <f t="shared" si="184"/>
        <v>-92.707674497287258</v>
      </c>
      <c r="CU107" s="204">
        <f t="shared" si="184"/>
        <v>-93.525861929826178</v>
      </c>
      <c r="CV107" s="204">
        <f t="shared" si="184"/>
        <v>-94.347351799771133</v>
      </c>
      <c r="CW107" s="204">
        <f t="shared" si="184"/>
        <v>-95.172084121759283</v>
      </c>
      <c r="CX107" s="204">
        <f t="shared" si="184"/>
        <v>-96</v>
      </c>
      <c r="CY107" s="204">
        <f t="shared" si="184"/>
        <v>-96</v>
      </c>
      <c r="CZ107" s="204">
        <f t="shared" si="184"/>
        <v>-96</v>
      </c>
      <c r="DA107" s="204">
        <f t="shared" si="184"/>
        <v>-96</v>
      </c>
      <c r="DB107" s="204">
        <f t="shared" si="184"/>
        <v>-96</v>
      </c>
      <c r="DC107" s="204">
        <f t="shared" si="184"/>
        <v>-96</v>
      </c>
      <c r="DD107" s="204">
        <f t="shared" si="184"/>
        <v>-96</v>
      </c>
      <c r="DE107" s="204">
        <f t="shared" si="184"/>
        <v>-96</v>
      </c>
      <c r="DF107" s="204">
        <f t="shared" si="184"/>
        <v>-96</v>
      </c>
      <c r="DG107" s="204">
        <f t="shared" si="184"/>
        <v>-96</v>
      </c>
      <c r="DH107" s="204">
        <f t="shared" si="184"/>
        <v>-96</v>
      </c>
      <c r="DI107" s="204">
        <f t="shared" si="184"/>
        <v>-96</v>
      </c>
      <c r="DJ107" s="204">
        <f t="shared" si="184"/>
        <v>-96</v>
      </c>
      <c r="DK107" s="204">
        <f t="shared" si="184"/>
        <v>-96</v>
      </c>
      <c r="DL107" s="204">
        <f t="shared" si="184"/>
        <v>-96</v>
      </c>
      <c r="DM107" s="204">
        <f t="shared" si="184"/>
        <v>-96</v>
      </c>
      <c r="DN107" s="204">
        <f t="shared" si="184"/>
        <v>-96</v>
      </c>
      <c r="DO107" s="204">
        <f t="shared" si="184"/>
        <v>-96</v>
      </c>
      <c r="DP107" s="204">
        <f t="shared" si="184"/>
        <v>-96</v>
      </c>
      <c r="DQ107" s="204">
        <f t="shared" si="184"/>
        <v>-96</v>
      </c>
      <c r="DR107" s="204">
        <f t="shared" si="184"/>
        <v>-96</v>
      </c>
      <c r="DS107" s="204">
        <f t="shared" si="184"/>
        <v>-96</v>
      </c>
      <c r="DT107" s="204">
        <f t="shared" si="184"/>
        <v>-96</v>
      </c>
      <c r="DU107" s="204">
        <f t="shared" si="184"/>
        <v>-96</v>
      </c>
      <c r="DV107" s="204">
        <f t="shared" si="184"/>
        <v>-96</v>
      </c>
      <c r="DW107" s="204">
        <f t="shared" si="184"/>
        <v>-96</v>
      </c>
      <c r="DX107" s="204">
        <f t="shared" si="184"/>
        <v>-96</v>
      </c>
      <c r="DY107" s="204">
        <f t="shared" si="184"/>
        <v>-96</v>
      </c>
      <c r="DZ107" s="204">
        <f t="shared" si="184"/>
        <v>-96</v>
      </c>
      <c r="EA107" s="204">
        <f t="shared" si="184"/>
        <v>-96</v>
      </c>
      <c r="EB107" s="204">
        <f t="shared" si="184"/>
        <v>-96</v>
      </c>
      <c r="EC107" s="204">
        <f t="shared" si="184"/>
        <v>-96</v>
      </c>
      <c r="ED107" s="204">
        <f t="shared" si="184"/>
        <v>-96</v>
      </c>
      <c r="EE107" s="204">
        <f t="shared" si="184"/>
        <v>-96</v>
      </c>
      <c r="EF107" s="204">
        <f t="shared" si="184"/>
        <v>-96</v>
      </c>
      <c r="EG107" s="204">
        <f t="shared" ref="EG107:ET107" si="185">PV($F61,EG$9,1,0)+(PV($J$6,$N$5-(EG$9),1,0)/($J$6+1)^EG$9)</f>
        <v>-96</v>
      </c>
      <c r="EH107" s="204">
        <f t="shared" si="185"/>
        <v>-96</v>
      </c>
      <c r="EI107" s="204">
        <f t="shared" si="185"/>
        <v>-96</v>
      </c>
      <c r="EJ107" s="204">
        <f t="shared" si="185"/>
        <v>-96</v>
      </c>
      <c r="EK107" s="204">
        <f t="shared" si="185"/>
        <v>-96</v>
      </c>
      <c r="EL107" s="204">
        <f t="shared" si="185"/>
        <v>-96</v>
      </c>
      <c r="EM107" s="204">
        <f t="shared" si="185"/>
        <v>-96</v>
      </c>
      <c r="EN107" s="204">
        <f t="shared" si="185"/>
        <v>-96</v>
      </c>
      <c r="EO107" s="204">
        <f t="shared" si="185"/>
        <v>-96</v>
      </c>
      <c r="EP107" s="204">
        <f t="shared" si="185"/>
        <v>-96</v>
      </c>
      <c r="EQ107" s="204">
        <f t="shared" si="185"/>
        <v>-96</v>
      </c>
      <c r="ER107" s="204">
        <f t="shared" si="185"/>
        <v>-96</v>
      </c>
      <c r="ES107" s="204">
        <f t="shared" si="185"/>
        <v>-96</v>
      </c>
      <c r="ET107" s="204">
        <f t="shared" si="185"/>
        <v>-96</v>
      </c>
      <c r="FF107" s="6" t="s">
        <v>253</v>
      </c>
      <c r="FG107" s="696">
        <v>2.5000000000000001E-2</v>
      </c>
      <c r="FH107" s="696">
        <v>120</v>
      </c>
      <c r="FI107" s="696">
        <v>1.9900000000000001E-2</v>
      </c>
      <c r="FJ107" s="255">
        <v>1.55E-2</v>
      </c>
      <c r="FK107" s="71">
        <f t="shared" si="92"/>
        <v>2.2619047619047624E-4</v>
      </c>
      <c r="FL107" t="e">
        <f>VLOOKUP(FF107,'SIMULADOR COM SALDO'!$BX$22:$CK$1000,13,FALSE)</f>
        <v>#N/A</v>
      </c>
    </row>
    <row r="108" spans="7:168" x14ac:dyDescent="0.25">
      <c r="G108" s="103">
        <f t="shared" si="45"/>
        <v>-44.770373601250576</v>
      </c>
      <c r="H108" s="204">
        <f t="shared" si="46"/>
        <v>-44.806371604802436</v>
      </c>
      <c r="I108" s="204">
        <f t="shared" ref="I108:BT108" si="186">PV($F62,I$9,1,0)+(PV($J$6,$N$5-(I$9),1,0)/($J$6+1)^I$9)</f>
        <v>-44.859879708437063</v>
      </c>
      <c r="J108" s="204">
        <f t="shared" si="186"/>
        <v>-44.930579859281075</v>
      </c>
      <c r="K108" s="204">
        <f t="shared" si="186"/>
        <v>-45.018159781562872</v>
      </c>
      <c r="L108" s="204">
        <f t="shared" si="186"/>
        <v>-45.122312871677551</v>
      </c>
      <c r="M108" s="204">
        <f t="shared" si="186"/>
        <v>-45.24273809515784</v>
      </c>
      <c r="N108" s="204">
        <f t="shared" si="186"/>
        <v>-45.379139885516487</v>
      </c>
      <c r="O108" s="204">
        <f t="shared" si="186"/>
        <v>-45.53122804492606</v>
      </c>
      <c r="P108" s="204">
        <f t="shared" si="186"/>
        <v>-45.698717646702761</v>
      </c>
      <c r="Q108" s="204">
        <f t="shared" si="186"/>
        <v>-45.881328939561598</v>
      </c>
      <c r="R108" s="204">
        <f t="shared" si="186"/>
        <v>-46.078787253610507</v>
      </c>
      <c r="S108" s="204">
        <f t="shared" si="186"/>
        <v>-46.290822908052249</v>
      </c>
      <c r="T108" s="204">
        <f t="shared" si="186"/>
        <v>-46.517171120562551</v>
      </c>
      <c r="U108" s="204">
        <f t="shared" si="186"/>
        <v>-46.75757191831444</v>
      </c>
      <c r="V108" s="204">
        <f t="shared" si="186"/>
        <v>-47.011770050618708</v>
      </c>
      <c r="W108" s="204">
        <f t="shared" si="186"/>
        <v>-47.279514903151124</v>
      </c>
      <c r="X108" s="204">
        <f t="shared" si="186"/>
        <v>-47.560560413737676</v>
      </c>
      <c r="Y108" s="204">
        <f t="shared" si="186"/>
        <v>-47.854664989669509</v>
      </c>
      <c r="Z108" s="204">
        <f t="shared" si="186"/>
        <v>-48.161591426519607</v>
      </c>
      <c r="AA108" s="204">
        <f t="shared" si="186"/>
        <v>-48.481106828434278</v>
      </c>
      <c r="AB108" s="204">
        <f t="shared" si="186"/>
        <v>-48.81298252987235</v>
      </c>
      <c r="AC108" s="204">
        <f t="shared" si="186"/>
        <v>-49.156994018765893</v>
      </c>
      <c r="AD108" s="204">
        <f t="shared" si="186"/>
        <v>-49.51292086107668</v>
      </c>
      <c r="AE108" s="204">
        <f t="shared" si="186"/>
        <v>-49.880546626723003</v>
      </c>
      <c r="AF108" s="204">
        <f t="shared" si="186"/>
        <v>-50.259658816851953</v>
      </c>
      <c r="AG108" s="204">
        <f t="shared" si="186"/>
        <v>-50.650048792432663</v>
      </c>
      <c r="AH108" s="204">
        <f t="shared" si="186"/>
        <v>-51.051511704146662</v>
      </c>
      <c r="AI108" s="204">
        <f t="shared" si="186"/>
        <v>-51.463846423551665</v>
      </c>
      <c r="AJ108" s="204">
        <f t="shared" si="186"/>
        <v>-51.886855475495707</v>
      </c>
      <c r="AK108" s="204">
        <f t="shared" si="186"/>
        <v>-52.320344971758878</v>
      </c>
      <c r="AL108" s="204">
        <f t="shared" si="186"/>
        <v>-52.76412454590043</v>
      </c>
      <c r="AM108" s="204">
        <f t="shared" si="186"/>
        <v>-53.218007289289282</v>
      </c>
      <c r="AN108" s="204">
        <f t="shared" si="186"/>
        <v>-53.681809688296511</v>
      </c>
      <c r="AO108" s="204">
        <f t="shared" si="186"/>
        <v>-54.155351562628589</v>
      </c>
      <c r="AP108" s="204">
        <f t="shared" si="186"/>
        <v>-54.638456004780849</v>
      </c>
      <c r="AQ108" s="204">
        <f t="shared" si="186"/>
        <v>-55.130949320590631</v>
      </c>
      <c r="AR108" s="204">
        <f t="shared" si="186"/>
        <v>-55.632660970870248</v>
      </c>
      <c r="AS108" s="204">
        <f t="shared" si="186"/>
        <v>-56.143423514100107</v>
      </c>
      <c r="AT108" s="204">
        <f t="shared" si="186"/>
        <v>-56.663072550162802</v>
      </c>
      <c r="AU108" s="204">
        <f t="shared" si="186"/>
        <v>-57.191446665099171</v>
      </c>
      <c r="AV108" s="204">
        <f t="shared" si="186"/>
        <v>-57.728387376867829</v>
      </c>
      <c r="AW108" s="204">
        <f t="shared" si="186"/>
        <v>-58.273739082089882</v>
      </c>
      <c r="AX108" s="204">
        <f t="shared" si="186"/>
        <v>-58.827349003761015</v>
      </c>
      <c r="AY108" s="204">
        <f t="shared" si="186"/>
        <v>-59.389067139913323</v>
      </c>
      <c r="AZ108" s="204">
        <f t="shared" si="186"/>
        <v>-59.95874621320965</v>
      </c>
      <c r="BA108" s="204">
        <f t="shared" si="186"/>
        <v>-60.53624162145347</v>
      </c>
      <c r="BB108" s="204">
        <f t="shared" si="186"/>
        <v>-61.121411388997728</v>
      </c>
      <c r="BC108" s="204">
        <f t="shared" si="186"/>
        <v>-61.714116119036262</v>
      </c>
      <c r="BD108" s="204">
        <f t="shared" si="186"/>
        <v>-62.314218946761883</v>
      </c>
      <c r="BE108" s="204">
        <f t="shared" si="186"/>
        <v>-62.921585493375147</v>
      </c>
      <c r="BF108" s="204">
        <f t="shared" si="186"/>
        <v>-63.536083820928674</v>
      </c>
      <c r="BG108" s="204">
        <f t="shared" si="186"/>
        <v>-64.157584387991548</v>
      </c>
      <c r="BH108" s="204">
        <f t="shared" si="186"/>
        <v>-64.785960006119055</v>
      </c>
      <c r="BI108" s="204">
        <f t="shared" si="186"/>
        <v>-65.421085797113165</v>
      </c>
      <c r="BJ108" s="204">
        <f t="shared" si="186"/>
        <v>-66.062839151059279</v>
      </c>
      <c r="BK108" s="204">
        <f t="shared" si="186"/>
        <v>-66.711099685125177</v>
      </c>
      <c r="BL108" s="204">
        <f t="shared" si="186"/>
        <v>-67.365749203108379</v>
      </c>
      <c r="BM108" s="204">
        <f t="shared" si="186"/>
        <v>-68.026671655718303</v>
      </c>
      <c r="BN108" s="204">
        <f t="shared" si="186"/>
        <v>-68.693753101579787</v>
      </c>
      <c r="BO108" s="204">
        <f t="shared" si="186"/>
        <v>-69.366881668945013</v>
      </c>
      <c r="BP108" s="204">
        <f t="shared" si="186"/>
        <v>-70.04594751810086</v>
      </c>
      <c r="BQ108" s="204">
        <f t="shared" si="186"/>
        <v>-70.730842804459073</v>
      </c>
      <c r="BR108" s="204">
        <f t="shared" si="186"/>
        <v>-71.421461642316928</v>
      </c>
      <c r="BS108" s="204">
        <f t="shared" si="186"/>
        <v>-72.117700069276026</v>
      </c>
      <c r="BT108" s="204">
        <f t="shared" si="186"/>
        <v>-72.819456011307551</v>
      </c>
      <c r="BU108" s="204">
        <f t="shared" ref="BU108:EF108" si="187">PV($F62,BU$9,1,0)+(PV($J$6,$N$5-(BU$9),1,0)/($J$6+1)^BU$9)</f>
        <v>-73.526629248451897</v>
      </c>
      <c r="BV108" s="204">
        <f t="shared" si="187"/>
        <v>-74.239121381141487</v>
      </c>
      <c r="BW108" s="204">
        <f t="shared" si="187"/>
        <v>-74.956835797135199</v>
      </c>
      <c r="BX108" s="204">
        <f t="shared" si="187"/>
        <v>-75.679677639053423</v>
      </c>
      <c r="BY108" s="204">
        <f t="shared" si="187"/>
        <v>-76.407553772502823</v>
      </c>
      <c r="BZ108" s="204">
        <f t="shared" si="187"/>
        <v>-77.140372754780103</v>
      </c>
      <c r="CA108" s="204">
        <f t="shared" si="187"/>
        <v>-77.878044804144153</v>
      </c>
      <c r="CB108" s="204">
        <f t="shared" si="187"/>
        <v>-78.620481769646403</v>
      </c>
      <c r="CC108" s="204">
        <f t="shared" si="187"/>
        <v>-79.36759710150919</v>
      </c>
      <c r="CD108" s="204">
        <f t="shared" si="187"/>
        <v>-80.119305822042122</v>
      </c>
      <c r="CE108" s="204">
        <f t="shared" si="187"/>
        <v>-80.87552449708673</v>
      </c>
      <c r="CF108" s="204">
        <f t="shared" si="187"/>
        <v>-81.636171207979814</v>
      </c>
      <c r="CG108" s="204">
        <f t="shared" si="187"/>
        <v>-82.401165524026041</v>
      </c>
      <c r="CH108" s="204">
        <f t="shared" si="187"/>
        <v>-83.170428475470544</v>
      </c>
      <c r="CI108" s="204">
        <f t="shared" si="187"/>
        <v>-83.943882526962454</v>
      </c>
      <c r="CJ108" s="204">
        <f t="shared" si="187"/>
        <v>-84.721451551500408</v>
      </c>
      <c r="CK108" s="204">
        <f t="shared" si="187"/>
        <v>-85.503060804851359</v>
      </c>
      <c r="CL108" s="204">
        <f t="shared" si="187"/>
        <v>-86.288636900434042</v>
      </c>
      <c r="CM108" s="204">
        <f t="shared" si="187"/>
        <v>-87.07810778465857</v>
      </c>
      <c r="CN108" s="204">
        <f t="shared" si="187"/>
        <v>-87.871402712714072</v>
      </c>
      <c r="CO108" s="204">
        <f t="shared" si="187"/>
        <v>-88.668452224796056</v>
      </c>
      <c r="CP108" s="204">
        <f t="shared" si="187"/>
        <v>-89.469188122765601</v>
      </c>
      <c r="CQ108" s="204">
        <f t="shared" si="187"/>
        <v>-90.273543447232512</v>
      </c>
      <c r="CR108" s="204">
        <f t="shared" si="187"/>
        <v>-91.081452455054702</v>
      </c>
      <c r="CS108" s="204">
        <f t="shared" si="187"/>
        <v>-91.892850597246365</v>
      </c>
      <c r="CT108" s="204">
        <f t="shared" si="187"/>
        <v>-92.707674497287258</v>
      </c>
      <c r="CU108" s="204">
        <f t="shared" si="187"/>
        <v>-93.525861929826178</v>
      </c>
      <c r="CV108" s="204">
        <f t="shared" si="187"/>
        <v>-94.347351799771133</v>
      </c>
      <c r="CW108" s="204">
        <f t="shared" si="187"/>
        <v>-95.172084121759283</v>
      </c>
      <c r="CX108" s="204">
        <f t="shared" si="187"/>
        <v>-96</v>
      </c>
      <c r="CY108" s="204">
        <f t="shared" si="187"/>
        <v>-96</v>
      </c>
      <c r="CZ108" s="204">
        <f t="shared" si="187"/>
        <v>-96</v>
      </c>
      <c r="DA108" s="204">
        <f t="shared" si="187"/>
        <v>-96</v>
      </c>
      <c r="DB108" s="204">
        <f t="shared" si="187"/>
        <v>-96</v>
      </c>
      <c r="DC108" s="204">
        <f t="shared" si="187"/>
        <v>-96</v>
      </c>
      <c r="DD108" s="204">
        <f t="shared" si="187"/>
        <v>-96</v>
      </c>
      <c r="DE108" s="204">
        <f t="shared" si="187"/>
        <v>-96</v>
      </c>
      <c r="DF108" s="204">
        <f t="shared" si="187"/>
        <v>-96</v>
      </c>
      <c r="DG108" s="204">
        <f t="shared" si="187"/>
        <v>-96</v>
      </c>
      <c r="DH108" s="204">
        <f t="shared" si="187"/>
        <v>-96</v>
      </c>
      <c r="DI108" s="204">
        <f t="shared" si="187"/>
        <v>-96</v>
      </c>
      <c r="DJ108" s="204">
        <f t="shared" si="187"/>
        <v>-96</v>
      </c>
      <c r="DK108" s="204">
        <f t="shared" si="187"/>
        <v>-96</v>
      </c>
      <c r="DL108" s="204">
        <f t="shared" si="187"/>
        <v>-96</v>
      </c>
      <c r="DM108" s="204">
        <f t="shared" si="187"/>
        <v>-96</v>
      </c>
      <c r="DN108" s="204">
        <f t="shared" si="187"/>
        <v>-96</v>
      </c>
      <c r="DO108" s="204">
        <f t="shared" si="187"/>
        <v>-96</v>
      </c>
      <c r="DP108" s="204">
        <f t="shared" si="187"/>
        <v>-96</v>
      </c>
      <c r="DQ108" s="204">
        <f t="shared" si="187"/>
        <v>-96</v>
      </c>
      <c r="DR108" s="204">
        <f t="shared" si="187"/>
        <v>-96</v>
      </c>
      <c r="DS108" s="204">
        <f t="shared" si="187"/>
        <v>-96</v>
      </c>
      <c r="DT108" s="204">
        <f t="shared" si="187"/>
        <v>-96</v>
      </c>
      <c r="DU108" s="204">
        <f t="shared" si="187"/>
        <v>-96</v>
      </c>
      <c r="DV108" s="204">
        <f t="shared" si="187"/>
        <v>-96</v>
      </c>
      <c r="DW108" s="204">
        <f t="shared" si="187"/>
        <v>-96</v>
      </c>
      <c r="DX108" s="204">
        <f t="shared" si="187"/>
        <v>-96</v>
      </c>
      <c r="DY108" s="204">
        <f t="shared" si="187"/>
        <v>-96</v>
      </c>
      <c r="DZ108" s="204">
        <f t="shared" si="187"/>
        <v>-96</v>
      </c>
      <c r="EA108" s="204">
        <f t="shared" si="187"/>
        <v>-96</v>
      </c>
      <c r="EB108" s="204">
        <f t="shared" si="187"/>
        <v>-96</v>
      </c>
      <c r="EC108" s="204">
        <f t="shared" si="187"/>
        <v>-96</v>
      </c>
      <c r="ED108" s="204">
        <f t="shared" si="187"/>
        <v>-96</v>
      </c>
      <c r="EE108" s="204">
        <f t="shared" si="187"/>
        <v>-96</v>
      </c>
      <c r="EF108" s="204">
        <f t="shared" si="187"/>
        <v>-96</v>
      </c>
      <c r="EG108" s="204">
        <f t="shared" ref="EG108:ET108" si="188">PV($F62,EG$9,1,0)+(PV($J$6,$N$5-(EG$9),1,0)/($J$6+1)^EG$9)</f>
        <v>-96</v>
      </c>
      <c r="EH108" s="204">
        <f t="shared" si="188"/>
        <v>-96</v>
      </c>
      <c r="EI108" s="204">
        <f t="shared" si="188"/>
        <v>-96</v>
      </c>
      <c r="EJ108" s="204">
        <f t="shared" si="188"/>
        <v>-96</v>
      </c>
      <c r="EK108" s="204">
        <f t="shared" si="188"/>
        <v>-96</v>
      </c>
      <c r="EL108" s="204">
        <f t="shared" si="188"/>
        <v>-96</v>
      </c>
      <c r="EM108" s="204">
        <f t="shared" si="188"/>
        <v>-96</v>
      </c>
      <c r="EN108" s="204">
        <f t="shared" si="188"/>
        <v>-96</v>
      </c>
      <c r="EO108" s="204">
        <f t="shared" si="188"/>
        <v>-96</v>
      </c>
      <c r="EP108" s="204">
        <f t="shared" si="188"/>
        <v>-96</v>
      </c>
      <c r="EQ108" s="204">
        <f t="shared" si="188"/>
        <v>-96</v>
      </c>
      <c r="ER108" s="204">
        <f t="shared" si="188"/>
        <v>-96</v>
      </c>
      <c r="ES108" s="204">
        <f t="shared" si="188"/>
        <v>-96</v>
      </c>
      <c r="ET108" s="204">
        <f t="shared" si="188"/>
        <v>-96</v>
      </c>
      <c r="FF108" s="6" t="s">
        <v>400</v>
      </c>
      <c r="FG108" s="696">
        <v>2.5000000000000001E-2</v>
      </c>
      <c r="FH108" s="696">
        <v>120</v>
      </c>
      <c r="FI108" s="696">
        <v>2.1299999999999999E-2</v>
      </c>
      <c r="FJ108" s="255">
        <v>1.4999999999999999E-2</v>
      </c>
      <c r="FK108" s="71">
        <f t="shared" si="92"/>
        <v>2.3809523809523815E-4</v>
      </c>
      <c r="FL108" t="e">
        <f>VLOOKUP(FF108,'SIMULADOR COM SALDO'!$BX$22:$CK$1000,13,FALSE)</f>
        <v>#N/A</v>
      </c>
    </row>
    <row r="109" spans="7:168" x14ac:dyDescent="0.25">
      <c r="G109" s="103">
        <f t="shared" si="45"/>
        <v>-44.770373601250576</v>
      </c>
      <c r="H109" s="204">
        <f t="shared" si="46"/>
        <v>-44.806371604802436</v>
      </c>
      <c r="I109" s="204">
        <f t="shared" ref="I109:BT109" si="189">PV($F63,I$9,1,0)+(PV($J$6,$N$5-(I$9),1,0)/($J$6+1)^I$9)</f>
        <v>-44.859879708437063</v>
      </c>
      <c r="J109" s="204">
        <f t="shared" si="189"/>
        <v>-44.930579859281075</v>
      </c>
      <c r="K109" s="204">
        <f t="shared" si="189"/>
        <v>-45.018159781562872</v>
      </c>
      <c r="L109" s="204">
        <f t="shared" si="189"/>
        <v>-45.122312871677551</v>
      </c>
      <c r="M109" s="204">
        <f t="shared" si="189"/>
        <v>-45.24273809515784</v>
      </c>
      <c r="N109" s="204">
        <f t="shared" si="189"/>
        <v>-45.379139885516487</v>
      </c>
      <c r="O109" s="204">
        <f t="shared" si="189"/>
        <v>-45.53122804492606</v>
      </c>
      <c r="P109" s="204">
        <f t="shared" si="189"/>
        <v>-45.698717646702761</v>
      </c>
      <c r="Q109" s="204">
        <f t="shared" si="189"/>
        <v>-45.881328939561598</v>
      </c>
      <c r="R109" s="204">
        <f t="shared" si="189"/>
        <v>-46.078787253610507</v>
      </c>
      <c r="S109" s="204">
        <f t="shared" si="189"/>
        <v>-46.290822908052249</v>
      </c>
      <c r="T109" s="204">
        <f t="shared" si="189"/>
        <v>-46.517171120562551</v>
      </c>
      <c r="U109" s="204">
        <f t="shared" si="189"/>
        <v>-46.75757191831444</v>
      </c>
      <c r="V109" s="204">
        <f t="shared" si="189"/>
        <v>-47.011770050618708</v>
      </c>
      <c r="W109" s="204">
        <f t="shared" si="189"/>
        <v>-47.279514903151124</v>
      </c>
      <c r="X109" s="204">
        <f t="shared" si="189"/>
        <v>-47.560560413737676</v>
      </c>
      <c r="Y109" s="204">
        <f t="shared" si="189"/>
        <v>-47.854664989669509</v>
      </c>
      <c r="Z109" s="204">
        <f t="shared" si="189"/>
        <v>-48.161591426519607</v>
      </c>
      <c r="AA109" s="204">
        <f t="shared" si="189"/>
        <v>-48.481106828434278</v>
      </c>
      <c r="AB109" s="204">
        <f t="shared" si="189"/>
        <v>-48.81298252987235</v>
      </c>
      <c r="AC109" s="204">
        <f t="shared" si="189"/>
        <v>-49.156994018765893</v>
      </c>
      <c r="AD109" s="204">
        <f t="shared" si="189"/>
        <v>-49.51292086107668</v>
      </c>
      <c r="AE109" s="204">
        <f t="shared" si="189"/>
        <v>-49.880546626723003</v>
      </c>
      <c r="AF109" s="204">
        <f t="shared" si="189"/>
        <v>-50.259658816851953</v>
      </c>
      <c r="AG109" s="204">
        <f t="shared" si="189"/>
        <v>-50.650048792432663</v>
      </c>
      <c r="AH109" s="204">
        <f t="shared" si="189"/>
        <v>-51.051511704146662</v>
      </c>
      <c r="AI109" s="204">
        <f t="shared" si="189"/>
        <v>-51.463846423551665</v>
      </c>
      <c r="AJ109" s="204">
        <f t="shared" si="189"/>
        <v>-51.886855475495707</v>
      </c>
      <c r="AK109" s="204">
        <f t="shared" si="189"/>
        <v>-52.320344971758878</v>
      </c>
      <c r="AL109" s="204">
        <f t="shared" si="189"/>
        <v>-52.76412454590043</v>
      </c>
      <c r="AM109" s="204">
        <f t="shared" si="189"/>
        <v>-53.218007289289282</v>
      </c>
      <c r="AN109" s="204">
        <f t="shared" si="189"/>
        <v>-53.681809688296511</v>
      </c>
      <c r="AO109" s="204">
        <f t="shared" si="189"/>
        <v>-54.155351562628589</v>
      </c>
      <c r="AP109" s="204">
        <f t="shared" si="189"/>
        <v>-54.638456004780849</v>
      </c>
      <c r="AQ109" s="204">
        <f t="shared" si="189"/>
        <v>-55.130949320590631</v>
      </c>
      <c r="AR109" s="204">
        <f t="shared" si="189"/>
        <v>-55.632660970870248</v>
      </c>
      <c r="AS109" s="204">
        <f t="shared" si="189"/>
        <v>-56.143423514100107</v>
      </c>
      <c r="AT109" s="204">
        <f t="shared" si="189"/>
        <v>-56.663072550162802</v>
      </c>
      <c r="AU109" s="204">
        <f t="shared" si="189"/>
        <v>-57.191446665099171</v>
      </c>
      <c r="AV109" s="204">
        <f t="shared" si="189"/>
        <v>-57.728387376867829</v>
      </c>
      <c r="AW109" s="204">
        <f t="shared" si="189"/>
        <v>-58.273739082089882</v>
      </c>
      <c r="AX109" s="204">
        <f t="shared" si="189"/>
        <v>-58.827349003761015</v>
      </c>
      <c r="AY109" s="204">
        <f t="shared" si="189"/>
        <v>-59.389067139913323</v>
      </c>
      <c r="AZ109" s="204">
        <f t="shared" si="189"/>
        <v>-59.95874621320965</v>
      </c>
      <c r="BA109" s="204">
        <f t="shared" si="189"/>
        <v>-60.53624162145347</v>
      </c>
      <c r="BB109" s="204">
        <f t="shared" si="189"/>
        <v>-61.121411388997728</v>
      </c>
      <c r="BC109" s="204">
        <f t="shared" si="189"/>
        <v>-61.714116119036262</v>
      </c>
      <c r="BD109" s="204">
        <f t="shared" si="189"/>
        <v>-62.314218946761883</v>
      </c>
      <c r="BE109" s="204">
        <f t="shared" si="189"/>
        <v>-62.921585493375147</v>
      </c>
      <c r="BF109" s="204">
        <f t="shared" si="189"/>
        <v>-63.536083820928674</v>
      </c>
      <c r="BG109" s="204">
        <f t="shared" si="189"/>
        <v>-64.157584387991548</v>
      </c>
      <c r="BH109" s="204">
        <f t="shared" si="189"/>
        <v>-64.785960006119055</v>
      </c>
      <c r="BI109" s="204">
        <f t="shared" si="189"/>
        <v>-65.421085797113165</v>
      </c>
      <c r="BJ109" s="204">
        <f t="shared" si="189"/>
        <v>-66.062839151059279</v>
      </c>
      <c r="BK109" s="204">
        <f t="shared" si="189"/>
        <v>-66.711099685125177</v>
      </c>
      <c r="BL109" s="204">
        <f t="shared" si="189"/>
        <v>-67.365749203108379</v>
      </c>
      <c r="BM109" s="204">
        <f t="shared" si="189"/>
        <v>-68.026671655718303</v>
      </c>
      <c r="BN109" s="204">
        <f t="shared" si="189"/>
        <v>-68.693753101579787</v>
      </c>
      <c r="BO109" s="204">
        <f t="shared" si="189"/>
        <v>-69.366881668945013</v>
      </c>
      <c r="BP109" s="204">
        <f t="shared" si="189"/>
        <v>-70.04594751810086</v>
      </c>
      <c r="BQ109" s="204">
        <f t="shared" si="189"/>
        <v>-70.730842804459073</v>
      </c>
      <c r="BR109" s="204">
        <f t="shared" si="189"/>
        <v>-71.421461642316928</v>
      </c>
      <c r="BS109" s="204">
        <f t="shared" si="189"/>
        <v>-72.117700069276026</v>
      </c>
      <c r="BT109" s="204">
        <f t="shared" si="189"/>
        <v>-72.819456011307551</v>
      </c>
      <c r="BU109" s="204">
        <f t="shared" ref="BU109:EF109" si="190">PV($F63,BU$9,1,0)+(PV($J$6,$N$5-(BU$9),1,0)/($J$6+1)^BU$9)</f>
        <v>-73.526629248451897</v>
      </c>
      <c r="BV109" s="204">
        <f t="shared" si="190"/>
        <v>-74.239121381141487</v>
      </c>
      <c r="BW109" s="204">
        <f t="shared" si="190"/>
        <v>-74.956835797135199</v>
      </c>
      <c r="BX109" s="204">
        <f t="shared" si="190"/>
        <v>-75.679677639053423</v>
      </c>
      <c r="BY109" s="204">
        <f t="shared" si="190"/>
        <v>-76.407553772502823</v>
      </c>
      <c r="BZ109" s="204">
        <f t="shared" si="190"/>
        <v>-77.140372754780103</v>
      </c>
      <c r="CA109" s="204">
        <f t="shared" si="190"/>
        <v>-77.878044804144153</v>
      </c>
      <c r="CB109" s="204">
        <f t="shared" si="190"/>
        <v>-78.620481769646403</v>
      </c>
      <c r="CC109" s="204">
        <f t="shared" si="190"/>
        <v>-79.36759710150919</v>
      </c>
      <c r="CD109" s="204">
        <f t="shared" si="190"/>
        <v>-80.119305822042122</v>
      </c>
      <c r="CE109" s="204">
        <f t="shared" si="190"/>
        <v>-80.87552449708673</v>
      </c>
      <c r="CF109" s="204">
        <f t="shared" si="190"/>
        <v>-81.636171207979814</v>
      </c>
      <c r="CG109" s="204">
        <f t="shared" si="190"/>
        <v>-82.401165524026041</v>
      </c>
      <c r="CH109" s="204">
        <f t="shared" si="190"/>
        <v>-83.170428475470544</v>
      </c>
      <c r="CI109" s="204">
        <f t="shared" si="190"/>
        <v>-83.943882526962454</v>
      </c>
      <c r="CJ109" s="204">
        <f t="shared" si="190"/>
        <v>-84.721451551500408</v>
      </c>
      <c r="CK109" s="204">
        <f t="shared" si="190"/>
        <v>-85.503060804851359</v>
      </c>
      <c r="CL109" s="204">
        <f t="shared" si="190"/>
        <v>-86.288636900434042</v>
      </c>
      <c r="CM109" s="204">
        <f t="shared" si="190"/>
        <v>-87.07810778465857</v>
      </c>
      <c r="CN109" s="204">
        <f t="shared" si="190"/>
        <v>-87.871402712714072</v>
      </c>
      <c r="CO109" s="204">
        <f t="shared" si="190"/>
        <v>-88.668452224796056</v>
      </c>
      <c r="CP109" s="204">
        <f t="shared" si="190"/>
        <v>-89.469188122765601</v>
      </c>
      <c r="CQ109" s="204">
        <f t="shared" si="190"/>
        <v>-90.273543447232512</v>
      </c>
      <c r="CR109" s="204">
        <f t="shared" si="190"/>
        <v>-91.081452455054702</v>
      </c>
      <c r="CS109" s="204">
        <f t="shared" si="190"/>
        <v>-91.892850597246365</v>
      </c>
      <c r="CT109" s="204">
        <f t="shared" si="190"/>
        <v>-92.707674497287258</v>
      </c>
      <c r="CU109" s="204">
        <f t="shared" si="190"/>
        <v>-93.525861929826178</v>
      </c>
      <c r="CV109" s="204">
        <f t="shared" si="190"/>
        <v>-94.347351799771133</v>
      </c>
      <c r="CW109" s="204">
        <f t="shared" si="190"/>
        <v>-95.172084121759283</v>
      </c>
      <c r="CX109" s="204">
        <f t="shared" si="190"/>
        <v>-96</v>
      </c>
      <c r="CY109" s="204">
        <f t="shared" si="190"/>
        <v>-96</v>
      </c>
      <c r="CZ109" s="204">
        <f t="shared" si="190"/>
        <v>-96</v>
      </c>
      <c r="DA109" s="204">
        <f t="shared" si="190"/>
        <v>-96</v>
      </c>
      <c r="DB109" s="204">
        <f t="shared" si="190"/>
        <v>-96</v>
      </c>
      <c r="DC109" s="204">
        <f t="shared" si="190"/>
        <v>-96</v>
      </c>
      <c r="DD109" s="204">
        <f t="shared" si="190"/>
        <v>-96</v>
      </c>
      <c r="DE109" s="204">
        <f t="shared" si="190"/>
        <v>-96</v>
      </c>
      <c r="DF109" s="204">
        <f t="shared" si="190"/>
        <v>-96</v>
      </c>
      <c r="DG109" s="204">
        <f t="shared" si="190"/>
        <v>-96</v>
      </c>
      <c r="DH109" s="204">
        <f t="shared" si="190"/>
        <v>-96</v>
      </c>
      <c r="DI109" s="204">
        <f t="shared" si="190"/>
        <v>-96</v>
      </c>
      <c r="DJ109" s="204">
        <f t="shared" si="190"/>
        <v>-96</v>
      </c>
      <c r="DK109" s="204">
        <f t="shared" si="190"/>
        <v>-96</v>
      </c>
      <c r="DL109" s="204">
        <f t="shared" si="190"/>
        <v>-96</v>
      </c>
      <c r="DM109" s="204">
        <f t="shared" si="190"/>
        <v>-96</v>
      </c>
      <c r="DN109" s="204">
        <f t="shared" si="190"/>
        <v>-96</v>
      </c>
      <c r="DO109" s="204">
        <f t="shared" si="190"/>
        <v>-96</v>
      </c>
      <c r="DP109" s="204">
        <f t="shared" si="190"/>
        <v>-96</v>
      </c>
      <c r="DQ109" s="204">
        <f t="shared" si="190"/>
        <v>-96</v>
      </c>
      <c r="DR109" s="204">
        <f t="shared" si="190"/>
        <v>-96</v>
      </c>
      <c r="DS109" s="204">
        <f t="shared" si="190"/>
        <v>-96</v>
      </c>
      <c r="DT109" s="204">
        <f t="shared" si="190"/>
        <v>-96</v>
      </c>
      <c r="DU109" s="204">
        <f t="shared" si="190"/>
        <v>-96</v>
      </c>
      <c r="DV109" s="204">
        <f t="shared" si="190"/>
        <v>-96</v>
      </c>
      <c r="DW109" s="204">
        <f t="shared" si="190"/>
        <v>-96</v>
      </c>
      <c r="DX109" s="204">
        <f t="shared" si="190"/>
        <v>-96</v>
      </c>
      <c r="DY109" s="204">
        <f t="shared" si="190"/>
        <v>-96</v>
      </c>
      <c r="DZ109" s="204">
        <f t="shared" si="190"/>
        <v>-96</v>
      </c>
      <c r="EA109" s="204">
        <f t="shared" si="190"/>
        <v>-96</v>
      </c>
      <c r="EB109" s="204">
        <f t="shared" si="190"/>
        <v>-96</v>
      </c>
      <c r="EC109" s="204">
        <f t="shared" si="190"/>
        <v>-96</v>
      </c>
      <c r="ED109" s="204">
        <f t="shared" si="190"/>
        <v>-96</v>
      </c>
      <c r="EE109" s="204">
        <f t="shared" si="190"/>
        <v>-96</v>
      </c>
      <c r="EF109" s="204">
        <f t="shared" si="190"/>
        <v>-96</v>
      </c>
      <c r="EG109" s="204">
        <f t="shared" ref="EG109:ET109" si="191">PV($F63,EG$9,1,0)+(PV($J$6,$N$5-(EG$9),1,0)/($J$6+1)^EG$9)</f>
        <v>-96</v>
      </c>
      <c r="EH109" s="204">
        <f t="shared" si="191"/>
        <v>-96</v>
      </c>
      <c r="EI109" s="204">
        <f t="shared" si="191"/>
        <v>-96</v>
      </c>
      <c r="EJ109" s="204">
        <f t="shared" si="191"/>
        <v>-96</v>
      </c>
      <c r="EK109" s="204">
        <f t="shared" si="191"/>
        <v>-96</v>
      </c>
      <c r="EL109" s="204">
        <f t="shared" si="191"/>
        <v>-96</v>
      </c>
      <c r="EM109" s="204">
        <f t="shared" si="191"/>
        <v>-96</v>
      </c>
      <c r="EN109" s="204">
        <f t="shared" si="191"/>
        <v>-96</v>
      </c>
      <c r="EO109" s="204">
        <f t="shared" si="191"/>
        <v>-96</v>
      </c>
      <c r="EP109" s="204">
        <f t="shared" si="191"/>
        <v>-96</v>
      </c>
      <c r="EQ109" s="204">
        <f t="shared" si="191"/>
        <v>-96</v>
      </c>
      <c r="ER109" s="204">
        <f t="shared" si="191"/>
        <v>-96</v>
      </c>
      <c r="ES109" s="204">
        <f t="shared" si="191"/>
        <v>-96</v>
      </c>
      <c r="ET109" s="204">
        <f t="shared" si="191"/>
        <v>-96</v>
      </c>
      <c r="FF109" s="6" t="s">
        <v>803</v>
      </c>
      <c r="FG109" s="696">
        <v>2.5000000000000001E-2</v>
      </c>
      <c r="FH109" s="696">
        <v>120</v>
      </c>
      <c r="FI109" s="696">
        <v>1.9699999999999999E-2</v>
      </c>
      <c r="FJ109" s="255">
        <v>1.52E-2</v>
      </c>
      <c r="FK109" s="71">
        <f t="shared" si="92"/>
        <v>2.3333333333333336E-4</v>
      </c>
      <c r="FL109" t="e">
        <f>VLOOKUP(FF109,'SIMULADOR COM SALDO'!$BX$22:$CK$1000,13,FALSE)</f>
        <v>#N/A</v>
      </c>
    </row>
    <row r="110" spans="7:168" x14ac:dyDescent="0.25">
      <c r="G110" s="103">
        <f t="shared" si="45"/>
        <v>-44.770373601250576</v>
      </c>
      <c r="H110" s="204">
        <f t="shared" si="46"/>
        <v>-44.806371604802436</v>
      </c>
      <c r="I110" s="204">
        <f t="shared" ref="I110:BT110" si="192">PV($F64,I$9,1,0)+(PV($J$6,$N$5-(I$9),1,0)/($J$6+1)^I$9)</f>
        <v>-44.859879708437063</v>
      </c>
      <c r="J110" s="204">
        <f t="shared" si="192"/>
        <v>-44.930579859281075</v>
      </c>
      <c r="K110" s="204">
        <f t="shared" si="192"/>
        <v>-45.018159781562872</v>
      </c>
      <c r="L110" s="204">
        <f t="shared" si="192"/>
        <v>-45.122312871677551</v>
      </c>
      <c r="M110" s="204">
        <f t="shared" si="192"/>
        <v>-45.24273809515784</v>
      </c>
      <c r="N110" s="204">
        <f t="shared" si="192"/>
        <v>-45.379139885516487</v>
      </c>
      <c r="O110" s="204">
        <f t="shared" si="192"/>
        <v>-45.53122804492606</v>
      </c>
      <c r="P110" s="204">
        <f t="shared" si="192"/>
        <v>-45.698717646702761</v>
      </c>
      <c r="Q110" s="204">
        <f t="shared" si="192"/>
        <v>-45.881328939561598</v>
      </c>
      <c r="R110" s="204">
        <f t="shared" si="192"/>
        <v>-46.078787253610507</v>
      </c>
      <c r="S110" s="204">
        <f t="shared" si="192"/>
        <v>-46.290822908052249</v>
      </c>
      <c r="T110" s="204">
        <f t="shared" si="192"/>
        <v>-46.517171120562551</v>
      </c>
      <c r="U110" s="204">
        <f t="shared" si="192"/>
        <v>-46.75757191831444</v>
      </c>
      <c r="V110" s="204">
        <f t="shared" si="192"/>
        <v>-47.011770050618708</v>
      </c>
      <c r="W110" s="204">
        <f t="shared" si="192"/>
        <v>-47.279514903151124</v>
      </c>
      <c r="X110" s="204">
        <f t="shared" si="192"/>
        <v>-47.560560413737676</v>
      </c>
      <c r="Y110" s="204">
        <f t="shared" si="192"/>
        <v>-47.854664989669509</v>
      </c>
      <c r="Z110" s="204">
        <f t="shared" si="192"/>
        <v>-48.161591426519607</v>
      </c>
      <c r="AA110" s="204">
        <f t="shared" si="192"/>
        <v>-48.481106828434278</v>
      </c>
      <c r="AB110" s="204">
        <f t="shared" si="192"/>
        <v>-48.81298252987235</v>
      </c>
      <c r="AC110" s="204">
        <f t="shared" si="192"/>
        <v>-49.156994018765893</v>
      </c>
      <c r="AD110" s="204">
        <f t="shared" si="192"/>
        <v>-49.51292086107668</v>
      </c>
      <c r="AE110" s="204">
        <f t="shared" si="192"/>
        <v>-49.880546626723003</v>
      </c>
      <c r="AF110" s="204">
        <f t="shared" si="192"/>
        <v>-50.259658816851953</v>
      </c>
      <c r="AG110" s="204">
        <f t="shared" si="192"/>
        <v>-50.650048792432663</v>
      </c>
      <c r="AH110" s="204">
        <f t="shared" si="192"/>
        <v>-51.051511704146662</v>
      </c>
      <c r="AI110" s="204">
        <f t="shared" si="192"/>
        <v>-51.463846423551665</v>
      </c>
      <c r="AJ110" s="204">
        <f t="shared" si="192"/>
        <v>-51.886855475495707</v>
      </c>
      <c r="AK110" s="204">
        <f t="shared" si="192"/>
        <v>-52.320344971758878</v>
      </c>
      <c r="AL110" s="204">
        <f t="shared" si="192"/>
        <v>-52.76412454590043</v>
      </c>
      <c r="AM110" s="204">
        <f t="shared" si="192"/>
        <v>-53.218007289289282</v>
      </c>
      <c r="AN110" s="204">
        <f t="shared" si="192"/>
        <v>-53.681809688296511</v>
      </c>
      <c r="AO110" s="204">
        <f t="shared" si="192"/>
        <v>-54.155351562628589</v>
      </c>
      <c r="AP110" s="204">
        <f t="shared" si="192"/>
        <v>-54.638456004780849</v>
      </c>
      <c r="AQ110" s="204">
        <f t="shared" si="192"/>
        <v>-55.130949320590631</v>
      </c>
      <c r="AR110" s="204">
        <f t="shared" si="192"/>
        <v>-55.632660970870248</v>
      </c>
      <c r="AS110" s="204">
        <f t="shared" si="192"/>
        <v>-56.143423514100107</v>
      </c>
      <c r="AT110" s="204">
        <f t="shared" si="192"/>
        <v>-56.663072550162802</v>
      </c>
      <c r="AU110" s="204">
        <f t="shared" si="192"/>
        <v>-57.191446665099171</v>
      </c>
      <c r="AV110" s="204">
        <f t="shared" si="192"/>
        <v>-57.728387376867829</v>
      </c>
      <c r="AW110" s="204">
        <f t="shared" si="192"/>
        <v>-58.273739082089882</v>
      </c>
      <c r="AX110" s="204">
        <f t="shared" si="192"/>
        <v>-58.827349003761015</v>
      </c>
      <c r="AY110" s="204">
        <f t="shared" si="192"/>
        <v>-59.389067139913323</v>
      </c>
      <c r="AZ110" s="204">
        <f t="shared" si="192"/>
        <v>-59.95874621320965</v>
      </c>
      <c r="BA110" s="204">
        <f t="shared" si="192"/>
        <v>-60.53624162145347</v>
      </c>
      <c r="BB110" s="204">
        <f t="shared" si="192"/>
        <v>-61.121411388997728</v>
      </c>
      <c r="BC110" s="204">
        <f t="shared" si="192"/>
        <v>-61.714116119036262</v>
      </c>
      <c r="BD110" s="204">
        <f t="shared" si="192"/>
        <v>-62.314218946761883</v>
      </c>
      <c r="BE110" s="204">
        <f t="shared" si="192"/>
        <v>-62.921585493375147</v>
      </c>
      <c r="BF110" s="204">
        <f t="shared" si="192"/>
        <v>-63.536083820928674</v>
      </c>
      <c r="BG110" s="204">
        <f t="shared" si="192"/>
        <v>-64.157584387991548</v>
      </c>
      <c r="BH110" s="204">
        <f t="shared" si="192"/>
        <v>-64.785960006119055</v>
      </c>
      <c r="BI110" s="204">
        <f t="shared" si="192"/>
        <v>-65.421085797113165</v>
      </c>
      <c r="BJ110" s="204">
        <f t="shared" si="192"/>
        <v>-66.062839151059279</v>
      </c>
      <c r="BK110" s="204">
        <f t="shared" si="192"/>
        <v>-66.711099685125177</v>
      </c>
      <c r="BL110" s="204">
        <f t="shared" si="192"/>
        <v>-67.365749203108379</v>
      </c>
      <c r="BM110" s="204">
        <f t="shared" si="192"/>
        <v>-68.026671655718303</v>
      </c>
      <c r="BN110" s="204">
        <f t="shared" si="192"/>
        <v>-68.693753101579787</v>
      </c>
      <c r="BO110" s="204">
        <f t="shared" si="192"/>
        <v>-69.366881668945013</v>
      </c>
      <c r="BP110" s="204">
        <f t="shared" si="192"/>
        <v>-70.04594751810086</v>
      </c>
      <c r="BQ110" s="204">
        <f t="shared" si="192"/>
        <v>-70.730842804459073</v>
      </c>
      <c r="BR110" s="204">
        <f t="shared" si="192"/>
        <v>-71.421461642316928</v>
      </c>
      <c r="BS110" s="204">
        <f t="shared" si="192"/>
        <v>-72.117700069276026</v>
      </c>
      <c r="BT110" s="204">
        <f t="shared" si="192"/>
        <v>-72.819456011307551</v>
      </c>
      <c r="BU110" s="204">
        <f t="shared" ref="BU110:EF110" si="193">PV($F64,BU$9,1,0)+(PV($J$6,$N$5-(BU$9),1,0)/($J$6+1)^BU$9)</f>
        <v>-73.526629248451897</v>
      </c>
      <c r="BV110" s="204">
        <f t="shared" si="193"/>
        <v>-74.239121381141487</v>
      </c>
      <c r="BW110" s="204">
        <f t="shared" si="193"/>
        <v>-74.956835797135199</v>
      </c>
      <c r="BX110" s="204">
        <f t="shared" si="193"/>
        <v>-75.679677639053423</v>
      </c>
      <c r="BY110" s="204">
        <f t="shared" si="193"/>
        <v>-76.407553772502823</v>
      </c>
      <c r="BZ110" s="204">
        <f t="shared" si="193"/>
        <v>-77.140372754780103</v>
      </c>
      <c r="CA110" s="204">
        <f t="shared" si="193"/>
        <v>-77.878044804144153</v>
      </c>
      <c r="CB110" s="204">
        <f t="shared" si="193"/>
        <v>-78.620481769646403</v>
      </c>
      <c r="CC110" s="204">
        <f t="shared" si="193"/>
        <v>-79.36759710150919</v>
      </c>
      <c r="CD110" s="204">
        <f t="shared" si="193"/>
        <v>-80.119305822042122</v>
      </c>
      <c r="CE110" s="204">
        <f t="shared" si="193"/>
        <v>-80.87552449708673</v>
      </c>
      <c r="CF110" s="204">
        <f t="shared" si="193"/>
        <v>-81.636171207979814</v>
      </c>
      <c r="CG110" s="204">
        <f t="shared" si="193"/>
        <v>-82.401165524026041</v>
      </c>
      <c r="CH110" s="204">
        <f t="shared" si="193"/>
        <v>-83.170428475470544</v>
      </c>
      <c r="CI110" s="204">
        <f t="shared" si="193"/>
        <v>-83.943882526962454</v>
      </c>
      <c r="CJ110" s="204">
        <f t="shared" si="193"/>
        <v>-84.721451551500408</v>
      </c>
      <c r="CK110" s="204">
        <f t="shared" si="193"/>
        <v>-85.503060804851359</v>
      </c>
      <c r="CL110" s="204">
        <f t="shared" si="193"/>
        <v>-86.288636900434042</v>
      </c>
      <c r="CM110" s="204">
        <f t="shared" si="193"/>
        <v>-87.07810778465857</v>
      </c>
      <c r="CN110" s="204">
        <f t="shared" si="193"/>
        <v>-87.871402712714072</v>
      </c>
      <c r="CO110" s="204">
        <f t="shared" si="193"/>
        <v>-88.668452224796056</v>
      </c>
      <c r="CP110" s="204">
        <f t="shared" si="193"/>
        <v>-89.469188122765601</v>
      </c>
      <c r="CQ110" s="204">
        <f t="shared" si="193"/>
        <v>-90.273543447232512</v>
      </c>
      <c r="CR110" s="204">
        <f t="shared" si="193"/>
        <v>-91.081452455054702</v>
      </c>
      <c r="CS110" s="204">
        <f t="shared" si="193"/>
        <v>-91.892850597246365</v>
      </c>
      <c r="CT110" s="204">
        <f t="shared" si="193"/>
        <v>-92.707674497287258</v>
      </c>
      <c r="CU110" s="204">
        <f t="shared" si="193"/>
        <v>-93.525861929826178</v>
      </c>
      <c r="CV110" s="204">
        <f t="shared" si="193"/>
        <v>-94.347351799771133</v>
      </c>
      <c r="CW110" s="204">
        <f t="shared" si="193"/>
        <v>-95.172084121759283</v>
      </c>
      <c r="CX110" s="204">
        <f t="shared" si="193"/>
        <v>-96</v>
      </c>
      <c r="CY110" s="204">
        <f t="shared" si="193"/>
        <v>-96</v>
      </c>
      <c r="CZ110" s="204">
        <f t="shared" si="193"/>
        <v>-96</v>
      </c>
      <c r="DA110" s="204">
        <f t="shared" si="193"/>
        <v>-96</v>
      </c>
      <c r="DB110" s="204">
        <f t="shared" si="193"/>
        <v>-96</v>
      </c>
      <c r="DC110" s="204">
        <f t="shared" si="193"/>
        <v>-96</v>
      </c>
      <c r="DD110" s="204">
        <f t="shared" si="193"/>
        <v>-96</v>
      </c>
      <c r="DE110" s="204">
        <f t="shared" si="193"/>
        <v>-96</v>
      </c>
      <c r="DF110" s="204">
        <f t="shared" si="193"/>
        <v>-96</v>
      </c>
      <c r="DG110" s="204">
        <f t="shared" si="193"/>
        <v>-96</v>
      </c>
      <c r="DH110" s="204">
        <f t="shared" si="193"/>
        <v>-96</v>
      </c>
      <c r="DI110" s="204">
        <f t="shared" si="193"/>
        <v>-96</v>
      </c>
      <c r="DJ110" s="204">
        <f t="shared" si="193"/>
        <v>-96</v>
      </c>
      <c r="DK110" s="204">
        <f t="shared" si="193"/>
        <v>-96</v>
      </c>
      <c r="DL110" s="204">
        <f t="shared" si="193"/>
        <v>-96</v>
      </c>
      <c r="DM110" s="204">
        <f t="shared" si="193"/>
        <v>-96</v>
      </c>
      <c r="DN110" s="204">
        <f t="shared" si="193"/>
        <v>-96</v>
      </c>
      <c r="DO110" s="204">
        <f t="shared" si="193"/>
        <v>-96</v>
      </c>
      <c r="DP110" s="204">
        <f t="shared" si="193"/>
        <v>-96</v>
      </c>
      <c r="DQ110" s="204">
        <f t="shared" si="193"/>
        <v>-96</v>
      </c>
      <c r="DR110" s="204">
        <f t="shared" si="193"/>
        <v>-96</v>
      </c>
      <c r="DS110" s="204">
        <f t="shared" si="193"/>
        <v>-96</v>
      </c>
      <c r="DT110" s="204">
        <f t="shared" si="193"/>
        <v>-96</v>
      </c>
      <c r="DU110" s="204">
        <f t="shared" si="193"/>
        <v>-96</v>
      </c>
      <c r="DV110" s="204">
        <f t="shared" si="193"/>
        <v>-96</v>
      </c>
      <c r="DW110" s="204">
        <f t="shared" si="193"/>
        <v>-96</v>
      </c>
      <c r="DX110" s="204">
        <f t="shared" si="193"/>
        <v>-96</v>
      </c>
      <c r="DY110" s="204">
        <f t="shared" si="193"/>
        <v>-96</v>
      </c>
      <c r="DZ110" s="204">
        <f t="shared" si="193"/>
        <v>-96</v>
      </c>
      <c r="EA110" s="204">
        <f t="shared" si="193"/>
        <v>-96</v>
      </c>
      <c r="EB110" s="204">
        <f t="shared" si="193"/>
        <v>-96</v>
      </c>
      <c r="EC110" s="204">
        <f t="shared" si="193"/>
        <v>-96</v>
      </c>
      <c r="ED110" s="204">
        <f t="shared" si="193"/>
        <v>-96</v>
      </c>
      <c r="EE110" s="204">
        <f t="shared" si="193"/>
        <v>-96</v>
      </c>
      <c r="EF110" s="204">
        <f t="shared" si="193"/>
        <v>-96</v>
      </c>
      <c r="EG110" s="204">
        <f t="shared" ref="EG110:ET110" si="194">PV($F64,EG$9,1,0)+(PV($J$6,$N$5-(EG$9),1,0)/($J$6+1)^EG$9)</f>
        <v>-96</v>
      </c>
      <c r="EH110" s="204">
        <f t="shared" si="194"/>
        <v>-96</v>
      </c>
      <c r="EI110" s="204">
        <f t="shared" si="194"/>
        <v>-96</v>
      </c>
      <c r="EJ110" s="204">
        <f t="shared" si="194"/>
        <v>-96</v>
      </c>
      <c r="EK110" s="204">
        <f t="shared" si="194"/>
        <v>-96</v>
      </c>
      <c r="EL110" s="204">
        <f t="shared" si="194"/>
        <v>-96</v>
      </c>
      <c r="EM110" s="204">
        <f t="shared" si="194"/>
        <v>-96</v>
      </c>
      <c r="EN110" s="204">
        <f t="shared" si="194"/>
        <v>-96</v>
      </c>
      <c r="EO110" s="204">
        <f t="shared" si="194"/>
        <v>-96</v>
      </c>
      <c r="EP110" s="204">
        <f t="shared" si="194"/>
        <v>-96</v>
      </c>
      <c r="EQ110" s="204">
        <f t="shared" si="194"/>
        <v>-96</v>
      </c>
      <c r="ER110" s="204">
        <f t="shared" si="194"/>
        <v>-96</v>
      </c>
      <c r="ES110" s="204">
        <f t="shared" si="194"/>
        <v>-96</v>
      </c>
      <c r="ET110" s="204">
        <f t="shared" si="194"/>
        <v>-96</v>
      </c>
      <c r="FF110" s="6" t="s">
        <v>3029</v>
      </c>
      <c r="FG110" s="696">
        <v>2.5000000000000001E-2</v>
      </c>
      <c r="FH110" s="696">
        <v>120</v>
      </c>
      <c r="FI110" s="696">
        <v>1.8500000000000003E-2</v>
      </c>
      <c r="FJ110" s="255">
        <v>1.6500000000000001E-2</v>
      </c>
      <c r="FK110" s="71">
        <f t="shared" si="92"/>
        <v>2.0238095238095239E-4</v>
      </c>
      <c r="FL110" t="e">
        <f>VLOOKUP(FF110,'SIMULADOR COM SALDO'!$BX$22:$CK$1000,13,FALSE)</f>
        <v>#N/A</v>
      </c>
    </row>
    <row r="111" spans="7:168" x14ac:dyDescent="0.25">
      <c r="G111" s="103">
        <f t="shared" si="45"/>
        <v>-44.770373601250576</v>
      </c>
      <c r="H111" s="204">
        <f t="shared" si="46"/>
        <v>-44.806371604802436</v>
      </c>
      <c r="I111" s="204">
        <f t="shared" ref="I111:BT111" si="195">PV($F65,I$9,1,0)+(PV($J$6,$N$5-(I$9),1,0)/($J$6+1)^I$9)</f>
        <v>-44.859879708437063</v>
      </c>
      <c r="J111" s="204">
        <f t="shared" si="195"/>
        <v>-44.930579859281075</v>
      </c>
      <c r="K111" s="204">
        <f t="shared" si="195"/>
        <v>-45.018159781562872</v>
      </c>
      <c r="L111" s="204">
        <f t="shared" si="195"/>
        <v>-45.122312871677551</v>
      </c>
      <c r="M111" s="204">
        <f t="shared" si="195"/>
        <v>-45.24273809515784</v>
      </c>
      <c r="N111" s="204">
        <f t="shared" si="195"/>
        <v>-45.379139885516487</v>
      </c>
      <c r="O111" s="204">
        <f t="shared" si="195"/>
        <v>-45.53122804492606</v>
      </c>
      <c r="P111" s="204">
        <f t="shared" si="195"/>
        <v>-45.698717646702761</v>
      </c>
      <c r="Q111" s="204">
        <f t="shared" si="195"/>
        <v>-45.881328939561598</v>
      </c>
      <c r="R111" s="204">
        <f t="shared" si="195"/>
        <v>-46.078787253610507</v>
      </c>
      <c r="S111" s="204">
        <f t="shared" si="195"/>
        <v>-46.290822908052249</v>
      </c>
      <c r="T111" s="204">
        <f t="shared" si="195"/>
        <v>-46.517171120562551</v>
      </c>
      <c r="U111" s="204">
        <f t="shared" si="195"/>
        <v>-46.75757191831444</v>
      </c>
      <c r="V111" s="204">
        <f t="shared" si="195"/>
        <v>-47.011770050618708</v>
      </c>
      <c r="W111" s="204">
        <f t="shared" si="195"/>
        <v>-47.279514903151124</v>
      </c>
      <c r="X111" s="204">
        <f t="shared" si="195"/>
        <v>-47.560560413737676</v>
      </c>
      <c r="Y111" s="204">
        <f t="shared" si="195"/>
        <v>-47.854664989669509</v>
      </c>
      <c r="Z111" s="204">
        <f t="shared" si="195"/>
        <v>-48.161591426519607</v>
      </c>
      <c r="AA111" s="204">
        <f t="shared" si="195"/>
        <v>-48.481106828434278</v>
      </c>
      <c r="AB111" s="204">
        <f t="shared" si="195"/>
        <v>-48.81298252987235</v>
      </c>
      <c r="AC111" s="204">
        <f t="shared" si="195"/>
        <v>-49.156994018765893</v>
      </c>
      <c r="AD111" s="204">
        <f t="shared" si="195"/>
        <v>-49.51292086107668</v>
      </c>
      <c r="AE111" s="204">
        <f t="shared" si="195"/>
        <v>-49.880546626723003</v>
      </c>
      <c r="AF111" s="204">
        <f t="shared" si="195"/>
        <v>-50.259658816851953</v>
      </c>
      <c r="AG111" s="204">
        <f t="shared" si="195"/>
        <v>-50.650048792432663</v>
      </c>
      <c r="AH111" s="204">
        <f t="shared" si="195"/>
        <v>-51.051511704146662</v>
      </c>
      <c r="AI111" s="204">
        <f t="shared" si="195"/>
        <v>-51.463846423551665</v>
      </c>
      <c r="AJ111" s="204">
        <f t="shared" si="195"/>
        <v>-51.886855475495707</v>
      </c>
      <c r="AK111" s="204">
        <f t="shared" si="195"/>
        <v>-52.320344971758878</v>
      </c>
      <c r="AL111" s="204">
        <f t="shared" si="195"/>
        <v>-52.76412454590043</v>
      </c>
      <c r="AM111" s="204">
        <f t="shared" si="195"/>
        <v>-53.218007289289282</v>
      </c>
      <c r="AN111" s="204">
        <f t="shared" si="195"/>
        <v>-53.681809688296511</v>
      </c>
      <c r="AO111" s="204">
        <f t="shared" si="195"/>
        <v>-54.155351562628589</v>
      </c>
      <c r="AP111" s="204">
        <f t="shared" si="195"/>
        <v>-54.638456004780849</v>
      </c>
      <c r="AQ111" s="204">
        <f t="shared" si="195"/>
        <v>-55.130949320590631</v>
      </c>
      <c r="AR111" s="204">
        <f t="shared" si="195"/>
        <v>-55.632660970870248</v>
      </c>
      <c r="AS111" s="204">
        <f t="shared" si="195"/>
        <v>-56.143423514100107</v>
      </c>
      <c r="AT111" s="204">
        <f t="shared" si="195"/>
        <v>-56.663072550162802</v>
      </c>
      <c r="AU111" s="204">
        <f t="shared" si="195"/>
        <v>-57.191446665099171</v>
      </c>
      <c r="AV111" s="204">
        <f t="shared" si="195"/>
        <v>-57.728387376867829</v>
      </c>
      <c r="AW111" s="204">
        <f t="shared" si="195"/>
        <v>-58.273739082089882</v>
      </c>
      <c r="AX111" s="204">
        <f t="shared" si="195"/>
        <v>-58.827349003761015</v>
      </c>
      <c r="AY111" s="204">
        <f t="shared" si="195"/>
        <v>-59.389067139913323</v>
      </c>
      <c r="AZ111" s="204">
        <f t="shared" si="195"/>
        <v>-59.95874621320965</v>
      </c>
      <c r="BA111" s="204">
        <f t="shared" si="195"/>
        <v>-60.53624162145347</v>
      </c>
      <c r="BB111" s="204">
        <f t="shared" si="195"/>
        <v>-61.121411388997728</v>
      </c>
      <c r="BC111" s="204">
        <f t="shared" si="195"/>
        <v>-61.714116119036262</v>
      </c>
      <c r="BD111" s="204">
        <f t="shared" si="195"/>
        <v>-62.314218946761883</v>
      </c>
      <c r="BE111" s="204">
        <f t="shared" si="195"/>
        <v>-62.921585493375147</v>
      </c>
      <c r="BF111" s="204">
        <f t="shared" si="195"/>
        <v>-63.536083820928674</v>
      </c>
      <c r="BG111" s="204">
        <f t="shared" si="195"/>
        <v>-64.157584387991548</v>
      </c>
      <c r="BH111" s="204">
        <f t="shared" si="195"/>
        <v>-64.785960006119055</v>
      </c>
      <c r="BI111" s="204">
        <f t="shared" si="195"/>
        <v>-65.421085797113165</v>
      </c>
      <c r="BJ111" s="204">
        <f t="shared" si="195"/>
        <v>-66.062839151059279</v>
      </c>
      <c r="BK111" s="204">
        <f t="shared" si="195"/>
        <v>-66.711099685125177</v>
      </c>
      <c r="BL111" s="204">
        <f t="shared" si="195"/>
        <v>-67.365749203108379</v>
      </c>
      <c r="BM111" s="204">
        <f t="shared" si="195"/>
        <v>-68.026671655718303</v>
      </c>
      <c r="BN111" s="204">
        <f t="shared" si="195"/>
        <v>-68.693753101579787</v>
      </c>
      <c r="BO111" s="204">
        <f t="shared" si="195"/>
        <v>-69.366881668945013</v>
      </c>
      <c r="BP111" s="204">
        <f t="shared" si="195"/>
        <v>-70.04594751810086</v>
      </c>
      <c r="BQ111" s="204">
        <f t="shared" si="195"/>
        <v>-70.730842804459073</v>
      </c>
      <c r="BR111" s="204">
        <f t="shared" si="195"/>
        <v>-71.421461642316928</v>
      </c>
      <c r="BS111" s="204">
        <f t="shared" si="195"/>
        <v>-72.117700069276026</v>
      </c>
      <c r="BT111" s="204">
        <f t="shared" si="195"/>
        <v>-72.819456011307551</v>
      </c>
      <c r="BU111" s="204">
        <f t="shared" ref="BU111:EF111" si="196">PV($F65,BU$9,1,0)+(PV($J$6,$N$5-(BU$9),1,0)/($J$6+1)^BU$9)</f>
        <v>-73.526629248451897</v>
      </c>
      <c r="BV111" s="204">
        <f t="shared" si="196"/>
        <v>-74.239121381141487</v>
      </c>
      <c r="BW111" s="204">
        <f t="shared" si="196"/>
        <v>-74.956835797135199</v>
      </c>
      <c r="BX111" s="204">
        <f t="shared" si="196"/>
        <v>-75.679677639053423</v>
      </c>
      <c r="BY111" s="204">
        <f t="shared" si="196"/>
        <v>-76.407553772502823</v>
      </c>
      <c r="BZ111" s="204">
        <f t="shared" si="196"/>
        <v>-77.140372754780103</v>
      </c>
      <c r="CA111" s="204">
        <f t="shared" si="196"/>
        <v>-77.878044804144153</v>
      </c>
      <c r="CB111" s="204">
        <f t="shared" si="196"/>
        <v>-78.620481769646403</v>
      </c>
      <c r="CC111" s="204">
        <f t="shared" si="196"/>
        <v>-79.36759710150919</v>
      </c>
      <c r="CD111" s="204">
        <f t="shared" si="196"/>
        <v>-80.119305822042122</v>
      </c>
      <c r="CE111" s="204">
        <f t="shared" si="196"/>
        <v>-80.87552449708673</v>
      </c>
      <c r="CF111" s="204">
        <f t="shared" si="196"/>
        <v>-81.636171207979814</v>
      </c>
      <c r="CG111" s="204">
        <f t="shared" si="196"/>
        <v>-82.401165524026041</v>
      </c>
      <c r="CH111" s="204">
        <f t="shared" si="196"/>
        <v>-83.170428475470544</v>
      </c>
      <c r="CI111" s="204">
        <f t="shared" si="196"/>
        <v>-83.943882526962454</v>
      </c>
      <c r="CJ111" s="204">
        <f t="shared" si="196"/>
        <v>-84.721451551500408</v>
      </c>
      <c r="CK111" s="204">
        <f t="shared" si="196"/>
        <v>-85.503060804851359</v>
      </c>
      <c r="CL111" s="204">
        <f t="shared" si="196"/>
        <v>-86.288636900434042</v>
      </c>
      <c r="CM111" s="204">
        <f t="shared" si="196"/>
        <v>-87.07810778465857</v>
      </c>
      <c r="CN111" s="204">
        <f t="shared" si="196"/>
        <v>-87.871402712714072</v>
      </c>
      <c r="CO111" s="204">
        <f t="shared" si="196"/>
        <v>-88.668452224796056</v>
      </c>
      <c r="CP111" s="204">
        <f t="shared" si="196"/>
        <v>-89.469188122765601</v>
      </c>
      <c r="CQ111" s="204">
        <f t="shared" si="196"/>
        <v>-90.273543447232512</v>
      </c>
      <c r="CR111" s="204">
        <f t="shared" si="196"/>
        <v>-91.081452455054702</v>
      </c>
      <c r="CS111" s="204">
        <f t="shared" si="196"/>
        <v>-91.892850597246365</v>
      </c>
      <c r="CT111" s="204">
        <f t="shared" si="196"/>
        <v>-92.707674497287258</v>
      </c>
      <c r="CU111" s="204">
        <f t="shared" si="196"/>
        <v>-93.525861929826178</v>
      </c>
      <c r="CV111" s="204">
        <f t="shared" si="196"/>
        <v>-94.347351799771133</v>
      </c>
      <c r="CW111" s="204">
        <f t="shared" si="196"/>
        <v>-95.172084121759283</v>
      </c>
      <c r="CX111" s="204">
        <f t="shared" si="196"/>
        <v>-96</v>
      </c>
      <c r="CY111" s="204">
        <f t="shared" si="196"/>
        <v>-96</v>
      </c>
      <c r="CZ111" s="204">
        <f t="shared" si="196"/>
        <v>-96</v>
      </c>
      <c r="DA111" s="204">
        <f t="shared" si="196"/>
        <v>-96</v>
      </c>
      <c r="DB111" s="204">
        <f t="shared" si="196"/>
        <v>-96</v>
      </c>
      <c r="DC111" s="204">
        <f t="shared" si="196"/>
        <v>-96</v>
      </c>
      <c r="DD111" s="204">
        <f t="shared" si="196"/>
        <v>-96</v>
      </c>
      <c r="DE111" s="204">
        <f t="shared" si="196"/>
        <v>-96</v>
      </c>
      <c r="DF111" s="204">
        <f t="shared" si="196"/>
        <v>-96</v>
      </c>
      <c r="DG111" s="204">
        <f t="shared" si="196"/>
        <v>-96</v>
      </c>
      <c r="DH111" s="204">
        <f t="shared" si="196"/>
        <v>-96</v>
      </c>
      <c r="DI111" s="204">
        <f t="shared" si="196"/>
        <v>-96</v>
      </c>
      <c r="DJ111" s="204">
        <f t="shared" si="196"/>
        <v>-96</v>
      </c>
      <c r="DK111" s="204">
        <f t="shared" si="196"/>
        <v>-96</v>
      </c>
      <c r="DL111" s="204">
        <f t="shared" si="196"/>
        <v>-96</v>
      </c>
      <c r="DM111" s="204">
        <f t="shared" si="196"/>
        <v>-96</v>
      </c>
      <c r="DN111" s="204">
        <f t="shared" si="196"/>
        <v>-96</v>
      </c>
      <c r="DO111" s="204">
        <f t="shared" si="196"/>
        <v>-96</v>
      </c>
      <c r="DP111" s="204">
        <f t="shared" si="196"/>
        <v>-96</v>
      </c>
      <c r="DQ111" s="204">
        <f t="shared" si="196"/>
        <v>-96</v>
      </c>
      <c r="DR111" s="204">
        <f t="shared" si="196"/>
        <v>-96</v>
      </c>
      <c r="DS111" s="204">
        <f t="shared" si="196"/>
        <v>-96</v>
      </c>
      <c r="DT111" s="204">
        <f t="shared" si="196"/>
        <v>-96</v>
      </c>
      <c r="DU111" s="204">
        <f t="shared" si="196"/>
        <v>-96</v>
      </c>
      <c r="DV111" s="204">
        <f t="shared" si="196"/>
        <v>-96</v>
      </c>
      <c r="DW111" s="204">
        <f t="shared" si="196"/>
        <v>-96</v>
      </c>
      <c r="DX111" s="204">
        <f t="shared" si="196"/>
        <v>-96</v>
      </c>
      <c r="DY111" s="204">
        <f t="shared" si="196"/>
        <v>-96</v>
      </c>
      <c r="DZ111" s="204">
        <f t="shared" si="196"/>
        <v>-96</v>
      </c>
      <c r="EA111" s="204">
        <f t="shared" si="196"/>
        <v>-96</v>
      </c>
      <c r="EB111" s="204">
        <f t="shared" si="196"/>
        <v>-96</v>
      </c>
      <c r="EC111" s="204">
        <f t="shared" si="196"/>
        <v>-96</v>
      </c>
      <c r="ED111" s="204">
        <f t="shared" si="196"/>
        <v>-96</v>
      </c>
      <c r="EE111" s="204">
        <f t="shared" si="196"/>
        <v>-96</v>
      </c>
      <c r="EF111" s="204">
        <f t="shared" si="196"/>
        <v>-96</v>
      </c>
      <c r="EG111" s="204">
        <f t="shared" ref="EG111:ET111" si="197">PV($F65,EG$9,1,0)+(PV($J$6,$N$5-(EG$9),1,0)/($J$6+1)^EG$9)</f>
        <v>-96</v>
      </c>
      <c r="EH111" s="204">
        <f t="shared" si="197"/>
        <v>-96</v>
      </c>
      <c r="EI111" s="204">
        <f t="shared" si="197"/>
        <v>-96</v>
      </c>
      <c r="EJ111" s="204">
        <f t="shared" si="197"/>
        <v>-96</v>
      </c>
      <c r="EK111" s="204">
        <f t="shared" si="197"/>
        <v>-96</v>
      </c>
      <c r="EL111" s="204">
        <f t="shared" si="197"/>
        <v>-96</v>
      </c>
      <c r="EM111" s="204">
        <f t="shared" si="197"/>
        <v>-96</v>
      </c>
      <c r="EN111" s="204">
        <f t="shared" si="197"/>
        <v>-96</v>
      </c>
      <c r="EO111" s="204">
        <f t="shared" si="197"/>
        <v>-96</v>
      </c>
      <c r="EP111" s="204">
        <f t="shared" si="197"/>
        <v>-96</v>
      </c>
      <c r="EQ111" s="204">
        <f t="shared" si="197"/>
        <v>-96</v>
      </c>
      <c r="ER111" s="204">
        <f t="shared" si="197"/>
        <v>-96</v>
      </c>
      <c r="ES111" s="204">
        <f t="shared" si="197"/>
        <v>-96</v>
      </c>
      <c r="ET111" s="204">
        <f t="shared" si="197"/>
        <v>-96</v>
      </c>
      <c r="FF111" s="6" t="s">
        <v>3030</v>
      </c>
      <c r="FG111" s="696">
        <v>2.5000000000000001E-2</v>
      </c>
      <c r="FH111" s="696">
        <v>120</v>
      </c>
      <c r="FI111" s="696">
        <v>1.9900000000000001E-2</v>
      </c>
      <c r="FJ111" s="255">
        <v>1.3899999999999999E-2</v>
      </c>
      <c r="FK111" s="71">
        <f t="shared" si="92"/>
        <v>2.6428571428571435E-4</v>
      </c>
      <c r="FL111" t="e">
        <f>VLOOKUP(FF111,'SIMULADOR COM SALDO'!$BX$22:$CK$1000,13,FALSE)</f>
        <v>#N/A</v>
      </c>
    </row>
    <row r="112" spans="7:168" x14ac:dyDescent="0.25">
      <c r="G112" s="103">
        <f t="shared" si="45"/>
        <v>-44.770373601250576</v>
      </c>
      <c r="H112" s="204">
        <f t="shared" si="46"/>
        <v>-44.806371604802436</v>
      </c>
      <c r="I112" s="204">
        <f t="shared" ref="I112:BT112" si="198">PV($F66,I$9,1,0)+(PV($J$6,$N$5-(I$9),1,0)/($J$6+1)^I$9)</f>
        <v>-44.859879708437063</v>
      </c>
      <c r="J112" s="204">
        <f t="shared" si="198"/>
        <v>-44.930579859281075</v>
      </c>
      <c r="K112" s="204">
        <f t="shared" si="198"/>
        <v>-45.018159781562872</v>
      </c>
      <c r="L112" s="204">
        <f t="shared" si="198"/>
        <v>-45.122312871677551</v>
      </c>
      <c r="M112" s="204">
        <f t="shared" si="198"/>
        <v>-45.24273809515784</v>
      </c>
      <c r="N112" s="204">
        <f t="shared" si="198"/>
        <v>-45.379139885516487</v>
      </c>
      <c r="O112" s="204">
        <f t="shared" si="198"/>
        <v>-45.53122804492606</v>
      </c>
      <c r="P112" s="204">
        <f t="shared" si="198"/>
        <v>-45.698717646702761</v>
      </c>
      <c r="Q112" s="204">
        <f t="shared" si="198"/>
        <v>-45.881328939561598</v>
      </c>
      <c r="R112" s="204">
        <f t="shared" si="198"/>
        <v>-46.078787253610507</v>
      </c>
      <c r="S112" s="204">
        <f t="shared" si="198"/>
        <v>-46.290822908052249</v>
      </c>
      <c r="T112" s="204">
        <f t="shared" si="198"/>
        <v>-46.517171120562551</v>
      </c>
      <c r="U112" s="204">
        <f t="shared" si="198"/>
        <v>-46.75757191831444</v>
      </c>
      <c r="V112" s="204">
        <f t="shared" si="198"/>
        <v>-47.011770050618708</v>
      </c>
      <c r="W112" s="204">
        <f t="shared" si="198"/>
        <v>-47.279514903151124</v>
      </c>
      <c r="X112" s="204">
        <f t="shared" si="198"/>
        <v>-47.560560413737676</v>
      </c>
      <c r="Y112" s="204">
        <f t="shared" si="198"/>
        <v>-47.854664989669509</v>
      </c>
      <c r="Z112" s="204">
        <f t="shared" si="198"/>
        <v>-48.161591426519607</v>
      </c>
      <c r="AA112" s="204">
        <f t="shared" si="198"/>
        <v>-48.481106828434278</v>
      </c>
      <c r="AB112" s="204">
        <f t="shared" si="198"/>
        <v>-48.81298252987235</v>
      </c>
      <c r="AC112" s="204">
        <f t="shared" si="198"/>
        <v>-49.156994018765893</v>
      </c>
      <c r="AD112" s="204">
        <f t="shared" si="198"/>
        <v>-49.51292086107668</v>
      </c>
      <c r="AE112" s="204">
        <f t="shared" si="198"/>
        <v>-49.880546626723003</v>
      </c>
      <c r="AF112" s="204">
        <f t="shared" si="198"/>
        <v>-50.259658816851953</v>
      </c>
      <c r="AG112" s="204">
        <f t="shared" si="198"/>
        <v>-50.650048792432663</v>
      </c>
      <c r="AH112" s="204">
        <f t="shared" si="198"/>
        <v>-51.051511704146662</v>
      </c>
      <c r="AI112" s="204">
        <f t="shared" si="198"/>
        <v>-51.463846423551665</v>
      </c>
      <c r="AJ112" s="204">
        <f t="shared" si="198"/>
        <v>-51.886855475495707</v>
      </c>
      <c r="AK112" s="204">
        <f t="shared" si="198"/>
        <v>-52.320344971758878</v>
      </c>
      <c r="AL112" s="204">
        <f t="shared" si="198"/>
        <v>-52.76412454590043</v>
      </c>
      <c r="AM112" s="204">
        <f t="shared" si="198"/>
        <v>-53.218007289289282</v>
      </c>
      <c r="AN112" s="204">
        <f t="shared" si="198"/>
        <v>-53.681809688296511</v>
      </c>
      <c r="AO112" s="204">
        <f t="shared" si="198"/>
        <v>-54.155351562628589</v>
      </c>
      <c r="AP112" s="204">
        <f t="shared" si="198"/>
        <v>-54.638456004780849</v>
      </c>
      <c r="AQ112" s="204">
        <f t="shared" si="198"/>
        <v>-55.130949320590631</v>
      </c>
      <c r="AR112" s="204">
        <f t="shared" si="198"/>
        <v>-55.632660970870248</v>
      </c>
      <c r="AS112" s="204">
        <f t="shared" si="198"/>
        <v>-56.143423514100107</v>
      </c>
      <c r="AT112" s="204">
        <f t="shared" si="198"/>
        <v>-56.663072550162802</v>
      </c>
      <c r="AU112" s="204">
        <f t="shared" si="198"/>
        <v>-57.191446665099171</v>
      </c>
      <c r="AV112" s="204">
        <f t="shared" si="198"/>
        <v>-57.728387376867829</v>
      </c>
      <c r="AW112" s="204">
        <f t="shared" si="198"/>
        <v>-58.273739082089882</v>
      </c>
      <c r="AX112" s="204">
        <f t="shared" si="198"/>
        <v>-58.827349003761015</v>
      </c>
      <c r="AY112" s="204">
        <f t="shared" si="198"/>
        <v>-59.389067139913323</v>
      </c>
      <c r="AZ112" s="204">
        <f t="shared" si="198"/>
        <v>-59.95874621320965</v>
      </c>
      <c r="BA112" s="204">
        <f t="shared" si="198"/>
        <v>-60.53624162145347</v>
      </c>
      <c r="BB112" s="204">
        <f t="shared" si="198"/>
        <v>-61.121411388997728</v>
      </c>
      <c r="BC112" s="204">
        <f t="shared" si="198"/>
        <v>-61.714116119036262</v>
      </c>
      <c r="BD112" s="204">
        <f t="shared" si="198"/>
        <v>-62.314218946761883</v>
      </c>
      <c r="BE112" s="204">
        <f t="shared" si="198"/>
        <v>-62.921585493375147</v>
      </c>
      <c r="BF112" s="204">
        <f t="shared" si="198"/>
        <v>-63.536083820928674</v>
      </c>
      <c r="BG112" s="204">
        <f t="shared" si="198"/>
        <v>-64.157584387991548</v>
      </c>
      <c r="BH112" s="204">
        <f t="shared" si="198"/>
        <v>-64.785960006119055</v>
      </c>
      <c r="BI112" s="204">
        <f t="shared" si="198"/>
        <v>-65.421085797113165</v>
      </c>
      <c r="BJ112" s="204">
        <f t="shared" si="198"/>
        <v>-66.062839151059279</v>
      </c>
      <c r="BK112" s="204">
        <f t="shared" si="198"/>
        <v>-66.711099685125177</v>
      </c>
      <c r="BL112" s="204">
        <f t="shared" si="198"/>
        <v>-67.365749203108379</v>
      </c>
      <c r="BM112" s="204">
        <f t="shared" si="198"/>
        <v>-68.026671655718303</v>
      </c>
      <c r="BN112" s="204">
        <f t="shared" si="198"/>
        <v>-68.693753101579787</v>
      </c>
      <c r="BO112" s="204">
        <f t="shared" si="198"/>
        <v>-69.366881668945013</v>
      </c>
      <c r="BP112" s="204">
        <f t="shared" si="198"/>
        <v>-70.04594751810086</v>
      </c>
      <c r="BQ112" s="204">
        <f t="shared" si="198"/>
        <v>-70.730842804459073</v>
      </c>
      <c r="BR112" s="204">
        <f t="shared" si="198"/>
        <v>-71.421461642316928</v>
      </c>
      <c r="BS112" s="204">
        <f t="shared" si="198"/>
        <v>-72.117700069276026</v>
      </c>
      <c r="BT112" s="204">
        <f t="shared" si="198"/>
        <v>-72.819456011307551</v>
      </c>
      <c r="BU112" s="204">
        <f t="shared" ref="BU112:EF112" si="199">PV($F66,BU$9,1,0)+(PV($J$6,$N$5-(BU$9),1,0)/($J$6+1)^BU$9)</f>
        <v>-73.526629248451897</v>
      </c>
      <c r="BV112" s="204">
        <f t="shared" si="199"/>
        <v>-74.239121381141487</v>
      </c>
      <c r="BW112" s="204">
        <f t="shared" si="199"/>
        <v>-74.956835797135199</v>
      </c>
      <c r="BX112" s="204">
        <f t="shared" si="199"/>
        <v>-75.679677639053423</v>
      </c>
      <c r="BY112" s="204">
        <f t="shared" si="199"/>
        <v>-76.407553772502823</v>
      </c>
      <c r="BZ112" s="204">
        <f t="shared" si="199"/>
        <v>-77.140372754780103</v>
      </c>
      <c r="CA112" s="204">
        <f t="shared" si="199"/>
        <v>-77.878044804144153</v>
      </c>
      <c r="CB112" s="204">
        <f t="shared" si="199"/>
        <v>-78.620481769646403</v>
      </c>
      <c r="CC112" s="204">
        <f t="shared" si="199"/>
        <v>-79.36759710150919</v>
      </c>
      <c r="CD112" s="204">
        <f t="shared" si="199"/>
        <v>-80.119305822042122</v>
      </c>
      <c r="CE112" s="204">
        <f t="shared" si="199"/>
        <v>-80.87552449708673</v>
      </c>
      <c r="CF112" s="204">
        <f t="shared" si="199"/>
        <v>-81.636171207979814</v>
      </c>
      <c r="CG112" s="204">
        <f t="shared" si="199"/>
        <v>-82.401165524026041</v>
      </c>
      <c r="CH112" s="204">
        <f t="shared" si="199"/>
        <v>-83.170428475470544</v>
      </c>
      <c r="CI112" s="204">
        <f t="shared" si="199"/>
        <v>-83.943882526962454</v>
      </c>
      <c r="CJ112" s="204">
        <f t="shared" si="199"/>
        <v>-84.721451551500408</v>
      </c>
      <c r="CK112" s="204">
        <f t="shared" si="199"/>
        <v>-85.503060804851359</v>
      </c>
      <c r="CL112" s="204">
        <f t="shared" si="199"/>
        <v>-86.288636900434042</v>
      </c>
      <c r="CM112" s="204">
        <f t="shared" si="199"/>
        <v>-87.07810778465857</v>
      </c>
      <c r="CN112" s="204">
        <f t="shared" si="199"/>
        <v>-87.871402712714072</v>
      </c>
      <c r="CO112" s="204">
        <f t="shared" si="199"/>
        <v>-88.668452224796056</v>
      </c>
      <c r="CP112" s="204">
        <f t="shared" si="199"/>
        <v>-89.469188122765601</v>
      </c>
      <c r="CQ112" s="204">
        <f t="shared" si="199"/>
        <v>-90.273543447232512</v>
      </c>
      <c r="CR112" s="204">
        <f t="shared" si="199"/>
        <v>-91.081452455054702</v>
      </c>
      <c r="CS112" s="204">
        <f t="shared" si="199"/>
        <v>-91.892850597246365</v>
      </c>
      <c r="CT112" s="204">
        <f t="shared" si="199"/>
        <v>-92.707674497287258</v>
      </c>
      <c r="CU112" s="204">
        <f t="shared" si="199"/>
        <v>-93.525861929826178</v>
      </c>
      <c r="CV112" s="204">
        <f t="shared" si="199"/>
        <v>-94.347351799771133</v>
      </c>
      <c r="CW112" s="204">
        <f t="shared" si="199"/>
        <v>-95.172084121759283</v>
      </c>
      <c r="CX112" s="204">
        <f t="shared" si="199"/>
        <v>-96</v>
      </c>
      <c r="CY112" s="204">
        <f t="shared" si="199"/>
        <v>-96</v>
      </c>
      <c r="CZ112" s="204">
        <f t="shared" si="199"/>
        <v>-96</v>
      </c>
      <c r="DA112" s="204">
        <f t="shared" si="199"/>
        <v>-96</v>
      </c>
      <c r="DB112" s="204">
        <f t="shared" si="199"/>
        <v>-96</v>
      </c>
      <c r="DC112" s="204">
        <f t="shared" si="199"/>
        <v>-96</v>
      </c>
      <c r="DD112" s="204">
        <f t="shared" si="199"/>
        <v>-96</v>
      </c>
      <c r="DE112" s="204">
        <f t="shared" si="199"/>
        <v>-96</v>
      </c>
      <c r="DF112" s="204">
        <f t="shared" si="199"/>
        <v>-96</v>
      </c>
      <c r="DG112" s="204">
        <f t="shared" si="199"/>
        <v>-96</v>
      </c>
      <c r="DH112" s="204">
        <f t="shared" si="199"/>
        <v>-96</v>
      </c>
      <c r="DI112" s="204">
        <f t="shared" si="199"/>
        <v>-96</v>
      </c>
      <c r="DJ112" s="204">
        <f t="shared" si="199"/>
        <v>-96</v>
      </c>
      <c r="DK112" s="204">
        <f t="shared" si="199"/>
        <v>-96</v>
      </c>
      <c r="DL112" s="204">
        <f t="shared" si="199"/>
        <v>-96</v>
      </c>
      <c r="DM112" s="204">
        <f t="shared" si="199"/>
        <v>-96</v>
      </c>
      <c r="DN112" s="204">
        <f t="shared" si="199"/>
        <v>-96</v>
      </c>
      <c r="DO112" s="204">
        <f t="shared" si="199"/>
        <v>-96</v>
      </c>
      <c r="DP112" s="204">
        <f t="shared" si="199"/>
        <v>-96</v>
      </c>
      <c r="DQ112" s="204">
        <f t="shared" si="199"/>
        <v>-96</v>
      </c>
      <c r="DR112" s="204">
        <f t="shared" si="199"/>
        <v>-96</v>
      </c>
      <c r="DS112" s="204">
        <f t="shared" si="199"/>
        <v>-96</v>
      </c>
      <c r="DT112" s="204">
        <f t="shared" si="199"/>
        <v>-96</v>
      </c>
      <c r="DU112" s="204">
        <f t="shared" si="199"/>
        <v>-96</v>
      </c>
      <c r="DV112" s="204">
        <f t="shared" si="199"/>
        <v>-96</v>
      </c>
      <c r="DW112" s="204">
        <f t="shared" si="199"/>
        <v>-96</v>
      </c>
      <c r="DX112" s="204">
        <f t="shared" si="199"/>
        <v>-96</v>
      </c>
      <c r="DY112" s="204">
        <f t="shared" si="199"/>
        <v>-96</v>
      </c>
      <c r="DZ112" s="204">
        <f t="shared" si="199"/>
        <v>-96</v>
      </c>
      <c r="EA112" s="204">
        <f t="shared" si="199"/>
        <v>-96</v>
      </c>
      <c r="EB112" s="204">
        <f t="shared" si="199"/>
        <v>-96</v>
      </c>
      <c r="EC112" s="204">
        <f t="shared" si="199"/>
        <v>-96</v>
      </c>
      <c r="ED112" s="204">
        <f t="shared" si="199"/>
        <v>-96</v>
      </c>
      <c r="EE112" s="204">
        <f t="shared" si="199"/>
        <v>-96</v>
      </c>
      <c r="EF112" s="204">
        <f t="shared" si="199"/>
        <v>-96</v>
      </c>
      <c r="EG112" s="204">
        <f t="shared" ref="EG112:ET112" si="200">PV($F66,EG$9,1,0)+(PV($J$6,$N$5-(EG$9),1,0)/($J$6+1)^EG$9)</f>
        <v>-96</v>
      </c>
      <c r="EH112" s="204">
        <f t="shared" si="200"/>
        <v>-96</v>
      </c>
      <c r="EI112" s="204">
        <f t="shared" si="200"/>
        <v>-96</v>
      </c>
      <c r="EJ112" s="204">
        <f t="shared" si="200"/>
        <v>-96</v>
      </c>
      <c r="EK112" s="204">
        <f t="shared" si="200"/>
        <v>-96</v>
      </c>
      <c r="EL112" s="204">
        <f t="shared" si="200"/>
        <v>-96</v>
      </c>
      <c r="EM112" s="204">
        <f t="shared" si="200"/>
        <v>-96</v>
      </c>
      <c r="EN112" s="204">
        <f t="shared" si="200"/>
        <v>-96</v>
      </c>
      <c r="EO112" s="204">
        <f t="shared" si="200"/>
        <v>-96</v>
      </c>
      <c r="EP112" s="204">
        <f t="shared" si="200"/>
        <v>-96</v>
      </c>
      <c r="EQ112" s="204">
        <f t="shared" si="200"/>
        <v>-96</v>
      </c>
      <c r="ER112" s="204">
        <f t="shared" si="200"/>
        <v>-96</v>
      </c>
      <c r="ES112" s="204">
        <f t="shared" si="200"/>
        <v>-96</v>
      </c>
      <c r="ET112" s="204">
        <f t="shared" si="200"/>
        <v>-96</v>
      </c>
      <c r="FF112" s="6" t="s">
        <v>368</v>
      </c>
      <c r="FG112" s="696">
        <v>2.2499999999999999E-2</v>
      </c>
      <c r="FH112" s="696">
        <v>120</v>
      </c>
      <c r="FI112" s="696">
        <v>1.9699999999999999E-2</v>
      </c>
      <c r="FJ112" s="255">
        <v>1.4999999999999999E-2</v>
      </c>
      <c r="FK112" s="71">
        <f t="shared" si="92"/>
        <v>1.7857142857142857E-4</v>
      </c>
      <c r="FL112" t="e">
        <f>VLOOKUP(FF112,'SIMULADOR COM SALDO'!$BX$22:$CK$1000,13,FALSE)</f>
        <v>#N/A</v>
      </c>
    </row>
    <row r="113" spans="7:168" x14ac:dyDescent="0.25">
      <c r="G113" s="103">
        <f t="shared" si="45"/>
        <v>-44.770373601250576</v>
      </c>
      <c r="H113" s="204">
        <f t="shared" si="46"/>
        <v>-44.806371604802436</v>
      </c>
      <c r="I113" s="204">
        <f t="shared" ref="I113:BT113" si="201">PV($F67,I$9,1,0)+(PV($J$6,$N$5-(I$9),1,0)/($J$6+1)^I$9)</f>
        <v>-44.859879708437063</v>
      </c>
      <c r="J113" s="204">
        <f t="shared" si="201"/>
        <v>-44.930579859281075</v>
      </c>
      <c r="K113" s="204">
        <f t="shared" si="201"/>
        <v>-45.018159781562872</v>
      </c>
      <c r="L113" s="204">
        <f t="shared" si="201"/>
        <v>-45.122312871677551</v>
      </c>
      <c r="M113" s="204">
        <f t="shared" si="201"/>
        <v>-45.24273809515784</v>
      </c>
      <c r="N113" s="204">
        <f t="shared" si="201"/>
        <v>-45.379139885516487</v>
      </c>
      <c r="O113" s="204">
        <f t="shared" si="201"/>
        <v>-45.53122804492606</v>
      </c>
      <c r="P113" s="204">
        <f t="shared" si="201"/>
        <v>-45.698717646702761</v>
      </c>
      <c r="Q113" s="204">
        <f t="shared" si="201"/>
        <v>-45.881328939561598</v>
      </c>
      <c r="R113" s="204">
        <f t="shared" si="201"/>
        <v>-46.078787253610507</v>
      </c>
      <c r="S113" s="204">
        <f t="shared" si="201"/>
        <v>-46.290822908052249</v>
      </c>
      <c r="T113" s="204">
        <f t="shared" si="201"/>
        <v>-46.517171120562551</v>
      </c>
      <c r="U113" s="204">
        <f t="shared" si="201"/>
        <v>-46.75757191831444</v>
      </c>
      <c r="V113" s="204">
        <f t="shared" si="201"/>
        <v>-47.011770050618708</v>
      </c>
      <c r="W113" s="204">
        <f t="shared" si="201"/>
        <v>-47.279514903151124</v>
      </c>
      <c r="X113" s="204">
        <f t="shared" si="201"/>
        <v>-47.560560413737676</v>
      </c>
      <c r="Y113" s="204">
        <f t="shared" si="201"/>
        <v>-47.854664989669509</v>
      </c>
      <c r="Z113" s="204">
        <f t="shared" si="201"/>
        <v>-48.161591426519607</v>
      </c>
      <c r="AA113" s="204">
        <f t="shared" si="201"/>
        <v>-48.481106828434278</v>
      </c>
      <c r="AB113" s="204">
        <f t="shared" si="201"/>
        <v>-48.81298252987235</v>
      </c>
      <c r="AC113" s="204">
        <f t="shared" si="201"/>
        <v>-49.156994018765893</v>
      </c>
      <c r="AD113" s="204">
        <f t="shared" si="201"/>
        <v>-49.51292086107668</v>
      </c>
      <c r="AE113" s="204">
        <f t="shared" si="201"/>
        <v>-49.880546626723003</v>
      </c>
      <c r="AF113" s="204">
        <f t="shared" si="201"/>
        <v>-50.259658816851953</v>
      </c>
      <c r="AG113" s="204">
        <f t="shared" si="201"/>
        <v>-50.650048792432663</v>
      </c>
      <c r="AH113" s="204">
        <f t="shared" si="201"/>
        <v>-51.051511704146662</v>
      </c>
      <c r="AI113" s="204">
        <f t="shared" si="201"/>
        <v>-51.463846423551665</v>
      </c>
      <c r="AJ113" s="204">
        <f t="shared" si="201"/>
        <v>-51.886855475495707</v>
      </c>
      <c r="AK113" s="204">
        <f t="shared" si="201"/>
        <v>-52.320344971758878</v>
      </c>
      <c r="AL113" s="204">
        <f t="shared" si="201"/>
        <v>-52.76412454590043</v>
      </c>
      <c r="AM113" s="204">
        <f t="shared" si="201"/>
        <v>-53.218007289289282</v>
      </c>
      <c r="AN113" s="204">
        <f t="shared" si="201"/>
        <v>-53.681809688296511</v>
      </c>
      <c r="AO113" s="204">
        <f t="shared" si="201"/>
        <v>-54.155351562628589</v>
      </c>
      <c r="AP113" s="204">
        <f t="shared" si="201"/>
        <v>-54.638456004780849</v>
      </c>
      <c r="AQ113" s="204">
        <f t="shared" si="201"/>
        <v>-55.130949320590631</v>
      </c>
      <c r="AR113" s="204">
        <f t="shared" si="201"/>
        <v>-55.632660970870248</v>
      </c>
      <c r="AS113" s="204">
        <f t="shared" si="201"/>
        <v>-56.143423514100107</v>
      </c>
      <c r="AT113" s="204">
        <f t="shared" si="201"/>
        <v>-56.663072550162802</v>
      </c>
      <c r="AU113" s="204">
        <f t="shared" si="201"/>
        <v>-57.191446665099171</v>
      </c>
      <c r="AV113" s="204">
        <f t="shared" si="201"/>
        <v>-57.728387376867829</v>
      </c>
      <c r="AW113" s="204">
        <f t="shared" si="201"/>
        <v>-58.273739082089882</v>
      </c>
      <c r="AX113" s="204">
        <f t="shared" si="201"/>
        <v>-58.827349003761015</v>
      </c>
      <c r="AY113" s="204">
        <f t="shared" si="201"/>
        <v>-59.389067139913323</v>
      </c>
      <c r="AZ113" s="204">
        <f t="shared" si="201"/>
        <v>-59.95874621320965</v>
      </c>
      <c r="BA113" s="204">
        <f t="shared" si="201"/>
        <v>-60.53624162145347</v>
      </c>
      <c r="BB113" s="204">
        <f t="shared" si="201"/>
        <v>-61.121411388997728</v>
      </c>
      <c r="BC113" s="204">
        <f t="shared" si="201"/>
        <v>-61.714116119036262</v>
      </c>
      <c r="BD113" s="204">
        <f t="shared" si="201"/>
        <v>-62.314218946761883</v>
      </c>
      <c r="BE113" s="204">
        <f t="shared" si="201"/>
        <v>-62.921585493375147</v>
      </c>
      <c r="BF113" s="204">
        <f t="shared" si="201"/>
        <v>-63.536083820928674</v>
      </c>
      <c r="BG113" s="204">
        <f t="shared" si="201"/>
        <v>-64.157584387991548</v>
      </c>
      <c r="BH113" s="204">
        <f t="shared" si="201"/>
        <v>-64.785960006119055</v>
      </c>
      <c r="BI113" s="204">
        <f t="shared" si="201"/>
        <v>-65.421085797113165</v>
      </c>
      <c r="BJ113" s="204">
        <f t="shared" si="201"/>
        <v>-66.062839151059279</v>
      </c>
      <c r="BK113" s="204">
        <f t="shared" si="201"/>
        <v>-66.711099685125177</v>
      </c>
      <c r="BL113" s="204">
        <f t="shared" si="201"/>
        <v>-67.365749203108379</v>
      </c>
      <c r="BM113" s="204">
        <f t="shared" si="201"/>
        <v>-68.026671655718303</v>
      </c>
      <c r="BN113" s="204">
        <f t="shared" si="201"/>
        <v>-68.693753101579787</v>
      </c>
      <c r="BO113" s="204">
        <f t="shared" si="201"/>
        <v>-69.366881668945013</v>
      </c>
      <c r="BP113" s="204">
        <f t="shared" si="201"/>
        <v>-70.04594751810086</v>
      </c>
      <c r="BQ113" s="204">
        <f t="shared" si="201"/>
        <v>-70.730842804459073</v>
      </c>
      <c r="BR113" s="204">
        <f t="shared" si="201"/>
        <v>-71.421461642316928</v>
      </c>
      <c r="BS113" s="204">
        <f t="shared" si="201"/>
        <v>-72.117700069276026</v>
      </c>
      <c r="BT113" s="204">
        <f t="shared" si="201"/>
        <v>-72.819456011307551</v>
      </c>
      <c r="BU113" s="204">
        <f t="shared" ref="BU113:EF113" si="202">PV($F67,BU$9,1,0)+(PV($J$6,$N$5-(BU$9),1,0)/($J$6+1)^BU$9)</f>
        <v>-73.526629248451897</v>
      </c>
      <c r="BV113" s="204">
        <f t="shared" si="202"/>
        <v>-74.239121381141487</v>
      </c>
      <c r="BW113" s="204">
        <f t="shared" si="202"/>
        <v>-74.956835797135199</v>
      </c>
      <c r="BX113" s="204">
        <f t="shared" si="202"/>
        <v>-75.679677639053423</v>
      </c>
      <c r="BY113" s="204">
        <f t="shared" si="202"/>
        <v>-76.407553772502823</v>
      </c>
      <c r="BZ113" s="204">
        <f t="shared" si="202"/>
        <v>-77.140372754780103</v>
      </c>
      <c r="CA113" s="204">
        <f t="shared" si="202"/>
        <v>-77.878044804144153</v>
      </c>
      <c r="CB113" s="204">
        <f t="shared" si="202"/>
        <v>-78.620481769646403</v>
      </c>
      <c r="CC113" s="204">
        <f t="shared" si="202"/>
        <v>-79.36759710150919</v>
      </c>
      <c r="CD113" s="204">
        <f t="shared" si="202"/>
        <v>-80.119305822042122</v>
      </c>
      <c r="CE113" s="204">
        <f t="shared" si="202"/>
        <v>-80.87552449708673</v>
      </c>
      <c r="CF113" s="204">
        <f t="shared" si="202"/>
        <v>-81.636171207979814</v>
      </c>
      <c r="CG113" s="204">
        <f t="shared" si="202"/>
        <v>-82.401165524026041</v>
      </c>
      <c r="CH113" s="204">
        <f t="shared" si="202"/>
        <v>-83.170428475470544</v>
      </c>
      <c r="CI113" s="204">
        <f t="shared" si="202"/>
        <v>-83.943882526962454</v>
      </c>
      <c r="CJ113" s="204">
        <f t="shared" si="202"/>
        <v>-84.721451551500408</v>
      </c>
      <c r="CK113" s="204">
        <f t="shared" si="202"/>
        <v>-85.503060804851359</v>
      </c>
      <c r="CL113" s="204">
        <f t="shared" si="202"/>
        <v>-86.288636900434042</v>
      </c>
      <c r="CM113" s="204">
        <f t="shared" si="202"/>
        <v>-87.07810778465857</v>
      </c>
      <c r="CN113" s="204">
        <f t="shared" si="202"/>
        <v>-87.871402712714072</v>
      </c>
      <c r="CO113" s="204">
        <f t="shared" si="202"/>
        <v>-88.668452224796056</v>
      </c>
      <c r="CP113" s="204">
        <f t="shared" si="202"/>
        <v>-89.469188122765601</v>
      </c>
      <c r="CQ113" s="204">
        <f t="shared" si="202"/>
        <v>-90.273543447232512</v>
      </c>
      <c r="CR113" s="204">
        <f t="shared" si="202"/>
        <v>-91.081452455054702</v>
      </c>
      <c r="CS113" s="204">
        <f t="shared" si="202"/>
        <v>-91.892850597246365</v>
      </c>
      <c r="CT113" s="204">
        <f t="shared" si="202"/>
        <v>-92.707674497287258</v>
      </c>
      <c r="CU113" s="204">
        <f t="shared" si="202"/>
        <v>-93.525861929826178</v>
      </c>
      <c r="CV113" s="204">
        <f t="shared" si="202"/>
        <v>-94.347351799771133</v>
      </c>
      <c r="CW113" s="204">
        <f t="shared" si="202"/>
        <v>-95.172084121759283</v>
      </c>
      <c r="CX113" s="204">
        <f t="shared" si="202"/>
        <v>-96</v>
      </c>
      <c r="CY113" s="204">
        <f t="shared" si="202"/>
        <v>-96</v>
      </c>
      <c r="CZ113" s="204">
        <f t="shared" si="202"/>
        <v>-96</v>
      </c>
      <c r="DA113" s="204">
        <f t="shared" si="202"/>
        <v>-96</v>
      </c>
      <c r="DB113" s="204">
        <f t="shared" si="202"/>
        <v>-96</v>
      </c>
      <c r="DC113" s="204">
        <f t="shared" si="202"/>
        <v>-96</v>
      </c>
      <c r="DD113" s="204">
        <f t="shared" si="202"/>
        <v>-96</v>
      </c>
      <c r="DE113" s="204">
        <f t="shared" si="202"/>
        <v>-96</v>
      </c>
      <c r="DF113" s="204">
        <f t="shared" si="202"/>
        <v>-96</v>
      </c>
      <c r="DG113" s="204">
        <f t="shared" si="202"/>
        <v>-96</v>
      </c>
      <c r="DH113" s="204">
        <f t="shared" si="202"/>
        <v>-96</v>
      </c>
      <c r="DI113" s="204">
        <f t="shared" si="202"/>
        <v>-96</v>
      </c>
      <c r="DJ113" s="204">
        <f t="shared" si="202"/>
        <v>-96</v>
      </c>
      <c r="DK113" s="204">
        <f t="shared" si="202"/>
        <v>-96</v>
      </c>
      <c r="DL113" s="204">
        <f t="shared" si="202"/>
        <v>-96</v>
      </c>
      <c r="DM113" s="204">
        <f t="shared" si="202"/>
        <v>-96</v>
      </c>
      <c r="DN113" s="204">
        <f t="shared" si="202"/>
        <v>-96</v>
      </c>
      <c r="DO113" s="204">
        <f t="shared" si="202"/>
        <v>-96</v>
      </c>
      <c r="DP113" s="204">
        <f t="shared" si="202"/>
        <v>-96</v>
      </c>
      <c r="DQ113" s="204">
        <f t="shared" si="202"/>
        <v>-96</v>
      </c>
      <c r="DR113" s="204">
        <f t="shared" si="202"/>
        <v>-96</v>
      </c>
      <c r="DS113" s="204">
        <f t="shared" si="202"/>
        <v>-96</v>
      </c>
      <c r="DT113" s="204">
        <f t="shared" si="202"/>
        <v>-96</v>
      </c>
      <c r="DU113" s="204">
        <f t="shared" si="202"/>
        <v>-96</v>
      </c>
      <c r="DV113" s="204">
        <f t="shared" si="202"/>
        <v>-96</v>
      </c>
      <c r="DW113" s="204">
        <f t="shared" si="202"/>
        <v>-96</v>
      </c>
      <c r="DX113" s="204">
        <f t="shared" si="202"/>
        <v>-96</v>
      </c>
      <c r="DY113" s="204">
        <f t="shared" si="202"/>
        <v>-96</v>
      </c>
      <c r="DZ113" s="204">
        <f t="shared" si="202"/>
        <v>-96</v>
      </c>
      <c r="EA113" s="204">
        <f t="shared" si="202"/>
        <v>-96</v>
      </c>
      <c r="EB113" s="204">
        <f t="shared" si="202"/>
        <v>-96</v>
      </c>
      <c r="EC113" s="204">
        <f t="shared" si="202"/>
        <v>-96</v>
      </c>
      <c r="ED113" s="204">
        <f t="shared" si="202"/>
        <v>-96</v>
      </c>
      <c r="EE113" s="204">
        <f t="shared" si="202"/>
        <v>-96</v>
      </c>
      <c r="EF113" s="204">
        <f t="shared" si="202"/>
        <v>-96</v>
      </c>
      <c r="EG113" s="204">
        <f t="shared" ref="EG113:ET113" si="203">PV($F67,EG$9,1,0)+(PV($J$6,$N$5-(EG$9),1,0)/($J$6+1)^EG$9)</f>
        <v>-96</v>
      </c>
      <c r="EH113" s="204">
        <f t="shared" si="203"/>
        <v>-96</v>
      </c>
      <c r="EI113" s="204">
        <f t="shared" si="203"/>
        <v>-96</v>
      </c>
      <c r="EJ113" s="204">
        <f t="shared" si="203"/>
        <v>-96</v>
      </c>
      <c r="EK113" s="204">
        <f t="shared" si="203"/>
        <v>-96</v>
      </c>
      <c r="EL113" s="204">
        <f t="shared" si="203"/>
        <v>-96</v>
      </c>
      <c r="EM113" s="204">
        <f t="shared" si="203"/>
        <v>-96</v>
      </c>
      <c r="EN113" s="204">
        <f t="shared" si="203"/>
        <v>-96</v>
      </c>
      <c r="EO113" s="204">
        <f t="shared" si="203"/>
        <v>-96</v>
      </c>
      <c r="EP113" s="204">
        <f t="shared" si="203"/>
        <v>-96</v>
      </c>
      <c r="EQ113" s="204">
        <f t="shared" si="203"/>
        <v>-96</v>
      </c>
      <c r="ER113" s="204">
        <f t="shared" si="203"/>
        <v>-96</v>
      </c>
      <c r="ES113" s="204">
        <f t="shared" si="203"/>
        <v>-96</v>
      </c>
      <c r="ET113" s="204">
        <f t="shared" si="203"/>
        <v>-96</v>
      </c>
      <c r="FF113" s="6" t="s">
        <v>3033</v>
      </c>
      <c r="FG113" s="696">
        <v>2.5000000000000001E-2</v>
      </c>
      <c r="FH113" s="696">
        <v>120</v>
      </c>
      <c r="FI113" s="696">
        <v>1.61E-2</v>
      </c>
      <c r="FJ113" s="255">
        <v>1.43E-2</v>
      </c>
      <c r="FK113" s="71">
        <f t="shared" si="92"/>
        <v>2.5476190476190477E-4</v>
      </c>
      <c r="FL113" t="e">
        <f>VLOOKUP(FF113,'SIMULADOR COM SALDO'!$BX$22:$CK$1000,13,FALSE)</f>
        <v>#N/A</v>
      </c>
    </row>
    <row r="114" spans="7:168" x14ac:dyDescent="0.25">
      <c r="G114" s="103">
        <f t="shared" si="45"/>
        <v>-44.770373601250576</v>
      </c>
      <c r="H114" s="204">
        <f t="shared" si="46"/>
        <v>-44.806371604802436</v>
      </c>
      <c r="I114" s="204">
        <f t="shared" ref="I114:BT114" si="204">PV($F68,I$9,1,0)+(PV($J$6,$N$5-(I$9),1,0)/($J$6+1)^I$9)</f>
        <v>-44.859879708437063</v>
      </c>
      <c r="J114" s="204">
        <f t="shared" si="204"/>
        <v>-44.930579859281075</v>
      </c>
      <c r="K114" s="204">
        <f t="shared" si="204"/>
        <v>-45.018159781562872</v>
      </c>
      <c r="L114" s="204">
        <f t="shared" si="204"/>
        <v>-45.122312871677551</v>
      </c>
      <c r="M114" s="204">
        <f t="shared" si="204"/>
        <v>-45.24273809515784</v>
      </c>
      <c r="N114" s="204">
        <f t="shared" si="204"/>
        <v>-45.379139885516487</v>
      </c>
      <c r="O114" s="204">
        <f t="shared" si="204"/>
        <v>-45.53122804492606</v>
      </c>
      <c r="P114" s="204">
        <f t="shared" si="204"/>
        <v>-45.698717646702761</v>
      </c>
      <c r="Q114" s="204">
        <f t="shared" si="204"/>
        <v>-45.881328939561598</v>
      </c>
      <c r="R114" s="204">
        <f t="shared" si="204"/>
        <v>-46.078787253610507</v>
      </c>
      <c r="S114" s="204">
        <f t="shared" si="204"/>
        <v>-46.290822908052249</v>
      </c>
      <c r="T114" s="204">
        <f t="shared" si="204"/>
        <v>-46.517171120562551</v>
      </c>
      <c r="U114" s="204">
        <f t="shared" si="204"/>
        <v>-46.75757191831444</v>
      </c>
      <c r="V114" s="204">
        <f t="shared" si="204"/>
        <v>-47.011770050618708</v>
      </c>
      <c r="W114" s="204">
        <f t="shared" si="204"/>
        <v>-47.279514903151124</v>
      </c>
      <c r="X114" s="204">
        <f t="shared" si="204"/>
        <v>-47.560560413737676</v>
      </c>
      <c r="Y114" s="204">
        <f t="shared" si="204"/>
        <v>-47.854664989669509</v>
      </c>
      <c r="Z114" s="204">
        <f t="shared" si="204"/>
        <v>-48.161591426519607</v>
      </c>
      <c r="AA114" s="204">
        <f t="shared" si="204"/>
        <v>-48.481106828434278</v>
      </c>
      <c r="AB114" s="204">
        <f t="shared" si="204"/>
        <v>-48.81298252987235</v>
      </c>
      <c r="AC114" s="204">
        <f t="shared" si="204"/>
        <v>-49.156994018765893</v>
      </c>
      <c r="AD114" s="204">
        <f t="shared" si="204"/>
        <v>-49.51292086107668</v>
      </c>
      <c r="AE114" s="204">
        <f t="shared" si="204"/>
        <v>-49.880546626723003</v>
      </c>
      <c r="AF114" s="204">
        <f t="shared" si="204"/>
        <v>-50.259658816851953</v>
      </c>
      <c r="AG114" s="204">
        <f t="shared" si="204"/>
        <v>-50.650048792432663</v>
      </c>
      <c r="AH114" s="204">
        <f t="shared" si="204"/>
        <v>-51.051511704146662</v>
      </c>
      <c r="AI114" s="204">
        <f t="shared" si="204"/>
        <v>-51.463846423551665</v>
      </c>
      <c r="AJ114" s="204">
        <f t="shared" si="204"/>
        <v>-51.886855475495707</v>
      </c>
      <c r="AK114" s="204">
        <f t="shared" si="204"/>
        <v>-52.320344971758878</v>
      </c>
      <c r="AL114" s="204">
        <f t="shared" si="204"/>
        <v>-52.76412454590043</v>
      </c>
      <c r="AM114" s="204">
        <f t="shared" si="204"/>
        <v>-53.218007289289282</v>
      </c>
      <c r="AN114" s="204">
        <f t="shared" si="204"/>
        <v>-53.681809688296511</v>
      </c>
      <c r="AO114" s="204">
        <f t="shared" si="204"/>
        <v>-54.155351562628589</v>
      </c>
      <c r="AP114" s="204">
        <f t="shared" si="204"/>
        <v>-54.638456004780849</v>
      </c>
      <c r="AQ114" s="204">
        <f t="shared" si="204"/>
        <v>-55.130949320590631</v>
      </c>
      <c r="AR114" s="204">
        <f t="shared" si="204"/>
        <v>-55.632660970870248</v>
      </c>
      <c r="AS114" s="204">
        <f t="shared" si="204"/>
        <v>-56.143423514100107</v>
      </c>
      <c r="AT114" s="204">
        <f t="shared" si="204"/>
        <v>-56.663072550162802</v>
      </c>
      <c r="AU114" s="204">
        <f t="shared" si="204"/>
        <v>-57.191446665099171</v>
      </c>
      <c r="AV114" s="204">
        <f t="shared" si="204"/>
        <v>-57.728387376867829</v>
      </c>
      <c r="AW114" s="204">
        <f t="shared" si="204"/>
        <v>-58.273739082089882</v>
      </c>
      <c r="AX114" s="204">
        <f t="shared" si="204"/>
        <v>-58.827349003761015</v>
      </c>
      <c r="AY114" s="204">
        <f t="shared" si="204"/>
        <v>-59.389067139913323</v>
      </c>
      <c r="AZ114" s="204">
        <f t="shared" si="204"/>
        <v>-59.95874621320965</v>
      </c>
      <c r="BA114" s="204">
        <f t="shared" si="204"/>
        <v>-60.53624162145347</v>
      </c>
      <c r="BB114" s="204">
        <f t="shared" si="204"/>
        <v>-61.121411388997728</v>
      </c>
      <c r="BC114" s="204">
        <f t="shared" si="204"/>
        <v>-61.714116119036262</v>
      </c>
      <c r="BD114" s="204">
        <f t="shared" si="204"/>
        <v>-62.314218946761883</v>
      </c>
      <c r="BE114" s="204">
        <f t="shared" si="204"/>
        <v>-62.921585493375147</v>
      </c>
      <c r="BF114" s="204">
        <f t="shared" si="204"/>
        <v>-63.536083820928674</v>
      </c>
      <c r="BG114" s="204">
        <f t="shared" si="204"/>
        <v>-64.157584387991548</v>
      </c>
      <c r="BH114" s="204">
        <f t="shared" si="204"/>
        <v>-64.785960006119055</v>
      </c>
      <c r="BI114" s="204">
        <f t="shared" si="204"/>
        <v>-65.421085797113165</v>
      </c>
      <c r="BJ114" s="204">
        <f t="shared" si="204"/>
        <v>-66.062839151059279</v>
      </c>
      <c r="BK114" s="204">
        <f t="shared" si="204"/>
        <v>-66.711099685125177</v>
      </c>
      <c r="BL114" s="204">
        <f t="shared" si="204"/>
        <v>-67.365749203108379</v>
      </c>
      <c r="BM114" s="204">
        <f t="shared" si="204"/>
        <v>-68.026671655718303</v>
      </c>
      <c r="BN114" s="204">
        <f t="shared" si="204"/>
        <v>-68.693753101579787</v>
      </c>
      <c r="BO114" s="204">
        <f t="shared" si="204"/>
        <v>-69.366881668945013</v>
      </c>
      <c r="BP114" s="204">
        <f t="shared" si="204"/>
        <v>-70.04594751810086</v>
      </c>
      <c r="BQ114" s="204">
        <f t="shared" si="204"/>
        <v>-70.730842804459073</v>
      </c>
      <c r="BR114" s="204">
        <f t="shared" si="204"/>
        <v>-71.421461642316928</v>
      </c>
      <c r="BS114" s="204">
        <f t="shared" si="204"/>
        <v>-72.117700069276026</v>
      </c>
      <c r="BT114" s="204">
        <f t="shared" si="204"/>
        <v>-72.819456011307551</v>
      </c>
      <c r="BU114" s="204">
        <f t="shared" ref="BU114:EF114" si="205">PV($F68,BU$9,1,0)+(PV($J$6,$N$5-(BU$9),1,0)/($J$6+1)^BU$9)</f>
        <v>-73.526629248451897</v>
      </c>
      <c r="BV114" s="204">
        <f t="shared" si="205"/>
        <v>-74.239121381141487</v>
      </c>
      <c r="BW114" s="204">
        <f t="shared" si="205"/>
        <v>-74.956835797135199</v>
      </c>
      <c r="BX114" s="204">
        <f t="shared" si="205"/>
        <v>-75.679677639053423</v>
      </c>
      <c r="BY114" s="204">
        <f t="shared" si="205"/>
        <v>-76.407553772502823</v>
      </c>
      <c r="BZ114" s="204">
        <f t="shared" si="205"/>
        <v>-77.140372754780103</v>
      </c>
      <c r="CA114" s="204">
        <f t="shared" si="205"/>
        <v>-77.878044804144153</v>
      </c>
      <c r="CB114" s="204">
        <f t="shared" si="205"/>
        <v>-78.620481769646403</v>
      </c>
      <c r="CC114" s="204">
        <f t="shared" si="205"/>
        <v>-79.36759710150919</v>
      </c>
      <c r="CD114" s="204">
        <f t="shared" si="205"/>
        <v>-80.119305822042122</v>
      </c>
      <c r="CE114" s="204">
        <f t="shared" si="205"/>
        <v>-80.87552449708673</v>
      </c>
      <c r="CF114" s="204">
        <f t="shared" si="205"/>
        <v>-81.636171207979814</v>
      </c>
      <c r="CG114" s="204">
        <f t="shared" si="205"/>
        <v>-82.401165524026041</v>
      </c>
      <c r="CH114" s="204">
        <f t="shared" si="205"/>
        <v>-83.170428475470544</v>
      </c>
      <c r="CI114" s="204">
        <f t="shared" si="205"/>
        <v>-83.943882526962454</v>
      </c>
      <c r="CJ114" s="204">
        <f t="shared" si="205"/>
        <v>-84.721451551500408</v>
      </c>
      <c r="CK114" s="204">
        <f t="shared" si="205"/>
        <v>-85.503060804851359</v>
      </c>
      <c r="CL114" s="204">
        <f t="shared" si="205"/>
        <v>-86.288636900434042</v>
      </c>
      <c r="CM114" s="204">
        <f t="shared" si="205"/>
        <v>-87.07810778465857</v>
      </c>
      <c r="CN114" s="204">
        <f t="shared" si="205"/>
        <v>-87.871402712714072</v>
      </c>
      <c r="CO114" s="204">
        <f t="shared" si="205"/>
        <v>-88.668452224796056</v>
      </c>
      <c r="CP114" s="204">
        <f t="shared" si="205"/>
        <v>-89.469188122765601</v>
      </c>
      <c r="CQ114" s="204">
        <f t="shared" si="205"/>
        <v>-90.273543447232512</v>
      </c>
      <c r="CR114" s="204">
        <f t="shared" si="205"/>
        <v>-91.081452455054702</v>
      </c>
      <c r="CS114" s="204">
        <f t="shared" si="205"/>
        <v>-91.892850597246365</v>
      </c>
      <c r="CT114" s="204">
        <f t="shared" si="205"/>
        <v>-92.707674497287258</v>
      </c>
      <c r="CU114" s="204">
        <f t="shared" si="205"/>
        <v>-93.525861929826178</v>
      </c>
      <c r="CV114" s="204">
        <f t="shared" si="205"/>
        <v>-94.347351799771133</v>
      </c>
      <c r="CW114" s="204">
        <f t="shared" si="205"/>
        <v>-95.172084121759283</v>
      </c>
      <c r="CX114" s="204">
        <f t="shared" si="205"/>
        <v>-96</v>
      </c>
      <c r="CY114" s="204">
        <f t="shared" si="205"/>
        <v>-96</v>
      </c>
      <c r="CZ114" s="204">
        <f t="shared" si="205"/>
        <v>-96</v>
      </c>
      <c r="DA114" s="204">
        <f t="shared" si="205"/>
        <v>-96</v>
      </c>
      <c r="DB114" s="204">
        <f t="shared" si="205"/>
        <v>-96</v>
      </c>
      <c r="DC114" s="204">
        <f t="shared" si="205"/>
        <v>-96</v>
      </c>
      <c r="DD114" s="204">
        <f t="shared" si="205"/>
        <v>-96</v>
      </c>
      <c r="DE114" s="204">
        <f t="shared" si="205"/>
        <v>-96</v>
      </c>
      <c r="DF114" s="204">
        <f t="shared" si="205"/>
        <v>-96</v>
      </c>
      <c r="DG114" s="204">
        <f t="shared" si="205"/>
        <v>-96</v>
      </c>
      <c r="DH114" s="204">
        <f t="shared" si="205"/>
        <v>-96</v>
      </c>
      <c r="DI114" s="204">
        <f t="shared" si="205"/>
        <v>-96</v>
      </c>
      <c r="DJ114" s="204">
        <f t="shared" si="205"/>
        <v>-96</v>
      </c>
      <c r="DK114" s="204">
        <f t="shared" si="205"/>
        <v>-96</v>
      </c>
      <c r="DL114" s="204">
        <f t="shared" si="205"/>
        <v>-96</v>
      </c>
      <c r="DM114" s="204">
        <f t="shared" si="205"/>
        <v>-96</v>
      </c>
      <c r="DN114" s="204">
        <f t="shared" si="205"/>
        <v>-96</v>
      </c>
      <c r="DO114" s="204">
        <f t="shared" si="205"/>
        <v>-96</v>
      </c>
      <c r="DP114" s="204">
        <f t="shared" si="205"/>
        <v>-96</v>
      </c>
      <c r="DQ114" s="204">
        <f t="shared" si="205"/>
        <v>-96</v>
      </c>
      <c r="DR114" s="204">
        <f t="shared" si="205"/>
        <v>-96</v>
      </c>
      <c r="DS114" s="204">
        <f t="shared" si="205"/>
        <v>-96</v>
      </c>
      <c r="DT114" s="204">
        <f t="shared" si="205"/>
        <v>-96</v>
      </c>
      <c r="DU114" s="204">
        <f t="shared" si="205"/>
        <v>-96</v>
      </c>
      <c r="DV114" s="204">
        <f t="shared" si="205"/>
        <v>-96</v>
      </c>
      <c r="DW114" s="204">
        <f t="shared" si="205"/>
        <v>-96</v>
      </c>
      <c r="DX114" s="204">
        <f t="shared" si="205"/>
        <v>-96</v>
      </c>
      <c r="DY114" s="204">
        <f t="shared" si="205"/>
        <v>-96</v>
      </c>
      <c r="DZ114" s="204">
        <f t="shared" si="205"/>
        <v>-96</v>
      </c>
      <c r="EA114" s="204">
        <f t="shared" si="205"/>
        <v>-96</v>
      </c>
      <c r="EB114" s="204">
        <f t="shared" si="205"/>
        <v>-96</v>
      </c>
      <c r="EC114" s="204">
        <f t="shared" si="205"/>
        <v>-96</v>
      </c>
      <c r="ED114" s="204">
        <f t="shared" si="205"/>
        <v>-96</v>
      </c>
      <c r="EE114" s="204">
        <f t="shared" si="205"/>
        <v>-96</v>
      </c>
      <c r="EF114" s="204">
        <f t="shared" si="205"/>
        <v>-96</v>
      </c>
      <c r="EG114" s="204">
        <f t="shared" ref="EG114:ET114" si="206">PV($F68,EG$9,1,0)+(PV($J$6,$N$5-(EG$9),1,0)/($J$6+1)^EG$9)</f>
        <v>-96</v>
      </c>
      <c r="EH114" s="204">
        <f t="shared" si="206"/>
        <v>-96</v>
      </c>
      <c r="EI114" s="204">
        <f t="shared" si="206"/>
        <v>-96</v>
      </c>
      <c r="EJ114" s="204">
        <f t="shared" si="206"/>
        <v>-96</v>
      </c>
      <c r="EK114" s="204">
        <f t="shared" si="206"/>
        <v>-96</v>
      </c>
      <c r="EL114" s="204">
        <f t="shared" si="206"/>
        <v>-96</v>
      </c>
      <c r="EM114" s="204">
        <f t="shared" si="206"/>
        <v>-96</v>
      </c>
      <c r="EN114" s="204">
        <f t="shared" si="206"/>
        <v>-96</v>
      </c>
      <c r="EO114" s="204">
        <f t="shared" si="206"/>
        <v>-96</v>
      </c>
      <c r="EP114" s="204">
        <f t="shared" si="206"/>
        <v>-96</v>
      </c>
      <c r="EQ114" s="204">
        <f t="shared" si="206"/>
        <v>-96</v>
      </c>
      <c r="ER114" s="204">
        <f t="shared" si="206"/>
        <v>-96</v>
      </c>
      <c r="ES114" s="204">
        <f t="shared" si="206"/>
        <v>-96</v>
      </c>
      <c r="ET114" s="204">
        <f t="shared" si="206"/>
        <v>-96</v>
      </c>
      <c r="FF114" s="6" t="s">
        <v>563</v>
      </c>
      <c r="FG114" s="696">
        <v>2.5000000000000001E-2</v>
      </c>
      <c r="FH114" s="696">
        <v>96</v>
      </c>
      <c r="FI114" s="696">
        <v>2.2099999999999998E-2</v>
      </c>
      <c r="FJ114" s="255">
        <v>1.5900000000000001E-2</v>
      </c>
      <c r="FK114" s="71">
        <f t="shared" si="92"/>
        <v>2.1666666666666668E-4</v>
      </c>
      <c r="FL114" t="e">
        <f>VLOOKUP(FF114,'SIMULADOR COM SALDO'!$BX$22:$CK$1000,13,FALSE)</f>
        <v>#N/A</v>
      </c>
    </row>
    <row r="115" spans="7:168" x14ac:dyDescent="0.25">
      <c r="G115" s="103">
        <f t="shared" si="45"/>
        <v>-44.770373601250576</v>
      </c>
      <c r="H115" s="204">
        <f t="shared" si="46"/>
        <v>-44.806371604802436</v>
      </c>
      <c r="I115" s="204">
        <f t="shared" ref="I115:BT115" si="207">PV($F69,I$9,1,0)+(PV($J$6,$N$5-(I$9),1,0)/($J$6+1)^I$9)</f>
        <v>-44.859879708437063</v>
      </c>
      <c r="J115" s="204">
        <f t="shared" si="207"/>
        <v>-44.930579859281075</v>
      </c>
      <c r="K115" s="204">
        <f t="shared" si="207"/>
        <v>-45.018159781562872</v>
      </c>
      <c r="L115" s="204">
        <f t="shared" si="207"/>
        <v>-45.122312871677551</v>
      </c>
      <c r="M115" s="204">
        <f t="shared" si="207"/>
        <v>-45.24273809515784</v>
      </c>
      <c r="N115" s="204">
        <f t="shared" si="207"/>
        <v>-45.379139885516487</v>
      </c>
      <c r="O115" s="204">
        <f t="shared" si="207"/>
        <v>-45.53122804492606</v>
      </c>
      <c r="P115" s="204">
        <f t="shared" si="207"/>
        <v>-45.698717646702761</v>
      </c>
      <c r="Q115" s="204">
        <f t="shared" si="207"/>
        <v>-45.881328939561598</v>
      </c>
      <c r="R115" s="204">
        <f t="shared" si="207"/>
        <v>-46.078787253610507</v>
      </c>
      <c r="S115" s="204">
        <f t="shared" si="207"/>
        <v>-46.290822908052249</v>
      </c>
      <c r="T115" s="204">
        <f t="shared" si="207"/>
        <v>-46.517171120562551</v>
      </c>
      <c r="U115" s="204">
        <f t="shared" si="207"/>
        <v>-46.75757191831444</v>
      </c>
      <c r="V115" s="204">
        <f t="shared" si="207"/>
        <v>-47.011770050618708</v>
      </c>
      <c r="W115" s="204">
        <f t="shared" si="207"/>
        <v>-47.279514903151124</v>
      </c>
      <c r="X115" s="204">
        <f t="shared" si="207"/>
        <v>-47.560560413737676</v>
      </c>
      <c r="Y115" s="204">
        <f t="shared" si="207"/>
        <v>-47.854664989669509</v>
      </c>
      <c r="Z115" s="204">
        <f t="shared" si="207"/>
        <v>-48.161591426519607</v>
      </c>
      <c r="AA115" s="204">
        <f t="shared" si="207"/>
        <v>-48.481106828434278</v>
      </c>
      <c r="AB115" s="204">
        <f t="shared" si="207"/>
        <v>-48.81298252987235</v>
      </c>
      <c r="AC115" s="204">
        <f t="shared" si="207"/>
        <v>-49.156994018765893</v>
      </c>
      <c r="AD115" s="204">
        <f t="shared" si="207"/>
        <v>-49.51292086107668</v>
      </c>
      <c r="AE115" s="204">
        <f t="shared" si="207"/>
        <v>-49.880546626723003</v>
      </c>
      <c r="AF115" s="204">
        <f t="shared" si="207"/>
        <v>-50.259658816851953</v>
      </c>
      <c r="AG115" s="204">
        <f t="shared" si="207"/>
        <v>-50.650048792432663</v>
      </c>
      <c r="AH115" s="204">
        <f t="shared" si="207"/>
        <v>-51.051511704146662</v>
      </c>
      <c r="AI115" s="204">
        <f t="shared" si="207"/>
        <v>-51.463846423551665</v>
      </c>
      <c r="AJ115" s="204">
        <f t="shared" si="207"/>
        <v>-51.886855475495707</v>
      </c>
      <c r="AK115" s="204">
        <f t="shared" si="207"/>
        <v>-52.320344971758878</v>
      </c>
      <c r="AL115" s="204">
        <f t="shared" si="207"/>
        <v>-52.76412454590043</v>
      </c>
      <c r="AM115" s="204">
        <f t="shared" si="207"/>
        <v>-53.218007289289282</v>
      </c>
      <c r="AN115" s="204">
        <f t="shared" si="207"/>
        <v>-53.681809688296511</v>
      </c>
      <c r="AO115" s="204">
        <f t="shared" si="207"/>
        <v>-54.155351562628589</v>
      </c>
      <c r="AP115" s="204">
        <f t="shared" si="207"/>
        <v>-54.638456004780849</v>
      </c>
      <c r="AQ115" s="204">
        <f t="shared" si="207"/>
        <v>-55.130949320590631</v>
      </c>
      <c r="AR115" s="204">
        <f t="shared" si="207"/>
        <v>-55.632660970870248</v>
      </c>
      <c r="AS115" s="204">
        <f t="shared" si="207"/>
        <v>-56.143423514100107</v>
      </c>
      <c r="AT115" s="204">
        <f t="shared" si="207"/>
        <v>-56.663072550162802</v>
      </c>
      <c r="AU115" s="204">
        <f t="shared" si="207"/>
        <v>-57.191446665099171</v>
      </c>
      <c r="AV115" s="204">
        <f t="shared" si="207"/>
        <v>-57.728387376867829</v>
      </c>
      <c r="AW115" s="204">
        <f t="shared" si="207"/>
        <v>-58.273739082089882</v>
      </c>
      <c r="AX115" s="204">
        <f t="shared" si="207"/>
        <v>-58.827349003761015</v>
      </c>
      <c r="AY115" s="204">
        <f t="shared" si="207"/>
        <v>-59.389067139913323</v>
      </c>
      <c r="AZ115" s="204">
        <f t="shared" si="207"/>
        <v>-59.95874621320965</v>
      </c>
      <c r="BA115" s="204">
        <f t="shared" si="207"/>
        <v>-60.53624162145347</v>
      </c>
      <c r="BB115" s="204">
        <f t="shared" si="207"/>
        <v>-61.121411388997728</v>
      </c>
      <c r="BC115" s="204">
        <f t="shared" si="207"/>
        <v>-61.714116119036262</v>
      </c>
      <c r="BD115" s="204">
        <f t="shared" si="207"/>
        <v>-62.314218946761883</v>
      </c>
      <c r="BE115" s="204">
        <f t="shared" si="207"/>
        <v>-62.921585493375147</v>
      </c>
      <c r="BF115" s="204">
        <f t="shared" si="207"/>
        <v>-63.536083820928674</v>
      </c>
      <c r="BG115" s="204">
        <f t="shared" si="207"/>
        <v>-64.157584387991548</v>
      </c>
      <c r="BH115" s="204">
        <f t="shared" si="207"/>
        <v>-64.785960006119055</v>
      </c>
      <c r="BI115" s="204">
        <f t="shared" si="207"/>
        <v>-65.421085797113165</v>
      </c>
      <c r="BJ115" s="204">
        <f t="shared" si="207"/>
        <v>-66.062839151059279</v>
      </c>
      <c r="BK115" s="204">
        <f t="shared" si="207"/>
        <v>-66.711099685125177</v>
      </c>
      <c r="BL115" s="204">
        <f t="shared" si="207"/>
        <v>-67.365749203108379</v>
      </c>
      <c r="BM115" s="204">
        <f t="shared" si="207"/>
        <v>-68.026671655718303</v>
      </c>
      <c r="BN115" s="204">
        <f t="shared" si="207"/>
        <v>-68.693753101579787</v>
      </c>
      <c r="BO115" s="204">
        <f t="shared" si="207"/>
        <v>-69.366881668945013</v>
      </c>
      <c r="BP115" s="204">
        <f t="shared" si="207"/>
        <v>-70.04594751810086</v>
      </c>
      <c r="BQ115" s="204">
        <f t="shared" si="207"/>
        <v>-70.730842804459073</v>
      </c>
      <c r="BR115" s="204">
        <f t="shared" si="207"/>
        <v>-71.421461642316928</v>
      </c>
      <c r="BS115" s="204">
        <f t="shared" si="207"/>
        <v>-72.117700069276026</v>
      </c>
      <c r="BT115" s="204">
        <f t="shared" si="207"/>
        <v>-72.819456011307551</v>
      </c>
      <c r="BU115" s="204">
        <f t="shared" ref="BU115:EF115" si="208">PV($F69,BU$9,1,0)+(PV($J$6,$N$5-(BU$9),1,0)/($J$6+1)^BU$9)</f>
        <v>-73.526629248451897</v>
      </c>
      <c r="BV115" s="204">
        <f t="shared" si="208"/>
        <v>-74.239121381141487</v>
      </c>
      <c r="BW115" s="204">
        <f t="shared" si="208"/>
        <v>-74.956835797135199</v>
      </c>
      <c r="BX115" s="204">
        <f t="shared" si="208"/>
        <v>-75.679677639053423</v>
      </c>
      <c r="BY115" s="204">
        <f t="shared" si="208"/>
        <v>-76.407553772502823</v>
      </c>
      <c r="BZ115" s="204">
        <f t="shared" si="208"/>
        <v>-77.140372754780103</v>
      </c>
      <c r="CA115" s="204">
        <f t="shared" si="208"/>
        <v>-77.878044804144153</v>
      </c>
      <c r="CB115" s="204">
        <f t="shared" si="208"/>
        <v>-78.620481769646403</v>
      </c>
      <c r="CC115" s="204">
        <f t="shared" si="208"/>
        <v>-79.36759710150919</v>
      </c>
      <c r="CD115" s="204">
        <f t="shared" si="208"/>
        <v>-80.119305822042122</v>
      </c>
      <c r="CE115" s="204">
        <f t="shared" si="208"/>
        <v>-80.87552449708673</v>
      </c>
      <c r="CF115" s="204">
        <f t="shared" si="208"/>
        <v>-81.636171207979814</v>
      </c>
      <c r="CG115" s="204">
        <f t="shared" si="208"/>
        <v>-82.401165524026041</v>
      </c>
      <c r="CH115" s="204">
        <f t="shared" si="208"/>
        <v>-83.170428475470544</v>
      </c>
      <c r="CI115" s="204">
        <f t="shared" si="208"/>
        <v>-83.943882526962454</v>
      </c>
      <c r="CJ115" s="204">
        <f t="shared" si="208"/>
        <v>-84.721451551500408</v>
      </c>
      <c r="CK115" s="204">
        <f t="shared" si="208"/>
        <v>-85.503060804851359</v>
      </c>
      <c r="CL115" s="204">
        <f t="shared" si="208"/>
        <v>-86.288636900434042</v>
      </c>
      <c r="CM115" s="204">
        <f t="shared" si="208"/>
        <v>-87.07810778465857</v>
      </c>
      <c r="CN115" s="204">
        <f t="shared" si="208"/>
        <v>-87.871402712714072</v>
      </c>
      <c r="CO115" s="204">
        <f t="shared" si="208"/>
        <v>-88.668452224796056</v>
      </c>
      <c r="CP115" s="204">
        <f t="shared" si="208"/>
        <v>-89.469188122765601</v>
      </c>
      <c r="CQ115" s="204">
        <f t="shared" si="208"/>
        <v>-90.273543447232512</v>
      </c>
      <c r="CR115" s="204">
        <f t="shared" si="208"/>
        <v>-91.081452455054702</v>
      </c>
      <c r="CS115" s="204">
        <f t="shared" si="208"/>
        <v>-91.892850597246365</v>
      </c>
      <c r="CT115" s="204">
        <f t="shared" si="208"/>
        <v>-92.707674497287258</v>
      </c>
      <c r="CU115" s="204">
        <f t="shared" si="208"/>
        <v>-93.525861929826178</v>
      </c>
      <c r="CV115" s="204">
        <f t="shared" si="208"/>
        <v>-94.347351799771133</v>
      </c>
      <c r="CW115" s="204">
        <f t="shared" si="208"/>
        <v>-95.172084121759283</v>
      </c>
      <c r="CX115" s="204">
        <f t="shared" si="208"/>
        <v>-96</v>
      </c>
      <c r="CY115" s="204">
        <f t="shared" si="208"/>
        <v>-96</v>
      </c>
      <c r="CZ115" s="204">
        <f t="shared" si="208"/>
        <v>-96</v>
      </c>
      <c r="DA115" s="204">
        <f t="shared" si="208"/>
        <v>-96</v>
      </c>
      <c r="DB115" s="204">
        <f t="shared" si="208"/>
        <v>-96</v>
      </c>
      <c r="DC115" s="204">
        <f t="shared" si="208"/>
        <v>-96</v>
      </c>
      <c r="DD115" s="204">
        <f t="shared" si="208"/>
        <v>-96</v>
      </c>
      <c r="DE115" s="204">
        <f t="shared" si="208"/>
        <v>-96</v>
      </c>
      <c r="DF115" s="204">
        <f t="shared" si="208"/>
        <v>-96</v>
      </c>
      <c r="DG115" s="204">
        <f t="shared" si="208"/>
        <v>-96</v>
      </c>
      <c r="DH115" s="204">
        <f t="shared" si="208"/>
        <v>-96</v>
      </c>
      <c r="DI115" s="204">
        <f t="shared" si="208"/>
        <v>-96</v>
      </c>
      <c r="DJ115" s="204">
        <f t="shared" si="208"/>
        <v>-96</v>
      </c>
      <c r="DK115" s="204">
        <f t="shared" si="208"/>
        <v>-96</v>
      </c>
      <c r="DL115" s="204">
        <f t="shared" si="208"/>
        <v>-96</v>
      </c>
      <c r="DM115" s="204">
        <f t="shared" si="208"/>
        <v>-96</v>
      </c>
      <c r="DN115" s="204">
        <f t="shared" si="208"/>
        <v>-96</v>
      </c>
      <c r="DO115" s="204">
        <f t="shared" si="208"/>
        <v>-96</v>
      </c>
      <c r="DP115" s="204">
        <f t="shared" si="208"/>
        <v>-96</v>
      </c>
      <c r="DQ115" s="204">
        <f t="shared" si="208"/>
        <v>-96</v>
      </c>
      <c r="DR115" s="204">
        <f t="shared" si="208"/>
        <v>-96</v>
      </c>
      <c r="DS115" s="204">
        <f t="shared" si="208"/>
        <v>-96</v>
      </c>
      <c r="DT115" s="204">
        <f t="shared" si="208"/>
        <v>-96</v>
      </c>
      <c r="DU115" s="204">
        <f t="shared" si="208"/>
        <v>-96</v>
      </c>
      <c r="DV115" s="204">
        <f t="shared" si="208"/>
        <v>-96</v>
      </c>
      <c r="DW115" s="204">
        <f t="shared" si="208"/>
        <v>-96</v>
      </c>
      <c r="DX115" s="204">
        <f t="shared" si="208"/>
        <v>-96</v>
      </c>
      <c r="DY115" s="204">
        <f t="shared" si="208"/>
        <v>-96</v>
      </c>
      <c r="DZ115" s="204">
        <f t="shared" si="208"/>
        <v>-96</v>
      </c>
      <c r="EA115" s="204">
        <f t="shared" si="208"/>
        <v>-96</v>
      </c>
      <c r="EB115" s="204">
        <f t="shared" si="208"/>
        <v>-96</v>
      </c>
      <c r="EC115" s="204">
        <f t="shared" si="208"/>
        <v>-96</v>
      </c>
      <c r="ED115" s="204">
        <f t="shared" si="208"/>
        <v>-96</v>
      </c>
      <c r="EE115" s="204">
        <f t="shared" si="208"/>
        <v>-96</v>
      </c>
      <c r="EF115" s="204">
        <f t="shared" si="208"/>
        <v>-96</v>
      </c>
      <c r="EG115" s="204">
        <f t="shared" ref="EG115:ET115" si="209">PV($F69,EG$9,1,0)+(PV($J$6,$N$5-(EG$9),1,0)/($J$6+1)^EG$9)</f>
        <v>-96</v>
      </c>
      <c r="EH115" s="204">
        <f t="shared" si="209"/>
        <v>-96</v>
      </c>
      <c r="EI115" s="204">
        <f t="shared" si="209"/>
        <v>-96</v>
      </c>
      <c r="EJ115" s="204">
        <f t="shared" si="209"/>
        <v>-96</v>
      </c>
      <c r="EK115" s="204">
        <f t="shared" si="209"/>
        <v>-96</v>
      </c>
      <c r="EL115" s="204">
        <f t="shared" si="209"/>
        <v>-96</v>
      </c>
      <c r="EM115" s="204">
        <f t="shared" si="209"/>
        <v>-96</v>
      </c>
      <c r="EN115" s="204">
        <f t="shared" si="209"/>
        <v>-96</v>
      </c>
      <c r="EO115" s="204">
        <f t="shared" si="209"/>
        <v>-96</v>
      </c>
      <c r="EP115" s="204">
        <f t="shared" si="209"/>
        <v>-96</v>
      </c>
      <c r="EQ115" s="204">
        <f t="shared" si="209"/>
        <v>-96</v>
      </c>
      <c r="ER115" s="204">
        <f t="shared" si="209"/>
        <v>-96</v>
      </c>
      <c r="ES115" s="204">
        <f t="shared" si="209"/>
        <v>-96</v>
      </c>
      <c r="ET115" s="204">
        <f t="shared" si="209"/>
        <v>-96</v>
      </c>
      <c r="FF115" s="6" t="s">
        <v>416</v>
      </c>
      <c r="FG115" s="696">
        <v>2.5000000000000001E-2</v>
      </c>
      <c r="FH115" s="696">
        <v>120</v>
      </c>
      <c r="FI115" s="696">
        <v>1.7000000000000001E-2</v>
      </c>
      <c r="FJ115" s="255">
        <v>1.4800000000000001E-2</v>
      </c>
      <c r="FK115" s="71">
        <f t="shared" si="92"/>
        <v>2.4285714285714289E-4</v>
      </c>
      <c r="FL115" t="e">
        <f>VLOOKUP(FF115,'SIMULADOR COM SALDO'!$BX$22:$CK$1000,13,FALSE)</f>
        <v>#N/A</v>
      </c>
    </row>
    <row r="116" spans="7:168" x14ac:dyDescent="0.25">
      <c r="G116" s="103">
        <f t="shared" si="45"/>
        <v>-44.770373601250576</v>
      </c>
      <c r="H116" s="204">
        <f t="shared" si="46"/>
        <v>-44.806371604802436</v>
      </c>
      <c r="I116" s="204">
        <f t="shared" ref="I116:BT116" si="210">PV($F70,I$9,1,0)+(PV($J$6,$N$5-(I$9),1,0)/($J$6+1)^I$9)</f>
        <v>-44.859879708437063</v>
      </c>
      <c r="J116" s="204">
        <f t="shared" si="210"/>
        <v>-44.930579859281075</v>
      </c>
      <c r="K116" s="204">
        <f t="shared" si="210"/>
        <v>-45.018159781562872</v>
      </c>
      <c r="L116" s="204">
        <f t="shared" si="210"/>
        <v>-45.122312871677551</v>
      </c>
      <c r="M116" s="204">
        <f t="shared" si="210"/>
        <v>-45.24273809515784</v>
      </c>
      <c r="N116" s="204">
        <f t="shared" si="210"/>
        <v>-45.379139885516487</v>
      </c>
      <c r="O116" s="204">
        <f t="shared" si="210"/>
        <v>-45.53122804492606</v>
      </c>
      <c r="P116" s="204">
        <f t="shared" si="210"/>
        <v>-45.698717646702761</v>
      </c>
      <c r="Q116" s="204">
        <f t="shared" si="210"/>
        <v>-45.881328939561598</v>
      </c>
      <c r="R116" s="204">
        <f t="shared" si="210"/>
        <v>-46.078787253610507</v>
      </c>
      <c r="S116" s="204">
        <f t="shared" si="210"/>
        <v>-46.290822908052249</v>
      </c>
      <c r="T116" s="204">
        <f t="shared" si="210"/>
        <v>-46.517171120562551</v>
      </c>
      <c r="U116" s="204">
        <f t="shared" si="210"/>
        <v>-46.75757191831444</v>
      </c>
      <c r="V116" s="204">
        <f t="shared" si="210"/>
        <v>-47.011770050618708</v>
      </c>
      <c r="W116" s="204">
        <f t="shared" si="210"/>
        <v>-47.279514903151124</v>
      </c>
      <c r="X116" s="204">
        <f t="shared" si="210"/>
        <v>-47.560560413737676</v>
      </c>
      <c r="Y116" s="204">
        <f t="shared" si="210"/>
        <v>-47.854664989669509</v>
      </c>
      <c r="Z116" s="204">
        <f t="shared" si="210"/>
        <v>-48.161591426519607</v>
      </c>
      <c r="AA116" s="204">
        <f t="shared" si="210"/>
        <v>-48.481106828434278</v>
      </c>
      <c r="AB116" s="204">
        <f t="shared" si="210"/>
        <v>-48.81298252987235</v>
      </c>
      <c r="AC116" s="204">
        <f t="shared" si="210"/>
        <v>-49.156994018765893</v>
      </c>
      <c r="AD116" s="204">
        <f t="shared" si="210"/>
        <v>-49.51292086107668</v>
      </c>
      <c r="AE116" s="204">
        <f t="shared" si="210"/>
        <v>-49.880546626723003</v>
      </c>
      <c r="AF116" s="204">
        <f t="shared" si="210"/>
        <v>-50.259658816851953</v>
      </c>
      <c r="AG116" s="204">
        <f t="shared" si="210"/>
        <v>-50.650048792432663</v>
      </c>
      <c r="AH116" s="204">
        <f t="shared" si="210"/>
        <v>-51.051511704146662</v>
      </c>
      <c r="AI116" s="204">
        <f t="shared" si="210"/>
        <v>-51.463846423551665</v>
      </c>
      <c r="AJ116" s="204">
        <f t="shared" si="210"/>
        <v>-51.886855475495707</v>
      </c>
      <c r="AK116" s="204">
        <f t="shared" si="210"/>
        <v>-52.320344971758878</v>
      </c>
      <c r="AL116" s="204">
        <f t="shared" si="210"/>
        <v>-52.76412454590043</v>
      </c>
      <c r="AM116" s="204">
        <f t="shared" si="210"/>
        <v>-53.218007289289282</v>
      </c>
      <c r="AN116" s="204">
        <f t="shared" si="210"/>
        <v>-53.681809688296511</v>
      </c>
      <c r="AO116" s="204">
        <f t="shared" si="210"/>
        <v>-54.155351562628589</v>
      </c>
      <c r="AP116" s="204">
        <f t="shared" si="210"/>
        <v>-54.638456004780849</v>
      </c>
      <c r="AQ116" s="204">
        <f t="shared" si="210"/>
        <v>-55.130949320590631</v>
      </c>
      <c r="AR116" s="204">
        <f t="shared" si="210"/>
        <v>-55.632660970870248</v>
      </c>
      <c r="AS116" s="204">
        <f t="shared" si="210"/>
        <v>-56.143423514100107</v>
      </c>
      <c r="AT116" s="204">
        <f t="shared" si="210"/>
        <v>-56.663072550162802</v>
      </c>
      <c r="AU116" s="204">
        <f t="shared" si="210"/>
        <v>-57.191446665099171</v>
      </c>
      <c r="AV116" s="204">
        <f t="shared" si="210"/>
        <v>-57.728387376867829</v>
      </c>
      <c r="AW116" s="204">
        <f t="shared" si="210"/>
        <v>-58.273739082089882</v>
      </c>
      <c r="AX116" s="204">
        <f t="shared" si="210"/>
        <v>-58.827349003761015</v>
      </c>
      <c r="AY116" s="204">
        <f t="shared" si="210"/>
        <v>-59.389067139913323</v>
      </c>
      <c r="AZ116" s="204">
        <f t="shared" si="210"/>
        <v>-59.95874621320965</v>
      </c>
      <c r="BA116" s="204">
        <f t="shared" si="210"/>
        <v>-60.53624162145347</v>
      </c>
      <c r="BB116" s="204">
        <f t="shared" si="210"/>
        <v>-61.121411388997728</v>
      </c>
      <c r="BC116" s="204">
        <f t="shared" si="210"/>
        <v>-61.714116119036262</v>
      </c>
      <c r="BD116" s="204">
        <f t="shared" si="210"/>
        <v>-62.314218946761883</v>
      </c>
      <c r="BE116" s="204">
        <f t="shared" si="210"/>
        <v>-62.921585493375147</v>
      </c>
      <c r="BF116" s="204">
        <f t="shared" si="210"/>
        <v>-63.536083820928674</v>
      </c>
      <c r="BG116" s="204">
        <f t="shared" si="210"/>
        <v>-64.157584387991548</v>
      </c>
      <c r="BH116" s="204">
        <f t="shared" si="210"/>
        <v>-64.785960006119055</v>
      </c>
      <c r="BI116" s="204">
        <f t="shared" si="210"/>
        <v>-65.421085797113165</v>
      </c>
      <c r="BJ116" s="204">
        <f t="shared" si="210"/>
        <v>-66.062839151059279</v>
      </c>
      <c r="BK116" s="204">
        <f t="shared" si="210"/>
        <v>-66.711099685125177</v>
      </c>
      <c r="BL116" s="204">
        <f t="shared" si="210"/>
        <v>-67.365749203108379</v>
      </c>
      <c r="BM116" s="204">
        <f t="shared" si="210"/>
        <v>-68.026671655718303</v>
      </c>
      <c r="BN116" s="204">
        <f t="shared" si="210"/>
        <v>-68.693753101579787</v>
      </c>
      <c r="BO116" s="204">
        <f t="shared" si="210"/>
        <v>-69.366881668945013</v>
      </c>
      <c r="BP116" s="204">
        <f t="shared" si="210"/>
        <v>-70.04594751810086</v>
      </c>
      <c r="BQ116" s="204">
        <f t="shared" si="210"/>
        <v>-70.730842804459073</v>
      </c>
      <c r="BR116" s="204">
        <f t="shared" si="210"/>
        <v>-71.421461642316928</v>
      </c>
      <c r="BS116" s="204">
        <f t="shared" si="210"/>
        <v>-72.117700069276026</v>
      </c>
      <c r="BT116" s="204">
        <f t="shared" si="210"/>
        <v>-72.819456011307551</v>
      </c>
      <c r="BU116" s="204">
        <f t="shared" ref="BU116:EF116" si="211">PV($F70,BU$9,1,0)+(PV($J$6,$N$5-(BU$9),1,0)/($J$6+1)^BU$9)</f>
        <v>-73.526629248451897</v>
      </c>
      <c r="BV116" s="204">
        <f t="shared" si="211"/>
        <v>-74.239121381141487</v>
      </c>
      <c r="BW116" s="204">
        <f t="shared" si="211"/>
        <v>-74.956835797135199</v>
      </c>
      <c r="BX116" s="204">
        <f t="shared" si="211"/>
        <v>-75.679677639053423</v>
      </c>
      <c r="BY116" s="204">
        <f t="shared" si="211"/>
        <v>-76.407553772502823</v>
      </c>
      <c r="BZ116" s="204">
        <f t="shared" si="211"/>
        <v>-77.140372754780103</v>
      </c>
      <c r="CA116" s="204">
        <f t="shared" si="211"/>
        <v>-77.878044804144153</v>
      </c>
      <c r="CB116" s="204">
        <f t="shared" si="211"/>
        <v>-78.620481769646403</v>
      </c>
      <c r="CC116" s="204">
        <f t="shared" si="211"/>
        <v>-79.36759710150919</v>
      </c>
      <c r="CD116" s="204">
        <f t="shared" si="211"/>
        <v>-80.119305822042122</v>
      </c>
      <c r="CE116" s="204">
        <f t="shared" si="211"/>
        <v>-80.87552449708673</v>
      </c>
      <c r="CF116" s="204">
        <f t="shared" si="211"/>
        <v>-81.636171207979814</v>
      </c>
      <c r="CG116" s="204">
        <f t="shared" si="211"/>
        <v>-82.401165524026041</v>
      </c>
      <c r="CH116" s="204">
        <f t="shared" si="211"/>
        <v>-83.170428475470544</v>
      </c>
      <c r="CI116" s="204">
        <f t="shared" si="211"/>
        <v>-83.943882526962454</v>
      </c>
      <c r="CJ116" s="204">
        <f t="shared" si="211"/>
        <v>-84.721451551500408</v>
      </c>
      <c r="CK116" s="204">
        <f t="shared" si="211"/>
        <v>-85.503060804851359</v>
      </c>
      <c r="CL116" s="204">
        <f t="shared" si="211"/>
        <v>-86.288636900434042</v>
      </c>
      <c r="CM116" s="204">
        <f t="shared" si="211"/>
        <v>-87.07810778465857</v>
      </c>
      <c r="CN116" s="204">
        <f t="shared" si="211"/>
        <v>-87.871402712714072</v>
      </c>
      <c r="CO116" s="204">
        <f t="shared" si="211"/>
        <v>-88.668452224796056</v>
      </c>
      <c r="CP116" s="204">
        <f t="shared" si="211"/>
        <v>-89.469188122765601</v>
      </c>
      <c r="CQ116" s="204">
        <f t="shared" si="211"/>
        <v>-90.273543447232512</v>
      </c>
      <c r="CR116" s="204">
        <f t="shared" si="211"/>
        <v>-91.081452455054702</v>
      </c>
      <c r="CS116" s="204">
        <f t="shared" si="211"/>
        <v>-91.892850597246365</v>
      </c>
      <c r="CT116" s="204">
        <f t="shared" si="211"/>
        <v>-92.707674497287258</v>
      </c>
      <c r="CU116" s="204">
        <f t="shared" si="211"/>
        <v>-93.525861929826178</v>
      </c>
      <c r="CV116" s="204">
        <f t="shared" si="211"/>
        <v>-94.347351799771133</v>
      </c>
      <c r="CW116" s="204">
        <f t="shared" si="211"/>
        <v>-95.172084121759283</v>
      </c>
      <c r="CX116" s="204">
        <f t="shared" si="211"/>
        <v>-96</v>
      </c>
      <c r="CY116" s="204">
        <f t="shared" si="211"/>
        <v>-96</v>
      </c>
      <c r="CZ116" s="204">
        <f t="shared" si="211"/>
        <v>-96</v>
      </c>
      <c r="DA116" s="204">
        <f t="shared" si="211"/>
        <v>-96</v>
      </c>
      <c r="DB116" s="204">
        <f t="shared" si="211"/>
        <v>-96</v>
      </c>
      <c r="DC116" s="204">
        <f t="shared" si="211"/>
        <v>-96</v>
      </c>
      <c r="DD116" s="204">
        <f t="shared" si="211"/>
        <v>-96</v>
      </c>
      <c r="DE116" s="204">
        <f t="shared" si="211"/>
        <v>-96</v>
      </c>
      <c r="DF116" s="204">
        <f t="shared" si="211"/>
        <v>-96</v>
      </c>
      <c r="DG116" s="204">
        <f t="shared" si="211"/>
        <v>-96</v>
      </c>
      <c r="DH116" s="204">
        <f t="shared" si="211"/>
        <v>-96</v>
      </c>
      <c r="DI116" s="204">
        <f t="shared" si="211"/>
        <v>-96</v>
      </c>
      <c r="DJ116" s="204">
        <f t="shared" si="211"/>
        <v>-96</v>
      </c>
      <c r="DK116" s="204">
        <f t="shared" si="211"/>
        <v>-96</v>
      </c>
      <c r="DL116" s="204">
        <f t="shared" si="211"/>
        <v>-96</v>
      </c>
      <c r="DM116" s="204">
        <f t="shared" si="211"/>
        <v>-96</v>
      </c>
      <c r="DN116" s="204">
        <f t="shared" si="211"/>
        <v>-96</v>
      </c>
      <c r="DO116" s="204">
        <f t="shared" si="211"/>
        <v>-96</v>
      </c>
      <c r="DP116" s="204">
        <f t="shared" si="211"/>
        <v>-96</v>
      </c>
      <c r="DQ116" s="204">
        <f t="shared" si="211"/>
        <v>-96</v>
      </c>
      <c r="DR116" s="204">
        <f t="shared" si="211"/>
        <v>-96</v>
      </c>
      <c r="DS116" s="204">
        <f t="shared" si="211"/>
        <v>-96</v>
      </c>
      <c r="DT116" s="204">
        <f t="shared" si="211"/>
        <v>-96</v>
      </c>
      <c r="DU116" s="204">
        <f t="shared" si="211"/>
        <v>-96</v>
      </c>
      <c r="DV116" s="204">
        <f t="shared" si="211"/>
        <v>-96</v>
      </c>
      <c r="DW116" s="204">
        <f t="shared" si="211"/>
        <v>-96</v>
      </c>
      <c r="DX116" s="204">
        <f t="shared" si="211"/>
        <v>-96</v>
      </c>
      <c r="DY116" s="204">
        <f t="shared" si="211"/>
        <v>-96</v>
      </c>
      <c r="DZ116" s="204">
        <f t="shared" si="211"/>
        <v>-96</v>
      </c>
      <c r="EA116" s="204">
        <f t="shared" si="211"/>
        <v>-96</v>
      </c>
      <c r="EB116" s="204">
        <f t="shared" si="211"/>
        <v>-96</v>
      </c>
      <c r="EC116" s="204">
        <f t="shared" si="211"/>
        <v>-96</v>
      </c>
      <c r="ED116" s="204">
        <f t="shared" si="211"/>
        <v>-96</v>
      </c>
      <c r="EE116" s="204">
        <f t="shared" si="211"/>
        <v>-96</v>
      </c>
      <c r="EF116" s="204">
        <f t="shared" si="211"/>
        <v>-96</v>
      </c>
      <c r="EG116" s="204">
        <f t="shared" ref="EG116:ET116" si="212">PV($F70,EG$9,1,0)+(PV($J$6,$N$5-(EG$9),1,0)/($J$6+1)^EG$9)</f>
        <v>-96</v>
      </c>
      <c r="EH116" s="204">
        <f t="shared" si="212"/>
        <v>-96</v>
      </c>
      <c r="EI116" s="204">
        <f t="shared" si="212"/>
        <v>-96</v>
      </c>
      <c r="EJ116" s="204">
        <f t="shared" si="212"/>
        <v>-96</v>
      </c>
      <c r="EK116" s="204">
        <f t="shared" si="212"/>
        <v>-96</v>
      </c>
      <c r="EL116" s="204">
        <f t="shared" si="212"/>
        <v>-96</v>
      </c>
      <c r="EM116" s="204">
        <f t="shared" si="212"/>
        <v>-96</v>
      </c>
      <c r="EN116" s="204">
        <f t="shared" si="212"/>
        <v>-96</v>
      </c>
      <c r="EO116" s="204">
        <f t="shared" si="212"/>
        <v>-96</v>
      </c>
      <c r="EP116" s="204">
        <f t="shared" si="212"/>
        <v>-96</v>
      </c>
      <c r="EQ116" s="204">
        <f t="shared" si="212"/>
        <v>-96</v>
      </c>
      <c r="ER116" s="204">
        <f t="shared" si="212"/>
        <v>-96</v>
      </c>
      <c r="ES116" s="204">
        <f t="shared" si="212"/>
        <v>-96</v>
      </c>
      <c r="ET116" s="204">
        <f t="shared" si="212"/>
        <v>-96</v>
      </c>
      <c r="FF116" s="67" t="s">
        <v>79</v>
      </c>
      <c r="FG116" s="696">
        <v>2.5000000000000001E-2</v>
      </c>
      <c r="FH116" s="696">
        <v>120</v>
      </c>
      <c r="FI116" s="696">
        <v>2.0499999999999997E-2</v>
      </c>
      <c r="FJ116" s="255">
        <v>1.67E-2</v>
      </c>
      <c r="FK116" s="71">
        <f t="shared" si="92"/>
        <v>1.9761904761904765E-4</v>
      </c>
      <c r="FL116" t="e">
        <f>VLOOKUP(FF116,'SIMULADOR COM SALDO'!$BX$22:$CK$1000,13,FALSE)</f>
        <v>#N/A</v>
      </c>
    </row>
    <row r="117" spans="7:168" x14ac:dyDescent="0.25">
      <c r="G117" s="103">
        <f t="shared" si="45"/>
        <v>-44.770373601250576</v>
      </c>
      <c r="H117" s="204">
        <f t="shared" si="46"/>
        <v>-44.806371604802436</v>
      </c>
      <c r="I117" s="204">
        <f t="shared" ref="I117:BT117" si="213">PV($F71,I$9,1,0)+(PV($J$6,$N$5-(I$9),1,0)/($J$6+1)^I$9)</f>
        <v>-44.859879708437063</v>
      </c>
      <c r="J117" s="204">
        <f t="shared" si="213"/>
        <v>-44.930579859281075</v>
      </c>
      <c r="K117" s="204">
        <f t="shared" si="213"/>
        <v>-45.018159781562872</v>
      </c>
      <c r="L117" s="204">
        <f t="shared" si="213"/>
        <v>-45.122312871677551</v>
      </c>
      <c r="M117" s="204">
        <f t="shared" si="213"/>
        <v>-45.24273809515784</v>
      </c>
      <c r="N117" s="204">
        <f t="shared" si="213"/>
        <v>-45.379139885516487</v>
      </c>
      <c r="O117" s="204">
        <f t="shared" si="213"/>
        <v>-45.53122804492606</v>
      </c>
      <c r="P117" s="204">
        <f t="shared" si="213"/>
        <v>-45.698717646702761</v>
      </c>
      <c r="Q117" s="204">
        <f t="shared" si="213"/>
        <v>-45.881328939561598</v>
      </c>
      <c r="R117" s="204">
        <f t="shared" si="213"/>
        <v>-46.078787253610507</v>
      </c>
      <c r="S117" s="204">
        <f t="shared" si="213"/>
        <v>-46.290822908052249</v>
      </c>
      <c r="T117" s="204">
        <f t="shared" si="213"/>
        <v>-46.517171120562551</v>
      </c>
      <c r="U117" s="204">
        <f t="shared" si="213"/>
        <v>-46.75757191831444</v>
      </c>
      <c r="V117" s="204">
        <f t="shared" si="213"/>
        <v>-47.011770050618708</v>
      </c>
      <c r="W117" s="204">
        <f t="shared" si="213"/>
        <v>-47.279514903151124</v>
      </c>
      <c r="X117" s="204">
        <f t="shared" si="213"/>
        <v>-47.560560413737676</v>
      </c>
      <c r="Y117" s="204">
        <f t="shared" si="213"/>
        <v>-47.854664989669509</v>
      </c>
      <c r="Z117" s="204">
        <f t="shared" si="213"/>
        <v>-48.161591426519607</v>
      </c>
      <c r="AA117" s="204">
        <f t="shared" si="213"/>
        <v>-48.481106828434278</v>
      </c>
      <c r="AB117" s="204">
        <f t="shared" si="213"/>
        <v>-48.81298252987235</v>
      </c>
      <c r="AC117" s="204">
        <f t="shared" si="213"/>
        <v>-49.156994018765893</v>
      </c>
      <c r="AD117" s="204">
        <f t="shared" si="213"/>
        <v>-49.51292086107668</v>
      </c>
      <c r="AE117" s="204">
        <f t="shared" si="213"/>
        <v>-49.880546626723003</v>
      </c>
      <c r="AF117" s="204">
        <f t="shared" si="213"/>
        <v>-50.259658816851953</v>
      </c>
      <c r="AG117" s="204">
        <f t="shared" si="213"/>
        <v>-50.650048792432663</v>
      </c>
      <c r="AH117" s="204">
        <f t="shared" si="213"/>
        <v>-51.051511704146662</v>
      </c>
      <c r="AI117" s="204">
        <f t="shared" si="213"/>
        <v>-51.463846423551665</v>
      </c>
      <c r="AJ117" s="204">
        <f t="shared" si="213"/>
        <v>-51.886855475495707</v>
      </c>
      <c r="AK117" s="204">
        <f t="shared" si="213"/>
        <v>-52.320344971758878</v>
      </c>
      <c r="AL117" s="204">
        <f t="shared" si="213"/>
        <v>-52.76412454590043</v>
      </c>
      <c r="AM117" s="204">
        <f t="shared" si="213"/>
        <v>-53.218007289289282</v>
      </c>
      <c r="AN117" s="204">
        <f t="shared" si="213"/>
        <v>-53.681809688296511</v>
      </c>
      <c r="AO117" s="204">
        <f t="shared" si="213"/>
        <v>-54.155351562628589</v>
      </c>
      <c r="AP117" s="204">
        <f t="shared" si="213"/>
        <v>-54.638456004780849</v>
      </c>
      <c r="AQ117" s="204">
        <f t="shared" si="213"/>
        <v>-55.130949320590631</v>
      </c>
      <c r="AR117" s="204">
        <f t="shared" si="213"/>
        <v>-55.632660970870248</v>
      </c>
      <c r="AS117" s="204">
        <f t="shared" si="213"/>
        <v>-56.143423514100107</v>
      </c>
      <c r="AT117" s="204">
        <f t="shared" si="213"/>
        <v>-56.663072550162802</v>
      </c>
      <c r="AU117" s="204">
        <f t="shared" si="213"/>
        <v>-57.191446665099171</v>
      </c>
      <c r="AV117" s="204">
        <f t="shared" si="213"/>
        <v>-57.728387376867829</v>
      </c>
      <c r="AW117" s="204">
        <f t="shared" si="213"/>
        <v>-58.273739082089882</v>
      </c>
      <c r="AX117" s="204">
        <f t="shared" si="213"/>
        <v>-58.827349003761015</v>
      </c>
      <c r="AY117" s="204">
        <f t="shared" si="213"/>
        <v>-59.389067139913323</v>
      </c>
      <c r="AZ117" s="204">
        <f t="shared" si="213"/>
        <v>-59.95874621320965</v>
      </c>
      <c r="BA117" s="204">
        <f t="shared" si="213"/>
        <v>-60.53624162145347</v>
      </c>
      <c r="BB117" s="204">
        <f t="shared" si="213"/>
        <v>-61.121411388997728</v>
      </c>
      <c r="BC117" s="204">
        <f t="shared" si="213"/>
        <v>-61.714116119036262</v>
      </c>
      <c r="BD117" s="204">
        <f t="shared" si="213"/>
        <v>-62.314218946761883</v>
      </c>
      <c r="BE117" s="204">
        <f t="shared" si="213"/>
        <v>-62.921585493375147</v>
      </c>
      <c r="BF117" s="204">
        <f t="shared" si="213"/>
        <v>-63.536083820928674</v>
      </c>
      <c r="BG117" s="204">
        <f t="shared" si="213"/>
        <v>-64.157584387991548</v>
      </c>
      <c r="BH117" s="204">
        <f t="shared" si="213"/>
        <v>-64.785960006119055</v>
      </c>
      <c r="BI117" s="204">
        <f t="shared" si="213"/>
        <v>-65.421085797113165</v>
      </c>
      <c r="BJ117" s="204">
        <f t="shared" si="213"/>
        <v>-66.062839151059279</v>
      </c>
      <c r="BK117" s="204">
        <f t="shared" si="213"/>
        <v>-66.711099685125177</v>
      </c>
      <c r="BL117" s="204">
        <f t="shared" si="213"/>
        <v>-67.365749203108379</v>
      </c>
      <c r="BM117" s="204">
        <f t="shared" si="213"/>
        <v>-68.026671655718303</v>
      </c>
      <c r="BN117" s="204">
        <f t="shared" si="213"/>
        <v>-68.693753101579787</v>
      </c>
      <c r="BO117" s="204">
        <f t="shared" si="213"/>
        <v>-69.366881668945013</v>
      </c>
      <c r="BP117" s="204">
        <f t="shared" si="213"/>
        <v>-70.04594751810086</v>
      </c>
      <c r="BQ117" s="204">
        <f t="shared" si="213"/>
        <v>-70.730842804459073</v>
      </c>
      <c r="BR117" s="204">
        <f t="shared" si="213"/>
        <v>-71.421461642316928</v>
      </c>
      <c r="BS117" s="204">
        <f t="shared" si="213"/>
        <v>-72.117700069276026</v>
      </c>
      <c r="BT117" s="204">
        <f t="shared" si="213"/>
        <v>-72.819456011307551</v>
      </c>
      <c r="BU117" s="204">
        <f t="shared" ref="BU117:EF117" si="214">PV($F71,BU$9,1,0)+(PV($J$6,$N$5-(BU$9),1,0)/($J$6+1)^BU$9)</f>
        <v>-73.526629248451897</v>
      </c>
      <c r="BV117" s="204">
        <f t="shared" si="214"/>
        <v>-74.239121381141487</v>
      </c>
      <c r="BW117" s="204">
        <f t="shared" si="214"/>
        <v>-74.956835797135199</v>
      </c>
      <c r="BX117" s="204">
        <f t="shared" si="214"/>
        <v>-75.679677639053423</v>
      </c>
      <c r="BY117" s="204">
        <f t="shared" si="214"/>
        <v>-76.407553772502823</v>
      </c>
      <c r="BZ117" s="204">
        <f t="shared" si="214"/>
        <v>-77.140372754780103</v>
      </c>
      <c r="CA117" s="204">
        <f t="shared" si="214"/>
        <v>-77.878044804144153</v>
      </c>
      <c r="CB117" s="204">
        <f t="shared" si="214"/>
        <v>-78.620481769646403</v>
      </c>
      <c r="CC117" s="204">
        <f t="shared" si="214"/>
        <v>-79.36759710150919</v>
      </c>
      <c r="CD117" s="204">
        <f t="shared" si="214"/>
        <v>-80.119305822042122</v>
      </c>
      <c r="CE117" s="204">
        <f t="shared" si="214"/>
        <v>-80.87552449708673</v>
      </c>
      <c r="CF117" s="204">
        <f t="shared" si="214"/>
        <v>-81.636171207979814</v>
      </c>
      <c r="CG117" s="204">
        <f t="shared" si="214"/>
        <v>-82.401165524026041</v>
      </c>
      <c r="CH117" s="204">
        <f t="shared" si="214"/>
        <v>-83.170428475470544</v>
      </c>
      <c r="CI117" s="204">
        <f t="shared" si="214"/>
        <v>-83.943882526962454</v>
      </c>
      <c r="CJ117" s="204">
        <f t="shared" si="214"/>
        <v>-84.721451551500408</v>
      </c>
      <c r="CK117" s="204">
        <f t="shared" si="214"/>
        <v>-85.503060804851359</v>
      </c>
      <c r="CL117" s="204">
        <f t="shared" si="214"/>
        <v>-86.288636900434042</v>
      </c>
      <c r="CM117" s="204">
        <f t="shared" si="214"/>
        <v>-87.07810778465857</v>
      </c>
      <c r="CN117" s="204">
        <f t="shared" si="214"/>
        <v>-87.871402712714072</v>
      </c>
      <c r="CO117" s="204">
        <f t="shared" si="214"/>
        <v>-88.668452224796056</v>
      </c>
      <c r="CP117" s="204">
        <f t="shared" si="214"/>
        <v>-89.469188122765601</v>
      </c>
      <c r="CQ117" s="204">
        <f t="shared" si="214"/>
        <v>-90.273543447232512</v>
      </c>
      <c r="CR117" s="204">
        <f t="shared" si="214"/>
        <v>-91.081452455054702</v>
      </c>
      <c r="CS117" s="204">
        <f t="shared" si="214"/>
        <v>-91.892850597246365</v>
      </c>
      <c r="CT117" s="204">
        <f t="shared" si="214"/>
        <v>-92.707674497287258</v>
      </c>
      <c r="CU117" s="204">
        <f t="shared" si="214"/>
        <v>-93.525861929826178</v>
      </c>
      <c r="CV117" s="204">
        <f t="shared" si="214"/>
        <v>-94.347351799771133</v>
      </c>
      <c r="CW117" s="204">
        <f t="shared" si="214"/>
        <v>-95.172084121759283</v>
      </c>
      <c r="CX117" s="204">
        <f t="shared" si="214"/>
        <v>-96</v>
      </c>
      <c r="CY117" s="204">
        <f t="shared" si="214"/>
        <v>-96</v>
      </c>
      <c r="CZ117" s="204">
        <f t="shared" si="214"/>
        <v>-96</v>
      </c>
      <c r="DA117" s="204">
        <f t="shared" si="214"/>
        <v>-96</v>
      </c>
      <c r="DB117" s="204">
        <f t="shared" si="214"/>
        <v>-96</v>
      </c>
      <c r="DC117" s="204">
        <f t="shared" si="214"/>
        <v>-96</v>
      </c>
      <c r="DD117" s="204">
        <f t="shared" si="214"/>
        <v>-96</v>
      </c>
      <c r="DE117" s="204">
        <f t="shared" si="214"/>
        <v>-96</v>
      </c>
      <c r="DF117" s="204">
        <f t="shared" si="214"/>
        <v>-96</v>
      </c>
      <c r="DG117" s="204">
        <f t="shared" si="214"/>
        <v>-96</v>
      </c>
      <c r="DH117" s="204">
        <f t="shared" si="214"/>
        <v>-96</v>
      </c>
      <c r="DI117" s="204">
        <f t="shared" si="214"/>
        <v>-96</v>
      </c>
      <c r="DJ117" s="204">
        <f t="shared" si="214"/>
        <v>-96</v>
      </c>
      <c r="DK117" s="204">
        <f t="shared" si="214"/>
        <v>-96</v>
      </c>
      <c r="DL117" s="204">
        <f t="shared" si="214"/>
        <v>-96</v>
      </c>
      <c r="DM117" s="204">
        <f t="shared" si="214"/>
        <v>-96</v>
      </c>
      <c r="DN117" s="204">
        <f t="shared" si="214"/>
        <v>-96</v>
      </c>
      <c r="DO117" s="204">
        <f t="shared" si="214"/>
        <v>-96</v>
      </c>
      <c r="DP117" s="204">
        <f t="shared" si="214"/>
        <v>-96</v>
      </c>
      <c r="DQ117" s="204">
        <f t="shared" si="214"/>
        <v>-96</v>
      </c>
      <c r="DR117" s="204">
        <f t="shared" si="214"/>
        <v>-96</v>
      </c>
      <c r="DS117" s="204">
        <f t="shared" si="214"/>
        <v>-96</v>
      </c>
      <c r="DT117" s="204">
        <f t="shared" si="214"/>
        <v>-96</v>
      </c>
      <c r="DU117" s="204">
        <f t="shared" si="214"/>
        <v>-96</v>
      </c>
      <c r="DV117" s="204">
        <f t="shared" si="214"/>
        <v>-96</v>
      </c>
      <c r="DW117" s="204">
        <f t="shared" si="214"/>
        <v>-96</v>
      </c>
      <c r="DX117" s="204">
        <f t="shared" si="214"/>
        <v>-96</v>
      </c>
      <c r="DY117" s="204">
        <f t="shared" si="214"/>
        <v>-96</v>
      </c>
      <c r="DZ117" s="204">
        <f t="shared" si="214"/>
        <v>-96</v>
      </c>
      <c r="EA117" s="204">
        <f t="shared" si="214"/>
        <v>-96</v>
      </c>
      <c r="EB117" s="204">
        <f t="shared" si="214"/>
        <v>-96</v>
      </c>
      <c r="EC117" s="204">
        <f t="shared" si="214"/>
        <v>-96</v>
      </c>
      <c r="ED117" s="204">
        <f t="shared" si="214"/>
        <v>-96</v>
      </c>
      <c r="EE117" s="204">
        <f t="shared" si="214"/>
        <v>-96</v>
      </c>
      <c r="EF117" s="204">
        <f t="shared" si="214"/>
        <v>-96</v>
      </c>
      <c r="EG117" s="204">
        <f t="shared" ref="EG117:ET117" si="215">PV($F71,EG$9,1,0)+(PV($J$6,$N$5-(EG$9),1,0)/($J$6+1)^EG$9)</f>
        <v>-96</v>
      </c>
      <c r="EH117" s="204">
        <f t="shared" si="215"/>
        <v>-96</v>
      </c>
      <c r="EI117" s="204">
        <f t="shared" si="215"/>
        <v>-96</v>
      </c>
      <c r="EJ117" s="204">
        <f t="shared" si="215"/>
        <v>-96</v>
      </c>
      <c r="EK117" s="204">
        <f t="shared" si="215"/>
        <v>-96</v>
      </c>
      <c r="EL117" s="204">
        <f t="shared" si="215"/>
        <v>-96</v>
      </c>
      <c r="EM117" s="204">
        <f t="shared" si="215"/>
        <v>-96</v>
      </c>
      <c r="EN117" s="204">
        <f t="shared" si="215"/>
        <v>-96</v>
      </c>
      <c r="EO117" s="204">
        <f t="shared" si="215"/>
        <v>-96</v>
      </c>
      <c r="EP117" s="204">
        <f t="shared" si="215"/>
        <v>-96</v>
      </c>
      <c r="EQ117" s="204">
        <f t="shared" si="215"/>
        <v>-96</v>
      </c>
      <c r="ER117" s="204">
        <f t="shared" si="215"/>
        <v>-96</v>
      </c>
      <c r="ES117" s="204">
        <f t="shared" si="215"/>
        <v>-96</v>
      </c>
      <c r="ET117" s="204">
        <f t="shared" si="215"/>
        <v>-96</v>
      </c>
      <c r="FF117" s="6" t="s">
        <v>812</v>
      </c>
      <c r="FG117" s="696">
        <v>2.5000000000000001E-2</v>
      </c>
      <c r="FH117" s="696">
        <v>96</v>
      </c>
      <c r="FI117" s="696">
        <v>2.06E-2</v>
      </c>
      <c r="FJ117" s="255">
        <v>1.37E-2</v>
      </c>
      <c r="FK117" s="71">
        <f t="shared" si="92"/>
        <v>2.6904761904761906E-4</v>
      </c>
      <c r="FL117" t="e">
        <f>VLOOKUP(FF117,'SIMULADOR COM SALDO'!$BX$22:$CK$1000,13,FALSE)</f>
        <v>#N/A</v>
      </c>
    </row>
    <row r="118" spans="7:168" x14ac:dyDescent="0.25">
      <c r="G118" s="103">
        <f t="shared" si="45"/>
        <v>-44.770373601250576</v>
      </c>
      <c r="H118" s="204">
        <f t="shared" si="46"/>
        <v>-44.806371604802436</v>
      </c>
      <c r="I118" s="204">
        <f t="shared" ref="I118:BT118" si="216">PV($F72,I$9,1,0)+(PV($J$6,$N$5-(I$9),1,0)/($J$6+1)^I$9)</f>
        <v>-44.859879708437063</v>
      </c>
      <c r="J118" s="204">
        <f t="shared" si="216"/>
        <v>-44.930579859281075</v>
      </c>
      <c r="K118" s="204">
        <f t="shared" si="216"/>
        <v>-45.018159781562872</v>
      </c>
      <c r="L118" s="204">
        <f t="shared" si="216"/>
        <v>-45.122312871677551</v>
      </c>
      <c r="M118" s="204">
        <f t="shared" si="216"/>
        <v>-45.24273809515784</v>
      </c>
      <c r="N118" s="204">
        <f t="shared" si="216"/>
        <v>-45.379139885516487</v>
      </c>
      <c r="O118" s="204">
        <f t="shared" si="216"/>
        <v>-45.53122804492606</v>
      </c>
      <c r="P118" s="204">
        <f t="shared" si="216"/>
        <v>-45.698717646702761</v>
      </c>
      <c r="Q118" s="204">
        <f t="shared" si="216"/>
        <v>-45.881328939561598</v>
      </c>
      <c r="R118" s="204">
        <f t="shared" si="216"/>
        <v>-46.078787253610507</v>
      </c>
      <c r="S118" s="204">
        <f t="shared" si="216"/>
        <v>-46.290822908052249</v>
      </c>
      <c r="T118" s="204">
        <f t="shared" si="216"/>
        <v>-46.517171120562551</v>
      </c>
      <c r="U118" s="204">
        <f t="shared" si="216"/>
        <v>-46.75757191831444</v>
      </c>
      <c r="V118" s="204">
        <f t="shared" si="216"/>
        <v>-47.011770050618708</v>
      </c>
      <c r="W118" s="204">
        <f t="shared" si="216"/>
        <v>-47.279514903151124</v>
      </c>
      <c r="X118" s="204">
        <f t="shared" si="216"/>
        <v>-47.560560413737676</v>
      </c>
      <c r="Y118" s="204">
        <f t="shared" si="216"/>
        <v>-47.854664989669509</v>
      </c>
      <c r="Z118" s="204">
        <f t="shared" si="216"/>
        <v>-48.161591426519607</v>
      </c>
      <c r="AA118" s="204">
        <f t="shared" si="216"/>
        <v>-48.481106828434278</v>
      </c>
      <c r="AB118" s="204">
        <f t="shared" si="216"/>
        <v>-48.81298252987235</v>
      </c>
      <c r="AC118" s="204">
        <f t="shared" si="216"/>
        <v>-49.156994018765893</v>
      </c>
      <c r="AD118" s="204">
        <f t="shared" si="216"/>
        <v>-49.51292086107668</v>
      </c>
      <c r="AE118" s="204">
        <f t="shared" si="216"/>
        <v>-49.880546626723003</v>
      </c>
      <c r="AF118" s="204">
        <f t="shared" si="216"/>
        <v>-50.259658816851953</v>
      </c>
      <c r="AG118" s="204">
        <f t="shared" si="216"/>
        <v>-50.650048792432663</v>
      </c>
      <c r="AH118" s="204">
        <f t="shared" si="216"/>
        <v>-51.051511704146662</v>
      </c>
      <c r="AI118" s="204">
        <f t="shared" si="216"/>
        <v>-51.463846423551665</v>
      </c>
      <c r="AJ118" s="204">
        <f t="shared" si="216"/>
        <v>-51.886855475495707</v>
      </c>
      <c r="AK118" s="204">
        <f t="shared" si="216"/>
        <v>-52.320344971758878</v>
      </c>
      <c r="AL118" s="204">
        <f t="shared" si="216"/>
        <v>-52.76412454590043</v>
      </c>
      <c r="AM118" s="204">
        <f t="shared" si="216"/>
        <v>-53.218007289289282</v>
      </c>
      <c r="AN118" s="204">
        <f t="shared" si="216"/>
        <v>-53.681809688296511</v>
      </c>
      <c r="AO118" s="204">
        <f t="shared" si="216"/>
        <v>-54.155351562628589</v>
      </c>
      <c r="AP118" s="204">
        <f t="shared" si="216"/>
        <v>-54.638456004780849</v>
      </c>
      <c r="AQ118" s="204">
        <f t="shared" si="216"/>
        <v>-55.130949320590631</v>
      </c>
      <c r="AR118" s="204">
        <f t="shared" si="216"/>
        <v>-55.632660970870248</v>
      </c>
      <c r="AS118" s="204">
        <f t="shared" si="216"/>
        <v>-56.143423514100107</v>
      </c>
      <c r="AT118" s="204">
        <f t="shared" si="216"/>
        <v>-56.663072550162802</v>
      </c>
      <c r="AU118" s="204">
        <f t="shared" si="216"/>
        <v>-57.191446665099171</v>
      </c>
      <c r="AV118" s="204">
        <f t="shared" si="216"/>
        <v>-57.728387376867829</v>
      </c>
      <c r="AW118" s="204">
        <f t="shared" si="216"/>
        <v>-58.273739082089882</v>
      </c>
      <c r="AX118" s="204">
        <f t="shared" si="216"/>
        <v>-58.827349003761015</v>
      </c>
      <c r="AY118" s="204">
        <f t="shared" si="216"/>
        <v>-59.389067139913323</v>
      </c>
      <c r="AZ118" s="204">
        <f t="shared" si="216"/>
        <v>-59.95874621320965</v>
      </c>
      <c r="BA118" s="204">
        <f t="shared" si="216"/>
        <v>-60.53624162145347</v>
      </c>
      <c r="BB118" s="204">
        <f t="shared" si="216"/>
        <v>-61.121411388997728</v>
      </c>
      <c r="BC118" s="204">
        <f t="shared" si="216"/>
        <v>-61.714116119036262</v>
      </c>
      <c r="BD118" s="204">
        <f t="shared" si="216"/>
        <v>-62.314218946761883</v>
      </c>
      <c r="BE118" s="204">
        <f t="shared" si="216"/>
        <v>-62.921585493375147</v>
      </c>
      <c r="BF118" s="204">
        <f t="shared" si="216"/>
        <v>-63.536083820928674</v>
      </c>
      <c r="BG118" s="204">
        <f t="shared" si="216"/>
        <v>-64.157584387991548</v>
      </c>
      <c r="BH118" s="204">
        <f t="shared" si="216"/>
        <v>-64.785960006119055</v>
      </c>
      <c r="BI118" s="204">
        <f t="shared" si="216"/>
        <v>-65.421085797113165</v>
      </c>
      <c r="BJ118" s="204">
        <f t="shared" si="216"/>
        <v>-66.062839151059279</v>
      </c>
      <c r="BK118" s="204">
        <f t="shared" si="216"/>
        <v>-66.711099685125177</v>
      </c>
      <c r="BL118" s="204">
        <f t="shared" si="216"/>
        <v>-67.365749203108379</v>
      </c>
      <c r="BM118" s="204">
        <f t="shared" si="216"/>
        <v>-68.026671655718303</v>
      </c>
      <c r="BN118" s="204">
        <f t="shared" si="216"/>
        <v>-68.693753101579787</v>
      </c>
      <c r="BO118" s="204">
        <f t="shared" si="216"/>
        <v>-69.366881668945013</v>
      </c>
      <c r="BP118" s="204">
        <f t="shared" si="216"/>
        <v>-70.04594751810086</v>
      </c>
      <c r="BQ118" s="204">
        <f t="shared" si="216"/>
        <v>-70.730842804459073</v>
      </c>
      <c r="BR118" s="204">
        <f t="shared" si="216"/>
        <v>-71.421461642316928</v>
      </c>
      <c r="BS118" s="204">
        <f t="shared" si="216"/>
        <v>-72.117700069276026</v>
      </c>
      <c r="BT118" s="204">
        <f t="shared" si="216"/>
        <v>-72.819456011307551</v>
      </c>
      <c r="BU118" s="204">
        <f t="shared" ref="BU118:EF118" si="217">PV($F72,BU$9,1,0)+(PV($J$6,$N$5-(BU$9),1,0)/($J$6+1)^BU$9)</f>
        <v>-73.526629248451897</v>
      </c>
      <c r="BV118" s="204">
        <f t="shared" si="217"/>
        <v>-74.239121381141487</v>
      </c>
      <c r="BW118" s="204">
        <f t="shared" si="217"/>
        <v>-74.956835797135199</v>
      </c>
      <c r="BX118" s="204">
        <f t="shared" si="217"/>
        <v>-75.679677639053423</v>
      </c>
      <c r="BY118" s="204">
        <f t="shared" si="217"/>
        <v>-76.407553772502823</v>
      </c>
      <c r="BZ118" s="204">
        <f t="shared" si="217"/>
        <v>-77.140372754780103</v>
      </c>
      <c r="CA118" s="204">
        <f t="shared" si="217"/>
        <v>-77.878044804144153</v>
      </c>
      <c r="CB118" s="204">
        <f t="shared" si="217"/>
        <v>-78.620481769646403</v>
      </c>
      <c r="CC118" s="204">
        <f t="shared" si="217"/>
        <v>-79.36759710150919</v>
      </c>
      <c r="CD118" s="204">
        <f t="shared" si="217"/>
        <v>-80.119305822042122</v>
      </c>
      <c r="CE118" s="204">
        <f t="shared" si="217"/>
        <v>-80.87552449708673</v>
      </c>
      <c r="CF118" s="204">
        <f t="shared" si="217"/>
        <v>-81.636171207979814</v>
      </c>
      <c r="CG118" s="204">
        <f t="shared" si="217"/>
        <v>-82.401165524026041</v>
      </c>
      <c r="CH118" s="204">
        <f t="shared" si="217"/>
        <v>-83.170428475470544</v>
      </c>
      <c r="CI118" s="204">
        <f t="shared" si="217"/>
        <v>-83.943882526962454</v>
      </c>
      <c r="CJ118" s="204">
        <f t="shared" si="217"/>
        <v>-84.721451551500408</v>
      </c>
      <c r="CK118" s="204">
        <f t="shared" si="217"/>
        <v>-85.503060804851359</v>
      </c>
      <c r="CL118" s="204">
        <f t="shared" si="217"/>
        <v>-86.288636900434042</v>
      </c>
      <c r="CM118" s="204">
        <f t="shared" si="217"/>
        <v>-87.07810778465857</v>
      </c>
      <c r="CN118" s="204">
        <f t="shared" si="217"/>
        <v>-87.871402712714072</v>
      </c>
      <c r="CO118" s="204">
        <f t="shared" si="217"/>
        <v>-88.668452224796056</v>
      </c>
      <c r="CP118" s="204">
        <f t="shared" si="217"/>
        <v>-89.469188122765601</v>
      </c>
      <c r="CQ118" s="204">
        <f t="shared" si="217"/>
        <v>-90.273543447232512</v>
      </c>
      <c r="CR118" s="204">
        <f t="shared" si="217"/>
        <v>-91.081452455054702</v>
      </c>
      <c r="CS118" s="204">
        <f t="shared" si="217"/>
        <v>-91.892850597246365</v>
      </c>
      <c r="CT118" s="204">
        <f t="shared" si="217"/>
        <v>-92.707674497287258</v>
      </c>
      <c r="CU118" s="204">
        <f t="shared" si="217"/>
        <v>-93.525861929826178</v>
      </c>
      <c r="CV118" s="204">
        <f t="shared" si="217"/>
        <v>-94.347351799771133</v>
      </c>
      <c r="CW118" s="204">
        <f t="shared" si="217"/>
        <v>-95.172084121759283</v>
      </c>
      <c r="CX118" s="204">
        <f t="shared" si="217"/>
        <v>-96</v>
      </c>
      <c r="CY118" s="204">
        <f t="shared" si="217"/>
        <v>-96</v>
      </c>
      <c r="CZ118" s="204">
        <f t="shared" si="217"/>
        <v>-96</v>
      </c>
      <c r="DA118" s="204">
        <f t="shared" si="217"/>
        <v>-96</v>
      </c>
      <c r="DB118" s="204">
        <f t="shared" si="217"/>
        <v>-96</v>
      </c>
      <c r="DC118" s="204">
        <f t="shared" si="217"/>
        <v>-96</v>
      </c>
      <c r="DD118" s="204">
        <f t="shared" si="217"/>
        <v>-96</v>
      </c>
      <c r="DE118" s="204">
        <f t="shared" si="217"/>
        <v>-96</v>
      </c>
      <c r="DF118" s="204">
        <f t="shared" si="217"/>
        <v>-96</v>
      </c>
      <c r="DG118" s="204">
        <f t="shared" si="217"/>
        <v>-96</v>
      </c>
      <c r="DH118" s="204">
        <f t="shared" si="217"/>
        <v>-96</v>
      </c>
      <c r="DI118" s="204">
        <f t="shared" si="217"/>
        <v>-96</v>
      </c>
      <c r="DJ118" s="204">
        <f t="shared" si="217"/>
        <v>-96</v>
      </c>
      <c r="DK118" s="204">
        <f t="shared" si="217"/>
        <v>-96</v>
      </c>
      <c r="DL118" s="204">
        <f t="shared" si="217"/>
        <v>-96</v>
      </c>
      <c r="DM118" s="204">
        <f t="shared" si="217"/>
        <v>-96</v>
      </c>
      <c r="DN118" s="204">
        <f t="shared" si="217"/>
        <v>-96</v>
      </c>
      <c r="DO118" s="204">
        <f t="shared" si="217"/>
        <v>-96</v>
      </c>
      <c r="DP118" s="204">
        <f t="shared" si="217"/>
        <v>-96</v>
      </c>
      <c r="DQ118" s="204">
        <f t="shared" si="217"/>
        <v>-96</v>
      </c>
      <c r="DR118" s="204">
        <f t="shared" si="217"/>
        <v>-96</v>
      </c>
      <c r="DS118" s="204">
        <f t="shared" si="217"/>
        <v>-96</v>
      </c>
      <c r="DT118" s="204">
        <f t="shared" si="217"/>
        <v>-96</v>
      </c>
      <c r="DU118" s="204">
        <f t="shared" si="217"/>
        <v>-96</v>
      </c>
      <c r="DV118" s="204">
        <f t="shared" si="217"/>
        <v>-96</v>
      </c>
      <c r="DW118" s="204">
        <f t="shared" si="217"/>
        <v>-96</v>
      </c>
      <c r="DX118" s="204">
        <f t="shared" si="217"/>
        <v>-96</v>
      </c>
      <c r="DY118" s="204">
        <f t="shared" si="217"/>
        <v>-96</v>
      </c>
      <c r="DZ118" s="204">
        <f t="shared" si="217"/>
        <v>-96</v>
      </c>
      <c r="EA118" s="204">
        <f t="shared" si="217"/>
        <v>-96</v>
      </c>
      <c r="EB118" s="204">
        <f t="shared" si="217"/>
        <v>-96</v>
      </c>
      <c r="EC118" s="204">
        <f t="shared" si="217"/>
        <v>-96</v>
      </c>
      <c r="ED118" s="204">
        <f t="shared" si="217"/>
        <v>-96</v>
      </c>
      <c r="EE118" s="204">
        <f t="shared" si="217"/>
        <v>-96</v>
      </c>
      <c r="EF118" s="204">
        <f t="shared" si="217"/>
        <v>-96</v>
      </c>
      <c r="EG118" s="204">
        <f t="shared" ref="EG118:ET118" si="218">PV($F72,EG$9,1,0)+(PV($J$6,$N$5-(EG$9),1,0)/($J$6+1)^EG$9)</f>
        <v>-96</v>
      </c>
      <c r="EH118" s="204">
        <f t="shared" si="218"/>
        <v>-96</v>
      </c>
      <c r="EI118" s="204">
        <f t="shared" si="218"/>
        <v>-96</v>
      </c>
      <c r="EJ118" s="204">
        <f t="shared" si="218"/>
        <v>-96</v>
      </c>
      <c r="EK118" s="204">
        <f t="shared" si="218"/>
        <v>-96</v>
      </c>
      <c r="EL118" s="204">
        <f t="shared" si="218"/>
        <v>-96</v>
      </c>
      <c r="EM118" s="204">
        <f t="shared" si="218"/>
        <v>-96</v>
      </c>
      <c r="EN118" s="204">
        <f t="shared" si="218"/>
        <v>-96</v>
      </c>
      <c r="EO118" s="204">
        <f t="shared" si="218"/>
        <v>-96</v>
      </c>
      <c r="EP118" s="204">
        <f t="shared" si="218"/>
        <v>-96</v>
      </c>
      <c r="EQ118" s="204">
        <f t="shared" si="218"/>
        <v>-96</v>
      </c>
      <c r="ER118" s="204">
        <f t="shared" si="218"/>
        <v>-96</v>
      </c>
      <c r="ES118" s="204">
        <f t="shared" si="218"/>
        <v>-96</v>
      </c>
      <c r="ET118" s="204">
        <f t="shared" si="218"/>
        <v>-96</v>
      </c>
      <c r="FF118" s="6" t="s">
        <v>3034</v>
      </c>
      <c r="FG118" s="696">
        <v>2.5000000000000001E-2</v>
      </c>
      <c r="FH118" s="696">
        <v>96</v>
      </c>
      <c r="FI118" s="696">
        <v>2.1299999999999999E-2</v>
      </c>
      <c r="FJ118" s="255">
        <v>1.55E-2</v>
      </c>
      <c r="FK118" s="71">
        <f t="shared" si="92"/>
        <v>2.2619047619047624E-4</v>
      </c>
      <c r="FL118" t="e">
        <f>VLOOKUP(FF118,'SIMULADOR COM SALDO'!$BX$22:$CK$1000,13,FALSE)</f>
        <v>#N/A</v>
      </c>
    </row>
    <row r="119" spans="7:168" x14ac:dyDescent="0.25">
      <c r="G119" s="103">
        <f t="shared" si="45"/>
        <v>-44.770373601250576</v>
      </c>
      <c r="H119" s="204">
        <f t="shared" si="46"/>
        <v>-44.806371604802436</v>
      </c>
      <c r="I119" s="204">
        <f t="shared" ref="I119:BT119" si="219">PV($F73,I$9,1,0)+(PV($J$6,$N$5-(I$9),1,0)/($J$6+1)^I$9)</f>
        <v>-44.859879708437063</v>
      </c>
      <c r="J119" s="204">
        <f t="shared" si="219"/>
        <v>-44.930579859281075</v>
      </c>
      <c r="K119" s="204">
        <f t="shared" si="219"/>
        <v>-45.018159781562872</v>
      </c>
      <c r="L119" s="204">
        <f t="shared" si="219"/>
        <v>-45.122312871677551</v>
      </c>
      <c r="M119" s="204">
        <f t="shared" si="219"/>
        <v>-45.24273809515784</v>
      </c>
      <c r="N119" s="204">
        <f t="shared" si="219"/>
        <v>-45.379139885516487</v>
      </c>
      <c r="O119" s="204">
        <f t="shared" si="219"/>
        <v>-45.53122804492606</v>
      </c>
      <c r="P119" s="204">
        <f t="shared" si="219"/>
        <v>-45.698717646702761</v>
      </c>
      <c r="Q119" s="204">
        <f t="shared" si="219"/>
        <v>-45.881328939561598</v>
      </c>
      <c r="R119" s="204">
        <f t="shared" si="219"/>
        <v>-46.078787253610507</v>
      </c>
      <c r="S119" s="204">
        <f t="shared" si="219"/>
        <v>-46.290822908052249</v>
      </c>
      <c r="T119" s="204">
        <f t="shared" si="219"/>
        <v>-46.517171120562551</v>
      </c>
      <c r="U119" s="204">
        <f t="shared" si="219"/>
        <v>-46.75757191831444</v>
      </c>
      <c r="V119" s="204">
        <f t="shared" si="219"/>
        <v>-47.011770050618708</v>
      </c>
      <c r="W119" s="204">
        <f t="shared" si="219"/>
        <v>-47.279514903151124</v>
      </c>
      <c r="X119" s="204">
        <f t="shared" si="219"/>
        <v>-47.560560413737676</v>
      </c>
      <c r="Y119" s="204">
        <f t="shared" si="219"/>
        <v>-47.854664989669509</v>
      </c>
      <c r="Z119" s="204">
        <f t="shared" si="219"/>
        <v>-48.161591426519607</v>
      </c>
      <c r="AA119" s="204">
        <f t="shared" si="219"/>
        <v>-48.481106828434278</v>
      </c>
      <c r="AB119" s="204">
        <f t="shared" si="219"/>
        <v>-48.81298252987235</v>
      </c>
      <c r="AC119" s="204">
        <f t="shared" si="219"/>
        <v>-49.156994018765893</v>
      </c>
      <c r="AD119" s="204">
        <f t="shared" si="219"/>
        <v>-49.51292086107668</v>
      </c>
      <c r="AE119" s="204">
        <f t="shared" si="219"/>
        <v>-49.880546626723003</v>
      </c>
      <c r="AF119" s="204">
        <f t="shared" si="219"/>
        <v>-50.259658816851953</v>
      </c>
      <c r="AG119" s="204">
        <f t="shared" si="219"/>
        <v>-50.650048792432663</v>
      </c>
      <c r="AH119" s="204">
        <f t="shared" si="219"/>
        <v>-51.051511704146662</v>
      </c>
      <c r="AI119" s="204">
        <f t="shared" si="219"/>
        <v>-51.463846423551665</v>
      </c>
      <c r="AJ119" s="204">
        <f t="shared" si="219"/>
        <v>-51.886855475495707</v>
      </c>
      <c r="AK119" s="204">
        <f t="shared" si="219"/>
        <v>-52.320344971758878</v>
      </c>
      <c r="AL119" s="204">
        <f t="shared" si="219"/>
        <v>-52.76412454590043</v>
      </c>
      <c r="AM119" s="204">
        <f t="shared" si="219"/>
        <v>-53.218007289289282</v>
      </c>
      <c r="AN119" s="204">
        <f t="shared" si="219"/>
        <v>-53.681809688296511</v>
      </c>
      <c r="AO119" s="204">
        <f t="shared" si="219"/>
        <v>-54.155351562628589</v>
      </c>
      <c r="AP119" s="204">
        <f t="shared" si="219"/>
        <v>-54.638456004780849</v>
      </c>
      <c r="AQ119" s="204">
        <f t="shared" si="219"/>
        <v>-55.130949320590631</v>
      </c>
      <c r="AR119" s="204">
        <f t="shared" si="219"/>
        <v>-55.632660970870248</v>
      </c>
      <c r="AS119" s="204">
        <f t="shared" si="219"/>
        <v>-56.143423514100107</v>
      </c>
      <c r="AT119" s="204">
        <f t="shared" si="219"/>
        <v>-56.663072550162802</v>
      </c>
      <c r="AU119" s="204">
        <f t="shared" si="219"/>
        <v>-57.191446665099171</v>
      </c>
      <c r="AV119" s="204">
        <f t="shared" si="219"/>
        <v>-57.728387376867829</v>
      </c>
      <c r="AW119" s="204">
        <f t="shared" si="219"/>
        <v>-58.273739082089882</v>
      </c>
      <c r="AX119" s="204">
        <f t="shared" si="219"/>
        <v>-58.827349003761015</v>
      </c>
      <c r="AY119" s="204">
        <f t="shared" si="219"/>
        <v>-59.389067139913323</v>
      </c>
      <c r="AZ119" s="204">
        <f t="shared" si="219"/>
        <v>-59.95874621320965</v>
      </c>
      <c r="BA119" s="204">
        <f t="shared" si="219"/>
        <v>-60.53624162145347</v>
      </c>
      <c r="BB119" s="204">
        <f t="shared" si="219"/>
        <v>-61.121411388997728</v>
      </c>
      <c r="BC119" s="204">
        <f t="shared" si="219"/>
        <v>-61.714116119036262</v>
      </c>
      <c r="BD119" s="204">
        <f t="shared" si="219"/>
        <v>-62.314218946761883</v>
      </c>
      <c r="BE119" s="204">
        <f t="shared" si="219"/>
        <v>-62.921585493375147</v>
      </c>
      <c r="BF119" s="204">
        <f t="shared" si="219"/>
        <v>-63.536083820928674</v>
      </c>
      <c r="BG119" s="204">
        <f t="shared" si="219"/>
        <v>-64.157584387991548</v>
      </c>
      <c r="BH119" s="204">
        <f t="shared" si="219"/>
        <v>-64.785960006119055</v>
      </c>
      <c r="BI119" s="204">
        <f t="shared" si="219"/>
        <v>-65.421085797113165</v>
      </c>
      <c r="BJ119" s="204">
        <f t="shared" si="219"/>
        <v>-66.062839151059279</v>
      </c>
      <c r="BK119" s="204">
        <f t="shared" si="219"/>
        <v>-66.711099685125177</v>
      </c>
      <c r="BL119" s="204">
        <f t="shared" si="219"/>
        <v>-67.365749203108379</v>
      </c>
      <c r="BM119" s="204">
        <f t="shared" si="219"/>
        <v>-68.026671655718303</v>
      </c>
      <c r="BN119" s="204">
        <f t="shared" si="219"/>
        <v>-68.693753101579787</v>
      </c>
      <c r="BO119" s="204">
        <f t="shared" si="219"/>
        <v>-69.366881668945013</v>
      </c>
      <c r="BP119" s="204">
        <f t="shared" si="219"/>
        <v>-70.04594751810086</v>
      </c>
      <c r="BQ119" s="204">
        <f t="shared" si="219"/>
        <v>-70.730842804459073</v>
      </c>
      <c r="BR119" s="204">
        <f t="shared" si="219"/>
        <v>-71.421461642316928</v>
      </c>
      <c r="BS119" s="204">
        <f t="shared" si="219"/>
        <v>-72.117700069276026</v>
      </c>
      <c r="BT119" s="204">
        <f t="shared" si="219"/>
        <v>-72.819456011307551</v>
      </c>
      <c r="BU119" s="204">
        <f t="shared" ref="BU119:EF119" si="220">PV($F73,BU$9,1,0)+(PV($J$6,$N$5-(BU$9),1,0)/($J$6+1)^BU$9)</f>
        <v>-73.526629248451897</v>
      </c>
      <c r="BV119" s="204">
        <f t="shared" si="220"/>
        <v>-74.239121381141487</v>
      </c>
      <c r="BW119" s="204">
        <f t="shared" si="220"/>
        <v>-74.956835797135199</v>
      </c>
      <c r="BX119" s="204">
        <f t="shared" si="220"/>
        <v>-75.679677639053423</v>
      </c>
      <c r="BY119" s="204">
        <f t="shared" si="220"/>
        <v>-76.407553772502823</v>
      </c>
      <c r="BZ119" s="204">
        <f t="shared" si="220"/>
        <v>-77.140372754780103</v>
      </c>
      <c r="CA119" s="204">
        <f t="shared" si="220"/>
        <v>-77.878044804144153</v>
      </c>
      <c r="CB119" s="204">
        <f t="shared" si="220"/>
        <v>-78.620481769646403</v>
      </c>
      <c r="CC119" s="204">
        <f t="shared" si="220"/>
        <v>-79.36759710150919</v>
      </c>
      <c r="CD119" s="204">
        <f t="shared" si="220"/>
        <v>-80.119305822042122</v>
      </c>
      <c r="CE119" s="204">
        <f t="shared" si="220"/>
        <v>-80.87552449708673</v>
      </c>
      <c r="CF119" s="204">
        <f t="shared" si="220"/>
        <v>-81.636171207979814</v>
      </c>
      <c r="CG119" s="204">
        <f t="shared" si="220"/>
        <v>-82.401165524026041</v>
      </c>
      <c r="CH119" s="204">
        <f t="shared" si="220"/>
        <v>-83.170428475470544</v>
      </c>
      <c r="CI119" s="204">
        <f t="shared" si="220"/>
        <v>-83.943882526962454</v>
      </c>
      <c r="CJ119" s="204">
        <f t="shared" si="220"/>
        <v>-84.721451551500408</v>
      </c>
      <c r="CK119" s="204">
        <f t="shared" si="220"/>
        <v>-85.503060804851359</v>
      </c>
      <c r="CL119" s="204">
        <f t="shared" si="220"/>
        <v>-86.288636900434042</v>
      </c>
      <c r="CM119" s="204">
        <f t="shared" si="220"/>
        <v>-87.07810778465857</v>
      </c>
      <c r="CN119" s="204">
        <f t="shared" si="220"/>
        <v>-87.871402712714072</v>
      </c>
      <c r="CO119" s="204">
        <f t="shared" si="220"/>
        <v>-88.668452224796056</v>
      </c>
      <c r="CP119" s="204">
        <f t="shared" si="220"/>
        <v>-89.469188122765601</v>
      </c>
      <c r="CQ119" s="204">
        <f t="shared" si="220"/>
        <v>-90.273543447232512</v>
      </c>
      <c r="CR119" s="204">
        <f t="shared" si="220"/>
        <v>-91.081452455054702</v>
      </c>
      <c r="CS119" s="204">
        <f t="shared" si="220"/>
        <v>-91.892850597246365</v>
      </c>
      <c r="CT119" s="204">
        <f t="shared" si="220"/>
        <v>-92.707674497287258</v>
      </c>
      <c r="CU119" s="204">
        <f t="shared" si="220"/>
        <v>-93.525861929826178</v>
      </c>
      <c r="CV119" s="204">
        <f t="shared" si="220"/>
        <v>-94.347351799771133</v>
      </c>
      <c r="CW119" s="204">
        <f t="shared" si="220"/>
        <v>-95.172084121759283</v>
      </c>
      <c r="CX119" s="204">
        <f t="shared" si="220"/>
        <v>-96</v>
      </c>
      <c r="CY119" s="204">
        <f t="shared" si="220"/>
        <v>-96</v>
      </c>
      <c r="CZ119" s="204">
        <f t="shared" si="220"/>
        <v>-96</v>
      </c>
      <c r="DA119" s="204">
        <f t="shared" si="220"/>
        <v>-96</v>
      </c>
      <c r="DB119" s="204">
        <f t="shared" si="220"/>
        <v>-96</v>
      </c>
      <c r="DC119" s="204">
        <f t="shared" si="220"/>
        <v>-96</v>
      </c>
      <c r="DD119" s="204">
        <f t="shared" si="220"/>
        <v>-96</v>
      </c>
      <c r="DE119" s="204">
        <f t="shared" si="220"/>
        <v>-96</v>
      </c>
      <c r="DF119" s="204">
        <f t="shared" si="220"/>
        <v>-96</v>
      </c>
      <c r="DG119" s="204">
        <f t="shared" si="220"/>
        <v>-96</v>
      </c>
      <c r="DH119" s="204">
        <f t="shared" si="220"/>
        <v>-96</v>
      </c>
      <c r="DI119" s="204">
        <f t="shared" si="220"/>
        <v>-96</v>
      </c>
      <c r="DJ119" s="204">
        <f t="shared" si="220"/>
        <v>-96</v>
      </c>
      <c r="DK119" s="204">
        <f t="shared" si="220"/>
        <v>-96</v>
      </c>
      <c r="DL119" s="204">
        <f t="shared" si="220"/>
        <v>-96</v>
      </c>
      <c r="DM119" s="204">
        <f t="shared" si="220"/>
        <v>-96</v>
      </c>
      <c r="DN119" s="204">
        <f t="shared" si="220"/>
        <v>-96</v>
      </c>
      <c r="DO119" s="204">
        <f t="shared" si="220"/>
        <v>-96</v>
      </c>
      <c r="DP119" s="204">
        <f t="shared" si="220"/>
        <v>-96</v>
      </c>
      <c r="DQ119" s="204">
        <f t="shared" si="220"/>
        <v>-96</v>
      </c>
      <c r="DR119" s="204">
        <f t="shared" si="220"/>
        <v>-96</v>
      </c>
      <c r="DS119" s="204">
        <f t="shared" si="220"/>
        <v>-96</v>
      </c>
      <c r="DT119" s="204">
        <f t="shared" si="220"/>
        <v>-96</v>
      </c>
      <c r="DU119" s="204">
        <f t="shared" si="220"/>
        <v>-96</v>
      </c>
      <c r="DV119" s="204">
        <f t="shared" si="220"/>
        <v>-96</v>
      </c>
      <c r="DW119" s="204">
        <f t="shared" si="220"/>
        <v>-96</v>
      </c>
      <c r="DX119" s="204">
        <f t="shared" si="220"/>
        <v>-96</v>
      </c>
      <c r="DY119" s="204">
        <f t="shared" si="220"/>
        <v>-96</v>
      </c>
      <c r="DZ119" s="204">
        <f t="shared" si="220"/>
        <v>-96</v>
      </c>
      <c r="EA119" s="204">
        <f t="shared" si="220"/>
        <v>-96</v>
      </c>
      <c r="EB119" s="204">
        <f t="shared" si="220"/>
        <v>-96</v>
      </c>
      <c r="EC119" s="204">
        <f t="shared" si="220"/>
        <v>-96</v>
      </c>
      <c r="ED119" s="204">
        <f t="shared" si="220"/>
        <v>-96</v>
      </c>
      <c r="EE119" s="204">
        <f t="shared" si="220"/>
        <v>-96</v>
      </c>
      <c r="EF119" s="204">
        <f t="shared" si="220"/>
        <v>-96</v>
      </c>
      <c r="EG119" s="204">
        <f t="shared" ref="EG119:ET119" si="221">PV($F73,EG$9,1,0)+(PV($J$6,$N$5-(EG$9),1,0)/($J$6+1)^EG$9)</f>
        <v>-96</v>
      </c>
      <c r="EH119" s="204">
        <f t="shared" si="221"/>
        <v>-96</v>
      </c>
      <c r="EI119" s="204">
        <f t="shared" si="221"/>
        <v>-96</v>
      </c>
      <c r="EJ119" s="204">
        <f t="shared" si="221"/>
        <v>-96</v>
      </c>
      <c r="EK119" s="204">
        <f t="shared" si="221"/>
        <v>-96</v>
      </c>
      <c r="EL119" s="204">
        <f t="shared" si="221"/>
        <v>-96</v>
      </c>
      <c r="EM119" s="204">
        <f t="shared" si="221"/>
        <v>-96</v>
      </c>
      <c r="EN119" s="204">
        <f t="shared" si="221"/>
        <v>-96</v>
      </c>
      <c r="EO119" s="204">
        <f t="shared" si="221"/>
        <v>-96</v>
      </c>
      <c r="EP119" s="204">
        <f t="shared" si="221"/>
        <v>-96</v>
      </c>
      <c r="EQ119" s="204">
        <f t="shared" si="221"/>
        <v>-96</v>
      </c>
      <c r="ER119" s="204">
        <f t="shared" si="221"/>
        <v>-96</v>
      </c>
      <c r="ES119" s="204">
        <f t="shared" si="221"/>
        <v>-96</v>
      </c>
      <c r="ET119" s="204">
        <f t="shared" si="221"/>
        <v>-96</v>
      </c>
      <c r="FF119" s="6" t="s">
        <v>258</v>
      </c>
      <c r="FG119" s="696">
        <v>2.5000000000000001E-2</v>
      </c>
      <c r="FH119" s="696">
        <v>120</v>
      </c>
      <c r="FI119" s="696">
        <v>1.7000000000000001E-2</v>
      </c>
      <c r="FJ119" s="255">
        <v>1.38E-2</v>
      </c>
      <c r="FK119" s="71">
        <f t="shared" si="92"/>
        <v>2.6666666666666668E-4</v>
      </c>
      <c r="FL119" t="e">
        <f>VLOOKUP(FF119,'SIMULADOR COM SALDO'!$BX$22:$CK$1000,13,FALSE)</f>
        <v>#N/A</v>
      </c>
    </row>
    <row r="120" spans="7:168" x14ac:dyDescent="0.25">
      <c r="G120" s="103">
        <f t="shared" si="45"/>
        <v>-44.770373601250576</v>
      </c>
      <c r="H120" s="204">
        <f t="shared" si="46"/>
        <v>-44.806371604802436</v>
      </c>
      <c r="I120" s="204">
        <f t="shared" ref="I120:BT120" si="222">PV($F74,I$9,1,0)+(PV($J$6,$N$5-(I$9),1,0)/($J$6+1)^I$9)</f>
        <v>-44.859879708437063</v>
      </c>
      <c r="J120" s="204">
        <f t="shared" si="222"/>
        <v>-44.930579859281075</v>
      </c>
      <c r="K120" s="204">
        <f t="shared" si="222"/>
        <v>-45.018159781562872</v>
      </c>
      <c r="L120" s="204">
        <f t="shared" si="222"/>
        <v>-45.122312871677551</v>
      </c>
      <c r="M120" s="204">
        <f t="shared" si="222"/>
        <v>-45.24273809515784</v>
      </c>
      <c r="N120" s="204">
        <f t="shared" si="222"/>
        <v>-45.379139885516487</v>
      </c>
      <c r="O120" s="204">
        <f t="shared" si="222"/>
        <v>-45.53122804492606</v>
      </c>
      <c r="P120" s="204">
        <f t="shared" si="222"/>
        <v>-45.698717646702761</v>
      </c>
      <c r="Q120" s="204">
        <f t="shared" si="222"/>
        <v>-45.881328939561598</v>
      </c>
      <c r="R120" s="204">
        <f t="shared" si="222"/>
        <v>-46.078787253610507</v>
      </c>
      <c r="S120" s="204">
        <f t="shared" si="222"/>
        <v>-46.290822908052249</v>
      </c>
      <c r="T120" s="204">
        <f t="shared" si="222"/>
        <v>-46.517171120562551</v>
      </c>
      <c r="U120" s="204">
        <f t="shared" si="222"/>
        <v>-46.75757191831444</v>
      </c>
      <c r="V120" s="204">
        <f t="shared" si="222"/>
        <v>-47.011770050618708</v>
      </c>
      <c r="W120" s="204">
        <f t="shared" si="222"/>
        <v>-47.279514903151124</v>
      </c>
      <c r="X120" s="204">
        <f t="shared" si="222"/>
        <v>-47.560560413737676</v>
      </c>
      <c r="Y120" s="204">
        <f t="shared" si="222"/>
        <v>-47.854664989669509</v>
      </c>
      <c r="Z120" s="204">
        <f t="shared" si="222"/>
        <v>-48.161591426519607</v>
      </c>
      <c r="AA120" s="204">
        <f t="shared" si="222"/>
        <v>-48.481106828434278</v>
      </c>
      <c r="AB120" s="204">
        <f t="shared" si="222"/>
        <v>-48.81298252987235</v>
      </c>
      <c r="AC120" s="204">
        <f t="shared" si="222"/>
        <v>-49.156994018765893</v>
      </c>
      <c r="AD120" s="204">
        <f t="shared" si="222"/>
        <v>-49.51292086107668</v>
      </c>
      <c r="AE120" s="204">
        <f t="shared" si="222"/>
        <v>-49.880546626723003</v>
      </c>
      <c r="AF120" s="204">
        <f t="shared" si="222"/>
        <v>-50.259658816851953</v>
      </c>
      <c r="AG120" s="204">
        <f t="shared" si="222"/>
        <v>-50.650048792432663</v>
      </c>
      <c r="AH120" s="204">
        <f t="shared" si="222"/>
        <v>-51.051511704146662</v>
      </c>
      <c r="AI120" s="204">
        <f t="shared" si="222"/>
        <v>-51.463846423551665</v>
      </c>
      <c r="AJ120" s="204">
        <f t="shared" si="222"/>
        <v>-51.886855475495707</v>
      </c>
      <c r="AK120" s="204">
        <f t="shared" si="222"/>
        <v>-52.320344971758878</v>
      </c>
      <c r="AL120" s="204">
        <f t="shared" si="222"/>
        <v>-52.76412454590043</v>
      </c>
      <c r="AM120" s="204">
        <f t="shared" si="222"/>
        <v>-53.218007289289282</v>
      </c>
      <c r="AN120" s="204">
        <f t="shared" si="222"/>
        <v>-53.681809688296511</v>
      </c>
      <c r="AO120" s="204">
        <f t="shared" si="222"/>
        <v>-54.155351562628589</v>
      </c>
      <c r="AP120" s="204">
        <f t="shared" si="222"/>
        <v>-54.638456004780849</v>
      </c>
      <c r="AQ120" s="204">
        <f t="shared" si="222"/>
        <v>-55.130949320590631</v>
      </c>
      <c r="AR120" s="204">
        <f t="shared" si="222"/>
        <v>-55.632660970870248</v>
      </c>
      <c r="AS120" s="204">
        <f t="shared" si="222"/>
        <v>-56.143423514100107</v>
      </c>
      <c r="AT120" s="204">
        <f t="shared" si="222"/>
        <v>-56.663072550162802</v>
      </c>
      <c r="AU120" s="204">
        <f t="shared" si="222"/>
        <v>-57.191446665099171</v>
      </c>
      <c r="AV120" s="204">
        <f t="shared" si="222"/>
        <v>-57.728387376867829</v>
      </c>
      <c r="AW120" s="204">
        <f t="shared" si="222"/>
        <v>-58.273739082089882</v>
      </c>
      <c r="AX120" s="204">
        <f t="shared" si="222"/>
        <v>-58.827349003761015</v>
      </c>
      <c r="AY120" s="204">
        <f t="shared" si="222"/>
        <v>-59.389067139913323</v>
      </c>
      <c r="AZ120" s="204">
        <f t="shared" si="222"/>
        <v>-59.95874621320965</v>
      </c>
      <c r="BA120" s="204">
        <f t="shared" si="222"/>
        <v>-60.53624162145347</v>
      </c>
      <c r="BB120" s="204">
        <f t="shared" si="222"/>
        <v>-61.121411388997728</v>
      </c>
      <c r="BC120" s="204">
        <f t="shared" si="222"/>
        <v>-61.714116119036262</v>
      </c>
      <c r="BD120" s="204">
        <f t="shared" si="222"/>
        <v>-62.314218946761883</v>
      </c>
      <c r="BE120" s="204">
        <f t="shared" si="222"/>
        <v>-62.921585493375147</v>
      </c>
      <c r="BF120" s="204">
        <f t="shared" si="222"/>
        <v>-63.536083820928674</v>
      </c>
      <c r="BG120" s="204">
        <f t="shared" si="222"/>
        <v>-64.157584387991548</v>
      </c>
      <c r="BH120" s="204">
        <f t="shared" si="222"/>
        <v>-64.785960006119055</v>
      </c>
      <c r="BI120" s="204">
        <f t="shared" si="222"/>
        <v>-65.421085797113165</v>
      </c>
      <c r="BJ120" s="204">
        <f t="shared" si="222"/>
        <v>-66.062839151059279</v>
      </c>
      <c r="BK120" s="204">
        <f t="shared" si="222"/>
        <v>-66.711099685125177</v>
      </c>
      <c r="BL120" s="204">
        <f t="shared" si="222"/>
        <v>-67.365749203108379</v>
      </c>
      <c r="BM120" s="204">
        <f t="shared" si="222"/>
        <v>-68.026671655718303</v>
      </c>
      <c r="BN120" s="204">
        <f t="shared" si="222"/>
        <v>-68.693753101579787</v>
      </c>
      <c r="BO120" s="204">
        <f t="shared" si="222"/>
        <v>-69.366881668945013</v>
      </c>
      <c r="BP120" s="204">
        <f t="shared" si="222"/>
        <v>-70.04594751810086</v>
      </c>
      <c r="BQ120" s="204">
        <f t="shared" si="222"/>
        <v>-70.730842804459073</v>
      </c>
      <c r="BR120" s="204">
        <f t="shared" si="222"/>
        <v>-71.421461642316928</v>
      </c>
      <c r="BS120" s="204">
        <f t="shared" si="222"/>
        <v>-72.117700069276026</v>
      </c>
      <c r="BT120" s="204">
        <f t="shared" si="222"/>
        <v>-72.819456011307551</v>
      </c>
      <c r="BU120" s="204">
        <f t="shared" ref="BU120:EF120" si="223">PV($F74,BU$9,1,0)+(PV($J$6,$N$5-(BU$9),1,0)/($J$6+1)^BU$9)</f>
        <v>-73.526629248451897</v>
      </c>
      <c r="BV120" s="204">
        <f t="shared" si="223"/>
        <v>-74.239121381141487</v>
      </c>
      <c r="BW120" s="204">
        <f t="shared" si="223"/>
        <v>-74.956835797135199</v>
      </c>
      <c r="BX120" s="204">
        <f t="shared" si="223"/>
        <v>-75.679677639053423</v>
      </c>
      <c r="BY120" s="204">
        <f t="shared" si="223"/>
        <v>-76.407553772502823</v>
      </c>
      <c r="BZ120" s="204">
        <f t="shared" si="223"/>
        <v>-77.140372754780103</v>
      </c>
      <c r="CA120" s="204">
        <f t="shared" si="223"/>
        <v>-77.878044804144153</v>
      </c>
      <c r="CB120" s="204">
        <f t="shared" si="223"/>
        <v>-78.620481769646403</v>
      </c>
      <c r="CC120" s="204">
        <f t="shared" si="223"/>
        <v>-79.36759710150919</v>
      </c>
      <c r="CD120" s="204">
        <f t="shared" si="223"/>
        <v>-80.119305822042122</v>
      </c>
      <c r="CE120" s="204">
        <f t="shared" si="223"/>
        <v>-80.87552449708673</v>
      </c>
      <c r="CF120" s="204">
        <f t="shared" si="223"/>
        <v>-81.636171207979814</v>
      </c>
      <c r="CG120" s="204">
        <f t="shared" si="223"/>
        <v>-82.401165524026041</v>
      </c>
      <c r="CH120" s="204">
        <f t="shared" si="223"/>
        <v>-83.170428475470544</v>
      </c>
      <c r="CI120" s="204">
        <f t="shared" si="223"/>
        <v>-83.943882526962454</v>
      </c>
      <c r="CJ120" s="204">
        <f t="shared" si="223"/>
        <v>-84.721451551500408</v>
      </c>
      <c r="CK120" s="204">
        <f t="shared" si="223"/>
        <v>-85.503060804851359</v>
      </c>
      <c r="CL120" s="204">
        <f t="shared" si="223"/>
        <v>-86.288636900434042</v>
      </c>
      <c r="CM120" s="204">
        <f t="shared" si="223"/>
        <v>-87.07810778465857</v>
      </c>
      <c r="CN120" s="204">
        <f t="shared" si="223"/>
        <v>-87.871402712714072</v>
      </c>
      <c r="CO120" s="204">
        <f t="shared" si="223"/>
        <v>-88.668452224796056</v>
      </c>
      <c r="CP120" s="204">
        <f t="shared" si="223"/>
        <v>-89.469188122765601</v>
      </c>
      <c r="CQ120" s="204">
        <f t="shared" si="223"/>
        <v>-90.273543447232512</v>
      </c>
      <c r="CR120" s="204">
        <f t="shared" si="223"/>
        <v>-91.081452455054702</v>
      </c>
      <c r="CS120" s="204">
        <f t="shared" si="223"/>
        <v>-91.892850597246365</v>
      </c>
      <c r="CT120" s="204">
        <f t="shared" si="223"/>
        <v>-92.707674497287258</v>
      </c>
      <c r="CU120" s="204">
        <f t="shared" si="223"/>
        <v>-93.525861929826178</v>
      </c>
      <c r="CV120" s="204">
        <f t="shared" si="223"/>
        <v>-94.347351799771133</v>
      </c>
      <c r="CW120" s="204">
        <f t="shared" si="223"/>
        <v>-95.172084121759283</v>
      </c>
      <c r="CX120" s="204">
        <f t="shared" si="223"/>
        <v>-96</v>
      </c>
      <c r="CY120" s="204">
        <f t="shared" si="223"/>
        <v>-96</v>
      </c>
      <c r="CZ120" s="204">
        <f t="shared" si="223"/>
        <v>-96</v>
      </c>
      <c r="DA120" s="204">
        <f t="shared" si="223"/>
        <v>-96</v>
      </c>
      <c r="DB120" s="204">
        <f t="shared" si="223"/>
        <v>-96</v>
      </c>
      <c r="DC120" s="204">
        <f t="shared" si="223"/>
        <v>-96</v>
      </c>
      <c r="DD120" s="204">
        <f t="shared" si="223"/>
        <v>-96</v>
      </c>
      <c r="DE120" s="204">
        <f t="shared" si="223"/>
        <v>-96</v>
      </c>
      <c r="DF120" s="204">
        <f t="shared" si="223"/>
        <v>-96</v>
      </c>
      <c r="DG120" s="204">
        <f t="shared" si="223"/>
        <v>-96</v>
      </c>
      <c r="DH120" s="204">
        <f t="shared" si="223"/>
        <v>-96</v>
      </c>
      <c r="DI120" s="204">
        <f t="shared" si="223"/>
        <v>-96</v>
      </c>
      <c r="DJ120" s="204">
        <f t="shared" si="223"/>
        <v>-96</v>
      </c>
      <c r="DK120" s="204">
        <f t="shared" si="223"/>
        <v>-96</v>
      </c>
      <c r="DL120" s="204">
        <f t="shared" si="223"/>
        <v>-96</v>
      </c>
      <c r="DM120" s="204">
        <f t="shared" si="223"/>
        <v>-96</v>
      </c>
      <c r="DN120" s="204">
        <f t="shared" si="223"/>
        <v>-96</v>
      </c>
      <c r="DO120" s="204">
        <f t="shared" si="223"/>
        <v>-96</v>
      </c>
      <c r="DP120" s="204">
        <f t="shared" si="223"/>
        <v>-96</v>
      </c>
      <c r="DQ120" s="204">
        <f t="shared" si="223"/>
        <v>-96</v>
      </c>
      <c r="DR120" s="204">
        <f t="shared" si="223"/>
        <v>-96</v>
      </c>
      <c r="DS120" s="204">
        <f t="shared" si="223"/>
        <v>-96</v>
      </c>
      <c r="DT120" s="204">
        <f t="shared" si="223"/>
        <v>-96</v>
      </c>
      <c r="DU120" s="204">
        <f t="shared" si="223"/>
        <v>-96</v>
      </c>
      <c r="DV120" s="204">
        <f t="shared" si="223"/>
        <v>-96</v>
      </c>
      <c r="DW120" s="204">
        <f t="shared" si="223"/>
        <v>-96</v>
      </c>
      <c r="DX120" s="204">
        <f t="shared" si="223"/>
        <v>-96</v>
      </c>
      <c r="DY120" s="204">
        <f t="shared" si="223"/>
        <v>-96</v>
      </c>
      <c r="DZ120" s="204">
        <f t="shared" si="223"/>
        <v>-96</v>
      </c>
      <c r="EA120" s="204">
        <f t="shared" si="223"/>
        <v>-96</v>
      </c>
      <c r="EB120" s="204">
        <f t="shared" si="223"/>
        <v>-96</v>
      </c>
      <c r="EC120" s="204">
        <f t="shared" si="223"/>
        <v>-96</v>
      </c>
      <c r="ED120" s="204">
        <f t="shared" si="223"/>
        <v>-96</v>
      </c>
      <c r="EE120" s="204">
        <f t="shared" si="223"/>
        <v>-96</v>
      </c>
      <c r="EF120" s="204">
        <f t="shared" si="223"/>
        <v>-96</v>
      </c>
      <c r="EG120" s="204">
        <f t="shared" ref="EG120:ET120" si="224">PV($F74,EG$9,1,0)+(PV($J$6,$N$5-(EG$9),1,0)/($J$6+1)^EG$9)</f>
        <v>-96</v>
      </c>
      <c r="EH120" s="204">
        <f t="shared" si="224"/>
        <v>-96</v>
      </c>
      <c r="EI120" s="204">
        <f t="shared" si="224"/>
        <v>-96</v>
      </c>
      <c r="EJ120" s="204">
        <f t="shared" si="224"/>
        <v>-96</v>
      </c>
      <c r="EK120" s="204">
        <f t="shared" si="224"/>
        <v>-96</v>
      </c>
      <c r="EL120" s="204">
        <f t="shared" si="224"/>
        <v>-96</v>
      </c>
      <c r="EM120" s="204">
        <f t="shared" si="224"/>
        <v>-96</v>
      </c>
      <c r="EN120" s="204">
        <f t="shared" si="224"/>
        <v>-96</v>
      </c>
      <c r="EO120" s="204">
        <f t="shared" si="224"/>
        <v>-96</v>
      </c>
      <c r="EP120" s="204">
        <f t="shared" si="224"/>
        <v>-96</v>
      </c>
      <c r="EQ120" s="204">
        <f t="shared" si="224"/>
        <v>-96</v>
      </c>
      <c r="ER120" s="204">
        <f t="shared" si="224"/>
        <v>-96</v>
      </c>
      <c r="ES120" s="204">
        <f t="shared" si="224"/>
        <v>-96</v>
      </c>
      <c r="ET120" s="204">
        <f t="shared" si="224"/>
        <v>-96</v>
      </c>
      <c r="FF120" s="6" t="s">
        <v>102</v>
      </c>
      <c r="FG120" s="696">
        <v>2.5000000000000001E-2</v>
      </c>
      <c r="FH120" s="696">
        <v>120</v>
      </c>
      <c r="FI120" s="696">
        <v>1.8200000000000001E-2</v>
      </c>
      <c r="FJ120" s="255">
        <v>1.4499999999999999E-2</v>
      </c>
      <c r="FK120" s="71">
        <f t="shared" si="92"/>
        <v>2.5000000000000006E-4</v>
      </c>
      <c r="FL120" t="e">
        <f>VLOOKUP(FF120,'SIMULADOR COM SALDO'!$BX$22:$CK$1000,13,FALSE)</f>
        <v>#N/A</v>
      </c>
    </row>
    <row r="121" spans="7:168" x14ac:dyDescent="0.25">
      <c r="G121" s="103">
        <f t="shared" si="45"/>
        <v>-44.770373601250576</v>
      </c>
      <c r="H121" s="204">
        <f t="shared" si="46"/>
        <v>-44.806371604802436</v>
      </c>
      <c r="I121" s="204">
        <f t="shared" ref="I121:BT121" si="225">PV($F75,I$9,1,0)+(PV($J$6,$N$5-(I$9),1,0)/($J$6+1)^I$9)</f>
        <v>-44.859879708437063</v>
      </c>
      <c r="J121" s="204">
        <f t="shared" si="225"/>
        <v>-44.930579859281075</v>
      </c>
      <c r="K121" s="204">
        <f t="shared" si="225"/>
        <v>-45.018159781562872</v>
      </c>
      <c r="L121" s="204">
        <f t="shared" si="225"/>
        <v>-45.122312871677551</v>
      </c>
      <c r="M121" s="204">
        <f t="shared" si="225"/>
        <v>-45.24273809515784</v>
      </c>
      <c r="N121" s="204">
        <f t="shared" si="225"/>
        <v>-45.379139885516487</v>
      </c>
      <c r="O121" s="204">
        <f t="shared" si="225"/>
        <v>-45.53122804492606</v>
      </c>
      <c r="P121" s="204">
        <f t="shared" si="225"/>
        <v>-45.698717646702761</v>
      </c>
      <c r="Q121" s="204">
        <f t="shared" si="225"/>
        <v>-45.881328939561598</v>
      </c>
      <c r="R121" s="204">
        <f t="shared" si="225"/>
        <v>-46.078787253610507</v>
      </c>
      <c r="S121" s="204">
        <f t="shared" si="225"/>
        <v>-46.290822908052249</v>
      </c>
      <c r="T121" s="204">
        <f t="shared" si="225"/>
        <v>-46.517171120562551</v>
      </c>
      <c r="U121" s="204">
        <f t="shared" si="225"/>
        <v>-46.75757191831444</v>
      </c>
      <c r="V121" s="204">
        <f t="shared" si="225"/>
        <v>-47.011770050618708</v>
      </c>
      <c r="W121" s="204">
        <f t="shared" si="225"/>
        <v>-47.279514903151124</v>
      </c>
      <c r="X121" s="204">
        <f t="shared" si="225"/>
        <v>-47.560560413737676</v>
      </c>
      <c r="Y121" s="204">
        <f t="shared" si="225"/>
        <v>-47.854664989669509</v>
      </c>
      <c r="Z121" s="204">
        <f t="shared" si="225"/>
        <v>-48.161591426519607</v>
      </c>
      <c r="AA121" s="204">
        <f t="shared" si="225"/>
        <v>-48.481106828434278</v>
      </c>
      <c r="AB121" s="204">
        <f t="shared" si="225"/>
        <v>-48.81298252987235</v>
      </c>
      <c r="AC121" s="204">
        <f t="shared" si="225"/>
        <v>-49.156994018765893</v>
      </c>
      <c r="AD121" s="204">
        <f t="shared" si="225"/>
        <v>-49.51292086107668</v>
      </c>
      <c r="AE121" s="204">
        <f t="shared" si="225"/>
        <v>-49.880546626723003</v>
      </c>
      <c r="AF121" s="204">
        <f t="shared" si="225"/>
        <v>-50.259658816851953</v>
      </c>
      <c r="AG121" s="204">
        <f t="shared" si="225"/>
        <v>-50.650048792432663</v>
      </c>
      <c r="AH121" s="204">
        <f t="shared" si="225"/>
        <v>-51.051511704146662</v>
      </c>
      <c r="AI121" s="204">
        <f t="shared" si="225"/>
        <v>-51.463846423551665</v>
      </c>
      <c r="AJ121" s="204">
        <f t="shared" si="225"/>
        <v>-51.886855475495707</v>
      </c>
      <c r="AK121" s="204">
        <f t="shared" si="225"/>
        <v>-52.320344971758878</v>
      </c>
      <c r="AL121" s="204">
        <f t="shared" si="225"/>
        <v>-52.76412454590043</v>
      </c>
      <c r="AM121" s="204">
        <f t="shared" si="225"/>
        <v>-53.218007289289282</v>
      </c>
      <c r="AN121" s="204">
        <f t="shared" si="225"/>
        <v>-53.681809688296511</v>
      </c>
      <c r="AO121" s="204">
        <f t="shared" si="225"/>
        <v>-54.155351562628589</v>
      </c>
      <c r="AP121" s="204">
        <f t="shared" si="225"/>
        <v>-54.638456004780849</v>
      </c>
      <c r="AQ121" s="204">
        <f t="shared" si="225"/>
        <v>-55.130949320590631</v>
      </c>
      <c r="AR121" s="204">
        <f t="shared" si="225"/>
        <v>-55.632660970870248</v>
      </c>
      <c r="AS121" s="204">
        <f t="shared" si="225"/>
        <v>-56.143423514100107</v>
      </c>
      <c r="AT121" s="204">
        <f t="shared" si="225"/>
        <v>-56.663072550162802</v>
      </c>
      <c r="AU121" s="204">
        <f t="shared" si="225"/>
        <v>-57.191446665099171</v>
      </c>
      <c r="AV121" s="204">
        <f t="shared" si="225"/>
        <v>-57.728387376867829</v>
      </c>
      <c r="AW121" s="204">
        <f t="shared" si="225"/>
        <v>-58.273739082089882</v>
      </c>
      <c r="AX121" s="204">
        <f t="shared" si="225"/>
        <v>-58.827349003761015</v>
      </c>
      <c r="AY121" s="204">
        <f t="shared" si="225"/>
        <v>-59.389067139913323</v>
      </c>
      <c r="AZ121" s="204">
        <f t="shared" si="225"/>
        <v>-59.95874621320965</v>
      </c>
      <c r="BA121" s="204">
        <f t="shared" si="225"/>
        <v>-60.53624162145347</v>
      </c>
      <c r="BB121" s="204">
        <f t="shared" si="225"/>
        <v>-61.121411388997728</v>
      </c>
      <c r="BC121" s="204">
        <f t="shared" si="225"/>
        <v>-61.714116119036262</v>
      </c>
      <c r="BD121" s="204">
        <f t="shared" si="225"/>
        <v>-62.314218946761883</v>
      </c>
      <c r="BE121" s="204">
        <f t="shared" si="225"/>
        <v>-62.921585493375147</v>
      </c>
      <c r="BF121" s="204">
        <f t="shared" si="225"/>
        <v>-63.536083820928674</v>
      </c>
      <c r="BG121" s="204">
        <f t="shared" si="225"/>
        <v>-64.157584387991548</v>
      </c>
      <c r="BH121" s="204">
        <f t="shared" si="225"/>
        <v>-64.785960006119055</v>
      </c>
      <c r="BI121" s="204">
        <f t="shared" si="225"/>
        <v>-65.421085797113165</v>
      </c>
      <c r="BJ121" s="204">
        <f t="shared" si="225"/>
        <v>-66.062839151059279</v>
      </c>
      <c r="BK121" s="204">
        <f t="shared" si="225"/>
        <v>-66.711099685125177</v>
      </c>
      <c r="BL121" s="204">
        <f t="shared" si="225"/>
        <v>-67.365749203108379</v>
      </c>
      <c r="BM121" s="204">
        <f t="shared" si="225"/>
        <v>-68.026671655718303</v>
      </c>
      <c r="BN121" s="204">
        <f t="shared" si="225"/>
        <v>-68.693753101579787</v>
      </c>
      <c r="BO121" s="204">
        <f t="shared" si="225"/>
        <v>-69.366881668945013</v>
      </c>
      <c r="BP121" s="204">
        <f t="shared" si="225"/>
        <v>-70.04594751810086</v>
      </c>
      <c r="BQ121" s="204">
        <f t="shared" si="225"/>
        <v>-70.730842804459073</v>
      </c>
      <c r="BR121" s="204">
        <f t="shared" si="225"/>
        <v>-71.421461642316928</v>
      </c>
      <c r="BS121" s="204">
        <f t="shared" si="225"/>
        <v>-72.117700069276026</v>
      </c>
      <c r="BT121" s="204">
        <f t="shared" si="225"/>
        <v>-72.819456011307551</v>
      </c>
      <c r="BU121" s="204">
        <f t="shared" ref="BU121:EF121" si="226">PV($F75,BU$9,1,0)+(PV($J$6,$N$5-(BU$9),1,0)/($J$6+1)^BU$9)</f>
        <v>-73.526629248451897</v>
      </c>
      <c r="BV121" s="204">
        <f t="shared" si="226"/>
        <v>-74.239121381141487</v>
      </c>
      <c r="BW121" s="204">
        <f t="shared" si="226"/>
        <v>-74.956835797135199</v>
      </c>
      <c r="BX121" s="204">
        <f t="shared" si="226"/>
        <v>-75.679677639053423</v>
      </c>
      <c r="BY121" s="204">
        <f t="shared" si="226"/>
        <v>-76.407553772502823</v>
      </c>
      <c r="BZ121" s="204">
        <f t="shared" si="226"/>
        <v>-77.140372754780103</v>
      </c>
      <c r="CA121" s="204">
        <f t="shared" si="226"/>
        <v>-77.878044804144153</v>
      </c>
      <c r="CB121" s="204">
        <f t="shared" si="226"/>
        <v>-78.620481769646403</v>
      </c>
      <c r="CC121" s="204">
        <f t="shared" si="226"/>
        <v>-79.36759710150919</v>
      </c>
      <c r="CD121" s="204">
        <f t="shared" si="226"/>
        <v>-80.119305822042122</v>
      </c>
      <c r="CE121" s="204">
        <f t="shared" si="226"/>
        <v>-80.87552449708673</v>
      </c>
      <c r="CF121" s="204">
        <f t="shared" si="226"/>
        <v>-81.636171207979814</v>
      </c>
      <c r="CG121" s="204">
        <f t="shared" si="226"/>
        <v>-82.401165524026041</v>
      </c>
      <c r="CH121" s="204">
        <f t="shared" si="226"/>
        <v>-83.170428475470544</v>
      </c>
      <c r="CI121" s="204">
        <f t="shared" si="226"/>
        <v>-83.943882526962454</v>
      </c>
      <c r="CJ121" s="204">
        <f t="shared" si="226"/>
        <v>-84.721451551500408</v>
      </c>
      <c r="CK121" s="204">
        <f t="shared" si="226"/>
        <v>-85.503060804851359</v>
      </c>
      <c r="CL121" s="204">
        <f t="shared" si="226"/>
        <v>-86.288636900434042</v>
      </c>
      <c r="CM121" s="204">
        <f t="shared" si="226"/>
        <v>-87.07810778465857</v>
      </c>
      <c r="CN121" s="204">
        <f t="shared" si="226"/>
        <v>-87.871402712714072</v>
      </c>
      <c r="CO121" s="204">
        <f t="shared" si="226"/>
        <v>-88.668452224796056</v>
      </c>
      <c r="CP121" s="204">
        <f t="shared" si="226"/>
        <v>-89.469188122765601</v>
      </c>
      <c r="CQ121" s="204">
        <f t="shared" si="226"/>
        <v>-90.273543447232512</v>
      </c>
      <c r="CR121" s="204">
        <f t="shared" si="226"/>
        <v>-91.081452455054702</v>
      </c>
      <c r="CS121" s="204">
        <f t="shared" si="226"/>
        <v>-91.892850597246365</v>
      </c>
      <c r="CT121" s="204">
        <f t="shared" si="226"/>
        <v>-92.707674497287258</v>
      </c>
      <c r="CU121" s="204">
        <f t="shared" si="226"/>
        <v>-93.525861929826178</v>
      </c>
      <c r="CV121" s="204">
        <f t="shared" si="226"/>
        <v>-94.347351799771133</v>
      </c>
      <c r="CW121" s="204">
        <f t="shared" si="226"/>
        <v>-95.172084121759283</v>
      </c>
      <c r="CX121" s="204">
        <f t="shared" si="226"/>
        <v>-96</v>
      </c>
      <c r="CY121" s="204">
        <f t="shared" si="226"/>
        <v>-96</v>
      </c>
      <c r="CZ121" s="204">
        <f t="shared" si="226"/>
        <v>-96</v>
      </c>
      <c r="DA121" s="204">
        <f t="shared" si="226"/>
        <v>-96</v>
      </c>
      <c r="DB121" s="204">
        <f t="shared" si="226"/>
        <v>-96</v>
      </c>
      <c r="DC121" s="204">
        <f t="shared" si="226"/>
        <v>-96</v>
      </c>
      <c r="DD121" s="204">
        <f t="shared" si="226"/>
        <v>-96</v>
      </c>
      <c r="DE121" s="204">
        <f t="shared" si="226"/>
        <v>-96</v>
      </c>
      <c r="DF121" s="204">
        <f t="shared" si="226"/>
        <v>-96</v>
      </c>
      <c r="DG121" s="204">
        <f t="shared" si="226"/>
        <v>-96</v>
      </c>
      <c r="DH121" s="204">
        <f t="shared" si="226"/>
        <v>-96</v>
      </c>
      <c r="DI121" s="204">
        <f t="shared" si="226"/>
        <v>-96</v>
      </c>
      <c r="DJ121" s="204">
        <f t="shared" si="226"/>
        <v>-96</v>
      </c>
      <c r="DK121" s="204">
        <f t="shared" si="226"/>
        <v>-96</v>
      </c>
      <c r="DL121" s="204">
        <f t="shared" si="226"/>
        <v>-96</v>
      </c>
      <c r="DM121" s="204">
        <f t="shared" si="226"/>
        <v>-96</v>
      </c>
      <c r="DN121" s="204">
        <f t="shared" si="226"/>
        <v>-96</v>
      </c>
      <c r="DO121" s="204">
        <f t="shared" si="226"/>
        <v>-96</v>
      </c>
      <c r="DP121" s="204">
        <f t="shared" si="226"/>
        <v>-96</v>
      </c>
      <c r="DQ121" s="204">
        <f t="shared" si="226"/>
        <v>-96</v>
      </c>
      <c r="DR121" s="204">
        <f t="shared" si="226"/>
        <v>-96</v>
      </c>
      <c r="DS121" s="204">
        <f t="shared" si="226"/>
        <v>-96</v>
      </c>
      <c r="DT121" s="204">
        <f t="shared" si="226"/>
        <v>-96</v>
      </c>
      <c r="DU121" s="204">
        <f t="shared" si="226"/>
        <v>-96</v>
      </c>
      <c r="DV121" s="204">
        <f t="shared" si="226"/>
        <v>-96</v>
      </c>
      <c r="DW121" s="204">
        <f t="shared" si="226"/>
        <v>-96</v>
      </c>
      <c r="DX121" s="204">
        <f t="shared" si="226"/>
        <v>-96</v>
      </c>
      <c r="DY121" s="204">
        <f t="shared" si="226"/>
        <v>-96</v>
      </c>
      <c r="DZ121" s="204">
        <f t="shared" si="226"/>
        <v>-96</v>
      </c>
      <c r="EA121" s="204">
        <f t="shared" si="226"/>
        <v>-96</v>
      </c>
      <c r="EB121" s="204">
        <f t="shared" si="226"/>
        <v>-96</v>
      </c>
      <c r="EC121" s="204">
        <f t="shared" si="226"/>
        <v>-96</v>
      </c>
      <c r="ED121" s="204">
        <f t="shared" si="226"/>
        <v>-96</v>
      </c>
      <c r="EE121" s="204">
        <f t="shared" si="226"/>
        <v>-96</v>
      </c>
      <c r="EF121" s="204">
        <f t="shared" si="226"/>
        <v>-96</v>
      </c>
      <c r="EG121" s="204">
        <f t="shared" ref="EG121:ET121" si="227">PV($F75,EG$9,1,0)+(PV($J$6,$N$5-(EG$9),1,0)/($J$6+1)^EG$9)</f>
        <v>-96</v>
      </c>
      <c r="EH121" s="204">
        <f t="shared" si="227"/>
        <v>-96</v>
      </c>
      <c r="EI121" s="204">
        <f t="shared" si="227"/>
        <v>-96</v>
      </c>
      <c r="EJ121" s="204">
        <f t="shared" si="227"/>
        <v>-96</v>
      </c>
      <c r="EK121" s="204">
        <f t="shared" si="227"/>
        <v>-96</v>
      </c>
      <c r="EL121" s="204">
        <f t="shared" si="227"/>
        <v>-96</v>
      </c>
      <c r="EM121" s="204">
        <f t="shared" si="227"/>
        <v>-96</v>
      </c>
      <c r="EN121" s="204">
        <f t="shared" si="227"/>
        <v>-96</v>
      </c>
      <c r="EO121" s="204">
        <f t="shared" si="227"/>
        <v>-96</v>
      </c>
      <c r="EP121" s="204">
        <f t="shared" si="227"/>
        <v>-96</v>
      </c>
      <c r="EQ121" s="204">
        <f t="shared" si="227"/>
        <v>-96</v>
      </c>
      <c r="ER121" s="204">
        <f t="shared" si="227"/>
        <v>-96</v>
      </c>
      <c r="ES121" s="204">
        <f t="shared" si="227"/>
        <v>-96</v>
      </c>
      <c r="ET121" s="204">
        <f t="shared" si="227"/>
        <v>-96</v>
      </c>
      <c r="FF121" s="6" t="s">
        <v>328</v>
      </c>
      <c r="FG121" s="696">
        <v>2.5000000000000001E-2</v>
      </c>
      <c r="FH121" s="696">
        <v>120</v>
      </c>
      <c r="FI121" s="696">
        <v>2.0899999999999998E-2</v>
      </c>
      <c r="FJ121" s="255">
        <v>1.4499999999999999E-2</v>
      </c>
      <c r="FK121" s="71">
        <f t="shared" si="92"/>
        <v>2.5000000000000006E-4</v>
      </c>
      <c r="FL121" t="e">
        <f>VLOOKUP(FF121,'SIMULADOR COM SALDO'!$BX$22:$CK$1000,13,FALSE)</f>
        <v>#N/A</v>
      </c>
    </row>
    <row r="122" spans="7:168" x14ac:dyDescent="0.25">
      <c r="G122" s="103">
        <f t="shared" ref="G122:G150" si="228">PV($F76,G$9,1,0)+(PV($J$6,$N$5-(G$9),1,0)/($J$6+1))^G$9</f>
        <v>-44.770373601250576</v>
      </c>
      <c r="H122" s="204">
        <f t="shared" ref="H122:W150" si="229">PV($F76,H$9,1,0)+(PV($J$6,$N$5-(H$9),1,0)/($J$6+1)^H$9)</f>
        <v>-44.806371604802436</v>
      </c>
      <c r="I122" s="204">
        <f t="shared" si="229"/>
        <v>-44.859879708437063</v>
      </c>
      <c r="J122" s="204">
        <f t="shared" si="229"/>
        <v>-44.930579859281075</v>
      </c>
      <c r="K122" s="204">
        <f t="shared" si="229"/>
        <v>-45.018159781562872</v>
      </c>
      <c r="L122" s="204">
        <f t="shared" si="229"/>
        <v>-45.122312871677551</v>
      </c>
      <c r="M122" s="204">
        <f t="shared" si="229"/>
        <v>-45.24273809515784</v>
      </c>
      <c r="N122" s="204">
        <f t="shared" si="229"/>
        <v>-45.379139885516487</v>
      </c>
      <c r="O122" s="204">
        <f t="shared" si="229"/>
        <v>-45.53122804492606</v>
      </c>
      <c r="P122" s="204">
        <f t="shared" si="229"/>
        <v>-45.698717646702761</v>
      </c>
      <c r="Q122" s="204">
        <f t="shared" si="229"/>
        <v>-45.881328939561598</v>
      </c>
      <c r="R122" s="204">
        <f t="shared" si="229"/>
        <v>-46.078787253610507</v>
      </c>
      <c r="S122" s="204">
        <f t="shared" si="229"/>
        <v>-46.290822908052249</v>
      </c>
      <c r="T122" s="204">
        <f t="shared" si="229"/>
        <v>-46.517171120562551</v>
      </c>
      <c r="U122" s="204">
        <f t="shared" si="229"/>
        <v>-46.75757191831444</v>
      </c>
      <c r="V122" s="204">
        <f t="shared" si="229"/>
        <v>-47.011770050618708</v>
      </c>
      <c r="W122" s="204">
        <f t="shared" si="229"/>
        <v>-47.279514903151124</v>
      </c>
      <c r="X122" s="204">
        <f t="shared" ref="X122:CI122" si="230">PV($F76,X$9,1,0)+(PV($J$6,$N$5-(X$9),1,0)/($J$6+1)^X$9)</f>
        <v>-47.560560413737676</v>
      </c>
      <c r="Y122" s="204">
        <f t="shared" si="230"/>
        <v>-47.854664989669509</v>
      </c>
      <c r="Z122" s="204">
        <f t="shared" si="230"/>
        <v>-48.161591426519607</v>
      </c>
      <c r="AA122" s="204">
        <f t="shared" si="230"/>
        <v>-48.481106828434278</v>
      </c>
      <c r="AB122" s="204">
        <f t="shared" si="230"/>
        <v>-48.81298252987235</v>
      </c>
      <c r="AC122" s="204">
        <f t="shared" si="230"/>
        <v>-49.156994018765893</v>
      </c>
      <c r="AD122" s="204">
        <f t="shared" si="230"/>
        <v>-49.51292086107668</v>
      </c>
      <c r="AE122" s="204">
        <f t="shared" si="230"/>
        <v>-49.880546626723003</v>
      </c>
      <c r="AF122" s="204">
        <f t="shared" si="230"/>
        <v>-50.259658816851953</v>
      </c>
      <c r="AG122" s="204">
        <f t="shared" si="230"/>
        <v>-50.650048792432663</v>
      </c>
      <c r="AH122" s="204">
        <f t="shared" si="230"/>
        <v>-51.051511704146662</v>
      </c>
      <c r="AI122" s="204">
        <f t="shared" si="230"/>
        <v>-51.463846423551665</v>
      </c>
      <c r="AJ122" s="204">
        <f t="shared" si="230"/>
        <v>-51.886855475495707</v>
      </c>
      <c r="AK122" s="204">
        <f t="shared" si="230"/>
        <v>-52.320344971758878</v>
      </c>
      <c r="AL122" s="204">
        <f t="shared" si="230"/>
        <v>-52.76412454590043</v>
      </c>
      <c r="AM122" s="204">
        <f t="shared" si="230"/>
        <v>-53.218007289289282</v>
      </c>
      <c r="AN122" s="204">
        <f t="shared" si="230"/>
        <v>-53.681809688296511</v>
      </c>
      <c r="AO122" s="204">
        <f t="shared" si="230"/>
        <v>-54.155351562628589</v>
      </c>
      <c r="AP122" s="204">
        <f t="shared" si="230"/>
        <v>-54.638456004780849</v>
      </c>
      <c r="AQ122" s="204">
        <f t="shared" si="230"/>
        <v>-55.130949320590631</v>
      </c>
      <c r="AR122" s="204">
        <f t="shared" si="230"/>
        <v>-55.632660970870248</v>
      </c>
      <c r="AS122" s="204">
        <f t="shared" si="230"/>
        <v>-56.143423514100107</v>
      </c>
      <c r="AT122" s="204">
        <f t="shared" si="230"/>
        <v>-56.663072550162802</v>
      </c>
      <c r="AU122" s="204">
        <f t="shared" si="230"/>
        <v>-57.191446665099171</v>
      </c>
      <c r="AV122" s="204">
        <f t="shared" si="230"/>
        <v>-57.728387376867829</v>
      </c>
      <c r="AW122" s="204">
        <f t="shared" si="230"/>
        <v>-58.273739082089882</v>
      </c>
      <c r="AX122" s="204">
        <f t="shared" si="230"/>
        <v>-58.827349003761015</v>
      </c>
      <c r="AY122" s="204">
        <f t="shared" si="230"/>
        <v>-59.389067139913323</v>
      </c>
      <c r="AZ122" s="204">
        <f t="shared" si="230"/>
        <v>-59.95874621320965</v>
      </c>
      <c r="BA122" s="204">
        <f t="shared" si="230"/>
        <v>-60.53624162145347</v>
      </c>
      <c r="BB122" s="204">
        <f t="shared" si="230"/>
        <v>-61.121411388997728</v>
      </c>
      <c r="BC122" s="204">
        <f t="shared" si="230"/>
        <v>-61.714116119036262</v>
      </c>
      <c r="BD122" s="204">
        <f t="shared" si="230"/>
        <v>-62.314218946761883</v>
      </c>
      <c r="BE122" s="204">
        <f t="shared" si="230"/>
        <v>-62.921585493375147</v>
      </c>
      <c r="BF122" s="204">
        <f t="shared" si="230"/>
        <v>-63.536083820928674</v>
      </c>
      <c r="BG122" s="204">
        <f t="shared" si="230"/>
        <v>-64.157584387991548</v>
      </c>
      <c r="BH122" s="204">
        <f t="shared" si="230"/>
        <v>-64.785960006119055</v>
      </c>
      <c r="BI122" s="204">
        <f t="shared" si="230"/>
        <v>-65.421085797113165</v>
      </c>
      <c r="BJ122" s="204">
        <f t="shared" si="230"/>
        <v>-66.062839151059279</v>
      </c>
      <c r="BK122" s="204">
        <f t="shared" si="230"/>
        <v>-66.711099685125177</v>
      </c>
      <c r="BL122" s="204">
        <f t="shared" si="230"/>
        <v>-67.365749203108379</v>
      </c>
      <c r="BM122" s="204">
        <f t="shared" si="230"/>
        <v>-68.026671655718303</v>
      </c>
      <c r="BN122" s="204">
        <f t="shared" si="230"/>
        <v>-68.693753101579787</v>
      </c>
      <c r="BO122" s="204">
        <f t="shared" si="230"/>
        <v>-69.366881668945013</v>
      </c>
      <c r="BP122" s="204">
        <f t="shared" si="230"/>
        <v>-70.04594751810086</v>
      </c>
      <c r="BQ122" s="204">
        <f t="shared" si="230"/>
        <v>-70.730842804459073</v>
      </c>
      <c r="BR122" s="204">
        <f t="shared" si="230"/>
        <v>-71.421461642316928</v>
      </c>
      <c r="BS122" s="204">
        <f t="shared" si="230"/>
        <v>-72.117700069276026</v>
      </c>
      <c r="BT122" s="204">
        <f t="shared" si="230"/>
        <v>-72.819456011307551</v>
      </c>
      <c r="BU122" s="204">
        <f t="shared" si="230"/>
        <v>-73.526629248451897</v>
      </c>
      <c r="BV122" s="204">
        <f t="shared" si="230"/>
        <v>-74.239121381141487</v>
      </c>
      <c r="BW122" s="204">
        <f t="shared" si="230"/>
        <v>-74.956835797135199</v>
      </c>
      <c r="BX122" s="204">
        <f t="shared" si="230"/>
        <v>-75.679677639053423</v>
      </c>
      <c r="BY122" s="204">
        <f t="shared" si="230"/>
        <v>-76.407553772502823</v>
      </c>
      <c r="BZ122" s="204">
        <f t="shared" si="230"/>
        <v>-77.140372754780103</v>
      </c>
      <c r="CA122" s="204">
        <f t="shared" si="230"/>
        <v>-77.878044804144153</v>
      </c>
      <c r="CB122" s="204">
        <f t="shared" si="230"/>
        <v>-78.620481769646403</v>
      </c>
      <c r="CC122" s="204">
        <f t="shared" si="230"/>
        <v>-79.36759710150919</v>
      </c>
      <c r="CD122" s="204">
        <f t="shared" si="230"/>
        <v>-80.119305822042122</v>
      </c>
      <c r="CE122" s="204">
        <f t="shared" si="230"/>
        <v>-80.87552449708673</v>
      </c>
      <c r="CF122" s="204">
        <f t="shared" si="230"/>
        <v>-81.636171207979814</v>
      </c>
      <c r="CG122" s="204">
        <f t="shared" si="230"/>
        <v>-82.401165524026041</v>
      </c>
      <c r="CH122" s="204">
        <f t="shared" si="230"/>
        <v>-83.170428475470544</v>
      </c>
      <c r="CI122" s="204">
        <f t="shared" si="230"/>
        <v>-83.943882526962454</v>
      </c>
      <c r="CJ122" s="204">
        <f t="shared" ref="CJ122:ET122" si="231">PV($F76,CJ$9,1,0)+(PV($J$6,$N$5-(CJ$9),1,0)/($J$6+1)^CJ$9)</f>
        <v>-84.721451551500408</v>
      </c>
      <c r="CK122" s="204">
        <f t="shared" si="231"/>
        <v>-85.503060804851359</v>
      </c>
      <c r="CL122" s="204">
        <f t="shared" si="231"/>
        <v>-86.288636900434042</v>
      </c>
      <c r="CM122" s="204">
        <f t="shared" si="231"/>
        <v>-87.07810778465857</v>
      </c>
      <c r="CN122" s="204">
        <f t="shared" si="231"/>
        <v>-87.871402712714072</v>
      </c>
      <c r="CO122" s="204">
        <f t="shared" si="231"/>
        <v>-88.668452224796056</v>
      </c>
      <c r="CP122" s="204">
        <f t="shared" si="231"/>
        <v>-89.469188122765601</v>
      </c>
      <c r="CQ122" s="204">
        <f t="shared" si="231"/>
        <v>-90.273543447232512</v>
      </c>
      <c r="CR122" s="204">
        <f t="shared" si="231"/>
        <v>-91.081452455054702</v>
      </c>
      <c r="CS122" s="204">
        <f t="shared" si="231"/>
        <v>-91.892850597246365</v>
      </c>
      <c r="CT122" s="204">
        <f t="shared" si="231"/>
        <v>-92.707674497287258</v>
      </c>
      <c r="CU122" s="204">
        <f t="shared" si="231"/>
        <v>-93.525861929826178</v>
      </c>
      <c r="CV122" s="204">
        <f t="shared" si="231"/>
        <v>-94.347351799771133</v>
      </c>
      <c r="CW122" s="204">
        <f t="shared" si="231"/>
        <v>-95.172084121759283</v>
      </c>
      <c r="CX122" s="204">
        <f t="shared" si="231"/>
        <v>-96</v>
      </c>
      <c r="CY122" s="204">
        <f t="shared" si="231"/>
        <v>-96</v>
      </c>
      <c r="CZ122" s="204">
        <f t="shared" si="231"/>
        <v>-96</v>
      </c>
      <c r="DA122" s="204">
        <f t="shared" si="231"/>
        <v>-96</v>
      </c>
      <c r="DB122" s="204">
        <f t="shared" si="231"/>
        <v>-96</v>
      </c>
      <c r="DC122" s="204">
        <f t="shared" si="231"/>
        <v>-96</v>
      </c>
      <c r="DD122" s="204">
        <f t="shared" si="231"/>
        <v>-96</v>
      </c>
      <c r="DE122" s="204">
        <f t="shared" si="231"/>
        <v>-96</v>
      </c>
      <c r="DF122" s="204">
        <f t="shared" si="231"/>
        <v>-96</v>
      </c>
      <c r="DG122" s="204">
        <f t="shared" si="231"/>
        <v>-96</v>
      </c>
      <c r="DH122" s="204">
        <f t="shared" si="231"/>
        <v>-96</v>
      </c>
      <c r="DI122" s="204">
        <f t="shared" si="231"/>
        <v>-96</v>
      </c>
      <c r="DJ122" s="204">
        <f t="shared" si="231"/>
        <v>-96</v>
      </c>
      <c r="DK122" s="204">
        <f t="shared" si="231"/>
        <v>-96</v>
      </c>
      <c r="DL122" s="204">
        <f t="shared" si="231"/>
        <v>-96</v>
      </c>
      <c r="DM122" s="204">
        <f t="shared" si="231"/>
        <v>-96</v>
      </c>
      <c r="DN122" s="204">
        <f t="shared" si="231"/>
        <v>-96</v>
      </c>
      <c r="DO122" s="204">
        <f t="shared" si="231"/>
        <v>-96</v>
      </c>
      <c r="DP122" s="204">
        <f t="shared" si="231"/>
        <v>-96</v>
      </c>
      <c r="DQ122" s="204">
        <f t="shared" si="231"/>
        <v>-96</v>
      </c>
      <c r="DR122" s="204">
        <f t="shared" si="231"/>
        <v>-96</v>
      </c>
      <c r="DS122" s="204">
        <f t="shared" si="231"/>
        <v>-96</v>
      </c>
      <c r="DT122" s="204">
        <f t="shared" si="231"/>
        <v>-96</v>
      </c>
      <c r="DU122" s="204">
        <f t="shared" si="231"/>
        <v>-96</v>
      </c>
      <c r="DV122" s="204">
        <f t="shared" si="231"/>
        <v>-96</v>
      </c>
      <c r="DW122" s="204">
        <f t="shared" si="231"/>
        <v>-96</v>
      </c>
      <c r="DX122" s="204">
        <f t="shared" si="231"/>
        <v>-96</v>
      </c>
      <c r="DY122" s="204">
        <f t="shared" si="231"/>
        <v>-96</v>
      </c>
      <c r="DZ122" s="204">
        <f t="shared" si="231"/>
        <v>-96</v>
      </c>
      <c r="EA122" s="204">
        <f t="shared" si="231"/>
        <v>-96</v>
      </c>
      <c r="EB122" s="204">
        <f t="shared" si="231"/>
        <v>-96</v>
      </c>
      <c r="EC122" s="204">
        <f t="shared" si="231"/>
        <v>-96</v>
      </c>
      <c r="ED122" s="204">
        <f t="shared" si="231"/>
        <v>-96</v>
      </c>
      <c r="EE122" s="204">
        <f t="shared" si="231"/>
        <v>-96</v>
      </c>
      <c r="EF122" s="204">
        <f t="shared" si="231"/>
        <v>-96</v>
      </c>
      <c r="EG122" s="204">
        <f t="shared" si="231"/>
        <v>-96</v>
      </c>
      <c r="EH122" s="204">
        <f t="shared" si="231"/>
        <v>-96</v>
      </c>
      <c r="EI122" s="204">
        <f t="shared" si="231"/>
        <v>-96</v>
      </c>
      <c r="EJ122" s="204">
        <f t="shared" si="231"/>
        <v>-96</v>
      </c>
      <c r="EK122" s="204">
        <f t="shared" si="231"/>
        <v>-96</v>
      </c>
      <c r="EL122" s="204">
        <f t="shared" si="231"/>
        <v>-96</v>
      </c>
      <c r="EM122" s="204">
        <f t="shared" si="231"/>
        <v>-96</v>
      </c>
      <c r="EN122" s="204">
        <f t="shared" si="231"/>
        <v>-96</v>
      </c>
      <c r="EO122" s="204">
        <f t="shared" si="231"/>
        <v>-96</v>
      </c>
      <c r="EP122" s="204">
        <f t="shared" si="231"/>
        <v>-96</v>
      </c>
      <c r="EQ122" s="204">
        <f t="shared" si="231"/>
        <v>-96</v>
      </c>
      <c r="ER122" s="204">
        <f t="shared" si="231"/>
        <v>-96</v>
      </c>
      <c r="ES122" s="204">
        <f t="shared" si="231"/>
        <v>-96</v>
      </c>
      <c r="ET122" s="204">
        <f t="shared" si="231"/>
        <v>-96</v>
      </c>
      <c r="FF122" s="6" t="s">
        <v>332</v>
      </c>
      <c r="FG122" s="696">
        <v>2.3900000000000001E-2</v>
      </c>
      <c r="FH122" s="696">
        <v>120</v>
      </c>
      <c r="FI122" s="696">
        <v>2.0899999999999998E-2</v>
      </c>
      <c r="FJ122" s="255">
        <v>1.6E-2</v>
      </c>
      <c r="FK122" s="71">
        <f t="shared" si="92"/>
        <v>1.8809523809523813E-4</v>
      </c>
      <c r="FL122" t="e">
        <f>VLOOKUP(FF122,'SIMULADOR COM SALDO'!$BX$22:$CK$1000,13,FALSE)</f>
        <v>#N/A</v>
      </c>
    </row>
    <row r="123" spans="7:168" x14ac:dyDescent="0.25">
      <c r="G123" s="103">
        <f t="shared" si="228"/>
        <v>-44.770373601250576</v>
      </c>
      <c r="H123" s="204">
        <f t="shared" si="229"/>
        <v>-44.806371604802436</v>
      </c>
      <c r="I123" s="204">
        <f t="shared" si="229"/>
        <v>-44.859879708437063</v>
      </c>
      <c r="J123" s="204">
        <f t="shared" si="229"/>
        <v>-44.930579859281075</v>
      </c>
      <c r="K123" s="204">
        <f t="shared" si="229"/>
        <v>-45.018159781562872</v>
      </c>
      <c r="L123" s="204">
        <f t="shared" si="229"/>
        <v>-45.122312871677551</v>
      </c>
      <c r="M123" s="204">
        <f t="shared" si="229"/>
        <v>-45.24273809515784</v>
      </c>
      <c r="N123" s="204">
        <f t="shared" si="229"/>
        <v>-45.379139885516487</v>
      </c>
      <c r="O123" s="204">
        <f t="shared" si="229"/>
        <v>-45.53122804492606</v>
      </c>
      <c r="P123" s="204">
        <f t="shared" si="229"/>
        <v>-45.698717646702761</v>
      </c>
      <c r="Q123" s="204">
        <f t="shared" si="229"/>
        <v>-45.881328939561598</v>
      </c>
      <c r="R123" s="204">
        <f t="shared" si="229"/>
        <v>-46.078787253610507</v>
      </c>
      <c r="S123" s="204">
        <f t="shared" si="229"/>
        <v>-46.290822908052249</v>
      </c>
      <c r="T123" s="204">
        <f t="shared" si="229"/>
        <v>-46.517171120562551</v>
      </c>
      <c r="U123" s="204">
        <f t="shared" si="229"/>
        <v>-46.75757191831444</v>
      </c>
      <c r="V123" s="204">
        <f t="shared" si="229"/>
        <v>-47.011770050618708</v>
      </c>
      <c r="W123" s="204">
        <f t="shared" si="229"/>
        <v>-47.279514903151124</v>
      </c>
      <c r="X123" s="204">
        <f t="shared" ref="X123:CI123" si="232">PV($F77,X$9,1,0)+(PV($J$6,$N$5-(X$9),1,0)/($J$6+1)^X$9)</f>
        <v>-47.560560413737676</v>
      </c>
      <c r="Y123" s="204">
        <f t="shared" si="232"/>
        <v>-47.854664989669509</v>
      </c>
      <c r="Z123" s="204">
        <f t="shared" si="232"/>
        <v>-48.161591426519607</v>
      </c>
      <c r="AA123" s="204">
        <f t="shared" si="232"/>
        <v>-48.481106828434278</v>
      </c>
      <c r="AB123" s="204">
        <f t="shared" si="232"/>
        <v>-48.81298252987235</v>
      </c>
      <c r="AC123" s="204">
        <f t="shared" si="232"/>
        <v>-49.156994018765893</v>
      </c>
      <c r="AD123" s="204">
        <f t="shared" si="232"/>
        <v>-49.51292086107668</v>
      </c>
      <c r="AE123" s="204">
        <f t="shared" si="232"/>
        <v>-49.880546626723003</v>
      </c>
      <c r="AF123" s="204">
        <f t="shared" si="232"/>
        <v>-50.259658816851953</v>
      </c>
      <c r="AG123" s="204">
        <f t="shared" si="232"/>
        <v>-50.650048792432663</v>
      </c>
      <c r="AH123" s="204">
        <f t="shared" si="232"/>
        <v>-51.051511704146662</v>
      </c>
      <c r="AI123" s="204">
        <f t="shared" si="232"/>
        <v>-51.463846423551665</v>
      </c>
      <c r="AJ123" s="204">
        <f t="shared" si="232"/>
        <v>-51.886855475495707</v>
      </c>
      <c r="AK123" s="204">
        <f t="shared" si="232"/>
        <v>-52.320344971758878</v>
      </c>
      <c r="AL123" s="204">
        <f t="shared" si="232"/>
        <v>-52.76412454590043</v>
      </c>
      <c r="AM123" s="204">
        <f t="shared" si="232"/>
        <v>-53.218007289289282</v>
      </c>
      <c r="AN123" s="204">
        <f t="shared" si="232"/>
        <v>-53.681809688296511</v>
      </c>
      <c r="AO123" s="204">
        <f t="shared" si="232"/>
        <v>-54.155351562628589</v>
      </c>
      <c r="AP123" s="204">
        <f t="shared" si="232"/>
        <v>-54.638456004780849</v>
      </c>
      <c r="AQ123" s="204">
        <f t="shared" si="232"/>
        <v>-55.130949320590631</v>
      </c>
      <c r="AR123" s="204">
        <f t="shared" si="232"/>
        <v>-55.632660970870248</v>
      </c>
      <c r="AS123" s="204">
        <f t="shared" si="232"/>
        <v>-56.143423514100107</v>
      </c>
      <c r="AT123" s="204">
        <f t="shared" si="232"/>
        <v>-56.663072550162802</v>
      </c>
      <c r="AU123" s="204">
        <f t="shared" si="232"/>
        <v>-57.191446665099171</v>
      </c>
      <c r="AV123" s="204">
        <f t="shared" si="232"/>
        <v>-57.728387376867829</v>
      </c>
      <c r="AW123" s="204">
        <f t="shared" si="232"/>
        <v>-58.273739082089882</v>
      </c>
      <c r="AX123" s="204">
        <f t="shared" si="232"/>
        <v>-58.827349003761015</v>
      </c>
      <c r="AY123" s="204">
        <f t="shared" si="232"/>
        <v>-59.389067139913323</v>
      </c>
      <c r="AZ123" s="204">
        <f t="shared" si="232"/>
        <v>-59.95874621320965</v>
      </c>
      <c r="BA123" s="204">
        <f t="shared" si="232"/>
        <v>-60.53624162145347</v>
      </c>
      <c r="BB123" s="204">
        <f t="shared" si="232"/>
        <v>-61.121411388997728</v>
      </c>
      <c r="BC123" s="204">
        <f t="shared" si="232"/>
        <v>-61.714116119036262</v>
      </c>
      <c r="BD123" s="204">
        <f t="shared" si="232"/>
        <v>-62.314218946761883</v>
      </c>
      <c r="BE123" s="204">
        <f t="shared" si="232"/>
        <v>-62.921585493375147</v>
      </c>
      <c r="BF123" s="204">
        <f t="shared" si="232"/>
        <v>-63.536083820928674</v>
      </c>
      <c r="BG123" s="204">
        <f t="shared" si="232"/>
        <v>-64.157584387991548</v>
      </c>
      <c r="BH123" s="204">
        <f t="shared" si="232"/>
        <v>-64.785960006119055</v>
      </c>
      <c r="BI123" s="204">
        <f t="shared" si="232"/>
        <v>-65.421085797113165</v>
      </c>
      <c r="BJ123" s="204">
        <f t="shared" si="232"/>
        <v>-66.062839151059279</v>
      </c>
      <c r="BK123" s="204">
        <f t="shared" si="232"/>
        <v>-66.711099685125177</v>
      </c>
      <c r="BL123" s="204">
        <f t="shared" si="232"/>
        <v>-67.365749203108379</v>
      </c>
      <c r="BM123" s="204">
        <f t="shared" si="232"/>
        <v>-68.026671655718303</v>
      </c>
      <c r="BN123" s="204">
        <f t="shared" si="232"/>
        <v>-68.693753101579787</v>
      </c>
      <c r="BO123" s="204">
        <f t="shared" si="232"/>
        <v>-69.366881668945013</v>
      </c>
      <c r="BP123" s="204">
        <f t="shared" si="232"/>
        <v>-70.04594751810086</v>
      </c>
      <c r="BQ123" s="204">
        <f t="shared" si="232"/>
        <v>-70.730842804459073</v>
      </c>
      <c r="BR123" s="204">
        <f t="shared" si="232"/>
        <v>-71.421461642316928</v>
      </c>
      <c r="BS123" s="204">
        <f t="shared" si="232"/>
        <v>-72.117700069276026</v>
      </c>
      <c r="BT123" s="204">
        <f t="shared" si="232"/>
        <v>-72.819456011307551</v>
      </c>
      <c r="BU123" s="204">
        <f t="shared" si="232"/>
        <v>-73.526629248451897</v>
      </c>
      <c r="BV123" s="204">
        <f t="shared" si="232"/>
        <v>-74.239121381141487</v>
      </c>
      <c r="BW123" s="204">
        <f t="shared" si="232"/>
        <v>-74.956835797135199</v>
      </c>
      <c r="BX123" s="204">
        <f t="shared" si="232"/>
        <v>-75.679677639053423</v>
      </c>
      <c r="BY123" s="204">
        <f t="shared" si="232"/>
        <v>-76.407553772502823</v>
      </c>
      <c r="BZ123" s="204">
        <f t="shared" si="232"/>
        <v>-77.140372754780103</v>
      </c>
      <c r="CA123" s="204">
        <f t="shared" si="232"/>
        <v>-77.878044804144153</v>
      </c>
      <c r="CB123" s="204">
        <f t="shared" si="232"/>
        <v>-78.620481769646403</v>
      </c>
      <c r="CC123" s="204">
        <f t="shared" si="232"/>
        <v>-79.36759710150919</v>
      </c>
      <c r="CD123" s="204">
        <f t="shared" si="232"/>
        <v>-80.119305822042122</v>
      </c>
      <c r="CE123" s="204">
        <f t="shared" si="232"/>
        <v>-80.87552449708673</v>
      </c>
      <c r="CF123" s="204">
        <f t="shared" si="232"/>
        <v>-81.636171207979814</v>
      </c>
      <c r="CG123" s="204">
        <f t="shared" si="232"/>
        <v>-82.401165524026041</v>
      </c>
      <c r="CH123" s="204">
        <f t="shared" si="232"/>
        <v>-83.170428475470544</v>
      </c>
      <c r="CI123" s="204">
        <f t="shared" si="232"/>
        <v>-83.943882526962454</v>
      </c>
      <c r="CJ123" s="204">
        <f t="shared" ref="CJ123:ET123" si="233">PV($F77,CJ$9,1,0)+(PV($J$6,$N$5-(CJ$9),1,0)/($J$6+1)^CJ$9)</f>
        <v>-84.721451551500408</v>
      </c>
      <c r="CK123" s="204">
        <f t="shared" si="233"/>
        <v>-85.503060804851359</v>
      </c>
      <c r="CL123" s="204">
        <f t="shared" si="233"/>
        <v>-86.288636900434042</v>
      </c>
      <c r="CM123" s="204">
        <f t="shared" si="233"/>
        <v>-87.07810778465857</v>
      </c>
      <c r="CN123" s="204">
        <f t="shared" si="233"/>
        <v>-87.871402712714072</v>
      </c>
      <c r="CO123" s="204">
        <f t="shared" si="233"/>
        <v>-88.668452224796056</v>
      </c>
      <c r="CP123" s="204">
        <f t="shared" si="233"/>
        <v>-89.469188122765601</v>
      </c>
      <c r="CQ123" s="204">
        <f t="shared" si="233"/>
        <v>-90.273543447232512</v>
      </c>
      <c r="CR123" s="204">
        <f t="shared" si="233"/>
        <v>-91.081452455054702</v>
      </c>
      <c r="CS123" s="204">
        <f t="shared" si="233"/>
        <v>-91.892850597246365</v>
      </c>
      <c r="CT123" s="204">
        <f t="shared" si="233"/>
        <v>-92.707674497287258</v>
      </c>
      <c r="CU123" s="204">
        <f t="shared" si="233"/>
        <v>-93.525861929826178</v>
      </c>
      <c r="CV123" s="204">
        <f t="shared" si="233"/>
        <v>-94.347351799771133</v>
      </c>
      <c r="CW123" s="204">
        <f t="shared" si="233"/>
        <v>-95.172084121759283</v>
      </c>
      <c r="CX123" s="204">
        <f t="shared" si="233"/>
        <v>-96</v>
      </c>
      <c r="CY123" s="204">
        <f t="shared" si="233"/>
        <v>-96</v>
      </c>
      <c r="CZ123" s="204">
        <f t="shared" si="233"/>
        <v>-96</v>
      </c>
      <c r="DA123" s="204">
        <f t="shared" si="233"/>
        <v>-96</v>
      </c>
      <c r="DB123" s="204">
        <f t="shared" si="233"/>
        <v>-96</v>
      </c>
      <c r="DC123" s="204">
        <f t="shared" si="233"/>
        <v>-96</v>
      </c>
      <c r="DD123" s="204">
        <f t="shared" si="233"/>
        <v>-96</v>
      </c>
      <c r="DE123" s="204">
        <f t="shared" si="233"/>
        <v>-96</v>
      </c>
      <c r="DF123" s="204">
        <f t="shared" si="233"/>
        <v>-96</v>
      </c>
      <c r="DG123" s="204">
        <f t="shared" si="233"/>
        <v>-96</v>
      </c>
      <c r="DH123" s="204">
        <f t="shared" si="233"/>
        <v>-96</v>
      </c>
      <c r="DI123" s="204">
        <f t="shared" si="233"/>
        <v>-96</v>
      </c>
      <c r="DJ123" s="204">
        <f t="shared" si="233"/>
        <v>-96</v>
      </c>
      <c r="DK123" s="204">
        <f t="shared" si="233"/>
        <v>-96</v>
      </c>
      <c r="DL123" s="204">
        <f t="shared" si="233"/>
        <v>-96</v>
      </c>
      <c r="DM123" s="204">
        <f t="shared" si="233"/>
        <v>-96</v>
      </c>
      <c r="DN123" s="204">
        <f t="shared" si="233"/>
        <v>-96</v>
      </c>
      <c r="DO123" s="204">
        <f t="shared" si="233"/>
        <v>-96</v>
      </c>
      <c r="DP123" s="204">
        <f t="shared" si="233"/>
        <v>-96</v>
      </c>
      <c r="DQ123" s="204">
        <f t="shared" si="233"/>
        <v>-96</v>
      </c>
      <c r="DR123" s="204">
        <f t="shared" si="233"/>
        <v>-96</v>
      </c>
      <c r="DS123" s="204">
        <f t="shared" si="233"/>
        <v>-96</v>
      </c>
      <c r="DT123" s="204">
        <f t="shared" si="233"/>
        <v>-96</v>
      </c>
      <c r="DU123" s="204">
        <f t="shared" si="233"/>
        <v>-96</v>
      </c>
      <c r="DV123" s="204">
        <f t="shared" si="233"/>
        <v>-96</v>
      </c>
      <c r="DW123" s="204">
        <f t="shared" si="233"/>
        <v>-96</v>
      </c>
      <c r="DX123" s="204">
        <f t="shared" si="233"/>
        <v>-96</v>
      </c>
      <c r="DY123" s="204">
        <f t="shared" si="233"/>
        <v>-96</v>
      </c>
      <c r="DZ123" s="204">
        <f t="shared" si="233"/>
        <v>-96</v>
      </c>
      <c r="EA123" s="204">
        <f t="shared" si="233"/>
        <v>-96</v>
      </c>
      <c r="EB123" s="204">
        <f t="shared" si="233"/>
        <v>-96</v>
      </c>
      <c r="EC123" s="204">
        <f t="shared" si="233"/>
        <v>-96</v>
      </c>
      <c r="ED123" s="204">
        <f t="shared" si="233"/>
        <v>-96</v>
      </c>
      <c r="EE123" s="204">
        <f t="shared" si="233"/>
        <v>-96</v>
      </c>
      <c r="EF123" s="204">
        <f t="shared" si="233"/>
        <v>-96</v>
      </c>
      <c r="EG123" s="204">
        <f t="shared" si="233"/>
        <v>-96</v>
      </c>
      <c r="EH123" s="204">
        <f t="shared" si="233"/>
        <v>-96</v>
      </c>
      <c r="EI123" s="204">
        <f t="shared" si="233"/>
        <v>-96</v>
      </c>
      <c r="EJ123" s="204">
        <f t="shared" si="233"/>
        <v>-96</v>
      </c>
      <c r="EK123" s="204">
        <f t="shared" si="233"/>
        <v>-96</v>
      </c>
      <c r="EL123" s="204">
        <f t="shared" si="233"/>
        <v>-96</v>
      </c>
      <c r="EM123" s="204">
        <f t="shared" si="233"/>
        <v>-96</v>
      </c>
      <c r="EN123" s="204">
        <f t="shared" si="233"/>
        <v>-96</v>
      </c>
      <c r="EO123" s="204">
        <f t="shared" si="233"/>
        <v>-96</v>
      </c>
      <c r="EP123" s="204">
        <f t="shared" si="233"/>
        <v>-96</v>
      </c>
      <c r="EQ123" s="204">
        <f t="shared" si="233"/>
        <v>-96</v>
      </c>
      <c r="ER123" s="204">
        <f t="shared" si="233"/>
        <v>-96</v>
      </c>
      <c r="ES123" s="204">
        <f t="shared" si="233"/>
        <v>-96</v>
      </c>
      <c r="ET123" s="204">
        <f t="shared" si="233"/>
        <v>-96</v>
      </c>
      <c r="FF123" s="6" t="s">
        <v>1063</v>
      </c>
      <c r="FG123" s="696">
        <v>2.0499999999999997E-2</v>
      </c>
      <c r="FH123" s="696">
        <v>120</v>
      </c>
      <c r="FI123" s="696">
        <v>1.95E-2</v>
      </c>
      <c r="FJ123" s="255">
        <v>1.3500000000000002E-2</v>
      </c>
      <c r="FK123" s="71">
        <f t="shared" si="92"/>
        <v>1.6666666666666658E-4</v>
      </c>
      <c r="FL123" t="e">
        <f>VLOOKUP(FF123,'SIMULADOR COM SALDO'!$BX$22:$CK$1000,13,FALSE)</f>
        <v>#N/A</v>
      </c>
    </row>
    <row r="124" spans="7:168" x14ac:dyDescent="0.25">
      <c r="G124" s="103">
        <f t="shared" si="228"/>
        <v>-44.770373601250576</v>
      </c>
      <c r="H124" s="204">
        <f t="shared" si="229"/>
        <v>-44.806371604802436</v>
      </c>
      <c r="I124" s="204">
        <f t="shared" si="229"/>
        <v>-44.859879708437063</v>
      </c>
      <c r="J124" s="204">
        <f t="shared" si="229"/>
        <v>-44.930579859281075</v>
      </c>
      <c r="K124" s="204">
        <f t="shared" si="229"/>
        <v>-45.018159781562872</v>
      </c>
      <c r="L124" s="204">
        <f t="shared" si="229"/>
        <v>-45.122312871677551</v>
      </c>
      <c r="M124" s="204">
        <f t="shared" si="229"/>
        <v>-45.24273809515784</v>
      </c>
      <c r="N124" s="204">
        <f t="shared" si="229"/>
        <v>-45.379139885516487</v>
      </c>
      <c r="O124" s="204">
        <f t="shared" si="229"/>
        <v>-45.53122804492606</v>
      </c>
      <c r="P124" s="204">
        <f t="shared" si="229"/>
        <v>-45.698717646702761</v>
      </c>
      <c r="Q124" s="204">
        <f t="shared" si="229"/>
        <v>-45.881328939561598</v>
      </c>
      <c r="R124" s="204">
        <f t="shared" si="229"/>
        <v>-46.078787253610507</v>
      </c>
      <c r="S124" s="204">
        <f t="shared" si="229"/>
        <v>-46.290822908052249</v>
      </c>
      <c r="T124" s="204">
        <f t="shared" si="229"/>
        <v>-46.517171120562551</v>
      </c>
      <c r="U124" s="204">
        <f t="shared" si="229"/>
        <v>-46.75757191831444</v>
      </c>
      <c r="V124" s="204">
        <f t="shared" si="229"/>
        <v>-47.011770050618708</v>
      </c>
      <c r="W124" s="204">
        <f t="shared" si="229"/>
        <v>-47.279514903151124</v>
      </c>
      <c r="X124" s="204">
        <f t="shared" ref="X124:CI124" si="234">PV($F78,X$9,1,0)+(PV($J$6,$N$5-(X$9),1,0)/($J$6+1)^X$9)</f>
        <v>-47.560560413737676</v>
      </c>
      <c r="Y124" s="204">
        <f t="shared" si="234"/>
        <v>-47.854664989669509</v>
      </c>
      <c r="Z124" s="204">
        <f t="shared" si="234"/>
        <v>-48.161591426519607</v>
      </c>
      <c r="AA124" s="204">
        <f t="shared" si="234"/>
        <v>-48.481106828434278</v>
      </c>
      <c r="AB124" s="204">
        <f t="shared" si="234"/>
        <v>-48.81298252987235</v>
      </c>
      <c r="AC124" s="204">
        <f t="shared" si="234"/>
        <v>-49.156994018765893</v>
      </c>
      <c r="AD124" s="204">
        <f t="shared" si="234"/>
        <v>-49.51292086107668</v>
      </c>
      <c r="AE124" s="204">
        <f t="shared" si="234"/>
        <v>-49.880546626723003</v>
      </c>
      <c r="AF124" s="204">
        <f t="shared" si="234"/>
        <v>-50.259658816851953</v>
      </c>
      <c r="AG124" s="204">
        <f t="shared" si="234"/>
        <v>-50.650048792432663</v>
      </c>
      <c r="AH124" s="204">
        <f t="shared" si="234"/>
        <v>-51.051511704146662</v>
      </c>
      <c r="AI124" s="204">
        <f t="shared" si="234"/>
        <v>-51.463846423551665</v>
      </c>
      <c r="AJ124" s="204">
        <f t="shared" si="234"/>
        <v>-51.886855475495707</v>
      </c>
      <c r="AK124" s="204">
        <f t="shared" si="234"/>
        <v>-52.320344971758878</v>
      </c>
      <c r="AL124" s="204">
        <f t="shared" si="234"/>
        <v>-52.76412454590043</v>
      </c>
      <c r="AM124" s="204">
        <f t="shared" si="234"/>
        <v>-53.218007289289282</v>
      </c>
      <c r="AN124" s="204">
        <f t="shared" si="234"/>
        <v>-53.681809688296511</v>
      </c>
      <c r="AO124" s="204">
        <f t="shared" si="234"/>
        <v>-54.155351562628589</v>
      </c>
      <c r="AP124" s="204">
        <f t="shared" si="234"/>
        <v>-54.638456004780849</v>
      </c>
      <c r="AQ124" s="204">
        <f t="shared" si="234"/>
        <v>-55.130949320590631</v>
      </c>
      <c r="AR124" s="204">
        <f t="shared" si="234"/>
        <v>-55.632660970870248</v>
      </c>
      <c r="AS124" s="204">
        <f t="shared" si="234"/>
        <v>-56.143423514100107</v>
      </c>
      <c r="AT124" s="204">
        <f t="shared" si="234"/>
        <v>-56.663072550162802</v>
      </c>
      <c r="AU124" s="204">
        <f t="shared" si="234"/>
        <v>-57.191446665099171</v>
      </c>
      <c r="AV124" s="204">
        <f t="shared" si="234"/>
        <v>-57.728387376867829</v>
      </c>
      <c r="AW124" s="204">
        <f t="shared" si="234"/>
        <v>-58.273739082089882</v>
      </c>
      <c r="AX124" s="204">
        <f t="shared" si="234"/>
        <v>-58.827349003761015</v>
      </c>
      <c r="AY124" s="204">
        <f t="shared" si="234"/>
        <v>-59.389067139913323</v>
      </c>
      <c r="AZ124" s="204">
        <f t="shared" si="234"/>
        <v>-59.95874621320965</v>
      </c>
      <c r="BA124" s="204">
        <f t="shared" si="234"/>
        <v>-60.53624162145347</v>
      </c>
      <c r="BB124" s="204">
        <f t="shared" si="234"/>
        <v>-61.121411388997728</v>
      </c>
      <c r="BC124" s="204">
        <f t="shared" si="234"/>
        <v>-61.714116119036262</v>
      </c>
      <c r="BD124" s="204">
        <f t="shared" si="234"/>
        <v>-62.314218946761883</v>
      </c>
      <c r="BE124" s="204">
        <f t="shared" si="234"/>
        <v>-62.921585493375147</v>
      </c>
      <c r="BF124" s="204">
        <f t="shared" si="234"/>
        <v>-63.536083820928674</v>
      </c>
      <c r="BG124" s="204">
        <f t="shared" si="234"/>
        <v>-64.157584387991548</v>
      </c>
      <c r="BH124" s="204">
        <f t="shared" si="234"/>
        <v>-64.785960006119055</v>
      </c>
      <c r="BI124" s="204">
        <f t="shared" si="234"/>
        <v>-65.421085797113165</v>
      </c>
      <c r="BJ124" s="204">
        <f t="shared" si="234"/>
        <v>-66.062839151059279</v>
      </c>
      <c r="BK124" s="204">
        <f t="shared" si="234"/>
        <v>-66.711099685125177</v>
      </c>
      <c r="BL124" s="204">
        <f t="shared" si="234"/>
        <v>-67.365749203108379</v>
      </c>
      <c r="BM124" s="204">
        <f t="shared" si="234"/>
        <v>-68.026671655718303</v>
      </c>
      <c r="BN124" s="204">
        <f t="shared" si="234"/>
        <v>-68.693753101579787</v>
      </c>
      <c r="BO124" s="204">
        <f t="shared" si="234"/>
        <v>-69.366881668945013</v>
      </c>
      <c r="BP124" s="204">
        <f t="shared" si="234"/>
        <v>-70.04594751810086</v>
      </c>
      <c r="BQ124" s="204">
        <f t="shared" si="234"/>
        <v>-70.730842804459073</v>
      </c>
      <c r="BR124" s="204">
        <f t="shared" si="234"/>
        <v>-71.421461642316928</v>
      </c>
      <c r="BS124" s="204">
        <f t="shared" si="234"/>
        <v>-72.117700069276026</v>
      </c>
      <c r="BT124" s="204">
        <f t="shared" si="234"/>
        <v>-72.819456011307551</v>
      </c>
      <c r="BU124" s="204">
        <f t="shared" si="234"/>
        <v>-73.526629248451897</v>
      </c>
      <c r="BV124" s="204">
        <f t="shared" si="234"/>
        <v>-74.239121381141487</v>
      </c>
      <c r="BW124" s="204">
        <f t="shared" si="234"/>
        <v>-74.956835797135199</v>
      </c>
      <c r="BX124" s="204">
        <f t="shared" si="234"/>
        <v>-75.679677639053423</v>
      </c>
      <c r="BY124" s="204">
        <f t="shared" si="234"/>
        <v>-76.407553772502823</v>
      </c>
      <c r="BZ124" s="204">
        <f t="shared" si="234"/>
        <v>-77.140372754780103</v>
      </c>
      <c r="CA124" s="204">
        <f t="shared" si="234"/>
        <v>-77.878044804144153</v>
      </c>
      <c r="CB124" s="204">
        <f t="shared" si="234"/>
        <v>-78.620481769646403</v>
      </c>
      <c r="CC124" s="204">
        <f t="shared" si="234"/>
        <v>-79.36759710150919</v>
      </c>
      <c r="CD124" s="204">
        <f t="shared" si="234"/>
        <v>-80.119305822042122</v>
      </c>
      <c r="CE124" s="204">
        <f t="shared" si="234"/>
        <v>-80.87552449708673</v>
      </c>
      <c r="CF124" s="204">
        <f t="shared" si="234"/>
        <v>-81.636171207979814</v>
      </c>
      <c r="CG124" s="204">
        <f t="shared" si="234"/>
        <v>-82.401165524026041</v>
      </c>
      <c r="CH124" s="204">
        <f t="shared" si="234"/>
        <v>-83.170428475470544</v>
      </c>
      <c r="CI124" s="204">
        <f t="shared" si="234"/>
        <v>-83.943882526962454</v>
      </c>
      <c r="CJ124" s="204">
        <f t="shared" ref="CJ124:ET124" si="235">PV($F78,CJ$9,1,0)+(PV($J$6,$N$5-(CJ$9),1,0)/($J$6+1)^CJ$9)</f>
        <v>-84.721451551500408</v>
      </c>
      <c r="CK124" s="204">
        <f t="shared" si="235"/>
        <v>-85.503060804851359</v>
      </c>
      <c r="CL124" s="204">
        <f t="shared" si="235"/>
        <v>-86.288636900434042</v>
      </c>
      <c r="CM124" s="204">
        <f t="shared" si="235"/>
        <v>-87.07810778465857</v>
      </c>
      <c r="CN124" s="204">
        <f t="shared" si="235"/>
        <v>-87.871402712714072</v>
      </c>
      <c r="CO124" s="204">
        <f t="shared" si="235"/>
        <v>-88.668452224796056</v>
      </c>
      <c r="CP124" s="204">
        <f t="shared" si="235"/>
        <v>-89.469188122765601</v>
      </c>
      <c r="CQ124" s="204">
        <f t="shared" si="235"/>
        <v>-90.273543447232512</v>
      </c>
      <c r="CR124" s="204">
        <f t="shared" si="235"/>
        <v>-91.081452455054702</v>
      </c>
      <c r="CS124" s="204">
        <f t="shared" si="235"/>
        <v>-91.892850597246365</v>
      </c>
      <c r="CT124" s="204">
        <f t="shared" si="235"/>
        <v>-92.707674497287258</v>
      </c>
      <c r="CU124" s="204">
        <f t="shared" si="235"/>
        <v>-93.525861929826178</v>
      </c>
      <c r="CV124" s="204">
        <f t="shared" si="235"/>
        <v>-94.347351799771133</v>
      </c>
      <c r="CW124" s="204">
        <f t="shared" si="235"/>
        <v>-95.172084121759283</v>
      </c>
      <c r="CX124" s="204">
        <f t="shared" si="235"/>
        <v>-96</v>
      </c>
      <c r="CY124" s="204">
        <f t="shared" si="235"/>
        <v>-96</v>
      </c>
      <c r="CZ124" s="204">
        <f t="shared" si="235"/>
        <v>-96</v>
      </c>
      <c r="DA124" s="204">
        <f t="shared" si="235"/>
        <v>-96</v>
      </c>
      <c r="DB124" s="204">
        <f t="shared" si="235"/>
        <v>-96</v>
      </c>
      <c r="DC124" s="204">
        <f t="shared" si="235"/>
        <v>-96</v>
      </c>
      <c r="DD124" s="204">
        <f t="shared" si="235"/>
        <v>-96</v>
      </c>
      <c r="DE124" s="204">
        <f t="shared" si="235"/>
        <v>-96</v>
      </c>
      <c r="DF124" s="204">
        <f t="shared" si="235"/>
        <v>-96</v>
      </c>
      <c r="DG124" s="204">
        <f t="shared" si="235"/>
        <v>-96</v>
      </c>
      <c r="DH124" s="204">
        <f t="shared" si="235"/>
        <v>-96</v>
      </c>
      <c r="DI124" s="204">
        <f t="shared" si="235"/>
        <v>-96</v>
      </c>
      <c r="DJ124" s="204">
        <f t="shared" si="235"/>
        <v>-96</v>
      </c>
      <c r="DK124" s="204">
        <f t="shared" si="235"/>
        <v>-96</v>
      </c>
      <c r="DL124" s="204">
        <f t="shared" si="235"/>
        <v>-96</v>
      </c>
      <c r="DM124" s="204">
        <f t="shared" si="235"/>
        <v>-96</v>
      </c>
      <c r="DN124" s="204">
        <f t="shared" si="235"/>
        <v>-96</v>
      </c>
      <c r="DO124" s="204">
        <f t="shared" si="235"/>
        <v>-96</v>
      </c>
      <c r="DP124" s="204">
        <f t="shared" si="235"/>
        <v>-96</v>
      </c>
      <c r="DQ124" s="204">
        <f t="shared" si="235"/>
        <v>-96</v>
      </c>
      <c r="DR124" s="204">
        <f t="shared" si="235"/>
        <v>-96</v>
      </c>
      <c r="DS124" s="204">
        <f t="shared" si="235"/>
        <v>-96</v>
      </c>
      <c r="DT124" s="204">
        <f t="shared" si="235"/>
        <v>-96</v>
      </c>
      <c r="DU124" s="204">
        <f t="shared" si="235"/>
        <v>-96</v>
      </c>
      <c r="DV124" s="204">
        <f t="shared" si="235"/>
        <v>-96</v>
      </c>
      <c r="DW124" s="204">
        <f t="shared" si="235"/>
        <v>-96</v>
      </c>
      <c r="DX124" s="204">
        <f t="shared" si="235"/>
        <v>-96</v>
      </c>
      <c r="DY124" s="204">
        <f t="shared" si="235"/>
        <v>-96</v>
      </c>
      <c r="DZ124" s="204">
        <f t="shared" si="235"/>
        <v>-96</v>
      </c>
      <c r="EA124" s="204">
        <f t="shared" si="235"/>
        <v>-96</v>
      </c>
      <c r="EB124" s="204">
        <f t="shared" si="235"/>
        <v>-96</v>
      </c>
      <c r="EC124" s="204">
        <f t="shared" si="235"/>
        <v>-96</v>
      </c>
      <c r="ED124" s="204">
        <f t="shared" si="235"/>
        <v>-96</v>
      </c>
      <c r="EE124" s="204">
        <f t="shared" si="235"/>
        <v>-96</v>
      </c>
      <c r="EF124" s="204">
        <f t="shared" si="235"/>
        <v>-96</v>
      </c>
      <c r="EG124" s="204">
        <f t="shared" si="235"/>
        <v>-96</v>
      </c>
      <c r="EH124" s="204">
        <f t="shared" si="235"/>
        <v>-96</v>
      </c>
      <c r="EI124" s="204">
        <f t="shared" si="235"/>
        <v>-96</v>
      </c>
      <c r="EJ124" s="204">
        <f t="shared" si="235"/>
        <v>-96</v>
      </c>
      <c r="EK124" s="204">
        <f t="shared" si="235"/>
        <v>-96</v>
      </c>
      <c r="EL124" s="204">
        <f t="shared" si="235"/>
        <v>-96</v>
      </c>
      <c r="EM124" s="204">
        <f t="shared" si="235"/>
        <v>-96</v>
      </c>
      <c r="EN124" s="204">
        <f t="shared" si="235"/>
        <v>-96</v>
      </c>
      <c r="EO124" s="204">
        <f t="shared" si="235"/>
        <v>-96</v>
      </c>
      <c r="EP124" s="204">
        <f t="shared" si="235"/>
        <v>-96</v>
      </c>
      <c r="EQ124" s="204">
        <f t="shared" si="235"/>
        <v>-96</v>
      </c>
      <c r="ER124" s="204">
        <f t="shared" si="235"/>
        <v>-96</v>
      </c>
      <c r="ES124" s="204">
        <f t="shared" si="235"/>
        <v>-96</v>
      </c>
      <c r="ET124" s="204">
        <f t="shared" si="235"/>
        <v>-96</v>
      </c>
      <c r="FF124" s="6" t="s">
        <v>1067</v>
      </c>
      <c r="FG124" s="696">
        <v>2.0499999999999997E-2</v>
      </c>
      <c r="FH124" s="696">
        <v>120</v>
      </c>
      <c r="FI124" s="696">
        <v>1.95E-2</v>
      </c>
      <c r="FJ124" s="255">
        <v>1.3500000000000002E-2</v>
      </c>
      <c r="FK124" s="71">
        <f t="shared" si="92"/>
        <v>1.6666666666666658E-4</v>
      </c>
      <c r="FL124" t="e">
        <f>VLOOKUP(FF124,'SIMULADOR COM SALDO'!$BX$22:$CK$1000,13,FALSE)</f>
        <v>#N/A</v>
      </c>
    </row>
    <row r="125" spans="7:168" x14ac:dyDescent="0.25">
      <c r="G125" s="103">
        <f t="shared" si="228"/>
        <v>-44.770373601250576</v>
      </c>
      <c r="H125" s="204">
        <f t="shared" si="229"/>
        <v>-44.806371604802436</v>
      </c>
      <c r="I125" s="204">
        <f t="shared" si="229"/>
        <v>-44.859879708437063</v>
      </c>
      <c r="J125" s="204">
        <f t="shared" si="229"/>
        <v>-44.930579859281075</v>
      </c>
      <c r="K125" s="204">
        <f t="shared" si="229"/>
        <v>-45.018159781562872</v>
      </c>
      <c r="L125" s="204">
        <f t="shared" si="229"/>
        <v>-45.122312871677551</v>
      </c>
      <c r="M125" s="204">
        <f t="shared" si="229"/>
        <v>-45.24273809515784</v>
      </c>
      <c r="N125" s="204">
        <f t="shared" si="229"/>
        <v>-45.379139885516487</v>
      </c>
      <c r="O125" s="204">
        <f t="shared" si="229"/>
        <v>-45.53122804492606</v>
      </c>
      <c r="P125" s="204">
        <f t="shared" si="229"/>
        <v>-45.698717646702761</v>
      </c>
      <c r="Q125" s="204">
        <f t="shared" si="229"/>
        <v>-45.881328939561598</v>
      </c>
      <c r="R125" s="204">
        <f t="shared" si="229"/>
        <v>-46.078787253610507</v>
      </c>
      <c r="S125" s="204">
        <f t="shared" si="229"/>
        <v>-46.290822908052249</v>
      </c>
      <c r="T125" s="204">
        <f t="shared" si="229"/>
        <v>-46.517171120562551</v>
      </c>
      <c r="U125" s="204">
        <f t="shared" si="229"/>
        <v>-46.75757191831444</v>
      </c>
      <c r="V125" s="204">
        <f t="shared" si="229"/>
        <v>-47.011770050618708</v>
      </c>
      <c r="W125" s="204">
        <f t="shared" si="229"/>
        <v>-47.279514903151124</v>
      </c>
      <c r="X125" s="204">
        <f t="shared" ref="X125:CI125" si="236">PV($F79,X$9,1,0)+(PV($J$6,$N$5-(X$9),1,0)/($J$6+1)^X$9)</f>
        <v>-47.560560413737676</v>
      </c>
      <c r="Y125" s="204">
        <f t="shared" si="236"/>
        <v>-47.854664989669509</v>
      </c>
      <c r="Z125" s="204">
        <f t="shared" si="236"/>
        <v>-48.161591426519607</v>
      </c>
      <c r="AA125" s="204">
        <f t="shared" si="236"/>
        <v>-48.481106828434278</v>
      </c>
      <c r="AB125" s="204">
        <f t="shared" si="236"/>
        <v>-48.81298252987235</v>
      </c>
      <c r="AC125" s="204">
        <f t="shared" si="236"/>
        <v>-49.156994018765893</v>
      </c>
      <c r="AD125" s="204">
        <f t="shared" si="236"/>
        <v>-49.51292086107668</v>
      </c>
      <c r="AE125" s="204">
        <f t="shared" si="236"/>
        <v>-49.880546626723003</v>
      </c>
      <c r="AF125" s="204">
        <f t="shared" si="236"/>
        <v>-50.259658816851953</v>
      </c>
      <c r="AG125" s="204">
        <f t="shared" si="236"/>
        <v>-50.650048792432663</v>
      </c>
      <c r="AH125" s="204">
        <f t="shared" si="236"/>
        <v>-51.051511704146662</v>
      </c>
      <c r="AI125" s="204">
        <f t="shared" si="236"/>
        <v>-51.463846423551665</v>
      </c>
      <c r="AJ125" s="204">
        <f t="shared" si="236"/>
        <v>-51.886855475495707</v>
      </c>
      <c r="AK125" s="204">
        <f t="shared" si="236"/>
        <v>-52.320344971758878</v>
      </c>
      <c r="AL125" s="204">
        <f t="shared" si="236"/>
        <v>-52.76412454590043</v>
      </c>
      <c r="AM125" s="204">
        <f t="shared" si="236"/>
        <v>-53.218007289289282</v>
      </c>
      <c r="AN125" s="204">
        <f t="shared" si="236"/>
        <v>-53.681809688296511</v>
      </c>
      <c r="AO125" s="204">
        <f t="shared" si="236"/>
        <v>-54.155351562628589</v>
      </c>
      <c r="AP125" s="204">
        <f t="shared" si="236"/>
        <v>-54.638456004780849</v>
      </c>
      <c r="AQ125" s="204">
        <f t="shared" si="236"/>
        <v>-55.130949320590631</v>
      </c>
      <c r="AR125" s="204">
        <f t="shared" si="236"/>
        <v>-55.632660970870248</v>
      </c>
      <c r="AS125" s="204">
        <f t="shared" si="236"/>
        <v>-56.143423514100107</v>
      </c>
      <c r="AT125" s="204">
        <f t="shared" si="236"/>
        <v>-56.663072550162802</v>
      </c>
      <c r="AU125" s="204">
        <f t="shared" si="236"/>
        <v>-57.191446665099171</v>
      </c>
      <c r="AV125" s="204">
        <f t="shared" si="236"/>
        <v>-57.728387376867829</v>
      </c>
      <c r="AW125" s="204">
        <f t="shared" si="236"/>
        <v>-58.273739082089882</v>
      </c>
      <c r="AX125" s="204">
        <f t="shared" si="236"/>
        <v>-58.827349003761015</v>
      </c>
      <c r="AY125" s="204">
        <f t="shared" si="236"/>
        <v>-59.389067139913323</v>
      </c>
      <c r="AZ125" s="204">
        <f t="shared" si="236"/>
        <v>-59.95874621320965</v>
      </c>
      <c r="BA125" s="204">
        <f t="shared" si="236"/>
        <v>-60.53624162145347</v>
      </c>
      <c r="BB125" s="204">
        <f t="shared" si="236"/>
        <v>-61.121411388997728</v>
      </c>
      <c r="BC125" s="204">
        <f t="shared" si="236"/>
        <v>-61.714116119036262</v>
      </c>
      <c r="BD125" s="204">
        <f t="shared" si="236"/>
        <v>-62.314218946761883</v>
      </c>
      <c r="BE125" s="204">
        <f t="shared" si="236"/>
        <v>-62.921585493375147</v>
      </c>
      <c r="BF125" s="204">
        <f t="shared" si="236"/>
        <v>-63.536083820928674</v>
      </c>
      <c r="BG125" s="204">
        <f t="shared" si="236"/>
        <v>-64.157584387991548</v>
      </c>
      <c r="BH125" s="204">
        <f t="shared" si="236"/>
        <v>-64.785960006119055</v>
      </c>
      <c r="BI125" s="204">
        <f t="shared" si="236"/>
        <v>-65.421085797113165</v>
      </c>
      <c r="BJ125" s="204">
        <f t="shared" si="236"/>
        <v>-66.062839151059279</v>
      </c>
      <c r="BK125" s="204">
        <f t="shared" si="236"/>
        <v>-66.711099685125177</v>
      </c>
      <c r="BL125" s="204">
        <f t="shared" si="236"/>
        <v>-67.365749203108379</v>
      </c>
      <c r="BM125" s="204">
        <f t="shared" si="236"/>
        <v>-68.026671655718303</v>
      </c>
      <c r="BN125" s="204">
        <f t="shared" si="236"/>
        <v>-68.693753101579787</v>
      </c>
      <c r="BO125" s="204">
        <f t="shared" si="236"/>
        <v>-69.366881668945013</v>
      </c>
      <c r="BP125" s="204">
        <f t="shared" si="236"/>
        <v>-70.04594751810086</v>
      </c>
      <c r="BQ125" s="204">
        <f t="shared" si="236"/>
        <v>-70.730842804459073</v>
      </c>
      <c r="BR125" s="204">
        <f t="shared" si="236"/>
        <v>-71.421461642316928</v>
      </c>
      <c r="BS125" s="204">
        <f t="shared" si="236"/>
        <v>-72.117700069276026</v>
      </c>
      <c r="BT125" s="204">
        <f t="shared" si="236"/>
        <v>-72.819456011307551</v>
      </c>
      <c r="BU125" s="204">
        <f t="shared" si="236"/>
        <v>-73.526629248451897</v>
      </c>
      <c r="BV125" s="204">
        <f t="shared" si="236"/>
        <v>-74.239121381141487</v>
      </c>
      <c r="BW125" s="204">
        <f t="shared" si="236"/>
        <v>-74.956835797135199</v>
      </c>
      <c r="BX125" s="204">
        <f t="shared" si="236"/>
        <v>-75.679677639053423</v>
      </c>
      <c r="BY125" s="204">
        <f t="shared" si="236"/>
        <v>-76.407553772502823</v>
      </c>
      <c r="BZ125" s="204">
        <f t="shared" si="236"/>
        <v>-77.140372754780103</v>
      </c>
      <c r="CA125" s="204">
        <f t="shared" si="236"/>
        <v>-77.878044804144153</v>
      </c>
      <c r="CB125" s="204">
        <f t="shared" si="236"/>
        <v>-78.620481769646403</v>
      </c>
      <c r="CC125" s="204">
        <f t="shared" si="236"/>
        <v>-79.36759710150919</v>
      </c>
      <c r="CD125" s="204">
        <f t="shared" si="236"/>
        <v>-80.119305822042122</v>
      </c>
      <c r="CE125" s="204">
        <f t="shared" si="236"/>
        <v>-80.87552449708673</v>
      </c>
      <c r="CF125" s="204">
        <f t="shared" si="236"/>
        <v>-81.636171207979814</v>
      </c>
      <c r="CG125" s="204">
        <f t="shared" si="236"/>
        <v>-82.401165524026041</v>
      </c>
      <c r="CH125" s="204">
        <f t="shared" si="236"/>
        <v>-83.170428475470544</v>
      </c>
      <c r="CI125" s="204">
        <f t="shared" si="236"/>
        <v>-83.943882526962454</v>
      </c>
      <c r="CJ125" s="204">
        <f t="shared" ref="CJ125:ET125" si="237">PV($F79,CJ$9,1,0)+(PV($J$6,$N$5-(CJ$9),1,0)/($J$6+1)^CJ$9)</f>
        <v>-84.721451551500408</v>
      </c>
      <c r="CK125" s="204">
        <f t="shared" si="237"/>
        <v>-85.503060804851359</v>
      </c>
      <c r="CL125" s="204">
        <f t="shared" si="237"/>
        <v>-86.288636900434042</v>
      </c>
      <c r="CM125" s="204">
        <f t="shared" si="237"/>
        <v>-87.07810778465857</v>
      </c>
      <c r="CN125" s="204">
        <f t="shared" si="237"/>
        <v>-87.871402712714072</v>
      </c>
      <c r="CO125" s="204">
        <f t="shared" si="237"/>
        <v>-88.668452224796056</v>
      </c>
      <c r="CP125" s="204">
        <f t="shared" si="237"/>
        <v>-89.469188122765601</v>
      </c>
      <c r="CQ125" s="204">
        <f t="shared" si="237"/>
        <v>-90.273543447232512</v>
      </c>
      <c r="CR125" s="204">
        <f t="shared" si="237"/>
        <v>-91.081452455054702</v>
      </c>
      <c r="CS125" s="204">
        <f t="shared" si="237"/>
        <v>-91.892850597246365</v>
      </c>
      <c r="CT125" s="204">
        <f t="shared" si="237"/>
        <v>-92.707674497287258</v>
      </c>
      <c r="CU125" s="204">
        <f t="shared" si="237"/>
        <v>-93.525861929826178</v>
      </c>
      <c r="CV125" s="204">
        <f t="shared" si="237"/>
        <v>-94.347351799771133</v>
      </c>
      <c r="CW125" s="204">
        <f t="shared" si="237"/>
        <v>-95.172084121759283</v>
      </c>
      <c r="CX125" s="204">
        <f t="shared" si="237"/>
        <v>-96</v>
      </c>
      <c r="CY125" s="204">
        <f t="shared" si="237"/>
        <v>-96</v>
      </c>
      <c r="CZ125" s="204">
        <f t="shared" si="237"/>
        <v>-96</v>
      </c>
      <c r="DA125" s="204">
        <f t="shared" si="237"/>
        <v>-96</v>
      </c>
      <c r="DB125" s="204">
        <f t="shared" si="237"/>
        <v>-96</v>
      </c>
      <c r="DC125" s="204">
        <f t="shared" si="237"/>
        <v>-96</v>
      </c>
      <c r="DD125" s="204">
        <f t="shared" si="237"/>
        <v>-96</v>
      </c>
      <c r="DE125" s="204">
        <f t="shared" si="237"/>
        <v>-96</v>
      </c>
      <c r="DF125" s="204">
        <f t="shared" si="237"/>
        <v>-96</v>
      </c>
      <c r="DG125" s="204">
        <f t="shared" si="237"/>
        <v>-96</v>
      </c>
      <c r="DH125" s="204">
        <f t="shared" si="237"/>
        <v>-96</v>
      </c>
      <c r="DI125" s="204">
        <f t="shared" si="237"/>
        <v>-96</v>
      </c>
      <c r="DJ125" s="204">
        <f t="shared" si="237"/>
        <v>-96</v>
      </c>
      <c r="DK125" s="204">
        <f t="shared" si="237"/>
        <v>-96</v>
      </c>
      <c r="DL125" s="204">
        <f t="shared" si="237"/>
        <v>-96</v>
      </c>
      <c r="DM125" s="204">
        <f t="shared" si="237"/>
        <v>-96</v>
      </c>
      <c r="DN125" s="204">
        <f t="shared" si="237"/>
        <v>-96</v>
      </c>
      <c r="DO125" s="204">
        <f t="shared" si="237"/>
        <v>-96</v>
      </c>
      <c r="DP125" s="204">
        <f t="shared" si="237"/>
        <v>-96</v>
      </c>
      <c r="DQ125" s="204">
        <f t="shared" si="237"/>
        <v>-96</v>
      </c>
      <c r="DR125" s="204">
        <f t="shared" si="237"/>
        <v>-96</v>
      </c>
      <c r="DS125" s="204">
        <f t="shared" si="237"/>
        <v>-96</v>
      </c>
      <c r="DT125" s="204">
        <f t="shared" si="237"/>
        <v>-96</v>
      </c>
      <c r="DU125" s="204">
        <f t="shared" si="237"/>
        <v>-96</v>
      </c>
      <c r="DV125" s="204">
        <f t="shared" si="237"/>
        <v>-96</v>
      </c>
      <c r="DW125" s="204">
        <f t="shared" si="237"/>
        <v>-96</v>
      </c>
      <c r="DX125" s="204">
        <f t="shared" si="237"/>
        <v>-96</v>
      </c>
      <c r="DY125" s="204">
        <f t="shared" si="237"/>
        <v>-96</v>
      </c>
      <c r="DZ125" s="204">
        <f t="shared" si="237"/>
        <v>-96</v>
      </c>
      <c r="EA125" s="204">
        <f t="shared" si="237"/>
        <v>-96</v>
      </c>
      <c r="EB125" s="204">
        <f t="shared" si="237"/>
        <v>-96</v>
      </c>
      <c r="EC125" s="204">
        <f t="shared" si="237"/>
        <v>-96</v>
      </c>
      <c r="ED125" s="204">
        <f t="shared" si="237"/>
        <v>-96</v>
      </c>
      <c r="EE125" s="204">
        <f t="shared" si="237"/>
        <v>-96</v>
      </c>
      <c r="EF125" s="204">
        <f t="shared" si="237"/>
        <v>-96</v>
      </c>
      <c r="EG125" s="204">
        <f t="shared" si="237"/>
        <v>-96</v>
      </c>
      <c r="EH125" s="204">
        <f t="shared" si="237"/>
        <v>-96</v>
      </c>
      <c r="EI125" s="204">
        <f t="shared" si="237"/>
        <v>-96</v>
      </c>
      <c r="EJ125" s="204">
        <f t="shared" si="237"/>
        <v>-96</v>
      </c>
      <c r="EK125" s="204">
        <f t="shared" si="237"/>
        <v>-96</v>
      </c>
      <c r="EL125" s="204">
        <f t="shared" si="237"/>
        <v>-96</v>
      </c>
      <c r="EM125" s="204">
        <f t="shared" si="237"/>
        <v>-96</v>
      </c>
      <c r="EN125" s="204">
        <f t="shared" si="237"/>
        <v>-96</v>
      </c>
      <c r="EO125" s="204">
        <f t="shared" si="237"/>
        <v>-96</v>
      </c>
      <c r="EP125" s="204">
        <f t="shared" si="237"/>
        <v>-96</v>
      </c>
      <c r="EQ125" s="204">
        <f t="shared" si="237"/>
        <v>-96</v>
      </c>
      <c r="ER125" s="204">
        <f t="shared" si="237"/>
        <v>-96</v>
      </c>
      <c r="ES125" s="204">
        <f t="shared" si="237"/>
        <v>-96</v>
      </c>
      <c r="ET125" s="204">
        <f t="shared" si="237"/>
        <v>-96</v>
      </c>
      <c r="FF125" s="6" t="s">
        <v>630</v>
      </c>
      <c r="FG125" s="696">
        <v>2.5000000000000001E-2</v>
      </c>
      <c r="FH125" s="696">
        <v>96</v>
      </c>
      <c r="FI125" s="696">
        <v>2.1499999999999998E-2</v>
      </c>
      <c r="FJ125" s="255">
        <v>1.49E-2</v>
      </c>
      <c r="FK125" s="71">
        <f t="shared" si="92"/>
        <v>2.404761904761905E-4</v>
      </c>
      <c r="FL125" t="e">
        <f>VLOOKUP(FF125,'SIMULADOR COM SALDO'!$BX$22:$CK$1000,13,FALSE)</f>
        <v>#N/A</v>
      </c>
    </row>
    <row r="126" spans="7:168" x14ac:dyDescent="0.25">
      <c r="G126" s="103">
        <f t="shared" si="228"/>
        <v>-44.770373601250576</v>
      </c>
      <c r="H126" s="204">
        <f t="shared" si="229"/>
        <v>-44.806371604802436</v>
      </c>
      <c r="I126" s="204">
        <f t="shared" si="229"/>
        <v>-44.859879708437063</v>
      </c>
      <c r="J126" s="204">
        <f t="shared" si="229"/>
        <v>-44.930579859281075</v>
      </c>
      <c r="K126" s="204">
        <f t="shared" si="229"/>
        <v>-45.018159781562872</v>
      </c>
      <c r="L126" s="204">
        <f t="shared" si="229"/>
        <v>-45.122312871677551</v>
      </c>
      <c r="M126" s="204">
        <f t="shared" si="229"/>
        <v>-45.24273809515784</v>
      </c>
      <c r="N126" s="204">
        <f t="shared" si="229"/>
        <v>-45.379139885516487</v>
      </c>
      <c r="O126" s="204">
        <f t="shared" si="229"/>
        <v>-45.53122804492606</v>
      </c>
      <c r="P126" s="204">
        <f t="shared" si="229"/>
        <v>-45.698717646702761</v>
      </c>
      <c r="Q126" s="204">
        <f t="shared" si="229"/>
        <v>-45.881328939561598</v>
      </c>
      <c r="R126" s="204">
        <f t="shared" si="229"/>
        <v>-46.078787253610507</v>
      </c>
      <c r="S126" s="204">
        <f t="shared" si="229"/>
        <v>-46.290822908052249</v>
      </c>
      <c r="T126" s="204">
        <f t="shared" si="229"/>
        <v>-46.517171120562551</v>
      </c>
      <c r="U126" s="204">
        <f t="shared" si="229"/>
        <v>-46.75757191831444</v>
      </c>
      <c r="V126" s="204">
        <f t="shared" si="229"/>
        <v>-47.011770050618708</v>
      </c>
      <c r="W126" s="204">
        <f t="shared" si="229"/>
        <v>-47.279514903151124</v>
      </c>
      <c r="X126" s="204">
        <f t="shared" ref="X126:CI126" si="238">PV($F80,X$9,1,0)+(PV($J$6,$N$5-(X$9),1,0)/($J$6+1)^X$9)</f>
        <v>-47.560560413737676</v>
      </c>
      <c r="Y126" s="204">
        <f t="shared" si="238"/>
        <v>-47.854664989669509</v>
      </c>
      <c r="Z126" s="204">
        <f t="shared" si="238"/>
        <v>-48.161591426519607</v>
      </c>
      <c r="AA126" s="204">
        <f t="shared" si="238"/>
        <v>-48.481106828434278</v>
      </c>
      <c r="AB126" s="204">
        <f t="shared" si="238"/>
        <v>-48.81298252987235</v>
      </c>
      <c r="AC126" s="204">
        <f t="shared" si="238"/>
        <v>-49.156994018765893</v>
      </c>
      <c r="AD126" s="204">
        <f t="shared" si="238"/>
        <v>-49.51292086107668</v>
      </c>
      <c r="AE126" s="204">
        <f t="shared" si="238"/>
        <v>-49.880546626723003</v>
      </c>
      <c r="AF126" s="204">
        <f t="shared" si="238"/>
        <v>-50.259658816851953</v>
      </c>
      <c r="AG126" s="204">
        <f t="shared" si="238"/>
        <v>-50.650048792432663</v>
      </c>
      <c r="AH126" s="204">
        <f t="shared" si="238"/>
        <v>-51.051511704146662</v>
      </c>
      <c r="AI126" s="204">
        <f t="shared" si="238"/>
        <v>-51.463846423551665</v>
      </c>
      <c r="AJ126" s="204">
        <f t="shared" si="238"/>
        <v>-51.886855475495707</v>
      </c>
      <c r="AK126" s="204">
        <f t="shared" si="238"/>
        <v>-52.320344971758878</v>
      </c>
      <c r="AL126" s="204">
        <f t="shared" si="238"/>
        <v>-52.76412454590043</v>
      </c>
      <c r="AM126" s="204">
        <f t="shared" si="238"/>
        <v>-53.218007289289282</v>
      </c>
      <c r="AN126" s="204">
        <f t="shared" si="238"/>
        <v>-53.681809688296511</v>
      </c>
      <c r="AO126" s="204">
        <f t="shared" si="238"/>
        <v>-54.155351562628589</v>
      </c>
      <c r="AP126" s="204">
        <f t="shared" si="238"/>
        <v>-54.638456004780849</v>
      </c>
      <c r="AQ126" s="204">
        <f t="shared" si="238"/>
        <v>-55.130949320590631</v>
      </c>
      <c r="AR126" s="204">
        <f t="shared" si="238"/>
        <v>-55.632660970870248</v>
      </c>
      <c r="AS126" s="204">
        <f t="shared" si="238"/>
        <v>-56.143423514100107</v>
      </c>
      <c r="AT126" s="204">
        <f t="shared" si="238"/>
        <v>-56.663072550162802</v>
      </c>
      <c r="AU126" s="204">
        <f t="shared" si="238"/>
        <v>-57.191446665099171</v>
      </c>
      <c r="AV126" s="204">
        <f t="shared" si="238"/>
        <v>-57.728387376867829</v>
      </c>
      <c r="AW126" s="204">
        <f t="shared" si="238"/>
        <v>-58.273739082089882</v>
      </c>
      <c r="AX126" s="204">
        <f t="shared" si="238"/>
        <v>-58.827349003761015</v>
      </c>
      <c r="AY126" s="204">
        <f t="shared" si="238"/>
        <v>-59.389067139913323</v>
      </c>
      <c r="AZ126" s="204">
        <f t="shared" si="238"/>
        <v>-59.95874621320965</v>
      </c>
      <c r="BA126" s="204">
        <f t="shared" si="238"/>
        <v>-60.53624162145347</v>
      </c>
      <c r="BB126" s="204">
        <f t="shared" si="238"/>
        <v>-61.121411388997728</v>
      </c>
      <c r="BC126" s="204">
        <f t="shared" si="238"/>
        <v>-61.714116119036262</v>
      </c>
      <c r="BD126" s="204">
        <f t="shared" si="238"/>
        <v>-62.314218946761883</v>
      </c>
      <c r="BE126" s="204">
        <f t="shared" si="238"/>
        <v>-62.921585493375147</v>
      </c>
      <c r="BF126" s="204">
        <f t="shared" si="238"/>
        <v>-63.536083820928674</v>
      </c>
      <c r="BG126" s="204">
        <f t="shared" si="238"/>
        <v>-64.157584387991548</v>
      </c>
      <c r="BH126" s="204">
        <f t="shared" si="238"/>
        <v>-64.785960006119055</v>
      </c>
      <c r="BI126" s="204">
        <f t="shared" si="238"/>
        <v>-65.421085797113165</v>
      </c>
      <c r="BJ126" s="204">
        <f t="shared" si="238"/>
        <v>-66.062839151059279</v>
      </c>
      <c r="BK126" s="204">
        <f t="shared" si="238"/>
        <v>-66.711099685125177</v>
      </c>
      <c r="BL126" s="204">
        <f t="shared" si="238"/>
        <v>-67.365749203108379</v>
      </c>
      <c r="BM126" s="204">
        <f t="shared" si="238"/>
        <v>-68.026671655718303</v>
      </c>
      <c r="BN126" s="204">
        <f t="shared" si="238"/>
        <v>-68.693753101579787</v>
      </c>
      <c r="BO126" s="204">
        <f t="shared" si="238"/>
        <v>-69.366881668945013</v>
      </c>
      <c r="BP126" s="204">
        <f t="shared" si="238"/>
        <v>-70.04594751810086</v>
      </c>
      <c r="BQ126" s="204">
        <f t="shared" si="238"/>
        <v>-70.730842804459073</v>
      </c>
      <c r="BR126" s="204">
        <f t="shared" si="238"/>
        <v>-71.421461642316928</v>
      </c>
      <c r="BS126" s="204">
        <f t="shared" si="238"/>
        <v>-72.117700069276026</v>
      </c>
      <c r="BT126" s="204">
        <f t="shared" si="238"/>
        <v>-72.819456011307551</v>
      </c>
      <c r="BU126" s="204">
        <f t="shared" si="238"/>
        <v>-73.526629248451897</v>
      </c>
      <c r="BV126" s="204">
        <f t="shared" si="238"/>
        <v>-74.239121381141487</v>
      </c>
      <c r="BW126" s="204">
        <f t="shared" si="238"/>
        <v>-74.956835797135199</v>
      </c>
      <c r="BX126" s="204">
        <f t="shared" si="238"/>
        <v>-75.679677639053423</v>
      </c>
      <c r="BY126" s="204">
        <f t="shared" si="238"/>
        <v>-76.407553772502823</v>
      </c>
      <c r="BZ126" s="204">
        <f t="shared" si="238"/>
        <v>-77.140372754780103</v>
      </c>
      <c r="CA126" s="204">
        <f t="shared" si="238"/>
        <v>-77.878044804144153</v>
      </c>
      <c r="CB126" s="204">
        <f t="shared" si="238"/>
        <v>-78.620481769646403</v>
      </c>
      <c r="CC126" s="204">
        <f t="shared" si="238"/>
        <v>-79.36759710150919</v>
      </c>
      <c r="CD126" s="204">
        <f t="shared" si="238"/>
        <v>-80.119305822042122</v>
      </c>
      <c r="CE126" s="204">
        <f t="shared" si="238"/>
        <v>-80.87552449708673</v>
      </c>
      <c r="CF126" s="204">
        <f t="shared" si="238"/>
        <v>-81.636171207979814</v>
      </c>
      <c r="CG126" s="204">
        <f t="shared" si="238"/>
        <v>-82.401165524026041</v>
      </c>
      <c r="CH126" s="204">
        <f t="shared" si="238"/>
        <v>-83.170428475470544</v>
      </c>
      <c r="CI126" s="204">
        <f t="shared" si="238"/>
        <v>-83.943882526962454</v>
      </c>
      <c r="CJ126" s="204">
        <f t="shared" ref="CJ126:ET126" si="239">PV($F80,CJ$9,1,0)+(PV($J$6,$N$5-(CJ$9),1,0)/($J$6+1)^CJ$9)</f>
        <v>-84.721451551500408</v>
      </c>
      <c r="CK126" s="204">
        <f t="shared" si="239"/>
        <v>-85.503060804851359</v>
      </c>
      <c r="CL126" s="204">
        <f t="shared" si="239"/>
        <v>-86.288636900434042</v>
      </c>
      <c r="CM126" s="204">
        <f t="shared" si="239"/>
        <v>-87.07810778465857</v>
      </c>
      <c r="CN126" s="204">
        <f t="shared" si="239"/>
        <v>-87.871402712714072</v>
      </c>
      <c r="CO126" s="204">
        <f t="shared" si="239"/>
        <v>-88.668452224796056</v>
      </c>
      <c r="CP126" s="204">
        <f t="shared" si="239"/>
        <v>-89.469188122765601</v>
      </c>
      <c r="CQ126" s="204">
        <f t="shared" si="239"/>
        <v>-90.273543447232512</v>
      </c>
      <c r="CR126" s="204">
        <f t="shared" si="239"/>
        <v>-91.081452455054702</v>
      </c>
      <c r="CS126" s="204">
        <f t="shared" si="239"/>
        <v>-91.892850597246365</v>
      </c>
      <c r="CT126" s="204">
        <f t="shared" si="239"/>
        <v>-92.707674497287258</v>
      </c>
      <c r="CU126" s="204">
        <f t="shared" si="239"/>
        <v>-93.525861929826178</v>
      </c>
      <c r="CV126" s="204">
        <f t="shared" si="239"/>
        <v>-94.347351799771133</v>
      </c>
      <c r="CW126" s="204">
        <f t="shared" si="239"/>
        <v>-95.172084121759283</v>
      </c>
      <c r="CX126" s="204">
        <f t="shared" si="239"/>
        <v>-96</v>
      </c>
      <c r="CY126" s="204">
        <f t="shared" si="239"/>
        <v>-96</v>
      </c>
      <c r="CZ126" s="204">
        <f t="shared" si="239"/>
        <v>-96</v>
      </c>
      <c r="DA126" s="204">
        <f t="shared" si="239"/>
        <v>-96</v>
      </c>
      <c r="DB126" s="204">
        <f t="shared" si="239"/>
        <v>-96</v>
      </c>
      <c r="DC126" s="204">
        <f t="shared" si="239"/>
        <v>-96</v>
      </c>
      <c r="DD126" s="204">
        <f t="shared" si="239"/>
        <v>-96</v>
      </c>
      <c r="DE126" s="204">
        <f t="shared" si="239"/>
        <v>-96</v>
      </c>
      <c r="DF126" s="204">
        <f t="shared" si="239"/>
        <v>-96</v>
      </c>
      <c r="DG126" s="204">
        <f t="shared" si="239"/>
        <v>-96</v>
      </c>
      <c r="DH126" s="204">
        <f t="shared" si="239"/>
        <v>-96</v>
      </c>
      <c r="DI126" s="204">
        <f t="shared" si="239"/>
        <v>-96</v>
      </c>
      <c r="DJ126" s="204">
        <f t="shared" si="239"/>
        <v>-96</v>
      </c>
      <c r="DK126" s="204">
        <f t="shared" si="239"/>
        <v>-96</v>
      </c>
      <c r="DL126" s="204">
        <f t="shared" si="239"/>
        <v>-96</v>
      </c>
      <c r="DM126" s="204">
        <f t="shared" si="239"/>
        <v>-96</v>
      </c>
      <c r="DN126" s="204">
        <f t="shared" si="239"/>
        <v>-96</v>
      </c>
      <c r="DO126" s="204">
        <f t="shared" si="239"/>
        <v>-96</v>
      </c>
      <c r="DP126" s="204">
        <f t="shared" si="239"/>
        <v>-96</v>
      </c>
      <c r="DQ126" s="204">
        <f t="shared" si="239"/>
        <v>-96</v>
      </c>
      <c r="DR126" s="204">
        <f t="shared" si="239"/>
        <v>-96</v>
      </c>
      <c r="DS126" s="204">
        <f t="shared" si="239"/>
        <v>-96</v>
      </c>
      <c r="DT126" s="204">
        <f t="shared" si="239"/>
        <v>-96</v>
      </c>
      <c r="DU126" s="204">
        <f t="shared" si="239"/>
        <v>-96</v>
      </c>
      <c r="DV126" s="204">
        <f t="shared" si="239"/>
        <v>-96</v>
      </c>
      <c r="DW126" s="204">
        <f t="shared" si="239"/>
        <v>-96</v>
      </c>
      <c r="DX126" s="204">
        <f t="shared" si="239"/>
        <v>-96</v>
      </c>
      <c r="DY126" s="204">
        <f t="shared" si="239"/>
        <v>-96</v>
      </c>
      <c r="DZ126" s="204">
        <f t="shared" si="239"/>
        <v>-96</v>
      </c>
      <c r="EA126" s="204">
        <f t="shared" si="239"/>
        <v>-96</v>
      </c>
      <c r="EB126" s="204">
        <f t="shared" si="239"/>
        <v>-96</v>
      </c>
      <c r="EC126" s="204">
        <f t="shared" si="239"/>
        <v>-96</v>
      </c>
      <c r="ED126" s="204">
        <f t="shared" si="239"/>
        <v>-96</v>
      </c>
      <c r="EE126" s="204">
        <f t="shared" si="239"/>
        <v>-96</v>
      </c>
      <c r="EF126" s="204">
        <f t="shared" si="239"/>
        <v>-96</v>
      </c>
      <c r="EG126" s="204">
        <f t="shared" si="239"/>
        <v>-96</v>
      </c>
      <c r="EH126" s="204">
        <f t="shared" si="239"/>
        <v>-96</v>
      </c>
      <c r="EI126" s="204">
        <f t="shared" si="239"/>
        <v>-96</v>
      </c>
      <c r="EJ126" s="204">
        <f t="shared" si="239"/>
        <v>-96</v>
      </c>
      <c r="EK126" s="204">
        <f t="shared" si="239"/>
        <v>-96</v>
      </c>
      <c r="EL126" s="204">
        <f t="shared" si="239"/>
        <v>-96</v>
      </c>
      <c r="EM126" s="204">
        <f t="shared" si="239"/>
        <v>-96</v>
      </c>
      <c r="EN126" s="204">
        <f t="shared" si="239"/>
        <v>-96</v>
      </c>
      <c r="EO126" s="204">
        <f t="shared" si="239"/>
        <v>-96</v>
      </c>
      <c r="EP126" s="204">
        <f t="shared" si="239"/>
        <v>-96</v>
      </c>
      <c r="EQ126" s="204">
        <f t="shared" si="239"/>
        <v>-96</v>
      </c>
      <c r="ER126" s="204">
        <f t="shared" si="239"/>
        <v>-96</v>
      </c>
      <c r="ES126" s="204">
        <f t="shared" si="239"/>
        <v>-96</v>
      </c>
      <c r="ET126" s="204">
        <f t="shared" si="239"/>
        <v>-96</v>
      </c>
      <c r="FF126" s="6" t="s">
        <v>3035</v>
      </c>
      <c r="FG126" s="696">
        <v>2.5000000000000001E-2</v>
      </c>
      <c r="FH126" s="696">
        <v>120</v>
      </c>
      <c r="FI126" s="696">
        <v>2.0299999999999999E-2</v>
      </c>
      <c r="FJ126" s="255">
        <v>1.55E-2</v>
      </c>
      <c r="FK126" s="71">
        <f t="shared" si="92"/>
        <v>2.2619047619047624E-4</v>
      </c>
      <c r="FL126" t="e">
        <f>VLOOKUP(FF126,'SIMULADOR COM SALDO'!$BX$22:$CK$1000,13,FALSE)</f>
        <v>#N/A</v>
      </c>
    </row>
    <row r="127" spans="7:168" x14ac:dyDescent="0.25">
      <c r="G127" s="103">
        <f t="shared" si="228"/>
        <v>-44.770373601250576</v>
      </c>
      <c r="H127" s="204">
        <f t="shared" si="229"/>
        <v>-44.806371604802436</v>
      </c>
      <c r="I127" s="204">
        <f t="shared" si="229"/>
        <v>-44.859879708437063</v>
      </c>
      <c r="J127" s="204">
        <f t="shared" si="229"/>
        <v>-44.930579859281075</v>
      </c>
      <c r="K127" s="204">
        <f t="shared" si="229"/>
        <v>-45.018159781562872</v>
      </c>
      <c r="L127" s="204">
        <f t="shared" si="229"/>
        <v>-45.122312871677551</v>
      </c>
      <c r="M127" s="204">
        <f t="shared" si="229"/>
        <v>-45.24273809515784</v>
      </c>
      <c r="N127" s="204">
        <f t="shared" si="229"/>
        <v>-45.379139885516487</v>
      </c>
      <c r="O127" s="204">
        <f t="shared" si="229"/>
        <v>-45.53122804492606</v>
      </c>
      <c r="P127" s="204">
        <f t="shared" si="229"/>
        <v>-45.698717646702761</v>
      </c>
      <c r="Q127" s="204">
        <f t="shared" si="229"/>
        <v>-45.881328939561598</v>
      </c>
      <c r="R127" s="204">
        <f t="shared" si="229"/>
        <v>-46.078787253610507</v>
      </c>
      <c r="S127" s="204">
        <f t="shared" si="229"/>
        <v>-46.290822908052249</v>
      </c>
      <c r="T127" s="204">
        <f t="shared" si="229"/>
        <v>-46.517171120562551</v>
      </c>
      <c r="U127" s="204">
        <f t="shared" si="229"/>
        <v>-46.75757191831444</v>
      </c>
      <c r="V127" s="204">
        <f t="shared" si="229"/>
        <v>-47.011770050618708</v>
      </c>
      <c r="W127" s="204">
        <f t="shared" si="229"/>
        <v>-47.279514903151124</v>
      </c>
      <c r="X127" s="204">
        <f t="shared" ref="X127:CI127" si="240">PV($F81,X$9,1,0)+(PV($J$6,$N$5-(X$9),1,0)/($J$6+1)^X$9)</f>
        <v>-47.560560413737676</v>
      </c>
      <c r="Y127" s="204">
        <f t="shared" si="240"/>
        <v>-47.854664989669509</v>
      </c>
      <c r="Z127" s="204">
        <f t="shared" si="240"/>
        <v>-48.161591426519607</v>
      </c>
      <c r="AA127" s="204">
        <f t="shared" si="240"/>
        <v>-48.481106828434278</v>
      </c>
      <c r="AB127" s="204">
        <f t="shared" si="240"/>
        <v>-48.81298252987235</v>
      </c>
      <c r="AC127" s="204">
        <f t="shared" si="240"/>
        <v>-49.156994018765893</v>
      </c>
      <c r="AD127" s="204">
        <f t="shared" si="240"/>
        <v>-49.51292086107668</v>
      </c>
      <c r="AE127" s="204">
        <f t="shared" si="240"/>
        <v>-49.880546626723003</v>
      </c>
      <c r="AF127" s="204">
        <f t="shared" si="240"/>
        <v>-50.259658816851953</v>
      </c>
      <c r="AG127" s="204">
        <f t="shared" si="240"/>
        <v>-50.650048792432663</v>
      </c>
      <c r="AH127" s="204">
        <f t="shared" si="240"/>
        <v>-51.051511704146662</v>
      </c>
      <c r="AI127" s="204">
        <f t="shared" si="240"/>
        <v>-51.463846423551665</v>
      </c>
      <c r="AJ127" s="204">
        <f t="shared" si="240"/>
        <v>-51.886855475495707</v>
      </c>
      <c r="AK127" s="204">
        <f t="shared" si="240"/>
        <v>-52.320344971758878</v>
      </c>
      <c r="AL127" s="204">
        <f t="shared" si="240"/>
        <v>-52.76412454590043</v>
      </c>
      <c r="AM127" s="204">
        <f t="shared" si="240"/>
        <v>-53.218007289289282</v>
      </c>
      <c r="AN127" s="204">
        <f t="shared" si="240"/>
        <v>-53.681809688296511</v>
      </c>
      <c r="AO127" s="204">
        <f t="shared" si="240"/>
        <v>-54.155351562628589</v>
      </c>
      <c r="AP127" s="204">
        <f t="shared" si="240"/>
        <v>-54.638456004780849</v>
      </c>
      <c r="AQ127" s="204">
        <f t="shared" si="240"/>
        <v>-55.130949320590631</v>
      </c>
      <c r="AR127" s="204">
        <f t="shared" si="240"/>
        <v>-55.632660970870248</v>
      </c>
      <c r="AS127" s="204">
        <f t="shared" si="240"/>
        <v>-56.143423514100107</v>
      </c>
      <c r="AT127" s="204">
        <f t="shared" si="240"/>
        <v>-56.663072550162802</v>
      </c>
      <c r="AU127" s="204">
        <f t="shared" si="240"/>
        <v>-57.191446665099171</v>
      </c>
      <c r="AV127" s="204">
        <f t="shared" si="240"/>
        <v>-57.728387376867829</v>
      </c>
      <c r="AW127" s="204">
        <f t="shared" si="240"/>
        <v>-58.273739082089882</v>
      </c>
      <c r="AX127" s="204">
        <f t="shared" si="240"/>
        <v>-58.827349003761015</v>
      </c>
      <c r="AY127" s="204">
        <f t="shared" si="240"/>
        <v>-59.389067139913323</v>
      </c>
      <c r="AZ127" s="204">
        <f t="shared" si="240"/>
        <v>-59.95874621320965</v>
      </c>
      <c r="BA127" s="204">
        <f t="shared" si="240"/>
        <v>-60.53624162145347</v>
      </c>
      <c r="BB127" s="204">
        <f t="shared" si="240"/>
        <v>-61.121411388997728</v>
      </c>
      <c r="BC127" s="204">
        <f t="shared" si="240"/>
        <v>-61.714116119036262</v>
      </c>
      <c r="BD127" s="204">
        <f t="shared" si="240"/>
        <v>-62.314218946761883</v>
      </c>
      <c r="BE127" s="204">
        <f t="shared" si="240"/>
        <v>-62.921585493375147</v>
      </c>
      <c r="BF127" s="204">
        <f t="shared" si="240"/>
        <v>-63.536083820928674</v>
      </c>
      <c r="BG127" s="204">
        <f t="shared" si="240"/>
        <v>-64.157584387991548</v>
      </c>
      <c r="BH127" s="204">
        <f t="shared" si="240"/>
        <v>-64.785960006119055</v>
      </c>
      <c r="BI127" s="204">
        <f t="shared" si="240"/>
        <v>-65.421085797113165</v>
      </c>
      <c r="BJ127" s="204">
        <f t="shared" si="240"/>
        <v>-66.062839151059279</v>
      </c>
      <c r="BK127" s="204">
        <f t="shared" si="240"/>
        <v>-66.711099685125177</v>
      </c>
      <c r="BL127" s="204">
        <f t="shared" si="240"/>
        <v>-67.365749203108379</v>
      </c>
      <c r="BM127" s="204">
        <f t="shared" si="240"/>
        <v>-68.026671655718303</v>
      </c>
      <c r="BN127" s="204">
        <f t="shared" si="240"/>
        <v>-68.693753101579787</v>
      </c>
      <c r="BO127" s="204">
        <f t="shared" si="240"/>
        <v>-69.366881668945013</v>
      </c>
      <c r="BP127" s="204">
        <f t="shared" si="240"/>
        <v>-70.04594751810086</v>
      </c>
      <c r="BQ127" s="204">
        <f t="shared" si="240"/>
        <v>-70.730842804459073</v>
      </c>
      <c r="BR127" s="204">
        <f t="shared" si="240"/>
        <v>-71.421461642316928</v>
      </c>
      <c r="BS127" s="204">
        <f t="shared" si="240"/>
        <v>-72.117700069276026</v>
      </c>
      <c r="BT127" s="204">
        <f t="shared" si="240"/>
        <v>-72.819456011307551</v>
      </c>
      <c r="BU127" s="204">
        <f t="shared" si="240"/>
        <v>-73.526629248451897</v>
      </c>
      <c r="BV127" s="204">
        <f t="shared" si="240"/>
        <v>-74.239121381141487</v>
      </c>
      <c r="BW127" s="204">
        <f t="shared" si="240"/>
        <v>-74.956835797135199</v>
      </c>
      <c r="BX127" s="204">
        <f t="shared" si="240"/>
        <v>-75.679677639053423</v>
      </c>
      <c r="BY127" s="204">
        <f t="shared" si="240"/>
        <v>-76.407553772502823</v>
      </c>
      <c r="BZ127" s="204">
        <f t="shared" si="240"/>
        <v>-77.140372754780103</v>
      </c>
      <c r="CA127" s="204">
        <f t="shared" si="240"/>
        <v>-77.878044804144153</v>
      </c>
      <c r="CB127" s="204">
        <f t="shared" si="240"/>
        <v>-78.620481769646403</v>
      </c>
      <c r="CC127" s="204">
        <f t="shared" si="240"/>
        <v>-79.36759710150919</v>
      </c>
      <c r="CD127" s="204">
        <f t="shared" si="240"/>
        <v>-80.119305822042122</v>
      </c>
      <c r="CE127" s="204">
        <f t="shared" si="240"/>
        <v>-80.87552449708673</v>
      </c>
      <c r="CF127" s="204">
        <f t="shared" si="240"/>
        <v>-81.636171207979814</v>
      </c>
      <c r="CG127" s="204">
        <f t="shared" si="240"/>
        <v>-82.401165524026041</v>
      </c>
      <c r="CH127" s="204">
        <f t="shared" si="240"/>
        <v>-83.170428475470544</v>
      </c>
      <c r="CI127" s="204">
        <f t="shared" si="240"/>
        <v>-83.943882526962454</v>
      </c>
      <c r="CJ127" s="204">
        <f t="shared" ref="CJ127:ET127" si="241">PV($F81,CJ$9,1,0)+(PV($J$6,$N$5-(CJ$9),1,0)/($J$6+1)^CJ$9)</f>
        <v>-84.721451551500408</v>
      </c>
      <c r="CK127" s="204">
        <f t="shared" si="241"/>
        <v>-85.503060804851359</v>
      </c>
      <c r="CL127" s="204">
        <f t="shared" si="241"/>
        <v>-86.288636900434042</v>
      </c>
      <c r="CM127" s="204">
        <f t="shared" si="241"/>
        <v>-87.07810778465857</v>
      </c>
      <c r="CN127" s="204">
        <f t="shared" si="241"/>
        <v>-87.871402712714072</v>
      </c>
      <c r="CO127" s="204">
        <f t="shared" si="241"/>
        <v>-88.668452224796056</v>
      </c>
      <c r="CP127" s="204">
        <f t="shared" si="241"/>
        <v>-89.469188122765601</v>
      </c>
      <c r="CQ127" s="204">
        <f t="shared" si="241"/>
        <v>-90.273543447232512</v>
      </c>
      <c r="CR127" s="204">
        <f t="shared" si="241"/>
        <v>-91.081452455054702</v>
      </c>
      <c r="CS127" s="204">
        <f t="shared" si="241"/>
        <v>-91.892850597246365</v>
      </c>
      <c r="CT127" s="204">
        <f t="shared" si="241"/>
        <v>-92.707674497287258</v>
      </c>
      <c r="CU127" s="204">
        <f t="shared" si="241"/>
        <v>-93.525861929826178</v>
      </c>
      <c r="CV127" s="204">
        <f t="shared" si="241"/>
        <v>-94.347351799771133</v>
      </c>
      <c r="CW127" s="204">
        <f t="shared" si="241"/>
        <v>-95.172084121759283</v>
      </c>
      <c r="CX127" s="204">
        <f t="shared" si="241"/>
        <v>-96</v>
      </c>
      <c r="CY127" s="204">
        <f t="shared" si="241"/>
        <v>-96</v>
      </c>
      <c r="CZ127" s="204">
        <f t="shared" si="241"/>
        <v>-96</v>
      </c>
      <c r="DA127" s="204">
        <f t="shared" si="241"/>
        <v>-96</v>
      </c>
      <c r="DB127" s="204">
        <f t="shared" si="241"/>
        <v>-96</v>
      </c>
      <c r="DC127" s="204">
        <f t="shared" si="241"/>
        <v>-96</v>
      </c>
      <c r="DD127" s="204">
        <f t="shared" si="241"/>
        <v>-96</v>
      </c>
      <c r="DE127" s="204">
        <f t="shared" si="241"/>
        <v>-96</v>
      </c>
      <c r="DF127" s="204">
        <f t="shared" si="241"/>
        <v>-96</v>
      </c>
      <c r="DG127" s="204">
        <f t="shared" si="241"/>
        <v>-96</v>
      </c>
      <c r="DH127" s="204">
        <f t="shared" si="241"/>
        <v>-96</v>
      </c>
      <c r="DI127" s="204">
        <f t="shared" si="241"/>
        <v>-96</v>
      </c>
      <c r="DJ127" s="204">
        <f t="shared" si="241"/>
        <v>-96</v>
      </c>
      <c r="DK127" s="204">
        <f t="shared" si="241"/>
        <v>-96</v>
      </c>
      <c r="DL127" s="204">
        <f t="shared" si="241"/>
        <v>-96</v>
      </c>
      <c r="DM127" s="204">
        <f t="shared" si="241"/>
        <v>-96</v>
      </c>
      <c r="DN127" s="204">
        <f t="shared" si="241"/>
        <v>-96</v>
      </c>
      <c r="DO127" s="204">
        <f t="shared" si="241"/>
        <v>-96</v>
      </c>
      <c r="DP127" s="204">
        <f t="shared" si="241"/>
        <v>-96</v>
      </c>
      <c r="DQ127" s="204">
        <f t="shared" si="241"/>
        <v>-96</v>
      </c>
      <c r="DR127" s="204">
        <f t="shared" si="241"/>
        <v>-96</v>
      </c>
      <c r="DS127" s="204">
        <f t="shared" si="241"/>
        <v>-96</v>
      </c>
      <c r="DT127" s="204">
        <f t="shared" si="241"/>
        <v>-96</v>
      </c>
      <c r="DU127" s="204">
        <f t="shared" si="241"/>
        <v>-96</v>
      </c>
      <c r="DV127" s="204">
        <f t="shared" si="241"/>
        <v>-96</v>
      </c>
      <c r="DW127" s="204">
        <f t="shared" si="241"/>
        <v>-96</v>
      </c>
      <c r="DX127" s="204">
        <f t="shared" si="241"/>
        <v>-96</v>
      </c>
      <c r="DY127" s="204">
        <f t="shared" si="241"/>
        <v>-96</v>
      </c>
      <c r="DZ127" s="204">
        <f t="shared" si="241"/>
        <v>-96</v>
      </c>
      <c r="EA127" s="204">
        <f t="shared" si="241"/>
        <v>-96</v>
      </c>
      <c r="EB127" s="204">
        <f t="shared" si="241"/>
        <v>-96</v>
      </c>
      <c r="EC127" s="204">
        <f t="shared" si="241"/>
        <v>-96</v>
      </c>
      <c r="ED127" s="204">
        <f t="shared" si="241"/>
        <v>-96</v>
      </c>
      <c r="EE127" s="204">
        <f t="shared" si="241"/>
        <v>-96</v>
      </c>
      <c r="EF127" s="204">
        <f t="shared" si="241"/>
        <v>-96</v>
      </c>
      <c r="EG127" s="204">
        <f t="shared" si="241"/>
        <v>-96</v>
      </c>
      <c r="EH127" s="204">
        <f t="shared" si="241"/>
        <v>-96</v>
      </c>
      <c r="EI127" s="204">
        <f t="shared" si="241"/>
        <v>-96</v>
      </c>
      <c r="EJ127" s="204">
        <f t="shared" si="241"/>
        <v>-96</v>
      </c>
      <c r="EK127" s="204">
        <f t="shared" si="241"/>
        <v>-96</v>
      </c>
      <c r="EL127" s="204">
        <f t="shared" si="241"/>
        <v>-96</v>
      </c>
      <c r="EM127" s="204">
        <f t="shared" si="241"/>
        <v>-96</v>
      </c>
      <c r="EN127" s="204">
        <f t="shared" si="241"/>
        <v>-96</v>
      </c>
      <c r="EO127" s="204">
        <f t="shared" si="241"/>
        <v>-96</v>
      </c>
      <c r="EP127" s="204">
        <f t="shared" si="241"/>
        <v>-96</v>
      </c>
      <c r="EQ127" s="204">
        <f t="shared" si="241"/>
        <v>-96</v>
      </c>
      <c r="ER127" s="204">
        <f t="shared" si="241"/>
        <v>-96</v>
      </c>
      <c r="ES127" s="204">
        <f t="shared" si="241"/>
        <v>-96</v>
      </c>
      <c r="ET127" s="204">
        <f t="shared" si="241"/>
        <v>-96</v>
      </c>
      <c r="FF127" s="6" t="s">
        <v>334</v>
      </c>
      <c r="FG127" s="696">
        <v>2.5000000000000001E-2</v>
      </c>
      <c r="FH127" s="696">
        <v>96</v>
      </c>
      <c r="FI127" s="696">
        <v>2.1899999999999999E-2</v>
      </c>
      <c r="FJ127" s="255">
        <v>1.5900000000000001E-2</v>
      </c>
      <c r="FK127" s="71">
        <f t="shared" si="92"/>
        <v>2.1666666666666668E-4</v>
      </c>
      <c r="FL127" t="e">
        <f>VLOOKUP(FF127,'SIMULADOR COM SALDO'!$BX$22:$CK$1000,13,FALSE)</f>
        <v>#N/A</v>
      </c>
    </row>
    <row r="128" spans="7:168" x14ac:dyDescent="0.25">
      <c r="G128" s="103">
        <f t="shared" si="228"/>
        <v>-44.770373601250576</v>
      </c>
      <c r="H128" s="204">
        <f t="shared" si="229"/>
        <v>-44.806371604802436</v>
      </c>
      <c r="I128" s="204">
        <f t="shared" si="229"/>
        <v>-44.859879708437063</v>
      </c>
      <c r="J128" s="204">
        <f t="shared" si="229"/>
        <v>-44.930579859281075</v>
      </c>
      <c r="K128" s="204">
        <f t="shared" si="229"/>
        <v>-45.018159781562872</v>
      </c>
      <c r="L128" s="204">
        <f t="shared" si="229"/>
        <v>-45.122312871677551</v>
      </c>
      <c r="M128" s="204">
        <f t="shared" si="229"/>
        <v>-45.24273809515784</v>
      </c>
      <c r="N128" s="204">
        <f t="shared" si="229"/>
        <v>-45.379139885516487</v>
      </c>
      <c r="O128" s="204">
        <f t="shared" si="229"/>
        <v>-45.53122804492606</v>
      </c>
      <c r="P128" s="204">
        <f t="shared" si="229"/>
        <v>-45.698717646702761</v>
      </c>
      <c r="Q128" s="204">
        <f t="shared" si="229"/>
        <v>-45.881328939561598</v>
      </c>
      <c r="R128" s="204">
        <f t="shared" si="229"/>
        <v>-46.078787253610507</v>
      </c>
      <c r="S128" s="204">
        <f t="shared" si="229"/>
        <v>-46.290822908052249</v>
      </c>
      <c r="T128" s="204">
        <f t="shared" si="229"/>
        <v>-46.517171120562551</v>
      </c>
      <c r="U128" s="204">
        <f t="shared" si="229"/>
        <v>-46.75757191831444</v>
      </c>
      <c r="V128" s="204">
        <f t="shared" si="229"/>
        <v>-47.011770050618708</v>
      </c>
      <c r="W128" s="204">
        <f t="shared" si="229"/>
        <v>-47.279514903151124</v>
      </c>
      <c r="X128" s="204">
        <f t="shared" ref="X128:CI128" si="242">PV($F82,X$9,1,0)+(PV($J$6,$N$5-(X$9),1,0)/($J$6+1)^X$9)</f>
        <v>-47.560560413737676</v>
      </c>
      <c r="Y128" s="204">
        <f t="shared" si="242"/>
        <v>-47.854664989669509</v>
      </c>
      <c r="Z128" s="204">
        <f t="shared" si="242"/>
        <v>-48.161591426519607</v>
      </c>
      <c r="AA128" s="204">
        <f t="shared" si="242"/>
        <v>-48.481106828434278</v>
      </c>
      <c r="AB128" s="204">
        <f t="shared" si="242"/>
        <v>-48.81298252987235</v>
      </c>
      <c r="AC128" s="204">
        <f t="shared" si="242"/>
        <v>-49.156994018765893</v>
      </c>
      <c r="AD128" s="204">
        <f t="shared" si="242"/>
        <v>-49.51292086107668</v>
      </c>
      <c r="AE128" s="204">
        <f t="shared" si="242"/>
        <v>-49.880546626723003</v>
      </c>
      <c r="AF128" s="204">
        <f t="shared" si="242"/>
        <v>-50.259658816851953</v>
      </c>
      <c r="AG128" s="204">
        <f t="shared" si="242"/>
        <v>-50.650048792432663</v>
      </c>
      <c r="AH128" s="204">
        <f t="shared" si="242"/>
        <v>-51.051511704146662</v>
      </c>
      <c r="AI128" s="204">
        <f t="shared" si="242"/>
        <v>-51.463846423551665</v>
      </c>
      <c r="AJ128" s="204">
        <f t="shared" si="242"/>
        <v>-51.886855475495707</v>
      </c>
      <c r="AK128" s="204">
        <f t="shared" si="242"/>
        <v>-52.320344971758878</v>
      </c>
      <c r="AL128" s="204">
        <f t="shared" si="242"/>
        <v>-52.76412454590043</v>
      </c>
      <c r="AM128" s="204">
        <f t="shared" si="242"/>
        <v>-53.218007289289282</v>
      </c>
      <c r="AN128" s="204">
        <f t="shared" si="242"/>
        <v>-53.681809688296511</v>
      </c>
      <c r="AO128" s="204">
        <f t="shared" si="242"/>
        <v>-54.155351562628589</v>
      </c>
      <c r="AP128" s="204">
        <f t="shared" si="242"/>
        <v>-54.638456004780849</v>
      </c>
      <c r="AQ128" s="204">
        <f t="shared" si="242"/>
        <v>-55.130949320590631</v>
      </c>
      <c r="AR128" s="204">
        <f t="shared" si="242"/>
        <v>-55.632660970870248</v>
      </c>
      <c r="AS128" s="204">
        <f t="shared" si="242"/>
        <v>-56.143423514100107</v>
      </c>
      <c r="AT128" s="204">
        <f t="shared" si="242"/>
        <v>-56.663072550162802</v>
      </c>
      <c r="AU128" s="204">
        <f t="shared" si="242"/>
        <v>-57.191446665099171</v>
      </c>
      <c r="AV128" s="204">
        <f t="shared" si="242"/>
        <v>-57.728387376867829</v>
      </c>
      <c r="AW128" s="204">
        <f t="shared" si="242"/>
        <v>-58.273739082089882</v>
      </c>
      <c r="AX128" s="204">
        <f t="shared" si="242"/>
        <v>-58.827349003761015</v>
      </c>
      <c r="AY128" s="204">
        <f t="shared" si="242"/>
        <v>-59.389067139913323</v>
      </c>
      <c r="AZ128" s="204">
        <f t="shared" si="242"/>
        <v>-59.95874621320965</v>
      </c>
      <c r="BA128" s="204">
        <f t="shared" si="242"/>
        <v>-60.53624162145347</v>
      </c>
      <c r="BB128" s="204">
        <f t="shared" si="242"/>
        <v>-61.121411388997728</v>
      </c>
      <c r="BC128" s="204">
        <f t="shared" si="242"/>
        <v>-61.714116119036262</v>
      </c>
      <c r="BD128" s="204">
        <f t="shared" si="242"/>
        <v>-62.314218946761883</v>
      </c>
      <c r="BE128" s="204">
        <f t="shared" si="242"/>
        <v>-62.921585493375147</v>
      </c>
      <c r="BF128" s="204">
        <f t="shared" si="242"/>
        <v>-63.536083820928674</v>
      </c>
      <c r="BG128" s="204">
        <f t="shared" si="242"/>
        <v>-64.157584387991548</v>
      </c>
      <c r="BH128" s="204">
        <f t="shared" si="242"/>
        <v>-64.785960006119055</v>
      </c>
      <c r="BI128" s="204">
        <f t="shared" si="242"/>
        <v>-65.421085797113165</v>
      </c>
      <c r="BJ128" s="204">
        <f t="shared" si="242"/>
        <v>-66.062839151059279</v>
      </c>
      <c r="BK128" s="204">
        <f t="shared" si="242"/>
        <v>-66.711099685125177</v>
      </c>
      <c r="BL128" s="204">
        <f t="shared" si="242"/>
        <v>-67.365749203108379</v>
      </c>
      <c r="BM128" s="204">
        <f t="shared" si="242"/>
        <v>-68.026671655718303</v>
      </c>
      <c r="BN128" s="204">
        <f t="shared" si="242"/>
        <v>-68.693753101579787</v>
      </c>
      <c r="BO128" s="204">
        <f t="shared" si="242"/>
        <v>-69.366881668945013</v>
      </c>
      <c r="BP128" s="204">
        <f t="shared" si="242"/>
        <v>-70.04594751810086</v>
      </c>
      <c r="BQ128" s="204">
        <f t="shared" si="242"/>
        <v>-70.730842804459073</v>
      </c>
      <c r="BR128" s="204">
        <f t="shared" si="242"/>
        <v>-71.421461642316928</v>
      </c>
      <c r="BS128" s="204">
        <f t="shared" si="242"/>
        <v>-72.117700069276026</v>
      </c>
      <c r="BT128" s="204">
        <f t="shared" si="242"/>
        <v>-72.819456011307551</v>
      </c>
      <c r="BU128" s="204">
        <f t="shared" si="242"/>
        <v>-73.526629248451897</v>
      </c>
      <c r="BV128" s="204">
        <f t="shared" si="242"/>
        <v>-74.239121381141487</v>
      </c>
      <c r="BW128" s="204">
        <f t="shared" si="242"/>
        <v>-74.956835797135199</v>
      </c>
      <c r="BX128" s="204">
        <f t="shared" si="242"/>
        <v>-75.679677639053423</v>
      </c>
      <c r="BY128" s="204">
        <f t="shared" si="242"/>
        <v>-76.407553772502823</v>
      </c>
      <c r="BZ128" s="204">
        <f t="shared" si="242"/>
        <v>-77.140372754780103</v>
      </c>
      <c r="CA128" s="204">
        <f t="shared" si="242"/>
        <v>-77.878044804144153</v>
      </c>
      <c r="CB128" s="204">
        <f t="shared" si="242"/>
        <v>-78.620481769646403</v>
      </c>
      <c r="CC128" s="204">
        <f t="shared" si="242"/>
        <v>-79.36759710150919</v>
      </c>
      <c r="CD128" s="204">
        <f t="shared" si="242"/>
        <v>-80.119305822042122</v>
      </c>
      <c r="CE128" s="204">
        <f t="shared" si="242"/>
        <v>-80.87552449708673</v>
      </c>
      <c r="CF128" s="204">
        <f t="shared" si="242"/>
        <v>-81.636171207979814</v>
      </c>
      <c r="CG128" s="204">
        <f t="shared" si="242"/>
        <v>-82.401165524026041</v>
      </c>
      <c r="CH128" s="204">
        <f t="shared" si="242"/>
        <v>-83.170428475470544</v>
      </c>
      <c r="CI128" s="204">
        <f t="shared" si="242"/>
        <v>-83.943882526962454</v>
      </c>
      <c r="CJ128" s="204">
        <f t="shared" ref="CJ128:ET128" si="243">PV($F82,CJ$9,1,0)+(PV($J$6,$N$5-(CJ$9),1,0)/($J$6+1)^CJ$9)</f>
        <v>-84.721451551500408</v>
      </c>
      <c r="CK128" s="204">
        <f t="shared" si="243"/>
        <v>-85.503060804851359</v>
      </c>
      <c r="CL128" s="204">
        <f t="shared" si="243"/>
        <v>-86.288636900434042</v>
      </c>
      <c r="CM128" s="204">
        <f t="shared" si="243"/>
        <v>-87.07810778465857</v>
      </c>
      <c r="CN128" s="204">
        <f t="shared" si="243"/>
        <v>-87.871402712714072</v>
      </c>
      <c r="CO128" s="204">
        <f t="shared" si="243"/>
        <v>-88.668452224796056</v>
      </c>
      <c r="CP128" s="204">
        <f t="shared" si="243"/>
        <v>-89.469188122765601</v>
      </c>
      <c r="CQ128" s="204">
        <f t="shared" si="243"/>
        <v>-90.273543447232512</v>
      </c>
      <c r="CR128" s="204">
        <f t="shared" si="243"/>
        <v>-91.081452455054702</v>
      </c>
      <c r="CS128" s="204">
        <f t="shared" si="243"/>
        <v>-91.892850597246365</v>
      </c>
      <c r="CT128" s="204">
        <f t="shared" si="243"/>
        <v>-92.707674497287258</v>
      </c>
      <c r="CU128" s="204">
        <f t="shared" si="243"/>
        <v>-93.525861929826178</v>
      </c>
      <c r="CV128" s="204">
        <f t="shared" si="243"/>
        <v>-94.347351799771133</v>
      </c>
      <c r="CW128" s="204">
        <f t="shared" si="243"/>
        <v>-95.172084121759283</v>
      </c>
      <c r="CX128" s="204">
        <f t="shared" si="243"/>
        <v>-96</v>
      </c>
      <c r="CY128" s="204">
        <f t="shared" si="243"/>
        <v>-96</v>
      </c>
      <c r="CZ128" s="204">
        <f t="shared" si="243"/>
        <v>-96</v>
      </c>
      <c r="DA128" s="204">
        <f t="shared" si="243"/>
        <v>-96</v>
      </c>
      <c r="DB128" s="204">
        <f t="shared" si="243"/>
        <v>-96</v>
      </c>
      <c r="DC128" s="204">
        <f t="shared" si="243"/>
        <v>-96</v>
      </c>
      <c r="DD128" s="204">
        <f t="shared" si="243"/>
        <v>-96</v>
      </c>
      <c r="DE128" s="204">
        <f t="shared" si="243"/>
        <v>-96</v>
      </c>
      <c r="DF128" s="204">
        <f t="shared" si="243"/>
        <v>-96</v>
      </c>
      <c r="DG128" s="204">
        <f t="shared" si="243"/>
        <v>-96</v>
      </c>
      <c r="DH128" s="204">
        <f t="shared" si="243"/>
        <v>-96</v>
      </c>
      <c r="DI128" s="204">
        <f t="shared" si="243"/>
        <v>-96</v>
      </c>
      <c r="DJ128" s="204">
        <f t="shared" si="243"/>
        <v>-96</v>
      </c>
      <c r="DK128" s="204">
        <f t="shared" si="243"/>
        <v>-96</v>
      </c>
      <c r="DL128" s="204">
        <f t="shared" si="243"/>
        <v>-96</v>
      </c>
      <c r="DM128" s="204">
        <f t="shared" si="243"/>
        <v>-96</v>
      </c>
      <c r="DN128" s="204">
        <f t="shared" si="243"/>
        <v>-96</v>
      </c>
      <c r="DO128" s="204">
        <f t="shared" si="243"/>
        <v>-96</v>
      </c>
      <c r="DP128" s="204">
        <f t="shared" si="243"/>
        <v>-96</v>
      </c>
      <c r="DQ128" s="204">
        <f t="shared" si="243"/>
        <v>-96</v>
      </c>
      <c r="DR128" s="204">
        <f t="shared" si="243"/>
        <v>-96</v>
      </c>
      <c r="DS128" s="204">
        <f t="shared" si="243"/>
        <v>-96</v>
      </c>
      <c r="DT128" s="204">
        <f t="shared" si="243"/>
        <v>-96</v>
      </c>
      <c r="DU128" s="204">
        <f t="shared" si="243"/>
        <v>-96</v>
      </c>
      <c r="DV128" s="204">
        <f t="shared" si="243"/>
        <v>-96</v>
      </c>
      <c r="DW128" s="204">
        <f t="shared" si="243"/>
        <v>-96</v>
      </c>
      <c r="DX128" s="204">
        <f t="shared" si="243"/>
        <v>-96</v>
      </c>
      <c r="DY128" s="204">
        <f t="shared" si="243"/>
        <v>-96</v>
      </c>
      <c r="DZ128" s="204">
        <f t="shared" si="243"/>
        <v>-96</v>
      </c>
      <c r="EA128" s="204">
        <f t="shared" si="243"/>
        <v>-96</v>
      </c>
      <c r="EB128" s="204">
        <f t="shared" si="243"/>
        <v>-96</v>
      </c>
      <c r="EC128" s="204">
        <f t="shared" si="243"/>
        <v>-96</v>
      </c>
      <c r="ED128" s="204">
        <f t="shared" si="243"/>
        <v>-96</v>
      </c>
      <c r="EE128" s="204">
        <f t="shared" si="243"/>
        <v>-96</v>
      </c>
      <c r="EF128" s="204">
        <f t="shared" si="243"/>
        <v>-96</v>
      </c>
      <c r="EG128" s="204">
        <f t="shared" si="243"/>
        <v>-96</v>
      </c>
      <c r="EH128" s="204">
        <f t="shared" si="243"/>
        <v>-96</v>
      </c>
      <c r="EI128" s="204">
        <f t="shared" si="243"/>
        <v>-96</v>
      </c>
      <c r="EJ128" s="204">
        <f t="shared" si="243"/>
        <v>-96</v>
      </c>
      <c r="EK128" s="204">
        <f t="shared" si="243"/>
        <v>-96</v>
      </c>
      <c r="EL128" s="204">
        <f t="shared" si="243"/>
        <v>-96</v>
      </c>
      <c r="EM128" s="204">
        <f t="shared" si="243"/>
        <v>-96</v>
      </c>
      <c r="EN128" s="204">
        <f t="shared" si="243"/>
        <v>-96</v>
      </c>
      <c r="EO128" s="204">
        <f t="shared" si="243"/>
        <v>-96</v>
      </c>
      <c r="EP128" s="204">
        <f t="shared" si="243"/>
        <v>-96</v>
      </c>
      <c r="EQ128" s="204">
        <f t="shared" si="243"/>
        <v>-96</v>
      </c>
      <c r="ER128" s="204">
        <f t="shared" si="243"/>
        <v>-96</v>
      </c>
      <c r="ES128" s="204">
        <f t="shared" si="243"/>
        <v>-96</v>
      </c>
      <c r="ET128" s="204">
        <f t="shared" si="243"/>
        <v>-96</v>
      </c>
      <c r="FF128" s="67" t="s">
        <v>634</v>
      </c>
      <c r="FG128" s="696">
        <v>2.5000000000000001E-2</v>
      </c>
      <c r="FH128" s="696">
        <v>120</v>
      </c>
      <c r="FI128" s="696">
        <v>2.2499999999999999E-2</v>
      </c>
      <c r="FJ128" s="255">
        <v>1.6E-2</v>
      </c>
      <c r="FK128" s="71">
        <f t="shared" si="92"/>
        <v>2.142857142857143E-4</v>
      </c>
      <c r="FL128" t="e">
        <f>VLOOKUP(FF128,'SIMULADOR COM SALDO'!$BX$22:$CK$1000,13,FALSE)</f>
        <v>#N/A</v>
      </c>
    </row>
    <row r="129" spans="7:168" x14ac:dyDescent="0.25">
      <c r="G129" s="103">
        <f t="shared" si="228"/>
        <v>-44.770373601250576</v>
      </c>
      <c r="H129" s="204">
        <f t="shared" si="229"/>
        <v>-44.806371604802436</v>
      </c>
      <c r="I129" s="204">
        <f t="shared" si="229"/>
        <v>-44.859879708437063</v>
      </c>
      <c r="J129" s="204">
        <f t="shared" si="229"/>
        <v>-44.930579859281075</v>
      </c>
      <c r="K129" s="204">
        <f t="shared" si="229"/>
        <v>-45.018159781562872</v>
      </c>
      <c r="L129" s="204">
        <f t="shared" si="229"/>
        <v>-45.122312871677551</v>
      </c>
      <c r="M129" s="204">
        <f t="shared" si="229"/>
        <v>-45.24273809515784</v>
      </c>
      <c r="N129" s="204">
        <f t="shared" si="229"/>
        <v>-45.379139885516487</v>
      </c>
      <c r="O129" s="204">
        <f t="shared" si="229"/>
        <v>-45.53122804492606</v>
      </c>
      <c r="P129" s="204">
        <f t="shared" si="229"/>
        <v>-45.698717646702761</v>
      </c>
      <c r="Q129" s="204">
        <f t="shared" si="229"/>
        <v>-45.881328939561598</v>
      </c>
      <c r="R129" s="204">
        <f t="shared" si="229"/>
        <v>-46.078787253610507</v>
      </c>
      <c r="S129" s="204">
        <f t="shared" si="229"/>
        <v>-46.290822908052249</v>
      </c>
      <c r="T129" s="204">
        <f t="shared" si="229"/>
        <v>-46.517171120562551</v>
      </c>
      <c r="U129" s="204">
        <f t="shared" si="229"/>
        <v>-46.75757191831444</v>
      </c>
      <c r="V129" s="204">
        <f t="shared" si="229"/>
        <v>-47.011770050618708</v>
      </c>
      <c r="W129" s="204">
        <f t="shared" si="229"/>
        <v>-47.279514903151124</v>
      </c>
      <c r="X129" s="204">
        <f t="shared" ref="X129:CI129" si="244">PV($F83,X$9,1,0)+(PV($J$6,$N$5-(X$9),1,0)/($J$6+1)^X$9)</f>
        <v>-47.560560413737676</v>
      </c>
      <c r="Y129" s="204">
        <f t="shared" si="244"/>
        <v>-47.854664989669509</v>
      </c>
      <c r="Z129" s="204">
        <f t="shared" si="244"/>
        <v>-48.161591426519607</v>
      </c>
      <c r="AA129" s="204">
        <f t="shared" si="244"/>
        <v>-48.481106828434278</v>
      </c>
      <c r="AB129" s="204">
        <f t="shared" si="244"/>
        <v>-48.81298252987235</v>
      </c>
      <c r="AC129" s="204">
        <f t="shared" si="244"/>
        <v>-49.156994018765893</v>
      </c>
      <c r="AD129" s="204">
        <f t="shared" si="244"/>
        <v>-49.51292086107668</v>
      </c>
      <c r="AE129" s="204">
        <f t="shared" si="244"/>
        <v>-49.880546626723003</v>
      </c>
      <c r="AF129" s="204">
        <f t="shared" si="244"/>
        <v>-50.259658816851953</v>
      </c>
      <c r="AG129" s="204">
        <f t="shared" si="244"/>
        <v>-50.650048792432663</v>
      </c>
      <c r="AH129" s="204">
        <f t="shared" si="244"/>
        <v>-51.051511704146662</v>
      </c>
      <c r="AI129" s="204">
        <f t="shared" si="244"/>
        <v>-51.463846423551665</v>
      </c>
      <c r="AJ129" s="204">
        <f t="shared" si="244"/>
        <v>-51.886855475495707</v>
      </c>
      <c r="AK129" s="204">
        <f t="shared" si="244"/>
        <v>-52.320344971758878</v>
      </c>
      <c r="AL129" s="204">
        <f t="shared" si="244"/>
        <v>-52.76412454590043</v>
      </c>
      <c r="AM129" s="204">
        <f t="shared" si="244"/>
        <v>-53.218007289289282</v>
      </c>
      <c r="AN129" s="204">
        <f t="shared" si="244"/>
        <v>-53.681809688296511</v>
      </c>
      <c r="AO129" s="204">
        <f t="shared" si="244"/>
        <v>-54.155351562628589</v>
      </c>
      <c r="AP129" s="204">
        <f t="shared" si="244"/>
        <v>-54.638456004780849</v>
      </c>
      <c r="AQ129" s="204">
        <f t="shared" si="244"/>
        <v>-55.130949320590631</v>
      </c>
      <c r="AR129" s="204">
        <f t="shared" si="244"/>
        <v>-55.632660970870248</v>
      </c>
      <c r="AS129" s="204">
        <f t="shared" si="244"/>
        <v>-56.143423514100107</v>
      </c>
      <c r="AT129" s="204">
        <f t="shared" si="244"/>
        <v>-56.663072550162802</v>
      </c>
      <c r="AU129" s="204">
        <f t="shared" si="244"/>
        <v>-57.191446665099171</v>
      </c>
      <c r="AV129" s="204">
        <f t="shared" si="244"/>
        <v>-57.728387376867829</v>
      </c>
      <c r="AW129" s="204">
        <f t="shared" si="244"/>
        <v>-58.273739082089882</v>
      </c>
      <c r="AX129" s="204">
        <f t="shared" si="244"/>
        <v>-58.827349003761015</v>
      </c>
      <c r="AY129" s="204">
        <f t="shared" si="244"/>
        <v>-59.389067139913323</v>
      </c>
      <c r="AZ129" s="204">
        <f t="shared" si="244"/>
        <v>-59.95874621320965</v>
      </c>
      <c r="BA129" s="204">
        <f t="shared" si="244"/>
        <v>-60.53624162145347</v>
      </c>
      <c r="BB129" s="204">
        <f t="shared" si="244"/>
        <v>-61.121411388997728</v>
      </c>
      <c r="BC129" s="204">
        <f t="shared" si="244"/>
        <v>-61.714116119036262</v>
      </c>
      <c r="BD129" s="204">
        <f t="shared" si="244"/>
        <v>-62.314218946761883</v>
      </c>
      <c r="BE129" s="204">
        <f t="shared" si="244"/>
        <v>-62.921585493375147</v>
      </c>
      <c r="BF129" s="204">
        <f t="shared" si="244"/>
        <v>-63.536083820928674</v>
      </c>
      <c r="BG129" s="204">
        <f t="shared" si="244"/>
        <v>-64.157584387991548</v>
      </c>
      <c r="BH129" s="204">
        <f t="shared" si="244"/>
        <v>-64.785960006119055</v>
      </c>
      <c r="BI129" s="204">
        <f t="shared" si="244"/>
        <v>-65.421085797113165</v>
      </c>
      <c r="BJ129" s="204">
        <f t="shared" si="244"/>
        <v>-66.062839151059279</v>
      </c>
      <c r="BK129" s="204">
        <f t="shared" si="244"/>
        <v>-66.711099685125177</v>
      </c>
      <c r="BL129" s="204">
        <f t="shared" si="244"/>
        <v>-67.365749203108379</v>
      </c>
      <c r="BM129" s="204">
        <f t="shared" si="244"/>
        <v>-68.026671655718303</v>
      </c>
      <c r="BN129" s="204">
        <f t="shared" si="244"/>
        <v>-68.693753101579787</v>
      </c>
      <c r="BO129" s="204">
        <f t="shared" si="244"/>
        <v>-69.366881668945013</v>
      </c>
      <c r="BP129" s="204">
        <f t="shared" si="244"/>
        <v>-70.04594751810086</v>
      </c>
      <c r="BQ129" s="204">
        <f t="shared" si="244"/>
        <v>-70.730842804459073</v>
      </c>
      <c r="BR129" s="204">
        <f t="shared" si="244"/>
        <v>-71.421461642316928</v>
      </c>
      <c r="BS129" s="204">
        <f t="shared" si="244"/>
        <v>-72.117700069276026</v>
      </c>
      <c r="BT129" s="204">
        <f t="shared" si="244"/>
        <v>-72.819456011307551</v>
      </c>
      <c r="BU129" s="204">
        <f t="shared" si="244"/>
        <v>-73.526629248451897</v>
      </c>
      <c r="BV129" s="204">
        <f t="shared" si="244"/>
        <v>-74.239121381141487</v>
      </c>
      <c r="BW129" s="204">
        <f t="shared" si="244"/>
        <v>-74.956835797135199</v>
      </c>
      <c r="BX129" s="204">
        <f t="shared" si="244"/>
        <v>-75.679677639053423</v>
      </c>
      <c r="BY129" s="204">
        <f t="shared" si="244"/>
        <v>-76.407553772502823</v>
      </c>
      <c r="BZ129" s="204">
        <f t="shared" si="244"/>
        <v>-77.140372754780103</v>
      </c>
      <c r="CA129" s="204">
        <f t="shared" si="244"/>
        <v>-77.878044804144153</v>
      </c>
      <c r="CB129" s="204">
        <f t="shared" si="244"/>
        <v>-78.620481769646403</v>
      </c>
      <c r="CC129" s="204">
        <f t="shared" si="244"/>
        <v>-79.36759710150919</v>
      </c>
      <c r="CD129" s="204">
        <f t="shared" si="244"/>
        <v>-80.119305822042122</v>
      </c>
      <c r="CE129" s="204">
        <f t="shared" si="244"/>
        <v>-80.87552449708673</v>
      </c>
      <c r="CF129" s="204">
        <f t="shared" si="244"/>
        <v>-81.636171207979814</v>
      </c>
      <c r="CG129" s="204">
        <f t="shared" si="244"/>
        <v>-82.401165524026041</v>
      </c>
      <c r="CH129" s="204">
        <f t="shared" si="244"/>
        <v>-83.170428475470544</v>
      </c>
      <c r="CI129" s="204">
        <f t="shared" si="244"/>
        <v>-83.943882526962454</v>
      </c>
      <c r="CJ129" s="204">
        <f t="shared" ref="CJ129:ET129" si="245">PV($F83,CJ$9,1,0)+(PV($J$6,$N$5-(CJ$9),1,0)/($J$6+1)^CJ$9)</f>
        <v>-84.721451551500408</v>
      </c>
      <c r="CK129" s="204">
        <f t="shared" si="245"/>
        <v>-85.503060804851359</v>
      </c>
      <c r="CL129" s="204">
        <f t="shared" si="245"/>
        <v>-86.288636900434042</v>
      </c>
      <c r="CM129" s="204">
        <f t="shared" si="245"/>
        <v>-87.07810778465857</v>
      </c>
      <c r="CN129" s="204">
        <f t="shared" si="245"/>
        <v>-87.871402712714072</v>
      </c>
      <c r="CO129" s="204">
        <f t="shared" si="245"/>
        <v>-88.668452224796056</v>
      </c>
      <c r="CP129" s="204">
        <f t="shared" si="245"/>
        <v>-89.469188122765601</v>
      </c>
      <c r="CQ129" s="204">
        <f t="shared" si="245"/>
        <v>-90.273543447232512</v>
      </c>
      <c r="CR129" s="204">
        <f t="shared" si="245"/>
        <v>-91.081452455054702</v>
      </c>
      <c r="CS129" s="204">
        <f t="shared" si="245"/>
        <v>-91.892850597246365</v>
      </c>
      <c r="CT129" s="204">
        <f t="shared" si="245"/>
        <v>-92.707674497287258</v>
      </c>
      <c r="CU129" s="204">
        <f t="shared" si="245"/>
        <v>-93.525861929826178</v>
      </c>
      <c r="CV129" s="204">
        <f t="shared" si="245"/>
        <v>-94.347351799771133</v>
      </c>
      <c r="CW129" s="204">
        <f t="shared" si="245"/>
        <v>-95.172084121759283</v>
      </c>
      <c r="CX129" s="204">
        <f t="shared" si="245"/>
        <v>-96</v>
      </c>
      <c r="CY129" s="204">
        <f t="shared" si="245"/>
        <v>-96</v>
      </c>
      <c r="CZ129" s="204">
        <f t="shared" si="245"/>
        <v>-96</v>
      </c>
      <c r="DA129" s="204">
        <f t="shared" si="245"/>
        <v>-96</v>
      </c>
      <c r="DB129" s="204">
        <f t="shared" si="245"/>
        <v>-96</v>
      </c>
      <c r="DC129" s="204">
        <f t="shared" si="245"/>
        <v>-96</v>
      </c>
      <c r="DD129" s="204">
        <f t="shared" si="245"/>
        <v>-96</v>
      </c>
      <c r="DE129" s="204">
        <f t="shared" si="245"/>
        <v>-96</v>
      </c>
      <c r="DF129" s="204">
        <f t="shared" si="245"/>
        <v>-96</v>
      </c>
      <c r="DG129" s="204">
        <f t="shared" si="245"/>
        <v>-96</v>
      </c>
      <c r="DH129" s="204">
        <f t="shared" si="245"/>
        <v>-96</v>
      </c>
      <c r="DI129" s="204">
        <f t="shared" si="245"/>
        <v>-96</v>
      </c>
      <c r="DJ129" s="204">
        <f t="shared" si="245"/>
        <v>-96</v>
      </c>
      <c r="DK129" s="204">
        <f t="shared" si="245"/>
        <v>-96</v>
      </c>
      <c r="DL129" s="204">
        <f t="shared" si="245"/>
        <v>-96</v>
      </c>
      <c r="DM129" s="204">
        <f t="shared" si="245"/>
        <v>-96</v>
      </c>
      <c r="DN129" s="204">
        <f t="shared" si="245"/>
        <v>-96</v>
      </c>
      <c r="DO129" s="204">
        <f t="shared" si="245"/>
        <v>-96</v>
      </c>
      <c r="DP129" s="204">
        <f t="shared" si="245"/>
        <v>-96</v>
      </c>
      <c r="DQ129" s="204">
        <f t="shared" si="245"/>
        <v>-96</v>
      </c>
      <c r="DR129" s="204">
        <f t="shared" si="245"/>
        <v>-96</v>
      </c>
      <c r="DS129" s="204">
        <f t="shared" si="245"/>
        <v>-96</v>
      </c>
      <c r="DT129" s="204">
        <f t="shared" si="245"/>
        <v>-96</v>
      </c>
      <c r="DU129" s="204">
        <f t="shared" si="245"/>
        <v>-96</v>
      </c>
      <c r="DV129" s="204">
        <f t="shared" si="245"/>
        <v>-96</v>
      </c>
      <c r="DW129" s="204">
        <f t="shared" si="245"/>
        <v>-96</v>
      </c>
      <c r="DX129" s="204">
        <f t="shared" si="245"/>
        <v>-96</v>
      </c>
      <c r="DY129" s="204">
        <f t="shared" si="245"/>
        <v>-96</v>
      </c>
      <c r="DZ129" s="204">
        <f t="shared" si="245"/>
        <v>-96</v>
      </c>
      <c r="EA129" s="204">
        <f t="shared" si="245"/>
        <v>-96</v>
      </c>
      <c r="EB129" s="204">
        <f t="shared" si="245"/>
        <v>-96</v>
      </c>
      <c r="EC129" s="204">
        <f t="shared" si="245"/>
        <v>-96</v>
      </c>
      <c r="ED129" s="204">
        <f t="shared" si="245"/>
        <v>-96</v>
      </c>
      <c r="EE129" s="204">
        <f t="shared" si="245"/>
        <v>-96</v>
      </c>
      <c r="EF129" s="204">
        <f t="shared" si="245"/>
        <v>-96</v>
      </c>
      <c r="EG129" s="204">
        <f t="shared" si="245"/>
        <v>-96</v>
      </c>
      <c r="EH129" s="204">
        <f t="shared" si="245"/>
        <v>-96</v>
      </c>
      <c r="EI129" s="204">
        <f t="shared" si="245"/>
        <v>-96</v>
      </c>
      <c r="EJ129" s="204">
        <f t="shared" si="245"/>
        <v>-96</v>
      </c>
      <c r="EK129" s="204">
        <f t="shared" si="245"/>
        <v>-96</v>
      </c>
      <c r="EL129" s="204">
        <f t="shared" si="245"/>
        <v>-96</v>
      </c>
      <c r="EM129" s="204">
        <f t="shared" si="245"/>
        <v>-96</v>
      </c>
      <c r="EN129" s="204">
        <f t="shared" si="245"/>
        <v>-96</v>
      </c>
      <c r="EO129" s="204">
        <f t="shared" si="245"/>
        <v>-96</v>
      </c>
      <c r="EP129" s="204">
        <f t="shared" si="245"/>
        <v>-96</v>
      </c>
      <c r="EQ129" s="204">
        <f t="shared" si="245"/>
        <v>-96</v>
      </c>
      <c r="ER129" s="204">
        <f t="shared" si="245"/>
        <v>-96</v>
      </c>
      <c r="ES129" s="204">
        <f t="shared" si="245"/>
        <v>-96</v>
      </c>
      <c r="ET129" s="204">
        <f t="shared" si="245"/>
        <v>-96</v>
      </c>
      <c r="FF129" s="6" t="s">
        <v>964</v>
      </c>
      <c r="FG129" s="696">
        <v>2.5000000000000001E-2</v>
      </c>
      <c r="FH129" s="696">
        <v>120</v>
      </c>
      <c r="FI129" s="696">
        <v>1.89E-2</v>
      </c>
      <c r="FJ129" s="255">
        <v>1.43E-2</v>
      </c>
      <c r="FK129" s="71">
        <f t="shared" si="92"/>
        <v>2.5476190476190477E-4</v>
      </c>
      <c r="FL129" t="e">
        <f>VLOOKUP(FF129,'SIMULADOR COM SALDO'!$BX$22:$CK$1000,13,FALSE)</f>
        <v>#N/A</v>
      </c>
    </row>
    <row r="130" spans="7:168" x14ac:dyDescent="0.25">
      <c r="G130" s="103">
        <f t="shared" si="228"/>
        <v>-44.770373601250576</v>
      </c>
      <c r="H130" s="204">
        <f t="shared" si="229"/>
        <v>-44.806371604802436</v>
      </c>
      <c r="I130" s="204">
        <f t="shared" si="229"/>
        <v>-44.859879708437063</v>
      </c>
      <c r="J130" s="204">
        <f t="shared" si="229"/>
        <v>-44.930579859281075</v>
      </c>
      <c r="K130" s="204">
        <f t="shared" si="229"/>
        <v>-45.018159781562872</v>
      </c>
      <c r="L130" s="204">
        <f t="shared" si="229"/>
        <v>-45.122312871677551</v>
      </c>
      <c r="M130" s="204">
        <f t="shared" si="229"/>
        <v>-45.24273809515784</v>
      </c>
      <c r="N130" s="204">
        <f t="shared" si="229"/>
        <v>-45.379139885516487</v>
      </c>
      <c r="O130" s="204">
        <f t="shared" si="229"/>
        <v>-45.53122804492606</v>
      </c>
      <c r="P130" s="204">
        <f t="shared" si="229"/>
        <v>-45.698717646702761</v>
      </c>
      <c r="Q130" s="204">
        <f t="shared" si="229"/>
        <v>-45.881328939561598</v>
      </c>
      <c r="R130" s="204">
        <f t="shared" si="229"/>
        <v>-46.078787253610507</v>
      </c>
      <c r="S130" s="204">
        <f t="shared" si="229"/>
        <v>-46.290822908052249</v>
      </c>
      <c r="T130" s="204">
        <f t="shared" si="229"/>
        <v>-46.517171120562551</v>
      </c>
      <c r="U130" s="204">
        <f t="shared" si="229"/>
        <v>-46.75757191831444</v>
      </c>
      <c r="V130" s="204">
        <f t="shared" si="229"/>
        <v>-47.011770050618708</v>
      </c>
      <c r="W130" s="204">
        <f t="shared" si="229"/>
        <v>-47.279514903151124</v>
      </c>
      <c r="X130" s="204">
        <f t="shared" ref="X130:CI130" si="246">PV($F84,X$9,1,0)+(PV($J$6,$N$5-(X$9),1,0)/($J$6+1)^X$9)</f>
        <v>-47.560560413737676</v>
      </c>
      <c r="Y130" s="204">
        <f t="shared" si="246"/>
        <v>-47.854664989669509</v>
      </c>
      <c r="Z130" s="204">
        <f t="shared" si="246"/>
        <v>-48.161591426519607</v>
      </c>
      <c r="AA130" s="204">
        <f t="shared" si="246"/>
        <v>-48.481106828434278</v>
      </c>
      <c r="AB130" s="204">
        <f t="shared" si="246"/>
        <v>-48.81298252987235</v>
      </c>
      <c r="AC130" s="204">
        <f t="shared" si="246"/>
        <v>-49.156994018765893</v>
      </c>
      <c r="AD130" s="204">
        <f t="shared" si="246"/>
        <v>-49.51292086107668</v>
      </c>
      <c r="AE130" s="204">
        <f t="shared" si="246"/>
        <v>-49.880546626723003</v>
      </c>
      <c r="AF130" s="204">
        <f t="shared" si="246"/>
        <v>-50.259658816851953</v>
      </c>
      <c r="AG130" s="204">
        <f t="shared" si="246"/>
        <v>-50.650048792432663</v>
      </c>
      <c r="AH130" s="204">
        <f t="shared" si="246"/>
        <v>-51.051511704146662</v>
      </c>
      <c r="AI130" s="204">
        <f t="shared" si="246"/>
        <v>-51.463846423551665</v>
      </c>
      <c r="AJ130" s="204">
        <f t="shared" si="246"/>
        <v>-51.886855475495707</v>
      </c>
      <c r="AK130" s="204">
        <f t="shared" si="246"/>
        <v>-52.320344971758878</v>
      </c>
      <c r="AL130" s="204">
        <f t="shared" si="246"/>
        <v>-52.76412454590043</v>
      </c>
      <c r="AM130" s="204">
        <f t="shared" si="246"/>
        <v>-53.218007289289282</v>
      </c>
      <c r="AN130" s="204">
        <f t="shared" si="246"/>
        <v>-53.681809688296511</v>
      </c>
      <c r="AO130" s="204">
        <f t="shared" si="246"/>
        <v>-54.155351562628589</v>
      </c>
      <c r="AP130" s="204">
        <f t="shared" si="246"/>
        <v>-54.638456004780849</v>
      </c>
      <c r="AQ130" s="204">
        <f t="shared" si="246"/>
        <v>-55.130949320590631</v>
      </c>
      <c r="AR130" s="204">
        <f t="shared" si="246"/>
        <v>-55.632660970870248</v>
      </c>
      <c r="AS130" s="204">
        <f t="shared" si="246"/>
        <v>-56.143423514100107</v>
      </c>
      <c r="AT130" s="204">
        <f t="shared" si="246"/>
        <v>-56.663072550162802</v>
      </c>
      <c r="AU130" s="204">
        <f t="shared" si="246"/>
        <v>-57.191446665099171</v>
      </c>
      <c r="AV130" s="204">
        <f t="shared" si="246"/>
        <v>-57.728387376867829</v>
      </c>
      <c r="AW130" s="204">
        <f t="shared" si="246"/>
        <v>-58.273739082089882</v>
      </c>
      <c r="AX130" s="204">
        <f t="shared" si="246"/>
        <v>-58.827349003761015</v>
      </c>
      <c r="AY130" s="204">
        <f t="shared" si="246"/>
        <v>-59.389067139913323</v>
      </c>
      <c r="AZ130" s="204">
        <f t="shared" si="246"/>
        <v>-59.95874621320965</v>
      </c>
      <c r="BA130" s="204">
        <f t="shared" si="246"/>
        <v>-60.53624162145347</v>
      </c>
      <c r="BB130" s="204">
        <f t="shared" si="246"/>
        <v>-61.121411388997728</v>
      </c>
      <c r="BC130" s="204">
        <f t="shared" si="246"/>
        <v>-61.714116119036262</v>
      </c>
      <c r="BD130" s="204">
        <f t="shared" si="246"/>
        <v>-62.314218946761883</v>
      </c>
      <c r="BE130" s="204">
        <f t="shared" si="246"/>
        <v>-62.921585493375147</v>
      </c>
      <c r="BF130" s="204">
        <f t="shared" si="246"/>
        <v>-63.536083820928674</v>
      </c>
      <c r="BG130" s="204">
        <f t="shared" si="246"/>
        <v>-64.157584387991548</v>
      </c>
      <c r="BH130" s="204">
        <f t="shared" si="246"/>
        <v>-64.785960006119055</v>
      </c>
      <c r="BI130" s="204">
        <f t="shared" si="246"/>
        <v>-65.421085797113165</v>
      </c>
      <c r="BJ130" s="204">
        <f t="shared" si="246"/>
        <v>-66.062839151059279</v>
      </c>
      <c r="BK130" s="204">
        <f t="shared" si="246"/>
        <v>-66.711099685125177</v>
      </c>
      <c r="BL130" s="204">
        <f t="shared" si="246"/>
        <v>-67.365749203108379</v>
      </c>
      <c r="BM130" s="204">
        <f t="shared" si="246"/>
        <v>-68.026671655718303</v>
      </c>
      <c r="BN130" s="204">
        <f t="shared" si="246"/>
        <v>-68.693753101579787</v>
      </c>
      <c r="BO130" s="204">
        <f t="shared" si="246"/>
        <v>-69.366881668945013</v>
      </c>
      <c r="BP130" s="204">
        <f t="shared" si="246"/>
        <v>-70.04594751810086</v>
      </c>
      <c r="BQ130" s="204">
        <f t="shared" si="246"/>
        <v>-70.730842804459073</v>
      </c>
      <c r="BR130" s="204">
        <f t="shared" si="246"/>
        <v>-71.421461642316928</v>
      </c>
      <c r="BS130" s="204">
        <f t="shared" si="246"/>
        <v>-72.117700069276026</v>
      </c>
      <c r="BT130" s="204">
        <f t="shared" si="246"/>
        <v>-72.819456011307551</v>
      </c>
      <c r="BU130" s="204">
        <f t="shared" si="246"/>
        <v>-73.526629248451897</v>
      </c>
      <c r="BV130" s="204">
        <f t="shared" si="246"/>
        <v>-74.239121381141487</v>
      </c>
      <c r="BW130" s="204">
        <f t="shared" si="246"/>
        <v>-74.956835797135199</v>
      </c>
      <c r="BX130" s="204">
        <f t="shared" si="246"/>
        <v>-75.679677639053423</v>
      </c>
      <c r="BY130" s="204">
        <f t="shared" si="246"/>
        <v>-76.407553772502823</v>
      </c>
      <c r="BZ130" s="204">
        <f t="shared" si="246"/>
        <v>-77.140372754780103</v>
      </c>
      <c r="CA130" s="204">
        <f t="shared" si="246"/>
        <v>-77.878044804144153</v>
      </c>
      <c r="CB130" s="204">
        <f t="shared" si="246"/>
        <v>-78.620481769646403</v>
      </c>
      <c r="CC130" s="204">
        <f t="shared" si="246"/>
        <v>-79.36759710150919</v>
      </c>
      <c r="CD130" s="204">
        <f t="shared" si="246"/>
        <v>-80.119305822042122</v>
      </c>
      <c r="CE130" s="204">
        <f t="shared" si="246"/>
        <v>-80.87552449708673</v>
      </c>
      <c r="CF130" s="204">
        <f t="shared" si="246"/>
        <v>-81.636171207979814</v>
      </c>
      <c r="CG130" s="204">
        <f t="shared" si="246"/>
        <v>-82.401165524026041</v>
      </c>
      <c r="CH130" s="204">
        <f t="shared" si="246"/>
        <v>-83.170428475470544</v>
      </c>
      <c r="CI130" s="204">
        <f t="shared" si="246"/>
        <v>-83.943882526962454</v>
      </c>
      <c r="CJ130" s="204">
        <f t="shared" ref="CJ130:ET130" si="247">PV($F84,CJ$9,1,0)+(PV($J$6,$N$5-(CJ$9),1,0)/($J$6+1)^CJ$9)</f>
        <v>-84.721451551500408</v>
      </c>
      <c r="CK130" s="204">
        <f t="shared" si="247"/>
        <v>-85.503060804851359</v>
      </c>
      <c r="CL130" s="204">
        <f t="shared" si="247"/>
        <v>-86.288636900434042</v>
      </c>
      <c r="CM130" s="204">
        <f t="shared" si="247"/>
        <v>-87.07810778465857</v>
      </c>
      <c r="CN130" s="204">
        <f t="shared" si="247"/>
        <v>-87.871402712714072</v>
      </c>
      <c r="CO130" s="204">
        <f t="shared" si="247"/>
        <v>-88.668452224796056</v>
      </c>
      <c r="CP130" s="204">
        <f t="shared" si="247"/>
        <v>-89.469188122765601</v>
      </c>
      <c r="CQ130" s="204">
        <f t="shared" si="247"/>
        <v>-90.273543447232512</v>
      </c>
      <c r="CR130" s="204">
        <f t="shared" si="247"/>
        <v>-91.081452455054702</v>
      </c>
      <c r="CS130" s="204">
        <f t="shared" si="247"/>
        <v>-91.892850597246365</v>
      </c>
      <c r="CT130" s="204">
        <f t="shared" si="247"/>
        <v>-92.707674497287258</v>
      </c>
      <c r="CU130" s="204">
        <f t="shared" si="247"/>
        <v>-93.525861929826178</v>
      </c>
      <c r="CV130" s="204">
        <f t="shared" si="247"/>
        <v>-94.347351799771133</v>
      </c>
      <c r="CW130" s="204">
        <f t="shared" si="247"/>
        <v>-95.172084121759283</v>
      </c>
      <c r="CX130" s="204">
        <f t="shared" si="247"/>
        <v>-96</v>
      </c>
      <c r="CY130" s="204">
        <f t="shared" si="247"/>
        <v>-96</v>
      </c>
      <c r="CZ130" s="204">
        <f t="shared" si="247"/>
        <v>-96</v>
      </c>
      <c r="DA130" s="204">
        <f t="shared" si="247"/>
        <v>-96</v>
      </c>
      <c r="DB130" s="204">
        <f t="shared" si="247"/>
        <v>-96</v>
      </c>
      <c r="DC130" s="204">
        <f t="shared" si="247"/>
        <v>-96</v>
      </c>
      <c r="DD130" s="204">
        <f t="shared" si="247"/>
        <v>-96</v>
      </c>
      <c r="DE130" s="204">
        <f t="shared" si="247"/>
        <v>-96</v>
      </c>
      <c r="DF130" s="204">
        <f t="shared" si="247"/>
        <v>-96</v>
      </c>
      <c r="DG130" s="204">
        <f t="shared" si="247"/>
        <v>-96</v>
      </c>
      <c r="DH130" s="204">
        <f t="shared" si="247"/>
        <v>-96</v>
      </c>
      <c r="DI130" s="204">
        <f t="shared" si="247"/>
        <v>-96</v>
      </c>
      <c r="DJ130" s="204">
        <f t="shared" si="247"/>
        <v>-96</v>
      </c>
      <c r="DK130" s="204">
        <f t="shared" si="247"/>
        <v>-96</v>
      </c>
      <c r="DL130" s="204">
        <f t="shared" si="247"/>
        <v>-96</v>
      </c>
      <c r="DM130" s="204">
        <f t="shared" si="247"/>
        <v>-96</v>
      </c>
      <c r="DN130" s="204">
        <f t="shared" si="247"/>
        <v>-96</v>
      </c>
      <c r="DO130" s="204">
        <f t="shared" si="247"/>
        <v>-96</v>
      </c>
      <c r="DP130" s="204">
        <f t="shared" si="247"/>
        <v>-96</v>
      </c>
      <c r="DQ130" s="204">
        <f t="shared" si="247"/>
        <v>-96</v>
      </c>
      <c r="DR130" s="204">
        <f t="shared" si="247"/>
        <v>-96</v>
      </c>
      <c r="DS130" s="204">
        <f t="shared" si="247"/>
        <v>-96</v>
      </c>
      <c r="DT130" s="204">
        <f t="shared" si="247"/>
        <v>-96</v>
      </c>
      <c r="DU130" s="204">
        <f t="shared" si="247"/>
        <v>-96</v>
      </c>
      <c r="DV130" s="204">
        <f t="shared" si="247"/>
        <v>-96</v>
      </c>
      <c r="DW130" s="204">
        <f t="shared" si="247"/>
        <v>-96</v>
      </c>
      <c r="DX130" s="204">
        <f t="shared" si="247"/>
        <v>-96</v>
      </c>
      <c r="DY130" s="204">
        <f t="shared" si="247"/>
        <v>-96</v>
      </c>
      <c r="DZ130" s="204">
        <f t="shared" si="247"/>
        <v>-96</v>
      </c>
      <c r="EA130" s="204">
        <f t="shared" si="247"/>
        <v>-96</v>
      </c>
      <c r="EB130" s="204">
        <f t="shared" si="247"/>
        <v>-96</v>
      </c>
      <c r="EC130" s="204">
        <f t="shared" si="247"/>
        <v>-96</v>
      </c>
      <c r="ED130" s="204">
        <f t="shared" si="247"/>
        <v>-96</v>
      </c>
      <c r="EE130" s="204">
        <f t="shared" si="247"/>
        <v>-96</v>
      </c>
      <c r="EF130" s="204">
        <f t="shared" si="247"/>
        <v>-96</v>
      </c>
      <c r="EG130" s="204">
        <f t="shared" si="247"/>
        <v>-96</v>
      </c>
      <c r="EH130" s="204">
        <f t="shared" si="247"/>
        <v>-96</v>
      </c>
      <c r="EI130" s="204">
        <f t="shared" si="247"/>
        <v>-96</v>
      </c>
      <c r="EJ130" s="204">
        <f t="shared" si="247"/>
        <v>-96</v>
      </c>
      <c r="EK130" s="204">
        <f t="shared" si="247"/>
        <v>-96</v>
      </c>
      <c r="EL130" s="204">
        <f t="shared" si="247"/>
        <v>-96</v>
      </c>
      <c r="EM130" s="204">
        <f t="shared" si="247"/>
        <v>-96</v>
      </c>
      <c r="EN130" s="204">
        <f t="shared" si="247"/>
        <v>-96</v>
      </c>
      <c r="EO130" s="204">
        <f t="shared" si="247"/>
        <v>-96</v>
      </c>
      <c r="EP130" s="204">
        <f t="shared" si="247"/>
        <v>-96</v>
      </c>
      <c r="EQ130" s="204">
        <f t="shared" si="247"/>
        <v>-96</v>
      </c>
      <c r="ER130" s="204">
        <f t="shared" si="247"/>
        <v>-96</v>
      </c>
      <c r="ES130" s="204">
        <f t="shared" si="247"/>
        <v>-96</v>
      </c>
      <c r="ET130" s="204">
        <f t="shared" si="247"/>
        <v>-96</v>
      </c>
      <c r="FF130" s="6" t="s">
        <v>548</v>
      </c>
      <c r="FG130" s="696">
        <v>2.5000000000000001E-2</v>
      </c>
      <c r="FH130" s="696">
        <v>120</v>
      </c>
      <c r="FI130" s="696">
        <v>1.9400000000000001E-2</v>
      </c>
      <c r="FJ130" s="255">
        <v>1.3600000000000001E-2</v>
      </c>
      <c r="FK130" s="71">
        <f t="shared" si="92"/>
        <v>2.7142857142857144E-4</v>
      </c>
      <c r="FL130" t="e">
        <f>VLOOKUP(FF130,'SIMULADOR COM SALDO'!$BX$22:$CK$1000,13,FALSE)</f>
        <v>#N/A</v>
      </c>
    </row>
    <row r="131" spans="7:168" x14ac:dyDescent="0.25">
      <c r="G131" s="103">
        <f t="shared" si="228"/>
        <v>-44.770373601250576</v>
      </c>
      <c r="H131" s="204">
        <f t="shared" si="229"/>
        <v>-44.806371604802436</v>
      </c>
      <c r="I131" s="204">
        <f t="shared" si="229"/>
        <v>-44.859879708437063</v>
      </c>
      <c r="J131" s="204">
        <f t="shared" si="229"/>
        <v>-44.930579859281075</v>
      </c>
      <c r="K131" s="204">
        <f t="shared" si="229"/>
        <v>-45.018159781562872</v>
      </c>
      <c r="L131" s="204">
        <f t="shared" si="229"/>
        <v>-45.122312871677551</v>
      </c>
      <c r="M131" s="204">
        <f t="shared" si="229"/>
        <v>-45.24273809515784</v>
      </c>
      <c r="N131" s="204">
        <f t="shared" si="229"/>
        <v>-45.379139885516487</v>
      </c>
      <c r="O131" s="204">
        <f t="shared" si="229"/>
        <v>-45.53122804492606</v>
      </c>
      <c r="P131" s="204">
        <f t="shared" si="229"/>
        <v>-45.698717646702761</v>
      </c>
      <c r="Q131" s="204">
        <f t="shared" si="229"/>
        <v>-45.881328939561598</v>
      </c>
      <c r="R131" s="204">
        <f t="shared" si="229"/>
        <v>-46.078787253610507</v>
      </c>
      <c r="S131" s="204">
        <f t="shared" si="229"/>
        <v>-46.290822908052249</v>
      </c>
      <c r="T131" s="204">
        <f t="shared" si="229"/>
        <v>-46.517171120562551</v>
      </c>
      <c r="U131" s="204">
        <f t="shared" si="229"/>
        <v>-46.75757191831444</v>
      </c>
      <c r="V131" s="204">
        <f t="shared" si="229"/>
        <v>-47.011770050618708</v>
      </c>
      <c r="W131" s="204">
        <f t="shared" si="229"/>
        <v>-47.279514903151124</v>
      </c>
      <c r="X131" s="204">
        <f t="shared" ref="X131:CI131" si="248">PV($F85,X$9,1,0)+(PV($J$6,$N$5-(X$9),1,0)/($J$6+1)^X$9)</f>
        <v>-47.560560413737676</v>
      </c>
      <c r="Y131" s="204">
        <f t="shared" si="248"/>
        <v>-47.854664989669509</v>
      </c>
      <c r="Z131" s="204">
        <f t="shared" si="248"/>
        <v>-48.161591426519607</v>
      </c>
      <c r="AA131" s="204">
        <f t="shared" si="248"/>
        <v>-48.481106828434278</v>
      </c>
      <c r="AB131" s="204">
        <f t="shared" si="248"/>
        <v>-48.81298252987235</v>
      </c>
      <c r="AC131" s="204">
        <f t="shared" si="248"/>
        <v>-49.156994018765893</v>
      </c>
      <c r="AD131" s="204">
        <f t="shared" si="248"/>
        <v>-49.51292086107668</v>
      </c>
      <c r="AE131" s="204">
        <f t="shared" si="248"/>
        <v>-49.880546626723003</v>
      </c>
      <c r="AF131" s="204">
        <f t="shared" si="248"/>
        <v>-50.259658816851953</v>
      </c>
      <c r="AG131" s="204">
        <f t="shared" si="248"/>
        <v>-50.650048792432663</v>
      </c>
      <c r="AH131" s="204">
        <f t="shared" si="248"/>
        <v>-51.051511704146662</v>
      </c>
      <c r="AI131" s="204">
        <f t="shared" si="248"/>
        <v>-51.463846423551665</v>
      </c>
      <c r="AJ131" s="204">
        <f t="shared" si="248"/>
        <v>-51.886855475495707</v>
      </c>
      <c r="AK131" s="204">
        <f t="shared" si="248"/>
        <v>-52.320344971758878</v>
      </c>
      <c r="AL131" s="204">
        <f t="shared" si="248"/>
        <v>-52.76412454590043</v>
      </c>
      <c r="AM131" s="204">
        <f t="shared" si="248"/>
        <v>-53.218007289289282</v>
      </c>
      <c r="AN131" s="204">
        <f t="shared" si="248"/>
        <v>-53.681809688296511</v>
      </c>
      <c r="AO131" s="204">
        <f t="shared" si="248"/>
        <v>-54.155351562628589</v>
      </c>
      <c r="AP131" s="204">
        <f t="shared" si="248"/>
        <v>-54.638456004780849</v>
      </c>
      <c r="AQ131" s="204">
        <f t="shared" si="248"/>
        <v>-55.130949320590631</v>
      </c>
      <c r="AR131" s="204">
        <f t="shared" si="248"/>
        <v>-55.632660970870248</v>
      </c>
      <c r="AS131" s="204">
        <f t="shared" si="248"/>
        <v>-56.143423514100107</v>
      </c>
      <c r="AT131" s="204">
        <f t="shared" si="248"/>
        <v>-56.663072550162802</v>
      </c>
      <c r="AU131" s="204">
        <f t="shared" si="248"/>
        <v>-57.191446665099171</v>
      </c>
      <c r="AV131" s="204">
        <f t="shared" si="248"/>
        <v>-57.728387376867829</v>
      </c>
      <c r="AW131" s="204">
        <f t="shared" si="248"/>
        <v>-58.273739082089882</v>
      </c>
      <c r="AX131" s="204">
        <f t="shared" si="248"/>
        <v>-58.827349003761015</v>
      </c>
      <c r="AY131" s="204">
        <f t="shared" si="248"/>
        <v>-59.389067139913323</v>
      </c>
      <c r="AZ131" s="204">
        <f t="shared" si="248"/>
        <v>-59.95874621320965</v>
      </c>
      <c r="BA131" s="204">
        <f t="shared" si="248"/>
        <v>-60.53624162145347</v>
      </c>
      <c r="BB131" s="204">
        <f t="shared" si="248"/>
        <v>-61.121411388997728</v>
      </c>
      <c r="BC131" s="204">
        <f t="shared" si="248"/>
        <v>-61.714116119036262</v>
      </c>
      <c r="BD131" s="204">
        <f t="shared" si="248"/>
        <v>-62.314218946761883</v>
      </c>
      <c r="BE131" s="204">
        <f t="shared" si="248"/>
        <v>-62.921585493375147</v>
      </c>
      <c r="BF131" s="204">
        <f t="shared" si="248"/>
        <v>-63.536083820928674</v>
      </c>
      <c r="BG131" s="204">
        <f t="shared" si="248"/>
        <v>-64.157584387991548</v>
      </c>
      <c r="BH131" s="204">
        <f t="shared" si="248"/>
        <v>-64.785960006119055</v>
      </c>
      <c r="BI131" s="204">
        <f t="shared" si="248"/>
        <v>-65.421085797113165</v>
      </c>
      <c r="BJ131" s="204">
        <f t="shared" si="248"/>
        <v>-66.062839151059279</v>
      </c>
      <c r="BK131" s="204">
        <f t="shared" si="248"/>
        <v>-66.711099685125177</v>
      </c>
      <c r="BL131" s="204">
        <f t="shared" si="248"/>
        <v>-67.365749203108379</v>
      </c>
      <c r="BM131" s="204">
        <f t="shared" si="248"/>
        <v>-68.026671655718303</v>
      </c>
      <c r="BN131" s="204">
        <f t="shared" si="248"/>
        <v>-68.693753101579787</v>
      </c>
      <c r="BO131" s="204">
        <f t="shared" si="248"/>
        <v>-69.366881668945013</v>
      </c>
      <c r="BP131" s="204">
        <f t="shared" si="248"/>
        <v>-70.04594751810086</v>
      </c>
      <c r="BQ131" s="204">
        <f t="shared" si="248"/>
        <v>-70.730842804459073</v>
      </c>
      <c r="BR131" s="204">
        <f t="shared" si="248"/>
        <v>-71.421461642316928</v>
      </c>
      <c r="BS131" s="204">
        <f t="shared" si="248"/>
        <v>-72.117700069276026</v>
      </c>
      <c r="BT131" s="204">
        <f t="shared" si="248"/>
        <v>-72.819456011307551</v>
      </c>
      <c r="BU131" s="204">
        <f t="shared" si="248"/>
        <v>-73.526629248451897</v>
      </c>
      <c r="BV131" s="204">
        <f t="shared" si="248"/>
        <v>-74.239121381141487</v>
      </c>
      <c r="BW131" s="204">
        <f t="shared" si="248"/>
        <v>-74.956835797135199</v>
      </c>
      <c r="BX131" s="204">
        <f t="shared" si="248"/>
        <v>-75.679677639053423</v>
      </c>
      <c r="BY131" s="204">
        <f t="shared" si="248"/>
        <v>-76.407553772502823</v>
      </c>
      <c r="BZ131" s="204">
        <f t="shared" si="248"/>
        <v>-77.140372754780103</v>
      </c>
      <c r="CA131" s="204">
        <f t="shared" si="248"/>
        <v>-77.878044804144153</v>
      </c>
      <c r="CB131" s="204">
        <f t="shared" si="248"/>
        <v>-78.620481769646403</v>
      </c>
      <c r="CC131" s="204">
        <f t="shared" si="248"/>
        <v>-79.36759710150919</v>
      </c>
      <c r="CD131" s="204">
        <f t="shared" si="248"/>
        <v>-80.119305822042122</v>
      </c>
      <c r="CE131" s="204">
        <f t="shared" si="248"/>
        <v>-80.87552449708673</v>
      </c>
      <c r="CF131" s="204">
        <f t="shared" si="248"/>
        <v>-81.636171207979814</v>
      </c>
      <c r="CG131" s="204">
        <f t="shared" si="248"/>
        <v>-82.401165524026041</v>
      </c>
      <c r="CH131" s="204">
        <f t="shared" si="248"/>
        <v>-83.170428475470544</v>
      </c>
      <c r="CI131" s="204">
        <f t="shared" si="248"/>
        <v>-83.943882526962454</v>
      </c>
      <c r="CJ131" s="204">
        <f t="shared" ref="CJ131:ET131" si="249">PV($F85,CJ$9,1,0)+(PV($J$6,$N$5-(CJ$9),1,0)/($J$6+1)^CJ$9)</f>
        <v>-84.721451551500408</v>
      </c>
      <c r="CK131" s="204">
        <f t="shared" si="249"/>
        <v>-85.503060804851359</v>
      </c>
      <c r="CL131" s="204">
        <f t="shared" si="249"/>
        <v>-86.288636900434042</v>
      </c>
      <c r="CM131" s="204">
        <f t="shared" si="249"/>
        <v>-87.07810778465857</v>
      </c>
      <c r="CN131" s="204">
        <f t="shared" si="249"/>
        <v>-87.871402712714072</v>
      </c>
      <c r="CO131" s="204">
        <f t="shared" si="249"/>
        <v>-88.668452224796056</v>
      </c>
      <c r="CP131" s="204">
        <f t="shared" si="249"/>
        <v>-89.469188122765601</v>
      </c>
      <c r="CQ131" s="204">
        <f t="shared" si="249"/>
        <v>-90.273543447232512</v>
      </c>
      <c r="CR131" s="204">
        <f t="shared" si="249"/>
        <v>-91.081452455054702</v>
      </c>
      <c r="CS131" s="204">
        <f t="shared" si="249"/>
        <v>-91.892850597246365</v>
      </c>
      <c r="CT131" s="204">
        <f t="shared" si="249"/>
        <v>-92.707674497287258</v>
      </c>
      <c r="CU131" s="204">
        <f t="shared" si="249"/>
        <v>-93.525861929826178</v>
      </c>
      <c r="CV131" s="204">
        <f t="shared" si="249"/>
        <v>-94.347351799771133</v>
      </c>
      <c r="CW131" s="204">
        <f t="shared" si="249"/>
        <v>-95.172084121759283</v>
      </c>
      <c r="CX131" s="204">
        <f t="shared" si="249"/>
        <v>-96</v>
      </c>
      <c r="CY131" s="204">
        <f t="shared" si="249"/>
        <v>-96</v>
      </c>
      <c r="CZ131" s="204">
        <f t="shared" si="249"/>
        <v>-96</v>
      </c>
      <c r="DA131" s="204">
        <f t="shared" si="249"/>
        <v>-96</v>
      </c>
      <c r="DB131" s="204">
        <f t="shared" si="249"/>
        <v>-96</v>
      </c>
      <c r="DC131" s="204">
        <f t="shared" si="249"/>
        <v>-96</v>
      </c>
      <c r="DD131" s="204">
        <f t="shared" si="249"/>
        <v>-96</v>
      </c>
      <c r="DE131" s="204">
        <f t="shared" si="249"/>
        <v>-96</v>
      </c>
      <c r="DF131" s="204">
        <f t="shared" si="249"/>
        <v>-96</v>
      </c>
      <c r="DG131" s="204">
        <f t="shared" si="249"/>
        <v>-96</v>
      </c>
      <c r="DH131" s="204">
        <f t="shared" si="249"/>
        <v>-96</v>
      </c>
      <c r="DI131" s="204">
        <f t="shared" si="249"/>
        <v>-96</v>
      </c>
      <c r="DJ131" s="204">
        <f t="shared" si="249"/>
        <v>-96</v>
      </c>
      <c r="DK131" s="204">
        <f t="shared" si="249"/>
        <v>-96</v>
      </c>
      <c r="DL131" s="204">
        <f t="shared" si="249"/>
        <v>-96</v>
      </c>
      <c r="DM131" s="204">
        <f t="shared" si="249"/>
        <v>-96</v>
      </c>
      <c r="DN131" s="204">
        <f t="shared" si="249"/>
        <v>-96</v>
      </c>
      <c r="DO131" s="204">
        <f t="shared" si="249"/>
        <v>-96</v>
      </c>
      <c r="DP131" s="204">
        <f t="shared" si="249"/>
        <v>-96</v>
      </c>
      <c r="DQ131" s="204">
        <f t="shared" si="249"/>
        <v>-96</v>
      </c>
      <c r="DR131" s="204">
        <f t="shared" si="249"/>
        <v>-96</v>
      </c>
      <c r="DS131" s="204">
        <f t="shared" si="249"/>
        <v>-96</v>
      </c>
      <c r="DT131" s="204">
        <f t="shared" si="249"/>
        <v>-96</v>
      </c>
      <c r="DU131" s="204">
        <f t="shared" si="249"/>
        <v>-96</v>
      </c>
      <c r="DV131" s="204">
        <f t="shared" si="249"/>
        <v>-96</v>
      </c>
      <c r="DW131" s="204">
        <f t="shared" si="249"/>
        <v>-96</v>
      </c>
      <c r="DX131" s="204">
        <f t="shared" si="249"/>
        <v>-96</v>
      </c>
      <c r="DY131" s="204">
        <f t="shared" si="249"/>
        <v>-96</v>
      </c>
      <c r="DZ131" s="204">
        <f t="shared" si="249"/>
        <v>-96</v>
      </c>
      <c r="EA131" s="204">
        <f t="shared" si="249"/>
        <v>-96</v>
      </c>
      <c r="EB131" s="204">
        <f t="shared" si="249"/>
        <v>-96</v>
      </c>
      <c r="EC131" s="204">
        <f t="shared" si="249"/>
        <v>-96</v>
      </c>
      <c r="ED131" s="204">
        <f t="shared" si="249"/>
        <v>-96</v>
      </c>
      <c r="EE131" s="204">
        <f t="shared" si="249"/>
        <v>-96</v>
      </c>
      <c r="EF131" s="204">
        <f t="shared" si="249"/>
        <v>-96</v>
      </c>
      <c r="EG131" s="204">
        <f t="shared" si="249"/>
        <v>-96</v>
      </c>
      <c r="EH131" s="204">
        <f t="shared" si="249"/>
        <v>-96</v>
      </c>
      <c r="EI131" s="204">
        <f t="shared" si="249"/>
        <v>-96</v>
      </c>
      <c r="EJ131" s="204">
        <f t="shared" si="249"/>
        <v>-96</v>
      </c>
      <c r="EK131" s="204">
        <f t="shared" si="249"/>
        <v>-96</v>
      </c>
      <c r="EL131" s="204">
        <f t="shared" si="249"/>
        <v>-96</v>
      </c>
      <c r="EM131" s="204">
        <f t="shared" si="249"/>
        <v>-96</v>
      </c>
      <c r="EN131" s="204">
        <f t="shared" si="249"/>
        <v>-96</v>
      </c>
      <c r="EO131" s="204">
        <f t="shared" si="249"/>
        <v>-96</v>
      </c>
      <c r="EP131" s="204">
        <f t="shared" si="249"/>
        <v>-96</v>
      </c>
      <c r="EQ131" s="204">
        <f t="shared" si="249"/>
        <v>-96</v>
      </c>
      <c r="ER131" s="204">
        <f t="shared" si="249"/>
        <v>-96</v>
      </c>
      <c r="ES131" s="204">
        <f t="shared" si="249"/>
        <v>-96</v>
      </c>
      <c r="ET131" s="204">
        <f t="shared" si="249"/>
        <v>-96</v>
      </c>
      <c r="FF131" s="6" t="s">
        <v>3036</v>
      </c>
      <c r="FG131" s="696">
        <v>2.5000000000000001E-2</v>
      </c>
      <c r="FH131" s="696">
        <v>120</v>
      </c>
      <c r="FI131" s="696">
        <v>0.02</v>
      </c>
      <c r="FJ131" s="255">
        <v>1.4499999999999999E-2</v>
      </c>
      <c r="FK131" s="71">
        <f t="shared" si="92"/>
        <v>2.5000000000000006E-4</v>
      </c>
      <c r="FL131" t="e">
        <f>VLOOKUP(FF131,'SIMULADOR COM SALDO'!$BX$22:$CK$1000,13,FALSE)</f>
        <v>#N/A</v>
      </c>
    </row>
    <row r="132" spans="7:168" x14ac:dyDescent="0.25">
      <c r="G132" s="103">
        <f t="shared" si="228"/>
        <v>-44.770373601250576</v>
      </c>
      <c r="H132" s="204">
        <f t="shared" si="229"/>
        <v>-44.806371604802436</v>
      </c>
      <c r="I132" s="204">
        <f t="shared" si="229"/>
        <v>-44.859879708437063</v>
      </c>
      <c r="J132" s="204">
        <f t="shared" si="229"/>
        <v>-44.930579859281075</v>
      </c>
      <c r="K132" s="204">
        <f t="shared" si="229"/>
        <v>-45.018159781562872</v>
      </c>
      <c r="L132" s="204">
        <f t="shared" si="229"/>
        <v>-45.122312871677551</v>
      </c>
      <c r="M132" s="204">
        <f t="shared" si="229"/>
        <v>-45.24273809515784</v>
      </c>
      <c r="N132" s="204">
        <f t="shared" si="229"/>
        <v>-45.379139885516487</v>
      </c>
      <c r="O132" s="204">
        <f t="shared" si="229"/>
        <v>-45.53122804492606</v>
      </c>
      <c r="P132" s="204">
        <f t="shared" si="229"/>
        <v>-45.698717646702761</v>
      </c>
      <c r="Q132" s="204">
        <f t="shared" si="229"/>
        <v>-45.881328939561598</v>
      </c>
      <c r="R132" s="204">
        <f t="shared" si="229"/>
        <v>-46.078787253610507</v>
      </c>
      <c r="S132" s="204">
        <f t="shared" si="229"/>
        <v>-46.290822908052249</v>
      </c>
      <c r="T132" s="204">
        <f t="shared" si="229"/>
        <v>-46.517171120562551</v>
      </c>
      <c r="U132" s="204">
        <f t="shared" si="229"/>
        <v>-46.75757191831444</v>
      </c>
      <c r="V132" s="204">
        <f t="shared" si="229"/>
        <v>-47.011770050618708</v>
      </c>
      <c r="W132" s="204">
        <f t="shared" si="229"/>
        <v>-47.279514903151124</v>
      </c>
      <c r="X132" s="204">
        <f t="shared" ref="X132:CI132" si="250">PV($F86,X$9,1,0)+(PV($J$6,$N$5-(X$9),1,0)/($J$6+1)^X$9)</f>
        <v>-47.560560413737676</v>
      </c>
      <c r="Y132" s="204">
        <f t="shared" si="250"/>
        <v>-47.854664989669509</v>
      </c>
      <c r="Z132" s="204">
        <f t="shared" si="250"/>
        <v>-48.161591426519607</v>
      </c>
      <c r="AA132" s="204">
        <f t="shared" si="250"/>
        <v>-48.481106828434278</v>
      </c>
      <c r="AB132" s="204">
        <f t="shared" si="250"/>
        <v>-48.81298252987235</v>
      </c>
      <c r="AC132" s="204">
        <f t="shared" si="250"/>
        <v>-49.156994018765893</v>
      </c>
      <c r="AD132" s="204">
        <f t="shared" si="250"/>
        <v>-49.51292086107668</v>
      </c>
      <c r="AE132" s="204">
        <f t="shared" si="250"/>
        <v>-49.880546626723003</v>
      </c>
      <c r="AF132" s="204">
        <f t="shared" si="250"/>
        <v>-50.259658816851953</v>
      </c>
      <c r="AG132" s="204">
        <f t="shared" si="250"/>
        <v>-50.650048792432663</v>
      </c>
      <c r="AH132" s="204">
        <f t="shared" si="250"/>
        <v>-51.051511704146662</v>
      </c>
      <c r="AI132" s="204">
        <f t="shared" si="250"/>
        <v>-51.463846423551665</v>
      </c>
      <c r="AJ132" s="204">
        <f t="shared" si="250"/>
        <v>-51.886855475495707</v>
      </c>
      <c r="AK132" s="204">
        <f t="shared" si="250"/>
        <v>-52.320344971758878</v>
      </c>
      <c r="AL132" s="204">
        <f t="shared" si="250"/>
        <v>-52.76412454590043</v>
      </c>
      <c r="AM132" s="204">
        <f t="shared" si="250"/>
        <v>-53.218007289289282</v>
      </c>
      <c r="AN132" s="204">
        <f t="shared" si="250"/>
        <v>-53.681809688296511</v>
      </c>
      <c r="AO132" s="204">
        <f t="shared" si="250"/>
        <v>-54.155351562628589</v>
      </c>
      <c r="AP132" s="204">
        <f t="shared" si="250"/>
        <v>-54.638456004780849</v>
      </c>
      <c r="AQ132" s="204">
        <f t="shared" si="250"/>
        <v>-55.130949320590631</v>
      </c>
      <c r="AR132" s="204">
        <f t="shared" si="250"/>
        <v>-55.632660970870248</v>
      </c>
      <c r="AS132" s="204">
        <f t="shared" si="250"/>
        <v>-56.143423514100107</v>
      </c>
      <c r="AT132" s="204">
        <f t="shared" si="250"/>
        <v>-56.663072550162802</v>
      </c>
      <c r="AU132" s="204">
        <f t="shared" si="250"/>
        <v>-57.191446665099171</v>
      </c>
      <c r="AV132" s="204">
        <f t="shared" si="250"/>
        <v>-57.728387376867829</v>
      </c>
      <c r="AW132" s="204">
        <f t="shared" si="250"/>
        <v>-58.273739082089882</v>
      </c>
      <c r="AX132" s="204">
        <f t="shared" si="250"/>
        <v>-58.827349003761015</v>
      </c>
      <c r="AY132" s="204">
        <f t="shared" si="250"/>
        <v>-59.389067139913323</v>
      </c>
      <c r="AZ132" s="204">
        <f t="shared" si="250"/>
        <v>-59.95874621320965</v>
      </c>
      <c r="BA132" s="204">
        <f t="shared" si="250"/>
        <v>-60.53624162145347</v>
      </c>
      <c r="BB132" s="204">
        <f t="shared" si="250"/>
        <v>-61.121411388997728</v>
      </c>
      <c r="BC132" s="204">
        <f t="shared" si="250"/>
        <v>-61.714116119036262</v>
      </c>
      <c r="BD132" s="204">
        <f t="shared" si="250"/>
        <v>-62.314218946761883</v>
      </c>
      <c r="BE132" s="204">
        <f t="shared" si="250"/>
        <v>-62.921585493375147</v>
      </c>
      <c r="BF132" s="204">
        <f t="shared" si="250"/>
        <v>-63.536083820928674</v>
      </c>
      <c r="BG132" s="204">
        <f t="shared" si="250"/>
        <v>-64.157584387991548</v>
      </c>
      <c r="BH132" s="204">
        <f t="shared" si="250"/>
        <v>-64.785960006119055</v>
      </c>
      <c r="BI132" s="204">
        <f t="shared" si="250"/>
        <v>-65.421085797113165</v>
      </c>
      <c r="BJ132" s="204">
        <f t="shared" si="250"/>
        <v>-66.062839151059279</v>
      </c>
      <c r="BK132" s="204">
        <f t="shared" si="250"/>
        <v>-66.711099685125177</v>
      </c>
      <c r="BL132" s="204">
        <f t="shared" si="250"/>
        <v>-67.365749203108379</v>
      </c>
      <c r="BM132" s="204">
        <f t="shared" si="250"/>
        <v>-68.026671655718303</v>
      </c>
      <c r="BN132" s="204">
        <f t="shared" si="250"/>
        <v>-68.693753101579787</v>
      </c>
      <c r="BO132" s="204">
        <f t="shared" si="250"/>
        <v>-69.366881668945013</v>
      </c>
      <c r="BP132" s="204">
        <f t="shared" si="250"/>
        <v>-70.04594751810086</v>
      </c>
      <c r="BQ132" s="204">
        <f t="shared" si="250"/>
        <v>-70.730842804459073</v>
      </c>
      <c r="BR132" s="204">
        <f t="shared" si="250"/>
        <v>-71.421461642316928</v>
      </c>
      <c r="BS132" s="204">
        <f t="shared" si="250"/>
        <v>-72.117700069276026</v>
      </c>
      <c r="BT132" s="204">
        <f t="shared" si="250"/>
        <v>-72.819456011307551</v>
      </c>
      <c r="BU132" s="204">
        <f t="shared" si="250"/>
        <v>-73.526629248451897</v>
      </c>
      <c r="BV132" s="204">
        <f t="shared" si="250"/>
        <v>-74.239121381141487</v>
      </c>
      <c r="BW132" s="204">
        <f t="shared" si="250"/>
        <v>-74.956835797135199</v>
      </c>
      <c r="BX132" s="204">
        <f t="shared" si="250"/>
        <v>-75.679677639053423</v>
      </c>
      <c r="BY132" s="204">
        <f t="shared" si="250"/>
        <v>-76.407553772502823</v>
      </c>
      <c r="BZ132" s="204">
        <f t="shared" si="250"/>
        <v>-77.140372754780103</v>
      </c>
      <c r="CA132" s="204">
        <f t="shared" si="250"/>
        <v>-77.878044804144153</v>
      </c>
      <c r="CB132" s="204">
        <f t="shared" si="250"/>
        <v>-78.620481769646403</v>
      </c>
      <c r="CC132" s="204">
        <f t="shared" si="250"/>
        <v>-79.36759710150919</v>
      </c>
      <c r="CD132" s="204">
        <f t="shared" si="250"/>
        <v>-80.119305822042122</v>
      </c>
      <c r="CE132" s="204">
        <f t="shared" si="250"/>
        <v>-80.87552449708673</v>
      </c>
      <c r="CF132" s="204">
        <f t="shared" si="250"/>
        <v>-81.636171207979814</v>
      </c>
      <c r="CG132" s="204">
        <f t="shared" si="250"/>
        <v>-82.401165524026041</v>
      </c>
      <c r="CH132" s="204">
        <f t="shared" si="250"/>
        <v>-83.170428475470544</v>
      </c>
      <c r="CI132" s="204">
        <f t="shared" si="250"/>
        <v>-83.943882526962454</v>
      </c>
      <c r="CJ132" s="204">
        <f t="shared" ref="CJ132:ET132" si="251">PV($F86,CJ$9,1,0)+(PV($J$6,$N$5-(CJ$9),1,0)/($J$6+1)^CJ$9)</f>
        <v>-84.721451551500408</v>
      </c>
      <c r="CK132" s="204">
        <f t="shared" si="251"/>
        <v>-85.503060804851359</v>
      </c>
      <c r="CL132" s="204">
        <f t="shared" si="251"/>
        <v>-86.288636900434042</v>
      </c>
      <c r="CM132" s="204">
        <f t="shared" si="251"/>
        <v>-87.07810778465857</v>
      </c>
      <c r="CN132" s="204">
        <f t="shared" si="251"/>
        <v>-87.871402712714072</v>
      </c>
      <c r="CO132" s="204">
        <f t="shared" si="251"/>
        <v>-88.668452224796056</v>
      </c>
      <c r="CP132" s="204">
        <f t="shared" si="251"/>
        <v>-89.469188122765601</v>
      </c>
      <c r="CQ132" s="204">
        <f t="shared" si="251"/>
        <v>-90.273543447232512</v>
      </c>
      <c r="CR132" s="204">
        <f t="shared" si="251"/>
        <v>-91.081452455054702</v>
      </c>
      <c r="CS132" s="204">
        <f t="shared" si="251"/>
        <v>-91.892850597246365</v>
      </c>
      <c r="CT132" s="204">
        <f t="shared" si="251"/>
        <v>-92.707674497287258</v>
      </c>
      <c r="CU132" s="204">
        <f t="shared" si="251"/>
        <v>-93.525861929826178</v>
      </c>
      <c r="CV132" s="204">
        <f t="shared" si="251"/>
        <v>-94.347351799771133</v>
      </c>
      <c r="CW132" s="204">
        <f t="shared" si="251"/>
        <v>-95.172084121759283</v>
      </c>
      <c r="CX132" s="204">
        <f t="shared" si="251"/>
        <v>-96</v>
      </c>
      <c r="CY132" s="204">
        <f t="shared" si="251"/>
        <v>-96</v>
      </c>
      <c r="CZ132" s="204">
        <f t="shared" si="251"/>
        <v>-96</v>
      </c>
      <c r="DA132" s="204">
        <f t="shared" si="251"/>
        <v>-96</v>
      </c>
      <c r="DB132" s="204">
        <f t="shared" si="251"/>
        <v>-96</v>
      </c>
      <c r="DC132" s="204">
        <f t="shared" si="251"/>
        <v>-96</v>
      </c>
      <c r="DD132" s="204">
        <f t="shared" si="251"/>
        <v>-96</v>
      </c>
      <c r="DE132" s="204">
        <f t="shared" si="251"/>
        <v>-96</v>
      </c>
      <c r="DF132" s="204">
        <f t="shared" si="251"/>
        <v>-96</v>
      </c>
      <c r="DG132" s="204">
        <f t="shared" si="251"/>
        <v>-96</v>
      </c>
      <c r="DH132" s="204">
        <f t="shared" si="251"/>
        <v>-96</v>
      </c>
      <c r="DI132" s="204">
        <f t="shared" si="251"/>
        <v>-96</v>
      </c>
      <c r="DJ132" s="204">
        <f t="shared" si="251"/>
        <v>-96</v>
      </c>
      <c r="DK132" s="204">
        <f t="shared" si="251"/>
        <v>-96</v>
      </c>
      <c r="DL132" s="204">
        <f t="shared" si="251"/>
        <v>-96</v>
      </c>
      <c r="DM132" s="204">
        <f t="shared" si="251"/>
        <v>-96</v>
      </c>
      <c r="DN132" s="204">
        <f t="shared" si="251"/>
        <v>-96</v>
      </c>
      <c r="DO132" s="204">
        <f t="shared" si="251"/>
        <v>-96</v>
      </c>
      <c r="DP132" s="204">
        <f t="shared" si="251"/>
        <v>-96</v>
      </c>
      <c r="DQ132" s="204">
        <f t="shared" si="251"/>
        <v>-96</v>
      </c>
      <c r="DR132" s="204">
        <f t="shared" si="251"/>
        <v>-96</v>
      </c>
      <c r="DS132" s="204">
        <f t="shared" si="251"/>
        <v>-96</v>
      </c>
      <c r="DT132" s="204">
        <f t="shared" si="251"/>
        <v>-96</v>
      </c>
      <c r="DU132" s="204">
        <f t="shared" si="251"/>
        <v>-96</v>
      </c>
      <c r="DV132" s="204">
        <f t="shared" si="251"/>
        <v>-96</v>
      </c>
      <c r="DW132" s="204">
        <f t="shared" si="251"/>
        <v>-96</v>
      </c>
      <c r="DX132" s="204">
        <f t="shared" si="251"/>
        <v>-96</v>
      </c>
      <c r="DY132" s="204">
        <f t="shared" si="251"/>
        <v>-96</v>
      </c>
      <c r="DZ132" s="204">
        <f t="shared" si="251"/>
        <v>-96</v>
      </c>
      <c r="EA132" s="204">
        <f t="shared" si="251"/>
        <v>-96</v>
      </c>
      <c r="EB132" s="204">
        <f t="shared" si="251"/>
        <v>-96</v>
      </c>
      <c r="EC132" s="204">
        <f t="shared" si="251"/>
        <v>-96</v>
      </c>
      <c r="ED132" s="204">
        <f t="shared" si="251"/>
        <v>-96</v>
      </c>
      <c r="EE132" s="204">
        <f t="shared" si="251"/>
        <v>-96</v>
      </c>
      <c r="EF132" s="204">
        <f t="shared" si="251"/>
        <v>-96</v>
      </c>
      <c r="EG132" s="204">
        <f t="shared" si="251"/>
        <v>-96</v>
      </c>
      <c r="EH132" s="204">
        <f t="shared" si="251"/>
        <v>-96</v>
      </c>
      <c r="EI132" s="204">
        <f t="shared" si="251"/>
        <v>-96</v>
      </c>
      <c r="EJ132" s="204">
        <f t="shared" si="251"/>
        <v>-96</v>
      </c>
      <c r="EK132" s="204">
        <f t="shared" si="251"/>
        <v>-96</v>
      </c>
      <c r="EL132" s="204">
        <f t="shared" si="251"/>
        <v>-96</v>
      </c>
      <c r="EM132" s="204">
        <f t="shared" si="251"/>
        <v>-96</v>
      </c>
      <c r="EN132" s="204">
        <f t="shared" si="251"/>
        <v>-96</v>
      </c>
      <c r="EO132" s="204">
        <f t="shared" si="251"/>
        <v>-96</v>
      </c>
      <c r="EP132" s="204">
        <f t="shared" si="251"/>
        <v>-96</v>
      </c>
      <c r="EQ132" s="204">
        <f t="shared" si="251"/>
        <v>-96</v>
      </c>
      <c r="ER132" s="204">
        <f t="shared" si="251"/>
        <v>-96</v>
      </c>
      <c r="ES132" s="204">
        <f t="shared" si="251"/>
        <v>-96</v>
      </c>
      <c r="ET132" s="204">
        <f t="shared" si="251"/>
        <v>-96</v>
      </c>
      <c r="FF132" s="6" t="s">
        <v>3037</v>
      </c>
      <c r="FG132" s="696">
        <v>2.5000000000000001E-2</v>
      </c>
      <c r="FH132" s="696">
        <v>96</v>
      </c>
      <c r="FI132" s="696">
        <v>2.12E-2</v>
      </c>
      <c r="FJ132" s="255">
        <v>1.49E-2</v>
      </c>
      <c r="FK132" s="71">
        <f t="shared" si="92"/>
        <v>2.404761904761905E-4</v>
      </c>
      <c r="FL132" t="e">
        <f>VLOOKUP(FF132,'SIMULADOR COM SALDO'!$BX$22:$CK$1000,13,FALSE)</f>
        <v>#N/A</v>
      </c>
    </row>
    <row r="133" spans="7:168" x14ac:dyDescent="0.25">
      <c r="G133" s="103">
        <f t="shared" si="228"/>
        <v>-44.770373601250576</v>
      </c>
      <c r="H133" s="204">
        <f t="shared" si="229"/>
        <v>-44.806371604802436</v>
      </c>
      <c r="I133" s="204">
        <f t="shared" si="229"/>
        <v>-44.859879708437063</v>
      </c>
      <c r="J133" s="204">
        <f t="shared" si="229"/>
        <v>-44.930579859281075</v>
      </c>
      <c r="K133" s="204">
        <f t="shared" si="229"/>
        <v>-45.018159781562872</v>
      </c>
      <c r="L133" s="204">
        <f t="shared" si="229"/>
        <v>-45.122312871677551</v>
      </c>
      <c r="M133" s="204">
        <f t="shared" si="229"/>
        <v>-45.24273809515784</v>
      </c>
      <c r="N133" s="204">
        <f t="shared" si="229"/>
        <v>-45.379139885516487</v>
      </c>
      <c r="O133" s="204">
        <f t="shared" si="229"/>
        <v>-45.53122804492606</v>
      </c>
      <c r="P133" s="204">
        <f t="shared" si="229"/>
        <v>-45.698717646702761</v>
      </c>
      <c r="Q133" s="204">
        <f t="shared" si="229"/>
        <v>-45.881328939561598</v>
      </c>
      <c r="R133" s="204">
        <f t="shared" si="229"/>
        <v>-46.078787253610507</v>
      </c>
      <c r="S133" s="204">
        <f t="shared" si="229"/>
        <v>-46.290822908052249</v>
      </c>
      <c r="T133" s="204">
        <f t="shared" si="229"/>
        <v>-46.517171120562551</v>
      </c>
      <c r="U133" s="204">
        <f t="shared" si="229"/>
        <v>-46.75757191831444</v>
      </c>
      <c r="V133" s="204">
        <f t="shared" si="229"/>
        <v>-47.011770050618708</v>
      </c>
      <c r="W133" s="204">
        <f t="shared" si="229"/>
        <v>-47.279514903151124</v>
      </c>
      <c r="X133" s="204">
        <f t="shared" ref="X133:CI133" si="252">PV($F87,X$9,1,0)+(PV($J$6,$N$5-(X$9),1,0)/($J$6+1)^X$9)</f>
        <v>-47.560560413737676</v>
      </c>
      <c r="Y133" s="204">
        <f t="shared" si="252"/>
        <v>-47.854664989669509</v>
      </c>
      <c r="Z133" s="204">
        <f t="shared" si="252"/>
        <v>-48.161591426519607</v>
      </c>
      <c r="AA133" s="204">
        <f t="shared" si="252"/>
        <v>-48.481106828434278</v>
      </c>
      <c r="AB133" s="204">
        <f t="shared" si="252"/>
        <v>-48.81298252987235</v>
      </c>
      <c r="AC133" s="204">
        <f t="shared" si="252"/>
        <v>-49.156994018765893</v>
      </c>
      <c r="AD133" s="204">
        <f t="shared" si="252"/>
        <v>-49.51292086107668</v>
      </c>
      <c r="AE133" s="204">
        <f t="shared" si="252"/>
        <v>-49.880546626723003</v>
      </c>
      <c r="AF133" s="204">
        <f t="shared" si="252"/>
        <v>-50.259658816851953</v>
      </c>
      <c r="AG133" s="204">
        <f t="shared" si="252"/>
        <v>-50.650048792432663</v>
      </c>
      <c r="AH133" s="204">
        <f t="shared" si="252"/>
        <v>-51.051511704146662</v>
      </c>
      <c r="AI133" s="204">
        <f t="shared" si="252"/>
        <v>-51.463846423551665</v>
      </c>
      <c r="AJ133" s="204">
        <f t="shared" si="252"/>
        <v>-51.886855475495707</v>
      </c>
      <c r="AK133" s="204">
        <f t="shared" si="252"/>
        <v>-52.320344971758878</v>
      </c>
      <c r="AL133" s="204">
        <f t="shared" si="252"/>
        <v>-52.76412454590043</v>
      </c>
      <c r="AM133" s="204">
        <f t="shared" si="252"/>
        <v>-53.218007289289282</v>
      </c>
      <c r="AN133" s="204">
        <f t="shared" si="252"/>
        <v>-53.681809688296511</v>
      </c>
      <c r="AO133" s="204">
        <f t="shared" si="252"/>
        <v>-54.155351562628589</v>
      </c>
      <c r="AP133" s="204">
        <f t="shared" si="252"/>
        <v>-54.638456004780849</v>
      </c>
      <c r="AQ133" s="204">
        <f t="shared" si="252"/>
        <v>-55.130949320590631</v>
      </c>
      <c r="AR133" s="204">
        <f t="shared" si="252"/>
        <v>-55.632660970870248</v>
      </c>
      <c r="AS133" s="204">
        <f t="shared" si="252"/>
        <v>-56.143423514100107</v>
      </c>
      <c r="AT133" s="204">
        <f t="shared" si="252"/>
        <v>-56.663072550162802</v>
      </c>
      <c r="AU133" s="204">
        <f t="shared" si="252"/>
        <v>-57.191446665099171</v>
      </c>
      <c r="AV133" s="204">
        <f t="shared" si="252"/>
        <v>-57.728387376867829</v>
      </c>
      <c r="AW133" s="204">
        <f t="shared" si="252"/>
        <v>-58.273739082089882</v>
      </c>
      <c r="AX133" s="204">
        <f t="shared" si="252"/>
        <v>-58.827349003761015</v>
      </c>
      <c r="AY133" s="204">
        <f t="shared" si="252"/>
        <v>-59.389067139913323</v>
      </c>
      <c r="AZ133" s="204">
        <f t="shared" si="252"/>
        <v>-59.95874621320965</v>
      </c>
      <c r="BA133" s="204">
        <f t="shared" si="252"/>
        <v>-60.53624162145347</v>
      </c>
      <c r="BB133" s="204">
        <f t="shared" si="252"/>
        <v>-61.121411388997728</v>
      </c>
      <c r="BC133" s="204">
        <f t="shared" si="252"/>
        <v>-61.714116119036262</v>
      </c>
      <c r="BD133" s="204">
        <f t="shared" si="252"/>
        <v>-62.314218946761883</v>
      </c>
      <c r="BE133" s="204">
        <f t="shared" si="252"/>
        <v>-62.921585493375147</v>
      </c>
      <c r="BF133" s="204">
        <f t="shared" si="252"/>
        <v>-63.536083820928674</v>
      </c>
      <c r="BG133" s="204">
        <f t="shared" si="252"/>
        <v>-64.157584387991548</v>
      </c>
      <c r="BH133" s="204">
        <f t="shared" si="252"/>
        <v>-64.785960006119055</v>
      </c>
      <c r="BI133" s="204">
        <f t="shared" si="252"/>
        <v>-65.421085797113165</v>
      </c>
      <c r="BJ133" s="204">
        <f t="shared" si="252"/>
        <v>-66.062839151059279</v>
      </c>
      <c r="BK133" s="204">
        <f t="shared" si="252"/>
        <v>-66.711099685125177</v>
      </c>
      <c r="BL133" s="204">
        <f t="shared" si="252"/>
        <v>-67.365749203108379</v>
      </c>
      <c r="BM133" s="204">
        <f t="shared" si="252"/>
        <v>-68.026671655718303</v>
      </c>
      <c r="BN133" s="204">
        <f t="shared" si="252"/>
        <v>-68.693753101579787</v>
      </c>
      <c r="BO133" s="204">
        <f t="shared" si="252"/>
        <v>-69.366881668945013</v>
      </c>
      <c r="BP133" s="204">
        <f t="shared" si="252"/>
        <v>-70.04594751810086</v>
      </c>
      <c r="BQ133" s="204">
        <f t="shared" si="252"/>
        <v>-70.730842804459073</v>
      </c>
      <c r="BR133" s="204">
        <f t="shared" si="252"/>
        <v>-71.421461642316928</v>
      </c>
      <c r="BS133" s="204">
        <f t="shared" si="252"/>
        <v>-72.117700069276026</v>
      </c>
      <c r="BT133" s="204">
        <f t="shared" si="252"/>
        <v>-72.819456011307551</v>
      </c>
      <c r="BU133" s="204">
        <f t="shared" si="252"/>
        <v>-73.526629248451897</v>
      </c>
      <c r="BV133" s="204">
        <f t="shared" si="252"/>
        <v>-74.239121381141487</v>
      </c>
      <c r="BW133" s="204">
        <f t="shared" si="252"/>
        <v>-74.956835797135199</v>
      </c>
      <c r="BX133" s="204">
        <f t="shared" si="252"/>
        <v>-75.679677639053423</v>
      </c>
      <c r="BY133" s="204">
        <f t="shared" si="252"/>
        <v>-76.407553772502823</v>
      </c>
      <c r="BZ133" s="204">
        <f t="shared" si="252"/>
        <v>-77.140372754780103</v>
      </c>
      <c r="CA133" s="204">
        <f t="shared" si="252"/>
        <v>-77.878044804144153</v>
      </c>
      <c r="CB133" s="204">
        <f t="shared" si="252"/>
        <v>-78.620481769646403</v>
      </c>
      <c r="CC133" s="204">
        <f t="shared" si="252"/>
        <v>-79.36759710150919</v>
      </c>
      <c r="CD133" s="204">
        <f t="shared" si="252"/>
        <v>-80.119305822042122</v>
      </c>
      <c r="CE133" s="204">
        <f t="shared" si="252"/>
        <v>-80.87552449708673</v>
      </c>
      <c r="CF133" s="204">
        <f t="shared" si="252"/>
        <v>-81.636171207979814</v>
      </c>
      <c r="CG133" s="204">
        <f t="shared" si="252"/>
        <v>-82.401165524026041</v>
      </c>
      <c r="CH133" s="204">
        <f t="shared" si="252"/>
        <v>-83.170428475470544</v>
      </c>
      <c r="CI133" s="204">
        <f t="shared" si="252"/>
        <v>-83.943882526962454</v>
      </c>
      <c r="CJ133" s="204">
        <f t="shared" ref="CJ133:ET133" si="253">PV($F87,CJ$9,1,0)+(PV($J$6,$N$5-(CJ$9),1,0)/($J$6+1)^CJ$9)</f>
        <v>-84.721451551500408</v>
      </c>
      <c r="CK133" s="204">
        <f t="shared" si="253"/>
        <v>-85.503060804851359</v>
      </c>
      <c r="CL133" s="204">
        <f t="shared" si="253"/>
        <v>-86.288636900434042</v>
      </c>
      <c r="CM133" s="204">
        <f t="shared" si="253"/>
        <v>-87.07810778465857</v>
      </c>
      <c r="CN133" s="204">
        <f t="shared" si="253"/>
        <v>-87.871402712714072</v>
      </c>
      <c r="CO133" s="204">
        <f t="shared" si="253"/>
        <v>-88.668452224796056</v>
      </c>
      <c r="CP133" s="204">
        <f t="shared" si="253"/>
        <v>-89.469188122765601</v>
      </c>
      <c r="CQ133" s="204">
        <f t="shared" si="253"/>
        <v>-90.273543447232512</v>
      </c>
      <c r="CR133" s="204">
        <f t="shared" si="253"/>
        <v>-91.081452455054702</v>
      </c>
      <c r="CS133" s="204">
        <f t="shared" si="253"/>
        <v>-91.892850597246365</v>
      </c>
      <c r="CT133" s="204">
        <f t="shared" si="253"/>
        <v>-92.707674497287258</v>
      </c>
      <c r="CU133" s="204">
        <f t="shared" si="253"/>
        <v>-93.525861929826178</v>
      </c>
      <c r="CV133" s="204">
        <f t="shared" si="253"/>
        <v>-94.347351799771133</v>
      </c>
      <c r="CW133" s="204">
        <f t="shared" si="253"/>
        <v>-95.172084121759283</v>
      </c>
      <c r="CX133" s="204">
        <f t="shared" si="253"/>
        <v>-96</v>
      </c>
      <c r="CY133" s="204">
        <f t="shared" si="253"/>
        <v>-96</v>
      </c>
      <c r="CZ133" s="204">
        <f t="shared" si="253"/>
        <v>-96</v>
      </c>
      <c r="DA133" s="204">
        <f t="shared" si="253"/>
        <v>-96</v>
      </c>
      <c r="DB133" s="204">
        <f t="shared" si="253"/>
        <v>-96</v>
      </c>
      <c r="DC133" s="204">
        <f t="shared" si="253"/>
        <v>-96</v>
      </c>
      <c r="DD133" s="204">
        <f t="shared" si="253"/>
        <v>-96</v>
      </c>
      <c r="DE133" s="204">
        <f t="shared" si="253"/>
        <v>-96</v>
      </c>
      <c r="DF133" s="204">
        <f t="shared" si="253"/>
        <v>-96</v>
      </c>
      <c r="DG133" s="204">
        <f t="shared" si="253"/>
        <v>-96</v>
      </c>
      <c r="DH133" s="204">
        <f t="shared" si="253"/>
        <v>-96</v>
      </c>
      <c r="DI133" s="204">
        <f t="shared" si="253"/>
        <v>-96</v>
      </c>
      <c r="DJ133" s="204">
        <f t="shared" si="253"/>
        <v>-96</v>
      </c>
      <c r="DK133" s="204">
        <f t="shared" si="253"/>
        <v>-96</v>
      </c>
      <c r="DL133" s="204">
        <f t="shared" si="253"/>
        <v>-96</v>
      </c>
      <c r="DM133" s="204">
        <f t="shared" si="253"/>
        <v>-96</v>
      </c>
      <c r="DN133" s="204">
        <f t="shared" si="253"/>
        <v>-96</v>
      </c>
      <c r="DO133" s="204">
        <f t="shared" si="253"/>
        <v>-96</v>
      </c>
      <c r="DP133" s="204">
        <f t="shared" si="253"/>
        <v>-96</v>
      </c>
      <c r="DQ133" s="204">
        <f t="shared" si="253"/>
        <v>-96</v>
      </c>
      <c r="DR133" s="204">
        <f t="shared" si="253"/>
        <v>-96</v>
      </c>
      <c r="DS133" s="204">
        <f t="shared" si="253"/>
        <v>-96</v>
      </c>
      <c r="DT133" s="204">
        <f t="shared" si="253"/>
        <v>-96</v>
      </c>
      <c r="DU133" s="204">
        <f t="shared" si="253"/>
        <v>-96</v>
      </c>
      <c r="DV133" s="204">
        <f t="shared" si="253"/>
        <v>-96</v>
      </c>
      <c r="DW133" s="204">
        <f t="shared" si="253"/>
        <v>-96</v>
      </c>
      <c r="DX133" s="204">
        <f t="shared" si="253"/>
        <v>-96</v>
      </c>
      <c r="DY133" s="204">
        <f t="shared" si="253"/>
        <v>-96</v>
      </c>
      <c r="DZ133" s="204">
        <f t="shared" si="253"/>
        <v>-96</v>
      </c>
      <c r="EA133" s="204">
        <f t="shared" si="253"/>
        <v>-96</v>
      </c>
      <c r="EB133" s="204">
        <f t="shared" si="253"/>
        <v>-96</v>
      </c>
      <c r="EC133" s="204">
        <f t="shared" si="253"/>
        <v>-96</v>
      </c>
      <c r="ED133" s="204">
        <f t="shared" si="253"/>
        <v>-96</v>
      </c>
      <c r="EE133" s="204">
        <f t="shared" si="253"/>
        <v>-96</v>
      </c>
      <c r="EF133" s="204">
        <f t="shared" si="253"/>
        <v>-96</v>
      </c>
      <c r="EG133" s="204">
        <f t="shared" si="253"/>
        <v>-96</v>
      </c>
      <c r="EH133" s="204">
        <f t="shared" si="253"/>
        <v>-96</v>
      </c>
      <c r="EI133" s="204">
        <f t="shared" si="253"/>
        <v>-96</v>
      </c>
      <c r="EJ133" s="204">
        <f t="shared" si="253"/>
        <v>-96</v>
      </c>
      <c r="EK133" s="204">
        <f t="shared" si="253"/>
        <v>-96</v>
      </c>
      <c r="EL133" s="204">
        <f t="shared" si="253"/>
        <v>-96</v>
      </c>
      <c r="EM133" s="204">
        <f t="shared" si="253"/>
        <v>-96</v>
      </c>
      <c r="EN133" s="204">
        <f t="shared" si="253"/>
        <v>-96</v>
      </c>
      <c r="EO133" s="204">
        <f t="shared" si="253"/>
        <v>-96</v>
      </c>
      <c r="EP133" s="204">
        <f t="shared" si="253"/>
        <v>-96</v>
      </c>
      <c r="EQ133" s="204">
        <f t="shared" si="253"/>
        <v>-96</v>
      </c>
      <c r="ER133" s="204">
        <f t="shared" si="253"/>
        <v>-96</v>
      </c>
      <c r="ES133" s="204">
        <f t="shared" si="253"/>
        <v>-96</v>
      </c>
      <c r="ET133" s="204">
        <f t="shared" si="253"/>
        <v>-96</v>
      </c>
      <c r="FF133" s="6" t="s">
        <v>1003</v>
      </c>
      <c r="FG133" s="696">
        <v>2.5699999999999997E-2</v>
      </c>
      <c r="FH133" s="696">
        <v>120</v>
      </c>
      <c r="FI133" s="696">
        <v>0.02</v>
      </c>
      <c r="FJ133" s="255">
        <v>1.54E-2</v>
      </c>
      <c r="FK133" s="71">
        <f t="shared" si="92"/>
        <v>2.4523809523809513E-4</v>
      </c>
      <c r="FL133" t="e">
        <f>VLOOKUP(FF133,'SIMULADOR COM SALDO'!$BX$22:$CK$1000,13,FALSE)</f>
        <v>#N/A</v>
      </c>
    </row>
    <row r="134" spans="7:168" x14ac:dyDescent="0.25">
      <c r="G134" s="103">
        <f t="shared" si="228"/>
        <v>-44.770373601250576</v>
      </c>
      <c r="H134" s="204">
        <f t="shared" si="229"/>
        <v>-44.806371604802436</v>
      </c>
      <c r="I134" s="204">
        <f t="shared" si="229"/>
        <v>-44.859879708437063</v>
      </c>
      <c r="J134" s="204">
        <f t="shared" si="229"/>
        <v>-44.930579859281075</v>
      </c>
      <c r="K134" s="204">
        <f t="shared" si="229"/>
        <v>-45.018159781562872</v>
      </c>
      <c r="L134" s="204">
        <f t="shared" si="229"/>
        <v>-45.122312871677551</v>
      </c>
      <c r="M134" s="204">
        <f t="shared" si="229"/>
        <v>-45.24273809515784</v>
      </c>
      <c r="N134" s="204">
        <f t="shared" si="229"/>
        <v>-45.379139885516487</v>
      </c>
      <c r="O134" s="204">
        <f t="shared" si="229"/>
        <v>-45.53122804492606</v>
      </c>
      <c r="P134" s="204">
        <f t="shared" si="229"/>
        <v>-45.698717646702761</v>
      </c>
      <c r="Q134" s="204">
        <f t="shared" si="229"/>
        <v>-45.881328939561598</v>
      </c>
      <c r="R134" s="204">
        <f t="shared" si="229"/>
        <v>-46.078787253610507</v>
      </c>
      <c r="S134" s="204">
        <f t="shared" si="229"/>
        <v>-46.290822908052249</v>
      </c>
      <c r="T134" s="204">
        <f t="shared" si="229"/>
        <v>-46.517171120562551</v>
      </c>
      <c r="U134" s="204">
        <f t="shared" si="229"/>
        <v>-46.75757191831444</v>
      </c>
      <c r="V134" s="204">
        <f t="shared" si="229"/>
        <v>-47.011770050618708</v>
      </c>
      <c r="W134" s="204">
        <f t="shared" si="229"/>
        <v>-47.279514903151124</v>
      </c>
      <c r="X134" s="204">
        <f t="shared" ref="X134:CI134" si="254">PV($F88,X$9,1,0)+(PV($J$6,$N$5-(X$9),1,0)/($J$6+1)^X$9)</f>
        <v>-47.560560413737676</v>
      </c>
      <c r="Y134" s="204">
        <f t="shared" si="254"/>
        <v>-47.854664989669509</v>
      </c>
      <c r="Z134" s="204">
        <f t="shared" si="254"/>
        <v>-48.161591426519607</v>
      </c>
      <c r="AA134" s="204">
        <f t="shared" si="254"/>
        <v>-48.481106828434278</v>
      </c>
      <c r="AB134" s="204">
        <f t="shared" si="254"/>
        <v>-48.81298252987235</v>
      </c>
      <c r="AC134" s="204">
        <f t="shared" si="254"/>
        <v>-49.156994018765893</v>
      </c>
      <c r="AD134" s="204">
        <f t="shared" si="254"/>
        <v>-49.51292086107668</v>
      </c>
      <c r="AE134" s="204">
        <f t="shared" si="254"/>
        <v>-49.880546626723003</v>
      </c>
      <c r="AF134" s="204">
        <f t="shared" si="254"/>
        <v>-50.259658816851953</v>
      </c>
      <c r="AG134" s="204">
        <f t="shared" si="254"/>
        <v>-50.650048792432663</v>
      </c>
      <c r="AH134" s="204">
        <f t="shared" si="254"/>
        <v>-51.051511704146662</v>
      </c>
      <c r="AI134" s="204">
        <f t="shared" si="254"/>
        <v>-51.463846423551665</v>
      </c>
      <c r="AJ134" s="204">
        <f t="shared" si="254"/>
        <v>-51.886855475495707</v>
      </c>
      <c r="AK134" s="204">
        <f t="shared" si="254"/>
        <v>-52.320344971758878</v>
      </c>
      <c r="AL134" s="204">
        <f t="shared" si="254"/>
        <v>-52.76412454590043</v>
      </c>
      <c r="AM134" s="204">
        <f t="shared" si="254"/>
        <v>-53.218007289289282</v>
      </c>
      <c r="AN134" s="204">
        <f t="shared" si="254"/>
        <v>-53.681809688296511</v>
      </c>
      <c r="AO134" s="204">
        <f t="shared" si="254"/>
        <v>-54.155351562628589</v>
      </c>
      <c r="AP134" s="204">
        <f t="shared" si="254"/>
        <v>-54.638456004780849</v>
      </c>
      <c r="AQ134" s="204">
        <f t="shared" si="254"/>
        <v>-55.130949320590631</v>
      </c>
      <c r="AR134" s="204">
        <f t="shared" si="254"/>
        <v>-55.632660970870248</v>
      </c>
      <c r="AS134" s="204">
        <f t="shared" si="254"/>
        <v>-56.143423514100107</v>
      </c>
      <c r="AT134" s="204">
        <f t="shared" si="254"/>
        <v>-56.663072550162802</v>
      </c>
      <c r="AU134" s="204">
        <f t="shared" si="254"/>
        <v>-57.191446665099171</v>
      </c>
      <c r="AV134" s="204">
        <f t="shared" si="254"/>
        <v>-57.728387376867829</v>
      </c>
      <c r="AW134" s="204">
        <f t="shared" si="254"/>
        <v>-58.273739082089882</v>
      </c>
      <c r="AX134" s="204">
        <f t="shared" si="254"/>
        <v>-58.827349003761015</v>
      </c>
      <c r="AY134" s="204">
        <f t="shared" si="254"/>
        <v>-59.389067139913323</v>
      </c>
      <c r="AZ134" s="204">
        <f t="shared" si="254"/>
        <v>-59.95874621320965</v>
      </c>
      <c r="BA134" s="204">
        <f t="shared" si="254"/>
        <v>-60.53624162145347</v>
      </c>
      <c r="BB134" s="204">
        <f t="shared" si="254"/>
        <v>-61.121411388997728</v>
      </c>
      <c r="BC134" s="204">
        <f t="shared" si="254"/>
        <v>-61.714116119036262</v>
      </c>
      <c r="BD134" s="204">
        <f t="shared" si="254"/>
        <v>-62.314218946761883</v>
      </c>
      <c r="BE134" s="204">
        <f t="shared" si="254"/>
        <v>-62.921585493375147</v>
      </c>
      <c r="BF134" s="204">
        <f t="shared" si="254"/>
        <v>-63.536083820928674</v>
      </c>
      <c r="BG134" s="204">
        <f t="shared" si="254"/>
        <v>-64.157584387991548</v>
      </c>
      <c r="BH134" s="204">
        <f t="shared" si="254"/>
        <v>-64.785960006119055</v>
      </c>
      <c r="BI134" s="204">
        <f t="shared" si="254"/>
        <v>-65.421085797113165</v>
      </c>
      <c r="BJ134" s="204">
        <f t="shared" si="254"/>
        <v>-66.062839151059279</v>
      </c>
      <c r="BK134" s="204">
        <f t="shared" si="254"/>
        <v>-66.711099685125177</v>
      </c>
      <c r="BL134" s="204">
        <f t="shared" si="254"/>
        <v>-67.365749203108379</v>
      </c>
      <c r="BM134" s="204">
        <f t="shared" si="254"/>
        <v>-68.026671655718303</v>
      </c>
      <c r="BN134" s="204">
        <f t="shared" si="254"/>
        <v>-68.693753101579787</v>
      </c>
      <c r="BO134" s="204">
        <f t="shared" si="254"/>
        <v>-69.366881668945013</v>
      </c>
      <c r="BP134" s="204">
        <f t="shared" si="254"/>
        <v>-70.04594751810086</v>
      </c>
      <c r="BQ134" s="204">
        <f t="shared" si="254"/>
        <v>-70.730842804459073</v>
      </c>
      <c r="BR134" s="204">
        <f t="shared" si="254"/>
        <v>-71.421461642316928</v>
      </c>
      <c r="BS134" s="204">
        <f t="shared" si="254"/>
        <v>-72.117700069276026</v>
      </c>
      <c r="BT134" s="204">
        <f t="shared" si="254"/>
        <v>-72.819456011307551</v>
      </c>
      <c r="BU134" s="204">
        <f t="shared" si="254"/>
        <v>-73.526629248451897</v>
      </c>
      <c r="BV134" s="204">
        <f t="shared" si="254"/>
        <v>-74.239121381141487</v>
      </c>
      <c r="BW134" s="204">
        <f t="shared" si="254"/>
        <v>-74.956835797135199</v>
      </c>
      <c r="BX134" s="204">
        <f t="shared" si="254"/>
        <v>-75.679677639053423</v>
      </c>
      <c r="BY134" s="204">
        <f t="shared" si="254"/>
        <v>-76.407553772502823</v>
      </c>
      <c r="BZ134" s="204">
        <f t="shared" si="254"/>
        <v>-77.140372754780103</v>
      </c>
      <c r="CA134" s="204">
        <f t="shared" si="254"/>
        <v>-77.878044804144153</v>
      </c>
      <c r="CB134" s="204">
        <f t="shared" si="254"/>
        <v>-78.620481769646403</v>
      </c>
      <c r="CC134" s="204">
        <f t="shared" si="254"/>
        <v>-79.36759710150919</v>
      </c>
      <c r="CD134" s="204">
        <f t="shared" si="254"/>
        <v>-80.119305822042122</v>
      </c>
      <c r="CE134" s="204">
        <f t="shared" si="254"/>
        <v>-80.87552449708673</v>
      </c>
      <c r="CF134" s="204">
        <f t="shared" si="254"/>
        <v>-81.636171207979814</v>
      </c>
      <c r="CG134" s="204">
        <f t="shared" si="254"/>
        <v>-82.401165524026041</v>
      </c>
      <c r="CH134" s="204">
        <f t="shared" si="254"/>
        <v>-83.170428475470544</v>
      </c>
      <c r="CI134" s="204">
        <f t="shared" si="254"/>
        <v>-83.943882526962454</v>
      </c>
      <c r="CJ134" s="204">
        <f t="shared" ref="CJ134:ET134" si="255">PV($F88,CJ$9,1,0)+(PV($J$6,$N$5-(CJ$9),1,0)/($J$6+1)^CJ$9)</f>
        <v>-84.721451551500408</v>
      </c>
      <c r="CK134" s="204">
        <f t="shared" si="255"/>
        <v>-85.503060804851359</v>
      </c>
      <c r="CL134" s="204">
        <f t="shared" si="255"/>
        <v>-86.288636900434042</v>
      </c>
      <c r="CM134" s="204">
        <f t="shared" si="255"/>
        <v>-87.07810778465857</v>
      </c>
      <c r="CN134" s="204">
        <f t="shared" si="255"/>
        <v>-87.871402712714072</v>
      </c>
      <c r="CO134" s="204">
        <f t="shared" si="255"/>
        <v>-88.668452224796056</v>
      </c>
      <c r="CP134" s="204">
        <f t="shared" si="255"/>
        <v>-89.469188122765601</v>
      </c>
      <c r="CQ134" s="204">
        <f t="shared" si="255"/>
        <v>-90.273543447232512</v>
      </c>
      <c r="CR134" s="204">
        <f t="shared" si="255"/>
        <v>-91.081452455054702</v>
      </c>
      <c r="CS134" s="204">
        <f t="shared" si="255"/>
        <v>-91.892850597246365</v>
      </c>
      <c r="CT134" s="204">
        <f t="shared" si="255"/>
        <v>-92.707674497287258</v>
      </c>
      <c r="CU134" s="204">
        <f t="shared" si="255"/>
        <v>-93.525861929826178</v>
      </c>
      <c r="CV134" s="204">
        <f t="shared" si="255"/>
        <v>-94.347351799771133</v>
      </c>
      <c r="CW134" s="204">
        <f t="shared" si="255"/>
        <v>-95.172084121759283</v>
      </c>
      <c r="CX134" s="204">
        <f t="shared" si="255"/>
        <v>-96</v>
      </c>
      <c r="CY134" s="204">
        <f t="shared" si="255"/>
        <v>-96</v>
      </c>
      <c r="CZ134" s="204">
        <f t="shared" si="255"/>
        <v>-96</v>
      </c>
      <c r="DA134" s="204">
        <f t="shared" si="255"/>
        <v>-96</v>
      </c>
      <c r="DB134" s="204">
        <f t="shared" si="255"/>
        <v>-96</v>
      </c>
      <c r="DC134" s="204">
        <f t="shared" si="255"/>
        <v>-96</v>
      </c>
      <c r="DD134" s="204">
        <f t="shared" si="255"/>
        <v>-96</v>
      </c>
      <c r="DE134" s="204">
        <f t="shared" si="255"/>
        <v>-96</v>
      </c>
      <c r="DF134" s="204">
        <f t="shared" si="255"/>
        <v>-96</v>
      </c>
      <c r="DG134" s="204">
        <f t="shared" si="255"/>
        <v>-96</v>
      </c>
      <c r="DH134" s="204">
        <f t="shared" si="255"/>
        <v>-96</v>
      </c>
      <c r="DI134" s="204">
        <f t="shared" si="255"/>
        <v>-96</v>
      </c>
      <c r="DJ134" s="204">
        <f t="shared" si="255"/>
        <v>-96</v>
      </c>
      <c r="DK134" s="204">
        <f t="shared" si="255"/>
        <v>-96</v>
      </c>
      <c r="DL134" s="204">
        <f t="shared" si="255"/>
        <v>-96</v>
      </c>
      <c r="DM134" s="204">
        <f t="shared" si="255"/>
        <v>-96</v>
      </c>
      <c r="DN134" s="204">
        <f t="shared" si="255"/>
        <v>-96</v>
      </c>
      <c r="DO134" s="204">
        <f t="shared" si="255"/>
        <v>-96</v>
      </c>
      <c r="DP134" s="204">
        <f t="shared" si="255"/>
        <v>-96</v>
      </c>
      <c r="DQ134" s="204">
        <f t="shared" si="255"/>
        <v>-96</v>
      </c>
      <c r="DR134" s="204">
        <f t="shared" si="255"/>
        <v>-96</v>
      </c>
      <c r="DS134" s="204">
        <f t="shared" si="255"/>
        <v>-96</v>
      </c>
      <c r="DT134" s="204">
        <f t="shared" si="255"/>
        <v>-96</v>
      </c>
      <c r="DU134" s="204">
        <f t="shared" si="255"/>
        <v>-96</v>
      </c>
      <c r="DV134" s="204">
        <f t="shared" si="255"/>
        <v>-96</v>
      </c>
      <c r="DW134" s="204">
        <f t="shared" si="255"/>
        <v>-96</v>
      </c>
      <c r="DX134" s="204">
        <f t="shared" si="255"/>
        <v>-96</v>
      </c>
      <c r="DY134" s="204">
        <f t="shared" si="255"/>
        <v>-96</v>
      </c>
      <c r="DZ134" s="204">
        <f t="shared" si="255"/>
        <v>-96</v>
      </c>
      <c r="EA134" s="204">
        <f t="shared" si="255"/>
        <v>-96</v>
      </c>
      <c r="EB134" s="204">
        <f t="shared" si="255"/>
        <v>-96</v>
      </c>
      <c r="EC134" s="204">
        <f t="shared" si="255"/>
        <v>-96</v>
      </c>
      <c r="ED134" s="204">
        <f t="shared" si="255"/>
        <v>-96</v>
      </c>
      <c r="EE134" s="204">
        <f t="shared" si="255"/>
        <v>-96</v>
      </c>
      <c r="EF134" s="204">
        <f t="shared" si="255"/>
        <v>-96</v>
      </c>
      <c r="EG134" s="204">
        <f t="shared" si="255"/>
        <v>-96</v>
      </c>
      <c r="EH134" s="204">
        <f t="shared" si="255"/>
        <v>-96</v>
      </c>
      <c r="EI134" s="204">
        <f t="shared" si="255"/>
        <v>-96</v>
      </c>
      <c r="EJ134" s="204">
        <f t="shared" si="255"/>
        <v>-96</v>
      </c>
      <c r="EK134" s="204">
        <f t="shared" si="255"/>
        <v>-96</v>
      </c>
      <c r="EL134" s="204">
        <f t="shared" si="255"/>
        <v>-96</v>
      </c>
      <c r="EM134" s="204">
        <f t="shared" si="255"/>
        <v>-96</v>
      </c>
      <c r="EN134" s="204">
        <f t="shared" si="255"/>
        <v>-96</v>
      </c>
      <c r="EO134" s="204">
        <f t="shared" si="255"/>
        <v>-96</v>
      </c>
      <c r="EP134" s="204">
        <f t="shared" si="255"/>
        <v>-96</v>
      </c>
      <c r="EQ134" s="204">
        <f t="shared" si="255"/>
        <v>-96</v>
      </c>
      <c r="ER134" s="204">
        <f t="shared" si="255"/>
        <v>-96</v>
      </c>
      <c r="ES134" s="204">
        <f t="shared" si="255"/>
        <v>-96</v>
      </c>
      <c r="ET134" s="204">
        <f t="shared" si="255"/>
        <v>-96</v>
      </c>
      <c r="FF134" s="6" t="s">
        <v>369</v>
      </c>
      <c r="FG134" s="696">
        <v>2.5000000000000001E-2</v>
      </c>
      <c r="FH134" s="696">
        <v>96</v>
      </c>
      <c r="FI134" s="696">
        <v>1.8600000000000002E-2</v>
      </c>
      <c r="FJ134" s="255">
        <v>1.55E-2</v>
      </c>
      <c r="FK134" s="71">
        <f t="shared" si="92"/>
        <v>2.2619047619047624E-4</v>
      </c>
      <c r="FL134" t="e">
        <f>VLOOKUP(FF134,'SIMULADOR COM SALDO'!$BX$22:$CK$1000,13,FALSE)</f>
        <v>#N/A</v>
      </c>
    </row>
    <row r="135" spans="7:168" x14ac:dyDescent="0.25">
      <c r="G135" s="103">
        <f t="shared" si="228"/>
        <v>-44.770373601250576</v>
      </c>
      <c r="H135" s="204">
        <f t="shared" si="229"/>
        <v>-44.806371604802436</v>
      </c>
      <c r="I135" s="204">
        <f t="shared" si="229"/>
        <v>-44.859879708437063</v>
      </c>
      <c r="J135" s="204">
        <f t="shared" si="229"/>
        <v>-44.930579859281075</v>
      </c>
      <c r="K135" s="204">
        <f t="shared" si="229"/>
        <v>-45.018159781562872</v>
      </c>
      <c r="L135" s="204">
        <f t="shared" si="229"/>
        <v>-45.122312871677551</v>
      </c>
      <c r="M135" s="204">
        <f t="shared" si="229"/>
        <v>-45.24273809515784</v>
      </c>
      <c r="N135" s="204">
        <f t="shared" si="229"/>
        <v>-45.379139885516487</v>
      </c>
      <c r="O135" s="204">
        <f t="shared" si="229"/>
        <v>-45.53122804492606</v>
      </c>
      <c r="P135" s="204">
        <f t="shared" si="229"/>
        <v>-45.698717646702761</v>
      </c>
      <c r="Q135" s="204">
        <f t="shared" si="229"/>
        <v>-45.881328939561598</v>
      </c>
      <c r="R135" s="204">
        <f t="shared" si="229"/>
        <v>-46.078787253610507</v>
      </c>
      <c r="S135" s="204">
        <f t="shared" si="229"/>
        <v>-46.290822908052249</v>
      </c>
      <c r="T135" s="204">
        <f t="shared" si="229"/>
        <v>-46.517171120562551</v>
      </c>
      <c r="U135" s="204">
        <f t="shared" si="229"/>
        <v>-46.75757191831444</v>
      </c>
      <c r="V135" s="204">
        <f t="shared" si="229"/>
        <v>-47.011770050618708</v>
      </c>
      <c r="W135" s="204">
        <f t="shared" si="229"/>
        <v>-47.279514903151124</v>
      </c>
      <c r="X135" s="204">
        <f t="shared" ref="X135:CI135" si="256">PV($F89,X$9,1,0)+(PV($J$6,$N$5-(X$9),1,0)/($J$6+1)^X$9)</f>
        <v>-47.560560413737676</v>
      </c>
      <c r="Y135" s="204">
        <f t="shared" si="256"/>
        <v>-47.854664989669509</v>
      </c>
      <c r="Z135" s="204">
        <f t="shared" si="256"/>
        <v>-48.161591426519607</v>
      </c>
      <c r="AA135" s="204">
        <f t="shared" si="256"/>
        <v>-48.481106828434278</v>
      </c>
      <c r="AB135" s="204">
        <f t="shared" si="256"/>
        <v>-48.81298252987235</v>
      </c>
      <c r="AC135" s="204">
        <f t="shared" si="256"/>
        <v>-49.156994018765893</v>
      </c>
      <c r="AD135" s="204">
        <f t="shared" si="256"/>
        <v>-49.51292086107668</v>
      </c>
      <c r="AE135" s="204">
        <f t="shared" si="256"/>
        <v>-49.880546626723003</v>
      </c>
      <c r="AF135" s="204">
        <f t="shared" si="256"/>
        <v>-50.259658816851953</v>
      </c>
      <c r="AG135" s="204">
        <f t="shared" si="256"/>
        <v>-50.650048792432663</v>
      </c>
      <c r="AH135" s="204">
        <f t="shared" si="256"/>
        <v>-51.051511704146662</v>
      </c>
      <c r="AI135" s="204">
        <f t="shared" si="256"/>
        <v>-51.463846423551665</v>
      </c>
      <c r="AJ135" s="204">
        <f t="shared" si="256"/>
        <v>-51.886855475495707</v>
      </c>
      <c r="AK135" s="204">
        <f t="shared" si="256"/>
        <v>-52.320344971758878</v>
      </c>
      <c r="AL135" s="204">
        <f t="shared" si="256"/>
        <v>-52.76412454590043</v>
      </c>
      <c r="AM135" s="204">
        <f t="shared" si="256"/>
        <v>-53.218007289289282</v>
      </c>
      <c r="AN135" s="204">
        <f t="shared" si="256"/>
        <v>-53.681809688296511</v>
      </c>
      <c r="AO135" s="204">
        <f t="shared" si="256"/>
        <v>-54.155351562628589</v>
      </c>
      <c r="AP135" s="204">
        <f t="shared" si="256"/>
        <v>-54.638456004780849</v>
      </c>
      <c r="AQ135" s="204">
        <f t="shared" si="256"/>
        <v>-55.130949320590631</v>
      </c>
      <c r="AR135" s="204">
        <f t="shared" si="256"/>
        <v>-55.632660970870248</v>
      </c>
      <c r="AS135" s="204">
        <f t="shared" si="256"/>
        <v>-56.143423514100107</v>
      </c>
      <c r="AT135" s="204">
        <f t="shared" si="256"/>
        <v>-56.663072550162802</v>
      </c>
      <c r="AU135" s="204">
        <f t="shared" si="256"/>
        <v>-57.191446665099171</v>
      </c>
      <c r="AV135" s="204">
        <f t="shared" si="256"/>
        <v>-57.728387376867829</v>
      </c>
      <c r="AW135" s="204">
        <f t="shared" si="256"/>
        <v>-58.273739082089882</v>
      </c>
      <c r="AX135" s="204">
        <f t="shared" si="256"/>
        <v>-58.827349003761015</v>
      </c>
      <c r="AY135" s="204">
        <f t="shared" si="256"/>
        <v>-59.389067139913323</v>
      </c>
      <c r="AZ135" s="204">
        <f t="shared" si="256"/>
        <v>-59.95874621320965</v>
      </c>
      <c r="BA135" s="204">
        <f t="shared" si="256"/>
        <v>-60.53624162145347</v>
      </c>
      <c r="BB135" s="204">
        <f t="shared" si="256"/>
        <v>-61.121411388997728</v>
      </c>
      <c r="BC135" s="204">
        <f t="shared" si="256"/>
        <v>-61.714116119036262</v>
      </c>
      <c r="BD135" s="204">
        <f t="shared" si="256"/>
        <v>-62.314218946761883</v>
      </c>
      <c r="BE135" s="204">
        <f t="shared" si="256"/>
        <v>-62.921585493375147</v>
      </c>
      <c r="BF135" s="204">
        <f t="shared" si="256"/>
        <v>-63.536083820928674</v>
      </c>
      <c r="BG135" s="204">
        <f t="shared" si="256"/>
        <v>-64.157584387991548</v>
      </c>
      <c r="BH135" s="204">
        <f t="shared" si="256"/>
        <v>-64.785960006119055</v>
      </c>
      <c r="BI135" s="204">
        <f t="shared" si="256"/>
        <v>-65.421085797113165</v>
      </c>
      <c r="BJ135" s="204">
        <f t="shared" si="256"/>
        <v>-66.062839151059279</v>
      </c>
      <c r="BK135" s="204">
        <f t="shared" si="256"/>
        <v>-66.711099685125177</v>
      </c>
      <c r="BL135" s="204">
        <f t="shared" si="256"/>
        <v>-67.365749203108379</v>
      </c>
      <c r="BM135" s="204">
        <f t="shared" si="256"/>
        <v>-68.026671655718303</v>
      </c>
      <c r="BN135" s="204">
        <f t="shared" si="256"/>
        <v>-68.693753101579787</v>
      </c>
      <c r="BO135" s="204">
        <f t="shared" si="256"/>
        <v>-69.366881668945013</v>
      </c>
      <c r="BP135" s="204">
        <f t="shared" si="256"/>
        <v>-70.04594751810086</v>
      </c>
      <c r="BQ135" s="204">
        <f t="shared" si="256"/>
        <v>-70.730842804459073</v>
      </c>
      <c r="BR135" s="204">
        <f t="shared" si="256"/>
        <v>-71.421461642316928</v>
      </c>
      <c r="BS135" s="204">
        <f t="shared" si="256"/>
        <v>-72.117700069276026</v>
      </c>
      <c r="BT135" s="204">
        <f t="shared" si="256"/>
        <v>-72.819456011307551</v>
      </c>
      <c r="BU135" s="204">
        <f t="shared" si="256"/>
        <v>-73.526629248451897</v>
      </c>
      <c r="BV135" s="204">
        <f t="shared" si="256"/>
        <v>-74.239121381141487</v>
      </c>
      <c r="BW135" s="204">
        <f t="shared" si="256"/>
        <v>-74.956835797135199</v>
      </c>
      <c r="BX135" s="204">
        <f t="shared" si="256"/>
        <v>-75.679677639053423</v>
      </c>
      <c r="BY135" s="204">
        <f t="shared" si="256"/>
        <v>-76.407553772502823</v>
      </c>
      <c r="BZ135" s="204">
        <f t="shared" si="256"/>
        <v>-77.140372754780103</v>
      </c>
      <c r="CA135" s="204">
        <f t="shared" si="256"/>
        <v>-77.878044804144153</v>
      </c>
      <c r="CB135" s="204">
        <f t="shared" si="256"/>
        <v>-78.620481769646403</v>
      </c>
      <c r="CC135" s="204">
        <f t="shared" si="256"/>
        <v>-79.36759710150919</v>
      </c>
      <c r="CD135" s="204">
        <f t="shared" si="256"/>
        <v>-80.119305822042122</v>
      </c>
      <c r="CE135" s="204">
        <f t="shared" si="256"/>
        <v>-80.87552449708673</v>
      </c>
      <c r="CF135" s="204">
        <f t="shared" si="256"/>
        <v>-81.636171207979814</v>
      </c>
      <c r="CG135" s="204">
        <f t="shared" si="256"/>
        <v>-82.401165524026041</v>
      </c>
      <c r="CH135" s="204">
        <f t="shared" si="256"/>
        <v>-83.170428475470544</v>
      </c>
      <c r="CI135" s="204">
        <f t="shared" si="256"/>
        <v>-83.943882526962454</v>
      </c>
      <c r="CJ135" s="204">
        <f t="shared" ref="CJ135:ET135" si="257">PV($F89,CJ$9,1,0)+(PV($J$6,$N$5-(CJ$9),1,0)/($J$6+1)^CJ$9)</f>
        <v>-84.721451551500408</v>
      </c>
      <c r="CK135" s="204">
        <f t="shared" si="257"/>
        <v>-85.503060804851359</v>
      </c>
      <c r="CL135" s="204">
        <f t="shared" si="257"/>
        <v>-86.288636900434042</v>
      </c>
      <c r="CM135" s="204">
        <f t="shared" si="257"/>
        <v>-87.07810778465857</v>
      </c>
      <c r="CN135" s="204">
        <f t="shared" si="257"/>
        <v>-87.871402712714072</v>
      </c>
      <c r="CO135" s="204">
        <f t="shared" si="257"/>
        <v>-88.668452224796056</v>
      </c>
      <c r="CP135" s="204">
        <f t="shared" si="257"/>
        <v>-89.469188122765601</v>
      </c>
      <c r="CQ135" s="204">
        <f t="shared" si="257"/>
        <v>-90.273543447232512</v>
      </c>
      <c r="CR135" s="204">
        <f t="shared" si="257"/>
        <v>-91.081452455054702</v>
      </c>
      <c r="CS135" s="204">
        <f t="shared" si="257"/>
        <v>-91.892850597246365</v>
      </c>
      <c r="CT135" s="204">
        <f t="shared" si="257"/>
        <v>-92.707674497287258</v>
      </c>
      <c r="CU135" s="204">
        <f t="shared" si="257"/>
        <v>-93.525861929826178</v>
      </c>
      <c r="CV135" s="204">
        <f t="shared" si="257"/>
        <v>-94.347351799771133</v>
      </c>
      <c r="CW135" s="204">
        <f t="shared" si="257"/>
        <v>-95.172084121759283</v>
      </c>
      <c r="CX135" s="204">
        <f t="shared" si="257"/>
        <v>-96</v>
      </c>
      <c r="CY135" s="204">
        <f t="shared" si="257"/>
        <v>-96</v>
      </c>
      <c r="CZ135" s="204">
        <f t="shared" si="257"/>
        <v>-96</v>
      </c>
      <c r="DA135" s="204">
        <f t="shared" si="257"/>
        <v>-96</v>
      </c>
      <c r="DB135" s="204">
        <f t="shared" si="257"/>
        <v>-96</v>
      </c>
      <c r="DC135" s="204">
        <f t="shared" si="257"/>
        <v>-96</v>
      </c>
      <c r="DD135" s="204">
        <f t="shared" si="257"/>
        <v>-96</v>
      </c>
      <c r="DE135" s="204">
        <f t="shared" si="257"/>
        <v>-96</v>
      </c>
      <c r="DF135" s="204">
        <f t="shared" si="257"/>
        <v>-96</v>
      </c>
      <c r="DG135" s="204">
        <f t="shared" si="257"/>
        <v>-96</v>
      </c>
      <c r="DH135" s="204">
        <f t="shared" si="257"/>
        <v>-96</v>
      </c>
      <c r="DI135" s="204">
        <f t="shared" si="257"/>
        <v>-96</v>
      </c>
      <c r="DJ135" s="204">
        <f t="shared" si="257"/>
        <v>-96</v>
      </c>
      <c r="DK135" s="204">
        <f t="shared" si="257"/>
        <v>-96</v>
      </c>
      <c r="DL135" s="204">
        <f t="shared" si="257"/>
        <v>-96</v>
      </c>
      <c r="DM135" s="204">
        <f t="shared" si="257"/>
        <v>-96</v>
      </c>
      <c r="DN135" s="204">
        <f t="shared" si="257"/>
        <v>-96</v>
      </c>
      <c r="DO135" s="204">
        <f t="shared" si="257"/>
        <v>-96</v>
      </c>
      <c r="DP135" s="204">
        <f t="shared" si="257"/>
        <v>-96</v>
      </c>
      <c r="DQ135" s="204">
        <f t="shared" si="257"/>
        <v>-96</v>
      </c>
      <c r="DR135" s="204">
        <f t="shared" si="257"/>
        <v>-96</v>
      </c>
      <c r="DS135" s="204">
        <f t="shared" si="257"/>
        <v>-96</v>
      </c>
      <c r="DT135" s="204">
        <f t="shared" si="257"/>
        <v>-96</v>
      </c>
      <c r="DU135" s="204">
        <f t="shared" si="257"/>
        <v>-96</v>
      </c>
      <c r="DV135" s="204">
        <f t="shared" si="257"/>
        <v>-96</v>
      </c>
      <c r="DW135" s="204">
        <f t="shared" si="257"/>
        <v>-96</v>
      </c>
      <c r="DX135" s="204">
        <f t="shared" si="257"/>
        <v>-96</v>
      </c>
      <c r="DY135" s="204">
        <f t="shared" si="257"/>
        <v>-96</v>
      </c>
      <c r="DZ135" s="204">
        <f t="shared" si="257"/>
        <v>-96</v>
      </c>
      <c r="EA135" s="204">
        <f t="shared" si="257"/>
        <v>-96</v>
      </c>
      <c r="EB135" s="204">
        <f t="shared" si="257"/>
        <v>-96</v>
      </c>
      <c r="EC135" s="204">
        <f t="shared" si="257"/>
        <v>-96</v>
      </c>
      <c r="ED135" s="204">
        <f t="shared" si="257"/>
        <v>-96</v>
      </c>
      <c r="EE135" s="204">
        <f t="shared" si="257"/>
        <v>-96</v>
      </c>
      <c r="EF135" s="204">
        <f t="shared" si="257"/>
        <v>-96</v>
      </c>
      <c r="EG135" s="204">
        <f t="shared" si="257"/>
        <v>-96</v>
      </c>
      <c r="EH135" s="204">
        <f t="shared" si="257"/>
        <v>-96</v>
      </c>
      <c r="EI135" s="204">
        <f t="shared" si="257"/>
        <v>-96</v>
      </c>
      <c r="EJ135" s="204">
        <f t="shared" si="257"/>
        <v>-96</v>
      </c>
      <c r="EK135" s="204">
        <f t="shared" si="257"/>
        <v>-96</v>
      </c>
      <c r="EL135" s="204">
        <f t="shared" si="257"/>
        <v>-96</v>
      </c>
      <c r="EM135" s="204">
        <f t="shared" si="257"/>
        <v>-96</v>
      </c>
      <c r="EN135" s="204">
        <f t="shared" si="257"/>
        <v>-96</v>
      </c>
      <c r="EO135" s="204">
        <f t="shared" si="257"/>
        <v>-96</v>
      </c>
      <c r="EP135" s="204">
        <f t="shared" si="257"/>
        <v>-96</v>
      </c>
      <c r="EQ135" s="204">
        <f t="shared" si="257"/>
        <v>-96</v>
      </c>
      <c r="ER135" s="204">
        <f t="shared" si="257"/>
        <v>-96</v>
      </c>
      <c r="ES135" s="204">
        <f t="shared" si="257"/>
        <v>-96</v>
      </c>
      <c r="ET135" s="204">
        <f t="shared" si="257"/>
        <v>-96</v>
      </c>
      <c r="FF135" s="6" t="s">
        <v>370</v>
      </c>
      <c r="FG135" s="696">
        <v>2.5000000000000001E-2</v>
      </c>
      <c r="FH135" s="696">
        <v>120</v>
      </c>
      <c r="FI135" s="696">
        <v>1.8799999999999997E-2</v>
      </c>
      <c r="FJ135" s="255">
        <v>1.3000000000000001E-2</v>
      </c>
      <c r="FK135" s="71">
        <f t="shared" si="92"/>
        <v>2.8571428571428574E-4</v>
      </c>
      <c r="FL135" t="e">
        <f>VLOOKUP(FF135,'SIMULADOR COM SALDO'!$BX$22:$CK$1000,13,FALSE)</f>
        <v>#N/A</v>
      </c>
    </row>
    <row r="136" spans="7:168" x14ac:dyDescent="0.25">
      <c r="G136" s="103">
        <f t="shared" si="228"/>
        <v>-44.770373601250576</v>
      </c>
      <c r="H136" s="204">
        <f t="shared" si="229"/>
        <v>-44.806371604802436</v>
      </c>
      <c r="I136" s="204">
        <f t="shared" si="229"/>
        <v>-44.859879708437063</v>
      </c>
      <c r="J136" s="204">
        <f t="shared" si="229"/>
        <v>-44.930579859281075</v>
      </c>
      <c r="K136" s="204">
        <f t="shared" si="229"/>
        <v>-45.018159781562872</v>
      </c>
      <c r="L136" s="204">
        <f t="shared" si="229"/>
        <v>-45.122312871677551</v>
      </c>
      <c r="M136" s="204">
        <f t="shared" si="229"/>
        <v>-45.24273809515784</v>
      </c>
      <c r="N136" s="204">
        <f t="shared" si="229"/>
        <v>-45.379139885516487</v>
      </c>
      <c r="O136" s="204">
        <f t="shared" si="229"/>
        <v>-45.53122804492606</v>
      </c>
      <c r="P136" s="204">
        <f t="shared" si="229"/>
        <v>-45.698717646702761</v>
      </c>
      <c r="Q136" s="204">
        <f t="shared" si="229"/>
        <v>-45.881328939561598</v>
      </c>
      <c r="R136" s="204">
        <f t="shared" si="229"/>
        <v>-46.078787253610507</v>
      </c>
      <c r="S136" s="204">
        <f t="shared" si="229"/>
        <v>-46.290822908052249</v>
      </c>
      <c r="T136" s="204">
        <f t="shared" si="229"/>
        <v>-46.517171120562551</v>
      </c>
      <c r="U136" s="204">
        <f t="shared" si="229"/>
        <v>-46.75757191831444</v>
      </c>
      <c r="V136" s="204">
        <f t="shared" si="229"/>
        <v>-47.011770050618708</v>
      </c>
      <c r="W136" s="204">
        <f t="shared" si="229"/>
        <v>-47.279514903151124</v>
      </c>
      <c r="X136" s="204">
        <f t="shared" ref="X136:CI136" si="258">PV($F90,X$9,1,0)+(PV($J$6,$N$5-(X$9),1,0)/($J$6+1)^X$9)</f>
        <v>-47.560560413737676</v>
      </c>
      <c r="Y136" s="204">
        <f t="shared" si="258"/>
        <v>-47.854664989669509</v>
      </c>
      <c r="Z136" s="204">
        <f t="shared" si="258"/>
        <v>-48.161591426519607</v>
      </c>
      <c r="AA136" s="204">
        <f t="shared" si="258"/>
        <v>-48.481106828434278</v>
      </c>
      <c r="AB136" s="204">
        <f t="shared" si="258"/>
        <v>-48.81298252987235</v>
      </c>
      <c r="AC136" s="204">
        <f t="shared" si="258"/>
        <v>-49.156994018765893</v>
      </c>
      <c r="AD136" s="204">
        <f t="shared" si="258"/>
        <v>-49.51292086107668</v>
      </c>
      <c r="AE136" s="204">
        <f t="shared" si="258"/>
        <v>-49.880546626723003</v>
      </c>
      <c r="AF136" s="204">
        <f t="shared" si="258"/>
        <v>-50.259658816851953</v>
      </c>
      <c r="AG136" s="204">
        <f t="shared" si="258"/>
        <v>-50.650048792432663</v>
      </c>
      <c r="AH136" s="204">
        <f t="shared" si="258"/>
        <v>-51.051511704146662</v>
      </c>
      <c r="AI136" s="204">
        <f t="shared" si="258"/>
        <v>-51.463846423551665</v>
      </c>
      <c r="AJ136" s="204">
        <f t="shared" si="258"/>
        <v>-51.886855475495707</v>
      </c>
      <c r="AK136" s="204">
        <f t="shared" si="258"/>
        <v>-52.320344971758878</v>
      </c>
      <c r="AL136" s="204">
        <f t="shared" si="258"/>
        <v>-52.76412454590043</v>
      </c>
      <c r="AM136" s="204">
        <f t="shared" si="258"/>
        <v>-53.218007289289282</v>
      </c>
      <c r="AN136" s="204">
        <f t="shared" si="258"/>
        <v>-53.681809688296511</v>
      </c>
      <c r="AO136" s="204">
        <f t="shared" si="258"/>
        <v>-54.155351562628589</v>
      </c>
      <c r="AP136" s="204">
        <f t="shared" si="258"/>
        <v>-54.638456004780849</v>
      </c>
      <c r="AQ136" s="204">
        <f t="shared" si="258"/>
        <v>-55.130949320590631</v>
      </c>
      <c r="AR136" s="204">
        <f t="shared" si="258"/>
        <v>-55.632660970870248</v>
      </c>
      <c r="AS136" s="204">
        <f t="shared" si="258"/>
        <v>-56.143423514100107</v>
      </c>
      <c r="AT136" s="204">
        <f t="shared" si="258"/>
        <v>-56.663072550162802</v>
      </c>
      <c r="AU136" s="204">
        <f t="shared" si="258"/>
        <v>-57.191446665099171</v>
      </c>
      <c r="AV136" s="204">
        <f t="shared" si="258"/>
        <v>-57.728387376867829</v>
      </c>
      <c r="AW136" s="204">
        <f t="shared" si="258"/>
        <v>-58.273739082089882</v>
      </c>
      <c r="AX136" s="204">
        <f t="shared" si="258"/>
        <v>-58.827349003761015</v>
      </c>
      <c r="AY136" s="204">
        <f t="shared" si="258"/>
        <v>-59.389067139913323</v>
      </c>
      <c r="AZ136" s="204">
        <f t="shared" si="258"/>
        <v>-59.95874621320965</v>
      </c>
      <c r="BA136" s="204">
        <f t="shared" si="258"/>
        <v>-60.53624162145347</v>
      </c>
      <c r="BB136" s="204">
        <f t="shared" si="258"/>
        <v>-61.121411388997728</v>
      </c>
      <c r="BC136" s="204">
        <f t="shared" si="258"/>
        <v>-61.714116119036262</v>
      </c>
      <c r="BD136" s="204">
        <f t="shared" si="258"/>
        <v>-62.314218946761883</v>
      </c>
      <c r="BE136" s="204">
        <f t="shared" si="258"/>
        <v>-62.921585493375147</v>
      </c>
      <c r="BF136" s="204">
        <f t="shared" si="258"/>
        <v>-63.536083820928674</v>
      </c>
      <c r="BG136" s="204">
        <f t="shared" si="258"/>
        <v>-64.157584387991548</v>
      </c>
      <c r="BH136" s="204">
        <f t="shared" si="258"/>
        <v>-64.785960006119055</v>
      </c>
      <c r="BI136" s="204">
        <f t="shared" si="258"/>
        <v>-65.421085797113165</v>
      </c>
      <c r="BJ136" s="204">
        <f t="shared" si="258"/>
        <v>-66.062839151059279</v>
      </c>
      <c r="BK136" s="204">
        <f t="shared" si="258"/>
        <v>-66.711099685125177</v>
      </c>
      <c r="BL136" s="204">
        <f t="shared" si="258"/>
        <v>-67.365749203108379</v>
      </c>
      <c r="BM136" s="204">
        <f t="shared" si="258"/>
        <v>-68.026671655718303</v>
      </c>
      <c r="BN136" s="204">
        <f t="shared" si="258"/>
        <v>-68.693753101579787</v>
      </c>
      <c r="BO136" s="204">
        <f t="shared" si="258"/>
        <v>-69.366881668945013</v>
      </c>
      <c r="BP136" s="204">
        <f t="shared" si="258"/>
        <v>-70.04594751810086</v>
      </c>
      <c r="BQ136" s="204">
        <f t="shared" si="258"/>
        <v>-70.730842804459073</v>
      </c>
      <c r="BR136" s="204">
        <f t="shared" si="258"/>
        <v>-71.421461642316928</v>
      </c>
      <c r="BS136" s="204">
        <f t="shared" si="258"/>
        <v>-72.117700069276026</v>
      </c>
      <c r="BT136" s="204">
        <f t="shared" si="258"/>
        <v>-72.819456011307551</v>
      </c>
      <c r="BU136" s="204">
        <f t="shared" si="258"/>
        <v>-73.526629248451897</v>
      </c>
      <c r="BV136" s="204">
        <f t="shared" si="258"/>
        <v>-74.239121381141487</v>
      </c>
      <c r="BW136" s="204">
        <f t="shared" si="258"/>
        <v>-74.956835797135199</v>
      </c>
      <c r="BX136" s="204">
        <f t="shared" si="258"/>
        <v>-75.679677639053423</v>
      </c>
      <c r="BY136" s="204">
        <f t="shared" si="258"/>
        <v>-76.407553772502823</v>
      </c>
      <c r="BZ136" s="204">
        <f t="shared" si="258"/>
        <v>-77.140372754780103</v>
      </c>
      <c r="CA136" s="204">
        <f t="shared" si="258"/>
        <v>-77.878044804144153</v>
      </c>
      <c r="CB136" s="204">
        <f t="shared" si="258"/>
        <v>-78.620481769646403</v>
      </c>
      <c r="CC136" s="204">
        <f t="shared" si="258"/>
        <v>-79.36759710150919</v>
      </c>
      <c r="CD136" s="204">
        <f t="shared" si="258"/>
        <v>-80.119305822042122</v>
      </c>
      <c r="CE136" s="204">
        <f t="shared" si="258"/>
        <v>-80.87552449708673</v>
      </c>
      <c r="CF136" s="204">
        <f t="shared" si="258"/>
        <v>-81.636171207979814</v>
      </c>
      <c r="CG136" s="204">
        <f t="shared" si="258"/>
        <v>-82.401165524026041</v>
      </c>
      <c r="CH136" s="204">
        <f t="shared" si="258"/>
        <v>-83.170428475470544</v>
      </c>
      <c r="CI136" s="204">
        <f t="shared" si="258"/>
        <v>-83.943882526962454</v>
      </c>
      <c r="CJ136" s="204">
        <f t="shared" ref="CJ136:ET136" si="259">PV($F90,CJ$9,1,0)+(PV($J$6,$N$5-(CJ$9),1,0)/($J$6+1)^CJ$9)</f>
        <v>-84.721451551500408</v>
      </c>
      <c r="CK136" s="204">
        <f t="shared" si="259"/>
        <v>-85.503060804851359</v>
      </c>
      <c r="CL136" s="204">
        <f t="shared" si="259"/>
        <v>-86.288636900434042</v>
      </c>
      <c r="CM136" s="204">
        <f t="shared" si="259"/>
        <v>-87.07810778465857</v>
      </c>
      <c r="CN136" s="204">
        <f t="shared" si="259"/>
        <v>-87.871402712714072</v>
      </c>
      <c r="CO136" s="204">
        <f t="shared" si="259"/>
        <v>-88.668452224796056</v>
      </c>
      <c r="CP136" s="204">
        <f t="shared" si="259"/>
        <v>-89.469188122765601</v>
      </c>
      <c r="CQ136" s="204">
        <f t="shared" si="259"/>
        <v>-90.273543447232512</v>
      </c>
      <c r="CR136" s="204">
        <f t="shared" si="259"/>
        <v>-91.081452455054702</v>
      </c>
      <c r="CS136" s="204">
        <f t="shared" si="259"/>
        <v>-91.892850597246365</v>
      </c>
      <c r="CT136" s="204">
        <f t="shared" si="259"/>
        <v>-92.707674497287258</v>
      </c>
      <c r="CU136" s="204">
        <f t="shared" si="259"/>
        <v>-93.525861929826178</v>
      </c>
      <c r="CV136" s="204">
        <f t="shared" si="259"/>
        <v>-94.347351799771133</v>
      </c>
      <c r="CW136" s="204">
        <f t="shared" si="259"/>
        <v>-95.172084121759283</v>
      </c>
      <c r="CX136" s="204">
        <f t="shared" si="259"/>
        <v>-96</v>
      </c>
      <c r="CY136" s="204">
        <f t="shared" si="259"/>
        <v>-96</v>
      </c>
      <c r="CZ136" s="204">
        <f t="shared" si="259"/>
        <v>-96</v>
      </c>
      <c r="DA136" s="204">
        <f t="shared" si="259"/>
        <v>-96</v>
      </c>
      <c r="DB136" s="204">
        <f t="shared" si="259"/>
        <v>-96</v>
      </c>
      <c r="DC136" s="204">
        <f t="shared" si="259"/>
        <v>-96</v>
      </c>
      <c r="DD136" s="204">
        <f t="shared" si="259"/>
        <v>-96</v>
      </c>
      <c r="DE136" s="204">
        <f t="shared" si="259"/>
        <v>-96</v>
      </c>
      <c r="DF136" s="204">
        <f t="shared" si="259"/>
        <v>-96</v>
      </c>
      <c r="DG136" s="204">
        <f t="shared" si="259"/>
        <v>-96</v>
      </c>
      <c r="DH136" s="204">
        <f t="shared" si="259"/>
        <v>-96</v>
      </c>
      <c r="DI136" s="204">
        <f t="shared" si="259"/>
        <v>-96</v>
      </c>
      <c r="DJ136" s="204">
        <f t="shared" si="259"/>
        <v>-96</v>
      </c>
      <c r="DK136" s="204">
        <f t="shared" si="259"/>
        <v>-96</v>
      </c>
      <c r="DL136" s="204">
        <f t="shared" si="259"/>
        <v>-96</v>
      </c>
      <c r="DM136" s="204">
        <f t="shared" si="259"/>
        <v>-96</v>
      </c>
      <c r="DN136" s="204">
        <f t="shared" si="259"/>
        <v>-96</v>
      </c>
      <c r="DO136" s="204">
        <f t="shared" si="259"/>
        <v>-96</v>
      </c>
      <c r="DP136" s="204">
        <f t="shared" si="259"/>
        <v>-96</v>
      </c>
      <c r="DQ136" s="204">
        <f t="shared" si="259"/>
        <v>-96</v>
      </c>
      <c r="DR136" s="204">
        <f t="shared" si="259"/>
        <v>-96</v>
      </c>
      <c r="DS136" s="204">
        <f t="shared" si="259"/>
        <v>-96</v>
      </c>
      <c r="DT136" s="204">
        <f t="shared" si="259"/>
        <v>-96</v>
      </c>
      <c r="DU136" s="204">
        <f t="shared" si="259"/>
        <v>-96</v>
      </c>
      <c r="DV136" s="204">
        <f t="shared" si="259"/>
        <v>-96</v>
      </c>
      <c r="DW136" s="204">
        <f t="shared" si="259"/>
        <v>-96</v>
      </c>
      <c r="DX136" s="204">
        <f t="shared" si="259"/>
        <v>-96</v>
      </c>
      <c r="DY136" s="204">
        <f t="shared" si="259"/>
        <v>-96</v>
      </c>
      <c r="DZ136" s="204">
        <f t="shared" si="259"/>
        <v>-96</v>
      </c>
      <c r="EA136" s="204">
        <f t="shared" si="259"/>
        <v>-96</v>
      </c>
      <c r="EB136" s="204">
        <f t="shared" si="259"/>
        <v>-96</v>
      </c>
      <c r="EC136" s="204">
        <f t="shared" si="259"/>
        <v>-96</v>
      </c>
      <c r="ED136" s="204">
        <f t="shared" si="259"/>
        <v>-96</v>
      </c>
      <c r="EE136" s="204">
        <f t="shared" si="259"/>
        <v>-96</v>
      </c>
      <c r="EF136" s="204">
        <f t="shared" si="259"/>
        <v>-96</v>
      </c>
      <c r="EG136" s="204">
        <f t="shared" si="259"/>
        <v>-96</v>
      </c>
      <c r="EH136" s="204">
        <f t="shared" si="259"/>
        <v>-96</v>
      </c>
      <c r="EI136" s="204">
        <f t="shared" si="259"/>
        <v>-96</v>
      </c>
      <c r="EJ136" s="204">
        <f t="shared" si="259"/>
        <v>-96</v>
      </c>
      <c r="EK136" s="204">
        <f t="shared" si="259"/>
        <v>-96</v>
      </c>
      <c r="EL136" s="204">
        <f t="shared" si="259"/>
        <v>-96</v>
      </c>
      <c r="EM136" s="204">
        <f t="shared" si="259"/>
        <v>-96</v>
      </c>
      <c r="EN136" s="204">
        <f t="shared" si="259"/>
        <v>-96</v>
      </c>
      <c r="EO136" s="204">
        <f t="shared" si="259"/>
        <v>-96</v>
      </c>
      <c r="EP136" s="204">
        <f t="shared" si="259"/>
        <v>-96</v>
      </c>
      <c r="EQ136" s="204">
        <f t="shared" si="259"/>
        <v>-96</v>
      </c>
      <c r="ER136" s="204">
        <f t="shared" si="259"/>
        <v>-96</v>
      </c>
      <c r="ES136" s="204">
        <f t="shared" si="259"/>
        <v>-96</v>
      </c>
      <c r="ET136" s="204">
        <f t="shared" si="259"/>
        <v>-96</v>
      </c>
      <c r="FF136" s="6" t="s">
        <v>1041</v>
      </c>
      <c r="FG136" s="696">
        <v>2.5000000000000001E-2</v>
      </c>
      <c r="FH136" s="696">
        <v>96</v>
      </c>
      <c r="FI136" s="696">
        <v>1.9699999999999999E-2</v>
      </c>
      <c r="FJ136" s="255">
        <v>1.6E-2</v>
      </c>
      <c r="FK136" s="71">
        <f t="shared" si="92"/>
        <v>2.142857142857143E-4</v>
      </c>
      <c r="FL136" t="e">
        <f>VLOOKUP(FF136,'SIMULADOR COM SALDO'!$BX$22:$CK$1000,13,FALSE)</f>
        <v>#N/A</v>
      </c>
    </row>
    <row r="137" spans="7:168" x14ac:dyDescent="0.25">
      <c r="G137" s="103">
        <f t="shared" si="228"/>
        <v>-44.770373601250576</v>
      </c>
      <c r="H137" s="204">
        <f t="shared" si="229"/>
        <v>-44.806371604802436</v>
      </c>
      <c r="I137" s="204">
        <f t="shared" si="229"/>
        <v>-44.859879708437063</v>
      </c>
      <c r="J137" s="204">
        <f t="shared" ref="J137:BU137" si="260">PV($F91,J$9,1,0)+(PV($J$6,$N$5-(J$9),1,0)/($J$6+1)^J$9)</f>
        <v>-44.930579859281075</v>
      </c>
      <c r="K137" s="204">
        <f t="shared" si="260"/>
        <v>-45.018159781562872</v>
      </c>
      <c r="L137" s="204">
        <f t="shared" si="260"/>
        <v>-45.122312871677551</v>
      </c>
      <c r="M137" s="204">
        <f t="shared" si="260"/>
        <v>-45.24273809515784</v>
      </c>
      <c r="N137" s="204">
        <f t="shared" si="260"/>
        <v>-45.379139885516487</v>
      </c>
      <c r="O137" s="204">
        <f t="shared" si="260"/>
        <v>-45.53122804492606</v>
      </c>
      <c r="P137" s="204">
        <f t="shared" si="260"/>
        <v>-45.698717646702761</v>
      </c>
      <c r="Q137" s="204">
        <f t="shared" si="260"/>
        <v>-45.881328939561598</v>
      </c>
      <c r="R137" s="204">
        <f t="shared" si="260"/>
        <v>-46.078787253610507</v>
      </c>
      <c r="S137" s="204">
        <f t="shared" si="260"/>
        <v>-46.290822908052249</v>
      </c>
      <c r="T137" s="204">
        <f t="shared" si="260"/>
        <v>-46.517171120562551</v>
      </c>
      <c r="U137" s="204">
        <f t="shared" si="260"/>
        <v>-46.75757191831444</v>
      </c>
      <c r="V137" s="204">
        <f t="shared" si="260"/>
        <v>-47.011770050618708</v>
      </c>
      <c r="W137" s="204">
        <f t="shared" si="260"/>
        <v>-47.279514903151124</v>
      </c>
      <c r="X137" s="204">
        <f t="shared" si="260"/>
        <v>-47.560560413737676</v>
      </c>
      <c r="Y137" s="204">
        <f t="shared" si="260"/>
        <v>-47.854664989669509</v>
      </c>
      <c r="Z137" s="204">
        <f t="shared" si="260"/>
        <v>-48.161591426519607</v>
      </c>
      <c r="AA137" s="204">
        <f t="shared" si="260"/>
        <v>-48.481106828434278</v>
      </c>
      <c r="AB137" s="204">
        <f t="shared" si="260"/>
        <v>-48.81298252987235</v>
      </c>
      <c r="AC137" s="204">
        <f t="shared" si="260"/>
        <v>-49.156994018765893</v>
      </c>
      <c r="AD137" s="204">
        <f t="shared" si="260"/>
        <v>-49.51292086107668</v>
      </c>
      <c r="AE137" s="204">
        <f t="shared" si="260"/>
        <v>-49.880546626723003</v>
      </c>
      <c r="AF137" s="204">
        <f t="shared" si="260"/>
        <v>-50.259658816851953</v>
      </c>
      <c r="AG137" s="204">
        <f t="shared" si="260"/>
        <v>-50.650048792432663</v>
      </c>
      <c r="AH137" s="204">
        <f t="shared" si="260"/>
        <v>-51.051511704146662</v>
      </c>
      <c r="AI137" s="204">
        <f t="shared" si="260"/>
        <v>-51.463846423551665</v>
      </c>
      <c r="AJ137" s="204">
        <f t="shared" si="260"/>
        <v>-51.886855475495707</v>
      </c>
      <c r="AK137" s="204">
        <f t="shared" si="260"/>
        <v>-52.320344971758878</v>
      </c>
      <c r="AL137" s="204">
        <f t="shared" si="260"/>
        <v>-52.76412454590043</v>
      </c>
      <c r="AM137" s="204">
        <f t="shared" si="260"/>
        <v>-53.218007289289282</v>
      </c>
      <c r="AN137" s="204">
        <f t="shared" si="260"/>
        <v>-53.681809688296511</v>
      </c>
      <c r="AO137" s="204">
        <f t="shared" si="260"/>
        <v>-54.155351562628589</v>
      </c>
      <c r="AP137" s="204">
        <f t="shared" si="260"/>
        <v>-54.638456004780849</v>
      </c>
      <c r="AQ137" s="204">
        <f t="shared" si="260"/>
        <v>-55.130949320590631</v>
      </c>
      <c r="AR137" s="204">
        <f t="shared" si="260"/>
        <v>-55.632660970870248</v>
      </c>
      <c r="AS137" s="204">
        <f t="shared" si="260"/>
        <v>-56.143423514100107</v>
      </c>
      <c r="AT137" s="204">
        <f t="shared" si="260"/>
        <v>-56.663072550162802</v>
      </c>
      <c r="AU137" s="204">
        <f t="shared" si="260"/>
        <v>-57.191446665099171</v>
      </c>
      <c r="AV137" s="204">
        <f t="shared" si="260"/>
        <v>-57.728387376867829</v>
      </c>
      <c r="AW137" s="204">
        <f t="shared" si="260"/>
        <v>-58.273739082089882</v>
      </c>
      <c r="AX137" s="204">
        <f t="shared" si="260"/>
        <v>-58.827349003761015</v>
      </c>
      <c r="AY137" s="204">
        <f t="shared" si="260"/>
        <v>-59.389067139913323</v>
      </c>
      <c r="AZ137" s="204">
        <f t="shared" si="260"/>
        <v>-59.95874621320965</v>
      </c>
      <c r="BA137" s="204">
        <f t="shared" si="260"/>
        <v>-60.53624162145347</v>
      </c>
      <c r="BB137" s="204">
        <f t="shared" si="260"/>
        <v>-61.121411388997728</v>
      </c>
      <c r="BC137" s="204">
        <f t="shared" si="260"/>
        <v>-61.714116119036262</v>
      </c>
      <c r="BD137" s="204">
        <f t="shared" si="260"/>
        <v>-62.314218946761883</v>
      </c>
      <c r="BE137" s="204">
        <f t="shared" si="260"/>
        <v>-62.921585493375147</v>
      </c>
      <c r="BF137" s="204">
        <f t="shared" si="260"/>
        <v>-63.536083820928674</v>
      </c>
      <c r="BG137" s="204">
        <f t="shared" si="260"/>
        <v>-64.157584387991548</v>
      </c>
      <c r="BH137" s="204">
        <f t="shared" si="260"/>
        <v>-64.785960006119055</v>
      </c>
      <c r="BI137" s="204">
        <f t="shared" si="260"/>
        <v>-65.421085797113165</v>
      </c>
      <c r="BJ137" s="204">
        <f t="shared" si="260"/>
        <v>-66.062839151059279</v>
      </c>
      <c r="BK137" s="204">
        <f t="shared" si="260"/>
        <v>-66.711099685125177</v>
      </c>
      <c r="BL137" s="204">
        <f t="shared" si="260"/>
        <v>-67.365749203108379</v>
      </c>
      <c r="BM137" s="204">
        <f t="shared" si="260"/>
        <v>-68.026671655718303</v>
      </c>
      <c r="BN137" s="204">
        <f t="shared" si="260"/>
        <v>-68.693753101579787</v>
      </c>
      <c r="BO137" s="204">
        <f t="shared" si="260"/>
        <v>-69.366881668945013</v>
      </c>
      <c r="BP137" s="204">
        <f t="shared" si="260"/>
        <v>-70.04594751810086</v>
      </c>
      <c r="BQ137" s="204">
        <f t="shared" si="260"/>
        <v>-70.730842804459073</v>
      </c>
      <c r="BR137" s="204">
        <f t="shared" si="260"/>
        <v>-71.421461642316928</v>
      </c>
      <c r="BS137" s="204">
        <f t="shared" si="260"/>
        <v>-72.117700069276026</v>
      </c>
      <c r="BT137" s="204">
        <f t="shared" si="260"/>
        <v>-72.819456011307551</v>
      </c>
      <c r="BU137" s="204">
        <f t="shared" si="260"/>
        <v>-73.526629248451897</v>
      </c>
      <c r="BV137" s="204">
        <f t="shared" ref="BV137:EG137" si="261">PV($F91,BV$9,1,0)+(PV($J$6,$N$5-(BV$9),1,0)/($J$6+1)^BV$9)</f>
        <v>-74.239121381141487</v>
      </c>
      <c r="BW137" s="204">
        <f t="shared" si="261"/>
        <v>-74.956835797135199</v>
      </c>
      <c r="BX137" s="204">
        <f t="shared" si="261"/>
        <v>-75.679677639053423</v>
      </c>
      <c r="BY137" s="204">
        <f t="shared" si="261"/>
        <v>-76.407553772502823</v>
      </c>
      <c r="BZ137" s="204">
        <f t="shared" si="261"/>
        <v>-77.140372754780103</v>
      </c>
      <c r="CA137" s="204">
        <f t="shared" si="261"/>
        <v>-77.878044804144153</v>
      </c>
      <c r="CB137" s="204">
        <f t="shared" si="261"/>
        <v>-78.620481769646403</v>
      </c>
      <c r="CC137" s="204">
        <f t="shared" si="261"/>
        <v>-79.36759710150919</v>
      </c>
      <c r="CD137" s="204">
        <f t="shared" si="261"/>
        <v>-80.119305822042122</v>
      </c>
      <c r="CE137" s="204">
        <f t="shared" si="261"/>
        <v>-80.87552449708673</v>
      </c>
      <c r="CF137" s="204">
        <f t="shared" si="261"/>
        <v>-81.636171207979814</v>
      </c>
      <c r="CG137" s="204">
        <f t="shared" si="261"/>
        <v>-82.401165524026041</v>
      </c>
      <c r="CH137" s="204">
        <f t="shared" si="261"/>
        <v>-83.170428475470544</v>
      </c>
      <c r="CI137" s="204">
        <f t="shared" si="261"/>
        <v>-83.943882526962454</v>
      </c>
      <c r="CJ137" s="204">
        <f t="shared" si="261"/>
        <v>-84.721451551500408</v>
      </c>
      <c r="CK137" s="204">
        <f t="shared" si="261"/>
        <v>-85.503060804851359</v>
      </c>
      <c r="CL137" s="204">
        <f t="shared" si="261"/>
        <v>-86.288636900434042</v>
      </c>
      <c r="CM137" s="204">
        <f t="shared" si="261"/>
        <v>-87.07810778465857</v>
      </c>
      <c r="CN137" s="204">
        <f t="shared" si="261"/>
        <v>-87.871402712714072</v>
      </c>
      <c r="CO137" s="204">
        <f t="shared" si="261"/>
        <v>-88.668452224796056</v>
      </c>
      <c r="CP137" s="204">
        <f t="shared" si="261"/>
        <v>-89.469188122765601</v>
      </c>
      <c r="CQ137" s="204">
        <f t="shared" si="261"/>
        <v>-90.273543447232512</v>
      </c>
      <c r="CR137" s="204">
        <f t="shared" si="261"/>
        <v>-91.081452455054702</v>
      </c>
      <c r="CS137" s="204">
        <f t="shared" si="261"/>
        <v>-91.892850597246365</v>
      </c>
      <c r="CT137" s="204">
        <f t="shared" si="261"/>
        <v>-92.707674497287258</v>
      </c>
      <c r="CU137" s="204">
        <f t="shared" si="261"/>
        <v>-93.525861929826178</v>
      </c>
      <c r="CV137" s="204">
        <f t="shared" si="261"/>
        <v>-94.347351799771133</v>
      </c>
      <c r="CW137" s="204">
        <f t="shared" si="261"/>
        <v>-95.172084121759283</v>
      </c>
      <c r="CX137" s="204">
        <f t="shared" si="261"/>
        <v>-96</v>
      </c>
      <c r="CY137" s="204">
        <f t="shared" si="261"/>
        <v>-96</v>
      </c>
      <c r="CZ137" s="204">
        <f t="shared" si="261"/>
        <v>-96</v>
      </c>
      <c r="DA137" s="204">
        <f t="shared" si="261"/>
        <v>-96</v>
      </c>
      <c r="DB137" s="204">
        <f t="shared" si="261"/>
        <v>-96</v>
      </c>
      <c r="DC137" s="204">
        <f t="shared" si="261"/>
        <v>-96</v>
      </c>
      <c r="DD137" s="204">
        <f t="shared" si="261"/>
        <v>-96</v>
      </c>
      <c r="DE137" s="204">
        <f t="shared" si="261"/>
        <v>-96</v>
      </c>
      <c r="DF137" s="204">
        <f t="shared" si="261"/>
        <v>-96</v>
      </c>
      <c r="DG137" s="204">
        <f t="shared" si="261"/>
        <v>-96</v>
      </c>
      <c r="DH137" s="204">
        <f t="shared" si="261"/>
        <v>-96</v>
      </c>
      <c r="DI137" s="204">
        <f t="shared" si="261"/>
        <v>-96</v>
      </c>
      <c r="DJ137" s="204">
        <f t="shared" si="261"/>
        <v>-96</v>
      </c>
      <c r="DK137" s="204">
        <f t="shared" si="261"/>
        <v>-96</v>
      </c>
      <c r="DL137" s="204">
        <f t="shared" si="261"/>
        <v>-96</v>
      </c>
      <c r="DM137" s="204">
        <f t="shared" si="261"/>
        <v>-96</v>
      </c>
      <c r="DN137" s="204">
        <f t="shared" si="261"/>
        <v>-96</v>
      </c>
      <c r="DO137" s="204">
        <f t="shared" si="261"/>
        <v>-96</v>
      </c>
      <c r="DP137" s="204">
        <f t="shared" si="261"/>
        <v>-96</v>
      </c>
      <c r="DQ137" s="204">
        <f t="shared" si="261"/>
        <v>-96</v>
      </c>
      <c r="DR137" s="204">
        <f t="shared" si="261"/>
        <v>-96</v>
      </c>
      <c r="DS137" s="204">
        <f t="shared" si="261"/>
        <v>-96</v>
      </c>
      <c r="DT137" s="204">
        <f t="shared" si="261"/>
        <v>-96</v>
      </c>
      <c r="DU137" s="204">
        <f t="shared" si="261"/>
        <v>-96</v>
      </c>
      <c r="DV137" s="204">
        <f t="shared" si="261"/>
        <v>-96</v>
      </c>
      <c r="DW137" s="204">
        <f t="shared" si="261"/>
        <v>-96</v>
      </c>
      <c r="DX137" s="204">
        <f t="shared" si="261"/>
        <v>-96</v>
      </c>
      <c r="DY137" s="204">
        <f t="shared" si="261"/>
        <v>-96</v>
      </c>
      <c r="DZ137" s="204">
        <f t="shared" si="261"/>
        <v>-96</v>
      </c>
      <c r="EA137" s="204">
        <f t="shared" si="261"/>
        <v>-96</v>
      </c>
      <c r="EB137" s="204">
        <f t="shared" si="261"/>
        <v>-96</v>
      </c>
      <c r="EC137" s="204">
        <f t="shared" si="261"/>
        <v>-96</v>
      </c>
      <c r="ED137" s="204">
        <f t="shared" si="261"/>
        <v>-96</v>
      </c>
      <c r="EE137" s="204">
        <f t="shared" si="261"/>
        <v>-96</v>
      </c>
      <c r="EF137" s="204">
        <f t="shared" si="261"/>
        <v>-96</v>
      </c>
      <c r="EG137" s="204">
        <f t="shared" si="261"/>
        <v>-96</v>
      </c>
      <c r="EH137" s="204">
        <f t="shared" ref="EH137:ET137" si="262">PV($F91,EH$9,1,0)+(PV($J$6,$N$5-(EH$9),1,0)/($J$6+1)^EH$9)</f>
        <v>-96</v>
      </c>
      <c r="EI137" s="204">
        <f t="shared" si="262"/>
        <v>-96</v>
      </c>
      <c r="EJ137" s="204">
        <f t="shared" si="262"/>
        <v>-96</v>
      </c>
      <c r="EK137" s="204">
        <f t="shared" si="262"/>
        <v>-96</v>
      </c>
      <c r="EL137" s="204">
        <f t="shared" si="262"/>
        <v>-96</v>
      </c>
      <c r="EM137" s="204">
        <f t="shared" si="262"/>
        <v>-96</v>
      </c>
      <c r="EN137" s="204">
        <f t="shared" si="262"/>
        <v>-96</v>
      </c>
      <c r="EO137" s="204">
        <f t="shared" si="262"/>
        <v>-96</v>
      </c>
      <c r="EP137" s="204">
        <f t="shared" si="262"/>
        <v>-96</v>
      </c>
      <c r="EQ137" s="204">
        <f t="shared" si="262"/>
        <v>-96</v>
      </c>
      <c r="ER137" s="204">
        <f t="shared" si="262"/>
        <v>-96</v>
      </c>
      <c r="ES137" s="204">
        <f t="shared" si="262"/>
        <v>-96</v>
      </c>
      <c r="ET137" s="204">
        <f t="shared" si="262"/>
        <v>-96</v>
      </c>
      <c r="FF137" s="6" t="s">
        <v>105</v>
      </c>
      <c r="FG137" s="696">
        <v>2.2499999999999999E-2</v>
      </c>
      <c r="FH137" s="696">
        <v>120</v>
      </c>
      <c r="FI137" s="696">
        <v>1.8500000000000003E-2</v>
      </c>
      <c r="FJ137" s="255">
        <v>1.4999999999999999E-2</v>
      </c>
      <c r="FK137" s="71">
        <f t="shared" si="92"/>
        <v>1.7857142857142857E-4</v>
      </c>
      <c r="FL137" t="e">
        <f>VLOOKUP(FF137,'SIMULADOR COM SALDO'!$BX$22:$CK$1000,13,FALSE)</f>
        <v>#N/A</v>
      </c>
    </row>
    <row r="138" spans="7:168" x14ac:dyDescent="0.25">
      <c r="G138" s="103">
        <f t="shared" si="228"/>
        <v>-44.770373601250576</v>
      </c>
      <c r="H138" s="204">
        <f t="shared" si="229"/>
        <v>-44.806371604802436</v>
      </c>
      <c r="I138" s="204">
        <f t="shared" ref="I138:BT138" si="263">PV($F92,I$9,1,0)+(PV($J$6,$N$5-(I$9),1,0)/($J$6+1)^I$9)</f>
        <v>-44.859879708437063</v>
      </c>
      <c r="J138" s="204">
        <f t="shared" si="263"/>
        <v>-44.930579859281075</v>
      </c>
      <c r="K138" s="204">
        <f t="shared" si="263"/>
        <v>-45.018159781562872</v>
      </c>
      <c r="L138" s="204">
        <f t="shared" si="263"/>
        <v>-45.122312871677551</v>
      </c>
      <c r="M138" s="204">
        <f t="shared" si="263"/>
        <v>-45.24273809515784</v>
      </c>
      <c r="N138" s="204">
        <f t="shared" si="263"/>
        <v>-45.379139885516487</v>
      </c>
      <c r="O138" s="204">
        <f t="shared" si="263"/>
        <v>-45.53122804492606</v>
      </c>
      <c r="P138" s="204">
        <f t="shared" si="263"/>
        <v>-45.698717646702761</v>
      </c>
      <c r="Q138" s="204">
        <f t="shared" si="263"/>
        <v>-45.881328939561598</v>
      </c>
      <c r="R138" s="204">
        <f t="shared" si="263"/>
        <v>-46.078787253610507</v>
      </c>
      <c r="S138" s="204">
        <f t="shared" si="263"/>
        <v>-46.290822908052249</v>
      </c>
      <c r="T138" s="204">
        <f t="shared" si="263"/>
        <v>-46.517171120562551</v>
      </c>
      <c r="U138" s="204">
        <f t="shared" si="263"/>
        <v>-46.75757191831444</v>
      </c>
      <c r="V138" s="204">
        <f t="shared" si="263"/>
        <v>-47.011770050618708</v>
      </c>
      <c r="W138" s="204">
        <f t="shared" si="263"/>
        <v>-47.279514903151124</v>
      </c>
      <c r="X138" s="204">
        <f t="shared" si="263"/>
        <v>-47.560560413737676</v>
      </c>
      <c r="Y138" s="204">
        <f t="shared" si="263"/>
        <v>-47.854664989669509</v>
      </c>
      <c r="Z138" s="204">
        <f t="shared" si="263"/>
        <v>-48.161591426519607</v>
      </c>
      <c r="AA138" s="204">
        <f t="shared" si="263"/>
        <v>-48.481106828434278</v>
      </c>
      <c r="AB138" s="204">
        <f t="shared" si="263"/>
        <v>-48.81298252987235</v>
      </c>
      <c r="AC138" s="204">
        <f t="shared" si="263"/>
        <v>-49.156994018765893</v>
      </c>
      <c r="AD138" s="204">
        <f t="shared" si="263"/>
        <v>-49.51292086107668</v>
      </c>
      <c r="AE138" s="204">
        <f t="shared" si="263"/>
        <v>-49.880546626723003</v>
      </c>
      <c r="AF138" s="204">
        <f t="shared" si="263"/>
        <v>-50.259658816851953</v>
      </c>
      <c r="AG138" s="204">
        <f t="shared" si="263"/>
        <v>-50.650048792432663</v>
      </c>
      <c r="AH138" s="204">
        <f t="shared" si="263"/>
        <v>-51.051511704146662</v>
      </c>
      <c r="AI138" s="204">
        <f t="shared" si="263"/>
        <v>-51.463846423551665</v>
      </c>
      <c r="AJ138" s="204">
        <f t="shared" si="263"/>
        <v>-51.886855475495707</v>
      </c>
      <c r="AK138" s="204">
        <f t="shared" si="263"/>
        <v>-52.320344971758878</v>
      </c>
      <c r="AL138" s="204">
        <f t="shared" si="263"/>
        <v>-52.76412454590043</v>
      </c>
      <c r="AM138" s="204">
        <f t="shared" si="263"/>
        <v>-53.218007289289282</v>
      </c>
      <c r="AN138" s="204">
        <f t="shared" si="263"/>
        <v>-53.681809688296511</v>
      </c>
      <c r="AO138" s="204">
        <f t="shared" si="263"/>
        <v>-54.155351562628589</v>
      </c>
      <c r="AP138" s="204">
        <f t="shared" si="263"/>
        <v>-54.638456004780849</v>
      </c>
      <c r="AQ138" s="204">
        <f t="shared" si="263"/>
        <v>-55.130949320590631</v>
      </c>
      <c r="AR138" s="204">
        <f t="shared" si="263"/>
        <v>-55.632660970870248</v>
      </c>
      <c r="AS138" s="204">
        <f t="shared" si="263"/>
        <v>-56.143423514100107</v>
      </c>
      <c r="AT138" s="204">
        <f t="shared" si="263"/>
        <v>-56.663072550162802</v>
      </c>
      <c r="AU138" s="204">
        <f t="shared" si="263"/>
        <v>-57.191446665099171</v>
      </c>
      <c r="AV138" s="204">
        <f t="shared" si="263"/>
        <v>-57.728387376867829</v>
      </c>
      <c r="AW138" s="204">
        <f t="shared" si="263"/>
        <v>-58.273739082089882</v>
      </c>
      <c r="AX138" s="204">
        <f t="shared" si="263"/>
        <v>-58.827349003761015</v>
      </c>
      <c r="AY138" s="204">
        <f t="shared" si="263"/>
        <v>-59.389067139913323</v>
      </c>
      <c r="AZ138" s="204">
        <f t="shared" si="263"/>
        <v>-59.95874621320965</v>
      </c>
      <c r="BA138" s="204">
        <f t="shared" si="263"/>
        <v>-60.53624162145347</v>
      </c>
      <c r="BB138" s="204">
        <f t="shared" si="263"/>
        <v>-61.121411388997728</v>
      </c>
      <c r="BC138" s="204">
        <f t="shared" si="263"/>
        <v>-61.714116119036262</v>
      </c>
      <c r="BD138" s="204">
        <f t="shared" si="263"/>
        <v>-62.314218946761883</v>
      </c>
      <c r="BE138" s="204">
        <f t="shared" si="263"/>
        <v>-62.921585493375147</v>
      </c>
      <c r="BF138" s="204">
        <f t="shared" si="263"/>
        <v>-63.536083820928674</v>
      </c>
      <c r="BG138" s="204">
        <f t="shared" si="263"/>
        <v>-64.157584387991548</v>
      </c>
      <c r="BH138" s="204">
        <f t="shared" si="263"/>
        <v>-64.785960006119055</v>
      </c>
      <c r="BI138" s="204">
        <f t="shared" si="263"/>
        <v>-65.421085797113165</v>
      </c>
      <c r="BJ138" s="204">
        <f t="shared" si="263"/>
        <v>-66.062839151059279</v>
      </c>
      <c r="BK138" s="204">
        <f t="shared" si="263"/>
        <v>-66.711099685125177</v>
      </c>
      <c r="BL138" s="204">
        <f t="shared" si="263"/>
        <v>-67.365749203108379</v>
      </c>
      <c r="BM138" s="204">
        <f t="shared" si="263"/>
        <v>-68.026671655718303</v>
      </c>
      <c r="BN138" s="204">
        <f t="shared" si="263"/>
        <v>-68.693753101579787</v>
      </c>
      <c r="BO138" s="204">
        <f t="shared" si="263"/>
        <v>-69.366881668945013</v>
      </c>
      <c r="BP138" s="204">
        <f t="shared" si="263"/>
        <v>-70.04594751810086</v>
      </c>
      <c r="BQ138" s="204">
        <f t="shared" si="263"/>
        <v>-70.730842804459073</v>
      </c>
      <c r="BR138" s="204">
        <f t="shared" si="263"/>
        <v>-71.421461642316928</v>
      </c>
      <c r="BS138" s="204">
        <f t="shared" si="263"/>
        <v>-72.117700069276026</v>
      </c>
      <c r="BT138" s="204">
        <f t="shared" si="263"/>
        <v>-72.819456011307551</v>
      </c>
      <c r="BU138" s="204">
        <f t="shared" ref="BU138:EF138" si="264">PV($F92,BU$9,1,0)+(PV($J$6,$N$5-(BU$9),1,0)/($J$6+1)^BU$9)</f>
        <v>-73.526629248451897</v>
      </c>
      <c r="BV138" s="204">
        <f t="shared" si="264"/>
        <v>-74.239121381141487</v>
      </c>
      <c r="BW138" s="204">
        <f t="shared" si="264"/>
        <v>-74.956835797135199</v>
      </c>
      <c r="BX138" s="204">
        <f t="shared" si="264"/>
        <v>-75.679677639053423</v>
      </c>
      <c r="BY138" s="204">
        <f t="shared" si="264"/>
        <v>-76.407553772502823</v>
      </c>
      <c r="BZ138" s="204">
        <f t="shared" si="264"/>
        <v>-77.140372754780103</v>
      </c>
      <c r="CA138" s="204">
        <f t="shared" si="264"/>
        <v>-77.878044804144153</v>
      </c>
      <c r="CB138" s="204">
        <f t="shared" si="264"/>
        <v>-78.620481769646403</v>
      </c>
      <c r="CC138" s="204">
        <f t="shared" si="264"/>
        <v>-79.36759710150919</v>
      </c>
      <c r="CD138" s="204">
        <f t="shared" si="264"/>
        <v>-80.119305822042122</v>
      </c>
      <c r="CE138" s="204">
        <f t="shared" si="264"/>
        <v>-80.87552449708673</v>
      </c>
      <c r="CF138" s="204">
        <f t="shared" si="264"/>
        <v>-81.636171207979814</v>
      </c>
      <c r="CG138" s="204">
        <f t="shared" si="264"/>
        <v>-82.401165524026041</v>
      </c>
      <c r="CH138" s="204">
        <f t="shared" si="264"/>
        <v>-83.170428475470544</v>
      </c>
      <c r="CI138" s="204">
        <f t="shared" si="264"/>
        <v>-83.943882526962454</v>
      </c>
      <c r="CJ138" s="204">
        <f t="shared" si="264"/>
        <v>-84.721451551500408</v>
      </c>
      <c r="CK138" s="204">
        <f t="shared" si="264"/>
        <v>-85.503060804851359</v>
      </c>
      <c r="CL138" s="204">
        <f t="shared" si="264"/>
        <v>-86.288636900434042</v>
      </c>
      <c r="CM138" s="204">
        <f t="shared" si="264"/>
        <v>-87.07810778465857</v>
      </c>
      <c r="CN138" s="204">
        <f t="shared" si="264"/>
        <v>-87.871402712714072</v>
      </c>
      <c r="CO138" s="204">
        <f t="shared" si="264"/>
        <v>-88.668452224796056</v>
      </c>
      <c r="CP138" s="204">
        <f t="shared" si="264"/>
        <v>-89.469188122765601</v>
      </c>
      <c r="CQ138" s="204">
        <f t="shared" si="264"/>
        <v>-90.273543447232512</v>
      </c>
      <c r="CR138" s="204">
        <f t="shared" si="264"/>
        <v>-91.081452455054702</v>
      </c>
      <c r="CS138" s="204">
        <f t="shared" si="264"/>
        <v>-91.892850597246365</v>
      </c>
      <c r="CT138" s="204">
        <f t="shared" si="264"/>
        <v>-92.707674497287258</v>
      </c>
      <c r="CU138" s="204">
        <f t="shared" si="264"/>
        <v>-93.525861929826178</v>
      </c>
      <c r="CV138" s="204">
        <f t="shared" si="264"/>
        <v>-94.347351799771133</v>
      </c>
      <c r="CW138" s="204">
        <f t="shared" si="264"/>
        <v>-95.172084121759283</v>
      </c>
      <c r="CX138" s="204">
        <f t="shared" si="264"/>
        <v>-96</v>
      </c>
      <c r="CY138" s="204">
        <f t="shared" si="264"/>
        <v>-96</v>
      </c>
      <c r="CZ138" s="204">
        <f t="shared" si="264"/>
        <v>-96</v>
      </c>
      <c r="DA138" s="204">
        <f t="shared" si="264"/>
        <v>-96</v>
      </c>
      <c r="DB138" s="204">
        <f t="shared" si="264"/>
        <v>-96</v>
      </c>
      <c r="DC138" s="204">
        <f t="shared" si="264"/>
        <v>-96</v>
      </c>
      <c r="DD138" s="204">
        <f t="shared" si="264"/>
        <v>-96</v>
      </c>
      <c r="DE138" s="204">
        <f t="shared" si="264"/>
        <v>-96</v>
      </c>
      <c r="DF138" s="204">
        <f t="shared" si="264"/>
        <v>-96</v>
      </c>
      <c r="DG138" s="204">
        <f t="shared" si="264"/>
        <v>-96</v>
      </c>
      <c r="DH138" s="204">
        <f t="shared" si="264"/>
        <v>-96</v>
      </c>
      <c r="DI138" s="204">
        <f t="shared" si="264"/>
        <v>-96</v>
      </c>
      <c r="DJ138" s="204">
        <f t="shared" si="264"/>
        <v>-96</v>
      </c>
      <c r="DK138" s="204">
        <f t="shared" si="264"/>
        <v>-96</v>
      </c>
      <c r="DL138" s="204">
        <f t="shared" si="264"/>
        <v>-96</v>
      </c>
      <c r="DM138" s="204">
        <f t="shared" si="264"/>
        <v>-96</v>
      </c>
      <c r="DN138" s="204">
        <f t="shared" si="264"/>
        <v>-96</v>
      </c>
      <c r="DO138" s="204">
        <f t="shared" si="264"/>
        <v>-96</v>
      </c>
      <c r="DP138" s="204">
        <f t="shared" si="264"/>
        <v>-96</v>
      </c>
      <c r="DQ138" s="204">
        <f t="shared" si="264"/>
        <v>-96</v>
      </c>
      <c r="DR138" s="204">
        <f t="shared" si="264"/>
        <v>-96</v>
      </c>
      <c r="DS138" s="204">
        <f t="shared" si="264"/>
        <v>-96</v>
      </c>
      <c r="DT138" s="204">
        <f t="shared" si="264"/>
        <v>-96</v>
      </c>
      <c r="DU138" s="204">
        <f t="shared" si="264"/>
        <v>-96</v>
      </c>
      <c r="DV138" s="204">
        <f t="shared" si="264"/>
        <v>-96</v>
      </c>
      <c r="DW138" s="204">
        <f t="shared" si="264"/>
        <v>-96</v>
      </c>
      <c r="DX138" s="204">
        <f t="shared" si="264"/>
        <v>-96</v>
      </c>
      <c r="DY138" s="204">
        <f t="shared" si="264"/>
        <v>-96</v>
      </c>
      <c r="DZ138" s="204">
        <f t="shared" si="264"/>
        <v>-96</v>
      </c>
      <c r="EA138" s="204">
        <f t="shared" si="264"/>
        <v>-96</v>
      </c>
      <c r="EB138" s="204">
        <f t="shared" si="264"/>
        <v>-96</v>
      </c>
      <c r="EC138" s="204">
        <f t="shared" si="264"/>
        <v>-96</v>
      </c>
      <c r="ED138" s="204">
        <f t="shared" si="264"/>
        <v>-96</v>
      </c>
      <c r="EE138" s="204">
        <f t="shared" si="264"/>
        <v>-96</v>
      </c>
      <c r="EF138" s="204">
        <f t="shared" si="264"/>
        <v>-96</v>
      </c>
      <c r="EG138" s="204">
        <f t="shared" ref="EG138:ET138" si="265">PV($F92,EG$9,1,0)+(PV($J$6,$N$5-(EG$9),1,0)/($J$6+1)^EG$9)</f>
        <v>-96</v>
      </c>
      <c r="EH138" s="204">
        <f t="shared" si="265"/>
        <v>-96</v>
      </c>
      <c r="EI138" s="204">
        <f t="shared" si="265"/>
        <v>-96</v>
      </c>
      <c r="EJ138" s="204">
        <f t="shared" si="265"/>
        <v>-96</v>
      </c>
      <c r="EK138" s="204">
        <f t="shared" si="265"/>
        <v>-96</v>
      </c>
      <c r="EL138" s="204">
        <f t="shared" si="265"/>
        <v>-96</v>
      </c>
      <c r="EM138" s="204">
        <f t="shared" si="265"/>
        <v>-96</v>
      </c>
      <c r="EN138" s="204">
        <f t="shared" si="265"/>
        <v>-96</v>
      </c>
      <c r="EO138" s="204">
        <f t="shared" si="265"/>
        <v>-96</v>
      </c>
      <c r="EP138" s="204">
        <f t="shared" si="265"/>
        <v>-96</v>
      </c>
      <c r="EQ138" s="204">
        <f t="shared" si="265"/>
        <v>-96</v>
      </c>
      <c r="ER138" s="204">
        <f t="shared" si="265"/>
        <v>-96</v>
      </c>
      <c r="ES138" s="204">
        <f t="shared" si="265"/>
        <v>-96</v>
      </c>
      <c r="ET138" s="204">
        <f t="shared" si="265"/>
        <v>-96</v>
      </c>
      <c r="FF138" s="6" t="s">
        <v>351</v>
      </c>
      <c r="FG138" s="696">
        <v>2.5000000000000001E-2</v>
      </c>
      <c r="FH138" s="696">
        <v>96</v>
      </c>
      <c r="FI138" s="696">
        <v>2.29E-2</v>
      </c>
      <c r="FJ138" s="255">
        <v>1.6799999999999999E-2</v>
      </c>
      <c r="FK138" s="71">
        <f t="shared" si="92"/>
        <v>1.952380952380953E-4</v>
      </c>
      <c r="FL138" t="e">
        <f>VLOOKUP(FF138,'SIMULADOR COM SALDO'!$BX$22:$CK$1000,13,FALSE)</f>
        <v>#N/A</v>
      </c>
    </row>
    <row r="139" spans="7:168" x14ac:dyDescent="0.25">
      <c r="G139" s="103">
        <f t="shared" si="228"/>
        <v>-44.770373601250576</v>
      </c>
      <c r="H139" s="204">
        <f t="shared" si="229"/>
        <v>-44.806371604802436</v>
      </c>
      <c r="I139" s="204">
        <f t="shared" ref="I139:BT139" si="266">PV($F93,I$9,1,0)+(PV($J$6,$N$5-(I$9),1,0)/($J$6+1)^I$9)</f>
        <v>-44.859879708437063</v>
      </c>
      <c r="J139" s="204">
        <f t="shared" si="266"/>
        <v>-44.930579859281075</v>
      </c>
      <c r="K139" s="204">
        <f t="shared" si="266"/>
        <v>-45.018159781562872</v>
      </c>
      <c r="L139" s="204">
        <f t="shared" si="266"/>
        <v>-45.122312871677551</v>
      </c>
      <c r="M139" s="204">
        <f t="shared" si="266"/>
        <v>-45.24273809515784</v>
      </c>
      <c r="N139" s="204">
        <f t="shared" si="266"/>
        <v>-45.379139885516487</v>
      </c>
      <c r="O139" s="204">
        <f t="shared" si="266"/>
        <v>-45.53122804492606</v>
      </c>
      <c r="P139" s="204">
        <f t="shared" si="266"/>
        <v>-45.698717646702761</v>
      </c>
      <c r="Q139" s="204">
        <f t="shared" si="266"/>
        <v>-45.881328939561598</v>
      </c>
      <c r="R139" s="204">
        <f t="shared" si="266"/>
        <v>-46.078787253610507</v>
      </c>
      <c r="S139" s="204">
        <f t="shared" si="266"/>
        <v>-46.290822908052249</v>
      </c>
      <c r="T139" s="204">
        <f t="shared" si="266"/>
        <v>-46.517171120562551</v>
      </c>
      <c r="U139" s="204">
        <f t="shared" si="266"/>
        <v>-46.75757191831444</v>
      </c>
      <c r="V139" s="204">
        <f t="shared" si="266"/>
        <v>-47.011770050618708</v>
      </c>
      <c r="W139" s="204">
        <f t="shared" si="266"/>
        <v>-47.279514903151124</v>
      </c>
      <c r="X139" s="204">
        <f t="shared" si="266"/>
        <v>-47.560560413737676</v>
      </c>
      <c r="Y139" s="204">
        <f t="shared" si="266"/>
        <v>-47.854664989669509</v>
      </c>
      <c r="Z139" s="204">
        <f t="shared" si="266"/>
        <v>-48.161591426519607</v>
      </c>
      <c r="AA139" s="204">
        <f t="shared" si="266"/>
        <v>-48.481106828434278</v>
      </c>
      <c r="AB139" s="204">
        <f t="shared" si="266"/>
        <v>-48.81298252987235</v>
      </c>
      <c r="AC139" s="204">
        <f t="shared" si="266"/>
        <v>-49.156994018765893</v>
      </c>
      <c r="AD139" s="204">
        <f t="shared" si="266"/>
        <v>-49.51292086107668</v>
      </c>
      <c r="AE139" s="204">
        <f t="shared" si="266"/>
        <v>-49.880546626723003</v>
      </c>
      <c r="AF139" s="204">
        <f t="shared" si="266"/>
        <v>-50.259658816851953</v>
      </c>
      <c r="AG139" s="204">
        <f t="shared" si="266"/>
        <v>-50.650048792432663</v>
      </c>
      <c r="AH139" s="204">
        <f t="shared" si="266"/>
        <v>-51.051511704146662</v>
      </c>
      <c r="AI139" s="204">
        <f t="shared" si="266"/>
        <v>-51.463846423551665</v>
      </c>
      <c r="AJ139" s="204">
        <f t="shared" si="266"/>
        <v>-51.886855475495707</v>
      </c>
      <c r="AK139" s="204">
        <f t="shared" si="266"/>
        <v>-52.320344971758878</v>
      </c>
      <c r="AL139" s="204">
        <f t="shared" si="266"/>
        <v>-52.76412454590043</v>
      </c>
      <c r="AM139" s="204">
        <f t="shared" si="266"/>
        <v>-53.218007289289282</v>
      </c>
      <c r="AN139" s="204">
        <f t="shared" si="266"/>
        <v>-53.681809688296511</v>
      </c>
      <c r="AO139" s="204">
        <f t="shared" si="266"/>
        <v>-54.155351562628589</v>
      </c>
      <c r="AP139" s="204">
        <f t="shared" si="266"/>
        <v>-54.638456004780849</v>
      </c>
      <c r="AQ139" s="204">
        <f t="shared" si="266"/>
        <v>-55.130949320590631</v>
      </c>
      <c r="AR139" s="204">
        <f t="shared" si="266"/>
        <v>-55.632660970870248</v>
      </c>
      <c r="AS139" s="204">
        <f t="shared" si="266"/>
        <v>-56.143423514100107</v>
      </c>
      <c r="AT139" s="204">
        <f t="shared" si="266"/>
        <v>-56.663072550162802</v>
      </c>
      <c r="AU139" s="204">
        <f t="shared" si="266"/>
        <v>-57.191446665099171</v>
      </c>
      <c r="AV139" s="204">
        <f t="shared" si="266"/>
        <v>-57.728387376867829</v>
      </c>
      <c r="AW139" s="204">
        <f t="shared" si="266"/>
        <v>-58.273739082089882</v>
      </c>
      <c r="AX139" s="204">
        <f t="shared" si="266"/>
        <v>-58.827349003761015</v>
      </c>
      <c r="AY139" s="204">
        <f t="shared" si="266"/>
        <v>-59.389067139913323</v>
      </c>
      <c r="AZ139" s="204">
        <f t="shared" si="266"/>
        <v>-59.95874621320965</v>
      </c>
      <c r="BA139" s="204">
        <f t="shared" si="266"/>
        <v>-60.53624162145347</v>
      </c>
      <c r="BB139" s="204">
        <f t="shared" si="266"/>
        <v>-61.121411388997728</v>
      </c>
      <c r="BC139" s="204">
        <f t="shared" si="266"/>
        <v>-61.714116119036262</v>
      </c>
      <c r="BD139" s="204">
        <f t="shared" si="266"/>
        <v>-62.314218946761883</v>
      </c>
      <c r="BE139" s="204">
        <f t="shared" si="266"/>
        <v>-62.921585493375147</v>
      </c>
      <c r="BF139" s="204">
        <f t="shared" si="266"/>
        <v>-63.536083820928674</v>
      </c>
      <c r="BG139" s="204">
        <f t="shared" si="266"/>
        <v>-64.157584387991548</v>
      </c>
      <c r="BH139" s="204">
        <f t="shared" si="266"/>
        <v>-64.785960006119055</v>
      </c>
      <c r="BI139" s="204">
        <f t="shared" si="266"/>
        <v>-65.421085797113165</v>
      </c>
      <c r="BJ139" s="204">
        <f t="shared" si="266"/>
        <v>-66.062839151059279</v>
      </c>
      <c r="BK139" s="204">
        <f t="shared" si="266"/>
        <v>-66.711099685125177</v>
      </c>
      <c r="BL139" s="204">
        <f t="shared" si="266"/>
        <v>-67.365749203108379</v>
      </c>
      <c r="BM139" s="204">
        <f t="shared" si="266"/>
        <v>-68.026671655718303</v>
      </c>
      <c r="BN139" s="204">
        <f t="shared" si="266"/>
        <v>-68.693753101579787</v>
      </c>
      <c r="BO139" s="204">
        <f t="shared" si="266"/>
        <v>-69.366881668945013</v>
      </c>
      <c r="BP139" s="204">
        <f t="shared" si="266"/>
        <v>-70.04594751810086</v>
      </c>
      <c r="BQ139" s="204">
        <f t="shared" si="266"/>
        <v>-70.730842804459073</v>
      </c>
      <c r="BR139" s="204">
        <f t="shared" si="266"/>
        <v>-71.421461642316928</v>
      </c>
      <c r="BS139" s="204">
        <f t="shared" si="266"/>
        <v>-72.117700069276026</v>
      </c>
      <c r="BT139" s="204">
        <f t="shared" si="266"/>
        <v>-72.819456011307551</v>
      </c>
      <c r="BU139" s="204">
        <f t="shared" ref="BU139:EF139" si="267">PV($F93,BU$9,1,0)+(PV($J$6,$N$5-(BU$9),1,0)/($J$6+1)^BU$9)</f>
        <v>-73.526629248451897</v>
      </c>
      <c r="BV139" s="204">
        <f t="shared" si="267"/>
        <v>-74.239121381141487</v>
      </c>
      <c r="BW139" s="204">
        <f t="shared" si="267"/>
        <v>-74.956835797135199</v>
      </c>
      <c r="BX139" s="204">
        <f t="shared" si="267"/>
        <v>-75.679677639053423</v>
      </c>
      <c r="BY139" s="204">
        <f t="shared" si="267"/>
        <v>-76.407553772502823</v>
      </c>
      <c r="BZ139" s="204">
        <f t="shared" si="267"/>
        <v>-77.140372754780103</v>
      </c>
      <c r="CA139" s="204">
        <f t="shared" si="267"/>
        <v>-77.878044804144153</v>
      </c>
      <c r="CB139" s="204">
        <f t="shared" si="267"/>
        <v>-78.620481769646403</v>
      </c>
      <c r="CC139" s="204">
        <f t="shared" si="267"/>
        <v>-79.36759710150919</v>
      </c>
      <c r="CD139" s="204">
        <f t="shared" si="267"/>
        <v>-80.119305822042122</v>
      </c>
      <c r="CE139" s="204">
        <f t="shared" si="267"/>
        <v>-80.87552449708673</v>
      </c>
      <c r="CF139" s="204">
        <f t="shared" si="267"/>
        <v>-81.636171207979814</v>
      </c>
      <c r="CG139" s="204">
        <f t="shared" si="267"/>
        <v>-82.401165524026041</v>
      </c>
      <c r="CH139" s="204">
        <f t="shared" si="267"/>
        <v>-83.170428475470544</v>
      </c>
      <c r="CI139" s="204">
        <f t="shared" si="267"/>
        <v>-83.943882526962454</v>
      </c>
      <c r="CJ139" s="204">
        <f t="shared" si="267"/>
        <v>-84.721451551500408</v>
      </c>
      <c r="CK139" s="204">
        <f t="shared" si="267"/>
        <v>-85.503060804851359</v>
      </c>
      <c r="CL139" s="204">
        <f t="shared" si="267"/>
        <v>-86.288636900434042</v>
      </c>
      <c r="CM139" s="204">
        <f t="shared" si="267"/>
        <v>-87.07810778465857</v>
      </c>
      <c r="CN139" s="204">
        <f t="shared" si="267"/>
        <v>-87.871402712714072</v>
      </c>
      <c r="CO139" s="204">
        <f t="shared" si="267"/>
        <v>-88.668452224796056</v>
      </c>
      <c r="CP139" s="204">
        <f t="shared" si="267"/>
        <v>-89.469188122765601</v>
      </c>
      <c r="CQ139" s="204">
        <f t="shared" si="267"/>
        <v>-90.273543447232512</v>
      </c>
      <c r="CR139" s="204">
        <f t="shared" si="267"/>
        <v>-91.081452455054702</v>
      </c>
      <c r="CS139" s="204">
        <f t="shared" si="267"/>
        <v>-91.892850597246365</v>
      </c>
      <c r="CT139" s="204">
        <f t="shared" si="267"/>
        <v>-92.707674497287258</v>
      </c>
      <c r="CU139" s="204">
        <f t="shared" si="267"/>
        <v>-93.525861929826178</v>
      </c>
      <c r="CV139" s="204">
        <f t="shared" si="267"/>
        <v>-94.347351799771133</v>
      </c>
      <c r="CW139" s="204">
        <f t="shared" si="267"/>
        <v>-95.172084121759283</v>
      </c>
      <c r="CX139" s="204">
        <f t="shared" si="267"/>
        <v>-96</v>
      </c>
      <c r="CY139" s="204">
        <f t="shared" si="267"/>
        <v>-96</v>
      </c>
      <c r="CZ139" s="204">
        <f t="shared" si="267"/>
        <v>-96</v>
      </c>
      <c r="DA139" s="204">
        <f t="shared" si="267"/>
        <v>-96</v>
      </c>
      <c r="DB139" s="204">
        <f t="shared" si="267"/>
        <v>-96</v>
      </c>
      <c r="DC139" s="204">
        <f t="shared" si="267"/>
        <v>-96</v>
      </c>
      <c r="DD139" s="204">
        <f t="shared" si="267"/>
        <v>-96</v>
      </c>
      <c r="DE139" s="204">
        <f t="shared" si="267"/>
        <v>-96</v>
      </c>
      <c r="DF139" s="204">
        <f t="shared" si="267"/>
        <v>-96</v>
      </c>
      <c r="DG139" s="204">
        <f t="shared" si="267"/>
        <v>-96</v>
      </c>
      <c r="DH139" s="204">
        <f t="shared" si="267"/>
        <v>-96</v>
      </c>
      <c r="DI139" s="204">
        <f t="shared" si="267"/>
        <v>-96</v>
      </c>
      <c r="DJ139" s="204">
        <f t="shared" si="267"/>
        <v>-96</v>
      </c>
      <c r="DK139" s="204">
        <f t="shared" si="267"/>
        <v>-96</v>
      </c>
      <c r="DL139" s="204">
        <f t="shared" si="267"/>
        <v>-96</v>
      </c>
      <c r="DM139" s="204">
        <f t="shared" si="267"/>
        <v>-96</v>
      </c>
      <c r="DN139" s="204">
        <f t="shared" si="267"/>
        <v>-96</v>
      </c>
      <c r="DO139" s="204">
        <f t="shared" si="267"/>
        <v>-96</v>
      </c>
      <c r="DP139" s="204">
        <f t="shared" si="267"/>
        <v>-96</v>
      </c>
      <c r="DQ139" s="204">
        <f t="shared" si="267"/>
        <v>-96</v>
      </c>
      <c r="DR139" s="204">
        <f t="shared" si="267"/>
        <v>-96</v>
      </c>
      <c r="DS139" s="204">
        <f t="shared" si="267"/>
        <v>-96</v>
      </c>
      <c r="DT139" s="204">
        <f t="shared" si="267"/>
        <v>-96</v>
      </c>
      <c r="DU139" s="204">
        <f t="shared" si="267"/>
        <v>-96</v>
      </c>
      <c r="DV139" s="204">
        <f t="shared" si="267"/>
        <v>-96</v>
      </c>
      <c r="DW139" s="204">
        <f t="shared" si="267"/>
        <v>-96</v>
      </c>
      <c r="DX139" s="204">
        <f t="shared" si="267"/>
        <v>-96</v>
      </c>
      <c r="DY139" s="204">
        <f t="shared" si="267"/>
        <v>-96</v>
      </c>
      <c r="DZ139" s="204">
        <f t="shared" si="267"/>
        <v>-96</v>
      </c>
      <c r="EA139" s="204">
        <f t="shared" si="267"/>
        <v>-96</v>
      </c>
      <c r="EB139" s="204">
        <f t="shared" si="267"/>
        <v>-96</v>
      </c>
      <c r="EC139" s="204">
        <f t="shared" si="267"/>
        <v>-96</v>
      </c>
      <c r="ED139" s="204">
        <f t="shared" si="267"/>
        <v>-96</v>
      </c>
      <c r="EE139" s="204">
        <f t="shared" si="267"/>
        <v>-96</v>
      </c>
      <c r="EF139" s="204">
        <f t="shared" si="267"/>
        <v>-96</v>
      </c>
      <c r="EG139" s="204">
        <f t="shared" ref="EG139:ET139" si="268">PV($F93,EG$9,1,0)+(PV($J$6,$N$5-(EG$9),1,0)/($J$6+1)^EG$9)</f>
        <v>-96</v>
      </c>
      <c r="EH139" s="204">
        <f t="shared" si="268"/>
        <v>-96</v>
      </c>
      <c r="EI139" s="204">
        <f t="shared" si="268"/>
        <v>-96</v>
      </c>
      <c r="EJ139" s="204">
        <f t="shared" si="268"/>
        <v>-96</v>
      </c>
      <c r="EK139" s="204">
        <f t="shared" si="268"/>
        <v>-96</v>
      </c>
      <c r="EL139" s="204">
        <f t="shared" si="268"/>
        <v>-96</v>
      </c>
      <c r="EM139" s="204">
        <f t="shared" si="268"/>
        <v>-96</v>
      </c>
      <c r="EN139" s="204">
        <f t="shared" si="268"/>
        <v>-96</v>
      </c>
      <c r="EO139" s="204">
        <f t="shared" si="268"/>
        <v>-96</v>
      </c>
      <c r="EP139" s="204">
        <f t="shared" si="268"/>
        <v>-96</v>
      </c>
      <c r="EQ139" s="204">
        <f t="shared" si="268"/>
        <v>-96</v>
      </c>
      <c r="ER139" s="204">
        <f t="shared" si="268"/>
        <v>-96</v>
      </c>
      <c r="ES139" s="204">
        <f t="shared" si="268"/>
        <v>-96</v>
      </c>
      <c r="ET139" s="204">
        <f t="shared" si="268"/>
        <v>-96</v>
      </c>
      <c r="FF139" s="6" t="s">
        <v>3038</v>
      </c>
      <c r="FG139" s="696">
        <v>2.5000000000000001E-2</v>
      </c>
      <c r="FH139" s="696">
        <v>120</v>
      </c>
      <c r="FI139" s="696">
        <v>2.2000000000000002E-2</v>
      </c>
      <c r="FJ139" s="255">
        <v>1.7299999999999999E-2</v>
      </c>
      <c r="FK139" s="71">
        <f t="shared" si="92"/>
        <v>1.8333333333333339E-4</v>
      </c>
      <c r="FL139" t="e">
        <f>VLOOKUP(FF139,'SIMULADOR COM SALDO'!$BX$22:$CK$1000,13,FALSE)</f>
        <v>#N/A</v>
      </c>
    </row>
    <row r="140" spans="7:168" x14ac:dyDescent="0.25">
      <c r="G140" s="103">
        <f t="shared" si="228"/>
        <v>-44.770373601250576</v>
      </c>
      <c r="H140" s="204">
        <f t="shared" si="229"/>
        <v>-44.806371604802436</v>
      </c>
      <c r="I140" s="204">
        <f t="shared" ref="I140:BT140" si="269">PV($F94,I$9,1,0)+(PV($J$6,$N$5-(I$9),1,0)/($J$6+1)^I$9)</f>
        <v>-44.859879708437063</v>
      </c>
      <c r="J140" s="204">
        <f t="shared" si="269"/>
        <v>-44.930579859281075</v>
      </c>
      <c r="K140" s="204">
        <f t="shared" si="269"/>
        <v>-45.018159781562872</v>
      </c>
      <c r="L140" s="204">
        <f t="shared" si="269"/>
        <v>-45.122312871677551</v>
      </c>
      <c r="M140" s="204">
        <f t="shared" si="269"/>
        <v>-45.24273809515784</v>
      </c>
      <c r="N140" s="204">
        <f t="shared" si="269"/>
        <v>-45.379139885516487</v>
      </c>
      <c r="O140" s="204">
        <f t="shared" si="269"/>
        <v>-45.53122804492606</v>
      </c>
      <c r="P140" s="204">
        <f t="shared" si="269"/>
        <v>-45.698717646702761</v>
      </c>
      <c r="Q140" s="204">
        <f t="shared" si="269"/>
        <v>-45.881328939561598</v>
      </c>
      <c r="R140" s="204">
        <f t="shared" si="269"/>
        <v>-46.078787253610507</v>
      </c>
      <c r="S140" s="204">
        <f t="shared" si="269"/>
        <v>-46.290822908052249</v>
      </c>
      <c r="T140" s="204">
        <f t="shared" si="269"/>
        <v>-46.517171120562551</v>
      </c>
      <c r="U140" s="204">
        <f t="shared" si="269"/>
        <v>-46.75757191831444</v>
      </c>
      <c r="V140" s="204">
        <f t="shared" si="269"/>
        <v>-47.011770050618708</v>
      </c>
      <c r="W140" s="204">
        <f t="shared" si="269"/>
        <v>-47.279514903151124</v>
      </c>
      <c r="X140" s="204">
        <f t="shared" si="269"/>
        <v>-47.560560413737676</v>
      </c>
      <c r="Y140" s="204">
        <f t="shared" si="269"/>
        <v>-47.854664989669509</v>
      </c>
      <c r="Z140" s="204">
        <f t="shared" si="269"/>
        <v>-48.161591426519607</v>
      </c>
      <c r="AA140" s="204">
        <f t="shared" si="269"/>
        <v>-48.481106828434278</v>
      </c>
      <c r="AB140" s="204">
        <f t="shared" si="269"/>
        <v>-48.81298252987235</v>
      </c>
      <c r="AC140" s="204">
        <f t="shared" si="269"/>
        <v>-49.156994018765893</v>
      </c>
      <c r="AD140" s="204">
        <f t="shared" si="269"/>
        <v>-49.51292086107668</v>
      </c>
      <c r="AE140" s="204">
        <f t="shared" si="269"/>
        <v>-49.880546626723003</v>
      </c>
      <c r="AF140" s="204">
        <f t="shared" si="269"/>
        <v>-50.259658816851953</v>
      </c>
      <c r="AG140" s="204">
        <f t="shared" si="269"/>
        <v>-50.650048792432663</v>
      </c>
      <c r="AH140" s="204">
        <f t="shared" si="269"/>
        <v>-51.051511704146662</v>
      </c>
      <c r="AI140" s="204">
        <f t="shared" si="269"/>
        <v>-51.463846423551665</v>
      </c>
      <c r="AJ140" s="204">
        <f t="shared" si="269"/>
        <v>-51.886855475495707</v>
      </c>
      <c r="AK140" s="204">
        <f t="shared" si="269"/>
        <v>-52.320344971758878</v>
      </c>
      <c r="AL140" s="204">
        <f t="shared" si="269"/>
        <v>-52.76412454590043</v>
      </c>
      <c r="AM140" s="204">
        <f t="shared" si="269"/>
        <v>-53.218007289289282</v>
      </c>
      <c r="AN140" s="204">
        <f t="shared" si="269"/>
        <v>-53.681809688296511</v>
      </c>
      <c r="AO140" s="204">
        <f t="shared" si="269"/>
        <v>-54.155351562628589</v>
      </c>
      <c r="AP140" s="204">
        <f t="shared" si="269"/>
        <v>-54.638456004780849</v>
      </c>
      <c r="AQ140" s="204">
        <f t="shared" si="269"/>
        <v>-55.130949320590631</v>
      </c>
      <c r="AR140" s="204">
        <f t="shared" si="269"/>
        <v>-55.632660970870248</v>
      </c>
      <c r="AS140" s="204">
        <f t="shared" si="269"/>
        <v>-56.143423514100107</v>
      </c>
      <c r="AT140" s="204">
        <f t="shared" si="269"/>
        <v>-56.663072550162802</v>
      </c>
      <c r="AU140" s="204">
        <f t="shared" si="269"/>
        <v>-57.191446665099171</v>
      </c>
      <c r="AV140" s="204">
        <f t="shared" si="269"/>
        <v>-57.728387376867829</v>
      </c>
      <c r="AW140" s="204">
        <f t="shared" si="269"/>
        <v>-58.273739082089882</v>
      </c>
      <c r="AX140" s="204">
        <f t="shared" si="269"/>
        <v>-58.827349003761015</v>
      </c>
      <c r="AY140" s="204">
        <f t="shared" si="269"/>
        <v>-59.389067139913323</v>
      </c>
      <c r="AZ140" s="204">
        <f t="shared" si="269"/>
        <v>-59.95874621320965</v>
      </c>
      <c r="BA140" s="204">
        <f t="shared" si="269"/>
        <v>-60.53624162145347</v>
      </c>
      <c r="BB140" s="204">
        <f t="shared" si="269"/>
        <v>-61.121411388997728</v>
      </c>
      <c r="BC140" s="204">
        <f t="shared" si="269"/>
        <v>-61.714116119036262</v>
      </c>
      <c r="BD140" s="204">
        <f t="shared" si="269"/>
        <v>-62.314218946761883</v>
      </c>
      <c r="BE140" s="204">
        <f t="shared" si="269"/>
        <v>-62.921585493375147</v>
      </c>
      <c r="BF140" s="204">
        <f t="shared" si="269"/>
        <v>-63.536083820928674</v>
      </c>
      <c r="BG140" s="204">
        <f t="shared" si="269"/>
        <v>-64.157584387991548</v>
      </c>
      <c r="BH140" s="204">
        <f t="shared" si="269"/>
        <v>-64.785960006119055</v>
      </c>
      <c r="BI140" s="204">
        <f t="shared" si="269"/>
        <v>-65.421085797113165</v>
      </c>
      <c r="BJ140" s="204">
        <f t="shared" si="269"/>
        <v>-66.062839151059279</v>
      </c>
      <c r="BK140" s="204">
        <f t="shared" si="269"/>
        <v>-66.711099685125177</v>
      </c>
      <c r="BL140" s="204">
        <f t="shared" si="269"/>
        <v>-67.365749203108379</v>
      </c>
      <c r="BM140" s="204">
        <f t="shared" si="269"/>
        <v>-68.026671655718303</v>
      </c>
      <c r="BN140" s="204">
        <f t="shared" si="269"/>
        <v>-68.693753101579787</v>
      </c>
      <c r="BO140" s="204">
        <f t="shared" si="269"/>
        <v>-69.366881668945013</v>
      </c>
      <c r="BP140" s="204">
        <f t="shared" si="269"/>
        <v>-70.04594751810086</v>
      </c>
      <c r="BQ140" s="204">
        <f t="shared" si="269"/>
        <v>-70.730842804459073</v>
      </c>
      <c r="BR140" s="204">
        <f t="shared" si="269"/>
        <v>-71.421461642316928</v>
      </c>
      <c r="BS140" s="204">
        <f t="shared" si="269"/>
        <v>-72.117700069276026</v>
      </c>
      <c r="BT140" s="204">
        <f t="shared" si="269"/>
        <v>-72.819456011307551</v>
      </c>
      <c r="BU140" s="204">
        <f t="shared" ref="BU140:EF140" si="270">PV($F94,BU$9,1,0)+(PV($J$6,$N$5-(BU$9),1,0)/($J$6+1)^BU$9)</f>
        <v>-73.526629248451897</v>
      </c>
      <c r="BV140" s="204">
        <f t="shared" si="270"/>
        <v>-74.239121381141487</v>
      </c>
      <c r="BW140" s="204">
        <f t="shared" si="270"/>
        <v>-74.956835797135199</v>
      </c>
      <c r="BX140" s="204">
        <f t="shared" si="270"/>
        <v>-75.679677639053423</v>
      </c>
      <c r="BY140" s="204">
        <f t="shared" si="270"/>
        <v>-76.407553772502823</v>
      </c>
      <c r="BZ140" s="204">
        <f t="shared" si="270"/>
        <v>-77.140372754780103</v>
      </c>
      <c r="CA140" s="204">
        <f t="shared" si="270"/>
        <v>-77.878044804144153</v>
      </c>
      <c r="CB140" s="204">
        <f t="shared" si="270"/>
        <v>-78.620481769646403</v>
      </c>
      <c r="CC140" s="204">
        <f t="shared" si="270"/>
        <v>-79.36759710150919</v>
      </c>
      <c r="CD140" s="204">
        <f t="shared" si="270"/>
        <v>-80.119305822042122</v>
      </c>
      <c r="CE140" s="204">
        <f t="shared" si="270"/>
        <v>-80.87552449708673</v>
      </c>
      <c r="CF140" s="204">
        <f t="shared" si="270"/>
        <v>-81.636171207979814</v>
      </c>
      <c r="CG140" s="204">
        <f t="shared" si="270"/>
        <v>-82.401165524026041</v>
      </c>
      <c r="CH140" s="204">
        <f t="shared" si="270"/>
        <v>-83.170428475470544</v>
      </c>
      <c r="CI140" s="204">
        <f t="shared" si="270"/>
        <v>-83.943882526962454</v>
      </c>
      <c r="CJ140" s="204">
        <f t="shared" si="270"/>
        <v>-84.721451551500408</v>
      </c>
      <c r="CK140" s="204">
        <f t="shared" si="270"/>
        <v>-85.503060804851359</v>
      </c>
      <c r="CL140" s="204">
        <f t="shared" si="270"/>
        <v>-86.288636900434042</v>
      </c>
      <c r="CM140" s="204">
        <f t="shared" si="270"/>
        <v>-87.07810778465857</v>
      </c>
      <c r="CN140" s="204">
        <f t="shared" si="270"/>
        <v>-87.871402712714072</v>
      </c>
      <c r="CO140" s="204">
        <f t="shared" si="270"/>
        <v>-88.668452224796056</v>
      </c>
      <c r="CP140" s="204">
        <f t="shared" si="270"/>
        <v>-89.469188122765601</v>
      </c>
      <c r="CQ140" s="204">
        <f t="shared" si="270"/>
        <v>-90.273543447232512</v>
      </c>
      <c r="CR140" s="204">
        <f t="shared" si="270"/>
        <v>-91.081452455054702</v>
      </c>
      <c r="CS140" s="204">
        <f t="shared" si="270"/>
        <v>-91.892850597246365</v>
      </c>
      <c r="CT140" s="204">
        <f t="shared" si="270"/>
        <v>-92.707674497287258</v>
      </c>
      <c r="CU140" s="204">
        <f t="shared" si="270"/>
        <v>-93.525861929826178</v>
      </c>
      <c r="CV140" s="204">
        <f t="shared" si="270"/>
        <v>-94.347351799771133</v>
      </c>
      <c r="CW140" s="204">
        <f t="shared" si="270"/>
        <v>-95.172084121759283</v>
      </c>
      <c r="CX140" s="204">
        <f t="shared" si="270"/>
        <v>-96</v>
      </c>
      <c r="CY140" s="204">
        <f t="shared" si="270"/>
        <v>-96</v>
      </c>
      <c r="CZ140" s="204">
        <f t="shared" si="270"/>
        <v>-96</v>
      </c>
      <c r="DA140" s="204">
        <f t="shared" si="270"/>
        <v>-96</v>
      </c>
      <c r="DB140" s="204">
        <f t="shared" si="270"/>
        <v>-96</v>
      </c>
      <c r="DC140" s="204">
        <f t="shared" si="270"/>
        <v>-96</v>
      </c>
      <c r="DD140" s="204">
        <f t="shared" si="270"/>
        <v>-96</v>
      </c>
      <c r="DE140" s="204">
        <f t="shared" si="270"/>
        <v>-96</v>
      </c>
      <c r="DF140" s="204">
        <f t="shared" si="270"/>
        <v>-96</v>
      </c>
      <c r="DG140" s="204">
        <f t="shared" si="270"/>
        <v>-96</v>
      </c>
      <c r="DH140" s="204">
        <f t="shared" si="270"/>
        <v>-96</v>
      </c>
      <c r="DI140" s="204">
        <f t="shared" si="270"/>
        <v>-96</v>
      </c>
      <c r="DJ140" s="204">
        <f t="shared" si="270"/>
        <v>-96</v>
      </c>
      <c r="DK140" s="204">
        <f t="shared" si="270"/>
        <v>-96</v>
      </c>
      <c r="DL140" s="204">
        <f t="shared" si="270"/>
        <v>-96</v>
      </c>
      <c r="DM140" s="204">
        <f t="shared" si="270"/>
        <v>-96</v>
      </c>
      <c r="DN140" s="204">
        <f t="shared" si="270"/>
        <v>-96</v>
      </c>
      <c r="DO140" s="204">
        <f t="shared" si="270"/>
        <v>-96</v>
      </c>
      <c r="DP140" s="204">
        <f t="shared" si="270"/>
        <v>-96</v>
      </c>
      <c r="DQ140" s="204">
        <f t="shared" si="270"/>
        <v>-96</v>
      </c>
      <c r="DR140" s="204">
        <f t="shared" si="270"/>
        <v>-96</v>
      </c>
      <c r="DS140" s="204">
        <f t="shared" si="270"/>
        <v>-96</v>
      </c>
      <c r="DT140" s="204">
        <f t="shared" si="270"/>
        <v>-96</v>
      </c>
      <c r="DU140" s="204">
        <f t="shared" si="270"/>
        <v>-96</v>
      </c>
      <c r="DV140" s="204">
        <f t="shared" si="270"/>
        <v>-96</v>
      </c>
      <c r="DW140" s="204">
        <f t="shared" si="270"/>
        <v>-96</v>
      </c>
      <c r="DX140" s="204">
        <f t="shared" si="270"/>
        <v>-96</v>
      </c>
      <c r="DY140" s="204">
        <f t="shared" si="270"/>
        <v>-96</v>
      </c>
      <c r="DZ140" s="204">
        <f t="shared" si="270"/>
        <v>-96</v>
      </c>
      <c r="EA140" s="204">
        <f t="shared" si="270"/>
        <v>-96</v>
      </c>
      <c r="EB140" s="204">
        <f t="shared" si="270"/>
        <v>-96</v>
      </c>
      <c r="EC140" s="204">
        <f t="shared" si="270"/>
        <v>-96</v>
      </c>
      <c r="ED140" s="204">
        <f t="shared" si="270"/>
        <v>-96</v>
      </c>
      <c r="EE140" s="204">
        <f t="shared" si="270"/>
        <v>-96</v>
      </c>
      <c r="EF140" s="204">
        <f t="shared" si="270"/>
        <v>-96</v>
      </c>
      <c r="EG140" s="204">
        <f t="shared" ref="EG140:ET140" si="271">PV($F94,EG$9,1,0)+(PV($J$6,$N$5-(EG$9),1,0)/($J$6+1)^EG$9)</f>
        <v>-96</v>
      </c>
      <c r="EH140" s="204">
        <f t="shared" si="271"/>
        <v>-96</v>
      </c>
      <c r="EI140" s="204">
        <f t="shared" si="271"/>
        <v>-96</v>
      </c>
      <c r="EJ140" s="204">
        <f t="shared" si="271"/>
        <v>-96</v>
      </c>
      <c r="EK140" s="204">
        <f t="shared" si="271"/>
        <v>-96</v>
      </c>
      <c r="EL140" s="204">
        <f t="shared" si="271"/>
        <v>-96</v>
      </c>
      <c r="EM140" s="204">
        <f t="shared" si="271"/>
        <v>-96</v>
      </c>
      <c r="EN140" s="204">
        <f t="shared" si="271"/>
        <v>-96</v>
      </c>
      <c r="EO140" s="204">
        <f t="shared" si="271"/>
        <v>-96</v>
      </c>
      <c r="EP140" s="204">
        <f t="shared" si="271"/>
        <v>-96</v>
      </c>
      <c r="EQ140" s="204">
        <f t="shared" si="271"/>
        <v>-96</v>
      </c>
      <c r="ER140" s="204">
        <f t="shared" si="271"/>
        <v>-96</v>
      </c>
      <c r="ES140" s="204">
        <f t="shared" si="271"/>
        <v>-96</v>
      </c>
      <c r="ET140" s="204">
        <f t="shared" si="271"/>
        <v>-96</v>
      </c>
      <c r="FF140" s="6" t="s">
        <v>3039</v>
      </c>
      <c r="FG140" s="696">
        <v>2.5000000000000001E-2</v>
      </c>
      <c r="FH140" s="696">
        <v>96</v>
      </c>
      <c r="FI140" s="696">
        <v>1.9199999999999998E-2</v>
      </c>
      <c r="FJ140" s="255">
        <v>1.3999999999999999E-2</v>
      </c>
      <c r="FK140" s="71">
        <f t="shared" ref="FK140:FK203" si="272">(FG140-FJ140)/42</f>
        <v>2.6190476190476197E-4</v>
      </c>
      <c r="FL140" t="e">
        <f>VLOOKUP(FF140,'SIMULADOR COM SALDO'!$BX$22:$CK$1000,13,FALSE)</f>
        <v>#N/A</v>
      </c>
    </row>
    <row r="141" spans="7:168" x14ac:dyDescent="0.25">
      <c r="G141" s="103">
        <f t="shared" si="228"/>
        <v>-44.770373601250576</v>
      </c>
      <c r="H141" s="204">
        <f t="shared" si="229"/>
        <v>-44.806371604802436</v>
      </c>
      <c r="I141" s="204">
        <f t="shared" ref="I141:BT141" si="273">PV($F95,I$9,1,0)+(PV($J$6,$N$5-(I$9),1,0)/($J$6+1)^I$9)</f>
        <v>-44.859879708437063</v>
      </c>
      <c r="J141" s="204">
        <f t="shared" si="273"/>
        <v>-44.930579859281075</v>
      </c>
      <c r="K141" s="204">
        <f t="shared" si="273"/>
        <v>-45.018159781562872</v>
      </c>
      <c r="L141" s="204">
        <f t="shared" si="273"/>
        <v>-45.122312871677551</v>
      </c>
      <c r="M141" s="204">
        <f t="shared" si="273"/>
        <v>-45.24273809515784</v>
      </c>
      <c r="N141" s="204">
        <f t="shared" si="273"/>
        <v>-45.379139885516487</v>
      </c>
      <c r="O141" s="204">
        <f t="shared" si="273"/>
        <v>-45.53122804492606</v>
      </c>
      <c r="P141" s="204">
        <f t="shared" si="273"/>
        <v>-45.698717646702761</v>
      </c>
      <c r="Q141" s="204">
        <f t="shared" si="273"/>
        <v>-45.881328939561598</v>
      </c>
      <c r="R141" s="204">
        <f t="shared" si="273"/>
        <v>-46.078787253610507</v>
      </c>
      <c r="S141" s="204">
        <f t="shared" si="273"/>
        <v>-46.290822908052249</v>
      </c>
      <c r="T141" s="204">
        <f t="shared" si="273"/>
        <v>-46.517171120562551</v>
      </c>
      <c r="U141" s="204">
        <f t="shared" si="273"/>
        <v>-46.75757191831444</v>
      </c>
      <c r="V141" s="204">
        <f t="shared" si="273"/>
        <v>-47.011770050618708</v>
      </c>
      <c r="W141" s="204">
        <f t="shared" si="273"/>
        <v>-47.279514903151124</v>
      </c>
      <c r="X141" s="204">
        <f t="shared" si="273"/>
        <v>-47.560560413737676</v>
      </c>
      <c r="Y141" s="204">
        <f t="shared" si="273"/>
        <v>-47.854664989669509</v>
      </c>
      <c r="Z141" s="204">
        <f t="shared" si="273"/>
        <v>-48.161591426519607</v>
      </c>
      <c r="AA141" s="204">
        <f t="shared" si="273"/>
        <v>-48.481106828434278</v>
      </c>
      <c r="AB141" s="204">
        <f t="shared" si="273"/>
        <v>-48.81298252987235</v>
      </c>
      <c r="AC141" s="204">
        <f t="shared" si="273"/>
        <v>-49.156994018765893</v>
      </c>
      <c r="AD141" s="204">
        <f t="shared" si="273"/>
        <v>-49.51292086107668</v>
      </c>
      <c r="AE141" s="204">
        <f t="shared" si="273"/>
        <v>-49.880546626723003</v>
      </c>
      <c r="AF141" s="204">
        <f t="shared" si="273"/>
        <v>-50.259658816851953</v>
      </c>
      <c r="AG141" s="204">
        <f t="shared" si="273"/>
        <v>-50.650048792432663</v>
      </c>
      <c r="AH141" s="204">
        <f t="shared" si="273"/>
        <v>-51.051511704146662</v>
      </c>
      <c r="AI141" s="204">
        <f t="shared" si="273"/>
        <v>-51.463846423551665</v>
      </c>
      <c r="AJ141" s="204">
        <f t="shared" si="273"/>
        <v>-51.886855475495707</v>
      </c>
      <c r="AK141" s="204">
        <f t="shared" si="273"/>
        <v>-52.320344971758878</v>
      </c>
      <c r="AL141" s="204">
        <f t="shared" si="273"/>
        <v>-52.76412454590043</v>
      </c>
      <c r="AM141" s="204">
        <f t="shared" si="273"/>
        <v>-53.218007289289282</v>
      </c>
      <c r="AN141" s="204">
        <f t="shared" si="273"/>
        <v>-53.681809688296511</v>
      </c>
      <c r="AO141" s="204">
        <f t="shared" si="273"/>
        <v>-54.155351562628589</v>
      </c>
      <c r="AP141" s="204">
        <f t="shared" si="273"/>
        <v>-54.638456004780849</v>
      </c>
      <c r="AQ141" s="204">
        <f t="shared" si="273"/>
        <v>-55.130949320590631</v>
      </c>
      <c r="AR141" s="204">
        <f t="shared" si="273"/>
        <v>-55.632660970870248</v>
      </c>
      <c r="AS141" s="204">
        <f t="shared" si="273"/>
        <v>-56.143423514100107</v>
      </c>
      <c r="AT141" s="204">
        <f t="shared" si="273"/>
        <v>-56.663072550162802</v>
      </c>
      <c r="AU141" s="204">
        <f t="shared" si="273"/>
        <v>-57.191446665099171</v>
      </c>
      <c r="AV141" s="204">
        <f t="shared" si="273"/>
        <v>-57.728387376867829</v>
      </c>
      <c r="AW141" s="204">
        <f t="shared" si="273"/>
        <v>-58.273739082089882</v>
      </c>
      <c r="AX141" s="204">
        <f t="shared" si="273"/>
        <v>-58.827349003761015</v>
      </c>
      <c r="AY141" s="204">
        <f t="shared" si="273"/>
        <v>-59.389067139913323</v>
      </c>
      <c r="AZ141" s="204">
        <f t="shared" si="273"/>
        <v>-59.95874621320965</v>
      </c>
      <c r="BA141" s="204">
        <f t="shared" si="273"/>
        <v>-60.53624162145347</v>
      </c>
      <c r="BB141" s="204">
        <f t="shared" si="273"/>
        <v>-61.121411388997728</v>
      </c>
      <c r="BC141" s="204">
        <f t="shared" si="273"/>
        <v>-61.714116119036262</v>
      </c>
      <c r="BD141" s="204">
        <f t="shared" si="273"/>
        <v>-62.314218946761883</v>
      </c>
      <c r="BE141" s="204">
        <f t="shared" si="273"/>
        <v>-62.921585493375147</v>
      </c>
      <c r="BF141" s="204">
        <f t="shared" si="273"/>
        <v>-63.536083820928674</v>
      </c>
      <c r="BG141" s="204">
        <f t="shared" si="273"/>
        <v>-64.157584387991548</v>
      </c>
      <c r="BH141" s="204">
        <f t="shared" si="273"/>
        <v>-64.785960006119055</v>
      </c>
      <c r="BI141" s="204">
        <f t="shared" si="273"/>
        <v>-65.421085797113165</v>
      </c>
      <c r="BJ141" s="204">
        <f t="shared" si="273"/>
        <v>-66.062839151059279</v>
      </c>
      <c r="BK141" s="204">
        <f t="shared" si="273"/>
        <v>-66.711099685125177</v>
      </c>
      <c r="BL141" s="204">
        <f t="shared" si="273"/>
        <v>-67.365749203108379</v>
      </c>
      <c r="BM141" s="204">
        <f t="shared" si="273"/>
        <v>-68.026671655718303</v>
      </c>
      <c r="BN141" s="204">
        <f t="shared" si="273"/>
        <v>-68.693753101579787</v>
      </c>
      <c r="BO141" s="204">
        <f t="shared" si="273"/>
        <v>-69.366881668945013</v>
      </c>
      <c r="BP141" s="204">
        <f t="shared" si="273"/>
        <v>-70.04594751810086</v>
      </c>
      <c r="BQ141" s="204">
        <f t="shared" si="273"/>
        <v>-70.730842804459073</v>
      </c>
      <c r="BR141" s="204">
        <f t="shared" si="273"/>
        <v>-71.421461642316928</v>
      </c>
      <c r="BS141" s="204">
        <f t="shared" si="273"/>
        <v>-72.117700069276026</v>
      </c>
      <c r="BT141" s="204">
        <f t="shared" si="273"/>
        <v>-72.819456011307551</v>
      </c>
      <c r="BU141" s="204">
        <f t="shared" ref="BU141:EF141" si="274">PV($F95,BU$9,1,0)+(PV($J$6,$N$5-(BU$9),1,0)/($J$6+1)^BU$9)</f>
        <v>-73.526629248451897</v>
      </c>
      <c r="BV141" s="204">
        <f t="shared" si="274"/>
        <v>-74.239121381141487</v>
      </c>
      <c r="BW141" s="204">
        <f t="shared" si="274"/>
        <v>-74.956835797135199</v>
      </c>
      <c r="BX141" s="204">
        <f t="shared" si="274"/>
        <v>-75.679677639053423</v>
      </c>
      <c r="BY141" s="204">
        <f t="shared" si="274"/>
        <v>-76.407553772502823</v>
      </c>
      <c r="BZ141" s="204">
        <f t="shared" si="274"/>
        <v>-77.140372754780103</v>
      </c>
      <c r="CA141" s="204">
        <f t="shared" si="274"/>
        <v>-77.878044804144153</v>
      </c>
      <c r="CB141" s="204">
        <f t="shared" si="274"/>
        <v>-78.620481769646403</v>
      </c>
      <c r="CC141" s="204">
        <f t="shared" si="274"/>
        <v>-79.36759710150919</v>
      </c>
      <c r="CD141" s="204">
        <f t="shared" si="274"/>
        <v>-80.119305822042122</v>
      </c>
      <c r="CE141" s="204">
        <f t="shared" si="274"/>
        <v>-80.87552449708673</v>
      </c>
      <c r="CF141" s="204">
        <f t="shared" si="274"/>
        <v>-81.636171207979814</v>
      </c>
      <c r="CG141" s="204">
        <f t="shared" si="274"/>
        <v>-82.401165524026041</v>
      </c>
      <c r="CH141" s="204">
        <f t="shared" si="274"/>
        <v>-83.170428475470544</v>
      </c>
      <c r="CI141" s="204">
        <f t="shared" si="274"/>
        <v>-83.943882526962454</v>
      </c>
      <c r="CJ141" s="204">
        <f t="shared" si="274"/>
        <v>-84.721451551500408</v>
      </c>
      <c r="CK141" s="204">
        <f t="shared" si="274"/>
        <v>-85.503060804851359</v>
      </c>
      <c r="CL141" s="204">
        <f t="shared" si="274"/>
        <v>-86.288636900434042</v>
      </c>
      <c r="CM141" s="204">
        <f t="shared" si="274"/>
        <v>-87.07810778465857</v>
      </c>
      <c r="CN141" s="204">
        <f t="shared" si="274"/>
        <v>-87.871402712714072</v>
      </c>
      <c r="CO141" s="204">
        <f t="shared" si="274"/>
        <v>-88.668452224796056</v>
      </c>
      <c r="CP141" s="204">
        <f t="shared" si="274"/>
        <v>-89.469188122765601</v>
      </c>
      <c r="CQ141" s="204">
        <f t="shared" si="274"/>
        <v>-90.273543447232512</v>
      </c>
      <c r="CR141" s="204">
        <f t="shared" si="274"/>
        <v>-91.081452455054702</v>
      </c>
      <c r="CS141" s="204">
        <f t="shared" si="274"/>
        <v>-91.892850597246365</v>
      </c>
      <c r="CT141" s="204">
        <f t="shared" si="274"/>
        <v>-92.707674497287258</v>
      </c>
      <c r="CU141" s="204">
        <f t="shared" si="274"/>
        <v>-93.525861929826178</v>
      </c>
      <c r="CV141" s="204">
        <f t="shared" si="274"/>
        <v>-94.347351799771133</v>
      </c>
      <c r="CW141" s="204">
        <f t="shared" si="274"/>
        <v>-95.172084121759283</v>
      </c>
      <c r="CX141" s="204">
        <f t="shared" si="274"/>
        <v>-96</v>
      </c>
      <c r="CY141" s="204">
        <f t="shared" si="274"/>
        <v>-96</v>
      </c>
      <c r="CZ141" s="204">
        <f t="shared" si="274"/>
        <v>-96</v>
      </c>
      <c r="DA141" s="204">
        <f t="shared" si="274"/>
        <v>-96</v>
      </c>
      <c r="DB141" s="204">
        <f t="shared" si="274"/>
        <v>-96</v>
      </c>
      <c r="DC141" s="204">
        <f t="shared" si="274"/>
        <v>-96</v>
      </c>
      <c r="DD141" s="204">
        <f t="shared" si="274"/>
        <v>-96</v>
      </c>
      <c r="DE141" s="204">
        <f t="shared" si="274"/>
        <v>-96</v>
      </c>
      <c r="DF141" s="204">
        <f t="shared" si="274"/>
        <v>-96</v>
      </c>
      <c r="DG141" s="204">
        <f t="shared" si="274"/>
        <v>-96</v>
      </c>
      <c r="DH141" s="204">
        <f t="shared" si="274"/>
        <v>-96</v>
      </c>
      <c r="DI141" s="204">
        <f t="shared" si="274"/>
        <v>-96</v>
      </c>
      <c r="DJ141" s="204">
        <f t="shared" si="274"/>
        <v>-96</v>
      </c>
      <c r="DK141" s="204">
        <f t="shared" si="274"/>
        <v>-96</v>
      </c>
      <c r="DL141" s="204">
        <f t="shared" si="274"/>
        <v>-96</v>
      </c>
      <c r="DM141" s="204">
        <f t="shared" si="274"/>
        <v>-96</v>
      </c>
      <c r="DN141" s="204">
        <f t="shared" si="274"/>
        <v>-96</v>
      </c>
      <c r="DO141" s="204">
        <f t="shared" si="274"/>
        <v>-96</v>
      </c>
      <c r="DP141" s="204">
        <f t="shared" si="274"/>
        <v>-96</v>
      </c>
      <c r="DQ141" s="204">
        <f t="shared" si="274"/>
        <v>-96</v>
      </c>
      <c r="DR141" s="204">
        <f t="shared" si="274"/>
        <v>-96</v>
      </c>
      <c r="DS141" s="204">
        <f t="shared" si="274"/>
        <v>-96</v>
      </c>
      <c r="DT141" s="204">
        <f t="shared" si="274"/>
        <v>-96</v>
      </c>
      <c r="DU141" s="204">
        <f t="shared" si="274"/>
        <v>-96</v>
      </c>
      <c r="DV141" s="204">
        <f t="shared" si="274"/>
        <v>-96</v>
      </c>
      <c r="DW141" s="204">
        <f t="shared" si="274"/>
        <v>-96</v>
      </c>
      <c r="DX141" s="204">
        <f t="shared" si="274"/>
        <v>-96</v>
      </c>
      <c r="DY141" s="204">
        <f t="shared" si="274"/>
        <v>-96</v>
      </c>
      <c r="DZ141" s="204">
        <f t="shared" si="274"/>
        <v>-96</v>
      </c>
      <c r="EA141" s="204">
        <f t="shared" si="274"/>
        <v>-96</v>
      </c>
      <c r="EB141" s="204">
        <f t="shared" si="274"/>
        <v>-96</v>
      </c>
      <c r="EC141" s="204">
        <f t="shared" si="274"/>
        <v>-96</v>
      </c>
      <c r="ED141" s="204">
        <f t="shared" si="274"/>
        <v>-96</v>
      </c>
      <c r="EE141" s="204">
        <f t="shared" si="274"/>
        <v>-96</v>
      </c>
      <c r="EF141" s="204">
        <f t="shared" si="274"/>
        <v>-96</v>
      </c>
      <c r="EG141" s="204">
        <f t="shared" ref="EG141:ET141" si="275">PV($F95,EG$9,1,0)+(PV($J$6,$N$5-(EG$9),1,0)/($J$6+1)^EG$9)</f>
        <v>-96</v>
      </c>
      <c r="EH141" s="204">
        <f t="shared" si="275"/>
        <v>-96</v>
      </c>
      <c r="EI141" s="204">
        <f t="shared" si="275"/>
        <v>-96</v>
      </c>
      <c r="EJ141" s="204">
        <f t="shared" si="275"/>
        <v>-96</v>
      </c>
      <c r="EK141" s="204">
        <f t="shared" si="275"/>
        <v>-96</v>
      </c>
      <c r="EL141" s="204">
        <f t="shared" si="275"/>
        <v>-96</v>
      </c>
      <c r="EM141" s="204">
        <f t="shared" si="275"/>
        <v>-96</v>
      </c>
      <c r="EN141" s="204">
        <f t="shared" si="275"/>
        <v>-96</v>
      </c>
      <c r="EO141" s="204">
        <f t="shared" si="275"/>
        <v>-96</v>
      </c>
      <c r="EP141" s="204">
        <f t="shared" si="275"/>
        <v>-96</v>
      </c>
      <c r="EQ141" s="204">
        <f t="shared" si="275"/>
        <v>-96</v>
      </c>
      <c r="ER141" s="204">
        <f t="shared" si="275"/>
        <v>-96</v>
      </c>
      <c r="ES141" s="204">
        <f t="shared" si="275"/>
        <v>-96</v>
      </c>
      <c r="ET141" s="204">
        <f t="shared" si="275"/>
        <v>-96</v>
      </c>
      <c r="FF141" s="6" t="s">
        <v>3133</v>
      </c>
      <c r="FG141" s="696">
        <v>2.7999999999999997E-2</v>
      </c>
      <c r="FH141" s="696">
        <v>120</v>
      </c>
      <c r="FI141" s="696">
        <v>2.5000000000000001E-2</v>
      </c>
      <c r="FJ141" s="255">
        <v>1.6E-2</v>
      </c>
      <c r="FK141" s="71">
        <f t="shared" si="272"/>
        <v>2.8571428571428563E-4</v>
      </c>
      <c r="FL141" t="e">
        <f>VLOOKUP(FF141,'SIMULADOR COM SALDO'!$BX$22:$CK$1000,13,FALSE)</f>
        <v>#N/A</v>
      </c>
    </row>
    <row r="142" spans="7:168" x14ac:dyDescent="0.25">
      <c r="G142" s="103">
        <f t="shared" si="228"/>
        <v>-44.770373601250576</v>
      </c>
      <c r="H142" s="204">
        <f t="shared" si="229"/>
        <v>-44.806371604802436</v>
      </c>
      <c r="I142" s="204">
        <f t="shared" ref="I142:BT142" si="276">PV($F96,I$9,1,0)+(PV($J$6,$N$5-(I$9),1,0)/($J$6+1)^I$9)</f>
        <v>-44.859879708437063</v>
      </c>
      <c r="J142" s="204">
        <f t="shared" si="276"/>
        <v>-44.930579859281075</v>
      </c>
      <c r="K142" s="204">
        <f t="shared" si="276"/>
        <v>-45.018159781562872</v>
      </c>
      <c r="L142" s="204">
        <f t="shared" si="276"/>
        <v>-45.122312871677551</v>
      </c>
      <c r="M142" s="204">
        <f t="shared" si="276"/>
        <v>-45.24273809515784</v>
      </c>
      <c r="N142" s="204">
        <f t="shared" si="276"/>
        <v>-45.379139885516487</v>
      </c>
      <c r="O142" s="204">
        <f t="shared" si="276"/>
        <v>-45.53122804492606</v>
      </c>
      <c r="P142" s="204">
        <f t="shared" si="276"/>
        <v>-45.698717646702761</v>
      </c>
      <c r="Q142" s="204">
        <f t="shared" si="276"/>
        <v>-45.881328939561598</v>
      </c>
      <c r="R142" s="204">
        <f t="shared" si="276"/>
        <v>-46.078787253610507</v>
      </c>
      <c r="S142" s="204">
        <f t="shared" si="276"/>
        <v>-46.290822908052249</v>
      </c>
      <c r="T142" s="204">
        <f t="shared" si="276"/>
        <v>-46.517171120562551</v>
      </c>
      <c r="U142" s="204">
        <f t="shared" si="276"/>
        <v>-46.75757191831444</v>
      </c>
      <c r="V142" s="204">
        <f t="shared" si="276"/>
        <v>-47.011770050618708</v>
      </c>
      <c r="W142" s="204">
        <f t="shared" si="276"/>
        <v>-47.279514903151124</v>
      </c>
      <c r="X142" s="204">
        <f t="shared" si="276"/>
        <v>-47.560560413737676</v>
      </c>
      <c r="Y142" s="204">
        <f t="shared" si="276"/>
        <v>-47.854664989669509</v>
      </c>
      <c r="Z142" s="204">
        <f t="shared" si="276"/>
        <v>-48.161591426519607</v>
      </c>
      <c r="AA142" s="204">
        <f t="shared" si="276"/>
        <v>-48.481106828434278</v>
      </c>
      <c r="AB142" s="204">
        <f t="shared" si="276"/>
        <v>-48.81298252987235</v>
      </c>
      <c r="AC142" s="204">
        <f t="shared" si="276"/>
        <v>-49.156994018765893</v>
      </c>
      <c r="AD142" s="204">
        <f t="shared" si="276"/>
        <v>-49.51292086107668</v>
      </c>
      <c r="AE142" s="204">
        <f t="shared" si="276"/>
        <v>-49.880546626723003</v>
      </c>
      <c r="AF142" s="204">
        <f t="shared" si="276"/>
        <v>-50.259658816851953</v>
      </c>
      <c r="AG142" s="204">
        <f t="shared" si="276"/>
        <v>-50.650048792432663</v>
      </c>
      <c r="AH142" s="204">
        <f t="shared" si="276"/>
        <v>-51.051511704146662</v>
      </c>
      <c r="AI142" s="204">
        <f t="shared" si="276"/>
        <v>-51.463846423551665</v>
      </c>
      <c r="AJ142" s="204">
        <f t="shared" si="276"/>
        <v>-51.886855475495707</v>
      </c>
      <c r="AK142" s="204">
        <f t="shared" si="276"/>
        <v>-52.320344971758878</v>
      </c>
      <c r="AL142" s="204">
        <f t="shared" si="276"/>
        <v>-52.76412454590043</v>
      </c>
      <c r="AM142" s="204">
        <f t="shared" si="276"/>
        <v>-53.218007289289282</v>
      </c>
      <c r="AN142" s="204">
        <f t="shared" si="276"/>
        <v>-53.681809688296511</v>
      </c>
      <c r="AO142" s="204">
        <f t="shared" si="276"/>
        <v>-54.155351562628589</v>
      </c>
      <c r="AP142" s="204">
        <f t="shared" si="276"/>
        <v>-54.638456004780849</v>
      </c>
      <c r="AQ142" s="204">
        <f t="shared" si="276"/>
        <v>-55.130949320590631</v>
      </c>
      <c r="AR142" s="204">
        <f t="shared" si="276"/>
        <v>-55.632660970870248</v>
      </c>
      <c r="AS142" s="204">
        <f t="shared" si="276"/>
        <v>-56.143423514100107</v>
      </c>
      <c r="AT142" s="204">
        <f t="shared" si="276"/>
        <v>-56.663072550162802</v>
      </c>
      <c r="AU142" s="204">
        <f t="shared" si="276"/>
        <v>-57.191446665099171</v>
      </c>
      <c r="AV142" s="204">
        <f t="shared" si="276"/>
        <v>-57.728387376867829</v>
      </c>
      <c r="AW142" s="204">
        <f t="shared" si="276"/>
        <v>-58.273739082089882</v>
      </c>
      <c r="AX142" s="204">
        <f t="shared" si="276"/>
        <v>-58.827349003761015</v>
      </c>
      <c r="AY142" s="204">
        <f t="shared" si="276"/>
        <v>-59.389067139913323</v>
      </c>
      <c r="AZ142" s="204">
        <f t="shared" si="276"/>
        <v>-59.95874621320965</v>
      </c>
      <c r="BA142" s="204">
        <f t="shared" si="276"/>
        <v>-60.53624162145347</v>
      </c>
      <c r="BB142" s="204">
        <f t="shared" si="276"/>
        <v>-61.121411388997728</v>
      </c>
      <c r="BC142" s="204">
        <f t="shared" si="276"/>
        <v>-61.714116119036262</v>
      </c>
      <c r="BD142" s="204">
        <f t="shared" si="276"/>
        <v>-62.314218946761883</v>
      </c>
      <c r="BE142" s="204">
        <f t="shared" si="276"/>
        <v>-62.921585493375147</v>
      </c>
      <c r="BF142" s="204">
        <f t="shared" si="276"/>
        <v>-63.536083820928674</v>
      </c>
      <c r="BG142" s="204">
        <f t="shared" si="276"/>
        <v>-64.157584387991548</v>
      </c>
      <c r="BH142" s="204">
        <f t="shared" si="276"/>
        <v>-64.785960006119055</v>
      </c>
      <c r="BI142" s="204">
        <f t="shared" si="276"/>
        <v>-65.421085797113165</v>
      </c>
      <c r="BJ142" s="204">
        <f t="shared" si="276"/>
        <v>-66.062839151059279</v>
      </c>
      <c r="BK142" s="204">
        <f t="shared" si="276"/>
        <v>-66.711099685125177</v>
      </c>
      <c r="BL142" s="204">
        <f t="shared" si="276"/>
        <v>-67.365749203108379</v>
      </c>
      <c r="BM142" s="204">
        <f t="shared" si="276"/>
        <v>-68.026671655718303</v>
      </c>
      <c r="BN142" s="204">
        <f t="shared" si="276"/>
        <v>-68.693753101579787</v>
      </c>
      <c r="BO142" s="204">
        <f t="shared" si="276"/>
        <v>-69.366881668945013</v>
      </c>
      <c r="BP142" s="204">
        <f t="shared" si="276"/>
        <v>-70.04594751810086</v>
      </c>
      <c r="BQ142" s="204">
        <f t="shared" si="276"/>
        <v>-70.730842804459073</v>
      </c>
      <c r="BR142" s="204">
        <f t="shared" si="276"/>
        <v>-71.421461642316928</v>
      </c>
      <c r="BS142" s="204">
        <f t="shared" si="276"/>
        <v>-72.117700069276026</v>
      </c>
      <c r="BT142" s="204">
        <f t="shared" si="276"/>
        <v>-72.819456011307551</v>
      </c>
      <c r="BU142" s="204">
        <f t="shared" ref="BU142:EF142" si="277">PV($F96,BU$9,1,0)+(PV($J$6,$N$5-(BU$9),1,0)/($J$6+1)^BU$9)</f>
        <v>-73.526629248451897</v>
      </c>
      <c r="BV142" s="204">
        <f t="shared" si="277"/>
        <v>-74.239121381141487</v>
      </c>
      <c r="BW142" s="204">
        <f t="shared" si="277"/>
        <v>-74.956835797135199</v>
      </c>
      <c r="BX142" s="204">
        <f t="shared" si="277"/>
        <v>-75.679677639053423</v>
      </c>
      <c r="BY142" s="204">
        <f t="shared" si="277"/>
        <v>-76.407553772502823</v>
      </c>
      <c r="BZ142" s="204">
        <f t="shared" si="277"/>
        <v>-77.140372754780103</v>
      </c>
      <c r="CA142" s="204">
        <f t="shared" si="277"/>
        <v>-77.878044804144153</v>
      </c>
      <c r="CB142" s="204">
        <f t="shared" si="277"/>
        <v>-78.620481769646403</v>
      </c>
      <c r="CC142" s="204">
        <f t="shared" si="277"/>
        <v>-79.36759710150919</v>
      </c>
      <c r="CD142" s="204">
        <f t="shared" si="277"/>
        <v>-80.119305822042122</v>
      </c>
      <c r="CE142" s="204">
        <f t="shared" si="277"/>
        <v>-80.87552449708673</v>
      </c>
      <c r="CF142" s="204">
        <f t="shared" si="277"/>
        <v>-81.636171207979814</v>
      </c>
      <c r="CG142" s="204">
        <f t="shared" si="277"/>
        <v>-82.401165524026041</v>
      </c>
      <c r="CH142" s="204">
        <f t="shared" si="277"/>
        <v>-83.170428475470544</v>
      </c>
      <c r="CI142" s="204">
        <f t="shared" si="277"/>
        <v>-83.943882526962454</v>
      </c>
      <c r="CJ142" s="204">
        <f t="shared" si="277"/>
        <v>-84.721451551500408</v>
      </c>
      <c r="CK142" s="204">
        <f t="shared" si="277"/>
        <v>-85.503060804851359</v>
      </c>
      <c r="CL142" s="204">
        <f t="shared" si="277"/>
        <v>-86.288636900434042</v>
      </c>
      <c r="CM142" s="204">
        <f t="shared" si="277"/>
        <v>-87.07810778465857</v>
      </c>
      <c r="CN142" s="204">
        <f t="shared" si="277"/>
        <v>-87.871402712714072</v>
      </c>
      <c r="CO142" s="204">
        <f t="shared" si="277"/>
        <v>-88.668452224796056</v>
      </c>
      <c r="CP142" s="204">
        <f t="shared" si="277"/>
        <v>-89.469188122765601</v>
      </c>
      <c r="CQ142" s="204">
        <f t="shared" si="277"/>
        <v>-90.273543447232512</v>
      </c>
      <c r="CR142" s="204">
        <f t="shared" si="277"/>
        <v>-91.081452455054702</v>
      </c>
      <c r="CS142" s="204">
        <f t="shared" si="277"/>
        <v>-91.892850597246365</v>
      </c>
      <c r="CT142" s="204">
        <f t="shared" si="277"/>
        <v>-92.707674497287258</v>
      </c>
      <c r="CU142" s="204">
        <f t="shared" si="277"/>
        <v>-93.525861929826178</v>
      </c>
      <c r="CV142" s="204">
        <f t="shared" si="277"/>
        <v>-94.347351799771133</v>
      </c>
      <c r="CW142" s="204">
        <f t="shared" si="277"/>
        <v>-95.172084121759283</v>
      </c>
      <c r="CX142" s="204">
        <f t="shared" si="277"/>
        <v>-96</v>
      </c>
      <c r="CY142" s="204">
        <f t="shared" si="277"/>
        <v>-96</v>
      </c>
      <c r="CZ142" s="204">
        <f t="shared" si="277"/>
        <v>-96</v>
      </c>
      <c r="DA142" s="204">
        <f t="shared" si="277"/>
        <v>-96</v>
      </c>
      <c r="DB142" s="204">
        <f t="shared" si="277"/>
        <v>-96</v>
      </c>
      <c r="DC142" s="204">
        <f t="shared" si="277"/>
        <v>-96</v>
      </c>
      <c r="DD142" s="204">
        <f t="shared" si="277"/>
        <v>-96</v>
      </c>
      <c r="DE142" s="204">
        <f t="shared" si="277"/>
        <v>-96</v>
      </c>
      <c r="DF142" s="204">
        <f t="shared" si="277"/>
        <v>-96</v>
      </c>
      <c r="DG142" s="204">
        <f t="shared" si="277"/>
        <v>-96</v>
      </c>
      <c r="DH142" s="204">
        <f t="shared" si="277"/>
        <v>-96</v>
      </c>
      <c r="DI142" s="204">
        <f t="shared" si="277"/>
        <v>-96</v>
      </c>
      <c r="DJ142" s="204">
        <f t="shared" si="277"/>
        <v>-96</v>
      </c>
      <c r="DK142" s="204">
        <f t="shared" si="277"/>
        <v>-96</v>
      </c>
      <c r="DL142" s="204">
        <f t="shared" si="277"/>
        <v>-96</v>
      </c>
      <c r="DM142" s="204">
        <f t="shared" si="277"/>
        <v>-96</v>
      </c>
      <c r="DN142" s="204">
        <f t="shared" si="277"/>
        <v>-96</v>
      </c>
      <c r="DO142" s="204">
        <f t="shared" si="277"/>
        <v>-96</v>
      </c>
      <c r="DP142" s="204">
        <f t="shared" si="277"/>
        <v>-96</v>
      </c>
      <c r="DQ142" s="204">
        <f t="shared" si="277"/>
        <v>-96</v>
      </c>
      <c r="DR142" s="204">
        <f t="shared" si="277"/>
        <v>-96</v>
      </c>
      <c r="DS142" s="204">
        <f t="shared" si="277"/>
        <v>-96</v>
      </c>
      <c r="DT142" s="204">
        <f t="shared" si="277"/>
        <v>-96</v>
      </c>
      <c r="DU142" s="204">
        <f t="shared" si="277"/>
        <v>-96</v>
      </c>
      <c r="DV142" s="204">
        <f t="shared" si="277"/>
        <v>-96</v>
      </c>
      <c r="DW142" s="204">
        <f t="shared" si="277"/>
        <v>-96</v>
      </c>
      <c r="DX142" s="204">
        <f t="shared" si="277"/>
        <v>-96</v>
      </c>
      <c r="DY142" s="204">
        <f t="shared" si="277"/>
        <v>-96</v>
      </c>
      <c r="DZ142" s="204">
        <f t="shared" si="277"/>
        <v>-96</v>
      </c>
      <c r="EA142" s="204">
        <f t="shared" si="277"/>
        <v>-96</v>
      </c>
      <c r="EB142" s="204">
        <f t="shared" si="277"/>
        <v>-96</v>
      </c>
      <c r="EC142" s="204">
        <f t="shared" si="277"/>
        <v>-96</v>
      </c>
      <c r="ED142" s="204">
        <f t="shared" si="277"/>
        <v>-96</v>
      </c>
      <c r="EE142" s="204">
        <f t="shared" si="277"/>
        <v>-96</v>
      </c>
      <c r="EF142" s="204">
        <f t="shared" si="277"/>
        <v>-96</v>
      </c>
      <c r="EG142" s="204">
        <f t="shared" ref="EG142:ET142" si="278">PV($F96,EG$9,1,0)+(PV($J$6,$N$5-(EG$9),1,0)/($J$6+1)^EG$9)</f>
        <v>-96</v>
      </c>
      <c r="EH142" s="204">
        <f t="shared" si="278"/>
        <v>-96</v>
      </c>
      <c r="EI142" s="204">
        <f t="shared" si="278"/>
        <v>-96</v>
      </c>
      <c r="EJ142" s="204">
        <f t="shared" si="278"/>
        <v>-96</v>
      </c>
      <c r="EK142" s="204">
        <f t="shared" si="278"/>
        <v>-96</v>
      </c>
      <c r="EL142" s="204">
        <f t="shared" si="278"/>
        <v>-96</v>
      </c>
      <c r="EM142" s="204">
        <f t="shared" si="278"/>
        <v>-96</v>
      </c>
      <c r="EN142" s="204">
        <f t="shared" si="278"/>
        <v>-96</v>
      </c>
      <c r="EO142" s="204">
        <f t="shared" si="278"/>
        <v>-96</v>
      </c>
      <c r="EP142" s="204">
        <f t="shared" si="278"/>
        <v>-96</v>
      </c>
      <c r="EQ142" s="204">
        <f t="shared" si="278"/>
        <v>-96</v>
      </c>
      <c r="ER142" s="204">
        <f t="shared" si="278"/>
        <v>-96</v>
      </c>
      <c r="ES142" s="204">
        <f t="shared" si="278"/>
        <v>-96</v>
      </c>
      <c r="ET142" s="204">
        <f t="shared" si="278"/>
        <v>-96</v>
      </c>
      <c r="FF142" s="6" t="s">
        <v>587</v>
      </c>
      <c r="FG142" s="696">
        <v>2.5000000000000001E-2</v>
      </c>
      <c r="FH142" s="696">
        <v>120</v>
      </c>
      <c r="FI142" s="696">
        <v>2.1600000000000001E-2</v>
      </c>
      <c r="FJ142" s="255">
        <v>1.6E-2</v>
      </c>
      <c r="FK142" s="71">
        <f t="shared" si="272"/>
        <v>2.142857142857143E-4</v>
      </c>
      <c r="FL142" t="e">
        <f>VLOOKUP(FF142,'SIMULADOR COM SALDO'!$BX$22:$CK$1000,13,FALSE)</f>
        <v>#N/A</v>
      </c>
    </row>
    <row r="143" spans="7:168" x14ac:dyDescent="0.25">
      <c r="G143" s="103">
        <f t="shared" si="228"/>
        <v>-44.770373601250576</v>
      </c>
      <c r="H143" s="204">
        <f t="shared" si="229"/>
        <v>-44.806371604802436</v>
      </c>
      <c r="I143" s="204">
        <f t="shared" ref="I143:BT143" si="279">PV($F97,I$9,1,0)+(PV($J$6,$N$5-(I$9),1,0)/($J$6+1)^I$9)</f>
        <v>-44.859879708437063</v>
      </c>
      <c r="J143" s="204">
        <f t="shared" si="279"/>
        <v>-44.930579859281075</v>
      </c>
      <c r="K143" s="204">
        <f t="shared" si="279"/>
        <v>-45.018159781562872</v>
      </c>
      <c r="L143" s="204">
        <f t="shared" si="279"/>
        <v>-45.122312871677551</v>
      </c>
      <c r="M143" s="204">
        <f t="shared" si="279"/>
        <v>-45.24273809515784</v>
      </c>
      <c r="N143" s="204">
        <f t="shared" si="279"/>
        <v>-45.379139885516487</v>
      </c>
      <c r="O143" s="204">
        <f t="shared" si="279"/>
        <v>-45.53122804492606</v>
      </c>
      <c r="P143" s="204">
        <f t="shared" si="279"/>
        <v>-45.698717646702761</v>
      </c>
      <c r="Q143" s="204">
        <f t="shared" si="279"/>
        <v>-45.881328939561598</v>
      </c>
      <c r="R143" s="204">
        <f t="shared" si="279"/>
        <v>-46.078787253610507</v>
      </c>
      <c r="S143" s="204">
        <f t="shared" si="279"/>
        <v>-46.290822908052249</v>
      </c>
      <c r="T143" s="204">
        <f t="shared" si="279"/>
        <v>-46.517171120562551</v>
      </c>
      <c r="U143" s="204">
        <f t="shared" si="279"/>
        <v>-46.75757191831444</v>
      </c>
      <c r="V143" s="204">
        <f t="shared" si="279"/>
        <v>-47.011770050618708</v>
      </c>
      <c r="W143" s="204">
        <f t="shared" si="279"/>
        <v>-47.279514903151124</v>
      </c>
      <c r="X143" s="204">
        <f t="shared" si="279"/>
        <v>-47.560560413737676</v>
      </c>
      <c r="Y143" s="204">
        <f t="shared" si="279"/>
        <v>-47.854664989669509</v>
      </c>
      <c r="Z143" s="204">
        <f t="shared" si="279"/>
        <v>-48.161591426519607</v>
      </c>
      <c r="AA143" s="204">
        <f t="shared" si="279"/>
        <v>-48.481106828434278</v>
      </c>
      <c r="AB143" s="204">
        <f t="shared" si="279"/>
        <v>-48.81298252987235</v>
      </c>
      <c r="AC143" s="204">
        <f t="shared" si="279"/>
        <v>-49.156994018765893</v>
      </c>
      <c r="AD143" s="204">
        <f t="shared" si="279"/>
        <v>-49.51292086107668</v>
      </c>
      <c r="AE143" s="204">
        <f t="shared" si="279"/>
        <v>-49.880546626723003</v>
      </c>
      <c r="AF143" s="204">
        <f t="shared" si="279"/>
        <v>-50.259658816851953</v>
      </c>
      <c r="AG143" s="204">
        <f t="shared" si="279"/>
        <v>-50.650048792432663</v>
      </c>
      <c r="AH143" s="204">
        <f t="shared" si="279"/>
        <v>-51.051511704146662</v>
      </c>
      <c r="AI143" s="204">
        <f t="shared" si="279"/>
        <v>-51.463846423551665</v>
      </c>
      <c r="AJ143" s="204">
        <f t="shared" si="279"/>
        <v>-51.886855475495707</v>
      </c>
      <c r="AK143" s="204">
        <f t="shared" si="279"/>
        <v>-52.320344971758878</v>
      </c>
      <c r="AL143" s="204">
        <f t="shared" si="279"/>
        <v>-52.76412454590043</v>
      </c>
      <c r="AM143" s="204">
        <f t="shared" si="279"/>
        <v>-53.218007289289282</v>
      </c>
      <c r="AN143" s="204">
        <f t="shared" si="279"/>
        <v>-53.681809688296511</v>
      </c>
      <c r="AO143" s="204">
        <f t="shared" si="279"/>
        <v>-54.155351562628589</v>
      </c>
      <c r="AP143" s="204">
        <f t="shared" si="279"/>
        <v>-54.638456004780849</v>
      </c>
      <c r="AQ143" s="204">
        <f t="shared" si="279"/>
        <v>-55.130949320590631</v>
      </c>
      <c r="AR143" s="204">
        <f t="shared" si="279"/>
        <v>-55.632660970870248</v>
      </c>
      <c r="AS143" s="204">
        <f t="shared" si="279"/>
        <v>-56.143423514100107</v>
      </c>
      <c r="AT143" s="204">
        <f t="shared" si="279"/>
        <v>-56.663072550162802</v>
      </c>
      <c r="AU143" s="204">
        <f t="shared" si="279"/>
        <v>-57.191446665099171</v>
      </c>
      <c r="AV143" s="204">
        <f t="shared" si="279"/>
        <v>-57.728387376867829</v>
      </c>
      <c r="AW143" s="204">
        <f t="shared" si="279"/>
        <v>-58.273739082089882</v>
      </c>
      <c r="AX143" s="204">
        <f t="shared" si="279"/>
        <v>-58.827349003761015</v>
      </c>
      <c r="AY143" s="204">
        <f t="shared" si="279"/>
        <v>-59.389067139913323</v>
      </c>
      <c r="AZ143" s="204">
        <f t="shared" si="279"/>
        <v>-59.95874621320965</v>
      </c>
      <c r="BA143" s="204">
        <f t="shared" si="279"/>
        <v>-60.53624162145347</v>
      </c>
      <c r="BB143" s="204">
        <f t="shared" si="279"/>
        <v>-61.121411388997728</v>
      </c>
      <c r="BC143" s="204">
        <f t="shared" si="279"/>
        <v>-61.714116119036262</v>
      </c>
      <c r="BD143" s="204">
        <f t="shared" si="279"/>
        <v>-62.314218946761883</v>
      </c>
      <c r="BE143" s="204">
        <f t="shared" si="279"/>
        <v>-62.921585493375147</v>
      </c>
      <c r="BF143" s="204">
        <f t="shared" si="279"/>
        <v>-63.536083820928674</v>
      </c>
      <c r="BG143" s="204">
        <f t="shared" si="279"/>
        <v>-64.157584387991548</v>
      </c>
      <c r="BH143" s="204">
        <f t="shared" si="279"/>
        <v>-64.785960006119055</v>
      </c>
      <c r="BI143" s="204">
        <f t="shared" si="279"/>
        <v>-65.421085797113165</v>
      </c>
      <c r="BJ143" s="204">
        <f t="shared" si="279"/>
        <v>-66.062839151059279</v>
      </c>
      <c r="BK143" s="204">
        <f t="shared" si="279"/>
        <v>-66.711099685125177</v>
      </c>
      <c r="BL143" s="204">
        <f t="shared" si="279"/>
        <v>-67.365749203108379</v>
      </c>
      <c r="BM143" s="204">
        <f t="shared" si="279"/>
        <v>-68.026671655718303</v>
      </c>
      <c r="BN143" s="204">
        <f t="shared" si="279"/>
        <v>-68.693753101579787</v>
      </c>
      <c r="BO143" s="204">
        <f t="shared" si="279"/>
        <v>-69.366881668945013</v>
      </c>
      <c r="BP143" s="204">
        <f t="shared" si="279"/>
        <v>-70.04594751810086</v>
      </c>
      <c r="BQ143" s="204">
        <f t="shared" si="279"/>
        <v>-70.730842804459073</v>
      </c>
      <c r="BR143" s="204">
        <f t="shared" si="279"/>
        <v>-71.421461642316928</v>
      </c>
      <c r="BS143" s="204">
        <f t="shared" si="279"/>
        <v>-72.117700069276026</v>
      </c>
      <c r="BT143" s="204">
        <f t="shared" si="279"/>
        <v>-72.819456011307551</v>
      </c>
      <c r="BU143" s="204">
        <f t="shared" ref="BU143:EF143" si="280">PV($F97,BU$9,1,0)+(PV($J$6,$N$5-(BU$9),1,0)/($J$6+1)^BU$9)</f>
        <v>-73.526629248451897</v>
      </c>
      <c r="BV143" s="204">
        <f t="shared" si="280"/>
        <v>-74.239121381141487</v>
      </c>
      <c r="BW143" s="204">
        <f t="shared" si="280"/>
        <v>-74.956835797135199</v>
      </c>
      <c r="BX143" s="204">
        <f t="shared" si="280"/>
        <v>-75.679677639053423</v>
      </c>
      <c r="BY143" s="204">
        <f t="shared" si="280"/>
        <v>-76.407553772502823</v>
      </c>
      <c r="BZ143" s="204">
        <f t="shared" si="280"/>
        <v>-77.140372754780103</v>
      </c>
      <c r="CA143" s="204">
        <f t="shared" si="280"/>
        <v>-77.878044804144153</v>
      </c>
      <c r="CB143" s="204">
        <f t="shared" si="280"/>
        <v>-78.620481769646403</v>
      </c>
      <c r="CC143" s="204">
        <f t="shared" si="280"/>
        <v>-79.36759710150919</v>
      </c>
      <c r="CD143" s="204">
        <f t="shared" si="280"/>
        <v>-80.119305822042122</v>
      </c>
      <c r="CE143" s="204">
        <f t="shared" si="280"/>
        <v>-80.87552449708673</v>
      </c>
      <c r="CF143" s="204">
        <f t="shared" si="280"/>
        <v>-81.636171207979814</v>
      </c>
      <c r="CG143" s="204">
        <f t="shared" si="280"/>
        <v>-82.401165524026041</v>
      </c>
      <c r="CH143" s="204">
        <f t="shared" si="280"/>
        <v>-83.170428475470544</v>
      </c>
      <c r="CI143" s="204">
        <f t="shared" si="280"/>
        <v>-83.943882526962454</v>
      </c>
      <c r="CJ143" s="204">
        <f t="shared" si="280"/>
        <v>-84.721451551500408</v>
      </c>
      <c r="CK143" s="204">
        <f t="shared" si="280"/>
        <v>-85.503060804851359</v>
      </c>
      <c r="CL143" s="204">
        <f t="shared" si="280"/>
        <v>-86.288636900434042</v>
      </c>
      <c r="CM143" s="204">
        <f t="shared" si="280"/>
        <v>-87.07810778465857</v>
      </c>
      <c r="CN143" s="204">
        <f t="shared" si="280"/>
        <v>-87.871402712714072</v>
      </c>
      <c r="CO143" s="204">
        <f t="shared" si="280"/>
        <v>-88.668452224796056</v>
      </c>
      <c r="CP143" s="204">
        <f t="shared" si="280"/>
        <v>-89.469188122765601</v>
      </c>
      <c r="CQ143" s="204">
        <f t="shared" si="280"/>
        <v>-90.273543447232512</v>
      </c>
      <c r="CR143" s="204">
        <f t="shared" si="280"/>
        <v>-91.081452455054702</v>
      </c>
      <c r="CS143" s="204">
        <f t="shared" si="280"/>
        <v>-91.892850597246365</v>
      </c>
      <c r="CT143" s="204">
        <f t="shared" si="280"/>
        <v>-92.707674497287258</v>
      </c>
      <c r="CU143" s="204">
        <f t="shared" si="280"/>
        <v>-93.525861929826178</v>
      </c>
      <c r="CV143" s="204">
        <f t="shared" si="280"/>
        <v>-94.347351799771133</v>
      </c>
      <c r="CW143" s="204">
        <f t="shared" si="280"/>
        <v>-95.172084121759283</v>
      </c>
      <c r="CX143" s="204">
        <f t="shared" si="280"/>
        <v>-96</v>
      </c>
      <c r="CY143" s="204">
        <f t="shared" si="280"/>
        <v>-96</v>
      </c>
      <c r="CZ143" s="204">
        <f t="shared" si="280"/>
        <v>-96</v>
      </c>
      <c r="DA143" s="204">
        <f t="shared" si="280"/>
        <v>-96</v>
      </c>
      <c r="DB143" s="204">
        <f t="shared" si="280"/>
        <v>-96</v>
      </c>
      <c r="DC143" s="204">
        <f t="shared" si="280"/>
        <v>-96</v>
      </c>
      <c r="DD143" s="204">
        <f t="shared" si="280"/>
        <v>-96</v>
      </c>
      <c r="DE143" s="204">
        <f t="shared" si="280"/>
        <v>-96</v>
      </c>
      <c r="DF143" s="204">
        <f t="shared" si="280"/>
        <v>-96</v>
      </c>
      <c r="DG143" s="204">
        <f t="shared" si="280"/>
        <v>-96</v>
      </c>
      <c r="DH143" s="204">
        <f t="shared" si="280"/>
        <v>-96</v>
      </c>
      <c r="DI143" s="204">
        <f t="shared" si="280"/>
        <v>-96</v>
      </c>
      <c r="DJ143" s="204">
        <f t="shared" si="280"/>
        <v>-96</v>
      </c>
      <c r="DK143" s="204">
        <f t="shared" si="280"/>
        <v>-96</v>
      </c>
      <c r="DL143" s="204">
        <f t="shared" si="280"/>
        <v>-96</v>
      </c>
      <c r="DM143" s="204">
        <f t="shared" si="280"/>
        <v>-96</v>
      </c>
      <c r="DN143" s="204">
        <f t="shared" si="280"/>
        <v>-96</v>
      </c>
      <c r="DO143" s="204">
        <f t="shared" si="280"/>
        <v>-96</v>
      </c>
      <c r="DP143" s="204">
        <f t="shared" si="280"/>
        <v>-96</v>
      </c>
      <c r="DQ143" s="204">
        <f t="shared" si="280"/>
        <v>-96</v>
      </c>
      <c r="DR143" s="204">
        <f t="shared" si="280"/>
        <v>-96</v>
      </c>
      <c r="DS143" s="204">
        <f t="shared" si="280"/>
        <v>-96</v>
      </c>
      <c r="DT143" s="204">
        <f t="shared" si="280"/>
        <v>-96</v>
      </c>
      <c r="DU143" s="204">
        <f t="shared" si="280"/>
        <v>-96</v>
      </c>
      <c r="DV143" s="204">
        <f t="shared" si="280"/>
        <v>-96</v>
      </c>
      <c r="DW143" s="204">
        <f t="shared" si="280"/>
        <v>-96</v>
      </c>
      <c r="DX143" s="204">
        <f t="shared" si="280"/>
        <v>-96</v>
      </c>
      <c r="DY143" s="204">
        <f t="shared" si="280"/>
        <v>-96</v>
      </c>
      <c r="DZ143" s="204">
        <f t="shared" si="280"/>
        <v>-96</v>
      </c>
      <c r="EA143" s="204">
        <f t="shared" si="280"/>
        <v>-96</v>
      </c>
      <c r="EB143" s="204">
        <f t="shared" si="280"/>
        <v>-96</v>
      </c>
      <c r="EC143" s="204">
        <f t="shared" si="280"/>
        <v>-96</v>
      </c>
      <c r="ED143" s="204">
        <f t="shared" si="280"/>
        <v>-96</v>
      </c>
      <c r="EE143" s="204">
        <f t="shared" si="280"/>
        <v>-96</v>
      </c>
      <c r="EF143" s="204">
        <f t="shared" si="280"/>
        <v>-96</v>
      </c>
      <c r="EG143" s="204">
        <f t="shared" ref="EG143:ET143" si="281">PV($F97,EG$9,1,0)+(PV($J$6,$N$5-(EG$9),1,0)/($J$6+1)^EG$9)</f>
        <v>-96</v>
      </c>
      <c r="EH143" s="204">
        <f t="shared" si="281"/>
        <v>-96</v>
      </c>
      <c r="EI143" s="204">
        <f t="shared" si="281"/>
        <v>-96</v>
      </c>
      <c r="EJ143" s="204">
        <f t="shared" si="281"/>
        <v>-96</v>
      </c>
      <c r="EK143" s="204">
        <f t="shared" si="281"/>
        <v>-96</v>
      </c>
      <c r="EL143" s="204">
        <f t="shared" si="281"/>
        <v>-96</v>
      </c>
      <c r="EM143" s="204">
        <f t="shared" si="281"/>
        <v>-96</v>
      </c>
      <c r="EN143" s="204">
        <f t="shared" si="281"/>
        <v>-96</v>
      </c>
      <c r="EO143" s="204">
        <f t="shared" si="281"/>
        <v>-96</v>
      </c>
      <c r="EP143" s="204">
        <f t="shared" si="281"/>
        <v>-96</v>
      </c>
      <c r="EQ143" s="204">
        <f t="shared" si="281"/>
        <v>-96</v>
      </c>
      <c r="ER143" s="204">
        <f t="shared" si="281"/>
        <v>-96</v>
      </c>
      <c r="ES143" s="204">
        <f t="shared" si="281"/>
        <v>-96</v>
      </c>
      <c r="ET143" s="204">
        <f t="shared" si="281"/>
        <v>-96</v>
      </c>
      <c r="FF143" s="6" t="s">
        <v>589</v>
      </c>
      <c r="FG143" s="696">
        <v>2.5000000000000001E-2</v>
      </c>
      <c r="FH143" s="696">
        <v>120</v>
      </c>
      <c r="FI143" s="696">
        <v>2.1600000000000001E-2</v>
      </c>
      <c r="FJ143" s="255">
        <v>1.6E-2</v>
      </c>
      <c r="FK143" s="71">
        <f t="shared" si="272"/>
        <v>2.142857142857143E-4</v>
      </c>
      <c r="FL143" t="e">
        <f>VLOOKUP(FF143,'SIMULADOR COM SALDO'!$BX$22:$CK$1000,13,FALSE)</f>
        <v>#N/A</v>
      </c>
    </row>
    <row r="144" spans="7:168" x14ac:dyDescent="0.25">
      <c r="G144" s="103">
        <f t="shared" si="228"/>
        <v>-44.770373601250576</v>
      </c>
      <c r="H144" s="204">
        <f t="shared" si="229"/>
        <v>-44.806371604802436</v>
      </c>
      <c r="I144" s="204">
        <f t="shared" ref="I144:BT144" si="282">PV($F98,I$9,1,0)+(PV($J$6,$N$5-(I$9),1,0)/($J$6+1)^I$9)</f>
        <v>-44.859879708437063</v>
      </c>
      <c r="J144" s="204">
        <f t="shared" si="282"/>
        <v>-44.930579859281075</v>
      </c>
      <c r="K144" s="204">
        <f t="shared" si="282"/>
        <v>-45.018159781562872</v>
      </c>
      <c r="L144" s="204">
        <f t="shared" si="282"/>
        <v>-45.122312871677551</v>
      </c>
      <c r="M144" s="204">
        <f t="shared" si="282"/>
        <v>-45.24273809515784</v>
      </c>
      <c r="N144" s="204">
        <f t="shared" si="282"/>
        <v>-45.379139885516487</v>
      </c>
      <c r="O144" s="204">
        <f t="shared" si="282"/>
        <v>-45.53122804492606</v>
      </c>
      <c r="P144" s="204">
        <f t="shared" si="282"/>
        <v>-45.698717646702761</v>
      </c>
      <c r="Q144" s="204">
        <f t="shared" si="282"/>
        <v>-45.881328939561598</v>
      </c>
      <c r="R144" s="204">
        <f t="shared" si="282"/>
        <v>-46.078787253610507</v>
      </c>
      <c r="S144" s="204">
        <f t="shared" si="282"/>
        <v>-46.290822908052249</v>
      </c>
      <c r="T144" s="204">
        <f t="shared" si="282"/>
        <v>-46.517171120562551</v>
      </c>
      <c r="U144" s="204">
        <f t="shared" si="282"/>
        <v>-46.75757191831444</v>
      </c>
      <c r="V144" s="204">
        <f t="shared" si="282"/>
        <v>-47.011770050618708</v>
      </c>
      <c r="W144" s="204">
        <f t="shared" si="282"/>
        <v>-47.279514903151124</v>
      </c>
      <c r="X144" s="204">
        <f t="shared" si="282"/>
        <v>-47.560560413737676</v>
      </c>
      <c r="Y144" s="204">
        <f t="shared" si="282"/>
        <v>-47.854664989669509</v>
      </c>
      <c r="Z144" s="204">
        <f t="shared" si="282"/>
        <v>-48.161591426519607</v>
      </c>
      <c r="AA144" s="204">
        <f t="shared" si="282"/>
        <v>-48.481106828434278</v>
      </c>
      <c r="AB144" s="204">
        <f t="shared" si="282"/>
        <v>-48.81298252987235</v>
      </c>
      <c r="AC144" s="204">
        <f t="shared" si="282"/>
        <v>-49.156994018765893</v>
      </c>
      <c r="AD144" s="204">
        <f t="shared" si="282"/>
        <v>-49.51292086107668</v>
      </c>
      <c r="AE144" s="204">
        <f t="shared" si="282"/>
        <v>-49.880546626723003</v>
      </c>
      <c r="AF144" s="204">
        <f t="shared" si="282"/>
        <v>-50.259658816851953</v>
      </c>
      <c r="AG144" s="204">
        <f t="shared" si="282"/>
        <v>-50.650048792432663</v>
      </c>
      <c r="AH144" s="204">
        <f t="shared" si="282"/>
        <v>-51.051511704146662</v>
      </c>
      <c r="AI144" s="204">
        <f t="shared" si="282"/>
        <v>-51.463846423551665</v>
      </c>
      <c r="AJ144" s="204">
        <f t="shared" si="282"/>
        <v>-51.886855475495707</v>
      </c>
      <c r="AK144" s="204">
        <f t="shared" si="282"/>
        <v>-52.320344971758878</v>
      </c>
      <c r="AL144" s="204">
        <f t="shared" si="282"/>
        <v>-52.76412454590043</v>
      </c>
      <c r="AM144" s="204">
        <f t="shared" si="282"/>
        <v>-53.218007289289282</v>
      </c>
      <c r="AN144" s="204">
        <f t="shared" si="282"/>
        <v>-53.681809688296511</v>
      </c>
      <c r="AO144" s="204">
        <f t="shared" si="282"/>
        <v>-54.155351562628589</v>
      </c>
      <c r="AP144" s="204">
        <f t="shared" si="282"/>
        <v>-54.638456004780849</v>
      </c>
      <c r="AQ144" s="204">
        <f t="shared" si="282"/>
        <v>-55.130949320590631</v>
      </c>
      <c r="AR144" s="204">
        <f t="shared" si="282"/>
        <v>-55.632660970870248</v>
      </c>
      <c r="AS144" s="204">
        <f t="shared" si="282"/>
        <v>-56.143423514100107</v>
      </c>
      <c r="AT144" s="204">
        <f t="shared" si="282"/>
        <v>-56.663072550162802</v>
      </c>
      <c r="AU144" s="204">
        <f t="shared" si="282"/>
        <v>-57.191446665099171</v>
      </c>
      <c r="AV144" s="204">
        <f t="shared" si="282"/>
        <v>-57.728387376867829</v>
      </c>
      <c r="AW144" s="204">
        <f t="shared" si="282"/>
        <v>-58.273739082089882</v>
      </c>
      <c r="AX144" s="204">
        <f t="shared" si="282"/>
        <v>-58.827349003761015</v>
      </c>
      <c r="AY144" s="204">
        <f t="shared" si="282"/>
        <v>-59.389067139913323</v>
      </c>
      <c r="AZ144" s="204">
        <f t="shared" si="282"/>
        <v>-59.95874621320965</v>
      </c>
      <c r="BA144" s="204">
        <f t="shared" si="282"/>
        <v>-60.53624162145347</v>
      </c>
      <c r="BB144" s="204">
        <f t="shared" si="282"/>
        <v>-61.121411388997728</v>
      </c>
      <c r="BC144" s="204">
        <f t="shared" si="282"/>
        <v>-61.714116119036262</v>
      </c>
      <c r="BD144" s="204">
        <f t="shared" si="282"/>
        <v>-62.314218946761883</v>
      </c>
      <c r="BE144" s="204">
        <f t="shared" si="282"/>
        <v>-62.921585493375147</v>
      </c>
      <c r="BF144" s="204">
        <f t="shared" si="282"/>
        <v>-63.536083820928674</v>
      </c>
      <c r="BG144" s="204">
        <f t="shared" si="282"/>
        <v>-64.157584387991548</v>
      </c>
      <c r="BH144" s="204">
        <f t="shared" si="282"/>
        <v>-64.785960006119055</v>
      </c>
      <c r="BI144" s="204">
        <f t="shared" si="282"/>
        <v>-65.421085797113165</v>
      </c>
      <c r="BJ144" s="204">
        <f t="shared" si="282"/>
        <v>-66.062839151059279</v>
      </c>
      <c r="BK144" s="204">
        <f t="shared" si="282"/>
        <v>-66.711099685125177</v>
      </c>
      <c r="BL144" s="204">
        <f t="shared" si="282"/>
        <v>-67.365749203108379</v>
      </c>
      <c r="BM144" s="204">
        <f t="shared" si="282"/>
        <v>-68.026671655718303</v>
      </c>
      <c r="BN144" s="204">
        <f t="shared" si="282"/>
        <v>-68.693753101579787</v>
      </c>
      <c r="BO144" s="204">
        <f t="shared" si="282"/>
        <v>-69.366881668945013</v>
      </c>
      <c r="BP144" s="204">
        <f t="shared" si="282"/>
        <v>-70.04594751810086</v>
      </c>
      <c r="BQ144" s="204">
        <f t="shared" si="282"/>
        <v>-70.730842804459073</v>
      </c>
      <c r="BR144" s="204">
        <f t="shared" si="282"/>
        <v>-71.421461642316928</v>
      </c>
      <c r="BS144" s="204">
        <f t="shared" si="282"/>
        <v>-72.117700069276026</v>
      </c>
      <c r="BT144" s="204">
        <f t="shared" si="282"/>
        <v>-72.819456011307551</v>
      </c>
      <c r="BU144" s="204">
        <f t="shared" ref="BU144:EF144" si="283">PV($F98,BU$9,1,0)+(PV($J$6,$N$5-(BU$9),1,0)/($J$6+1)^BU$9)</f>
        <v>-73.526629248451897</v>
      </c>
      <c r="BV144" s="204">
        <f t="shared" si="283"/>
        <v>-74.239121381141487</v>
      </c>
      <c r="BW144" s="204">
        <f t="shared" si="283"/>
        <v>-74.956835797135199</v>
      </c>
      <c r="BX144" s="204">
        <f t="shared" si="283"/>
        <v>-75.679677639053423</v>
      </c>
      <c r="BY144" s="204">
        <f t="shared" si="283"/>
        <v>-76.407553772502823</v>
      </c>
      <c r="BZ144" s="204">
        <f t="shared" si="283"/>
        <v>-77.140372754780103</v>
      </c>
      <c r="CA144" s="204">
        <f t="shared" si="283"/>
        <v>-77.878044804144153</v>
      </c>
      <c r="CB144" s="204">
        <f t="shared" si="283"/>
        <v>-78.620481769646403</v>
      </c>
      <c r="CC144" s="204">
        <f t="shared" si="283"/>
        <v>-79.36759710150919</v>
      </c>
      <c r="CD144" s="204">
        <f t="shared" si="283"/>
        <v>-80.119305822042122</v>
      </c>
      <c r="CE144" s="204">
        <f t="shared" si="283"/>
        <v>-80.87552449708673</v>
      </c>
      <c r="CF144" s="204">
        <f t="shared" si="283"/>
        <v>-81.636171207979814</v>
      </c>
      <c r="CG144" s="204">
        <f t="shared" si="283"/>
        <v>-82.401165524026041</v>
      </c>
      <c r="CH144" s="204">
        <f t="shared" si="283"/>
        <v>-83.170428475470544</v>
      </c>
      <c r="CI144" s="204">
        <f t="shared" si="283"/>
        <v>-83.943882526962454</v>
      </c>
      <c r="CJ144" s="204">
        <f t="shared" si="283"/>
        <v>-84.721451551500408</v>
      </c>
      <c r="CK144" s="204">
        <f t="shared" si="283"/>
        <v>-85.503060804851359</v>
      </c>
      <c r="CL144" s="204">
        <f t="shared" si="283"/>
        <v>-86.288636900434042</v>
      </c>
      <c r="CM144" s="204">
        <f t="shared" si="283"/>
        <v>-87.07810778465857</v>
      </c>
      <c r="CN144" s="204">
        <f t="shared" si="283"/>
        <v>-87.871402712714072</v>
      </c>
      <c r="CO144" s="204">
        <f t="shared" si="283"/>
        <v>-88.668452224796056</v>
      </c>
      <c r="CP144" s="204">
        <f t="shared" si="283"/>
        <v>-89.469188122765601</v>
      </c>
      <c r="CQ144" s="204">
        <f t="shared" si="283"/>
        <v>-90.273543447232512</v>
      </c>
      <c r="CR144" s="204">
        <f t="shared" si="283"/>
        <v>-91.081452455054702</v>
      </c>
      <c r="CS144" s="204">
        <f t="shared" si="283"/>
        <v>-91.892850597246365</v>
      </c>
      <c r="CT144" s="204">
        <f t="shared" si="283"/>
        <v>-92.707674497287258</v>
      </c>
      <c r="CU144" s="204">
        <f t="shared" si="283"/>
        <v>-93.525861929826178</v>
      </c>
      <c r="CV144" s="204">
        <f t="shared" si="283"/>
        <v>-94.347351799771133</v>
      </c>
      <c r="CW144" s="204">
        <f t="shared" si="283"/>
        <v>-95.172084121759283</v>
      </c>
      <c r="CX144" s="204">
        <f t="shared" si="283"/>
        <v>-96</v>
      </c>
      <c r="CY144" s="204">
        <f t="shared" si="283"/>
        <v>-96</v>
      </c>
      <c r="CZ144" s="204">
        <f t="shared" si="283"/>
        <v>-96</v>
      </c>
      <c r="DA144" s="204">
        <f t="shared" si="283"/>
        <v>-96</v>
      </c>
      <c r="DB144" s="204">
        <f t="shared" si="283"/>
        <v>-96</v>
      </c>
      <c r="DC144" s="204">
        <f t="shared" si="283"/>
        <v>-96</v>
      </c>
      <c r="DD144" s="204">
        <f t="shared" si="283"/>
        <v>-96</v>
      </c>
      <c r="DE144" s="204">
        <f t="shared" si="283"/>
        <v>-96</v>
      </c>
      <c r="DF144" s="204">
        <f t="shared" si="283"/>
        <v>-96</v>
      </c>
      <c r="DG144" s="204">
        <f t="shared" si="283"/>
        <v>-96</v>
      </c>
      <c r="DH144" s="204">
        <f t="shared" si="283"/>
        <v>-96</v>
      </c>
      <c r="DI144" s="204">
        <f t="shared" si="283"/>
        <v>-96</v>
      </c>
      <c r="DJ144" s="204">
        <f t="shared" si="283"/>
        <v>-96</v>
      </c>
      <c r="DK144" s="204">
        <f t="shared" si="283"/>
        <v>-96</v>
      </c>
      <c r="DL144" s="204">
        <f t="shared" si="283"/>
        <v>-96</v>
      </c>
      <c r="DM144" s="204">
        <f t="shared" si="283"/>
        <v>-96</v>
      </c>
      <c r="DN144" s="204">
        <f t="shared" si="283"/>
        <v>-96</v>
      </c>
      <c r="DO144" s="204">
        <f t="shared" si="283"/>
        <v>-96</v>
      </c>
      <c r="DP144" s="204">
        <f t="shared" si="283"/>
        <v>-96</v>
      </c>
      <c r="DQ144" s="204">
        <f t="shared" si="283"/>
        <v>-96</v>
      </c>
      <c r="DR144" s="204">
        <f t="shared" si="283"/>
        <v>-96</v>
      </c>
      <c r="DS144" s="204">
        <f t="shared" si="283"/>
        <v>-96</v>
      </c>
      <c r="DT144" s="204">
        <f t="shared" si="283"/>
        <v>-96</v>
      </c>
      <c r="DU144" s="204">
        <f t="shared" si="283"/>
        <v>-96</v>
      </c>
      <c r="DV144" s="204">
        <f t="shared" si="283"/>
        <v>-96</v>
      </c>
      <c r="DW144" s="204">
        <f t="shared" si="283"/>
        <v>-96</v>
      </c>
      <c r="DX144" s="204">
        <f t="shared" si="283"/>
        <v>-96</v>
      </c>
      <c r="DY144" s="204">
        <f t="shared" si="283"/>
        <v>-96</v>
      </c>
      <c r="DZ144" s="204">
        <f t="shared" si="283"/>
        <v>-96</v>
      </c>
      <c r="EA144" s="204">
        <f t="shared" si="283"/>
        <v>-96</v>
      </c>
      <c r="EB144" s="204">
        <f t="shared" si="283"/>
        <v>-96</v>
      </c>
      <c r="EC144" s="204">
        <f t="shared" si="283"/>
        <v>-96</v>
      </c>
      <c r="ED144" s="204">
        <f t="shared" si="283"/>
        <v>-96</v>
      </c>
      <c r="EE144" s="204">
        <f t="shared" si="283"/>
        <v>-96</v>
      </c>
      <c r="EF144" s="204">
        <f t="shared" si="283"/>
        <v>-96</v>
      </c>
      <c r="EG144" s="204">
        <f t="shared" ref="EG144:ET144" si="284">PV($F98,EG$9,1,0)+(PV($J$6,$N$5-(EG$9),1,0)/($J$6+1)^EG$9)</f>
        <v>-96</v>
      </c>
      <c r="EH144" s="204">
        <f t="shared" si="284"/>
        <v>-96</v>
      </c>
      <c r="EI144" s="204">
        <f t="shared" si="284"/>
        <v>-96</v>
      </c>
      <c r="EJ144" s="204">
        <f t="shared" si="284"/>
        <v>-96</v>
      </c>
      <c r="EK144" s="204">
        <f t="shared" si="284"/>
        <v>-96</v>
      </c>
      <c r="EL144" s="204">
        <f t="shared" si="284"/>
        <v>-96</v>
      </c>
      <c r="EM144" s="204">
        <f t="shared" si="284"/>
        <v>-96</v>
      </c>
      <c r="EN144" s="204">
        <f t="shared" si="284"/>
        <v>-96</v>
      </c>
      <c r="EO144" s="204">
        <f t="shared" si="284"/>
        <v>-96</v>
      </c>
      <c r="EP144" s="204">
        <f t="shared" si="284"/>
        <v>-96</v>
      </c>
      <c r="EQ144" s="204">
        <f t="shared" si="284"/>
        <v>-96</v>
      </c>
      <c r="ER144" s="204">
        <f t="shared" si="284"/>
        <v>-96</v>
      </c>
      <c r="ES144" s="204">
        <f t="shared" si="284"/>
        <v>-96</v>
      </c>
      <c r="ET144" s="204">
        <f t="shared" si="284"/>
        <v>-96</v>
      </c>
      <c r="FF144" s="6" t="s">
        <v>3792</v>
      </c>
      <c r="FG144" s="696">
        <v>2.5000000000000001E-2</v>
      </c>
      <c r="FH144" s="696">
        <v>120</v>
      </c>
      <c r="FI144" s="696">
        <v>1.8500000000000003E-2</v>
      </c>
      <c r="FJ144" s="255">
        <v>1.55E-2</v>
      </c>
      <c r="FK144" s="71">
        <f t="shared" si="272"/>
        <v>2.2619047619047624E-4</v>
      </c>
      <c r="FL144" t="e">
        <f>VLOOKUP(FF144,'SIMULADOR COM SALDO'!$BX$22:$CK$1000,13,FALSE)</f>
        <v>#N/A</v>
      </c>
    </row>
    <row r="145" spans="7:168" x14ac:dyDescent="0.25">
      <c r="G145" s="103">
        <f t="shared" si="228"/>
        <v>-44.770373601250576</v>
      </c>
      <c r="H145" s="204">
        <f t="shared" si="229"/>
        <v>-44.806371604802436</v>
      </c>
      <c r="I145" s="204">
        <f t="shared" ref="I145:BT145" si="285">PV($F99,I$9,1,0)+(PV($J$6,$N$5-(I$9),1,0)/($J$6+1)^I$9)</f>
        <v>-44.859879708437063</v>
      </c>
      <c r="J145" s="204">
        <f t="shared" si="285"/>
        <v>-44.930579859281075</v>
      </c>
      <c r="K145" s="204">
        <f t="shared" si="285"/>
        <v>-45.018159781562872</v>
      </c>
      <c r="L145" s="204">
        <f t="shared" si="285"/>
        <v>-45.122312871677551</v>
      </c>
      <c r="M145" s="204">
        <f t="shared" si="285"/>
        <v>-45.24273809515784</v>
      </c>
      <c r="N145" s="204">
        <f t="shared" si="285"/>
        <v>-45.379139885516487</v>
      </c>
      <c r="O145" s="204">
        <f t="shared" si="285"/>
        <v>-45.53122804492606</v>
      </c>
      <c r="P145" s="204">
        <f t="shared" si="285"/>
        <v>-45.698717646702761</v>
      </c>
      <c r="Q145" s="204">
        <f t="shared" si="285"/>
        <v>-45.881328939561598</v>
      </c>
      <c r="R145" s="204">
        <f t="shared" si="285"/>
        <v>-46.078787253610507</v>
      </c>
      <c r="S145" s="204">
        <f t="shared" si="285"/>
        <v>-46.290822908052249</v>
      </c>
      <c r="T145" s="204">
        <f t="shared" si="285"/>
        <v>-46.517171120562551</v>
      </c>
      <c r="U145" s="204">
        <f t="shared" si="285"/>
        <v>-46.75757191831444</v>
      </c>
      <c r="V145" s="204">
        <f t="shared" si="285"/>
        <v>-47.011770050618708</v>
      </c>
      <c r="W145" s="204">
        <f t="shared" si="285"/>
        <v>-47.279514903151124</v>
      </c>
      <c r="X145" s="204">
        <f t="shared" si="285"/>
        <v>-47.560560413737676</v>
      </c>
      <c r="Y145" s="204">
        <f t="shared" si="285"/>
        <v>-47.854664989669509</v>
      </c>
      <c r="Z145" s="204">
        <f t="shared" si="285"/>
        <v>-48.161591426519607</v>
      </c>
      <c r="AA145" s="204">
        <f t="shared" si="285"/>
        <v>-48.481106828434278</v>
      </c>
      <c r="AB145" s="204">
        <f t="shared" si="285"/>
        <v>-48.81298252987235</v>
      </c>
      <c r="AC145" s="204">
        <f t="shared" si="285"/>
        <v>-49.156994018765893</v>
      </c>
      <c r="AD145" s="204">
        <f t="shared" si="285"/>
        <v>-49.51292086107668</v>
      </c>
      <c r="AE145" s="204">
        <f t="shared" si="285"/>
        <v>-49.880546626723003</v>
      </c>
      <c r="AF145" s="204">
        <f t="shared" si="285"/>
        <v>-50.259658816851953</v>
      </c>
      <c r="AG145" s="204">
        <f t="shared" si="285"/>
        <v>-50.650048792432663</v>
      </c>
      <c r="AH145" s="204">
        <f t="shared" si="285"/>
        <v>-51.051511704146662</v>
      </c>
      <c r="AI145" s="204">
        <f t="shared" si="285"/>
        <v>-51.463846423551665</v>
      </c>
      <c r="AJ145" s="204">
        <f t="shared" si="285"/>
        <v>-51.886855475495707</v>
      </c>
      <c r="AK145" s="204">
        <f t="shared" si="285"/>
        <v>-52.320344971758878</v>
      </c>
      <c r="AL145" s="204">
        <f t="shared" si="285"/>
        <v>-52.76412454590043</v>
      </c>
      <c r="AM145" s="204">
        <f t="shared" si="285"/>
        <v>-53.218007289289282</v>
      </c>
      <c r="AN145" s="204">
        <f t="shared" si="285"/>
        <v>-53.681809688296511</v>
      </c>
      <c r="AO145" s="204">
        <f t="shared" si="285"/>
        <v>-54.155351562628589</v>
      </c>
      <c r="AP145" s="204">
        <f t="shared" si="285"/>
        <v>-54.638456004780849</v>
      </c>
      <c r="AQ145" s="204">
        <f t="shared" si="285"/>
        <v>-55.130949320590631</v>
      </c>
      <c r="AR145" s="204">
        <f t="shared" si="285"/>
        <v>-55.632660970870248</v>
      </c>
      <c r="AS145" s="204">
        <f t="shared" si="285"/>
        <v>-56.143423514100107</v>
      </c>
      <c r="AT145" s="204">
        <f t="shared" si="285"/>
        <v>-56.663072550162802</v>
      </c>
      <c r="AU145" s="204">
        <f t="shared" si="285"/>
        <v>-57.191446665099171</v>
      </c>
      <c r="AV145" s="204">
        <f t="shared" si="285"/>
        <v>-57.728387376867829</v>
      </c>
      <c r="AW145" s="204">
        <f t="shared" si="285"/>
        <v>-58.273739082089882</v>
      </c>
      <c r="AX145" s="204">
        <f t="shared" si="285"/>
        <v>-58.827349003761015</v>
      </c>
      <c r="AY145" s="204">
        <f t="shared" si="285"/>
        <v>-59.389067139913323</v>
      </c>
      <c r="AZ145" s="204">
        <f t="shared" si="285"/>
        <v>-59.95874621320965</v>
      </c>
      <c r="BA145" s="204">
        <f t="shared" si="285"/>
        <v>-60.53624162145347</v>
      </c>
      <c r="BB145" s="204">
        <f t="shared" si="285"/>
        <v>-61.121411388997728</v>
      </c>
      <c r="BC145" s="204">
        <f t="shared" si="285"/>
        <v>-61.714116119036262</v>
      </c>
      <c r="BD145" s="204">
        <f t="shared" si="285"/>
        <v>-62.314218946761883</v>
      </c>
      <c r="BE145" s="204">
        <f t="shared" si="285"/>
        <v>-62.921585493375147</v>
      </c>
      <c r="BF145" s="204">
        <f t="shared" si="285"/>
        <v>-63.536083820928674</v>
      </c>
      <c r="BG145" s="204">
        <f t="shared" si="285"/>
        <v>-64.157584387991548</v>
      </c>
      <c r="BH145" s="204">
        <f t="shared" si="285"/>
        <v>-64.785960006119055</v>
      </c>
      <c r="BI145" s="204">
        <f t="shared" si="285"/>
        <v>-65.421085797113165</v>
      </c>
      <c r="BJ145" s="204">
        <f t="shared" si="285"/>
        <v>-66.062839151059279</v>
      </c>
      <c r="BK145" s="204">
        <f t="shared" si="285"/>
        <v>-66.711099685125177</v>
      </c>
      <c r="BL145" s="204">
        <f t="shared" si="285"/>
        <v>-67.365749203108379</v>
      </c>
      <c r="BM145" s="204">
        <f t="shared" si="285"/>
        <v>-68.026671655718303</v>
      </c>
      <c r="BN145" s="204">
        <f t="shared" si="285"/>
        <v>-68.693753101579787</v>
      </c>
      <c r="BO145" s="204">
        <f t="shared" si="285"/>
        <v>-69.366881668945013</v>
      </c>
      <c r="BP145" s="204">
        <f t="shared" si="285"/>
        <v>-70.04594751810086</v>
      </c>
      <c r="BQ145" s="204">
        <f t="shared" si="285"/>
        <v>-70.730842804459073</v>
      </c>
      <c r="BR145" s="204">
        <f t="shared" si="285"/>
        <v>-71.421461642316928</v>
      </c>
      <c r="BS145" s="204">
        <f t="shared" si="285"/>
        <v>-72.117700069276026</v>
      </c>
      <c r="BT145" s="204">
        <f t="shared" si="285"/>
        <v>-72.819456011307551</v>
      </c>
      <c r="BU145" s="204">
        <f t="shared" ref="BU145:EF145" si="286">PV($F99,BU$9,1,0)+(PV($J$6,$N$5-(BU$9),1,0)/($J$6+1)^BU$9)</f>
        <v>-73.526629248451897</v>
      </c>
      <c r="BV145" s="204">
        <f t="shared" si="286"/>
        <v>-74.239121381141487</v>
      </c>
      <c r="BW145" s="204">
        <f t="shared" si="286"/>
        <v>-74.956835797135199</v>
      </c>
      <c r="BX145" s="204">
        <f t="shared" si="286"/>
        <v>-75.679677639053423</v>
      </c>
      <c r="BY145" s="204">
        <f t="shared" si="286"/>
        <v>-76.407553772502823</v>
      </c>
      <c r="BZ145" s="204">
        <f t="shared" si="286"/>
        <v>-77.140372754780103</v>
      </c>
      <c r="CA145" s="204">
        <f t="shared" si="286"/>
        <v>-77.878044804144153</v>
      </c>
      <c r="CB145" s="204">
        <f t="shared" si="286"/>
        <v>-78.620481769646403</v>
      </c>
      <c r="CC145" s="204">
        <f t="shared" si="286"/>
        <v>-79.36759710150919</v>
      </c>
      <c r="CD145" s="204">
        <f t="shared" si="286"/>
        <v>-80.119305822042122</v>
      </c>
      <c r="CE145" s="204">
        <f t="shared" si="286"/>
        <v>-80.87552449708673</v>
      </c>
      <c r="CF145" s="204">
        <f t="shared" si="286"/>
        <v>-81.636171207979814</v>
      </c>
      <c r="CG145" s="204">
        <f t="shared" si="286"/>
        <v>-82.401165524026041</v>
      </c>
      <c r="CH145" s="204">
        <f t="shared" si="286"/>
        <v>-83.170428475470544</v>
      </c>
      <c r="CI145" s="204">
        <f t="shared" si="286"/>
        <v>-83.943882526962454</v>
      </c>
      <c r="CJ145" s="204">
        <f t="shared" si="286"/>
        <v>-84.721451551500408</v>
      </c>
      <c r="CK145" s="204">
        <f t="shared" si="286"/>
        <v>-85.503060804851359</v>
      </c>
      <c r="CL145" s="204">
        <f t="shared" si="286"/>
        <v>-86.288636900434042</v>
      </c>
      <c r="CM145" s="204">
        <f t="shared" si="286"/>
        <v>-87.07810778465857</v>
      </c>
      <c r="CN145" s="204">
        <f t="shared" si="286"/>
        <v>-87.871402712714072</v>
      </c>
      <c r="CO145" s="204">
        <f t="shared" si="286"/>
        <v>-88.668452224796056</v>
      </c>
      <c r="CP145" s="204">
        <f t="shared" si="286"/>
        <v>-89.469188122765601</v>
      </c>
      <c r="CQ145" s="204">
        <f t="shared" si="286"/>
        <v>-90.273543447232512</v>
      </c>
      <c r="CR145" s="204">
        <f t="shared" si="286"/>
        <v>-91.081452455054702</v>
      </c>
      <c r="CS145" s="204">
        <f t="shared" si="286"/>
        <v>-91.892850597246365</v>
      </c>
      <c r="CT145" s="204">
        <f t="shared" si="286"/>
        <v>-92.707674497287258</v>
      </c>
      <c r="CU145" s="204">
        <f t="shared" si="286"/>
        <v>-93.525861929826178</v>
      </c>
      <c r="CV145" s="204">
        <f t="shared" si="286"/>
        <v>-94.347351799771133</v>
      </c>
      <c r="CW145" s="204">
        <f t="shared" si="286"/>
        <v>-95.172084121759283</v>
      </c>
      <c r="CX145" s="204">
        <f t="shared" si="286"/>
        <v>-96</v>
      </c>
      <c r="CY145" s="204">
        <f t="shared" si="286"/>
        <v>-96</v>
      </c>
      <c r="CZ145" s="204">
        <f t="shared" si="286"/>
        <v>-96</v>
      </c>
      <c r="DA145" s="204">
        <f t="shared" si="286"/>
        <v>-96</v>
      </c>
      <c r="DB145" s="204">
        <f t="shared" si="286"/>
        <v>-96</v>
      </c>
      <c r="DC145" s="204">
        <f t="shared" si="286"/>
        <v>-96</v>
      </c>
      <c r="DD145" s="204">
        <f t="shared" si="286"/>
        <v>-96</v>
      </c>
      <c r="DE145" s="204">
        <f t="shared" si="286"/>
        <v>-96</v>
      </c>
      <c r="DF145" s="204">
        <f t="shared" si="286"/>
        <v>-96</v>
      </c>
      <c r="DG145" s="204">
        <f t="shared" si="286"/>
        <v>-96</v>
      </c>
      <c r="DH145" s="204">
        <f t="shared" si="286"/>
        <v>-96</v>
      </c>
      <c r="DI145" s="204">
        <f t="shared" si="286"/>
        <v>-96</v>
      </c>
      <c r="DJ145" s="204">
        <f t="shared" si="286"/>
        <v>-96</v>
      </c>
      <c r="DK145" s="204">
        <f t="shared" si="286"/>
        <v>-96</v>
      </c>
      <c r="DL145" s="204">
        <f t="shared" si="286"/>
        <v>-96</v>
      </c>
      <c r="DM145" s="204">
        <f t="shared" si="286"/>
        <v>-96</v>
      </c>
      <c r="DN145" s="204">
        <f t="shared" si="286"/>
        <v>-96</v>
      </c>
      <c r="DO145" s="204">
        <f t="shared" si="286"/>
        <v>-96</v>
      </c>
      <c r="DP145" s="204">
        <f t="shared" si="286"/>
        <v>-96</v>
      </c>
      <c r="DQ145" s="204">
        <f t="shared" si="286"/>
        <v>-96</v>
      </c>
      <c r="DR145" s="204">
        <f t="shared" si="286"/>
        <v>-96</v>
      </c>
      <c r="DS145" s="204">
        <f t="shared" si="286"/>
        <v>-96</v>
      </c>
      <c r="DT145" s="204">
        <f t="shared" si="286"/>
        <v>-96</v>
      </c>
      <c r="DU145" s="204">
        <f t="shared" si="286"/>
        <v>-96</v>
      </c>
      <c r="DV145" s="204">
        <f t="shared" si="286"/>
        <v>-96</v>
      </c>
      <c r="DW145" s="204">
        <f t="shared" si="286"/>
        <v>-96</v>
      </c>
      <c r="DX145" s="204">
        <f t="shared" si="286"/>
        <v>-96</v>
      </c>
      <c r="DY145" s="204">
        <f t="shared" si="286"/>
        <v>-96</v>
      </c>
      <c r="DZ145" s="204">
        <f t="shared" si="286"/>
        <v>-96</v>
      </c>
      <c r="EA145" s="204">
        <f t="shared" si="286"/>
        <v>-96</v>
      </c>
      <c r="EB145" s="204">
        <f t="shared" si="286"/>
        <v>-96</v>
      </c>
      <c r="EC145" s="204">
        <f t="shared" si="286"/>
        <v>-96</v>
      </c>
      <c r="ED145" s="204">
        <f t="shared" si="286"/>
        <v>-96</v>
      </c>
      <c r="EE145" s="204">
        <f t="shared" si="286"/>
        <v>-96</v>
      </c>
      <c r="EF145" s="204">
        <f t="shared" si="286"/>
        <v>-96</v>
      </c>
      <c r="EG145" s="204">
        <f t="shared" ref="EG145:ET145" si="287">PV($F99,EG$9,1,0)+(PV($J$6,$N$5-(EG$9),1,0)/($J$6+1)^EG$9)</f>
        <v>-96</v>
      </c>
      <c r="EH145" s="204">
        <f t="shared" si="287"/>
        <v>-96</v>
      </c>
      <c r="EI145" s="204">
        <f t="shared" si="287"/>
        <v>-96</v>
      </c>
      <c r="EJ145" s="204">
        <f t="shared" si="287"/>
        <v>-96</v>
      </c>
      <c r="EK145" s="204">
        <f t="shared" si="287"/>
        <v>-96</v>
      </c>
      <c r="EL145" s="204">
        <f t="shared" si="287"/>
        <v>-96</v>
      </c>
      <c r="EM145" s="204">
        <f t="shared" si="287"/>
        <v>-96</v>
      </c>
      <c r="EN145" s="204">
        <f t="shared" si="287"/>
        <v>-96</v>
      </c>
      <c r="EO145" s="204">
        <f t="shared" si="287"/>
        <v>-96</v>
      </c>
      <c r="EP145" s="204">
        <f t="shared" si="287"/>
        <v>-96</v>
      </c>
      <c r="EQ145" s="204">
        <f t="shared" si="287"/>
        <v>-96</v>
      </c>
      <c r="ER145" s="204">
        <f t="shared" si="287"/>
        <v>-96</v>
      </c>
      <c r="ES145" s="204">
        <f t="shared" si="287"/>
        <v>-96</v>
      </c>
      <c r="ET145" s="204">
        <f t="shared" si="287"/>
        <v>-96</v>
      </c>
      <c r="FF145" s="6" t="s">
        <v>1264</v>
      </c>
      <c r="FG145" s="696">
        <v>2.5000000000000001E-2</v>
      </c>
      <c r="FH145" s="696">
        <v>120</v>
      </c>
      <c r="FI145" s="696">
        <v>0.02</v>
      </c>
      <c r="FJ145" s="255">
        <v>1.3899999999999999E-2</v>
      </c>
      <c r="FK145" s="71">
        <f t="shared" si="272"/>
        <v>2.6428571428571435E-4</v>
      </c>
      <c r="FL145" t="e">
        <f>VLOOKUP(FF145,'SIMULADOR COM SALDO'!$BX$22:$CK$1000,13,FALSE)</f>
        <v>#N/A</v>
      </c>
    </row>
    <row r="146" spans="7:168" x14ac:dyDescent="0.25">
      <c r="G146" s="103">
        <f t="shared" si="228"/>
        <v>-44.770373601250576</v>
      </c>
      <c r="H146" s="204">
        <f t="shared" si="229"/>
        <v>-44.806371604802436</v>
      </c>
      <c r="I146" s="204">
        <f t="shared" ref="I146:BT146" si="288">PV($F100,I$9,1,0)+(PV($J$6,$N$5-(I$9),1,0)/($J$6+1)^I$9)</f>
        <v>-44.859879708437063</v>
      </c>
      <c r="J146" s="204">
        <f t="shared" si="288"/>
        <v>-44.930579859281075</v>
      </c>
      <c r="K146" s="204">
        <f t="shared" si="288"/>
        <v>-45.018159781562872</v>
      </c>
      <c r="L146" s="204">
        <f t="shared" si="288"/>
        <v>-45.122312871677551</v>
      </c>
      <c r="M146" s="204">
        <f t="shared" si="288"/>
        <v>-45.24273809515784</v>
      </c>
      <c r="N146" s="204">
        <f t="shared" si="288"/>
        <v>-45.379139885516487</v>
      </c>
      <c r="O146" s="204">
        <f t="shared" si="288"/>
        <v>-45.53122804492606</v>
      </c>
      <c r="P146" s="204">
        <f t="shared" si="288"/>
        <v>-45.698717646702761</v>
      </c>
      <c r="Q146" s="204">
        <f t="shared" si="288"/>
        <v>-45.881328939561598</v>
      </c>
      <c r="R146" s="204">
        <f t="shared" si="288"/>
        <v>-46.078787253610507</v>
      </c>
      <c r="S146" s="204">
        <f t="shared" si="288"/>
        <v>-46.290822908052249</v>
      </c>
      <c r="T146" s="204">
        <f t="shared" si="288"/>
        <v>-46.517171120562551</v>
      </c>
      <c r="U146" s="204">
        <f t="shared" si="288"/>
        <v>-46.75757191831444</v>
      </c>
      <c r="V146" s="204">
        <f t="shared" si="288"/>
        <v>-47.011770050618708</v>
      </c>
      <c r="W146" s="204">
        <f t="shared" si="288"/>
        <v>-47.279514903151124</v>
      </c>
      <c r="X146" s="204">
        <f t="shared" si="288"/>
        <v>-47.560560413737676</v>
      </c>
      <c r="Y146" s="204">
        <f t="shared" si="288"/>
        <v>-47.854664989669509</v>
      </c>
      <c r="Z146" s="204">
        <f t="shared" si="288"/>
        <v>-48.161591426519607</v>
      </c>
      <c r="AA146" s="204">
        <f t="shared" si="288"/>
        <v>-48.481106828434278</v>
      </c>
      <c r="AB146" s="204">
        <f t="shared" si="288"/>
        <v>-48.81298252987235</v>
      </c>
      <c r="AC146" s="204">
        <f t="shared" si="288"/>
        <v>-49.156994018765893</v>
      </c>
      <c r="AD146" s="204">
        <f t="shared" si="288"/>
        <v>-49.51292086107668</v>
      </c>
      <c r="AE146" s="204">
        <f t="shared" si="288"/>
        <v>-49.880546626723003</v>
      </c>
      <c r="AF146" s="204">
        <f t="shared" si="288"/>
        <v>-50.259658816851953</v>
      </c>
      <c r="AG146" s="204">
        <f t="shared" si="288"/>
        <v>-50.650048792432663</v>
      </c>
      <c r="AH146" s="204">
        <f t="shared" si="288"/>
        <v>-51.051511704146662</v>
      </c>
      <c r="AI146" s="204">
        <f t="shared" si="288"/>
        <v>-51.463846423551665</v>
      </c>
      <c r="AJ146" s="204">
        <f t="shared" si="288"/>
        <v>-51.886855475495707</v>
      </c>
      <c r="AK146" s="204">
        <f t="shared" si="288"/>
        <v>-52.320344971758878</v>
      </c>
      <c r="AL146" s="204">
        <f t="shared" si="288"/>
        <v>-52.76412454590043</v>
      </c>
      <c r="AM146" s="204">
        <f t="shared" si="288"/>
        <v>-53.218007289289282</v>
      </c>
      <c r="AN146" s="204">
        <f t="shared" si="288"/>
        <v>-53.681809688296511</v>
      </c>
      <c r="AO146" s="204">
        <f t="shared" si="288"/>
        <v>-54.155351562628589</v>
      </c>
      <c r="AP146" s="204">
        <f t="shared" si="288"/>
        <v>-54.638456004780849</v>
      </c>
      <c r="AQ146" s="204">
        <f t="shared" si="288"/>
        <v>-55.130949320590631</v>
      </c>
      <c r="AR146" s="204">
        <f t="shared" si="288"/>
        <v>-55.632660970870248</v>
      </c>
      <c r="AS146" s="204">
        <f t="shared" si="288"/>
        <v>-56.143423514100107</v>
      </c>
      <c r="AT146" s="204">
        <f t="shared" si="288"/>
        <v>-56.663072550162802</v>
      </c>
      <c r="AU146" s="204">
        <f t="shared" si="288"/>
        <v>-57.191446665099171</v>
      </c>
      <c r="AV146" s="204">
        <f t="shared" si="288"/>
        <v>-57.728387376867829</v>
      </c>
      <c r="AW146" s="204">
        <f t="shared" si="288"/>
        <v>-58.273739082089882</v>
      </c>
      <c r="AX146" s="204">
        <f t="shared" si="288"/>
        <v>-58.827349003761015</v>
      </c>
      <c r="AY146" s="204">
        <f t="shared" si="288"/>
        <v>-59.389067139913323</v>
      </c>
      <c r="AZ146" s="204">
        <f t="shared" si="288"/>
        <v>-59.95874621320965</v>
      </c>
      <c r="BA146" s="204">
        <f t="shared" si="288"/>
        <v>-60.53624162145347</v>
      </c>
      <c r="BB146" s="204">
        <f t="shared" si="288"/>
        <v>-61.121411388997728</v>
      </c>
      <c r="BC146" s="204">
        <f t="shared" si="288"/>
        <v>-61.714116119036262</v>
      </c>
      <c r="BD146" s="204">
        <f t="shared" si="288"/>
        <v>-62.314218946761883</v>
      </c>
      <c r="BE146" s="204">
        <f t="shared" si="288"/>
        <v>-62.921585493375147</v>
      </c>
      <c r="BF146" s="204">
        <f t="shared" si="288"/>
        <v>-63.536083820928674</v>
      </c>
      <c r="BG146" s="204">
        <f t="shared" si="288"/>
        <v>-64.157584387991548</v>
      </c>
      <c r="BH146" s="204">
        <f t="shared" si="288"/>
        <v>-64.785960006119055</v>
      </c>
      <c r="BI146" s="204">
        <f t="shared" si="288"/>
        <v>-65.421085797113165</v>
      </c>
      <c r="BJ146" s="204">
        <f t="shared" si="288"/>
        <v>-66.062839151059279</v>
      </c>
      <c r="BK146" s="204">
        <f t="shared" si="288"/>
        <v>-66.711099685125177</v>
      </c>
      <c r="BL146" s="204">
        <f t="shared" si="288"/>
        <v>-67.365749203108379</v>
      </c>
      <c r="BM146" s="204">
        <f t="shared" si="288"/>
        <v>-68.026671655718303</v>
      </c>
      <c r="BN146" s="204">
        <f t="shared" si="288"/>
        <v>-68.693753101579787</v>
      </c>
      <c r="BO146" s="204">
        <f t="shared" si="288"/>
        <v>-69.366881668945013</v>
      </c>
      <c r="BP146" s="204">
        <f t="shared" si="288"/>
        <v>-70.04594751810086</v>
      </c>
      <c r="BQ146" s="204">
        <f t="shared" si="288"/>
        <v>-70.730842804459073</v>
      </c>
      <c r="BR146" s="204">
        <f t="shared" si="288"/>
        <v>-71.421461642316928</v>
      </c>
      <c r="BS146" s="204">
        <f t="shared" si="288"/>
        <v>-72.117700069276026</v>
      </c>
      <c r="BT146" s="204">
        <f t="shared" si="288"/>
        <v>-72.819456011307551</v>
      </c>
      <c r="BU146" s="204">
        <f t="shared" ref="BU146:EF146" si="289">PV($F100,BU$9,1,0)+(PV($J$6,$N$5-(BU$9),1,0)/($J$6+1)^BU$9)</f>
        <v>-73.526629248451897</v>
      </c>
      <c r="BV146" s="204">
        <f t="shared" si="289"/>
        <v>-74.239121381141487</v>
      </c>
      <c r="BW146" s="204">
        <f t="shared" si="289"/>
        <v>-74.956835797135199</v>
      </c>
      <c r="BX146" s="204">
        <f t="shared" si="289"/>
        <v>-75.679677639053423</v>
      </c>
      <c r="BY146" s="204">
        <f t="shared" si="289"/>
        <v>-76.407553772502823</v>
      </c>
      <c r="BZ146" s="204">
        <f t="shared" si="289"/>
        <v>-77.140372754780103</v>
      </c>
      <c r="CA146" s="204">
        <f t="shared" si="289"/>
        <v>-77.878044804144153</v>
      </c>
      <c r="CB146" s="204">
        <f t="shared" si="289"/>
        <v>-78.620481769646403</v>
      </c>
      <c r="CC146" s="204">
        <f t="shared" si="289"/>
        <v>-79.36759710150919</v>
      </c>
      <c r="CD146" s="204">
        <f t="shared" si="289"/>
        <v>-80.119305822042122</v>
      </c>
      <c r="CE146" s="204">
        <f t="shared" si="289"/>
        <v>-80.87552449708673</v>
      </c>
      <c r="CF146" s="204">
        <f t="shared" si="289"/>
        <v>-81.636171207979814</v>
      </c>
      <c r="CG146" s="204">
        <f t="shared" si="289"/>
        <v>-82.401165524026041</v>
      </c>
      <c r="CH146" s="204">
        <f t="shared" si="289"/>
        <v>-83.170428475470544</v>
      </c>
      <c r="CI146" s="204">
        <f t="shared" si="289"/>
        <v>-83.943882526962454</v>
      </c>
      <c r="CJ146" s="204">
        <f t="shared" si="289"/>
        <v>-84.721451551500408</v>
      </c>
      <c r="CK146" s="204">
        <f t="shared" si="289"/>
        <v>-85.503060804851359</v>
      </c>
      <c r="CL146" s="204">
        <f t="shared" si="289"/>
        <v>-86.288636900434042</v>
      </c>
      <c r="CM146" s="204">
        <f t="shared" si="289"/>
        <v>-87.07810778465857</v>
      </c>
      <c r="CN146" s="204">
        <f t="shared" si="289"/>
        <v>-87.871402712714072</v>
      </c>
      <c r="CO146" s="204">
        <f t="shared" si="289"/>
        <v>-88.668452224796056</v>
      </c>
      <c r="CP146" s="204">
        <f t="shared" si="289"/>
        <v>-89.469188122765601</v>
      </c>
      <c r="CQ146" s="204">
        <f t="shared" si="289"/>
        <v>-90.273543447232512</v>
      </c>
      <c r="CR146" s="204">
        <f t="shared" si="289"/>
        <v>-91.081452455054702</v>
      </c>
      <c r="CS146" s="204">
        <f t="shared" si="289"/>
        <v>-91.892850597246365</v>
      </c>
      <c r="CT146" s="204">
        <f t="shared" si="289"/>
        <v>-92.707674497287258</v>
      </c>
      <c r="CU146" s="204">
        <f t="shared" si="289"/>
        <v>-93.525861929826178</v>
      </c>
      <c r="CV146" s="204">
        <f t="shared" si="289"/>
        <v>-94.347351799771133</v>
      </c>
      <c r="CW146" s="204">
        <f t="shared" si="289"/>
        <v>-95.172084121759283</v>
      </c>
      <c r="CX146" s="204">
        <f t="shared" si="289"/>
        <v>-96</v>
      </c>
      <c r="CY146" s="204">
        <f t="shared" si="289"/>
        <v>-96</v>
      </c>
      <c r="CZ146" s="204">
        <f t="shared" si="289"/>
        <v>-96</v>
      </c>
      <c r="DA146" s="204">
        <f t="shared" si="289"/>
        <v>-96</v>
      </c>
      <c r="DB146" s="204">
        <f t="shared" si="289"/>
        <v>-96</v>
      </c>
      <c r="DC146" s="204">
        <f t="shared" si="289"/>
        <v>-96</v>
      </c>
      <c r="DD146" s="204">
        <f t="shared" si="289"/>
        <v>-96</v>
      </c>
      <c r="DE146" s="204">
        <f t="shared" si="289"/>
        <v>-96</v>
      </c>
      <c r="DF146" s="204">
        <f t="shared" si="289"/>
        <v>-96</v>
      </c>
      <c r="DG146" s="204">
        <f t="shared" si="289"/>
        <v>-96</v>
      </c>
      <c r="DH146" s="204">
        <f t="shared" si="289"/>
        <v>-96</v>
      </c>
      <c r="DI146" s="204">
        <f t="shared" si="289"/>
        <v>-96</v>
      </c>
      <c r="DJ146" s="204">
        <f t="shared" si="289"/>
        <v>-96</v>
      </c>
      <c r="DK146" s="204">
        <f t="shared" si="289"/>
        <v>-96</v>
      </c>
      <c r="DL146" s="204">
        <f t="shared" si="289"/>
        <v>-96</v>
      </c>
      <c r="DM146" s="204">
        <f t="shared" si="289"/>
        <v>-96</v>
      </c>
      <c r="DN146" s="204">
        <f t="shared" si="289"/>
        <v>-96</v>
      </c>
      <c r="DO146" s="204">
        <f t="shared" si="289"/>
        <v>-96</v>
      </c>
      <c r="DP146" s="204">
        <f t="shared" si="289"/>
        <v>-96</v>
      </c>
      <c r="DQ146" s="204">
        <f t="shared" si="289"/>
        <v>-96</v>
      </c>
      <c r="DR146" s="204">
        <f t="shared" si="289"/>
        <v>-96</v>
      </c>
      <c r="DS146" s="204">
        <f t="shared" si="289"/>
        <v>-96</v>
      </c>
      <c r="DT146" s="204">
        <f t="shared" si="289"/>
        <v>-96</v>
      </c>
      <c r="DU146" s="204">
        <f t="shared" si="289"/>
        <v>-96</v>
      </c>
      <c r="DV146" s="204">
        <f t="shared" si="289"/>
        <v>-96</v>
      </c>
      <c r="DW146" s="204">
        <f t="shared" si="289"/>
        <v>-96</v>
      </c>
      <c r="DX146" s="204">
        <f t="shared" si="289"/>
        <v>-96</v>
      </c>
      <c r="DY146" s="204">
        <f t="shared" si="289"/>
        <v>-96</v>
      </c>
      <c r="DZ146" s="204">
        <f t="shared" si="289"/>
        <v>-96</v>
      </c>
      <c r="EA146" s="204">
        <f t="shared" si="289"/>
        <v>-96</v>
      </c>
      <c r="EB146" s="204">
        <f t="shared" si="289"/>
        <v>-96</v>
      </c>
      <c r="EC146" s="204">
        <f t="shared" si="289"/>
        <v>-96</v>
      </c>
      <c r="ED146" s="204">
        <f t="shared" si="289"/>
        <v>-96</v>
      </c>
      <c r="EE146" s="204">
        <f t="shared" si="289"/>
        <v>-96</v>
      </c>
      <c r="EF146" s="204">
        <f t="shared" si="289"/>
        <v>-96</v>
      </c>
      <c r="EG146" s="204">
        <f t="shared" ref="EG146:ET146" si="290">PV($F100,EG$9,1,0)+(PV($J$6,$N$5-(EG$9),1,0)/($J$6+1)^EG$9)</f>
        <v>-96</v>
      </c>
      <c r="EH146" s="204">
        <f t="shared" si="290"/>
        <v>-96</v>
      </c>
      <c r="EI146" s="204">
        <f t="shared" si="290"/>
        <v>-96</v>
      </c>
      <c r="EJ146" s="204">
        <f t="shared" si="290"/>
        <v>-96</v>
      </c>
      <c r="EK146" s="204">
        <f t="shared" si="290"/>
        <v>-96</v>
      </c>
      <c r="EL146" s="204">
        <f t="shared" si="290"/>
        <v>-96</v>
      </c>
      <c r="EM146" s="204">
        <f t="shared" si="290"/>
        <v>-96</v>
      </c>
      <c r="EN146" s="204">
        <f t="shared" si="290"/>
        <v>-96</v>
      </c>
      <c r="EO146" s="204">
        <f t="shared" si="290"/>
        <v>-96</v>
      </c>
      <c r="EP146" s="204">
        <f t="shared" si="290"/>
        <v>-96</v>
      </c>
      <c r="EQ146" s="204">
        <f t="shared" si="290"/>
        <v>-96</v>
      </c>
      <c r="ER146" s="204">
        <f t="shared" si="290"/>
        <v>-96</v>
      </c>
      <c r="ES146" s="204">
        <f t="shared" si="290"/>
        <v>-96</v>
      </c>
      <c r="ET146" s="204">
        <f t="shared" si="290"/>
        <v>-96</v>
      </c>
      <c r="FF146" s="67" t="s">
        <v>80</v>
      </c>
      <c r="FG146" s="696">
        <v>2.5000000000000001E-2</v>
      </c>
      <c r="FH146" s="696">
        <v>120</v>
      </c>
      <c r="FI146" s="696">
        <v>1.55E-2</v>
      </c>
      <c r="FJ146" s="255">
        <v>1.4499999999999999E-2</v>
      </c>
      <c r="FK146" s="71">
        <f t="shared" si="272"/>
        <v>2.5000000000000006E-4</v>
      </c>
      <c r="FL146" t="e">
        <f>VLOOKUP(FF146,'SIMULADOR COM SALDO'!$BX$22:$CK$1000,13,FALSE)</f>
        <v>#N/A</v>
      </c>
    </row>
    <row r="147" spans="7:168" x14ac:dyDescent="0.25">
      <c r="G147" s="103">
        <f t="shared" si="228"/>
        <v>-44.770373601250576</v>
      </c>
      <c r="H147" s="204">
        <f t="shared" si="229"/>
        <v>-44.806371604802436</v>
      </c>
      <c r="I147" s="204">
        <f t="shared" ref="I147:BT147" si="291">PV($F101,I$9,1,0)+(PV($J$6,$N$5-(I$9),1,0)/($J$6+1)^I$9)</f>
        <v>-44.859879708437063</v>
      </c>
      <c r="J147" s="204">
        <f t="shared" si="291"/>
        <v>-44.930579859281075</v>
      </c>
      <c r="K147" s="204">
        <f t="shared" si="291"/>
        <v>-45.018159781562872</v>
      </c>
      <c r="L147" s="204">
        <f t="shared" si="291"/>
        <v>-45.122312871677551</v>
      </c>
      <c r="M147" s="204">
        <f t="shared" si="291"/>
        <v>-45.24273809515784</v>
      </c>
      <c r="N147" s="204">
        <f t="shared" si="291"/>
        <v>-45.379139885516487</v>
      </c>
      <c r="O147" s="204">
        <f t="shared" si="291"/>
        <v>-45.53122804492606</v>
      </c>
      <c r="P147" s="204">
        <f t="shared" si="291"/>
        <v>-45.698717646702761</v>
      </c>
      <c r="Q147" s="204">
        <f t="shared" si="291"/>
        <v>-45.881328939561598</v>
      </c>
      <c r="R147" s="204">
        <f t="shared" si="291"/>
        <v>-46.078787253610507</v>
      </c>
      <c r="S147" s="204">
        <f t="shared" si="291"/>
        <v>-46.290822908052249</v>
      </c>
      <c r="T147" s="204">
        <f t="shared" si="291"/>
        <v>-46.517171120562551</v>
      </c>
      <c r="U147" s="204">
        <f t="shared" si="291"/>
        <v>-46.75757191831444</v>
      </c>
      <c r="V147" s="204">
        <f t="shared" si="291"/>
        <v>-47.011770050618708</v>
      </c>
      <c r="W147" s="204">
        <f t="shared" si="291"/>
        <v>-47.279514903151124</v>
      </c>
      <c r="X147" s="204">
        <f t="shared" si="291"/>
        <v>-47.560560413737676</v>
      </c>
      <c r="Y147" s="204">
        <f t="shared" si="291"/>
        <v>-47.854664989669509</v>
      </c>
      <c r="Z147" s="204">
        <f t="shared" si="291"/>
        <v>-48.161591426519607</v>
      </c>
      <c r="AA147" s="204">
        <f t="shared" si="291"/>
        <v>-48.481106828434278</v>
      </c>
      <c r="AB147" s="204">
        <f t="shared" si="291"/>
        <v>-48.81298252987235</v>
      </c>
      <c r="AC147" s="204">
        <f t="shared" si="291"/>
        <v>-49.156994018765893</v>
      </c>
      <c r="AD147" s="204">
        <f t="shared" si="291"/>
        <v>-49.51292086107668</v>
      </c>
      <c r="AE147" s="204">
        <f t="shared" si="291"/>
        <v>-49.880546626723003</v>
      </c>
      <c r="AF147" s="204">
        <f t="shared" si="291"/>
        <v>-50.259658816851953</v>
      </c>
      <c r="AG147" s="204">
        <f t="shared" si="291"/>
        <v>-50.650048792432663</v>
      </c>
      <c r="AH147" s="204">
        <f t="shared" si="291"/>
        <v>-51.051511704146662</v>
      </c>
      <c r="AI147" s="204">
        <f t="shared" si="291"/>
        <v>-51.463846423551665</v>
      </c>
      <c r="AJ147" s="204">
        <f t="shared" si="291"/>
        <v>-51.886855475495707</v>
      </c>
      <c r="AK147" s="204">
        <f t="shared" si="291"/>
        <v>-52.320344971758878</v>
      </c>
      <c r="AL147" s="204">
        <f t="shared" si="291"/>
        <v>-52.76412454590043</v>
      </c>
      <c r="AM147" s="204">
        <f t="shared" si="291"/>
        <v>-53.218007289289282</v>
      </c>
      <c r="AN147" s="204">
        <f t="shared" si="291"/>
        <v>-53.681809688296511</v>
      </c>
      <c r="AO147" s="204">
        <f t="shared" si="291"/>
        <v>-54.155351562628589</v>
      </c>
      <c r="AP147" s="204">
        <f t="shared" si="291"/>
        <v>-54.638456004780849</v>
      </c>
      <c r="AQ147" s="204">
        <f t="shared" si="291"/>
        <v>-55.130949320590631</v>
      </c>
      <c r="AR147" s="204">
        <f t="shared" si="291"/>
        <v>-55.632660970870248</v>
      </c>
      <c r="AS147" s="204">
        <f t="shared" si="291"/>
        <v>-56.143423514100107</v>
      </c>
      <c r="AT147" s="204">
        <f t="shared" si="291"/>
        <v>-56.663072550162802</v>
      </c>
      <c r="AU147" s="204">
        <f t="shared" si="291"/>
        <v>-57.191446665099171</v>
      </c>
      <c r="AV147" s="204">
        <f t="shared" si="291"/>
        <v>-57.728387376867829</v>
      </c>
      <c r="AW147" s="204">
        <f t="shared" si="291"/>
        <v>-58.273739082089882</v>
      </c>
      <c r="AX147" s="204">
        <f t="shared" si="291"/>
        <v>-58.827349003761015</v>
      </c>
      <c r="AY147" s="204">
        <f t="shared" si="291"/>
        <v>-59.389067139913323</v>
      </c>
      <c r="AZ147" s="204">
        <f t="shared" si="291"/>
        <v>-59.95874621320965</v>
      </c>
      <c r="BA147" s="204">
        <f t="shared" si="291"/>
        <v>-60.53624162145347</v>
      </c>
      <c r="BB147" s="204">
        <f t="shared" si="291"/>
        <v>-61.121411388997728</v>
      </c>
      <c r="BC147" s="204">
        <f t="shared" si="291"/>
        <v>-61.714116119036262</v>
      </c>
      <c r="BD147" s="204">
        <f t="shared" si="291"/>
        <v>-62.314218946761883</v>
      </c>
      <c r="BE147" s="204">
        <f t="shared" si="291"/>
        <v>-62.921585493375147</v>
      </c>
      <c r="BF147" s="204">
        <f t="shared" si="291"/>
        <v>-63.536083820928674</v>
      </c>
      <c r="BG147" s="204">
        <f t="shared" si="291"/>
        <v>-64.157584387991548</v>
      </c>
      <c r="BH147" s="204">
        <f t="shared" si="291"/>
        <v>-64.785960006119055</v>
      </c>
      <c r="BI147" s="204">
        <f t="shared" si="291"/>
        <v>-65.421085797113165</v>
      </c>
      <c r="BJ147" s="204">
        <f t="shared" si="291"/>
        <v>-66.062839151059279</v>
      </c>
      <c r="BK147" s="204">
        <f t="shared" si="291"/>
        <v>-66.711099685125177</v>
      </c>
      <c r="BL147" s="204">
        <f t="shared" si="291"/>
        <v>-67.365749203108379</v>
      </c>
      <c r="BM147" s="204">
        <f t="shared" si="291"/>
        <v>-68.026671655718303</v>
      </c>
      <c r="BN147" s="204">
        <f t="shared" si="291"/>
        <v>-68.693753101579787</v>
      </c>
      <c r="BO147" s="204">
        <f t="shared" si="291"/>
        <v>-69.366881668945013</v>
      </c>
      <c r="BP147" s="204">
        <f t="shared" si="291"/>
        <v>-70.04594751810086</v>
      </c>
      <c r="BQ147" s="204">
        <f t="shared" si="291"/>
        <v>-70.730842804459073</v>
      </c>
      <c r="BR147" s="204">
        <f t="shared" si="291"/>
        <v>-71.421461642316928</v>
      </c>
      <c r="BS147" s="204">
        <f t="shared" si="291"/>
        <v>-72.117700069276026</v>
      </c>
      <c r="BT147" s="204">
        <f t="shared" si="291"/>
        <v>-72.819456011307551</v>
      </c>
      <c r="BU147" s="204">
        <f t="shared" ref="BU147:EF147" si="292">PV($F101,BU$9,1,0)+(PV($J$6,$N$5-(BU$9),1,0)/($J$6+1)^BU$9)</f>
        <v>-73.526629248451897</v>
      </c>
      <c r="BV147" s="204">
        <f t="shared" si="292"/>
        <v>-74.239121381141487</v>
      </c>
      <c r="BW147" s="204">
        <f t="shared" si="292"/>
        <v>-74.956835797135199</v>
      </c>
      <c r="BX147" s="204">
        <f t="shared" si="292"/>
        <v>-75.679677639053423</v>
      </c>
      <c r="BY147" s="204">
        <f t="shared" si="292"/>
        <v>-76.407553772502823</v>
      </c>
      <c r="BZ147" s="204">
        <f t="shared" si="292"/>
        <v>-77.140372754780103</v>
      </c>
      <c r="CA147" s="204">
        <f t="shared" si="292"/>
        <v>-77.878044804144153</v>
      </c>
      <c r="CB147" s="204">
        <f t="shared" si="292"/>
        <v>-78.620481769646403</v>
      </c>
      <c r="CC147" s="204">
        <f t="shared" si="292"/>
        <v>-79.36759710150919</v>
      </c>
      <c r="CD147" s="204">
        <f t="shared" si="292"/>
        <v>-80.119305822042122</v>
      </c>
      <c r="CE147" s="204">
        <f t="shared" si="292"/>
        <v>-80.87552449708673</v>
      </c>
      <c r="CF147" s="204">
        <f t="shared" si="292"/>
        <v>-81.636171207979814</v>
      </c>
      <c r="CG147" s="204">
        <f t="shared" si="292"/>
        <v>-82.401165524026041</v>
      </c>
      <c r="CH147" s="204">
        <f t="shared" si="292"/>
        <v>-83.170428475470544</v>
      </c>
      <c r="CI147" s="204">
        <f t="shared" si="292"/>
        <v>-83.943882526962454</v>
      </c>
      <c r="CJ147" s="204">
        <f t="shared" si="292"/>
        <v>-84.721451551500408</v>
      </c>
      <c r="CK147" s="204">
        <f t="shared" si="292"/>
        <v>-85.503060804851359</v>
      </c>
      <c r="CL147" s="204">
        <f t="shared" si="292"/>
        <v>-86.288636900434042</v>
      </c>
      <c r="CM147" s="204">
        <f t="shared" si="292"/>
        <v>-87.07810778465857</v>
      </c>
      <c r="CN147" s="204">
        <f t="shared" si="292"/>
        <v>-87.871402712714072</v>
      </c>
      <c r="CO147" s="204">
        <f t="shared" si="292"/>
        <v>-88.668452224796056</v>
      </c>
      <c r="CP147" s="204">
        <f t="shared" si="292"/>
        <v>-89.469188122765601</v>
      </c>
      <c r="CQ147" s="204">
        <f t="shared" si="292"/>
        <v>-90.273543447232512</v>
      </c>
      <c r="CR147" s="204">
        <f t="shared" si="292"/>
        <v>-91.081452455054702</v>
      </c>
      <c r="CS147" s="204">
        <f t="shared" si="292"/>
        <v>-91.892850597246365</v>
      </c>
      <c r="CT147" s="204">
        <f t="shared" si="292"/>
        <v>-92.707674497287258</v>
      </c>
      <c r="CU147" s="204">
        <f t="shared" si="292"/>
        <v>-93.525861929826178</v>
      </c>
      <c r="CV147" s="204">
        <f t="shared" si="292"/>
        <v>-94.347351799771133</v>
      </c>
      <c r="CW147" s="204">
        <f t="shared" si="292"/>
        <v>-95.172084121759283</v>
      </c>
      <c r="CX147" s="204">
        <f t="shared" si="292"/>
        <v>-96</v>
      </c>
      <c r="CY147" s="204">
        <f t="shared" si="292"/>
        <v>-96</v>
      </c>
      <c r="CZ147" s="204">
        <f t="shared" si="292"/>
        <v>-96</v>
      </c>
      <c r="DA147" s="204">
        <f t="shared" si="292"/>
        <v>-96</v>
      </c>
      <c r="DB147" s="204">
        <f t="shared" si="292"/>
        <v>-96</v>
      </c>
      <c r="DC147" s="204">
        <f t="shared" si="292"/>
        <v>-96</v>
      </c>
      <c r="DD147" s="204">
        <f t="shared" si="292"/>
        <v>-96</v>
      </c>
      <c r="DE147" s="204">
        <f t="shared" si="292"/>
        <v>-96</v>
      </c>
      <c r="DF147" s="204">
        <f t="shared" si="292"/>
        <v>-96</v>
      </c>
      <c r="DG147" s="204">
        <f t="shared" si="292"/>
        <v>-96</v>
      </c>
      <c r="DH147" s="204">
        <f t="shared" si="292"/>
        <v>-96</v>
      </c>
      <c r="DI147" s="204">
        <f t="shared" si="292"/>
        <v>-96</v>
      </c>
      <c r="DJ147" s="204">
        <f t="shared" si="292"/>
        <v>-96</v>
      </c>
      <c r="DK147" s="204">
        <f t="shared" si="292"/>
        <v>-96</v>
      </c>
      <c r="DL147" s="204">
        <f t="shared" si="292"/>
        <v>-96</v>
      </c>
      <c r="DM147" s="204">
        <f t="shared" si="292"/>
        <v>-96</v>
      </c>
      <c r="DN147" s="204">
        <f t="shared" si="292"/>
        <v>-96</v>
      </c>
      <c r="DO147" s="204">
        <f t="shared" si="292"/>
        <v>-96</v>
      </c>
      <c r="DP147" s="204">
        <f t="shared" si="292"/>
        <v>-96</v>
      </c>
      <c r="DQ147" s="204">
        <f t="shared" si="292"/>
        <v>-96</v>
      </c>
      <c r="DR147" s="204">
        <f t="shared" si="292"/>
        <v>-96</v>
      </c>
      <c r="DS147" s="204">
        <f t="shared" si="292"/>
        <v>-96</v>
      </c>
      <c r="DT147" s="204">
        <f t="shared" si="292"/>
        <v>-96</v>
      </c>
      <c r="DU147" s="204">
        <f t="shared" si="292"/>
        <v>-96</v>
      </c>
      <c r="DV147" s="204">
        <f t="shared" si="292"/>
        <v>-96</v>
      </c>
      <c r="DW147" s="204">
        <f t="shared" si="292"/>
        <v>-96</v>
      </c>
      <c r="DX147" s="204">
        <f t="shared" si="292"/>
        <v>-96</v>
      </c>
      <c r="DY147" s="204">
        <f t="shared" si="292"/>
        <v>-96</v>
      </c>
      <c r="DZ147" s="204">
        <f t="shared" si="292"/>
        <v>-96</v>
      </c>
      <c r="EA147" s="204">
        <f t="shared" si="292"/>
        <v>-96</v>
      </c>
      <c r="EB147" s="204">
        <f t="shared" si="292"/>
        <v>-96</v>
      </c>
      <c r="EC147" s="204">
        <f t="shared" si="292"/>
        <v>-96</v>
      </c>
      <c r="ED147" s="204">
        <f t="shared" si="292"/>
        <v>-96</v>
      </c>
      <c r="EE147" s="204">
        <f t="shared" si="292"/>
        <v>-96</v>
      </c>
      <c r="EF147" s="204">
        <f t="shared" si="292"/>
        <v>-96</v>
      </c>
      <c r="EG147" s="204">
        <f t="shared" ref="EG147:ET147" si="293">PV($F101,EG$9,1,0)+(PV($J$6,$N$5-(EG$9),1,0)/($J$6+1)^EG$9)</f>
        <v>-96</v>
      </c>
      <c r="EH147" s="204">
        <f t="shared" si="293"/>
        <v>-96</v>
      </c>
      <c r="EI147" s="204">
        <f t="shared" si="293"/>
        <v>-96</v>
      </c>
      <c r="EJ147" s="204">
        <f t="shared" si="293"/>
        <v>-96</v>
      </c>
      <c r="EK147" s="204">
        <f t="shared" si="293"/>
        <v>-96</v>
      </c>
      <c r="EL147" s="204">
        <f t="shared" si="293"/>
        <v>-96</v>
      </c>
      <c r="EM147" s="204">
        <f t="shared" si="293"/>
        <v>-96</v>
      </c>
      <c r="EN147" s="204">
        <f t="shared" si="293"/>
        <v>-96</v>
      </c>
      <c r="EO147" s="204">
        <f t="shared" si="293"/>
        <v>-96</v>
      </c>
      <c r="EP147" s="204">
        <f t="shared" si="293"/>
        <v>-96</v>
      </c>
      <c r="EQ147" s="204">
        <f t="shared" si="293"/>
        <v>-96</v>
      </c>
      <c r="ER147" s="204">
        <f t="shared" si="293"/>
        <v>-96</v>
      </c>
      <c r="ES147" s="204">
        <f t="shared" si="293"/>
        <v>-96</v>
      </c>
      <c r="ET147" s="204">
        <f t="shared" si="293"/>
        <v>-96</v>
      </c>
      <c r="FF147" s="6" t="s">
        <v>1071</v>
      </c>
      <c r="FG147" s="696">
        <v>2.2499999999999999E-2</v>
      </c>
      <c r="FH147" s="696">
        <v>120</v>
      </c>
      <c r="FI147" s="696">
        <v>2.0199999999999999E-2</v>
      </c>
      <c r="FJ147" s="255">
        <v>1.4999999999999999E-2</v>
      </c>
      <c r="FK147" s="71">
        <f t="shared" si="272"/>
        <v>1.7857142857142857E-4</v>
      </c>
      <c r="FL147" t="e">
        <f>VLOOKUP(FF147,'SIMULADOR COM SALDO'!$BX$22:$CK$1000,13,FALSE)</f>
        <v>#N/A</v>
      </c>
    </row>
    <row r="148" spans="7:168" x14ac:dyDescent="0.25">
      <c r="G148" s="103">
        <f t="shared" si="228"/>
        <v>-44.770373601250576</v>
      </c>
      <c r="H148" s="204">
        <f t="shared" si="229"/>
        <v>-44.806371604802436</v>
      </c>
      <c r="I148" s="204">
        <f t="shared" ref="I148:BT148" si="294">PV($F102,I$9,1,0)+(PV($J$6,$N$5-(I$9),1,0)/($J$6+1)^I$9)</f>
        <v>-44.859879708437063</v>
      </c>
      <c r="J148" s="204">
        <f t="shared" si="294"/>
        <v>-44.930579859281075</v>
      </c>
      <c r="K148" s="204">
        <f t="shared" si="294"/>
        <v>-45.018159781562872</v>
      </c>
      <c r="L148" s="204">
        <f t="shared" si="294"/>
        <v>-45.122312871677551</v>
      </c>
      <c r="M148" s="204">
        <f t="shared" si="294"/>
        <v>-45.24273809515784</v>
      </c>
      <c r="N148" s="204">
        <f t="shared" si="294"/>
        <v>-45.379139885516487</v>
      </c>
      <c r="O148" s="204">
        <f t="shared" si="294"/>
        <v>-45.53122804492606</v>
      </c>
      <c r="P148" s="204">
        <f t="shared" si="294"/>
        <v>-45.698717646702761</v>
      </c>
      <c r="Q148" s="204">
        <f t="shared" si="294"/>
        <v>-45.881328939561598</v>
      </c>
      <c r="R148" s="204">
        <f t="shared" si="294"/>
        <v>-46.078787253610507</v>
      </c>
      <c r="S148" s="204">
        <f t="shared" si="294"/>
        <v>-46.290822908052249</v>
      </c>
      <c r="T148" s="204">
        <f t="shared" si="294"/>
        <v>-46.517171120562551</v>
      </c>
      <c r="U148" s="204">
        <f t="shared" si="294"/>
        <v>-46.75757191831444</v>
      </c>
      <c r="V148" s="204">
        <f t="shared" si="294"/>
        <v>-47.011770050618708</v>
      </c>
      <c r="W148" s="204">
        <f t="shared" si="294"/>
        <v>-47.279514903151124</v>
      </c>
      <c r="X148" s="204">
        <f t="shared" si="294"/>
        <v>-47.560560413737676</v>
      </c>
      <c r="Y148" s="204">
        <f t="shared" si="294"/>
        <v>-47.854664989669509</v>
      </c>
      <c r="Z148" s="204">
        <f t="shared" si="294"/>
        <v>-48.161591426519607</v>
      </c>
      <c r="AA148" s="204">
        <f t="shared" si="294"/>
        <v>-48.481106828434278</v>
      </c>
      <c r="AB148" s="204">
        <f t="shared" si="294"/>
        <v>-48.81298252987235</v>
      </c>
      <c r="AC148" s="204">
        <f t="shared" si="294"/>
        <v>-49.156994018765893</v>
      </c>
      <c r="AD148" s="204">
        <f t="shared" si="294"/>
        <v>-49.51292086107668</v>
      </c>
      <c r="AE148" s="204">
        <f t="shared" si="294"/>
        <v>-49.880546626723003</v>
      </c>
      <c r="AF148" s="204">
        <f t="shared" si="294"/>
        <v>-50.259658816851953</v>
      </c>
      <c r="AG148" s="204">
        <f t="shared" si="294"/>
        <v>-50.650048792432663</v>
      </c>
      <c r="AH148" s="204">
        <f t="shared" si="294"/>
        <v>-51.051511704146662</v>
      </c>
      <c r="AI148" s="204">
        <f t="shared" si="294"/>
        <v>-51.463846423551665</v>
      </c>
      <c r="AJ148" s="204">
        <f t="shared" si="294"/>
        <v>-51.886855475495707</v>
      </c>
      <c r="AK148" s="204">
        <f t="shared" si="294"/>
        <v>-52.320344971758878</v>
      </c>
      <c r="AL148" s="204">
        <f t="shared" si="294"/>
        <v>-52.76412454590043</v>
      </c>
      <c r="AM148" s="204">
        <f t="shared" si="294"/>
        <v>-53.218007289289282</v>
      </c>
      <c r="AN148" s="204">
        <f t="shared" si="294"/>
        <v>-53.681809688296511</v>
      </c>
      <c r="AO148" s="204">
        <f t="shared" si="294"/>
        <v>-54.155351562628589</v>
      </c>
      <c r="AP148" s="204">
        <f t="shared" si="294"/>
        <v>-54.638456004780849</v>
      </c>
      <c r="AQ148" s="204">
        <f t="shared" si="294"/>
        <v>-55.130949320590631</v>
      </c>
      <c r="AR148" s="204">
        <f t="shared" si="294"/>
        <v>-55.632660970870248</v>
      </c>
      <c r="AS148" s="204">
        <f t="shared" si="294"/>
        <v>-56.143423514100107</v>
      </c>
      <c r="AT148" s="204">
        <f t="shared" si="294"/>
        <v>-56.663072550162802</v>
      </c>
      <c r="AU148" s="204">
        <f t="shared" si="294"/>
        <v>-57.191446665099171</v>
      </c>
      <c r="AV148" s="204">
        <f t="shared" si="294"/>
        <v>-57.728387376867829</v>
      </c>
      <c r="AW148" s="204">
        <f t="shared" si="294"/>
        <v>-58.273739082089882</v>
      </c>
      <c r="AX148" s="204">
        <f t="shared" si="294"/>
        <v>-58.827349003761015</v>
      </c>
      <c r="AY148" s="204">
        <f t="shared" si="294"/>
        <v>-59.389067139913323</v>
      </c>
      <c r="AZ148" s="204">
        <f t="shared" si="294"/>
        <v>-59.95874621320965</v>
      </c>
      <c r="BA148" s="204">
        <f t="shared" si="294"/>
        <v>-60.53624162145347</v>
      </c>
      <c r="BB148" s="204">
        <f t="shared" si="294"/>
        <v>-61.121411388997728</v>
      </c>
      <c r="BC148" s="204">
        <f t="shared" si="294"/>
        <v>-61.714116119036262</v>
      </c>
      <c r="BD148" s="204">
        <f t="shared" si="294"/>
        <v>-62.314218946761883</v>
      </c>
      <c r="BE148" s="204">
        <f t="shared" si="294"/>
        <v>-62.921585493375147</v>
      </c>
      <c r="BF148" s="204">
        <f t="shared" si="294"/>
        <v>-63.536083820928674</v>
      </c>
      <c r="BG148" s="204">
        <f t="shared" si="294"/>
        <v>-64.157584387991548</v>
      </c>
      <c r="BH148" s="204">
        <f t="shared" si="294"/>
        <v>-64.785960006119055</v>
      </c>
      <c r="BI148" s="204">
        <f t="shared" si="294"/>
        <v>-65.421085797113165</v>
      </c>
      <c r="BJ148" s="204">
        <f t="shared" si="294"/>
        <v>-66.062839151059279</v>
      </c>
      <c r="BK148" s="204">
        <f t="shared" si="294"/>
        <v>-66.711099685125177</v>
      </c>
      <c r="BL148" s="204">
        <f t="shared" si="294"/>
        <v>-67.365749203108379</v>
      </c>
      <c r="BM148" s="204">
        <f t="shared" si="294"/>
        <v>-68.026671655718303</v>
      </c>
      <c r="BN148" s="204">
        <f t="shared" si="294"/>
        <v>-68.693753101579787</v>
      </c>
      <c r="BO148" s="204">
        <f t="shared" si="294"/>
        <v>-69.366881668945013</v>
      </c>
      <c r="BP148" s="204">
        <f t="shared" si="294"/>
        <v>-70.04594751810086</v>
      </c>
      <c r="BQ148" s="204">
        <f t="shared" si="294"/>
        <v>-70.730842804459073</v>
      </c>
      <c r="BR148" s="204">
        <f t="shared" si="294"/>
        <v>-71.421461642316928</v>
      </c>
      <c r="BS148" s="204">
        <f t="shared" si="294"/>
        <v>-72.117700069276026</v>
      </c>
      <c r="BT148" s="204">
        <f t="shared" si="294"/>
        <v>-72.819456011307551</v>
      </c>
      <c r="BU148" s="204">
        <f t="shared" ref="BU148:EF148" si="295">PV($F102,BU$9,1,0)+(PV($J$6,$N$5-(BU$9),1,0)/($J$6+1)^BU$9)</f>
        <v>-73.526629248451897</v>
      </c>
      <c r="BV148" s="204">
        <f t="shared" si="295"/>
        <v>-74.239121381141487</v>
      </c>
      <c r="BW148" s="204">
        <f t="shared" si="295"/>
        <v>-74.956835797135199</v>
      </c>
      <c r="BX148" s="204">
        <f t="shared" si="295"/>
        <v>-75.679677639053423</v>
      </c>
      <c r="BY148" s="204">
        <f t="shared" si="295"/>
        <v>-76.407553772502823</v>
      </c>
      <c r="BZ148" s="204">
        <f t="shared" si="295"/>
        <v>-77.140372754780103</v>
      </c>
      <c r="CA148" s="204">
        <f t="shared" si="295"/>
        <v>-77.878044804144153</v>
      </c>
      <c r="CB148" s="204">
        <f t="shared" si="295"/>
        <v>-78.620481769646403</v>
      </c>
      <c r="CC148" s="204">
        <f t="shared" si="295"/>
        <v>-79.36759710150919</v>
      </c>
      <c r="CD148" s="204">
        <f t="shared" si="295"/>
        <v>-80.119305822042122</v>
      </c>
      <c r="CE148" s="204">
        <f t="shared" si="295"/>
        <v>-80.87552449708673</v>
      </c>
      <c r="CF148" s="204">
        <f t="shared" si="295"/>
        <v>-81.636171207979814</v>
      </c>
      <c r="CG148" s="204">
        <f t="shared" si="295"/>
        <v>-82.401165524026041</v>
      </c>
      <c r="CH148" s="204">
        <f t="shared" si="295"/>
        <v>-83.170428475470544</v>
      </c>
      <c r="CI148" s="204">
        <f t="shared" si="295"/>
        <v>-83.943882526962454</v>
      </c>
      <c r="CJ148" s="204">
        <f t="shared" si="295"/>
        <v>-84.721451551500408</v>
      </c>
      <c r="CK148" s="204">
        <f t="shared" si="295"/>
        <v>-85.503060804851359</v>
      </c>
      <c r="CL148" s="204">
        <f t="shared" si="295"/>
        <v>-86.288636900434042</v>
      </c>
      <c r="CM148" s="204">
        <f t="shared" si="295"/>
        <v>-87.07810778465857</v>
      </c>
      <c r="CN148" s="204">
        <f t="shared" si="295"/>
        <v>-87.871402712714072</v>
      </c>
      <c r="CO148" s="204">
        <f t="shared" si="295"/>
        <v>-88.668452224796056</v>
      </c>
      <c r="CP148" s="204">
        <f t="shared" si="295"/>
        <v>-89.469188122765601</v>
      </c>
      <c r="CQ148" s="204">
        <f t="shared" si="295"/>
        <v>-90.273543447232512</v>
      </c>
      <c r="CR148" s="204">
        <f t="shared" si="295"/>
        <v>-91.081452455054702</v>
      </c>
      <c r="CS148" s="204">
        <f t="shared" si="295"/>
        <v>-91.892850597246365</v>
      </c>
      <c r="CT148" s="204">
        <f t="shared" si="295"/>
        <v>-92.707674497287258</v>
      </c>
      <c r="CU148" s="204">
        <f t="shared" si="295"/>
        <v>-93.525861929826178</v>
      </c>
      <c r="CV148" s="204">
        <f t="shared" si="295"/>
        <v>-94.347351799771133</v>
      </c>
      <c r="CW148" s="204">
        <f t="shared" si="295"/>
        <v>-95.172084121759283</v>
      </c>
      <c r="CX148" s="204">
        <f t="shared" si="295"/>
        <v>-96</v>
      </c>
      <c r="CY148" s="204">
        <f t="shared" si="295"/>
        <v>-96</v>
      </c>
      <c r="CZ148" s="204">
        <f t="shared" si="295"/>
        <v>-96</v>
      </c>
      <c r="DA148" s="204">
        <f t="shared" si="295"/>
        <v>-96</v>
      </c>
      <c r="DB148" s="204">
        <f t="shared" si="295"/>
        <v>-96</v>
      </c>
      <c r="DC148" s="204">
        <f t="shared" si="295"/>
        <v>-96</v>
      </c>
      <c r="DD148" s="204">
        <f t="shared" si="295"/>
        <v>-96</v>
      </c>
      <c r="DE148" s="204">
        <f t="shared" si="295"/>
        <v>-96</v>
      </c>
      <c r="DF148" s="204">
        <f t="shared" si="295"/>
        <v>-96</v>
      </c>
      <c r="DG148" s="204">
        <f t="shared" si="295"/>
        <v>-96</v>
      </c>
      <c r="DH148" s="204">
        <f t="shared" si="295"/>
        <v>-96</v>
      </c>
      <c r="DI148" s="204">
        <f t="shared" si="295"/>
        <v>-96</v>
      </c>
      <c r="DJ148" s="204">
        <f t="shared" si="295"/>
        <v>-96</v>
      </c>
      <c r="DK148" s="204">
        <f t="shared" si="295"/>
        <v>-96</v>
      </c>
      <c r="DL148" s="204">
        <f t="shared" si="295"/>
        <v>-96</v>
      </c>
      <c r="DM148" s="204">
        <f t="shared" si="295"/>
        <v>-96</v>
      </c>
      <c r="DN148" s="204">
        <f t="shared" si="295"/>
        <v>-96</v>
      </c>
      <c r="DO148" s="204">
        <f t="shared" si="295"/>
        <v>-96</v>
      </c>
      <c r="DP148" s="204">
        <f t="shared" si="295"/>
        <v>-96</v>
      </c>
      <c r="DQ148" s="204">
        <f t="shared" si="295"/>
        <v>-96</v>
      </c>
      <c r="DR148" s="204">
        <f t="shared" si="295"/>
        <v>-96</v>
      </c>
      <c r="DS148" s="204">
        <f t="shared" si="295"/>
        <v>-96</v>
      </c>
      <c r="DT148" s="204">
        <f t="shared" si="295"/>
        <v>-96</v>
      </c>
      <c r="DU148" s="204">
        <f t="shared" si="295"/>
        <v>-96</v>
      </c>
      <c r="DV148" s="204">
        <f t="shared" si="295"/>
        <v>-96</v>
      </c>
      <c r="DW148" s="204">
        <f t="shared" si="295"/>
        <v>-96</v>
      </c>
      <c r="DX148" s="204">
        <f t="shared" si="295"/>
        <v>-96</v>
      </c>
      <c r="DY148" s="204">
        <f t="shared" si="295"/>
        <v>-96</v>
      </c>
      <c r="DZ148" s="204">
        <f t="shared" si="295"/>
        <v>-96</v>
      </c>
      <c r="EA148" s="204">
        <f t="shared" si="295"/>
        <v>-96</v>
      </c>
      <c r="EB148" s="204">
        <f t="shared" si="295"/>
        <v>-96</v>
      </c>
      <c r="EC148" s="204">
        <f t="shared" si="295"/>
        <v>-96</v>
      </c>
      <c r="ED148" s="204">
        <f t="shared" si="295"/>
        <v>-96</v>
      </c>
      <c r="EE148" s="204">
        <f t="shared" si="295"/>
        <v>-96</v>
      </c>
      <c r="EF148" s="204">
        <f t="shared" si="295"/>
        <v>-96</v>
      </c>
      <c r="EG148" s="204">
        <f t="shared" ref="EG148:ET148" si="296">PV($F102,EG$9,1,0)+(PV($J$6,$N$5-(EG$9),1,0)/($J$6+1)^EG$9)</f>
        <v>-96</v>
      </c>
      <c r="EH148" s="204">
        <f t="shared" si="296"/>
        <v>-96</v>
      </c>
      <c r="EI148" s="204">
        <f t="shared" si="296"/>
        <v>-96</v>
      </c>
      <c r="EJ148" s="204">
        <f t="shared" si="296"/>
        <v>-96</v>
      </c>
      <c r="EK148" s="204">
        <f t="shared" si="296"/>
        <v>-96</v>
      </c>
      <c r="EL148" s="204">
        <f t="shared" si="296"/>
        <v>-96</v>
      </c>
      <c r="EM148" s="204">
        <f t="shared" si="296"/>
        <v>-96</v>
      </c>
      <c r="EN148" s="204">
        <f t="shared" si="296"/>
        <v>-96</v>
      </c>
      <c r="EO148" s="204">
        <f t="shared" si="296"/>
        <v>-96</v>
      </c>
      <c r="EP148" s="204">
        <f t="shared" si="296"/>
        <v>-96</v>
      </c>
      <c r="EQ148" s="204">
        <f t="shared" si="296"/>
        <v>-96</v>
      </c>
      <c r="ER148" s="204">
        <f t="shared" si="296"/>
        <v>-96</v>
      </c>
      <c r="ES148" s="204">
        <f t="shared" si="296"/>
        <v>-96</v>
      </c>
      <c r="ET148" s="204">
        <f t="shared" si="296"/>
        <v>-96</v>
      </c>
      <c r="FF148" s="67" t="s">
        <v>81</v>
      </c>
      <c r="FG148" s="696">
        <v>2.5000000000000001E-2</v>
      </c>
      <c r="FH148" s="696">
        <v>120</v>
      </c>
      <c r="FI148" s="696">
        <v>1.7600000000000001E-2</v>
      </c>
      <c r="FJ148" s="255">
        <v>1.6E-2</v>
      </c>
      <c r="FK148" s="71">
        <f t="shared" si="272"/>
        <v>2.142857142857143E-4</v>
      </c>
      <c r="FL148" t="e">
        <f>VLOOKUP(FF148,'SIMULADOR COM SALDO'!$BX$22:$CK$1000,13,FALSE)</f>
        <v>#N/A</v>
      </c>
    </row>
    <row r="149" spans="7:168" x14ac:dyDescent="0.25">
      <c r="G149" s="103">
        <f t="shared" si="228"/>
        <v>-44.770373601250576</v>
      </c>
      <c r="H149" s="204">
        <f t="shared" si="229"/>
        <v>-44.806371604802436</v>
      </c>
      <c r="I149" s="204">
        <f t="shared" ref="I149:BT149" si="297">PV($F103,I$9,1,0)+(PV($J$6,$N$5-(I$9),1,0)/($J$6+1)^I$9)</f>
        <v>-44.859879708437063</v>
      </c>
      <c r="J149" s="204">
        <f t="shared" si="297"/>
        <v>-44.930579859281075</v>
      </c>
      <c r="K149" s="204">
        <f t="shared" si="297"/>
        <v>-45.018159781562872</v>
      </c>
      <c r="L149" s="204">
        <f t="shared" si="297"/>
        <v>-45.122312871677551</v>
      </c>
      <c r="M149" s="204">
        <f t="shared" si="297"/>
        <v>-45.24273809515784</v>
      </c>
      <c r="N149" s="204">
        <f t="shared" si="297"/>
        <v>-45.379139885516487</v>
      </c>
      <c r="O149" s="204">
        <f t="shared" si="297"/>
        <v>-45.53122804492606</v>
      </c>
      <c r="P149" s="204">
        <f t="shared" si="297"/>
        <v>-45.698717646702761</v>
      </c>
      <c r="Q149" s="204">
        <f t="shared" si="297"/>
        <v>-45.881328939561598</v>
      </c>
      <c r="R149" s="204">
        <f t="shared" si="297"/>
        <v>-46.078787253610507</v>
      </c>
      <c r="S149" s="204">
        <f t="shared" si="297"/>
        <v>-46.290822908052249</v>
      </c>
      <c r="T149" s="204">
        <f t="shared" si="297"/>
        <v>-46.517171120562551</v>
      </c>
      <c r="U149" s="204">
        <f t="shared" si="297"/>
        <v>-46.75757191831444</v>
      </c>
      <c r="V149" s="204">
        <f t="shared" si="297"/>
        <v>-47.011770050618708</v>
      </c>
      <c r="W149" s="204">
        <f t="shared" si="297"/>
        <v>-47.279514903151124</v>
      </c>
      <c r="X149" s="204">
        <f t="shared" si="297"/>
        <v>-47.560560413737676</v>
      </c>
      <c r="Y149" s="204">
        <f t="shared" si="297"/>
        <v>-47.854664989669509</v>
      </c>
      <c r="Z149" s="204">
        <f t="shared" si="297"/>
        <v>-48.161591426519607</v>
      </c>
      <c r="AA149" s="204">
        <f t="shared" si="297"/>
        <v>-48.481106828434278</v>
      </c>
      <c r="AB149" s="204">
        <f t="shared" si="297"/>
        <v>-48.81298252987235</v>
      </c>
      <c r="AC149" s="204">
        <f t="shared" si="297"/>
        <v>-49.156994018765893</v>
      </c>
      <c r="AD149" s="204">
        <f t="shared" si="297"/>
        <v>-49.51292086107668</v>
      </c>
      <c r="AE149" s="204">
        <f t="shared" si="297"/>
        <v>-49.880546626723003</v>
      </c>
      <c r="AF149" s="204">
        <f t="shared" si="297"/>
        <v>-50.259658816851953</v>
      </c>
      <c r="AG149" s="204">
        <f t="shared" si="297"/>
        <v>-50.650048792432663</v>
      </c>
      <c r="AH149" s="204">
        <f t="shared" si="297"/>
        <v>-51.051511704146662</v>
      </c>
      <c r="AI149" s="204">
        <f t="shared" si="297"/>
        <v>-51.463846423551665</v>
      </c>
      <c r="AJ149" s="204">
        <f t="shared" si="297"/>
        <v>-51.886855475495707</v>
      </c>
      <c r="AK149" s="204">
        <f t="shared" si="297"/>
        <v>-52.320344971758878</v>
      </c>
      <c r="AL149" s="204">
        <f t="shared" si="297"/>
        <v>-52.76412454590043</v>
      </c>
      <c r="AM149" s="204">
        <f t="shared" si="297"/>
        <v>-53.218007289289282</v>
      </c>
      <c r="AN149" s="204">
        <f t="shared" si="297"/>
        <v>-53.681809688296511</v>
      </c>
      <c r="AO149" s="204">
        <f t="shared" si="297"/>
        <v>-54.155351562628589</v>
      </c>
      <c r="AP149" s="204">
        <f t="shared" si="297"/>
        <v>-54.638456004780849</v>
      </c>
      <c r="AQ149" s="204">
        <f t="shared" si="297"/>
        <v>-55.130949320590631</v>
      </c>
      <c r="AR149" s="204">
        <f t="shared" si="297"/>
        <v>-55.632660970870248</v>
      </c>
      <c r="AS149" s="204">
        <f t="shared" si="297"/>
        <v>-56.143423514100107</v>
      </c>
      <c r="AT149" s="204">
        <f t="shared" si="297"/>
        <v>-56.663072550162802</v>
      </c>
      <c r="AU149" s="204">
        <f t="shared" si="297"/>
        <v>-57.191446665099171</v>
      </c>
      <c r="AV149" s="204">
        <f t="shared" si="297"/>
        <v>-57.728387376867829</v>
      </c>
      <c r="AW149" s="204">
        <f t="shared" si="297"/>
        <v>-58.273739082089882</v>
      </c>
      <c r="AX149" s="204">
        <f t="shared" si="297"/>
        <v>-58.827349003761015</v>
      </c>
      <c r="AY149" s="204">
        <f t="shared" si="297"/>
        <v>-59.389067139913323</v>
      </c>
      <c r="AZ149" s="204">
        <f t="shared" si="297"/>
        <v>-59.95874621320965</v>
      </c>
      <c r="BA149" s="204">
        <f t="shared" si="297"/>
        <v>-60.53624162145347</v>
      </c>
      <c r="BB149" s="204">
        <f t="shared" si="297"/>
        <v>-61.121411388997728</v>
      </c>
      <c r="BC149" s="204">
        <f t="shared" si="297"/>
        <v>-61.714116119036262</v>
      </c>
      <c r="BD149" s="204">
        <f t="shared" si="297"/>
        <v>-62.314218946761883</v>
      </c>
      <c r="BE149" s="204">
        <f t="shared" si="297"/>
        <v>-62.921585493375147</v>
      </c>
      <c r="BF149" s="204">
        <f t="shared" si="297"/>
        <v>-63.536083820928674</v>
      </c>
      <c r="BG149" s="204">
        <f t="shared" si="297"/>
        <v>-64.157584387991548</v>
      </c>
      <c r="BH149" s="204">
        <f t="shared" si="297"/>
        <v>-64.785960006119055</v>
      </c>
      <c r="BI149" s="204">
        <f t="shared" si="297"/>
        <v>-65.421085797113165</v>
      </c>
      <c r="BJ149" s="204">
        <f t="shared" si="297"/>
        <v>-66.062839151059279</v>
      </c>
      <c r="BK149" s="204">
        <f t="shared" si="297"/>
        <v>-66.711099685125177</v>
      </c>
      <c r="BL149" s="204">
        <f t="shared" si="297"/>
        <v>-67.365749203108379</v>
      </c>
      <c r="BM149" s="204">
        <f t="shared" si="297"/>
        <v>-68.026671655718303</v>
      </c>
      <c r="BN149" s="204">
        <f t="shared" si="297"/>
        <v>-68.693753101579787</v>
      </c>
      <c r="BO149" s="204">
        <f t="shared" si="297"/>
        <v>-69.366881668945013</v>
      </c>
      <c r="BP149" s="204">
        <f t="shared" si="297"/>
        <v>-70.04594751810086</v>
      </c>
      <c r="BQ149" s="204">
        <f t="shared" si="297"/>
        <v>-70.730842804459073</v>
      </c>
      <c r="BR149" s="204">
        <f t="shared" si="297"/>
        <v>-71.421461642316928</v>
      </c>
      <c r="BS149" s="204">
        <f t="shared" si="297"/>
        <v>-72.117700069276026</v>
      </c>
      <c r="BT149" s="204">
        <f t="shared" si="297"/>
        <v>-72.819456011307551</v>
      </c>
      <c r="BU149" s="204">
        <f t="shared" ref="BU149:EF149" si="298">PV($F103,BU$9,1,0)+(PV($J$6,$N$5-(BU$9),1,0)/($J$6+1)^BU$9)</f>
        <v>-73.526629248451897</v>
      </c>
      <c r="BV149" s="204">
        <f t="shared" si="298"/>
        <v>-74.239121381141487</v>
      </c>
      <c r="BW149" s="204">
        <f t="shared" si="298"/>
        <v>-74.956835797135199</v>
      </c>
      <c r="BX149" s="204">
        <f t="shared" si="298"/>
        <v>-75.679677639053423</v>
      </c>
      <c r="BY149" s="204">
        <f t="shared" si="298"/>
        <v>-76.407553772502823</v>
      </c>
      <c r="BZ149" s="204">
        <f t="shared" si="298"/>
        <v>-77.140372754780103</v>
      </c>
      <c r="CA149" s="204">
        <f t="shared" si="298"/>
        <v>-77.878044804144153</v>
      </c>
      <c r="CB149" s="204">
        <f t="shared" si="298"/>
        <v>-78.620481769646403</v>
      </c>
      <c r="CC149" s="204">
        <f t="shared" si="298"/>
        <v>-79.36759710150919</v>
      </c>
      <c r="CD149" s="204">
        <f t="shared" si="298"/>
        <v>-80.119305822042122</v>
      </c>
      <c r="CE149" s="204">
        <f t="shared" si="298"/>
        <v>-80.87552449708673</v>
      </c>
      <c r="CF149" s="204">
        <f t="shared" si="298"/>
        <v>-81.636171207979814</v>
      </c>
      <c r="CG149" s="204">
        <f t="shared" si="298"/>
        <v>-82.401165524026041</v>
      </c>
      <c r="CH149" s="204">
        <f t="shared" si="298"/>
        <v>-83.170428475470544</v>
      </c>
      <c r="CI149" s="204">
        <f t="shared" si="298"/>
        <v>-83.943882526962454</v>
      </c>
      <c r="CJ149" s="204">
        <f t="shared" si="298"/>
        <v>-84.721451551500408</v>
      </c>
      <c r="CK149" s="204">
        <f t="shared" si="298"/>
        <v>-85.503060804851359</v>
      </c>
      <c r="CL149" s="204">
        <f t="shared" si="298"/>
        <v>-86.288636900434042</v>
      </c>
      <c r="CM149" s="204">
        <f t="shared" si="298"/>
        <v>-87.07810778465857</v>
      </c>
      <c r="CN149" s="204">
        <f t="shared" si="298"/>
        <v>-87.871402712714072</v>
      </c>
      <c r="CO149" s="204">
        <f t="shared" si="298"/>
        <v>-88.668452224796056</v>
      </c>
      <c r="CP149" s="204">
        <f t="shared" si="298"/>
        <v>-89.469188122765601</v>
      </c>
      <c r="CQ149" s="204">
        <f t="shared" si="298"/>
        <v>-90.273543447232512</v>
      </c>
      <c r="CR149" s="204">
        <f t="shared" si="298"/>
        <v>-91.081452455054702</v>
      </c>
      <c r="CS149" s="204">
        <f t="shared" si="298"/>
        <v>-91.892850597246365</v>
      </c>
      <c r="CT149" s="204">
        <f t="shared" si="298"/>
        <v>-92.707674497287258</v>
      </c>
      <c r="CU149" s="204">
        <f t="shared" si="298"/>
        <v>-93.525861929826178</v>
      </c>
      <c r="CV149" s="204">
        <f t="shared" si="298"/>
        <v>-94.347351799771133</v>
      </c>
      <c r="CW149" s="204">
        <f t="shared" si="298"/>
        <v>-95.172084121759283</v>
      </c>
      <c r="CX149" s="204">
        <f t="shared" si="298"/>
        <v>-96</v>
      </c>
      <c r="CY149" s="204">
        <f t="shared" si="298"/>
        <v>-96</v>
      </c>
      <c r="CZ149" s="204">
        <f t="shared" si="298"/>
        <v>-96</v>
      </c>
      <c r="DA149" s="204">
        <f t="shared" si="298"/>
        <v>-96</v>
      </c>
      <c r="DB149" s="204">
        <f t="shared" si="298"/>
        <v>-96</v>
      </c>
      <c r="DC149" s="204">
        <f t="shared" si="298"/>
        <v>-96</v>
      </c>
      <c r="DD149" s="204">
        <f t="shared" si="298"/>
        <v>-96</v>
      </c>
      <c r="DE149" s="204">
        <f t="shared" si="298"/>
        <v>-96</v>
      </c>
      <c r="DF149" s="204">
        <f t="shared" si="298"/>
        <v>-96</v>
      </c>
      <c r="DG149" s="204">
        <f t="shared" si="298"/>
        <v>-96</v>
      </c>
      <c r="DH149" s="204">
        <f t="shared" si="298"/>
        <v>-96</v>
      </c>
      <c r="DI149" s="204">
        <f t="shared" si="298"/>
        <v>-96</v>
      </c>
      <c r="DJ149" s="204">
        <f t="shared" si="298"/>
        <v>-96</v>
      </c>
      <c r="DK149" s="204">
        <f t="shared" si="298"/>
        <v>-96</v>
      </c>
      <c r="DL149" s="204">
        <f t="shared" si="298"/>
        <v>-96</v>
      </c>
      <c r="DM149" s="204">
        <f t="shared" si="298"/>
        <v>-96</v>
      </c>
      <c r="DN149" s="204">
        <f t="shared" si="298"/>
        <v>-96</v>
      </c>
      <c r="DO149" s="204">
        <f t="shared" si="298"/>
        <v>-96</v>
      </c>
      <c r="DP149" s="204">
        <f t="shared" si="298"/>
        <v>-96</v>
      </c>
      <c r="DQ149" s="204">
        <f t="shared" si="298"/>
        <v>-96</v>
      </c>
      <c r="DR149" s="204">
        <f t="shared" si="298"/>
        <v>-96</v>
      </c>
      <c r="DS149" s="204">
        <f t="shared" si="298"/>
        <v>-96</v>
      </c>
      <c r="DT149" s="204">
        <f t="shared" si="298"/>
        <v>-96</v>
      </c>
      <c r="DU149" s="204">
        <f t="shared" si="298"/>
        <v>-96</v>
      </c>
      <c r="DV149" s="204">
        <f t="shared" si="298"/>
        <v>-96</v>
      </c>
      <c r="DW149" s="204">
        <f t="shared" si="298"/>
        <v>-96</v>
      </c>
      <c r="DX149" s="204">
        <f t="shared" si="298"/>
        <v>-96</v>
      </c>
      <c r="DY149" s="204">
        <f t="shared" si="298"/>
        <v>-96</v>
      </c>
      <c r="DZ149" s="204">
        <f t="shared" si="298"/>
        <v>-96</v>
      </c>
      <c r="EA149" s="204">
        <f t="shared" si="298"/>
        <v>-96</v>
      </c>
      <c r="EB149" s="204">
        <f t="shared" si="298"/>
        <v>-96</v>
      </c>
      <c r="EC149" s="204">
        <f t="shared" si="298"/>
        <v>-96</v>
      </c>
      <c r="ED149" s="204">
        <f t="shared" si="298"/>
        <v>-96</v>
      </c>
      <c r="EE149" s="204">
        <f t="shared" si="298"/>
        <v>-96</v>
      </c>
      <c r="EF149" s="204">
        <f t="shared" si="298"/>
        <v>-96</v>
      </c>
      <c r="EG149" s="204">
        <f t="shared" ref="EG149:ET149" si="299">PV($F103,EG$9,1,0)+(PV($J$6,$N$5-(EG$9),1,0)/($J$6+1)^EG$9)</f>
        <v>-96</v>
      </c>
      <c r="EH149" s="204">
        <f t="shared" si="299"/>
        <v>-96</v>
      </c>
      <c r="EI149" s="204">
        <f t="shared" si="299"/>
        <v>-96</v>
      </c>
      <c r="EJ149" s="204">
        <f t="shared" si="299"/>
        <v>-96</v>
      </c>
      <c r="EK149" s="204">
        <f t="shared" si="299"/>
        <v>-96</v>
      </c>
      <c r="EL149" s="204">
        <f t="shared" si="299"/>
        <v>-96</v>
      </c>
      <c r="EM149" s="204">
        <f t="shared" si="299"/>
        <v>-96</v>
      </c>
      <c r="EN149" s="204">
        <f t="shared" si="299"/>
        <v>-96</v>
      </c>
      <c r="EO149" s="204">
        <f t="shared" si="299"/>
        <v>-96</v>
      </c>
      <c r="EP149" s="204">
        <f t="shared" si="299"/>
        <v>-96</v>
      </c>
      <c r="EQ149" s="204">
        <f t="shared" si="299"/>
        <v>-96</v>
      </c>
      <c r="ER149" s="204">
        <f t="shared" si="299"/>
        <v>-96</v>
      </c>
      <c r="ES149" s="204">
        <f t="shared" si="299"/>
        <v>-96</v>
      </c>
      <c r="ET149" s="204">
        <f t="shared" si="299"/>
        <v>-96</v>
      </c>
      <c r="FF149" s="67" t="s">
        <v>3040</v>
      </c>
      <c r="FG149" s="696">
        <v>2.5000000000000001E-2</v>
      </c>
      <c r="FH149" s="696">
        <v>96</v>
      </c>
      <c r="FI149" s="696">
        <v>1.7600000000000001E-2</v>
      </c>
      <c r="FJ149" s="255">
        <v>1.3500000000000002E-2</v>
      </c>
      <c r="FK149" s="71">
        <f t="shared" si="272"/>
        <v>2.7380952380952383E-4</v>
      </c>
      <c r="FL149" t="e">
        <f>VLOOKUP(FF149,'SIMULADOR COM SALDO'!$BX$22:$CK$1000,13,FALSE)</f>
        <v>#N/A</v>
      </c>
    </row>
    <row r="150" spans="7:168" x14ac:dyDescent="0.25">
      <c r="G150" s="103">
        <f t="shared" si="228"/>
        <v>-44.770373601250576</v>
      </c>
      <c r="H150" s="204">
        <f t="shared" si="229"/>
        <v>-44.806371604802436</v>
      </c>
      <c r="I150" s="204">
        <f t="shared" ref="I150:BT150" si="300">PV($F104,I$9,1,0)+(PV($J$6,$N$5-(I$9),1,0)/($J$6+1)^I$9)</f>
        <v>-44.859879708437063</v>
      </c>
      <c r="J150" s="204">
        <f t="shared" si="300"/>
        <v>-44.930579859281075</v>
      </c>
      <c r="K150" s="204">
        <f t="shared" si="300"/>
        <v>-45.018159781562872</v>
      </c>
      <c r="L150" s="204">
        <f t="shared" si="300"/>
        <v>-45.122312871677551</v>
      </c>
      <c r="M150" s="204">
        <f t="shared" si="300"/>
        <v>-45.24273809515784</v>
      </c>
      <c r="N150" s="204">
        <f t="shared" si="300"/>
        <v>-45.379139885516487</v>
      </c>
      <c r="O150" s="204">
        <f t="shared" si="300"/>
        <v>-45.53122804492606</v>
      </c>
      <c r="P150" s="204">
        <f t="shared" si="300"/>
        <v>-45.698717646702761</v>
      </c>
      <c r="Q150" s="204">
        <f t="shared" si="300"/>
        <v>-45.881328939561598</v>
      </c>
      <c r="R150" s="204">
        <f t="shared" si="300"/>
        <v>-46.078787253610507</v>
      </c>
      <c r="S150" s="204">
        <f t="shared" si="300"/>
        <v>-46.290822908052249</v>
      </c>
      <c r="T150" s="204">
        <f t="shared" si="300"/>
        <v>-46.517171120562551</v>
      </c>
      <c r="U150" s="204">
        <f t="shared" si="300"/>
        <v>-46.75757191831444</v>
      </c>
      <c r="V150" s="204">
        <f t="shared" si="300"/>
        <v>-47.011770050618708</v>
      </c>
      <c r="W150" s="204">
        <f t="shared" si="300"/>
        <v>-47.279514903151124</v>
      </c>
      <c r="X150" s="204">
        <f t="shared" si="300"/>
        <v>-47.560560413737676</v>
      </c>
      <c r="Y150" s="204">
        <f t="shared" si="300"/>
        <v>-47.854664989669509</v>
      </c>
      <c r="Z150" s="204">
        <f t="shared" si="300"/>
        <v>-48.161591426519607</v>
      </c>
      <c r="AA150" s="204">
        <f t="shared" si="300"/>
        <v>-48.481106828434278</v>
      </c>
      <c r="AB150" s="204">
        <f t="shared" si="300"/>
        <v>-48.81298252987235</v>
      </c>
      <c r="AC150" s="204">
        <f t="shared" si="300"/>
        <v>-49.156994018765893</v>
      </c>
      <c r="AD150" s="204">
        <f t="shared" si="300"/>
        <v>-49.51292086107668</v>
      </c>
      <c r="AE150" s="204">
        <f t="shared" si="300"/>
        <v>-49.880546626723003</v>
      </c>
      <c r="AF150" s="204">
        <f t="shared" si="300"/>
        <v>-50.259658816851953</v>
      </c>
      <c r="AG150" s="204">
        <f t="shared" si="300"/>
        <v>-50.650048792432663</v>
      </c>
      <c r="AH150" s="204">
        <f t="shared" si="300"/>
        <v>-51.051511704146662</v>
      </c>
      <c r="AI150" s="204">
        <f t="shared" si="300"/>
        <v>-51.463846423551665</v>
      </c>
      <c r="AJ150" s="204">
        <f t="shared" si="300"/>
        <v>-51.886855475495707</v>
      </c>
      <c r="AK150" s="204">
        <f t="shared" si="300"/>
        <v>-52.320344971758878</v>
      </c>
      <c r="AL150" s="204">
        <f t="shared" si="300"/>
        <v>-52.76412454590043</v>
      </c>
      <c r="AM150" s="204">
        <f t="shared" si="300"/>
        <v>-53.218007289289282</v>
      </c>
      <c r="AN150" s="204">
        <f t="shared" si="300"/>
        <v>-53.681809688296511</v>
      </c>
      <c r="AO150" s="204">
        <f t="shared" si="300"/>
        <v>-54.155351562628589</v>
      </c>
      <c r="AP150" s="204">
        <f t="shared" si="300"/>
        <v>-54.638456004780849</v>
      </c>
      <c r="AQ150" s="204">
        <f t="shared" si="300"/>
        <v>-55.130949320590631</v>
      </c>
      <c r="AR150" s="204">
        <f t="shared" si="300"/>
        <v>-55.632660970870248</v>
      </c>
      <c r="AS150" s="204">
        <f t="shared" si="300"/>
        <v>-56.143423514100107</v>
      </c>
      <c r="AT150" s="204">
        <f t="shared" si="300"/>
        <v>-56.663072550162802</v>
      </c>
      <c r="AU150" s="204">
        <f t="shared" si="300"/>
        <v>-57.191446665099171</v>
      </c>
      <c r="AV150" s="204">
        <f t="shared" si="300"/>
        <v>-57.728387376867829</v>
      </c>
      <c r="AW150" s="204">
        <f t="shared" si="300"/>
        <v>-58.273739082089882</v>
      </c>
      <c r="AX150" s="204">
        <f t="shared" si="300"/>
        <v>-58.827349003761015</v>
      </c>
      <c r="AY150" s="204">
        <f t="shared" si="300"/>
        <v>-59.389067139913323</v>
      </c>
      <c r="AZ150" s="204">
        <f t="shared" si="300"/>
        <v>-59.95874621320965</v>
      </c>
      <c r="BA150" s="204">
        <f t="shared" si="300"/>
        <v>-60.53624162145347</v>
      </c>
      <c r="BB150" s="204">
        <f t="shared" si="300"/>
        <v>-61.121411388997728</v>
      </c>
      <c r="BC150" s="204">
        <f t="shared" si="300"/>
        <v>-61.714116119036262</v>
      </c>
      <c r="BD150" s="204">
        <f t="shared" si="300"/>
        <v>-62.314218946761883</v>
      </c>
      <c r="BE150" s="204">
        <f t="shared" si="300"/>
        <v>-62.921585493375147</v>
      </c>
      <c r="BF150" s="204">
        <f t="shared" si="300"/>
        <v>-63.536083820928674</v>
      </c>
      <c r="BG150" s="204">
        <f t="shared" si="300"/>
        <v>-64.157584387991548</v>
      </c>
      <c r="BH150" s="204">
        <f t="shared" si="300"/>
        <v>-64.785960006119055</v>
      </c>
      <c r="BI150" s="204">
        <f t="shared" si="300"/>
        <v>-65.421085797113165</v>
      </c>
      <c r="BJ150" s="204">
        <f t="shared" si="300"/>
        <v>-66.062839151059279</v>
      </c>
      <c r="BK150" s="204">
        <f t="shared" si="300"/>
        <v>-66.711099685125177</v>
      </c>
      <c r="BL150" s="204">
        <f t="shared" si="300"/>
        <v>-67.365749203108379</v>
      </c>
      <c r="BM150" s="204">
        <f t="shared" si="300"/>
        <v>-68.026671655718303</v>
      </c>
      <c r="BN150" s="204">
        <f t="shared" si="300"/>
        <v>-68.693753101579787</v>
      </c>
      <c r="BO150" s="204">
        <f t="shared" si="300"/>
        <v>-69.366881668945013</v>
      </c>
      <c r="BP150" s="204">
        <f t="shared" si="300"/>
        <v>-70.04594751810086</v>
      </c>
      <c r="BQ150" s="204">
        <f t="shared" si="300"/>
        <v>-70.730842804459073</v>
      </c>
      <c r="BR150" s="204">
        <f t="shared" si="300"/>
        <v>-71.421461642316928</v>
      </c>
      <c r="BS150" s="204">
        <f t="shared" si="300"/>
        <v>-72.117700069276026</v>
      </c>
      <c r="BT150" s="204">
        <f t="shared" si="300"/>
        <v>-72.819456011307551</v>
      </c>
      <c r="BU150" s="204">
        <f t="shared" ref="BU150:EF150" si="301">PV($F104,BU$9,1,0)+(PV($J$6,$N$5-(BU$9),1,0)/($J$6+1)^BU$9)</f>
        <v>-73.526629248451897</v>
      </c>
      <c r="BV150" s="204">
        <f t="shared" si="301"/>
        <v>-74.239121381141487</v>
      </c>
      <c r="BW150" s="204">
        <f t="shared" si="301"/>
        <v>-74.956835797135199</v>
      </c>
      <c r="BX150" s="204">
        <f t="shared" si="301"/>
        <v>-75.679677639053423</v>
      </c>
      <c r="BY150" s="204">
        <f t="shared" si="301"/>
        <v>-76.407553772502823</v>
      </c>
      <c r="BZ150" s="204">
        <f t="shared" si="301"/>
        <v>-77.140372754780103</v>
      </c>
      <c r="CA150" s="204">
        <f t="shared" si="301"/>
        <v>-77.878044804144153</v>
      </c>
      <c r="CB150" s="204">
        <f t="shared" si="301"/>
        <v>-78.620481769646403</v>
      </c>
      <c r="CC150" s="204">
        <f t="shared" si="301"/>
        <v>-79.36759710150919</v>
      </c>
      <c r="CD150" s="204">
        <f t="shared" si="301"/>
        <v>-80.119305822042122</v>
      </c>
      <c r="CE150" s="204">
        <f t="shared" si="301"/>
        <v>-80.87552449708673</v>
      </c>
      <c r="CF150" s="204">
        <f t="shared" si="301"/>
        <v>-81.636171207979814</v>
      </c>
      <c r="CG150" s="204">
        <f t="shared" si="301"/>
        <v>-82.401165524026041</v>
      </c>
      <c r="CH150" s="204">
        <f t="shared" si="301"/>
        <v>-83.170428475470544</v>
      </c>
      <c r="CI150" s="204">
        <f t="shared" si="301"/>
        <v>-83.943882526962454</v>
      </c>
      <c r="CJ150" s="204">
        <f t="shared" si="301"/>
        <v>-84.721451551500408</v>
      </c>
      <c r="CK150" s="204">
        <f t="shared" si="301"/>
        <v>-85.503060804851359</v>
      </c>
      <c r="CL150" s="204">
        <f t="shared" si="301"/>
        <v>-86.288636900434042</v>
      </c>
      <c r="CM150" s="204">
        <f t="shared" si="301"/>
        <v>-87.07810778465857</v>
      </c>
      <c r="CN150" s="204">
        <f t="shared" si="301"/>
        <v>-87.871402712714072</v>
      </c>
      <c r="CO150" s="204">
        <f t="shared" si="301"/>
        <v>-88.668452224796056</v>
      </c>
      <c r="CP150" s="204">
        <f t="shared" si="301"/>
        <v>-89.469188122765601</v>
      </c>
      <c r="CQ150" s="204">
        <f t="shared" si="301"/>
        <v>-90.273543447232512</v>
      </c>
      <c r="CR150" s="204">
        <f t="shared" si="301"/>
        <v>-91.081452455054702</v>
      </c>
      <c r="CS150" s="204">
        <f t="shared" si="301"/>
        <v>-91.892850597246365</v>
      </c>
      <c r="CT150" s="204">
        <f t="shared" si="301"/>
        <v>-92.707674497287258</v>
      </c>
      <c r="CU150" s="204">
        <f t="shared" si="301"/>
        <v>-93.525861929826178</v>
      </c>
      <c r="CV150" s="204">
        <f t="shared" si="301"/>
        <v>-94.347351799771133</v>
      </c>
      <c r="CW150" s="204">
        <f t="shared" si="301"/>
        <v>-95.172084121759283</v>
      </c>
      <c r="CX150" s="204">
        <f t="shared" si="301"/>
        <v>-96</v>
      </c>
      <c r="CY150" s="204">
        <f t="shared" si="301"/>
        <v>-96</v>
      </c>
      <c r="CZ150" s="204">
        <f t="shared" si="301"/>
        <v>-96</v>
      </c>
      <c r="DA150" s="204">
        <f t="shared" si="301"/>
        <v>-96</v>
      </c>
      <c r="DB150" s="204">
        <f t="shared" si="301"/>
        <v>-96</v>
      </c>
      <c r="DC150" s="204">
        <f t="shared" si="301"/>
        <v>-96</v>
      </c>
      <c r="DD150" s="204">
        <f t="shared" si="301"/>
        <v>-96</v>
      </c>
      <c r="DE150" s="204">
        <f t="shared" si="301"/>
        <v>-96</v>
      </c>
      <c r="DF150" s="204">
        <f t="shared" si="301"/>
        <v>-96</v>
      </c>
      <c r="DG150" s="204">
        <f t="shared" si="301"/>
        <v>-96</v>
      </c>
      <c r="DH150" s="204">
        <f t="shared" si="301"/>
        <v>-96</v>
      </c>
      <c r="DI150" s="204">
        <f t="shared" si="301"/>
        <v>-96</v>
      </c>
      <c r="DJ150" s="204">
        <f t="shared" si="301"/>
        <v>-96</v>
      </c>
      <c r="DK150" s="204">
        <f t="shared" si="301"/>
        <v>-96</v>
      </c>
      <c r="DL150" s="204">
        <f t="shared" si="301"/>
        <v>-96</v>
      </c>
      <c r="DM150" s="204">
        <f t="shared" si="301"/>
        <v>-96</v>
      </c>
      <c r="DN150" s="204">
        <f t="shared" si="301"/>
        <v>-96</v>
      </c>
      <c r="DO150" s="204">
        <f t="shared" si="301"/>
        <v>-96</v>
      </c>
      <c r="DP150" s="204">
        <f t="shared" si="301"/>
        <v>-96</v>
      </c>
      <c r="DQ150" s="204">
        <f t="shared" si="301"/>
        <v>-96</v>
      </c>
      <c r="DR150" s="204">
        <f t="shared" si="301"/>
        <v>-96</v>
      </c>
      <c r="DS150" s="204">
        <f t="shared" si="301"/>
        <v>-96</v>
      </c>
      <c r="DT150" s="204">
        <f t="shared" si="301"/>
        <v>-96</v>
      </c>
      <c r="DU150" s="204">
        <f t="shared" si="301"/>
        <v>-96</v>
      </c>
      <c r="DV150" s="204">
        <f t="shared" si="301"/>
        <v>-96</v>
      </c>
      <c r="DW150" s="204">
        <f t="shared" si="301"/>
        <v>-96</v>
      </c>
      <c r="DX150" s="204">
        <f t="shared" si="301"/>
        <v>-96</v>
      </c>
      <c r="DY150" s="204">
        <f t="shared" si="301"/>
        <v>-96</v>
      </c>
      <c r="DZ150" s="204">
        <f t="shared" si="301"/>
        <v>-96</v>
      </c>
      <c r="EA150" s="204">
        <f t="shared" si="301"/>
        <v>-96</v>
      </c>
      <c r="EB150" s="204">
        <f t="shared" si="301"/>
        <v>-96</v>
      </c>
      <c r="EC150" s="204">
        <f t="shared" si="301"/>
        <v>-96</v>
      </c>
      <c r="ED150" s="204">
        <f t="shared" si="301"/>
        <v>-96</v>
      </c>
      <c r="EE150" s="204">
        <f t="shared" si="301"/>
        <v>-96</v>
      </c>
      <c r="EF150" s="204">
        <f t="shared" si="301"/>
        <v>-96</v>
      </c>
      <c r="EG150" s="204">
        <f t="shared" ref="EG150:ET150" si="302">PV($F104,EG$9,1,0)+(PV($J$6,$N$5-(EG$9),1,0)/($J$6+1)^EG$9)</f>
        <v>-96</v>
      </c>
      <c r="EH150" s="204">
        <f t="shared" si="302"/>
        <v>-96</v>
      </c>
      <c r="EI150" s="204">
        <f t="shared" si="302"/>
        <v>-96</v>
      </c>
      <c r="EJ150" s="204">
        <f t="shared" si="302"/>
        <v>-96</v>
      </c>
      <c r="EK150" s="204">
        <f t="shared" si="302"/>
        <v>-96</v>
      </c>
      <c r="EL150" s="204">
        <f t="shared" si="302"/>
        <v>-96</v>
      </c>
      <c r="EM150" s="204">
        <f t="shared" si="302"/>
        <v>-96</v>
      </c>
      <c r="EN150" s="204">
        <f t="shared" si="302"/>
        <v>-96</v>
      </c>
      <c r="EO150" s="204">
        <f t="shared" si="302"/>
        <v>-96</v>
      </c>
      <c r="EP150" s="204">
        <f t="shared" si="302"/>
        <v>-96</v>
      </c>
      <c r="EQ150" s="204">
        <f t="shared" si="302"/>
        <v>-96</v>
      </c>
      <c r="ER150" s="204">
        <f t="shared" si="302"/>
        <v>-96</v>
      </c>
      <c r="ES150" s="204">
        <f t="shared" si="302"/>
        <v>-96</v>
      </c>
      <c r="ET150" s="204">
        <f t="shared" si="302"/>
        <v>-96</v>
      </c>
      <c r="FF150" s="6" t="s">
        <v>3041</v>
      </c>
      <c r="FG150" s="696">
        <v>2.4E-2</v>
      </c>
      <c r="FH150" s="696">
        <v>96</v>
      </c>
      <c r="FI150" s="696">
        <v>1.9E-2</v>
      </c>
      <c r="FJ150" s="255">
        <v>1.3999999999999999E-2</v>
      </c>
      <c r="FK150" s="71">
        <f t="shared" si="272"/>
        <v>2.3809523809523815E-4</v>
      </c>
      <c r="FL150" t="e">
        <f>VLOOKUP(FF150,'SIMULADOR COM SALDO'!$BX$22:$CK$1000,13,FALSE)</f>
        <v>#N/A</v>
      </c>
    </row>
    <row r="151" spans="7:168" x14ac:dyDescent="0.25">
      <c r="FF151" s="67" t="s">
        <v>82</v>
      </c>
      <c r="FG151" s="696">
        <v>2.5000000000000001E-2</v>
      </c>
      <c r="FH151" s="696">
        <v>120</v>
      </c>
      <c r="FI151" s="696">
        <v>1.83E-2</v>
      </c>
      <c r="FJ151" s="255">
        <v>1.52E-2</v>
      </c>
      <c r="FK151" s="71">
        <f t="shared" si="272"/>
        <v>2.3333333333333336E-4</v>
      </c>
      <c r="FL151" t="e">
        <f>VLOOKUP(FF151,'SIMULADOR COM SALDO'!$BX$22:$CK$1000,13,FALSE)</f>
        <v>#N/A</v>
      </c>
    </row>
    <row r="152" spans="7:168" x14ac:dyDescent="0.25">
      <c r="FF152" s="6" t="s">
        <v>361</v>
      </c>
      <c r="FG152" s="696">
        <v>2.5000000000000001E-2</v>
      </c>
      <c r="FH152" s="696">
        <v>120</v>
      </c>
      <c r="FI152" s="696">
        <v>1.83E-2</v>
      </c>
      <c r="FJ152" s="255">
        <v>1.52E-2</v>
      </c>
      <c r="FK152" s="71">
        <f t="shared" si="272"/>
        <v>2.3333333333333336E-4</v>
      </c>
      <c r="FL152" t="e">
        <f>VLOOKUP(FF152,'SIMULADOR COM SALDO'!$BX$22:$CK$1000,13,FALSE)</f>
        <v>#N/A</v>
      </c>
    </row>
    <row r="153" spans="7:168" x14ac:dyDescent="0.25">
      <c r="FF153" s="6" t="s">
        <v>1815</v>
      </c>
      <c r="FG153" s="696">
        <v>2.5000000000000001E-2</v>
      </c>
      <c r="FH153" s="696">
        <v>120</v>
      </c>
      <c r="FI153" s="696">
        <v>1.9900000000000001E-2</v>
      </c>
      <c r="FJ153" s="255">
        <v>1.3899999999999999E-2</v>
      </c>
      <c r="FK153" s="71">
        <f t="shared" si="272"/>
        <v>2.6428571428571435E-4</v>
      </c>
      <c r="FL153" t="e">
        <f>VLOOKUP(FF153,'SIMULADOR COM SALDO'!$BX$22:$CK$1000,13,FALSE)</f>
        <v>#N/A</v>
      </c>
    </row>
    <row r="154" spans="7:168" x14ac:dyDescent="0.25">
      <c r="FF154" s="6" t="s">
        <v>1828</v>
      </c>
      <c r="FG154" s="696">
        <v>2.5000000000000001E-2</v>
      </c>
      <c r="FH154" s="696">
        <v>120</v>
      </c>
      <c r="FI154" s="696">
        <v>1.9900000000000001E-2</v>
      </c>
      <c r="FJ154" s="255">
        <v>1.3899999999999999E-2</v>
      </c>
      <c r="FK154" s="71">
        <f t="shared" si="272"/>
        <v>2.6428571428571435E-4</v>
      </c>
      <c r="FL154" t="e">
        <f>VLOOKUP(FF154,'SIMULADOR COM SALDO'!$BX$22:$CK$1000,13,FALSE)</f>
        <v>#N/A</v>
      </c>
    </row>
    <row r="155" spans="7:168" x14ac:dyDescent="0.25">
      <c r="FF155" s="67" t="s">
        <v>1103</v>
      </c>
      <c r="FG155" s="696">
        <v>2.5000000000000001E-2</v>
      </c>
      <c r="FH155" s="696">
        <v>120</v>
      </c>
      <c r="FI155" s="696">
        <v>1.9900000000000001E-2</v>
      </c>
      <c r="FJ155" s="255">
        <v>1.3899999999999999E-2</v>
      </c>
      <c r="FK155" s="71">
        <f t="shared" si="272"/>
        <v>2.6428571428571435E-4</v>
      </c>
      <c r="FL155" t="e">
        <f>VLOOKUP(FF155,'SIMULADOR COM SALDO'!$BX$22:$CK$1000,13,FALSE)</f>
        <v>#N/A</v>
      </c>
    </row>
    <row r="156" spans="7:168" x14ac:dyDescent="0.25">
      <c r="FF156" s="6" t="s">
        <v>720</v>
      </c>
      <c r="FG156" s="696">
        <v>2.5000000000000001E-2</v>
      </c>
      <c r="FH156" s="696">
        <v>96</v>
      </c>
      <c r="FI156" s="696">
        <v>1.8000000000000002E-2</v>
      </c>
      <c r="FJ156" s="255">
        <v>1.4499999999999999E-2</v>
      </c>
      <c r="FK156" s="71">
        <f t="shared" si="272"/>
        <v>2.5000000000000006E-4</v>
      </c>
      <c r="FL156" t="e">
        <f>VLOOKUP(FF156,'SIMULADOR COM SALDO'!$BX$22:$CK$1000,13,FALSE)</f>
        <v>#N/A</v>
      </c>
    </row>
    <row r="157" spans="7:168" x14ac:dyDescent="0.25">
      <c r="FF157" s="6" t="s">
        <v>1143</v>
      </c>
      <c r="FG157" s="696">
        <v>2.35E-2</v>
      </c>
      <c r="FH157" s="696">
        <v>120</v>
      </c>
      <c r="FI157" s="696">
        <v>2.1499999999999998E-2</v>
      </c>
      <c r="FJ157" s="255">
        <v>1.4999999999999999E-2</v>
      </c>
      <c r="FK157" s="71">
        <f t="shared" si="272"/>
        <v>2.0238095238095239E-4</v>
      </c>
      <c r="FL157" t="e">
        <f>VLOOKUP(FF157,'SIMULADOR COM SALDO'!$BX$22:$CK$1000,13,FALSE)</f>
        <v>#N/A</v>
      </c>
    </row>
    <row r="158" spans="7:168" x14ac:dyDescent="0.25">
      <c r="FF158" s="6" t="s">
        <v>371</v>
      </c>
      <c r="FG158" s="696">
        <v>2.5000000000000001E-2</v>
      </c>
      <c r="FH158" s="696">
        <v>120</v>
      </c>
      <c r="FI158" s="696">
        <v>2.1499999999999998E-2</v>
      </c>
      <c r="FJ158" s="255">
        <v>1.4999999999999999E-2</v>
      </c>
      <c r="FK158" s="71">
        <f t="shared" si="272"/>
        <v>2.3809523809523815E-4</v>
      </c>
      <c r="FL158" t="e">
        <f>VLOOKUP(FF158,'SIMULADOR COM SALDO'!$BX$22:$CK$1000,13,FALSE)</f>
        <v>#N/A</v>
      </c>
    </row>
    <row r="159" spans="7:168" x14ac:dyDescent="0.25">
      <c r="FF159" s="6" t="s">
        <v>809</v>
      </c>
      <c r="FG159" s="696">
        <v>2.5000000000000001E-2</v>
      </c>
      <c r="FH159" s="696">
        <v>120</v>
      </c>
      <c r="FI159" s="696">
        <v>1.6500000000000001E-2</v>
      </c>
      <c r="FJ159" s="255">
        <v>1.7399999999999999E-2</v>
      </c>
      <c r="FK159" s="71">
        <f t="shared" si="272"/>
        <v>1.8095238095238101E-4</v>
      </c>
      <c r="FL159" t="e">
        <f>VLOOKUP(FF159,'SIMULADOR COM SALDO'!$BX$22:$CK$1000,13,FALSE)</f>
        <v>#N/A</v>
      </c>
    </row>
    <row r="160" spans="7:168" x14ac:dyDescent="0.25">
      <c r="FF160" s="6" t="s">
        <v>3042</v>
      </c>
      <c r="FG160" s="696">
        <v>2.5000000000000001E-2</v>
      </c>
      <c r="FH160" s="696">
        <v>120</v>
      </c>
      <c r="FI160" s="696">
        <v>1.9E-2</v>
      </c>
      <c r="FJ160" s="255">
        <v>1.7500000000000002E-2</v>
      </c>
      <c r="FK160" s="71">
        <f t="shared" si="272"/>
        <v>1.7857142857142857E-4</v>
      </c>
      <c r="FL160" t="e">
        <f>VLOOKUP(FF160,'SIMULADOR COM SALDO'!$BX$22:$CK$1000,13,FALSE)</f>
        <v>#N/A</v>
      </c>
    </row>
    <row r="161" spans="162:168" x14ac:dyDescent="0.25">
      <c r="FF161" s="6" t="s">
        <v>3043</v>
      </c>
      <c r="FG161" s="696">
        <v>2.5000000000000001E-2</v>
      </c>
      <c r="FH161" s="696">
        <v>120</v>
      </c>
      <c r="FI161" s="696">
        <v>2.2400000000000003E-2</v>
      </c>
      <c r="FJ161" s="255">
        <v>1.55E-2</v>
      </c>
      <c r="FK161" s="71">
        <f t="shared" si="272"/>
        <v>2.2619047619047624E-4</v>
      </c>
      <c r="FL161" t="e">
        <f>VLOOKUP(FF161,'SIMULADOR COM SALDO'!$BX$22:$CK$1000,13,FALSE)</f>
        <v>#N/A</v>
      </c>
    </row>
    <row r="162" spans="162:168" x14ac:dyDescent="0.25">
      <c r="FF162" s="6" t="s">
        <v>723</v>
      </c>
      <c r="FG162" s="696">
        <v>2.5000000000000001E-2</v>
      </c>
      <c r="FH162" s="696">
        <v>120</v>
      </c>
      <c r="FI162" s="696">
        <v>1.83E-2</v>
      </c>
      <c r="FJ162" s="255">
        <v>1.7000000000000001E-2</v>
      </c>
      <c r="FK162" s="71">
        <f t="shared" si="272"/>
        <v>1.9047619047619048E-4</v>
      </c>
      <c r="FL162" t="e">
        <f>VLOOKUP(FF162,'SIMULADOR COM SALDO'!$BX$22:$CK$1000,13,FALSE)</f>
        <v>#N/A</v>
      </c>
    </row>
    <row r="163" spans="162:168" x14ac:dyDescent="0.25">
      <c r="FF163" s="6" t="s">
        <v>3044</v>
      </c>
      <c r="FG163" s="696">
        <v>2.5000000000000001E-2</v>
      </c>
      <c r="FH163" s="696">
        <v>120</v>
      </c>
      <c r="FI163" s="696">
        <v>2.1099999999999997E-2</v>
      </c>
      <c r="FJ163" s="255">
        <v>1.49E-2</v>
      </c>
      <c r="FK163" s="71">
        <f t="shared" si="272"/>
        <v>2.404761904761905E-4</v>
      </c>
      <c r="FL163" t="e">
        <f>VLOOKUP(FF163,'SIMULADOR COM SALDO'!$BX$22:$CK$1000,13,FALSE)</f>
        <v>#N/A</v>
      </c>
    </row>
    <row r="164" spans="162:168" x14ac:dyDescent="0.25">
      <c r="FF164" s="6" t="s">
        <v>2422</v>
      </c>
      <c r="FG164" s="696">
        <v>2.5000000000000001E-2</v>
      </c>
      <c r="FH164" s="696">
        <v>120</v>
      </c>
      <c r="FI164" s="696">
        <v>1.9900000000000001E-2</v>
      </c>
      <c r="FJ164" s="255">
        <v>1.3899999999999999E-2</v>
      </c>
      <c r="FK164" s="71">
        <f t="shared" si="272"/>
        <v>2.6428571428571435E-4</v>
      </c>
      <c r="FL164" t="e">
        <f>VLOOKUP(FF164,'SIMULADOR COM SALDO'!$BX$22:$CK$1000,13,FALSE)</f>
        <v>#N/A</v>
      </c>
    </row>
    <row r="165" spans="162:168" x14ac:dyDescent="0.25">
      <c r="FF165" s="6" t="s">
        <v>470</v>
      </c>
      <c r="FG165" s="696">
        <v>2.5000000000000001E-2</v>
      </c>
      <c r="FH165" s="696">
        <v>120</v>
      </c>
      <c r="FI165" s="696">
        <v>1.8500000000000003E-2</v>
      </c>
      <c r="FJ165" s="255">
        <v>1.52E-2</v>
      </c>
      <c r="FK165" s="71">
        <f t="shared" si="272"/>
        <v>2.3333333333333336E-4</v>
      </c>
      <c r="FL165" t="e">
        <f>VLOOKUP(FF165,'SIMULADOR COM SALDO'!$BX$22:$CK$1000,13,FALSE)</f>
        <v>#N/A</v>
      </c>
    </row>
    <row r="166" spans="162:168" x14ac:dyDescent="0.25">
      <c r="FF166" s="6" t="s">
        <v>507</v>
      </c>
      <c r="FG166" s="696">
        <v>2.5000000000000001E-2</v>
      </c>
      <c r="FH166" s="696">
        <v>96</v>
      </c>
      <c r="FI166" s="696">
        <v>2.3E-2</v>
      </c>
      <c r="FJ166" s="255">
        <v>2.2000000000000002E-2</v>
      </c>
      <c r="FK166" s="71">
        <f t="shared" si="272"/>
        <v>7.1428571428571407E-5</v>
      </c>
      <c r="FL166" t="e">
        <f>VLOOKUP(FF166,'SIMULADOR COM SALDO'!$BX$22:$CK$1000,13,FALSE)</f>
        <v>#N/A</v>
      </c>
    </row>
    <row r="167" spans="162:168" x14ac:dyDescent="0.25">
      <c r="FF167" s="6" t="s">
        <v>226</v>
      </c>
      <c r="FG167" s="696">
        <v>2.5000000000000001E-2</v>
      </c>
      <c r="FH167" s="696">
        <v>120</v>
      </c>
      <c r="FI167" s="696">
        <v>1.6799999999999999E-2</v>
      </c>
      <c r="FJ167" s="255">
        <v>1.3999999999999999E-2</v>
      </c>
      <c r="FK167" s="71">
        <f t="shared" si="272"/>
        <v>2.6190476190476197E-4</v>
      </c>
      <c r="FL167" t="e">
        <f>VLOOKUP(FF167,'SIMULADOR COM SALDO'!$BX$22:$CK$1000,13,FALSE)</f>
        <v>#N/A</v>
      </c>
    </row>
    <row r="168" spans="162:168" x14ac:dyDescent="0.25">
      <c r="FF168" s="6" t="s">
        <v>217</v>
      </c>
      <c r="FG168" s="696">
        <v>2.5000000000000001E-2</v>
      </c>
      <c r="FH168" s="696">
        <v>120</v>
      </c>
      <c r="FI168" s="696">
        <v>2.2000000000000002E-2</v>
      </c>
      <c r="FJ168" s="255">
        <v>1.6E-2</v>
      </c>
      <c r="FK168" s="71">
        <f t="shared" si="272"/>
        <v>2.142857142857143E-4</v>
      </c>
      <c r="FL168" t="e">
        <f>VLOOKUP(FF168,'SIMULADOR COM SALDO'!$BX$22:$CK$1000,13,FALSE)</f>
        <v>#N/A</v>
      </c>
    </row>
    <row r="169" spans="162:168" x14ac:dyDescent="0.25">
      <c r="FF169" s="67" t="s">
        <v>91</v>
      </c>
      <c r="FG169" s="696">
        <v>1.8500000000000003E-2</v>
      </c>
      <c r="FH169" s="696">
        <v>120</v>
      </c>
      <c r="FI169" s="696">
        <v>1.8500000000000003E-2</v>
      </c>
      <c r="FJ169" s="255">
        <v>1.4999999999999999E-2</v>
      </c>
      <c r="FK169" s="71">
        <f t="shared" si="272"/>
        <v>8.3333333333333412E-5</v>
      </c>
      <c r="FL169" t="e">
        <f>VLOOKUP(FF169,'SIMULADOR COM SALDO'!$BX$22:$CK$1000,13,FALSE)</f>
        <v>#N/A</v>
      </c>
    </row>
    <row r="170" spans="162:168" x14ac:dyDescent="0.25">
      <c r="FF170" s="6" t="s">
        <v>372</v>
      </c>
      <c r="FG170" s="696">
        <v>2.29E-2</v>
      </c>
      <c r="FH170" s="696">
        <v>120</v>
      </c>
      <c r="FI170" s="696">
        <v>1.6899999999999998E-2</v>
      </c>
      <c r="FJ170" s="255">
        <v>1.4499999999999999E-2</v>
      </c>
      <c r="FK170" s="71">
        <f t="shared" si="272"/>
        <v>2.0000000000000004E-4</v>
      </c>
      <c r="FL170" t="e">
        <f>VLOOKUP(FF170,'SIMULADOR COM SALDO'!$BX$22:$CK$1000,13,FALSE)</f>
        <v>#N/A</v>
      </c>
    </row>
    <row r="171" spans="162:168" x14ac:dyDescent="0.25">
      <c r="FF171" s="6" t="s">
        <v>1091</v>
      </c>
      <c r="FG171" s="696">
        <v>2.5000000000000001E-2</v>
      </c>
      <c r="FH171" s="696">
        <v>120</v>
      </c>
      <c r="FI171" s="696">
        <v>2.0299999999999999E-2</v>
      </c>
      <c r="FJ171" s="255">
        <v>1.34E-2</v>
      </c>
      <c r="FK171" s="71">
        <f t="shared" si="272"/>
        <v>2.7619047619047621E-4</v>
      </c>
      <c r="FL171" t="e">
        <f>VLOOKUP(FF171,'SIMULADOR COM SALDO'!$BX$22:$CK$1000,13,FALSE)</f>
        <v>#N/A</v>
      </c>
    </row>
    <row r="172" spans="162:168" x14ac:dyDescent="0.25">
      <c r="FF172" s="6" t="s">
        <v>3842</v>
      </c>
      <c r="FG172" s="696">
        <v>2.5000000000000001E-2</v>
      </c>
      <c r="FH172" s="696">
        <v>96</v>
      </c>
      <c r="FI172" s="696">
        <v>1.72E-2</v>
      </c>
      <c r="FJ172" s="255">
        <v>1.41E-2</v>
      </c>
      <c r="FK172" s="71">
        <f t="shared" si="272"/>
        <v>2.5952380952380959E-4</v>
      </c>
      <c r="FL172" t="e">
        <f>VLOOKUP(FF172,'SIMULADOR COM SALDO'!$BX$22:$CK$1000,13,FALSE)</f>
        <v>#N/A</v>
      </c>
    </row>
    <row r="173" spans="162:168" x14ac:dyDescent="0.25">
      <c r="FF173" s="6" t="s">
        <v>3672</v>
      </c>
      <c r="FG173" s="696">
        <v>2.5000000000000001E-2</v>
      </c>
      <c r="FH173" s="696">
        <v>120</v>
      </c>
      <c r="FI173" s="696">
        <v>1.7000000000000001E-2</v>
      </c>
      <c r="FJ173" s="255">
        <v>1.41E-2</v>
      </c>
      <c r="FK173" s="71">
        <f t="shared" si="272"/>
        <v>2.5952380952380959E-4</v>
      </c>
      <c r="FL173" t="e">
        <f>VLOOKUP(FF173,'SIMULADOR COM SALDO'!$BX$22:$CK$1000,13,FALSE)</f>
        <v>#N/A</v>
      </c>
    </row>
    <row r="174" spans="162:168" x14ac:dyDescent="0.25">
      <c r="FF174" s="6" t="s">
        <v>3045</v>
      </c>
      <c r="FG174" s="696">
        <v>2.5000000000000001E-2</v>
      </c>
      <c r="FH174" s="696">
        <v>120</v>
      </c>
      <c r="FI174" s="696">
        <v>2.3E-2</v>
      </c>
      <c r="FJ174" s="255">
        <v>1.7600000000000001E-2</v>
      </c>
      <c r="FK174" s="71">
        <f t="shared" si="272"/>
        <v>1.7619047619047619E-4</v>
      </c>
      <c r="FL174" t="e">
        <f>VLOOKUP(FF174,'SIMULADOR COM SALDO'!$BX$22:$CK$1000,13,FALSE)</f>
        <v>#N/A</v>
      </c>
    </row>
    <row r="175" spans="162:168" x14ac:dyDescent="0.25">
      <c r="FF175" s="6" t="s">
        <v>670</v>
      </c>
      <c r="FG175" s="696">
        <v>2.5000000000000001E-2</v>
      </c>
      <c r="FH175" s="696">
        <v>96</v>
      </c>
      <c r="FI175" s="696">
        <v>1.7500000000000002E-2</v>
      </c>
      <c r="FJ175" s="255">
        <v>1.55E-2</v>
      </c>
      <c r="FK175" s="71">
        <f t="shared" si="272"/>
        <v>2.2619047619047624E-4</v>
      </c>
      <c r="FL175" t="e">
        <f>VLOOKUP(FF175,'SIMULADOR COM SALDO'!$BX$22:$CK$1000,13,FALSE)</f>
        <v>#N/A</v>
      </c>
    </row>
    <row r="176" spans="162:168" x14ac:dyDescent="0.25">
      <c r="FF176" s="6" t="s">
        <v>789</v>
      </c>
      <c r="FG176" s="696">
        <v>2.5000000000000001E-2</v>
      </c>
      <c r="FH176" s="696">
        <v>120</v>
      </c>
      <c r="FI176" s="696">
        <v>2.41E-2</v>
      </c>
      <c r="FJ176" s="255">
        <v>1.7000000000000001E-2</v>
      </c>
      <c r="FK176" s="71">
        <f t="shared" si="272"/>
        <v>1.9047619047619048E-4</v>
      </c>
      <c r="FL176" t="e">
        <f>VLOOKUP(FF176,'SIMULADOR COM SALDO'!$BX$22:$CK$1000,13,FALSE)</f>
        <v>#N/A</v>
      </c>
    </row>
    <row r="177" spans="162:168" x14ac:dyDescent="0.25">
      <c r="FF177" s="6" t="s">
        <v>642</v>
      </c>
      <c r="FG177" s="696">
        <v>2.5000000000000001E-2</v>
      </c>
      <c r="FH177" s="696">
        <v>120</v>
      </c>
      <c r="FI177" s="696">
        <v>2.0099999999999996E-2</v>
      </c>
      <c r="FJ177" s="255">
        <v>1.3899999999999999E-2</v>
      </c>
      <c r="FK177" s="71">
        <f t="shared" si="272"/>
        <v>2.6428571428571435E-4</v>
      </c>
      <c r="FL177" t="e">
        <f>VLOOKUP(FF177,'SIMULADOR COM SALDO'!$BX$22:$CK$1000,13,FALSE)</f>
        <v>#N/A</v>
      </c>
    </row>
    <row r="178" spans="162:168" x14ac:dyDescent="0.25">
      <c r="FF178" s="6" t="s">
        <v>3715</v>
      </c>
      <c r="FG178" s="696">
        <v>2.5000000000000001E-2</v>
      </c>
      <c r="FH178" s="696">
        <v>120</v>
      </c>
      <c r="FI178" s="696">
        <v>1.7000000000000001E-2</v>
      </c>
      <c r="FJ178" s="255">
        <v>1.41E-2</v>
      </c>
      <c r="FK178" s="71">
        <f t="shared" si="272"/>
        <v>2.5952380952380959E-4</v>
      </c>
      <c r="FL178" t="e">
        <f>VLOOKUP(FF178,'SIMULADOR COM SALDO'!$BX$22:$CK$1000,13,FALSE)</f>
        <v>#N/A</v>
      </c>
    </row>
    <row r="179" spans="162:168" x14ac:dyDescent="0.25">
      <c r="FF179" s="6" t="s">
        <v>846</v>
      </c>
      <c r="FG179" s="696">
        <v>1.9900000000000001E-2</v>
      </c>
      <c r="FH179" s="696">
        <v>96</v>
      </c>
      <c r="FI179" s="696">
        <v>1.9900000000000001E-2</v>
      </c>
      <c r="FJ179" s="255">
        <v>1.4999999999999999E-2</v>
      </c>
      <c r="FK179" s="71">
        <f t="shared" si="272"/>
        <v>1.1666666666666671E-4</v>
      </c>
      <c r="FL179" t="e">
        <f>VLOOKUP(FF179,'SIMULADOR COM SALDO'!$BX$22:$CK$1000,13,FALSE)</f>
        <v>#N/A</v>
      </c>
    </row>
    <row r="180" spans="162:168" x14ac:dyDescent="0.25">
      <c r="FF180" s="6" t="s">
        <v>2640</v>
      </c>
      <c r="FG180" s="696">
        <v>2.5000000000000001E-2</v>
      </c>
      <c r="FH180" s="696">
        <v>96</v>
      </c>
      <c r="FI180" s="696">
        <v>2.0199999999999999E-2</v>
      </c>
      <c r="FJ180" s="255">
        <v>1.55E-2</v>
      </c>
      <c r="FK180" s="71">
        <f t="shared" si="272"/>
        <v>2.2619047619047624E-4</v>
      </c>
      <c r="FL180" t="e">
        <f>VLOOKUP(FF180,'SIMULADOR COM SALDO'!$BX$22:$CK$1000,13,FALSE)</f>
        <v>#N/A</v>
      </c>
    </row>
    <row r="181" spans="162:168" x14ac:dyDescent="0.25">
      <c r="FF181" s="67" t="s">
        <v>93</v>
      </c>
      <c r="FG181" s="696">
        <v>2.5000000000000001E-2</v>
      </c>
      <c r="FH181" s="696">
        <v>120</v>
      </c>
      <c r="FI181" s="696">
        <v>2.35E-2</v>
      </c>
      <c r="FJ181" s="255">
        <v>2.06E-2</v>
      </c>
      <c r="FK181" s="71">
        <f t="shared" si="272"/>
        <v>1.0476190476190478E-4</v>
      </c>
      <c r="FL181" t="e">
        <f>VLOOKUP(FF181,'SIMULADOR COM SALDO'!$BX$22:$CK$1000,13,FALSE)</f>
        <v>#N/A</v>
      </c>
    </row>
    <row r="182" spans="162:168" x14ac:dyDescent="0.25">
      <c r="FF182" s="6" t="s">
        <v>3046</v>
      </c>
      <c r="FG182" s="696">
        <v>2.5000000000000001E-2</v>
      </c>
      <c r="FH182" s="696">
        <v>96</v>
      </c>
      <c r="FI182" s="696">
        <v>1.9900000000000001E-2</v>
      </c>
      <c r="FJ182" s="255">
        <v>1.5900000000000001E-2</v>
      </c>
      <c r="FK182" s="71">
        <f t="shared" si="272"/>
        <v>2.1666666666666668E-4</v>
      </c>
      <c r="FL182" t="e">
        <f>VLOOKUP(FF182,'SIMULADOR COM SALDO'!$BX$22:$CK$1000,13,FALSE)</f>
        <v>#N/A</v>
      </c>
    </row>
    <row r="183" spans="162:168" x14ac:dyDescent="0.25">
      <c r="FF183" s="6" t="s">
        <v>508</v>
      </c>
      <c r="FG183" s="696">
        <v>2.5000000000000001E-2</v>
      </c>
      <c r="FH183" s="696">
        <v>120</v>
      </c>
      <c r="FI183" s="696">
        <v>1.66E-2</v>
      </c>
      <c r="FJ183" s="255">
        <v>1.38E-2</v>
      </c>
      <c r="FK183" s="71">
        <f t="shared" si="272"/>
        <v>2.6666666666666668E-4</v>
      </c>
      <c r="FL183" t="e">
        <f>VLOOKUP(FF183,'SIMULADOR COM SALDO'!$BX$22:$CK$1000,13,FALSE)</f>
        <v>#N/A</v>
      </c>
    </row>
    <row r="184" spans="162:168" x14ac:dyDescent="0.25">
      <c r="FF184" s="6" t="s">
        <v>1301</v>
      </c>
      <c r="FG184" s="696">
        <v>2.5000000000000001E-2</v>
      </c>
      <c r="FH184" s="696">
        <v>120</v>
      </c>
      <c r="FI184" s="696">
        <v>1.7500000000000002E-2</v>
      </c>
      <c r="FJ184" s="255">
        <v>1.3999999999999999E-2</v>
      </c>
      <c r="FK184" s="71">
        <f t="shared" si="272"/>
        <v>2.6190476190476197E-4</v>
      </c>
      <c r="FL184" t="e">
        <f>VLOOKUP(FF184,'SIMULADOR COM SALDO'!$BX$22:$CK$1000,13,FALSE)</f>
        <v>#N/A</v>
      </c>
    </row>
    <row r="185" spans="162:168" x14ac:dyDescent="0.25">
      <c r="FF185" s="6" t="s">
        <v>580</v>
      </c>
      <c r="FG185" s="696">
        <v>2.7000000000000003E-2</v>
      </c>
      <c r="FH185" s="696">
        <v>120</v>
      </c>
      <c r="FI185" s="696">
        <v>2.2000000000000002E-2</v>
      </c>
      <c r="FJ185" s="255">
        <v>1.4999999999999999E-2</v>
      </c>
      <c r="FK185" s="71">
        <f t="shared" si="272"/>
        <v>2.8571428571428579E-4</v>
      </c>
      <c r="FL185" t="e">
        <f>VLOOKUP(FF185,'SIMULADOR COM SALDO'!$BX$22:$CK$1000,13,FALSE)</f>
        <v>#N/A</v>
      </c>
    </row>
    <row r="186" spans="162:168" x14ac:dyDescent="0.25">
      <c r="FF186" s="67" t="s">
        <v>98</v>
      </c>
      <c r="FG186" s="696">
        <v>2.5000000000000001E-2</v>
      </c>
      <c r="FH186" s="696">
        <v>120</v>
      </c>
      <c r="FI186" s="696">
        <v>1.9900000000000001E-2</v>
      </c>
      <c r="FJ186" s="255">
        <v>1.49E-2</v>
      </c>
      <c r="FK186" s="71">
        <f t="shared" si="272"/>
        <v>2.404761904761905E-4</v>
      </c>
      <c r="FL186" t="e">
        <f>VLOOKUP(FF186,'SIMULADOR COM SALDO'!$BX$22:$CK$1000,13,FALSE)</f>
        <v>#N/A</v>
      </c>
    </row>
    <row r="187" spans="162:168" x14ac:dyDescent="0.25">
      <c r="FF187" s="6" t="s">
        <v>3047</v>
      </c>
      <c r="FG187" s="696">
        <v>2.5000000000000001E-2</v>
      </c>
      <c r="FH187" s="696">
        <v>120</v>
      </c>
      <c r="FI187" s="696">
        <v>2.1499999999999998E-2</v>
      </c>
      <c r="FJ187" s="255">
        <v>1.55E-2</v>
      </c>
      <c r="FK187" s="71">
        <f t="shared" si="272"/>
        <v>2.2619047619047624E-4</v>
      </c>
      <c r="FL187" t="e">
        <f>VLOOKUP(FF187,'SIMULADOR COM SALDO'!$BX$22:$CK$1000,13,FALSE)</f>
        <v>#N/A</v>
      </c>
    </row>
    <row r="188" spans="162:168" x14ac:dyDescent="0.25">
      <c r="FF188" s="6" t="s">
        <v>3048</v>
      </c>
      <c r="FG188" s="696">
        <v>2.7999999999999997E-2</v>
      </c>
      <c r="FH188" s="696">
        <v>120</v>
      </c>
      <c r="FI188" s="696">
        <v>2.2000000000000002E-2</v>
      </c>
      <c r="FJ188" s="255">
        <v>1.4999999999999999E-2</v>
      </c>
      <c r="FK188" s="71">
        <f t="shared" si="272"/>
        <v>3.0952380952380945E-4</v>
      </c>
      <c r="FL188" t="e">
        <f>VLOOKUP(FF188,'SIMULADOR COM SALDO'!$BX$22:$CK$1000,13,FALSE)</f>
        <v>#N/A</v>
      </c>
    </row>
    <row r="189" spans="162:168" x14ac:dyDescent="0.25">
      <c r="FF189" s="6" t="s">
        <v>3751</v>
      </c>
      <c r="FG189" s="696">
        <v>2.5000000000000001E-2</v>
      </c>
      <c r="FH189" s="696">
        <v>120</v>
      </c>
      <c r="FI189" s="696">
        <v>2.1499999999999998E-2</v>
      </c>
      <c r="FJ189" s="255">
        <v>1.6200000000000003E-2</v>
      </c>
      <c r="FK189" s="71">
        <f t="shared" si="272"/>
        <v>2.0952380952380948E-4</v>
      </c>
      <c r="FL189" t="e">
        <f>VLOOKUP(FF189,'SIMULADOR COM SALDO'!$BX$22:$CK$1000,13,FALSE)</f>
        <v>#N/A</v>
      </c>
    </row>
    <row r="190" spans="162:168" x14ac:dyDescent="0.25">
      <c r="FF190" s="6" t="s">
        <v>3049</v>
      </c>
      <c r="FG190" s="696">
        <v>2.5000000000000001E-2</v>
      </c>
      <c r="FH190" s="696">
        <v>96</v>
      </c>
      <c r="FI190" s="696">
        <v>1.8500000000000003E-2</v>
      </c>
      <c r="FJ190" s="255">
        <v>1.4499999999999999E-2</v>
      </c>
      <c r="FK190" s="71">
        <f t="shared" si="272"/>
        <v>2.5000000000000006E-4</v>
      </c>
      <c r="FL190" t="e">
        <f>VLOOKUP(FF190,'SIMULADOR COM SALDO'!$BX$22:$CK$1000,13,FALSE)</f>
        <v>#N/A</v>
      </c>
    </row>
    <row r="191" spans="162:168" x14ac:dyDescent="0.25">
      <c r="FF191" s="6" t="s">
        <v>3050</v>
      </c>
      <c r="FG191" s="696">
        <v>2.5000000000000001E-2</v>
      </c>
      <c r="FH191" s="696">
        <v>96</v>
      </c>
      <c r="FI191" s="696">
        <v>1.8500000000000003E-2</v>
      </c>
      <c r="FJ191" s="255">
        <v>1.4499999999999999E-2</v>
      </c>
      <c r="FK191" s="71">
        <f t="shared" si="272"/>
        <v>2.5000000000000006E-4</v>
      </c>
      <c r="FL191" t="e">
        <f>VLOOKUP(FF191,'SIMULADOR COM SALDO'!$BX$22:$CK$1000,13,FALSE)</f>
        <v>#N/A</v>
      </c>
    </row>
    <row r="192" spans="162:168" x14ac:dyDescent="0.25">
      <c r="FF192" s="6" t="s">
        <v>1050</v>
      </c>
      <c r="FG192" s="696">
        <v>1.9E-2</v>
      </c>
      <c r="FH192" s="696">
        <v>96</v>
      </c>
      <c r="FI192" s="696">
        <v>1.7000000000000001E-2</v>
      </c>
      <c r="FJ192" s="255">
        <v>1.3999999999999999E-2</v>
      </c>
      <c r="FK192" s="71">
        <f t="shared" si="272"/>
        <v>1.1904761904761907E-4</v>
      </c>
      <c r="FL192" t="e">
        <f>VLOOKUP(FF192,'SIMULADOR COM SALDO'!$BX$22:$CK$1000,13,FALSE)</f>
        <v>#N/A</v>
      </c>
    </row>
    <row r="193" spans="162:168" x14ac:dyDescent="0.25">
      <c r="FF193" s="6" t="s">
        <v>3051</v>
      </c>
      <c r="FG193" s="696">
        <v>2.5000000000000001E-2</v>
      </c>
      <c r="FH193" s="696">
        <v>96</v>
      </c>
      <c r="FI193" s="696">
        <v>1.7000000000000001E-2</v>
      </c>
      <c r="FJ193" s="255">
        <v>1.46E-2</v>
      </c>
      <c r="FK193" s="71">
        <f t="shared" si="272"/>
        <v>2.4761904761904762E-4</v>
      </c>
      <c r="FL193" t="e">
        <f>VLOOKUP(FF193,'SIMULADOR COM SALDO'!$BX$22:$CK$1000,13,FALSE)</f>
        <v>#N/A</v>
      </c>
    </row>
    <row r="194" spans="162:168" x14ac:dyDescent="0.25">
      <c r="FF194" s="6" t="s">
        <v>3052</v>
      </c>
      <c r="FG194" s="696">
        <v>2.5000000000000001E-2</v>
      </c>
      <c r="FH194" s="696">
        <v>120</v>
      </c>
      <c r="FI194" s="696">
        <v>2.1000000000000001E-2</v>
      </c>
      <c r="FJ194" s="255">
        <v>1.6E-2</v>
      </c>
      <c r="FK194" s="71">
        <f t="shared" si="272"/>
        <v>2.142857142857143E-4</v>
      </c>
      <c r="FL194" t="e">
        <f>VLOOKUP(FF194,'SIMULADOR COM SALDO'!$BX$22:$CK$1000,13,FALSE)</f>
        <v>#N/A</v>
      </c>
    </row>
    <row r="195" spans="162:168" x14ac:dyDescent="0.25">
      <c r="FF195" s="6" t="s">
        <v>601</v>
      </c>
      <c r="FG195" s="696">
        <v>2.2499999999999999E-2</v>
      </c>
      <c r="FH195" s="696">
        <v>96</v>
      </c>
      <c r="FI195" s="696">
        <v>2.07E-2</v>
      </c>
      <c r="FJ195" s="255">
        <v>1.4999999999999999E-2</v>
      </c>
      <c r="FK195" s="71">
        <f t="shared" si="272"/>
        <v>1.7857142857142857E-4</v>
      </c>
      <c r="FL195" t="e">
        <f>VLOOKUP(FF195,'SIMULADOR COM SALDO'!$BX$22:$CK$1000,13,FALSE)</f>
        <v>#N/A</v>
      </c>
    </row>
    <row r="196" spans="162:168" x14ac:dyDescent="0.25">
      <c r="FF196" s="6" t="s">
        <v>375</v>
      </c>
      <c r="FG196" s="696">
        <v>2.5000000000000001E-2</v>
      </c>
      <c r="FH196" s="696">
        <v>96</v>
      </c>
      <c r="FI196" s="696">
        <v>1.6299999999999999E-2</v>
      </c>
      <c r="FJ196" s="255">
        <v>1.3500000000000002E-2</v>
      </c>
      <c r="FK196" s="71">
        <f t="shared" si="272"/>
        <v>2.7380952380952383E-4</v>
      </c>
      <c r="FL196" t="e">
        <f>VLOOKUP(FF196,'SIMULADOR COM SALDO'!$BX$22:$CK$1000,13,FALSE)</f>
        <v>#N/A</v>
      </c>
    </row>
    <row r="197" spans="162:168" x14ac:dyDescent="0.25">
      <c r="FF197" s="6" t="s">
        <v>1122</v>
      </c>
      <c r="FG197" s="696">
        <v>2.5000000000000001E-2</v>
      </c>
      <c r="FH197" s="696">
        <v>120</v>
      </c>
      <c r="FI197" s="696">
        <v>2.1000000000000001E-2</v>
      </c>
      <c r="FJ197" s="255">
        <v>1.49E-2</v>
      </c>
      <c r="FK197" s="71">
        <f t="shared" si="272"/>
        <v>2.404761904761905E-4</v>
      </c>
      <c r="FL197" t="e">
        <f>VLOOKUP(FF197,'SIMULADOR COM SALDO'!$BX$22:$CK$1000,13,FALSE)</f>
        <v>#N/A</v>
      </c>
    </row>
    <row r="198" spans="162:168" x14ac:dyDescent="0.25">
      <c r="FF198" s="6" t="s">
        <v>205</v>
      </c>
      <c r="FG198" s="696">
        <v>2.5000000000000001E-2</v>
      </c>
      <c r="FH198" s="696">
        <v>120</v>
      </c>
      <c r="FI198" s="696">
        <v>2.2000000000000002E-2</v>
      </c>
      <c r="FJ198" s="255">
        <v>1.7000000000000001E-2</v>
      </c>
      <c r="FK198" s="71">
        <f t="shared" si="272"/>
        <v>1.9047619047619048E-4</v>
      </c>
      <c r="FL198" t="e">
        <f>VLOOKUP(FF198,'SIMULADOR COM SALDO'!$BX$22:$CK$1000,13,FALSE)</f>
        <v>#N/A</v>
      </c>
    </row>
    <row r="199" spans="162:168" x14ac:dyDescent="0.25">
      <c r="FF199" s="6" t="s">
        <v>3053</v>
      </c>
      <c r="FG199" s="696">
        <v>2.5000000000000001E-2</v>
      </c>
      <c r="FH199" s="696">
        <v>120</v>
      </c>
      <c r="FI199" s="696">
        <v>1.95E-2</v>
      </c>
      <c r="FJ199" s="255">
        <v>1.4800000000000001E-2</v>
      </c>
      <c r="FK199" s="71">
        <f t="shared" si="272"/>
        <v>2.4285714285714289E-4</v>
      </c>
      <c r="FL199" t="e">
        <f>VLOOKUP(FF199,'SIMULADOR COM SALDO'!$BX$22:$CK$1000,13,FALSE)</f>
        <v>#N/A</v>
      </c>
    </row>
    <row r="200" spans="162:168" x14ac:dyDescent="0.25">
      <c r="FF200" s="6" t="s">
        <v>3054</v>
      </c>
      <c r="FG200" s="696">
        <v>2.5000000000000001E-2</v>
      </c>
      <c r="FH200" s="696">
        <v>120</v>
      </c>
      <c r="FI200" s="696">
        <v>1.95E-2</v>
      </c>
      <c r="FJ200" s="255">
        <v>1.4800000000000001E-2</v>
      </c>
      <c r="FK200" s="71">
        <f t="shared" si="272"/>
        <v>2.4285714285714289E-4</v>
      </c>
      <c r="FL200" t="e">
        <f>VLOOKUP(FF200,'SIMULADOR COM SALDO'!$BX$22:$CK$1000,13,FALSE)</f>
        <v>#N/A</v>
      </c>
    </row>
    <row r="201" spans="162:168" x14ac:dyDescent="0.25">
      <c r="FF201" s="6" t="s">
        <v>373</v>
      </c>
      <c r="FG201" s="696">
        <v>2.5000000000000001E-2</v>
      </c>
      <c r="FH201" s="696">
        <v>120</v>
      </c>
      <c r="FI201" s="696">
        <v>2.1499999999999998E-2</v>
      </c>
      <c r="FJ201" s="255">
        <v>1.6500000000000001E-2</v>
      </c>
      <c r="FK201" s="71">
        <f t="shared" si="272"/>
        <v>2.0238095238095239E-4</v>
      </c>
      <c r="FL201" t="e">
        <f>VLOOKUP(FF201,'SIMULADOR COM SALDO'!$BX$22:$CK$1000,13,FALSE)</f>
        <v>#N/A</v>
      </c>
    </row>
    <row r="202" spans="162:168" x14ac:dyDescent="0.25">
      <c r="FF202" s="6" t="s">
        <v>362</v>
      </c>
      <c r="FG202" s="696">
        <v>2.5000000000000001E-2</v>
      </c>
      <c r="FH202" s="696">
        <v>120</v>
      </c>
      <c r="FI202" s="696">
        <v>2.1499999999999998E-2</v>
      </c>
      <c r="FJ202" s="255">
        <v>1.6500000000000001E-2</v>
      </c>
      <c r="FK202" s="71">
        <f t="shared" si="272"/>
        <v>2.0238095238095239E-4</v>
      </c>
      <c r="FL202" t="e">
        <f>VLOOKUP(FF202,'SIMULADOR COM SALDO'!$BX$22:$CK$1000,13,FALSE)</f>
        <v>#N/A</v>
      </c>
    </row>
    <row r="203" spans="162:168" x14ac:dyDescent="0.25">
      <c r="FF203" s="6" t="s">
        <v>228</v>
      </c>
      <c r="FG203" s="696">
        <v>2.5000000000000001E-2</v>
      </c>
      <c r="FH203" s="696">
        <v>120</v>
      </c>
      <c r="FI203" s="696">
        <v>1.9900000000000001E-2</v>
      </c>
      <c r="FJ203" s="255">
        <v>1.6E-2</v>
      </c>
      <c r="FK203" s="71">
        <f t="shared" si="272"/>
        <v>2.142857142857143E-4</v>
      </c>
      <c r="FL203" t="e">
        <f>VLOOKUP(FF203,'SIMULADOR COM SALDO'!$BX$22:$CK$1000,13,FALSE)</f>
        <v>#N/A</v>
      </c>
    </row>
    <row r="204" spans="162:168" x14ac:dyDescent="0.25">
      <c r="FF204" s="6" t="s">
        <v>854</v>
      </c>
      <c r="FG204" s="696">
        <v>2.2499999999999999E-2</v>
      </c>
      <c r="FH204" s="696">
        <v>120</v>
      </c>
      <c r="FI204" s="696">
        <v>1.9E-2</v>
      </c>
      <c r="FJ204" s="255">
        <v>1.4999999999999999E-2</v>
      </c>
      <c r="FK204" s="71">
        <f t="shared" ref="FK204:FK210" si="303">(FG204-FJ204)/42</f>
        <v>1.7857142857142857E-4</v>
      </c>
      <c r="FL204" t="e">
        <f>VLOOKUP(FF204,'SIMULADOR COM SALDO'!$BX$22:$CK$1000,13,FALSE)</f>
        <v>#N/A</v>
      </c>
    </row>
    <row r="205" spans="162:168" x14ac:dyDescent="0.25">
      <c r="FF205" s="6" t="s">
        <v>3055</v>
      </c>
      <c r="FG205" s="696">
        <v>2.5000000000000001E-2</v>
      </c>
      <c r="FH205" s="696">
        <v>120</v>
      </c>
      <c r="FI205" s="696">
        <v>2.0400000000000001E-2</v>
      </c>
      <c r="FJ205" s="255">
        <v>1.4999999999999999E-2</v>
      </c>
      <c r="FK205" s="71">
        <f t="shared" si="303"/>
        <v>2.3809523809523815E-4</v>
      </c>
      <c r="FL205" t="e">
        <f>VLOOKUP(FF205,'SIMULADOR COM SALDO'!$BX$22:$CK$1000,13,FALSE)</f>
        <v>#N/A</v>
      </c>
    </row>
    <row r="206" spans="162:168" x14ac:dyDescent="0.25">
      <c r="FF206" s="6" t="s">
        <v>552</v>
      </c>
      <c r="FG206" s="696">
        <v>2.6000000000000002E-2</v>
      </c>
      <c r="FH206" s="696">
        <v>120</v>
      </c>
      <c r="FI206" s="696">
        <v>2.0299999999999999E-2</v>
      </c>
      <c r="FJ206" s="255">
        <v>1.8000000000000002E-2</v>
      </c>
      <c r="FK206" s="71">
        <f t="shared" si="303"/>
        <v>1.9047619047619048E-4</v>
      </c>
      <c r="FL206" t="e">
        <f>VLOOKUP(FF206,'SIMULADOR COM SALDO'!$BX$22:$CK$1000,13,FALSE)</f>
        <v>#N/A</v>
      </c>
    </row>
    <row r="207" spans="162:168" x14ac:dyDescent="0.25">
      <c r="FF207" s="6" t="s">
        <v>355</v>
      </c>
      <c r="FG207" s="696">
        <v>2.5000000000000001E-2</v>
      </c>
      <c r="FH207" s="696">
        <v>120</v>
      </c>
      <c r="FI207" s="696">
        <v>2.1000000000000001E-2</v>
      </c>
      <c r="FJ207" s="255">
        <v>1.7500000000000002E-2</v>
      </c>
      <c r="FK207" s="71">
        <f t="shared" si="303"/>
        <v>1.7857142857142857E-4</v>
      </c>
      <c r="FL207" t="e">
        <f>VLOOKUP(FF207,'SIMULADOR COM SALDO'!$BX$22:$CK$1000,13,FALSE)</f>
        <v>#N/A</v>
      </c>
    </row>
    <row r="208" spans="162:168" x14ac:dyDescent="0.25">
      <c r="FF208" s="6" t="s">
        <v>3056</v>
      </c>
      <c r="FG208" s="696">
        <v>2.5000000000000001E-2</v>
      </c>
      <c r="FH208" s="696">
        <v>120</v>
      </c>
      <c r="FI208" s="696">
        <v>1.8600000000000002E-2</v>
      </c>
      <c r="FJ208" s="255">
        <v>1.4499999999999999E-2</v>
      </c>
      <c r="FK208" s="71">
        <f t="shared" si="303"/>
        <v>2.5000000000000006E-4</v>
      </c>
      <c r="FL208" t="e">
        <f>VLOOKUP(FF208,'SIMULADOR COM SALDO'!$BX$22:$CK$1000,13,FALSE)</f>
        <v>#N/A</v>
      </c>
    </row>
    <row r="209" spans="162:168" x14ac:dyDescent="0.25">
      <c r="FF209" s="6" t="s">
        <v>3057</v>
      </c>
      <c r="FG209" s="696">
        <v>2.5000000000000001E-2</v>
      </c>
      <c r="FH209" s="696">
        <v>120</v>
      </c>
      <c r="FI209" s="696">
        <v>1.8600000000000002E-2</v>
      </c>
      <c r="FJ209" s="255">
        <v>1.4499999999999999E-2</v>
      </c>
      <c r="FK209" s="71">
        <f t="shared" si="303"/>
        <v>2.5000000000000006E-4</v>
      </c>
      <c r="FL209" t="e">
        <f>VLOOKUP(FF209,'SIMULADOR COM SALDO'!$BX$22:$CK$1000,13,FALSE)</f>
        <v>#N/A</v>
      </c>
    </row>
    <row r="210" spans="162:168" x14ac:dyDescent="0.25">
      <c r="FF210" s="6" t="s">
        <v>385</v>
      </c>
      <c r="FG210" s="696">
        <v>2.5000000000000001E-2</v>
      </c>
      <c r="FH210" s="696">
        <v>120</v>
      </c>
      <c r="FI210" s="696">
        <v>2.12E-2</v>
      </c>
      <c r="FJ210" s="255">
        <v>1.5900000000000001E-2</v>
      </c>
      <c r="FK210" s="71">
        <f t="shared" si="303"/>
        <v>2.1666666666666668E-4</v>
      </c>
      <c r="FL210" t="e">
        <f>VLOOKUP(FF210,'SIMULADOR COM SALDO'!$BX$22:$CK$1000,13,FALSE)</f>
        <v>#N/A</v>
      </c>
    </row>
    <row r="211" spans="162:168" x14ac:dyDescent="0.25">
      <c r="FF211" s="6" t="s">
        <v>751</v>
      </c>
      <c r="FG211" s="696">
        <v>2.5000000000000001E-2</v>
      </c>
      <c r="FH211" s="696">
        <v>120</v>
      </c>
      <c r="FI211" s="696">
        <v>1.7899999999999999E-2</v>
      </c>
      <c r="FJ211" s="255">
        <v>1.4499999999999999E-2</v>
      </c>
    </row>
    <row r="212" spans="162:168" x14ac:dyDescent="0.25">
      <c r="FF212" s="6" t="s">
        <v>363</v>
      </c>
      <c r="FG212" s="696">
        <v>2.5000000000000001E-2</v>
      </c>
      <c r="FH212" s="696">
        <v>120</v>
      </c>
      <c r="FI212" s="696">
        <v>1.6399999999999998E-2</v>
      </c>
      <c r="FJ212" s="255">
        <v>1.3000000000000001E-2</v>
      </c>
    </row>
    <row r="213" spans="162:168" x14ac:dyDescent="0.25">
      <c r="FF213" s="6" t="s">
        <v>364</v>
      </c>
      <c r="FG213" s="696">
        <v>2.5000000000000001E-2</v>
      </c>
      <c r="FH213" s="696">
        <v>120</v>
      </c>
      <c r="FI213" s="696">
        <v>1.6399999999999998E-2</v>
      </c>
      <c r="FJ213" s="255">
        <v>1.3000000000000001E-2</v>
      </c>
    </row>
    <row r="214" spans="162:168" x14ac:dyDescent="0.25">
      <c r="FF214" s="6" t="s">
        <v>365</v>
      </c>
      <c r="FG214" s="696">
        <v>2.5000000000000001E-2</v>
      </c>
      <c r="FH214" s="696">
        <v>120</v>
      </c>
      <c r="FI214" s="696">
        <v>1.6399999999999998E-2</v>
      </c>
      <c r="FJ214" s="255">
        <v>1.3000000000000001E-2</v>
      </c>
    </row>
    <row r="215" spans="162:168" x14ac:dyDescent="0.25">
      <c r="FF215" s="6" t="s">
        <v>2466</v>
      </c>
      <c r="FG215" s="696">
        <v>2.5000000000000001E-2</v>
      </c>
      <c r="FH215" s="696">
        <v>96</v>
      </c>
      <c r="FI215" s="696">
        <v>2.1499999999999998E-2</v>
      </c>
      <c r="FJ215" s="255">
        <v>1.6500000000000001E-2</v>
      </c>
    </row>
    <row r="216" spans="162:168" x14ac:dyDescent="0.25">
      <c r="FF216" s="6" t="s">
        <v>336</v>
      </c>
      <c r="FG216" s="696">
        <v>2.5000000000000001E-2</v>
      </c>
      <c r="FH216" s="696">
        <v>120</v>
      </c>
      <c r="FI216" s="696">
        <v>1.6899999999999998E-2</v>
      </c>
      <c r="FJ216" s="255">
        <v>1.3899999999999999E-2</v>
      </c>
    </row>
    <row r="217" spans="162:168" x14ac:dyDescent="0.25">
      <c r="FF217" s="6" t="s">
        <v>3058</v>
      </c>
      <c r="FG217" s="696">
        <v>2.5000000000000001E-2</v>
      </c>
      <c r="FH217" s="696">
        <v>120</v>
      </c>
      <c r="FI217" s="696">
        <v>1.8500000000000003E-2</v>
      </c>
      <c r="FJ217" s="255">
        <v>1.4999999999999999E-2</v>
      </c>
    </row>
    <row r="218" spans="162:168" x14ac:dyDescent="0.25">
      <c r="FF218" s="6" t="s">
        <v>3838</v>
      </c>
      <c r="FG218" s="696">
        <v>2.5000000000000001E-2</v>
      </c>
      <c r="FH218" s="696">
        <v>120</v>
      </c>
      <c r="FI218" s="696">
        <v>1.7899999999999999E-2</v>
      </c>
      <c r="FJ218" s="255">
        <v>1.3999999999999999E-2</v>
      </c>
    </row>
    <row r="219" spans="162:168" x14ac:dyDescent="0.25">
      <c r="FF219" s="6" t="s">
        <v>3941</v>
      </c>
      <c r="FG219" s="696">
        <v>2.5000000000000001E-2</v>
      </c>
      <c r="FH219" s="696">
        <v>120</v>
      </c>
      <c r="FI219" s="696">
        <v>1.7899999999999999E-2</v>
      </c>
      <c r="FJ219" s="255">
        <v>1.3999999999999999E-2</v>
      </c>
    </row>
    <row r="220" spans="162:168" x14ac:dyDescent="0.25">
      <c r="FF220" s="6" t="s">
        <v>3839</v>
      </c>
      <c r="FG220" s="696">
        <v>2.5000000000000001E-2</v>
      </c>
      <c r="FH220" s="696">
        <v>120</v>
      </c>
      <c r="FI220" s="696">
        <v>1.7899999999999999E-2</v>
      </c>
      <c r="FJ220" s="255">
        <v>1.3999999999999999E-2</v>
      </c>
    </row>
    <row r="221" spans="162:168" x14ac:dyDescent="0.25">
      <c r="FF221" s="6" t="s">
        <v>3956</v>
      </c>
      <c r="FG221" s="696">
        <v>2.5000000000000001E-2</v>
      </c>
      <c r="FH221" s="696">
        <v>120</v>
      </c>
      <c r="FI221" s="696">
        <v>1.7899999999999999E-2</v>
      </c>
      <c r="FJ221" s="255">
        <v>1.3999999999999999E-2</v>
      </c>
    </row>
    <row r="222" spans="162:168" x14ac:dyDescent="0.25">
      <c r="FF222" s="6" t="s">
        <v>3065</v>
      </c>
      <c r="FG222" s="696">
        <v>2.4900000000000002E-2</v>
      </c>
      <c r="FH222" s="696">
        <v>120</v>
      </c>
      <c r="FI222" s="696">
        <v>1.4999999999999999E-2</v>
      </c>
      <c r="FJ222" s="255">
        <v>1.29E-2</v>
      </c>
    </row>
    <row r="223" spans="162:168" x14ac:dyDescent="0.25">
      <c r="FF223" s="6" t="s">
        <v>3957</v>
      </c>
      <c r="FG223" s="696">
        <v>2.2499999999999999E-2</v>
      </c>
      <c r="FH223" s="696">
        <v>120</v>
      </c>
      <c r="FI223" s="696">
        <v>2.0499999999999997E-2</v>
      </c>
      <c r="FJ223" s="255">
        <v>1.4999999999999999E-2</v>
      </c>
    </row>
    <row r="224" spans="162:168" x14ac:dyDescent="0.25">
      <c r="FF224" s="6" t="s">
        <v>398</v>
      </c>
      <c r="FG224" s="696">
        <v>2.5000000000000001E-2</v>
      </c>
      <c r="FH224" s="696">
        <v>120</v>
      </c>
      <c r="FI224" s="696">
        <v>1.72E-2</v>
      </c>
      <c r="FJ224" s="255">
        <v>1.4999999999999999E-2</v>
      </c>
    </row>
    <row r="225" spans="162:166" x14ac:dyDescent="0.25">
      <c r="FF225" s="6" t="s">
        <v>582</v>
      </c>
      <c r="FG225" s="696">
        <v>2.5000000000000001E-2</v>
      </c>
      <c r="FH225" s="696">
        <v>96</v>
      </c>
      <c r="FI225" s="696">
        <v>2.0899999999999998E-2</v>
      </c>
      <c r="FJ225" s="255">
        <v>1.5900000000000001E-2</v>
      </c>
    </row>
    <row r="226" spans="162:166" x14ac:dyDescent="0.25">
      <c r="FF226" s="6" t="s">
        <v>2086</v>
      </c>
      <c r="FG226" s="696">
        <v>1.9599999999999999E-2</v>
      </c>
      <c r="FH226" s="696">
        <v>96</v>
      </c>
      <c r="FI226" s="696">
        <v>1.9599999999999999E-2</v>
      </c>
      <c r="FJ226" s="255">
        <v>1.7100000000000001E-2</v>
      </c>
    </row>
    <row r="227" spans="162:166" x14ac:dyDescent="0.25">
      <c r="FF227" s="6" t="s">
        <v>374</v>
      </c>
      <c r="FG227" s="696">
        <v>2.5000000000000001E-2</v>
      </c>
      <c r="FH227" s="696">
        <v>120</v>
      </c>
      <c r="FI227" s="696">
        <v>2.2099999999999998E-2</v>
      </c>
      <c r="FJ227" s="255">
        <v>1.6E-2</v>
      </c>
    </row>
    <row r="228" spans="162:166" x14ac:dyDescent="0.25">
      <c r="FF228" s="6" t="s">
        <v>3840</v>
      </c>
      <c r="FG228" s="696">
        <v>2.5000000000000001E-2</v>
      </c>
      <c r="FH228" s="696">
        <v>120</v>
      </c>
      <c r="FI228" s="696">
        <v>1.7899999999999999E-2</v>
      </c>
      <c r="FJ228" s="255">
        <v>1.5900000000000001E-2</v>
      </c>
    </row>
    <row r="229" spans="162:166" x14ac:dyDescent="0.25">
      <c r="FF229" s="6" t="s">
        <v>3066</v>
      </c>
      <c r="FG229" s="696">
        <v>1.9E-2</v>
      </c>
      <c r="FH229" s="696">
        <v>120</v>
      </c>
      <c r="FI229" s="696">
        <v>1.7000000000000001E-2</v>
      </c>
      <c r="FJ229" s="255">
        <v>1.4499999999999999E-2</v>
      </c>
    </row>
    <row r="230" spans="162:166" x14ac:dyDescent="0.25">
      <c r="FF230" s="6" t="s">
        <v>752</v>
      </c>
      <c r="FG230" s="696">
        <v>2.4900000000000002E-2</v>
      </c>
      <c r="FH230" s="696">
        <v>96</v>
      </c>
      <c r="FI230" s="696">
        <v>2.2099999999999998E-2</v>
      </c>
      <c r="FJ230" s="255">
        <v>1.8799999999999997E-2</v>
      </c>
    </row>
    <row r="231" spans="162:166" x14ac:dyDescent="0.25">
      <c r="FF231" s="6" t="s">
        <v>3067</v>
      </c>
      <c r="FG231" s="696">
        <v>2.5000000000000001E-2</v>
      </c>
      <c r="FH231" s="696">
        <v>120</v>
      </c>
      <c r="FI231" s="696">
        <v>2.2000000000000002E-2</v>
      </c>
      <c r="FJ231" s="255">
        <v>1.4999999999999999E-2</v>
      </c>
    </row>
    <row r="232" spans="162:166" x14ac:dyDescent="0.25">
      <c r="FF232" s="6" t="s">
        <v>1124</v>
      </c>
      <c r="FG232" s="696">
        <v>2.5000000000000001E-2</v>
      </c>
      <c r="FH232" s="696">
        <v>120</v>
      </c>
      <c r="FI232" s="696">
        <v>2.0299999999999999E-2</v>
      </c>
      <c r="FJ232" s="255">
        <v>1.34E-2</v>
      </c>
    </row>
    <row r="233" spans="162:166" x14ac:dyDescent="0.25">
      <c r="FF233" s="6" t="s">
        <v>286</v>
      </c>
      <c r="FG233" s="696">
        <v>2.5000000000000001E-2</v>
      </c>
      <c r="FH233" s="696">
        <v>120</v>
      </c>
      <c r="FI233" s="696">
        <v>2.2499999999999999E-2</v>
      </c>
      <c r="FJ233" s="255">
        <v>1.55E-2</v>
      </c>
    </row>
    <row r="234" spans="162:166" x14ac:dyDescent="0.25">
      <c r="FF234" s="6" t="s">
        <v>3068</v>
      </c>
      <c r="FG234" s="696">
        <v>2.5000000000000001E-2</v>
      </c>
      <c r="FH234" s="696">
        <v>120</v>
      </c>
      <c r="FI234" s="696">
        <v>2.5000000000000001E-2</v>
      </c>
      <c r="FJ234" s="255">
        <v>1.8600000000000002E-2</v>
      </c>
    </row>
    <row r="235" spans="162:166" x14ac:dyDescent="0.25">
      <c r="FF235" s="6" t="s">
        <v>3069</v>
      </c>
      <c r="FG235" s="696">
        <v>2.5000000000000001E-2</v>
      </c>
      <c r="FH235" s="696">
        <v>120</v>
      </c>
      <c r="FI235" s="696">
        <v>2.0199999999999999E-2</v>
      </c>
      <c r="FJ235" s="255">
        <v>1.3500000000000002E-2</v>
      </c>
    </row>
    <row r="236" spans="162:166" x14ac:dyDescent="0.25">
      <c r="FF236" s="6" t="s">
        <v>3070</v>
      </c>
      <c r="FG236" s="696">
        <v>2.5000000000000001E-2</v>
      </c>
      <c r="FH236" s="696">
        <v>120</v>
      </c>
      <c r="FI236" s="696">
        <v>2.3E-2</v>
      </c>
      <c r="FJ236" s="255">
        <v>1.6E-2</v>
      </c>
    </row>
    <row r="237" spans="162:166" x14ac:dyDescent="0.25">
      <c r="FF237" s="6" t="s">
        <v>3071</v>
      </c>
      <c r="FG237" s="696">
        <v>2.5000000000000001E-2</v>
      </c>
      <c r="FH237" s="696">
        <v>120</v>
      </c>
      <c r="FI237" s="696">
        <v>2.3E-2</v>
      </c>
      <c r="FJ237" s="255">
        <v>1.6E-2</v>
      </c>
    </row>
    <row r="238" spans="162:166" x14ac:dyDescent="0.25">
      <c r="FF238" s="6" t="s">
        <v>337</v>
      </c>
      <c r="FG238" s="696">
        <v>2.5000000000000001E-2</v>
      </c>
      <c r="FH238" s="696">
        <v>120</v>
      </c>
      <c r="FI238" s="696">
        <v>2.0199999999999999E-2</v>
      </c>
      <c r="FJ238" s="255">
        <v>1.3999999999999999E-2</v>
      </c>
    </row>
    <row r="239" spans="162:166" x14ac:dyDescent="0.25">
      <c r="FF239" s="6" t="s">
        <v>2776</v>
      </c>
      <c r="FG239" s="696">
        <v>2.5000000000000001E-2</v>
      </c>
      <c r="FH239" s="696">
        <v>120</v>
      </c>
      <c r="FI239" s="696">
        <v>1.89E-2</v>
      </c>
      <c r="FJ239" s="255">
        <v>1.49E-2</v>
      </c>
    </row>
    <row r="240" spans="162:166" x14ac:dyDescent="0.25">
      <c r="FF240" s="6" t="s">
        <v>3072</v>
      </c>
      <c r="FG240" s="696">
        <v>2.2499999999999999E-2</v>
      </c>
      <c r="FH240" s="696">
        <v>120</v>
      </c>
      <c r="FI240" s="696">
        <v>0.02</v>
      </c>
      <c r="FJ240" s="255">
        <v>1.4999999999999999E-2</v>
      </c>
    </row>
    <row r="241" spans="162:166" x14ac:dyDescent="0.25">
      <c r="FF241" s="6" t="s">
        <v>2532</v>
      </c>
      <c r="FG241" s="696">
        <v>2.4E-2</v>
      </c>
      <c r="FH241" s="696">
        <v>96</v>
      </c>
      <c r="FI241" s="696">
        <v>0.02</v>
      </c>
      <c r="FJ241" s="255">
        <v>1.3500000000000002E-2</v>
      </c>
    </row>
    <row r="242" spans="162:166" x14ac:dyDescent="0.25">
      <c r="FF242" s="6" t="s">
        <v>265</v>
      </c>
      <c r="FG242" s="696">
        <v>2.5000000000000001E-2</v>
      </c>
      <c r="FH242" s="696">
        <v>96</v>
      </c>
      <c r="FI242" s="696">
        <v>2.12E-2</v>
      </c>
      <c r="FJ242" s="255">
        <v>1.7500000000000002E-2</v>
      </c>
    </row>
    <row r="243" spans="162:166" x14ac:dyDescent="0.25">
      <c r="FF243" s="67" t="s">
        <v>1108</v>
      </c>
      <c r="FG243" s="696">
        <v>2.35E-2</v>
      </c>
      <c r="FH243" s="696">
        <v>120</v>
      </c>
      <c r="FI243" s="696">
        <v>0.02</v>
      </c>
      <c r="FJ243" s="255">
        <v>1.4999999999999999E-2</v>
      </c>
    </row>
    <row r="244" spans="162:166" x14ac:dyDescent="0.25">
      <c r="FF244" s="6" t="s">
        <v>989</v>
      </c>
      <c r="FG244" s="696">
        <v>2.2499999999999999E-2</v>
      </c>
      <c r="FH244" s="696">
        <v>120</v>
      </c>
      <c r="FI244" s="696">
        <v>1.9E-2</v>
      </c>
      <c r="FJ244" s="255">
        <v>1.4999999999999999E-2</v>
      </c>
    </row>
    <row r="245" spans="162:166" x14ac:dyDescent="0.25">
      <c r="FF245" s="6" t="s">
        <v>558</v>
      </c>
      <c r="FG245" s="696">
        <v>2.5000000000000001E-2</v>
      </c>
      <c r="FH245" s="696">
        <v>96</v>
      </c>
      <c r="FI245" s="696">
        <v>1.95E-2</v>
      </c>
      <c r="FJ245" s="255">
        <v>1.3999999999999999E-2</v>
      </c>
    </row>
    <row r="246" spans="162:166" x14ac:dyDescent="0.25">
      <c r="FF246" s="6" t="s">
        <v>3673</v>
      </c>
      <c r="FG246" s="696">
        <v>2.5000000000000001E-2</v>
      </c>
      <c r="FH246" s="696">
        <v>96</v>
      </c>
      <c r="FI246" s="696">
        <v>1.8000000000000002E-2</v>
      </c>
      <c r="FJ246" s="255">
        <v>1.43E-2</v>
      </c>
    </row>
    <row r="247" spans="162:166" x14ac:dyDescent="0.25">
      <c r="FF247" s="6" t="s">
        <v>981</v>
      </c>
      <c r="FG247" s="696">
        <v>2.5000000000000001E-2</v>
      </c>
      <c r="FH247" s="696">
        <v>120</v>
      </c>
      <c r="FI247" s="696">
        <v>1.9900000000000001E-2</v>
      </c>
      <c r="FJ247" s="255">
        <v>1.52E-2</v>
      </c>
    </row>
    <row r="248" spans="162:166" x14ac:dyDescent="0.25">
      <c r="FF248" s="6" t="s">
        <v>2539</v>
      </c>
      <c r="FG248" s="696">
        <v>1.8500000000000003E-2</v>
      </c>
      <c r="FH248" s="696">
        <v>120</v>
      </c>
      <c r="FI248" s="696">
        <v>1.6299999999999999E-2</v>
      </c>
      <c r="FJ248" s="255">
        <v>1.37E-2</v>
      </c>
    </row>
    <row r="249" spans="162:166" x14ac:dyDescent="0.25">
      <c r="FF249" s="6" t="s">
        <v>2544</v>
      </c>
      <c r="FG249" s="696">
        <v>1.8500000000000003E-2</v>
      </c>
      <c r="FH249" s="696">
        <v>120</v>
      </c>
      <c r="FI249" s="696">
        <v>1.6299999999999999E-2</v>
      </c>
      <c r="FJ249" s="255">
        <v>1.37E-2</v>
      </c>
    </row>
    <row r="250" spans="162:166" x14ac:dyDescent="0.25">
      <c r="FF250" s="6" t="s">
        <v>3749</v>
      </c>
      <c r="FG250" s="696">
        <v>2.5000000000000001E-2</v>
      </c>
      <c r="FH250" s="696">
        <v>96</v>
      </c>
      <c r="FI250" s="696">
        <v>1.95E-2</v>
      </c>
      <c r="FJ250" s="255">
        <v>1.55E-2</v>
      </c>
    </row>
    <row r="251" spans="162:166" x14ac:dyDescent="0.25">
      <c r="FF251" s="6" t="s">
        <v>569</v>
      </c>
      <c r="FG251" s="696">
        <v>2.5000000000000001E-2</v>
      </c>
      <c r="FH251" s="696">
        <v>84</v>
      </c>
      <c r="FI251" s="696">
        <v>2.29E-2</v>
      </c>
      <c r="FJ251" s="255">
        <v>1.5900000000000001E-2</v>
      </c>
    </row>
    <row r="252" spans="162:166" x14ac:dyDescent="0.25">
      <c r="FF252" s="6" t="s">
        <v>3815</v>
      </c>
      <c r="FG252" s="696">
        <v>1.8000000000000002E-2</v>
      </c>
      <c r="FH252" s="696">
        <v>120</v>
      </c>
      <c r="FI252" s="696">
        <v>1.67E-2</v>
      </c>
      <c r="FJ252" s="255">
        <v>1.6E-2</v>
      </c>
    </row>
    <row r="253" spans="162:166" x14ac:dyDescent="0.25">
      <c r="FF253" s="6" t="s">
        <v>678</v>
      </c>
      <c r="FG253" s="696">
        <v>2.5000000000000001E-2</v>
      </c>
      <c r="FH253" s="696">
        <v>96</v>
      </c>
      <c r="FI253" s="696">
        <v>2.12E-2</v>
      </c>
      <c r="FJ253" s="255">
        <v>1.49E-2</v>
      </c>
    </row>
    <row r="254" spans="162:166" x14ac:dyDescent="0.25">
      <c r="FF254" s="6" t="s">
        <v>3073</v>
      </c>
      <c r="FG254" s="696">
        <v>2.5000000000000001E-2</v>
      </c>
      <c r="FH254" s="696">
        <v>96</v>
      </c>
      <c r="FI254" s="696">
        <v>1.8000000000000002E-2</v>
      </c>
      <c r="FJ254" s="255">
        <v>1.3999999999999999E-2</v>
      </c>
    </row>
    <row r="255" spans="162:166" x14ac:dyDescent="0.25">
      <c r="FF255" s="6" t="s">
        <v>790</v>
      </c>
      <c r="FG255" s="696">
        <v>2.5000000000000001E-2</v>
      </c>
      <c r="FH255" s="696">
        <v>120</v>
      </c>
      <c r="FI255" s="696">
        <v>2.0899999999999998E-2</v>
      </c>
      <c r="FJ255" s="255">
        <v>1.49E-2</v>
      </c>
    </row>
    <row r="256" spans="162:166" x14ac:dyDescent="0.25">
      <c r="FF256" s="6" t="s">
        <v>3074</v>
      </c>
      <c r="FG256" s="696">
        <v>2.2499999999999999E-2</v>
      </c>
      <c r="FH256" s="696">
        <v>120</v>
      </c>
      <c r="FI256" s="696">
        <v>2.0199999999999999E-2</v>
      </c>
      <c r="FJ256" s="255">
        <v>1.4999999999999999E-2</v>
      </c>
    </row>
    <row r="257" spans="162:166" x14ac:dyDescent="0.25">
      <c r="FF257" s="6" t="s">
        <v>457</v>
      </c>
      <c r="FG257" s="696">
        <v>2.2499999999999999E-2</v>
      </c>
      <c r="FH257" s="696">
        <v>120</v>
      </c>
      <c r="FI257" s="696">
        <v>2.0199999999999999E-2</v>
      </c>
      <c r="FJ257" s="255">
        <v>1.4999999999999999E-2</v>
      </c>
    </row>
    <row r="258" spans="162:166" x14ac:dyDescent="0.25">
      <c r="FF258" s="6" t="s">
        <v>3958</v>
      </c>
      <c r="FG258" s="696">
        <v>2.5000000000000001E-2</v>
      </c>
      <c r="FH258" s="696">
        <v>120</v>
      </c>
      <c r="FI258" s="696">
        <v>1.7899999999999999E-2</v>
      </c>
      <c r="FJ258" s="255">
        <v>1.4499999999999999E-2</v>
      </c>
    </row>
    <row r="259" spans="162:166" x14ac:dyDescent="0.25">
      <c r="FF259" s="6" t="s">
        <v>3075</v>
      </c>
      <c r="FG259" s="696">
        <v>2.5899999999999999E-2</v>
      </c>
      <c r="FH259" s="696">
        <v>120</v>
      </c>
      <c r="FI259" s="696">
        <v>2.4900000000000002E-2</v>
      </c>
      <c r="FJ259" s="255">
        <v>2.2400000000000003E-2</v>
      </c>
    </row>
    <row r="260" spans="162:166" x14ac:dyDescent="0.25">
      <c r="FF260" s="6" t="s">
        <v>3076</v>
      </c>
      <c r="FG260" s="696">
        <v>2.0799999999999999E-2</v>
      </c>
      <c r="FH260" s="696">
        <v>96</v>
      </c>
      <c r="FI260" s="696">
        <v>1.9699999999999999E-2</v>
      </c>
      <c r="FJ260" s="255">
        <v>1.8000000000000002E-2</v>
      </c>
    </row>
    <row r="261" spans="162:166" x14ac:dyDescent="0.25">
      <c r="FF261" s="6" t="s">
        <v>403</v>
      </c>
      <c r="FG261" s="696">
        <v>1.4999999999999999E-2</v>
      </c>
      <c r="FH261" s="696">
        <v>120</v>
      </c>
      <c r="FI261" s="696">
        <v>1.4999999999999999E-2</v>
      </c>
      <c r="FJ261" s="255">
        <v>1.2500000000000001E-2</v>
      </c>
    </row>
    <row r="262" spans="162:166" x14ac:dyDescent="0.25">
      <c r="FF262" s="6" t="s">
        <v>2477</v>
      </c>
      <c r="FG262" s="696">
        <v>1.8500000000000003E-2</v>
      </c>
      <c r="FH262" s="696">
        <v>96</v>
      </c>
      <c r="FI262" s="696">
        <v>1.6899999999999998E-2</v>
      </c>
      <c r="FJ262" s="255">
        <v>1.55E-2</v>
      </c>
    </row>
    <row r="263" spans="162:166" x14ac:dyDescent="0.25">
      <c r="FF263" s="6" t="s">
        <v>3077</v>
      </c>
      <c r="FG263" s="696">
        <v>1.8000000000000002E-2</v>
      </c>
      <c r="FH263" s="696">
        <v>120</v>
      </c>
      <c r="FI263" s="696">
        <v>1.5100000000000001E-2</v>
      </c>
      <c r="FJ263" s="255">
        <v>1.34E-2</v>
      </c>
    </row>
    <row r="264" spans="162:166" x14ac:dyDescent="0.25">
      <c r="FF264" s="6" t="s">
        <v>3084</v>
      </c>
      <c r="FG264" s="696">
        <v>2.5000000000000001E-2</v>
      </c>
      <c r="FH264" s="696">
        <v>120</v>
      </c>
      <c r="FI264" s="696">
        <v>1.95E-2</v>
      </c>
      <c r="FJ264" s="255">
        <v>1.4499999999999999E-2</v>
      </c>
    </row>
    <row r="265" spans="162:166" x14ac:dyDescent="0.25">
      <c r="FF265" s="6" t="s">
        <v>3085</v>
      </c>
      <c r="FG265" s="696">
        <v>2.5000000000000001E-2</v>
      </c>
      <c r="FH265" s="696">
        <v>120</v>
      </c>
      <c r="FI265" s="696">
        <v>1.8000000000000002E-2</v>
      </c>
      <c r="FJ265" s="255">
        <v>1.3000000000000001E-2</v>
      </c>
    </row>
    <row r="266" spans="162:166" x14ac:dyDescent="0.25">
      <c r="FF266" s="6" t="s">
        <v>3342</v>
      </c>
      <c r="FG266" s="696">
        <v>1.8500000000000003E-2</v>
      </c>
      <c r="FH266" s="696">
        <v>120</v>
      </c>
      <c r="FI266" s="696">
        <v>1.7299999999999999E-2</v>
      </c>
      <c r="FJ266" s="255">
        <v>1.3899999999999999E-2</v>
      </c>
    </row>
    <row r="267" spans="162:166" x14ac:dyDescent="0.25">
      <c r="FF267" s="6" t="s">
        <v>1284</v>
      </c>
      <c r="FG267" s="696">
        <v>2.5000000000000001E-2</v>
      </c>
      <c r="FH267" s="696">
        <v>96</v>
      </c>
      <c r="FI267" s="696">
        <v>1.83E-2</v>
      </c>
      <c r="FJ267" s="255">
        <v>1.7000000000000001E-2</v>
      </c>
    </row>
    <row r="268" spans="162:166" x14ac:dyDescent="0.25">
      <c r="FF268" s="6" t="s">
        <v>3086</v>
      </c>
      <c r="FG268" s="696">
        <v>2.5000000000000001E-2</v>
      </c>
      <c r="FH268" s="696">
        <v>120</v>
      </c>
      <c r="FI268" s="696">
        <v>2.1099999999999997E-2</v>
      </c>
      <c r="FJ268" s="255">
        <v>1.5100000000000001E-2</v>
      </c>
    </row>
    <row r="269" spans="162:166" x14ac:dyDescent="0.25">
      <c r="FF269" s="6" t="s">
        <v>791</v>
      </c>
      <c r="FG269" s="696">
        <v>1.7500000000000002E-2</v>
      </c>
      <c r="FH269" s="696">
        <v>120</v>
      </c>
      <c r="FI269" s="696">
        <v>1.7500000000000002E-2</v>
      </c>
      <c r="FJ269" s="255">
        <v>1.3999999999999999E-2</v>
      </c>
    </row>
    <row r="270" spans="162:166" x14ac:dyDescent="0.25">
      <c r="FF270" s="6" t="s">
        <v>855</v>
      </c>
      <c r="FG270" s="696">
        <v>2.5000000000000001E-2</v>
      </c>
      <c r="FH270" s="696">
        <v>120</v>
      </c>
      <c r="FI270" s="696">
        <v>1.9699999999999999E-2</v>
      </c>
      <c r="FJ270" s="255">
        <v>1.66E-2</v>
      </c>
    </row>
    <row r="271" spans="162:166" x14ac:dyDescent="0.25">
      <c r="FF271" s="6" t="s">
        <v>3087</v>
      </c>
      <c r="FG271" s="696">
        <v>2.5000000000000001E-2</v>
      </c>
      <c r="FH271" s="696">
        <v>120</v>
      </c>
      <c r="FI271" s="696">
        <v>1.9E-2</v>
      </c>
      <c r="FJ271" s="255">
        <v>1.41E-2</v>
      </c>
    </row>
    <row r="272" spans="162:166" x14ac:dyDescent="0.25">
      <c r="FF272" s="6" t="s">
        <v>282</v>
      </c>
      <c r="FG272" s="696">
        <v>2.5000000000000001E-2</v>
      </c>
      <c r="FH272" s="696">
        <v>120</v>
      </c>
      <c r="FI272" s="696">
        <v>1.6799999999999999E-2</v>
      </c>
      <c r="FJ272" s="255">
        <v>1.3500000000000002E-2</v>
      </c>
    </row>
    <row r="273" spans="162:166" x14ac:dyDescent="0.25">
      <c r="FF273" s="6" t="s">
        <v>3088</v>
      </c>
      <c r="FG273" s="696">
        <v>2.2499999999999999E-2</v>
      </c>
      <c r="FH273" s="696">
        <v>120</v>
      </c>
      <c r="FI273" s="696">
        <v>2.0499999999999997E-2</v>
      </c>
      <c r="FJ273" s="255">
        <v>1.3999999999999999E-2</v>
      </c>
    </row>
    <row r="274" spans="162:166" x14ac:dyDescent="0.25">
      <c r="FF274" s="6" t="s">
        <v>923</v>
      </c>
      <c r="FG274" s="696">
        <v>2.35E-2</v>
      </c>
      <c r="FH274" s="696">
        <v>96</v>
      </c>
      <c r="FI274" s="696">
        <v>1.6500000000000001E-2</v>
      </c>
      <c r="FJ274" s="255">
        <v>1.3999999999999999E-2</v>
      </c>
    </row>
    <row r="275" spans="162:166" x14ac:dyDescent="0.25">
      <c r="FF275" s="6" t="s">
        <v>3089</v>
      </c>
      <c r="FG275" s="696">
        <v>2.5000000000000001E-2</v>
      </c>
      <c r="FH275" s="696">
        <v>120</v>
      </c>
      <c r="FI275" s="696">
        <v>1.6E-2</v>
      </c>
      <c r="FJ275" s="255">
        <v>1.37E-2</v>
      </c>
    </row>
    <row r="276" spans="162:166" x14ac:dyDescent="0.25">
      <c r="FF276" s="67" t="s">
        <v>84</v>
      </c>
      <c r="FG276" s="696">
        <v>2.5000000000000001E-2</v>
      </c>
      <c r="FH276" s="696">
        <v>96</v>
      </c>
      <c r="FI276" s="696">
        <v>1.5100000000000001E-2</v>
      </c>
      <c r="FJ276" s="255">
        <v>1.32E-2</v>
      </c>
    </row>
    <row r="277" spans="162:166" x14ac:dyDescent="0.25">
      <c r="FF277" s="6" t="s">
        <v>3090</v>
      </c>
      <c r="FG277" s="696">
        <v>2.4E-2</v>
      </c>
      <c r="FH277" s="696">
        <v>120</v>
      </c>
      <c r="FI277" s="696">
        <v>2.18E-2</v>
      </c>
      <c r="FJ277" s="255">
        <v>1.54E-2</v>
      </c>
    </row>
    <row r="278" spans="162:166" x14ac:dyDescent="0.25">
      <c r="FF278" s="6" t="s">
        <v>3091</v>
      </c>
      <c r="FG278" s="696">
        <v>2.5000000000000001E-2</v>
      </c>
      <c r="FH278" s="696">
        <v>120</v>
      </c>
      <c r="FI278" s="696">
        <v>1.9E-2</v>
      </c>
      <c r="FJ278" s="255">
        <v>1.6500000000000001E-2</v>
      </c>
    </row>
    <row r="279" spans="162:166" x14ac:dyDescent="0.25">
      <c r="FF279" s="6" t="s">
        <v>3092</v>
      </c>
      <c r="FG279" s="696">
        <v>2.5000000000000001E-2</v>
      </c>
      <c r="FH279" s="696">
        <v>120</v>
      </c>
      <c r="FI279" s="696">
        <v>1.6799999999999999E-2</v>
      </c>
      <c r="FJ279" s="255">
        <v>1.3500000000000002E-2</v>
      </c>
    </row>
    <row r="280" spans="162:166" x14ac:dyDescent="0.25">
      <c r="FF280" s="6" t="s">
        <v>3093</v>
      </c>
      <c r="FG280" s="696">
        <v>2.5000000000000001E-2</v>
      </c>
      <c r="FH280" s="696">
        <v>120</v>
      </c>
      <c r="FI280" s="696">
        <v>1.67E-2</v>
      </c>
      <c r="FJ280" s="255">
        <v>1.32E-2</v>
      </c>
    </row>
    <row r="281" spans="162:166" x14ac:dyDescent="0.25">
      <c r="FF281" s="6" t="s">
        <v>3094</v>
      </c>
      <c r="FG281" s="696">
        <v>2.5000000000000001E-2</v>
      </c>
      <c r="FH281" s="696">
        <v>96</v>
      </c>
      <c r="FI281" s="696">
        <v>1.7299999999999999E-2</v>
      </c>
      <c r="FJ281" s="255">
        <v>1.55E-2</v>
      </c>
    </row>
    <row r="282" spans="162:166" x14ac:dyDescent="0.25">
      <c r="FF282" s="6" t="s">
        <v>3095</v>
      </c>
      <c r="FG282" s="696">
        <v>2.5000000000000001E-2</v>
      </c>
      <c r="FH282" s="696">
        <v>96</v>
      </c>
      <c r="FI282" s="696">
        <v>1.7299999999999999E-2</v>
      </c>
      <c r="FJ282" s="255">
        <v>1.55E-2</v>
      </c>
    </row>
    <row r="283" spans="162:166" x14ac:dyDescent="0.25">
      <c r="FF283" s="67" t="s">
        <v>1130</v>
      </c>
      <c r="FG283" s="696">
        <v>2.5000000000000001E-2</v>
      </c>
      <c r="FH283" s="696">
        <v>96</v>
      </c>
      <c r="FI283" s="696">
        <v>2.12E-2</v>
      </c>
      <c r="FJ283" s="255">
        <v>1.4499999999999999E-2</v>
      </c>
    </row>
    <row r="284" spans="162:166" x14ac:dyDescent="0.25">
      <c r="FF284" s="6" t="s">
        <v>1136</v>
      </c>
      <c r="FG284" s="696">
        <v>2.5000000000000001E-2</v>
      </c>
      <c r="FH284" s="696">
        <v>96</v>
      </c>
      <c r="FI284" s="696">
        <v>2.12E-2</v>
      </c>
      <c r="FJ284" s="255">
        <v>1.4499999999999999E-2</v>
      </c>
    </row>
    <row r="285" spans="162:166" x14ac:dyDescent="0.25">
      <c r="FF285" s="67" t="s">
        <v>86</v>
      </c>
      <c r="FG285" s="696">
        <v>2.8999999999999998E-2</v>
      </c>
      <c r="FH285" s="696">
        <v>120</v>
      </c>
      <c r="FI285" s="696">
        <v>1.4999999999999999E-2</v>
      </c>
      <c r="FJ285" s="255">
        <v>2.2400000000000003E-2</v>
      </c>
    </row>
    <row r="286" spans="162:166" x14ac:dyDescent="0.25">
      <c r="FF286"/>
      <c r="FG286"/>
      <c r="FH286"/>
      <c r="FI286"/>
      <c r="FJ286"/>
    </row>
  </sheetData>
  <mergeCells count="4">
    <mergeCell ref="H5:I5"/>
    <mergeCell ref="H6:I6"/>
    <mergeCell ref="F7:F8"/>
    <mergeCell ref="F9:F10"/>
  </mergeCells>
  <conditionalFormatting sqref="G11:ET53">
    <cfRule type="cellIs" dxfId="61" priority="2" operator="greaterThan">
      <formula>$L$6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D705-DEA8-4EFD-82CA-DC803EB830B2}">
  <sheetPr codeName="Planilha9">
    <tabColor theme="0" tint="-0.249977111117893"/>
  </sheetPr>
  <dimension ref="B1:AM24"/>
  <sheetViews>
    <sheetView showGridLines="0" zoomScaleNormal="100" workbookViewId="0">
      <selection activeCell="AL5" sqref="AL5"/>
    </sheetView>
  </sheetViews>
  <sheetFormatPr defaultRowHeight="15.75" x14ac:dyDescent="0.25"/>
  <cols>
    <col min="1" max="1" width="2.28515625" customWidth="1"/>
    <col min="2" max="2" width="18.5703125" hidden="1" customWidth="1"/>
    <col min="3" max="8" width="14.140625" hidden="1" customWidth="1"/>
    <col min="9" max="9" width="12.28515625" hidden="1" customWidth="1"/>
    <col min="10" max="11" width="10.42578125" hidden="1" customWidth="1"/>
    <col min="12" max="13" width="11.5703125" hidden="1" customWidth="1"/>
    <col min="14" max="14" width="4.5703125" hidden="1" customWidth="1"/>
    <col min="15" max="26" width="9.140625" hidden="1" customWidth="1"/>
    <col min="27" max="28" width="14.85546875" customWidth="1"/>
    <col min="29" max="29" width="18.7109375" style="356" customWidth="1"/>
    <col min="30" max="30" width="20.140625" style="356" customWidth="1"/>
    <col min="31" max="34" width="16.85546875" style="356" customWidth="1"/>
    <col min="35" max="39" width="15" bestFit="1" customWidth="1"/>
  </cols>
  <sheetData>
    <row r="1" spans="2:39" ht="6.75" customHeight="1" x14ac:dyDescent="0.25"/>
    <row r="2" spans="2:39" ht="66.75" customHeight="1" thickBot="1" x14ac:dyDescent="0.3"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419"/>
      <c r="AB2" s="641" t="s">
        <v>489</v>
      </c>
      <c r="AC2" s="641"/>
      <c r="AD2" s="641"/>
      <c r="AE2" s="641"/>
      <c r="AF2" s="641"/>
      <c r="AG2" s="641"/>
      <c r="AH2" s="641"/>
    </row>
    <row r="3" spans="2:39" ht="37.5" customHeight="1" x14ac:dyDescent="0.25">
      <c r="B3" s="642" t="s">
        <v>487</v>
      </c>
      <c r="C3" s="363" t="s">
        <v>835</v>
      </c>
      <c r="D3" s="363" t="s">
        <v>829</v>
      </c>
      <c r="E3" s="363" t="s">
        <v>830</v>
      </c>
      <c r="F3" s="363" t="s">
        <v>831</v>
      </c>
      <c r="G3" s="363" t="s">
        <v>832</v>
      </c>
      <c r="H3" s="363" t="s">
        <v>833</v>
      </c>
      <c r="I3" s="363" t="s">
        <v>834</v>
      </c>
      <c r="J3" s="363" t="s">
        <v>1293</v>
      </c>
      <c r="K3" s="363" t="s">
        <v>1294</v>
      </c>
      <c r="L3" s="363" t="s">
        <v>1295</v>
      </c>
      <c r="M3" s="363" t="s">
        <v>1296</v>
      </c>
      <c r="AA3" s="644" t="s">
        <v>487</v>
      </c>
      <c r="AB3" s="649" t="s">
        <v>490</v>
      </c>
      <c r="AC3" s="421" t="str">
        <f t="shared" ref="AC3:AI3" si="0">C3</f>
        <v>Tabela - 1       1,85%</v>
      </c>
      <c r="AD3" s="421" t="str">
        <f t="shared" si="0"/>
        <v>Tabela - 2       1,80%</v>
      </c>
      <c r="AE3" s="421" t="str">
        <f t="shared" si="0"/>
        <v>Tabela - 3       1,77%</v>
      </c>
      <c r="AF3" s="421" t="str">
        <f t="shared" si="0"/>
        <v>Tabela - 4      1,74%</v>
      </c>
      <c r="AG3" s="421" t="str">
        <f t="shared" si="0"/>
        <v>Tabela - 5     1,71%</v>
      </c>
      <c r="AH3" s="421" t="str">
        <f t="shared" si="0"/>
        <v>Tabela - 6        1,68%</v>
      </c>
      <c r="AI3" s="421" t="str">
        <f t="shared" si="0"/>
        <v>Tabela - 7        1,66%</v>
      </c>
      <c r="AJ3" s="363" t="s">
        <v>1293</v>
      </c>
      <c r="AK3" s="363" t="s">
        <v>1294</v>
      </c>
      <c r="AL3" s="363" t="s">
        <v>1295</v>
      </c>
      <c r="AM3" s="363" t="s">
        <v>1296</v>
      </c>
    </row>
    <row r="4" spans="2:39" ht="26.25" customHeight="1" thickBot="1" x14ac:dyDescent="0.3">
      <c r="B4" s="643"/>
      <c r="C4" s="646" t="s">
        <v>486</v>
      </c>
      <c r="D4" s="647"/>
      <c r="E4" s="647"/>
      <c r="F4" s="647"/>
      <c r="G4" s="647"/>
      <c r="H4" s="648"/>
      <c r="AA4" s="645"/>
      <c r="AB4" s="650"/>
      <c r="AC4" s="651" t="s">
        <v>491</v>
      </c>
      <c r="AD4" s="652"/>
      <c r="AE4" s="652"/>
      <c r="AF4" s="652"/>
      <c r="AG4" s="652"/>
      <c r="AH4" s="652"/>
      <c r="AI4" s="652"/>
      <c r="AJ4" s="652"/>
      <c r="AK4" s="652"/>
      <c r="AL4" s="652"/>
      <c r="AM4" s="652"/>
    </row>
    <row r="5" spans="2:39" ht="16.5" thickBot="1" x14ac:dyDescent="0.3">
      <c r="B5" s="361" t="s">
        <v>1297</v>
      </c>
      <c r="C5" s="360">
        <v>78</v>
      </c>
      <c r="D5" s="360">
        <v>78</v>
      </c>
      <c r="E5" s="360">
        <v>78</v>
      </c>
      <c r="F5" s="360">
        <v>78</v>
      </c>
      <c r="G5" s="360">
        <v>78</v>
      </c>
      <c r="H5" s="360">
        <v>78</v>
      </c>
      <c r="I5" s="359">
        <v>78</v>
      </c>
      <c r="J5" s="359">
        <v>78</v>
      </c>
      <c r="K5" s="359">
        <v>78</v>
      </c>
      <c r="L5" s="359">
        <v>78</v>
      </c>
      <c r="M5" s="359">
        <v>78</v>
      </c>
      <c r="O5" s="362">
        <f t="shared" ref="O5:U7" si="1">84-C5</f>
        <v>6</v>
      </c>
      <c r="P5" s="362">
        <f t="shared" si="1"/>
        <v>6</v>
      </c>
      <c r="Q5" s="362">
        <f t="shared" si="1"/>
        <v>6</v>
      </c>
      <c r="R5" s="362">
        <f t="shared" si="1"/>
        <v>6</v>
      </c>
      <c r="S5" s="362">
        <f t="shared" si="1"/>
        <v>6</v>
      </c>
      <c r="T5" s="362">
        <f t="shared" si="1"/>
        <v>6</v>
      </c>
      <c r="U5" s="362">
        <f t="shared" si="1"/>
        <v>6</v>
      </c>
      <c r="V5" s="362">
        <f t="shared" ref="V5:X5" si="2">84-J5</f>
        <v>6</v>
      </c>
      <c r="W5" s="362">
        <f t="shared" si="2"/>
        <v>6</v>
      </c>
      <c r="X5" s="362">
        <f t="shared" si="2"/>
        <v>6</v>
      </c>
      <c r="Y5" s="362">
        <f>84-M5</f>
        <v>6</v>
      </c>
      <c r="Z5" s="362"/>
      <c r="AA5" s="365" t="str">
        <f t="shared" ref="AA5:AA16" si="3">B5</f>
        <v>2,14%**</v>
      </c>
      <c r="AB5" s="366">
        <f>IF(AA5&gt;1.85%,1.85%,AA5)</f>
        <v>1.8500000000000003E-2</v>
      </c>
      <c r="AC5" s="367" t="str">
        <f>CONCATENATE(C5," (",O5," PAGAS",")")</f>
        <v>78 (6 PAGAS)</v>
      </c>
      <c r="AD5" s="464" t="str">
        <f t="shared" ref="AD5:AM19" si="4">CONCATENATE(D5," (",P5," PAGAS",")")</f>
        <v>78 (6 PAGAS)</v>
      </c>
      <c r="AE5" s="367" t="str">
        <f t="shared" si="4"/>
        <v>78 (6 PAGAS)</v>
      </c>
      <c r="AF5" s="464" t="str">
        <f t="shared" si="4"/>
        <v>78 (6 PAGAS)</v>
      </c>
      <c r="AG5" s="367" t="str">
        <f t="shared" si="4"/>
        <v>78 (6 PAGAS)</v>
      </c>
      <c r="AH5" s="464" t="str">
        <f t="shared" si="4"/>
        <v>78 (6 PAGAS)</v>
      </c>
      <c r="AI5" s="367" t="str">
        <f t="shared" si="4"/>
        <v>78 (6 PAGAS)</v>
      </c>
      <c r="AJ5" s="464" t="str">
        <f t="shared" si="4"/>
        <v>78 (6 PAGAS)</v>
      </c>
      <c r="AK5" s="367" t="str">
        <f t="shared" si="4"/>
        <v>78 (6 PAGAS)</v>
      </c>
      <c r="AL5" s="464" t="str">
        <f t="shared" si="4"/>
        <v>78 (6 PAGAS)</v>
      </c>
      <c r="AM5" s="367" t="str">
        <f t="shared" si="4"/>
        <v>78 (6 PAGAS)</v>
      </c>
    </row>
    <row r="6" spans="2:39" ht="16.5" thickBot="1" x14ac:dyDescent="0.3">
      <c r="B6" s="361" t="s">
        <v>1298</v>
      </c>
      <c r="C6" s="360">
        <v>78</v>
      </c>
      <c r="D6" s="360">
        <v>78</v>
      </c>
      <c r="E6" s="360">
        <v>78</v>
      </c>
      <c r="F6" s="360">
        <v>78</v>
      </c>
      <c r="G6" s="360">
        <v>78</v>
      </c>
      <c r="H6" s="360">
        <v>78</v>
      </c>
      <c r="I6" s="359">
        <v>78</v>
      </c>
      <c r="J6" s="359">
        <v>78</v>
      </c>
      <c r="K6" s="359">
        <v>78</v>
      </c>
      <c r="L6" s="359">
        <v>78</v>
      </c>
      <c r="M6" s="359">
        <v>78</v>
      </c>
      <c r="O6" s="362">
        <f t="shared" si="1"/>
        <v>6</v>
      </c>
      <c r="P6" s="362">
        <f t="shared" si="1"/>
        <v>6</v>
      </c>
      <c r="Q6" s="362">
        <f t="shared" si="1"/>
        <v>6</v>
      </c>
      <c r="R6" s="362">
        <f t="shared" si="1"/>
        <v>6</v>
      </c>
      <c r="S6" s="362">
        <f t="shared" si="1"/>
        <v>6</v>
      </c>
      <c r="T6" s="362">
        <f t="shared" si="1"/>
        <v>6</v>
      </c>
      <c r="U6" s="362">
        <f t="shared" si="1"/>
        <v>6</v>
      </c>
      <c r="V6" s="362">
        <f t="shared" ref="V6:V7" si="5">84-J6</f>
        <v>6</v>
      </c>
      <c r="W6" s="362">
        <f t="shared" ref="W6:W7" si="6">84-K6</f>
        <v>6</v>
      </c>
      <c r="X6" s="362">
        <f t="shared" ref="X6:X7" si="7">84-L6</f>
        <v>6</v>
      </c>
      <c r="Y6" s="362">
        <f t="shared" ref="Y6:Y7" si="8">84-M6</f>
        <v>6</v>
      </c>
      <c r="Z6" s="362"/>
      <c r="AA6" s="365" t="str">
        <f t="shared" si="3"/>
        <v>1,97%**</v>
      </c>
      <c r="AB6" s="366">
        <f t="shared" ref="AB6:AB16" si="9">IF(AA6&gt;1.85%,1.85%,AA6)</f>
        <v>1.8500000000000003E-2</v>
      </c>
      <c r="AC6" s="367" t="str">
        <f t="shared" ref="AC6:AC19" si="10">CONCATENATE(C6," (",O6," PAGAS",")")</f>
        <v>78 (6 PAGAS)</v>
      </c>
      <c r="AD6" s="464" t="str">
        <f t="shared" si="4"/>
        <v>78 (6 PAGAS)</v>
      </c>
      <c r="AE6" s="367" t="str">
        <f t="shared" si="4"/>
        <v>78 (6 PAGAS)</v>
      </c>
      <c r="AF6" s="464" t="str">
        <f t="shared" si="4"/>
        <v>78 (6 PAGAS)</v>
      </c>
      <c r="AG6" s="367" t="str">
        <f t="shared" si="4"/>
        <v>78 (6 PAGAS)</v>
      </c>
      <c r="AH6" s="464" t="str">
        <f t="shared" si="4"/>
        <v>78 (6 PAGAS)</v>
      </c>
      <c r="AI6" s="367" t="str">
        <f t="shared" si="4"/>
        <v>78 (6 PAGAS)</v>
      </c>
      <c r="AJ6" s="464" t="str">
        <f t="shared" si="4"/>
        <v>78 (6 PAGAS)</v>
      </c>
      <c r="AK6" s="367" t="str">
        <f t="shared" si="4"/>
        <v>78 (6 PAGAS)</v>
      </c>
      <c r="AL6" s="464" t="str">
        <f t="shared" si="4"/>
        <v>78 (6 PAGAS)</v>
      </c>
      <c r="AM6" s="367" t="str">
        <f t="shared" si="4"/>
        <v>78 (6 PAGAS)</v>
      </c>
    </row>
    <row r="7" spans="2:39" ht="16.5" thickBot="1" x14ac:dyDescent="0.3">
      <c r="B7" s="361" t="s">
        <v>1299</v>
      </c>
      <c r="C7" s="360">
        <v>78</v>
      </c>
      <c r="D7" s="360">
        <v>78</v>
      </c>
      <c r="E7" s="360">
        <v>78</v>
      </c>
      <c r="F7" s="360">
        <v>78</v>
      </c>
      <c r="G7" s="360">
        <v>78</v>
      </c>
      <c r="H7" s="360">
        <v>78</v>
      </c>
      <c r="I7" s="359">
        <v>78</v>
      </c>
      <c r="J7" s="359">
        <v>78</v>
      </c>
      <c r="K7" s="359">
        <v>78</v>
      </c>
      <c r="L7" s="359">
        <v>78</v>
      </c>
      <c r="M7" s="359">
        <v>78</v>
      </c>
      <c r="O7" s="362">
        <f t="shared" si="1"/>
        <v>6</v>
      </c>
      <c r="P7" s="362">
        <f t="shared" si="1"/>
        <v>6</v>
      </c>
      <c r="Q7" s="362">
        <f t="shared" si="1"/>
        <v>6</v>
      </c>
      <c r="R7" s="362">
        <f t="shared" si="1"/>
        <v>6</v>
      </c>
      <c r="S7" s="362">
        <f t="shared" si="1"/>
        <v>6</v>
      </c>
      <c r="T7" s="362">
        <f t="shared" si="1"/>
        <v>6</v>
      </c>
      <c r="U7" s="362">
        <f t="shared" si="1"/>
        <v>6</v>
      </c>
      <c r="V7" s="362">
        <f t="shared" si="5"/>
        <v>6</v>
      </c>
      <c r="W7" s="362">
        <f t="shared" si="6"/>
        <v>6</v>
      </c>
      <c r="X7" s="362">
        <f t="shared" si="7"/>
        <v>6</v>
      </c>
      <c r="Y7" s="362">
        <f t="shared" si="8"/>
        <v>6</v>
      </c>
      <c r="Z7" s="362"/>
      <c r="AA7" s="365" t="str">
        <f t="shared" si="3"/>
        <v>1,91%**</v>
      </c>
      <c r="AB7" s="366">
        <f t="shared" si="9"/>
        <v>1.8500000000000003E-2</v>
      </c>
      <c r="AC7" s="367" t="str">
        <f t="shared" si="10"/>
        <v>78 (6 PAGAS)</v>
      </c>
      <c r="AD7" s="464" t="str">
        <f t="shared" si="4"/>
        <v>78 (6 PAGAS)</v>
      </c>
      <c r="AE7" s="367" t="str">
        <f t="shared" si="4"/>
        <v>78 (6 PAGAS)</v>
      </c>
      <c r="AF7" s="464" t="str">
        <f t="shared" si="4"/>
        <v>78 (6 PAGAS)</v>
      </c>
      <c r="AG7" s="367" t="str">
        <f t="shared" si="4"/>
        <v>78 (6 PAGAS)</v>
      </c>
      <c r="AH7" s="464" t="str">
        <f t="shared" si="4"/>
        <v>78 (6 PAGAS)</v>
      </c>
      <c r="AI7" s="367" t="str">
        <f t="shared" si="4"/>
        <v>78 (6 PAGAS)</v>
      </c>
      <c r="AJ7" s="464" t="str">
        <f t="shared" si="4"/>
        <v>78 (6 PAGAS)</v>
      </c>
      <c r="AK7" s="367" t="str">
        <f t="shared" si="4"/>
        <v>78 (6 PAGAS)</v>
      </c>
      <c r="AL7" s="464" t="str">
        <f t="shared" si="4"/>
        <v>78 (6 PAGAS)</v>
      </c>
      <c r="AM7" s="367" t="str">
        <f t="shared" si="4"/>
        <v>78 (6 PAGAS)</v>
      </c>
    </row>
    <row r="8" spans="2:39" ht="16.5" thickBot="1" x14ac:dyDescent="0.3">
      <c r="B8" s="361">
        <v>1.8499999999999999E-2</v>
      </c>
      <c r="C8" s="360">
        <v>90</v>
      </c>
      <c r="D8" s="360">
        <v>90</v>
      </c>
      <c r="E8" s="360">
        <v>90</v>
      </c>
      <c r="F8" s="360">
        <v>90</v>
      </c>
      <c r="G8" s="360">
        <v>90</v>
      </c>
      <c r="H8" s="360">
        <v>90</v>
      </c>
      <c r="I8" s="462">
        <v>90</v>
      </c>
      <c r="J8" s="462">
        <v>90</v>
      </c>
      <c r="K8" s="462">
        <v>90</v>
      </c>
      <c r="L8" s="462">
        <v>90</v>
      </c>
      <c r="M8" s="462">
        <v>90</v>
      </c>
      <c r="O8" s="362">
        <f t="shared" ref="O8:O19" si="11">96-C8</f>
        <v>6</v>
      </c>
      <c r="P8" s="362">
        <f t="shared" ref="P8:P19" si="12">96-D8</f>
        <v>6</v>
      </c>
      <c r="Q8" s="362">
        <f t="shared" ref="Q8:Q19" si="13">96-E8</f>
        <v>6</v>
      </c>
      <c r="R8" s="362">
        <f t="shared" ref="R8:R19" si="14">96-F8</f>
        <v>6</v>
      </c>
      <c r="S8" s="362">
        <f t="shared" ref="S8:S19" si="15">96-G8</f>
        <v>6</v>
      </c>
      <c r="T8" s="362">
        <f t="shared" ref="T8:T19" si="16">96-H8</f>
        <v>6</v>
      </c>
      <c r="U8" s="362">
        <f t="shared" ref="U8:U19" si="17">96-I8</f>
        <v>6</v>
      </c>
      <c r="V8" s="362">
        <f t="shared" ref="V8:V19" si="18">96-J8</f>
        <v>6</v>
      </c>
      <c r="W8" s="362">
        <f t="shared" ref="W8:W19" si="19">96-K8</f>
        <v>6</v>
      </c>
      <c r="X8" s="362">
        <f t="shared" ref="X8:X19" si="20">96-L8</f>
        <v>6</v>
      </c>
      <c r="Y8" s="362">
        <f t="shared" ref="Y8:Y19" si="21">96-M8</f>
        <v>6</v>
      </c>
      <c r="Z8" s="362"/>
      <c r="AA8" s="365">
        <f t="shared" si="3"/>
        <v>1.8499999999999999E-2</v>
      </c>
      <c r="AB8" s="366">
        <f t="shared" si="9"/>
        <v>1.8499999999999999E-2</v>
      </c>
      <c r="AC8" s="367" t="str">
        <f t="shared" si="10"/>
        <v>90 (6 PAGAS)</v>
      </c>
      <c r="AD8" s="464" t="str">
        <f t="shared" si="4"/>
        <v>90 (6 PAGAS)</v>
      </c>
      <c r="AE8" s="367" t="str">
        <f t="shared" si="4"/>
        <v>90 (6 PAGAS)</v>
      </c>
      <c r="AF8" s="464" t="str">
        <f t="shared" si="4"/>
        <v>90 (6 PAGAS)</v>
      </c>
      <c r="AG8" s="367" t="str">
        <f t="shared" si="4"/>
        <v>90 (6 PAGAS)</v>
      </c>
      <c r="AH8" s="464" t="str">
        <f t="shared" si="4"/>
        <v>90 (6 PAGAS)</v>
      </c>
      <c r="AI8" s="367" t="str">
        <f t="shared" si="4"/>
        <v>90 (6 PAGAS)</v>
      </c>
      <c r="AJ8" s="464" t="str">
        <f t="shared" si="4"/>
        <v>90 (6 PAGAS)</v>
      </c>
      <c r="AK8" s="367" t="str">
        <f t="shared" si="4"/>
        <v>90 (6 PAGAS)</v>
      </c>
      <c r="AL8" s="464" t="str">
        <f t="shared" si="4"/>
        <v>90 (6 PAGAS)</v>
      </c>
      <c r="AM8" s="367" t="str">
        <f t="shared" si="4"/>
        <v>90 (6 PAGAS)</v>
      </c>
    </row>
    <row r="9" spans="2:39" ht="16.5" thickBot="1" x14ac:dyDescent="0.3">
      <c r="B9" s="361">
        <v>1.7999999999999999E-2</v>
      </c>
      <c r="C9" s="360">
        <v>29</v>
      </c>
      <c r="D9" s="360">
        <v>90</v>
      </c>
      <c r="E9" s="360">
        <v>90</v>
      </c>
      <c r="F9" s="360">
        <v>90</v>
      </c>
      <c r="G9" s="360">
        <v>90</v>
      </c>
      <c r="H9" s="360">
        <v>90</v>
      </c>
      <c r="I9" s="462">
        <v>90</v>
      </c>
      <c r="J9" s="462">
        <v>90</v>
      </c>
      <c r="K9" s="462">
        <v>90</v>
      </c>
      <c r="L9" s="462">
        <v>90</v>
      </c>
      <c r="M9" s="462">
        <v>90</v>
      </c>
      <c r="O9" s="362">
        <f t="shared" si="11"/>
        <v>67</v>
      </c>
      <c r="P9" s="362">
        <f t="shared" si="12"/>
        <v>6</v>
      </c>
      <c r="Q9" s="362">
        <f t="shared" si="13"/>
        <v>6</v>
      </c>
      <c r="R9" s="362">
        <f t="shared" si="14"/>
        <v>6</v>
      </c>
      <c r="S9" s="362">
        <f t="shared" si="15"/>
        <v>6</v>
      </c>
      <c r="T9" s="362">
        <f t="shared" si="16"/>
        <v>6</v>
      </c>
      <c r="U9" s="362">
        <f t="shared" si="17"/>
        <v>6</v>
      </c>
      <c r="V9" s="362">
        <f t="shared" si="18"/>
        <v>6</v>
      </c>
      <c r="W9" s="362">
        <f t="shared" si="19"/>
        <v>6</v>
      </c>
      <c r="X9" s="362">
        <f t="shared" si="20"/>
        <v>6</v>
      </c>
      <c r="Y9" s="362">
        <f t="shared" si="21"/>
        <v>6</v>
      </c>
      <c r="Z9" s="362"/>
      <c r="AA9" s="365">
        <f t="shared" si="3"/>
        <v>1.7999999999999999E-2</v>
      </c>
      <c r="AB9" s="366">
        <f t="shared" si="9"/>
        <v>1.7999999999999999E-2</v>
      </c>
      <c r="AC9" s="367" t="str">
        <f t="shared" si="10"/>
        <v>29 (67 PAGAS)</v>
      </c>
      <c r="AD9" s="464" t="str">
        <f t="shared" si="4"/>
        <v>90 (6 PAGAS)</v>
      </c>
      <c r="AE9" s="367" t="str">
        <f t="shared" si="4"/>
        <v>90 (6 PAGAS)</v>
      </c>
      <c r="AF9" s="464" t="str">
        <f t="shared" si="4"/>
        <v>90 (6 PAGAS)</v>
      </c>
      <c r="AG9" s="367" t="str">
        <f t="shared" si="4"/>
        <v>90 (6 PAGAS)</v>
      </c>
      <c r="AH9" s="464" t="str">
        <f t="shared" si="4"/>
        <v>90 (6 PAGAS)</v>
      </c>
      <c r="AI9" s="367" t="str">
        <f t="shared" si="4"/>
        <v>90 (6 PAGAS)</v>
      </c>
      <c r="AJ9" s="464" t="str">
        <f t="shared" si="4"/>
        <v>90 (6 PAGAS)</v>
      </c>
      <c r="AK9" s="367" t="str">
        <f t="shared" si="4"/>
        <v>90 (6 PAGAS)</v>
      </c>
      <c r="AL9" s="464" t="str">
        <f t="shared" si="4"/>
        <v>90 (6 PAGAS)</v>
      </c>
      <c r="AM9" s="367" t="str">
        <f t="shared" si="4"/>
        <v>90 (6 PAGAS)</v>
      </c>
    </row>
    <row r="10" spans="2:39" ht="16.5" thickBot="1" x14ac:dyDescent="0.3">
      <c r="B10" s="361">
        <v>1.7600000000000001E-2</v>
      </c>
      <c r="C10" s="360">
        <v>20</v>
      </c>
      <c r="D10" s="360">
        <v>58</v>
      </c>
      <c r="E10" s="360">
        <v>85</v>
      </c>
      <c r="F10" s="360">
        <v>90</v>
      </c>
      <c r="G10" s="359">
        <v>90</v>
      </c>
      <c r="H10" s="360">
        <v>90</v>
      </c>
      <c r="I10" s="359">
        <v>90</v>
      </c>
      <c r="J10" s="462">
        <v>90</v>
      </c>
      <c r="K10" s="462">
        <v>90</v>
      </c>
      <c r="L10" s="462">
        <v>90</v>
      </c>
      <c r="M10" s="462">
        <v>90</v>
      </c>
      <c r="O10" s="362">
        <f t="shared" si="11"/>
        <v>76</v>
      </c>
      <c r="P10" s="362">
        <f t="shared" si="12"/>
        <v>38</v>
      </c>
      <c r="Q10" s="362">
        <f t="shared" si="13"/>
        <v>11</v>
      </c>
      <c r="R10" s="362">
        <f t="shared" si="14"/>
        <v>6</v>
      </c>
      <c r="S10" s="362">
        <f t="shared" si="15"/>
        <v>6</v>
      </c>
      <c r="T10" s="362">
        <f t="shared" si="16"/>
        <v>6</v>
      </c>
      <c r="U10" s="362">
        <f t="shared" si="17"/>
        <v>6</v>
      </c>
      <c r="V10" s="362">
        <f t="shared" si="18"/>
        <v>6</v>
      </c>
      <c r="W10" s="362">
        <f t="shared" si="19"/>
        <v>6</v>
      </c>
      <c r="X10" s="362">
        <f t="shared" si="20"/>
        <v>6</v>
      </c>
      <c r="Y10" s="362">
        <f t="shared" si="21"/>
        <v>6</v>
      </c>
      <c r="Z10" s="362"/>
      <c r="AA10" s="365">
        <f t="shared" si="3"/>
        <v>1.7600000000000001E-2</v>
      </c>
      <c r="AB10" s="366">
        <f t="shared" si="9"/>
        <v>1.7600000000000001E-2</v>
      </c>
      <c r="AC10" s="367" t="str">
        <f t="shared" si="10"/>
        <v>20 (76 PAGAS)</v>
      </c>
      <c r="AD10" s="464" t="str">
        <f t="shared" si="4"/>
        <v>58 (38 PAGAS)</v>
      </c>
      <c r="AE10" s="367" t="str">
        <f t="shared" si="4"/>
        <v>85 (11 PAGAS)</v>
      </c>
      <c r="AF10" s="464" t="str">
        <f t="shared" si="4"/>
        <v>90 (6 PAGAS)</v>
      </c>
      <c r="AG10" s="367" t="str">
        <f t="shared" si="4"/>
        <v>90 (6 PAGAS)</v>
      </c>
      <c r="AH10" s="464" t="str">
        <f t="shared" si="4"/>
        <v>90 (6 PAGAS)</v>
      </c>
      <c r="AI10" s="367" t="str">
        <f t="shared" si="4"/>
        <v>90 (6 PAGAS)</v>
      </c>
      <c r="AJ10" s="464" t="str">
        <f t="shared" si="4"/>
        <v>90 (6 PAGAS)</v>
      </c>
      <c r="AK10" s="367" t="str">
        <f t="shared" si="4"/>
        <v>90 (6 PAGAS)</v>
      </c>
      <c r="AL10" s="464" t="str">
        <f t="shared" si="4"/>
        <v>90 (6 PAGAS)</v>
      </c>
      <c r="AM10" s="367" t="str">
        <f t="shared" si="4"/>
        <v>90 (6 PAGAS)</v>
      </c>
    </row>
    <row r="11" spans="2:39" ht="16.5" thickBot="1" x14ac:dyDescent="0.3">
      <c r="B11" s="361">
        <v>1.72E-2</v>
      </c>
      <c r="C11" s="360">
        <v>16</v>
      </c>
      <c r="D11" s="360">
        <v>44</v>
      </c>
      <c r="E11" s="359">
        <v>62</v>
      </c>
      <c r="F11" s="360">
        <v>81</v>
      </c>
      <c r="G11" s="359">
        <v>90</v>
      </c>
      <c r="H11" s="360">
        <v>90</v>
      </c>
      <c r="I11" s="359">
        <v>90</v>
      </c>
      <c r="J11" s="462">
        <v>90</v>
      </c>
      <c r="K11" s="462">
        <v>90</v>
      </c>
      <c r="L11" s="462">
        <v>90</v>
      </c>
      <c r="M11" s="462">
        <v>90</v>
      </c>
      <c r="O11" s="362">
        <f t="shared" si="11"/>
        <v>80</v>
      </c>
      <c r="P11" s="362">
        <f t="shared" si="12"/>
        <v>52</v>
      </c>
      <c r="Q11" s="362">
        <f t="shared" si="13"/>
        <v>34</v>
      </c>
      <c r="R11" s="362">
        <f t="shared" si="14"/>
        <v>15</v>
      </c>
      <c r="S11" s="362">
        <f t="shared" si="15"/>
        <v>6</v>
      </c>
      <c r="T11" s="362">
        <f t="shared" si="16"/>
        <v>6</v>
      </c>
      <c r="U11" s="362">
        <f t="shared" si="17"/>
        <v>6</v>
      </c>
      <c r="V11" s="362">
        <f t="shared" si="18"/>
        <v>6</v>
      </c>
      <c r="W11" s="362">
        <f t="shared" si="19"/>
        <v>6</v>
      </c>
      <c r="X11" s="362">
        <f t="shared" si="20"/>
        <v>6</v>
      </c>
      <c r="Y11" s="362">
        <f t="shared" si="21"/>
        <v>6</v>
      </c>
      <c r="Z11" s="362"/>
      <c r="AA11" s="365">
        <f t="shared" si="3"/>
        <v>1.72E-2</v>
      </c>
      <c r="AB11" s="366">
        <f t="shared" si="9"/>
        <v>1.72E-2</v>
      </c>
      <c r="AC11" s="367" t="str">
        <f t="shared" si="10"/>
        <v>16 (80 PAGAS)</v>
      </c>
      <c r="AD11" s="464" t="str">
        <f t="shared" si="4"/>
        <v>44 (52 PAGAS)</v>
      </c>
      <c r="AE11" s="367" t="str">
        <f t="shared" si="4"/>
        <v>62 (34 PAGAS)</v>
      </c>
      <c r="AF11" s="464" t="str">
        <f t="shared" si="4"/>
        <v>81 (15 PAGAS)</v>
      </c>
      <c r="AG11" s="367" t="str">
        <f t="shared" si="4"/>
        <v>90 (6 PAGAS)</v>
      </c>
      <c r="AH11" s="464" t="str">
        <f t="shared" si="4"/>
        <v>90 (6 PAGAS)</v>
      </c>
      <c r="AI11" s="367" t="str">
        <f t="shared" si="4"/>
        <v>90 (6 PAGAS)</v>
      </c>
      <c r="AJ11" s="464" t="str">
        <f t="shared" si="4"/>
        <v>90 (6 PAGAS)</v>
      </c>
      <c r="AK11" s="367" t="str">
        <f t="shared" si="4"/>
        <v>90 (6 PAGAS)</v>
      </c>
      <c r="AL11" s="464" t="str">
        <f t="shared" si="4"/>
        <v>90 (6 PAGAS)</v>
      </c>
      <c r="AM11" s="367" t="str">
        <f t="shared" si="4"/>
        <v>90 (6 PAGAS)</v>
      </c>
    </row>
    <row r="12" spans="2:39" ht="16.5" thickBot="1" x14ac:dyDescent="0.3">
      <c r="B12" s="361">
        <v>1.7000000000000001E-2</v>
      </c>
      <c r="C12" s="360">
        <v>15</v>
      </c>
      <c r="D12" s="360">
        <v>40</v>
      </c>
      <c r="E12" s="359">
        <v>56</v>
      </c>
      <c r="F12" s="360">
        <v>72</v>
      </c>
      <c r="G12" s="359">
        <v>89</v>
      </c>
      <c r="H12" s="360">
        <v>90</v>
      </c>
      <c r="I12" s="359">
        <v>90</v>
      </c>
      <c r="J12" s="462">
        <v>90</v>
      </c>
      <c r="K12" s="462">
        <v>90</v>
      </c>
      <c r="L12" s="462">
        <v>90</v>
      </c>
      <c r="M12" s="462">
        <v>90</v>
      </c>
      <c r="O12" s="362">
        <f t="shared" si="11"/>
        <v>81</v>
      </c>
      <c r="P12" s="362">
        <f t="shared" si="12"/>
        <v>56</v>
      </c>
      <c r="Q12" s="362">
        <f t="shared" si="13"/>
        <v>40</v>
      </c>
      <c r="R12" s="362">
        <f t="shared" si="14"/>
        <v>24</v>
      </c>
      <c r="S12" s="362">
        <f t="shared" si="15"/>
        <v>7</v>
      </c>
      <c r="T12" s="362">
        <f t="shared" si="16"/>
        <v>6</v>
      </c>
      <c r="U12" s="362">
        <f t="shared" si="17"/>
        <v>6</v>
      </c>
      <c r="V12" s="362">
        <f t="shared" si="18"/>
        <v>6</v>
      </c>
      <c r="W12" s="362">
        <f t="shared" si="19"/>
        <v>6</v>
      </c>
      <c r="X12" s="362">
        <f t="shared" si="20"/>
        <v>6</v>
      </c>
      <c r="Y12" s="362">
        <f t="shared" si="21"/>
        <v>6</v>
      </c>
      <c r="Z12" s="362"/>
      <c r="AA12" s="365">
        <f t="shared" si="3"/>
        <v>1.7000000000000001E-2</v>
      </c>
      <c r="AB12" s="366">
        <f t="shared" si="9"/>
        <v>1.7000000000000001E-2</v>
      </c>
      <c r="AC12" s="367" t="str">
        <f t="shared" si="10"/>
        <v>15 (81 PAGAS)</v>
      </c>
      <c r="AD12" s="464" t="str">
        <f t="shared" si="4"/>
        <v>40 (56 PAGAS)</v>
      </c>
      <c r="AE12" s="367" t="str">
        <f t="shared" si="4"/>
        <v>56 (40 PAGAS)</v>
      </c>
      <c r="AF12" s="464" t="str">
        <f t="shared" si="4"/>
        <v>72 (24 PAGAS)</v>
      </c>
      <c r="AG12" s="367" t="str">
        <f t="shared" si="4"/>
        <v>89 (7 PAGAS)</v>
      </c>
      <c r="AH12" s="464" t="str">
        <f t="shared" si="4"/>
        <v>90 (6 PAGAS)</v>
      </c>
      <c r="AI12" s="367" t="str">
        <f t="shared" si="4"/>
        <v>90 (6 PAGAS)</v>
      </c>
      <c r="AJ12" s="464" t="str">
        <f t="shared" si="4"/>
        <v>90 (6 PAGAS)</v>
      </c>
      <c r="AK12" s="367" t="str">
        <f t="shared" si="4"/>
        <v>90 (6 PAGAS)</v>
      </c>
      <c r="AL12" s="464" t="str">
        <f t="shared" si="4"/>
        <v>90 (6 PAGAS)</v>
      </c>
      <c r="AM12" s="367" t="str">
        <f t="shared" si="4"/>
        <v>90 (6 PAGAS)</v>
      </c>
    </row>
    <row r="13" spans="2:39" ht="16.5" thickBot="1" x14ac:dyDescent="0.3">
      <c r="B13" s="361">
        <v>1.6500000000000001E-2</v>
      </c>
      <c r="C13" s="360">
        <v>13</v>
      </c>
      <c r="D13" s="360">
        <v>33</v>
      </c>
      <c r="E13" s="359">
        <v>45</v>
      </c>
      <c r="F13" s="360">
        <v>57</v>
      </c>
      <c r="G13" s="359">
        <v>69</v>
      </c>
      <c r="H13" s="360">
        <v>81</v>
      </c>
      <c r="I13" s="359">
        <v>90</v>
      </c>
      <c r="J13" s="462">
        <v>90</v>
      </c>
      <c r="K13" s="462">
        <v>90</v>
      </c>
      <c r="L13" s="462">
        <v>90</v>
      </c>
      <c r="M13" s="462">
        <v>90</v>
      </c>
      <c r="O13" s="362">
        <f t="shared" si="11"/>
        <v>83</v>
      </c>
      <c r="P13" s="362">
        <f t="shared" si="12"/>
        <v>63</v>
      </c>
      <c r="Q13" s="362">
        <f t="shared" si="13"/>
        <v>51</v>
      </c>
      <c r="R13" s="362">
        <f t="shared" si="14"/>
        <v>39</v>
      </c>
      <c r="S13" s="362">
        <f t="shared" si="15"/>
        <v>27</v>
      </c>
      <c r="T13" s="362">
        <f t="shared" si="16"/>
        <v>15</v>
      </c>
      <c r="U13" s="362">
        <f t="shared" si="17"/>
        <v>6</v>
      </c>
      <c r="V13" s="362">
        <f t="shared" si="18"/>
        <v>6</v>
      </c>
      <c r="W13" s="362">
        <f t="shared" si="19"/>
        <v>6</v>
      </c>
      <c r="X13" s="362">
        <f t="shared" si="20"/>
        <v>6</v>
      </c>
      <c r="Y13" s="362">
        <f t="shared" si="21"/>
        <v>6</v>
      </c>
      <c r="Z13" s="362"/>
      <c r="AA13" s="365">
        <f t="shared" si="3"/>
        <v>1.6500000000000001E-2</v>
      </c>
      <c r="AB13" s="366">
        <f t="shared" si="9"/>
        <v>1.6500000000000001E-2</v>
      </c>
      <c r="AC13" s="367" t="str">
        <f t="shared" si="10"/>
        <v>13 (83 PAGAS)</v>
      </c>
      <c r="AD13" s="464" t="str">
        <f t="shared" si="4"/>
        <v>33 (63 PAGAS)</v>
      </c>
      <c r="AE13" s="367" t="str">
        <f t="shared" si="4"/>
        <v>45 (51 PAGAS)</v>
      </c>
      <c r="AF13" s="464" t="str">
        <f t="shared" si="4"/>
        <v>57 (39 PAGAS)</v>
      </c>
      <c r="AG13" s="367" t="str">
        <f t="shared" si="4"/>
        <v>69 (27 PAGAS)</v>
      </c>
      <c r="AH13" s="464" t="str">
        <f t="shared" si="4"/>
        <v>81 (15 PAGAS)</v>
      </c>
      <c r="AI13" s="367" t="str">
        <f t="shared" si="4"/>
        <v>90 (6 PAGAS)</v>
      </c>
      <c r="AJ13" s="464" t="str">
        <f t="shared" si="4"/>
        <v>90 (6 PAGAS)</v>
      </c>
      <c r="AK13" s="367" t="str">
        <f t="shared" si="4"/>
        <v>90 (6 PAGAS)</v>
      </c>
      <c r="AL13" s="464" t="str">
        <f t="shared" si="4"/>
        <v>90 (6 PAGAS)</v>
      </c>
      <c r="AM13" s="367" t="str">
        <f t="shared" si="4"/>
        <v>90 (6 PAGAS)</v>
      </c>
    </row>
    <row r="14" spans="2:39" ht="16.5" thickBot="1" x14ac:dyDescent="0.3">
      <c r="B14" s="361">
        <v>1.6E-2</v>
      </c>
      <c r="C14" s="360">
        <v>11</v>
      </c>
      <c r="D14" s="360">
        <v>29</v>
      </c>
      <c r="E14" s="359">
        <v>39</v>
      </c>
      <c r="F14" s="360">
        <v>48</v>
      </c>
      <c r="G14" s="359">
        <v>58</v>
      </c>
      <c r="H14" s="360">
        <v>67</v>
      </c>
      <c r="I14" s="359">
        <v>74</v>
      </c>
      <c r="J14" s="462">
        <v>88</v>
      </c>
      <c r="K14" s="462">
        <v>90</v>
      </c>
      <c r="L14" s="462">
        <v>90</v>
      </c>
      <c r="M14" s="462">
        <v>90</v>
      </c>
      <c r="O14" s="362">
        <f t="shared" si="11"/>
        <v>85</v>
      </c>
      <c r="P14" s="362">
        <f t="shared" si="12"/>
        <v>67</v>
      </c>
      <c r="Q14" s="362">
        <f t="shared" si="13"/>
        <v>57</v>
      </c>
      <c r="R14" s="362">
        <f t="shared" si="14"/>
        <v>48</v>
      </c>
      <c r="S14" s="362">
        <f t="shared" si="15"/>
        <v>38</v>
      </c>
      <c r="T14" s="362">
        <f t="shared" si="16"/>
        <v>29</v>
      </c>
      <c r="U14" s="362">
        <f t="shared" si="17"/>
        <v>22</v>
      </c>
      <c r="V14" s="362">
        <f t="shared" si="18"/>
        <v>8</v>
      </c>
      <c r="W14" s="362">
        <f t="shared" si="19"/>
        <v>6</v>
      </c>
      <c r="X14" s="362">
        <f t="shared" si="20"/>
        <v>6</v>
      </c>
      <c r="Y14" s="362">
        <f t="shared" si="21"/>
        <v>6</v>
      </c>
      <c r="Z14" s="362"/>
      <c r="AA14" s="365">
        <f t="shared" si="3"/>
        <v>1.6E-2</v>
      </c>
      <c r="AB14" s="366">
        <f t="shared" si="9"/>
        <v>1.6E-2</v>
      </c>
      <c r="AC14" s="367" t="str">
        <f t="shared" si="10"/>
        <v>11 (85 PAGAS)</v>
      </c>
      <c r="AD14" s="464" t="str">
        <f t="shared" si="4"/>
        <v>29 (67 PAGAS)</v>
      </c>
      <c r="AE14" s="367" t="str">
        <f t="shared" si="4"/>
        <v>39 (57 PAGAS)</v>
      </c>
      <c r="AF14" s="464" t="str">
        <f t="shared" si="4"/>
        <v>48 (48 PAGAS)</v>
      </c>
      <c r="AG14" s="367" t="str">
        <f t="shared" si="4"/>
        <v>58 (38 PAGAS)</v>
      </c>
      <c r="AH14" s="464" t="str">
        <f t="shared" si="4"/>
        <v>67 (29 PAGAS)</v>
      </c>
      <c r="AI14" s="367" t="str">
        <f t="shared" si="4"/>
        <v>74 (22 PAGAS)</v>
      </c>
      <c r="AJ14" s="464" t="str">
        <f t="shared" si="4"/>
        <v>88 (8 PAGAS)</v>
      </c>
      <c r="AK14" s="367" t="str">
        <f t="shared" si="4"/>
        <v>90 (6 PAGAS)</v>
      </c>
      <c r="AL14" s="464" t="str">
        <f t="shared" si="4"/>
        <v>90 (6 PAGAS)</v>
      </c>
      <c r="AM14" s="367" t="str">
        <f t="shared" si="4"/>
        <v>90 (6 PAGAS)</v>
      </c>
    </row>
    <row r="15" spans="2:39" ht="16.5" thickBot="1" x14ac:dyDescent="0.3">
      <c r="B15" s="361">
        <v>1.55E-2</v>
      </c>
      <c r="C15" s="360">
        <v>10</v>
      </c>
      <c r="D15" s="360">
        <v>26</v>
      </c>
      <c r="E15" s="359">
        <v>35</v>
      </c>
      <c r="F15" s="360">
        <v>43</v>
      </c>
      <c r="G15" s="359">
        <v>51</v>
      </c>
      <c r="H15" s="360">
        <v>58</v>
      </c>
      <c r="I15" s="359">
        <v>64</v>
      </c>
      <c r="J15" s="462">
        <v>75</v>
      </c>
      <c r="K15" s="462">
        <v>80</v>
      </c>
      <c r="L15" s="462">
        <v>86</v>
      </c>
      <c r="M15" s="462">
        <v>90</v>
      </c>
      <c r="O15" s="362">
        <f t="shared" si="11"/>
        <v>86</v>
      </c>
      <c r="P15" s="362">
        <f t="shared" si="12"/>
        <v>70</v>
      </c>
      <c r="Q15" s="362">
        <f t="shared" si="13"/>
        <v>61</v>
      </c>
      <c r="R15" s="362">
        <f t="shared" si="14"/>
        <v>53</v>
      </c>
      <c r="S15" s="362">
        <f t="shared" si="15"/>
        <v>45</v>
      </c>
      <c r="T15" s="362">
        <f t="shared" si="16"/>
        <v>38</v>
      </c>
      <c r="U15" s="362">
        <f t="shared" si="17"/>
        <v>32</v>
      </c>
      <c r="V15" s="362">
        <f t="shared" si="18"/>
        <v>21</v>
      </c>
      <c r="W15" s="362">
        <f t="shared" si="19"/>
        <v>16</v>
      </c>
      <c r="X15" s="362">
        <f t="shared" si="20"/>
        <v>10</v>
      </c>
      <c r="Y15" s="362">
        <f t="shared" si="21"/>
        <v>6</v>
      </c>
      <c r="Z15" s="362"/>
      <c r="AA15" s="365">
        <f t="shared" si="3"/>
        <v>1.55E-2</v>
      </c>
      <c r="AB15" s="366">
        <f t="shared" si="9"/>
        <v>1.55E-2</v>
      </c>
      <c r="AC15" s="367" t="str">
        <f t="shared" si="10"/>
        <v>10 (86 PAGAS)</v>
      </c>
      <c r="AD15" s="464" t="str">
        <f t="shared" si="4"/>
        <v>26 (70 PAGAS)</v>
      </c>
      <c r="AE15" s="367" t="str">
        <f t="shared" si="4"/>
        <v>35 (61 PAGAS)</v>
      </c>
      <c r="AF15" s="464" t="str">
        <f t="shared" si="4"/>
        <v>43 (53 PAGAS)</v>
      </c>
      <c r="AG15" s="367" t="str">
        <f t="shared" si="4"/>
        <v>51 (45 PAGAS)</v>
      </c>
      <c r="AH15" s="464" t="str">
        <f t="shared" si="4"/>
        <v>58 (38 PAGAS)</v>
      </c>
      <c r="AI15" s="367" t="str">
        <f t="shared" si="4"/>
        <v>64 (32 PAGAS)</v>
      </c>
      <c r="AJ15" s="464" t="str">
        <f t="shared" si="4"/>
        <v>75 (21 PAGAS)</v>
      </c>
      <c r="AK15" s="367" t="str">
        <f t="shared" si="4"/>
        <v>80 (16 PAGAS)</v>
      </c>
      <c r="AL15" s="464" t="str">
        <f t="shared" si="4"/>
        <v>86 (10 PAGAS)</v>
      </c>
      <c r="AM15" s="367" t="str">
        <f t="shared" si="4"/>
        <v>90 (6 PAGAS)</v>
      </c>
    </row>
    <row r="16" spans="2:39" ht="16.5" thickBot="1" x14ac:dyDescent="0.3">
      <c r="B16" s="361">
        <v>1.4999999999999999E-2</v>
      </c>
      <c r="C16" s="360">
        <v>9</v>
      </c>
      <c r="D16" s="360">
        <v>23</v>
      </c>
      <c r="E16" s="359">
        <v>31</v>
      </c>
      <c r="F16" s="360">
        <v>38</v>
      </c>
      <c r="G16" s="359">
        <v>45</v>
      </c>
      <c r="H16" s="360">
        <v>52</v>
      </c>
      <c r="I16" s="359">
        <v>56</v>
      </c>
      <c r="J16" s="462">
        <v>65</v>
      </c>
      <c r="K16" s="462">
        <v>70</v>
      </c>
      <c r="L16" s="462">
        <v>75</v>
      </c>
      <c r="M16" s="462">
        <v>80</v>
      </c>
      <c r="O16" s="362">
        <f t="shared" si="11"/>
        <v>87</v>
      </c>
      <c r="P16" s="362">
        <f t="shared" si="12"/>
        <v>73</v>
      </c>
      <c r="Q16" s="362">
        <f t="shared" si="13"/>
        <v>65</v>
      </c>
      <c r="R16" s="362">
        <f t="shared" si="14"/>
        <v>58</v>
      </c>
      <c r="S16" s="362">
        <f t="shared" si="15"/>
        <v>51</v>
      </c>
      <c r="T16" s="362">
        <f t="shared" si="16"/>
        <v>44</v>
      </c>
      <c r="U16" s="362">
        <f t="shared" si="17"/>
        <v>40</v>
      </c>
      <c r="V16" s="362">
        <f t="shared" si="18"/>
        <v>31</v>
      </c>
      <c r="W16" s="362">
        <f t="shared" si="19"/>
        <v>26</v>
      </c>
      <c r="X16" s="362">
        <f t="shared" si="20"/>
        <v>21</v>
      </c>
      <c r="Y16" s="362">
        <f t="shared" si="21"/>
        <v>16</v>
      </c>
      <c r="Z16" s="362"/>
      <c r="AA16" s="365">
        <f t="shared" si="3"/>
        <v>1.4999999999999999E-2</v>
      </c>
      <c r="AB16" s="366">
        <f t="shared" si="9"/>
        <v>1.4999999999999999E-2</v>
      </c>
      <c r="AC16" s="367" t="str">
        <f t="shared" si="10"/>
        <v>9 (87 PAGAS)</v>
      </c>
      <c r="AD16" s="464" t="str">
        <f t="shared" si="4"/>
        <v>23 (73 PAGAS)</v>
      </c>
      <c r="AE16" s="367" t="str">
        <f t="shared" si="4"/>
        <v>31 (65 PAGAS)</v>
      </c>
      <c r="AF16" s="464" t="str">
        <f t="shared" si="4"/>
        <v>38 (58 PAGAS)</v>
      </c>
      <c r="AG16" s="367" t="str">
        <f t="shared" si="4"/>
        <v>45 (51 PAGAS)</v>
      </c>
      <c r="AH16" s="464" t="str">
        <f t="shared" si="4"/>
        <v>52 (44 PAGAS)</v>
      </c>
      <c r="AI16" s="367" t="str">
        <f t="shared" si="4"/>
        <v>56 (40 PAGAS)</v>
      </c>
      <c r="AJ16" s="464" t="str">
        <f t="shared" si="4"/>
        <v>65 (31 PAGAS)</v>
      </c>
      <c r="AK16" s="367" t="str">
        <f t="shared" si="4"/>
        <v>70 (26 PAGAS)</v>
      </c>
      <c r="AL16" s="464" t="str">
        <f t="shared" si="4"/>
        <v>75 (21 PAGAS)</v>
      </c>
      <c r="AM16" s="367" t="str">
        <f t="shared" si="4"/>
        <v>80 (16 PAGAS)</v>
      </c>
    </row>
    <row r="17" spans="2:39" ht="16.5" thickBot="1" x14ac:dyDescent="0.3">
      <c r="B17" s="361">
        <v>1.4500000000000001E-2</v>
      </c>
      <c r="C17" s="360">
        <v>8</v>
      </c>
      <c r="D17" s="360">
        <v>21</v>
      </c>
      <c r="E17" s="359">
        <v>29</v>
      </c>
      <c r="F17" s="360">
        <v>35</v>
      </c>
      <c r="G17" s="359">
        <v>41</v>
      </c>
      <c r="H17" s="360">
        <v>47</v>
      </c>
      <c r="I17" s="359">
        <v>51</v>
      </c>
      <c r="J17" s="462">
        <v>59</v>
      </c>
      <c r="K17" s="462">
        <v>63</v>
      </c>
      <c r="L17" s="462">
        <v>67</v>
      </c>
      <c r="M17" s="462">
        <v>71</v>
      </c>
      <c r="O17" s="362">
        <f t="shared" si="11"/>
        <v>88</v>
      </c>
      <c r="P17" s="362">
        <f t="shared" si="12"/>
        <v>75</v>
      </c>
      <c r="Q17" s="362">
        <f t="shared" si="13"/>
        <v>67</v>
      </c>
      <c r="R17" s="362">
        <f t="shared" si="14"/>
        <v>61</v>
      </c>
      <c r="S17" s="362">
        <f t="shared" si="15"/>
        <v>55</v>
      </c>
      <c r="T17" s="362">
        <f t="shared" si="16"/>
        <v>49</v>
      </c>
      <c r="U17" s="362">
        <f t="shared" si="17"/>
        <v>45</v>
      </c>
      <c r="V17" s="362">
        <f t="shared" si="18"/>
        <v>37</v>
      </c>
      <c r="W17" s="362">
        <f t="shared" si="19"/>
        <v>33</v>
      </c>
      <c r="X17" s="362">
        <f t="shared" si="20"/>
        <v>29</v>
      </c>
      <c r="Y17" s="362">
        <f t="shared" si="21"/>
        <v>25</v>
      </c>
      <c r="Z17" s="362"/>
      <c r="AA17" s="365">
        <v>1.3000000000000001E-2</v>
      </c>
      <c r="AB17" s="366">
        <v>1.2999999999999999E-2</v>
      </c>
      <c r="AC17" s="367" t="str">
        <f t="shared" si="10"/>
        <v>8 (88 PAGAS)</v>
      </c>
      <c r="AD17" s="464" t="str">
        <f t="shared" si="4"/>
        <v>21 (75 PAGAS)</v>
      </c>
      <c r="AE17" s="367" t="str">
        <f t="shared" si="4"/>
        <v>29 (67 PAGAS)</v>
      </c>
      <c r="AF17" s="464" t="str">
        <f t="shared" si="4"/>
        <v>35 (61 PAGAS)</v>
      </c>
      <c r="AG17" s="367" t="str">
        <f t="shared" si="4"/>
        <v>41 (55 PAGAS)</v>
      </c>
      <c r="AH17" s="464" t="str">
        <f t="shared" si="4"/>
        <v>47 (49 PAGAS)</v>
      </c>
      <c r="AI17" s="367" t="str">
        <f t="shared" si="4"/>
        <v>51 (45 PAGAS)</v>
      </c>
      <c r="AJ17" s="464" t="str">
        <f t="shared" si="4"/>
        <v>59 (37 PAGAS)</v>
      </c>
      <c r="AK17" s="367" t="str">
        <f t="shared" si="4"/>
        <v>63 (33 PAGAS)</v>
      </c>
      <c r="AL17" s="464" t="str">
        <f t="shared" si="4"/>
        <v>67 (29 PAGAS)</v>
      </c>
      <c r="AM17" s="367" t="str">
        <f t="shared" si="4"/>
        <v>71 (25 PAGAS)</v>
      </c>
    </row>
    <row r="18" spans="2:39" ht="16.5" thickBot="1" x14ac:dyDescent="0.3">
      <c r="B18" s="361">
        <v>1.4E-2</v>
      </c>
      <c r="C18" s="360">
        <v>7</v>
      </c>
      <c r="D18" s="359">
        <v>20</v>
      </c>
      <c r="E18" s="360">
        <v>27</v>
      </c>
      <c r="F18" s="359">
        <v>32</v>
      </c>
      <c r="G18" s="360">
        <v>38</v>
      </c>
      <c r="H18" s="359">
        <v>43</v>
      </c>
      <c r="I18" s="463">
        <v>47</v>
      </c>
      <c r="J18" s="462">
        <v>54</v>
      </c>
      <c r="K18" s="462">
        <v>57</v>
      </c>
      <c r="L18" s="462">
        <v>61</v>
      </c>
      <c r="M18" s="462">
        <v>64</v>
      </c>
      <c r="O18" s="362">
        <f t="shared" si="11"/>
        <v>89</v>
      </c>
      <c r="P18" s="362">
        <f t="shared" si="12"/>
        <v>76</v>
      </c>
      <c r="Q18" s="362">
        <f t="shared" si="13"/>
        <v>69</v>
      </c>
      <c r="R18" s="362">
        <f t="shared" si="14"/>
        <v>64</v>
      </c>
      <c r="S18" s="362">
        <f t="shared" si="15"/>
        <v>58</v>
      </c>
      <c r="T18" s="362">
        <f t="shared" si="16"/>
        <v>53</v>
      </c>
      <c r="U18" s="362">
        <f t="shared" si="17"/>
        <v>49</v>
      </c>
      <c r="V18" s="362">
        <f t="shared" si="18"/>
        <v>42</v>
      </c>
      <c r="W18" s="362">
        <f t="shared" si="19"/>
        <v>39</v>
      </c>
      <c r="X18" s="362">
        <f t="shared" si="20"/>
        <v>35</v>
      </c>
      <c r="Y18" s="362">
        <f t="shared" si="21"/>
        <v>32</v>
      </c>
      <c r="Z18" s="362"/>
      <c r="AA18" s="365">
        <v>1.2500000000000001E-2</v>
      </c>
      <c r="AB18" s="366">
        <f t="shared" ref="AB18:AB19" si="22">IF(AA18&gt;1.66%,1.66%,AA18)</f>
        <v>1.2500000000000001E-2</v>
      </c>
      <c r="AC18" s="367" t="str">
        <f t="shared" si="10"/>
        <v>7 (89 PAGAS)</v>
      </c>
      <c r="AD18" s="464" t="str">
        <f t="shared" si="4"/>
        <v>20 (76 PAGAS)</v>
      </c>
      <c r="AE18" s="367" t="str">
        <f t="shared" si="4"/>
        <v>27 (69 PAGAS)</v>
      </c>
      <c r="AF18" s="464" t="str">
        <f t="shared" si="4"/>
        <v>32 (64 PAGAS)</v>
      </c>
      <c r="AG18" s="367" t="str">
        <f t="shared" si="4"/>
        <v>38 (58 PAGAS)</v>
      </c>
      <c r="AH18" s="464" t="str">
        <f t="shared" si="4"/>
        <v>43 (53 PAGAS)</v>
      </c>
      <c r="AI18" s="367" t="str">
        <f t="shared" si="4"/>
        <v>47 (49 PAGAS)</v>
      </c>
      <c r="AJ18" s="464" t="str">
        <f t="shared" si="4"/>
        <v>54 (42 PAGAS)</v>
      </c>
      <c r="AK18" s="367" t="str">
        <f t="shared" si="4"/>
        <v>57 (39 PAGAS)</v>
      </c>
      <c r="AL18" s="464" t="str">
        <f t="shared" si="4"/>
        <v>61 (35 PAGAS)</v>
      </c>
      <c r="AM18" s="367" t="str">
        <f t="shared" si="4"/>
        <v>64 (32 PAGAS)</v>
      </c>
    </row>
    <row r="19" spans="2:39" ht="16.5" thickBot="1" x14ac:dyDescent="0.3">
      <c r="B19" s="361">
        <v>1.34E-2</v>
      </c>
      <c r="C19" s="360">
        <v>6</v>
      </c>
      <c r="D19" s="359">
        <v>19</v>
      </c>
      <c r="E19" s="360">
        <v>25</v>
      </c>
      <c r="F19" s="359">
        <v>30</v>
      </c>
      <c r="G19" s="360">
        <v>35</v>
      </c>
      <c r="H19" s="359">
        <v>40</v>
      </c>
      <c r="I19" s="463">
        <v>43</v>
      </c>
      <c r="J19" s="462">
        <v>49</v>
      </c>
      <c r="K19" s="462">
        <v>52</v>
      </c>
      <c r="L19" s="462">
        <v>55</v>
      </c>
      <c r="M19" s="462">
        <v>58</v>
      </c>
      <c r="O19" s="362">
        <f t="shared" si="11"/>
        <v>90</v>
      </c>
      <c r="P19" s="362">
        <f t="shared" si="12"/>
        <v>77</v>
      </c>
      <c r="Q19" s="362">
        <f t="shared" si="13"/>
        <v>71</v>
      </c>
      <c r="R19" s="362">
        <f t="shared" si="14"/>
        <v>66</v>
      </c>
      <c r="S19" s="362">
        <f t="shared" si="15"/>
        <v>61</v>
      </c>
      <c r="T19" s="362">
        <f t="shared" si="16"/>
        <v>56</v>
      </c>
      <c r="U19" s="362">
        <f t="shared" si="17"/>
        <v>53</v>
      </c>
      <c r="V19" s="362">
        <f t="shared" si="18"/>
        <v>47</v>
      </c>
      <c r="W19" s="362">
        <f t="shared" si="19"/>
        <v>44</v>
      </c>
      <c r="X19" s="362">
        <f t="shared" si="20"/>
        <v>41</v>
      </c>
      <c r="Y19" s="362">
        <f t="shared" si="21"/>
        <v>38</v>
      </c>
      <c r="Z19" s="362"/>
      <c r="AA19" s="368">
        <v>1.21E-2</v>
      </c>
      <c r="AB19" s="366">
        <f t="shared" si="22"/>
        <v>1.21E-2</v>
      </c>
      <c r="AC19" s="367" t="str">
        <f t="shared" si="10"/>
        <v>6 (90 PAGAS)</v>
      </c>
      <c r="AD19" s="464" t="str">
        <f t="shared" si="4"/>
        <v>19 (77 PAGAS)</v>
      </c>
      <c r="AE19" s="367" t="str">
        <f t="shared" si="4"/>
        <v>25 (71 PAGAS)</v>
      </c>
      <c r="AF19" s="464" t="str">
        <f t="shared" si="4"/>
        <v>30 (66 PAGAS)</v>
      </c>
      <c r="AG19" s="367" t="str">
        <f t="shared" si="4"/>
        <v>35 (61 PAGAS)</v>
      </c>
      <c r="AH19" s="464" t="str">
        <f t="shared" si="4"/>
        <v>40 (56 PAGAS)</v>
      </c>
      <c r="AI19" s="367" t="str">
        <f t="shared" si="4"/>
        <v>43 (53 PAGAS)</v>
      </c>
      <c r="AJ19" s="464" t="str">
        <f t="shared" si="4"/>
        <v>49 (47 PAGAS)</v>
      </c>
      <c r="AK19" s="367" t="str">
        <f t="shared" si="4"/>
        <v>52 (44 PAGAS)</v>
      </c>
      <c r="AL19" s="464" t="str">
        <f t="shared" si="4"/>
        <v>55 (41 PAGAS)</v>
      </c>
      <c r="AM19" s="367" t="str">
        <f t="shared" si="4"/>
        <v>58 (38 PAGAS)</v>
      </c>
    </row>
    <row r="21" spans="2:39" s="357" customFormat="1" ht="27.75" customHeight="1" x14ac:dyDescent="0.25">
      <c r="B21" s="358" t="s">
        <v>488</v>
      </c>
      <c r="AA21" s="358" t="s">
        <v>492</v>
      </c>
    </row>
    <row r="22" spans="2:39" ht="26.25" customHeight="1" x14ac:dyDescent="0.25">
      <c r="AA22" s="358" t="s">
        <v>499</v>
      </c>
    </row>
    <row r="23" spans="2:39" ht="24" customHeight="1" x14ac:dyDescent="0.25">
      <c r="AA23" s="358" t="s">
        <v>1300</v>
      </c>
    </row>
    <row r="24" spans="2:39" ht="16.5" customHeight="1" x14ac:dyDescent="0.25"/>
  </sheetData>
  <sheetProtection algorithmName="SHA-512" hashValue="pzJew3hbmNDw/8OInAxLoycdAcgeD/e9cLQpgR/Ytge2KHoVh87DBoyWKN2YW6ZpnX0EyaJwpPHPZMAytYswSQ==" saltValue="NgNIRN6El81H4FPfjOJlwA==" spinCount="100000" sheet="1" objects="1" scenarios="1"/>
  <mergeCells count="6">
    <mergeCell ref="AB2:AH2"/>
    <mergeCell ref="B3:B4"/>
    <mergeCell ref="AA3:AA4"/>
    <mergeCell ref="C4:H4"/>
    <mergeCell ref="AB3:AB4"/>
    <mergeCell ref="AC4:AM4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8B73-7FEF-4098-BD08-2FB6B25003D8}">
  <sheetPr codeName="Planilha2">
    <tabColor rgb="FF002060"/>
  </sheetPr>
  <dimension ref="A1:FM413"/>
  <sheetViews>
    <sheetView showGridLines="0" topLeftCell="E4" workbookViewId="0">
      <pane xSplit="8" ySplit="7" topLeftCell="BV11" activePane="bottomRight" state="frozen"/>
      <selection activeCell="E4" sqref="E4"/>
      <selection pane="topRight" activeCell="M4" sqref="M4"/>
      <selection pane="bottomLeft" activeCell="E11" sqref="E11"/>
      <selection pane="bottomRight" activeCell="F21" sqref="F21"/>
    </sheetView>
  </sheetViews>
  <sheetFormatPr defaultRowHeight="15" x14ac:dyDescent="0.25"/>
  <cols>
    <col min="1" max="4" width="9.140625" style="204" hidden="1" customWidth="1"/>
    <col min="5" max="5" width="15" style="204" customWidth="1"/>
    <col min="6" max="6" width="12.42578125" style="242" customWidth="1"/>
    <col min="7" max="7" width="10.28515625" style="204" bestFit="1" customWidth="1"/>
    <col min="8" max="8" width="10.42578125" style="204" bestFit="1" customWidth="1"/>
    <col min="9" max="9" width="14.140625" style="204" customWidth="1"/>
    <col min="10" max="10" width="11.7109375" style="204" customWidth="1"/>
    <col min="11" max="11" width="10" style="204" bestFit="1" customWidth="1"/>
    <col min="12" max="12" width="12.28515625" style="204" customWidth="1"/>
    <col min="13" max="13" width="10" style="204" bestFit="1" customWidth="1"/>
    <col min="14" max="14" width="11.85546875" style="204" bestFit="1" customWidth="1"/>
    <col min="15" max="15" width="11.140625" style="204" bestFit="1" customWidth="1"/>
    <col min="16" max="16" width="10" style="204" bestFit="1" customWidth="1"/>
    <col min="17" max="17" width="14" style="204" customWidth="1"/>
    <col min="18" max="19" width="10" style="204" bestFit="1" customWidth="1"/>
    <col min="20" max="20" width="10.85546875" style="204" bestFit="1" customWidth="1"/>
    <col min="21" max="21" width="11.7109375" style="204" bestFit="1" customWidth="1"/>
    <col min="22" max="22" width="10" style="204" bestFit="1" customWidth="1"/>
    <col min="23" max="23" width="11.7109375" style="204" bestFit="1" customWidth="1"/>
    <col min="24" max="25" width="10" style="204" bestFit="1" customWidth="1"/>
    <col min="26" max="26" width="15" style="204" bestFit="1" customWidth="1"/>
    <col min="27" max="102" width="10" style="204" bestFit="1" customWidth="1"/>
    <col min="103" max="125" width="9.140625" style="204" customWidth="1"/>
    <col min="126" max="126" width="9.28515625" style="204" customWidth="1"/>
    <col min="127" max="150" width="9.140625" style="204" customWidth="1"/>
    <col min="151" max="151" width="9.140625" style="179" customWidth="1"/>
    <col min="152" max="154" width="9.140625" style="179" hidden="1" customWidth="1"/>
    <col min="155" max="155" width="16.42578125" style="179" hidden="1" customWidth="1"/>
    <col min="156" max="156" width="18.7109375" style="179" hidden="1" customWidth="1"/>
    <col min="157" max="157" width="8" style="179" hidden="1" customWidth="1"/>
    <col min="158" max="160" width="9.140625" style="204" hidden="1" customWidth="1"/>
    <col min="161" max="161" width="13.140625" style="204" hidden="1" customWidth="1"/>
    <col min="162" max="162" width="26.140625" style="244" hidden="1" customWidth="1"/>
    <col min="163" max="163" width="27.5703125" style="82" hidden="1" customWidth="1"/>
    <col min="164" max="164" width="14.7109375" style="82" hidden="1" customWidth="1"/>
    <col min="165" max="165" width="13.140625" style="82" hidden="1" customWidth="1"/>
    <col min="166" max="166" width="18.5703125" style="82" hidden="1" customWidth="1"/>
    <col min="167" max="168" width="9.140625" style="204" hidden="1" customWidth="1"/>
    <col min="169" max="169" width="10" style="243" hidden="1" customWidth="1"/>
    <col min="170" max="174" width="9.140625" style="204" customWidth="1"/>
    <col min="175" max="16384" width="9.140625" style="204"/>
  </cols>
  <sheetData>
    <row r="1" spans="5:169" customFormat="1" hidden="1" x14ac:dyDescent="0.25">
      <c r="F1" s="12"/>
      <c r="EU1" s="87"/>
      <c r="EV1" s="87"/>
      <c r="EW1" s="87"/>
      <c r="EX1" s="87"/>
      <c r="EY1" s="87"/>
      <c r="EZ1" s="87"/>
      <c r="FA1" s="87"/>
      <c r="FC1" s="27"/>
      <c r="FF1" s="67"/>
      <c r="FG1" s="6"/>
      <c r="FH1" s="6"/>
      <c r="FI1" s="101"/>
      <c r="FJ1" s="82"/>
      <c r="FK1" s="71"/>
      <c r="FM1" s="26"/>
    </row>
    <row r="2" spans="5:169" customFormat="1" hidden="1" x14ac:dyDescent="0.25">
      <c r="F2" s="12"/>
      <c r="EU2" s="87"/>
      <c r="EV2" s="87"/>
      <c r="EW2" s="87"/>
      <c r="EX2" s="87"/>
      <c r="EY2" s="87"/>
      <c r="EZ2" s="87"/>
      <c r="FA2" s="87"/>
      <c r="FC2" s="27"/>
      <c r="FF2" s="67"/>
      <c r="FG2" s="6"/>
      <c r="FH2" s="6"/>
      <c r="FI2" s="101"/>
      <c r="FJ2" s="82"/>
      <c r="FK2" s="71"/>
      <c r="FM2" s="26"/>
    </row>
    <row r="3" spans="5:169" customFormat="1" hidden="1" x14ac:dyDescent="0.25">
      <c r="F3" s="12"/>
      <c r="EU3" s="87"/>
      <c r="EV3" s="87"/>
      <c r="EW3" s="87"/>
      <c r="EX3" s="87"/>
      <c r="EY3" s="87"/>
      <c r="EZ3" s="87"/>
      <c r="FA3" s="87"/>
      <c r="FC3" s="27"/>
      <c r="FF3" s="67"/>
      <c r="FG3" s="6"/>
      <c r="FH3" s="6"/>
      <c r="FI3" s="101"/>
      <c r="FJ3" s="82"/>
      <c r="FK3" s="71"/>
      <c r="FM3" s="26"/>
    </row>
    <row r="4" spans="5:169" customFormat="1" ht="9" customHeight="1" thickBot="1" x14ac:dyDescent="0.3">
      <c r="F4" s="12"/>
      <c r="EU4" s="87"/>
      <c r="EV4" s="87"/>
      <c r="EW4" s="87"/>
      <c r="EX4" s="87"/>
      <c r="EY4" s="87"/>
      <c r="EZ4" s="87"/>
      <c r="FA4" s="87"/>
      <c r="FC4" s="27"/>
      <c r="FF4" s="67"/>
      <c r="FG4" s="6"/>
      <c r="FH4" s="6"/>
      <c r="FI4" s="101"/>
      <c r="FJ4" s="82"/>
      <c r="FK4" s="71"/>
      <c r="FM4" s="26"/>
    </row>
    <row r="5" spans="5:169" s="60" customFormat="1" ht="36" customHeight="1" thickBot="1" x14ac:dyDescent="0.3">
      <c r="F5" s="61"/>
      <c r="H5" s="633" t="s">
        <v>34</v>
      </c>
      <c r="I5" s="634"/>
      <c r="J5" s="63" t="s">
        <v>62</v>
      </c>
      <c r="K5" s="63" t="s">
        <v>36</v>
      </c>
      <c r="L5" s="63" t="s">
        <v>61</v>
      </c>
      <c r="M5" s="220"/>
      <c r="N5" s="221">
        <f>K6</f>
        <v>96</v>
      </c>
      <c r="O5" s="221">
        <f ca="1">T7/30</f>
        <v>1.7</v>
      </c>
      <c r="P5" s="220"/>
      <c r="Q5" s="220"/>
      <c r="R5" s="220"/>
      <c r="S5" s="220"/>
      <c r="T5" s="220">
        <f ca="1">N7-O7</f>
        <v>21</v>
      </c>
      <c r="U5" s="220">
        <f ca="1">T5/30</f>
        <v>0.7</v>
      </c>
      <c r="V5" s="221">
        <f ca="1">O5-U5</f>
        <v>1</v>
      </c>
      <c r="W5" s="220">
        <f ca="1">N5-(G9+U5)</f>
        <v>94.3</v>
      </c>
      <c r="X5" s="220"/>
      <c r="Y5" s="220"/>
      <c r="Z5" s="220"/>
      <c r="AA5" s="220"/>
      <c r="AB5" s="220"/>
      <c r="AC5" s="220"/>
      <c r="EU5" s="142"/>
      <c r="EV5" s="142"/>
      <c r="EW5" s="142"/>
      <c r="EX5" s="142"/>
      <c r="EY5" s="142"/>
      <c r="EZ5" s="142"/>
      <c r="FA5" s="142"/>
      <c r="FC5" s="62"/>
      <c r="FF5" s="85"/>
      <c r="FG5" s="83"/>
      <c r="FH5" s="83"/>
      <c r="FI5" s="152"/>
      <c r="FJ5" s="84"/>
      <c r="FK5" s="72"/>
      <c r="FM5" s="190"/>
    </row>
    <row r="6" spans="5:169" customFormat="1" ht="16.5" customHeight="1" thickBot="1" x14ac:dyDescent="0.3">
      <c r="F6" s="12"/>
      <c r="H6" s="635" t="s">
        <v>42</v>
      </c>
      <c r="I6" s="636"/>
      <c r="J6" s="51">
        <f>VLOOKUP(H6,$FF:$FJ,2,0)</f>
        <v>1.8500000000000003E-2</v>
      </c>
      <c r="K6" s="52">
        <f>VLOOKUP(H6,$FF:$FI,3,FALSE)</f>
        <v>96</v>
      </c>
      <c r="L6" s="53">
        <f>VLOOKUP(H6,$FF:$FI,4,FALSE)</f>
        <v>1.5600000000000001E-2</v>
      </c>
      <c r="M6" s="222">
        <f>L6</f>
        <v>1.5600000000000001E-2</v>
      </c>
      <c r="N6" s="206">
        <f ca="1">K6-(AB7/30)</f>
        <v>94.3</v>
      </c>
      <c r="O6" s="207">
        <f>VLOOKUP(H6,'Base tabelas'!$A:$I,9,0)</f>
        <v>10</v>
      </c>
      <c r="P6" s="208" t="s">
        <v>304</v>
      </c>
      <c r="Q6" s="208" t="s">
        <v>307</v>
      </c>
      <c r="R6" s="209" t="s">
        <v>308</v>
      </c>
      <c r="S6" s="209" t="s">
        <v>309</v>
      </c>
      <c r="T6" s="209" t="s">
        <v>310</v>
      </c>
      <c r="U6" s="209" t="s">
        <v>311</v>
      </c>
      <c r="V6" s="209" t="s">
        <v>312</v>
      </c>
      <c r="W6" s="209"/>
      <c r="X6" s="209"/>
      <c r="Y6" s="209" t="s">
        <v>313</v>
      </c>
      <c r="Z6" s="209" t="s">
        <v>314</v>
      </c>
      <c r="AA6" s="206"/>
      <c r="AB6" s="206" t="s">
        <v>315</v>
      </c>
      <c r="AC6" s="206"/>
      <c r="EU6" s="87"/>
      <c r="EV6" s="87"/>
      <c r="EW6" s="87"/>
      <c r="EX6" s="87"/>
      <c r="EY6" s="87"/>
      <c r="EZ6" s="87"/>
      <c r="FA6" s="87"/>
      <c r="FC6" s="27"/>
      <c r="FF6" s="67"/>
      <c r="FG6" s="6"/>
      <c r="FH6" s="6"/>
      <c r="FI6" s="101"/>
      <c r="FJ6" s="82"/>
      <c r="FK6" s="71"/>
      <c r="FM6" s="26"/>
    </row>
    <row r="7" spans="5:169" customFormat="1" ht="15" customHeight="1" x14ac:dyDescent="0.25">
      <c r="F7" s="637" t="s">
        <v>47</v>
      </c>
      <c r="M7" s="206"/>
      <c r="N7" s="211">
        <f ca="1">IF(DAY(O7)&gt;=O6,EDATE(O7-DAY(O7)+O6,1),EDATE(O7-DAY(O7)+O6,0))</f>
        <v>46183</v>
      </c>
      <c r="O7" s="211">
        <f ca="1">'CALCULAR SALDO APROXIMADO '!H54</f>
        <v>46162</v>
      </c>
      <c r="P7" s="212">
        <f ca="1">VLOOKUP(O7,CALENDARIO!$C:$G,5,FALSE)</f>
        <v>13</v>
      </c>
      <c r="Q7" s="223">
        <f>_xlfn.NUMBERVALUE(VLOOKUP(H6,'Base tabelas'!$A:$N,14,FALSE))</f>
        <v>3</v>
      </c>
      <c r="R7" s="214">
        <f>VLOOKUP(H6,'Base tabelas'!$A:$M,13,FALSE)</f>
        <v>3</v>
      </c>
      <c r="S7" s="224"/>
      <c r="T7" s="213">
        <f ca="1">IF(Q7=3,Y7,Z7)-O7</f>
        <v>51</v>
      </c>
      <c r="U7" s="214">
        <f ca="1">_xlfn.NUMBERVALUE(DAY(O7))</f>
        <v>20</v>
      </c>
      <c r="V7" s="214">
        <f>_xlfn.NUMBERVALUE(R7)</f>
        <v>3</v>
      </c>
      <c r="W7" s="215" t="str">
        <f ca="1">IF(DAY(O7)&gt;O6,"ALEM VENCIMENTO","")</f>
        <v>ALEM VENCIMENTO</v>
      </c>
      <c r="X7" s="216" t="str">
        <f>IF(AND(Q7=2,R7&gt;=28),"FINAL MÊS","")</f>
        <v/>
      </c>
      <c r="Y7" s="211">
        <f ca="1">IF(Q7=3,IF(AND(P7&gt;=R7,U7&lt;AA7),EDATE(N7,2),IF(AND(U7&gt;=AA7),EDATE(N7,1),EDATE(N7,1))))</f>
        <v>46213</v>
      </c>
      <c r="Z7" s="217">
        <f ca="1">IF(AND(Q7=2,X7&lt;&gt;"FINAL MÊS",U7&lt;=V7,U7&gt;=AA7),EDATE(N7,0),IF(AND(Q7=2,X7&lt;&gt;"FINAL MÊS",U7&lt;=V7,U7&lt;AA7),EDATE(N7,1),IF(AND(Q7=2,X7&lt;&gt;"FINAL MÊS",U7&gt;V7,U7&gt;=AA7),EDATE(N7,1),IF(AND(Q7=2,X7&lt;&gt;"FINAL MÊS",U7&gt;V7,U7&lt;AA7),EDATE(N7,2),IF(AND(X7="FINAL MÊS",U7&gt;AA7,U7&lt;V7),EDATE(N7,1),IF(AND(X7="FINAL MÊS",U7&lt;=V7,U7&gt;=AA7),EDATE(N7,1),EDATE(N7,2)))))))</f>
        <v>46244</v>
      </c>
      <c r="AA7" s="218">
        <f>_xlfn.NUMBERVALUE(O6)</f>
        <v>10</v>
      </c>
      <c r="AB7" s="219">
        <f ca="1">T7</f>
        <v>51</v>
      </c>
      <c r="AC7" s="206"/>
      <c r="EU7" s="87"/>
      <c r="EV7" s="87"/>
      <c r="EW7" s="87"/>
      <c r="EX7" s="87"/>
      <c r="EY7" s="87"/>
      <c r="EZ7" s="87"/>
      <c r="FA7" s="87"/>
      <c r="FC7" s="27"/>
      <c r="FF7" s="67"/>
      <c r="FG7" s="6"/>
      <c r="FH7" s="6"/>
      <c r="FI7" s="101"/>
      <c r="FJ7" s="82"/>
      <c r="FK7" s="71"/>
      <c r="FM7" s="26"/>
    </row>
    <row r="8" spans="5:169" customFormat="1" ht="15.75" thickBot="1" x14ac:dyDescent="0.3">
      <c r="F8" s="638"/>
      <c r="G8" s="153"/>
      <c r="H8" s="153"/>
      <c r="I8" s="153"/>
      <c r="J8" s="153"/>
      <c r="K8" s="153"/>
      <c r="L8" s="153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87"/>
      <c r="EV8" s="87"/>
      <c r="EW8" s="87"/>
      <c r="EX8" s="87"/>
      <c r="EY8" s="87"/>
      <c r="EZ8" s="87"/>
      <c r="FA8" s="87"/>
      <c r="FC8" s="27"/>
      <c r="FF8" s="67"/>
      <c r="FG8" s="6"/>
      <c r="FH8" s="6"/>
      <c r="FI8" s="101"/>
      <c r="FJ8" s="82"/>
      <c r="FK8" s="71"/>
      <c r="FM8" s="26"/>
    </row>
    <row r="9" spans="5:169" s="29" customFormat="1" ht="26.25" thickBot="1" x14ac:dyDescent="0.3">
      <c r="E9" s="75" t="s">
        <v>234</v>
      </c>
      <c r="F9" s="639" t="s">
        <v>28</v>
      </c>
      <c r="G9" s="47">
        <v>1</v>
      </c>
      <c r="H9" s="48">
        <f>IF($K$6-G9&gt;0,G9+1,$K$6)</f>
        <v>2</v>
      </c>
      <c r="I9" s="48">
        <f t="shared" ref="I9:BT9" si="0">IF($K$6-H9&gt;0,H9+1,$K$6)</f>
        <v>3</v>
      </c>
      <c r="J9" s="48">
        <f t="shared" si="0"/>
        <v>4</v>
      </c>
      <c r="K9" s="48">
        <f t="shared" si="0"/>
        <v>5</v>
      </c>
      <c r="L9" s="48">
        <f t="shared" si="0"/>
        <v>6</v>
      </c>
      <c r="M9" s="48">
        <f t="shared" si="0"/>
        <v>7</v>
      </c>
      <c r="N9" s="48">
        <f t="shared" si="0"/>
        <v>8</v>
      </c>
      <c r="O9" s="48">
        <f t="shared" si="0"/>
        <v>9</v>
      </c>
      <c r="P9" s="48">
        <f t="shared" si="0"/>
        <v>10</v>
      </c>
      <c r="Q9" s="48">
        <f t="shared" si="0"/>
        <v>11</v>
      </c>
      <c r="R9" s="48">
        <f t="shared" si="0"/>
        <v>12</v>
      </c>
      <c r="S9" s="48">
        <f t="shared" si="0"/>
        <v>13</v>
      </c>
      <c r="T9" s="48">
        <f t="shared" si="0"/>
        <v>14</v>
      </c>
      <c r="U9" s="48">
        <f t="shared" si="0"/>
        <v>15</v>
      </c>
      <c r="V9" s="48">
        <f t="shared" si="0"/>
        <v>16</v>
      </c>
      <c r="W9" s="48">
        <f t="shared" si="0"/>
        <v>17</v>
      </c>
      <c r="X9" s="48">
        <f t="shared" si="0"/>
        <v>18</v>
      </c>
      <c r="Y9" s="193">
        <f t="shared" si="0"/>
        <v>19</v>
      </c>
      <c r="Z9" s="48">
        <f t="shared" si="0"/>
        <v>20</v>
      </c>
      <c r="AA9" s="48">
        <f t="shared" si="0"/>
        <v>21</v>
      </c>
      <c r="AB9" s="48">
        <f t="shared" si="0"/>
        <v>22</v>
      </c>
      <c r="AC9" s="48">
        <f t="shared" si="0"/>
        <v>23</v>
      </c>
      <c r="AD9" s="193">
        <f t="shared" si="0"/>
        <v>24</v>
      </c>
      <c r="AE9" s="48">
        <f t="shared" si="0"/>
        <v>25</v>
      </c>
      <c r="AF9" s="48">
        <f t="shared" si="0"/>
        <v>26</v>
      </c>
      <c r="AG9" s="48">
        <f t="shared" si="0"/>
        <v>27</v>
      </c>
      <c r="AH9" s="48">
        <f t="shared" si="0"/>
        <v>28</v>
      </c>
      <c r="AI9" s="48">
        <f t="shared" si="0"/>
        <v>29</v>
      </c>
      <c r="AJ9" s="48">
        <f t="shared" si="0"/>
        <v>30</v>
      </c>
      <c r="AK9" s="48">
        <f t="shared" si="0"/>
        <v>31</v>
      </c>
      <c r="AL9" s="48">
        <f t="shared" si="0"/>
        <v>32</v>
      </c>
      <c r="AM9" s="48">
        <f t="shared" si="0"/>
        <v>33</v>
      </c>
      <c r="AN9" s="48">
        <f t="shared" si="0"/>
        <v>34</v>
      </c>
      <c r="AO9" s="48">
        <f t="shared" si="0"/>
        <v>35</v>
      </c>
      <c r="AP9" s="48">
        <f t="shared" si="0"/>
        <v>36</v>
      </c>
      <c r="AQ9" s="48">
        <f t="shared" si="0"/>
        <v>37</v>
      </c>
      <c r="AR9" s="48">
        <f t="shared" si="0"/>
        <v>38</v>
      </c>
      <c r="AS9" s="48">
        <f t="shared" si="0"/>
        <v>39</v>
      </c>
      <c r="AT9" s="48">
        <f t="shared" si="0"/>
        <v>40</v>
      </c>
      <c r="AU9" s="48">
        <f t="shared" si="0"/>
        <v>41</v>
      </c>
      <c r="AV9" s="48">
        <f t="shared" si="0"/>
        <v>42</v>
      </c>
      <c r="AW9" s="48">
        <f t="shared" si="0"/>
        <v>43</v>
      </c>
      <c r="AX9" s="48">
        <f t="shared" si="0"/>
        <v>44</v>
      </c>
      <c r="AY9" s="48">
        <f t="shared" si="0"/>
        <v>45</v>
      </c>
      <c r="AZ9" s="48">
        <f t="shared" si="0"/>
        <v>46</v>
      </c>
      <c r="BA9" s="48">
        <f t="shared" si="0"/>
        <v>47</v>
      </c>
      <c r="BB9" s="48">
        <f t="shared" si="0"/>
        <v>48</v>
      </c>
      <c r="BC9" s="48">
        <f t="shared" si="0"/>
        <v>49</v>
      </c>
      <c r="BD9" s="49">
        <f t="shared" si="0"/>
        <v>50</v>
      </c>
      <c r="BE9" s="48">
        <f t="shared" si="0"/>
        <v>51</v>
      </c>
      <c r="BF9" s="48">
        <f t="shared" si="0"/>
        <v>52</v>
      </c>
      <c r="BG9" s="48">
        <f t="shared" si="0"/>
        <v>53</v>
      </c>
      <c r="BH9" s="48">
        <f t="shared" si="0"/>
        <v>54</v>
      </c>
      <c r="BI9" s="48">
        <f t="shared" si="0"/>
        <v>55</v>
      </c>
      <c r="BJ9" s="48">
        <f t="shared" si="0"/>
        <v>56</v>
      </c>
      <c r="BK9" s="48">
        <f t="shared" si="0"/>
        <v>57</v>
      </c>
      <c r="BL9" s="48">
        <f t="shared" si="0"/>
        <v>58</v>
      </c>
      <c r="BM9" s="48">
        <f t="shared" si="0"/>
        <v>59</v>
      </c>
      <c r="BN9" s="48">
        <f t="shared" si="0"/>
        <v>60</v>
      </c>
      <c r="BO9" s="48">
        <f t="shared" si="0"/>
        <v>61</v>
      </c>
      <c r="BP9" s="193">
        <f t="shared" si="0"/>
        <v>62</v>
      </c>
      <c r="BQ9" s="48">
        <f t="shared" si="0"/>
        <v>63</v>
      </c>
      <c r="BR9" s="48">
        <f t="shared" si="0"/>
        <v>64</v>
      </c>
      <c r="BS9" s="48">
        <f t="shared" si="0"/>
        <v>65</v>
      </c>
      <c r="BT9" s="48">
        <f t="shared" si="0"/>
        <v>66</v>
      </c>
      <c r="BU9" s="48">
        <f t="shared" ref="BU9:DV9" si="1">IF($K$6-BT9&gt;0,BT9+1,$K$6)</f>
        <v>67</v>
      </c>
      <c r="BV9" s="48">
        <f t="shared" si="1"/>
        <v>68</v>
      </c>
      <c r="BW9" s="48">
        <f t="shared" si="1"/>
        <v>69</v>
      </c>
      <c r="BX9" s="48">
        <f t="shared" si="1"/>
        <v>70</v>
      </c>
      <c r="BY9" s="48">
        <f t="shared" si="1"/>
        <v>71</v>
      </c>
      <c r="BZ9" s="48">
        <f t="shared" si="1"/>
        <v>72</v>
      </c>
      <c r="CA9" s="48">
        <f t="shared" si="1"/>
        <v>73</v>
      </c>
      <c r="CB9" s="48">
        <f t="shared" si="1"/>
        <v>74</v>
      </c>
      <c r="CC9" s="48">
        <f t="shared" si="1"/>
        <v>75</v>
      </c>
      <c r="CD9" s="48">
        <f t="shared" si="1"/>
        <v>76</v>
      </c>
      <c r="CE9" s="48">
        <f t="shared" si="1"/>
        <v>77</v>
      </c>
      <c r="CF9" s="48">
        <f t="shared" si="1"/>
        <v>78</v>
      </c>
      <c r="CG9" s="48">
        <f t="shared" si="1"/>
        <v>79</v>
      </c>
      <c r="CH9" s="48">
        <f t="shared" si="1"/>
        <v>80</v>
      </c>
      <c r="CI9" s="48">
        <f t="shared" si="1"/>
        <v>81</v>
      </c>
      <c r="CJ9" s="48">
        <f t="shared" si="1"/>
        <v>82</v>
      </c>
      <c r="CK9" s="48">
        <f t="shared" si="1"/>
        <v>83</v>
      </c>
      <c r="CL9" s="48">
        <f t="shared" si="1"/>
        <v>84</v>
      </c>
      <c r="CM9" s="48">
        <f t="shared" si="1"/>
        <v>85</v>
      </c>
      <c r="CN9" s="49">
        <f t="shared" si="1"/>
        <v>86</v>
      </c>
      <c r="CO9" s="48">
        <f t="shared" si="1"/>
        <v>87</v>
      </c>
      <c r="CP9" s="48">
        <f t="shared" si="1"/>
        <v>88</v>
      </c>
      <c r="CQ9" s="48">
        <f t="shared" si="1"/>
        <v>89</v>
      </c>
      <c r="CR9" s="48">
        <f t="shared" si="1"/>
        <v>90</v>
      </c>
      <c r="CS9" s="48">
        <f t="shared" si="1"/>
        <v>91</v>
      </c>
      <c r="CT9" s="48">
        <f t="shared" si="1"/>
        <v>92</v>
      </c>
      <c r="CU9" s="48">
        <f t="shared" si="1"/>
        <v>93</v>
      </c>
      <c r="CV9" s="48">
        <f t="shared" si="1"/>
        <v>94</v>
      </c>
      <c r="CW9" s="48">
        <f t="shared" si="1"/>
        <v>95</v>
      </c>
      <c r="CX9" s="48">
        <f t="shared" si="1"/>
        <v>96</v>
      </c>
      <c r="CY9" s="48">
        <f t="shared" si="1"/>
        <v>96</v>
      </c>
      <c r="CZ9" s="48">
        <f t="shared" si="1"/>
        <v>96</v>
      </c>
      <c r="DA9" s="48">
        <f t="shared" si="1"/>
        <v>96</v>
      </c>
      <c r="DB9" s="48">
        <f t="shared" si="1"/>
        <v>96</v>
      </c>
      <c r="DC9" s="48">
        <f t="shared" si="1"/>
        <v>96</v>
      </c>
      <c r="DD9" s="48">
        <f t="shared" si="1"/>
        <v>96</v>
      </c>
      <c r="DE9" s="48">
        <f t="shared" si="1"/>
        <v>96</v>
      </c>
      <c r="DF9" s="48">
        <f t="shared" si="1"/>
        <v>96</v>
      </c>
      <c r="DG9" s="48">
        <f t="shared" si="1"/>
        <v>96</v>
      </c>
      <c r="DH9" s="48">
        <f t="shared" si="1"/>
        <v>96</v>
      </c>
      <c r="DI9" s="48">
        <f t="shared" si="1"/>
        <v>96</v>
      </c>
      <c r="DJ9" s="48">
        <f t="shared" si="1"/>
        <v>96</v>
      </c>
      <c r="DK9" s="48">
        <f t="shared" si="1"/>
        <v>96</v>
      </c>
      <c r="DL9" s="48">
        <f t="shared" si="1"/>
        <v>96</v>
      </c>
      <c r="DM9" s="48">
        <f t="shared" si="1"/>
        <v>96</v>
      </c>
      <c r="DN9" s="48">
        <f t="shared" si="1"/>
        <v>96</v>
      </c>
      <c r="DO9" s="48">
        <f t="shared" si="1"/>
        <v>96</v>
      </c>
      <c r="DP9" s="48">
        <f t="shared" si="1"/>
        <v>96</v>
      </c>
      <c r="DQ9" s="48">
        <f t="shared" si="1"/>
        <v>96</v>
      </c>
      <c r="DR9" s="48">
        <f t="shared" si="1"/>
        <v>96</v>
      </c>
      <c r="DS9" s="48">
        <f t="shared" si="1"/>
        <v>96</v>
      </c>
      <c r="DT9" s="48">
        <f t="shared" si="1"/>
        <v>96</v>
      </c>
      <c r="DU9" s="48">
        <f t="shared" si="1"/>
        <v>96</v>
      </c>
      <c r="DV9" s="48">
        <f t="shared" si="1"/>
        <v>96</v>
      </c>
      <c r="DW9" s="48">
        <f t="shared" ref="DW9:ET9" si="2">IF($K$6-DV9&gt;0,DV9+1,$K$6)</f>
        <v>96</v>
      </c>
      <c r="DX9" s="48">
        <f t="shared" si="2"/>
        <v>96</v>
      </c>
      <c r="DY9" s="48">
        <f t="shared" si="2"/>
        <v>96</v>
      </c>
      <c r="DZ9" s="48">
        <f t="shared" si="2"/>
        <v>96</v>
      </c>
      <c r="EA9" s="48">
        <f t="shared" si="2"/>
        <v>96</v>
      </c>
      <c r="EB9" s="48">
        <f t="shared" si="2"/>
        <v>96</v>
      </c>
      <c r="EC9" s="48">
        <f t="shared" si="2"/>
        <v>96</v>
      </c>
      <c r="ED9" s="48">
        <f t="shared" si="2"/>
        <v>96</v>
      </c>
      <c r="EE9" s="48">
        <f t="shared" si="2"/>
        <v>96</v>
      </c>
      <c r="EF9" s="48">
        <f t="shared" si="2"/>
        <v>96</v>
      </c>
      <c r="EG9" s="48">
        <f t="shared" si="2"/>
        <v>96</v>
      </c>
      <c r="EH9" s="48">
        <f t="shared" si="2"/>
        <v>96</v>
      </c>
      <c r="EI9" s="48">
        <f t="shared" si="2"/>
        <v>96</v>
      </c>
      <c r="EJ9" s="48">
        <f t="shared" si="2"/>
        <v>96</v>
      </c>
      <c r="EK9" s="48">
        <f t="shared" si="2"/>
        <v>96</v>
      </c>
      <c r="EL9" s="48">
        <f t="shared" si="2"/>
        <v>96</v>
      </c>
      <c r="EM9" s="48">
        <f t="shared" si="2"/>
        <v>96</v>
      </c>
      <c r="EN9" s="48">
        <f t="shared" si="2"/>
        <v>96</v>
      </c>
      <c r="EO9" s="48">
        <f t="shared" si="2"/>
        <v>96</v>
      </c>
      <c r="EP9" s="48">
        <f t="shared" si="2"/>
        <v>96</v>
      </c>
      <c r="EQ9" s="48">
        <f t="shared" si="2"/>
        <v>96</v>
      </c>
      <c r="ER9" s="48">
        <f t="shared" si="2"/>
        <v>96</v>
      </c>
      <c r="ES9" s="48">
        <f t="shared" si="2"/>
        <v>96</v>
      </c>
      <c r="ET9" s="48">
        <f t="shared" si="2"/>
        <v>96</v>
      </c>
      <c r="EU9" s="143"/>
      <c r="EV9" s="143"/>
      <c r="EW9" s="143"/>
      <c r="EX9" s="143"/>
      <c r="EY9" s="143" t="s">
        <v>34</v>
      </c>
      <c r="EZ9" s="143" t="s">
        <v>3</v>
      </c>
      <c r="FA9" s="143" t="s">
        <v>35</v>
      </c>
      <c r="FB9" s="29" t="s">
        <v>36</v>
      </c>
      <c r="FC9" s="30" t="s">
        <v>39</v>
      </c>
      <c r="FF9" s="86"/>
      <c r="FI9" s="149"/>
      <c r="FJ9" s="73"/>
      <c r="FK9" s="68"/>
      <c r="FM9" s="191"/>
    </row>
    <row r="10" spans="5:169" s="29" customFormat="1" ht="23.25" customHeight="1" thickBot="1" x14ac:dyDescent="0.3">
      <c r="E10" s="76" t="s">
        <v>48</v>
      </c>
      <c r="F10" s="640"/>
      <c r="G10" s="47">
        <f>IF(G9&lt;=$K$6,$K$6-G9,"")</f>
        <v>95</v>
      </c>
      <c r="H10" s="48">
        <f t="shared" ref="H10:BS10" si="3">IF(H9&lt;=$K$6,$K$6-H9,"")</f>
        <v>94</v>
      </c>
      <c r="I10" s="48">
        <f t="shared" si="3"/>
        <v>93</v>
      </c>
      <c r="J10" s="48">
        <f t="shared" si="3"/>
        <v>92</v>
      </c>
      <c r="K10" s="48">
        <f t="shared" si="3"/>
        <v>91</v>
      </c>
      <c r="L10" s="48">
        <f t="shared" si="3"/>
        <v>90</v>
      </c>
      <c r="M10" s="48">
        <f t="shared" si="3"/>
        <v>89</v>
      </c>
      <c r="N10" s="48">
        <f t="shared" si="3"/>
        <v>88</v>
      </c>
      <c r="O10" s="48">
        <f t="shared" si="3"/>
        <v>87</v>
      </c>
      <c r="P10" s="48">
        <f t="shared" si="3"/>
        <v>86</v>
      </c>
      <c r="Q10" s="48">
        <f t="shared" si="3"/>
        <v>85</v>
      </c>
      <c r="R10" s="48">
        <f t="shared" si="3"/>
        <v>84</v>
      </c>
      <c r="S10" s="48">
        <f t="shared" si="3"/>
        <v>83</v>
      </c>
      <c r="T10" s="48">
        <f t="shared" si="3"/>
        <v>82</v>
      </c>
      <c r="U10" s="48">
        <f t="shared" si="3"/>
        <v>81</v>
      </c>
      <c r="V10" s="48">
        <f t="shared" si="3"/>
        <v>80</v>
      </c>
      <c r="W10" s="48">
        <f t="shared" si="3"/>
        <v>79</v>
      </c>
      <c r="X10" s="192">
        <f t="shared" si="3"/>
        <v>78</v>
      </c>
      <c r="Y10" s="194">
        <f t="shared" si="3"/>
        <v>77</v>
      </c>
      <c r="Z10" s="47">
        <f t="shared" si="3"/>
        <v>76</v>
      </c>
      <c r="AA10" s="48">
        <f t="shared" si="3"/>
        <v>75</v>
      </c>
      <c r="AB10" s="48">
        <f t="shared" si="3"/>
        <v>74</v>
      </c>
      <c r="AC10" s="192">
        <f t="shared" si="3"/>
        <v>73</v>
      </c>
      <c r="AD10" s="194">
        <f t="shared" si="3"/>
        <v>72</v>
      </c>
      <c r="AE10" s="47">
        <f t="shared" si="3"/>
        <v>71</v>
      </c>
      <c r="AF10" s="48">
        <f t="shared" si="3"/>
        <v>70</v>
      </c>
      <c r="AG10" s="48">
        <f t="shared" si="3"/>
        <v>69</v>
      </c>
      <c r="AH10" s="48">
        <f t="shared" si="3"/>
        <v>68</v>
      </c>
      <c r="AI10" s="48">
        <f t="shared" si="3"/>
        <v>67</v>
      </c>
      <c r="AJ10" s="48">
        <f t="shared" si="3"/>
        <v>66</v>
      </c>
      <c r="AK10" s="48">
        <f t="shared" si="3"/>
        <v>65</v>
      </c>
      <c r="AL10" s="48">
        <f t="shared" si="3"/>
        <v>64</v>
      </c>
      <c r="AM10" s="50">
        <f t="shared" si="3"/>
        <v>63</v>
      </c>
      <c r="AN10" s="48">
        <f t="shared" si="3"/>
        <v>62</v>
      </c>
      <c r="AO10" s="48">
        <f t="shared" si="3"/>
        <v>61</v>
      </c>
      <c r="AP10" s="48">
        <f t="shared" si="3"/>
        <v>60</v>
      </c>
      <c r="AQ10" s="48">
        <f t="shared" si="3"/>
        <v>59</v>
      </c>
      <c r="AR10" s="48">
        <f t="shared" si="3"/>
        <v>58</v>
      </c>
      <c r="AS10" s="48">
        <f t="shared" si="3"/>
        <v>57</v>
      </c>
      <c r="AT10" s="48">
        <f t="shared" si="3"/>
        <v>56</v>
      </c>
      <c r="AU10" s="48">
        <f t="shared" si="3"/>
        <v>55</v>
      </c>
      <c r="AV10" s="48">
        <f t="shared" si="3"/>
        <v>54</v>
      </c>
      <c r="AW10" s="48">
        <f t="shared" si="3"/>
        <v>53</v>
      </c>
      <c r="AX10" s="48">
        <f t="shared" si="3"/>
        <v>52</v>
      </c>
      <c r="AY10" s="50">
        <f t="shared" si="3"/>
        <v>51</v>
      </c>
      <c r="AZ10" s="48">
        <f t="shared" si="3"/>
        <v>50</v>
      </c>
      <c r="BA10" s="48">
        <f t="shared" si="3"/>
        <v>49</v>
      </c>
      <c r="BB10" s="48">
        <f t="shared" si="3"/>
        <v>48</v>
      </c>
      <c r="BC10" s="48">
        <f t="shared" si="3"/>
        <v>47</v>
      </c>
      <c r="BD10" s="48">
        <f t="shared" si="3"/>
        <v>46</v>
      </c>
      <c r="BE10" s="48">
        <f t="shared" si="3"/>
        <v>45</v>
      </c>
      <c r="BF10" s="50">
        <f t="shared" si="3"/>
        <v>44</v>
      </c>
      <c r="BG10" s="48">
        <f t="shared" si="3"/>
        <v>43</v>
      </c>
      <c r="BH10" s="50">
        <f t="shared" si="3"/>
        <v>42</v>
      </c>
      <c r="BI10" s="48">
        <f t="shared" si="3"/>
        <v>41</v>
      </c>
      <c r="BJ10" s="48">
        <f t="shared" si="3"/>
        <v>40</v>
      </c>
      <c r="BK10" s="48">
        <f t="shared" si="3"/>
        <v>39</v>
      </c>
      <c r="BL10" s="48">
        <f t="shared" si="3"/>
        <v>38</v>
      </c>
      <c r="BM10" s="48">
        <f t="shared" si="3"/>
        <v>37</v>
      </c>
      <c r="BN10" s="48">
        <f t="shared" si="3"/>
        <v>36</v>
      </c>
      <c r="BO10" s="192">
        <f t="shared" si="3"/>
        <v>35</v>
      </c>
      <c r="BP10" s="194">
        <f t="shared" si="3"/>
        <v>34</v>
      </c>
      <c r="BQ10" s="47">
        <f t="shared" si="3"/>
        <v>33</v>
      </c>
      <c r="BR10" s="48">
        <f t="shared" si="3"/>
        <v>32</v>
      </c>
      <c r="BS10" s="48">
        <f t="shared" si="3"/>
        <v>31</v>
      </c>
      <c r="BT10" s="48">
        <f t="shared" ref="BT10:CQ10" si="4">IF(BT9&lt;=$K$6,$K$6-BT9,"")</f>
        <v>30</v>
      </c>
      <c r="BU10" s="48">
        <f t="shared" si="4"/>
        <v>29</v>
      </c>
      <c r="BV10" s="48">
        <f t="shared" si="4"/>
        <v>28</v>
      </c>
      <c r="BW10" s="48">
        <f t="shared" si="4"/>
        <v>27</v>
      </c>
      <c r="BX10" s="48">
        <f t="shared" si="4"/>
        <v>26</v>
      </c>
      <c r="BY10" s="48">
        <f t="shared" si="4"/>
        <v>25</v>
      </c>
      <c r="BZ10" s="48">
        <f t="shared" si="4"/>
        <v>24</v>
      </c>
      <c r="CA10" s="48">
        <f t="shared" si="4"/>
        <v>23</v>
      </c>
      <c r="CB10" s="48">
        <f t="shared" si="4"/>
        <v>22</v>
      </c>
      <c r="CC10" s="48">
        <f t="shared" si="4"/>
        <v>21</v>
      </c>
      <c r="CD10" s="48">
        <f t="shared" si="4"/>
        <v>20</v>
      </c>
      <c r="CE10" s="48">
        <f t="shared" si="4"/>
        <v>19</v>
      </c>
      <c r="CF10" s="48">
        <f t="shared" si="4"/>
        <v>18</v>
      </c>
      <c r="CG10" s="48">
        <f t="shared" si="4"/>
        <v>17</v>
      </c>
      <c r="CH10" s="48">
        <f t="shared" si="4"/>
        <v>16</v>
      </c>
      <c r="CI10" s="48">
        <f t="shared" si="4"/>
        <v>15</v>
      </c>
      <c r="CJ10" s="48">
        <f t="shared" si="4"/>
        <v>14</v>
      </c>
      <c r="CK10" s="48">
        <f t="shared" si="4"/>
        <v>13</v>
      </c>
      <c r="CL10" s="48">
        <f t="shared" si="4"/>
        <v>12</v>
      </c>
      <c r="CM10" s="48">
        <f t="shared" si="4"/>
        <v>11</v>
      </c>
      <c r="CN10" s="48">
        <f t="shared" si="4"/>
        <v>10</v>
      </c>
      <c r="CO10" s="48">
        <f t="shared" si="4"/>
        <v>9</v>
      </c>
      <c r="CP10" s="48">
        <f t="shared" si="4"/>
        <v>8</v>
      </c>
      <c r="CQ10" s="48">
        <f t="shared" si="4"/>
        <v>7</v>
      </c>
      <c r="CR10" s="48">
        <f t="shared" ref="CR10:DU10" si="5">IF(CR9&lt;=$K$6,$K$6-CR9,"")</f>
        <v>6</v>
      </c>
      <c r="CS10" s="48">
        <f t="shared" si="5"/>
        <v>5</v>
      </c>
      <c r="CT10" s="48">
        <f t="shared" si="5"/>
        <v>4</v>
      </c>
      <c r="CU10" s="48">
        <f t="shared" si="5"/>
        <v>3</v>
      </c>
      <c r="CV10" s="48">
        <f t="shared" si="5"/>
        <v>2</v>
      </c>
      <c r="CW10" s="48">
        <f t="shared" si="5"/>
        <v>1</v>
      </c>
      <c r="CX10" s="48">
        <f t="shared" si="5"/>
        <v>0</v>
      </c>
      <c r="CY10" s="48">
        <f t="shared" si="5"/>
        <v>0</v>
      </c>
      <c r="CZ10" s="48">
        <f t="shared" si="5"/>
        <v>0</v>
      </c>
      <c r="DA10" s="48">
        <f t="shared" si="5"/>
        <v>0</v>
      </c>
      <c r="DB10" s="48">
        <f t="shared" si="5"/>
        <v>0</v>
      </c>
      <c r="DC10" s="48">
        <f t="shared" si="5"/>
        <v>0</v>
      </c>
      <c r="DD10" s="48">
        <f t="shared" si="5"/>
        <v>0</v>
      </c>
      <c r="DE10" s="48">
        <f t="shared" si="5"/>
        <v>0</v>
      </c>
      <c r="DF10" s="48">
        <f t="shared" si="5"/>
        <v>0</v>
      </c>
      <c r="DG10" s="48">
        <f t="shared" si="5"/>
        <v>0</v>
      </c>
      <c r="DH10" s="48">
        <f t="shared" si="5"/>
        <v>0</v>
      </c>
      <c r="DI10" s="48">
        <f t="shared" si="5"/>
        <v>0</v>
      </c>
      <c r="DJ10" s="48">
        <f t="shared" si="5"/>
        <v>0</v>
      </c>
      <c r="DK10" s="48">
        <f t="shared" si="5"/>
        <v>0</v>
      </c>
      <c r="DL10" s="48">
        <f t="shared" si="5"/>
        <v>0</v>
      </c>
      <c r="DM10" s="48">
        <f t="shared" si="5"/>
        <v>0</v>
      </c>
      <c r="DN10" s="48">
        <f t="shared" si="5"/>
        <v>0</v>
      </c>
      <c r="DO10" s="48">
        <f t="shared" si="5"/>
        <v>0</v>
      </c>
      <c r="DP10" s="48">
        <f t="shared" si="5"/>
        <v>0</v>
      </c>
      <c r="DQ10" s="48">
        <f t="shared" si="5"/>
        <v>0</v>
      </c>
      <c r="DR10" s="48">
        <f t="shared" si="5"/>
        <v>0</v>
      </c>
      <c r="DS10" s="48">
        <f t="shared" si="5"/>
        <v>0</v>
      </c>
      <c r="DT10" s="48">
        <f t="shared" si="5"/>
        <v>0</v>
      </c>
      <c r="DU10" s="48">
        <f t="shared" si="5"/>
        <v>0</v>
      </c>
      <c r="DV10" s="48">
        <f t="shared" ref="DV10:ET10" si="6">IF(DV9&lt;=$K$6,$K$6-DV9,"")</f>
        <v>0</v>
      </c>
      <c r="DW10" s="48">
        <f t="shared" si="6"/>
        <v>0</v>
      </c>
      <c r="DX10" s="48">
        <f t="shared" si="6"/>
        <v>0</v>
      </c>
      <c r="DY10" s="48">
        <f t="shared" si="6"/>
        <v>0</v>
      </c>
      <c r="DZ10" s="48">
        <f t="shared" si="6"/>
        <v>0</v>
      </c>
      <c r="EA10" s="48">
        <f t="shared" si="6"/>
        <v>0</v>
      </c>
      <c r="EB10" s="48">
        <f t="shared" si="6"/>
        <v>0</v>
      </c>
      <c r="EC10" s="48">
        <f t="shared" si="6"/>
        <v>0</v>
      </c>
      <c r="ED10" s="48">
        <f t="shared" si="6"/>
        <v>0</v>
      </c>
      <c r="EE10" s="48">
        <f t="shared" si="6"/>
        <v>0</v>
      </c>
      <c r="EF10" s="48">
        <f t="shared" si="6"/>
        <v>0</v>
      </c>
      <c r="EG10" s="48">
        <f t="shared" si="6"/>
        <v>0</v>
      </c>
      <c r="EH10" s="48">
        <f t="shared" si="6"/>
        <v>0</v>
      </c>
      <c r="EI10" s="48">
        <f t="shared" si="6"/>
        <v>0</v>
      </c>
      <c r="EJ10" s="48">
        <f t="shared" si="6"/>
        <v>0</v>
      </c>
      <c r="EK10" s="48">
        <f t="shared" si="6"/>
        <v>0</v>
      </c>
      <c r="EL10" s="48">
        <f t="shared" si="6"/>
        <v>0</v>
      </c>
      <c r="EM10" s="48">
        <f t="shared" si="6"/>
        <v>0</v>
      </c>
      <c r="EN10" s="48">
        <f t="shared" si="6"/>
        <v>0</v>
      </c>
      <c r="EO10" s="48">
        <f t="shared" si="6"/>
        <v>0</v>
      </c>
      <c r="EP10" s="48">
        <f t="shared" si="6"/>
        <v>0</v>
      </c>
      <c r="EQ10" s="48">
        <f t="shared" si="6"/>
        <v>0</v>
      </c>
      <c r="ER10" s="48">
        <f t="shared" si="6"/>
        <v>0</v>
      </c>
      <c r="ES10" s="48">
        <f t="shared" si="6"/>
        <v>0</v>
      </c>
      <c r="ET10" s="48">
        <f t="shared" si="6"/>
        <v>0</v>
      </c>
      <c r="EU10" s="143"/>
      <c r="EV10" s="143"/>
      <c r="EW10" s="143"/>
      <c r="EX10" s="143"/>
      <c r="EY10" s="143" t="s">
        <v>34</v>
      </c>
      <c r="EZ10" s="143" t="s">
        <v>3</v>
      </c>
      <c r="FA10" s="143" t="s">
        <v>35</v>
      </c>
      <c r="FB10" s="29" t="s">
        <v>36</v>
      </c>
      <c r="FC10" s="30" t="s">
        <v>39</v>
      </c>
      <c r="FD10" s="29" t="s">
        <v>60</v>
      </c>
      <c r="FF10" s="697" t="s">
        <v>85</v>
      </c>
      <c r="FG10" s="698" t="s">
        <v>101</v>
      </c>
      <c r="FH10" s="698" t="s">
        <v>87</v>
      </c>
      <c r="FI10" s="699" t="s">
        <v>88</v>
      </c>
      <c r="FJ10" s="698" t="s">
        <v>96</v>
      </c>
      <c r="FK10" s="68"/>
      <c r="FM10" s="191" t="s">
        <v>104</v>
      </c>
    </row>
    <row r="11" spans="5:169" customFormat="1" x14ac:dyDescent="0.25">
      <c r="E11" s="77"/>
      <c r="F11" s="96">
        <f>VLOOKUP(H6,$FF:$FJ,5,FALSE)</f>
        <v>1.44E-2</v>
      </c>
      <c r="G11" s="79">
        <f>IF(G$9&lt;=$K$6,RATE($K$6,1,G38,0),"")</f>
        <v>1.849742711818065E-2</v>
      </c>
      <c r="H11" s="79">
        <f t="shared" ref="H11:BS12" si="7">IF(H$9&lt;=$K$6,RATE($K$6,1,H38,0),"")</f>
        <v>1.8492365654669631E-2</v>
      </c>
      <c r="I11" s="79">
        <f t="shared" si="7"/>
        <v>1.8484898814215975E-2</v>
      </c>
      <c r="J11" s="79">
        <f t="shared" si="7"/>
        <v>1.8475108643582636E-2</v>
      </c>
      <c r="K11" s="79">
        <f t="shared" si="7"/>
        <v>1.8463075974574982E-2</v>
      </c>
      <c r="L11" s="79">
        <f t="shared" si="7"/>
        <v>1.8448880372525341E-2</v>
      </c>
      <c r="M11" s="79">
        <f t="shared" si="7"/>
        <v>1.8432600090046509E-2</v>
      </c>
      <c r="N11" s="79">
        <f t="shared" si="7"/>
        <v>1.8414312025861742E-2</v>
      </c>
      <c r="O11" s="79">
        <f t="shared" si="7"/>
        <v>1.8394091688510961E-2</v>
      </c>
      <c r="P11" s="79">
        <f t="shared" si="7"/>
        <v>1.8372013164727918E-2</v>
      </c>
      <c r="Q11" s="79">
        <f t="shared" si="7"/>
        <v>1.834814909228151E-2</v>
      </c>
      <c r="R11" s="79">
        <f t="shared" si="7"/>
        <v>1.8322570637071389E-2</v>
      </c>
      <c r="S11" s="79">
        <f t="shared" si="7"/>
        <v>1.8295347474267382E-2</v>
      </c>
      <c r="T11" s="79">
        <f t="shared" si="7"/>
        <v>1.8266547773284885E-2</v>
      </c>
      <c r="U11" s="79">
        <f t="shared" si="7"/>
        <v>1.8236238186383844E-2</v>
      </c>
      <c r="V11" s="79">
        <f t="shared" si="7"/>
        <v>1.8204483840691118E-2</v>
      </c>
      <c r="W11" s="79">
        <f t="shared" si="7"/>
        <v>1.8171348333437948E-2</v>
      </c>
      <c r="X11" s="79">
        <f t="shared" si="7"/>
        <v>1.8136893730216451E-2</v>
      </c>
      <c r="Y11" s="79">
        <f t="shared" si="7"/>
        <v>1.810118056606045E-2</v>
      </c>
      <c r="Z11" s="79">
        <f t="shared" si="7"/>
        <v>1.8064267849158978E-2</v>
      </c>
      <c r="AA11" s="79">
        <f t="shared" si="7"/>
        <v>1.8026213067020576E-2</v>
      </c>
      <c r="AB11" s="79">
        <f t="shared" si="7"/>
        <v>1.7987072194906903E-2</v>
      </c>
      <c r="AC11" s="79">
        <f t="shared" si="7"/>
        <v>1.7946899706365389E-2</v>
      </c>
      <c r="AD11" s="79">
        <f t="shared" si="7"/>
        <v>1.7905748585692879E-2</v>
      </c>
      <c r="AE11" s="79">
        <f t="shared" si="7"/>
        <v>1.7863670342171286E-2</v>
      </c>
      <c r="AF11" s="79">
        <f t="shared" si="7"/>
        <v>1.7820715025920687E-2</v>
      </c>
      <c r="AG11" s="79">
        <f t="shared" si="7"/>
        <v>1.7776931245224892E-2</v>
      </c>
      <c r="AH11" s="79">
        <f t="shared" si="7"/>
        <v>1.7732366185186282E-2</v>
      </c>
      <c r="AI11" s="79">
        <f t="shared" si="7"/>
        <v>1.7687065627581201E-2</v>
      </c>
      <c r="AJ11" s="79">
        <f t="shared" si="7"/>
        <v>1.7641073971783341E-2</v>
      </c>
      <c r="AK11" s="79">
        <f t="shared" si="7"/>
        <v>1.7594434256639854E-2</v>
      </c>
      <c r="AL11" s="79">
        <f t="shared" si="7"/>
        <v>1.7547188183184195E-2</v>
      </c>
      <c r="AM11" s="79">
        <f t="shared" si="7"/>
        <v>1.7499376138077467E-2</v>
      </c>
      <c r="AN11" s="79">
        <f t="shared" si="7"/>
        <v>1.7451037217679616E-2</v>
      </c>
      <c r="AO11" s="79">
        <f t="shared" si="7"/>
        <v>1.7402209252653605E-2</v>
      </c>
      <c r="AP11" s="79">
        <f t="shared" si="7"/>
        <v>1.7352928833012371E-2</v>
      </c>
      <c r="AQ11" s="79">
        <f t="shared" si="7"/>
        <v>1.7303231333528995E-2</v>
      </c>
      <c r="AR11" s="79">
        <f t="shared" si="7"/>
        <v>1.7253150939426816E-2</v>
      </c>
      <c r="AS11" s="79">
        <f t="shared" si="7"/>
        <v>1.7202720672281919E-2</v>
      </c>
      <c r="AT11" s="79">
        <f t="shared" si="7"/>
        <v>1.715197241606671E-2</v>
      </c>
      <c r="AU11" s="79">
        <f t="shared" si="7"/>
        <v>1.7100936943273724E-2</v>
      </c>
      <c r="AV11" s="79">
        <f t="shared" si="7"/>
        <v>1.7049643941061413E-2</v>
      </c>
      <c r="AW11" s="79">
        <f t="shared" si="7"/>
        <v>1.6998122037368824E-2</v>
      </c>
      <c r="AX11" s="79">
        <f t="shared" si="7"/>
        <v>1.6946398826949396E-2</v>
      </c>
      <c r="AY11" s="79">
        <f t="shared" si="7"/>
        <v>1.6894500897278817E-2</v>
      </c>
      <c r="AZ11" s="79">
        <f t="shared" si="7"/>
        <v>1.6842453854296741E-2</v>
      </c>
      <c r="BA11" s="79">
        <f t="shared" si="7"/>
        <v>1.6790282347943736E-2</v>
      </c>
      <c r="BB11" s="79">
        <f t="shared" si="7"/>
        <v>1.673801009745943E-2</v>
      </c>
      <c r="BC11" s="79">
        <f t="shared" si="7"/>
        <v>1.6685659916412431E-2</v>
      </c>
      <c r="BD11" s="79">
        <f t="shared" si="7"/>
        <v>1.6633253737431776E-2</v>
      </c>
      <c r="BE11" s="79">
        <f t="shared" si="7"/>
        <v>1.6580812636618848E-2</v>
      </c>
      <c r="BF11" s="79">
        <f t="shared" si="7"/>
        <v>1.6528356857612881E-2</v>
      </c>
      <c r="BG11" s="79">
        <f t="shared" si="7"/>
        <v>1.6475905835295845E-2</v>
      </c>
      <c r="BH11" s="79">
        <f t="shared" si="7"/>
        <v>1.6423478219114905E-2</v>
      </c>
      <c r="BI11" s="79">
        <f t="shared" si="7"/>
        <v>1.6371091896010437E-2</v>
      </c>
      <c r="BJ11" s="79">
        <f t="shared" si="7"/>
        <v>1.6318764012936658E-2</v>
      </c>
      <c r="BK11" s="79">
        <f t="shared" si="7"/>
        <v>1.6266510998961876E-2</v>
      </c>
      <c r="BL11" s="79">
        <f t="shared" si="7"/>
        <v>1.6214348586942418E-2</v>
      </c>
      <c r="BM11" s="79">
        <f t="shared" si="7"/>
        <v>1.6162291834760197E-2</v>
      </c>
      <c r="BN11" s="79">
        <f t="shared" si="7"/>
        <v>1.6110355146120407E-2</v>
      </c>
      <c r="BO11" s="79">
        <f t="shared" si="7"/>
        <v>1.6058552290901924E-2</v>
      </c>
      <c r="BP11" s="79">
        <f t="shared" si="7"/>
        <v>1.6006896425062228E-2</v>
      </c>
      <c r="BQ11" s="79">
        <f t="shared" si="7"/>
        <v>1.5955400110088707E-2</v>
      </c>
      <c r="BR11" s="79">
        <f t="shared" si="7"/>
        <v>1.5904075332001749E-2</v>
      </c>
      <c r="BS11" s="79">
        <f t="shared" si="7"/>
        <v>1.5852933519905764E-2</v>
      </c>
      <c r="BT11" s="79">
        <f t="shared" ref="BT11:EE14" si="8">IF(BT$9&lt;=$K$6,RATE($K$6,1,BT38,0),"")</f>
        <v>1.5801985564091122E-2</v>
      </c>
      <c r="BU11" s="79">
        <f t="shared" si="8"/>
        <v>1.5751241833688666E-2</v>
      </c>
      <c r="BV11" s="79">
        <f t="shared" si="8"/>
        <v>1.5700712193880272E-2</v>
      </c>
      <c r="BW11" s="79">
        <f t="shared" si="8"/>
        <v>1.5650406022668043E-2</v>
      </c>
      <c r="BX11" s="79">
        <f t="shared" si="8"/>
        <v>1.5600332227206231E-2</v>
      </c>
      <c r="BY11" s="79">
        <f t="shared" si="8"/>
        <v>1.5550499259703237E-2</v>
      </c>
      <c r="BZ11" s="79">
        <f t="shared" si="8"/>
        <v>1.5500915132893698E-2</v>
      </c>
      <c r="CA11" s="79">
        <f t="shared" si="8"/>
        <v>1.5451587435092642E-2</v>
      </c>
      <c r="CB11" s="79">
        <f t="shared" si="8"/>
        <v>1.5402523344832995E-2</v>
      </c>
      <c r="CC11" s="79">
        <f t="shared" si="8"/>
        <v>1.5353729645094513E-2</v>
      </c>
      <c r="CD11" s="79">
        <f t="shared" si="8"/>
        <v>1.5305212737131474E-2</v>
      </c>
      <c r="CE11" s="79">
        <f t="shared" si="8"/>
        <v>1.5256978653905675E-2</v>
      </c>
      <c r="CF11" s="79">
        <f t="shared" si="8"/>
        <v>1.5209033073130932E-2</v>
      </c>
      <c r="CG11" s="79">
        <f t="shared" si="8"/>
        <v>1.5161381329938042E-2</v>
      </c>
      <c r="CH11" s="79">
        <f t="shared" si="8"/>
        <v>1.5114028429166837E-2</v>
      </c>
      <c r="CI11" s="79">
        <f t="shared" si="8"/>
        <v>1.5066979057293463E-2</v>
      </c>
      <c r="CJ11" s="79">
        <f t="shared" si="8"/>
        <v>1.5020237593999106E-2</v>
      </c>
      <c r="CK11" s="79">
        <f t="shared" si="8"/>
        <v>1.4973808123391096E-2</v>
      </c>
      <c r="CL11" s="79">
        <f t="shared" si="8"/>
        <v>1.4927694444881292E-2</v>
      </c>
      <c r="CM11" s="79">
        <f t="shared" si="8"/>
        <v>1.4881900083729527E-2</v>
      </c>
      <c r="CN11" s="79">
        <f t="shared" si="8"/>
        <v>1.4836428301263813E-2</v>
      </c>
      <c r="CO11" s="79">
        <f t="shared" si="8"/>
        <v>1.4791282104779971E-2</v>
      </c>
      <c r="CP11" s="79">
        <f t="shared" si="8"/>
        <v>1.4746464257132441E-2</v>
      </c>
      <c r="CQ11" s="79">
        <f t="shared" si="8"/>
        <v>1.4701977286021708E-2</v>
      </c>
      <c r="CR11" s="79">
        <f t="shared" si="8"/>
        <v>1.4657823492987533E-2</v>
      </c>
      <c r="CS11" s="79">
        <f t="shared" si="8"/>
        <v>1.4614004962115672E-2</v>
      </c>
      <c r="CT11" s="79">
        <f t="shared" si="8"/>
        <v>1.4570523568462578E-2</v>
      </c>
      <c r="CU11" s="79">
        <f t="shared" si="8"/>
        <v>1.452738098621098E-2</v>
      </c>
      <c r="CV11" s="79">
        <f t="shared" si="8"/>
        <v>1.4484578696559086E-2</v>
      </c>
      <c r="CW11" s="79">
        <f t="shared" si="8"/>
        <v>1.4442117995352059E-2</v>
      </c>
      <c r="CX11" s="79">
        <f t="shared" si="8"/>
        <v>1.4400000000464229E-2</v>
      </c>
      <c r="CY11" s="79">
        <f t="shared" si="8"/>
        <v>1.4400000000464229E-2</v>
      </c>
      <c r="CZ11" s="79">
        <f t="shared" si="8"/>
        <v>1.4400000000464229E-2</v>
      </c>
      <c r="DA11" s="79">
        <f t="shared" si="8"/>
        <v>1.4400000000464229E-2</v>
      </c>
      <c r="DB11" s="79">
        <f t="shared" si="8"/>
        <v>1.4400000000464229E-2</v>
      </c>
      <c r="DC11" s="79">
        <f t="shared" si="8"/>
        <v>1.4400000000464229E-2</v>
      </c>
      <c r="DD11" s="79">
        <f t="shared" si="8"/>
        <v>1.4400000000464229E-2</v>
      </c>
      <c r="DE11" s="79">
        <f t="shared" si="8"/>
        <v>1.4400000000464229E-2</v>
      </c>
      <c r="DF11" s="79">
        <f t="shared" si="8"/>
        <v>1.4400000000464229E-2</v>
      </c>
      <c r="DG11" s="79">
        <f t="shared" si="8"/>
        <v>1.4400000000464229E-2</v>
      </c>
      <c r="DH11" s="79">
        <f t="shared" si="8"/>
        <v>1.4400000000464229E-2</v>
      </c>
      <c r="DI11" s="79">
        <f t="shared" si="8"/>
        <v>1.4400000000464229E-2</v>
      </c>
      <c r="DJ11" s="79">
        <f t="shared" si="8"/>
        <v>1.4400000000464229E-2</v>
      </c>
      <c r="DK11" s="79">
        <f t="shared" si="8"/>
        <v>1.4400000000464229E-2</v>
      </c>
      <c r="DL11" s="79">
        <f t="shared" si="8"/>
        <v>1.4400000000464229E-2</v>
      </c>
      <c r="DM11" s="79">
        <f t="shared" si="8"/>
        <v>1.4400000000464229E-2</v>
      </c>
      <c r="DN11" s="79">
        <f t="shared" si="8"/>
        <v>1.4400000000464229E-2</v>
      </c>
      <c r="DO11" s="79">
        <f t="shared" si="8"/>
        <v>1.4400000000464229E-2</v>
      </c>
      <c r="DP11" s="79">
        <f t="shared" si="8"/>
        <v>1.4400000000464229E-2</v>
      </c>
      <c r="DQ11" s="79">
        <f t="shared" si="8"/>
        <v>1.4400000000464229E-2</v>
      </c>
      <c r="DR11" s="79">
        <f t="shared" si="8"/>
        <v>1.4400000000464229E-2</v>
      </c>
      <c r="DS11" s="79">
        <f t="shared" si="8"/>
        <v>1.4400000000464229E-2</v>
      </c>
      <c r="DT11" s="79">
        <f t="shared" si="8"/>
        <v>1.4400000000464229E-2</v>
      </c>
      <c r="DU11" s="79">
        <f t="shared" si="8"/>
        <v>1.4400000000464229E-2</v>
      </c>
      <c r="DV11" s="79">
        <f t="shared" si="8"/>
        <v>1.4400000000464229E-2</v>
      </c>
      <c r="DW11" s="79">
        <f t="shared" si="8"/>
        <v>1.4400000000464229E-2</v>
      </c>
      <c r="DX11" s="79">
        <f t="shared" si="8"/>
        <v>1.4400000000464229E-2</v>
      </c>
      <c r="DY11" s="79">
        <f t="shared" si="8"/>
        <v>1.4400000000464229E-2</v>
      </c>
      <c r="DZ11" s="79">
        <f t="shared" si="8"/>
        <v>1.4400000000464229E-2</v>
      </c>
      <c r="EA11" s="79">
        <f t="shared" si="8"/>
        <v>1.4400000000464229E-2</v>
      </c>
      <c r="EB11" s="79">
        <f t="shared" si="8"/>
        <v>1.4400000000464229E-2</v>
      </c>
      <c r="EC11" s="79">
        <f t="shared" si="8"/>
        <v>1.4400000000464229E-2</v>
      </c>
      <c r="ED11" s="79">
        <f t="shared" si="8"/>
        <v>1.4400000000464229E-2</v>
      </c>
      <c r="EE11" s="79">
        <f t="shared" si="8"/>
        <v>1.4400000000464229E-2</v>
      </c>
      <c r="EF11" s="79">
        <f t="shared" ref="EF11:ET13" si="9">IF(EF$9&lt;=$K$6,RATE($K$6,1,EF38,0),"")</f>
        <v>1.4400000000464229E-2</v>
      </c>
      <c r="EG11" s="79">
        <f t="shared" si="9"/>
        <v>1.4400000000464229E-2</v>
      </c>
      <c r="EH11" s="79">
        <f t="shared" si="9"/>
        <v>1.4400000000464229E-2</v>
      </c>
      <c r="EI11" s="79">
        <f t="shared" si="9"/>
        <v>1.4400000000464229E-2</v>
      </c>
      <c r="EJ11" s="79">
        <f t="shared" si="9"/>
        <v>1.4400000000464229E-2</v>
      </c>
      <c r="EK11" s="79">
        <f t="shared" si="9"/>
        <v>1.4400000000464229E-2</v>
      </c>
      <c r="EL11" s="79">
        <f t="shared" si="9"/>
        <v>1.4400000000464229E-2</v>
      </c>
      <c r="EM11" s="79">
        <f t="shared" si="9"/>
        <v>1.4400000000464229E-2</v>
      </c>
      <c r="EN11" s="79">
        <f t="shared" si="9"/>
        <v>1.4400000000464229E-2</v>
      </c>
      <c r="EO11" s="79">
        <f t="shared" si="9"/>
        <v>1.4400000000464229E-2</v>
      </c>
      <c r="EP11" s="79">
        <f t="shared" si="9"/>
        <v>1.4400000000464229E-2</v>
      </c>
      <c r="EQ11" s="79">
        <f t="shared" si="9"/>
        <v>1.4400000000464229E-2</v>
      </c>
      <c r="ER11" s="79">
        <f t="shared" si="9"/>
        <v>1.4400000000464229E-2</v>
      </c>
      <c r="ES11" s="79">
        <f t="shared" si="9"/>
        <v>1.4400000000464229E-2</v>
      </c>
      <c r="ET11" s="79">
        <f t="shared" si="9"/>
        <v>1.4400000000464229E-2</v>
      </c>
      <c r="EU11" s="87"/>
      <c r="EV11" s="87"/>
      <c r="EW11" s="87"/>
      <c r="EX11" s="87"/>
      <c r="EY11" s="87" t="s">
        <v>70</v>
      </c>
      <c r="EZ11" s="87"/>
      <c r="FA11" s="137">
        <v>1.6E-2</v>
      </c>
      <c r="FB11">
        <v>96</v>
      </c>
      <c r="FC11" s="27">
        <v>1.9E-2</v>
      </c>
      <c r="FF11" s="698" t="s">
        <v>319</v>
      </c>
      <c r="FG11" s="700">
        <v>2.1600000000000001E-2</v>
      </c>
      <c r="FH11" s="700">
        <v>96</v>
      </c>
      <c r="FI11" s="699">
        <v>1.61E-2</v>
      </c>
      <c r="FJ11" s="699">
        <v>1.34E-2</v>
      </c>
      <c r="FK11" s="71">
        <f>(FG11-FJ11)/18</f>
        <v>4.5555555555555562E-4</v>
      </c>
      <c r="FL11" t="e">
        <f>VLOOKUP(FF11,'SIMULADOR COM SALDO'!$BX$22:$CK$500,13,FALSE)</f>
        <v>#N/A</v>
      </c>
      <c r="FM11" s="166">
        <f>FI11-0.03%</f>
        <v>1.5799999999999998E-2</v>
      </c>
    </row>
    <row r="12" spans="5:169" customFormat="1" x14ac:dyDescent="0.25">
      <c r="E12" s="77"/>
      <c r="F12" s="97">
        <f>IF(F11&lt;$J$6,F11+VLOOKUP($H$6,$FF:$FK,6,FALSE),$J$6)</f>
        <v>1.4627777777777778E-2</v>
      </c>
      <c r="G12" s="79">
        <f t="shared" ref="G12:V28" si="10">IF(G$9&lt;=$K$6,RATE($K$6,1,G39,0),"")</f>
        <v>1.8497570592161582E-2</v>
      </c>
      <c r="H12" s="79">
        <f t="shared" si="10"/>
        <v>1.8492791858278016E-2</v>
      </c>
      <c r="I12" s="79">
        <f t="shared" si="10"/>
        <v>1.848574277071582E-2</v>
      </c>
      <c r="J12" s="79">
        <f t="shared" si="10"/>
        <v>1.8476501139244934E-2</v>
      </c>
      <c r="K12" s="79">
        <f t="shared" si="10"/>
        <v>1.8465143562948656E-2</v>
      </c>
      <c r="L12" s="79">
        <f t="shared" si="10"/>
        <v>1.8451745387033723E-2</v>
      </c>
      <c r="M12" s="79">
        <f t="shared" si="10"/>
        <v>1.8436380664363032E-2</v>
      </c>
      <c r="N12" s="79">
        <f t="shared" si="10"/>
        <v>1.8419122121523905E-2</v>
      </c>
      <c r="O12" s="79">
        <f t="shared" si="10"/>
        <v>1.8400041129243309E-2</v>
      </c>
      <c r="P12" s="79">
        <f t="shared" si="10"/>
        <v>1.8379207676957821E-2</v>
      </c>
      <c r="Q12" s="79">
        <f t="shared" si="10"/>
        <v>1.8356690351345038E-2</v>
      </c>
      <c r="R12" s="79">
        <f t="shared" si="10"/>
        <v>1.8332556318620651E-2</v>
      </c>
      <c r="S12" s="79">
        <f t="shared" si="10"/>
        <v>1.8306871310408975E-2</v>
      </c>
      <c r="T12" s="79">
        <f t="shared" si="10"/>
        <v>1.8279699612994225E-2</v>
      </c>
      <c r="U12" s="79">
        <f t="shared" si="10"/>
        <v>1.825110405976146E-2</v>
      </c>
      <c r="V12" s="79">
        <f t="shared" si="10"/>
        <v>1.8221146026640673E-2</v>
      </c>
      <c r="W12" s="79">
        <f t="shared" si="7"/>
        <v>1.8189885430369875E-2</v>
      </c>
      <c r="X12" s="79">
        <f t="shared" si="7"/>
        <v>1.8157380729397144E-2</v>
      </c>
      <c r="Y12" s="79">
        <f t="shared" si="7"/>
        <v>1.8123688927246154E-2</v>
      </c>
      <c r="Z12" s="79">
        <f t="shared" si="7"/>
        <v>1.8088865578175774E-2</v>
      </c>
      <c r="AA12" s="79">
        <f t="shared" si="7"/>
        <v>1.8052964794965588E-2</v>
      </c>
      <c r="AB12" s="79">
        <f t="shared" si="7"/>
        <v>1.8016039258672168E-2</v>
      </c>
      <c r="AC12" s="79">
        <f t="shared" si="7"/>
        <v>1.7978140230197247E-2</v>
      </c>
      <c r="AD12" s="79">
        <f t="shared" si="7"/>
        <v>1.7939317563522465E-2</v>
      </c>
      <c r="AE12" s="79">
        <f t="shared" si="7"/>
        <v>1.7899619720468874E-2</v>
      </c>
      <c r="AF12" s="79">
        <f t="shared" si="7"/>
        <v>1.7859093786841734E-2</v>
      </c>
      <c r="AG12" s="79">
        <f t="shared" si="7"/>
        <v>1.7817785489835404E-2</v>
      </c>
      <c r="AH12" s="79">
        <f t="shared" si="7"/>
        <v>1.7775739216570073E-2</v>
      </c>
      <c r="AI12" s="79">
        <f t="shared" si="7"/>
        <v>1.773299803364551E-2</v>
      </c>
      <c r="AJ12" s="79">
        <f t="shared" si="7"/>
        <v>1.7689603707597853E-2</v>
      </c>
      <c r="AK12" s="79">
        <f t="shared" si="7"/>
        <v>1.7645596726155881E-2</v>
      </c>
      <c r="AL12" s="79">
        <f t="shared" si="7"/>
        <v>1.7601016320194104E-2</v>
      </c>
      <c r="AM12" s="79">
        <f t="shared" si="7"/>
        <v>1.755590048629092E-2</v>
      </c>
      <c r="AN12" s="79">
        <f t="shared" si="7"/>
        <v>1.7510286009799973E-2</v>
      </c>
      <c r="AO12" s="79">
        <f t="shared" si="7"/>
        <v>1.7464208488355951E-2</v>
      </c>
      <c r="AP12" s="79">
        <f t="shared" si="7"/>
        <v>1.7417702355731094E-2</v>
      </c>
      <c r="AQ12" s="79">
        <f t="shared" si="7"/>
        <v>1.7370800905974114E-2</v>
      </c>
      <c r="AR12" s="79">
        <f t="shared" si="7"/>
        <v>1.7323536317760617E-2</v>
      </c>
      <c r="AS12" s="79">
        <f t="shared" si="7"/>
        <v>1.7275939678892904E-2</v>
      </c>
      <c r="AT12" s="79">
        <f t="shared" si="7"/>
        <v>1.7228041010889809E-2</v>
      </c>
      <c r="AU12" s="79">
        <f t="shared" si="7"/>
        <v>1.7179869293612107E-2</v>
      </c>
      <c r="AV12" s="79">
        <f t="shared" si="7"/>
        <v>1.7131452489872474E-2</v>
      </c>
      <c r="AW12" s="79">
        <f t="shared" si="7"/>
        <v>1.7082817569985261E-2</v>
      </c>
      <c r="AX12" s="79">
        <f t="shared" si="7"/>
        <v>1.7033990536211168E-2</v>
      </c>
      <c r="AY12" s="79">
        <f t="shared" si="7"/>
        <v>1.6984996447060266E-2</v>
      </c>
      <c r="AZ12" s="79">
        <f t="shared" si="7"/>
        <v>1.6935859441414857E-2</v>
      </c>
      <c r="BA12" s="79">
        <f t="shared" si="7"/>
        <v>1.6886602762441503E-2</v>
      </c>
      <c r="BB12" s="79">
        <f t="shared" si="7"/>
        <v>1.6837248781264001E-2</v>
      </c>
      <c r="BC12" s="79">
        <f t="shared" si="7"/>
        <v>1.6787819020366527E-2</v>
      </c>
      <c r="BD12" s="79">
        <f t="shared" si="7"/>
        <v>1.6738334176708634E-2</v>
      </c>
      <c r="BE12" s="79">
        <f t="shared" si="7"/>
        <v>1.6688814144526356E-2</v>
      </c>
      <c r="BF12" s="79">
        <f t="shared" si="7"/>
        <v>1.6639278037801953E-2</v>
      </c>
      <c r="BG12" s="79">
        <f t="shared" si="7"/>
        <v>1.658974421238776E-2</v>
      </c>
      <c r="BH12" s="79">
        <f t="shared" si="7"/>
        <v>1.6540230287765859E-2</v>
      </c>
      <c r="BI12" s="79">
        <f t="shared" si="7"/>
        <v>1.6490753168433951E-2</v>
      </c>
      <c r="BJ12" s="79">
        <f t="shared" si="7"/>
        <v>1.6441329064905148E-2</v>
      </c>
      <c r="BK12" s="79">
        <f t="shared" si="7"/>
        <v>1.6391973514313433E-2</v>
      </c>
      <c r="BL12" s="79">
        <f t="shared" si="7"/>
        <v>1.6342701400616576E-2</v>
      </c>
      <c r="BM12" s="79">
        <f t="shared" si="7"/>
        <v>1.6293526974391515E-2</v>
      </c>
      <c r="BN12" s="79">
        <f t="shared" si="7"/>
        <v>1.6244463872216366E-2</v>
      </c>
      <c r="BO12" s="79">
        <f t="shared" si="7"/>
        <v>1.6195525135636657E-2</v>
      </c>
      <c r="BP12" s="79">
        <f t="shared" si="7"/>
        <v>1.6146723229712258E-2</v>
      </c>
      <c r="BQ12" s="79">
        <f t="shared" si="7"/>
        <v>1.6098070061146472E-2</v>
      </c>
      <c r="BR12" s="79">
        <f t="shared" si="7"/>
        <v>1.6049576995993256E-2</v>
      </c>
      <c r="BS12" s="79">
        <f t="shared" si="7"/>
        <v>1.6001254876946751E-2</v>
      </c>
      <c r="BT12" s="79">
        <f t="shared" si="8"/>
        <v>1.5953114040212737E-2</v>
      </c>
      <c r="BU12" s="79">
        <f t="shared" si="8"/>
        <v>1.5905164331963904E-2</v>
      </c>
      <c r="BV12" s="79">
        <f t="shared" si="8"/>
        <v>1.5857415124384783E-2</v>
      </c>
      <c r="BW12" s="79">
        <f t="shared" si="8"/>
        <v>1.5809875331304381E-2</v>
      </c>
      <c r="BX12" s="79">
        <f t="shared" si="8"/>
        <v>1.5762553423427358E-2</v>
      </c>
      <c r="BY12" s="79">
        <f t="shared" si="8"/>
        <v>1.5715457443162727E-2</v>
      </c>
      <c r="BZ12" s="79">
        <f t="shared" si="8"/>
        <v>1.5668595019057548E-2</v>
      </c>
      <c r="CA12" s="79">
        <f t="shared" si="8"/>
        <v>1.5621973379840351E-2</v>
      </c>
      <c r="CB12" s="79">
        <f t="shared" si="8"/>
        <v>1.5575599368081854E-2</v>
      </c>
      <c r="CC12" s="79">
        <f t="shared" si="8"/>
        <v>1.5529479453474729E-2</v>
      </c>
      <c r="CD12" s="79">
        <f t="shared" si="8"/>
        <v>1.5483619745744305E-2</v>
      </c>
      <c r="CE12" s="79">
        <f t="shared" si="8"/>
        <v>1.5438026007190695E-2</v>
      </c>
      <c r="CF12" s="79">
        <f t="shared" si="8"/>
        <v>1.5392703664874632E-2</v>
      </c>
      <c r="CG12" s="79">
        <f t="shared" si="8"/>
        <v>1.5347657822450227E-2</v>
      </c>
      <c r="CH12" s="79">
        <f t="shared" si="8"/>
        <v>1.5302893271652013E-2</v>
      </c>
      <c r="CI12" s="79">
        <f t="shared" si="8"/>
        <v>1.525841450344528E-2</v>
      </c>
      <c r="CJ12" s="79">
        <f t="shared" si="8"/>
        <v>1.5214225718845059E-2</v>
      </c>
      <c r="CK12" s="79">
        <f t="shared" si="8"/>
        <v>1.5170330839411146E-2</v>
      </c>
      <c r="CL12" s="79">
        <f t="shared" si="8"/>
        <v>1.5126733517426286E-2</v>
      </c>
      <c r="CM12" s="79">
        <f t="shared" si="8"/>
        <v>1.5083437145767349E-2</v>
      </c>
      <c r="CN12" s="79">
        <f t="shared" si="8"/>
        <v>1.5040444867471562E-2</v>
      </c>
      <c r="CO12" s="79">
        <f t="shared" si="8"/>
        <v>1.4997759585009986E-2</v>
      </c>
      <c r="CP12" s="79">
        <f t="shared" si="8"/>
        <v>1.4955383969273648E-2</v>
      </c>
      <c r="CQ12" s="79">
        <f t="shared" si="8"/>
        <v>1.4913320468277473E-2</v>
      </c>
      <c r="CR12" s="79">
        <f t="shared" si="8"/>
        <v>1.4871571315592181E-2</v>
      </c>
      <c r="CS12" s="79">
        <f t="shared" si="8"/>
        <v>1.4830138538510928E-2</v>
      </c>
      <c r="CT12" s="79">
        <f t="shared" si="8"/>
        <v>1.4789023965953703E-2</v>
      </c>
      <c r="CU12" s="79">
        <f t="shared" si="8"/>
        <v>1.47482292361222E-2</v>
      </c>
      <c r="CV12" s="79">
        <f t="shared" si="8"/>
        <v>1.4707755803907258E-2</v>
      </c>
      <c r="CW12" s="79">
        <f t="shared" si="8"/>
        <v>1.466760494805756E-2</v>
      </c>
      <c r="CX12" s="79">
        <f t="shared" si="8"/>
        <v>1.462777777811596E-2</v>
      </c>
      <c r="CY12" s="79">
        <f t="shared" si="8"/>
        <v>1.462777777811596E-2</v>
      </c>
      <c r="CZ12" s="79">
        <f t="shared" si="8"/>
        <v>1.462777777811596E-2</v>
      </c>
      <c r="DA12" s="79">
        <f t="shared" si="8"/>
        <v>1.462777777811596E-2</v>
      </c>
      <c r="DB12" s="79">
        <f t="shared" si="8"/>
        <v>1.462777777811596E-2</v>
      </c>
      <c r="DC12" s="79">
        <f t="shared" si="8"/>
        <v>1.462777777811596E-2</v>
      </c>
      <c r="DD12" s="79">
        <f t="shared" si="8"/>
        <v>1.462777777811596E-2</v>
      </c>
      <c r="DE12" s="79">
        <f t="shared" si="8"/>
        <v>1.462777777811596E-2</v>
      </c>
      <c r="DF12" s="79">
        <f t="shared" si="8"/>
        <v>1.462777777811596E-2</v>
      </c>
      <c r="DG12" s="79">
        <f t="shared" si="8"/>
        <v>1.462777777811596E-2</v>
      </c>
      <c r="DH12" s="79">
        <f t="shared" si="8"/>
        <v>1.462777777811596E-2</v>
      </c>
      <c r="DI12" s="79">
        <f t="shared" si="8"/>
        <v>1.462777777811596E-2</v>
      </c>
      <c r="DJ12" s="79">
        <f t="shared" si="8"/>
        <v>1.462777777811596E-2</v>
      </c>
      <c r="DK12" s="79">
        <f t="shared" si="8"/>
        <v>1.462777777811596E-2</v>
      </c>
      <c r="DL12" s="79">
        <f t="shared" si="8"/>
        <v>1.462777777811596E-2</v>
      </c>
      <c r="DM12" s="79">
        <f t="shared" si="8"/>
        <v>1.462777777811596E-2</v>
      </c>
      <c r="DN12" s="79">
        <f t="shared" si="8"/>
        <v>1.462777777811596E-2</v>
      </c>
      <c r="DO12" s="79">
        <f t="shared" si="8"/>
        <v>1.462777777811596E-2</v>
      </c>
      <c r="DP12" s="79">
        <f t="shared" si="8"/>
        <v>1.462777777811596E-2</v>
      </c>
      <c r="DQ12" s="79">
        <f t="shared" si="8"/>
        <v>1.462777777811596E-2</v>
      </c>
      <c r="DR12" s="79">
        <f t="shared" si="8"/>
        <v>1.462777777811596E-2</v>
      </c>
      <c r="DS12" s="79">
        <f t="shared" si="8"/>
        <v>1.462777777811596E-2</v>
      </c>
      <c r="DT12" s="79">
        <f t="shared" si="8"/>
        <v>1.462777777811596E-2</v>
      </c>
      <c r="DU12" s="79">
        <f t="shared" si="8"/>
        <v>1.462777777811596E-2</v>
      </c>
      <c r="DV12" s="79">
        <f t="shared" si="8"/>
        <v>1.462777777811596E-2</v>
      </c>
      <c r="DW12" s="79">
        <f t="shared" si="8"/>
        <v>1.462777777811596E-2</v>
      </c>
      <c r="DX12" s="79">
        <f t="shared" si="8"/>
        <v>1.462777777811596E-2</v>
      </c>
      <c r="DY12" s="79">
        <f t="shared" si="8"/>
        <v>1.462777777811596E-2</v>
      </c>
      <c r="DZ12" s="79">
        <f t="shared" si="8"/>
        <v>1.462777777811596E-2</v>
      </c>
      <c r="EA12" s="79">
        <f t="shared" si="8"/>
        <v>1.462777777811596E-2</v>
      </c>
      <c r="EB12" s="79">
        <f t="shared" si="8"/>
        <v>1.462777777811596E-2</v>
      </c>
      <c r="EC12" s="79">
        <f t="shared" si="8"/>
        <v>1.462777777811596E-2</v>
      </c>
      <c r="ED12" s="79">
        <f t="shared" si="8"/>
        <v>1.462777777811596E-2</v>
      </c>
      <c r="EE12" s="79">
        <f t="shared" si="8"/>
        <v>1.462777777811596E-2</v>
      </c>
      <c r="EF12" s="79">
        <f t="shared" si="9"/>
        <v>1.462777777811596E-2</v>
      </c>
      <c r="EG12" s="79">
        <f t="shared" si="9"/>
        <v>1.462777777811596E-2</v>
      </c>
      <c r="EH12" s="79">
        <f t="shared" si="9"/>
        <v>1.462777777811596E-2</v>
      </c>
      <c r="EI12" s="79">
        <f t="shared" si="9"/>
        <v>1.462777777811596E-2</v>
      </c>
      <c r="EJ12" s="79">
        <f t="shared" si="9"/>
        <v>1.462777777811596E-2</v>
      </c>
      <c r="EK12" s="79">
        <f t="shared" si="9"/>
        <v>1.462777777811596E-2</v>
      </c>
      <c r="EL12" s="79">
        <f t="shared" si="9"/>
        <v>1.462777777811596E-2</v>
      </c>
      <c r="EM12" s="79">
        <f t="shared" si="9"/>
        <v>1.462777777811596E-2</v>
      </c>
      <c r="EN12" s="79">
        <f t="shared" si="9"/>
        <v>1.462777777811596E-2</v>
      </c>
      <c r="EO12" s="79">
        <f t="shared" si="9"/>
        <v>1.462777777811596E-2</v>
      </c>
      <c r="EP12" s="79">
        <f t="shared" si="9"/>
        <v>1.462777777811596E-2</v>
      </c>
      <c r="EQ12" s="79">
        <f t="shared" si="9"/>
        <v>1.462777777811596E-2</v>
      </c>
      <c r="ER12" s="79">
        <f t="shared" si="9"/>
        <v>1.462777777811596E-2</v>
      </c>
      <c r="ES12" s="79">
        <f t="shared" si="9"/>
        <v>1.462777777811596E-2</v>
      </c>
      <c r="ET12" s="79">
        <f t="shared" si="9"/>
        <v>1.462777777811596E-2</v>
      </c>
      <c r="EU12" s="87"/>
      <c r="EV12" s="87"/>
      <c r="EW12" s="87"/>
      <c r="EX12" s="87"/>
      <c r="EY12" s="87" t="s">
        <v>32</v>
      </c>
      <c r="EZ12" s="87"/>
      <c r="FA12" s="137">
        <v>1.61E-2</v>
      </c>
      <c r="FB12">
        <v>72</v>
      </c>
      <c r="FC12" s="27">
        <v>2.0500000000000001E-2</v>
      </c>
      <c r="FF12" s="698" t="s">
        <v>213</v>
      </c>
      <c r="FG12" s="700">
        <v>2.5000000000000001E-2</v>
      </c>
      <c r="FH12" s="700">
        <v>120</v>
      </c>
      <c r="FI12" s="699">
        <v>1.8000000000000002E-2</v>
      </c>
      <c r="FJ12" s="699">
        <v>1.6399999999999998E-2</v>
      </c>
      <c r="FK12" s="71">
        <f t="shared" ref="FK12:FK75" si="11">(FG12-FJ12)/18</f>
        <v>4.7777777777777798E-4</v>
      </c>
      <c r="FL12" t="e">
        <f>VLOOKUP(FF12,'SIMULADOR COM SALDO'!$BX$22:$CK$500,13,FALSE)</f>
        <v>#N/A</v>
      </c>
      <c r="FM12" s="166">
        <f t="shared" ref="FM12:FM75" si="12">FI12-0.03%</f>
        <v>1.77E-2</v>
      </c>
    </row>
    <row r="13" spans="5:169" customFormat="1" x14ac:dyDescent="0.25">
      <c r="E13" s="77"/>
      <c r="F13" s="97">
        <f t="shared" ref="F13:F29" si="13">IF(F12&lt;$J$6,F12+VLOOKUP($H$6,$FF:$FK,6,FALSE),$J$6)</f>
        <v>1.4855555555555556E-2</v>
      </c>
      <c r="G13" s="79">
        <f t="shared" si="10"/>
        <v>1.8497714002849015E-2</v>
      </c>
      <c r="H13" s="79">
        <f t="shared" ref="H13:BS16" si="14">IF(H$9&lt;=$K$6,RATE($K$6,1,H40,0),"")</f>
        <v>1.8493217816920506E-2</v>
      </c>
      <c r="I13" s="79">
        <f t="shared" si="14"/>
        <v>1.8486586135844633E-2</v>
      </c>
      <c r="J13" s="79">
        <f t="shared" si="14"/>
        <v>1.847789249413713E-2</v>
      </c>
      <c r="K13" s="79">
        <f t="shared" si="14"/>
        <v>1.8467209227365014E-2</v>
      </c>
      <c r="L13" s="79">
        <f t="shared" si="14"/>
        <v>1.8454607436676242E-2</v>
      </c>
      <c r="M13" s="79">
        <f t="shared" si="14"/>
        <v>1.8440156957522998E-2</v>
      </c>
      <c r="N13" s="79">
        <f t="shared" si="14"/>
        <v>1.8423926332403175E-2</v>
      </c>
      <c r="O13" s="79">
        <f t="shared" si="14"/>
        <v>1.8405982787443206E-2</v>
      </c>
      <c r="P13" s="79">
        <f t="shared" si="14"/>
        <v>1.8386392212641919E-2</v>
      </c>
      <c r="Q13" s="79">
        <f t="shared" si="14"/>
        <v>1.8365219145598053E-2</v>
      </c>
      <c r="R13" s="79">
        <f t="shared" si="14"/>
        <v>1.8342526758542289E-2</v>
      </c>
      <c r="S13" s="79">
        <f t="shared" si="14"/>
        <v>1.8318376848496878E-2</v>
      </c>
      <c r="T13" s="79">
        <f t="shared" si="14"/>
        <v>1.8292829830386562E-2</v>
      </c>
      <c r="U13" s="79">
        <f t="shared" si="14"/>
        <v>1.8265944732932023E-2</v>
      </c>
      <c r="V13" s="79">
        <f t="shared" si="14"/>
        <v>1.8237779197152203E-2</v>
      </c>
      <c r="W13" s="79">
        <f t="shared" si="14"/>
        <v>1.8208389477313024E-2</v>
      </c>
      <c r="X13" s="79">
        <f t="shared" si="14"/>
        <v>1.8177830444160877E-2</v>
      </c>
      <c r="Y13" s="79">
        <f t="shared" si="14"/>
        <v>1.8146155590283698E-2</v>
      </c>
      <c r="Z13" s="79">
        <f t="shared" si="14"/>
        <v>1.8113417037447649E-2</v>
      </c>
      <c r="AA13" s="79">
        <f t="shared" si="14"/>
        <v>1.807966554576242E-2</v>
      </c>
      <c r="AB13" s="79">
        <f t="shared" si="14"/>
        <v>1.8044950524534684E-2</v>
      </c>
      <c r="AC13" s="79">
        <f t="shared" si="14"/>
        <v>1.800932004467037E-2</v>
      </c>
      <c r="AD13" s="79">
        <f t="shared" si="14"/>
        <v>1.7972820852499367E-2</v>
      </c>
      <c r="AE13" s="79">
        <f t="shared" si="14"/>
        <v>1.7935498384892702E-2</v>
      </c>
      <c r="AF13" s="79">
        <f t="shared" si="14"/>
        <v>1.7897396785555186E-2</v>
      </c>
      <c r="AG13" s="79">
        <f t="shared" si="14"/>
        <v>1.785855892237902E-2</v>
      </c>
      <c r="AH13" s="79">
        <f t="shared" si="14"/>
        <v>1.7819026405748693E-2</v>
      </c>
      <c r="AI13" s="79">
        <f t="shared" si="14"/>
        <v>1.7778839607694958E-2</v>
      </c>
      <c r="AJ13" s="79">
        <f t="shared" si="14"/>
        <v>1.7738037681798994E-2</v>
      </c>
      <c r="AK13" s="79">
        <f t="shared" si="14"/>
        <v>1.7696658583756401E-2</v>
      </c>
      <c r="AL13" s="79">
        <f t="shared" si="14"/>
        <v>1.7654739092510502E-2</v>
      </c>
      <c r="AM13" s="79">
        <f t="shared" si="14"/>
        <v>1.7612314831875964E-2</v>
      </c>
      <c r="AN13" s="79">
        <f t="shared" si="14"/>
        <v>1.7569420292573256E-2</v>
      </c>
      <c r="AO13" s="79">
        <f t="shared" si="14"/>
        <v>1.7526088854603359E-2</v>
      </c>
      <c r="AP13" s="79">
        <f t="shared" si="14"/>
        <v>1.7482352809892375E-2</v>
      </c>
      <c r="AQ13" s="79">
        <f t="shared" si="14"/>
        <v>1.7438243385145588E-2</v>
      </c>
      <c r="AR13" s="79">
        <f t="shared" si="14"/>
        <v>1.7393790764850127E-2</v>
      </c>
      <c r="AS13" s="79">
        <f t="shared" si="14"/>
        <v>1.7349024114371045E-2</v>
      </c>
      <c r="AT13" s="79">
        <f t="shared" si="14"/>
        <v>1.7303971603092345E-2</v>
      </c>
      <c r="AU13" s="79">
        <f t="shared" si="14"/>
        <v>1.7258660427552416E-2</v>
      </c>
      <c r="AV13" s="79">
        <f t="shared" si="14"/>
        <v>1.7213116834533644E-2</v>
      </c>
      <c r="AW13" s="79">
        <f t="shared" si="14"/>
        <v>1.7167366144063723E-2</v>
      </c>
      <c r="AX13" s="79">
        <f t="shared" si="14"/>
        <v>1.7121432772294453E-2</v>
      </c>
      <c r="AY13" s="79">
        <f t="shared" si="14"/>
        <v>1.7075340254221243E-2</v>
      </c>
      <c r="AZ13" s="79">
        <f t="shared" si="14"/>
        <v>1.7029111266216101E-2</v>
      </c>
      <c r="BA13" s="79">
        <f t="shared" si="14"/>
        <v>1.6982767648344298E-2</v>
      </c>
      <c r="BB13" s="79">
        <f t="shared" si="14"/>
        <v>1.6936330426439442E-2</v>
      </c>
      <c r="BC13" s="79">
        <f t="shared" si="14"/>
        <v>1.6889819833916374E-2</v>
      </c>
      <c r="BD13" s="79">
        <f t="shared" si="14"/>
        <v>1.6843255333299435E-2</v>
      </c>
      <c r="BE13" s="79">
        <f t="shared" si="14"/>
        <v>1.6796655637448515E-2</v>
      </c>
      <c r="BF13" s="79">
        <f t="shared" si="14"/>
        <v>1.6750038730468084E-2</v>
      </c>
      <c r="BG13" s="79">
        <f t="shared" si="14"/>
        <v>1.6703421888283825E-2</v>
      </c>
      <c r="BH13" s="79">
        <f t="shared" si="14"/>
        <v>1.6656821698875845E-2</v>
      </c>
      <c r="BI13" s="79">
        <f t="shared" si="14"/>
        <v>1.6610254082157216E-2</v>
      </c>
      <c r="BJ13" s="79">
        <f t="shared" si="14"/>
        <v>1.6563734309488144E-2</v>
      </c>
      <c r="BK13" s="79">
        <f t="shared" si="14"/>
        <v>1.6517277022821464E-2</v>
      </c>
      <c r="BL13" s="79">
        <f t="shared" si="14"/>
        <v>1.6470896253469054E-2</v>
      </c>
      <c r="BM13" s="79">
        <f t="shared" si="14"/>
        <v>1.6424605440487881E-2</v>
      </c>
      <c r="BN13" s="79">
        <f t="shared" si="14"/>
        <v>1.6378417448680828E-2</v>
      </c>
      <c r="BO13" s="79">
        <f t="shared" si="14"/>
        <v>1.6332344586208979E-2</v>
      </c>
      <c r="BP13" s="79">
        <f t="shared" si="14"/>
        <v>1.6286398621815454E-2</v>
      </c>
      <c r="BQ13" s="79">
        <f t="shared" si="14"/>
        <v>1.6240590801659231E-2</v>
      </c>
      <c r="BR13" s="79">
        <f t="shared" si="14"/>
        <v>1.6194931865758454E-2</v>
      </c>
      <c r="BS13" s="79">
        <f t="shared" si="14"/>
        <v>1.6149432064047051E-2</v>
      </c>
      <c r="BT13" s="79">
        <f t="shared" si="8"/>
        <v>1.6104101172042154E-2</v>
      </c>
      <c r="BU13" s="79">
        <f t="shared" si="8"/>
        <v>1.6058948506128885E-2</v>
      </c>
      <c r="BV13" s="79">
        <f t="shared" si="8"/>
        <v>1.6013982938462665E-2</v>
      </c>
      <c r="BW13" s="79">
        <f t="shared" si="8"/>
        <v>1.5969212911493464E-2</v>
      </c>
      <c r="BX13" s="79">
        <f t="shared" si="8"/>
        <v>1.5924646452116133E-2</v>
      </c>
      <c r="BY13" s="79">
        <f t="shared" si="8"/>
        <v>1.5880291185450583E-2</v>
      </c>
      <c r="BZ13" s="79">
        <f t="shared" si="8"/>
        <v>1.5836154348257324E-2</v>
      </c>
      <c r="CA13" s="79">
        <f t="shared" si="8"/>
        <v>1.5792242801992415E-2</v>
      </c>
      <c r="CB13" s="79">
        <f t="shared" si="8"/>
        <v>1.574856304550858E-2</v>
      </c>
      <c r="CC13" s="79">
        <f t="shared" si="8"/>
        <v>1.5705121227405801E-2</v>
      </c>
      <c r="CD13" s="79">
        <f t="shared" si="8"/>
        <v>1.5661923158040478E-2</v>
      </c>
      <c r="CE13" s="79">
        <f t="shared" si="8"/>
        <v>1.5618974321196391E-2</v>
      </c>
      <c r="CF13" s="79">
        <f t="shared" si="8"/>
        <v>1.5576279885423807E-2</v>
      </c>
      <c r="CG13" s="79">
        <f t="shared" si="8"/>
        <v>1.5533844715056266E-2</v>
      </c>
      <c r="CH13" s="79">
        <f t="shared" si="8"/>
        <v>1.5491673380907066E-2</v>
      </c>
      <c r="CI13" s="79">
        <f t="shared" si="8"/>
        <v>1.5449770170653847E-2</v>
      </c>
      <c r="CJ13" s="79">
        <f t="shared" si="8"/>
        <v>1.5408139098920125E-2</v>
      </c>
      <c r="CK13" s="79">
        <f t="shared" si="8"/>
        <v>1.536678391705493E-2</v>
      </c>
      <c r="CL13" s="79">
        <f t="shared" si="8"/>
        <v>1.5325708122624437E-2</v>
      </c>
      <c r="CM13" s="79">
        <f t="shared" si="8"/>
        <v>1.5284914968614866E-2</v>
      </c>
      <c r="CN13" s="79">
        <f t="shared" si="8"/>
        <v>1.5244407472357677E-2</v>
      </c>
      <c r="CO13" s="79">
        <f t="shared" si="8"/>
        <v>1.5204188424184455E-2</v>
      </c>
      <c r="CP13" s="79">
        <f t="shared" si="8"/>
        <v>1.5164260395813719E-2</v>
      </c>
      <c r="CQ13" s="79">
        <f t="shared" si="8"/>
        <v>1.5124625748480534E-2</v>
      </c>
      <c r="CR13" s="79">
        <f t="shared" si="8"/>
        <v>1.5085286640813019E-2</v>
      </c>
      <c r="CS13" s="79">
        <f t="shared" si="8"/>
        <v>1.5046245036462751E-2</v>
      </c>
      <c r="CT13" s="79">
        <f t="shared" si="8"/>
        <v>1.5007502711495537E-2</v>
      </c>
      <c r="CU13" s="79">
        <f t="shared" si="8"/>
        <v>1.4969061261550003E-2</v>
      </c>
      <c r="CV13" s="79">
        <f t="shared" si="8"/>
        <v>1.4930922108766596E-2</v>
      </c>
      <c r="CW13" s="79">
        <f t="shared" si="8"/>
        <v>1.489308650849756E-2</v>
      </c>
      <c r="CX13" s="79">
        <f t="shared" si="8"/>
        <v>1.4855555555800573E-2</v>
      </c>
      <c r="CY13" s="79">
        <f t="shared" si="8"/>
        <v>1.4855555555800573E-2</v>
      </c>
      <c r="CZ13" s="79">
        <f t="shared" si="8"/>
        <v>1.4855555555800573E-2</v>
      </c>
      <c r="DA13" s="79">
        <f t="shared" si="8"/>
        <v>1.4855555555800573E-2</v>
      </c>
      <c r="DB13" s="79">
        <f t="shared" si="8"/>
        <v>1.4855555555800573E-2</v>
      </c>
      <c r="DC13" s="79">
        <f t="shared" si="8"/>
        <v>1.4855555555800573E-2</v>
      </c>
      <c r="DD13" s="79">
        <f t="shared" si="8"/>
        <v>1.4855555555800573E-2</v>
      </c>
      <c r="DE13" s="79">
        <f t="shared" si="8"/>
        <v>1.4855555555800573E-2</v>
      </c>
      <c r="DF13" s="79">
        <f t="shared" si="8"/>
        <v>1.4855555555800573E-2</v>
      </c>
      <c r="DG13" s="79">
        <f t="shared" si="8"/>
        <v>1.4855555555800573E-2</v>
      </c>
      <c r="DH13" s="79">
        <f t="shared" si="8"/>
        <v>1.4855555555800573E-2</v>
      </c>
      <c r="DI13" s="79">
        <f t="shared" si="8"/>
        <v>1.4855555555800573E-2</v>
      </c>
      <c r="DJ13" s="79">
        <f t="shared" si="8"/>
        <v>1.4855555555800573E-2</v>
      </c>
      <c r="DK13" s="79">
        <f t="shared" si="8"/>
        <v>1.4855555555800573E-2</v>
      </c>
      <c r="DL13" s="79">
        <f t="shared" si="8"/>
        <v>1.4855555555800573E-2</v>
      </c>
      <c r="DM13" s="79">
        <f t="shared" si="8"/>
        <v>1.4855555555800573E-2</v>
      </c>
      <c r="DN13" s="79">
        <f t="shared" si="8"/>
        <v>1.4855555555800573E-2</v>
      </c>
      <c r="DO13" s="79">
        <f t="shared" si="8"/>
        <v>1.4855555555800573E-2</v>
      </c>
      <c r="DP13" s="79">
        <f t="shared" si="8"/>
        <v>1.4855555555800573E-2</v>
      </c>
      <c r="DQ13" s="79">
        <f t="shared" si="8"/>
        <v>1.4855555555800573E-2</v>
      </c>
      <c r="DR13" s="79">
        <f t="shared" si="8"/>
        <v>1.4855555555800573E-2</v>
      </c>
      <c r="DS13" s="79">
        <f t="shared" si="8"/>
        <v>1.4855555555800573E-2</v>
      </c>
      <c r="DT13" s="79">
        <f t="shared" si="8"/>
        <v>1.4855555555800573E-2</v>
      </c>
      <c r="DU13" s="79">
        <f t="shared" si="8"/>
        <v>1.4855555555800573E-2</v>
      </c>
      <c r="DV13" s="79">
        <f t="shared" si="8"/>
        <v>1.4855555555800573E-2</v>
      </c>
      <c r="DW13" s="79">
        <f t="shared" si="8"/>
        <v>1.4855555555800573E-2</v>
      </c>
      <c r="DX13" s="79">
        <f t="shared" si="8"/>
        <v>1.4855555555800573E-2</v>
      </c>
      <c r="DY13" s="79">
        <f t="shared" si="8"/>
        <v>1.4855555555800573E-2</v>
      </c>
      <c r="DZ13" s="79">
        <f t="shared" si="8"/>
        <v>1.4855555555800573E-2</v>
      </c>
      <c r="EA13" s="79">
        <f t="shared" si="8"/>
        <v>1.4855555555800573E-2</v>
      </c>
      <c r="EB13" s="79">
        <f t="shared" si="8"/>
        <v>1.4855555555800573E-2</v>
      </c>
      <c r="EC13" s="79">
        <f t="shared" si="8"/>
        <v>1.4855555555800573E-2</v>
      </c>
      <c r="ED13" s="79">
        <f t="shared" si="8"/>
        <v>1.4855555555800573E-2</v>
      </c>
      <c r="EE13" s="79">
        <f t="shared" si="8"/>
        <v>1.4855555555800573E-2</v>
      </c>
      <c r="EF13" s="79">
        <f t="shared" si="9"/>
        <v>1.4855555555800573E-2</v>
      </c>
      <c r="EG13" s="79">
        <f t="shared" si="9"/>
        <v>1.4855555555800573E-2</v>
      </c>
      <c r="EH13" s="79">
        <f t="shared" si="9"/>
        <v>1.4855555555800573E-2</v>
      </c>
      <c r="EI13" s="79">
        <f t="shared" si="9"/>
        <v>1.4855555555800573E-2</v>
      </c>
      <c r="EJ13" s="79">
        <f t="shared" si="9"/>
        <v>1.4855555555800573E-2</v>
      </c>
      <c r="EK13" s="79">
        <f t="shared" si="9"/>
        <v>1.4855555555800573E-2</v>
      </c>
      <c r="EL13" s="79">
        <f t="shared" si="9"/>
        <v>1.4855555555800573E-2</v>
      </c>
      <c r="EM13" s="79">
        <f t="shared" si="9"/>
        <v>1.4855555555800573E-2</v>
      </c>
      <c r="EN13" s="79">
        <f t="shared" si="9"/>
        <v>1.4855555555800573E-2</v>
      </c>
      <c r="EO13" s="79">
        <f t="shared" si="9"/>
        <v>1.4855555555800573E-2</v>
      </c>
      <c r="EP13" s="79">
        <f t="shared" si="9"/>
        <v>1.4855555555800573E-2</v>
      </c>
      <c r="EQ13" s="79">
        <f t="shared" si="9"/>
        <v>1.4855555555800573E-2</v>
      </c>
      <c r="ER13" s="79">
        <f t="shared" si="9"/>
        <v>1.4855555555800573E-2</v>
      </c>
      <c r="ES13" s="79">
        <f t="shared" si="9"/>
        <v>1.4855555555800573E-2</v>
      </c>
      <c r="ET13" s="79">
        <f t="shared" si="9"/>
        <v>1.4855555555800573E-2</v>
      </c>
      <c r="EU13" s="87"/>
      <c r="EV13" s="87"/>
      <c r="EW13" s="87"/>
      <c r="EX13" s="87"/>
      <c r="EY13" s="87" t="s">
        <v>72</v>
      </c>
      <c r="EZ13" s="87"/>
      <c r="FA13" s="137">
        <v>1.6299999999999999E-2</v>
      </c>
      <c r="FB13">
        <v>72</v>
      </c>
      <c r="FC13" s="27">
        <v>1.95E-2</v>
      </c>
      <c r="FF13" s="698" t="s">
        <v>2994</v>
      </c>
      <c r="FG13" s="700">
        <v>2.5000000000000001E-2</v>
      </c>
      <c r="FH13" s="700">
        <v>120</v>
      </c>
      <c r="FI13" s="699">
        <v>1.6E-2</v>
      </c>
      <c r="FJ13" s="699">
        <v>1.3000000000000001E-2</v>
      </c>
      <c r="FK13" s="71">
        <f t="shared" si="11"/>
        <v>6.6666666666666664E-4</v>
      </c>
      <c r="FL13" t="e">
        <f>VLOOKUP(FF13,'SIMULADOR COM SALDO'!$BX$22:$CK$500,13,FALSE)</f>
        <v>#N/A</v>
      </c>
      <c r="FM13" s="166">
        <f t="shared" si="12"/>
        <v>1.5699999999999999E-2</v>
      </c>
    </row>
    <row r="14" spans="5:169" customFormat="1" x14ac:dyDescent="0.25">
      <c r="E14" s="77"/>
      <c r="F14" s="97">
        <f t="shared" si="13"/>
        <v>1.5083333333333334E-2</v>
      </c>
      <c r="G14" s="79">
        <f t="shared" si="10"/>
        <v>1.8497857350284985E-2</v>
      </c>
      <c r="H14" s="79">
        <f t="shared" si="14"/>
        <v>1.8493643530794104E-2</v>
      </c>
      <c r="I14" s="79">
        <f t="shared" si="14"/>
        <v>1.8487428910154386E-2</v>
      </c>
      <c r="J14" s="79">
        <f t="shared" si="14"/>
        <v>1.8479282709456341E-2</v>
      </c>
      <c r="K14" s="79">
        <f t="shared" si="14"/>
        <v>1.8469272970041396E-2</v>
      </c>
      <c r="L14" s="79">
        <f t="shared" si="14"/>
        <v>1.8457466525136915E-2</v>
      </c>
      <c r="M14" s="79">
        <f t="shared" si="14"/>
        <v>1.844392897517922E-2</v>
      </c>
      <c r="N14" s="79">
        <f t="shared" si="14"/>
        <v>1.8428724666658812E-2</v>
      </c>
      <c r="O14" s="79">
        <f t="shared" si="14"/>
        <v>1.8411916674325634E-2</v>
      </c>
      <c r="P14" s="79">
        <f t="shared" si="14"/>
        <v>1.8393566786588988E-2</v>
      </c>
      <c r="Q14" s="79">
        <f t="shared" si="14"/>
        <v>1.8373735493947878E-2</v>
      </c>
      <c r="R14" s="79">
        <f t="shared" si="14"/>
        <v>1.8352481980291692E-2</v>
      </c>
      <c r="S14" s="79">
        <f t="shared" si="14"/>
        <v>1.8329864116907207E-2</v>
      </c>
      <c r="T14" s="79">
        <f t="shared" si="14"/>
        <v>1.8305938459038742E-2</v>
      </c>
      <c r="U14" s="79">
        <f t="shared" si="14"/>
        <v>1.8280760244843475E-2</v>
      </c>
      <c r="V14" s="79">
        <f t="shared" si="14"/>
        <v>1.8254383396591772E-2</v>
      </c>
      <c r="W14" s="79">
        <f t="shared" si="14"/>
        <v>1.8226860523965726E-2</v>
      </c>
      <c r="X14" s="79">
        <f t="shared" si="14"/>
        <v>1.819824292931245E-2</v>
      </c>
      <c r="Y14" s="79">
        <f t="shared" si="14"/>
        <v>1.8168580614712725E-2</v>
      </c>
      <c r="Z14" s="79">
        <f t="shared" si="14"/>
        <v>1.8137922290731218E-2</v>
      </c>
      <c r="AA14" s="79">
        <f t="shared" si="14"/>
        <v>1.8106315386719467E-2</v>
      </c>
      <c r="AB14" s="79">
        <f t="shared" si="14"/>
        <v>1.807380606254538E-2</v>
      </c>
      <c r="AC14" s="79">
        <f t="shared" si="14"/>
        <v>1.8040439221631663E-2</v>
      </c>
      <c r="AD14" s="79">
        <f t="shared" si="14"/>
        <v>1.800625852518728E-2</v>
      </c>
      <c r="AE14" s="79">
        <f t="shared" si="14"/>
        <v>1.7971306407522359E-2</v>
      </c>
      <c r="AF14" s="79">
        <f t="shared" si="14"/>
        <v>1.7935624092342846E-2</v>
      </c>
      <c r="AG14" s="79">
        <f t="shared" si="14"/>
        <v>1.7899251609926354E-2</v>
      </c>
      <c r="AH14" s="79">
        <f t="shared" si="14"/>
        <v>1.7862227815080404E-2</v>
      </c>
      <c r="AI14" s="79">
        <f t="shared" si="14"/>
        <v>1.7824590405800436E-2</v>
      </c>
      <c r="AJ14" s="79">
        <f t="shared" si="14"/>
        <v>1.7786375942536108E-2</v>
      </c>
      <c r="AK14" s="79">
        <f t="shared" si="14"/>
        <v>1.7747619867990064E-2</v>
      </c>
      <c r="AL14" s="79">
        <f t="shared" si="14"/>
        <v>1.7708356527372116E-2</v>
      </c>
      <c r="AM14" s="79">
        <f t="shared" si="14"/>
        <v>1.7668619189038608E-2</v>
      </c>
      <c r="AN14" s="79">
        <f t="shared" si="14"/>
        <v>1.7628440065449492E-2</v>
      </c>
      <c r="AO14" s="79">
        <f t="shared" si="14"/>
        <v>1.7587850334381504E-2</v>
      </c>
      <c r="AP14" s="79">
        <f t="shared" si="14"/>
        <v>1.7546880160339201E-2</v>
      </c>
      <c r="AQ14" s="79">
        <f t="shared" si="14"/>
        <v>1.750555871610858E-2</v>
      </c>
      <c r="AR14" s="79">
        <f t="shared" si="14"/>
        <v>1.7463914204403453E-2</v>
      </c>
      <c r="AS14" s="79">
        <f t="shared" si="14"/>
        <v>1.742197387955793E-2</v>
      </c>
      <c r="AT14" s="79">
        <f t="shared" si="14"/>
        <v>1.7379764069219976E-2</v>
      </c>
      <c r="AU14" s="79">
        <f t="shared" si="14"/>
        <v>1.7337310196008225E-2</v>
      </c>
      <c r="AV14" s="79">
        <f t="shared" si="14"/>
        <v>1.72946367990915E-2</v>
      </c>
      <c r="AW14" s="79">
        <f t="shared" si="14"/>
        <v>1.725176755566156E-2</v>
      </c>
      <c r="AX14" s="79">
        <f t="shared" si="14"/>
        <v>1.7208725302263129E-2</v>
      </c>
      <c r="AY14" s="79">
        <f t="shared" si="14"/>
        <v>1.7165532055956528E-2</v>
      </c>
      <c r="AZ14" s="79">
        <f t="shared" si="14"/>
        <v>1.7122209035284382E-2</v>
      </c>
      <c r="BA14" s="79">
        <f t="shared" si="14"/>
        <v>1.7078776681021236E-2</v>
      </c>
      <c r="BB14" s="79">
        <f t="shared" si="14"/>
        <v>1.7035254676682477E-2</v>
      </c>
      <c r="BC14" s="79">
        <f t="shared" si="14"/>
        <v>1.6991661968775197E-2</v>
      </c>
      <c r="BD14" s="79">
        <f t="shared" si="14"/>
        <v>1.6948016786773538E-2</v>
      </c>
      <c r="BE14" s="79">
        <f t="shared" si="14"/>
        <v>1.6904336662804009E-2</v>
      </c>
      <c r="BF14" s="79">
        <f t="shared" si="14"/>
        <v>1.6860638451025763E-2</v>
      </c>
      <c r="BG14" s="79">
        <f t="shared" si="14"/>
        <v>1.6816938346695877E-2</v>
      </c>
      <c r="BH14" s="79">
        <f t="shared" si="14"/>
        <v>1.6773251904909955E-2</v>
      </c>
      <c r="BI14" s="79">
        <f t="shared" si="14"/>
        <v>1.6729594059007594E-2</v>
      </c>
      <c r="BJ14" s="79">
        <f t="shared" si="14"/>
        <v>1.6685979138636647E-2</v>
      </c>
      <c r="BK14" s="79">
        <f t="shared" si="14"/>
        <v>1.664242088747122E-2</v>
      </c>
      <c r="BL14" s="79">
        <f t="shared" si="14"/>
        <v>1.6598932480576593E-2</v>
      </c>
      <c r="BM14" s="79">
        <f t="shared" si="14"/>
        <v>1.6555526541418765E-2</v>
      </c>
      <c r="BN14" s="79">
        <f t="shared" si="14"/>
        <v>1.6512215158516561E-2</v>
      </c>
      <c r="BO14" s="79">
        <f t="shared" si="14"/>
        <v>1.6469009901732466E-2</v>
      </c>
      <c r="BP14" s="79">
        <f t="shared" si="14"/>
        <v>1.6425921838203662E-2</v>
      </c>
      <c r="BQ14" s="79">
        <f t="shared" si="14"/>
        <v>1.6382961547911086E-2</v>
      </c>
      <c r="BR14" s="79">
        <f t="shared" si="14"/>
        <v>1.6340139138889622E-2</v>
      </c>
      <c r="BS14" s="79">
        <f t="shared" si="14"/>
        <v>1.6297464262077718E-2</v>
      </c>
      <c r="BT14" s="79">
        <f t="shared" si="8"/>
        <v>1.6254946125811021E-2</v>
      </c>
      <c r="BU14" s="79">
        <f t="shared" si="8"/>
        <v>1.6212593509960883E-2</v>
      </c>
      <c r="BV14" s="79">
        <f t="shared" si="8"/>
        <v>1.6170414779721694E-2</v>
      </c>
      <c r="BW14" s="79">
        <f t="shared" si="8"/>
        <v>1.6128417899048897E-2</v>
      </c>
      <c r="BX14" s="79">
        <f t="shared" si="8"/>
        <v>1.60866104437545E-2</v>
      </c>
      <c r="BY14" s="79">
        <f t="shared" si="8"/>
        <v>1.6044999614259467E-2</v>
      </c>
      <c r="BZ14" s="79">
        <f t="shared" si="8"/>
        <v>1.6003592248013305E-2</v>
      </c>
      <c r="CA14" s="79">
        <f t="shared" si="8"/>
        <v>1.5962394831580524E-2</v>
      </c>
      <c r="CB14" s="79">
        <f t="shared" si="8"/>
        <v>1.5921413512401523E-2</v>
      </c>
      <c r="CC14" s="79">
        <f t="shared" si="8"/>
        <v>1.5880654110233393E-2</v>
      </c>
      <c r="CD14" s="79">
        <f t="shared" si="8"/>
        <v>1.5840122128274452E-2</v>
      </c>
      <c r="CE14" s="79">
        <f t="shared" si="8"/>
        <v>1.5799822763978767E-2</v>
      </c>
      <c r="CF14" s="79">
        <f t="shared" si="8"/>
        <v>1.5759760919568305E-2</v>
      </c>
      <c r="CG14" s="79">
        <f t="shared" si="8"/>
        <v>1.5719941212244334E-2</v>
      </c>
      <c r="CH14" s="79">
        <f t="shared" si="8"/>
        <v>1.5680367984108171E-2</v>
      </c>
      <c r="CI14" s="79">
        <f t="shared" si="8"/>
        <v>1.5641045311794912E-2</v>
      </c>
      <c r="CJ14" s="79">
        <f t="shared" si="8"/>
        <v>1.5601977015826938E-2</v>
      </c>
      <c r="CK14" s="79">
        <f t="shared" si="8"/>
        <v>1.5563166669692645E-2</v>
      </c>
      <c r="CL14" s="79">
        <f t="shared" si="8"/>
        <v>1.5524617608657289E-2</v>
      </c>
      <c r="CM14" s="79">
        <f t="shared" si="8"/>
        <v>1.548633293831155E-2</v>
      </c>
      <c r="CN14" s="79">
        <f t="shared" si="8"/>
        <v>1.5448315542864089E-2</v>
      </c>
      <c r="CO14" s="79">
        <f t="shared" si="8"/>
        <v>1.5410568093183934E-2</v>
      </c>
      <c r="CP14" s="79">
        <f t="shared" si="8"/>
        <v>1.5373093054598006E-2</v>
      </c>
      <c r="CQ14" s="79">
        <f t="shared" si="8"/>
        <v>1.5335892694451972E-2</v>
      </c>
      <c r="CR14" s="79">
        <f t="shared" si="8"/>
        <v>1.5298969089438631E-2</v>
      </c>
      <c r="CS14" s="79">
        <f t="shared" si="8"/>
        <v>1.5262324132697404E-2</v>
      </c>
      <c r="CT14" s="79">
        <f t="shared" si="8"/>
        <v>1.5225959540698008E-2</v>
      </c>
      <c r="CU14" s="79">
        <f t="shared" si="8"/>
        <v>1.5189876859904593E-2</v>
      </c>
      <c r="CV14" s="79">
        <f t="shared" si="8"/>
        <v>1.5154077473233923E-2</v>
      </c>
      <c r="CW14" s="79">
        <f t="shared" si="8"/>
        <v>1.5118562606308152E-2</v>
      </c>
      <c r="CX14" s="79">
        <f t="shared" si="8"/>
        <v>1.5083333333510316E-2</v>
      </c>
      <c r="CY14" s="79">
        <f t="shared" si="8"/>
        <v>1.5083333333510316E-2</v>
      </c>
      <c r="CZ14" s="79">
        <f t="shared" si="8"/>
        <v>1.5083333333510316E-2</v>
      </c>
      <c r="DA14" s="79">
        <f t="shared" si="8"/>
        <v>1.5083333333510316E-2</v>
      </c>
      <c r="DB14" s="79">
        <f t="shared" si="8"/>
        <v>1.5083333333510316E-2</v>
      </c>
      <c r="DC14" s="79">
        <f t="shared" si="8"/>
        <v>1.5083333333510316E-2</v>
      </c>
      <c r="DD14" s="79">
        <f t="shared" si="8"/>
        <v>1.5083333333510316E-2</v>
      </c>
      <c r="DE14" s="79">
        <f t="shared" si="8"/>
        <v>1.5083333333510316E-2</v>
      </c>
      <c r="DF14" s="79">
        <f t="shared" si="8"/>
        <v>1.5083333333510316E-2</v>
      </c>
      <c r="DG14" s="79">
        <f t="shared" si="8"/>
        <v>1.5083333333510316E-2</v>
      </c>
      <c r="DH14" s="79">
        <f t="shared" si="8"/>
        <v>1.5083333333510316E-2</v>
      </c>
      <c r="DI14" s="79">
        <f t="shared" si="8"/>
        <v>1.5083333333510316E-2</v>
      </c>
      <c r="DJ14" s="79">
        <f t="shared" si="8"/>
        <v>1.5083333333510316E-2</v>
      </c>
      <c r="DK14" s="79">
        <f t="shared" si="8"/>
        <v>1.5083333333510316E-2</v>
      </c>
      <c r="DL14" s="79">
        <f t="shared" si="8"/>
        <v>1.5083333333510316E-2</v>
      </c>
      <c r="DM14" s="79">
        <f t="shared" si="8"/>
        <v>1.5083333333510316E-2</v>
      </c>
      <c r="DN14" s="79">
        <f t="shared" si="8"/>
        <v>1.5083333333510316E-2</v>
      </c>
      <c r="DO14" s="79">
        <f t="shared" si="8"/>
        <v>1.5083333333510316E-2</v>
      </c>
      <c r="DP14" s="79">
        <f t="shared" si="8"/>
        <v>1.5083333333510316E-2</v>
      </c>
      <c r="DQ14" s="79">
        <f t="shared" si="8"/>
        <v>1.5083333333510316E-2</v>
      </c>
      <c r="DR14" s="79">
        <f t="shared" si="8"/>
        <v>1.5083333333510316E-2</v>
      </c>
      <c r="DS14" s="79">
        <f t="shared" si="8"/>
        <v>1.5083333333510316E-2</v>
      </c>
      <c r="DT14" s="79">
        <f t="shared" si="8"/>
        <v>1.5083333333510316E-2</v>
      </c>
      <c r="DU14" s="79">
        <f t="shared" si="8"/>
        <v>1.5083333333510316E-2</v>
      </c>
      <c r="DV14" s="79">
        <f t="shared" si="8"/>
        <v>1.5083333333510316E-2</v>
      </c>
      <c r="DW14" s="79">
        <f t="shared" si="8"/>
        <v>1.5083333333510316E-2</v>
      </c>
      <c r="DX14" s="79">
        <f t="shared" si="8"/>
        <v>1.5083333333510316E-2</v>
      </c>
      <c r="DY14" s="79">
        <f t="shared" si="8"/>
        <v>1.5083333333510316E-2</v>
      </c>
      <c r="DZ14" s="79">
        <f t="shared" si="8"/>
        <v>1.5083333333510316E-2</v>
      </c>
      <c r="EA14" s="79">
        <f t="shared" si="8"/>
        <v>1.5083333333510316E-2</v>
      </c>
      <c r="EB14" s="79">
        <f t="shared" si="8"/>
        <v>1.5083333333510316E-2</v>
      </c>
      <c r="EC14" s="79">
        <f t="shared" si="8"/>
        <v>1.5083333333510316E-2</v>
      </c>
      <c r="ED14" s="79">
        <f t="shared" si="8"/>
        <v>1.5083333333510316E-2</v>
      </c>
      <c r="EE14" s="79">
        <f t="shared" ref="EE14:ET29" si="15">IF(EE$9&lt;=$K$6,RATE($K$6,1,EE41,0),"")</f>
        <v>1.5083333333510316E-2</v>
      </c>
      <c r="EF14" s="79">
        <f t="shared" si="15"/>
        <v>1.5083333333510316E-2</v>
      </c>
      <c r="EG14" s="79">
        <f t="shared" si="15"/>
        <v>1.5083333333510316E-2</v>
      </c>
      <c r="EH14" s="79">
        <f t="shared" si="15"/>
        <v>1.5083333333510316E-2</v>
      </c>
      <c r="EI14" s="79">
        <f t="shared" si="15"/>
        <v>1.5083333333510316E-2</v>
      </c>
      <c r="EJ14" s="79">
        <f t="shared" si="15"/>
        <v>1.5083333333510316E-2</v>
      </c>
      <c r="EK14" s="79">
        <f t="shared" si="15"/>
        <v>1.5083333333510316E-2</v>
      </c>
      <c r="EL14" s="79">
        <f t="shared" si="15"/>
        <v>1.5083333333510316E-2</v>
      </c>
      <c r="EM14" s="79">
        <f t="shared" si="15"/>
        <v>1.5083333333510316E-2</v>
      </c>
      <c r="EN14" s="79">
        <f t="shared" si="15"/>
        <v>1.5083333333510316E-2</v>
      </c>
      <c r="EO14" s="79">
        <f t="shared" si="15"/>
        <v>1.5083333333510316E-2</v>
      </c>
      <c r="EP14" s="79">
        <f t="shared" si="15"/>
        <v>1.5083333333510316E-2</v>
      </c>
      <c r="EQ14" s="79">
        <f t="shared" si="15"/>
        <v>1.5083333333510316E-2</v>
      </c>
      <c r="ER14" s="79">
        <f t="shared" si="15"/>
        <v>1.5083333333510316E-2</v>
      </c>
      <c r="ES14" s="79">
        <f t="shared" si="15"/>
        <v>1.5083333333510316E-2</v>
      </c>
      <c r="ET14" s="79">
        <f t="shared" si="15"/>
        <v>1.5083333333510316E-2</v>
      </c>
      <c r="EU14" s="87"/>
      <c r="EV14" s="87"/>
      <c r="EW14" s="87"/>
      <c r="EX14" s="87"/>
      <c r="EY14" s="87" t="s">
        <v>76</v>
      </c>
      <c r="EZ14" s="87"/>
      <c r="FA14" s="98">
        <v>1.6500000000000001E-2</v>
      </c>
      <c r="FB14">
        <v>84</v>
      </c>
      <c r="FC14" s="27">
        <v>1.9699999999999999E-2</v>
      </c>
      <c r="FF14" s="698" t="s">
        <v>941</v>
      </c>
      <c r="FG14" s="700">
        <v>2.5000000000000001E-2</v>
      </c>
      <c r="FH14" s="700">
        <v>120</v>
      </c>
      <c r="FI14" s="699">
        <v>2.0099999999999996E-2</v>
      </c>
      <c r="FJ14" s="699">
        <v>1.8000000000000002E-2</v>
      </c>
      <c r="FK14" s="71">
        <f t="shared" si="11"/>
        <v>3.8888888888888887E-4</v>
      </c>
      <c r="FL14" t="e">
        <f>VLOOKUP(FF14,'SIMULADOR COM SALDO'!$BX$22:$CK$500,13,FALSE)</f>
        <v>#N/A</v>
      </c>
      <c r="FM14" s="166">
        <f>FI14-0.03%</f>
        <v>1.9799999999999995E-2</v>
      </c>
    </row>
    <row r="15" spans="5:169" customFormat="1" x14ac:dyDescent="0.25">
      <c r="E15" s="77"/>
      <c r="F15" s="97">
        <f t="shared" si="13"/>
        <v>1.5311111111111112E-2</v>
      </c>
      <c r="G15" s="79">
        <f t="shared" si="10"/>
        <v>1.8498000634511218E-2</v>
      </c>
      <c r="H15" s="79">
        <f t="shared" si="14"/>
        <v>1.8494069000095509E-2</v>
      </c>
      <c r="I15" s="79">
        <f t="shared" si="14"/>
        <v>1.8488271094196599E-2</v>
      </c>
      <c r="J15" s="79">
        <f t="shared" si="14"/>
        <v>1.848067178639819E-2</v>
      </c>
      <c r="K15" s="79">
        <f t="shared" si="14"/>
        <v>1.8471334793191397E-2</v>
      </c>
      <c r="L15" s="79">
        <f t="shared" si="14"/>
        <v>1.8460322656094347E-2</v>
      </c>
      <c r="M15" s="79">
        <f t="shared" si="14"/>
        <v>1.8447696722977112E-2</v>
      </c>
      <c r="N15" s="79">
        <f t="shared" si="14"/>
        <v>1.8433517132438793E-2</v>
      </c>
      <c r="O15" s="79">
        <f t="shared" si="14"/>
        <v>1.841784280109017E-2</v>
      </c>
      <c r="P15" s="79">
        <f t="shared" si="14"/>
        <v>1.8400731413588577E-2</v>
      </c>
      <c r="Q15" s="79">
        <f t="shared" si="14"/>
        <v>1.8382239415279542E-2</v>
      </c>
      <c r="R15" s="79">
        <f t="shared" si="14"/>
        <v>1.8362422007298731E-2</v>
      </c>
      <c r="S15" s="79">
        <f t="shared" si="14"/>
        <v>1.8341333143991008E-2</v>
      </c>
      <c r="T15" s="79">
        <f t="shared" si="14"/>
        <v>1.8319025532504477E-2</v>
      </c>
      <c r="U15" s="79">
        <f t="shared" si="14"/>
        <v>1.8295550634425287E-2</v>
      </c>
      <c r="V15" s="79">
        <f t="shared" si="14"/>
        <v>1.8270958669316557E-2</v>
      </c>
      <c r="W15" s="79">
        <f t="shared" si="14"/>
        <v>1.8245298620032876E-2</v>
      </c>
      <c r="X15" s="79">
        <f t="shared" si="14"/>
        <v>1.821861823968441E-2</v>
      </c>
      <c r="Y15" s="79">
        <f t="shared" si="14"/>
        <v>1.819096406012918E-2</v>
      </c>
      <c r="Z15" s="79">
        <f t="shared" si="14"/>
        <v>1.8162381401875802E-2</v>
      </c>
      <c r="AA15" s="79">
        <f t="shared" si="14"/>
        <v>1.8132914385282726E-2</v>
      </c>
      <c r="AB15" s="79">
        <f t="shared" si="14"/>
        <v>1.8102605942948252E-2</v>
      </c>
      <c r="AC15" s="79">
        <f t="shared" si="14"/>
        <v>1.8071497833185252E-2</v>
      </c>
      <c r="AD15" s="79">
        <f t="shared" si="14"/>
        <v>1.8039630654482025E-2</v>
      </c>
      <c r="AE15" s="79">
        <f t="shared" si="14"/>
        <v>1.8007043860854444E-2</v>
      </c>
      <c r="AF15" s="79">
        <f t="shared" si="14"/>
        <v>1.7973775778000235E-2</v>
      </c>
      <c r="AG15" s="79">
        <f t="shared" si="14"/>
        <v>1.7939863620167831E-2</v>
      </c>
      <c r="AH15" s="79">
        <f t="shared" si="14"/>
        <v>1.7905343507660258E-2</v>
      </c>
      <c r="AI15" s="79">
        <f t="shared" si="14"/>
        <v>1.7870250484896585E-2</v>
      </c>
      <c r="AJ15" s="79">
        <f t="shared" si="14"/>
        <v>1.7834618538957576E-2</v>
      </c>
      <c r="AK15" s="79">
        <f t="shared" si="14"/>
        <v>1.7798480618548284E-2</v>
      </c>
      <c r="AL15" s="79">
        <f t="shared" si="14"/>
        <v>1.7761868653312311E-2</v>
      </c>
      <c r="AM15" s="79">
        <f t="shared" si="14"/>
        <v>1.7724813573436735E-2</v>
      </c>
      <c r="AN15" s="79">
        <f t="shared" si="14"/>
        <v>1.7687345329493013E-2</v>
      </c>
      <c r="AO15" s="79">
        <f t="shared" si="14"/>
        <v>1.7649492912457352E-2</v>
      </c>
      <c r="AP15" s="79">
        <f t="shared" si="14"/>
        <v>1.7611284373864777E-2</v>
      </c>
      <c r="AQ15" s="79">
        <f t="shared" si="14"/>
        <v>1.7572746846047534E-2</v>
      </c>
      <c r="AR15" s="79">
        <f t="shared" si="14"/>
        <v>1.7533906562417427E-2</v>
      </c>
      <c r="AS15" s="79">
        <f t="shared" si="14"/>
        <v>1.7494788877750658E-2</v>
      </c>
      <c r="AT15" s="79">
        <f t="shared" si="14"/>
        <v>1.7455418288438471E-2</v>
      </c>
      <c r="AU15" s="79">
        <f t="shared" si="14"/>
        <v>1.7415818452671511E-2</v>
      </c>
      <c r="AV15" s="79">
        <f t="shared" si="14"/>
        <v>1.7376012210523858E-2</v>
      </c>
      <c r="AW15" s="79">
        <f t="shared" si="14"/>
        <v>1.7336021603910304E-2</v>
      </c>
      <c r="AX15" s="79">
        <f t="shared" si="14"/>
        <v>1.7295867896390385E-2</v>
      </c>
      <c r="AY15" s="79">
        <f t="shared" si="14"/>
        <v>1.7255571592793791E-2</v>
      </c>
      <c r="AZ15" s="79">
        <f t="shared" si="14"/>
        <v>1.7215152458648061E-2</v>
      </c>
      <c r="BA15" s="79">
        <f t="shared" si="14"/>
        <v>1.7174629539386022E-2</v>
      </c>
      <c r="BB15" s="79">
        <f t="shared" si="14"/>
        <v>1.7134021179318639E-2</v>
      </c>
      <c r="BC15" s="79">
        <f t="shared" si="14"/>
        <v>1.7093345040354209E-2</v>
      </c>
      <c r="BD15" s="79">
        <f t="shared" si="14"/>
        <v>1.7052618120452809E-2</v>
      </c>
      <c r="BE15" s="79">
        <f t="shared" si="14"/>
        <v>1.7011856771801406E-2</v>
      </c>
      <c r="BF15" s="79">
        <f t="shared" si="14"/>
        <v>1.6971076718699973E-2</v>
      </c>
      <c r="BG15" s="79">
        <f t="shared" si="14"/>
        <v>1.6930293075149597E-2</v>
      </c>
      <c r="BH15" s="79">
        <f t="shared" si="14"/>
        <v>1.6889520362132746E-2</v>
      </c>
      <c r="BI15" s="79">
        <f t="shared" si="14"/>
        <v>1.6848772524580318E-2</v>
      </c>
      <c r="BJ15" s="79">
        <f t="shared" si="14"/>
        <v>1.6808062948019724E-2</v>
      </c>
      <c r="BK15" s="79">
        <f t="shared" si="14"/>
        <v>1.6767404474899026E-2</v>
      </c>
      <c r="BL15" s="79">
        <f t="shared" si="14"/>
        <v>1.6726809420583261E-2</v>
      </c>
      <c r="BM15" s="79">
        <f t="shared" si="14"/>
        <v>1.6686289589020617E-2</v>
      </c>
      <c r="BN15" s="79">
        <f t="shared" si="14"/>
        <v>1.6645856288077517E-2</v>
      </c>
      <c r="BO15" s="79">
        <f t="shared" si="14"/>
        <v>1.6605520344540246E-2</v>
      </c>
      <c r="BP15" s="79">
        <f t="shared" si="14"/>
        <v>1.6565292118782299E-2</v>
      </c>
      <c r="BQ15" s="79">
        <f t="shared" si="14"/>
        <v>1.652518151910165E-2</v>
      </c>
      <c r="BR15" s="79">
        <f t="shared" si="14"/>
        <v>1.648519801572303E-2</v>
      </c>
      <c r="BS15" s="79">
        <f t="shared" si="14"/>
        <v>1.6445350654472168E-2</v>
      </c>
      <c r="BT15" s="79">
        <f t="shared" ref="BT15:EE29" si="16">IF(BT$9&lt;=$K$6,RATE($K$6,1,BT42,0),"")</f>
        <v>1.6405648070121001E-2</v>
      </c>
      <c r="BU15" s="79">
        <f t="shared" si="16"/>
        <v>1.6366098499407442E-2</v>
      </c>
      <c r="BV15" s="79">
        <f t="shared" si="16"/>
        <v>1.632670979373144E-2</v>
      </c>
      <c r="BW15" s="79">
        <f t="shared" si="16"/>
        <v>1.6287489431533901E-2</v>
      </c>
      <c r="BX15" s="79">
        <f t="shared" si="16"/>
        <v>1.6248444530357356E-2</v>
      </c>
      <c r="BY15" s="79">
        <f t="shared" si="16"/>
        <v>1.6209581858596455E-2</v>
      </c>
      <c r="BZ15" s="79">
        <f t="shared" si="16"/>
        <v>1.6170907846940374E-2</v>
      </c>
      <c r="CA15" s="79">
        <f t="shared" si="16"/>
        <v>1.6132428599512173E-2</v>
      </c>
      <c r="CB15" s="79">
        <f t="shared" si="16"/>
        <v>1.6094149904709545E-2</v>
      </c>
      <c r="CC15" s="79">
        <f t="shared" si="16"/>
        <v>1.6056077245753177E-2</v>
      </c>
      <c r="CD15" s="79">
        <f t="shared" si="16"/>
        <v>1.601821581094439E-2</v>
      </c>
      <c r="CE15" s="79">
        <f t="shared" si="16"/>
        <v>1.598057050364201E-2</v>
      </c>
      <c r="CF15" s="79">
        <f t="shared" si="16"/>
        <v>1.5943145951958844E-2</v>
      </c>
      <c r="CG15" s="79">
        <f t="shared" si="16"/>
        <v>1.5905946518186779E-2</v>
      </c>
      <c r="CH15" s="79">
        <f t="shared" si="16"/>
        <v>1.5868976307953794E-2</v>
      </c>
      <c r="CI15" s="79">
        <f t="shared" si="16"/>
        <v>1.5832239179119603E-2</v>
      </c>
      <c r="CJ15" s="79">
        <f t="shared" si="16"/>
        <v>1.5795738750414554E-2</v>
      </c>
      <c r="CK15" s="79">
        <f t="shared" si="16"/>
        <v>1.5759478409826881E-2</v>
      </c>
      <c r="CL15" s="79">
        <f t="shared" si="16"/>
        <v>1.5723461322746289E-2</v>
      </c>
      <c r="CM15" s="79">
        <f t="shared" si="16"/>
        <v>1.5687690439866918E-2</v>
      </c>
      <c r="CN15" s="79">
        <f t="shared" si="16"/>
        <v>1.5652168504854309E-2</v>
      </c>
      <c r="CO15" s="79">
        <f t="shared" si="16"/>
        <v>1.561689806178718E-2</v>
      </c>
      <c r="CP15" s="79">
        <f t="shared" si="16"/>
        <v>1.5581881462372082E-2</v>
      </c>
      <c r="CQ15" s="79">
        <f t="shared" si="16"/>
        <v>1.554712087294262E-2</v>
      </c>
      <c r="CR15" s="79">
        <f t="shared" si="16"/>
        <v>1.5512618281245521E-2</v>
      </c>
      <c r="CS15" s="79">
        <f t="shared" si="16"/>
        <v>1.5478375503017906E-2</v>
      </c>
      <c r="CT15" s="79">
        <f t="shared" si="16"/>
        <v>1.5444394188365681E-2</v>
      </c>
      <c r="CU15" s="79">
        <f t="shared" si="16"/>
        <v>1.5410675827942099E-2</v>
      </c>
      <c r="CV15" s="79">
        <f t="shared" si="16"/>
        <v>1.5377221758935878E-2</v>
      </c>
      <c r="CW15" s="79">
        <f t="shared" si="16"/>
        <v>1.5344033170873515E-2</v>
      </c>
      <c r="CX15" s="79">
        <f t="shared" si="16"/>
        <v>1.5311111111238328E-2</v>
      </c>
      <c r="CY15" s="79">
        <f t="shared" si="16"/>
        <v>1.5311111111238328E-2</v>
      </c>
      <c r="CZ15" s="79">
        <f t="shared" si="16"/>
        <v>1.5311111111238328E-2</v>
      </c>
      <c r="DA15" s="79">
        <f t="shared" si="16"/>
        <v>1.5311111111238328E-2</v>
      </c>
      <c r="DB15" s="79">
        <f t="shared" si="16"/>
        <v>1.5311111111238328E-2</v>
      </c>
      <c r="DC15" s="79">
        <f t="shared" si="16"/>
        <v>1.5311111111238328E-2</v>
      </c>
      <c r="DD15" s="79">
        <f t="shared" si="16"/>
        <v>1.5311111111238328E-2</v>
      </c>
      <c r="DE15" s="79">
        <f t="shared" si="16"/>
        <v>1.5311111111238328E-2</v>
      </c>
      <c r="DF15" s="79">
        <f t="shared" si="16"/>
        <v>1.5311111111238328E-2</v>
      </c>
      <c r="DG15" s="79">
        <f t="shared" si="16"/>
        <v>1.5311111111238328E-2</v>
      </c>
      <c r="DH15" s="79">
        <f t="shared" si="16"/>
        <v>1.5311111111238328E-2</v>
      </c>
      <c r="DI15" s="79">
        <f t="shared" si="16"/>
        <v>1.5311111111238328E-2</v>
      </c>
      <c r="DJ15" s="79">
        <f t="shared" si="16"/>
        <v>1.5311111111238328E-2</v>
      </c>
      <c r="DK15" s="79">
        <f t="shared" si="16"/>
        <v>1.5311111111238328E-2</v>
      </c>
      <c r="DL15" s="79">
        <f t="shared" si="16"/>
        <v>1.5311111111238328E-2</v>
      </c>
      <c r="DM15" s="79">
        <f t="shared" si="16"/>
        <v>1.5311111111238328E-2</v>
      </c>
      <c r="DN15" s="79">
        <f t="shared" si="16"/>
        <v>1.5311111111238328E-2</v>
      </c>
      <c r="DO15" s="79">
        <f t="shared" si="16"/>
        <v>1.5311111111238328E-2</v>
      </c>
      <c r="DP15" s="79">
        <f t="shared" si="16"/>
        <v>1.5311111111238328E-2</v>
      </c>
      <c r="DQ15" s="79">
        <f t="shared" si="16"/>
        <v>1.5311111111238328E-2</v>
      </c>
      <c r="DR15" s="79">
        <f t="shared" si="16"/>
        <v>1.5311111111238328E-2</v>
      </c>
      <c r="DS15" s="79">
        <f t="shared" si="16"/>
        <v>1.5311111111238328E-2</v>
      </c>
      <c r="DT15" s="79">
        <f t="shared" si="16"/>
        <v>1.5311111111238328E-2</v>
      </c>
      <c r="DU15" s="79">
        <f t="shared" si="16"/>
        <v>1.5311111111238328E-2</v>
      </c>
      <c r="DV15" s="79">
        <f t="shared" si="16"/>
        <v>1.5311111111238328E-2</v>
      </c>
      <c r="DW15" s="79">
        <f t="shared" si="16"/>
        <v>1.5311111111238328E-2</v>
      </c>
      <c r="DX15" s="79">
        <f t="shared" si="16"/>
        <v>1.5311111111238328E-2</v>
      </c>
      <c r="DY15" s="79">
        <f t="shared" si="16"/>
        <v>1.5311111111238328E-2</v>
      </c>
      <c r="DZ15" s="79">
        <f t="shared" si="16"/>
        <v>1.5311111111238328E-2</v>
      </c>
      <c r="EA15" s="79">
        <f t="shared" si="16"/>
        <v>1.5311111111238328E-2</v>
      </c>
      <c r="EB15" s="79">
        <f t="shared" si="16"/>
        <v>1.5311111111238328E-2</v>
      </c>
      <c r="EC15" s="79">
        <f t="shared" si="16"/>
        <v>1.5311111111238328E-2</v>
      </c>
      <c r="ED15" s="79">
        <f t="shared" si="16"/>
        <v>1.5311111111238328E-2</v>
      </c>
      <c r="EE15" s="79">
        <f t="shared" si="16"/>
        <v>1.5311111111238328E-2</v>
      </c>
      <c r="EF15" s="79">
        <f t="shared" si="15"/>
        <v>1.5311111111238328E-2</v>
      </c>
      <c r="EG15" s="79">
        <f t="shared" si="15"/>
        <v>1.5311111111238328E-2</v>
      </c>
      <c r="EH15" s="79">
        <f t="shared" si="15"/>
        <v>1.5311111111238328E-2</v>
      </c>
      <c r="EI15" s="79">
        <f t="shared" si="15"/>
        <v>1.5311111111238328E-2</v>
      </c>
      <c r="EJ15" s="79">
        <f t="shared" si="15"/>
        <v>1.5311111111238328E-2</v>
      </c>
      <c r="EK15" s="79">
        <f t="shared" si="15"/>
        <v>1.5311111111238328E-2</v>
      </c>
      <c r="EL15" s="79">
        <f t="shared" si="15"/>
        <v>1.5311111111238328E-2</v>
      </c>
      <c r="EM15" s="79">
        <f t="shared" si="15"/>
        <v>1.5311111111238328E-2</v>
      </c>
      <c r="EN15" s="79">
        <f t="shared" si="15"/>
        <v>1.5311111111238328E-2</v>
      </c>
      <c r="EO15" s="79">
        <f t="shared" si="15"/>
        <v>1.5311111111238328E-2</v>
      </c>
      <c r="EP15" s="79">
        <f t="shared" si="15"/>
        <v>1.5311111111238328E-2</v>
      </c>
      <c r="EQ15" s="79">
        <f t="shared" si="15"/>
        <v>1.5311111111238328E-2</v>
      </c>
      <c r="ER15" s="79">
        <f t="shared" si="15"/>
        <v>1.5311111111238328E-2</v>
      </c>
      <c r="ES15" s="79">
        <f t="shared" si="15"/>
        <v>1.5311111111238328E-2</v>
      </c>
      <c r="ET15" s="79">
        <f t="shared" si="15"/>
        <v>1.5311111111238328E-2</v>
      </c>
      <c r="EU15" s="87"/>
      <c r="EV15" s="87"/>
      <c r="EW15" s="87"/>
      <c r="EX15" s="87"/>
      <c r="EY15" s="87" t="s">
        <v>33</v>
      </c>
      <c r="EZ15" s="87"/>
      <c r="FA15" s="137">
        <v>1.8100000000000002E-2</v>
      </c>
      <c r="FB15">
        <v>96</v>
      </c>
      <c r="FC15" s="27">
        <v>2.0500000000000001E-2</v>
      </c>
      <c r="FF15" s="698" t="s">
        <v>500</v>
      </c>
      <c r="FG15" s="700">
        <v>2.5000000000000001E-2</v>
      </c>
      <c r="FH15" s="700">
        <v>96</v>
      </c>
      <c r="FI15" s="699">
        <v>2.2000000000000002E-2</v>
      </c>
      <c r="FJ15" s="699">
        <v>1.6E-2</v>
      </c>
      <c r="FK15" s="71">
        <f t="shared" si="11"/>
        <v>5.0000000000000001E-4</v>
      </c>
      <c r="FL15" t="e">
        <f>VLOOKUP(FF15,'SIMULADOR COM SALDO'!$BX$22:$CK$500,13,FALSE)</f>
        <v>#N/A</v>
      </c>
      <c r="FM15" s="166">
        <f t="shared" si="12"/>
        <v>2.1700000000000001E-2</v>
      </c>
    </row>
    <row r="16" spans="5:169" customFormat="1" ht="14.25" customHeight="1" x14ac:dyDescent="0.25">
      <c r="E16" s="77"/>
      <c r="F16" s="97">
        <f t="shared" si="13"/>
        <v>1.553888888888889E-2</v>
      </c>
      <c r="G16" s="79">
        <f t="shared" si="10"/>
        <v>1.8498143855569398E-2</v>
      </c>
      <c r="H16" s="79">
        <f t="shared" si="14"/>
        <v>1.8494494225021529E-2</v>
      </c>
      <c r="I16" s="79">
        <f t="shared" si="14"/>
        <v>1.8489112688521901E-2</v>
      </c>
      <c r="J16" s="79">
        <f t="shared" si="14"/>
        <v>1.8482059726156713E-2</v>
      </c>
      <c r="K16" s="79">
        <f t="shared" si="14"/>
        <v>1.8473394699026154E-2</v>
      </c>
      <c r="L16" s="79">
        <f t="shared" si="14"/>
        <v>1.8463175833222448E-2</v>
      </c>
      <c r="M16" s="79">
        <f t="shared" si="14"/>
        <v>1.8451460206553808E-2</v>
      </c>
      <c r="N16" s="79">
        <f t="shared" si="14"/>
        <v>1.8438303737879937E-2</v>
      </c>
      <c r="O16" s="79">
        <f t="shared" si="14"/>
        <v>1.842376117892168E-2</v>
      </c>
      <c r="P16" s="79">
        <f t="shared" si="14"/>
        <v>1.8407886108411875E-2</v>
      </c>
      <c r="Q16" s="79">
        <f t="shared" si="14"/>
        <v>1.8390730928455605E-2</v>
      </c>
      <c r="R16" s="79">
        <f t="shared" si="14"/>
        <v>1.8372346862969523E-2</v>
      </c>
      <c r="S16" s="79">
        <f t="shared" si="14"/>
        <v>1.835278395807392E-2</v>
      </c>
      <c r="T16" s="79">
        <f t="shared" si="14"/>
        <v>1.833209108431395E-2</v>
      </c>
      <c r="U16" s="79">
        <f t="shared" si="14"/>
        <v>1.8310315940589111E-2</v>
      </c>
      <c r="V16" s="79">
        <f t="shared" si="14"/>
        <v>1.8287505059675593E-2</v>
      </c>
      <c r="W16" s="79">
        <f t="shared" si="14"/>
        <v>1.8263703815225373E-2</v>
      </c>
      <c r="X16" s="79">
        <f t="shared" si="14"/>
        <v>1.8238956430136181E-2</v>
      </c>
      <c r="Y16" s="79">
        <f t="shared" si="14"/>
        <v>1.8213305986184699E-2</v>
      </c>
      <c r="Z16" s="79">
        <f t="shared" si="14"/>
        <v>1.8186794434822059E-2</v>
      </c>
      <c r="AA16" s="79">
        <f t="shared" si="14"/>
        <v>1.8159462609034754E-2</v>
      </c>
      <c r="AB16" s="79">
        <f t="shared" si="14"/>
        <v>1.8131350236177634E-2</v>
      </c>
      <c r="AC16" s="79">
        <f t="shared" si="14"/>
        <v>1.8102495951689977E-2</v>
      </c>
      <c r="AD16" s="79">
        <f t="shared" si="14"/>
        <v>1.8072937313608952E-2</v>
      </c>
      <c r="AE16" s="79">
        <f t="shared" si="14"/>
        <v>1.8042710817801125E-2</v>
      </c>
      <c r="AF16" s="79">
        <f t="shared" si="14"/>
        <v>1.8011851913833306E-2</v>
      </c>
      <c r="AG16" s="79">
        <f t="shared" si="14"/>
        <v>1.7980395021411227E-2</v>
      </c>
      <c r="AH16" s="79">
        <f t="shared" si="14"/>
        <v>1.7948373547316768E-2</v>
      </c>
      <c r="AI16" s="79">
        <f t="shared" si="14"/>
        <v>1.7915819902777099E-2</v>
      </c>
      <c r="AJ16" s="79">
        <f t="shared" si="14"/>
        <v>1.7882765521206566E-2</v>
      </c>
      <c r="AK16" s="79">
        <f t="shared" si="14"/>
        <v>1.7849240876261403E-2</v>
      </c>
      <c r="AL16" s="79">
        <f t="shared" si="14"/>
        <v>1.7815275500154198E-2</v>
      </c>
      <c r="AM16" s="79">
        <f t="shared" si="14"/>
        <v>1.7780898002175961E-2</v>
      </c>
      <c r="AN16" s="79">
        <f t="shared" si="14"/>
        <v>1.774613608737878E-2</v>
      </c>
      <c r="AO16" s="79">
        <f t="shared" si="14"/>
        <v>1.7711016575374536E-2</v>
      </c>
      <c r="AP16" s="79">
        <f t="shared" si="14"/>
        <v>1.7675565419207836E-2</v>
      </c>
      <c r="AQ16" s="79">
        <f t="shared" si="14"/>
        <v>1.763980772426357E-2</v>
      </c>
      <c r="AR16" s="79">
        <f t="shared" si="14"/>
        <v>1.7603767767175746E-2</v>
      </c>
      <c r="AS16" s="79">
        <f t="shared" si="14"/>
        <v>1.7567469014701895E-2</v>
      </c>
      <c r="AT16" s="79">
        <f t="shared" si="14"/>
        <v>1.7530934142533768E-2</v>
      </c>
      <c r="AU16" s="79">
        <f t="shared" si="14"/>
        <v>1.7494185054014958E-2</v>
      </c>
      <c r="AV16" s="79">
        <f t="shared" si="14"/>
        <v>1.7457242898741961E-2</v>
      </c>
      <c r="AW16" s="79">
        <f t="shared" si="14"/>
        <v>1.7420128091021506E-2</v>
      </c>
      <c r="AX16" s="79">
        <f t="shared" si="14"/>
        <v>1.7382860328165935E-2</v>
      </c>
      <c r="AY16" s="79">
        <f t="shared" si="14"/>
        <v>1.7345458608604123E-2</v>
      </c>
      <c r="AZ16" s="79">
        <f t="shared" si="14"/>
        <v>1.7307941249793058E-2</v>
      </c>
      <c r="BA16" s="79">
        <f t="shared" si="14"/>
        <v>1.7270325905910967E-2</v>
      </c>
      <c r="BB16" s="79">
        <f t="shared" si="14"/>
        <v>1.7232629585319983E-2</v>
      </c>
      <c r="BC16" s="79">
        <f t="shared" si="14"/>
        <v>1.7194868667784618E-2</v>
      </c>
      <c r="BD16" s="79">
        <f t="shared" si="14"/>
        <v>1.7157058921435476E-2</v>
      </c>
      <c r="BE16" s="79">
        <f t="shared" si="14"/>
        <v>1.7119215519465828E-2</v>
      </c>
      <c r="BF16" s="79">
        <f t="shared" si="14"/>
        <v>1.70813530565566E-2</v>
      </c>
      <c r="BG16" s="79">
        <f t="shared" si="14"/>
        <v>1.7043485565018262E-2</v>
      </c>
      <c r="BH16" s="79">
        <f t="shared" si="14"/>
        <v>1.7005626530645496E-2</v>
      </c>
      <c r="BI16" s="79">
        <f t="shared" si="14"/>
        <v>1.6967788908279043E-2</v>
      </c>
      <c r="BJ16" s="79">
        <f t="shared" si="14"/>
        <v>1.6929985137069156E-2</v>
      </c>
      <c r="BK16" s="79">
        <f t="shared" si="14"/>
        <v>1.6892227155440705E-2</v>
      </c>
      <c r="BL16" s="79">
        <f t="shared" si="14"/>
        <v>1.6854526415752358E-2</v>
      </c>
      <c r="BM16" s="79">
        <f t="shared" si="14"/>
        <v>1.6816893898652166E-2</v>
      </c>
      <c r="BN16" s="79">
        <f t="shared" si="14"/>
        <v>1.6779340127127559E-2</v>
      </c>
      <c r="BO16" s="79">
        <f t="shared" si="14"/>
        <v>1.6741875180246758E-2</v>
      </c>
      <c r="BP16" s="79">
        <f t="shared" si="14"/>
        <v>1.6704508706596767E-2</v>
      </c>
      <c r="BQ16" s="79">
        <f t="shared" si="14"/>
        <v>1.6667249937413569E-2</v>
      </c>
      <c r="BR16" s="79">
        <f t="shared" si="14"/>
        <v>1.6630107699409841E-2</v>
      </c>
      <c r="BS16" s="79">
        <f t="shared" ref="BS16:ED19" si="17">IF(BS$9&lt;=$K$6,RATE($K$6,1,BS43,0),"")</f>
        <v>1.6593090427298965E-2</v>
      </c>
      <c r="BT16" s="79">
        <f t="shared" si="17"/>
        <v>1.6556206176019776E-2</v>
      </c>
      <c r="BU16" s="79">
        <f t="shared" si="17"/>
        <v>1.6519462632663143E-2</v>
      </c>
      <c r="BV16" s="79">
        <f t="shared" si="17"/>
        <v>1.6482867128104137E-2</v>
      </c>
      <c r="BW16" s="79">
        <f t="shared" si="17"/>
        <v>1.6446426648342703E-2</v>
      </c>
      <c r="BX16" s="79">
        <f t="shared" si="17"/>
        <v>1.6410147845555844E-2</v>
      </c>
      <c r="BY16" s="79">
        <f t="shared" si="17"/>
        <v>1.6374037048867002E-2</v>
      </c>
      <c r="BZ16" s="79">
        <f t="shared" si="17"/>
        <v>1.6338100274832731E-2</v>
      </c>
      <c r="CA16" s="79">
        <f t="shared" si="17"/>
        <v>1.6302343237656187E-2</v>
      </c>
      <c r="CB16" s="79">
        <f t="shared" si="17"/>
        <v>1.6266771359126998E-2</v>
      </c>
      <c r="CC16" s="79">
        <f t="shared" si="17"/>
        <v>1.6231389778294289E-2</v>
      </c>
      <c r="CD16" s="79">
        <f t="shared" si="17"/>
        <v>1.6196203360877865E-2</v>
      </c>
      <c r="CE16" s="79">
        <f t="shared" si="17"/>
        <v>1.6161216708420786E-2</v>
      </c>
      <c r="CF16" s="79">
        <f t="shared" si="17"/>
        <v>1.612643416718873E-2</v>
      </c>
      <c r="CG16" s="79">
        <f t="shared" si="17"/>
        <v>1.6091859836821966E-2</v>
      </c>
      <c r="CH16" s="79">
        <f t="shared" si="17"/>
        <v>1.6057497578744116E-2</v>
      </c>
      <c r="CI16" s="79">
        <f t="shared" si="17"/>
        <v>1.6023351024331011E-2</v>
      </c>
      <c r="CJ16" s="79">
        <f t="shared" si="17"/>
        <v>1.5989423582849143E-2</v>
      </c>
      <c r="CK16" s="79">
        <f t="shared" si="17"/>
        <v>1.595571844916268E-2</v>
      </c>
      <c r="CL16" s="79">
        <f t="shared" si="17"/>
        <v>1.5922238611220337E-2</v>
      </c>
      <c r="CM16" s="79">
        <f t="shared" si="17"/>
        <v>1.5888986857321642E-2</v>
      </c>
      <c r="CN16" s="79">
        <f t="shared" si="17"/>
        <v>1.5855965783171201E-2</v>
      </c>
      <c r="CO16" s="79">
        <f t="shared" si="17"/>
        <v>1.582317779872474E-2</v>
      </c>
      <c r="CP16" s="79">
        <f t="shared" si="17"/>
        <v>1.5790625134831128E-2</v>
      </c>
      <c r="CQ16" s="79">
        <f t="shared" si="17"/>
        <v>1.575830984967699E-2</v>
      </c>
      <c r="CR16" s="79">
        <f t="shared" si="17"/>
        <v>1.5726233835036851E-2</v>
      </c>
      <c r="CS16" s="79">
        <f t="shared" si="17"/>
        <v>1.5694398822335632E-2</v>
      </c>
      <c r="CT16" s="79">
        <f t="shared" si="17"/>
        <v>1.5662806388525196E-2</v>
      </c>
      <c r="CU16" s="79">
        <f t="shared" si="17"/>
        <v>1.5631457961784792E-2</v>
      </c>
      <c r="CV16" s="79">
        <f t="shared" si="17"/>
        <v>1.5600354827043127E-2</v>
      </c>
      <c r="CW16" s="79">
        <f t="shared" si="17"/>
        <v>1.5569498131333279E-2</v>
      </c>
      <c r="CX16" s="79">
        <f t="shared" si="17"/>
        <v>1.553888888897996E-2</v>
      </c>
      <c r="CY16" s="79">
        <f t="shared" si="17"/>
        <v>1.553888888897996E-2</v>
      </c>
      <c r="CZ16" s="79">
        <f t="shared" si="17"/>
        <v>1.553888888897996E-2</v>
      </c>
      <c r="DA16" s="79">
        <f t="shared" si="17"/>
        <v>1.553888888897996E-2</v>
      </c>
      <c r="DB16" s="79">
        <f t="shared" si="17"/>
        <v>1.553888888897996E-2</v>
      </c>
      <c r="DC16" s="79">
        <f t="shared" si="17"/>
        <v>1.553888888897996E-2</v>
      </c>
      <c r="DD16" s="79">
        <f t="shared" si="17"/>
        <v>1.553888888897996E-2</v>
      </c>
      <c r="DE16" s="79">
        <f t="shared" si="17"/>
        <v>1.553888888897996E-2</v>
      </c>
      <c r="DF16" s="79">
        <f t="shared" si="17"/>
        <v>1.553888888897996E-2</v>
      </c>
      <c r="DG16" s="79">
        <f t="shared" si="17"/>
        <v>1.553888888897996E-2</v>
      </c>
      <c r="DH16" s="79">
        <f t="shared" si="17"/>
        <v>1.553888888897996E-2</v>
      </c>
      <c r="DI16" s="79">
        <f t="shared" si="17"/>
        <v>1.553888888897996E-2</v>
      </c>
      <c r="DJ16" s="79">
        <f t="shared" si="17"/>
        <v>1.553888888897996E-2</v>
      </c>
      <c r="DK16" s="79">
        <f t="shared" si="17"/>
        <v>1.553888888897996E-2</v>
      </c>
      <c r="DL16" s="79">
        <f t="shared" si="17"/>
        <v>1.553888888897996E-2</v>
      </c>
      <c r="DM16" s="79">
        <f t="shared" si="17"/>
        <v>1.553888888897996E-2</v>
      </c>
      <c r="DN16" s="79">
        <f t="shared" si="17"/>
        <v>1.553888888897996E-2</v>
      </c>
      <c r="DO16" s="79">
        <f t="shared" si="17"/>
        <v>1.553888888897996E-2</v>
      </c>
      <c r="DP16" s="79">
        <f t="shared" si="17"/>
        <v>1.553888888897996E-2</v>
      </c>
      <c r="DQ16" s="79">
        <f t="shared" si="17"/>
        <v>1.553888888897996E-2</v>
      </c>
      <c r="DR16" s="79">
        <f t="shared" si="17"/>
        <v>1.553888888897996E-2</v>
      </c>
      <c r="DS16" s="79">
        <f t="shared" si="17"/>
        <v>1.553888888897996E-2</v>
      </c>
      <c r="DT16" s="79">
        <f t="shared" si="17"/>
        <v>1.553888888897996E-2</v>
      </c>
      <c r="DU16" s="79">
        <f t="shared" si="17"/>
        <v>1.553888888897996E-2</v>
      </c>
      <c r="DV16" s="79">
        <f t="shared" si="17"/>
        <v>1.553888888897996E-2</v>
      </c>
      <c r="DW16" s="79">
        <f t="shared" si="17"/>
        <v>1.553888888897996E-2</v>
      </c>
      <c r="DX16" s="79">
        <f t="shared" si="17"/>
        <v>1.553888888897996E-2</v>
      </c>
      <c r="DY16" s="79">
        <f t="shared" si="17"/>
        <v>1.553888888897996E-2</v>
      </c>
      <c r="DZ16" s="79">
        <f t="shared" si="17"/>
        <v>1.553888888897996E-2</v>
      </c>
      <c r="EA16" s="79">
        <f t="shared" si="17"/>
        <v>1.553888888897996E-2</v>
      </c>
      <c r="EB16" s="79">
        <f t="shared" si="17"/>
        <v>1.553888888897996E-2</v>
      </c>
      <c r="EC16" s="79">
        <f t="shared" si="17"/>
        <v>1.553888888897996E-2</v>
      </c>
      <c r="ED16" s="79">
        <f t="shared" si="17"/>
        <v>1.553888888897996E-2</v>
      </c>
      <c r="EE16" s="79">
        <f t="shared" si="16"/>
        <v>1.553888888897996E-2</v>
      </c>
      <c r="EF16" s="79">
        <f t="shared" si="15"/>
        <v>1.553888888897996E-2</v>
      </c>
      <c r="EG16" s="79">
        <f t="shared" si="15"/>
        <v>1.553888888897996E-2</v>
      </c>
      <c r="EH16" s="79">
        <f t="shared" si="15"/>
        <v>1.553888888897996E-2</v>
      </c>
      <c r="EI16" s="79">
        <f t="shared" si="15"/>
        <v>1.553888888897996E-2</v>
      </c>
      <c r="EJ16" s="79">
        <f t="shared" si="15"/>
        <v>1.553888888897996E-2</v>
      </c>
      <c r="EK16" s="79">
        <f t="shared" si="15"/>
        <v>1.553888888897996E-2</v>
      </c>
      <c r="EL16" s="79">
        <f t="shared" si="15"/>
        <v>1.553888888897996E-2</v>
      </c>
      <c r="EM16" s="79">
        <f t="shared" si="15"/>
        <v>1.553888888897996E-2</v>
      </c>
      <c r="EN16" s="79">
        <f t="shared" si="15"/>
        <v>1.553888888897996E-2</v>
      </c>
      <c r="EO16" s="79">
        <f t="shared" si="15"/>
        <v>1.553888888897996E-2</v>
      </c>
      <c r="EP16" s="79">
        <f t="shared" si="15"/>
        <v>1.553888888897996E-2</v>
      </c>
      <c r="EQ16" s="79">
        <f t="shared" si="15"/>
        <v>1.553888888897996E-2</v>
      </c>
      <c r="ER16" s="79">
        <f t="shared" si="15"/>
        <v>1.553888888897996E-2</v>
      </c>
      <c r="ES16" s="79">
        <f t="shared" si="15"/>
        <v>1.553888888897996E-2</v>
      </c>
      <c r="ET16" s="79">
        <f t="shared" si="15"/>
        <v>1.553888888897996E-2</v>
      </c>
      <c r="EU16" s="87"/>
      <c r="EV16" s="87"/>
      <c r="EW16" s="87"/>
      <c r="EX16" s="87"/>
      <c r="EY16" s="87"/>
      <c r="EZ16" s="87"/>
      <c r="FA16" s="137"/>
      <c r="FC16" s="27"/>
      <c r="FF16" s="698" t="s">
        <v>3841</v>
      </c>
      <c r="FG16" s="700">
        <v>2.5000000000000001E-2</v>
      </c>
      <c r="FH16" s="700">
        <v>120</v>
      </c>
      <c r="FI16" s="699">
        <v>2.0400000000000001E-2</v>
      </c>
      <c r="FJ16" s="699">
        <v>1.4999999999999999E-2</v>
      </c>
      <c r="FK16" s="71">
        <f t="shared" si="11"/>
        <v>5.5555555555555566E-4</v>
      </c>
      <c r="FL16" t="e">
        <f>VLOOKUP(FF16,'SIMULADOR COM SALDO'!$BX$22:$CK$500,13,FALSE)</f>
        <v>#N/A</v>
      </c>
      <c r="FM16" s="166">
        <f t="shared" si="12"/>
        <v>2.01E-2</v>
      </c>
    </row>
    <row r="17" spans="5:169" customFormat="1" x14ac:dyDescent="0.25">
      <c r="E17" s="77"/>
      <c r="F17" s="97">
        <f t="shared" si="13"/>
        <v>1.5766666666666668E-2</v>
      </c>
      <c r="G17" s="79">
        <f t="shared" si="10"/>
        <v>1.8498287013501612E-2</v>
      </c>
      <c r="H17" s="79">
        <f t="shared" ref="H17:BS20" si="18">IF(H$9&lt;=$K$6,RATE($K$6,1,H44,0),"")</f>
        <v>1.8494919205768564E-2</v>
      </c>
      <c r="I17" s="79">
        <f t="shared" si="18"/>
        <v>1.84899536936807E-2</v>
      </c>
      <c r="J17" s="79">
        <f t="shared" si="18"/>
        <v>1.8483446529924646E-2</v>
      </c>
      <c r="K17" s="79">
        <f t="shared" si="18"/>
        <v>1.8475452689753931E-2</v>
      </c>
      <c r="L17" s="79">
        <f t="shared" si="18"/>
        <v>1.8466026060189916E-2</v>
      </c>
      <c r="M17" s="79">
        <f t="shared" si="18"/>
        <v>1.8455219431539355E-2</v>
      </c>
      <c r="N17" s="79">
        <f t="shared" si="18"/>
        <v>1.8443084491108323E-2</v>
      </c>
      <c r="O17" s="79">
        <f t="shared" si="18"/>
        <v>1.8429671818990145E-2</v>
      </c>
      <c r="P17" s="79">
        <f t="shared" si="18"/>
        <v>1.8415030885811385E-2</v>
      </c>
      <c r="Q17" s="79">
        <f t="shared" si="18"/>
        <v>1.8399210052317174E-2</v>
      </c>
      <c r="R17" s="79">
        <f t="shared" si="18"/>
        <v>1.838225657068553E-2</v>
      </c>
      <c r="S17" s="79">
        <f t="shared" si="18"/>
        <v>1.8364216587456787E-2</v>
      </c>
      <c r="T17" s="79">
        <f t="shared" si="18"/>
        <v>1.834513514797401E-2</v>
      </c>
      <c r="U17" s="79">
        <f t="shared" si="18"/>
        <v>1.8325056202228289E-2</v>
      </c>
      <c r="V17" s="79">
        <f t="shared" si="18"/>
        <v>1.8304022612008784E-2</v>
      </c>
      <c r="W17" s="79">
        <f t="shared" si="18"/>
        <v>1.8282076159260363E-2</v>
      </c>
      <c r="X17" s="79">
        <f t="shared" si="18"/>
        <v>1.8259257555554582E-2</v>
      </c>
      <c r="Y17" s="79">
        <f t="shared" si="18"/>
        <v>1.8235606452585571E-2</v>
      </c>
      <c r="Z17" s="79">
        <f t="shared" si="18"/>
        <v>1.8211161453601802E-2</v>
      </c>
      <c r="AA17" s="79">
        <f t="shared" si="18"/>
        <v>1.8185960125693942E-2</v>
      </c>
      <c r="AB17" s="79">
        <f t="shared" si="18"/>
        <v>1.8160039012858054E-2</v>
      </c>
      <c r="AC17" s="79">
        <f t="shared" si="18"/>
        <v>1.8133433649758817E-2</v>
      </c>
      <c r="AD17" s="79">
        <f t="shared" si="18"/>
        <v>1.8106178576121911E-2</v>
      </c>
      <c r="AE17" s="79">
        <f t="shared" si="18"/>
        <v>1.8078307351687032E-2</v>
      </c>
      <c r="AF17" s="79">
        <f t="shared" si="18"/>
        <v>1.8049852571656404E-2</v>
      </c>
      <c r="AG17" s="79">
        <f t="shared" si="18"/>
        <v>1.8020845882578608E-2</v>
      </c>
      <c r="AH17" s="79">
        <f t="shared" si="18"/>
        <v>1.7991317998608994E-2</v>
      </c>
      <c r="AI17" s="79">
        <f t="shared" si="18"/>
        <v>1.7961298718092593E-2</v>
      </c>
      <c r="AJ17" s="79">
        <f t="shared" si="18"/>
        <v>1.7930816940417996E-2</v>
      </c>
      <c r="AK17" s="79">
        <f t="shared" si="18"/>
        <v>1.7899900683094723E-2</v>
      </c>
      <c r="AL17" s="79">
        <f t="shared" si="18"/>
        <v>1.7868577099007285E-2</v>
      </c>
      <c r="AM17" s="79">
        <f t="shared" si="18"/>
        <v>1.7836872493805063E-2</v>
      </c>
      <c r="AN17" s="79">
        <f t="shared" si="18"/>
        <v>1.7804812343388009E-2</v>
      </c>
      <c r="AO17" s="79">
        <f t="shared" si="18"/>
        <v>1.7772421311450827E-2</v>
      </c>
      <c r="AP17" s="79">
        <f t="shared" si="18"/>
        <v>1.7739723267051456E-2</v>
      </c>
      <c r="AQ17" s="79">
        <f t="shared" si="18"/>
        <v>1.7706741302172927E-2</v>
      </c>
      <c r="AR17" s="79">
        <f t="shared" si="18"/>
        <v>1.7673497749247993E-2</v>
      </c>
      <c r="AS17" s="79">
        <f t="shared" si="18"/>
        <v>1.7640014198619724E-2</v>
      </c>
      <c r="AT17" s="79">
        <f t="shared" si="18"/>
        <v>1.7606311515913096E-2</v>
      </c>
      <c r="AU17" s="79">
        <f t="shared" si="18"/>
        <v>1.7572409859293855E-2</v>
      </c>
      <c r="AV17" s="79">
        <f t="shared" si="18"/>
        <v>1.7538328696595704E-2</v>
      </c>
      <c r="AW17" s="79">
        <f t="shared" si="18"/>
        <v>1.7504086822292854E-2</v>
      </c>
      <c r="AX17" s="79">
        <f t="shared" si="18"/>
        <v>1.7469702374304466E-2</v>
      </c>
      <c r="AY17" s="79">
        <f t="shared" si="18"/>
        <v>1.7435192850611611E-2</v>
      </c>
      <c r="AZ17" s="79">
        <f t="shared" si="18"/>
        <v>1.740057512567578E-2</v>
      </c>
      <c r="BA17" s="79">
        <f t="shared" si="18"/>
        <v>1.7365865466642632E-2</v>
      </c>
      <c r="BB17" s="79">
        <f t="shared" si="18"/>
        <v>1.7331079549322878E-2</v>
      </c>
      <c r="BC17" s="79">
        <f t="shared" si="18"/>
        <v>1.7296232473937544E-2</v>
      </c>
      <c r="BD17" s="79">
        <f t="shared" si="18"/>
        <v>1.726133878062007E-2</v>
      </c>
      <c r="BE17" s="79">
        <f t="shared" si="18"/>
        <v>1.722641246466762E-2</v>
      </c>
      <c r="BF17" s="79">
        <f t="shared" si="18"/>
        <v>1.7191466991533677E-2</v>
      </c>
      <c r="BG17" s="79">
        <f t="shared" si="18"/>
        <v>1.7156515311557315E-2</v>
      </c>
      <c r="BH17" s="79">
        <f t="shared" si="18"/>
        <v>1.7121569874424713E-2</v>
      </c>
      <c r="BI17" s="79">
        <f t="shared" si="18"/>
        <v>1.7086642643357196E-2</v>
      </c>
      <c r="BJ17" s="79">
        <f t="shared" si="18"/>
        <v>1.7051745109024196E-2</v>
      </c>
      <c r="BK17" s="79">
        <f t="shared" si="18"/>
        <v>1.7016888303179892E-2</v>
      </c>
      <c r="BL17" s="79">
        <f t="shared" si="18"/>
        <v>1.6982082812018486E-2</v>
      </c>
      <c r="BM17" s="79">
        <f t="shared" si="18"/>
        <v>1.6947338789250848E-2</v>
      </c>
      <c r="BN17" s="79">
        <f t="shared" si="18"/>
        <v>1.6912665968898913E-2</v>
      </c>
      <c r="BO17" s="79">
        <f t="shared" si="18"/>
        <v>1.6878073677811117E-2</v>
      </c>
      <c r="BP17" s="79">
        <f t="shared" si="18"/>
        <v>1.6843570847896665E-2</v>
      </c>
      <c r="BQ17" s="79">
        <f t="shared" si="18"/>
        <v>1.680916602808178E-2</v>
      </c>
      <c r="BR17" s="79">
        <f t="shared" si="18"/>
        <v>1.6774867395988012E-2</v>
      </c>
      <c r="BS17" s="79">
        <f t="shared" si="18"/>
        <v>1.6740682769336601E-2</v>
      </c>
      <c r="BT17" s="79">
        <f t="shared" si="17"/>
        <v>1.6706619617077336E-2</v>
      </c>
      <c r="BU17" s="79">
        <f t="shared" si="17"/>
        <v>1.6672685070249882E-2</v>
      </c>
      <c r="BV17" s="79">
        <f t="shared" si="17"/>
        <v>1.6638885932575093E-2</v>
      </c>
      <c r="BW17" s="79">
        <f t="shared" si="17"/>
        <v>1.6605228690783458E-2</v>
      </c>
      <c r="BX17" s="79">
        <f t="shared" si="17"/>
        <v>1.6571719524680995E-2</v>
      </c>
      <c r="BY17" s="79">
        <f t="shared" si="17"/>
        <v>1.6538364316959195E-2</v>
      </c>
      <c r="BZ17" s="79">
        <f t="shared" si="17"/>
        <v>1.6505168662749536E-2</v>
      </c>
      <c r="CA17" s="79">
        <f t="shared" si="17"/>
        <v>1.6472137878929094E-2</v>
      </c>
      <c r="CB17" s="79">
        <f t="shared" si="17"/>
        <v>1.6439277013180049E-2</v>
      </c>
      <c r="CC17" s="79">
        <f t="shared" si="17"/>
        <v>1.6406590852806803E-2</v>
      </c>
      <c r="CD17" s="79">
        <f t="shared" si="17"/>
        <v>1.6374083933316713E-2</v>
      </c>
      <c r="CE17" s="79">
        <f t="shared" si="17"/>
        <v>1.6341760546765664E-2</v>
      </c>
      <c r="CF17" s="79">
        <f t="shared" si="17"/>
        <v>1.6309624749877186E-2</v>
      </c>
      <c r="CG17" s="79">
        <f t="shared" si="17"/>
        <v>1.627768037193569E-2</v>
      </c>
      <c r="CH17" s="79">
        <f t="shared" si="17"/>
        <v>1.6245931022459748E-2</v>
      </c>
      <c r="CI17" s="79">
        <f t="shared" si="17"/>
        <v>1.6214380098660719E-2</v>
      </c>
      <c r="CJ17" s="79">
        <f t="shared" si="17"/>
        <v>1.6183030792689762E-2</v>
      </c>
      <c r="CK17" s="79">
        <f t="shared" si="17"/>
        <v>1.615188609867944E-2</v>
      </c>
      <c r="CL17" s="79">
        <f t="shared" si="17"/>
        <v>1.6120948819582207E-2</v>
      </c>
      <c r="CM17" s="79">
        <f t="shared" si="17"/>
        <v>1.6090221573812766E-2</v>
      </c>
      <c r="CN17" s="79">
        <f t="shared" si="17"/>
        <v>1.6059706801697281E-2</v>
      </c>
      <c r="CO17" s="79">
        <f t="shared" si="17"/>
        <v>1.6029406771733805E-2</v>
      </c>
      <c r="CP17" s="79">
        <f t="shared" si="17"/>
        <v>1.5999323586669487E-2</v>
      </c>
      <c r="CQ17" s="79">
        <f t="shared" si="17"/>
        <v>1.5969459189398152E-2</v>
      </c>
      <c r="CR17" s="79">
        <f t="shared" si="17"/>
        <v>1.5939815368681744E-2</v>
      </c>
      <c r="CS17" s="79">
        <f t="shared" si="17"/>
        <v>1.5910393764703594E-2</v>
      </c>
      <c r="CT17" s="79">
        <f t="shared" si="17"/>
        <v>1.5881195874451821E-2</v>
      </c>
      <c r="CU17" s="79">
        <f t="shared" si="17"/>
        <v>1.5852223056942578E-2</v>
      </c>
      <c r="CV17" s="79">
        <f t="shared" si="17"/>
        <v>1.5823476538284521E-2</v>
      </c>
      <c r="CW17" s="79">
        <f t="shared" si="17"/>
        <v>1.5794957416589251E-2</v>
      </c>
      <c r="CX17" s="79">
        <f t="shared" si="17"/>
        <v>1.5766666666731533E-2</v>
      </c>
      <c r="CY17" s="79">
        <f t="shared" si="17"/>
        <v>1.5766666666731533E-2</v>
      </c>
      <c r="CZ17" s="79">
        <f t="shared" si="17"/>
        <v>1.5766666666731533E-2</v>
      </c>
      <c r="DA17" s="79">
        <f t="shared" si="17"/>
        <v>1.5766666666731533E-2</v>
      </c>
      <c r="DB17" s="79">
        <f t="shared" si="17"/>
        <v>1.5766666666731533E-2</v>
      </c>
      <c r="DC17" s="79">
        <f t="shared" si="17"/>
        <v>1.5766666666731533E-2</v>
      </c>
      <c r="DD17" s="79">
        <f t="shared" si="17"/>
        <v>1.5766666666731533E-2</v>
      </c>
      <c r="DE17" s="79">
        <f t="shared" si="17"/>
        <v>1.5766666666731533E-2</v>
      </c>
      <c r="DF17" s="79">
        <f t="shared" si="17"/>
        <v>1.5766666666731533E-2</v>
      </c>
      <c r="DG17" s="79">
        <f t="shared" si="17"/>
        <v>1.5766666666731533E-2</v>
      </c>
      <c r="DH17" s="79">
        <f t="shared" si="17"/>
        <v>1.5766666666731533E-2</v>
      </c>
      <c r="DI17" s="79">
        <f t="shared" si="17"/>
        <v>1.5766666666731533E-2</v>
      </c>
      <c r="DJ17" s="79">
        <f t="shared" si="17"/>
        <v>1.5766666666731533E-2</v>
      </c>
      <c r="DK17" s="79">
        <f t="shared" si="17"/>
        <v>1.5766666666731533E-2</v>
      </c>
      <c r="DL17" s="79">
        <f t="shared" si="17"/>
        <v>1.5766666666731533E-2</v>
      </c>
      <c r="DM17" s="79">
        <f t="shared" si="17"/>
        <v>1.5766666666731533E-2</v>
      </c>
      <c r="DN17" s="79">
        <f t="shared" si="17"/>
        <v>1.5766666666731533E-2</v>
      </c>
      <c r="DO17" s="79">
        <f t="shared" si="17"/>
        <v>1.5766666666731533E-2</v>
      </c>
      <c r="DP17" s="79">
        <f t="shared" si="17"/>
        <v>1.5766666666731533E-2</v>
      </c>
      <c r="DQ17" s="79">
        <f t="shared" si="17"/>
        <v>1.5766666666731533E-2</v>
      </c>
      <c r="DR17" s="79">
        <f t="shared" si="17"/>
        <v>1.5766666666731533E-2</v>
      </c>
      <c r="DS17" s="79">
        <f t="shared" si="17"/>
        <v>1.5766666666731533E-2</v>
      </c>
      <c r="DT17" s="79">
        <f t="shared" si="17"/>
        <v>1.5766666666731533E-2</v>
      </c>
      <c r="DU17" s="79">
        <f t="shared" si="17"/>
        <v>1.5766666666731533E-2</v>
      </c>
      <c r="DV17" s="79">
        <f t="shared" si="17"/>
        <v>1.5766666666731533E-2</v>
      </c>
      <c r="DW17" s="79">
        <f t="shared" si="17"/>
        <v>1.5766666666731533E-2</v>
      </c>
      <c r="DX17" s="79">
        <f t="shared" si="17"/>
        <v>1.5766666666731533E-2</v>
      </c>
      <c r="DY17" s="79">
        <f t="shared" si="17"/>
        <v>1.5766666666731533E-2</v>
      </c>
      <c r="DZ17" s="79">
        <f t="shared" si="17"/>
        <v>1.5766666666731533E-2</v>
      </c>
      <c r="EA17" s="79">
        <f t="shared" si="17"/>
        <v>1.5766666666731533E-2</v>
      </c>
      <c r="EB17" s="79">
        <f t="shared" si="17"/>
        <v>1.5766666666731533E-2</v>
      </c>
      <c r="EC17" s="79">
        <f t="shared" si="17"/>
        <v>1.5766666666731533E-2</v>
      </c>
      <c r="ED17" s="79">
        <f t="shared" si="17"/>
        <v>1.5766666666731533E-2</v>
      </c>
      <c r="EE17" s="79">
        <f t="shared" si="16"/>
        <v>1.5766666666731533E-2</v>
      </c>
      <c r="EF17" s="79">
        <f t="shared" si="15"/>
        <v>1.5766666666731533E-2</v>
      </c>
      <c r="EG17" s="79">
        <f t="shared" si="15"/>
        <v>1.5766666666731533E-2</v>
      </c>
      <c r="EH17" s="79">
        <f t="shared" si="15"/>
        <v>1.5766666666731533E-2</v>
      </c>
      <c r="EI17" s="79">
        <f t="shared" si="15"/>
        <v>1.5766666666731533E-2</v>
      </c>
      <c r="EJ17" s="79">
        <f t="shared" si="15"/>
        <v>1.5766666666731533E-2</v>
      </c>
      <c r="EK17" s="79">
        <f t="shared" si="15"/>
        <v>1.5766666666731533E-2</v>
      </c>
      <c r="EL17" s="79">
        <f t="shared" si="15"/>
        <v>1.5766666666731533E-2</v>
      </c>
      <c r="EM17" s="79">
        <f t="shared" si="15"/>
        <v>1.5766666666731533E-2</v>
      </c>
      <c r="EN17" s="79">
        <f t="shared" si="15"/>
        <v>1.5766666666731533E-2</v>
      </c>
      <c r="EO17" s="79">
        <f t="shared" si="15"/>
        <v>1.5766666666731533E-2</v>
      </c>
      <c r="EP17" s="79">
        <f t="shared" si="15"/>
        <v>1.5766666666731533E-2</v>
      </c>
      <c r="EQ17" s="79">
        <f t="shared" si="15"/>
        <v>1.5766666666731533E-2</v>
      </c>
      <c r="ER17" s="79">
        <f t="shared" si="15"/>
        <v>1.5766666666731533E-2</v>
      </c>
      <c r="ES17" s="79">
        <f t="shared" si="15"/>
        <v>1.5766666666731533E-2</v>
      </c>
      <c r="ET17" s="79">
        <f t="shared" si="15"/>
        <v>1.5766666666731533E-2</v>
      </c>
      <c r="EU17" s="87"/>
      <c r="EV17" s="87"/>
      <c r="EW17" s="87"/>
      <c r="EX17" s="87"/>
      <c r="EY17" s="87"/>
      <c r="EZ17" s="87"/>
      <c r="FA17" s="137"/>
      <c r="FC17" s="27"/>
      <c r="FF17" s="698" t="s">
        <v>2331</v>
      </c>
      <c r="FG17" s="700">
        <v>2.35E-2</v>
      </c>
      <c r="FH17" s="700">
        <v>120</v>
      </c>
      <c r="FI17" s="699">
        <v>0.02</v>
      </c>
      <c r="FJ17" s="699">
        <v>1.4999999999999999E-2</v>
      </c>
      <c r="FK17" s="71">
        <f t="shared" si="11"/>
        <v>4.7222222222222224E-4</v>
      </c>
      <c r="FL17" t="e">
        <f>VLOOKUP(FF17,'SIMULADOR COM SALDO'!$BX$22:$CK$500,13,FALSE)</f>
        <v>#N/A</v>
      </c>
      <c r="FM17" s="166">
        <f t="shared" si="12"/>
        <v>1.9699999999999999E-2</v>
      </c>
    </row>
    <row r="18" spans="5:169" customFormat="1" x14ac:dyDescent="0.25">
      <c r="E18" s="77"/>
      <c r="F18" s="97">
        <f t="shared" si="13"/>
        <v>1.5994444444444447E-2</v>
      </c>
      <c r="G18" s="79">
        <f t="shared" si="10"/>
        <v>1.8498430108349347E-2</v>
      </c>
      <c r="H18" s="79">
        <f t="shared" si="18"/>
        <v>1.8495343942532851E-2</v>
      </c>
      <c r="I18" s="79">
        <f t="shared" si="18"/>
        <v>1.8490794110222527E-2</v>
      </c>
      <c r="J18" s="79">
        <f t="shared" si="18"/>
        <v>1.8484832198893127E-2</v>
      </c>
      <c r="K18" s="79">
        <f t="shared" si="18"/>
        <v>1.8477508767579927E-2</v>
      </c>
      <c r="L18" s="79">
        <f t="shared" si="18"/>
        <v>1.8468873340660788E-2</v>
      </c>
      <c r="M18" s="79">
        <f t="shared" si="18"/>
        <v>1.8458974403555803E-2</v>
      </c>
      <c r="N18" s="79">
        <f t="shared" si="18"/>
        <v>1.844785940023861E-2</v>
      </c>
      <c r="O18" s="79">
        <f t="shared" si="18"/>
        <v>1.8435574732450995E-2</v>
      </c>
      <c r="P18" s="79">
        <f t="shared" si="18"/>
        <v>1.842216576052081E-2</v>
      </c>
      <c r="Q18" s="79">
        <f t="shared" si="18"/>
        <v>1.8407676805683105E-2</v>
      </c>
      <c r="R18" s="79">
        <f t="shared" si="18"/>
        <v>1.8392151153803493E-2</v>
      </c>
      <c r="S18" s="79">
        <f t="shared" si="18"/>
        <v>1.8375631060414614E-2</v>
      </c>
      <c r="T18" s="79">
        <f t="shared" si="18"/>
        <v>1.8358157756967752E-2</v>
      </c>
      <c r="U18" s="79">
        <f t="shared" si="18"/>
        <v>1.8339771458217285E-2</v>
      </c>
      <c r="V18" s="79">
        <f t="shared" si="18"/>
        <v>1.8320511370646934E-2</v>
      </c>
      <c r="W18" s="79">
        <f t="shared" si="18"/>
        <v>1.8300415701859987E-2</v>
      </c>
      <c r="X18" s="79">
        <f t="shared" si="18"/>
        <v>1.8279521670852041E-2</v>
      </c>
      <c r="Y18" s="79">
        <f t="shared" si="18"/>
        <v>1.8257865519091691E-2</v>
      </c>
      <c r="Z18" s="79">
        <f t="shared" si="18"/>
        <v>1.8235482522335703E-2</v>
      </c>
      <c r="AA18" s="79">
        <f t="shared" si="18"/>
        <v>1.8212407003111997E-2</v>
      </c>
      <c r="AB18" s="79">
        <f t="shared" si="18"/>
        <v>1.8188672343800873E-2</v>
      </c>
      <c r="AC18" s="79">
        <f t="shared" si="18"/>
        <v>1.8164311000255191E-2</v>
      </c>
      <c r="AD18" s="79">
        <f t="shared" si="18"/>
        <v>1.8139354515898959E-2</v>
      </c>
      <c r="AE18" s="79">
        <f t="shared" si="18"/>
        <v>1.8113833536245849E-2</v>
      </c>
      <c r="AF18" s="79">
        <f t="shared" si="18"/>
        <v>1.8087777823788075E-2</v>
      </c>
      <c r="AG18" s="79">
        <f t="shared" si="18"/>
        <v>1.806121627320139E-2</v>
      </c>
      <c r="AH18" s="79">
        <f t="shared" si="18"/>
        <v>1.8034176926821296E-2</v>
      </c>
      <c r="AI18" s="79">
        <f t="shared" si="18"/>
        <v>1.8006686990344373E-2</v>
      </c>
      <c r="AJ18" s="79">
        <f t="shared" si="18"/>
        <v>1.7978772848712857E-2</v>
      </c>
      <c r="AK18" s="79">
        <f t="shared" si="18"/>
        <v>1.7950460082143037E-2</v>
      </c>
      <c r="AL18" s="79">
        <f t="shared" si="18"/>
        <v>1.7921773482261413E-2</v>
      </c>
      <c r="AM18" s="79">
        <f t="shared" si="18"/>
        <v>1.7892737068311824E-2</v>
      </c>
      <c r="AN18" s="79">
        <f t="shared" si="18"/>
        <v>1.7863374103403964E-2</v>
      </c>
      <c r="AO18" s="79">
        <f t="shared" si="18"/>
        <v>1.7833707110772468E-2</v>
      </c>
      <c r="AP18" s="79">
        <f t="shared" si="18"/>
        <v>1.7803757890017393E-2</v>
      </c>
      <c r="AQ18" s="79">
        <f t="shared" si="18"/>
        <v>1.7773547533302535E-2</v>
      </c>
      <c r="AR18" s="79">
        <f t="shared" si="18"/>
        <v>1.7743096441486351E-2</v>
      </c>
      <c r="AS18" s="79">
        <f t="shared" si="18"/>
        <v>1.7712424340164536E-2</v>
      </c>
      <c r="AT18" s="79">
        <f t="shared" si="18"/>
        <v>1.7681550295603535E-2</v>
      </c>
      <c r="AU18" s="79">
        <f t="shared" si="18"/>
        <v>1.7650492730546329E-2</v>
      </c>
      <c r="AV18" s="79">
        <f t="shared" si="18"/>
        <v>1.7619269439874706E-2</v>
      </c>
      <c r="AW18" s="79">
        <f t="shared" si="18"/>
        <v>1.7587897606111447E-2</v>
      </c>
      <c r="AX18" s="79">
        <f t="shared" si="18"/>
        <v>1.7556393814751003E-2</v>
      </c>
      <c r="AY18" s="79">
        <f t="shared" si="18"/>
        <v>1.7524774069401273E-2</v>
      </c>
      <c r="AZ18" s="79">
        <f t="shared" si="18"/>
        <v>1.7493053806732242E-2</v>
      </c>
      <c r="BA18" s="79">
        <f t="shared" si="18"/>
        <v>1.746124791121453E-2</v>
      </c>
      <c r="BB18" s="79">
        <f t="shared" si="18"/>
        <v>1.7429370729644029E-2</v>
      </c>
      <c r="BC18" s="79">
        <f t="shared" si="18"/>
        <v>1.7397436085442378E-2</v>
      </c>
      <c r="BD18" s="79">
        <f t="shared" si="18"/>
        <v>1.7365457292727152E-2</v>
      </c>
      <c r="BE18" s="79">
        <f t="shared" si="18"/>
        <v>1.733344717014574E-2</v>
      </c>
      <c r="BF18" s="79">
        <f t="shared" si="18"/>
        <v>1.7301418054468404E-2</v>
      </c>
      <c r="BG18" s="79">
        <f t="shared" si="18"/>
        <v>1.7269381813935326E-2</v>
      </c>
      <c r="BH18" s="79">
        <f t="shared" si="18"/>
        <v>1.7237349861356031E-2</v>
      </c>
      <c r="BI18" s="79">
        <f t="shared" si="18"/>
        <v>1.7205333166956722E-2</v>
      </c>
      <c r="BJ18" s="79">
        <f t="shared" si="18"/>
        <v>1.7173342270973991E-2</v>
      </c>
      <c r="BK18" s="79">
        <f t="shared" si="18"/>
        <v>1.7141387295994102E-2</v>
      </c>
      <c r="BL18" s="79">
        <f t="shared" si="18"/>
        <v>1.710947795903724E-2</v>
      </c>
      <c r="BM18" s="79">
        <f t="shared" si="18"/>
        <v>1.7077623583384008E-2</v>
      </c>
      <c r="BN18" s="79">
        <f t="shared" si="18"/>
        <v>1.7045833110149015E-2</v>
      </c>
      <c r="BO18" s="79">
        <f t="shared" si="18"/>
        <v>1.7014115109595593E-2</v>
      </c>
      <c r="BP18" s="79">
        <f t="shared" si="18"/>
        <v>1.6982477792199524E-2</v>
      </c>
      <c r="BQ18" s="79">
        <f t="shared" si="18"/>
        <v>1.6950929019458584E-2</v>
      </c>
      <c r="BR18" s="79">
        <f t="shared" si="18"/>
        <v>1.6919476314450749E-2</v>
      </c>
      <c r="BS18" s="79">
        <f t="shared" si="18"/>
        <v>1.6888126872144534E-2</v>
      </c>
      <c r="BT18" s="79">
        <f t="shared" si="17"/>
        <v>1.6856887569460608E-2</v>
      </c>
      <c r="BU18" s="79">
        <f t="shared" si="17"/>
        <v>1.6825764975092444E-2</v>
      </c>
      <c r="BV18" s="79">
        <f t="shared" si="17"/>
        <v>1.6794765359081608E-2</v>
      </c>
      <c r="BW18" s="79">
        <f t="shared" si="17"/>
        <v>1.6763894702158572E-2</v>
      </c>
      <c r="BX18" s="79">
        <f t="shared" si="17"/>
        <v>1.6733158704845239E-2</v>
      </c>
      <c r="BY18" s="79">
        <f t="shared" si="17"/>
        <v>1.6702562796327449E-2</v>
      </c>
      <c r="BZ18" s="79">
        <f t="shared" si="17"/>
        <v>1.6672112143098706E-2</v>
      </c>
      <c r="CA18" s="79">
        <f t="shared" si="17"/>
        <v>1.6641811657378859E-2</v>
      </c>
      <c r="CB18" s="79">
        <f t="shared" si="17"/>
        <v>1.6611666005311672E-2</v>
      </c>
      <c r="CC18" s="79">
        <f t="shared" si="17"/>
        <v>1.6581679614945458E-2</v>
      </c>
      <c r="CD18" s="79">
        <f t="shared" si="17"/>
        <v>1.6551856684000072E-2</v>
      </c>
      <c r="CE18" s="79">
        <f t="shared" si="17"/>
        <v>1.652220118742494E-2</v>
      </c>
      <c r="CF18" s="79">
        <f t="shared" si="17"/>
        <v>1.6492716884750496E-2</v>
      </c>
      <c r="CG18" s="79">
        <f t="shared" si="17"/>
        <v>1.646340732723944E-2</v>
      </c>
      <c r="CH18" s="79">
        <f t="shared" si="17"/>
        <v>1.6434275864839459E-2</v>
      </c>
      <c r="CI18" s="79">
        <f t="shared" si="17"/>
        <v>1.6405325652943323E-2</v>
      </c>
      <c r="CJ18" s="79">
        <f t="shared" si="17"/>
        <v>1.6376559658960003E-2</v>
      </c>
      <c r="CK18" s="79">
        <f t="shared" si="17"/>
        <v>1.6347980668698706E-2</v>
      </c>
      <c r="CL18" s="79">
        <f t="shared" si="17"/>
        <v>1.6319591292574317E-2</v>
      </c>
      <c r="CM18" s="79">
        <f t="shared" si="17"/>
        <v>1.6291393971634181E-2</v>
      </c>
      <c r="CN18" s="79">
        <f t="shared" si="17"/>
        <v>1.6263390983411556E-2</v>
      </c>
      <c r="CO18" s="79">
        <f t="shared" si="17"/>
        <v>1.6235584447611216E-2</v>
      </c>
      <c r="CP18" s="79">
        <f t="shared" si="17"/>
        <v>1.6207976331629126E-2</v>
      </c>
      <c r="CQ18" s="79">
        <f t="shared" si="17"/>
        <v>1.6180568455910604E-2</v>
      </c>
      <c r="CR18" s="79">
        <f t="shared" si="17"/>
        <v>1.6153362499152217E-2</v>
      </c>
      <c r="CS18" s="79">
        <f t="shared" si="17"/>
        <v>1.61263600033494E-2</v>
      </c>
      <c r="CT18" s="79">
        <f t="shared" si="17"/>
        <v>1.6099562378695011E-2</v>
      </c>
      <c r="CU18" s="79">
        <f t="shared" si="17"/>
        <v>1.6072970908330979E-2</v>
      </c>
      <c r="CV18" s="79">
        <f t="shared" si="17"/>
        <v>1.6046586752959061E-2</v>
      </c>
      <c r="CW18" s="79">
        <f t="shared" si="17"/>
        <v>1.6020410955312113E-2</v>
      </c>
      <c r="CX18" s="79">
        <f t="shared" si="17"/>
        <v>1.5994444444490601E-2</v>
      </c>
      <c r="CY18" s="79">
        <f t="shared" si="17"/>
        <v>1.5994444444490601E-2</v>
      </c>
      <c r="CZ18" s="79">
        <f t="shared" si="17"/>
        <v>1.5994444444490601E-2</v>
      </c>
      <c r="DA18" s="79">
        <f t="shared" si="17"/>
        <v>1.5994444444490601E-2</v>
      </c>
      <c r="DB18" s="79">
        <f t="shared" si="17"/>
        <v>1.5994444444490601E-2</v>
      </c>
      <c r="DC18" s="79">
        <f t="shared" si="17"/>
        <v>1.5994444444490601E-2</v>
      </c>
      <c r="DD18" s="79">
        <f t="shared" si="17"/>
        <v>1.5994444444490601E-2</v>
      </c>
      <c r="DE18" s="79">
        <f t="shared" si="17"/>
        <v>1.5994444444490601E-2</v>
      </c>
      <c r="DF18" s="79">
        <f t="shared" si="17"/>
        <v>1.5994444444490601E-2</v>
      </c>
      <c r="DG18" s="79">
        <f t="shared" si="17"/>
        <v>1.5994444444490601E-2</v>
      </c>
      <c r="DH18" s="79">
        <f t="shared" si="17"/>
        <v>1.5994444444490601E-2</v>
      </c>
      <c r="DI18" s="79">
        <f t="shared" si="17"/>
        <v>1.5994444444490601E-2</v>
      </c>
      <c r="DJ18" s="79">
        <f t="shared" si="17"/>
        <v>1.5994444444490601E-2</v>
      </c>
      <c r="DK18" s="79">
        <f t="shared" si="17"/>
        <v>1.5994444444490601E-2</v>
      </c>
      <c r="DL18" s="79">
        <f t="shared" si="17"/>
        <v>1.5994444444490601E-2</v>
      </c>
      <c r="DM18" s="79">
        <f t="shared" si="17"/>
        <v>1.5994444444490601E-2</v>
      </c>
      <c r="DN18" s="79">
        <f t="shared" si="17"/>
        <v>1.5994444444490601E-2</v>
      </c>
      <c r="DO18" s="79">
        <f t="shared" si="17"/>
        <v>1.5994444444490601E-2</v>
      </c>
      <c r="DP18" s="79">
        <f t="shared" si="17"/>
        <v>1.5994444444490601E-2</v>
      </c>
      <c r="DQ18" s="79">
        <f t="shared" si="17"/>
        <v>1.5994444444490601E-2</v>
      </c>
      <c r="DR18" s="79">
        <f t="shared" si="17"/>
        <v>1.5994444444490601E-2</v>
      </c>
      <c r="DS18" s="79">
        <f t="shared" si="17"/>
        <v>1.5994444444490601E-2</v>
      </c>
      <c r="DT18" s="79">
        <f t="shared" si="17"/>
        <v>1.5994444444490601E-2</v>
      </c>
      <c r="DU18" s="79">
        <f t="shared" si="17"/>
        <v>1.5994444444490601E-2</v>
      </c>
      <c r="DV18" s="79">
        <f t="shared" si="17"/>
        <v>1.5994444444490601E-2</v>
      </c>
      <c r="DW18" s="79">
        <f t="shared" si="17"/>
        <v>1.5994444444490601E-2</v>
      </c>
      <c r="DX18" s="79">
        <f t="shared" si="17"/>
        <v>1.5994444444490601E-2</v>
      </c>
      <c r="DY18" s="79">
        <f t="shared" si="17"/>
        <v>1.5994444444490601E-2</v>
      </c>
      <c r="DZ18" s="79">
        <f t="shared" si="17"/>
        <v>1.5994444444490601E-2</v>
      </c>
      <c r="EA18" s="79">
        <f t="shared" si="17"/>
        <v>1.5994444444490601E-2</v>
      </c>
      <c r="EB18" s="79">
        <f t="shared" si="17"/>
        <v>1.5994444444490601E-2</v>
      </c>
      <c r="EC18" s="79">
        <f t="shared" si="17"/>
        <v>1.5994444444490601E-2</v>
      </c>
      <c r="ED18" s="79">
        <f t="shared" si="17"/>
        <v>1.5994444444490601E-2</v>
      </c>
      <c r="EE18" s="79">
        <f t="shared" si="16"/>
        <v>1.5994444444490601E-2</v>
      </c>
      <c r="EF18" s="79">
        <f t="shared" si="15"/>
        <v>1.5994444444490601E-2</v>
      </c>
      <c r="EG18" s="79">
        <f t="shared" si="15"/>
        <v>1.5994444444490601E-2</v>
      </c>
      <c r="EH18" s="79">
        <f t="shared" si="15"/>
        <v>1.5994444444490601E-2</v>
      </c>
      <c r="EI18" s="79">
        <f t="shared" si="15"/>
        <v>1.5994444444490601E-2</v>
      </c>
      <c r="EJ18" s="79">
        <f t="shared" si="15"/>
        <v>1.5994444444490601E-2</v>
      </c>
      <c r="EK18" s="79">
        <f t="shared" si="15"/>
        <v>1.5994444444490601E-2</v>
      </c>
      <c r="EL18" s="79">
        <f t="shared" si="15"/>
        <v>1.5994444444490601E-2</v>
      </c>
      <c r="EM18" s="79">
        <f t="shared" si="15"/>
        <v>1.5994444444490601E-2</v>
      </c>
      <c r="EN18" s="79">
        <f t="shared" si="15"/>
        <v>1.5994444444490601E-2</v>
      </c>
      <c r="EO18" s="79">
        <f t="shared" si="15"/>
        <v>1.5994444444490601E-2</v>
      </c>
      <c r="EP18" s="79">
        <f t="shared" si="15"/>
        <v>1.5994444444490601E-2</v>
      </c>
      <c r="EQ18" s="79">
        <f t="shared" si="15"/>
        <v>1.5994444444490601E-2</v>
      </c>
      <c r="ER18" s="79">
        <f t="shared" si="15"/>
        <v>1.5994444444490601E-2</v>
      </c>
      <c r="ES18" s="79">
        <f t="shared" si="15"/>
        <v>1.5994444444490601E-2</v>
      </c>
      <c r="ET18" s="79">
        <f t="shared" si="15"/>
        <v>1.5994444444490601E-2</v>
      </c>
      <c r="EU18" s="87"/>
      <c r="EV18" s="87"/>
      <c r="EW18" s="87"/>
      <c r="EX18" s="87"/>
      <c r="EY18" s="87"/>
      <c r="EZ18" s="87"/>
      <c r="FA18" s="137"/>
      <c r="FC18" s="27"/>
      <c r="FF18" s="698" t="s">
        <v>3439</v>
      </c>
      <c r="FG18" s="700">
        <v>2.5000000000000001E-2</v>
      </c>
      <c r="FH18" s="700">
        <v>120</v>
      </c>
      <c r="FI18" s="699">
        <v>1.8500000000000003E-2</v>
      </c>
      <c r="FJ18" s="699">
        <v>1.3999999999999999E-2</v>
      </c>
      <c r="FK18" s="71">
        <f t="shared" si="11"/>
        <v>6.1111111111111132E-4</v>
      </c>
      <c r="FL18" t="e">
        <f>VLOOKUP(FF18,'SIMULADOR COM SALDO'!$BX$22:$CK$500,13,FALSE)</f>
        <v>#N/A</v>
      </c>
      <c r="FM18" s="166">
        <f t="shared" si="12"/>
        <v>1.8200000000000001E-2</v>
      </c>
    </row>
    <row r="19" spans="5:169" customFormat="1" x14ac:dyDescent="0.25">
      <c r="E19" s="77"/>
      <c r="F19" s="97">
        <f t="shared" si="13"/>
        <v>1.6222222222222225E-2</v>
      </c>
      <c r="G19" s="79">
        <f t="shared" si="10"/>
        <v>1.8498573140154385E-2</v>
      </c>
      <c r="H19" s="79">
        <f t="shared" si="18"/>
        <v>1.8495768435510384E-2</v>
      </c>
      <c r="I19" s="79">
        <f t="shared" si="18"/>
        <v>1.849163393869601E-2</v>
      </c>
      <c r="J19" s="79">
        <f t="shared" si="18"/>
        <v>1.848621673425203E-2</v>
      </c>
      <c r="K19" s="79">
        <f t="shared" si="18"/>
        <v>1.8479562934706796E-2</v>
      </c>
      <c r="L19" s="79">
        <f t="shared" si="18"/>
        <v>1.8471717678293878E-2</v>
      </c>
      <c r="M19" s="79">
        <f t="shared" si="18"/>
        <v>1.8462725128217464E-2</v>
      </c>
      <c r="N19" s="79">
        <f t="shared" si="18"/>
        <v>1.8452628473374744E-2</v>
      </c>
      <c r="O19" s="79">
        <f t="shared" si="18"/>
        <v>1.8441469930444356E-2</v>
      </c>
      <c r="P19" s="79">
        <f t="shared" si="18"/>
        <v>1.8429290747255543E-2</v>
      </c>
      <c r="Q19" s="79">
        <f t="shared" si="18"/>
        <v>1.8416131207349706E-2</v>
      </c>
      <c r="R19" s="79">
        <f t="shared" si="18"/>
        <v>1.8402030635655719E-2</v>
      </c>
      <c r="S19" s="79">
        <f t="shared" si="18"/>
        <v>1.8387027405197157E-2</v>
      </c>
      <c r="T19" s="79">
        <f t="shared" si="18"/>
        <v>1.8371158944754599E-2</v>
      </c>
      <c r="U19" s="79">
        <f t="shared" si="18"/>
        <v>1.8354461747411822E-2</v>
      </c>
      <c r="V19" s="79">
        <f t="shared" si="18"/>
        <v>1.8336971379910662E-2</v>
      </c>
      <c r="W19" s="79">
        <f t="shared" si="18"/>
        <v>1.8318722492750825E-2</v>
      </c>
      <c r="X19" s="79">
        <f t="shared" si="18"/>
        <v>1.8299748830965974E-2</v>
      </c>
      <c r="Y19" s="79">
        <f t="shared" si="18"/>
        <v>1.8280083245515527E-2</v>
      </c>
      <c r="Z19" s="79">
        <f t="shared" si="18"/>
        <v>1.8259757705233071E-2</v>
      </c>
      <c r="AA19" s="79">
        <f t="shared" si="18"/>
        <v>1.8238803309273043E-2</v>
      </c>
      <c r="AB19" s="79">
        <f t="shared" si="18"/>
        <v>1.8217250300003186E-2</v>
      </c>
      <c r="AC19" s="79">
        <f t="shared" si="18"/>
        <v>1.8195128076291867E-2</v>
      </c>
      <c r="AD19" s="79">
        <f t="shared" si="18"/>
        <v>1.8172465207140734E-2</v>
      </c>
      <c r="AE19" s="79">
        <f t="shared" si="18"/>
        <v>1.8149289445617986E-2</v>
      </c>
      <c r="AF19" s="79">
        <f t="shared" si="18"/>
        <v>1.8125627743047872E-2</v>
      </c>
      <c r="AG19" s="79">
        <f t="shared" si="18"/>
        <v>1.8101506263417316E-2</v>
      </c>
      <c r="AH19" s="79">
        <f t="shared" si="18"/>
        <v>1.8076950397959653E-2</v>
      </c>
      <c r="AI19" s="79">
        <f t="shared" si="18"/>
        <v>1.8051984779881122E-2</v>
      </c>
      <c r="AJ19" s="79">
        <f t="shared" si="18"/>
        <v>1.8026633299193694E-2</v>
      </c>
      <c r="AK19" s="79">
        <f t="shared" si="18"/>
        <v>1.8000919117626506E-2</v>
      </c>
      <c r="AL19" s="79">
        <f t="shared" si="18"/>
        <v>1.7974864683582864E-2</v>
      </c>
      <c r="AM19" s="79">
        <f t="shared" si="18"/>
        <v>1.7948491747117167E-2</v>
      </c>
      <c r="AN19" s="79">
        <f t="shared" si="18"/>
        <v>1.7921821374906395E-2</v>
      </c>
      <c r="AO19" s="79">
        <f t="shared" si="18"/>
        <v>1.7894873965190752E-2</v>
      </c>
      <c r="AP19" s="79">
        <f t="shared" si="18"/>
        <v>1.786766926266297E-2</v>
      </c>
      <c r="AQ19" s="79">
        <f t="shared" si="18"/>
        <v>1.7840226373286808E-2</v>
      </c>
      <c r="AR19" s="79">
        <f t="shared" si="18"/>
        <v>1.7812563779022978E-2</v>
      </c>
      <c r="AS19" s="79">
        <f t="shared" si="18"/>
        <v>1.778469935244862E-2</v>
      </c>
      <c r="AT19" s="79">
        <f t="shared" si="18"/>
        <v>1.7756650371253051E-2</v>
      </c>
      <c r="AU19" s="79">
        <f t="shared" si="18"/>
        <v>1.7728433532595265E-2</v>
      </c>
      <c r="AV19" s="79">
        <f t="shared" si="18"/>
        <v>1.7700064967311323E-2</v>
      </c>
      <c r="AW19" s="79">
        <f t="shared" si="18"/>
        <v>1.7671560253958621E-2</v>
      </c>
      <c r="AX19" s="79">
        <f t="shared" si="18"/>
        <v>1.7642934432687125E-2</v>
      </c>
      <c r="AY19" s="79">
        <f t="shared" si="18"/>
        <v>1.7614202018927796E-2</v>
      </c>
      <c r="AZ19" s="79">
        <f t="shared" si="18"/>
        <v>1.7585377016890225E-2</v>
      </c>
      <c r="BA19" s="79">
        <f t="shared" si="18"/>
        <v>1.7556472932860705E-2</v>
      </c>
      <c r="BB19" s="79">
        <f t="shared" si="18"/>
        <v>1.7527502788296616E-2</v>
      </c>
      <c r="BC19" s="79">
        <f t="shared" si="18"/>
        <v>1.7498479132707471E-2</v>
      </c>
      <c r="BD19" s="79">
        <f t="shared" si="18"/>
        <v>1.7469414056322193E-2</v>
      </c>
      <c r="BE19" s="79">
        <f t="shared" si="18"/>
        <v>1.7440319202534735E-2</v>
      </c>
      <c r="BF19" s="79">
        <f t="shared" si="18"/>
        <v>1.7411205780127469E-2</v>
      </c>
      <c r="BG19" s="79">
        <f t="shared" si="18"/>
        <v>1.7382084575266854E-2</v>
      </c>
      <c r="BH19" s="79">
        <f t="shared" si="18"/>
        <v>1.7352965963271079E-2</v>
      </c>
      <c r="BI19" s="79">
        <f t="shared" si="18"/>
        <v>1.7323859920148066E-2</v>
      </c>
      <c r="BJ19" s="79">
        <f t="shared" si="18"/>
        <v>1.7294776033900686E-2</v>
      </c>
      <c r="BK19" s="79">
        <f t="shared" si="18"/>
        <v>1.7265723515601569E-2</v>
      </c>
      <c r="BL19" s="79">
        <f t="shared" si="18"/>
        <v>1.723671121023462E-2</v>
      </c>
      <c r="BM19" s="79">
        <f t="shared" si="18"/>
        <v>1.7207747607304855E-2</v>
      </c>
      <c r="BN19" s="79">
        <f t="shared" si="18"/>
        <v>1.7178840851217823E-2</v>
      </c>
      <c r="BO19" s="79">
        <f t="shared" si="18"/>
        <v>1.7149998751427163E-2</v>
      </c>
      <c r="BP19" s="79">
        <f t="shared" si="18"/>
        <v>1.7121228792354688E-2</v>
      </c>
      <c r="BQ19" s="79">
        <f t="shared" si="18"/>
        <v>1.7092538143081887E-2</v>
      </c>
      <c r="BR19" s="79">
        <f t="shared" si="18"/>
        <v>1.7063933666816772E-2</v>
      </c>
      <c r="BS19" s="79">
        <f t="shared" si="18"/>
        <v>1.7035421930136362E-2</v>
      </c>
      <c r="BT19" s="79">
        <f t="shared" si="17"/>
        <v>1.7007009212008633E-2</v>
      </c>
      <c r="BU19" s="79">
        <f t="shared" si="17"/>
        <v>1.6978701512596204E-2</v>
      </c>
      <c r="BV19" s="79">
        <f t="shared" si="17"/>
        <v>1.6950504561842168E-2</v>
      </c>
      <c r="BW19" s="79">
        <f t="shared" si="17"/>
        <v>1.6922423827845864E-2</v>
      </c>
      <c r="BX19" s="79">
        <f t="shared" si="17"/>
        <v>1.6894464525025542E-2</v>
      </c>
      <c r="BY19" s="79">
        <f t="shared" si="17"/>
        <v>1.6866631622076224E-2</v>
      </c>
      <c r="BZ19" s="79">
        <f t="shared" si="17"/>
        <v>1.683892984972243E-2</v>
      </c>
      <c r="CA19" s="79">
        <f t="shared" si="17"/>
        <v>1.6811363708270865E-2</v>
      </c>
      <c r="CB19" s="79">
        <f t="shared" si="17"/>
        <v>1.6783937474966409E-2</v>
      </c>
      <c r="CC19" s="79">
        <f t="shared" si="17"/>
        <v>1.6756655211153951E-2</v>
      </c>
      <c r="CD19" s="79">
        <f t="shared" si="17"/>
        <v>1.6729520769250366E-2</v>
      </c>
      <c r="CE19" s="79">
        <f t="shared" si="17"/>
        <v>1.6702537799529453E-2</v>
      </c>
      <c r="CF19" s="79">
        <f t="shared" si="17"/>
        <v>1.6675709756724798E-2</v>
      </c>
      <c r="CG19" s="79">
        <f t="shared" si="17"/>
        <v>1.6649039906452806E-2</v>
      </c>
      <c r="CH19" s="79">
        <f t="shared" si="17"/>
        <v>1.6622531331459151E-2</v>
      </c>
      <c r="CI19" s="79">
        <f t="shared" si="17"/>
        <v>1.6596186937694751E-2</v>
      </c>
      <c r="CJ19" s="79">
        <f t="shared" si="17"/>
        <v>1.6570009460221982E-2</v>
      </c>
      <c r="CK19" s="79">
        <f t="shared" si="17"/>
        <v>1.6544001468956241E-2</v>
      </c>
      <c r="CL19" s="79">
        <f t="shared" si="17"/>
        <v>1.6518165374246999E-2</v>
      </c>
      <c r="CM19" s="79">
        <f t="shared" si="17"/>
        <v>1.6492503432300871E-2</v>
      </c>
      <c r="CN19" s="79">
        <f t="shared" si="17"/>
        <v>1.6467017750449352E-2</v>
      </c>
      <c r="CO19" s="79">
        <f t="shared" si="17"/>
        <v>1.6441710292268347E-2</v>
      </c>
      <c r="CP19" s="79">
        <f t="shared" si="17"/>
        <v>1.6416582882549078E-2</v>
      </c>
      <c r="CQ19" s="79">
        <f t="shared" si="17"/>
        <v>1.6391637212125363E-2</v>
      </c>
      <c r="CR19" s="79">
        <f t="shared" si="17"/>
        <v>1.6366874842562582E-2</v>
      </c>
      <c r="CS19" s="79">
        <f t="shared" si="17"/>
        <v>1.6342297210707436E-2</v>
      </c>
      <c r="CT19" s="79">
        <f t="shared" si="17"/>
        <v>1.6317905633106526E-2</v>
      </c>
      <c r="CU19" s="79">
        <f t="shared" si="17"/>
        <v>1.6293701310294003E-2</v>
      </c>
      <c r="CV19" s="79">
        <f t="shared" si="17"/>
        <v>1.6269685330951748E-2</v>
      </c>
      <c r="CW19" s="79">
        <f t="shared" si="17"/>
        <v>1.6245858675948435E-2</v>
      </c>
      <c r="CX19" s="79">
        <f t="shared" si="17"/>
        <v>1.6222222222254723E-2</v>
      </c>
      <c r="CY19" s="79">
        <f t="shared" si="17"/>
        <v>1.6222222222254723E-2</v>
      </c>
      <c r="CZ19" s="79">
        <f t="shared" si="17"/>
        <v>1.6222222222254723E-2</v>
      </c>
      <c r="DA19" s="79">
        <f t="shared" si="17"/>
        <v>1.6222222222254723E-2</v>
      </c>
      <c r="DB19" s="79">
        <f t="shared" si="17"/>
        <v>1.6222222222254723E-2</v>
      </c>
      <c r="DC19" s="79">
        <f t="shared" si="17"/>
        <v>1.6222222222254723E-2</v>
      </c>
      <c r="DD19" s="79">
        <f t="shared" si="17"/>
        <v>1.6222222222254723E-2</v>
      </c>
      <c r="DE19" s="79">
        <f t="shared" si="17"/>
        <v>1.6222222222254723E-2</v>
      </c>
      <c r="DF19" s="79">
        <f t="shared" si="17"/>
        <v>1.6222222222254723E-2</v>
      </c>
      <c r="DG19" s="79">
        <f t="shared" si="17"/>
        <v>1.6222222222254723E-2</v>
      </c>
      <c r="DH19" s="79">
        <f t="shared" si="17"/>
        <v>1.6222222222254723E-2</v>
      </c>
      <c r="DI19" s="79">
        <f t="shared" si="17"/>
        <v>1.6222222222254723E-2</v>
      </c>
      <c r="DJ19" s="79">
        <f t="shared" si="17"/>
        <v>1.6222222222254723E-2</v>
      </c>
      <c r="DK19" s="79">
        <f t="shared" si="17"/>
        <v>1.6222222222254723E-2</v>
      </c>
      <c r="DL19" s="79">
        <f t="shared" si="17"/>
        <v>1.6222222222254723E-2</v>
      </c>
      <c r="DM19" s="79">
        <f t="shared" si="17"/>
        <v>1.6222222222254723E-2</v>
      </c>
      <c r="DN19" s="79">
        <f t="shared" si="17"/>
        <v>1.6222222222254723E-2</v>
      </c>
      <c r="DO19" s="79">
        <f t="shared" si="17"/>
        <v>1.6222222222254723E-2</v>
      </c>
      <c r="DP19" s="79">
        <f t="shared" si="17"/>
        <v>1.6222222222254723E-2</v>
      </c>
      <c r="DQ19" s="79">
        <f t="shared" si="17"/>
        <v>1.6222222222254723E-2</v>
      </c>
      <c r="DR19" s="79">
        <f t="shared" si="17"/>
        <v>1.6222222222254723E-2</v>
      </c>
      <c r="DS19" s="79">
        <f t="shared" si="17"/>
        <v>1.6222222222254723E-2</v>
      </c>
      <c r="DT19" s="79">
        <f t="shared" si="17"/>
        <v>1.6222222222254723E-2</v>
      </c>
      <c r="DU19" s="79">
        <f t="shared" si="17"/>
        <v>1.6222222222254723E-2</v>
      </c>
      <c r="DV19" s="79">
        <f t="shared" si="17"/>
        <v>1.6222222222254723E-2</v>
      </c>
      <c r="DW19" s="79">
        <f t="shared" si="17"/>
        <v>1.6222222222254723E-2</v>
      </c>
      <c r="DX19" s="79">
        <f t="shared" si="17"/>
        <v>1.6222222222254723E-2</v>
      </c>
      <c r="DY19" s="79">
        <f t="shared" si="17"/>
        <v>1.6222222222254723E-2</v>
      </c>
      <c r="DZ19" s="79">
        <f t="shared" si="17"/>
        <v>1.6222222222254723E-2</v>
      </c>
      <c r="EA19" s="79">
        <f t="shared" si="17"/>
        <v>1.6222222222254723E-2</v>
      </c>
      <c r="EB19" s="79">
        <f t="shared" si="17"/>
        <v>1.6222222222254723E-2</v>
      </c>
      <c r="EC19" s="79">
        <f t="shared" si="17"/>
        <v>1.6222222222254723E-2</v>
      </c>
      <c r="ED19" s="79">
        <f t="shared" si="17"/>
        <v>1.6222222222254723E-2</v>
      </c>
      <c r="EE19" s="79">
        <f t="shared" si="16"/>
        <v>1.6222222222254723E-2</v>
      </c>
      <c r="EF19" s="79">
        <f t="shared" si="15"/>
        <v>1.6222222222254723E-2</v>
      </c>
      <c r="EG19" s="79">
        <f t="shared" si="15"/>
        <v>1.6222222222254723E-2</v>
      </c>
      <c r="EH19" s="79">
        <f t="shared" si="15"/>
        <v>1.6222222222254723E-2</v>
      </c>
      <c r="EI19" s="79">
        <f t="shared" si="15"/>
        <v>1.6222222222254723E-2</v>
      </c>
      <c r="EJ19" s="79">
        <f t="shared" si="15"/>
        <v>1.6222222222254723E-2</v>
      </c>
      <c r="EK19" s="79">
        <f t="shared" si="15"/>
        <v>1.6222222222254723E-2</v>
      </c>
      <c r="EL19" s="79">
        <f t="shared" si="15"/>
        <v>1.6222222222254723E-2</v>
      </c>
      <c r="EM19" s="79">
        <f t="shared" si="15"/>
        <v>1.6222222222254723E-2</v>
      </c>
      <c r="EN19" s="79">
        <f t="shared" si="15"/>
        <v>1.6222222222254723E-2</v>
      </c>
      <c r="EO19" s="79">
        <f t="shared" si="15"/>
        <v>1.6222222222254723E-2</v>
      </c>
      <c r="EP19" s="79">
        <f t="shared" si="15"/>
        <v>1.6222222222254723E-2</v>
      </c>
      <c r="EQ19" s="79">
        <f t="shared" si="15"/>
        <v>1.6222222222254723E-2</v>
      </c>
      <c r="ER19" s="79">
        <f t="shared" si="15"/>
        <v>1.6222222222254723E-2</v>
      </c>
      <c r="ES19" s="79">
        <f t="shared" si="15"/>
        <v>1.6222222222254723E-2</v>
      </c>
      <c r="ET19" s="79">
        <f t="shared" si="15"/>
        <v>1.6222222222254723E-2</v>
      </c>
      <c r="EU19" s="87"/>
      <c r="EV19" s="87"/>
      <c r="EW19" s="87"/>
      <c r="EX19" s="87"/>
      <c r="EY19" s="87"/>
      <c r="EZ19" s="87"/>
      <c r="FA19" s="137"/>
      <c r="FC19" s="27"/>
      <c r="FF19" s="698" t="s">
        <v>2995</v>
      </c>
      <c r="FG19" s="700">
        <v>2.5000000000000001E-2</v>
      </c>
      <c r="FH19" s="700">
        <v>96</v>
      </c>
      <c r="FI19" s="699">
        <v>1.7500000000000002E-2</v>
      </c>
      <c r="FJ19" s="699">
        <v>1.3999999999999999E-2</v>
      </c>
      <c r="FK19" s="71">
        <f t="shared" si="11"/>
        <v>6.1111111111111132E-4</v>
      </c>
      <c r="FL19" t="e">
        <f>VLOOKUP(FF19,'SIMULADOR COM SALDO'!$BX$22:$CK$500,13,FALSE)</f>
        <v>#N/A</v>
      </c>
      <c r="FM19" s="166">
        <f t="shared" si="12"/>
        <v>1.72E-2</v>
      </c>
    </row>
    <row r="20" spans="5:169" customFormat="1" x14ac:dyDescent="0.25">
      <c r="E20" s="77"/>
      <c r="F20" s="97">
        <f t="shared" si="13"/>
        <v>1.6450000000000003E-2</v>
      </c>
      <c r="G20" s="79">
        <f t="shared" si="10"/>
        <v>1.8498716108958244E-2</v>
      </c>
      <c r="H20" s="79">
        <f t="shared" si="18"/>
        <v>1.8496192684897043E-2</v>
      </c>
      <c r="I20" s="79">
        <f t="shared" si="18"/>
        <v>1.8492473179649908E-2</v>
      </c>
      <c r="J20" s="79">
        <f t="shared" si="18"/>
        <v>1.8487600137189475E-2</v>
      </c>
      <c r="K20" s="79">
        <f t="shared" si="18"/>
        <v>1.8481615193333918E-2</v>
      </c>
      <c r="L20" s="79">
        <f t="shared" si="18"/>
        <v>1.8474559076743328E-2</v>
      </c>
      <c r="M20" s="79">
        <f t="shared" si="18"/>
        <v>1.8466471611131029E-2</v>
      </c>
      <c r="N20" s="79">
        <f t="shared" si="18"/>
        <v>1.8457391718609051E-2</v>
      </c>
      <c r="O20" s="79">
        <f t="shared" si="18"/>
        <v>1.844735742409602E-2</v>
      </c>
      <c r="P20" s="79">
        <f t="shared" si="18"/>
        <v>1.8436405860711672E-2</v>
      </c>
      <c r="Q20" s="79">
        <f t="shared" si="18"/>
        <v>1.8424573276091517E-2</v>
      </c>
      <c r="R20" s="79">
        <f t="shared" si="18"/>
        <v>1.8411895039549701E-2</v>
      </c>
      <c r="S20" s="79">
        <f t="shared" si="18"/>
        <v>1.83984056500286E-2</v>
      </c>
      <c r="T20" s="79">
        <f t="shared" si="18"/>
        <v>1.8384138744769851E-2</v>
      </c>
      <c r="U20" s="79">
        <f t="shared" si="18"/>
        <v>1.8369127108648482E-2</v>
      </c>
      <c r="V20" s="79">
        <f t="shared" si="18"/>
        <v>1.8353402684111224E-2</v>
      </c>
      <c r="W20" s="79">
        <f t="shared" si="18"/>
        <v>1.8336996581664079E-2</v>
      </c>
      <c r="X20" s="79">
        <f t="shared" si="18"/>
        <v>1.8319939090858411E-2</v>
      </c>
      <c r="Y20" s="79">
        <f t="shared" si="18"/>
        <v>1.8302259691721636E-2</v>
      </c>
      <c r="Z20" s="79">
        <f t="shared" si="18"/>
        <v>1.8283987066589763E-2</v>
      </c>
      <c r="AA20" s="79">
        <f t="shared" si="18"/>
        <v>1.8265149112291771E-2</v>
      </c>
      <c r="AB20" s="79">
        <f t="shared" si="18"/>
        <v>1.8245772952646112E-2</v>
      </c>
      <c r="AC20" s="79">
        <f t="shared" si="18"/>
        <v>1.8225884951228236E-2</v>
      </c>
      <c r="AD20" s="79">
        <f t="shared" si="18"/>
        <v>1.8205510724368313E-2</v>
      </c>
      <c r="AE20" s="79">
        <f t="shared" si="18"/>
        <v>1.8184675154347532E-2</v>
      </c>
      <c r="AF20" s="79">
        <f t="shared" si="18"/>
        <v>1.8163402402753524E-2</v>
      </c>
      <c r="AG20" s="79">
        <f t="shared" si="18"/>
        <v>1.8141715923967218E-2</v>
      </c>
      <c r="AH20" s="79">
        <f t="shared" si="18"/>
        <v>1.8119638478748763E-2</v>
      </c>
      <c r="AI20" s="79">
        <f t="shared" si="18"/>
        <v>1.8097192147894795E-2</v>
      </c>
      <c r="AJ20" s="79">
        <f t="shared" si="18"/>
        <v>1.8074398345941097E-2</v>
      </c>
      <c r="AK20" s="79">
        <f t="shared" si="18"/>
        <v>1.8051277834885703E-2</v>
      </c>
      <c r="AL20" s="79">
        <f t="shared" si="18"/>
        <v>1.8027850737909214E-2</v>
      </c>
      <c r="AM20" s="79">
        <f t="shared" si="18"/>
        <v>1.8004136553072099E-2</v>
      </c>
      <c r="AN20" s="79">
        <f t="shared" si="18"/>
        <v>1.7980154166968319E-2</v>
      </c>
      <c r="AO20" s="79">
        <f t="shared" si="18"/>
        <v>1.795592186831731E-2</v>
      </c>
      <c r="AP20" s="79">
        <f t="shared" si="18"/>
        <v>1.793145736147737E-2</v>
      </c>
      <c r="AQ20" s="79">
        <f t="shared" si="18"/>
        <v>1.7906777779865365E-2</v>
      </c>
      <c r="AR20" s="79">
        <f t="shared" si="18"/>
        <v>1.7881899699268646E-2</v>
      </c>
      <c r="AS20" s="79">
        <f t="shared" si="18"/>
        <v>1.7856839151034514E-2</v>
      </c>
      <c r="AT20" s="79">
        <f t="shared" si="18"/>
        <v>1.7831611635128804E-2</v>
      </c>
      <c r="AU20" s="79">
        <f t="shared" si="18"/>
        <v>1.7806232133049053E-2</v>
      </c>
      <c r="AV20" s="79">
        <f t="shared" si="18"/>
        <v>1.7780715120584215E-2</v>
      </c>
      <c r="AW20" s="79">
        <f t="shared" si="18"/>
        <v>1.7755074580414577E-2</v>
      </c>
      <c r="AX20" s="79">
        <f t="shared" si="18"/>
        <v>1.7729324014538611E-2</v>
      </c>
      <c r="AY20" s="79">
        <f t="shared" si="18"/>
        <v>1.7703476456524536E-2</v>
      </c>
      <c r="AZ20" s="79">
        <f t="shared" si="18"/>
        <v>1.7677544483579909E-2</v>
      </c>
      <c r="BA20" s="79">
        <f t="shared" si="18"/>
        <v>1.7651540228430275E-2</v>
      </c>
      <c r="BB20" s="79">
        <f t="shared" si="18"/>
        <v>1.7625475391007284E-2</v>
      </c>
      <c r="BC20" s="79">
        <f t="shared" si="18"/>
        <v>1.7599361249938481E-2</v>
      </c>
      <c r="BD20" s="79">
        <f t="shared" si="18"/>
        <v>1.7573208673837132E-2</v>
      </c>
      <c r="BE20" s="79">
        <f t="shared" si="18"/>
        <v>1.7547028132389366E-2</v>
      </c>
      <c r="BF20" s="79">
        <f t="shared" si="18"/>
        <v>1.7520829707235411E-2</v>
      </c>
      <c r="BG20" s="79">
        <f t="shared" si="18"/>
        <v>1.7494623102644921E-2</v>
      </c>
      <c r="BH20" s="79">
        <f t="shared" si="18"/>
        <v>1.7468417655983091E-2</v>
      </c>
      <c r="BI20" s="79">
        <f t="shared" si="18"/>
        <v>1.7442222347968685E-2</v>
      </c>
      <c r="BJ20" s="79">
        <f t="shared" si="18"/>
        <v>1.7416045812722707E-2</v>
      </c>
      <c r="BK20" s="79">
        <f t="shared" si="18"/>
        <v>1.7389896347607698E-2</v>
      </c>
      <c r="BL20" s="79">
        <f t="shared" si="18"/>
        <v>1.7363781922858566E-2</v>
      </c>
      <c r="BM20" s="79">
        <f t="shared" si="18"/>
        <v>1.7337710191004461E-2</v>
      </c>
      <c r="BN20" s="79">
        <f t="shared" si="18"/>
        <v>1.7311688496084523E-2</v>
      </c>
      <c r="BO20" s="79">
        <f t="shared" si="18"/>
        <v>1.7285723882657509E-2</v>
      </c>
      <c r="BP20" s="79">
        <f t="shared" si="18"/>
        <v>1.7259823104606466E-2</v>
      </c>
      <c r="BQ20" s="79">
        <f t="shared" si="18"/>
        <v>1.7233992633741087E-2</v>
      </c>
      <c r="BR20" s="79">
        <f t="shared" si="18"/>
        <v>1.7208238668199871E-2</v>
      </c>
      <c r="BS20" s="79">
        <f t="shared" ref="BS20:ED23" si="19">IF(BS$9&lt;=$K$6,RATE($K$6,1,BS47,0),"")</f>
        <v>1.7182567140652617E-2</v>
      </c>
      <c r="BT20" s="79">
        <f t="shared" si="19"/>
        <v>1.7156983726307612E-2</v>
      </c>
      <c r="BU20" s="79">
        <f t="shared" si="19"/>
        <v>1.7131493850724669E-2</v>
      </c>
      <c r="BV20" s="79">
        <f t="shared" si="19"/>
        <v>1.710610269743593E-2</v>
      </c>
      <c r="BW20" s="79">
        <f t="shared" si="19"/>
        <v>1.708081521537964E-2</v>
      </c>
      <c r="BX20" s="79">
        <f t="shared" si="19"/>
        <v>1.7055636126146363E-2</v>
      </c>
      <c r="BY20" s="79">
        <f t="shared" si="19"/>
        <v>1.7030569931043991E-2</v>
      </c>
      <c r="BZ20" s="79">
        <f t="shared" si="19"/>
        <v>1.7005620917980583E-2</v>
      </c>
      <c r="CA20" s="79">
        <f t="shared" si="19"/>
        <v>1.6980793168172425E-2</v>
      </c>
      <c r="CB20" s="79">
        <f t="shared" si="19"/>
        <v>1.6956090562676399E-2</v>
      </c>
      <c r="CC20" s="79">
        <f t="shared" si="19"/>
        <v>1.6931516788752234E-2</v>
      </c>
      <c r="CD20" s="79">
        <f t="shared" si="19"/>
        <v>1.6907075346057131E-2</v>
      </c>
      <c r="CE20" s="79">
        <f t="shared" si="19"/>
        <v>1.6882769552675921E-2</v>
      </c>
      <c r="CF20" s="79">
        <f t="shared" si="19"/>
        <v>1.6858602550989258E-2</v>
      </c>
      <c r="CG20" s="79">
        <f t="shared" si="19"/>
        <v>1.6834577313384495E-2</v>
      </c>
      <c r="CH20" s="79">
        <f t="shared" si="19"/>
        <v>1.6810696647811776E-2</v>
      </c>
      <c r="CI20" s="79">
        <f t="shared" si="19"/>
        <v>1.6786963203187653E-2</v>
      </c>
      <c r="CJ20" s="79">
        <f t="shared" si="19"/>
        <v>1.676337947465072E-2</v>
      </c>
      <c r="CK20" s="79">
        <f t="shared" si="19"/>
        <v>1.6739947808672509E-2</v>
      </c>
      <c r="CL20" s="79">
        <f t="shared" si="19"/>
        <v>1.6716670408025623E-2</v>
      </c>
      <c r="CM20" s="79">
        <f t="shared" si="19"/>
        <v>1.6693549336612851E-2</v>
      </c>
      <c r="CN20" s="79">
        <f t="shared" si="19"/>
        <v>1.667058652416219E-2</v>
      </c>
      <c r="CO20" s="79">
        <f t="shared" si="19"/>
        <v>1.6647783770786677E-2</v>
      </c>
      <c r="CP20" s="79">
        <f t="shared" si="19"/>
        <v>1.6625142751416525E-2</v>
      </c>
      <c r="CQ20" s="79">
        <f t="shared" si="19"/>
        <v>1.6602665020105267E-2</v>
      </c>
      <c r="CR20" s="79">
        <f t="shared" si="19"/>
        <v>1.6580352014209807E-2</v>
      </c>
      <c r="CS20" s="79">
        <f t="shared" si="19"/>
        <v>1.6558205058453096E-2</v>
      </c>
      <c r="CT20" s="79">
        <f t="shared" si="19"/>
        <v>1.6536225368867348E-2</v>
      </c>
      <c r="CU20" s="79">
        <f t="shared" si="19"/>
        <v>1.6514414056623038E-2</v>
      </c>
      <c r="CV20" s="79">
        <f t="shared" si="19"/>
        <v>1.6492772131746405E-2</v>
      </c>
      <c r="CW20" s="79">
        <f t="shared" si="19"/>
        <v>1.6471300506727515E-2</v>
      </c>
      <c r="CX20" s="79">
        <f t="shared" si="19"/>
        <v>1.6450000000022842E-2</v>
      </c>
      <c r="CY20" s="79">
        <f t="shared" si="19"/>
        <v>1.6450000000022842E-2</v>
      </c>
      <c r="CZ20" s="79">
        <f t="shared" si="19"/>
        <v>1.6450000000022842E-2</v>
      </c>
      <c r="DA20" s="79">
        <f t="shared" si="19"/>
        <v>1.6450000000022842E-2</v>
      </c>
      <c r="DB20" s="79">
        <f t="shared" si="19"/>
        <v>1.6450000000022842E-2</v>
      </c>
      <c r="DC20" s="79">
        <f t="shared" si="19"/>
        <v>1.6450000000022842E-2</v>
      </c>
      <c r="DD20" s="79">
        <f t="shared" si="19"/>
        <v>1.6450000000022842E-2</v>
      </c>
      <c r="DE20" s="79">
        <f t="shared" si="19"/>
        <v>1.6450000000022842E-2</v>
      </c>
      <c r="DF20" s="79">
        <f t="shared" si="19"/>
        <v>1.6450000000022842E-2</v>
      </c>
      <c r="DG20" s="79">
        <f t="shared" si="19"/>
        <v>1.6450000000022842E-2</v>
      </c>
      <c r="DH20" s="79">
        <f t="shared" si="19"/>
        <v>1.6450000000022842E-2</v>
      </c>
      <c r="DI20" s="79">
        <f t="shared" si="19"/>
        <v>1.6450000000022842E-2</v>
      </c>
      <c r="DJ20" s="79">
        <f t="shared" si="19"/>
        <v>1.6450000000022842E-2</v>
      </c>
      <c r="DK20" s="79">
        <f t="shared" si="19"/>
        <v>1.6450000000022842E-2</v>
      </c>
      <c r="DL20" s="79">
        <f t="shared" si="19"/>
        <v>1.6450000000022842E-2</v>
      </c>
      <c r="DM20" s="79">
        <f t="shared" si="19"/>
        <v>1.6450000000022842E-2</v>
      </c>
      <c r="DN20" s="79">
        <f t="shared" si="19"/>
        <v>1.6450000000022842E-2</v>
      </c>
      <c r="DO20" s="79">
        <f t="shared" si="19"/>
        <v>1.6450000000022842E-2</v>
      </c>
      <c r="DP20" s="79">
        <f t="shared" si="19"/>
        <v>1.6450000000022842E-2</v>
      </c>
      <c r="DQ20" s="79">
        <f t="shared" si="19"/>
        <v>1.6450000000022842E-2</v>
      </c>
      <c r="DR20" s="79">
        <f t="shared" si="19"/>
        <v>1.6450000000022842E-2</v>
      </c>
      <c r="DS20" s="79">
        <f t="shared" si="19"/>
        <v>1.6450000000022842E-2</v>
      </c>
      <c r="DT20" s="79">
        <f t="shared" si="19"/>
        <v>1.6450000000022842E-2</v>
      </c>
      <c r="DU20" s="79">
        <f t="shared" si="19"/>
        <v>1.6450000000022842E-2</v>
      </c>
      <c r="DV20" s="79">
        <f t="shared" si="19"/>
        <v>1.6450000000022842E-2</v>
      </c>
      <c r="DW20" s="79">
        <f t="shared" si="19"/>
        <v>1.6450000000022842E-2</v>
      </c>
      <c r="DX20" s="79">
        <f t="shared" si="19"/>
        <v>1.6450000000022842E-2</v>
      </c>
      <c r="DY20" s="79">
        <f t="shared" si="19"/>
        <v>1.6450000000022842E-2</v>
      </c>
      <c r="DZ20" s="79">
        <f t="shared" si="19"/>
        <v>1.6450000000022842E-2</v>
      </c>
      <c r="EA20" s="79">
        <f t="shared" si="19"/>
        <v>1.6450000000022842E-2</v>
      </c>
      <c r="EB20" s="79">
        <f t="shared" si="19"/>
        <v>1.6450000000022842E-2</v>
      </c>
      <c r="EC20" s="79">
        <f t="shared" si="19"/>
        <v>1.6450000000022842E-2</v>
      </c>
      <c r="ED20" s="79">
        <f t="shared" si="19"/>
        <v>1.6450000000022842E-2</v>
      </c>
      <c r="EE20" s="79">
        <f t="shared" si="16"/>
        <v>1.6450000000022842E-2</v>
      </c>
      <c r="EF20" s="79">
        <f t="shared" si="15"/>
        <v>1.6450000000022842E-2</v>
      </c>
      <c r="EG20" s="79">
        <f t="shared" si="15"/>
        <v>1.6450000000022842E-2</v>
      </c>
      <c r="EH20" s="79">
        <f t="shared" si="15"/>
        <v>1.6450000000022842E-2</v>
      </c>
      <c r="EI20" s="79">
        <f t="shared" si="15"/>
        <v>1.6450000000022842E-2</v>
      </c>
      <c r="EJ20" s="79">
        <f t="shared" si="15"/>
        <v>1.6450000000022842E-2</v>
      </c>
      <c r="EK20" s="79">
        <f t="shared" si="15"/>
        <v>1.6450000000022842E-2</v>
      </c>
      <c r="EL20" s="79">
        <f t="shared" si="15"/>
        <v>1.6450000000022842E-2</v>
      </c>
      <c r="EM20" s="79">
        <f t="shared" si="15"/>
        <v>1.6450000000022842E-2</v>
      </c>
      <c r="EN20" s="79">
        <f t="shared" si="15"/>
        <v>1.6450000000022842E-2</v>
      </c>
      <c r="EO20" s="79">
        <f t="shared" si="15"/>
        <v>1.6450000000022842E-2</v>
      </c>
      <c r="EP20" s="79">
        <f t="shared" si="15"/>
        <v>1.6450000000022842E-2</v>
      </c>
      <c r="EQ20" s="79">
        <f t="shared" si="15"/>
        <v>1.6450000000022842E-2</v>
      </c>
      <c r="ER20" s="79">
        <f t="shared" si="15"/>
        <v>1.6450000000022842E-2</v>
      </c>
      <c r="ES20" s="79">
        <f t="shared" si="15"/>
        <v>1.6450000000022842E-2</v>
      </c>
      <c r="ET20" s="79">
        <f t="shared" si="15"/>
        <v>1.6450000000022842E-2</v>
      </c>
      <c r="EU20" s="87"/>
      <c r="EV20" s="87"/>
      <c r="EW20" s="87"/>
      <c r="EX20" s="87"/>
      <c r="EY20" s="87"/>
      <c r="EZ20" s="87"/>
      <c r="FA20" s="137"/>
      <c r="FC20" s="27"/>
      <c r="FF20" s="698" t="s">
        <v>2996</v>
      </c>
      <c r="FG20" s="700">
        <v>2.5000000000000001E-2</v>
      </c>
      <c r="FH20" s="700">
        <v>120</v>
      </c>
      <c r="FI20" s="699">
        <v>2.1000000000000001E-2</v>
      </c>
      <c r="FJ20" s="699">
        <v>1.4999999999999999E-2</v>
      </c>
      <c r="FK20" s="71">
        <f t="shared" si="11"/>
        <v>5.5555555555555566E-4</v>
      </c>
      <c r="FL20" t="e">
        <f>VLOOKUP(FF20,'SIMULADOR COM SALDO'!$BX$22:$CK$500,13,FALSE)</f>
        <v>#N/A</v>
      </c>
      <c r="FM20" s="166">
        <f t="shared" si="12"/>
        <v>2.07E-2</v>
      </c>
    </row>
    <row r="21" spans="5:169" customFormat="1" x14ac:dyDescent="0.25">
      <c r="E21" s="77"/>
      <c r="F21" s="97">
        <f t="shared" si="13"/>
        <v>1.6677777777777781E-2</v>
      </c>
      <c r="G21" s="79">
        <f t="shared" si="10"/>
        <v>1.8498859014802714E-2</v>
      </c>
      <c r="H21" s="79">
        <f t="shared" ref="H21:BS24" si="20">IF(H$9&lt;=$K$6,RATE($K$6,1,H48,0),"")</f>
        <v>1.8496616690888493E-2</v>
      </c>
      <c r="I21" s="79">
        <f t="shared" si="20"/>
        <v>1.8493311833631475E-2</v>
      </c>
      <c r="J21" s="79">
        <f t="shared" si="20"/>
        <v>1.8488982408892324E-2</v>
      </c>
      <c r="K21" s="79">
        <f t="shared" si="20"/>
        <v>1.8483665545657928E-2</v>
      </c>
      <c r="L21" s="79">
        <f t="shared" si="20"/>
        <v>1.8477397539658269E-2</v>
      </c>
      <c r="M21" s="79">
        <f t="shared" si="20"/>
        <v>1.8470213857895577E-2</v>
      </c>
      <c r="N21" s="79">
        <f t="shared" si="20"/>
        <v>1.8462149144023669E-2</v>
      </c>
      <c r="O21" s="79">
        <f t="shared" si="20"/>
        <v>1.8453237224516746E-2</v>
      </c>
      <c r="P21" s="79">
        <f t="shared" si="20"/>
        <v>1.8443511115567624E-2</v>
      </c>
      <c r="Q21" s="79">
        <f t="shared" si="20"/>
        <v>1.8433003030661286E-2</v>
      </c>
      <c r="R21" s="79">
        <f t="shared" si="20"/>
        <v>1.8421744388768709E-2</v>
      </c>
      <c r="S21" s="79">
        <f t="shared" si="20"/>
        <v>1.8409765823107899E-2</v>
      </c>
      <c r="T21" s="79">
        <f t="shared" si="20"/>
        <v>1.8397097190425107E-2</v>
      </c>
      <c r="U21" s="79">
        <f t="shared" si="20"/>
        <v>1.8383767580745086E-2</v>
      </c>
      <c r="V21" s="79">
        <f t="shared" si="20"/>
        <v>1.8369805327549293E-2</v>
      </c>
      <c r="W21" s="79">
        <f t="shared" si="20"/>
        <v>1.8355238018334868E-2</v>
      </c>
      <c r="X21" s="79">
        <f t="shared" si="20"/>
        <v>1.8340092505515843E-2</v>
      </c>
      <c r="Y21" s="79">
        <f t="shared" si="20"/>
        <v>1.8324394917626073E-2</v>
      </c>
      <c r="Z21" s="79">
        <f t="shared" si="20"/>
        <v>1.8308170670788371E-2</v>
      </c>
      <c r="AA21" s="79">
        <f t="shared" si="20"/>
        <v>1.8291444480413102E-2</v>
      </c>
      <c r="AB21" s="79">
        <f t="shared" si="20"/>
        <v>1.827424037309356E-2</v>
      </c>
      <c r="AC21" s="79">
        <f t="shared" si="20"/>
        <v>1.8256581698668731E-2</v>
      </c>
      <c r="AD21" s="79">
        <f t="shared" si="20"/>
        <v>1.8238491142420359E-2</v>
      </c>
      <c r="AE21" s="79">
        <f t="shared" si="20"/>
        <v>1.8219990737379923E-2</v>
      </c>
      <c r="AF21" s="79">
        <f t="shared" si="20"/>
        <v>1.8201101876717998E-2</v>
      </c>
      <c r="AG21" s="79">
        <f t="shared" si="20"/>
        <v>1.818184532619177E-2</v>
      </c>
      <c r="AH21" s="79">
        <f t="shared" si="20"/>
        <v>1.81622412366272E-2</v>
      </c>
      <c r="AI21" s="79">
        <f t="shared" si="20"/>
        <v>1.8142309156416431E-2</v>
      </c>
      <c r="AJ21" s="79">
        <f t="shared" si="20"/>
        <v>1.8122068044008871E-2</v>
      </c>
      <c r="AK21" s="79">
        <f t="shared" si="20"/>
        <v>1.8101536280377539E-2</v>
      </c>
      <c r="AL21" s="79">
        <f t="shared" si="20"/>
        <v>1.8080731681445292E-2</v>
      </c>
      <c r="AM21" s="79">
        <f t="shared" si="20"/>
        <v>1.8059671510451805E-2</v>
      </c>
      <c r="AN21" s="79">
        <f t="shared" si="20"/>
        <v>1.8038372490250865E-2</v>
      </c>
      <c r="AO21" s="79">
        <f t="shared" si="20"/>
        <v>1.8016850815520857E-2</v>
      </c>
      <c r="AP21" s="79">
        <f t="shared" si="20"/>
        <v>1.7995122164877701E-2</v>
      </c>
      <c r="AQ21" s="79">
        <f t="shared" si="20"/>
        <v>1.7973201712879267E-2</v>
      </c>
      <c r="AR21" s="79">
        <f t="shared" si="20"/>
        <v>1.7951104141909164E-2</v>
      </c>
      <c r="AS21" s="79">
        <f t="shared" si="20"/>
        <v>1.792884365393355E-2</v>
      </c>
      <c r="AT21" s="79">
        <f t="shared" si="20"/>
        <v>1.7906433982118129E-2</v>
      </c>
      <c r="AU21" s="79">
        <f t="shared" si="20"/>
        <v>1.7883888402302234E-2</v>
      </c>
      <c r="AV21" s="79">
        <f t="shared" si="20"/>
        <v>1.7861219744319611E-2</v>
      </c>
      <c r="AW21" s="79">
        <f t="shared" si="20"/>
        <v>1.7838440403162355E-2</v>
      </c>
      <c r="AX21" s="79">
        <f t="shared" si="20"/>
        <v>1.7815562349979989E-2</v>
      </c>
      <c r="AY21" s="79">
        <f t="shared" si="20"/>
        <v>1.7792597142911402E-2</v>
      </c>
      <c r="AZ21" s="79">
        <f t="shared" si="20"/>
        <v>1.7769555937744531E-2</v>
      </c>
      <c r="BA21" s="79">
        <f t="shared" si="20"/>
        <v>1.7746449498398941E-2</v>
      </c>
      <c r="BB21" s="79">
        <f t="shared" si="20"/>
        <v>1.7723288207230976E-2</v>
      </c>
      <c r="BC21" s="79">
        <f t="shared" si="20"/>
        <v>1.7700082075156873E-2</v>
      </c>
      <c r="BD21" s="79">
        <f t="shared" si="20"/>
        <v>1.7676840751592784E-2</v>
      </c>
      <c r="BE21" s="79">
        <f t="shared" si="20"/>
        <v>1.7653573534209707E-2</v>
      </c>
      <c r="BF21" s="79">
        <f t="shared" si="20"/>
        <v>1.7630289378502528E-2</v>
      </c>
      <c r="BG21" s="79">
        <f t="shared" si="20"/>
        <v>1.760699690717232E-2</v>
      </c>
      <c r="BH21" s="79">
        <f t="shared" si="20"/>
        <v>1.7583704419321458E-2</v>
      </c>
      <c r="BI21" s="79">
        <f t="shared" si="20"/>
        <v>1.7560419899461784E-2</v>
      </c>
      <c r="BJ21" s="79">
        <f t="shared" si="20"/>
        <v>1.7537151026335587E-2</v>
      </c>
      <c r="BK21" s="79">
        <f t="shared" si="20"/>
        <v>1.7513905181550046E-2</v>
      </c>
      <c r="BL21" s="79">
        <f t="shared" si="20"/>
        <v>1.7490689458026554E-2</v>
      </c>
      <c r="BM21" s="79">
        <f t="shared" si="20"/>
        <v>1.7467510668264623E-2</v>
      </c>
      <c r="BN21" s="79">
        <f t="shared" si="20"/>
        <v>1.7444375352423932E-2</v>
      </c>
      <c r="BO21" s="79">
        <f t="shared" si="20"/>
        <v>1.7421289786222819E-2</v>
      </c>
      <c r="BP21" s="79">
        <f t="shared" si="20"/>
        <v>1.7398259988657752E-2</v>
      </c>
      <c r="BQ21" s="79">
        <f t="shared" si="20"/>
        <v>1.7375291729543517E-2</v>
      </c>
      <c r="BR21" s="79">
        <f t="shared" si="20"/>
        <v>1.7352390536878103E-2</v>
      </c>
      <c r="BS21" s="79">
        <f t="shared" si="20"/>
        <v>1.7329561704031635E-2</v>
      </c>
      <c r="BT21" s="79">
        <f t="shared" si="19"/>
        <v>1.7306810296764962E-2</v>
      </c>
      <c r="BU21" s="79">
        <f t="shared" si="19"/>
        <v>1.7284141160076212E-2</v>
      </c>
      <c r="BV21" s="79">
        <f t="shared" si="19"/>
        <v>1.7261558924881831E-2</v>
      </c>
      <c r="BW21" s="79">
        <f t="shared" si="19"/>
        <v>1.723906801453148E-2</v>
      </c>
      <c r="BX21" s="79">
        <f t="shared" si="19"/>
        <v>1.7216672651161245E-2</v>
      </c>
      <c r="BY21" s="79">
        <f t="shared" si="19"/>
        <v>1.7194376861886185E-2</v>
      </c>
      <c r="BZ21" s="79">
        <f t="shared" si="19"/>
        <v>1.7172184484836386E-2</v>
      </c>
      <c r="CA21" s="79">
        <f t="shared" si="19"/>
        <v>1.7150099175038964E-2</v>
      </c>
      <c r="CB21" s="79">
        <f t="shared" si="19"/>
        <v>1.7128124410146633E-2</v>
      </c>
      <c r="CC21" s="79">
        <f t="shared" si="19"/>
        <v>1.7106263496020523E-2</v>
      </c>
      <c r="CD21" s="79">
        <f t="shared" si="19"/>
        <v>1.7084519572163274E-2</v>
      </c>
      <c r="CE21" s="79">
        <f t="shared" si="19"/>
        <v>1.7062895617011808E-2</v>
      </c>
      <c r="CF21" s="79">
        <f t="shared" si="19"/>
        <v>1.7041394453088252E-2</v>
      </c>
      <c r="CG21" s="79">
        <f t="shared" si="19"/>
        <v>1.7020018752013415E-2</v>
      </c>
      <c r="CH21" s="79">
        <f t="shared" si="19"/>
        <v>1.6998771039385949E-2</v>
      </c>
      <c r="CI21" s="79">
        <f t="shared" si="19"/>
        <v>1.697765369952934E-2</v>
      </c>
      <c r="CJ21" s="79">
        <f t="shared" si="19"/>
        <v>1.6956668980108783E-2</v>
      </c>
      <c r="CK21" s="79">
        <f t="shared" si="19"/>
        <v>1.6935818996624559E-2</v>
      </c>
      <c r="CL21" s="79">
        <f t="shared" si="19"/>
        <v>1.6915105736777878E-2</v>
      </c>
      <c r="CM21" s="79">
        <f t="shared" si="19"/>
        <v>1.6894531064719196E-2</v>
      </c>
      <c r="CN21" s="79">
        <f t="shared" si="19"/>
        <v>1.6874096725177225E-2</v>
      </c>
      <c r="CO21" s="79">
        <f t="shared" si="19"/>
        <v>1.685380434747219E-2</v>
      </c>
      <c r="CP21" s="79">
        <f t="shared" si="19"/>
        <v>1.6833655449417145E-2</v>
      </c>
      <c r="CQ21" s="79">
        <f t="shared" si="19"/>
        <v>1.6813651441109242E-2</v>
      </c>
      <c r="CR21" s="79">
        <f t="shared" si="19"/>
        <v>1.6793793628612348E-2</v>
      </c>
      <c r="CS21" s="79">
        <f t="shared" si="19"/>
        <v>1.6774083217536973E-2</v>
      </c>
      <c r="CT21" s="79">
        <f t="shared" si="19"/>
        <v>1.6754521316515669E-2</v>
      </c>
      <c r="CU21" s="79">
        <f t="shared" si="19"/>
        <v>1.6735108940580088E-2</v>
      </c>
      <c r="CV21" s="79">
        <f t="shared" si="19"/>
        <v>1.6715847014440628E-2</v>
      </c>
      <c r="CW21" s="79">
        <f t="shared" si="19"/>
        <v>1.6696736375669478E-2</v>
      </c>
      <c r="CX21" s="79">
        <f t="shared" si="19"/>
        <v>1.667777777779372E-2</v>
      </c>
      <c r="CY21" s="79">
        <f t="shared" si="19"/>
        <v>1.667777777779372E-2</v>
      </c>
      <c r="CZ21" s="79">
        <f t="shared" si="19"/>
        <v>1.667777777779372E-2</v>
      </c>
      <c r="DA21" s="79">
        <f t="shared" si="19"/>
        <v>1.667777777779372E-2</v>
      </c>
      <c r="DB21" s="79">
        <f t="shared" si="19"/>
        <v>1.667777777779372E-2</v>
      </c>
      <c r="DC21" s="79">
        <f t="shared" si="19"/>
        <v>1.667777777779372E-2</v>
      </c>
      <c r="DD21" s="79">
        <f t="shared" si="19"/>
        <v>1.667777777779372E-2</v>
      </c>
      <c r="DE21" s="79">
        <f t="shared" si="19"/>
        <v>1.667777777779372E-2</v>
      </c>
      <c r="DF21" s="79">
        <f t="shared" si="19"/>
        <v>1.667777777779372E-2</v>
      </c>
      <c r="DG21" s="79">
        <f t="shared" si="19"/>
        <v>1.667777777779372E-2</v>
      </c>
      <c r="DH21" s="79">
        <f t="shared" si="19"/>
        <v>1.667777777779372E-2</v>
      </c>
      <c r="DI21" s="79">
        <f t="shared" si="19"/>
        <v>1.667777777779372E-2</v>
      </c>
      <c r="DJ21" s="79">
        <f t="shared" si="19"/>
        <v>1.667777777779372E-2</v>
      </c>
      <c r="DK21" s="79">
        <f t="shared" si="19"/>
        <v>1.667777777779372E-2</v>
      </c>
      <c r="DL21" s="79">
        <f t="shared" si="19"/>
        <v>1.667777777779372E-2</v>
      </c>
      <c r="DM21" s="79">
        <f t="shared" si="19"/>
        <v>1.667777777779372E-2</v>
      </c>
      <c r="DN21" s="79">
        <f t="shared" si="19"/>
        <v>1.667777777779372E-2</v>
      </c>
      <c r="DO21" s="79">
        <f t="shared" si="19"/>
        <v>1.667777777779372E-2</v>
      </c>
      <c r="DP21" s="79">
        <f t="shared" si="19"/>
        <v>1.667777777779372E-2</v>
      </c>
      <c r="DQ21" s="79">
        <f t="shared" si="19"/>
        <v>1.667777777779372E-2</v>
      </c>
      <c r="DR21" s="79">
        <f t="shared" si="19"/>
        <v>1.667777777779372E-2</v>
      </c>
      <c r="DS21" s="79">
        <f t="shared" si="19"/>
        <v>1.667777777779372E-2</v>
      </c>
      <c r="DT21" s="79">
        <f t="shared" si="19"/>
        <v>1.667777777779372E-2</v>
      </c>
      <c r="DU21" s="79">
        <f t="shared" si="19"/>
        <v>1.667777777779372E-2</v>
      </c>
      <c r="DV21" s="79">
        <f t="shared" si="19"/>
        <v>1.667777777779372E-2</v>
      </c>
      <c r="DW21" s="79">
        <f t="shared" si="19"/>
        <v>1.667777777779372E-2</v>
      </c>
      <c r="DX21" s="79">
        <f t="shared" si="19"/>
        <v>1.667777777779372E-2</v>
      </c>
      <c r="DY21" s="79">
        <f t="shared" si="19"/>
        <v>1.667777777779372E-2</v>
      </c>
      <c r="DZ21" s="79">
        <f t="shared" si="19"/>
        <v>1.667777777779372E-2</v>
      </c>
      <c r="EA21" s="79">
        <f t="shared" si="19"/>
        <v>1.667777777779372E-2</v>
      </c>
      <c r="EB21" s="79">
        <f t="shared" si="19"/>
        <v>1.667777777779372E-2</v>
      </c>
      <c r="EC21" s="79">
        <f t="shared" si="19"/>
        <v>1.667777777779372E-2</v>
      </c>
      <c r="ED21" s="79">
        <f t="shared" si="19"/>
        <v>1.667777777779372E-2</v>
      </c>
      <c r="EE21" s="79">
        <f t="shared" si="16"/>
        <v>1.667777777779372E-2</v>
      </c>
      <c r="EF21" s="79">
        <f t="shared" si="15"/>
        <v>1.667777777779372E-2</v>
      </c>
      <c r="EG21" s="79">
        <f t="shared" si="15"/>
        <v>1.667777777779372E-2</v>
      </c>
      <c r="EH21" s="79">
        <f t="shared" si="15"/>
        <v>1.667777777779372E-2</v>
      </c>
      <c r="EI21" s="79">
        <f t="shared" si="15"/>
        <v>1.667777777779372E-2</v>
      </c>
      <c r="EJ21" s="79">
        <f t="shared" si="15"/>
        <v>1.667777777779372E-2</v>
      </c>
      <c r="EK21" s="79">
        <f t="shared" si="15"/>
        <v>1.667777777779372E-2</v>
      </c>
      <c r="EL21" s="79">
        <f t="shared" si="15"/>
        <v>1.667777777779372E-2</v>
      </c>
      <c r="EM21" s="79">
        <f t="shared" si="15"/>
        <v>1.667777777779372E-2</v>
      </c>
      <c r="EN21" s="79">
        <f t="shared" si="15"/>
        <v>1.667777777779372E-2</v>
      </c>
      <c r="EO21" s="79">
        <f t="shared" si="15"/>
        <v>1.667777777779372E-2</v>
      </c>
      <c r="EP21" s="79">
        <f t="shared" si="15"/>
        <v>1.667777777779372E-2</v>
      </c>
      <c r="EQ21" s="79">
        <f t="shared" si="15"/>
        <v>1.667777777779372E-2</v>
      </c>
      <c r="ER21" s="79">
        <f t="shared" si="15"/>
        <v>1.667777777779372E-2</v>
      </c>
      <c r="ES21" s="79">
        <f t="shared" si="15"/>
        <v>1.667777777779372E-2</v>
      </c>
      <c r="ET21" s="79">
        <f t="shared" si="15"/>
        <v>1.667777777779372E-2</v>
      </c>
      <c r="EU21" s="87"/>
      <c r="EV21" s="87"/>
      <c r="EW21" s="87"/>
      <c r="EX21" s="87"/>
      <c r="EY21" s="87"/>
      <c r="EZ21" s="87"/>
      <c r="FA21" s="137"/>
      <c r="FC21" s="27"/>
      <c r="FF21" s="698" t="s">
        <v>651</v>
      </c>
      <c r="FG21" s="700">
        <v>2.5000000000000001E-2</v>
      </c>
      <c r="FH21" s="700">
        <v>96</v>
      </c>
      <c r="FI21" s="699">
        <v>2.3199999999999998E-2</v>
      </c>
      <c r="FJ21" s="699">
        <v>1.67E-2</v>
      </c>
      <c r="FK21" s="71">
        <f t="shared" si="11"/>
        <v>4.6111111111111119E-4</v>
      </c>
      <c r="FL21" t="e">
        <f>VLOOKUP(FF21,'SIMULADOR COM SALDO'!$BX$22:$CK$500,13,FALSE)</f>
        <v>#N/A</v>
      </c>
      <c r="FM21" s="166">
        <f t="shared" si="12"/>
        <v>2.2899999999999997E-2</v>
      </c>
    </row>
    <row r="22" spans="5:169" customFormat="1" x14ac:dyDescent="0.25">
      <c r="E22" s="77"/>
      <c r="F22" s="97">
        <f t="shared" si="13"/>
        <v>1.6905555555555559E-2</v>
      </c>
      <c r="G22" s="79">
        <f t="shared" si="10"/>
        <v>1.8499001857729454E-2</v>
      </c>
      <c r="H22" s="79">
        <f t="shared" si="20"/>
        <v>1.8497040453680027E-2</v>
      </c>
      <c r="I22" s="79">
        <f t="shared" si="20"/>
        <v>1.8494149901187879E-2</v>
      </c>
      <c r="J22" s="79">
        <f t="shared" si="20"/>
        <v>1.8490363550545893E-2</v>
      </c>
      <c r="K22" s="79">
        <f t="shared" si="20"/>
        <v>1.8485713993872967E-2</v>
      </c>
      <c r="L22" s="79">
        <f t="shared" si="20"/>
        <v>1.8480233070682781E-2</v>
      </c>
      <c r="M22" s="79">
        <f t="shared" si="20"/>
        <v>1.8473951874102321E-2</v>
      </c>
      <c r="N22" s="79">
        <f t="shared" si="20"/>
        <v>1.8466900757689208E-2</v>
      </c>
      <c r="O22" s="79">
        <f t="shared" si="20"/>
        <v>1.845910934280286E-2</v>
      </c>
      <c r="P22" s="79">
        <f t="shared" si="20"/>
        <v>1.8450606526482432E-2</v>
      </c>
      <c r="Q22" s="79">
        <f t="shared" si="20"/>
        <v>1.8441420489789105E-2</v>
      </c>
      <c r="R22" s="79">
        <f t="shared" si="20"/>
        <v>1.8431578706570768E-2</v>
      </c>
      <c r="S22" s="79">
        <f t="shared" si="20"/>
        <v>1.8421107952607985E-2</v>
      </c>
      <c r="T22" s="79">
        <f t="shared" si="20"/>
        <v>1.8410034315107123E-2</v>
      </c>
      <c r="U22" s="79">
        <f t="shared" si="20"/>
        <v>1.839838320249907E-2</v>
      </c>
      <c r="V22" s="79">
        <f t="shared" si="20"/>
        <v>1.8386179354514767E-2</v>
      </c>
      <c r="W22" s="79">
        <f t="shared" si="20"/>
        <v>1.8373446852501044E-2</v>
      </c>
      <c r="X22" s="79">
        <f t="shared" si="20"/>
        <v>1.8360209129947371E-2</v>
      </c>
      <c r="Y22" s="79">
        <f t="shared" si="20"/>
        <v>1.8346488983194274E-2</v>
      </c>
      <c r="Z22" s="79">
        <f t="shared" si="20"/>
        <v>1.8332308582295721E-2</v>
      </c>
      <c r="AA22" s="79">
        <f t="shared" si="20"/>
        <v>1.8317689482009302E-2</v>
      </c>
      <c r="AB22" s="79">
        <f t="shared" si="20"/>
        <v>1.8302652632889348E-2</v>
      </c>
      <c r="AC22" s="79">
        <f t="shared" si="20"/>
        <v>1.8287218392460662E-2</v>
      </c>
      <c r="AD22" s="79">
        <f t="shared" si="20"/>
        <v>1.8271406536450298E-2</v>
      </c>
      <c r="AE22" s="79">
        <f t="shared" si="20"/>
        <v>1.8255236270058098E-2</v>
      </c>
      <c r="AF22" s="79">
        <f t="shared" si="20"/>
        <v>1.8238726239245565E-2</v>
      </c>
      <c r="AG22" s="79">
        <f t="shared" si="20"/>
        <v>1.822189454202653E-2</v>
      </c>
      <c r="AH22" s="79">
        <f t="shared" si="20"/>
        <v>1.8204758739743303E-2</v>
      </c>
      <c r="AI22" s="79">
        <f t="shared" si="20"/>
        <v>1.8187335868311266E-2</v>
      </c>
      <c r="AJ22" s="79">
        <f t="shared" si="20"/>
        <v>1.816964244941879E-2</v>
      </c>
      <c r="AK22" s="79">
        <f t="shared" si="20"/>
        <v>1.8151694501670167E-2</v>
      </c>
      <c r="AL22" s="79">
        <f t="shared" si="20"/>
        <v>1.8133507551657491E-2</v>
      </c>
      <c r="AM22" s="79">
        <f t="shared" si="20"/>
        <v>1.8115096644950993E-2</v>
      </c>
      <c r="AN22" s="79">
        <f t="shared" si="20"/>
        <v>1.8096476356997987E-2</v>
      </c>
      <c r="AO22" s="79">
        <f t="shared" si="20"/>
        <v>1.8077660803920783E-2</v>
      </c>
      <c r="AP22" s="79">
        <f t="shared" si="20"/>
        <v>1.8058663653204361E-2</v>
      </c>
      <c r="AQ22" s="79">
        <f t="shared" si="20"/>
        <v>1.8039498134266405E-2</v>
      </c>
      <c r="AR22" s="79">
        <f t="shared" si="20"/>
        <v>1.8020177048903147E-2</v>
      </c>
      <c r="AS22" s="79">
        <f t="shared" si="20"/>
        <v>1.8000712781603114E-2</v>
      </c>
      <c r="AT22" s="79">
        <f t="shared" si="20"/>
        <v>1.7981117309725882E-2</v>
      </c>
      <c r="AU22" s="79">
        <f t="shared" si="20"/>
        <v>1.7961402213535951E-2</v>
      </c>
      <c r="AV22" s="79">
        <f t="shared" si="20"/>
        <v>1.7941578686092967E-2</v>
      </c>
      <c r="AW22" s="79">
        <f t="shared" si="20"/>
        <v>1.7921657542990344E-2</v>
      </c>
      <c r="AX22" s="79">
        <f t="shared" si="20"/>
        <v>1.7901649231940403E-2</v>
      </c>
      <c r="AY22" s="79">
        <f t="shared" si="20"/>
        <v>1.7881563842201846E-2</v>
      </c>
      <c r="AZ22" s="79">
        <f t="shared" si="20"/>
        <v>1.7861411113849434E-2</v>
      </c>
      <c r="BA22" s="79">
        <f t="shared" si="20"/>
        <v>1.7841200446881814E-2</v>
      </c>
      <c r="BB22" s="79">
        <f t="shared" si="20"/>
        <v>1.78209409101657E-2</v>
      </c>
      <c r="BC22" s="79">
        <f t="shared" si="20"/>
        <v>1.7800641250217492E-2</v>
      </c>
      <c r="BD22" s="79">
        <f t="shared" si="20"/>
        <v>1.7780309899818412E-2</v>
      </c>
      <c r="BE22" s="79">
        <f t="shared" si="20"/>
        <v>1.7759954986464613E-2</v>
      </c>
      <c r="BF22" s="79">
        <f t="shared" si="20"/>
        <v>1.773958434065144E-2</v>
      </c>
      <c r="BG22" s="79">
        <f t="shared" si="20"/>
        <v>1.7719205503991017E-2</v>
      </c>
      <c r="BH22" s="79">
        <f t="shared" si="20"/>
        <v>1.7698825737165594E-2</v>
      </c>
      <c r="BI22" s="79">
        <f t="shared" si="20"/>
        <v>1.7678452027713665E-2</v>
      </c>
      <c r="BJ22" s="79">
        <f t="shared" si="20"/>
        <v>1.7658091097653868E-2</v>
      </c>
      <c r="BK22" s="79">
        <f t="shared" si="20"/>
        <v>1.7637749410943256E-2</v>
      </c>
      <c r="BL22" s="79">
        <f t="shared" si="20"/>
        <v>1.7617433180774234E-2</v>
      </c>
      <c r="BM22" s="79">
        <f t="shared" si="20"/>
        <v>1.7597148376710267E-2</v>
      </c>
      <c r="BN22" s="79">
        <f t="shared" si="20"/>
        <v>1.7576900731661346E-2</v>
      </c>
      <c r="BO22" s="79">
        <f t="shared" si="20"/>
        <v>1.7556695748701705E-2</v>
      </c>
      <c r="BP22" s="79">
        <f t="shared" si="20"/>
        <v>1.7536538707730486E-2</v>
      </c>
      <c r="BQ22" s="79">
        <f t="shared" si="20"/>
        <v>1.7516434671978498E-2</v>
      </c>
      <c r="BR22" s="79">
        <f t="shared" si="20"/>
        <v>1.7496388494361009E-2</v>
      </c>
      <c r="BS22" s="79">
        <f t="shared" si="20"/>
        <v>1.7476404823680913E-2</v>
      </c>
      <c r="BT22" s="79">
        <f t="shared" si="19"/>
        <v>1.7456488110682594E-2</v>
      </c>
      <c r="BU22" s="79">
        <f t="shared" si="19"/>
        <v>1.7436642613959108E-2</v>
      </c>
      <c r="BV22" s="79">
        <f t="shared" si="19"/>
        <v>1.7416872405715624E-2</v>
      </c>
      <c r="BW22" s="79">
        <f t="shared" si="19"/>
        <v>1.7397181377390058E-2</v>
      </c>
      <c r="BX22" s="79">
        <f t="shared" si="19"/>
        <v>1.7377573245134389E-2</v>
      </c>
      <c r="BY22" s="79">
        <f t="shared" si="19"/>
        <v>1.7358051555158713E-2</v>
      </c>
      <c r="BZ22" s="79">
        <f t="shared" si="19"/>
        <v>1.7338619688939471E-2</v>
      </c>
      <c r="CA22" s="79">
        <f t="shared" si="19"/>
        <v>1.7319280868296687E-2</v>
      </c>
      <c r="CB22" s="79">
        <f t="shared" si="19"/>
        <v>1.7300038160339402E-2</v>
      </c>
      <c r="CC22" s="79">
        <f t="shared" si="19"/>
        <v>1.7280894482283739E-2</v>
      </c>
      <c r="CD22" s="79">
        <f t="shared" si="19"/>
        <v>1.7261852606146925E-2</v>
      </c>
      <c r="CE22" s="79">
        <f t="shared" si="19"/>
        <v>1.7242915163317375E-2</v>
      </c>
      <c r="CF22" s="79">
        <f t="shared" si="19"/>
        <v>1.7224084649003792E-2</v>
      </c>
      <c r="CG22" s="79">
        <f t="shared" si="19"/>
        <v>1.7205363426568959E-2</v>
      </c>
      <c r="CH22" s="79">
        <f t="shared" si="19"/>
        <v>1.7186753731744754E-2</v>
      </c>
      <c r="CI22" s="79">
        <f t="shared" si="19"/>
        <v>1.7168257676737485E-2</v>
      </c>
      <c r="CJ22" s="79">
        <f t="shared" si="19"/>
        <v>1.7149877254219747E-2</v>
      </c>
      <c r="CK22" s="79">
        <f t="shared" si="19"/>
        <v>1.7131614341216048E-2</v>
      </c>
      <c r="CL22" s="79">
        <f t="shared" si="19"/>
        <v>1.7113470702882272E-2</v>
      </c>
      <c r="CM22" s="79">
        <f t="shared" si="19"/>
        <v>1.7095447996181002E-2</v>
      </c>
      <c r="CN22" s="79">
        <f t="shared" si="19"/>
        <v>1.7077547773456627E-2</v>
      </c>
      <c r="CO22" s="79">
        <f t="shared" si="19"/>
        <v>1.7059771485911337E-2</v>
      </c>
      <c r="CP22" s="79">
        <f t="shared" si="19"/>
        <v>1.7042120486984377E-2</v>
      </c>
      <c r="CQ22" s="79">
        <f t="shared" si="19"/>
        <v>1.7024596035637839E-2</v>
      </c>
      <c r="CR22" s="79">
        <f t="shared" si="19"/>
        <v>1.7007199299549695E-2</v>
      </c>
      <c r="CS22" s="79">
        <f t="shared" si="19"/>
        <v>1.698993135821723E-2</v>
      </c>
      <c r="CT22" s="79">
        <f t="shared" si="19"/>
        <v>1.6972793205973443E-2</v>
      </c>
      <c r="CU22" s="79">
        <f t="shared" si="19"/>
        <v>1.6955785754916998E-2</v>
      </c>
      <c r="CV22" s="79">
        <f t="shared" si="19"/>
        <v>1.6938909837759596E-2</v>
      </c>
      <c r="CW22" s="79">
        <f t="shared" si="19"/>
        <v>1.6922166210591109E-2</v>
      </c>
      <c r="CX22" s="79">
        <f t="shared" si="19"/>
        <v>1.6905555555566856E-2</v>
      </c>
      <c r="CY22" s="79">
        <f t="shared" si="19"/>
        <v>1.6905555555566856E-2</v>
      </c>
      <c r="CZ22" s="79">
        <f t="shared" si="19"/>
        <v>1.6905555555566856E-2</v>
      </c>
      <c r="DA22" s="79">
        <f t="shared" si="19"/>
        <v>1.6905555555566856E-2</v>
      </c>
      <c r="DB22" s="79">
        <f t="shared" si="19"/>
        <v>1.6905555555566856E-2</v>
      </c>
      <c r="DC22" s="79">
        <f t="shared" si="19"/>
        <v>1.6905555555566856E-2</v>
      </c>
      <c r="DD22" s="79">
        <f t="shared" si="19"/>
        <v>1.6905555555566856E-2</v>
      </c>
      <c r="DE22" s="79">
        <f t="shared" si="19"/>
        <v>1.6905555555566856E-2</v>
      </c>
      <c r="DF22" s="79">
        <f t="shared" si="19"/>
        <v>1.6905555555566856E-2</v>
      </c>
      <c r="DG22" s="79">
        <f t="shared" si="19"/>
        <v>1.6905555555566856E-2</v>
      </c>
      <c r="DH22" s="79">
        <f t="shared" si="19"/>
        <v>1.6905555555566856E-2</v>
      </c>
      <c r="DI22" s="79">
        <f t="shared" si="19"/>
        <v>1.6905555555566856E-2</v>
      </c>
      <c r="DJ22" s="79">
        <f t="shared" si="19"/>
        <v>1.6905555555566856E-2</v>
      </c>
      <c r="DK22" s="79">
        <f t="shared" si="19"/>
        <v>1.6905555555566856E-2</v>
      </c>
      <c r="DL22" s="79">
        <f t="shared" si="19"/>
        <v>1.6905555555566856E-2</v>
      </c>
      <c r="DM22" s="79">
        <f t="shared" si="19"/>
        <v>1.6905555555566856E-2</v>
      </c>
      <c r="DN22" s="79">
        <f t="shared" si="19"/>
        <v>1.6905555555566856E-2</v>
      </c>
      <c r="DO22" s="79">
        <f t="shared" si="19"/>
        <v>1.6905555555566856E-2</v>
      </c>
      <c r="DP22" s="79">
        <f t="shared" si="19"/>
        <v>1.6905555555566856E-2</v>
      </c>
      <c r="DQ22" s="79">
        <f t="shared" si="19"/>
        <v>1.6905555555566856E-2</v>
      </c>
      <c r="DR22" s="79">
        <f t="shared" si="19"/>
        <v>1.6905555555566856E-2</v>
      </c>
      <c r="DS22" s="79">
        <f t="shared" si="19"/>
        <v>1.6905555555566856E-2</v>
      </c>
      <c r="DT22" s="79">
        <f t="shared" si="19"/>
        <v>1.6905555555566856E-2</v>
      </c>
      <c r="DU22" s="79">
        <f t="shared" si="19"/>
        <v>1.6905555555566856E-2</v>
      </c>
      <c r="DV22" s="79">
        <f t="shared" si="19"/>
        <v>1.6905555555566856E-2</v>
      </c>
      <c r="DW22" s="79">
        <f t="shared" si="19"/>
        <v>1.6905555555566856E-2</v>
      </c>
      <c r="DX22" s="79">
        <f t="shared" si="19"/>
        <v>1.6905555555566856E-2</v>
      </c>
      <c r="DY22" s="79">
        <f t="shared" si="19"/>
        <v>1.6905555555566856E-2</v>
      </c>
      <c r="DZ22" s="79">
        <f t="shared" si="19"/>
        <v>1.6905555555566856E-2</v>
      </c>
      <c r="EA22" s="79">
        <f t="shared" si="19"/>
        <v>1.6905555555566856E-2</v>
      </c>
      <c r="EB22" s="79">
        <f t="shared" si="19"/>
        <v>1.6905555555566856E-2</v>
      </c>
      <c r="EC22" s="79">
        <f t="shared" si="19"/>
        <v>1.6905555555566856E-2</v>
      </c>
      <c r="ED22" s="79">
        <f t="shared" si="19"/>
        <v>1.6905555555566856E-2</v>
      </c>
      <c r="EE22" s="79">
        <f t="shared" si="16"/>
        <v>1.6905555555566856E-2</v>
      </c>
      <c r="EF22" s="79">
        <f t="shared" si="15"/>
        <v>1.6905555555566856E-2</v>
      </c>
      <c r="EG22" s="79">
        <f t="shared" si="15"/>
        <v>1.6905555555566856E-2</v>
      </c>
      <c r="EH22" s="79">
        <f t="shared" si="15"/>
        <v>1.6905555555566856E-2</v>
      </c>
      <c r="EI22" s="79">
        <f t="shared" si="15"/>
        <v>1.6905555555566856E-2</v>
      </c>
      <c r="EJ22" s="79">
        <f t="shared" si="15"/>
        <v>1.6905555555566856E-2</v>
      </c>
      <c r="EK22" s="79">
        <f t="shared" si="15"/>
        <v>1.6905555555566856E-2</v>
      </c>
      <c r="EL22" s="79">
        <f t="shared" si="15"/>
        <v>1.6905555555566856E-2</v>
      </c>
      <c r="EM22" s="79">
        <f t="shared" si="15"/>
        <v>1.6905555555566856E-2</v>
      </c>
      <c r="EN22" s="79">
        <f t="shared" si="15"/>
        <v>1.6905555555566856E-2</v>
      </c>
      <c r="EO22" s="79">
        <f t="shared" si="15"/>
        <v>1.6905555555566856E-2</v>
      </c>
      <c r="EP22" s="79">
        <f t="shared" si="15"/>
        <v>1.6905555555566856E-2</v>
      </c>
      <c r="EQ22" s="79">
        <f t="shared" si="15"/>
        <v>1.6905555555566856E-2</v>
      </c>
      <c r="ER22" s="79">
        <f t="shared" si="15"/>
        <v>1.6905555555566856E-2</v>
      </c>
      <c r="ES22" s="79">
        <f t="shared" si="15"/>
        <v>1.6905555555566856E-2</v>
      </c>
      <c r="ET22" s="79">
        <f t="shared" si="15"/>
        <v>1.6905555555566856E-2</v>
      </c>
      <c r="EU22" s="87"/>
      <c r="EV22" s="87"/>
      <c r="EW22" s="87"/>
      <c r="EX22" s="87"/>
      <c r="EY22" s="87"/>
      <c r="EZ22" s="87"/>
      <c r="FA22" s="137"/>
      <c r="FC22" s="27"/>
      <c r="FF22" s="698" t="s">
        <v>2997</v>
      </c>
      <c r="FG22" s="700">
        <v>2.5000000000000001E-2</v>
      </c>
      <c r="FH22" s="700">
        <v>120</v>
      </c>
      <c r="FI22" s="699">
        <v>1.9599999999999999E-2</v>
      </c>
      <c r="FJ22" s="699">
        <v>1.3500000000000002E-2</v>
      </c>
      <c r="FK22" s="71">
        <f t="shared" si="11"/>
        <v>6.3888888888888893E-4</v>
      </c>
      <c r="FL22" t="e">
        <f>VLOOKUP(FF22,'SIMULADOR COM SALDO'!$BX$22:$CK$500,13,FALSE)</f>
        <v>#N/A</v>
      </c>
      <c r="FM22" s="166">
        <f t="shared" si="12"/>
        <v>1.9299999999999998E-2</v>
      </c>
    </row>
    <row r="23" spans="5:169" customFormat="1" x14ac:dyDescent="0.25">
      <c r="E23" s="77"/>
      <c r="F23" s="97">
        <f t="shared" si="13"/>
        <v>1.7133333333333337E-2</v>
      </c>
      <c r="G23" s="79">
        <f t="shared" si="10"/>
        <v>1.84991446377798E-2</v>
      </c>
      <c r="H23" s="79">
        <f t="shared" si="20"/>
        <v>1.8497463973466993E-2</v>
      </c>
      <c r="I23" s="79">
        <f t="shared" si="20"/>
        <v>1.8494987382865761E-2</v>
      </c>
      <c r="J23" s="79">
        <f t="shared" si="20"/>
        <v>1.8491743563334058E-2</v>
      </c>
      <c r="K23" s="79">
        <f t="shared" si="20"/>
        <v>1.8487760540169651E-2</v>
      </c>
      <c r="L23" s="79">
        <f t="shared" si="20"/>
        <v>1.8483065673456058E-2</v>
      </c>
      <c r="M23" s="79">
        <f t="shared" si="20"/>
        <v>1.8477685665335086E-2</v>
      </c>
      <c r="N23" s="79">
        <f t="shared" si="20"/>
        <v>1.8471646567665142E-2</v>
      </c>
      <c r="O23" s="79">
        <f t="shared" si="20"/>
        <v>1.8464973790035179E-2</v>
      </c>
      <c r="P23" s="79">
        <f t="shared" si="20"/>
        <v>1.8457692108096484E-2</v>
      </c>
      <c r="Q23" s="79">
        <f t="shared" si="20"/>
        <v>1.8449825672183055E-2</v>
      </c>
      <c r="R23" s="79">
        <f t="shared" si="20"/>
        <v>1.8441398016189162E-2</v>
      </c>
      <c r="S23" s="79">
        <f t="shared" si="20"/>
        <v>1.8432432066676066E-2</v>
      </c>
      <c r="T23" s="79">
        <f t="shared" si="20"/>
        <v>1.8422950152178621E-2</v>
      </c>
      <c r="U23" s="79">
        <f t="shared" si="20"/>
        <v>1.8412974012688474E-2</v>
      </c>
      <c r="V23" s="79">
        <f t="shared" si="20"/>
        <v>1.8402524809286582E-2</v>
      </c>
      <c r="W23" s="79">
        <f t="shared" si="20"/>
        <v>1.8391623133903568E-2</v>
      </c>
      <c r="X23" s="79">
        <f t="shared" si="20"/>
        <v>1.8380289019184797E-2</v>
      </c>
      <c r="Y23" s="79">
        <f t="shared" si="20"/>
        <v>1.8368541948441033E-2</v>
      </c>
      <c r="Z23" s="79">
        <f t="shared" si="20"/>
        <v>1.835640086566221E-2</v>
      </c>
      <c r="AA23" s="79">
        <f t="shared" si="20"/>
        <v>1.83438841855794E-2</v>
      </c>
      <c r="AB23" s="79">
        <f t="shared" si="20"/>
        <v>1.8331009803755849E-2</v>
      </c>
      <c r="AC23" s="79">
        <f t="shared" si="20"/>
        <v>1.8317795106691282E-2</v>
      </c>
      <c r="AD23" s="79">
        <f t="shared" si="20"/>
        <v>1.8304256981924488E-2</v>
      </c>
      <c r="AE23" s="79">
        <f t="shared" si="20"/>
        <v>1.8290411828120443E-2</v>
      </c>
      <c r="AF23" s="79">
        <f t="shared" si="20"/>
        <v>1.8276275565128286E-2</v>
      </c>
      <c r="AG23" s="79">
        <f t="shared" si="20"/>
        <v>1.8261863643999298E-2</v>
      </c>
      <c r="AH23" s="79">
        <f t="shared" si="20"/>
        <v>1.8247191056951946E-2</v>
      </c>
      <c r="AI23" s="79">
        <f t="shared" si="20"/>
        <v>1.8232272347274699E-2</v>
      </c>
      <c r="AJ23" s="79">
        <f t="shared" si="20"/>
        <v>1.8217121619156552E-2</v>
      </c>
      <c r="AK23" s="79">
        <f t="shared" si="20"/>
        <v>1.8201752547437573E-2</v>
      </c>
      <c r="AL23" s="79">
        <f t="shared" si="20"/>
        <v>1.8186178387269217E-2</v>
      </c>
      <c r="AM23" s="79">
        <f t="shared" si="20"/>
        <v>1.8170411983679125E-2</v>
      </c>
      <c r="AN23" s="79">
        <f t="shared" si="20"/>
        <v>1.8154465781032417E-2</v>
      </c>
      <c r="AO23" s="79">
        <f t="shared" si="20"/>
        <v>1.8138351832384214E-2</v>
      </c>
      <c r="AP23" s="79">
        <f t="shared" si="20"/>
        <v>1.812208180871714E-2</v>
      </c>
      <c r="AQ23" s="79">
        <f t="shared" si="20"/>
        <v>1.8105667008059045E-2</v>
      </c>
      <c r="AR23" s="79">
        <f t="shared" si="20"/>
        <v>1.808911836447746E-2</v>
      </c>
      <c r="AS23" s="79">
        <f t="shared" si="20"/>
        <v>1.8072446456945009E-2</v>
      </c>
      <c r="AT23" s="79">
        <f t="shared" si="20"/>
        <v>1.8055661518074157E-2</v>
      </c>
      <c r="AU23" s="79">
        <f t="shared" si="20"/>
        <v>1.8038773442717475E-2</v>
      </c>
      <c r="AV23" s="79">
        <f t="shared" si="20"/>
        <v>1.8021791796430816E-2</v>
      </c>
      <c r="AW23" s="79">
        <f t="shared" si="20"/>
        <v>1.8004725823796985E-2</v>
      </c>
      <c r="AX23" s="79">
        <f t="shared" si="20"/>
        <v>1.79875844566088E-2</v>
      </c>
      <c r="AY23" s="79">
        <f t="shared" si="20"/>
        <v>1.7970376321910161E-2</v>
      </c>
      <c r="AZ23" s="79">
        <f t="shared" si="20"/>
        <v>1.7953109749891814E-2</v>
      </c>
      <c r="BA23" s="79">
        <f t="shared" si="20"/>
        <v>1.7935792781645109E-2</v>
      </c>
      <c r="BB23" s="79">
        <f t="shared" si="20"/>
        <v>1.7918433176767622E-2</v>
      </c>
      <c r="BC23" s="79">
        <f t="shared" si="20"/>
        <v>1.7901038420826066E-2</v>
      </c>
      <c r="BD23" s="79">
        <f t="shared" si="20"/>
        <v>1.7883615732672619E-2</v>
      </c>
      <c r="BE23" s="79">
        <f t="shared" si="20"/>
        <v>1.7866172071615293E-2</v>
      </c>
      <c r="BF23" s="79">
        <f t="shared" si="20"/>
        <v>1.7848714144444215E-2</v>
      </c>
      <c r="BG23" s="79">
        <f t="shared" si="20"/>
        <v>1.7831248412313684E-2</v>
      </c>
      <c r="BH23" s="79">
        <f t="shared" si="20"/>
        <v>1.7813781097478658E-2</v>
      </c>
      <c r="BI23" s="79">
        <f t="shared" si="20"/>
        <v>1.7796318189890817E-2</v>
      </c>
      <c r="BJ23" s="79">
        <f t="shared" si="20"/>
        <v>1.7778865453651323E-2</v>
      </c>
      <c r="BK23" s="79">
        <f t="shared" si="20"/>
        <v>1.7761428433323141E-2</v>
      </c>
      <c r="BL23" s="79">
        <f t="shared" si="20"/>
        <v>1.7744012460103351E-2</v>
      </c>
      <c r="BM23" s="79">
        <f t="shared" si="20"/>
        <v>1.7726622657859681E-2</v>
      </c>
      <c r="BN23" s="79">
        <f t="shared" si="20"/>
        <v>1.7709263949027367E-2</v>
      </c>
      <c r="BO23" s="79">
        <f t="shared" si="20"/>
        <v>1.7691941060373834E-2</v>
      </c>
      <c r="BP23" s="79">
        <f t="shared" si="20"/>
        <v>1.7674658528628935E-2</v>
      </c>
      <c r="BQ23" s="79">
        <f t="shared" si="20"/>
        <v>1.7657420705983338E-2</v>
      </c>
      <c r="BR23" s="79">
        <f t="shared" si="20"/>
        <v>1.7640231765458321E-2</v>
      </c>
      <c r="BS23" s="79">
        <f t="shared" si="20"/>
        <v>1.7623095706147084E-2</v>
      </c>
      <c r="BT23" s="79">
        <f t="shared" si="19"/>
        <v>1.7606016358330433E-2</v>
      </c>
      <c r="BU23" s="79">
        <f t="shared" si="19"/>
        <v>1.7588997388468065E-2</v>
      </c>
      <c r="BV23" s="79">
        <f t="shared" si="19"/>
        <v>1.7572042304068888E-2</v>
      </c>
      <c r="BW23" s="79">
        <f t="shared" si="19"/>
        <v>1.7555154458440768E-2</v>
      </c>
      <c r="BX23" s="79">
        <f t="shared" si="19"/>
        <v>1.7538337055322251E-2</v>
      </c>
      <c r="BY23" s="79">
        <f t="shared" si="19"/>
        <v>1.7521593153399809E-2</v>
      </c>
      <c r="BZ23" s="79">
        <f t="shared" si="19"/>
        <v>1.7504925670709513E-2</v>
      </c>
      <c r="CA23" s="79">
        <f t="shared" si="19"/>
        <v>1.7488337388928955E-2</v>
      </c>
      <c r="CB23" s="79">
        <f t="shared" si="19"/>
        <v>1.7471830957558818E-2</v>
      </c>
      <c r="CC23" s="79">
        <f t="shared" si="19"/>
        <v>1.7455408897997068E-2</v>
      </c>
      <c r="CD23" s="79">
        <f t="shared" si="19"/>
        <v>1.7439073607508602E-2</v>
      </c>
      <c r="CE23" s="79">
        <f t="shared" si="19"/>
        <v>1.7422827363090625E-2</v>
      </c>
      <c r="CF23" s="79">
        <f t="shared" si="19"/>
        <v>1.7406672325239039E-2</v>
      </c>
      <c r="CG23" s="79">
        <f t="shared" si="19"/>
        <v>1.7390610541613189E-2</v>
      </c>
      <c r="CH23" s="79">
        <f t="shared" si="19"/>
        <v>1.7374643950605968E-2</v>
      </c>
      <c r="CI23" s="79">
        <f t="shared" si="19"/>
        <v>1.7358774384818552E-2</v>
      </c>
      <c r="CJ23" s="79">
        <f t="shared" si="19"/>
        <v>1.7343003574442305E-2</v>
      </c>
      <c r="CK23" s="79">
        <f t="shared" si="19"/>
        <v>1.7327333150549178E-2</v>
      </c>
      <c r="CL23" s="79">
        <f t="shared" si="19"/>
        <v>1.7311764648295484E-2</v>
      </c>
      <c r="CM23" s="79">
        <f t="shared" si="19"/>
        <v>1.7296299510036497E-2</v>
      </c>
      <c r="CN23" s="79">
        <f t="shared" si="19"/>
        <v>1.7280939088358465E-2</v>
      </c>
      <c r="CO23" s="79">
        <f t="shared" si="19"/>
        <v>1.7265684649026149E-2</v>
      </c>
      <c r="CP23" s="79">
        <f t="shared" si="19"/>
        <v>1.7250537373851037E-2</v>
      </c>
      <c r="CQ23" s="79">
        <f t="shared" si="19"/>
        <v>1.7235498363479033E-2</v>
      </c>
      <c r="CR23" s="79">
        <f t="shared" si="19"/>
        <v>1.722056864010215E-2</v>
      </c>
      <c r="CS23" s="79">
        <f t="shared" si="19"/>
        <v>1.7205749150094669E-2</v>
      </c>
      <c r="CT23" s="79">
        <f t="shared" si="19"/>
        <v>1.719104076657502E-2</v>
      </c>
      <c r="CU23" s="79">
        <f t="shared" si="19"/>
        <v>1.7176444291897051E-2</v>
      </c>
      <c r="CV23" s="79">
        <f t="shared" si="19"/>
        <v>1.7161960460070746E-2</v>
      </c>
      <c r="CW23" s="79">
        <f t="shared" si="19"/>
        <v>1.7147589939114347E-2</v>
      </c>
      <c r="CX23" s="79">
        <f t="shared" si="19"/>
        <v>1.7133333333341036E-2</v>
      </c>
      <c r="CY23" s="79">
        <f t="shared" si="19"/>
        <v>1.7133333333341036E-2</v>
      </c>
      <c r="CZ23" s="79">
        <f t="shared" si="19"/>
        <v>1.7133333333341036E-2</v>
      </c>
      <c r="DA23" s="79">
        <f t="shared" si="19"/>
        <v>1.7133333333341036E-2</v>
      </c>
      <c r="DB23" s="79">
        <f t="shared" si="19"/>
        <v>1.7133333333341036E-2</v>
      </c>
      <c r="DC23" s="79">
        <f t="shared" si="19"/>
        <v>1.7133333333341036E-2</v>
      </c>
      <c r="DD23" s="79">
        <f t="shared" si="19"/>
        <v>1.7133333333341036E-2</v>
      </c>
      <c r="DE23" s="79">
        <f t="shared" si="19"/>
        <v>1.7133333333341036E-2</v>
      </c>
      <c r="DF23" s="79">
        <f t="shared" si="19"/>
        <v>1.7133333333341036E-2</v>
      </c>
      <c r="DG23" s="79">
        <f t="shared" si="19"/>
        <v>1.7133333333341036E-2</v>
      </c>
      <c r="DH23" s="79">
        <f t="shared" si="19"/>
        <v>1.7133333333341036E-2</v>
      </c>
      <c r="DI23" s="79">
        <f t="shared" si="19"/>
        <v>1.7133333333341036E-2</v>
      </c>
      <c r="DJ23" s="79">
        <f t="shared" si="19"/>
        <v>1.7133333333341036E-2</v>
      </c>
      <c r="DK23" s="79">
        <f t="shared" si="19"/>
        <v>1.7133333333341036E-2</v>
      </c>
      <c r="DL23" s="79">
        <f t="shared" si="19"/>
        <v>1.7133333333341036E-2</v>
      </c>
      <c r="DM23" s="79">
        <f t="shared" si="19"/>
        <v>1.7133333333341036E-2</v>
      </c>
      <c r="DN23" s="79">
        <f t="shared" si="19"/>
        <v>1.7133333333341036E-2</v>
      </c>
      <c r="DO23" s="79">
        <f t="shared" si="19"/>
        <v>1.7133333333341036E-2</v>
      </c>
      <c r="DP23" s="79">
        <f t="shared" si="19"/>
        <v>1.7133333333341036E-2</v>
      </c>
      <c r="DQ23" s="79">
        <f t="shared" si="19"/>
        <v>1.7133333333341036E-2</v>
      </c>
      <c r="DR23" s="79">
        <f t="shared" si="19"/>
        <v>1.7133333333341036E-2</v>
      </c>
      <c r="DS23" s="79">
        <f t="shared" si="19"/>
        <v>1.7133333333341036E-2</v>
      </c>
      <c r="DT23" s="79">
        <f t="shared" si="19"/>
        <v>1.7133333333341036E-2</v>
      </c>
      <c r="DU23" s="79">
        <f t="shared" si="19"/>
        <v>1.7133333333341036E-2</v>
      </c>
      <c r="DV23" s="79">
        <f t="shared" si="19"/>
        <v>1.7133333333341036E-2</v>
      </c>
      <c r="DW23" s="79">
        <f t="shared" si="19"/>
        <v>1.7133333333341036E-2</v>
      </c>
      <c r="DX23" s="79">
        <f t="shared" si="19"/>
        <v>1.7133333333341036E-2</v>
      </c>
      <c r="DY23" s="79">
        <f t="shared" si="19"/>
        <v>1.7133333333341036E-2</v>
      </c>
      <c r="DZ23" s="79">
        <f t="shared" si="19"/>
        <v>1.7133333333341036E-2</v>
      </c>
      <c r="EA23" s="79">
        <f t="shared" si="19"/>
        <v>1.7133333333341036E-2</v>
      </c>
      <c r="EB23" s="79">
        <f t="shared" si="19"/>
        <v>1.7133333333341036E-2</v>
      </c>
      <c r="EC23" s="79">
        <f t="shared" si="19"/>
        <v>1.7133333333341036E-2</v>
      </c>
      <c r="ED23" s="79">
        <f t="shared" si="19"/>
        <v>1.7133333333341036E-2</v>
      </c>
      <c r="EE23" s="79">
        <f t="shared" si="16"/>
        <v>1.7133333333341036E-2</v>
      </c>
      <c r="EF23" s="79">
        <f t="shared" si="15"/>
        <v>1.7133333333341036E-2</v>
      </c>
      <c r="EG23" s="79">
        <f t="shared" si="15"/>
        <v>1.7133333333341036E-2</v>
      </c>
      <c r="EH23" s="79">
        <f t="shared" si="15"/>
        <v>1.7133333333341036E-2</v>
      </c>
      <c r="EI23" s="79">
        <f t="shared" si="15"/>
        <v>1.7133333333341036E-2</v>
      </c>
      <c r="EJ23" s="79">
        <f t="shared" si="15"/>
        <v>1.7133333333341036E-2</v>
      </c>
      <c r="EK23" s="79">
        <f t="shared" si="15"/>
        <v>1.7133333333341036E-2</v>
      </c>
      <c r="EL23" s="79">
        <f t="shared" si="15"/>
        <v>1.7133333333341036E-2</v>
      </c>
      <c r="EM23" s="79">
        <f t="shared" si="15"/>
        <v>1.7133333333341036E-2</v>
      </c>
      <c r="EN23" s="79">
        <f t="shared" si="15"/>
        <v>1.7133333333341036E-2</v>
      </c>
      <c r="EO23" s="79">
        <f t="shared" si="15"/>
        <v>1.7133333333341036E-2</v>
      </c>
      <c r="EP23" s="79">
        <f t="shared" si="15"/>
        <v>1.7133333333341036E-2</v>
      </c>
      <c r="EQ23" s="79">
        <f t="shared" si="15"/>
        <v>1.7133333333341036E-2</v>
      </c>
      <c r="ER23" s="79">
        <f t="shared" si="15"/>
        <v>1.7133333333341036E-2</v>
      </c>
      <c r="ES23" s="79">
        <f t="shared" si="15"/>
        <v>1.7133333333341036E-2</v>
      </c>
      <c r="ET23" s="79">
        <f t="shared" si="15"/>
        <v>1.7133333333341036E-2</v>
      </c>
      <c r="EU23" s="87"/>
      <c r="EV23" s="87"/>
      <c r="EW23" s="87"/>
      <c r="EX23" s="87"/>
      <c r="EY23" s="87"/>
      <c r="EZ23" s="87"/>
      <c r="FA23" s="137"/>
      <c r="FC23" s="27"/>
      <c r="FF23" s="698" t="s">
        <v>2998</v>
      </c>
      <c r="FG23" s="700">
        <v>1.7500000000000002E-2</v>
      </c>
      <c r="FH23" s="700">
        <v>96</v>
      </c>
      <c r="FI23" s="699">
        <v>1.6799999999999999E-2</v>
      </c>
      <c r="FJ23" s="699">
        <v>1.3999999999999999E-2</v>
      </c>
      <c r="FK23" s="71">
        <f t="shared" si="11"/>
        <v>1.9444444444444462E-4</v>
      </c>
      <c r="FL23" t="e">
        <f>VLOOKUP(FF23,'SIMULADOR COM SALDO'!$BX$22:$CK$500,13,FALSE)</f>
        <v>#N/A</v>
      </c>
      <c r="FM23" s="166">
        <f t="shared" si="12"/>
        <v>1.6499999999999997E-2</v>
      </c>
    </row>
    <row r="24" spans="5:169" customFormat="1" x14ac:dyDescent="0.25">
      <c r="E24" s="77"/>
      <c r="F24" s="97">
        <f t="shared" si="13"/>
        <v>1.7361111111111115E-2</v>
      </c>
      <c r="G24" s="79">
        <f t="shared" si="10"/>
        <v>1.8499287354995307E-2</v>
      </c>
      <c r="H24" s="79">
        <f t="shared" si="20"/>
        <v>1.84978872504445E-2</v>
      </c>
      <c r="I24" s="79">
        <f t="shared" si="20"/>
        <v>1.8495824279210565E-2</v>
      </c>
      <c r="J24" s="79">
        <f t="shared" si="20"/>
        <v>1.8493122448439134E-2</v>
      </c>
      <c r="K24" s="79">
        <f t="shared" si="20"/>
        <v>1.8489805186736152E-2</v>
      </c>
      <c r="L24" s="79">
        <f t="shared" si="20"/>
        <v>1.8485895351612634E-2</v>
      </c>
      <c r="M24" s="79">
        <f t="shared" si="20"/>
        <v>1.8481415237169802E-2</v>
      </c>
      <c r="N24" s="79">
        <f t="shared" si="20"/>
        <v>1.8476386582000456E-2</v>
      </c>
      <c r="O24" s="79">
        <f t="shared" si="20"/>
        <v>1.8470830577280696E-2</v>
      </c>
      <c r="P24" s="79">
        <f t="shared" si="20"/>
        <v>1.8464767875032269E-2</v>
      </c>
      <c r="Q24" s="79">
        <f t="shared" si="20"/>
        <v>1.8458218596529283E-2</v>
      </c>
      <c r="R24" s="79">
        <f t="shared" si="20"/>
        <v>1.8451202340833143E-2</v>
      </c>
      <c r="S24" s="79">
        <f t="shared" si="20"/>
        <v>1.8443738193433836E-2</v>
      </c>
      <c r="T24" s="79">
        <f t="shared" si="20"/>
        <v>1.8435844734978231E-2</v>
      </c>
      <c r="U24" s="79">
        <f t="shared" si="20"/>
        <v>1.8427540050071758E-2</v>
      </c>
      <c r="V24" s="79">
        <f t="shared" si="20"/>
        <v>1.8418841736132435E-2</v>
      </c>
      <c r="W24" s="79">
        <f t="shared" si="20"/>
        <v>1.8409766912285616E-2</v>
      </c>
      <c r="X24" s="79">
        <f t="shared" si="20"/>
        <v>1.8400332228282388E-2</v>
      </c>
      <c r="Y24" s="79">
        <f t="shared" si="20"/>
        <v>1.8390553873430186E-2</v>
      </c>
      <c r="Z24" s="79">
        <f t="shared" si="20"/>
        <v>1.8380447585521344E-2</v>
      </c>
      <c r="AA24" s="79">
        <f t="shared" si="20"/>
        <v>1.8370028659747975E-2</v>
      </c>
      <c r="AB24" s="79">
        <f t="shared" si="20"/>
        <v>1.8359311957593216E-2</v>
      </c>
      <c r="AC24" s="79">
        <f t="shared" si="20"/>
        <v>1.8348311915687476E-2</v>
      </c>
      <c r="AD24" s="79">
        <f t="shared" si="20"/>
        <v>1.8337042554619813E-2</v>
      </c>
      <c r="AE24" s="79">
        <f t="shared" si="20"/>
        <v>1.832551748769801E-2</v>
      </c>
      <c r="AF24" s="79">
        <f t="shared" si="20"/>
        <v>1.8313749929644439E-2</v>
      </c>
      <c r="AG24" s="79">
        <f t="shared" si="20"/>
        <v>1.8301752705226975E-2</v>
      </c>
      <c r="AH24" s="79">
        <f t="shared" si="20"/>
        <v>1.8289538257810586E-2</v>
      </c>
      <c r="AI24" s="79">
        <f t="shared" si="20"/>
        <v>1.8277118657829008E-2</v>
      </c>
      <c r="AJ24" s="79">
        <f t="shared" si="20"/>
        <v>1.8264505611168314E-2</v>
      </c>
      <c r="AK24" s="79">
        <f t="shared" si="20"/>
        <v>1.825171046745664E-2</v>
      </c>
      <c r="AL24" s="79">
        <f t="shared" si="20"/>
        <v>1.8238744228256693E-2</v>
      </c>
      <c r="AM24" s="79">
        <f t="shared" si="20"/>
        <v>1.8225617555155966E-2</v>
      </c>
      <c r="AN24" s="79">
        <f t="shared" si="20"/>
        <v>1.8212340777750878E-2</v>
      </c>
      <c r="AO24" s="79">
        <f t="shared" si="20"/>
        <v>1.8198923901520832E-2</v>
      </c>
      <c r="AP24" s="79">
        <f t="shared" si="20"/>
        <v>1.8185376615591373E-2</v>
      </c>
      <c r="AQ24" s="79">
        <f t="shared" si="20"/>
        <v>1.8171708300380143E-2</v>
      </c>
      <c r="AR24" s="79">
        <f t="shared" si="20"/>
        <v>1.8157928035126874E-2</v>
      </c>
      <c r="AS24" s="79">
        <f t="shared" si="20"/>
        <v>1.8144044605303326E-2</v>
      </c>
      <c r="AT24" s="79">
        <f t="shared" si="20"/>
        <v>1.8130066509901826E-2</v>
      </c>
      <c r="AU24" s="79">
        <f t="shared" si="20"/>
        <v>1.8116001968602153E-2</v>
      </c>
      <c r="AV24" s="79">
        <f t="shared" si="20"/>
        <v>1.8101858928813361E-2</v>
      </c>
      <c r="AW24" s="79">
        <f t="shared" si="20"/>
        <v>1.8087645072593046E-2</v>
      </c>
      <c r="AX24" s="79">
        <f t="shared" si="20"/>
        <v>1.8073367823439258E-2</v>
      </c>
      <c r="AY24" s="79">
        <f t="shared" si="20"/>
        <v>1.8059034352959327E-2</v>
      </c>
      <c r="AZ24" s="79">
        <f t="shared" si="20"/>
        <v>1.8044651587411194E-2</v>
      </c>
      <c r="BA24" s="79">
        <f t="shared" si="20"/>
        <v>1.8030226214119198E-2</v>
      </c>
      <c r="BB24" s="79">
        <f t="shared" si="20"/>
        <v>1.8015764687765938E-2</v>
      </c>
      <c r="BC24" s="79">
        <f t="shared" si="20"/>
        <v>1.8001273236557463E-2</v>
      </c>
      <c r="BD24" s="79">
        <f t="shared" si="20"/>
        <v>1.7986757868264626E-2</v>
      </c>
      <c r="BE24" s="79">
        <f t="shared" si="20"/>
        <v>1.7972224376139392E-2</v>
      </c>
      <c r="BF24" s="79">
        <f t="shared" si="20"/>
        <v>1.7957678344710477E-2</v>
      </c>
      <c r="BG24" s="79">
        <f t="shared" si="20"/>
        <v>1.794312515545322E-2</v>
      </c>
      <c r="BH24" s="79">
        <f t="shared" si="20"/>
        <v>1.7928569992341634E-2</v>
      </c>
      <c r="BI24" s="79">
        <f t="shared" si="20"/>
        <v>1.7914017847277527E-2</v>
      </c>
      <c r="BJ24" s="79">
        <f t="shared" si="20"/>
        <v>1.7899473525402582E-2</v>
      </c>
      <c r="BK24" s="79">
        <f t="shared" si="20"/>
        <v>1.7884941650291589E-2</v>
      </c>
      <c r="BL24" s="79">
        <f t="shared" si="20"/>
        <v>1.7870426669030423E-2</v>
      </c>
      <c r="BM24" s="79">
        <f t="shared" si="20"/>
        <v>1.7855932857177504E-2</v>
      </c>
      <c r="BN24" s="79">
        <f t="shared" si="20"/>
        <v>1.7841464323613682E-2</v>
      </c>
      <c r="BO24" s="79">
        <f t="shared" si="20"/>
        <v>1.7827025015279163E-2</v>
      </c>
      <c r="BP24" s="79">
        <f t="shared" si="20"/>
        <v>1.7812618721800243E-2</v>
      </c>
      <c r="BQ24" s="79">
        <f t="shared" si="20"/>
        <v>1.7798249080007787E-2</v>
      </c>
      <c r="BR24" s="79">
        <f t="shared" si="20"/>
        <v>1.7783919578347934E-2</v>
      </c>
      <c r="BS24" s="79">
        <f t="shared" ref="BS24:ED27" si="21">IF(BS$9&lt;=$K$6,RATE($K$6,1,BS51,0),"")</f>
        <v>1.7769633561188412E-2</v>
      </c>
      <c r="BT24" s="79">
        <f t="shared" si="21"/>
        <v>1.7755394233020864E-2</v>
      </c>
      <c r="BU24" s="79">
        <f t="shared" si="21"/>
        <v>1.7741204662560604E-2</v>
      </c>
      <c r="BV24" s="79">
        <f t="shared" si="21"/>
        <v>1.7727067786747028E-2</v>
      </c>
      <c r="BW24" s="79">
        <f t="shared" si="21"/>
        <v>1.7712986414646505E-2</v>
      </c>
      <c r="BX24" s="79">
        <f t="shared" si="21"/>
        <v>1.7698963231255922E-2</v>
      </c>
      <c r="BY24" s="79">
        <f t="shared" si="21"/>
        <v>1.7685000801214795E-2</v>
      </c>
      <c r="BZ24" s="79">
        <f t="shared" si="21"/>
        <v>1.7671101572421587E-2</v>
      </c>
      <c r="CA24" s="79">
        <f t="shared" si="21"/>
        <v>1.76572678795603E-2</v>
      </c>
      <c r="CB24" s="79">
        <f t="shared" si="21"/>
        <v>1.764350194753769E-2</v>
      </c>
      <c r="CC24" s="79">
        <f t="shared" si="21"/>
        <v>1.7629805894831586E-2</v>
      </c>
      <c r="CD24" s="79">
        <f t="shared" si="21"/>
        <v>1.7616181736754402E-2</v>
      </c>
      <c r="CE24" s="79">
        <f t="shared" si="21"/>
        <v>1.7602631388632252E-2</v>
      </c>
      <c r="CF24" s="79">
        <f t="shared" si="21"/>
        <v>1.7589156668900742E-2</v>
      </c>
      <c r="CG24" s="79">
        <f t="shared" si="21"/>
        <v>1.7575759302122143E-2</v>
      </c>
      <c r="CH24" s="79">
        <f t="shared" si="21"/>
        <v>1.7562440921921066E-2</v>
      </c>
      <c r="CI24" s="79">
        <f t="shared" si="21"/>
        <v>1.7549203073844714E-2</v>
      </c>
      <c r="CJ24" s="79">
        <f t="shared" si="21"/>
        <v>1.7536047218146715E-2</v>
      </c>
      <c r="CK24" s="79">
        <f t="shared" si="21"/>
        <v>1.7522974732497573E-2</v>
      </c>
      <c r="CL24" s="79">
        <f t="shared" si="21"/>
        <v>1.7509986914621828E-2</v>
      </c>
      <c r="CM24" s="79">
        <f t="shared" si="21"/>
        <v>1.7497084984866098E-2</v>
      </c>
      <c r="CN24" s="79">
        <f t="shared" si="21"/>
        <v>1.7484270088696914E-2</v>
      </c>
      <c r="CO24" s="79">
        <f t="shared" si="21"/>
        <v>1.7471543299130896E-2</v>
      </c>
      <c r="CP24" s="79">
        <f t="shared" si="21"/>
        <v>1.7458905619100532E-2</v>
      </c>
      <c r="CQ24" s="79">
        <f t="shared" si="21"/>
        <v>1.7446357983753949E-2</v>
      </c>
      <c r="CR24" s="79">
        <f t="shared" si="21"/>
        <v>1.7433901262692723E-2</v>
      </c>
      <c r="CS24" s="79">
        <f t="shared" si="21"/>
        <v>1.7421536262147739E-2</v>
      </c>
      <c r="CT24" s="79">
        <f t="shared" si="21"/>
        <v>1.7409263727095801E-2</v>
      </c>
      <c r="CU24" s="79">
        <f t="shared" si="21"/>
        <v>1.7397084343317944E-2</v>
      </c>
      <c r="CV24" s="79">
        <f t="shared" si="21"/>
        <v>1.7384998739399027E-2</v>
      </c>
      <c r="CW24" s="79">
        <f t="shared" si="21"/>
        <v>1.737300748867357E-2</v>
      </c>
      <c r="CX24" s="79">
        <f t="shared" si="21"/>
        <v>1.736111111111633E-2</v>
      </c>
      <c r="CY24" s="79">
        <f t="shared" si="21"/>
        <v>1.736111111111633E-2</v>
      </c>
      <c r="CZ24" s="79">
        <f t="shared" si="21"/>
        <v>1.736111111111633E-2</v>
      </c>
      <c r="DA24" s="79">
        <f t="shared" si="21"/>
        <v>1.736111111111633E-2</v>
      </c>
      <c r="DB24" s="79">
        <f t="shared" si="21"/>
        <v>1.736111111111633E-2</v>
      </c>
      <c r="DC24" s="79">
        <f t="shared" si="21"/>
        <v>1.736111111111633E-2</v>
      </c>
      <c r="DD24" s="79">
        <f t="shared" si="21"/>
        <v>1.736111111111633E-2</v>
      </c>
      <c r="DE24" s="79">
        <f t="shared" si="21"/>
        <v>1.736111111111633E-2</v>
      </c>
      <c r="DF24" s="79">
        <f t="shared" si="21"/>
        <v>1.736111111111633E-2</v>
      </c>
      <c r="DG24" s="79">
        <f t="shared" si="21"/>
        <v>1.736111111111633E-2</v>
      </c>
      <c r="DH24" s="79">
        <f t="shared" si="21"/>
        <v>1.736111111111633E-2</v>
      </c>
      <c r="DI24" s="79">
        <f t="shared" si="21"/>
        <v>1.736111111111633E-2</v>
      </c>
      <c r="DJ24" s="79">
        <f t="shared" si="21"/>
        <v>1.736111111111633E-2</v>
      </c>
      <c r="DK24" s="79">
        <f t="shared" si="21"/>
        <v>1.736111111111633E-2</v>
      </c>
      <c r="DL24" s="79">
        <f t="shared" si="21"/>
        <v>1.736111111111633E-2</v>
      </c>
      <c r="DM24" s="79">
        <f t="shared" si="21"/>
        <v>1.736111111111633E-2</v>
      </c>
      <c r="DN24" s="79">
        <f t="shared" si="21"/>
        <v>1.736111111111633E-2</v>
      </c>
      <c r="DO24" s="79">
        <f t="shared" si="21"/>
        <v>1.736111111111633E-2</v>
      </c>
      <c r="DP24" s="79">
        <f t="shared" si="21"/>
        <v>1.736111111111633E-2</v>
      </c>
      <c r="DQ24" s="79">
        <f t="shared" si="21"/>
        <v>1.736111111111633E-2</v>
      </c>
      <c r="DR24" s="79">
        <f t="shared" si="21"/>
        <v>1.736111111111633E-2</v>
      </c>
      <c r="DS24" s="79">
        <f t="shared" si="21"/>
        <v>1.736111111111633E-2</v>
      </c>
      <c r="DT24" s="79">
        <f t="shared" si="21"/>
        <v>1.736111111111633E-2</v>
      </c>
      <c r="DU24" s="79">
        <f t="shared" si="21"/>
        <v>1.736111111111633E-2</v>
      </c>
      <c r="DV24" s="79">
        <f t="shared" si="21"/>
        <v>1.736111111111633E-2</v>
      </c>
      <c r="DW24" s="79">
        <f t="shared" si="21"/>
        <v>1.736111111111633E-2</v>
      </c>
      <c r="DX24" s="79">
        <f t="shared" si="21"/>
        <v>1.736111111111633E-2</v>
      </c>
      <c r="DY24" s="79">
        <f t="shared" si="21"/>
        <v>1.736111111111633E-2</v>
      </c>
      <c r="DZ24" s="79">
        <f t="shared" si="21"/>
        <v>1.736111111111633E-2</v>
      </c>
      <c r="EA24" s="79">
        <f t="shared" si="21"/>
        <v>1.736111111111633E-2</v>
      </c>
      <c r="EB24" s="79">
        <f t="shared" si="21"/>
        <v>1.736111111111633E-2</v>
      </c>
      <c r="EC24" s="79">
        <f t="shared" si="21"/>
        <v>1.736111111111633E-2</v>
      </c>
      <c r="ED24" s="79">
        <f t="shared" si="21"/>
        <v>1.736111111111633E-2</v>
      </c>
      <c r="EE24" s="79">
        <f t="shared" si="16"/>
        <v>1.736111111111633E-2</v>
      </c>
      <c r="EF24" s="79">
        <f t="shared" si="15"/>
        <v>1.736111111111633E-2</v>
      </c>
      <c r="EG24" s="79">
        <f t="shared" si="15"/>
        <v>1.736111111111633E-2</v>
      </c>
      <c r="EH24" s="79">
        <f t="shared" si="15"/>
        <v>1.736111111111633E-2</v>
      </c>
      <c r="EI24" s="79">
        <f t="shared" si="15"/>
        <v>1.736111111111633E-2</v>
      </c>
      <c r="EJ24" s="79">
        <f t="shared" si="15"/>
        <v>1.736111111111633E-2</v>
      </c>
      <c r="EK24" s="79">
        <f t="shared" si="15"/>
        <v>1.736111111111633E-2</v>
      </c>
      <c r="EL24" s="79">
        <f t="shared" si="15"/>
        <v>1.736111111111633E-2</v>
      </c>
      <c r="EM24" s="79">
        <f t="shared" si="15"/>
        <v>1.736111111111633E-2</v>
      </c>
      <c r="EN24" s="79">
        <f t="shared" si="15"/>
        <v>1.736111111111633E-2</v>
      </c>
      <c r="EO24" s="79">
        <f t="shared" si="15"/>
        <v>1.736111111111633E-2</v>
      </c>
      <c r="EP24" s="79">
        <f t="shared" si="15"/>
        <v>1.736111111111633E-2</v>
      </c>
      <c r="EQ24" s="79">
        <f t="shared" si="15"/>
        <v>1.736111111111633E-2</v>
      </c>
      <c r="ER24" s="79">
        <f t="shared" si="15"/>
        <v>1.736111111111633E-2</v>
      </c>
      <c r="ES24" s="79">
        <f t="shared" si="15"/>
        <v>1.736111111111633E-2</v>
      </c>
      <c r="ET24" s="79">
        <f t="shared" si="15"/>
        <v>1.736111111111633E-2</v>
      </c>
      <c r="EU24" s="87"/>
      <c r="EV24" s="87"/>
      <c r="EW24" s="87"/>
      <c r="EX24" s="87"/>
      <c r="EY24" s="87"/>
      <c r="EZ24" s="87"/>
      <c r="FA24" s="137"/>
      <c r="FC24" s="27"/>
      <c r="FF24" s="701" t="s">
        <v>72</v>
      </c>
      <c r="FG24" s="700">
        <v>2.1600000000000001E-2</v>
      </c>
      <c r="FH24" s="700">
        <v>96</v>
      </c>
      <c r="FI24" s="699">
        <v>1.66E-2</v>
      </c>
      <c r="FJ24" s="699">
        <v>1.34E-2</v>
      </c>
      <c r="FK24" s="71">
        <f t="shared" si="11"/>
        <v>4.5555555555555562E-4</v>
      </c>
      <c r="FL24" t="e">
        <f>VLOOKUP(FF24,'SIMULADOR COM SALDO'!$BX$22:$CK$500,13,FALSE)</f>
        <v>#N/A</v>
      </c>
      <c r="FM24" s="166">
        <f t="shared" si="12"/>
        <v>1.6299999999999999E-2</v>
      </c>
    </row>
    <row r="25" spans="5:169" customFormat="1" x14ac:dyDescent="0.25">
      <c r="E25" s="77"/>
      <c r="F25" s="97">
        <f t="shared" si="13"/>
        <v>1.7588888888888893E-2</v>
      </c>
      <c r="G25" s="79">
        <f t="shared" si="10"/>
        <v>1.8499430009417398E-2</v>
      </c>
      <c r="H25" s="79">
        <f t="shared" ref="H25:BS28" si="22">IF(H$9&lt;=$K$6,RATE($K$6,1,H52,0),"")</f>
        <v>1.8498310284807154E-2</v>
      </c>
      <c r="I25" s="79">
        <f t="shared" si="22"/>
        <v>1.8496660590767745E-2</v>
      </c>
      <c r="J25" s="79">
        <f t="shared" si="22"/>
        <v>1.8494500207042075E-2</v>
      </c>
      <c r="K25" s="79">
        <f t="shared" si="22"/>
        <v>1.8491847935757776E-2</v>
      </c>
      <c r="L25" s="79">
        <f t="shared" si="22"/>
        <v>1.8488722108781778E-2</v>
      </c>
      <c r="M25" s="79">
        <f t="shared" si="22"/>
        <v>1.8485140595175004E-2</v>
      </c>
      <c r="N25" s="79">
        <f t="shared" si="22"/>
        <v>1.8481120808732536E-2</v>
      </c>
      <c r="O25" s="79">
        <f t="shared" si="22"/>
        <v>1.847667971559103E-2</v>
      </c>
      <c r="P25" s="79">
        <f t="shared" si="22"/>
        <v>1.8471833841892875E-2</v>
      </c>
      <c r="Q25" s="79">
        <f t="shared" si="22"/>
        <v>1.8466599281491507E-2</v>
      </c>
      <c r="R25" s="79">
        <f t="shared" si="22"/>
        <v>1.8460991703686373E-2</v>
      </c>
      <c r="S25" s="79">
        <f t="shared" si="22"/>
        <v>1.8455026360976581E-2</v>
      </c>
      <c r="T25" s="79">
        <f t="shared" si="22"/>
        <v>1.8448718096819205E-2</v>
      </c>
      <c r="U25" s="79">
        <f t="shared" si="22"/>
        <v>1.8442081353386579E-2</v>
      </c>
      <c r="V25" s="79">
        <f t="shared" si="22"/>
        <v>1.8435130179308302E-2</v>
      </c>
      <c r="W25" s="79">
        <f t="shared" si="22"/>
        <v>1.8427878237392097E-2</v>
      </c>
      <c r="X25" s="79">
        <f t="shared" si="22"/>
        <v>1.8420338812314727E-2</v>
      </c>
      <c r="Y25" s="79">
        <f t="shared" si="22"/>
        <v>1.8412524818272265E-2</v>
      </c>
      <c r="Z25" s="79">
        <f t="shared" si="22"/>
        <v>1.8404448806587519E-2</v>
      </c>
      <c r="AA25" s="79">
        <f t="shared" si="22"/>
        <v>1.8396122973262808E-2</v>
      </c>
      <c r="AB25" s="79">
        <f t="shared" si="22"/>
        <v>1.8387559166476181E-2</v>
      </c>
      <c r="AC25" s="79">
        <f t="shared" si="22"/>
        <v>1.837876889401148E-2</v>
      </c>
      <c r="AD25" s="79">
        <f t="shared" si="22"/>
        <v>1.8369763330620608E-2</v>
      </c>
      <c r="AE25" s="79">
        <f t="shared" si="22"/>
        <v>1.8360553325310947E-2</v>
      </c>
      <c r="AF25" s="79">
        <f t="shared" si="22"/>
        <v>1.8351149408553723E-2</v>
      </c>
      <c r="AG25" s="79">
        <f t="shared" si="22"/>
        <v>1.8341561799410728E-2</v>
      </c>
      <c r="AH25" s="79">
        <f t="shared" si="22"/>
        <v>1.8331800412574102E-2</v>
      </c>
      <c r="AI25" s="79">
        <f t="shared" si="22"/>
        <v>1.8321874865317476E-2</v>
      </c>
      <c r="AJ25" s="79">
        <f t="shared" si="22"/>
        <v>1.8311794484353893E-2</v>
      </c>
      <c r="AK25" s="79">
        <f t="shared" si="22"/>
        <v>1.830156831259995E-2</v>
      </c>
      <c r="AL25" s="79">
        <f t="shared" si="22"/>
        <v>1.8291205115842514E-2</v>
      </c>
      <c r="AM25" s="79">
        <f t="shared" si="22"/>
        <v>1.8280713389305571E-2</v>
      </c>
      <c r="AN25" s="79">
        <f t="shared" si="22"/>
        <v>1.8270101364118069E-2</v>
      </c>
      <c r="AO25" s="79">
        <f t="shared" si="22"/>
        <v>1.8259377013677781E-2</v>
      </c>
      <c r="AP25" s="79">
        <f t="shared" si="22"/>
        <v>1.8248548059912734E-2</v>
      </c>
      <c r="AQ25" s="79">
        <f t="shared" si="22"/>
        <v>1.8237621979438071E-2</v>
      </c>
      <c r="AR25" s="79">
        <f t="shared" si="22"/>
        <v>1.8226606009608085E-2</v>
      </c>
      <c r="AS25" s="79">
        <f t="shared" si="22"/>
        <v>1.8215507154461675E-2</v>
      </c>
      <c r="AT25" s="79">
        <f t="shared" si="22"/>
        <v>1.8204332190561837E-2</v>
      </c>
      <c r="AU25" s="79">
        <f t="shared" si="22"/>
        <v>1.8193087672730535E-2</v>
      </c>
      <c r="AV25" s="79">
        <f t="shared" si="22"/>
        <v>1.8181779939673987E-2</v>
      </c>
      <c r="AW25" s="79">
        <f t="shared" si="22"/>
        <v>1.8170415119504554E-2</v>
      </c>
      <c r="AX25" s="79">
        <f t="shared" si="22"/>
        <v>1.8158999135155007E-2</v>
      </c>
      <c r="AY25" s="79">
        <f t="shared" si="22"/>
        <v>1.8147537709687328E-2</v>
      </c>
      <c r="AZ25" s="79">
        <f t="shared" si="22"/>
        <v>1.8136036371496061E-2</v>
      </c>
      <c r="BA25" s="79">
        <f t="shared" si="22"/>
        <v>1.8124500459407847E-2</v>
      </c>
      <c r="BB25" s="79">
        <f t="shared" si="22"/>
        <v>1.8112935127675735E-2</v>
      </c>
      <c r="BC25" s="79">
        <f t="shared" si="22"/>
        <v>1.8101345350870834E-2</v>
      </c>
      <c r="BD25" s="79">
        <f t="shared" si="22"/>
        <v>1.8089735928672027E-2</v>
      </c>
      <c r="BE25" s="79">
        <f t="shared" si="22"/>
        <v>1.8078111490553016E-2</v>
      </c>
      <c r="BF25" s="79">
        <f t="shared" si="22"/>
        <v>1.8066476500370444E-2</v>
      </c>
      <c r="BG25" s="79">
        <f t="shared" si="22"/>
        <v>1.8054835260851901E-2</v>
      </c>
      <c r="BH25" s="79">
        <f t="shared" si="22"/>
        <v>1.8043191917984952E-2</v>
      </c>
      <c r="BI25" s="79">
        <f t="shared" si="22"/>
        <v>1.8031550465310815E-2</v>
      </c>
      <c r="BJ25" s="79">
        <f t="shared" si="22"/>
        <v>1.8019914748120813E-2</v>
      </c>
      <c r="BK25" s="79">
        <f t="shared" si="22"/>
        <v>1.800828846755911E-2</v>
      </c>
      <c r="BL25" s="79">
        <f t="shared" si="22"/>
        <v>1.7996675184631421E-2</v>
      </c>
      <c r="BM25" s="79">
        <f t="shared" si="22"/>
        <v>1.7985078324123299E-2</v>
      </c>
      <c r="BN25" s="79">
        <f t="shared" si="22"/>
        <v>1.7973501178425614E-2</v>
      </c>
      <c r="BO25" s="79">
        <f t="shared" si="22"/>
        <v>1.79619469112734E-2</v>
      </c>
      <c r="BP25" s="79">
        <f t="shared" si="22"/>
        <v>1.79504185613952E-2</v>
      </c>
      <c r="BQ25" s="79">
        <f t="shared" si="22"/>
        <v>1.7938919046077018E-2</v>
      </c>
      <c r="BR25" s="79">
        <f t="shared" si="22"/>
        <v>1.7927451164641412E-2</v>
      </c>
      <c r="BS25" s="79">
        <f t="shared" si="22"/>
        <v>1.7916017601842252E-2</v>
      </c>
      <c r="BT25" s="79">
        <f t="shared" si="21"/>
        <v>1.790462093117904E-2</v>
      </c>
      <c r="BU25" s="79">
        <f t="shared" si="21"/>
        <v>1.7893263618129748E-2</v>
      </c>
      <c r="BV25" s="79">
        <f t="shared" si="21"/>
        <v>1.7881948023305266E-2</v>
      </c>
      <c r="BW25" s="79">
        <f t="shared" si="21"/>
        <v>1.7870676405525455E-2</v>
      </c>
      <c r="BX25" s="79">
        <f t="shared" si="21"/>
        <v>1.7859450924820278E-2</v>
      </c>
      <c r="BY25" s="79">
        <f t="shared" si="21"/>
        <v>1.7848273645355951E-2</v>
      </c>
      <c r="BZ25" s="79">
        <f t="shared" si="21"/>
        <v>1.783714653828742E-2</v>
      </c>
      <c r="CA25" s="79">
        <f t="shared" si="21"/>
        <v>1.7826071484539845E-2</v>
      </c>
      <c r="CB25" s="79">
        <f t="shared" si="21"/>
        <v>1.7815050277519871E-2</v>
      </c>
      <c r="CC25" s="79">
        <f t="shared" si="21"/>
        <v>1.7804084625757433E-2</v>
      </c>
      <c r="CD25" s="79">
        <f t="shared" si="21"/>
        <v>1.7793176155480993E-2</v>
      </c>
      <c r="CE25" s="79">
        <f t="shared" si="21"/>
        <v>1.7782326413126399E-2</v>
      </c>
      <c r="CF25" s="79">
        <f t="shared" si="21"/>
        <v>1.7771536867781466E-2</v>
      </c>
      <c r="CG25" s="79">
        <f t="shared" si="21"/>
        <v>1.776080891356676E-2</v>
      </c>
      <c r="CH25" s="79">
        <f t="shared" si="21"/>
        <v>1.7750143871954973E-2</v>
      </c>
      <c r="CI25" s="79">
        <f t="shared" si="21"/>
        <v>1.7739542994030348E-2</v>
      </c>
      <c r="CJ25" s="79">
        <f t="shared" si="21"/>
        <v>1.7729007462687883E-2</v>
      </c>
      <c r="CK25" s="79">
        <f t="shared" si="21"/>
        <v>1.7718538394775715E-2</v>
      </c>
      <c r="CL25" s="79">
        <f t="shared" si="21"/>
        <v>1.7708136843180056E-2</v>
      </c>
      <c r="CM25" s="79">
        <f t="shared" si="21"/>
        <v>1.7697803798855861E-2</v>
      </c>
      <c r="CN25" s="79">
        <f t="shared" si="21"/>
        <v>1.7687540192802401E-2</v>
      </c>
      <c r="CO25" s="79">
        <f t="shared" si="21"/>
        <v>1.7677346897987327E-2</v>
      </c>
      <c r="CP25" s="79">
        <f t="shared" si="21"/>
        <v>1.7667224731217762E-2</v>
      </c>
      <c r="CQ25" s="79">
        <f t="shared" si="21"/>
        <v>1.765717445496286E-2</v>
      </c>
      <c r="CR25" s="79">
        <f t="shared" si="21"/>
        <v>1.7647196779125015E-2</v>
      </c>
      <c r="CS25" s="79">
        <f t="shared" si="21"/>
        <v>1.7637292362764952E-2</v>
      </c>
      <c r="CT25" s="79">
        <f t="shared" si="21"/>
        <v>1.7627461815779115E-2</v>
      </c>
      <c r="CU25" s="79">
        <f t="shared" si="21"/>
        <v>1.7617705700531654E-2</v>
      </c>
      <c r="CV25" s="79">
        <f t="shared" si="21"/>
        <v>1.7608024533440365E-2</v>
      </c>
      <c r="CW25" s="79">
        <f t="shared" si="21"/>
        <v>1.7598418786522189E-2</v>
      </c>
      <c r="CX25" s="79">
        <f t="shared" si="21"/>
        <v>1.758888888889255E-2</v>
      </c>
      <c r="CY25" s="79">
        <f t="shared" si="21"/>
        <v>1.758888888889255E-2</v>
      </c>
      <c r="CZ25" s="79">
        <f t="shared" si="21"/>
        <v>1.758888888889255E-2</v>
      </c>
      <c r="DA25" s="79">
        <f t="shared" si="21"/>
        <v>1.758888888889255E-2</v>
      </c>
      <c r="DB25" s="79">
        <f t="shared" si="21"/>
        <v>1.758888888889255E-2</v>
      </c>
      <c r="DC25" s="79">
        <f t="shared" si="21"/>
        <v>1.758888888889255E-2</v>
      </c>
      <c r="DD25" s="79">
        <f t="shared" si="21"/>
        <v>1.758888888889255E-2</v>
      </c>
      <c r="DE25" s="79">
        <f t="shared" si="21"/>
        <v>1.758888888889255E-2</v>
      </c>
      <c r="DF25" s="79">
        <f t="shared" si="21"/>
        <v>1.758888888889255E-2</v>
      </c>
      <c r="DG25" s="79">
        <f t="shared" si="21"/>
        <v>1.758888888889255E-2</v>
      </c>
      <c r="DH25" s="79">
        <f t="shared" si="21"/>
        <v>1.758888888889255E-2</v>
      </c>
      <c r="DI25" s="79">
        <f t="shared" si="21"/>
        <v>1.758888888889255E-2</v>
      </c>
      <c r="DJ25" s="79">
        <f t="shared" si="21"/>
        <v>1.758888888889255E-2</v>
      </c>
      <c r="DK25" s="79">
        <f t="shared" si="21"/>
        <v>1.758888888889255E-2</v>
      </c>
      <c r="DL25" s="79">
        <f t="shared" si="21"/>
        <v>1.758888888889255E-2</v>
      </c>
      <c r="DM25" s="79">
        <f t="shared" si="21"/>
        <v>1.758888888889255E-2</v>
      </c>
      <c r="DN25" s="79">
        <f t="shared" si="21"/>
        <v>1.758888888889255E-2</v>
      </c>
      <c r="DO25" s="79">
        <f t="shared" si="21"/>
        <v>1.758888888889255E-2</v>
      </c>
      <c r="DP25" s="79">
        <f t="shared" si="21"/>
        <v>1.758888888889255E-2</v>
      </c>
      <c r="DQ25" s="79">
        <f t="shared" si="21"/>
        <v>1.758888888889255E-2</v>
      </c>
      <c r="DR25" s="79">
        <f t="shared" si="21"/>
        <v>1.758888888889255E-2</v>
      </c>
      <c r="DS25" s="79">
        <f t="shared" si="21"/>
        <v>1.758888888889255E-2</v>
      </c>
      <c r="DT25" s="79">
        <f t="shared" si="21"/>
        <v>1.758888888889255E-2</v>
      </c>
      <c r="DU25" s="79">
        <f t="shared" si="21"/>
        <v>1.758888888889255E-2</v>
      </c>
      <c r="DV25" s="79">
        <f t="shared" si="21"/>
        <v>1.758888888889255E-2</v>
      </c>
      <c r="DW25" s="79">
        <f t="shared" si="21"/>
        <v>1.758888888889255E-2</v>
      </c>
      <c r="DX25" s="79">
        <f t="shared" si="21"/>
        <v>1.758888888889255E-2</v>
      </c>
      <c r="DY25" s="79">
        <f t="shared" si="21"/>
        <v>1.758888888889255E-2</v>
      </c>
      <c r="DZ25" s="79">
        <f t="shared" si="21"/>
        <v>1.758888888889255E-2</v>
      </c>
      <c r="EA25" s="79">
        <f t="shared" si="21"/>
        <v>1.758888888889255E-2</v>
      </c>
      <c r="EB25" s="79">
        <f t="shared" si="21"/>
        <v>1.758888888889255E-2</v>
      </c>
      <c r="EC25" s="79">
        <f t="shared" si="21"/>
        <v>1.758888888889255E-2</v>
      </c>
      <c r="ED25" s="79">
        <f t="shared" si="21"/>
        <v>1.758888888889255E-2</v>
      </c>
      <c r="EE25" s="79">
        <f t="shared" si="16"/>
        <v>1.758888888889255E-2</v>
      </c>
      <c r="EF25" s="79">
        <f t="shared" si="15"/>
        <v>1.758888888889255E-2</v>
      </c>
      <c r="EG25" s="79">
        <f t="shared" si="15"/>
        <v>1.758888888889255E-2</v>
      </c>
      <c r="EH25" s="79">
        <f t="shared" si="15"/>
        <v>1.758888888889255E-2</v>
      </c>
      <c r="EI25" s="79">
        <f t="shared" si="15"/>
        <v>1.758888888889255E-2</v>
      </c>
      <c r="EJ25" s="79">
        <f t="shared" si="15"/>
        <v>1.758888888889255E-2</v>
      </c>
      <c r="EK25" s="79">
        <f t="shared" si="15"/>
        <v>1.758888888889255E-2</v>
      </c>
      <c r="EL25" s="79">
        <f t="shared" si="15"/>
        <v>1.758888888889255E-2</v>
      </c>
      <c r="EM25" s="79">
        <f t="shared" si="15"/>
        <v>1.758888888889255E-2</v>
      </c>
      <c r="EN25" s="79">
        <f t="shared" si="15"/>
        <v>1.758888888889255E-2</v>
      </c>
      <c r="EO25" s="79">
        <f t="shared" si="15"/>
        <v>1.758888888889255E-2</v>
      </c>
      <c r="EP25" s="79">
        <f t="shared" si="15"/>
        <v>1.758888888889255E-2</v>
      </c>
      <c r="EQ25" s="79">
        <f t="shared" si="15"/>
        <v>1.758888888889255E-2</v>
      </c>
      <c r="ER25" s="79">
        <f t="shared" si="15"/>
        <v>1.758888888889255E-2</v>
      </c>
      <c r="ES25" s="79">
        <f t="shared" si="15"/>
        <v>1.758888888889255E-2</v>
      </c>
      <c r="ET25" s="79">
        <f t="shared" si="15"/>
        <v>1.758888888889255E-2</v>
      </c>
      <c r="EU25" s="87"/>
      <c r="EV25" s="87"/>
      <c r="EW25" s="87"/>
      <c r="EX25" s="87"/>
      <c r="EY25" s="87"/>
      <c r="EZ25" s="87"/>
      <c r="FA25" s="87"/>
      <c r="FC25" s="27"/>
      <c r="FF25" s="698" t="s">
        <v>2999</v>
      </c>
      <c r="FG25" s="700">
        <v>1.9E-2</v>
      </c>
      <c r="FH25" s="700">
        <v>120</v>
      </c>
      <c r="FI25" s="699">
        <v>1.8000000000000002E-2</v>
      </c>
      <c r="FJ25" s="699">
        <v>1.4499999999999999E-2</v>
      </c>
      <c r="FK25" s="71">
        <f t="shared" si="11"/>
        <v>2.5000000000000001E-4</v>
      </c>
      <c r="FL25" t="e">
        <f>VLOOKUP(FF25,'SIMULADOR COM SALDO'!$BX$22:$CK$500,13,FALSE)</f>
        <v>#N/A</v>
      </c>
      <c r="FM25" s="166">
        <f t="shared" si="12"/>
        <v>1.77E-2</v>
      </c>
    </row>
    <row r="26" spans="5:169" customFormat="1" x14ac:dyDescent="0.25">
      <c r="E26" s="77"/>
      <c r="F26" s="97">
        <f t="shared" si="13"/>
        <v>1.7816666666666672E-2</v>
      </c>
      <c r="G26" s="79">
        <f t="shared" si="10"/>
        <v>1.8499572601087703E-2</v>
      </c>
      <c r="H26" s="79">
        <f t="shared" si="22"/>
        <v>1.8498733076749898E-2</v>
      </c>
      <c r="I26" s="79">
        <f t="shared" si="22"/>
        <v>1.8497496318081737E-2</v>
      </c>
      <c r="J26" s="79">
        <f t="shared" si="22"/>
        <v>1.8495876840322438E-2</v>
      </c>
      <c r="K26" s="79">
        <f t="shared" si="22"/>
        <v>1.8493888789416948E-2</v>
      </c>
      <c r="L26" s="79">
        <f t="shared" si="22"/>
        <v>1.8491545948587904E-2</v>
      </c>
      <c r="M26" s="79">
        <f t="shared" si="22"/>
        <v>1.8488861744911385E-2</v>
      </c>
      <c r="N26" s="79">
        <f t="shared" si="22"/>
        <v>1.8485849255888309E-2</v>
      </c>
      <c r="O26" s="79">
        <f t="shared" si="22"/>
        <v>1.8482521216003311E-2</v>
      </c>
      <c r="P26" s="79">
        <f t="shared" si="22"/>
        <v>1.8478890023263254E-2</v>
      </c>
      <c r="Q26" s="79">
        <f t="shared" si="22"/>
        <v>1.8474967745711373E-2</v>
      </c>
      <c r="R26" s="79">
        <f t="shared" si="22"/>
        <v>1.847076612790801E-2</v>
      </c>
      <c r="S26" s="79">
        <f t="shared" si="22"/>
        <v>1.8466296597374185E-2</v>
      </c>
      <c r="T26" s="79">
        <f t="shared" si="22"/>
        <v>1.8461570270990688E-2</v>
      </c>
      <c r="U26" s="79">
        <f t="shared" si="22"/>
        <v>1.8456597961350504E-2</v>
      </c>
      <c r="V26" s="79">
        <f t="shared" si="22"/>
        <v>1.84513901830578E-2</v>
      </c>
      <c r="W26" s="79">
        <f t="shared" si="22"/>
        <v>1.8445957158969673E-2</v>
      </c>
      <c r="X26" s="79">
        <f t="shared" si="22"/>
        <v>1.8440308826377583E-2</v>
      </c>
      <c r="Y26" s="79">
        <f t="shared" si="22"/>
        <v>1.8434454843124844E-2</v>
      </c>
      <c r="Z26" s="79">
        <f t="shared" si="22"/>
        <v>1.8428404593655683E-2</v>
      </c>
      <c r="AA26" s="79">
        <f t="shared" si="22"/>
        <v>1.8422167194994631E-2</v>
      </c>
      <c r="AB26" s="79">
        <f t="shared" si="22"/>
        <v>1.8415751502653323E-2</v>
      </c>
      <c r="AC26" s="79">
        <f t="shared" si="22"/>
        <v>1.8409166116460554E-2</v>
      </c>
      <c r="AD26" s="79">
        <f t="shared" si="22"/>
        <v>1.8402419386316534E-2</v>
      </c>
      <c r="AE26" s="79">
        <f t="shared" si="22"/>
        <v>1.8395519417866539E-2</v>
      </c>
      <c r="AF26" s="79">
        <f t="shared" si="22"/>
        <v>1.8388474078094321E-2</v>
      </c>
      <c r="AG26" s="79">
        <f t="shared" si="22"/>
        <v>1.8381291000833109E-2</v>
      </c>
      <c r="AH26" s="79">
        <f t="shared" si="22"/>
        <v>1.8373977592192295E-2</v>
      </c>
      <c r="AI26" s="79">
        <f t="shared" si="22"/>
        <v>1.8366541035900998E-2</v>
      </c>
      <c r="AJ26" s="79">
        <f t="shared" si="22"/>
        <v>1.8358988298563899E-2</v>
      </c>
      <c r="AK26" s="79">
        <f t="shared" si="22"/>
        <v>1.8351326134833073E-2</v>
      </c>
      <c r="AL26" s="79">
        <f t="shared" si="22"/>
        <v>1.8343561092491939E-2</v>
      </c>
      <c r="AM26" s="79">
        <f t="shared" si="22"/>
        <v>1.8335699517452102E-2</v>
      </c>
      <c r="AN26" s="79">
        <f t="shared" si="22"/>
        <v>1.8327747558663194E-2</v>
      </c>
      <c r="AO26" s="79">
        <f t="shared" si="22"/>
        <v>1.8319711172935155E-2</v>
      </c>
      <c r="AP26" s="79">
        <f t="shared" si="22"/>
        <v>1.8311596129673091E-2</v>
      </c>
      <c r="AQ26" s="79">
        <f t="shared" si="22"/>
        <v>1.8303408015523926E-2</v>
      </c>
      <c r="AR26" s="79">
        <f t="shared" si="22"/>
        <v>1.8295152238937868E-2</v>
      </c>
      <c r="AS26" s="79">
        <f t="shared" si="22"/>
        <v>1.8286834034640341E-2</v>
      </c>
      <c r="AT26" s="79">
        <f t="shared" si="22"/>
        <v>1.8278458468020242E-2</v>
      </c>
      <c r="AU26" s="79">
        <f t="shared" si="22"/>
        <v>1.8270030439429853E-2</v>
      </c>
      <c r="AV26" s="79">
        <f t="shared" si="22"/>
        <v>1.8261554688400992E-2</v>
      </c>
      <c r="AW26" s="79">
        <f t="shared" si="22"/>
        <v>1.8253035797775687E-2</v>
      </c>
      <c r="AX26" s="79">
        <f t="shared" si="22"/>
        <v>1.8244478197753076E-2</v>
      </c>
      <c r="AY26" s="79">
        <f t="shared" si="22"/>
        <v>1.8235886169852583E-2</v>
      </c>
      <c r="AZ26" s="79">
        <f t="shared" si="22"/>
        <v>1.8227263850794675E-2</v>
      </c>
      <c r="BA26" s="79">
        <f t="shared" si="22"/>
        <v>1.8218615236301038E-2</v>
      </c>
      <c r="BB26" s="79">
        <f t="shared" si="22"/>
        <v>1.8209944184812268E-2</v>
      </c>
      <c r="BC26" s="79">
        <f t="shared" si="22"/>
        <v>1.8201254421126849E-2</v>
      </c>
      <c r="BD26" s="79">
        <f t="shared" si="22"/>
        <v>1.8192549539961488E-2</v>
      </c>
      <c r="BE26" s="79">
        <f t="shared" si="22"/>
        <v>1.8183833009432711E-2</v>
      </c>
      <c r="BF26" s="79">
        <f t="shared" si="22"/>
        <v>1.8175108174463047E-2</v>
      </c>
      <c r="BG26" s="79">
        <f t="shared" si="22"/>
        <v>1.8166378260109858E-2</v>
      </c>
      <c r="BH26" s="79">
        <f t="shared" si="22"/>
        <v>1.8157646374821118E-2</v>
      </c>
      <c r="BI26" s="79">
        <f t="shared" si="22"/>
        <v>1.8148915513616998E-2</v>
      </c>
      <c r="BJ26" s="79">
        <f t="shared" si="22"/>
        <v>1.8140188561198582E-2</v>
      </c>
      <c r="BK26" s="79">
        <f t="shared" si="22"/>
        <v>1.8131468294986942E-2</v>
      </c>
      <c r="BL26" s="79">
        <f t="shared" si="22"/>
        <v>1.812275738808989E-2</v>
      </c>
      <c r="BM26" s="79">
        <f t="shared" si="22"/>
        <v>1.811405841220216E-2</v>
      </c>
      <c r="BN26" s="79">
        <f t="shared" si="22"/>
        <v>1.8105373840435899E-2</v>
      </c>
      <c r="BO26" s="79">
        <f t="shared" si="22"/>
        <v>1.8096706050085745E-2</v>
      </c>
      <c r="BP26" s="79">
        <f t="shared" si="22"/>
        <v>1.8088057325328057E-2</v>
      </c>
      <c r="BQ26" s="79">
        <f t="shared" si="22"/>
        <v>1.8079429859856017E-2</v>
      </c>
      <c r="BR26" s="79">
        <f t="shared" si="22"/>
        <v>1.8070825759451549E-2</v>
      </c>
      <c r="BS26" s="79">
        <f t="shared" si="22"/>
        <v>1.8062247044495276E-2</v>
      </c>
      <c r="BT26" s="79">
        <f t="shared" si="21"/>
        <v>1.805369565241622E-2</v>
      </c>
      <c r="BU26" s="79">
        <f t="shared" si="21"/>
        <v>1.8045173440081021E-2</v>
      </c>
      <c r="BV26" s="79">
        <f t="shared" si="21"/>
        <v>1.8036682186126043E-2</v>
      </c>
      <c r="BW26" s="79">
        <f t="shared" si="21"/>
        <v>1.802822359323069E-2</v>
      </c>
      <c r="BX26" s="79">
        <f t="shared" si="21"/>
        <v>1.801979929033572E-2</v>
      </c>
      <c r="BY26" s="79">
        <f t="shared" si="21"/>
        <v>1.8011410834806094E-2</v>
      </c>
      <c r="BZ26" s="79">
        <f t="shared" si="21"/>
        <v>1.8003059714540276E-2</v>
      </c>
      <c r="CA26" s="79">
        <f t="shared" si="21"/>
        <v>1.7994747350026184E-2</v>
      </c>
      <c r="CB26" s="79">
        <f t="shared" si="21"/>
        <v>1.798647509634561E-2</v>
      </c>
      <c r="CC26" s="79">
        <f t="shared" si="21"/>
        <v>1.797824424512898E-2</v>
      </c>
      <c r="CD26" s="79">
        <f t="shared" si="21"/>
        <v>1.797005602645917E-2</v>
      </c>
      <c r="CE26" s="79">
        <f t="shared" si="21"/>
        <v>1.7961911610727591E-2</v>
      </c>
      <c r="CF26" s="79">
        <f t="shared" si="21"/>
        <v>1.7953812110443227E-2</v>
      </c>
      <c r="CG26" s="79">
        <f t="shared" si="21"/>
        <v>1.7945758581994424E-2</v>
      </c>
      <c r="CH26" s="79">
        <f t="shared" si="21"/>
        <v>1.7937752027365611E-2</v>
      </c>
      <c r="CI26" s="79">
        <f t="shared" si="21"/>
        <v>1.7929793395810741E-2</v>
      </c>
      <c r="CJ26" s="79">
        <f t="shared" si="21"/>
        <v>1.792188358548117E-2</v>
      </c>
      <c r="CK26" s="79">
        <f t="shared" si="21"/>
        <v>1.7914023445013461E-2</v>
      </c>
      <c r="CL26" s="79">
        <f t="shared" si="21"/>
        <v>1.7906213775073811E-2</v>
      </c>
      <c r="CM26" s="79">
        <f t="shared" si="21"/>
        <v>1.7898455329863398E-2</v>
      </c>
      <c r="CN26" s="79">
        <f t="shared" si="21"/>
        <v>1.7890748818583338E-2</v>
      </c>
      <c r="CO26" s="79">
        <f t="shared" si="21"/>
        <v>1.788309490686156E-2</v>
      </c>
      <c r="CP26" s="79">
        <f t="shared" si="21"/>
        <v>1.7875494218140803E-2</v>
      </c>
      <c r="CQ26" s="79">
        <f t="shared" si="21"/>
        <v>1.786794733503113E-2</v>
      </c>
      <c r="CR26" s="79">
        <f t="shared" si="21"/>
        <v>1.7860454800625928E-2</v>
      </c>
      <c r="CS26" s="79">
        <f t="shared" si="21"/>
        <v>1.7853017119781715E-2</v>
      </c>
      <c r="CT26" s="79">
        <f t="shared" si="21"/>
        <v>1.7845634760365492E-2</v>
      </c>
      <c r="CU26" s="79">
        <f t="shared" si="21"/>
        <v>1.7838308154466773E-2</v>
      </c>
      <c r="CV26" s="79">
        <f t="shared" si="21"/>
        <v>1.7831037699577734E-2</v>
      </c>
      <c r="CW26" s="79">
        <f t="shared" si="21"/>
        <v>1.7823823759741595E-2</v>
      </c>
      <c r="CX26" s="79">
        <f t="shared" si="21"/>
        <v>1.7816666666669249E-2</v>
      </c>
      <c r="CY26" s="79">
        <f t="shared" si="21"/>
        <v>1.7816666666669249E-2</v>
      </c>
      <c r="CZ26" s="79">
        <f t="shared" si="21"/>
        <v>1.7816666666669249E-2</v>
      </c>
      <c r="DA26" s="79">
        <f t="shared" si="21"/>
        <v>1.7816666666669249E-2</v>
      </c>
      <c r="DB26" s="79">
        <f t="shared" si="21"/>
        <v>1.7816666666669249E-2</v>
      </c>
      <c r="DC26" s="79">
        <f t="shared" si="21"/>
        <v>1.7816666666669249E-2</v>
      </c>
      <c r="DD26" s="79">
        <f t="shared" si="21"/>
        <v>1.7816666666669249E-2</v>
      </c>
      <c r="DE26" s="79">
        <f t="shared" si="21"/>
        <v>1.7816666666669249E-2</v>
      </c>
      <c r="DF26" s="79">
        <f t="shared" si="21"/>
        <v>1.7816666666669249E-2</v>
      </c>
      <c r="DG26" s="79">
        <f t="shared" si="21"/>
        <v>1.7816666666669249E-2</v>
      </c>
      <c r="DH26" s="79">
        <f t="shared" si="21"/>
        <v>1.7816666666669249E-2</v>
      </c>
      <c r="DI26" s="79">
        <f t="shared" si="21"/>
        <v>1.7816666666669249E-2</v>
      </c>
      <c r="DJ26" s="79">
        <f t="shared" si="21"/>
        <v>1.7816666666669249E-2</v>
      </c>
      <c r="DK26" s="79">
        <f t="shared" si="21"/>
        <v>1.7816666666669249E-2</v>
      </c>
      <c r="DL26" s="79">
        <f t="shared" si="21"/>
        <v>1.7816666666669249E-2</v>
      </c>
      <c r="DM26" s="79">
        <f t="shared" si="21"/>
        <v>1.7816666666669249E-2</v>
      </c>
      <c r="DN26" s="79">
        <f t="shared" si="21"/>
        <v>1.7816666666669249E-2</v>
      </c>
      <c r="DO26" s="79">
        <f t="shared" si="21"/>
        <v>1.7816666666669249E-2</v>
      </c>
      <c r="DP26" s="79">
        <f t="shared" si="21"/>
        <v>1.7816666666669249E-2</v>
      </c>
      <c r="DQ26" s="79">
        <f t="shared" si="21"/>
        <v>1.7816666666669249E-2</v>
      </c>
      <c r="DR26" s="79">
        <f t="shared" si="21"/>
        <v>1.7816666666669249E-2</v>
      </c>
      <c r="DS26" s="79">
        <f t="shared" si="21"/>
        <v>1.7816666666669249E-2</v>
      </c>
      <c r="DT26" s="79">
        <f t="shared" si="21"/>
        <v>1.7816666666669249E-2</v>
      </c>
      <c r="DU26" s="79">
        <f t="shared" si="21"/>
        <v>1.7816666666669249E-2</v>
      </c>
      <c r="DV26" s="79">
        <f t="shared" si="21"/>
        <v>1.7816666666669249E-2</v>
      </c>
      <c r="DW26" s="79">
        <f t="shared" si="21"/>
        <v>1.7816666666669249E-2</v>
      </c>
      <c r="DX26" s="79">
        <f t="shared" si="21"/>
        <v>1.7816666666669249E-2</v>
      </c>
      <c r="DY26" s="79">
        <f t="shared" si="21"/>
        <v>1.7816666666669249E-2</v>
      </c>
      <c r="DZ26" s="79">
        <f t="shared" si="21"/>
        <v>1.7816666666669249E-2</v>
      </c>
      <c r="EA26" s="79">
        <f t="shared" si="21"/>
        <v>1.7816666666669249E-2</v>
      </c>
      <c r="EB26" s="79">
        <f t="shared" si="21"/>
        <v>1.7816666666669249E-2</v>
      </c>
      <c r="EC26" s="79">
        <f t="shared" si="21"/>
        <v>1.7816666666669249E-2</v>
      </c>
      <c r="ED26" s="79">
        <f t="shared" si="21"/>
        <v>1.7816666666669249E-2</v>
      </c>
      <c r="EE26" s="79">
        <f t="shared" si="16"/>
        <v>1.7816666666669249E-2</v>
      </c>
      <c r="EF26" s="79">
        <f t="shared" si="15"/>
        <v>1.7816666666669249E-2</v>
      </c>
      <c r="EG26" s="79">
        <f t="shared" si="15"/>
        <v>1.7816666666669249E-2</v>
      </c>
      <c r="EH26" s="79">
        <f t="shared" si="15"/>
        <v>1.7816666666669249E-2</v>
      </c>
      <c r="EI26" s="79">
        <f t="shared" si="15"/>
        <v>1.7816666666669249E-2</v>
      </c>
      <c r="EJ26" s="79">
        <f t="shared" si="15"/>
        <v>1.7816666666669249E-2</v>
      </c>
      <c r="EK26" s="79">
        <f t="shared" si="15"/>
        <v>1.7816666666669249E-2</v>
      </c>
      <c r="EL26" s="79">
        <f t="shared" si="15"/>
        <v>1.7816666666669249E-2</v>
      </c>
      <c r="EM26" s="79">
        <f t="shared" si="15"/>
        <v>1.7816666666669249E-2</v>
      </c>
      <c r="EN26" s="79">
        <f t="shared" si="15"/>
        <v>1.7816666666669249E-2</v>
      </c>
      <c r="EO26" s="79">
        <f t="shared" si="15"/>
        <v>1.7816666666669249E-2</v>
      </c>
      <c r="EP26" s="79">
        <f t="shared" si="15"/>
        <v>1.7816666666669249E-2</v>
      </c>
      <c r="EQ26" s="79">
        <f t="shared" si="15"/>
        <v>1.7816666666669249E-2</v>
      </c>
      <c r="ER26" s="79">
        <f t="shared" si="15"/>
        <v>1.7816666666669249E-2</v>
      </c>
      <c r="ES26" s="79">
        <f t="shared" si="15"/>
        <v>1.7816666666669249E-2</v>
      </c>
      <c r="ET26" s="79">
        <f t="shared" si="15"/>
        <v>1.7816666666669249E-2</v>
      </c>
      <c r="EU26" s="87"/>
      <c r="EV26" s="87"/>
      <c r="EW26" s="87"/>
      <c r="EX26" s="87"/>
      <c r="EY26" s="87" t="s">
        <v>70</v>
      </c>
      <c r="EZ26" s="98">
        <v>1.2800000000000001E-2</v>
      </c>
      <c r="FA26" s="137">
        <f>VLOOKUP(EY26,$EY$11:$FC$24,5,FALSE)</f>
        <v>1.9E-2</v>
      </c>
      <c r="FB26" s="4">
        <f>(FA26-EZ26)/18</f>
        <v>3.4444444444444437E-4</v>
      </c>
      <c r="FC26" s="27"/>
      <c r="FF26" s="698" t="s">
        <v>3000</v>
      </c>
      <c r="FG26" s="700">
        <v>2.5000000000000001E-2</v>
      </c>
      <c r="FH26" s="700">
        <v>120</v>
      </c>
      <c r="FI26" s="699">
        <v>1.6399999999999998E-2</v>
      </c>
      <c r="FJ26" s="699">
        <v>1.3899999999999999E-2</v>
      </c>
      <c r="FK26" s="71">
        <f t="shared" si="11"/>
        <v>6.1666666666666684E-4</v>
      </c>
      <c r="FL26" t="e">
        <f>VLOOKUP(FF26,'SIMULADOR COM SALDO'!$BX$22:$CK$500,13,FALSE)</f>
        <v>#N/A</v>
      </c>
      <c r="FM26" s="166">
        <f t="shared" si="12"/>
        <v>1.6099999999999996E-2</v>
      </c>
    </row>
    <row r="27" spans="5:169" customFormat="1" x14ac:dyDescent="0.25">
      <c r="E27" s="77"/>
      <c r="F27" s="97">
        <f t="shared" si="13"/>
        <v>1.804444444444445E-2</v>
      </c>
      <c r="G27" s="79">
        <f t="shared" si="10"/>
        <v>1.8499715130047379E-2</v>
      </c>
      <c r="H27" s="79">
        <f t="shared" si="22"/>
        <v>1.8499155626466875E-2</v>
      </c>
      <c r="I27" s="79">
        <f t="shared" si="22"/>
        <v>1.8498331461696462E-2</v>
      </c>
      <c r="J27" s="79">
        <f t="shared" si="22"/>
        <v>1.8497252349458232E-2</v>
      </c>
      <c r="K27" s="79">
        <f t="shared" si="22"/>
        <v>1.8495927749893112E-2</v>
      </c>
      <c r="L27" s="79">
        <f t="shared" si="22"/>
        <v>1.8494366874650742E-2</v>
      </c>
      <c r="M27" s="79">
        <f t="shared" si="22"/>
        <v>1.8492578691931987E-2</v>
      </c>
      <c r="N27" s="79">
        <f t="shared" si="22"/>
        <v>1.8490571931483485E-2</v>
      </c>
      <c r="O27" s="79">
        <f t="shared" si="22"/>
        <v>1.8488355089539631E-2</v>
      </c>
      <c r="P27" s="79">
        <f t="shared" si="22"/>
        <v>1.8485936433709379E-2</v>
      </c>
      <c r="Q27" s="79">
        <f t="shared" si="22"/>
        <v>1.8483324007808333E-2</v>
      </c>
      <c r="R27" s="79">
        <f t="shared" si="22"/>
        <v>1.8480525636632227E-2</v>
      </c>
      <c r="S27" s="79">
        <f t="shared" si="22"/>
        <v>1.8477548930670034E-2</v>
      </c>
      <c r="T27" s="79">
        <f t="shared" si="22"/>
        <v>1.8474401290756334E-2</v>
      </c>
      <c r="U27" s="79">
        <f t="shared" si="22"/>
        <v>1.8471089912660388E-2</v>
      </c>
      <c r="V27" s="79">
        <f t="shared" si="22"/>
        <v>1.8467621791612675E-2</v>
      </c>
      <c r="W27" s="79">
        <f t="shared" si="22"/>
        <v>1.8464003726765123E-2</v>
      </c>
      <c r="X27" s="79">
        <f t="shared" si="22"/>
        <v>1.846024232558657E-2</v>
      </c>
      <c r="Y27" s="79">
        <f t="shared" si="22"/>
        <v>1.8456344008190982E-2</v>
      </c>
      <c r="Z27" s="79">
        <f t="shared" si="22"/>
        <v>1.8452315011599607E-2</v>
      </c>
      <c r="AA27" s="79">
        <f t="shared" si="22"/>
        <v>1.8448161393934508E-2</v>
      </c>
      <c r="AB27" s="79">
        <f t="shared" si="22"/>
        <v>1.8443889038544728E-2</v>
      </c>
      <c r="AC27" s="79">
        <f t="shared" si="22"/>
        <v>1.8439503658063999E-2</v>
      </c>
      <c r="AD27" s="79">
        <f t="shared" si="22"/>
        <v>1.8435010798400066E-2</v>
      </c>
      <c r="AE27" s="79">
        <f t="shared" si="22"/>
        <v>1.8430415842655513E-2</v>
      </c>
      <c r="AF27" s="79">
        <f t="shared" si="22"/>
        <v>1.8425724014980039E-2</v>
      </c>
      <c r="AG27" s="79">
        <f t="shared" si="22"/>
        <v>1.8420940384354111E-2</v>
      </c>
      <c r="AH27" s="79">
        <f t="shared" si="22"/>
        <v>1.8416069868305018E-2</v>
      </c>
      <c r="AI27" s="79">
        <f t="shared" si="22"/>
        <v>1.8411117236553493E-2</v>
      </c>
      <c r="AJ27" s="79">
        <f t="shared" si="22"/>
        <v>1.8406087114594325E-2</v>
      </c>
      <c r="AK27" s="79">
        <f t="shared" si="22"/>
        <v>1.8400983987208203E-2</v>
      </c>
      <c r="AL27" s="79">
        <f t="shared" si="22"/>
        <v>1.8395812201907287E-2</v>
      </c>
      <c r="AM27" s="79">
        <f t="shared" si="22"/>
        <v>1.8390575972313805E-2</v>
      </c>
      <c r="AN27" s="79">
        <f t="shared" si="22"/>
        <v>1.8385279381473246E-2</v>
      </c>
      <c r="AO27" s="79">
        <f t="shared" si="22"/>
        <v>1.8379926385101039E-2</v>
      </c>
      <c r="AP27" s="79">
        <f t="shared" si="22"/>
        <v>1.8374520814765524E-2</v>
      </c>
      <c r="AQ27" s="79">
        <f t="shared" si="22"/>
        <v>1.8369066381006327E-2</v>
      </c>
      <c r="AR27" s="79">
        <f t="shared" si="22"/>
        <v>1.8363566676388287E-2</v>
      </c>
      <c r="AS27" s="79">
        <f t="shared" si="22"/>
        <v>1.8358025178494299E-2</v>
      </c>
      <c r="AT27" s="79">
        <f t="shared" si="22"/>
        <v>1.8352445252853965E-2</v>
      </c>
      <c r="AU27" s="79">
        <f t="shared" si="22"/>
        <v>1.8346830155812545E-2</v>
      </c>
      <c r="AV27" s="79">
        <f t="shared" si="22"/>
        <v>1.8341183037338241E-2</v>
      </c>
      <c r="AW27" s="79">
        <f t="shared" si="22"/>
        <v>1.8335506943770556E-2</v>
      </c>
      <c r="AX27" s="79">
        <f t="shared" si="22"/>
        <v>1.8329804820508236E-2</v>
      </c>
      <c r="AY27" s="79">
        <f t="shared" si="22"/>
        <v>1.832407951464083E-2</v>
      </c>
      <c r="AZ27" s="79">
        <f t="shared" si="22"/>
        <v>1.8318333777521633E-2</v>
      </c>
      <c r="BA27" s="79">
        <f t="shared" si="22"/>
        <v>1.8312570267283858E-2</v>
      </c>
      <c r="BB27" s="79">
        <f t="shared" si="22"/>
        <v>1.8306791551303086E-2</v>
      </c>
      <c r="BC27" s="79">
        <f t="shared" si="22"/>
        <v>1.8301000108602548E-2</v>
      </c>
      <c r="BD27" s="79">
        <f t="shared" si="22"/>
        <v>1.8295198332206181E-2</v>
      </c>
      <c r="BE27" s="79">
        <f t="shared" si="22"/>
        <v>1.8289388531437765E-2</v>
      </c>
      <c r="BF27" s="79">
        <f t="shared" si="22"/>
        <v>1.8283572934168549E-2</v>
      </c>
      <c r="BG27" s="79">
        <f t="shared" si="22"/>
        <v>1.8277753689013434E-2</v>
      </c>
      <c r="BH27" s="79">
        <f t="shared" si="22"/>
        <v>1.8271932867475988E-2</v>
      </c>
      <c r="BI27" s="79">
        <f t="shared" si="22"/>
        <v>1.8266112466045935E-2</v>
      </c>
      <c r="BJ27" s="79">
        <f t="shared" si="22"/>
        <v>1.82602944082456E-2</v>
      </c>
      <c r="BK27" s="79">
        <f t="shared" si="22"/>
        <v>1.8254480546630297E-2</v>
      </c>
      <c r="BL27" s="79">
        <f t="shared" si="22"/>
        <v>1.8248672664741422E-2</v>
      </c>
      <c r="BM27" s="79">
        <f t="shared" si="22"/>
        <v>1.8242872479013926E-2</v>
      </c>
      <c r="BN27" s="79">
        <f t="shared" si="22"/>
        <v>1.8237081640637469E-2</v>
      </c>
      <c r="BO27" s="79">
        <f t="shared" si="22"/>
        <v>1.8231301737375021E-2</v>
      </c>
      <c r="BP27" s="79">
        <f t="shared" si="22"/>
        <v>1.822553429533643E-2</v>
      </c>
      <c r="BQ27" s="79">
        <f t="shared" si="22"/>
        <v>1.8219780780711157E-2</v>
      </c>
      <c r="BR27" s="79">
        <f t="shared" si="22"/>
        <v>1.8214042601457515E-2</v>
      </c>
      <c r="BS27" s="79">
        <f t="shared" si="22"/>
        <v>1.8208321108952572E-2</v>
      </c>
      <c r="BT27" s="79">
        <f t="shared" si="21"/>
        <v>1.8202617599600887E-2</v>
      </c>
      <c r="BU27" s="79">
        <f t="shared" si="21"/>
        <v>1.8196933316404752E-2</v>
      </c>
      <c r="BV27" s="79">
        <f t="shared" si="21"/>
        <v>1.819126945049572E-2</v>
      </c>
      <c r="BW27" s="79">
        <f t="shared" si="21"/>
        <v>1.8185627142628395E-2</v>
      </c>
      <c r="BX27" s="79">
        <f t="shared" si="21"/>
        <v>1.8180007484637693E-2</v>
      </c>
      <c r="BY27" s="79">
        <f t="shared" si="21"/>
        <v>1.817441152085951E-2</v>
      </c>
      <c r="BZ27" s="79">
        <f t="shared" si="21"/>
        <v>1.8168840249516691E-2</v>
      </c>
      <c r="CA27" s="79">
        <f t="shared" si="21"/>
        <v>1.8163294624070025E-2</v>
      </c>
      <c r="CB27" s="79">
        <f t="shared" si="21"/>
        <v>1.8157775554535856E-2</v>
      </c>
      <c r="CC27" s="79">
        <f t="shared" si="21"/>
        <v>1.8152283908769769E-2</v>
      </c>
      <c r="CD27" s="79">
        <f t="shared" si="21"/>
        <v>1.814682051371885E-2</v>
      </c>
      <c r="CE27" s="79">
        <f t="shared" si="21"/>
        <v>1.8141386156642101E-2</v>
      </c>
      <c r="CF27" s="79">
        <f t="shared" si="21"/>
        <v>1.8135981586299157E-2</v>
      </c>
      <c r="CG27" s="79">
        <f t="shared" si="21"/>
        <v>1.8130607514109772E-2</v>
      </c>
      <c r="CH27" s="79">
        <f t="shared" si="21"/>
        <v>1.8125264615283132E-2</v>
      </c>
      <c r="CI27" s="79">
        <f t="shared" si="21"/>
        <v>1.811995352991835E-2</v>
      </c>
      <c r="CJ27" s="79">
        <f t="shared" si="21"/>
        <v>1.8114674864076558E-2</v>
      </c>
      <c r="CK27" s="79">
        <f t="shared" si="21"/>
        <v>1.8109429190825678E-2</v>
      </c>
      <c r="CL27" s="79">
        <f t="shared" si="21"/>
        <v>1.810421705125833E-2</v>
      </c>
      <c r="CM27" s="79">
        <f t="shared" si="21"/>
        <v>1.8099038955482111E-2</v>
      </c>
      <c r="CN27" s="79">
        <f t="shared" si="21"/>
        <v>1.8093895383586064E-2</v>
      </c>
      <c r="CO27" s="79">
        <f t="shared" si="21"/>
        <v>1.8088786786580081E-2</v>
      </c>
      <c r="CP27" s="79">
        <f t="shared" si="21"/>
        <v>1.8083713587311447E-2</v>
      </c>
      <c r="CQ27" s="79">
        <f t="shared" si="21"/>
        <v>1.8078676181355783E-2</v>
      </c>
      <c r="CR27" s="79">
        <f t="shared" si="21"/>
        <v>1.8073674937885066E-2</v>
      </c>
      <c r="CS27" s="79">
        <f t="shared" si="21"/>
        <v>1.8068710200513653E-2</v>
      </c>
      <c r="CT27" s="79">
        <f t="shared" si="21"/>
        <v>1.8063782288120663E-2</v>
      </c>
      <c r="CU27" s="79">
        <f t="shared" si="21"/>
        <v>1.8058891495650882E-2</v>
      </c>
      <c r="CV27" s="79">
        <f t="shared" si="21"/>
        <v>1.8054038094894732E-2</v>
      </c>
      <c r="CW27" s="79">
        <f t="shared" si="21"/>
        <v>1.8049222335247122E-2</v>
      </c>
      <c r="CX27" s="79">
        <f t="shared" si="21"/>
        <v>1.8044444444446025E-2</v>
      </c>
      <c r="CY27" s="79">
        <f t="shared" si="21"/>
        <v>1.8044444444446025E-2</v>
      </c>
      <c r="CZ27" s="79">
        <f t="shared" si="21"/>
        <v>1.8044444444446025E-2</v>
      </c>
      <c r="DA27" s="79">
        <f t="shared" si="21"/>
        <v>1.8044444444446025E-2</v>
      </c>
      <c r="DB27" s="79">
        <f t="shared" si="21"/>
        <v>1.8044444444446025E-2</v>
      </c>
      <c r="DC27" s="79">
        <f t="shared" si="21"/>
        <v>1.8044444444446025E-2</v>
      </c>
      <c r="DD27" s="79">
        <f t="shared" si="21"/>
        <v>1.8044444444446025E-2</v>
      </c>
      <c r="DE27" s="79">
        <f t="shared" si="21"/>
        <v>1.8044444444446025E-2</v>
      </c>
      <c r="DF27" s="79">
        <f t="shared" si="21"/>
        <v>1.8044444444446025E-2</v>
      </c>
      <c r="DG27" s="79">
        <f t="shared" si="21"/>
        <v>1.8044444444446025E-2</v>
      </c>
      <c r="DH27" s="79">
        <f t="shared" si="21"/>
        <v>1.8044444444446025E-2</v>
      </c>
      <c r="DI27" s="79">
        <f t="shared" si="21"/>
        <v>1.8044444444446025E-2</v>
      </c>
      <c r="DJ27" s="79">
        <f t="shared" si="21"/>
        <v>1.8044444444446025E-2</v>
      </c>
      <c r="DK27" s="79">
        <f t="shared" si="21"/>
        <v>1.8044444444446025E-2</v>
      </c>
      <c r="DL27" s="79">
        <f t="shared" si="21"/>
        <v>1.8044444444446025E-2</v>
      </c>
      <c r="DM27" s="79">
        <f t="shared" si="21"/>
        <v>1.8044444444446025E-2</v>
      </c>
      <c r="DN27" s="79">
        <f t="shared" si="21"/>
        <v>1.8044444444446025E-2</v>
      </c>
      <c r="DO27" s="79">
        <f t="shared" si="21"/>
        <v>1.8044444444446025E-2</v>
      </c>
      <c r="DP27" s="79">
        <f t="shared" si="21"/>
        <v>1.8044444444446025E-2</v>
      </c>
      <c r="DQ27" s="79">
        <f t="shared" si="21"/>
        <v>1.8044444444446025E-2</v>
      </c>
      <c r="DR27" s="79">
        <f t="shared" si="21"/>
        <v>1.8044444444446025E-2</v>
      </c>
      <c r="DS27" s="79">
        <f t="shared" si="21"/>
        <v>1.8044444444446025E-2</v>
      </c>
      <c r="DT27" s="79">
        <f t="shared" si="21"/>
        <v>1.8044444444446025E-2</v>
      </c>
      <c r="DU27" s="79">
        <f t="shared" si="21"/>
        <v>1.8044444444446025E-2</v>
      </c>
      <c r="DV27" s="79">
        <f t="shared" si="21"/>
        <v>1.8044444444446025E-2</v>
      </c>
      <c r="DW27" s="79">
        <f t="shared" si="21"/>
        <v>1.8044444444446025E-2</v>
      </c>
      <c r="DX27" s="79">
        <f t="shared" si="21"/>
        <v>1.8044444444446025E-2</v>
      </c>
      <c r="DY27" s="79">
        <f t="shared" si="21"/>
        <v>1.8044444444446025E-2</v>
      </c>
      <c r="DZ27" s="79">
        <f t="shared" si="21"/>
        <v>1.8044444444446025E-2</v>
      </c>
      <c r="EA27" s="79">
        <f t="shared" si="21"/>
        <v>1.8044444444446025E-2</v>
      </c>
      <c r="EB27" s="79">
        <f t="shared" si="21"/>
        <v>1.8044444444446025E-2</v>
      </c>
      <c r="EC27" s="79">
        <f t="shared" si="21"/>
        <v>1.8044444444446025E-2</v>
      </c>
      <c r="ED27" s="79">
        <f t="shared" si="21"/>
        <v>1.8044444444446025E-2</v>
      </c>
      <c r="EE27" s="79">
        <f t="shared" si="16"/>
        <v>1.8044444444446025E-2</v>
      </c>
      <c r="EF27" s="79">
        <f t="shared" si="15"/>
        <v>1.8044444444446025E-2</v>
      </c>
      <c r="EG27" s="79">
        <f t="shared" si="15"/>
        <v>1.8044444444446025E-2</v>
      </c>
      <c r="EH27" s="79">
        <f t="shared" si="15"/>
        <v>1.8044444444446025E-2</v>
      </c>
      <c r="EI27" s="79">
        <f t="shared" si="15"/>
        <v>1.8044444444446025E-2</v>
      </c>
      <c r="EJ27" s="79">
        <f t="shared" si="15"/>
        <v>1.8044444444446025E-2</v>
      </c>
      <c r="EK27" s="79">
        <f t="shared" si="15"/>
        <v>1.8044444444446025E-2</v>
      </c>
      <c r="EL27" s="79">
        <f t="shared" si="15"/>
        <v>1.8044444444446025E-2</v>
      </c>
      <c r="EM27" s="79">
        <f t="shared" si="15"/>
        <v>1.8044444444446025E-2</v>
      </c>
      <c r="EN27" s="79">
        <f t="shared" si="15"/>
        <v>1.8044444444446025E-2</v>
      </c>
      <c r="EO27" s="79">
        <f t="shared" si="15"/>
        <v>1.8044444444446025E-2</v>
      </c>
      <c r="EP27" s="79">
        <f t="shared" si="15"/>
        <v>1.8044444444446025E-2</v>
      </c>
      <c r="EQ27" s="79">
        <f t="shared" si="15"/>
        <v>1.8044444444446025E-2</v>
      </c>
      <c r="ER27" s="79">
        <f t="shared" si="15"/>
        <v>1.8044444444446025E-2</v>
      </c>
      <c r="ES27" s="79">
        <f t="shared" si="15"/>
        <v>1.8044444444446025E-2</v>
      </c>
      <c r="ET27" s="79">
        <f t="shared" si="15"/>
        <v>1.8044444444446025E-2</v>
      </c>
      <c r="EU27" s="87"/>
      <c r="EV27" s="87"/>
      <c r="EW27" s="87"/>
      <c r="EX27" s="87"/>
      <c r="EY27" s="87" t="s">
        <v>32</v>
      </c>
      <c r="EZ27" s="98">
        <v>1.4500000000000001E-2</v>
      </c>
      <c r="FA27" s="137">
        <v>1.9E-2</v>
      </c>
      <c r="FB27" s="4">
        <f>(FA27-EZ27)/18</f>
        <v>2.4999999999999995E-4</v>
      </c>
      <c r="FC27" s="27"/>
      <c r="FF27" s="701" t="s">
        <v>3001</v>
      </c>
      <c r="FG27" s="700">
        <v>2.5000000000000001E-2</v>
      </c>
      <c r="FH27" s="700">
        <v>120</v>
      </c>
      <c r="FI27" s="699">
        <v>1.6200000000000003E-2</v>
      </c>
      <c r="FJ27" s="699">
        <v>1.3600000000000001E-2</v>
      </c>
      <c r="FK27" s="71">
        <f t="shared" si="11"/>
        <v>6.333333333333334E-4</v>
      </c>
      <c r="FL27" t="e">
        <f>VLOOKUP(FF27,'SIMULADOR COM SALDO'!$BX$22:$CK$500,13,FALSE)</f>
        <v>#N/A</v>
      </c>
      <c r="FM27" s="166">
        <f t="shared" si="12"/>
        <v>1.5900000000000001E-2</v>
      </c>
    </row>
    <row r="28" spans="5:169" customFormat="1" x14ac:dyDescent="0.25">
      <c r="E28" s="77"/>
      <c r="F28" s="97">
        <f t="shared" si="13"/>
        <v>1.8272222222222228E-2</v>
      </c>
      <c r="G28" s="79">
        <f t="shared" si="10"/>
        <v>1.8499857596338008E-2</v>
      </c>
      <c r="H28" s="79">
        <f t="shared" si="22"/>
        <v>1.8499577934152463E-2</v>
      </c>
      <c r="I28" s="79">
        <f t="shared" si="22"/>
        <v>1.8499166022155126E-2</v>
      </c>
      <c r="J28" s="79">
        <f t="shared" si="22"/>
        <v>1.8498626735625929E-2</v>
      </c>
      <c r="K28" s="79">
        <f t="shared" si="22"/>
        <v>1.8497964819363132E-2</v>
      </c>
      <c r="L28" s="79">
        <f t="shared" si="22"/>
        <v>1.8497184890585112E-2</v>
      </c>
      <c r="M28" s="79">
        <f t="shared" si="22"/>
        <v>1.8496291441782425E-2</v>
      </c>
      <c r="N28" s="79">
        <f t="shared" si="22"/>
        <v>1.8495288843523035E-2</v>
      </c>
      <c r="O28" s="79">
        <f t="shared" si="22"/>
        <v>1.849418134720783E-2</v>
      </c>
      <c r="P28" s="79">
        <f t="shared" si="22"/>
        <v>1.8492973087778839E-2</v>
      </c>
      <c r="Q28" s="79">
        <f t="shared" si="22"/>
        <v>1.8491668086379802E-2</v>
      </c>
      <c r="R28" s="79">
        <f t="shared" si="22"/>
        <v>1.8490270252968389E-2</v>
      </c>
      <c r="S28" s="79">
        <f t="shared" si="22"/>
        <v>1.8488783388881835E-2</v>
      </c>
      <c r="T28" s="79">
        <f t="shared" si="22"/>
        <v>1.848721118935507E-2</v>
      </c>
      <c r="U28" s="79">
        <f t="shared" si="22"/>
        <v>1.8485557245992133E-2</v>
      </c>
      <c r="V28" s="79">
        <f t="shared" si="22"/>
        <v>1.8483825049191733E-2</v>
      </c>
      <c r="W28" s="79">
        <f t="shared" si="22"/>
        <v>1.8482017990526334E-2</v>
      </c>
      <c r="X28" s="79">
        <f t="shared" si="22"/>
        <v>1.8480139365076476E-2</v>
      </c>
      <c r="Y28" s="79">
        <f t="shared" si="22"/>
        <v>1.8478192373718953E-2</v>
      </c>
      <c r="Z28" s="79">
        <f t="shared" si="22"/>
        <v>1.8476180125371663E-2</v>
      </c>
      <c r="AA28" s="79">
        <f t="shared" si="22"/>
        <v>1.8474105639193543E-2</v>
      </c>
      <c r="AB28" s="79">
        <f t="shared" si="22"/>
        <v>1.8471971846741052E-2</v>
      </c>
      <c r="AC28" s="79">
        <f t="shared" si="22"/>
        <v>1.8469781594081514E-2</v>
      </c>
      <c r="AD28" s="79">
        <f t="shared" si="22"/>
        <v>1.8467537643864471E-2</v>
      </c>
      <c r="AE28" s="79">
        <f t="shared" si="22"/>
        <v>1.8465242677350238E-2</v>
      </c>
      <c r="AF28" s="79">
        <f t="shared" si="22"/>
        <v>1.8462899296397176E-2</v>
      </c>
      <c r="AG28" s="79">
        <f t="shared" si="22"/>
        <v>1.8460510025408588E-2</v>
      </c>
      <c r="AH28" s="79">
        <f t="shared" si="22"/>
        <v>1.8458077313238414E-2</v>
      </c>
      <c r="AI28" s="79">
        <f t="shared" si="22"/>
        <v>1.8455603535057805E-2</v>
      </c>
      <c r="AJ28" s="79">
        <f t="shared" si="22"/>
        <v>1.8453090994182197E-2</v>
      </c>
      <c r="AK28" s="79">
        <f t="shared" si="22"/>
        <v>1.8450541923860052E-2</v>
      </c>
      <c r="AL28" s="79">
        <f t="shared" si="22"/>
        <v>1.8447958489023145E-2</v>
      </c>
      <c r="AM28" s="79">
        <f t="shared" si="22"/>
        <v>1.8445342787999312E-2</v>
      </c>
      <c r="AN28" s="79">
        <f t="shared" si="22"/>
        <v>1.844269685418946E-2</v>
      </c>
      <c r="AO28" s="79">
        <f t="shared" si="22"/>
        <v>1.8440022657706598E-2</v>
      </c>
      <c r="AP28" s="79">
        <f t="shared" si="22"/>
        <v>1.8437322106980871E-2</v>
      </c>
      <c r="AQ28" s="79">
        <f t="shared" si="22"/>
        <v>1.8434597050328048E-2</v>
      </c>
      <c r="AR28" s="79">
        <f t="shared" si="22"/>
        <v>1.8431849277484914E-2</v>
      </c>
      <c r="AS28" s="79">
        <f t="shared" si="22"/>
        <v>1.8429080521109763E-2</v>
      </c>
      <c r="AT28" s="79">
        <f t="shared" si="22"/>
        <v>1.8426292458249768E-2</v>
      </c>
      <c r="AU28" s="79">
        <f t="shared" si="22"/>
        <v>1.8423486711775999E-2</v>
      </c>
      <c r="AV28" s="79">
        <f t="shared" si="22"/>
        <v>1.8420664851786166E-2</v>
      </c>
      <c r="AW28" s="79">
        <f t="shared" si="22"/>
        <v>1.8417828396975516E-2</v>
      </c>
      <c r="AX28" s="79">
        <f t="shared" si="22"/>
        <v>1.8414978815977152E-2</v>
      </c>
      <c r="AY28" s="79">
        <f t="shared" si="22"/>
        <v>1.8412117528671473E-2</v>
      </c>
      <c r="AZ28" s="79">
        <f t="shared" si="22"/>
        <v>1.8409245907466371E-2</v>
      </c>
      <c r="BA28" s="79">
        <f t="shared" si="22"/>
        <v>1.8406365278548005E-2</v>
      </c>
      <c r="BB28" s="79">
        <f t="shared" si="22"/>
        <v>1.8403476923102159E-2</v>
      </c>
      <c r="BC28" s="79">
        <f t="shared" si="22"/>
        <v>1.8400582078508223E-2</v>
      </c>
      <c r="BD28" s="79">
        <f t="shared" si="22"/>
        <v>1.8397681939505372E-2</v>
      </c>
      <c r="BE28" s="79">
        <f t="shared" si="22"/>
        <v>1.8394777659331261E-2</v>
      </c>
      <c r="BF28" s="79">
        <f t="shared" si="22"/>
        <v>1.8391870350835053E-2</v>
      </c>
      <c r="BG28" s="79">
        <f t="shared" si="22"/>
        <v>1.8388961087563244E-2</v>
      </c>
      <c r="BH28" s="79">
        <f t="shared" si="22"/>
        <v>1.8386050904820688E-2</v>
      </c>
      <c r="BI28" s="79">
        <f t="shared" si="22"/>
        <v>1.8383140800706931E-2</v>
      </c>
      <c r="BJ28" s="79">
        <f t="shared" si="22"/>
        <v>1.838023173712703E-2</v>
      </c>
      <c r="BK28" s="79">
        <f t="shared" si="22"/>
        <v>1.8377324640779596E-2</v>
      </c>
      <c r="BL28" s="79">
        <f t="shared" si="22"/>
        <v>1.8374420404119862E-2</v>
      </c>
      <c r="BM28" s="79">
        <f t="shared" si="22"/>
        <v>1.8371519886301917E-2</v>
      </c>
      <c r="BN28" s="79">
        <f t="shared" si="22"/>
        <v>1.8368623914096067E-2</v>
      </c>
      <c r="BO28" s="79">
        <f t="shared" si="22"/>
        <v>1.8365733282785349E-2</v>
      </c>
      <c r="BP28" s="79">
        <f t="shared" si="22"/>
        <v>1.8362848757040629E-2</v>
      </c>
      <c r="BQ28" s="79">
        <f t="shared" si="22"/>
        <v>1.8359971071773788E-2</v>
      </c>
      <c r="BR28" s="79">
        <f t="shared" si="22"/>
        <v>1.8357100932971264E-2</v>
      </c>
      <c r="BS28" s="79">
        <f t="shared" ref="BS28:ED29" si="23">IF(BS$9&lt;=$K$6,RATE($K$6,1,BS55,0),"")</f>
        <v>1.8354239018505959E-2</v>
      </c>
      <c r="BT28" s="79">
        <f t="shared" si="23"/>
        <v>1.8351385978930473E-2</v>
      </c>
      <c r="BU28" s="79">
        <f t="shared" si="23"/>
        <v>1.8348542438250862E-2</v>
      </c>
      <c r="BV28" s="79">
        <f t="shared" si="23"/>
        <v>1.8345708994680365E-2</v>
      </c>
      <c r="BW28" s="79">
        <f t="shared" si="23"/>
        <v>1.8342886221376482E-2</v>
      </c>
      <c r="BX28" s="79">
        <f t="shared" si="23"/>
        <v>1.8340074667157563E-2</v>
      </c>
      <c r="BY28" s="79">
        <f t="shared" si="23"/>
        <v>1.8337274857203864E-2</v>
      </c>
      <c r="BZ28" s="79">
        <f t="shared" si="23"/>
        <v>1.8334487293739741E-2</v>
      </c>
      <c r="CA28" s="79">
        <f t="shared" si="23"/>
        <v>1.8331712456699442E-2</v>
      </c>
      <c r="CB28" s="79">
        <f t="shared" si="23"/>
        <v>1.832895080437643E-2</v>
      </c>
      <c r="CC28" s="79">
        <f t="shared" si="23"/>
        <v>1.8326202774056079E-2</v>
      </c>
      <c r="CD28" s="79">
        <f t="shared" si="23"/>
        <v>1.832346878263302E-2</v>
      </c>
      <c r="CE28" s="79">
        <f t="shared" si="23"/>
        <v>1.8320749227212673E-2</v>
      </c>
      <c r="CF28" s="79">
        <f t="shared" si="23"/>
        <v>1.8318044485697016E-2</v>
      </c>
      <c r="CG28" s="79">
        <f t="shared" si="23"/>
        <v>1.8315354917357227E-2</v>
      </c>
      <c r="CH28" s="79">
        <f t="shared" si="23"/>
        <v>1.8312680863390163E-2</v>
      </c>
      <c r="CI28" s="79">
        <f t="shared" si="23"/>
        <v>1.8310022647461534E-2</v>
      </c>
      <c r="CJ28" s="79">
        <f t="shared" si="23"/>
        <v>1.8307380576234683E-2</v>
      </c>
      <c r="CK28" s="79">
        <f t="shared" si="23"/>
        <v>1.8304754939886821E-2</v>
      </c>
      <c r="CL28" s="79">
        <f t="shared" si="23"/>
        <v>1.8302146012611535E-2</v>
      </c>
      <c r="CM28" s="79">
        <f t="shared" si="23"/>
        <v>1.8299554053107479E-2</v>
      </c>
      <c r="CN28" s="79">
        <f t="shared" si="23"/>
        <v>1.8296979305056412E-2</v>
      </c>
      <c r="CO28" s="79">
        <f t="shared" si="23"/>
        <v>1.8294421997587223E-2</v>
      </c>
      <c r="CP28" s="79">
        <f t="shared" si="23"/>
        <v>1.8291882345729267E-2</v>
      </c>
      <c r="CQ28" s="79">
        <f t="shared" si="23"/>
        <v>1.8289360550852264E-2</v>
      </c>
      <c r="CR28" s="79">
        <f t="shared" si="23"/>
        <v>1.8286856801096957E-2</v>
      </c>
      <c r="CS28" s="79">
        <f t="shared" si="23"/>
        <v>1.8284371271792662E-2</v>
      </c>
      <c r="CT28" s="79">
        <f t="shared" si="23"/>
        <v>1.8281904125864824E-2</v>
      </c>
      <c r="CU28" s="79">
        <f t="shared" si="23"/>
        <v>1.8279455514232063E-2</v>
      </c>
      <c r="CV28" s="79">
        <f t="shared" si="23"/>
        <v>1.8277025576191958E-2</v>
      </c>
      <c r="CW28" s="79">
        <f t="shared" si="23"/>
        <v>1.8274614439797512E-2</v>
      </c>
      <c r="CX28" s="79">
        <f t="shared" si="23"/>
        <v>1.8272222222223317E-2</v>
      </c>
      <c r="CY28" s="79">
        <f t="shared" si="23"/>
        <v>1.8272222222223317E-2</v>
      </c>
      <c r="CZ28" s="79">
        <f t="shared" si="23"/>
        <v>1.8272222222223317E-2</v>
      </c>
      <c r="DA28" s="79">
        <f t="shared" si="23"/>
        <v>1.8272222222223317E-2</v>
      </c>
      <c r="DB28" s="79">
        <f t="shared" si="23"/>
        <v>1.8272222222223317E-2</v>
      </c>
      <c r="DC28" s="79">
        <f t="shared" si="23"/>
        <v>1.8272222222223317E-2</v>
      </c>
      <c r="DD28" s="79">
        <f t="shared" si="23"/>
        <v>1.8272222222223317E-2</v>
      </c>
      <c r="DE28" s="79">
        <f t="shared" si="23"/>
        <v>1.8272222222223317E-2</v>
      </c>
      <c r="DF28" s="79">
        <f t="shared" si="23"/>
        <v>1.8272222222223317E-2</v>
      </c>
      <c r="DG28" s="79">
        <f t="shared" si="23"/>
        <v>1.8272222222223317E-2</v>
      </c>
      <c r="DH28" s="79">
        <f t="shared" si="23"/>
        <v>1.8272222222223317E-2</v>
      </c>
      <c r="DI28" s="79">
        <f t="shared" si="23"/>
        <v>1.8272222222223317E-2</v>
      </c>
      <c r="DJ28" s="79">
        <f t="shared" si="23"/>
        <v>1.8272222222223317E-2</v>
      </c>
      <c r="DK28" s="79">
        <f t="shared" si="23"/>
        <v>1.8272222222223317E-2</v>
      </c>
      <c r="DL28" s="79">
        <f t="shared" si="23"/>
        <v>1.8272222222223317E-2</v>
      </c>
      <c r="DM28" s="79">
        <f t="shared" si="23"/>
        <v>1.8272222222223317E-2</v>
      </c>
      <c r="DN28" s="79">
        <f t="shared" si="23"/>
        <v>1.8272222222223317E-2</v>
      </c>
      <c r="DO28" s="79">
        <f t="shared" si="23"/>
        <v>1.8272222222223317E-2</v>
      </c>
      <c r="DP28" s="79">
        <f t="shared" si="23"/>
        <v>1.8272222222223317E-2</v>
      </c>
      <c r="DQ28" s="79">
        <f t="shared" si="23"/>
        <v>1.8272222222223317E-2</v>
      </c>
      <c r="DR28" s="79">
        <f t="shared" si="23"/>
        <v>1.8272222222223317E-2</v>
      </c>
      <c r="DS28" s="79">
        <f t="shared" si="23"/>
        <v>1.8272222222223317E-2</v>
      </c>
      <c r="DT28" s="79">
        <f t="shared" si="23"/>
        <v>1.8272222222223317E-2</v>
      </c>
      <c r="DU28" s="79">
        <f t="shared" si="23"/>
        <v>1.8272222222223317E-2</v>
      </c>
      <c r="DV28" s="79">
        <f t="shared" si="23"/>
        <v>1.8272222222223317E-2</v>
      </c>
      <c r="DW28" s="79">
        <f t="shared" si="23"/>
        <v>1.8272222222223317E-2</v>
      </c>
      <c r="DX28" s="79">
        <f t="shared" si="23"/>
        <v>1.8272222222223317E-2</v>
      </c>
      <c r="DY28" s="79">
        <f t="shared" si="23"/>
        <v>1.8272222222223317E-2</v>
      </c>
      <c r="DZ28" s="79">
        <f t="shared" si="23"/>
        <v>1.8272222222223317E-2</v>
      </c>
      <c r="EA28" s="79">
        <f t="shared" si="23"/>
        <v>1.8272222222223317E-2</v>
      </c>
      <c r="EB28" s="79">
        <f t="shared" si="23"/>
        <v>1.8272222222223317E-2</v>
      </c>
      <c r="EC28" s="79">
        <f t="shared" si="23"/>
        <v>1.8272222222223317E-2</v>
      </c>
      <c r="ED28" s="79">
        <f t="shared" si="23"/>
        <v>1.8272222222223317E-2</v>
      </c>
      <c r="EE28" s="79">
        <f t="shared" si="16"/>
        <v>1.8272222222223317E-2</v>
      </c>
      <c r="EF28" s="79">
        <f t="shared" si="15"/>
        <v>1.8272222222223317E-2</v>
      </c>
      <c r="EG28" s="79">
        <f t="shared" si="15"/>
        <v>1.8272222222223317E-2</v>
      </c>
      <c r="EH28" s="79">
        <f t="shared" si="15"/>
        <v>1.8272222222223317E-2</v>
      </c>
      <c r="EI28" s="79">
        <f t="shared" si="15"/>
        <v>1.8272222222223317E-2</v>
      </c>
      <c r="EJ28" s="79">
        <f t="shared" si="15"/>
        <v>1.8272222222223317E-2</v>
      </c>
      <c r="EK28" s="79">
        <f t="shared" si="15"/>
        <v>1.8272222222223317E-2</v>
      </c>
      <c r="EL28" s="79">
        <f t="shared" si="15"/>
        <v>1.8272222222223317E-2</v>
      </c>
      <c r="EM28" s="79">
        <f t="shared" si="15"/>
        <v>1.8272222222223317E-2</v>
      </c>
      <c r="EN28" s="79">
        <f t="shared" si="15"/>
        <v>1.8272222222223317E-2</v>
      </c>
      <c r="EO28" s="79">
        <f t="shared" si="15"/>
        <v>1.8272222222223317E-2</v>
      </c>
      <c r="EP28" s="79">
        <f t="shared" si="15"/>
        <v>1.8272222222223317E-2</v>
      </c>
      <c r="EQ28" s="79">
        <f t="shared" si="15"/>
        <v>1.8272222222223317E-2</v>
      </c>
      <c r="ER28" s="79">
        <f t="shared" si="15"/>
        <v>1.8272222222223317E-2</v>
      </c>
      <c r="ES28" s="79">
        <f t="shared" si="15"/>
        <v>1.8272222222223317E-2</v>
      </c>
      <c r="ET28" s="79">
        <f t="shared" si="15"/>
        <v>1.8272222222223317E-2</v>
      </c>
      <c r="EU28" s="87"/>
      <c r="EV28" s="87"/>
      <c r="EW28" s="87"/>
      <c r="EX28" s="87"/>
      <c r="EY28" s="87" t="s">
        <v>72</v>
      </c>
      <c r="EZ28" s="98">
        <v>1.4999999999999999E-2</v>
      </c>
      <c r="FA28" s="137">
        <v>1.95E-2</v>
      </c>
      <c r="FB28" s="4">
        <f>(FA28-EZ28)/18</f>
        <v>2.5000000000000001E-4</v>
      </c>
      <c r="FC28" s="27"/>
      <c r="FF28" s="698" t="s">
        <v>214</v>
      </c>
      <c r="FG28" s="700">
        <v>2.5000000000000001E-2</v>
      </c>
      <c r="FH28" s="700">
        <v>120</v>
      </c>
      <c r="FI28" s="699">
        <v>1.54E-2</v>
      </c>
      <c r="FJ28" s="699">
        <v>1.2800000000000001E-2</v>
      </c>
      <c r="FK28" s="71">
        <f t="shared" si="11"/>
        <v>6.777777777777778E-4</v>
      </c>
      <c r="FL28" t="e">
        <f>VLOOKUP(FF28,'SIMULADOR COM SALDO'!$BX$22:$CK$500,13,FALSE)</f>
        <v>#N/A</v>
      </c>
      <c r="FM28" s="166">
        <f t="shared" si="12"/>
        <v>1.5100000000000001E-2</v>
      </c>
    </row>
    <row r="29" spans="5:169" customFormat="1" x14ac:dyDescent="0.25">
      <c r="E29" s="78"/>
      <c r="F29" s="97">
        <f t="shared" si="13"/>
        <v>1.8500000000000006E-2</v>
      </c>
      <c r="G29" s="79">
        <f>IF(G$9&lt;=$K$6,RATE($K$6,1,G56,0),"")</f>
        <v>1.85000000000007E-2</v>
      </c>
      <c r="H29" s="79">
        <f t="shared" ref="H29:BS29" si="24">IF(H$9&lt;=$K$6,RATE($K$6,1,H56,0),"")</f>
        <v>1.85000000000007E-2</v>
      </c>
      <c r="I29" s="79">
        <f t="shared" si="24"/>
        <v>1.85000000000007E-2</v>
      </c>
      <c r="J29" s="79">
        <f t="shared" si="24"/>
        <v>1.8500000000000696E-2</v>
      </c>
      <c r="K29" s="79">
        <f t="shared" si="24"/>
        <v>1.8500000000000696E-2</v>
      </c>
      <c r="L29" s="79">
        <f t="shared" si="24"/>
        <v>1.8500000000000696E-2</v>
      </c>
      <c r="M29" s="79">
        <f t="shared" si="24"/>
        <v>1.8500000000000696E-2</v>
      </c>
      <c r="N29" s="79">
        <f t="shared" si="24"/>
        <v>1.8500000000000696E-2</v>
      </c>
      <c r="O29" s="79">
        <f t="shared" si="24"/>
        <v>1.8500000000000696E-2</v>
      </c>
      <c r="P29" s="79">
        <f t="shared" si="24"/>
        <v>1.850000000000071E-2</v>
      </c>
      <c r="Q29" s="79">
        <f t="shared" si="24"/>
        <v>1.8500000000000696E-2</v>
      </c>
      <c r="R29" s="79">
        <f t="shared" si="24"/>
        <v>1.85000000000007E-2</v>
      </c>
      <c r="S29" s="79">
        <f t="shared" si="24"/>
        <v>1.8500000000000696E-2</v>
      </c>
      <c r="T29" s="79">
        <f t="shared" si="24"/>
        <v>1.85000000000007E-2</v>
      </c>
      <c r="U29" s="79">
        <f t="shared" si="24"/>
        <v>1.85000000000007E-2</v>
      </c>
      <c r="V29" s="79">
        <f t="shared" si="24"/>
        <v>1.8500000000000696E-2</v>
      </c>
      <c r="W29" s="79">
        <f t="shared" si="24"/>
        <v>1.85000000000007E-2</v>
      </c>
      <c r="X29" s="79">
        <f t="shared" si="24"/>
        <v>1.8500000000000696E-2</v>
      </c>
      <c r="Y29" s="79">
        <f t="shared" si="24"/>
        <v>1.8500000000000696E-2</v>
      </c>
      <c r="Z29" s="79">
        <f t="shared" si="24"/>
        <v>1.8500000000000696E-2</v>
      </c>
      <c r="AA29" s="79">
        <f t="shared" si="24"/>
        <v>1.85000000000007E-2</v>
      </c>
      <c r="AB29" s="79">
        <f t="shared" si="24"/>
        <v>1.85000000000007E-2</v>
      </c>
      <c r="AC29" s="79">
        <f t="shared" si="24"/>
        <v>1.8500000000000696E-2</v>
      </c>
      <c r="AD29" s="79">
        <f t="shared" si="24"/>
        <v>1.85000000000007E-2</v>
      </c>
      <c r="AE29" s="79">
        <f t="shared" si="24"/>
        <v>1.850000000000071E-2</v>
      </c>
      <c r="AF29" s="79">
        <f t="shared" si="24"/>
        <v>1.85000000000007E-2</v>
      </c>
      <c r="AG29" s="79">
        <f t="shared" si="24"/>
        <v>1.850000000000071E-2</v>
      </c>
      <c r="AH29" s="79">
        <f t="shared" si="24"/>
        <v>1.85000000000007E-2</v>
      </c>
      <c r="AI29" s="79">
        <f t="shared" si="24"/>
        <v>1.85000000000007E-2</v>
      </c>
      <c r="AJ29" s="79">
        <f t="shared" si="24"/>
        <v>1.85000000000007E-2</v>
      </c>
      <c r="AK29" s="79">
        <f t="shared" si="24"/>
        <v>1.85000000000007E-2</v>
      </c>
      <c r="AL29" s="79">
        <f t="shared" si="24"/>
        <v>1.85000000000007E-2</v>
      </c>
      <c r="AM29" s="79">
        <f t="shared" si="24"/>
        <v>1.850000000000071E-2</v>
      </c>
      <c r="AN29" s="79">
        <f t="shared" si="24"/>
        <v>1.85000000000007E-2</v>
      </c>
      <c r="AO29" s="79">
        <f t="shared" si="24"/>
        <v>1.850000000000071E-2</v>
      </c>
      <c r="AP29" s="79">
        <f t="shared" si="24"/>
        <v>1.850000000000071E-2</v>
      </c>
      <c r="AQ29" s="79">
        <f t="shared" si="24"/>
        <v>1.850000000000071E-2</v>
      </c>
      <c r="AR29" s="79">
        <f t="shared" si="24"/>
        <v>1.850000000000071E-2</v>
      </c>
      <c r="AS29" s="79">
        <f t="shared" si="24"/>
        <v>1.85000000000007E-2</v>
      </c>
      <c r="AT29" s="79">
        <f t="shared" si="24"/>
        <v>1.85000000000007E-2</v>
      </c>
      <c r="AU29" s="79">
        <f t="shared" si="24"/>
        <v>1.850000000000071E-2</v>
      </c>
      <c r="AV29" s="79">
        <f t="shared" si="24"/>
        <v>1.850000000000071E-2</v>
      </c>
      <c r="AW29" s="79">
        <f t="shared" si="24"/>
        <v>1.85000000000007E-2</v>
      </c>
      <c r="AX29" s="79">
        <f t="shared" si="24"/>
        <v>1.85000000000007E-2</v>
      </c>
      <c r="AY29" s="79">
        <f t="shared" si="24"/>
        <v>1.850000000000071E-2</v>
      </c>
      <c r="AZ29" s="79">
        <f t="shared" si="24"/>
        <v>1.850000000000071E-2</v>
      </c>
      <c r="BA29" s="79">
        <f t="shared" si="24"/>
        <v>1.850000000000071E-2</v>
      </c>
      <c r="BB29" s="79">
        <f t="shared" si="24"/>
        <v>1.850000000000071E-2</v>
      </c>
      <c r="BC29" s="79">
        <f t="shared" si="24"/>
        <v>1.850000000000071E-2</v>
      </c>
      <c r="BD29" s="79">
        <f t="shared" si="24"/>
        <v>1.850000000000071E-2</v>
      </c>
      <c r="BE29" s="79">
        <f t="shared" si="24"/>
        <v>1.850000000000071E-2</v>
      </c>
      <c r="BF29" s="79">
        <f t="shared" si="24"/>
        <v>1.850000000000071E-2</v>
      </c>
      <c r="BG29" s="79">
        <f t="shared" si="24"/>
        <v>1.850000000000071E-2</v>
      </c>
      <c r="BH29" s="79">
        <f t="shared" si="24"/>
        <v>1.85000000000007E-2</v>
      </c>
      <c r="BI29" s="79">
        <f t="shared" si="24"/>
        <v>1.85000000000007E-2</v>
      </c>
      <c r="BJ29" s="79">
        <f t="shared" si="24"/>
        <v>1.850000000000071E-2</v>
      </c>
      <c r="BK29" s="79">
        <f t="shared" si="24"/>
        <v>1.85000000000007E-2</v>
      </c>
      <c r="BL29" s="79">
        <f t="shared" si="24"/>
        <v>1.85000000000007E-2</v>
      </c>
      <c r="BM29" s="79">
        <f t="shared" si="24"/>
        <v>1.85000000000007E-2</v>
      </c>
      <c r="BN29" s="79">
        <f t="shared" si="24"/>
        <v>1.850000000000071E-2</v>
      </c>
      <c r="BO29" s="79">
        <f t="shared" si="24"/>
        <v>1.85000000000007E-2</v>
      </c>
      <c r="BP29" s="79">
        <f t="shared" si="24"/>
        <v>1.85000000000007E-2</v>
      </c>
      <c r="BQ29" s="79">
        <f t="shared" si="24"/>
        <v>1.850000000000071E-2</v>
      </c>
      <c r="BR29" s="79">
        <f t="shared" si="24"/>
        <v>1.85000000000007E-2</v>
      </c>
      <c r="BS29" s="79">
        <f t="shared" si="24"/>
        <v>1.850000000000071E-2</v>
      </c>
      <c r="BT29" s="79">
        <f t="shared" si="23"/>
        <v>1.850000000000071E-2</v>
      </c>
      <c r="BU29" s="79">
        <f t="shared" si="23"/>
        <v>1.85000000000007E-2</v>
      </c>
      <c r="BV29" s="79">
        <f t="shared" si="23"/>
        <v>1.85000000000007E-2</v>
      </c>
      <c r="BW29" s="79">
        <f t="shared" si="23"/>
        <v>1.85000000000007E-2</v>
      </c>
      <c r="BX29" s="79">
        <f t="shared" si="23"/>
        <v>1.85000000000007E-2</v>
      </c>
      <c r="BY29" s="79">
        <f t="shared" si="23"/>
        <v>1.85000000000007E-2</v>
      </c>
      <c r="BZ29" s="79">
        <f t="shared" si="23"/>
        <v>1.850000000000071E-2</v>
      </c>
      <c r="CA29" s="79">
        <f t="shared" si="23"/>
        <v>1.85000000000007E-2</v>
      </c>
      <c r="CB29" s="79">
        <f t="shared" si="23"/>
        <v>1.850000000000071E-2</v>
      </c>
      <c r="CC29" s="79">
        <f t="shared" si="23"/>
        <v>1.85000000000007E-2</v>
      </c>
      <c r="CD29" s="79">
        <f t="shared" si="23"/>
        <v>1.85000000000007E-2</v>
      </c>
      <c r="CE29" s="79">
        <f t="shared" si="23"/>
        <v>1.85000000000007E-2</v>
      </c>
      <c r="CF29" s="79">
        <f t="shared" si="23"/>
        <v>1.85000000000007E-2</v>
      </c>
      <c r="CG29" s="79">
        <f t="shared" si="23"/>
        <v>1.85000000000007E-2</v>
      </c>
      <c r="CH29" s="79">
        <f t="shared" si="23"/>
        <v>1.85000000000007E-2</v>
      </c>
      <c r="CI29" s="79">
        <f t="shared" si="23"/>
        <v>1.850000000000071E-2</v>
      </c>
      <c r="CJ29" s="79">
        <f t="shared" si="23"/>
        <v>1.85000000000007E-2</v>
      </c>
      <c r="CK29" s="79">
        <f t="shared" si="23"/>
        <v>1.85000000000007E-2</v>
      </c>
      <c r="CL29" s="79">
        <f t="shared" si="23"/>
        <v>1.85000000000007E-2</v>
      </c>
      <c r="CM29" s="79">
        <f t="shared" si="23"/>
        <v>1.850000000000071E-2</v>
      </c>
      <c r="CN29" s="79">
        <f t="shared" si="23"/>
        <v>1.85000000000007E-2</v>
      </c>
      <c r="CO29" s="79">
        <f t="shared" si="23"/>
        <v>1.85000000000007E-2</v>
      </c>
      <c r="CP29" s="79">
        <f t="shared" si="23"/>
        <v>1.85000000000007E-2</v>
      </c>
      <c r="CQ29" s="79">
        <f t="shared" si="23"/>
        <v>1.850000000000071E-2</v>
      </c>
      <c r="CR29" s="79">
        <f t="shared" si="23"/>
        <v>1.850000000000071E-2</v>
      </c>
      <c r="CS29" s="79">
        <f t="shared" si="23"/>
        <v>1.850000000000071E-2</v>
      </c>
      <c r="CT29" s="79">
        <f t="shared" si="23"/>
        <v>1.85000000000007E-2</v>
      </c>
      <c r="CU29" s="79">
        <f t="shared" si="23"/>
        <v>1.850000000000071E-2</v>
      </c>
      <c r="CV29" s="79">
        <f t="shared" si="23"/>
        <v>1.85000000000007E-2</v>
      </c>
      <c r="CW29" s="79">
        <f t="shared" si="23"/>
        <v>1.85000000000007E-2</v>
      </c>
      <c r="CX29" s="79">
        <f t="shared" si="23"/>
        <v>1.85000000000007E-2</v>
      </c>
      <c r="CY29" s="79">
        <f t="shared" si="23"/>
        <v>1.85000000000007E-2</v>
      </c>
      <c r="CZ29" s="79">
        <f t="shared" si="23"/>
        <v>1.85000000000007E-2</v>
      </c>
      <c r="DA29" s="79">
        <f t="shared" si="23"/>
        <v>1.85000000000007E-2</v>
      </c>
      <c r="DB29" s="79">
        <f t="shared" si="23"/>
        <v>1.85000000000007E-2</v>
      </c>
      <c r="DC29" s="79">
        <f t="shared" si="23"/>
        <v>1.85000000000007E-2</v>
      </c>
      <c r="DD29" s="79">
        <f t="shared" si="23"/>
        <v>1.85000000000007E-2</v>
      </c>
      <c r="DE29" s="79">
        <f t="shared" si="23"/>
        <v>1.85000000000007E-2</v>
      </c>
      <c r="DF29" s="79">
        <f t="shared" si="23"/>
        <v>1.85000000000007E-2</v>
      </c>
      <c r="DG29" s="79">
        <f t="shared" si="23"/>
        <v>1.85000000000007E-2</v>
      </c>
      <c r="DH29" s="79">
        <f t="shared" si="23"/>
        <v>1.85000000000007E-2</v>
      </c>
      <c r="DI29" s="79">
        <f t="shared" si="23"/>
        <v>1.85000000000007E-2</v>
      </c>
      <c r="DJ29" s="79">
        <f t="shared" si="23"/>
        <v>1.85000000000007E-2</v>
      </c>
      <c r="DK29" s="79">
        <f t="shared" si="23"/>
        <v>1.85000000000007E-2</v>
      </c>
      <c r="DL29" s="79">
        <f t="shared" si="23"/>
        <v>1.85000000000007E-2</v>
      </c>
      <c r="DM29" s="79">
        <f t="shared" si="23"/>
        <v>1.85000000000007E-2</v>
      </c>
      <c r="DN29" s="79">
        <f t="shared" si="23"/>
        <v>1.85000000000007E-2</v>
      </c>
      <c r="DO29" s="79">
        <f t="shared" si="23"/>
        <v>1.85000000000007E-2</v>
      </c>
      <c r="DP29" s="79">
        <f t="shared" si="23"/>
        <v>1.85000000000007E-2</v>
      </c>
      <c r="DQ29" s="79">
        <f t="shared" si="23"/>
        <v>1.85000000000007E-2</v>
      </c>
      <c r="DR29" s="79">
        <f t="shared" si="23"/>
        <v>1.85000000000007E-2</v>
      </c>
      <c r="DS29" s="79">
        <f t="shared" si="23"/>
        <v>1.85000000000007E-2</v>
      </c>
      <c r="DT29" s="79">
        <f t="shared" si="23"/>
        <v>1.85000000000007E-2</v>
      </c>
      <c r="DU29" s="79">
        <f t="shared" si="23"/>
        <v>1.85000000000007E-2</v>
      </c>
      <c r="DV29" s="79">
        <f t="shared" si="23"/>
        <v>1.85000000000007E-2</v>
      </c>
      <c r="DW29" s="79">
        <f t="shared" si="23"/>
        <v>1.85000000000007E-2</v>
      </c>
      <c r="DX29" s="79">
        <f t="shared" si="23"/>
        <v>1.85000000000007E-2</v>
      </c>
      <c r="DY29" s="79">
        <f t="shared" si="23"/>
        <v>1.85000000000007E-2</v>
      </c>
      <c r="DZ29" s="79">
        <f t="shared" si="23"/>
        <v>1.85000000000007E-2</v>
      </c>
      <c r="EA29" s="79">
        <f t="shared" si="23"/>
        <v>1.85000000000007E-2</v>
      </c>
      <c r="EB29" s="79">
        <f t="shared" si="23"/>
        <v>1.85000000000007E-2</v>
      </c>
      <c r="EC29" s="79">
        <f t="shared" si="23"/>
        <v>1.85000000000007E-2</v>
      </c>
      <c r="ED29" s="79">
        <f t="shared" si="23"/>
        <v>1.85000000000007E-2</v>
      </c>
      <c r="EE29" s="79">
        <f t="shared" si="16"/>
        <v>1.85000000000007E-2</v>
      </c>
      <c r="EF29" s="79">
        <f t="shared" si="15"/>
        <v>1.85000000000007E-2</v>
      </c>
      <c r="EG29" s="79">
        <f t="shared" si="15"/>
        <v>1.85000000000007E-2</v>
      </c>
      <c r="EH29" s="79">
        <f t="shared" si="15"/>
        <v>1.85000000000007E-2</v>
      </c>
      <c r="EI29" s="79">
        <f t="shared" si="15"/>
        <v>1.85000000000007E-2</v>
      </c>
      <c r="EJ29" s="79">
        <f t="shared" si="15"/>
        <v>1.85000000000007E-2</v>
      </c>
      <c r="EK29" s="79">
        <f t="shared" si="15"/>
        <v>1.85000000000007E-2</v>
      </c>
      <c r="EL29" s="79">
        <f t="shared" si="15"/>
        <v>1.85000000000007E-2</v>
      </c>
      <c r="EM29" s="79">
        <f t="shared" si="15"/>
        <v>1.85000000000007E-2</v>
      </c>
      <c r="EN29" s="79">
        <f t="shared" si="15"/>
        <v>1.85000000000007E-2</v>
      </c>
      <c r="EO29" s="79">
        <f t="shared" si="15"/>
        <v>1.85000000000007E-2</v>
      </c>
      <c r="EP29" s="79">
        <f t="shared" si="15"/>
        <v>1.85000000000007E-2</v>
      </c>
      <c r="EQ29" s="79">
        <f t="shared" si="15"/>
        <v>1.85000000000007E-2</v>
      </c>
      <c r="ER29" s="79">
        <f t="shared" si="15"/>
        <v>1.85000000000007E-2</v>
      </c>
      <c r="ES29" s="79">
        <f t="shared" si="15"/>
        <v>1.85000000000007E-2</v>
      </c>
      <c r="ET29" s="79">
        <f t="shared" si="15"/>
        <v>1.85000000000007E-2</v>
      </c>
      <c r="EU29" s="87"/>
      <c r="EV29" s="87"/>
      <c r="EW29" s="87"/>
      <c r="EX29" s="87"/>
      <c r="EY29" s="87" t="s">
        <v>76</v>
      </c>
      <c r="EZ29" s="98">
        <v>1.15E-2</v>
      </c>
      <c r="FA29" s="137">
        <f>VLOOKUP(EY29,$EY$11:$FC$24,5,FALSE)</f>
        <v>1.9699999999999999E-2</v>
      </c>
      <c r="FB29" s="4">
        <f>(FA29-EZ29)/18</f>
        <v>4.5555555555555551E-4</v>
      </c>
      <c r="FC29" s="27"/>
      <c r="FF29" s="698" t="s">
        <v>605</v>
      </c>
      <c r="FG29" s="700">
        <v>2.5000000000000001E-2</v>
      </c>
      <c r="FH29" s="700">
        <v>120</v>
      </c>
      <c r="FI29" s="699">
        <v>1.7000000000000001E-2</v>
      </c>
      <c r="FJ29" s="699">
        <v>1.55E-2</v>
      </c>
      <c r="FK29" s="71">
        <f t="shared" si="11"/>
        <v>5.2777777777777784E-4</v>
      </c>
      <c r="FL29" t="e">
        <f>VLOOKUP(FF29,'SIMULADOR COM SALDO'!$BX$22:$CK$500,13,FALSE)</f>
        <v>#N/A</v>
      </c>
      <c r="FM29" s="166">
        <f t="shared" si="12"/>
        <v>1.67E-2</v>
      </c>
    </row>
    <row r="30" spans="5:169" customFormat="1" x14ac:dyDescent="0.25">
      <c r="F30" s="97">
        <f>IF(H6="INSS",1.7%,"")</f>
        <v>1.7000000000000001E-2</v>
      </c>
      <c r="G30" s="79">
        <f>IF($F30&lt;&gt;"",G29,"")</f>
        <v>1.85000000000007E-2</v>
      </c>
      <c r="H30" s="79">
        <f t="shared" ref="H30:BS33" si="25">IF($F30&lt;&gt;"",H29,"")</f>
        <v>1.85000000000007E-2</v>
      </c>
      <c r="I30" s="79">
        <f t="shared" si="25"/>
        <v>1.85000000000007E-2</v>
      </c>
      <c r="J30" s="79">
        <f t="shared" si="25"/>
        <v>1.8500000000000696E-2</v>
      </c>
      <c r="K30" s="79">
        <f t="shared" si="25"/>
        <v>1.8500000000000696E-2</v>
      </c>
      <c r="L30" s="79">
        <f t="shared" si="25"/>
        <v>1.8500000000000696E-2</v>
      </c>
      <c r="M30" s="79">
        <f t="shared" si="25"/>
        <v>1.8500000000000696E-2</v>
      </c>
      <c r="N30" s="79">
        <f t="shared" si="25"/>
        <v>1.8500000000000696E-2</v>
      </c>
      <c r="O30" s="79">
        <f t="shared" si="25"/>
        <v>1.8500000000000696E-2</v>
      </c>
      <c r="P30" s="79">
        <f t="shared" si="25"/>
        <v>1.850000000000071E-2</v>
      </c>
      <c r="Q30" s="79">
        <f t="shared" si="25"/>
        <v>1.8500000000000696E-2</v>
      </c>
      <c r="R30" s="79">
        <f t="shared" si="25"/>
        <v>1.85000000000007E-2</v>
      </c>
      <c r="S30" s="79">
        <f t="shared" si="25"/>
        <v>1.8500000000000696E-2</v>
      </c>
      <c r="T30" s="79">
        <f t="shared" si="25"/>
        <v>1.85000000000007E-2</v>
      </c>
      <c r="U30" s="79">
        <f t="shared" si="25"/>
        <v>1.85000000000007E-2</v>
      </c>
      <c r="V30" s="79">
        <f t="shared" si="25"/>
        <v>1.8500000000000696E-2</v>
      </c>
      <c r="W30" s="79">
        <f t="shared" si="25"/>
        <v>1.85000000000007E-2</v>
      </c>
      <c r="X30" s="79">
        <f t="shared" si="25"/>
        <v>1.8500000000000696E-2</v>
      </c>
      <c r="Y30" s="79">
        <f t="shared" si="25"/>
        <v>1.8500000000000696E-2</v>
      </c>
      <c r="Z30" s="79">
        <f t="shared" si="25"/>
        <v>1.8500000000000696E-2</v>
      </c>
      <c r="AA30" s="79">
        <f t="shared" si="25"/>
        <v>1.85000000000007E-2</v>
      </c>
      <c r="AB30" s="79">
        <f t="shared" si="25"/>
        <v>1.85000000000007E-2</v>
      </c>
      <c r="AC30" s="79">
        <f t="shared" si="25"/>
        <v>1.8500000000000696E-2</v>
      </c>
      <c r="AD30" s="79">
        <f t="shared" si="25"/>
        <v>1.85000000000007E-2</v>
      </c>
      <c r="AE30" s="79">
        <f t="shared" si="25"/>
        <v>1.850000000000071E-2</v>
      </c>
      <c r="AF30" s="79">
        <f t="shared" si="25"/>
        <v>1.85000000000007E-2</v>
      </c>
      <c r="AG30" s="79">
        <f t="shared" si="25"/>
        <v>1.850000000000071E-2</v>
      </c>
      <c r="AH30" s="79">
        <f t="shared" si="25"/>
        <v>1.85000000000007E-2</v>
      </c>
      <c r="AI30" s="79">
        <f t="shared" si="25"/>
        <v>1.85000000000007E-2</v>
      </c>
      <c r="AJ30" s="79">
        <f t="shared" si="25"/>
        <v>1.85000000000007E-2</v>
      </c>
      <c r="AK30" s="79">
        <f t="shared" si="25"/>
        <v>1.85000000000007E-2</v>
      </c>
      <c r="AL30" s="79">
        <f t="shared" si="25"/>
        <v>1.85000000000007E-2</v>
      </c>
      <c r="AM30" s="79">
        <f t="shared" si="25"/>
        <v>1.850000000000071E-2</v>
      </c>
      <c r="AN30" s="79">
        <f t="shared" si="25"/>
        <v>1.85000000000007E-2</v>
      </c>
      <c r="AO30" s="79">
        <f t="shared" si="25"/>
        <v>1.850000000000071E-2</v>
      </c>
      <c r="AP30" s="79">
        <f t="shared" si="25"/>
        <v>1.850000000000071E-2</v>
      </c>
      <c r="AQ30" s="79">
        <f t="shared" si="25"/>
        <v>1.850000000000071E-2</v>
      </c>
      <c r="AR30" s="79">
        <f t="shared" si="25"/>
        <v>1.850000000000071E-2</v>
      </c>
      <c r="AS30" s="79">
        <f t="shared" si="25"/>
        <v>1.85000000000007E-2</v>
      </c>
      <c r="AT30" s="79">
        <f t="shared" si="25"/>
        <v>1.85000000000007E-2</v>
      </c>
      <c r="AU30" s="79">
        <f t="shared" si="25"/>
        <v>1.850000000000071E-2</v>
      </c>
      <c r="AV30" s="79">
        <f t="shared" si="25"/>
        <v>1.850000000000071E-2</v>
      </c>
      <c r="AW30" s="79">
        <f t="shared" si="25"/>
        <v>1.85000000000007E-2</v>
      </c>
      <c r="AX30" s="79">
        <f t="shared" si="25"/>
        <v>1.85000000000007E-2</v>
      </c>
      <c r="AY30" s="79">
        <f t="shared" si="25"/>
        <v>1.850000000000071E-2</v>
      </c>
      <c r="AZ30" s="79">
        <f t="shared" si="25"/>
        <v>1.850000000000071E-2</v>
      </c>
      <c r="BA30" s="79">
        <f t="shared" si="25"/>
        <v>1.850000000000071E-2</v>
      </c>
      <c r="BB30" s="79">
        <f t="shared" si="25"/>
        <v>1.850000000000071E-2</v>
      </c>
      <c r="BC30" s="79">
        <f t="shared" si="25"/>
        <v>1.850000000000071E-2</v>
      </c>
      <c r="BD30" s="79">
        <f t="shared" si="25"/>
        <v>1.850000000000071E-2</v>
      </c>
      <c r="BE30" s="79">
        <f t="shared" si="25"/>
        <v>1.850000000000071E-2</v>
      </c>
      <c r="BF30" s="79">
        <f t="shared" si="25"/>
        <v>1.850000000000071E-2</v>
      </c>
      <c r="BG30" s="79">
        <f t="shared" si="25"/>
        <v>1.850000000000071E-2</v>
      </c>
      <c r="BH30" s="79">
        <f t="shared" si="25"/>
        <v>1.85000000000007E-2</v>
      </c>
      <c r="BI30" s="79">
        <f t="shared" si="25"/>
        <v>1.85000000000007E-2</v>
      </c>
      <c r="BJ30" s="79">
        <f t="shared" si="25"/>
        <v>1.850000000000071E-2</v>
      </c>
      <c r="BK30" s="79">
        <f t="shared" si="25"/>
        <v>1.85000000000007E-2</v>
      </c>
      <c r="BL30" s="79">
        <f t="shared" si="25"/>
        <v>1.85000000000007E-2</v>
      </c>
      <c r="BM30" s="79">
        <f t="shared" si="25"/>
        <v>1.85000000000007E-2</v>
      </c>
      <c r="BN30" s="79">
        <f t="shared" si="25"/>
        <v>1.850000000000071E-2</v>
      </c>
      <c r="BO30" s="79">
        <f t="shared" si="25"/>
        <v>1.85000000000007E-2</v>
      </c>
      <c r="BP30" s="79">
        <f t="shared" si="25"/>
        <v>1.85000000000007E-2</v>
      </c>
      <c r="BQ30" s="79">
        <f t="shared" si="25"/>
        <v>1.850000000000071E-2</v>
      </c>
      <c r="BR30" s="79">
        <f t="shared" si="25"/>
        <v>1.85000000000007E-2</v>
      </c>
      <c r="BS30" s="79">
        <f t="shared" si="25"/>
        <v>1.850000000000071E-2</v>
      </c>
      <c r="BT30" s="79">
        <f t="shared" ref="BT30:EE33" si="26">IF($F30&lt;&gt;"",BT29,"")</f>
        <v>1.850000000000071E-2</v>
      </c>
      <c r="BU30" s="79">
        <f t="shared" si="26"/>
        <v>1.85000000000007E-2</v>
      </c>
      <c r="BV30" s="79">
        <f t="shared" si="26"/>
        <v>1.85000000000007E-2</v>
      </c>
      <c r="BW30" s="79">
        <f t="shared" si="26"/>
        <v>1.85000000000007E-2</v>
      </c>
      <c r="BX30" s="79">
        <f t="shared" si="26"/>
        <v>1.85000000000007E-2</v>
      </c>
      <c r="BY30" s="79">
        <f t="shared" si="26"/>
        <v>1.85000000000007E-2</v>
      </c>
      <c r="BZ30" s="79">
        <f t="shared" si="26"/>
        <v>1.850000000000071E-2</v>
      </c>
      <c r="CA30" s="79">
        <f t="shared" si="26"/>
        <v>1.85000000000007E-2</v>
      </c>
      <c r="CB30" s="79">
        <f t="shared" si="26"/>
        <v>1.850000000000071E-2</v>
      </c>
      <c r="CC30" s="79">
        <f t="shared" si="26"/>
        <v>1.85000000000007E-2</v>
      </c>
      <c r="CD30" s="79">
        <f t="shared" si="26"/>
        <v>1.85000000000007E-2</v>
      </c>
      <c r="CE30" s="79">
        <f t="shared" si="26"/>
        <v>1.85000000000007E-2</v>
      </c>
      <c r="CF30" s="79">
        <f t="shared" si="26"/>
        <v>1.85000000000007E-2</v>
      </c>
      <c r="CG30" s="79">
        <f t="shared" si="26"/>
        <v>1.85000000000007E-2</v>
      </c>
      <c r="CH30" s="79">
        <f t="shared" si="26"/>
        <v>1.85000000000007E-2</v>
      </c>
      <c r="CI30" s="79">
        <f t="shared" si="26"/>
        <v>1.850000000000071E-2</v>
      </c>
      <c r="CJ30" s="79">
        <f t="shared" si="26"/>
        <v>1.85000000000007E-2</v>
      </c>
      <c r="CK30" s="79">
        <f t="shared" si="26"/>
        <v>1.85000000000007E-2</v>
      </c>
      <c r="CL30" s="79">
        <f t="shared" si="26"/>
        <v>1.85000000000007E-2</v>
      </c>
      <c r="CM30" s="79">
        <f t="shared" si="26"/>
        <v>1.850000000000071E-2</v>
      </c>
      <c r="CN30" s="79">
        <f t="shared" si="26"/>
        <v>1.85000000000007E-2</v>
      </c>
      <c r="CO30" s="79">
        <f t="shared" si="26"/>
        <v>1.85000000000007E-2</v>
      </c>
      <c r="CP30" s="79">
        <f t="shared" si="26"/>
        <v>1.85000000000007E-2</v>
      </c>
      <c r="CQ30" s="79">
        <f t="shared" si="26"/>
        <v>1.850000000000071E-2</v>
      </c>
      <c r="CR30" s="79">
        <f t="shared" si="26"/>
        <v>1.850000000000071E-2</v>
      </c>
      <c r="CS30" s="79">
        <f t="shared" si="26"/>
        <v>1.850000000000071E-2</v>
      </c>
      <c r="CT30" s="79">
        <f t="shared" si="26"/>
        <v>1.85000000000007E-2</v>
      </c>
      <c r="CU30" s="79">
        <f t="shared" si="26"/>
        <v>1.850000000000071E-2</v>
      </c>
      <c r="CV30" s="79">
        <f t="shared" si="26"/>
        <v>1.85000000000007E-2</v>
      </c>
      <c r="CW30" s="79">
        <f t="shared" si="26"/>
        <v>1.85000000000007E-2</v>
      </c>
      <c r="CX30" s="79">
        <f t="shared" si="26"/>
        <v>1.85000000000007E-2</v>
      </c>
      <c r="CY30" s="79">
        <f t="shared" si="26"/>
        <v>1.85000000000007E-2</v>
      </c>
      <c r="CZ30" s="79">
        <f t="shared" si="26"/>
        <v>1.85000000000007E-2</v>
      </c>
      <c r="DA30" s="79">
        <f t="shared" si="26"/>
        <v>1.85000000000007E-2</v>
      </c>
      <c r="DB30" s="79">
        <f t="shared" si="26"/>
        <v>1.85000000000007E-2</v>
      </c>
      <c r="DC30" s="79">
        <f t="shared" si="26"/>
        <v>1.85000000000007E-2</v>
      </c>
      <c r="DD30" s="79">
        <f t="shared" si="26"/>
        <v>1.85000000000007E-2</v>
      </c>
      <c r="DE30" s="79">
        <f t="shared" si="26"/>
        <v>1.85000000000007E-2</v>
      </c>
      <c r="DF30" s="79">
        <f t="shared" si="26"/>
        <v>1.85000000000007E-2</v>
      </c>
      <c r="DG30" s="79">
        <f t="shared" si="26"/>
        <v>1.85000000000007E-2</v>
      </c>
      <c r="DH30" s="79">
        <f t="shared" si="26"/>
        <v>1.85000000000007E-2</v>
      </c>
      <c r="DI30" s="79">
        <f t="shared" si="26"/>
        <v>1.85000000000007E-2</v>
      </c>
      <c r="DJ30" s="79">
        <f t="shared" si="26"/>
        <v>1.85000000000007E-2</v>
      </c>
      <c r="DK30" s="79">
        <f t="shared" si="26"/>
        <v>1.85000000000007E-2</v>
      </c>
      <c r="DL30" s="79">
        <f t="shared" si="26"/>
        <v>1.85000000000007E-2</v>
      </c>
      <c r="DM30" s="79">
        <f t="shared" si="26"/>
        <v>1.85000000000007E-2</v>
      </c>
      <c r="DN30" s="79">
        <f t="shared" si="26"/>
        <v>1.85000000000007E-2</v>
      </c>
      <c r="DO30" s="79">
        <f t="shared" si="26"/>
        <v>1.85000000000007E-2</v>
      </c>
      <c r="DP30" s="79">
        <f t="shared" si="26"/>
        <v>1.85000000000007E-2</v>
      </c>
      <c r="DQ30" s="79">
        <f t="shared" si="26"/>
        <v>1.85000000000007E-2</v>
      </c>
      <c r="DR30" s="79">
        <f t="shared" si="26"/>
        <v>1.85000000000007E-2</v>
      </c>
      <c r="DS30" s="79">
        <f t="shared" si="26"/>
        <v>1.85000000000007E-2</v>
      </c>
      <c r="DT30" s="79">
        <f t="shared" si="26"/>
        <v>1.85000000000007E-2</v>
      </c>
      <c r="DU30" s="79">
        <f t="shared" si="26"/>
        <v>1.85000000000007E-2</v>
      </c>
      <c r="DV30" s="79">
        <f t="shared" si="26"/>
        <v>1.85000000000007E-2</v>
      </c>
      <c r="DW30" s="79">
        <f t="shared" si="26"/>
        <v>1.85000000000007E-2</v>
      </c>
      <c r="DX30" s="79">
        <f t="shared" si="26"/>
        <v>1.85000000000007E-2</v>
      </c>
      <c r="DY30" s="79">
        <f t="shared" si="26"/>
        <v>1.85000000000007E-2</v>
      </c>
      <c r="DZ30" s="79">
        <f t="shared" si="26"/>
        <v>1.85000000000007E-2</v>
      </c>
      <c r="EA30" s="79">
        <f t="shared" si="26"/>
        <v>1.85000000000007E-2</v>
      </c>
      <c r="EB30" s="79">
        <f t="shared" si="26"/>
        <v>1.85000000000007E-2</v>
      </c>
      <c r="EC30" s="79">
        <f t="shared" si="26"/>
        <v>1.85000000000007E-2</v>
      </c>
      <c r="ED30" s="79">
        <f t="shared" si="26"/>
        <v>1.85000000000007E-2</v>
      </c>
      <c r="EE30" s="79">
        <f t="shared" si="26"/>
        <v>1.85000000000007E-2</v>
      </c>
      <c r="EF30" s="79">
        <f t="shared" ref="EF30:ET33" si="27">IF($F30&lt;&gt;"",EF29,"")</f>
        <v>1.85000000000007E-2</v>
      </c>
      <c r="EG30" s="79">
        <f t="shared" si="27"/>
        <v>1.85000000000007E-2</v>
      </c>
      <c r="EH30" s="79">
        <f t="shared" si="27"/>
        <v>1.85000000000007E-2</v>
      </c>
      <c r="EI30" s="79">
        <f t="shared" si="27"/>
        <v>1.85000000000007E-2</v>
      </c>
      <c r="EJ30" s="79">
        <f t="shared" si="27"/>
        <v>1.85000000000007E-2</v>
      </c>
      <c r="EK30" s="79">
        <f t="shared" si="27"/>
        <v>1.85000000000007E-2</v>
      </c>
      <c r="EL30" s="79">
        <f t="shared" si="27"/>
        <v>1.85000000000007E-2</v>
      </c>
      <c r="EM30" s="79">
        <f t="shared" si="27"/>
        <v>1.85000000000007E-2</v>
      </c>
      <c r="EN30" s="79">
        <f t="shared" si="27"/>
        <v>1.85000000000007E-2</v>
      </c>
      <c r="EO30" s="79">
        <f t="shared" si="27"/>
        <v>1.85000000000007E-2</v>
      </c>
      <c r="EP30" s="79">
        <f t="shared" si="27"/>
        <v>1.85000000000007E-2</v>
      </c>
      <c r="EQ30" s="79">
        <f t="shared" si="27"/>
        <v>1.85000000000007E-2</v>
      </c>
      <c r="ER30" s="79">
        <f t="shared" si="27"/>
        <v>1.85000000000007E-2</v>
      </c>
      <c r="ES30" s="79">
        <f t="shared" si="27"/>
        <v>1.85000000000007E-2</v>
      </c>
      <c r="ET30" s="79">
        <f t="shared" si="27"/>
        <v>1.85000000000007E-2</v>
      </c>
      <c r="EU30" s="87"/>
      <c r="EV30" s="87"/>
      <c r="EW30" s="87"/>
      <c r="EX30" s="87"/>
      <c r="EY30" s="87" t="s">
        <v>33</v>
      </c>
      <c r="EZ30" s="98">
        <v>1.5900000000000001E-2</v>
      </c>
      <c r="FA30" s="137">
        <f>VLOOKUP(EY30,$EY$11:$FC$24,5,FALSE)</f>
        <v>2.0500000000000001E-2</v>
      </c>
      <c r="FB30" s="4">
        <f>(FA30-EZ30)/18</f>
        <v>2.5555555555555553E-4</v>
      </c>
      <c r="FC30" s="27"/>
      <c r="FF30" s="701" t="s">
        <v>3450</v>
      </c>
      <c r="FG30" s="700">
        <v>1.8500000000000003E-2</v>
      </c>
      <c r="FH30" s="700">
        <v>120</v>
      </c>
      <c r="FI30" s="699">
        <v>1.5100000000000001E-2</v>
      </c>
      <c r="FJ30" s="699">
        <v>1.38E-2</v>
      </c>
      <c r="FK30" s="71">
        <f t="shared" si="11"/>
        <v>2.6111111111111127E-4</v>
      </c>
      <c r="FL30" t="e">
        <f>VLOOKUP(FF30,'SIMULADOR COM SALDO'!$BX$22:$CK$500,13,FALSE)</f>
        <v>#N/A</v>
      </c>
      <c r="FM30" s="166">
        <f t="shared" si="12"/>
        <v>1.4800000000000001E-2</v>
      </c>
    </row>
    <row r="31" spans="5:169" customFormat="1" x14ac:dyDescent="0.25">
      <c r="E31" s="28"/>
      <c r="F31" s="97">
        <f>IF(H6="INSS",1.76%,"")</f>
        <v>1.7600000000000001E-2</v>
      </c>
      <c r="G31" s="79">
        <f t="shared" ref="G31:G33" si="28">IF($F31&lt;&gt;"",G30,"")</f>
        <v>1.85000000000007E-2</v>
      </c>
      <c r="H31" s="79">
        <f t="shared" si="25"/>
        <v>1.85000000000007E-2</v>
      </c>
      <c r="I31" s="79">
        <f t="shared" si="25"/>
        <v>1.85000000000007E-2</v>
      </c>
      <c r="J31" s="79">
        <f t="shared" si="25"/>
        <v>1.8500000000000696E-2</v>
      </c>
      <c r="K31" s="79">
        <f t="shared" si="25"/>
        <v>1.8500000000000696E-2</v>
      </c>
      <c r="L31" s="79">
        <f t="shared" si="25"/>
        <v>1.8500000000000696E-2</v>
      </c>
      <c r="M31" s="79">
        <f t="shared" si="25"/>
        <v>1.8500000000000696E-2</v>
      </c>
      <c r="N31" s="79">
        <f t="shared" si="25"/>
        <v>1.8500000000000696E-2</v>
      </c>
      <c r="O31" s="79">
        <f t="shared" si="25"/>
        <v>1.8500000000000696E-2</v>
      </c>
      <c r="P31" s="79">
        <f t="shared" si="25"/>
        <v>1.850000000000071E-2</v>
      </c>
      <c r="Q31" s="79">
        <f t="shared" si="25"/>
        <v>1.8500000000000696E-2</v>
      </c>
      <c r="R31" s="79">
        <f t="shared" si="25"/>
        <v>1.85000000000007E-2</v>
      </c>
      <c r="S31" s="79">
        <f t="shared" si="25"/>
        <v>1.8500000000000696E-2</v>
      </c>
      <c r="T31" s="79">
        <f t="shared" si="25"/>
        <v>1.85000000000007E-2</v>
      </c>
      <c r="U31" s="79">
        <f t="shared" si="25"/>
        <v>1.85000000000007E-2</v>
      </c>
      <c r="V31" s="79">
        <f t="shared" si="25"/>
        <v>1.8500000000000696E-2</v>
      </c>
      <c r="W31" s="79">
        <f t="shared" si="25"/>
        <v>1.85000000000007E-2</v>
      </c>
      <c r="X31" s="79">
        <f t="shared" si="25"/>
        <v>1.8500000000000696E-2</v>
      </c>
      <c r="Y31" s="79">
        <f t="shared" si="25"/>
        <v>1.8500000000000696E-2</v>
      </c>
      <c r="Z31" s="79">
        <f t="shared" si="25"/>
        <v>1.8500000000000696E-2</v>
      </c>
      <c r="AA31" s="79">
        <f t="shared" si="25"/>
        <v>1.85000000000007E-2</v>
      </c>
      <c r="AB31" s="79">
        <f t="shared" si="25"/>
        <v>1.85000000000007E-2</v>
      </c>
      <c r="AC31" s="79">
        <f t="shared" si="25"/>
        <v>1.8500000000000696E-2</v>
      </c>
      <c r="AD31" s="79">
        <f t="shared" si="25"/>
        <v>1.85000000000007E-2</v>
      </c>
      <c r="AE31" s="79">
        <f t="shared" si="25"/>
        <v>1.850000000000071E-2</v>
      </c>
      <c r="AF31" s="79">
        <f t="shared" si="25"/>
        <v>1.85000000000007E-2</v>
      </c>
      <c r="AG31" s="79">
        <f t="shared" si="25"/>
        <v>1.850000000000071E-2</v>
      </c>
      <c r="AH31" s="79">
        <f t="shared" si="25"/>
        <v>1.85000000000007E-2</v>
      </c>
      <c r="AI31" s="79">
        <f t="shared" si="25"/>
        <v>1.85000000000007E-2</v>
      </c>
      <c r="AJ31" s="79">
        <f t="shared" si="25"/>
        <v>1.85000000000007E-2</v>
      </c>
      <c r="AK31" s="79">
        <f t="shared" si="25"/>
        <v>1.85000000000007E-2</v>
      </c>
      <c r="AL31" s="79">
        <f t="shared" si="25"/>
        <v>1.85000000000007E-2</v>
      </c>
      <c r="AM31" s="79">
        <f t="shared" si="25"/>
        <v>1.850000000000071E-2</v>
      </c>
      <c r="AN31" s="79">
        <f t="shared" si="25"/>
        <v>1.85000000000007E-2</v>
      </c>
      <c r="AO31" s="79">
        <f t="shared" si="25"/>
        <v>1.850000000000071E-2</v>
      </c>
      <c r="AP31" s="79">
        <f t="shared" si="25"/>
        <v>1.850000000000071E-2</v>
      </c>
      <c r="AQ31" s="79">
        <f t="shared" si="25"/>
        <v>1.850000000000071E-2</v>
      </c>
      <c r="AR31" s="79">
        <f t="shared" si="25"/>
        <v>1.850000000000071E-2</v>
      </c>
      <c r="AS31" s="79">
        <f t="shared" si="25"/>
        <v>1.85000000000007E-2</v>
      </c>
      <c r="AT31" s="79">
        <f t="shared" si="25"/>
        <v>1.85000000000007E-2</v>
      </c>
      <c r="AU31" s="79">
        <f t="shared" si="25"/>
        <v>1.850000000000071E-2</v>
      </c>
      <c r="AV31" s="79">
        <f t="shared" si="25"/>
        <v>1.850000000000071E-2</v>
      </c>
      <c r="AW31" s="79">
        <f t="shared" si="25"/>
        <v>1.85000000000007E-2</v>
      </c>
      <c r="AX31" s="79">
        <f t="shared" si="25"/>
        <v>1.85000000000007E-2</v>
      </c>
      <c r="AY31" s="79">
        <f t="shared" si="25"/>
        <v>1.850000000000071E-2</v>
      </c>
      <c r="AZ31" s="79">
        <f t="shared" si="25"/>
        <v>1.850000000000071E-2</v>
      </c>
      <c r="BA31" s="79">
        <f t="shared" si="25"/>
        <v>1.850000000000071E-2</v>
      </c>
      <c r="BB31" s="79">
        <f t="shared" si="25"/>
        <v>1.850000000000071E-2</v>
      </c>
      <c r="BC31" s="79">
        <f t="shared" si="25"/>
        <v>1.850000000000071E-2</v>
      </c>
      <c r="BD31" s="79">
        <f t="shared" si="25"/>
        <v>1.850000000000071E-2</v>
      </c>
      <c r="BE31" s="79">
        <f t="shared" si="25"/>
        <v>1.850000000000071E-2</v>
      </c>
      <c r="BF31" s="79">
        <f t="shared" si="25"/>
        <v>1.850000000000071E-2</v>
      </c>
      <c r="BG31" s="79">
        <f t="shared" si="25"/>
        <v>1.850000000000071E-2</v>
      </c>
      <c r="BH31" s="79">
        <f t="shared" si="25"/>
        <v>1.85000000000007E-2</v>
      </c>
      <c r="BI31" s="79">
        <f t="shared" si="25"/>
        <v>1.85000000000007E-2</v>
      </c>
      <c r="BJ31" s="79">
        <f t="shared" si="25"/>
        <v>1.850000000000071E-2</v>
      </c>
      <c r="BK31" s="79">
        <f t="shared" si="25"/>
        <v>1.85000000000007E-2</v>
      </c>
      <c r="BL31" s="79">
        <f t="shared" si="25"/>
        <v>1.85000000000007E-2</v>
      </c>
      <c r="BM31" s="79">
        <f t="shared" si="25"/>
        <v>1.85000000000007E-2</v>
      </c>
      <c r="BN31" s="79">
        <f t="shared" si="25"/>
        <v>1.850000000000071E-2</v>
      </c>
      <c r="BO31" s="79">
        <f t="shared" si="25"/>
        <v>1.85000000000007E-2</v>
      </c>
      <c r="BP31" s="79">
        <f t="shared" si="25"/>
        <v>1.85000000000007E-2</v>
      </c>
      <c r="BQ31" s="79">
        <f t="shared" si="25"/>
        <v>1.850000000000071E-2</v>
      </c>
      <c r="BR31" s="79">
        <f t="shared" si="25"/>
        <v>1.85000000000007E-2</v>
      </c>
      <c r="BS31" s="79">
        <f t="shared" si="25"/>
        <v>1.850000000000071E-2</v>
      </c>
      <c r="BT31" s="79">
        <f t="shared" si="26"/>
        <v>1.850000000000071E-2</v>
      </c>
      <c r="BU31" s="79">
        <f t="shared" si="26"/>
        <v>1.85000000000007E-2</v>
      </c>
      <c r="BV31" s="79">
        <f t="shared" si="26"/>
        <v>1.85000000000007E-2</v>
      </c>
      <c r="BW31" s="79">
        <f t="shared" si="26"/>
        <v>1.85000000000007E-2</v>
      </c>
      <c r="BX31" s="79">
        <f t="shared" si="26"/>
        <v>1.85000000000007E-2</v>
      </c>
      <c r="BY31" s="79">
        <f t="shared" si="26"/>
        <v>1.85000000000007E-2</v>
      </c>
      <c r="BZ31" s="79">
        <f t="shared" si="26"/>
        <v>1.850000000000071E-2</v>
      </c>
      <c r="CA31" s="79">
        <f t="shared" si="26"/>
        <v>1.85000000000007E-2</v>
      </c>
      <c r="CB31" s="79">
        <f t="shared" si="26"/>
        <v>1.850000000000071E-2</v>
      </c>
      <c r="CC31" s="79">
        <f t="shared" si="26"/>
        <v>1.85000000000007E-2</v>
      </c>
      <c r="CD31" s="79">
        <f t="shared" si="26"/>
        <v>1.85000000000007E-2</v>
      </c>
      <c r="CE31" s="79">
        <f t="shared" si="26"/>
        <v>1.85000000000007E-2</v>
      </c>
      <c r="CF31" s="79">
        <f t="shared" si="26"/>
        <v>1.85000000000007E-2</v>
      </c>
      <c r="CG31" s="79">
        <f t="shared" si="26"/>
        <v>1.85000000000007E-2</v>
      </c>
      <c r="CH31" s="79">
        <f t="shared" si="26"/>
        <v>1.85000000000007E-2</v>
      </c>
      <c r="CI31" s="79">
        <f t="shared" si="26"/>
        <v>1.850000000000071E-2</v>
      </c>
      <c r="CJ31" s="79">
        <f t="shared" si="26"/>
        <v>1.85000000000007E-2</v>
      </c>
      <c r="CK31" s="79">
        <f t="shared" si="26"/>
        <v>1.85000000000007E-2</v>
      </c>
      <c r="CL31" s="79">
        <f t="shared" si="26"/>
        <v>1.85000000000007E-2</v>
      </c>
      <c r="CM31" s="79">
        <f t="shared" si="26"/>
        <v>1.850000000000071E-2</v>
      </c>
      <c r="CN31" s="79">
        <f t="shared" si="26"/>
        <v>1.85000000000007E-2</v>
      </c>
      <c r="CO31" s="79">
        <f t="shared" si="26"/>
        <v>1.85000000000007E-2</v>
      </c>
      <c r="CP31" s="79">
        <f t="shared" si="26"/>
        <v>1.85000000000007E-2</v>
      </c>
      <c r="CQ31" s="79">
        <f t="shared" si="26"/>
        <v>1.850000000000071E-2</v>
      </c>
      <c r="CR31" s="79">
        <f t="shared" si="26"/>
        <v>1.850000000000071E-2</v>
      </c>
      <c r="CS31" s="79">
        <f t="shared" si="26"/>
        <v>1.850000000000071E-2</v>
      </c>
      <c r="CT31" s="79">
        <f t="shared" si="26"/>
        <v>1.85000000000007E-2</v>
      </c>
      <c r="CU31" s="79">
        <f t="shared" si="26"/>
        <v>1.850000000000071E-2</v>
      </c>
      <c r="CV31" s="79">
        <f t="shared" si="26"/>
        <v>1.85000000000007E-2</v>
      </c>
      <c r="CW31" s="79">
        <f t="shared" si="26"/>
        <v>1.85000000000007E-2</v>
      </c>
      <c r="CX31" s="79">
        <f t="shared" si="26"/>
        <v>1.85000000000007E-2</v>
      </c>
      <c r="CY31" s="79">
        <f t="shared" si="26"/>
        <v>1.85000000000007E-2</v>
      </c>
      <c r="CZ31" s="79">
        <f t="shared" si="26"/>
        <v>1.85000000000007E-2</v>
      </c>
      <c r="DA31" s="79">
        <f t="shared" si="26"/>
        <v>1.85000000000007E-2</v>
      </c>
      <c r="DB31" s="79">
        <f t="shared" si="26"/>
        <v>1.85000000000007E-2</v>
      </c>
      <c r="DC31" s="79">
        <f t="shared" si="26"/>
        <v>1.85000000000007E-2</v>
      </c>
      <c r="DD31" s="79">
        <f t="shared" si="26"/>
        <v>1.85000000000007E-2</v>
      </c>
      <c r="DE31" s="79">
        <f t="shared" si="26"/>
        <v>1.85000000000007E-2</v>
      </c>
      <c r="DF31" s="79">
        <f t="shared" si="26"/>
        <v>1.85000000000007E-2</v>
      </c>
      <c r="DG31" s="79">
        <f t="shared" si="26"/>
        <v>1.85000000000007E-2</v>
      </c>
      <c r="DH31" s="79">
        <f t="shared" si="26"/>
        <v>1.85000000000007E-2</v>
      </c>
      <c r="DI31" s="79">
        <f t="shared" si="26"/>
        <v>1.85000000000007E-2</v>
      </c>
      <c r="DJ31" s="79">
        <f t="shared" si="26"/>
        <v>1.85000000000007E-2</v>
      </c>
      <c r="DK31" s="79">
        <f t="shared" si="26"/>
        <v>1.85000000000007E-2</v>
      </c>
      <c r="DL31" s="79">
        <f t="shared" si="26"/>
        <v>1.85000000000007E-2</v>
      </c>
      <c r="DM31" s="79">
        <f t="shared" si="26"/>
        <v>1.85000000000007E-2</v>
      </c>
      <c r="DN31" s="79">
        <f t="shared" si="26"/>
        <v>1.85000000000007E-2</v>
      </c>
      <c r="DO31" s="79">
        <f t="shared" si="26"/>
        <v>1.85000000000007E-2</v>
      </c>
      <c r="DP31" s="79">
        <f t="shared" si="26"/>
        <v>1.85000000000007E-2</v>
      </c>
      <c r="DQ31" s="79">
        <f t="shared" si="26"/>
        <v>1.85000000000007E-2</v>
      </c>
      <c r="DR31" s="79">
        <f t="shared" si="26"/>
        <v>1.85000000000007E-2</v>
      </c>
      <c r="DS31" s="79">
        <f t="shared" si="26"/>
        <v>1.85000000000007E-2</v>
      </c>
      <c r="DT31" s="79">
        <f t="shared" si="26"/>
        <v>1.85000000000007E-2</v>
      </c>
      <c r="DU31" s="79">
        <f t="shared" si="26"/>
        <v>1.85000000000007E-2</v>
      </c>
      <c r="DV31" s="79">
        <f t="shared" si="26"/>
        <v>1.85000000000007E-2</v>
      </c>
      <c r="DW31" s="79">
        <f t="shared" si="26"/>
        <v>1.85000000000007E-2</v>
      </c>
      <c r="DX31" s="79">
        <f t="shared" si="26"/>
        <v>1.85000000000007E-2</v>
      </c>
      <c r="DY31" s="79">
        <f t="shared" si="26"/>
        <v>1.85000000000007E-2</v>
      </c>
      <c r="DZ31" s="79">
        <f t="shared" si="26"/>
        <v>1.85000000000007E-2</v>
      </c>
      <c r="EA31" s="79">
        <f t="shared" si="26"/>
        <v>1.85000000000007E-2</v>
      </c>
      <c r="EB31" s="79">
        <f t="shared" si="26"/>
        <v>1.85000000000007E-2</v>
      </c>
      <c r="EC31" s="79">
        <f t="shared" si="26"/>
        <v>1.85000000000007E-2</v>
      </c>
      <c r="ED31" s="79">
        <f t="shared" si="26"/>
        <v>1.85000000000007E-2</v>
      </c>
      <c r="EE31" s="79">
        <f t="shared" si="26"/>
        <v>1.85000000000007E-2</v>
      </c>
      <c r="EF31" s="79">
        <f t="shared" si="27"/>
        <v>1.85000000000007E-2</v>
      </c>
      <c r="EG31" s="79">
        <f t="shared" si="27"/>
        <v>1.85000000000007E-2</v>
      </c>
      <c r="EH31" s="79">
        <f t="shared" si="27"/>
        <v>1.85000000000007E-2</v>
      </c>
      <c r="EI31" s="79">
        <f t="shared" si="27"/>
        <v>1.85000000000007E-2</v>
      </c>
      <c r="EJ31" s="79">
        <f t="shared" si="27"/>
        <v>1.85000000000007E-2</v>
      </c>
      <c r="EK31" s="79">
        <f t="shared" si="27"/>
        <v>1.85000000000007E-2</v>
      </c>
      <c r="EL31" s="79">
        <f t="shared" si="27"/>
        <v>1.85000000000007E-2</v>
      </c>
      <c r="EM31" s="79">
        <f t="shared" si="27"/>
        <v>1.85000000000007E-2</v>
      </c>
      <c r="EN31" s="79">
        <f t="shared" si="27"/>
        <v>1.85000000000007E-2</v>
      </c>
      <c r="EO31" s="79">
        <f t="shared" si="27"/>
        <v>1.85000000000007E-2</v>
      </c>
      <c r="EP31" s="79">
        <f t="shared" si="27"/>
        <v>1.85000000000007E-2</v>
      </c>
      <c r="EQ31" s="79">
        <f t="shared" si="27"/>
        <v>1.85000000000007E-2</v>
      </c>
      <c r="ER31" s="79">
        <f t="shared" si="27"/>
        <v>1.85000000000007E-2</v>
      </c>
      <c r="ES31" s="79">
        <f t="shared" si="27"/>
        <v>1.85000000000007E-2</v>
      </c>
      <c r="ET31" s="79">
        <f t="shared" si="27"/>
        <v>1.85000000000007E-2</v>
      </c>
      <c r="EU31" s="87"/>
      <c r="EV31" s="87"/>
      <c r="EW31" s="87"/>
      <c r="EX31" s="87"/>
      <c r="EY31" s="87"/>
      <c r="EZ31" s="87"/>
      <c r="FA31" s="87"/>
      <c r="FC31" s="27"/>
      <c r="FF31" s="698" t="s">
        <v>3843</v>
      </c>
      <c r="FG31" s="700">
        <v>2.5000000000000001E-2</v>
      </c>
      <c r="FH31" s="700">
        <v>120</v>
      </c>
      <c r="FI31" s="699">
        <v>1.83E-2</v>
      </c>
      <c r="FJ31" s="699">
        <v>0</v>
      </c>
      <c r="FK31" s="71">
        <f t="shared" si="11"/>
        <v>1.3888888888888889E-3</v>
      </c>
      <c r="FL31" t="e">
        <f>VLOOKUP(FF31,'SIMULADOR COM SALDO'!$BX$22:$CK$500,13,FALSE)</f>
        <v>#N/A</v>
      </c>
      <c r="FM31" s="166">
        <f t="shared" si="12"/>
        <v>1.7999999999999999E-2</v>
      </c>
    </row>
    <row r="32" spans="5:169" s="210" customFormat="1" x14ac:dyDescent="0.25">
      <c r="F32" s="97">
        <f>IF(H6="INSS",1.9%,"")</f>
        <v>1.9E-2</v>
      </c>
      <c r="G32" s="79">
        <f t="shared" si="28"/>
        <v>1.85000000000007E-2</v>
      </c>
      <c r="H32" s="79">
        <f t="shared" si="25"/>
        <v>1.85000000000007E-2</v>
      </c>
      <c r="I32" s="79">
        <f t="shared" si="25"/>
        <v>1.85000000000007E-2</v>
      </c>
      <c r="J32" s="79">
        <f t="shared" si="25"/>
        <v>1.8500000000000696E-2</v>
      </c>
      <c r="K32" s="79">
        <f t="shared" si="25"/>
        <v>1.8500000000000696E-2</v>
      </c>
      <c r="L32" s="79">
        <f t="shared" si="25"/>
        <v>1.8500000000000696E-2</v>
      </c>
      <c r="M32" s="79">
        <f t="shared" si="25"/>
        <v>1.8500000000000696E-2</v>
      </c>
      <c r="N32" s="79">
        <f t="shared" si="25"/>
        <v>1.8500000000000696E-2</v>
      </c>
      <c r="O32" s="79">
        <f t="shared" si="25"/>
        <v>1.8500000000000696E-2</v>
      </c>
      <c r="P32" s="79">
        <f t="shared" si="25"/>
        <v>1.850000000000071E-2</v>
      </c>
      <c r="Q32" s="79">
        <f t="shared" si="25"/>
        <v>1.8500000000000696E-2</v>
      </c>
      <c r="R32" s="79">
        <f t="shared" si="25"/>
        <v>1.85000000000007E-2</v>
      </c>
      <c r="S32" s="79">
        <f t="shared" si="25"/>
        <v>1.8500000000000696E-2</v>
      </c>
      <c r="T32" s="79">
        <f t="shared" si="25"/>
        <v>1.85000000000007E-2</v>
      </c>
      <c r="U32" s="79">
        <f t="shared" si="25"/>
        <v>1.85000000000007E-2</v>
      </c>
      <c r="V32" s="79">
        <f t="shared" si="25"/>
        <v>1.8500000000000696E-2</v>
      </c>
      <c r="W32" s="79">
        <f t="shared" si="25"/>
        <v>1.85000000000007E-2</v>
      </c>
      <c r="X32" s="79">
        <f t="shared" si="25"/>
        <v>1.8500000000000696E-2</v>
      </c>
      <c r="Y32" s="79">
        <f t="shared" si="25"/>
        <v>1.8500000000000696E-2</v>
      </c>
      <c r="Z32" s="79">
        <f t="shared" si="25"/>
        <v>1.8500000000000696E-2</v>
      </c>
      <c r="AA32" s="79">
        <f t="shared" si="25"/>
        <v>1.85000000000007E-2</v>
      </c>
      <c r="AB32" s="79">
        <f t="shared" si="25"/>
        <v>1.85000000000007E-2</v>
      </c>
      <c r="AC32" s="79">
        <f t="shared" si="25"/>
        <v>1.8500000000000696E-2</v>
      </c>
      <c r="AD32" s="79">
        <f t="shared" si="25"/>
        <v>1.85000000000007E-2</v>
      </c>
      <c r="AE32" s="79">
        <f t="shared" si="25"/>
        <v>1.850000000000071E-2</v>
      </c>
      <c r="AF32" s="79">
        <f t="shared" si="25"/>
        <v>1.85000000000007E-2</v>
      </c>
      <c r="AG32" s="79">
        <f t="shared" si="25"/>
        <v>1.850000000000071E-2</v>
      </c>
      <c r="AH32" s="79">
        <f t="shared" si="25"/>
        <v>1.85000000000007E-2</v>
      </c>
      <c r="AI32" s="79">
        <f t="shared" si="25"/>
        <v>1.85000000000007E-2</v>
      </c>
      <c r="AJ32" s="79">
        <f t="shared" si="25"/>
        <v>1.85000000000007E-2</v>
      </c>
      <c r="AK32" s="79">
        <f t="shared" si="25"/>
        <v>1.85000000000007E-2</v>
      </c>
      <c r="AL32" s="79">
        <f t="shared" si="25"/>
        <v>1.85000000000007E-2</v>
      </c>
      <c r="AM32" s="79">
        <f t="shared" si="25"/>
        <v>1.850000000000071E-2</v>
      </c>
      <c r="AN32" s="79">
        <f t="shared" si="25"/>
        <v>1.85000000000007E-2</v>
      </c>
      <c r="AO32" s="79">
        <f t="shared" si="25"/>
        <v>1.850000000000071E-2</v>
      </c>
      <c r="AP32" s="79">
        <f t="shared" si="25"/>
        <v>1.850000000000071E-2</v>
      </c>
      <c r="AQ32" s="79">
        <f t="shared" si="25"/>
        <v>1.850000000000071E-2</v>
      </c>
      <c r="AR32" s="79">
        <f t="shared" si="25"/>
        <v>1.850000000000071E-2</v>
      </c>
      <c r="AS32" s="79">
        <f t="shared" si="25"/>
        <v>1.85000000000007E-2</v>
      </c>
      <c r="AT32" s="79">
        <f t="shared" si="25"/>
        <v>1.85000000000007E-2</v>
      </c>
      <c r="AU32" s="79">
        <f t="shared" si="25"/>
        <v>1.850000000000071E-2</v>
      </c>
      <c r="AV32" s="79">
        <f t="shared" si="25"/>
        <v>1.850000000000071E-2</v>
      </c>
      <c r="AW32" s="79">
        <f t="shared" si="25"/>
        <v>1.85000000000007E-2</v>
      </c>
      <c r="AX32" s="79">
        <f t="shared" si="25"/>
        <v>1.85000000000007E-2</v>
      </c>
      <c r="AY32" s="79">
        <f t="shared" si="25"/>
        <v>1.850000000000071E-2</v>
      </c>
      <c r="AZ32" s="79">
        <f t="shared" si="25"/>
        <v>1.850000000000071E-2</v>
      </c>
      <c r="BA32" s="79">
        <f t="shared" si="25"/>
        <v>1.850000000000071E-2</v>
      </c>
      <c r="BB32" s="79">
        <f t="shared" si="25"/>
        <v>1.850000000000071E-2</v>
      </c>
      <c r="BC32" s="79">
        <f t="shared" si="25"/>
        <v>1.850000000000071E-2</v>
      </c>
      <c r="BD32" s="79">
        <f t="shared" si="25"/>
        <v>1.850000000000071E-2</v>
      </c>
      <c r="BE32" s="79">
        <f t="shared" si="25"/>
        <v>1.850000000000071E-2</v>
      </c>
      <c r="BF32" s="79">
        <f t="shared" si="25"/>
        <v>1.850000000000071E-2</v>
      </c>
      <c r="BG32" s="79">
        <f t="shared" si="25"/>
        <v>1.850000000000071E-2</v>
      </c>
      <c r="BH32" s="79">
        <f t="shared" si="25"/>
        <v>1.85000000000007E-2</v>
      </c>
      <c r="BI32" s="79">
        <f t="shared" si="25"/>
        <v>1.85000000000007E-2</v>
      </c>
      <c r="BJ32" s="79">
        <f t="shared" si="25"/>
        <v>1.850000000000071E-2</v>
      </c>
      <c r="BK32" s="79">
        <f t="shared" si="25"/>
        <v>1.85000000000007E-2</v>
      </c>
      <c r="BL32" s="79">
        <f t="shared" si="25"/>
        <v>1.85000000000007E-2</v>
      </c>
      <c r="BM32" s="79">
        <f t="shared" si="25"/>
        <v>1.85000000000007E-2</v>
      </c>
      <c r="BN32" s="79">
        <f t="shared" si="25"/>
        <v>1.850000000000071E-2</v>
      </c>
      <c r="BO32" s="79">
        <f t="shared" si="25"/>
        <v>1.85000000000007E-2</v>
      </c>
      <c r="BP32" s="79">
        <f t="shared" si="25"/>
        <v>1.85000000000007E-2</v>
      </c>
      <c r="BQ32" s="79">
        <f t="shared" si="25"/>
        <v>1.850000000000071E-2</v>
      </c>
      <c r="BR32" s="79">
        <f t="shared" si="25"/>
        <v>1.85000000000007E-2</v>
      </c>
      <c r="BS32" s="79">
        <f t="shared" si="25"/>
        <v>1.850000000000071E-2</v>
      </c>
      <c r="BT32" s="79">
        <f t="shared" si="26"/>
        <v>1.850000000000071E-2</v>
      </c>
      <c r="BU32" s="79">
        <f t="shared" si="26"/>
        <v>1.85000000000007E-2</v>
      </c>
      <c r="BV32" s="79">
        <f t="shared" si="26"/>
        <v>1.85000000000007E-2</v>
      </c>
      <c r="BW32" s="79">
        <f t="shared" si="26"/>
        <v>1.85000000000007E-2</v>
      </c>
      <c r="BX32" s="79">
        <f t="shared" si="26"/>
        <v>1.85000000000007E-2</v>
      </c>
      <c r="BY32" s="79">
        <f t="shared" si="26"/>
        <v>1.85000000000007E-2</v>
      </c>
      <c r="BZ32" s="79">
        <f t="shared" si="26"/>
        <v>1.850000000000071E-2</v>
      </c>
      <c r="CA32" s="79">
        <f t="shared" si="26"/>
        <v>1.85000000000007E-2</v>
      </c>
      <c r="CB32" s="79">
        <f t="shared" si="26"/>
        <v>1.850000000000071E-2</v>
      </c>
      <c r="CC32" s="79">
        <f t="shared" si="26"/>
        <v>1.85000000000007E-2</v>
      </c>
      <c r="CD32" s="79">
        <f t="shared" si="26"/>
        <v>1.85000000000007E-2</v>
      </c>
      <c r="CE32" s="79">
        <f t="shared" si="26"/>
        <v>1.85000000000007E-2</v>
      </c>
      <c r="CF32" s="79">
        <f t="shared" si="26"/>
        <v>1.85000000000007E-2</v>
      </c>
      <c r="CG32" s="79">
        <f t="shared" si="26"/>
        <v>1.85000000000007E-2</v>
      </c>
      <c r="CH32" s="79">
        <f t="shared" si="26"/>
        <v>1.85000000000007E-2</v>
      </c>
      <c r="CI32" s="79">
        <f t="shared" si="26"/>
        <v>1.850000000000071E-2</v>
      </c>
      <c r="CJ32" s="79">
        <f t="shared" si="26"/>
        <v>1.85000000000007E-2</v>
      </c>
      <c r="CK32" s="79">
        <f t="shared" si="26"/>
        <v>1.85000000000007E-2</v>
      </c>
      <c r="CL32" s="79">
        <f t="shared" si="26"/>
        <v>1.85000000000007E-2</v>
      </c>
      <c r="CM32" s="79">
        <f t="shared" si="26"/>
        <v>1.850000000000071E-2</v>
      </c>
      <c r="CN32" s="79">
        <f t="shared" si="26"/>
        <v>1.85000000000007E-2</v>
      </c>
      <c r="CO32" s="79">
        <f t="shared" si="26"/>
        <v>1.85000000000007E-2</v>
      </c>
      <c r="CP32" s="79">
        <f t="shared" si="26"/>
        <v>1.85000000000007E-2</v>
      </c>
      <c r="CQ32" s="79">
        <f t="shared" si="26"/>
        <v>1.850000000000071E-2</v>
      </c>
      <c r="CR32" s="79">
        <f t="shared" si="26"/>
        <v>1.850000000000071E-2</v>
      </c>
      <c r="CS32" s="79">
        <f t="shared" si="26"/>
        <v>1.850000000000071E-2</v>
      </c>
      <c r="CT32" s="79">
        <f t="shared" si="26"/>
        <v>1.85000000000007E-2</v>
      </c>
      <c r="CU32" s="79">
        <f t="shared" si="26"/>
        <v>1.850000000000071E-2</v>
      </c>
      <c r="CV32" s="79">
        <f t="shared" si="26"/>
        <v>1.85000000000007E-2</v>
      </c>
      <c r="CW32" s="79">
        <f t="shared" si="26"/>
        <v>1.85000000000007E-2</v>
      </c>
      <c r="CX32" s="79">
        <f t="shared" si="26"/>
        <v>1.85000000000007E-2</v>
      </c>
      <c r="CY32" s="79">
        <f t="shared" si="26"/>
        <v>1.85000000000007E-2</v>
      </c>
      <c r="CZ32" s="79">
        <f t="shared" si="26"/>
        <v>1.85000000000007E-2</v>
      </c>
      <c r="DA32" s="79">
        <f t="shared" si="26"/>
        <v>1.85000000000007E-2</v>
      </c>
      <c r="DB32" s="79">
        <f t="shared" si="26"/>
        <v>1.85000000000007E-2</v>
      </c>
      <c r="DC32" s="79">
        <f t="shared" si="26"/>
        <v>1.85000000000007E-2</v>
      </c>
      <c r="DD32" s="79">
        <f t="shared" si="26"/>
        <v>1.85000000000007E-2</v>
      </c>
      <c r="DE32" s="79">
        <f t="shared" si="26"/>
        <v>1.85000000000007E-2</v>
      </c>
      <c r="DF32" s="79">
        <f t="shared" si="26"/>
        <v>1.85000000000007E-2</v>
      </c>
      <c r="DG32" s="79">
        <f t="shared" si="26"/>
        <v>1.85000000000007E-2</v>
      </c>
      <c r="DH32" s="79">
        <f t="shared" si="26"/>
        <v>1.85000000000007E-2</v>
      </c>
      <c r="DI32" s="79">
        <f t="shared" si="26"/>
        <v>1.85000000000007E-2</v>
      </c>
      <c r="DJ32" s="79">
        <f t="shared" si="26"/>
        <v>1.85000000000007E-2</v>
      </c>
      <c r="DK32" s="79">
        <f t="shared" si="26"/>
        <v>1.85000000000007E-2</v>
      </c>
      <c r="DL32" s="79">
        <f t="shared" si="26"/>
        <v>1.85000000000007E-2</v>
      </c>
      <c r="DM32" s="79">
        <f t="shared" si="26"/>
        <v>1.85000000000007E-2</v>
      </c>
      <c r="DN32" s="79">
        <f t="shared" si="26"/>
        <v>1.85000000000007E-2</v>
      </c>
      <c r="DO32" s="79">
        <f t="shared" si="26"/>
        <v>1.85000000000007E-2</v>
      </c>
      <c r="DP32" s="79">
        <f t="shared" si="26"/>
        <v>1.85000000000007E-2</v>
      </c>
      <c r="DQ32" s="79">
        <f t="shared" si="26"/>
        <v>1.85000000000007E-2</v>
      </c>
      <c r="DR32" s="79">
        <f t="shared" si="26"/>
        <v>1.85000000000007E-2</v>
      </c>
      <c r="DS32" s="79">
        <f t="shared" si="26"/>
        <v>1.85000000000007E-2</v>
      </c>
      <c r="DT32" s="79">
        <f t="shared" si="26"/>
        <v>1.85000000000007E-2</v>
      </c>
      <c r="DU32" s="79">
        <f t="shared" si="26"/>
        <v>1.85000000000007E-2</v>
      </c>
      <c r="DV32" s="79">
        <f t="shared" si="26"/>
        <v>1.85000000000007E-2</v>
      </c>
      <c r="DW32" s="79">
        <f t="shared" si="26"/>
        <v>1.85000000000007E-2</v>
      </c>
      <c r="DX32" s="79">
        <f t="shared" si="26"/>
        <v>1.85000000000007E-2</v>
      </c>
      <c r="DY32" s="79">
        <f t="shared" si="26"/>
        <v>1.85000000000007E-2</v>
      </c>
      <c r="DZ32" s="79">
        <f t="shared" si="26"/>
        <v>1.85000000000007E-2</v>
      </c>
      <c r="EA32" s="79">
        <f t="shared" si="26"/>
        <v>1.85000000000007E-2</v>
      </c>
      <c r="EB32" s="79">
        <f t="shared" si="26"/>
        <v>1.85000000000007E-2</v>
      </c>
      <c r="EC32" s="79">
        <f t="shared" si="26"/>
        <v>1.85000000000007E-2</v>
      </c>
      <c r="ED32" s="79">
        <f t="shared" si="26"/>
        <v>1.85000000000007E-2</v>
      </c>
      <c r="EE32" s="79">
        <f t="shared" si="26"/>
        <v>1.85000000000007E-2</v>
      </c>
      <c r="EF32" s="79">
        <f t="shared" si="27"/>
        <v>1.85000000000007E-2</v>
      </c>
      <c r="EG32" s="79">
        <f t="shared" si="27"/>
        <v>1.85000000000007E-2</v>
      </c>
      <c r="EH32" s="79">
        <f t="shared" si="27"/>
        <v>1.85000000000007E-2</v>
      </c>
      <c r="EI32" s="79">
        <f t="shared" si="27"/>
        <v>1.85000000000007E-2</v>
      </c>
      <c r="EJ32" s="79">
        <f t="shared" si="27"/>
        <v>1.85000000000007E-2</v>
      </c>
      <c r="EK32" s="79">
        <f t="shared" si="27"/>
        <v>1.85000000000007E-2</v>
      </c>
      <c r="EL32" s="79">
        <f t="shared" si="27"/>
        <v>1.85000000000007E-2</v>
      </c>
      <c r="EM32" s="79">
        <f t="shared" si="27"/>
        <v>1.85000000000007E-2</v>
      </c>
      <c r="EN32" s="79">
        <f t="shared" si="27"/>
        <v>1.85000000000007E-2</v>
      </c>
      <c r="EO32" s="79">
        <f t="shared" si="27"/>
        <v>1.85000000000007E-2</v>
      </c>
      <c r="EP32" s="79">
        <f t="shared" si="27"/>
        <v>1.85000000000007E-2</v>
      </c>
      <c r="EQ32" s="79">
        <f t="shared" si="27"/>
        <v>1.85000000000007E-2</v>
      </c>
      <c r="ER32" s="79">
        <f t="shared" si="27"/>
        <v>1.85000000000007E-2</v>
      </c>
      <c r="ES32" s="79">
        <f t="shared" si="27"/>
        <v>1.85000000000007E-2</v>
      </c>
      <c r="ET32" s="79">
        <f t="shared" si="27"/>
        <v>1.85000000000007E-2</v>
      </c>
      <c r="FC32" s="245"/>
      <c r="FF32" s="698" t="s">
        <v>3844</v>
      </c>
      <c r="FG32" s="700">
        <v>2.5000000000000001E-2</v>
      </c>
      <c r="FH32" s="700">
        <v>120</v>
      </c>
      <c r="FI32" s="699">
        <v>1.83E-2</v>
      </c>
      <c r="FJ32" s="699">
        <v>0</v>
      </c>
      <c r="FK32" s="246">
        <f t="shared" si="11"/>
        <v>1.3888888888888889E-3</v>
      </c>
      <c r="FL32" s="210" t="e">
        <f>VLOOKUP(FF32,'SIMULADOR COM SALDO'!$BX$22:$CK$500,13,FALSE)</f>
        <v>#N/A</v>
      </c>
      <c r="FM32" s="247">
        <f t="shared" si="12"/>
        <v>1.7999999999999999E-2</v>
      </c>
    </row>
    <row r="33" spans="5:169" s="210" customFormat="1" x14ac:dyDescent="0.25">
      <c r="F33" s="97">
        <f>IF(H6="INSS",2.14%,"")</f>
        <v>2.1400000000000002E-2</v>
      </c>
      <c r="G33" s="79">
        <f t="shared" si="28"/>
        <v>1.85000000000007E-2</v>
      </c>
      <c r="H33" s="79">
        <f t="shared" si="25"/>
        <v>1.85000000000007E-2</v>
      </c>
      <c r="I33" s="79">
        <f t="shared" si="25"/>
        <v>1.85000000000007E-2</v>
      </c>
      <c r="J33" s="79">
        <f t="shared" si="25"/>
        <v>1.8500000000000696E-2</v>
      </c>
      <c r="K33" s="79">
        <f t="shared" si="25"/>
        <v>1.8500000000000696E-2</v>
      </c>
      <c r="L33" s="79">
        <f t="shared" si="25"/>
        <v>1.8500000000000696E-2</v>
      </c>
      <c r="M33" s="79">
        <f t="shared" si="25"/>
        <v>1.8500000000000696E-2</v>
      </c>
      <c r="N33" s="79">
        <f t="shared" si="25"/>
        <v>1.8500000000000696E-2</v>
      </c>
      <c r="O33" s="79">
        <f t="shared" si="25"/>
        <v>1.8500000000000696E-2</v>
      </c>
      <c r="P33" s="79">
        <f t="shared" si="25"/>
        <v>1.850000000000071E-2</v>
      </c>
      <c r="Q33" s="79">
        <f t="shared" si="25"/>
        <v>1.8500000000000696E-2</v>
      </c>
      <c r="R33" s="79">
        <f t="shared" si="25"/>
        <v>1.85000000000007E-2</v>
      </c>
      <c r="S33" s="79">
        <f t="shared" si="25"/>
        <v>1.8500000000000696E-2</v>
      </c>
      <c r="T33" s="79">
        <f t="shared" si="25"/>
        <v>1.85000000000007E-2</v>
      </c>
      <c r="U33" s="79">
        <f t="shared" si="25"/>
        <v>1.85000000000007E-2</v>
      </c>
      <c r="V33" s="79">
        <f t="shared" si="25"/>
        <v>1.8500000000000696E-2</v>
      </c>
      <c r="W33" s="79">
        <f t="shared" si="25"/>
        <v>1.85000000000007E-2</v>
      </c>
      <c r="X33" s="79">
        <f t="shared" si="25"/>
        <v>1.8500000000000696E-2</v>
      </c>
      <c r="Y33" s="79">
        <f t="shared" si="25"/>
        <v>1.8500000000000696E-2</v>
      </c>
      <c r="Z33" s="79">
        <f t="shared" si="25"/>
        <v>1.8500000000000696E-2</v>
      </c>
      <c r="AA33" s="79">
        <f t="shared" si="25"/>
        <v>1.85000000000007E-2</v>
      </c>
      <c r="AB33" s="79">
        <f t="shared" si="25"/>
        <v>1.85000000000007E-2</v>
      </c>
      <c r="AC33" s="79">
        <f t="shared" si="25"/>
        <v>1.8500000000000696E-2</v>
      </c>
      <c r="AD33" s="79">
        <f t="shared" si="25"/>
        <v>1.85000000000007E-2</v>
      </c>
      <c r="AE33" s="79">
        <f t="shared" si="25"/>
        <v>1.850000000000071E-2</v>
      </c>
      <c r="AF33" s="79">
        <f t="shared" si="25"/>
        <v>1.85000000000007E-2</v>
      </c>
      <c r="AG33" s="79">
        <f t="shared" si="25"/>
        <v>1.850000000000071E-2</v>
      </c>
      <c r="AH33" s="79">
        <f t="shared" si="25"/>
        <v>1.85000000000007E-2</v>
      </c>
      <c r="AI33" s="79">
        <f t="shared" si="25"/>
        <v>1.85000000000007E-2</v>
      </c>
      <c r="AJ33" s="79">
        <f t="shared" si="25"/>
        <v>1.85000000000007E-2</v>
      </c>
      <c r="AK33" s="79">
        <f t="shared" si="25"/>
        <v>1.85000000000007E-2</v>
      </c>
      <c r="AL33" s="79">
        <f t="shared" si="25"/>
        <v>1.85000000000007E-2</v>
      </c>
      <c r="AM33" s="79">
        <f t="shared" si="25"/>
        <v>1.850000000000071E-2</v>
      </c>
      <c r="AN33" s="79">
        <f t="shared" si="25"/>
        <v>1.85000000000007E-2</v>
      </c>
      <c r="AO33" s="79">
        <f t="shared" si="25"/>
        <v>1.850000000000071E-2</v>
      </c>
      <c r="AP33" s="79">
        <f t="shared" si="25"/>
        <v>1.850000000000071E-2</v>
      </c>
      <c r="AQ33" s="79">
        <f t="shared" si="25"/>
        <v>1.850000000000071E-2</v>
      </c>
      <c r="AR33" s="79">
        <f t="shared" si="25"/>
        <v>1.850000000000071E-2</v>
      </c>
      <c r="AS33" s="79">
        <f t="shared" si="25"/>
        <v>1.85000000000007E-2</v>
      </c>
      <c r="AT33" s="79">
        <f t="shared" si="25"/>
        <v>1.85000000000007E-2</v>
      </c>
      <c r="AU33" s="79">
        <f t="shared" si="25"/>
        <v>1.850000000000071E-2</v>
      </c>
      <c r="AV33" s="79">
        <f t="shared" si="25"/>
        <v>1.850000000000071E-2</v>
      </c>
      <c r="AW33" s="79">
        <f t="shared" si="25"/>
        <v>1.85000000000007E-2</v>
      </c>
      <c r="AX33" s="79">
        <f t="shared" si="25"/>
        <v>1.85000000000007E-2</v>
      </c>
      <c r="AY33" s="79">
        <f t="shared" si="25"/>
        <v>1.850000000000071E-2</v>
      </c>
      <c r="AZ33" s="79">
        <f t="shared" si="25"/>
        <v>1.850000000000071E-2</v>
      </c>
      <c r="BA33" s="79">
        <f t="shared" si="25"/>
        <v>1.850000000000071E-2</v>
      </c>
      <c r="BB33" s="79">
        <f t="shared" si="25"/>
        <v>1.850000000000071E-2</v>
      </c>
      <c r="BC33" s="79">
        <f t="shared" si="25"/>
        <v>1.850000000000071E-2</v>
      </c>
      <c r="BD33" s="79">
        <f t="shared" si="25"/>
        <v>1.850000000000071E-2</v>
      </c>
      <c r="BE33" s="79">
        <f t="shared" si="25"/>
        <v>1.850000000000071E-2</v>
      </c>
      <c r="BF33" s="79">
        <f t="shared" si="25"/>
        <v>1.850000000000071E-2</v>
      </c>
      <c r="BG33" s="79">
        <f t="shared" si="25"/>
        <v>1.850000000000071E-2</v>
      </c>
      <c r="BH33" s="79">
        <f t="shared" si="25"/>
        <v>1.85000000000007E-2</v>
      </c>
      <c r="BI33" s="79">
        <f t="shared" si="25"/>
        <v>1.85000000000007E-2</v>
      </c>
      <c r="BJ33" s="79">
        <f t="shared" si="25"/>
        <v>1.850000000000071E-2</v>
      </c>
      <c r="BK33" s="79">
        <f t="shared" si="25"/>
        <v>1.85000000000007E-2</v>
      </c>
      <c r="BL33" s="79">
        <f t="shared" si="25"/>
        <v>1.85000000000007E-2</v>
      </c>
      <c r="BM33" s="79">
        <f t="shared" si="25"/>
        <v>1.85000000000007E-2</v>
      </c>
      <c r="BN33" s="79">
        <f t="shared" si="25"/>
        <v>1.850000000000071E-2</v>
      </c>
      <c r="BO33" s="79">
        <f t="shared" si="25"/>
        <v>1.85000000000007E-2</v>
      </c>
      <c r="BP33" s="79">
        <f t="shared" si="25"/>
        <v>1.85000000000007E-2</v>
      </c>
      <c r="BQ33" s="79">
        <f t="shared" si="25"/>
        <v>1.850000000000071E-2</v>
      </c>
      <c r="BR33" s="79">
        <f t="shared" si="25"/>
        <v>1.85000000000007E-2</v>
      </c>
      <c r="BS33" s="79">
        <f t="shared" ref="BS33" si="29">IF($F33&lt;&gt;"",BS32,"")</f>
        <v>1.850000000000071E-2</v>
      </c>
      <c r="BT33" s="79">
        <f t="shared" si="26"/>
        <v>1.850000000000071E-2</v>
      </c>
      <c r="BU33" s="79">
        <f t="shared" si="26"/>
        <v>1.85000000000007E-2</v>
      </c>
      <c r="BV33" s="79">
        <f t="shared" si="26"/>
        <v>1.85000000000007E-2</v>
      </c>
      <c r="BW33" s="79">
        <f t="shared" si="26"/>
        <v>1.85000000000007E-2</v>
      </c>
      <c r="BX33" s="79">
        <f t="shared" si="26"/>
        <v>1.85000000000007E-2</v>
      </c>
      <c r="BY33" s="79">
        <f t="shared" si="26"/>
        <v>1.85000000000007E-2</v>
      </c>
      <c r="BZ33" s="79">
        <f t="shared" si="26"/>
        <v>1.850000000000071E-2</v>
      </c>
      <c r="CA33" s="79">
        <f t="shared" si="26"/>
        <v>1.85000000000007E-2</v>
      </c>
      <c r="CB33" s="79">
        <f t="shared" si="26"/>
        <v>1.850000000000071E-2</v>
      </c>
      <c r="CC33" s="79">
        <f t="shared" si="26"/>
        <v>1.85000000000007E-2</v>
      </c>
      <c r="CD33" s="79">
        <f t="shared" si="26"/>
        <v>1.85000000000007E-2</v>
      </c>
      <c r="CE33" s="79">
        <f t="shared" si="26"/>
        <v>1.85000000000007E-2</v>
      </c>
      <c r="CF33" s="79">
        <f t="shared" si="26"/>
        <v>1.85000000000007E-2</v>
      </c>
      <c r="CG33" s="79">
        <f t="shared" si="26"/>
        <v>1.85000000000007E-2</v>
      </c>
      <c r="CH33" s="79">
        <f t="shared" si="26"/>
        <v>1.85000000000007E-2</v>
      </c>
      <c r="CI33" s="79">
        <f t="shared" si="26"/>
        <v>1.850000000000071E-2</v>
      </c>
      <c r="CJ33" s="79">
        <f t="shared" si="26"/>
        <v>1.85000000000007E-2</v>
      </c>
      <c r="CK33" s="79">
        <f t="shared" si="26"/>
        <v>1.85000000000007E-2</v>
      </c>
      <c r="CL33" s="79">
        <f t="shared" si="26"/>
        <v>1.85000000000007E-2</v>
      </c>
      <c r="CM33" s="79">
        <f t="shared" si="26"/>
        <v>1.850000000000071E-2</v>
      </c>
      <c r="CN33" s="79">
        <f t="shared" si="26"/>
        <v>1.85000000000007E-2</v>
      </c>
      <c r="CO33" s="79">
        <f t="shared" si="26"/>
        <v>1.85000000000007E-2</v>
      </c>
      <c r="CP33" s="79">
        <f t="shared" si="26"/>
        <v>1.85000000000007E-2</v>
      </c>
      <c r="CQ33" s="79">
        <f t="shared" si="26"/>
        <v>1.850000000000071E-2</v>
      </c>
      <c r="CR33" s="79">
        <f t="shared" si="26"/>
        <v>1.850000000000071E-2</v>
      </c>
      <c r="CS33" s="79">
        <f t="shared" si="26"/>
        <v>1.850000000000071E-2</v>
      </c>
      <c r="CT33" s="79">
        <f t="shared" si="26"/>
        <v>1.85000000000007E-2</v>
      </c>
      <c r="CU33" s="79">
        <f t="shared" si="26"/>
        <v>1.850000000000071E-2</v>
      </c>
      <c r="CV33" s="79">
        <f t="shared" si="26"/>
        <v>1.85000000000007E-2</v>
      </c>
      <c r="CW33" s="79">
        <f t="shared" si="26"/>
        <v>1.85000000000007E-2</v>
      </c>
      <c r="CX33" s="79">
        <f t="shared" si="26"/>
        <v>1.85000000000007E-2</v>
      </c>
      <c r="CY33" s="79">
        <f t="shared" si="26"/>
        <v>1.85000000000007E-2</v>
      </c>
      <c r="CZ33" s="79">
        <f t="shared" si="26"/>
        <v>1.85000000000007E-2</v>
      </c>
      <c r="DA33" s="79">
        <f t="shared" si="26"/>
        <v>1.85000000000007E-2</v>
      </c>
      <c r="DB33" s="79">
        <f t="shared" si="26"/>
        <v>1.85000000000007E-2</v>
      </c>
      <c r="DC33" s="79">
        <f t="shared" si="26"/>
        <v>1.85000000000007E-2</v>
      </c>
      <c r="DD33" s="79">
        <f t="shared" si="26"/>
        <v>1.85000000000007E-2</v>
      </c>
      <c r="DE33" s="79">
        <f t="shared" si="26"/>
        <v>1.85000000000007E-2</v>
      </c>
      <c r="DF33" s="79">
        <f t="shared" si="26"/>
        <v>1.85000000000007E-2</v>
      </c>
      <c r="DG33" s="79">
        <f t="shared" si="26"/>
        <v>1.85000000000007E-2</v>
      </c>
      <c r="DH33" s="79">
        <f t="shared" si="26"/>
        <v>1.85000000000007E-2</v>
      </c>
      <c r="DI33" s="79">
        <f t="shared" si="26"/>
        <v>1.85000000000007E-2</v>
      </c>
      <c r="DJ33" s="79">
        <f t="shared" si="26"/>
        <v>1.85000000000007E-2</v>
      </c>
      <c r="DK33" s="79">
        <f t="shared" si="26"/>
        <v>1.85000000000007E-2</v>
      </c>
      <c r="DL33" s="79">
        <f t="shared" si="26"/>
        <v>1.85000000000007E-2</v>
      </c>
      <c r="DM33" s="79">
        <f t="shared" si="26"/>
        <v>1.85000000000007E-2</v>
      </c>
      <c r="DN33" s="79">
        <f t="shared" si="26"/>
        <v>1.85000000000007E-2</v>
      </c>
      <c r="DO33" s="79">
        <f t="shared" si="26"/>
        <v>1.85000000000007E-2</v>
      </c>
      <c r="DP33" s="79">
        <f t="shared" si="26"/>
        <v>1.85000000000007E-2</v>
      </c>
      <c r="DQ33" s="79">
        <f t="shared" si="26"/>
        <v>1.85000000000007E-2</v>
      </c>
      <c r="DR33" s="79">
        <f t="shared" si="26"/>
        <v>1.85000000000007E-2</v>
      </c>
      <c r="DS33" s="79">
        <f t="shared" si="26"/>
        <v>1.85000000000007E-2</v>
      </c>
      <c r="DT33" s="79">
        <f t="shared" si="26"/>
        <v>1.85000000000007E-2</v>
      </c>
      <c r="DU33" s="79">
        <f t="shared" si="26"/>
        <v>1.85000000000007E-2</v>
      </c>
      <c r="DV33" s="79">
        <f t="shared" si="26"/>
        <v>1.85000000000007E-2</v>
      </c>
      <c r="DW33" s="79">
        <f t="shared" si="26"/>
        <v>1.85000000000007E-2</v>
      </c>
      <c r="DX33" s="79">
        <f t="shared" si="26"/>
        <v>1.85000000000007E-2</v>
      </c>
      <c r="DY33" s="79">
        <f t="shared" si="26"/>
        <v>1.85000000000007E-2</v>
      </c>
      <c r="DZ33" s="79">
        <f t="shared" si="26"/>
        <v>1.85000000000007E-2</v>
      </c>
      <c r="EA33" s="79">
        <f t="shared" si="26"/>
        <v>1.85000000000007E-2</v>
      </c>
      <c r="EB33" s="79">
        <f t="shared" si="26"/>
        <v>1.85000000000007E-2</v>
      </c>
      <c r="EC33" s="79">
        <f t="shared" si="26"/>
        <v>1.85000000000007E-2</v>
      </c>
      <c r="ED33" s="79">
        <f t="shared" si="26"/>
        <v>1.85000000000007E-2</v>
      </c>
      <c r="EE33" s="79">
        <f t="shared" ref="EE33" si="30">IF($F33&lt;&gt;"",EE32,"")</f>
        <v>1.85000000000007E-2</v>
      </c>
      <c r="EF33" s="79">
        <f t="shared" si="27"/>
        <v>1.85000000000007E-2</v>
      </c>
      <c r="EG33" s="79">
        <f t="shared" si="27"/>
        <v>1.85000000000007E-2</v>
      </c>
      <c r="EH33" s="79">
        <f t="shared" si="27"/>
        <v>1.85000000000007E-2</v>
      </c>
      <c r="EI33" s="79">
        <f t="shared" si="27"/>
        <v>1.85000000000007E-2</v>
      </c>
      <c r="EJ33" s="79">
        <f t="shared" si="27"/>
        <v>1.85000000000007E-2</v>
      </c>
      <c r="EK33" s="79">
        <f t="shared" si="27"/>
        <v>1.85000000000007E-2</v>
      </c>
      <c r="EL33" s="79">
        <f t="shared" si="27"/>
        <v>1.85000000000007E-2</v>
      </c>
      <c r="EM33" s="79">
        <f t="shared" si="27"/>
        <v>1.85000000000007E-2</v>
      </c>
      <c r="EN33" s="79">
        <f t="shared" si="27"/>
        <v>1.85000000000007E-2</v>
      </c>
      <c r="EO33" s="79">
        <f t="shared" si="27"/>
        <v>1.85000000000007E-2</v>
      </c>
      <c r="EP33" s="79">
        <f t="shared" si="27"/>
        <v>1.85000000000007E-2</v>
      </c>
      <c r="EQ33" s="79">
        <f t="shared" si="27"/>
        <v>1.85000000000007E-2</v>
      </c>
      <c r="ER33" s="79">
        <f t="shared" si="27"/>
        <v>1.85000000000007E-2</v>
      </c>
      <c r="ES33" s="79">
        <f t="shared" si="27"/>
        <v>1.85000000000007E-2</v>
      </c>
      <c r="ET33" s="79">
        <f t="shared" si="27"/>
        <v>1.85000000000007E-2</v>
      </c>
      <c r="FC33" s="245"/>
      <c r="FF33" s="698" t="s">
        <v>3836</v>
      </c>
      <c r="FG33" s="700">
        <v>2.5000000000000001E-2</v>
      </c>
      <c r="FH33" s="700">
        <v>120</v>
      </c>
      <c r="FI33" s="699">
        <v>1.83E-2</v>
      </c>
      <c r="FJ33" s="699">
        <v>1.49E-2</v>
      </c>
      <c r="FK33" s="246">
        <f t="shared" si="11"/>
        <v>5.6111111111111119E-4</v>
      </c>
      <c r="FL33" s="210" t="e">
        <f>VLOOKUP(FF33,'SIMULADOR COM SALDO'!$BX$22:$CK$500,13,FALSE)</f>
        <v>#N/A</v>
      </c>
      <c r="FM33" s="247">
        <f t="shared" si="12"/>
        <v>1.7999999999999999E-2</v>
      </c>
    </row>
    <row r="34" spans="5:169" s="210" customFormat="1" hidden="1" x14ac:dyDescent="0.25">
      <c r="F34" s="97"/>
      <c r="FC34" s="245"/>
      <c r="FF34" s="698" t="s">
        <v>3869</v>
      </c>
      <c r="FG34" s="700">
        <v>2.5000000000000001E-2</v>
      </c>
      <c r="FH34" s="700">
        <v>120</v>
      </c>
      <c r="FI34" s="699">
        <v>1.83E-2</v>
      </c>
      <c r="FJ34" s="699">
        <v>1.49E-2</v>
      </c>
      <c r="FK34" s="246">
        <f t="shared" si="11"/>
        <v>5.6111111111111119E-4</v>
      </c>
      <c r="FL34" s="210" t="e">
        <f>VLOOKUP(FF34,'SIMULADOR COM SALDO'!$BX$22:$CK$500,13,FALSE)</f>
        <v>#N/A</v>
      </c>
      <c r="FM34" s="247">
        <f t="shared" si="12"/>
        <v>1.7999999999999999E-2</v>
      </c>
    </row>
    <row r="35" spans="5:169" s="210" customFormat="1" hidden="1" x14ac:dyDescent="0.25">
      <c r="F35" s="97"/>
      <c r="FC35" s="245"/>
      <c r="FF35" s="698" t="s">
        <v>215</v>
      </c>
      <c r="FG35" s="700">
        <v>2.5000000000000001E-2</v>
      </c>
      <c r="FH35" s="700">
        <v>120</v>
      </c>
      <c r="FI35" s="699">
        <v>1.7399999999999999E-2</v>
      </c>
      <c r="FJ35" s="699">
        <v>1.3999999999999999E-2</v>
      </c>
      <c r="FK35" s="246">
        <f t="shared" si="11"/>
        <v>6.1111111111111132E-4</v>
      </c>
      <c r="FL35" s="210" t="e">
        <f>VLOOKUP(FF35,'SIMULADOR COM SALDO'!$BX$22:$CK$500,13,FALSE)</f>
        <v>#N/A</v>
      </c>
      <c r="FM35" s="247">
        <f t="shared" si="12"/>
        <v>1.7099999999999997E-2</v>
      </c>
    </row>
    <row r="36" spans="5:169" s="210" customFormat="1" hidden="1" x14ac:dyDescent="0.25">
      <c r="F36" s="97"/>
      <c r="FC36" s="245"/>
      <c r="FF36" s="698" t="s">
        <v>3002</v>
      </c>
      <c r="FG36" s="700">
        <v>2.5000000000000001E-2</v>
      </c>
      <c r="FH36" s="700">
        <v>120</v>
      </c>
      <c r="FI36" s="699">
        <v>1.61E-2</v>
      </c>
      <c r="FJ36" s="699">
        <v>1.43E-2</v>
      </c>
      <c r="FK36" s="246">
        <f t="shared" si="11"/>
        <v>5.9444444444444453E-4</v>
      </c>
      <c r="FL36" s="210" t="e">
        <f>VLOOKUP(FF36,'SIMULADOR COM SALDO'!$BX$22:$CK$500,13,FALSE)</f>
        <v>#N/A</v>
      </c>
      <c r="FM36" s="247">
        <f t="shared" si="12"/>
        <v>1.5799999999999998E-2</v>
      </c>
    </row>
    <row r="37" spans="5:169" s="210" customFormat="1" hidden="1" x14ac:dyDescent="0.25">
      <c r="F37" s="97"/>
      <c r="FC37" s="245"/>
      <c r="FF37" s="698" t="s">
        <v>3003</v>
      </c>
      <c r="FG37" s="700">
        <v>2.5000000000000001E-2</v>
      </c>
      <c r="FH37" s="700">
        <v>120</v>
      </c>
      <c r="FI37" s="699">
        <v>1.6500000000000001E-2</v>
      </c>
      <c r="FJ37" s="699">
        <v>1.4499999999999999E-2</v>
      </c>
      <c r="FK37" s="246">
        <f t="shared" si="11"/>
        <v>5.8333333333333349E-4</v>
      </c>
      <c r="FL37" s="210" t="e">
        <f>VLOOKUP(FF37,'SIMULADOR COM SALDO'!$BX$22:$CK$500,13,FALSE)</f>
        <v>#N/A</v>
      </c>
      <c r="FM37" s="247">
        <f t="shared" si="12"/>
        <v>1.6199999999999999E-2</v>
      </c>
    </row>
    <row r="38" spans="5:169" s="248" customFormat="1" hidden="1" x14ac:dyDescent="0.25">
      <c r="E38" s="248">
        <f>INT(J6*1000+0.5)/1000</f>
        <v>1.9E-2</v>
      </c>
      <c r="F38" s="97"/>
      <c r="G38" s="248">
        <f>PV($F11,G$9,1,0)+(PV($J$6,$N$5-(G$9),1,0)/($J$6+1))^G$9</f>
        <v>-44.756178017654356</v>
      </c>
      <c r="H38" s="248">
        <f>PV($F11,H$9,1,0)+(PV($J$6,$N$5-(H$9),1,0)/($J$6+1)^H$9)</f>
        <v>-44.763986368607434</v>
      </c>
      <c r="I38" s="248">
        <f t="shared" ref="I38:BT39" si="31">PV($F11,I$9,1,0)+(PV($J$6,$N$5-(I$9),1,0)/($J$6+1)^I$9)</f>
        <v>-44.775509404617068</v>
      </c>
      <c r="J38" s="248">
        <f t="shared" si="31"/>
        <v>-44.79062490677714</v>
      </c>
      <c r="K38" s="248">
        <f t="shared" si="31"/>
        <v>-44.809213653305839</v>
      </c>
      <c r="L38" s="248">
        <f t="shared" si="31"/>
        <v>-44.831159354074011</v>
      </c>
      <c r="M38" s="248">
        <f t="shared" si="31"/>
        <v>-44.856348586479278</v>
      </c>
      <c r="N38" s="248">
        <f t="shared" si="31"/>
        <v>-44.884670732639357</v>
      </c>
      <c r="O38" s="248">
        <f t="shared" si="31"/>
        <v>-44.916017917878406</v>
      </c>
      <c r="P38" s="248">
        <f t="shared" si="31"/>
        <v>-44.950284950480722</v>
      </c>
      <c r="Q38" s="248">
        <f t="shared" si="31"/>
        <v>-44.987369262686556</v>
      </c>
      <c r="R38" s="248">
        <f t="shared" si="31"/>
        <v>-45.027170852905627</v>
      </c>
      <c r="S38" s="248">
        <f t="shared" si="31"/>
        <v>-45.069592229123927</v>
      </c>
      <c r="T38" s="248">
        <f t="shared" si="31"/>
        <v>-45.114538353480221</v>
      </c>
      <c r="U38" s="248">
        <f t="shared" si="31"/>
        <v>-45.161916587988799</v>
      </c>
      <c r="V38" s="248">
        <f t="shared" si="31"/>
        <v>-45.211636641386022</v>
      </c>
      <c r="W38" s="248">
        <f t="shared" si="31"/>
        <v>-45.263610517077893</v>
      </c>
      <c r="X38" s="248">
        <f t="shared" si="31"/>
        <v>-45.317752462167078</v>
      </c>
      <c r="Y38" s="248">
        <f t="shared" si="31"/>
        <v>-45.373978917537606</v>
      </c>
      <c r="Z38" s="248">
        <f t="shared" si="31"/>
        <v>-45.43220846897632</v>
      </c>
      <c r="AA38" s="248">
        <f t="shared" si="31"/>
        <v>-45.492361799310373</v>
      </c>
      <c r="AB38" s="248">
        <f t="shared" si="31"/>
        <v>-45.554361641540439</v>
      </c>
      <c r="AC38" s="248">
        <f t="shared" si="31"/>
        <v>-45.618132732949739</v>
      </c>
      <c r="AD38" s="248">
        <f t="shared" si="31"/>
        <v>-45.683601770169588</v>
      </c>
      <c r="AE38" s="248">
        <f t="shared" si="31"/>
        <v>-45.750697365182099</v>
      </c>
      <c r="AF38" s="248">
        <f t="shared" si="31"/>
        <v>-45.81935000224145</v>
      </c>
      <c r="AG38" s="248">
        <f t="shared" si="31"/>
        <v>-45.889491995695174</v>
      </c>
      <c r="AH38" s="248">
        <f t="shared" si="31"/>
        <v>-45.961057448687797</v>
      </c>
      <c r="AI38" s="248">
        <f t="shared" si="31"/>
        <v>-46.033982212728645</v>
      </c>
      <c r="AJ38" s="248">
        <f t="shared" si="31"/>
        <v>-46.108203848107067</v>
      </c>
      <c r="AK38" s="248">
        <f t="shared" si="31"/>
        <v>-46.1836615851376</v>
      </c>
      <c r="AL38" s="248">
        <f t="shared" si="31"/>
        <v>-46.260296286218569</v>
      </c>
      <c r="AM38" s="248">
        <f t="shared" si="31"/>
        <v>-46.338050408688076</v>
      </c>
      <c r="AN38" s="248">
        <f t="shared" si="31"/>
        <v>-46.416867968460949</v>
      </c>
      <c r="AO38" s="248">
        <f t="shared" si="31"/>
        <v>-46.496694504431069</v>
      </c>
      <c r="AP38" s="248">
        <f t="shared" si="31"/>
        <v>-46.577477043623993</v>
      </c>
      <c r="AQ38" s="248">
        <f t="shared" si="31"/>
        <v>-46.659164067084262</v>
      </c>
      <c r="AR38" s="248">
        <f t="shared" si="31"/>
        <v>-46.741705476483062</v>
      </c>
      <c r="AS38" s="248">
        <f t="shared" si="31"/>
        <v>-46.825052561431349</v>
      </c>
      <c r="AT38" s="248">
        <f t="shared" si="31"/>
        <v>-46.909157967484617</v>
      </c>
      <c r="AU38" s="248">
        <f t="shared" si="31"/>
        <v>-46.99397566482493</v>
      </c>
      <c r="AV38" s="248">
        <f t="shared" si="31"/>
        <v>-47.079460917606959</v>
      </c>
      <c r="AW38" s="248">
        <f t="shared" si="31"/>
        <v>-47.165570253954151</v>
      </c>
      <c r="AX38" s="248">
        <f t="shared" si="31"/>
        <v>-47.252261436592519</v>
      </c>
      <c r="AY38" s="248">
        <f t="shared" si="31"/>
        <v>-47.339493434108419</v>
      </c>
      <c r="AZ38" s="248">
        <f t="shared" si="31"/>
        <v>-47.427226392818383</v>
      </c>
      <c r="BA38" s="248">
        <f t="shared" si="31"/>
        <v>-47.515421609238103</v>
      </c>
      <c r="BB38" s="248">
        <f t="shared" si="31"/>
        <v>-47.604041503138731</v>
      </c>
      <c r="BC38" s="248">
        <f t="shared" si="31"/>
        <v>-47.693049591178422</v>
      </c>
      <c r="BD38" s="248">
        <f t="shared" si="31"/>
        <v>-47.782410461097612</v>
      </c>
      <c r="BE38" s="248">
        <f t="shared" si="31"/>
        <v>-47.872089746466372</v>
      </c>
      <c r="BF38" s="248">
        <f t="shared" si="31"/>
        <v>-47.962054101972853</v>
      </c>
      <c r="BG38" s="248">
        <f t="shared" si="31"/>
        <v>-48.052271179241714</v>
      </c>
      <c r="BH38" s="248">
        <f t="shared" si="31"/>
        <v>-48.142709603171674</v>
      </c>
      <c r="BI38" s="248">
        <f t="shared" si="31"/>
        <v>-48.233338948781771</v>
      </c>
      <c r="BJ38" s="248">
        <f t="shared" si="31"/>
        <v>-48.324129718555938</v>
      </c>
      <c r="BK38" s="248">
        <f t="shared" si="31"/>
        <v>-48.415053320275661</v>
      </c>
      <c r="BL38" s="248">
        <f t="shared" si="31"/>
        <v>-48.506082045330857</v>
      </c>
      <c r="BM38" s="248">
        <f t="shared" si="31"/>
        <v>-48.597189047499135</v>
      </c>
      <c r="BN38" s="248">
        <f t="shared" si="31"/>
        <v>-48.688348322183927</v>
      </c>
      <c r="BO38" s="248">
        <f t="shared" si="31"/>
        <v>-48.779534686102089</v>
      </c>
      <c r="BP38" s="248">
        <f t="shared" si="31"/>
        <v>-48.870723757411859</v>
      </c>
      <c r="BQ38" s="248">
        <f t="shared" si="31"/>
        <v>-48.961891936271961</v>
      </c>
      <c r="BR38" s="248">
        <f t="shared" si="31"/>
        <v>-49.053016385823327</v>
      </c>
      <c r="BS38" s="248">
        <f t="shared" si="31"/>
        <v>-49.144075013584391</v>
      </c>
      <c r="BT38" s="248">
        <f t="shared" si="31"/>
        <v>-49.235046453251911</v>
      </c>
      <c r="BU38" s="248">
        <f t="shared" ref="BU38:EF41" si="32">PV($F11,BU$9,1,0)+(PV($J$6,$N$5-(BU$9),1,0)/($J$6+1)^BU$9)</f>
        <v>-49.325910046898635</v>
      </c>
      <c r="BV38" s="248">
        <f t="shared" si="32"/>
        <v>-49.416645827559805</v>
      </c>
      <c r="BW38" s="248">
        <f t="shared" si="32"/>
        <v>-49.507234502200575</v>
      </c>
      <c r="BX38" s="248">
        <f t="shared" si="32"/>
        <v>-49.597657435056355</v>
      </c>
      <c r="BY38" s="248">
        <f t="shared" si="32"/>
        <v>-49.687896631338532</v>
      </c>
      <c r="BZ38" s="248">
        <f t="shared" si="32"/>
        <v>-49.777934721297946</v>
      </c>
      <c r="CA38" s="248">
        <f t="shared" si="32"/>
        <v>-49.867754944638861</v>
      </c>
      <c r="CB38" s="248">
        <f t="shared" si="32"/>
        <v>-49.95734113527606</v>
      </c>
      <c r="CC38" s="248">
        <f t="shared" si="32"/>
        <v>-50.046677706428014</v>
      </c>
      <c r="CD38" s="248">
        <f t="shared" si="32"/>
        <v>-50.135749636039392</v>
      </c>
      <c r="CE38" s="248">
        <f t="shared" si="32"/>
        <v>-50.224542452525668</v>
      </c>
      <c r="CF38" s="248">
        <f t="shared" si="32"/>
        <v>-50.313042220833665</v>
      </c>
      <c r="CG38" s="248">
        <f t="shared" si="32"/>
        <v>-50.401235528810986</v>
      </c>
      <c r="CH38" s="248">
        <f t="shared" si="32"/>
        <v>-50.489109473878422</v>
      </c>
      <c r="CI38" s="248">
        <f t="shared" si="32"/>
        <v>-50.576651649998603</v>
      </c>
      <c r="CJ38" s="248">
        <f t="shared" si="32"/>
        <v>-50.663850134935096</v>
      </c>
      <c r="CK38" s="248">
        <f t="shared" si="32"/>
        <v>-50.750693477795672</v>
      </c>
      <c r="CL38" s="248">
        <f t="shared" si="32"/>
        <v>-50.837170686853895</v>
      </c>
      <c r="CM38" s="248">
        <f t="shared" si="32"/>
        <v>-50.923271217643446</v>
      </c>
      <c r="CN38" s="248">
        <f t="shared" si="32"/>
        <v>-51.008984961319037</v>
      </c>
      <c r="CO38" s="248">
        <f t="shared" si="32"/>
        <v>-51.094302233278867</v>
      </c>
      <c r="CP38" s="248">
        <f t="shared" si="32"/>
        <v>-51.179213762042821</v>
      </c>
      <c r="CQ38" s="248">
        <f t="shared" si="32"/>
        <v>-51.26371067838118</v>
      </c>
      <c r="CR38" s="248">
        <f t="shared" si="32"/>
        <v>-51.347784504688661</v>
      </c>
      <c r="CS38" s="248">
        <f t="shared" si="32"/>
        <v>-51.431427144598437</v>
      </c>
      <c r="CT38" s="248">
        <f t="shared" si="32"/>
        <v>-51.514630872831503</v>
      </c>
      <c r="CU38" s="248">
        <f t="shared" si="32"/>
        <v>-51.597388325275951</v>
      </c>
      <c r="CV38" s="248">
        <f t="shared" si="32"/>
        <v>-51.679692489291796</v>
      </c>
      <c r="CW38" s="248">
        <f t="shared" si="32"/>
        <v>-51.761536694236291</v>
      </c>
      <c r="CX38" s="248">
        <f t="shared" si="32"/>
        <v>-51.842914602205255</v>
      </c>
      <c r="CY38" s="248">
        <f t="shared" si="32"/>
        <v>-51.842914602205255</v>
      </c>
      <c r="CZ38" s="248">
        <f t="shared" si="32"/>
        <v>-51.842914602205255</v>
      </c>
      <c r="DA38" s="248">
        <f t="shared" si="32"/>
        <v>-51.842914602205255</v>
      </c>
      <c r="DB38" s="248">
        <f t="shared" si="32"/>
        <v>-51.842914602205255</v>
      </c>
      <c r="DC38" s="248">
        <f t="shared" si="32"/>
        <v>-51.842914602205255</v>
      </c>
      <c r="DD38" s="248">
        <f t="shared" si="32"/>
        <v>-51.842914602205255</v>
      </c>
      <c r="DE38" s="248">
        <f t="shared" si="32"/>
        <v>-51.842914602205255</v>
      </c>
      <c r="DF38" s="248">
        <f t="shared" si="32"/>
        <v>-51.842914602205255</v>
      </c>
      <c r="DG38" s="248">
        <f t="shared" si="32"/>
        <v>-51.842914602205255</v>
      </c>
      <c r="DH38" s="248">
        <f t="shared" si="32"/>
        <v>-51.842914602205255</v>
      </c>
      <c r="DI38" s="248">
        <f t="shared" si="32"/>
        <v>-51.842914602205255</v>
      </c>
      <c r="DJ38" s="248">
        <f t="shared" si="32"/>
        <v>-51.842914602205255</v>
      </c>
      <c r="DK38" s="248">
        <f t="shared" si="32"/>
        <v>-51.842914602205255</v>
      </c>
      <c r="DL38" s="248">
        <f t="shared" si="32"/>
        <v>-51.842914602205255</v>
      </c>
      <c r="DM38" s="248">
        <f t="shared" si="32"/>
        <v>-51.842914602205255</v>
      </c>
      <c r="DN38" s="248">
        <f t="shared" si="32"/>
        <v>-51.842914602205255</v>
      </c>
      <c r="DO38" s="248">
        <f t="shared" si="32"/>
        <v>-51.842914602205255</v>
      </c>
      <c r="DP38" s="248">
        <f t="shared" si="32"/>
        <v>-51.842914602205255</v>
      </c>
      <c r="DQ38" s="248">
        <f t="shared" si="32"/>
        <v>-51.842914602205255</v>
      </c>
      <c r="DR38" s="248">
        <f t="shared" si="32"/>
        <v>-51.842914602205255</v>
      </c>
      <c r="DS38" s="248">
        <f t="shared" si="32"/>
        <v>-51.842914602205255</v>
      </c>
      <c r="DT38" s="248">
        <f t="shared" si="32"/>
        <v>-51.842914602205255</v>
      </c>
      <c r="DU38" s="248">
        <f t="shared" si="32"/>
        <v>-51.842914602205255</v>
      </c>
      <c r="DV38" s="248">
        <f t="shared" si="32"/>
        <v>-51.842914602205255</v>
      </c>
      <c r="DW38" s="248">
        <f t="shared" si="32"/>
        <v>-51.842914602205255</v>
      </c>
      <c r="DX38" s="248">
        <f t="shared" si="32"/>
        <v>-51.842914602205255</v>
      </c>
      <c r="DY38" s="248">
        <f t="shared" si="32"/>
        <v>-51.842914602205255</v>
      </c>
      <c r="DZ38" s="248">
        <f t="shared" si="32"/>
        <v>-51.842914602205255</v>
      </c>
      <c r="EA38" s="248">
        <f t="shared" si="32"/>
        <v>-51.842914602205255</v>
      </c>
      <c r="EB38" s="248">
        <f t="shared" si="32"/>
        <v>-51.842914602205255</v>
      </c>
      <c r="EC38" s="248">
        <f t="shared" si="32"/>
        <v>-51.842914602205255</v>
      </c>
      <c r="ED38" s="248">
        <f t="shared" si="32"/>
        <v>-51.842914602205255</v>
      </c>
      <c r="EE38" s="248">
        <f t="shared" si="32"/>
        <v>-51.842914602205255</v>
      </c>
      <c r="EF38" s="248">
        <f t="shared" si="32"/>
        <v>-51.842914602205255</v>
      </c>
      <c r="EG38" s="248">
        <f t="shared" ref="EG38:ET40" si="33">PV($F11,EG$9,1,0)+(PV($J$6,$N$5-(EG$9),1,0)/($J$6+1)^EG$9)</f>
        <v>-51.842914602205255</v>
      </c>
      <c r="EH38" s="248">
        <f t="shared" si="33"/>
        <v>-51.842914602205255</v>
      </c>
      <c r="EI38" s="248">
        <f t="shared" si="33"/>
        <v>-51.842914602205255</v>
      </c>
      <c r="EJ38" s="248">
        <f t="shared" si="33"/>
        <v>-51.842914602205255</v>
      </c>
      <c r="EK38" s="248">
        <f t="shared" si="33"/>
        <v>-51.842914602205255</v>
      </c>
      <c r="EL38" s="248">
        <f t="shared" si="33"/>
        <v>-51.842914602205255</v>
      </c>
      <c r="EM38" s="248">
        <f t="shared" si="33"/>
        <v>-51.842914602205255</v>
      </c>
      <c r="EN38" s="248">
        <f t="shared" si="33"/>
        <v>-51.842914602205255</v>
      </c>
      <c r="EO38" s="248">
        <f t="shared" si="33"/>
        <v>-51.842914602205255</v>
      </c>
      <c r="EP38" s="248">
        <f t="shared" si="33"/>
        <v>-51.842914602205255</v>
      </c>
      <c r="EQ38" s="248">
        <f t="shared" si="33"/>
        <v>-51.842914602205255</v>
      </c>
      <c r="ER38" s="248">
        <f t="shared" si="33"/>
        <v>-51.842914602205255</v>
      </c>
      <c r="ES38" s="248">
        <f t="shared" si="33"/>
        <v>-51.842914602205255</v>
      </c>
      <c r="ET38" s="248">
        <f t="shared" si="33"/>
        <v>-51.842914602205255</v>
      </c>
      <c r="FF38" s="698" t="s">
        <v>3004</v>
      </c>
      <c r="FG38" s="700">
        <v>2.5000000000000001E-2</v>
      </c>
      <c r="FH38" s="700">
        <v>120</v>
      </c>
      <c r="FI38" s="699">
        <v>1.6500000000000001E-2</v>
      </c>
      <c r="FJ38" s="699">
        <v>1.4499999999999999E-2</v>
      </c>
      <c r="FK38" s="248">
        <f t="shared" si="11"/>
        <v>5.8333333333333349E-4</v>
      </c>
      <c r="FL38" s="248" t="e">
        <f>VLOOKUP(FF38,'SIMULADOR COM SALDO'!$BX$22:$CK$500,13,FALSE)</f>
        <v>#N/A</v>
      </c>
      <c r="FM38" s="249">
        <f t="shared" si="12"/>
        <v>1.6199999999999999E-2</v>
      </c>
    </row>
    <row r="39" spans="5:169" s="248" customFormat="1" hidden="1" x14ac:dyDescent="0.25">
      <c r="F39" s="97"/>
      <c r="G39" s="248">
        <f t="shared" ref="G39:G56" si="34">PV($F12,G$9,1,0)+(PV($J$6,$N$5-(G$9),1,0)/($J$6+1))^G$9</f>
        <v>-44.755956710546258</v>
      </c>
      <c r="H39" s="248">
        <f t="shared" ref="H39:W56" si="35">PV($F12,H$9,1,0)+(PV($J$6,$N$5-(H$9),1,0)/($J$6+1)^H$9)</f>
        <v>-44.763328779427084</v>
      </c>
      <c r="I39" s="248">
        <f t="shared" si="35"/>
        <v>-44.774206754657811</v>
      </c>
      <c r="J39" s="248">
        <f t="shared" si="35"/>
        <v>-44.788474480295541</v>
      </c>
      <c r="K39" s="248">
        <f t="shared" si="35"/>
        <v>-44.80601866677312</v>
      </c>
      <c r="L39" s="248">
        <f t="shared" si="35"/>
        <v>-44.826728827927752</v>
      </c>
      <c r="M39" s="248">
        <f t="shared" si="35"/>
        <v>-44.850497219330549</v>
      </c>
      <c r="N39" s="248">
        <f t="shared" si="35"/>
        <v>-44.877218777891294</v>
      </c>
      <c r="O39" s="248">
        <f t="shared" si="35"/>
        <v>-44.906791062712898</v>
      </c>
      <c r="P39" s="248">
        <f t="shared" si="35"/>
        <v>-44.939114197170809</v>
      </c>
      <c r="Q39" s="248">
        <f t="shared" si="35"/>
        <v>-44.974090812192756</v>
      </c>
      <c r="R39" s="248">
        <f t="shared" si="35"/>
        <v>-45.011625990715018</v>
      </c>
      <c r="S39" s="248">
        <f t="shared" si="35"/>
        <v>-45.051627213291788</v>
      </c>
      <c r="T39" s="248">
        <f t="shared" si="35"/>
        <v>-45.094004304834378</v>
      </c>
      <c r="U39" s="248">
        <f t="shared" si="35"/>
        <v>-45.138669382457977</v>
      </c>
      <c r="V39" s="248">
        <f t="shared" si="35"/>
        <v>-45.185536804413672</v>
      </c>
      <c r="W39" s="248">
        <f t="shared" si="35"/>
        <v>-45.234523120083949</v>
      </c>
      <c r="X39" s="248">
        <f t="shared" si="31"/>
        <v>-45.285547021020641</v>
      </c>
      <c r="Y39" s="248">
        <f t="shared" si="31"/>
        <v>-45.338529293004243</v>
      </c>
      <c r="Z39" s="248">
        <f t="shared" si="31"/>
        <v>-45.393392769104196</v>
      </c>
      <c r="AA39" s="248">
        <f t="shared" si="31"/>
        <v>-45.450062283720158</v>
      </c>
      <c r="AB39" s="248">
        <f t="shared" si="31"/>
        <v>-45.508464627584473</v>
      </c>
      <c r="AC39" s="248">
        <f t="shared" si="31"/>
        <v>-45.568528503706617</v>
      </c>
      <c r="AD39" s="248">
        <f t="shared" si="31"/>
        <v>-45.630184484240779</v>
      </c>
      <c r="AE39" s="248">
        <f t="shared" si="31"/>
        <v>-45.693364968257868</v>
      </c>
      <c r="AF39" s="248">
        <f t="shared" si="31"/>
        <v>-45.758004140403976</v>
      </c>
      <c r="AG39" s="248">
        <f t="shared" si="31"/>
        <v>-45.824037930427238</v>
      </c>
      <c r="AH39" s="248">
        <f t="shared" si="31"/>
        <v>-45.891403973555938</v>
      </c>
      <c r="AI39" s="248">
        <f t="shared" si="31"/>
        <v>-45.96004157171037</v>
      </c>
      <c r="AJ39" s="248">
        <f t="shared" si="31"/>
        <v>-46.029891655531991</v>
      </c>
      <c r="AK39" s="248">
        <f t="shared" si="31"/>
        <v>-46.100896747213092</v>
      </c>
      <c r="AL39" s="248">
        <f t="shared" si="31"/>
        <v>-46.173000924111143</v>
      </c>
      <c r="AM39" s="248">
        <f t="shared" si="31"/>
        <v>-46.246149783131742</v>
      </c>
      <c r="AN39" s="248">
        <f t="shared" si="31"/>
        <v>-46.320290405864753</v>
      </c>
      <c r="AO39" s="248">
        <f t="shared" si="31"/>
        <v>-46.395371324458502</v>
      </c>
      <c r="AP39" s="248">
        <f t="shared" si="31"/>
        <v>-46.471342488216948</v>
      </c>
      <c r="AQ39" s="248">
        <f t="shared" si="31"/>
        <v>-46.548155230905294</v>
      </c>
      <c r="AR39" s="248">
        <f t="shared" si="31"/>
        <v>-46.625762238749743</v>
      </c>
      <c r="AS39" s="248">
        <f t="shared" si="31"/>
        <v>-46.704117519117325</v>
      </c>
      <c r="AT39" s="248">
        <f t="shared" si="31"/>
        <v>-46.783176369861863</v>
      </c>
      <c r="AU39" s="248">
        <f t="shared" si="31"/>
        <v>-46.862895349322891</v>
      </c>
      <c r="AV39" s="248">
        <f t="shared" si="31"/>
        <v>-46.94323224696398</v>
      </c>
      <c r="AW39" s="248">
        <f t="shared" si="31"/>
        <v>-47.024146054637583</v>
      </c>
      <c r="AX39" s="248">
        <f t="shared" si="31"/>
        <v>-47.105596938463862</v>
      </c>
      <c r="AY39" s="248">
        <f t="shared" si="31"/>
        <v>-47.187546211310689</v>
      </c>
      <c r="AZ39" s="248">
        <f t="shared" si="31"/>
        <v>-47.269956305862806</v>
      </c>
      <c r="BA39" s="248">
        <f t="shared" si="31"/>
        <v>-47.352790748268276</v>
      </c>
      <c r="BB39" s="248">
        <f t="shared" si="31"/>
        <v>-47.436014132350039</v>
      </c>
      <c r="BC39" s="248">
        <f t="shared" si="31"/>
        <v>-47.519592094371589</v>
      </c>
      <c r="BD39" s="248">
        <f t="shared" si="31"/>
        <v>-47.603491288345054</v>
      </c>
      <c r="BE39" s="248">
        <f t="shared" si="31"/>
        <v>-47.687679361870821</v>
      </c>
      <c r="BF39" s="248">
        <f t="shared" si="31"/>
        <v>-47.772124932497888</v>
      </c>
      <c r="BG39" s="248">
        <f t="shared" si="31"/>
        <v>-47.856797564594125</v>
      </c>
      <c r="BH39" s="248">
        <f t="shared" si="31"/>
        <v>-47.941667746716121</v>
      </c>
      <c r="BI39" s="248">
        <f t="shared" si="31"/>
        <v>-48.026706869468498</v>
      </c>
      <c r="BJ39" s="248">
        <f t="shared" si="31"/>
        <v>-48.1118872038425</v>
      </c>
      <c r="BK39" s="248">
        <f t="shared" si="31"/>
        <v>-48.197181880024125</v>
      </c>
      <c r="BL39" s="248">
        <f t="shared" si="31"/>
        <v>-48.282564866662121</v>
      </c>
      <c r="BM39" s="248">
        <f t="shared" si="31"/>
        <v>-48.368010950586552</v>
      </c>
      <c r="BN39" s="248">
        <f t="shared" si="31"/>
        <v>-48.45349571696849</v>
      </c>
      <c r="BO39" s="248">
        <f t="shared" si="31"/>
        <v>-48.538995529911901</v>
      </c>
      <c r="BP39" s="248">
        <f t="shared" si="31"/>
        <v>-48.624487513468843</v>
      </c>
      <c r="BQ39" s="248">
        <f t="shared" si="31"/>
        <v>-48.709949533069107</v>
      </c>
      <c r="BR39" s="248">
        <f t="shared" si="31"/>
        <v>-48.795360177356066</v>
      </c>
      <c r="BS39" s="248">
        <f t="shared" si="31"/>
        <v>-48.880698740420051</v>
      </c>
      <c r="BT39" s="248">
        <f t="shared" si="31"/>
        <v>-48.965945204421182</v>
      </c>
      <c r="BU39" s="248">
        <f t="shared" si="32"/>
        <v>-49.051080222593782</v>
      </c>
      <c r="BV39" s="248">
        <f t="shared" si="32"/>
        <v>-49.136085102624129</v>
      </c>
      <c r="BW39" s="248">
        <f t="shared" si="32"/>
        <v>-49.220941790394221</v>
      </c>
      <c r="BX39" s="248">
        <f t="shared" si="32"/>
        <v>-49.305632854083697</v>
      </c>
      <c r="BY39" s="248">
        <f t="shared" si="32"/>
        <v>-49.390141468622637</v>
      </c>
      <c r="BZ39" s="248">
        <f t="shared" si="32"/>
        <v>-49.474451400487972</v>
      </c>
      <c r="CA39" s="248">
        <f t="shared" si="32"/>
        <v>-49.558546992836305</v>
      </c>
      <c r="CB39" s="248">
        <f t="shared" si="32"/>
        <v>-49.642413150966249</v>
      </c>
      <c r="CC39" s="248">
        <f t="shared" si="32"/>
        <v>-49.726035328103357</v>
      </c>
      <c r="CD39" s="248">
        <f t="shared" si="32"/>
        <v>-49.809399511501034</v>
      </c>
      <c r="CE39" s="248">
        <f t="shared" si="32"/>
        <v>-49.89249220885079</v>
      </c>
      <c r="CF39" s="248">
        <f t="shared" si="32"/>
        <v>-49.975300434995361</v>
      </c>
      <c r="CG39" s="248">
        <f t="shared" si="32"/>
        <v>-50.057811698938558</v>
      </c>
      <c r="CH39" s="248">
        <f t="shared" si="32"/>
        <v>-50.140013991145437</v>
      </c>
      <c r="CI39" s="248">
        <f t="shared" si="32"/>
        <v>-50.22189577112686</v>
      </c>
      <c r="CJ39" s="248">
        <f t="shared" si="32"/>
        <v>-50.303445955302543</v>
      </c>
      <c r="CK39" s="248">
        <f t="shared" si="32"/>
        <v>-50.384653905136553</v>
      </c>
      <c r="CL39" s="248">
        <f t="shared" si="32"/>
        <v>-50.465509415539927</v>
      </c>
      <c r="CM39" s="248">
        <f t="shared" si="32"/>
        <v>-50.546002703534448</v>
      </c>
      <c r="CN39" s="248">
        <f t="shared" si="32"/>
        <v>-50.626124397172291</v>
      </c>
      <c r="CO39" s="248">
        <f t="shared" si="32"/>
        <v>-50.705865524706148</v>
      </c>
      <c r="CP39" s="248">
        <f t="shared" si="32"/>
        <v>-50.785217504004564</v>
      </c>
      <c r="CQ39" s="248">
        <f t="shared" si="32"/>
        <v>-50.864172132207365</v>
      </c>
      <c r="CR39" s="248">
        <f t="shared" si="32"/>
        <v>-50.942721575616019</v>
      </c>
      <c r="CS39" s="248">
        <f t="shared" si="32"/>
        <v>-51.020858359814113</v>
      </c>
      <c r="CT39" s="248">
        <f t="shared" si="32"/>
        <v>-51.098575360013029</v>
      </c>
      <c r="CU39" s="248">
        <f t="shared" si="32"/>
        <v>-51.175865791618065</v>
      </c>
      <c r="CV39" s="248">
        <f t="shared" si="32"/>
        <v>-51.25272320101044</v>
      </c>
      <c r="CW39" s="248">
        <f t="shared" si="32"/>
        <v>-51.329141456540391</v>
      </c>
      <c r="CX39" s="248">
        <f t="shared" si="32"/>
        <v>-51.405114739727196</v>
      </c>
      <c r="CY39" s="248">
        <f t="shared" si="32"/>
        <v>-51.405114739727196</v>
      </c>
      <c r="CZ39" s="248">
        <f t="shared" si="32"/>
        <v>-51.405114739727196</v>
      </c>
      <c r="DA39" s="248">
        <f t="shared" si="32"/>
        <v>-51.405114739727196</v>
      </c>
      <c r="DB39" s="248">
        <f t="shared" si="32"/>
        <v>-51.405114739727196</v>
      </c>
      <c r="DC39" s="248">
        <f t="shared" si="32"/>
        <v>-51.405114739727196</v>
      </c>
      <c r="DD39" s="248">
        <f t="shared" si="32"/>
        <v>-51.405114739727196</v>
      </c>
      <c r="DE39" s="248">
        <f t="shared" si="32"/>
        <v>-51.405114739727196</v>
      </c>
      <c r="DF39" s="248">
        <f t="shared" si="32"/>
        <v>-51.405114739727196</v>
      </c>
      <c r="DG39" s="248">
        <f t="shared" si="32"/>
        <v>-51.405114739727196</v>
      </c>
      <c r="DH39" s="248">
        <f t="shared" si="32"/>
        <v>-51.405114739727196</v>
      </c>
      <c r="DI39" s="248">
        <f t="shared" si="32"/>
        <v>-51.405114739727196</v>
      </c>
      <c r="DJ39" s="248">
        <f t="shared" si="32"/>
        <v>-51.405114739727196</v>
      </c>
      <c r="DK39" s="248">
        <f t="shared" si="32"/>
        <v>-51.405114739727196</v>
      </c>
      <c r="DL39" s="248">
        <f t="shared" si="32"/>
        <v>-51.405114739727196</v>
      </c>
      <c r="DM39" s="248">
        <f t="shared" si="32"/>
        <v>-51.405114739727196</v>
      </c>
      <c r="DN39" s="248">
        <f t="shared" si="32"/>
        <v>-51.405114739727196</v>
      </c>
      <c r="DO39" s="248">
        <f t="shared" si="32"/>
        <v>-51.405114739727196</v>
      </c>
      <c r="DP39" s="248">
        <f t="shared" si="32"/>
        <v>-51.405114739727196</v>
      </c>
      <c r="DQ39" s="248">
        <f t="shared" si="32"/>
        <v>-51.405114739727196</v>
      </c>
      <c r="DR39" s="248">
        <f t="shared" si="32"/>
        <v>-51.405114739727196</v>
      </c>
      <c r="DS39" s="248">
        <f t="shared" si="32"/>
        <v>-51.405114739727196</v>
      </c>
      <c r="DT39" s="248">
        <f t="shared" si="32"/>
        <v>-51.405114739727196</v>
      </c>
      <c r="DU39" s="248">
        <f t="shared" si="32"/>
        <v>-51.405114739727196</v>
      </c>
      <c r="DV39" s="248">
        <f t="shared" si="32"/>
        <v>-51.405114739727196</v>
      </c>
      <c r="DW39" s="248">
        <f t="shared" si="32"/>
        <v>-51.405114739727196</v>
      </c>
      <c r="DX39" s="248">
        <f t="shared" si="32"/>
        <v>-51.405114739727196</v>
      </c>
      <c r="DY39" s="248">
        <f t="shared" si="32"/>
        <v>-51.405114739727196</v>
      </c>
      <c r="DZ39" s="248">
        <f t="shared" si="32"/>
        <v>-51.405114739727196</v>
      </c>
      <c r="EA39" s="248">
        <f t="shared" si="32"/>
        <v>-51.405114739727196</v>
      </c>
      <c r="EB39" s="248">
        <f t="shared" si="32"/>
        <v>-51.405114739727196</v>
      </c>
      <c r="EC39" s="248">
        <f t="shared" si="32"/>
        <v>-51.405114739727196</v>
      </c>
      <c r="ED39" s="248">
        <f t="shared" si="32"/>
        <v>-51.405114739727196</v>
      </c>
      <c r="EE39" s="248">
        <f t="shared" si="32"/>
        <v>-51.405114739727196</v>
      </c>
      <c r="EF39" s="248">
        <f t="shared" si="32"/>
        <v>-51.405114739727196</v>
      </c>
      <c r="EG39" s="248">
        <f t="shared" si="33"/>
        <v>-51.405114739727196</v>
      </c>
      <c r="EH39" s="248">
        <f t="shared" si="33"/>
        <v>-51.405114739727196</v>
      </c>
      <c r="EI39" s="248">
        <f t="shared" si="33"/>
        <v>-51.405114739727196</v>
      </c>
      <c r="EJ39" s="248">
        <f t="shared" si="33"/>
        <v>-51.405114739727196</v>
      </c>
      <c r="EK39" s="248">
        <f t="shared" si="33"/>
        <v>-51.405114739727196</v>
      </c>
      <c r="EL39" s="248">
        <f t="shared" si="33"/>
        <v>-51.405114739727196</v>
      </c>
      <c r="EM39" s="248">
        <f t="shared" si="33"/>
        <v>-51.405114739727196</v>
      </c>
      <c r="EN39" s="248">
        <f t="shared" si="33"/>
        <v>-51.405114739727196</v>
      </c>
      <c r="EO39" s="248">
        <f t="shared" si="33"/>
        <v>-51.405114739727196</v>
      </c>
      <c r="EP39" s="248">
        <f t="shared" si="33"/>
        <v>-51.405114739727196</v>
      </c>
      <c r="EQ39" s="248">
        <f t="shared" si="33"/>
        <v>-51.405114739727196</v>
      </c>
      <c r="ER39" s="248">
        <f t="shared" si="33"/>
        <v>-51.405114739727196</v>
      </c>
      <c r="ES39" s="248">
        <f t="shared" si="33"/>
        <v>-51.405114739727196</v>
      </c>
      <c r="ET39" s="248">
        <f t="shared" si="33"/>
        <v>-51.405114739727196</v>
      </c>
      <c r="FF39" s="698" t="s">
        <v>3005</v>
      </c>
      <c r="FG39" s="700">
        <v>2.5000000000000001E-2</v>
      </c>
      <c r="FH39" s="700">
        <v>120</v>
      </c>
      <c r="FI39" s="699">
        <v>1.61E-2</v>
      </c>
      <c r="FJ39" s="699">
        <v>1.43E-2</v>
      </c>
      <c r="FK39" s="248">
        <f t="shared" si="11"/>
        <v>5.9444444444444453E-4</v>
      </c>
      <c r="FL39" s="248" t="e">
        <f>VLOOKUP(FF39,'SIMULADOR COM SALDO'!$BX$22:$CK$500,13,FALSE)</f>
        <v>#N/A</v>
      </c>
      <c r="FM39" s="249">
        <f t="shared" si="12"/>
        <v>1.5799999999999998E-2</v>
      </c>
    </row>
    <row r="40" spans="5:169" s="248" customFormat="1" hidden="1" x14ac:dyDescent="0.25">
      <c r="F40" s="97"/>
      <c r="G40" s="248">
        <f t="shared" si="34"/>
        <v>-44.755735502780084</v>
      </c>
      <c r="H40" s="248">
        <f t="shared" si="35"/>
        <v>-44.762671583317776</v>
      </c>
      <c r="I40" s="248">
        <f t="shared" ref="I40:BT43" si="36">PV($F13,I$9,1,0)+(PV($J$6,$N$5-(I$9),1,0)/($J$6+1)^I$9)</f>
        <v>-44.772905076758555</v>
      </c>
      <c r="J40" s="248">
        <f t="shared" si="36"/>
        <v>-44.786325976943516</v>
      </c>
      <c r="K40" s="248">
        <f t="shared" si="36"/>
        <v>-44.802827009407224</v>
      </c>
      <c r="L40" s="248">
        <f t="shared" si="36"/>
        <v>-44.822303571021649</v>
      </c>
      <c r="M40" s="248">
        <f t="shared" si="36"/>
        <v>-44.844653670893514</v>
      </c>
      <c r="N40" s="248">
        <f t="shared" si="36"/>
        <v>-44.869777872490118</v>
      </c>
      <c r="O40" s="248">
        <f t="shared" si="36"/>
        <v>-44.897579236969015</v>
      </c>
      <c r="P40" s="248">
        <f t="shared" si="36"/>
        <v>-44.927963267687311</v>
      </c>
      <c r="Q40" s="248">
        <f t="shared" si="36"/>
        <v>-44.96083785586724</v>
      </c>
      <c r="R40" s="248">
        <f t="shared" si="36"/>
        <v>-44.996113227394495</v>
      </c>
      <c r="S40" s="248">
        <f t="shared" si="36"/>
        <v>-45.033701890726945</v>
      </c>
      <c r="T40" s="248">
        <f t="shared" si="36"/>
        <v>-45.073518585891208</v>
      </c>
      <c r="U40" s="248">
        <f t="shared" si="36"/>
        <v>-45.115480234545316</v>
      </c>
      <c r="V40" s="248">
        <f t="shared" si="36"/>
        <v>-45.159505891086184</v>
      </c>
      <c r="W40" s="248">
        <f t="shared" si="36"/>
        <v>-45.205516694780734</v>
      </c>
      <c r="X40" s="248">
        <f t="shared" si="36"/>
        <v>-45.253435822900073</v>
      </c>
      <c r="Y40" s="248">
        <f t="shared" si="36"/>
        <v>-45.303188444836799</v>
      </c>
      <c r="Z40" s="248">
        <f t="shared" si="36"/>
        <v>-45.354701677185339</v>
      </c>
      <c r="AA40" s="248">
        <f t="shared" si="36"/>
        <v>-45.407904539766108</v>
      </c>
      <c r="AB40" s="248">
        <f t="shared" si="36"/>
        <v>-45.462727912574493</v>
      </c>
      <c r="AC40" s="248">
        <f t="shared" si="36"/>
        <v>-45.519104493635808</v>
      </c>
      <c r="AD40" s="248">
        <f t="shared" si="36"/>
        <v>-45.576968757748254</v>
      </c>
      <c r="AE40" s="248">
        <f t="shared" si="36"/>
        <v>-45.636256916095789</v>
      </c>
      <c r="AF40" s="248">
        <f t="shared" si="36"/>
        <v>-45.696906876713243</v>
      </c>
      <c r="AG40" s="248">
        <f t="shared" si="36"/>
        <v>-45.75885820578668</v>
      </c>
      <c r="AH40" s="248">
        <f t="shared" si="36"/>
        <v>-45.822052089772001</v>
      </c>
      <c r="AI40" s="248">
        <f t="shared" si="36"/>
        <v>-45.88643129831523</v>
      </c>
      <c r="AJ40" s="248">
        <f t="shared" si="36"/>
        <v>-45.951940147958368</v>
      </c>
      <c r="AK40" s="248">
        <f t="shared" si="36"/>
        <v>-46.018524466614629</v>
      </c>
      <c r="AL40" s="248">
        <f t="shared" si="36"/>
        <v>-46.086131558797902</v>
      </c>
      <c r="AM40" s="248">
        <f t="shared" si="36"/>
        <v>-46.154710171590793</v>
      </c>
      <c r="AN40" s="248">
        <f t="shared" si="36"/>
        <v>-46.224210461336313</v>
      </c>
      <c r="AO40" s="248">
        <f t="shared" si="36"/>
        <v>-46.294583961038676</v>
      </c>
      <c r="AP40" s="248">
        <f t="shared" si="36"/>
        <v>-46.365783548458744</v>
      </c>
      <c r="AQ40" s="248">
        <f t="shared" si="36"/>
        <v>-46.437763414889886</v>
      </c>
      <c r="AR40" s="248">
        <f t="shared" si="36"/>
        <v>-46.510479034600522</v>
      </c>
      <c r="AS40" s="248">
        <f t="shared" si="36"/>
        <v>-46.583887134929839</v>
      </c>
      <c r="AT40" s="248">
        <f t="shared" si="36"/>
        <v>-46.657945667023171</v>
      </c>
      <c r="AU40" s="248">
        <f t="shared" si="36"/>
        <v>-46.73261377719431</v>
      </c>
      <c r="AV40" s="248">
        <f t="shared" si="36"/>
        <v>-46.80785177890165</v>
      </c>
      <c r="AW40" s="248">
        <f t="shared" si="36"/>
        <v>-46.883621125325838</v>
      </c>
      <c r="AX40" s="248">
        <f t="shared" si="36"/>
        <v>-46.959884382536714</v>
      </c>
      <c r="AY40" s="248">
        <f t="shared" si="36"/>
        <v>-47.036605203237208</v>
      </c>
      <c r="AZ40" s="248">
        <f t="shared" si="36"/>
        <v>-47.113748301072732</v>
      </c>
      <c r="BA40" s="248">
        <f t="shared" si="36"/>
        <v>-47.191279425494301</v>
      </c>
      <c r="BB40" s="248">
        <f t="shared" si="36"/>
        <v>-47.269165337164125</v>
      </c>
      <c r="BC40" s="248">
        <f t="shared" si="36"/>
        <v>-47.347373783892522</v>
      </c>
      <c r="BD40" s="248">
        <f t="shared" si="36"/>
        <v>-47.425873477095308</v>
      </c>
      <c r="BE40" s="248">
        <f t="shared" si="36"/>
        <v>-47.504634068760893</v>
      </c>
      <c r="BF40" s="248">
        <f t="shared" si="36"/>
        <v>-47.583626128916862</v>
      </c>
      <c r="BG40" s="248">
        <f t="shared" si="36"/>
        <v>-47.662821123585395</v>
      </c>
      <c r="BH40" s="248">
        <f t="shared" si="36"/>
        <v>-47.742191393217901</v>
      </c>
      <c r="BI40" s="248">
        <f t="shared" si="36"/>
        <v>-47.821710131598607</v>
      </c>
      <c r="BJ40" s="248">
        <f t="shared" si="36"/>
        <v>-47.901351365207873</v>
      </c>
      <c r="BK40" s="248">
        <f t="shared" si="36"/>
        <v>-47.981089933035364</v>
      </c>
      <c r="BL40" s="248">
        <f t="shared" si="36"/>
        <v>-48.06090146683411</v>
      </c>
      <c r="BM40" s="248">
        <f t="shared" si="36"/>
        <v>-48.140762371806147</v>
      </c>
      <c r="BN40" s="248">
        <f t="shared" si="36"/>
        <v>-48.220649807710991</v>
      </c>
      <c r="BO40" s="248">
        <f t="shared" si="36"/>
        <v>-48.300541670388114</v>
      </c>
      <c r="BP40" s="248">
        <f t="shared" si="36"/>
        <v>-48.380416573684897</v>
      </c>
      <c r="BQ40" s="248">
        <f t="shared" si="36"/>
        <v>-48.460253831781664</v>
      </c>
      <c r="BR40" s="248">
        <f t="shared" si="36"/>
        <v>-48.540033441905628</v>
      </c>
      <c r="BS40" s="248">
        <f t="shared" si="36"/>
        <v>-48.619736067425549</v>
      </c>
      <c r="BT40" s="248">
        <f t="shared" si="36"/>
        <v>-48.69934302131945</v>
      </c>
      <c r="BU40" s="248">
        <f t="shared" si="32"/>
        <v>-48.778836250007366</v>
      </c>
      <c r="BV40" s="248">
        <f t="shared" si="32"/>
        <v>-48.858198317541756</v>
      </c>
      <c r="BW40" s="248">
        <f t="shared" si="32"/>
        <v>-48.937412390148161</v>
      </c>
      <c r="BX40" s="248">
        <f t="shared" si="32"/>
        <v>-49.016462221108519</v>
      </c>
      <c r="BY40" s="248">
        <f t="shared" si="32"/>
        <v>-49.095332135980492</v>
      </c>
      <c r="BZ40" s="248">
        <f t="shared" si="32"/>
        <v>-49.174007018145325</v>
      </c>
      <c r="CA40" s="248">
        <f t="shared" si="32"/>
        <v>-49.252472294677773</v>
      </c>
      <c r="CB40" s="248">
        <f t="shared" si="32"/>
        <v>-49.330713922531054</v>
      </c>
      <c r="CC40" s="248">
        <f t="shared" si="32"/>
        <v>-49.408718375030539</v>
      </c>
      <c r="CD40" s="248">
        <f t="shared" si="32"/>
        <v>-49.486472628669461</v>
      </c>
      <c r="CE40" s="248">
        <f t="shared" si="32"/>
        <v>-49.56396415020059</v>
      </c>
      <c r="CF40" s="248">
        <f t="shared" si="32"/>
        <v>-49.64118088401743</v>
      </c>
      <c r="CG40" s="248">
        <f t="shared" si="32"/>
        <v>-49.718111239819045</v>
      </c>
      <c r="CH40" s="248">
        <f t="shared" si="32"/>
        <v>-49.794744080552498</v>
      </c>
      <c r="CI40" s="248">
        <f t="shared" si="32"/>
        <v>-49.871068710627071</v>
      </c>
      <c r="CJ40" s="248">
        <f t="shared" si="32"/>
        <v>-49.947074864394587</v>
      </c>
      <c r="CK40" s="248">
        <f t="shared" si="32"/>
        <v>-50.022752694890201</v>
      </c>
      <c r="CL40" s="248">
        <f t="shared" si="32"/>
        <v>-50.098092762828195</v>
      </c>
      <c r="CM40" s="248">
        <f t="shared" si="32"/>
        <v>-50.173086025847503</v>
      </c>
      <c r="CN40" s="248">
        <f t="shared" si="32"/>
        <v>-50.247723828001462</v>
      </c>
      <c r="CO40" s="248">
        <f t="shared" si="32"/>
        <v>-50.321997889486866</v>
      </c>
      <c r="CP40" s="248">
        <f t="shared" si="32"/>
        <v>-50.395900296607238</v>
      </c>
      <c r="CQ40" s="248">
        <f t="shared" si="32"/>
        <v>-50.469423491965166</v>
      </c>
      <c r="CR40" s="248">
        <f t="shared" si="32"/>
        <v>-50.542560264879199</v>
      </c>
      <c r="CS40" s="248">
        <f t="shared" si="32"/>
        <v>-50.615303742020153</v>
      </c>
      <c r="CT40" s="248">
        <f t="shared" si="32"/>
        <v>-50.687647378262568</v>
      </c>
      <c r="CU40" s="248">
        <f t="shared" si="32"/>
        <v>-50.759584947746383</v>
      </c>
      <c r="CV40" s="248">
        <f t="shared" si="32"/>
        <v>-50.831110535144724</v>
      </c>
      <c r="CW40" s="248">
        <f t="shared" si="32"/>
        <v>-50.902218527133059</v>
      </c>
      <c r="CX40" s="248">
        <f t="shared" si="32"/>
        <v>-50.972903604055745</v>
      </c>
      <c r="CY40" s="248">
        <f t="shared" si="32"/>
        <v>-50.972903604055745</v>
      </c>
      <c r="CZ40" s="248">
        <f t="shared" si="32"/>
        <v>-50.972903604055745</v>
      </c>
      <c r="DA40" s="248">
        <f t="shared" si="32"/>
        <v>-50.972903604055745</v>
      </c>
      <c r="DB40" s="248">
        <f t="shared" si="32"/>
        <v>-50.972903604055745</v>
      </c>
      <c r="DC40" s="248">
        <f t="shared" si="32"/>
        <v>-50.972903604055745</v>
      </c>
      <c r="DD40" s="248">
        <f t="shared" si="32"/>
        <v>-50.972903604055745</v>
      </c>
      <c r="DE40" s="248">
        <f t="shared" si="32"/>
        <v>-50.972903604055745</v>
      </c>
      <c r="DF40" s="248">
        <f t="shared" si="32"/>
        <v>-50.972903604055745</v>
      </c>
      <c r="DG40" s="248">
        <f t="shared" si="32"/>
        <v>-50.972903604055745</v>
      </c>
      <c r="DH40" s="248">
        <f t="shared" si="32"/>
        <v>-50.972903604055745</v>
      </c>
      <c r="DI40" s="248">
        <f t="shared" si="32"/>
        <v>-50.972903604055745</v>
      </c>
      <c r="DJ40" s="248">
        <f t="shared" si="32"/>
        <v>-50.972903604055745</v>
      </c>
      <c r="DK40" s="248">
        <f t="shared" si="32"/>
        <v>-50.972903604055745</v>
      </c>
      <c r="DL40" s="248">
        <f t="shared" si="32"/>
        <v>-50.972903604055745</v>
      </c>
      <c r="DM40" s="248">
        <f t="shared" si="32"/>
        <v>-50.972903604055745</v>
      </c>
      <c r="DN40" s="248">
        <f t="shared" si="32"/>
        <v>-50.972903604055745</v>
      </c>
      <c r="DO40" s="248">
        <f t="shared" si="32"/>
        <v>-50.972903604055745</v>
      </c>
      <c r="DP40" s="248">
        <f t="shared" si="32"/>
        <v>-50.972903604055745</v>
      </c>
      <c r="DQ40" s="248">
        <f t="shared" si="32"/>
        <v>-50.972903604055745</v>
      </c>
      <c r="DR40" s="248">
        <f t="shared" si="32"/>
        <v>-50.972903604055745</v>
      </c>
      <c r="DS40" s="248">
        <f t="shared" si="32"/>
        <v>-50.972903604055745</v>
      </c>
      <c r="DT40" s="248">
        <f t="shared" si="32"/>
        <v>-50.972903604055745</v>
      </c>
      <c r="DU40" s="248">
        <f t="shared" si="32"/>
        <v>-50.972903604055745</v>
      </c>
      <c r="DV40" s="248">
        <f t="shared" si="32"/>
        <v>-50.972903604055745</v>
      </c>
      <c r="DW40" s="248">
        <f t="shared" si="32"/>
        <v>-50.972903604055745</v>
      </c>
      <c r="DX40" s="248">
        <f t="shared" si="32"/>
        <v>-50.972903604055745</v>
      </c>
      <c r="DY40" s="248">
        <f t="shared" si="32"/>
        <v>-50.972903604055745</v>
      </c>
      <c r="DZ40" s="248">
        <f t="shared" si="32"/>
        <v>-50.972903604055745</v>
      </c>
      <c r="EA40" s="248">
        <f t="shared" si="32"/>
        <v>-50.972903604055745</v>
      </c>
      <c r="EB40" s="248">
        <f t="shared" si="32"/>
        <v>-50.972903604055745</v>
      </c>
      <c r="EC40" s="248">
        <f t="shared" si="32"/>
        <v>-50.972903604055745</v>
      </c>
      <c r="ED40" s="248">
        <f t="shared" si="32"/>
        <v>-50.972903604055745</v>
      </c>
      <c r="EE40" s="248">
        <f t="shared" si="32"/>
        <v>-50.972903604055745</v>
      </c>
      <c r="EF40" s="248">
        <f t="shared" si="32"/>
        <v>-50.972903604055745</v>
      </c>
      <c r="EG40" s="248">
        <f t="shared" si="33"/>
        <v>-50.972903604055745</v>
      </c>
      <c r="EH40" s="248">
        <f t="shared" si="33"/>
        <v>-50.972903604055745</v>
      </c>
      <c r="EI40" s="248">
        <f t="shared" si="33"/>
        <v>-50.972903604055745</v>
      </c>
      <c r="EJ40" s="248">
        <f t="shared" si="33"/>
        <v>-50.972903604055745</v>
      </c>
      <c r="EK40" s="248">
        <f t="shared" si="33"/>
        <v>-50.972903604055745</v>
      </c>
      <c r="EL40" s="248">
        <f t="shared" si="33"/>
        <v>-50.972903604055745</v>
      </c>
      <c r="EM40" s="248">
        <f t="shared" si="33"/>
        <v>-50.972903604055745</v>
      </c>
      <c r="EN40" s="248">
        <f t="shared" si="33"/>
        <v>-50.972903604055745</v>
      </c>
      <c r="EO40" s="248">
        <f t="shared" si="33"/>
        <v>-50.972903604055745</v>
      </c>
      <c r="EP40" s="248">
        <f t="shared" si="33"/>
        <v>-50.972903604055745</v>
      </c>
      <c r="EQ40" s="248">
        <f t="shared" si="33"/>
        <v>-50.972903604055745</v>
      </c>
      <c r="ER40" s="248">
        <f t="shared" si="33"/>
        <v>-50.972903604055745</v>
      </c>
      <c r="ES40" s="248">
        <f t="shared" si="33"/>
        <v>-50.972903604055745</v>
      </c>
      <c r="ET40" s="248">
        <f t="shared" si="33"/>
        <v>-50.972903604055745</v>
      </c>
      <c r="FF40" s="698" t="s">
        <v>3006</v>
      </c>
      <c r="FG40" s="700">
        <v>2.5000000000000001E-2</v>
      </c>
      <c r="FH40" s="700">
        <v>120</v>
      </c>
      <c r="FI40" s="699">
        <v>1.61E-2</v>
      </c>
      <c r="FJ40" s="699">
        <v>1.43E-2</v>
      </c>
      <c r="FK40" s="248">
        <f t="shared" si="11"/>
        <v>5.9444444444444453E-4</v>
      </c>
      <c r="FL40" s="248" t="e">
        <f>VLOOKUP(FF40,'SIMULADOR COM SALDO'!$BX$22:$CK$500,13,FALSE)</f>
        <v>#N/A</v>
      </c>
      <c r="FM40" s="249">
        <f t="shared" si="12"/>
        <v>1.5799999999999998E-2</v>
      </c>
    </row>
    <row r="41" spans="5:169" s="248" customFormat="1" hidden="1" x14ac:dyDescent="0.25">
      <c r="F41" s="97"/>
      <c r="G41" s="248">
        <f t="shared" si="34"/>
        <v>-44.755514394288916</v>
      </c>
      <c r="H41" s="248">
        <f t="shared" si="35"/>
        <v>-44.762014779948977</v>
      </c>
      <c r="I41" s="248">
        <f t="shared" si="36"/>
        <v>-44.771604369939283</v>
      </c>
      <c r="J41" s="248">
        <f t="shared" si="36"/>
        <v>-44.784179394460999</v>
      </c>
      <c r="K41" s="248">
        <f t="shared" si="36"/>
        <v>-44.799638676740528</v>
      </c>
      <c r="L41" s="248">
        <f t="shared" si="36"/>
        <v>-44.817883575407286</v>
      </c>
      <c r="M41" s="248">
        <f t="shared" si="36"/>
        <v>-44.838817928074413</v>
      </c>
      <c r="N41" s="248">
        <f t="shared" si="36"/>
        <v>-44.862347996098464</v>
      </c>
      <c r="O41" s="248">
        <f t="shared" si="36"/>
        <v>-44.888382410494046</v>
      </c>
      <c r="P41" s="248">
        <f t="shared" si="36"/>
        <v>-44.916832118980558</v>
      </c>
      <c r="Q41" s="248">
        <f t="shared" si="36"/>
        <v>-44.947610334137877</v>
      </c>
      <c r="R41" s="248">
        <f t="shared" si="36"/>
        <v>-44.980632482648787</v>
      </c>
      <c r="S41" s="248">
        <f t="shared" si="36"/>
        <v>-45.015816155606586</v>
      </c>
      <c r="T41" s="248">
        <f t="shared" si="36"/>
        <v>-45.053081059865733</v>
      </c>
      <c r="U41" s="248">
        <f t="shared" si="36"/>
        <v>-45.092348970415102</v>
      </c>
      <c r="V41" s="248">
        <f t="shared" si="36"/>
        <v>-45.133543683752926</v>
      </c>
      <c r="W41" s="248">
        <f t="shared" si="36"/>
        <v>-45.176590972243204</v>
      </c>
      <c r="X41" s="248">
        <f t="shared" si="36"/>
        <v>-45.221418539433849</v>
      </c>
      <c r="Y41" s="248">
        <f t="shared" si="36"/>
        <v>-45.267955976317069</v>
      </c>
      <c r="Z41" s="248">
        <f t="shared" si="36"/>
        <v>-45.316134718512942</v>
      </c>
      <c r="AA41" s="248">
        <f t="shared" si="36"/>
        <v>-45.36588800435743</v>
      </c>
      <c r="AB41" s="248">
        <f t="shared" si="36"/>
        <v>-45.417150833876775</v>
      </c>
      <c r="AC41" s="248">
        <f t="shared" si="36"/>
        <v>-45.469859928629866</v>
      </c>
      <c r="AD41" s="248">
        <f t="shared" si="36"/>
        <v>-45.523953692401506</v>
      </c>
      <c r="AE41" s="248">
        <f t="shared" si="36"/>
        <v>-45.57937217272891</v>
      </c>
      <c r="AF41" s="248">
        <f t="shared" si="36"/>
        <v>-45.636057023244774</v>
      </c>
      <c r="AG41" s="248">
        <f t="shared" si="36"/>
        <v>-45.693951466820138</v>
      </c>
      <c r="AH41" s="248">
        <f t="shared" si="36"/>
        <v>-45.753000259491031</v>
      </c>
      <c r="AI41" s="248">
        <f t="shared" si="36"/>
        <v>-45.813149655152714</v>
      </c>
      <c r="AJ41" s="248">
        <f t="shared" si="36"/>
        <v>-45.874347371006138</v>
      </c>
      <c r="AK41" s="248">
        <f t="shared" si="36"/>
        <v>-45.936542553741077</v>
      </c>
      <c r="AL41" s="248">
        <f t="shared" si="36"/>
        <v>-45.999685746441145</v>
      </c>
      <c r="AM41" s="248">
        <f t="shared" si="36"/>
        <v>-46.06372885619583</v>
      </c>
      <c r="AN41" s="248">
        <f t="shared" si="36"/>
        <v>-46.128625122405239</v>
      </c>
      <c r="AO41" s="248">
        <f t="shared" si="36"/>
        <v>-46.194329085763371</v>
      </c>
      <c r="AP41" s="248">
        <f t="shared" si="36"/>
        <v>-46.260796557905998</v>
      </c>
      <c r="AQ41" s="248">
        <f t="shared" si="36"/>
        <v>-46.327984591709736</v>
      </c>
      <c r="AR41" s="248">
        <f t="shared" si="36"/>
        <v>-46.395851452228854</v>
      </c>
      <c r="AS41" s="248">
        <f t="shared" si="36"/>
        <v>-46.464356588256848</v>
      </c>
      <c r="AT41" s="248">
        <f t="shared" si="36"/>
        <v>-46.533460604499965</v>
      </c>
      <c r="AU41" s="248">
        <f t="shared" si="36"/>
        <v>-46.603125234350131</v>
      </c>
      <c r="AV41" s="248">
        <f t="shared" si="36"/>
        <v>-46.673313313245103</v>
      </c>
      <c r="AW41" s="248">
        <f t="shared" si="36"/>
        <v>-46.74398875260357</v>
      </c>
      <c r="AX41" s="248">
        <f t="shared" si="36"/>
        <v>-46.815116514323712</v>
      </c>
      <c r="AY41" s="248">
        <f t="shared" si="36"/>
        <v>-46.886662585833399</v>
      </c>
      <c r="AZ41" s="248">
        <f t="shared" si="36"/>
        <v>-46.958593955680783</v>
      </c>
      <c r="BA41" s="248">
        <f t="shared" si="36"/>
        <v>-47.03087858965425</v>
      </c>
      <c r="BB41" s="248">
        <f t="shared" si="36"/>
        <v>-47.103485407420621</v>
      </c>
      <c r="BC41" s="248">
        <f t="shared" si="36"/>
        <v>-47.176384259671252</v>
      </c>
      <c r="BD41" s="248">
        <f t="shared" si="36"/>
        <v>-47.249545905765231</v>
      </c>
      <c r="BE41" s="248">
        <f t="shared" si="36"/>
        <v>-47.322941991859693</v>
      </c>
      <c r="BF41" s="248">
        <f t="shared" si="36"/>
        <v>-47.396545029517014</v>
      </c>
      <c r="BG41" s="248">
        <f t="shared" si="36"/>
        <v>-47.470328374779164</v>
      </c>
      <c r="BH41" s="248">
        <f t="shared" si="36"/>
        <v>-47.544266207699508</v>
      </c>
      <c r="BI41" s="248">
        <f t="shared" si="36"/>
        <v>-47.618333512322543</v>
      </c>
      <c r="BJ41" s="248">
        <f t="shared" si="36"/>
        <v>-47.692506057102506</v>
      </c>
      <c r="BK41" s="248">
        <f t="shared" si="36"/>
        <v>-47.76676037575146</v>
      </c>
      <c r="BL41" s="248">
        <f t="shared" si="36"/>
        <v>-47.841073748508215</v>
      </c>
      <c r="BM41" s="248">
        <f t="shared" si="36"/>
        <v>-47.915424183819283</v>
      </c>
      <c r="BN41" s="248">
        <f t="shared" si="36"/>
        <v>-47.98979040042321</v>
      </c>
      <c r="BO41" s="248">
        <f t="shared" si="36"/>
        <v>-48.064151809830086</v>
      </c>
      <c r="BP41" s="248">
        <f t="shared" si="36"/>
        <v>-48.138488499187872</v>
      </c>
      <c r="BQ41" s="248">
        <f t="shared" si="36"/>
        <v>-48.212781214527546</v>
      </c>
      <c r="BR41" s="248">
        <f t="shared" si="36"/>
        <v>-48.287011344379295</v>
      </c>
      <c r="BS41" s="248">
        <f t="shared" si="36"/>
        <v>-48.361160903751724</v>
      </c>
      <c r="BT41" s="248">
        <f t="shared" si="36"/>
        <v>-48.435212518466919</v>
      </c>
      <c r="BU41" s="248">
        <f t="shared" si="32"/>
        <v>-48.509149409843609</v>
      </c>
      <c r="BV41" s="248">
        <f t="shared" si="32"/>
        <v>-48.582955379721291</v>
      </c>
      <c r="BW41" s="248">
        <f t="shared" si="32"/>
        <v>-48.656614795818207</v>
      </c>
      <c r="BX41" s="248">
        <f t="shared" si="32"/>
        <v>-48.730112577416122</v>
      </c>
      <c r="BY41" s="248">
        <f t="shared" si="32"/>
        <v>-48.803434181365191</v>
      </c>
      <c r="BZ41" s="248">
        <f t="shared" si="32"/>
        <v>-48.876565588402002</v>
      </c>
      <c r="CA41" s="248">
        <f t="shared" si="32"/>
        <v>-48.949493289774452</v>
      </c>
      <c r="CB41" s="248">
        <f t="shared" si="32"/>
        <v>-49.022204274166853</v>
      </c>
      <c r="CC41" s="248">
        <f t="shared" si="32"/>
        <v>-49.094686014919056</v>
      </c>
      <c r="CD41" s="248">
        <f t="shared" si="32"/>
        <v>-49.166926457533322</v>
      </c>
      <c r="CE41" s="248">
        <f t="shared" si="32"/>
        <v>-49.23891400746308</v>
      </c>
      <c r="CF41" s="248">
        <f t="shared" si="32"/>
        <v>-49.310637518177352</v>
      </c>
      <c r="CG41" s="248">
        <f t="shared" si="32"/>
        <v>-49.382086279495255</v>
      </c>
      <c r="CH41" s="248">
        <f t="shared" si="32"/>
        <v>-49.453250006184824</v>
      </c>
      <c r="CI41" s="248">
        <f t="shared" si="32"/>
        <v>-49.524118826820526</v>
      </c>
      <c r="CJ41" s="248">
        <f t="shared" si="32"/>
        <v>-49.59468327289413</v>
      </c>
      <c r="CK41" s="248">
        <f t="shared" si="32"/>
        <v>-49.664934268173319</v>
      </c>
      <c r="CL41" s="248">
        <f t="shared" si="32"/>
        <v>-49.734863118303139</v>
      </c>
      <c r="CM41" s="248">
        <f t="shared" si="32"/>
        <v>-49.804461500644877</v>
      </c>
      <c r="CN41" s="248">
        <f t="shared" si="32"/>
        <v>-49.873721454347404</v>
      </c>
      <c r="CO41" s="248">
        <f t="shared" si="32"/>
        <v>-49.942635370646151</v>
      </c>
      <c r="CP41" s="248">
        <f t="shared" si="32"/>
        <v>-50.011195983384688</v>
      </c>
      <c r="CQ41" s="248">
        <f t="shared" si="32"/>
        <v>-50.079396359754391</v>
      </c>
      <c r="CR41" s="248">
        <f t="shared" si="32"/>
        <v>-50.147229891247349</v>
      </c>
      <c r="CS41" s="248">
        <f t="shared" si="32"/>
        <v>-50.214690284818133</v>
      </c>
      <c r="CT41" s="248">
        <f t="shared" si="32"/>
        <v>-50.281771554249843</v>
      </c>
      <c r="CU41" s="248">
        <f t="shared" si="32"/>
        <v>-50.3484680117202</v>
      </c>
      <c r="CV41" s="248">
        <f t="shared" si="32"/>
        <v>-50.414774259563281</v>
      </c>
      <c r="CW41" s="248">
        <f t="shared" si="32"/>
        <v>-50.480685182222786</v>
      </c>
      <c r="CX41" s="248">
        <f t="shared" si="32"/>
        <v>-50.546195938392742</v>
      </c>
      <c r="CY41" s="248">
        <f t="shared" si="32"/>
        <v>-50.546195938392742</v>
      </c>
      <c r="CZ41" s="248">
        <f t="shared" si="32"/>
        <v>-50.546195938392742</v>
      </c>
      <c r="DA41" s="248">
        <f t="shared" si="32"/>
        <v>-50.546195938392742</v>
      </c>
      <c r="DB41" s="248">
        <f t="shared" si="32"/>
        <v>-50.546195938392742</v>
      </c>
      <c r="DC41" s="248">
        <f t="shared" si="32"/>
        <v>-50.546195938392742</v>
      </c>
      <c r="DD41" s="248">
        <f t="shared" si="32"/>
        <v>-50.546195938392742</v>
      </c>
      <c r="DE41" s="248">
        <f t="shared" si="32"/>
        <v>-50.546195938392742</v>
      </c>
      <c r="DF41" s="248">
        <f t="shared" si="32"/>
        <v>-50.546195938392742</v>
      </c>
      <c r="DG41" s="248">
        <f t="shared" si="32"/>
        <v>-50.546195938392742</v>
      </c>
      <c r="DH41" s="248">
        <f t="shared" si="32"/>
        <v>-50.546195938392742</v>
      </c>
      <c r="DI41" s="248">
        <f t="shared" si="32"/>
        <v>-50.546195938392742</v>
      </c>
      <c r="DJ41" s="248">
        <f t="shared" si="32"/>
        <v>-50.546195938392742</v>
      </c>
      <c r="DK41" s="248">
        <f t="shared" si="32"/>
        <v>-50.546195938392742</v>
      </c>
      <c r="DL41" s="248">
        <f t="shared" si="32"/>
        <v>-50.546195938392742</v>
      </c>
      <c r="DM41" s="248">
        <f t="shared" si="32"/>
        <v>-50.546195938392742</v>
      </c>
      <c r="DN41" s="248">
        <f t="shared" si="32"/>
        <v>-50.546195938392742</v>
      </c>
      <c r="DO41" s="248">
        <f t="shared" si="32"/>
        <v>-50.546195938392742</v>
      </c>
      <c r="DP41" s="248">
        <f t="shared" si="32"/>
        <v>-50.546195938392742</v>
      </c>
      <c r="DQ41" s="248">
        <f t="shared" si="32"/>
        <v>-50.546195938392742</v>
      </c>
      <c r="DR41" s="248">
        <f t="shared" si="32"/>
        <v>-50.546195938392742</v>
      </c>
      <c r="DS41" s="248">
        <f t="shared" si="32"/>
        <v>-50.546195938392742</v>
      </c>
      <c r="DT41" s="248">
        <f t="shared" si="32"/>
        <v>-50.546195938392742</v>
      </c>
      <c r="DU41" s="248">
        <f t="shared" si="32"/>
        <v>-50.546195938392742</v>
      </c>
      <c r="DV41" s="248">
        <f t="shared" si="32"/>
        <v>-50.546195938392742</v>
      </c>
      <c r="DW41" s="248">
        <f t="shared" si="32"/>
        <v>-50.546195938392742</v>
      </c>
      <c r="DX41" s="248">
        <f t="shared" si="32"/>
        <v>-50.546195938392742</v>
      </c>
      <c r="DY41" s="248">
        <f t="shared" si="32"/>
        <v>-50.546195938392742</v>
      </c>
      <c r="DZ41" s="248">
        <f t="shared" si="32"/>
        <v>-50.546195938392742</v>
      </c>
      <c r="EA41" s="248">
        <f t="shared" si="32"/>
        <v>-50.546195938392742</v>
      </c>
      <c r="EB41" s="248">
        <f t="shared" si="32"/>
        <v>-50.546195938392742</v>
      </c>
      <c r="EC41" s="248">
        <f t="shared" si="32"/>
        <v>-50.546195938392742</v>
      </c>
      <c r="ED41" s="248">
        <f t="shared" si="32"/>
        <v>-50.546195938392742</v>
      </c>
      <c r="EE41" s="248">
        <f t="shared" si="32"/>
        <v>-50.546195938392742</v>
      </c>
      <c r="EF41" s="248">
        <f t="shared" ref="EF41:ET56" si="37">PV($F14,EF$9,1,0)+(PV($J$6,$N$5-(EF$9),1,0)/($J$6+1)^EF$9)</f>
        <v>-50.546195938392742</v>
      </c>
      <c r="EG41" s="248">
        <f t="shared" si="37"/>
        <v>-50.546195938392742</v>
      </c>
      <c r="EH41" s="248">
        <f t="shared" si="37"/>
        <v>-50.546195938392742</v>
      </c>
      <c r="EI41" s="248">
        <f t="shared" si="37"/>
        <v>-50.546195938392742</v>
      </c>
      <c r="EJ41" s="248">
        <f t="shared" si="37"/>
        <v>-50.546195938392742</v>
      </c>
      <c r="EK41" s="248">
        <f t="shared" si="37"/>
        <v>-50.546195938392742</v>
      </c>
      <c r="EL41" s="248">
        <f t="shared" si="37"/>
        <v>-50.546195938392742</v>
      </c>
      <c r="EM41" s="248">
        <f t="shared" si="37"/>
        <v>-50.546195938392742</v>
      </c>
      <c r="EN41" s="248">
        <f t="shared" si="37"/>
        <v>-50.546195938392742</v>
      </c>
      <c r="EO41" s="248">
        <f t="shared" si="37"/>
        <v>-50.546195938392742</v>
      </c>
      <c r="EP41" s="248">
        <f t="shared" si="37"/>
        <v>-50.546195938392742</v>
      </c>
      <c r="EQ41" s="248">
        <f t="shared" si="37"/>
        <v>-50.546195938392742</v>
      </c>
      <c r="ER41" s="248">
        <f t="shared" si="37"/>
        <v>-50.546195938392742</v>
      </c>
      <c r="ES41" s="248">
        <f t="shared" si="37"/>
        <v>-50.546195938392742</v>
      </c>
      <c r="ET41" s="248">
        <f t="shared" si="37"/>
        <v>-50.546195938392742</v>
      </c>
      <c r="FF41" s="703" t="s">
        <v>366</v>
      </c>
      <c r="FG41" s="706">
        <v>2.5000000000000001E-2</v>
      </c>
      <c r="FH41" s="706">
        <v>120</v>
      </c>
      <c r="FI41" s="281">
        <v>1.6200000000000003E-2</v>
      </c>
      <c r="FJ41" s="281">
        <v>1.4199999999999999E-2</v>
      </c>
      <c r="FK41" s="248">
        <f t="shared" si="11"/>
        <v>6.0000000000000016E-4</v>
      </c>
      <c r="FL41" s="248">
        <f>VLOOKUP(FF41,'SIMULADOR COM SALDO'!$BX$22:$CK$500,13,FALSE)</f>
        <v>0</v>
      </c>
      <c r="FM41" s="249">
        <f t="shared" si="12"/>
        <v>1.5900000000000001E-2</v>
      </c>
    </row>
    <row r="42" spans="5:169" s="248" customFormat="1" hidden="1" x14ac:dyDescent="0.25">
      <c r="F42" s="97"/>
      <c r="G42" s="248">
        <f t="shared" si="34"/>
        <v>-44.755293385005963</v>
      </c>
      <c r="H42" s="248">
        <f t="shared" si="35"/>
        <v>-44.761358368990578</v>
      </c>
      <c r="I42" s="248">
        <f t="shared" si="36"/>
        <v>-44.770304633221286</v>
      </c>
      <c r="J42" s="248">
        <f t="shared" si="36"/>
        <v>-44.782034730591228</v>
      </c>
      <c r="K42" s="248">
        <f t="shared" si="36"/>
        <v>-44.796453664312686</v>
      </c>
      <c r="L42" s="248">
        <f t="shared" si="36"/>
        <v>-44.813468833150587</v>
      </c>
      <c r="M42" s="248">
        <f t="shared" si="36"/>
        <v>-44.832989977805447</v>
      </c>
      <c r="N42" s="248">
        <f t="shared" si="36"/>
        <v>-44.854929128422697</v>
      </c>
      <c r="O42" s="248">
        <f t="shared" si="36"/>
        <v>-44.8792005532055</v>
      </c>
      <c r="P42" s="248">
        <f t="shared" si="36"/>
        <v>-44.90572070810866</v>
      </c>
      <c r="Q42" s="248">
        <f t="shared" si="36"/>
        <v>-44.934408187592098</v>
      </c>
      <c r="R42" s="248">
        <f t="shared" si="36"/>
        <v>-44.96518367641189</v>
      </c>
      <c r="S42" s="248">
        <f t="shared" si="36"/>
        <v>-44.997969902428615</v>
      </c>
      <c r="T42" s="248">
        <f t="shared" si="36"/>
        <v>-45.032691590411666</v>
      </c>
      <c r="U42" s="248">
        <f t="shared" si="36"/>
        <v>-45.069275416819771</v>
      </c>
      <c r="V42" s="248">
        <f t="shared" si="36"/>
        <v>-45.107649965537824</v>
      </c>
      <c r="W42" s="248">
        <f t="shared" si="36"/>
        <v>-45.147745684550593</v>
      </c>
      <c r="X42" s="248">
        <f t="shared" si="36"/>
        <v>-45.189494843534249</v>
      </c>
      <c r="Y42" s="248">
        <f t="shared" si="36"/>
        <v>-45.232831492347302</v>
      </c>
      <c r="Z42" s="248">
        <f t="shared" si="36"/>
        <v>-45.277691420402164</v>
      </c>
      <c r="AA42" s="248">
        <f t="shared" si="36"/>
        <v>-45.3240121169001</v>
      </c>
      <c r="AB42" s="248">
        <f t="shared" si="36"/>
        <v>-45.371732731911393</v>
      </c>
      <c r="AC42" s="248">
        <f t="shared" si="36"/>
        <v>-45.420794038283873</v>
      </c>
      <c r="AD42" s="248">
        <f t="shared" si="36"/>
        <v>-45.471138394362768</v>
      </c>
      <c r="AE42" s="248">
        <f t="shared" si="36"/>
        <v>-45.52270970750557</v>
      </c>
      <c r="AF42" s="248">
        <f t="shared" si="36"/>
        <v>-45.575453398375188</v>
      </c>
      <c r="AG42" s="248">
        <f t="shared" si="36"/>
        <v>-45.629316365996218</v>
      </c>
      <c r="AH42" s="248">
        <f t="shared" si="36"/>
        <v>-45.684246953558116</v>
      </c>
      <c r="AI42" s="248">
        <f t="shared" si="36"/>
        <v>-45.740194914950365</v>
      </c>
      <c r="AJ42" s="248">
        <f t="shared" si="36"/>
        <v>-45.797111382014585</v>
      </c>
      <c r="AK42" s="248">
        <f t="shared" si="36"/>
        <v>-45.854948832498863</v>
      </c>
      <c r="AL42" s="248">
        <f t="shared" si="36"/>
        <v>-45.913661058699986</v>
      </c>
      <c r="AM42" s="248">
        <f t="shared" si="36"/>
        <v>-45.973203136779489</v>
      </c>
      <c r="AN42" s="248">
        <f t="shared" si="36"/>
        <v>-46.033531396739662</v>
      </c>
      <c r="AO42" s="248">
        <f t="shared" si="36"/>
        <v>-46.094603393046015</v>
      </c>
      <c r="AP42" s="248">
        <f t="shared" si="36"/>
        <v>-46.156377875882953</v>
      </c>
      <c r="AQ42" s="248">
        <f t="shared" si="36"/>
        <v>-46.218814763029613</v>
      </c>
      <c r="AR42" s="248">
        <f t="shared" si="36"/>
        <v>-46.281875112343116</v>
      </c>
      <c r="AS42" s="248">
        <f t="shared" si="36"/>
        <v>-46.345521094836805</v>
      </c>
      <c r="AT42" s="248">
        <f t="shared" si="36"/>
        <v>-46.40971596834116</v>
      </c>
      <c r="AU42" s="248">
        <f t="shared" si="36"/>
        <v>-46.474424051735483</v>
      </c>
      <c r="AV42" s="248">
        <f t="shared" si="36"/>
        <v>-46.539610699738404</v>
      </c>
      <c r="AW42" s="248">
        <f t="shared" si="36"/>
        <v>-46.605242278245967</v>
      </c>
      <c r="AX42" s="248">
        <f t="shared" si="36"/>
        <v>-46.671286140205751</v>
      </c>
      <c r="AY42" s="248">
        <f t="shared" si="36"/>
        <v>-46.737710602016087</v>
      </c>
      <c r="AZ42" s="248">
        <f t="shared" si="36"/>
        <v>-46.804484920439492</v>
      </c>
      <c r="BA42" s="248">
        <f t="shared" si="36"/>
        <v>-46.871579270019708</v>
      </c>
      <c r="BB42" s="248">
        <f t="shared" si="36"/>
        <v>-46.938964720991862</v>
      </c>
      <c r="BC42" s="248">
        <f t="shared" si="36"/>
        <v>-47.006613217675692</v>
      </c>
      <c r="BD42" s="248">
        <f t="shared" si="36"/>
        <v>-47.07449755734153</v>
      </c>
      <c r="BE42" s="248">
        <f t="shared" si="36"/>
        <v>-47.142591369539758</v>
      </c>
      <c r="BF42" s="248">
        <f t="shared" si="36"/>
        <v>-47.210869095883403</v>
      </c>
      <c r="BG42" s="248">
        <f t="shared" si="36"/>
        <v>-47.279305970275303</v>
      </c>
      <c r="BH42" s="248">
        <f t="shared" si="36"/>
        <v>-47.347877999569754</v>
      </c>
      <c r="BI42" s="248">
        <f t="shared" si="36"/>
        <v>-47.416561944660316</v>
      </c>
      <c r="BJ42" s="248">
        <f t="shared" si="36"/>
        <v>-47.485335301984477</v>
      </c>
      <c r="BK42" s="248">
        <f t="shared" si="36"/>
        <v>-47.554176285436718</v>
      </c>
      <c r="BL42" s="248">
        <f t="shared" si="36"/>
        <v>-47.623063808681252</v>
      </c>
      <c r="BM42" s="248">
        <f t="shared" si="36"/>
        <v>-47.691977467856432</v>
      </c>
      <c r="BN42" s="248">
        <f t="shared" si="36"/>
        <v>-47.760897524662276</v>
      </c>
      <c r="BO42" s="248">
        <f t="shared" si="36"/>
        <v>-47.829804889823386</v>
      </c>
      <c r="BP42" s="248">
        <f t="shared" si="36"/>
        <v>-47.898681106919319</v>
      </c>
      <c r="BQ42" s="248">
        <f t="shared" si="36"/>
        <v>-47.967508336574681</v>
      </c>
      <c r="BR42" s="248">
        <f t="shared" si="36"/>
        <v>-48.036269341001564</v>
      </c>
      <c r="BS42" s="248">
        <f t="shared" si="36"/>
        <v>-48.104947468886628</v>
      </c>
      <c r="BT42" s="248">
        <f t="shared" si="36"/>
        <v>-48.173526640616068</v>
      </c>
      <c r="BU42" s="248">
        <f t="shared" ref="BU42:EF56" si="38">PV($F15,BU$9,1,0)+(PV($J$6,$N$5-(BU$9),1,0)/($J$6+1)^BU$9)</f>
        <v>-48.241991333830946</v>
      </c>
      <c r="BV42" s="248">
        <f t="shared" si="38"/>
        <v>-48.310326569306191</v>
      </c>
      <c r="BW42" s="248">
        <f t="shared" si="38"/>
        <v>-48.378517897146395</v>
      </c>
      <c r="BX42" s="248">
        <f t="shared" si="38"/>
        <v>-48.44655138329172</v>
      </c>
      <c r="BY42" s="248">
        <f t="shared" si="38"/>
        <v>-48.514413596327458</v>
      </c>
      <c r="BZ42" s="248">
        <f t="shared" si="38"/>
        <v>-48.582091594590743</v>
      </c>
      <c r="CA42" s="248">
        <f t="shared" si="38"/>
        <v>-48.649572913568264</v>
      </c>
      <c r="CB42" s="248">
        <f t="shared" si="38"/>
        <v>-48.716845553578743</v>
      </c>
      <c r="CC42" s="248">
        <f t="shared" si="38"/>
        <v>-48.783897967734219</v>
      </c>
      <c r="CD42" s="248">
        <f t="shared" si="38"/>
        <v>-48.850719050174206</v>
      </c>
      <c r="CE42" s="248">
        <f t="shared" si="38"/>
        <v>-48.91729812456694</v>
      </c>
      <c r="CF42" s="248">
        <f t="shared" si="38"/>
        <v>-48.983624932872232</v>
      </c>
      <c r="CG42" s="248">
        <f t="shared" si="38"/>
        <v>-49.049689624359999</v>
      </c>
      <c r="CH42" s="248">
        <f t="shared" si="38"/>
        <v>-49.11548274487955</v>
      </c>
      <c r="CI42" s="248">
        <f t="shared" si="38"/>
        <v>-49.180995226373803</v>
      </c>
      <c r="CJ42" s="248">
        <f t="shared" si="38"/>
        <v>-49.2462183766336</v>
      </c>
      <c r="CK42" s="248">
        <f t="shared" si="38"/>
        <v>-49.31114386928688</v>
      </c>
      <c r="CL42" s="248">
        <f t="shared" si="38"/>
        <v>-49.375763734017575</v>
      </c>
      <c r="CM42" s="248">
        <f t="shared" si="38"/>
        <v>-49.440070347009652</v>
      </c>
      <c r="CN42" s="248">
        <f t="shared" si="38"/>
        <v>-49.504056421611153</v>
      </c>
      <c r="CO42" s="248">
        <f t="shared" si="38"/>
        <v>-49.56771499921372</v>
      </c>
      <c r="CP42" s="248">
        <f t="shared" si="38"/>
        <v>-49.631039440343017</v>
      </c>
      <c r="CQ42" s="248">
        <f t="shared" si="38"/>
        <v>-49.694023415955478</v>
      </c>
      <c r="CR42" s="248">
        <f t="shared" si="38"/>
        <v>-49.7566608989369</v>
      </c>
      <c r="CS42" s="248">
        <f t="shared" si="38"/>
        <v>-49.81894615579872</v>
      </c>
      <c r="CT42" s="248">
        <f t="shared" si="38"/>
        <v>-49.880873738567573</v>
      </c>
      <c r="CU42" s="248">
        <f t="shared" si="38"/>
        <v>-49.942438476864062</v>
      </c>
      <c r="CV42" s="248">
        <f t="shared" si="38"/>
        <v>-50.003635470166728</v>
      </c>
      <c r="CW42" s="248">
        <f t="shared" si="38"/>
        <v>-50.064460080257</v>
      </c>
      <c r="CX42" s="248">
        <f t="shared" si="38"/>
        <v>-50.124907923841562</v>
      </c>
      <c r="CY42" s="248">
        <f t="shared" si="38"/>
        <v>-50.124907923841562</v>
      </c>
      <c r="CZ42" s="248">
        <f t="shared" si="38"/>
        <v>-50.124907923841562</v>
      </c>
      <c r="DA42" s="248">
        <f t="shared" si="38"/>
        <v>-50.124907923841562</v>
      </c>
      <c r="DB42" s="248">
        <f t="shared" si="38"/>
        <v>-50.124907923841562</v>
      </c>
      <c r="DC42" s="248">
        <f t="shared" si="38"/>
        <v>-50.124907923841562</v>
      </c>
      <c r="DD42" s="248">
        <f t="shared" si="38"/>
        <v>-50.124907923841562</v>
      </c>
      <c r="DE42" s="248">
        <f t="shared" si="38"/>
        <v>-50.124907923841562</v>
      </c>
      <c r="DF42" s="248">
        <f t="shared" si="38"/>
        <v>-50.124907923841562</v>
      </c>
      <c r="DG42" s="248">
        <f t="shared" si="38"/>
        <v>-50.124907923841562</v>
      </c>
      <c r="DH42" s="248">
        <f t="shared" si="38"/>
        <v>-50.124907923841562</v>
      </c>
      <c r="DI42" s="248">
        <f t="shared" si="38"/>
        <v>-50.124907923841562</v>
      </c>
      <c r="DJ42" s="248">
        <f t="shared" si="38"/>
        <v>-50.124907923841562</v>
      </c>
      <c r="DK42" s="248">
        <f t="shared" si="38"/>
        <v>-50.124907923841562</v>
      </c>
      <c r="DL42" s="248">
        <f t="shared" si="38"/>
        <v>-50.124907923841562</v>
      </c>
      <c r="DM42" s="248">
        <f t="shared" si="38"/>
        <v>-50.124907923841562</v>
      </c>
      <c r="DN42" s="248">
        <f t="shared" si="38"/>
        <v>-50.124907923841562</v>
      </c>
      <c r="DO42" s="248">
        <f t="shared" si="38"/>
        <v>-50.124907923841562</v>
      </c>
      <c r="DP42" s="248">
        <f t="shared" si="38"/>
        <v>-50.124907923841562</v>
      </c>
      <c r="DQ42" s="248">
        <f t="shared" si="38"/>
        <v>-50.124907923841562</v>
      </c>
      <c r="DR42" s="248">
        <f t="shared" si="38"/>
        <v>-50.124907923841562</v>
      </c>
      <c r="DS42" s="248">
        <f t="shared" si="38"/>
        <v>-50.124907923841562</v>
      </c>
      <c r="DT42" s="248">
        <f t="shared" si="38"/>
        <v>-50.124907923841562</v>
      </c>
      <c r="DU42" s="248">
        <f t="shared" si="38"/>
        <v>-50.124907923841562</v>
      </c>
      <c r="DV42" s="248">
        <f t="shared" si="38"/>
        <v>-50.124907923841562</v>
      </c>
      <c r="DW42" s="248">
        <f t="shared" si="38"/>
        <v>-50.124907923841562</v>
      </c>
      <c r="DX42" s="248">
        <f t="shared" si="38"/>
        <v>-50.124907923841562</v>
      </c>
      <c r="DY42" s="248">
        <f t="shared" si="38"/>
        <v>-50.124907923841562</v>
      </c>
      <c r="DZ42" s="248">
        <f t="shared" si="38"/>
        <v>-50.124907923841562</v>
      </c>
      <c r="EA42" s="248">
        <f t="shared" si="38"/>
        <v>-50.124907923841562</v>
      </c>
      <c r="EB42" s="248">
        <f t="shared" si="38"/>
        <v>-50.124907923841562</v>
      </c>
      <c r="EC42" s="248">
        <f t="shared" si="38"/>
        <v>-50.124907923841562</v>
      </c>
      <c r="ED42" s="248">
        <f t="shared" si="38"/>
        <v>-50.124907923841562</v>
      </c>
      <c r="EE42" s="248">
        <f t="shared" si="38"/>
        <v>-50.124907923841562</v>
      </c>
      <c r="EF42" s="248">
        <f t="shared" si="38"/>
        <v>-50.124907923841562</v>
      </c>
      <c r="EG42" s="248">
        <f t="shared" si="37"/>
        <v>-50.124907923841562</v>
      </c>
      <c r="EH42" s="248">
        <f t="shared" si="37"/>
        <v>-50.124907923841562</v>
      </c>
      <c r="EI42" s="248">
        <f t="shared" si="37"/>
        <v>-50.124907923841562</v>
      </c>
      <c r="EJ42" s="248">
        <f t="shared" si="37"/>
        <v>-50.124907923841562</v>
      </c>
      <c r="EK42" s="248">
        <f t="shared" si="37"/>
        <v>-50.124907923841562</v>
      </c>
      <c r="EL42" s="248">
        <f t="shared" si="37"/>
        <v>-50.124907923841562</v>
      </c>
      <c r="EM42" s="248">
        <f t="shared" si="37"/>
        <v>-50.124907923841562</v>
      </c>
      <c r="EN42" s="248">
        <f t="shared" si="37"/>
        <v>-50.124907923841562</v>
      </c>
      <c r="EO42" s="248">
        <f t="shared" si="37"/>
        <v>-50.124907923841562</v>
      </c>
      <c r="EP42" s="248">
        <f t="shared" si="37"/>
        <v>-50.124907923841562</v>
      </c>
      <c r="EQ42" s="248">
        <f t="shared" si="37"/>
        <v>-50.124907923841562</v>
      </c>
      <c r="ER42" s="248">
        <f t="shared" si="37"/>
        <v>-50.124907923841562</v>
      </c>
      <c r="ES42" s="248">
        <f t="shared" si="37"/>
        <v>-50.124907923841562</v>
      </c>
      <c r="ET42" s="248">
        <f t="shared" si="37"/>
        <v>-50.124907923841562</v>
      </c>
      <c r="FF42" s="698" t="s">
        <v>3451</v>
      </c>
      <c r="FG42" s="700">
        <v>2.5000000000000001E-2</v>
      </c>
      <c r="FH42" s="700">
        <v>120</v>
      </c>
      <c r="FI42" s="699">
        <v>1.6200000000000003E-2</v>
      </c>
      <c r="FJ42" s="699">
        <v>1.4199999999999999E-2</v>
      </c>
      <c r="FK42" s="248">
        <f t="shared" si="11"/>
        <v>6.0000000000000016E-4</v>
      </c>
      <c r="FL42" s="248" t="e">
        <f>VLOOKUP(FF42,'SIMULADOR COM SALDO'!$BX$22:$CK$500,13,FALSE)</f>
        <v>#N/A</v>
      </c>
      <c r="FM42" s="249">
        <f t="shared" si="12"/>
        <v>1.5900000000000001E-2</v>
      </c>
    </row>
    <row r="43" spans="5:169" s="248" customFormat="1" hidden="1" x14ac:dyDescent="0.25">
      <c r="F43" s="97"/>
      <c r="G43" s="248">
        <f t="shared" si="34"/>
        <v>-44.755072474864484</v>
      </c>
      <c r="H43" s="248">
        <f t="shared" si="35"/>
        <v>-44.76070235011283</v>
      </c>
      <c r="I43" s="248">
        <f t="shared" si="36"/>
        <v>-44.769005865627122</v>
      </c>
      <c r="J43" s="248">
        <f t="shared" si="36"/>
        <v>-44.779891983080766</v>
      </c>
      <c r="K43" s="248">
        <f t="shared" si="36"/>
        <v>-44.79327196767067</v>
      </c>
      <c r="L43" s="248">
        <f t="shared" si="36"/>
        <v>-44.809059336331806</v>
      </c>
      <c r="M43" s="248">
        <f t="shared" si="36"/>
        <v>-44.827169807044605</v>
      </c>
      <c r="N43" s="248">
        <f t="shared" si="36"/>
        <v>-44.847521249212939</v>
      </c>
      <c r="O43" s="248">
        <f t="shared" si="36"/>
        <v>-44.870033635090898</v>
      </c>
      <c r="P43" s="248">
        <f t="shared" si="36"/>
        <v>-44.89462899223728</v>
      </c>
      <c r="Q43" s="248">
        <f t="shared" si="36"/>
        <v>-44.921231356976605</v>
      </c>
      <c r="R43" s="248">
        <f t="shared" si="36"/>
        <v>-44.949766728846448</v>
      </c>
      <c r="S43" s="248">
        <f t="shared" si="36"/>
        <v>-44.980163026010814</v>
      </c>
      <c r="T43" s="248">
        <f t="shared" si="36"/>
        <v>-45.012350041620024</v>
      </c>
      <c r="U43" s="248">
        <f t="shared" si="36"/>
        <v>-45.046259401097764</v>
      </c>
      <c r="V43" s="248">
        <f t="shared" si="36"/>
        <v>-45.081824520336482</v>
      </c>
      <c r="W43" s="248">
        <f t="shared" si="36"/>
        <v>-45.118980564782333</v>
      </c>
      <c r="X43" s="248">
        <f t="shared" si="36"/>
        <v>-45.157664409391984</v>
      </c>
      <c r="Y43" s="248">
        <f t="shared" si="36"/>
        <v>-45.197814599443049</v>
      </c>
      <c r="Z43" s="248">
        <f t="shared" si="36"/>
        <v>-45.23937131218095</v>
      </c>
      <c r="AA43" s="248">
        <f t="shared" si="36"/>
        <v>-45.282276319285032</v>
      </c>
      <c r="AB43" s="248">
        <f t="shared" si="36"/>
        <v>-45.326472950137109</v>
      </c>
      <c r="AC43" s="248">
        <f t="shared" si="36"/>
        <v>-45.37190605587621</v>
      </c>
      <c r="AD43" s="248">
        <f t="shared" si="36"/>
        <v>-45.418521974223282</v>
      </c>
      <c r="AE43" s="248">
        <f t="shared" si="36"/>
        <v>-45.46626849505995</v>
      </c>
      <c r="AF43" s="248">
        <f t="shared" si="36"/>
        <v>-45.515094826746278</v>
      </c>
      <c r="AG43" s="248">
        <f t="shared" si="36"/>
        <v>-45.564951563161813</v>
      </c>
      <c r="AH43" s="248">
        <f t="shared" si="36"/>
        <v>-45.615790651455697</v>
      </c>
      <c r="AI43" s="248">
        <f t="shared" si="36"/>
        <v>-45.667565360490606</v>
      </c>
      <c r="AJ43" s="248">
        <f t="shared" si="36"/>
        <v>-45.720230249966896</v>
      </c>
      <c r="AK43" s="248">
        <f t="shared" si="36"/>
        <v>-45.773741140212479</v>
      </c>
      <c r="AL43" s="248">
        <f t="shared" si="36"/>
        <v>-45.828055082625042</v>
      </c>
      <c r="AM43" s="248">
        <f t="shared" si="36"/>
        <v>-45.883130330752941</v>
      </c>
      <c r="AN43" s="248">
        <f t="shared" si="36"/>
        <v>-45.938926312001811</v>
      </c>
      <c r="AO43" s="248">
        <f t="shared" si="36"/>
        <v>-45.995403599953903</v>
      </c>
      <c r="AP43" s="248">
        <f t="shared" si="36"/>
        <v>-46.052523887287435</v>
      </c>
      <c r="AQ43" s="248">
        <f t="shared" si="36"/>
        <v>-46.110249959283763</v>
      </c>
      <c r="AR43" s="248">
        <f t="shared" si="36"/>
        <v>-46.168545667909932</v>
      </c>
      <c r="AS43" s="248">
        <f t="shared" si="36"/>
        <v>-46.227375906465099</v>
      </c>
      <c r="AT43" s="248">
        <f t="shared" si="36"/>
        <v>-46.286706584778798</v>
      </c>
      <c r="AU43" s="248">
        <f t="shared" si="36"/>
        <v>-46.346504604949814</v>
      </c>
      <c r="AV43" s="248">
        <f t="shared" si="36"/>
        <v>-46.40673783761455</v>
      </c>
      <c r="AW43" s="248">
        <f t="shared" si="36"/>
        <v>-46.467375098733527</v>
      </c>
      <c r="AX43" s="248">
        <f t="shared" si="36"/>
        <v>-46.528386126885891</v>
      </c>
      <c r="AY43" s="248">
        <f t="shared" si="36"/>
        <v>-46.589741561060713</v>
      </c>
      <c r="AZ43" s="248">
        <f t="shared" si="36"/>
        <v>-46.651412918935293</v>
      </c>
      <c r="BA43" s="248">
        <f t="shared" si="36"/>
        <v>-46.713372575630046</v>
      </c>
      <c r="BB43" s="248">
        <f t="shared" si="36"/>
        <v>-46.775593742930141</v>
      </c>
      <c r="BC43" s="248">
        <f t="shared" si="36"/>
        <v>-46.838050448964196</v>
      </c>
      <c r="BD43" s="248">
        <f t="shared" si="36"/>
        <v>-46.900717518330495</v>
      </c>
      <c r="BE43" s="248">
        <f t="shared" si="36"/>
        <v>-46.963570552661409</v>
      </c>
      <c r="BF43" s="248">
        <f t="shared" si="36"/>
        <v>-47.026585911616856</v>
      </c>
      <c r="BG43" s="248">
        <f t="shared" si="36"/>
        <v>-47.089740694297852</v>
      </c>
      <c r="BH43" s="248">
        <f t="shared" si="36"/>
        <v>-47.153012721071356</v>
      </c>
      <c r="BI43" s="248">
        <f t="shared" si="36"/>
        <v>-47.216380515797908</v>
      </c>
      <c r="BJ43" s="248">
        <f t="shared" si="36"/>
        <v>-47.279823288453514</v>
      </c>
      <c r="BK43" s="248">
        <f t="shared" si="36"/>
        <v>-47.34332091813755</v>
      </c>
      <c r="BL43" s="248">
        <f t="shared" si="36"/>
        <v>-47.406853936458639</v>
      </c>
      <c r="BM43" s="248">
        <f t="shared" si="36"/>
        <v>-47.470403511290584</v>
      </c>
      <c r="BN43" s="248">
        <f t="shared" si="36"/>
        <v>-47.533951430890504</v>
      </c>
      <c r="BO43" s="248">
        <f t="shared" si="36"/>
        <v>-47.597480088371647</v>
      </c>
      <c r="BP43" s="248">
        <f t="shared" si="36"/>
        <v>-47.660972466523397</v>
      </c>
      <c r="BQ43" s="248">
        <f t="shared" si="36"/>
        <v>-47.724412122971167</v>
      </c>
      <c r="BR43" s="248">
        <f t="shared" si="36"/>
        <v>-47.787783175669098</v>
      </c>
      <c r="BS43" s="248">
        <f t="shared" si="36"/>
        <v>-47.851070288718326</v>
      </c>
      <c r="BT43" s="248">
        <f t="shared" ref="BT43:EE46" si="39">PV($F16,BT$9,1,0)+(PV($J$6,$N$5-(BT$9),1,0)/($J$6+1)^BT$9)</f>
        <v>-47.914258658504231</v>
      </c>
      <c r="BU43" s="248">
        <f t="shared" si="39"/>
        <v>-47.977334000145881</v>
      </c>
      <c r="BV43" s="248">
        <f t="shared" si="39"/>
        <v>-48.040282534250764</v>
      </c>
      <c r="BW43" s="248">
        <f t="shared" si="39"/>
        <v>-48.103090973968904</v>
      </c>
      <c r="BX43" s="248">
        <f t="shared" si="39"/>
        <v>-48.16574651233946</v>
      </c>
      <c r="BY43" s="248">
        <f t="shared" si="39"/>
        <v>-48.228236809924049</v>
      </c>
      <c r="BZ43" s="248">
        <f t="shared" si="39"/>
        <v>-48.290549982720492</v>
      </c>
      <c r="CA43" s="248">
        <f t="shared" si="39"/>
        <v>-48.352674590351093</v>
      </c>
      <c r="CB43" s="248">
        <f t="shared" si="39"/>
        <v>-48.414599624519568</v>
      </c>
      <c r="CC43" s="248">
        <f t="shared" si="39"/>
        <v>-48.47631449773106</v>
      </c>
      <c r="CD43" s="248">
        <f t="shared" si="39"/>
        <v>-48.537809032269521</v>
      </c>
      <c r="CE43" s="248">
        <f t="shared" si="39"/>
        <v>-48.599073449426939</v>
      </c>
      <c r="CF43" s="248">
        <f t="shared" si="39"/>
        <v>-48.660098358979219</v>
      </c>
      <c r="CG43" s="248">
        <f t="shared" si="39"/>
        <v>-48.72087474890332</v>
      </c>
      <c r="CH43" s="248">
        <f t="shared" si="39"/>
        <v>-48.781393975330559</v>
      </c>
      <c r="CI43" s="248">
        <f t="shared" si="39"/>
        <v>-48.841647752730942</v>
      </c>
      <c r="CJ43" s="248">
        <f t="shared" si="39"/>
        <v>-48.901628144323745</v>
      </c>
      <c r="CK43" s="248">
        <f t="shared" si="39"/>
        <v>-48.961327552709385</v>
      </c>
      <c r="CL43" s="248">
        <f t="shared" si="39"/>
        <v>-49.020738710717815</v>
      </c>
      <c r="CM43" s="248">
        <f t="shared" si="39"/>
        <v>-49.07985467246899</v>
      </c>
      <c r="CN43" s="248">
        <f t="shared" si="39"/>
        <v>-49.138668804640503</v>
      </c>
      <c r="CO43" s="248">
        <f t="shared" si="39"/>
        <v>-49.197174777938372</v>
      </c>
      <c r="CP43" s="248">
        <f t="shared" si="39"/>
        <v>-49.255366558766291</v>
      </c>
      <c r="CQ43" s="248">
        <f t="shared" si="39"/>
        <v>-49.313238401089109</v>
      </c>
      <c r="CR43" s="248">
        <f t="shared" si="39"/>
        <v>-49.370784838486529</v>
      </c>
      <c r="CS43" s="248">
        <f t="shared" si="39"/>
        <v>-49.428000676392777</v>
      </c>
      <c r="CT43" s="248">
        <f t="shared" si="39"/>
        <v>-49.484880984518213</v>
      </c>
      <c r="CU43" s="248">
        <f t="shared" si="39"/>
        <v>-49.541421089448995</v>
      </c>
      <c r="CV43" s="248">
        <f t="shared" si="39"/>
        <v>-49.597616567421078</v>
      </c>
      <c r="CW43" s="248">
        <f t="shared" si="39"/>
        <v>-49.653463237264411</v>
      </c>
      <c r="CX43" s="248">
        <f t="shared" si="39"/>
        <v>-49.708957153514135</v>
      </c>
      <c r="CY43" s="248">
        <f t="shared" si="39"/>
        <v>-49.708957153514135</v>
      </c>
      <c r="CZ43" s="248">
        <f t="shared" si="39"/>
        <v>-49.708957153514135</v>
      </c>
      <c r="DA43" s="248">
        <f t="shared" si="39"/>
        <v>-49.708957153514135</v>
      </c>
      <c r="DB43" s="248">
        <f t="shared" si="39"/>
        <v>-49.708957153514135</v>
      </c>
      <c r="DC43" s="248">
        <f t="shared" si="39"/>
        <v>-49.708957153514135</v>
      </c>
      <c r="DD43" s="248">
        <f t="shared" si="39"/>
        <v>-49.708957153514135</v>
      </c>
      <c r="DE43" s="248">
        <f t="shared" si="39"/>
        <v>-49.708957153514135</v>
      </c>
      <c r="DF43" s="248">
        <f t="shared" si="39"/>
        <v>-49.708957153514135</v>
      </c>
      <c r="DG43" s="248">
        <f t="shared" si="39"/>
        <v>-49.708957153514135</v>
      </c>
      <c r="DH43" s="248">
        <f t="shared" si="39"/>
        <v>-49.708957153514135</v>
      </c>
      <c r="DI43" s="248">
        <f t="shared" si="39"/>
        <v>-49.708957153514135</v>
      </c>
      <c r="DJ43" s="248">
        <f t="shared" si="39"/>
        <v>-49.708957153514135</v>
      </c>
      <c r="DK43" s="248">
        <f t="shared" si="39"/>
        <v>-49.708957153514135</v>
      </c>
      <c r="DL43" s="248">
        <f t="shared" si="39"/>
        <v>-49.708957153514135</v>
      </c>
      <c r="DM43" s="248">
        <f t="shared" si="39"/>
        <v>-49.708957153514135</v>
      </c>
      <c r="DN43" s="248">
        <f t="shared" si="39"/>
        <v>-49.708957153514135</v>
      </c>
      <c r="DO43" s="248">
        <f t="shared" si="39"/>
        <v>-49.708957153514135</v>
      </c>
      <c r="DP43" s="248">
        <f t="shared" si="39"/>
        <v>-49.708957153514135</v>
      </c>
      <c r="DQ43" s="248">
        <f t="shared" si="39"/>
        <v>-49.708957153514135</v>
      </c>
      <c r="DR43" s="248">
        <f t="shared" si="39"/>
        <v>-49.708957153514135</v>
      </c>
      <c r="DS43" s="248">
        <f t="shared" si="39"/>
        <v>-49.708957153514135</v>
      </c>
      <c r="DT43" s="248">
        <f t="shared" si="39"/>
        <v>-49.708957153514135</v>
      </c>
      <c r="DU43" s="248">
        <f t="shared" si="39"/>
        <v>-49.708957153514135</v>
      </c>
      <c r="DV43" s="248">
        <f t="shared" si="39"/>
        <v>-49.708957153514135</v>
      </c>
      <c r="DW43" s="248">
        <f t="shared" si="39"/>
        <v>-49.708957153514135</v>
      </c>
      <c r="DX43" s="248">
        <f t="shared" si="39"/>
        <v>-49.708957153514135</v>
      </c>
      <c r="DY43" s="248">
        <f t="shared" si="39"/>
        <v>-49.708957153514135</v>
      </c>
      <c r="DZ43" s="248">
        <f t="shared" si="39"/>
        <v>-49.708957153514135</v>
      </c>
      <c r="EA43" s="248">
        <f t="shared" si="39"/>
        <v>-49.708957153514135</v>
      </c>
      <c r="EB43" s="248">
        <f t="shared" si="39"/>
        <v>-49.708957153514135</v>
      </c>
      <c r="EC43" s="248">
        <f t="shared" si="39"/>
        <v>-49.708957153514135</v>
      </c>
      <c r="ED43" s="248">
        <f t="shared" si="39"/>
        <v>-49.708957153514135</v>
      </c>
      <c r="EE43" s="248">
        <f t="shared" si="39"/>
        <v>-49.708957153514135</v>
      </c>
      <c r="EF43" s="248">
        <f t="shared" si="38"/>
        <v>-49.708957153514135</v>
      </c>
      <c r="EG43" s="248">
        <f t="shared" si="37"/>
        <v>-49.708957153514135</v>
      </c>
      <c r="EH43" s="248">
        <f t="shared" si="37"/>
        <v>-49.708957153514135</v>
      </c>
      <c r="EI43" s="248">
        <f t="shared" si="37"/>
        <v>-49.708957153514135</v>
      </c>
      <c r="EJ43" s="248">
        <f t="shared" si="37"/>
        <v>-49.708957153514135</v>
      </c>
      <c r="EK43" s="248">
        <f t="shared" si="37"/>
        <v>-49.708957153514135</v>
      </c>
      <c r="EL43" s="248">
        <f t="shared" si="37"/>
        <v>-49.708957153514135</v>
      </c>
      <c r="EM43" s="248">
        <f t="shared" si="37"/>
        <v>-49.708957153514135</v>
      </c>
      <c r="EN43" s="248">
        <f t="shared" si="37"/>
        <v>-49.708957153514135</v>
      </c>
      <c r="EO43" s="248">
        <f t="shared" si="37"/>
        <v>-49.708957153514135</v>
      </c>
      <c r="EP43" s="248">
        <f t="shared" si="37"/>
        <v>-49.708957153514135</v>
      </c>
      <c r="EQ43" s="248">
        <f t="shared" si="37"/>
        <v>-49.708957153514135</v>
      </c>
      <c r="ER43" s="248">
        <f t="shared" si="37"/>
        <v>-49.708957153514135</v>
      </c>
      <c r="ES43" s="248">
        <f t="shared" si="37"/>
        <v>-49.708957153514135</v>
      </c>
      <c r="ET43" s="248">
        <f t="shared" si="37"/>
        <v>-49.708957153514135</v>
      </c>
      <c r="FF43" s="704" t="s">
        <v>1046</v>
      </c>
      <c r="FG43" s="706">
        <v>1.9799999999999998E-2</v>
      </c>
      <c r="FH43" s="706">
        <v>120</v>
      </c>
      <c r="FI43" s="281">
        <v>1.6500000000000001E-2</v>
      </c>
      <c r="FJ43" s="281">
        <v>1.37E-2</v>
      </c>
      <c r="FK43" s="248">
        <f t="shared" si="11"/>
        <v>3.3888888888888879E-4</v>
      </c>
      <c r="FL43" s="248">
        <f>VLOOKUP(FF43,'SIMULADOR COM SALDO'!$BX$22:$CK$500,13,FALSE)</f>
        <v>0</v>
      </c>
      <c r="FM43" s="249">
        <f t="shared" si="12"/>
        <v>1.6199999999999999E-2</v>
      </c>
    </row>
    <row r="44" spans="5:169" s="248" customFormat="1" hidden="1" x14ac:dyDescent="0.25">
      <c r="F44" s="97"/>
      <c r="G44" s="248">
        <f t="shared" si="34"/>
        <v>-44.754851663797751</v>
      </c>
      <c r="H44" s="248">
        <f t="shared" si="35"/>
        <v>-44.760046722986253</v>
      </c>
      <c r="I44" s="248">
        <f t="shared" ref="I44:BT47" si="40">PV($F17,I$9,1,0)+(PV($J$6,$N$5-(I$9),1,0)/($J$6+1)^I$9)</f>
        <v>-44.767708066180461</v>
      </c>
      <c r="J44" s="248">
        <f t="shared" si="40"/>
        <v>-44.777751149679204</v>
      </c>
      <c r="K44" s="248">
        <f t="shared" si="40"/>
        <v>-44.790093582368307</v>
      </c>
      <c r="L44" s="248">
        <f t="shared" si="40"/>
        <v>-44.804655077045027</v>
      </c>
      <c r="M44" s="248">
        <f t="shared" si="40"/>
        <v>-44.821357402775213</v>
      </c>
      <c r="N44" s="248">
        <f t="shared" si="40"/>
        <v>-44.84012433826225</v>
      </c>
      <c r="O44" s="248">
        <f t="shared" si="40"/>
        <v>-44.860881626206961</v>
      </c>
      <c r="P44" s="248">
        <f t="shared" si="40"/>
        <v>-44.883556928638484</v>
      </c>
      <c r="Q44" s="248">
        <f t="shared" si="40"/>
        <v>-44.908079783196015</v>
      </c>
      <c r="R44" s="248">
        <f t="shared" si="40"/>
        <v>-44.934381560342125</v>
      </c>
      <c r="S44" s="248">
        <f t="shared" si="40"/>
        <v>-44.962395421488694</v>
      </c>
      <c r="T44" s="248">
        <f t="shared" si="40"/>
        <v>-44.992056278016477</v>
      </c>
      <c r="U44" s="248">
        <f t="shared" si="40"/>
        <v>-45.023300751170339</v>
      </c>
      <c r="V44" s="248">
        <f t="shared" si="40"/>
        <v>-45.056067132812025</v>
      </c>
      <c r="W44" s="248">
        <f t="shared" si="40"/>
        <v>-45.090295347012891</v>
      </c>
      <c r="X44" s="248">
        <f t="shared" si="40"/>
        <v>-45.125926912469446</v>
      </c>
      <c r="Y44" s="248">
        <f t="shared" si="40"/>
        <v>-45.162904905724801</v>
      </c>
      <c r="Z44" s="248">
        <f t="shared" si="40"/>
        <v>-45.201173925179376</v>
      </c>
      <c r="AA44" s="248">
        <f t="shared" si="40"/>
        <v>-45.240680055874741</v>
      </c>
      <c r="AB44" s="248">
        <f t="shared" si="40"/>
        <v>-45.28137083503475</v>
      </c>
      <c r="AC44" s="248">
        <f t="shared" si="40"/>
        <v>-45.323195218348211</v>
      </c>
      <c r="AD44" s="248">
        <f t="shared" si="40"/>
        <v>-45.366103546977953</v>
      </c>
      <c r="AE44" s="248">
        <f t="shared" si="40"/>
        <v>-45.410047515281349</v>
      </c>
      <c r="AF44" s="248">
        <f t="shared" si="40"/>
        <v>-45.454980139227523</v>
      </c>
      <c r="AG44" s="248">
        <f t="shared" si="40"/>
        <v>-45.500855725496919</v>
      </c>
      <c r="AH44" s="248">
        <f t="shared" si="40"/>
        <v>-45.547629841249275</v>
      </c>
      <c r="AI44" s="248">
        <f t="shared" si="40"/>
        <v>-45.595259284545932</v>
      </c>
      <c r="AJ44" s="248">
        <f t="shared" si="40"/>
        <v>-45.643702055413279</v>
      </c>
      <c r="AK44" s="248">
        <f t="shared" si="40"/>
        <v>-45.692917327533728</v>
      </c>
      <c r="AL44" s="248">
        <f t="shared" si="40"/>
        <v>-45.74286542055161</v>
      </c>
      <c r="AM44" s="248">
        <f t="shared" si="40"/>
        <v>-45.793507772980931</v>
      </c>
      <c r="AN44" s="248">
        <f t="shared" si="40"/>
        <v>-45.844806915702726</v>
      </c>
      <c r="AO44" s="248">
        <f t="shared" si="40"/>
        <v>-45.896726446039693</v>
      </c>
      <c r="AP44" s="248">
        <f t="shared" si="40"/>
        <v>-45.949231002396218</v>
      </c>
      <c r="AQ44" s="248">
        <f t="shared" si="40"/>
        <v>-46.002286239451962</v>
      </c>
      <c r="AR44" s="248">
        <f t="shared" si="40"/>
        <v>-46.055858803897507</v>
      </c>
      <c r="AS44" s="248">
        <f t="shared" si="40"/>
        <v>-46.109916310700967</v>
      </c>
      <c r="AT44" s="248">
        <f t="shared" si="40"/>
        <v>-46.16442731989423</v>
      </c>
      <c r="AU44" s="248">
        <f t="shared" si="40"/>
        <v>-46.219361313868347</v>
      </c>
      <c r="AV44" s="248">
        <f t="shared" si="40"/>
        <v>-46.274688675167155</v>
      </c>
      <c r="AW44" s="248">
        <f t="shared" si="40"/>
        <v>-46.33038066476896</v>
      </c>
      <c r="AX44" s="248">
        <f t="shared" si="40"/>
        <v>-46.386409400846048</v>
      </c>
      <c r="AY44" s="248">
        <f t="shared" si="40"/>
        <v>-46.442747837992002</v>
      </c>
      <c r="AZ44" s="248">
        <f t="shared" si="40"/>
        <v>-46.499369746907036</v>
      </c>
      <c r="BA44" s="248">
        <f t="shared" si="40"/>
        <v>-46.556249694531985</v>
      </c>
      <c r="BB44" s="248">
        <f t="shared" si="40"/>
        <v>-46.613363024621236</v>
      </c>
      <c r="BC44" s="248">
        <f t="shared" si="40"/>
        <v>-46.670685838745698</v>
      </c>
      <c r="BD44" s="248">
        <f t="shared" si="40"/>
        <v>-46.728194977716598</v>
      </c>
      <c r="BE44" s="248">
        <f t="shared" si="40"/>
        <v>-46.78586800342147</v>
      </c>
      <c r="BF44" s="248">
        <f t="shared" si="40"/>
        <v>-46.84368318106354</v>
      </c>
      <c r="BG44" s="248">
        <f t="shared" si="40"/>
        <v>-46.901619461796088</v>
      </c>
      <c r="BH44" s="248">
        <f t="shared" si="40"/>
        <v>-46.959656465743514</v>
      </c>
      <c r="BI44" s="248">
        <f t="shared" si="40"/>
        <v>-47.017774465400962</v>
      </c>
      <c r="BJ44" s="248">
        <f t="shared" si="40"/>
        <v>-47.075954369404499</v>
      </c>
      <c r="BK44" s="248">
        <f t="shared" si="40"/>
        <v>-47.13417770666414</v>
      </c>
      <c r="BL44" s="248">
        <f t="shared" si="40"/>
        <v>-47.192426610851918</v>
      </c>
      <c r="BM44" s="248">
        <f t="shared" si="40"/>
        <v>-47.250683805237756</v>
      </c>
      <c r="BN44" s="248">
        <f t="shared" si="40"/>
        <v>-47.308932587865471</v>
      </c>
      <c r="BO44" s="248">
        <f t="shared" si="40"/>
        <v>-47.367156817062053</v>
      </c>
      <c r="BP44" s="248">
        <f t="shared" si="40"/>
        <v>-47.42534089727296</v>
      </c>
      <c r="BQ44" s="248">
        <f t="shared" si="40"/>
        <v>-47.483469765216562</v>
      </c>
      <c r="BR44" s="248">
        <f t="shared" si="40"/>
        <v>-47.541528876351137</v>
      </c>
      <c r="BS44" s="248">
        <f t="shared" si="40"/>
        <v>-47.599504191647512</v>
      </c>
      <c r="BT44" s="248">
        <f t="shared" si="40"/>
        <v>-47.657382164661165</v>
      </c>
      <c r="BU44" s="248">
        <f t="shared" si="39"/>
        <v>-47.715149728897167</v>
      </c>
      <c r="BV44" s="248">
        <f t="shared" si="39"/>
        <v>-47.77279428546197</v>
      </c>
      <c r="BW44" s="248">
        <f t="shared" si="39"/>
        <v>-47.830303690995812</v>
      </c>
      <c r="BX44" s="248">
        <f t="shared" si="39"/>
        <v>-47.887666245879743</v>
      </c>
      <c r="BY44" s="248">
        <f t="shared" si="39"/>
        <v>-47.944870682711525</v>
      </c>
      <c r="BZ44" s="248">
        <f t="shared" si="39"/>
        <v>-48.00190615504463</v>
      </c>
      <c r="CA44" s="248">
        <f t="shared" si="39"/>
        <v>-48.05876222638468</v>
      </c>
      <c r="CB44" s="248">
        <f t="shared" si="39"/>
        <v>-48.115428859437884</v>
      </c>
      <c r="CC44" s="248">
        <f t="shared" si="39"/>
        <v>-48.171896405606084</v>
      </c>
      <c r="CD44" s="248">
        <f t="shared" si="39"/>
        <v>-48.228155594723084</v>
      </c>
      <c r="CE44" s="248">
        <f t="shared" si="39"/>
        <v>-48.284197525027167</v>
      </c>
      <c r="CF44" s="248">
        <f t="shared" si="39"/>
        <v>-48.340013653364686</v>
      </c>
      <c r="CG44" s="248">
        <f t="shared" si="39"/>
        <v>-48.395595785619783</v>
      </c>
      <c r="CH44" s="248">
        <f t="shared" si="39"/>
        <v>-48.450936067365419</v>
      </c>
      <c r="CI44" s="248">
        <f t="shared" si="39"/>
        <v>-48.506026974730837</v>
      </c>
      <c r="CJ44" s="248">
        <f t="shared" si="39"/>
        <v>-48.560861305481026</v>
      </c>
      <c r="CK44" s="248">
        <f t="shared" si="39"/>
        <v>-48.615432170303372</v>
      </c>
      <c r="CL44" s="248">
        <f t="shared" si="39"/>
        <v>-48.669732984297134</v>
      </c>
      <c r="CM44" s="248">
        <f t="shared" si="39"/>
        <v>-48.723757458661552</v>
      </c>
      <c r="CN44" s="248">
        <f t="shared" si="39"/>
        <v>-48.777499592577868</v>
      </c>
      <c r="CO44" s="248">
        <f t="shared" si="39"/>
        <v>-48.830953665281534</v>
      </c>
      <c r="CP44" s="248">
        <f t="shared" si="39"/>
        <v>-48.884114228320172</v>
      </c>
      <c r="CQ44" s="248">
        <f t="shared" si="39"/>
        <v>-48.936976097993416</v>
      </c>
      <c r="CR44" s="248">
        <f t="shared" si="39"/>
        <v>-48.989534347970633</v>
      </c>
      <c r="CS44" s="248">
        <f t="shared" si="39"/>
        <v>-49.041784302082704</v>
      </c>
      <c r="CT44" s="248">
        <f t="shared" si="39"/>
        <v>-49.093721527283989</v>
      </c>
      <c r="CU44" s="248">
        <f t="shared" si="39"/>
        <v>-49.145341826780928</v>
      </c>
      <c r="CV44" s="248">
        <f t="shared" si="39"/>
        <v>-49.196641233323533</v>
      </c>
      <c r="CW44" s="248">
        <f t="shared" si="39"/>
        <v>-49.247616002656223</v>
      </c>
      <c r="CX44" s="248">
        <f t="shared" si="39"/>
        <v>-49.298262607124599</v>
      </c>
      <c r="CY44" s="248">
        <f t="shared" si="39"/>
        <v>-49.298262607124599</v>
      </c>
      <c r="CZ44" s="248">
        <f t="shared" si="39"/>
        <v>-49.298262607124599</v>
      </c>
      <c r="DA44" s="248">
        <f t="shared" si="39"/>
        <v>-49.298262607124599</v>
      </c>
      <c r="DB44" s="248">
        <f t="shared" si="39"/>
        <v>-49.298262607124599</v>
      </c>
      <c r="DC44" s="248">
        <f t="shared" si="39"/>
        <v>-49.298262607124599</v>
      </c>
      <c r="DD44" s="248">
        <f t="shared" si="39"/>
        <v>-49.298262607124599</v>
      </c>
      <c r="DE44" s="248">
        <f t="shared" si="39"/>
        <v>-49.298262607124599</v>
      </c>
      <c r="DF44" s="248">
        <f t="shared" si="39"/>
        <v>-49.298262607124599</v>
      </c>
      <c r="DG44" s="248">
        <f t="shared" si="39"/>
        <v>-49.298262607124599</v>
      </c>
      <c r="DH44" s="248">
        <f t="shared" si="39"/>
        <v>-49.298262607124599</v>
      </c>
      <c r="DI44" s="248">
        <f t="shared" si="39"/>
        <v>-49.298262607124599</v>
      </c>
      <c r="DJ44" s="248">
        <f t="shared" si="39"/>
        <v>-49.298262607124599</v>
      </c>
      <c r="DK44" s="248">
        <f t="shared" si="39"/>
        <v>-49.298262607124599</v>
      </c>
      <c r="DL44" s="248">
        <f t="shared" si="39"/>
        <v>-49.298262607124599</v>
      </c>
      <c r="DM44" s="248">
        <f t="shared" si="39"/>
        <v>-49.298262607124599</v>
      </c>
      <c r="DN44" s="248">
        <f t="shared" si="39"/>
        <v>-49.298262607124599</v>
      </c>
      <c r="DO44" s="248">
        <f t="shared" si="39"/>
        <v>-49.298262607124599</v>
      </c>
      <c r="DP44" s="248">
        <f t="shared" si="39"/>
        <v>-49.298262607124599</v>
      </c>
      <c r="DQ44" s="248">
        <f t="shared" si="39"/>
        <v>-49.298262607124599</v>
      </c>
      <c r="DR44" s="248">
        <f t="shared" si="39"/>
        <v>-49.298262607124599</v>
      </c>
      <c r="DS44" s="248">
        <f t="shared" si="39"/>
        <v>-49.298262607124599</v>
      </c>
      <c r="DT44" s="248">
        <f t="shared" si="39"/>
        <v>-49.298262607124599</v>
      </c>
      <c r="DU44" s="248">
        <f t="shared" si="39"/>
        <v>-49.298262607124599</v>
      </c>
      <c r="DV44" s="248">
        <f t="shared" si="39"/>
        <v>-49.298262607124599</v>
      </c>
      <c r="DW44" s="248">
        <f t="shared" si="39"/>
        <v>-49.298262607124599</v>
      </c>
      <c r="DX44" s="248">
        <f t="shared" si="39"/>
        <v>-49.298262607124599</v>
      </c>
      <c r="DY44" s="248">
        <f t="shared" si="39"/>
        <v>-49.298262607124599</v>
      </c>
      <c r="DZ44" s="248">
        <f t="shared" si="39"/>
        <v>-49.298262607124599</v>
      </c>
      <c r="EA44" s="248">
        <f t="shared" si="39"/>
        <v>-49.298262607124599</v>
      </c>
      <c r="EB44" s="248">
        <f t="shared" si="39"/>
        <v>-49.298262607124599</v>
      </c>
      <c r="EC44" s="248">
        <f t="shared" si="39"/>
        <v>-49.298262607124599</v>
      </c>
      <c r="ED44" s="248">
        <f t="shared" si="39"/>
        <v>-49.298262607124599</v>
      </c>
      <c r="EE44" s="248">
        <f t="shared" si="39"/>
        <v>-49.298262607124599</v>
      </c>
      <c r="EF44" s="248">
        <f t="shared" si="38"/>
        <v>-49.298262607124599</v>
      </c>
      <c r="EG44" s="248">
        <f t="shared" si="37"/>
        <v>-49.298262607124599</v>
      </c>
      <c r="EH44" s="248">
        <f t="shared" si="37"/>
        <v>-49.298262607124599</v>
      </c>
      <c r="EI44" s="248">
        <f t="shared" si="37"/>
        <v>-49.298262607124599</v>
      </c>
      <c r="EJ44" s="248">
        <f t="shared" si="37"/>
        <v>-49.298262607124599</v>
      </c>
      <c r="EK44" s="248">
        <f t="shared" si="37"/>
        <v>-49.298262607124599</v>
      </c>
      <c r="EL44" s="248">
        <f t="shared" si="37"/>
        <v>-49.298262607124599</v>
      </c>
      <c r="EM44" s="248">
        <f t="shared" si="37"/>
        <v>-49.298262607124599</v>
      </c>
      <c r="EN44" s="248">
        <f t="shared" si="37"/>
        <v>-49.298262607124599</v>
      </c>
      <c r="EO44" s="248">
        <f t="shared" si="37"/>
        <v>-49.298262607124599</v>
      </c>
      <c r="EP44" s="248">
        <f t="shared" si="37"/>
        <v>-49.298262607124599</v>
      </c>
      <c r="EQ44" s="248">
        <f t="shared" si="37"/>
        <v>-49.298262607124599</v>
      </c>
      <c r="ER44" s="248">
        <f t="shared" si="37"/>
        <v>-49.298262607124599</v>
      </c>
      <c r="ES44" s="248">
        <f t="shared" si="37"/>
        <v>-49.298262607124599</v>
      </c>
      <c r="ET44" s="248">
        <f t="shared" si="37"/>
        <v>-49.298262607124599</v>
      </c>
      <c r="FF44" s="704" t="s">
        <v>74</v>
      </c>
      <c r="FG44" s="706">
        <v>2.5000000000000001E-2</v>
      </c>
      <c r="FH44" s="706">
        <v>120</v>
      </c>
      <c r="FI44" s="281">
        <v>2.1000000000000001E-2</v>
      </c>
      <c r="FJ44" s="281">
        <v>1.8000000000000002E-2</v>
      </c>
      <c r="FK44" s="248">
        <f t="shared" si="11"/>
        <v>3.8888888888888887E-4</v>
      </c>
      <c r="FL44" s="248" t="e">
        <f>VLOOKUP(FF44,'SIMULADOR COM SALDO'!$BX$22:$CK$500,13,FALSE)</f>
        <v>#N/A</v>
      </c>
      <c r="FM44" s="249">
        <f t="shared" si="12"/>
        <v>2.07E-2</v>
      </c>
    </row>
    <row r="45" spans="5:169" s="248" customFormat="1" hidden="1" x14ac:dyDescent="0.25">
      <c r="F45" s="97"/>
      <c r="G45" s="248">
        <f t="shared" si="34"/>
        <v>-44.754630951739152</v>
      </c>
      <c r="H45" s="248">
        <f t="shared" si="35"/>
        <v>-44.759391487281796</v>
      </c>
      <c r="I45" s="248">
        <f t="shared" si="40"/>
        <v>-44.766411233906283</v>
      </c>
      <c r="J45" s="248">
        <f t="shared" si="40"/>
        <v>-44.775612228139487</v>
      </c>
      <c r="K45" s="248">
        <f t="shared" si="40"/>
        <v>-44.786918503966831</v>
      </c>
      <c r="L45" s="248">
        <f t="shared" si="40"/>
        <v>-44.800256047398719</v>
      </c>
      <c r="M45" s="248">
        <f t="shared" si="40"/>
        <v>-44.815552752006411</v>
      </c>
      <c r="N45" s="248">
        <f t="shared" si="40"/>
        <v>-44.832738375407303</v>
      </c>
      <c r="O45" s="248">
        <f t="shared" si="40"/>
        <v>-44.851744496680197</v>
      </c>
      <c r="P45" s="248">
        <f t="shared" si="40"/>
        <v>-44.872504474691468</v>
      </c>
      <c r="Q45" s="248">
        <f t="shared" si="40"/>
        <v>-44.894953407313309</v>
      </c>
      <c r="R45" s="248">
        <f t="shared" si="40"/>
        <v>-44.919028091515941</v>
      </c>
      <c r="S45" s="248">
        <f t="shared" si="40"/>
        <v>-44.944666984315674</v>
      </c>
      <c r="T45" s="248">
        <f t="shared" si="40"/>
        <v>-44.971810164561127</v>
      </c>
      <c r="U45" s="248">
        <f t="shared" si="40"/>
        <v>-45.000399295540603</v>
      </c>
      <c r="V45" s="248">
        <f t="shared" si="40"/>
        <v>-45.030377588393449</v>
      </c>
      <c r="W45" s="248">
        <f t="shared" si="40"/>
        <v>-45.061689766309016</v>
      </c>
      <c r="X45" s="248">
        <f t="shared" si="40"/>
        <v>-45.094282029496853</v>
      </c>
      <c r="Y45" s="248">
        <f t="shared" si="40"/>
        <v>-45.128102020912308</v>
      </c>
      <c r="Z45" s="248">
        <f t="shared" si="40"/>
        <v>-45.163098792721854</v>
      </c>
      <c r="AA45" s="248">
        <f t="shared" si="40"/>
        <v>-45.199222773493062</v>
      </c>
      <c r="AB45" s="248">
        <f t="shared" si="40"/>
        <v>-45.23642573609385</v>
      </c>
      <c r="AC45" s="248">
        <f t="shared" si="40"/>
        <v>-45.274660766286758</v>
      </c>
      <c r="AD45" s="248">
        <f t="shared" si="40"/>
        <v>-45.313882232003657</v>
      </c>
      <c r="AE45" s="248">
        <f t="shared" si="40"/>
        <v>-45.354045753286769</v>
      </c>
      <c r="AF45" s="248">
        <f t="shared" si="40"/>
        <v>-45.395108172882331</v>
      </c>
      <c r="AG45" s="248">
        <f t="shared" si="40"/>
        <v>-45.437027527473134</v>
      </c>
      <c r="AH45" s="248">
        <f t="shared" si="40"/>
        <v>-45.479763019537089</v>
      </c>
      <c r="AI45" s="248">
        <f t="shared" si="40"/>
        <v>-45.523274989818304</v>
      </c>
      <c r="AJ45" s="248">
        <f t="shared" si="40"/>
        <v>-45.567524890398417</v>
      </c>
      <c r="AK45" s="248">
        <f t="shared" si="40"/>
        <v>-45.612475258355417</v>
      </c>
      <c r="AL45" s="248">
        <f t="shared" si="40"/>
        <v>-45.658089689997752</v>
      </c>
      <c r="AM45" s="248">
        <f t="shared" si="40"/>
        <v>-45.704332815662013</v>
      </c>
      <c r="AN45" s="248">
        <f t="shared" si="40"/>
        <v>-45.751170275062023</v>
      </c>
      <c r="AO45" s="248">
        <f t="shared" si="40"/>
        <v>-45.798568693178268</v>
      </c>
      <c r="AP45" s="248">
        <f t="shared" si="40"/>
        <v>-45.846495656676041</v>
      </c>
      <c r="AQ45" s="248">
        <f t="shared" si="40"/>
        <v>-45.894919690841647</v>
      </c>
      <c r="AR45" s="248">
        <f t="shared" si="40"/>
        <v>-45.94381023702536</v>
      </c>
      <c r="AS45" s="248">
        <f t="shared" si="40"/>
        <v>-45.99313763058106</v>
      </c>
      <c r="AT45" s="248">
        <f t="shared" si="40"/>
        <v>-46.042873079291738</v>
      </c>
      <c r="AU45" s="248">
        <f t="shared" si="40"/>
        <v>-46.09298864227101</v>
      </c>
      <c r="AV45" s="248">
        <f t="shared" si="40"/>
        <v>-46.14345720933045</v>
      </c>
      <c r="AW45" s="248">
        <f t="shared" si="40"/>
        <v>-46.19425248080308</v>
      </c>
      <c r="AX45" s="248">
        <f t="shared" si="40"/>
        <v>-46.245348947813497</v>
      </c>
      <c r="AY45" s="248">
        <f t="shared" si="40"/>
        <v>-46.296721872985174</v>
      </c>
      <c r="AZ45" s="248">
        <f t="shared" si="40"/>
        <v>-46.348347271575747</v>
      </c>
      <c r="BA45" s="248">
        <f t="shared" si="40"/>
        <v>-46.400201893031394</v>
      </c>
      <c r="BB45" s="248">
        <f t="shared" si="40"/>
        <v>-46.452263202951343</v>
      </c>
      <c r="BC45" s="248">
        <f t="shared" si="40"/>
        <v>-46.504509365454126</v>
      </c>
      <c r="BD45" s="248">
        <f t="shared" si="40"/>
        <v>-46.55691922593671</v>
      </c>
      <c r="BE45" s="248">
        <f t="shared" si="40"/>
        <v>-46.609472294218705</v>
      </c>
      <c r="BF45" s="248">
        <f t="shared" si="40"/>
        <v>-46.662148728063116</v>
      </c>
      <c r="BG45" s="248">
        <f t="shared" si="40"/>
        <v>-46.714929317065952</v>
      </c>
      <c r="BH45" s="248">
        <f t="shared" si="40"/>
        <v>-46.767795466906762</v>
      </c>
      <c r="BI45" s="248">
        <f t="shared" si="40"/>
        <v>-46.82072918395248</v>
      </c>
      <c r="BJ45" s="248">
        <f t="shared" si="40"/>
        <v>-46.873713060207265</v>
      </c>
      <c r="BK45" s="248">
        <f t="shared" si="40"/>
        <v>-46.926730258600742</v>
      </c>
      <c r="BL45" s="248">
        <f t="shared" si="40"/>
        <v>-46.979764498607601</v>
      </c>
      <c r="BM45" s="248">
        <f t="shared" si="40"/>
        <v>-47.032800042191646</v>
      </c>
      <c r="BN45" s="248">
        <f t="shared" si="40"/>
        <v>-47.085821680067212</v>
      </c>
      <c r="BO45" s="248">
        <f t="shared" si="40"/>
        <v>-47.13881471827127</v>
      </c>
      <c r="BP45" s="248">
        <f t="shared" si="40"/>
        <v>-47.191764965039688</v>
      </c>
      <c r="BQ45" s="248">
        <f t="shared" si="40"/>
        <v>-47.244658717981068</v>
      </c>
      <c r="BR45" s="248">
        <f t="shared" si="40"/>
        <v>-47.297482751541914</v>
      </c>
      <c r="BS45" s="248">
        <f t="shared" si="40"/>
        <v>-47.350224304756857</v>
      </c>
      <c r="BT45" s="248">
        <f t="shared" si="40"/>
        <v>-47.402871069277836</v>
      </c>
      <c r="BU45" s="248">
        <f t="shared" si="39"/>
        <v>-47.455411177676424</v>
      </c>
      <c r="BV45" s="248">
        <f t="shared" si="39"/>
        <v>-47.507833192013237</v>
      </c>
      <c r="BW45" s="248">
        <f t="shared" si="39"/>
        <v>-47.560126092668938</v>
      </c>
      <c r="BX45" s="248">
        <f t="shared" si="39"/>
        <v>-47.612279267431063</v>
      </c>
      <c r="BY45" s="248">
        <f t="shared" si="39"/>
        <v>-47.664282500831256</v>
      </c>
      <c r="BZ45" s="248">
        <f t="shared" si="39"/>
        <v>-47.716125963727634</v>
      </c>
      <c r="CA45" s="248">
        <f t="shared" si="39"/>
        <v>-47.767800203126839</v>
      </c>
      <c r="CB45" s="248">
        <f t="shared" si="39"/>
        <v>-47.819296132240709</v>
      </c>
      <c r="CC45" s="248">
        <f t="shared" si="39"/>
        <v>-47.870605020772615</v>
      </c>
      <c r="CD45" s="248">
        <f t="shared" si="39"/>
        <v>-47.921718485428379</v>
      </c>
      <c r="CE45" s="248">
        <f t="shared" si="39"/>
        <v>-47.972628480647039</v>
      </c>
      <c r="CF45" s="248">
        <f t="shared" si="39"/>
        <v>-48.023327289546629</v>
      </c>
      <c r="CG45" s="248">
        <f t="shared" si="39"/>
        <v>-48.073807515080375</v>
      </c>
      <c r="CH45" s="248">
        <f t="shared" si="39"/>
        <v>-48.124062071398889</v>
      </c>
      <c r="CI45" s="248">
        <f t="shared" si="39"/>
        <v>-48.174084175413618</v>
      </c>
      <c r="CJ45" s="248">
        <f t="shared" si="39"/>
        <v>-48.223867338557476</v>
      </c>
      <c r="CK45" s="248">
        <f t="shared" si="39"/>
        <v>-48.273405358738216</v>
      </c>
      <c r="CL45" s="248">
        <f t="shared" si="39"/>
        <v>-48.322692312480442</v>
      </c>
      <c r="CM45" s="248">
        <f t="shared" si="39"/>
        <v>-48.371722547252148</v>
      </c>
      <c r="CN45" s="248">
        <f t="shared" si="39"/>
        <v>-48.420490673971756</v>
      </c>
      <c r="CO45" s="248">
        <f t="shared" si="39"/>
        <v>-48.468991559691709</v>
      </c>
      <c r="CP45" s="248">
        <f t="shared" si="39"/>
        <v>-48.517220320454882</v>
      </c>
      <c r="CQ45" s="248">
        <f t="shared" si="39"/>
        <v>-48.565172314319874</v>
      </c>
      <c r="CR45" s="248">
        <f t="shared" si="39"/>
        <v>-48.612843134551682</v>
      </c>
      <c r="CS45" s="248">
        <f t="shared" si="39"/>
        <v>-48.660228602973937</v>
      </c>
      <c r="CT45" s="248">
        <f t="shared" si="39"/>
        <v>-48.707324763479463</v>
      </c>
      <c r="CU45" s="248">
        <f t="shared" si="39"/>
        <v>-48.754127875695289</v>
      </c>
      <c r="CV45" s="248">
        <f t="shared" si="39"/>
        <v>-48.800634408799169</v>
      </c>
      <c r="CW45" s="248">
        <f t="shared" si="39"/>
        <v>-48.846841035483926</v>
      </c>
      <c r="CX45" s="248">
        <f t="shared" si="39"/>
        <v>-48.892744626066595</v>
      </c>
      <c r="CY45" s="248">
        <f t="shared" si="39"/>
        <v>-48.892744626066595</v>
      </c>
      <c r="CZ45" s="248">
        <f t="shared" si="39"/>
        <v>-48.892744626066595</v>
      </c>
      <c r="DA45" s="248">
        <f t="shared" si="39"/>
        <v>-48.892744626066595</v>
      </c>
      <c r="DB45" s="248">
        <f t="shared" si="39"/>
        <v>-48.892744626066595</v>
      </c>
      <c r="DC45" s="248">
        <f t="shared" si="39"/>
        <v>-48.892744626066595</v>
      </c>
      <c r="DD45" s="248">
        <f t="shared" si="39"/>
        <v>-48.892744626066595</v>
      </c>
      <c r="DE45" s="248">
        <f t="shared" si="39"/>
        <v>-48.892744626066595</v>
      </c>
      <c r="DF45" s="248">
        <f t="shared" si="39"/>
        <v>-48.892744626066595</v>
      </c>
      <c r="DG45" s="248">
        <f t="shared" si="39"/>
        <v>-48.892744626066595</v>
      </c>
      <c r="DH45" s="248">
        <f t="shared" si="39"/>
        <v>-48.892744626066595</v>
      </c>
      <c r="DI45" s="248">
        <f t="shared" si="39"/>
        <v>-48.892744626066595</v>
      </c>
      <c r="DJ45" s="248">
        <f t="shared" si="39"/>
        <v>-48.892744626066595</v>
      </c>
      <c r="DK45" s="248">
        <f t="shared" si="39"/>
        <v>-48.892744626066595</v>
      </c>
      <c r="DL45" s="248">
        <f t="shared" si="39"/>
        <v>-48.892744626066595</v>
      </c>
      <c r="DM45" s="248">
        <f t="shared" si="39"/>
        <v>-48.892744626066595</v>
      </c>
      <c r="DN45" s="248">
        <f t="shared" si="39"/>
        <v>-48.892744626066595</v>
      </c>
      <c r="DO45" s="248">
        <f t="shared" si="39"/>
        <v>-48.892744626066595</v>
      </c>
      <c r="DP45" s="248">
        <f t="shared" si="39"/>
        <v>-48.892744626066595</v>
      </c>
      <c r="DQ45" s="248">
        <f t="shared" si="39"/>
        <v>-48.892744626066595</v>
      </c>
      <c r="DR45" s="248">
        <f t="shared" si="39"/>
        <v>-48.892744626066595</v>
      </c>
      <c r="DS45" s="248">
        <f t="shared" si="39"/>
        <v>-48.892744626066595</v>
      </c>
      <c r="DT45" s="248">
        <f t="shared" si="39"/>
        <v>-48.892744626066595</v>
      </c>
      <c r="DU45" s="248">
        <f t="shared" si="39"/>
        <v>-48.892744626066595</v>
      </c>
      <c r="DV45" s="248">
        <f t="shared" si="39"/>
        <v>-48.892744626066595</v>
      </c>
      <c r="DW45" s="248">
        <f t="shared" si="39"/>
        <v>-48.892744626066595</v>
      </c>
      <c r="DX45" s="248">
        <f t="shared" si="39"/>
        <v>-48.892744626066595</v>
      </c>
      <c r="DY45" s="248">
        <f t="shared" si="39"/>
        <v>-48.892744626066595</v>
      </c>
      <c r="DZ45" s="248">
        <f t="shared" si="39"/>
        <v>-48.892744626066595</v>
      </c>
      <c r="EA45" s="248">
        <f t="shared" si="39"/>
        <v>-48.892744626066595</v>
      </c>
      <c r="EB45" s="248">
        <f t="shared" si="39"/>
        <v>-48.892744626066595</v>
      </c>
      <c r="EC45" s="248">
        <f t="shared" si="39"/>
        <v>-48.892744626066595</v>
      </c>
      <c r="ED45" s="248">
        <f t="shared" si="39"/>
        <v>-48.892744626066595</v>
      </c>
      <c r="EE45" s="248">
        <f t="shared" si="39"/>
        <v>-48.892744626066595</v>
      </c>
      <c r="EF45" s="248">
        <f t="shared" si="38"/>
        <v>-48.892744626066595</v>
      </c>
      <c r="EG45" s="248">
        <f t="shared" si="37"/>
        <v>-48.892744626066595</v>
      </c>
      <c r="EH45" s="248">
        <f t="shared" si="37"/>
        <v>-48.892744626066595</v>
      </c>
      <c r="EI45" s="248">
        <f t="shared" si="37"/>
        <v>-48.892744626066595</v>
      </c>
      <c r="EJ45" s="248">
        <f t="shared" si="37"/>
        <v>-48.892744626066595</v>
      </c>
      <c r="EK45" s="248">
        <f t="shared" si="37"/>
        <v>-48.892744626066595</v>
      </c>
      <c r="EL45" s="248">
        <f t="shared" si="37"/>
        <v>-48.892744626066595</v>
      </c>
      <c r="EM45" s="248">
        <f t="shared" si="37"/>
        <v>-48.892744626066595</v>
      </c>
      <c r="EN45" s="248">
        <f t="shared" si="37"/>
        <v>-48.892744626066595</v>
      </c>
      <c r="EO45" s="248">
        <f t="shared" si="37"/>
        <v>-48.892744626066595</v>
      </c>
      <c r="EP45" s="248">
        <f t="shared" si="37"/>
        <v>-48.892744626066595</v>
      </c>
      <c r="EQ45" s="248">
        <f t="shared" si="37"/>
        <v>-48.892744626066595</v>
      </c>
      <c r="ER45" s="248">
        <f t="shared" si="37"/>
        <v>-48.892744626066595</v>
      </c>
      <c r="ES45" s="248">
        <f t="shared" si="37"/>
        <v>-48.892744626066595</v>
      </c>
      <c r="ET45" s="248">
        <f t="shared" si="37"/>
        <v>-48.892744626066595</v>
      </c>
      <c r="FF45" s="703" t="s">
        <v>216</v>
      </c>
      <c r="FG45" s="706">
        <v>2.8999999999999998E-2</v>
      </c>
      <c r="FH45" s="706">
        <v>120</v>
      </c>
      <c r="FI45" s="281">
        <v>1.5700000000000002E-2</v>
      </c>
      <c r="FJ45" s="281">
        <v>1.3999999999999999E-2</v>
      </c>
      <c r="FK45" s="248">
        <f t="shared" si="11"/>
        <v>8.3333333333333328E-4</v>
      </c>
      <c r="FL45" s="248" t="e">
        <f>VLOOKUP(FF45,'SIMULADOR COM SALDO'!$BX$22:$CK$500,13,FALSE)</f>
        <v>#N/A</v>
      </c>
      <c r="FM45" s="249">
        <f t="shared" si="12"/>
        <v>1.5400000000000002E-2</v>
      </c>
    </row>
    <row r="46" spans="5:169" s="248" customFormat="1" hidden="1" x14ac:dyDescent="0.25">
      <c r="F46" s="97"/>
      <c r="G46" s="248">
        <f t="shared" si="34"/>
        <v>-44.754410338622101</v>
      </c>
      <c r="H46" s="248">
        <f t="shared" si="35"/>
        <v>-44.758736642670762</v>
      </c>
      <c r="I46" s="248">
        <f t="shared" si="40"/>
        <v>-44.765115367830781</v>
      </c>
      <c r="J46" s="248">
        <f t="shared" si="40"/>
        <v>-44.773475216217818</v>
      </c>
      <c r="K46" s="248">
        <f t="shared" si="40"/>
        <v>-44.783746728034615</v>
      </c>
      <c r="L46" s="248">
        <f t="shared" si="40"/>
        <v>-44.795862239515486</v>
      </c>
      <c r="M46" s="248">
        <f t="shared" si="40"/>
        <v>-44.809755841772905</v>
      </c>
      <c r="N46" s="248">
        <f t="shared" si="40"/>
        <v>-44.825363340528028</v>
      </c>
      <c r="O46" s="248">
        <f t="shared" si="40"/>
        <v>-44.842622216706495</v>
      </c>
      <c r="P46" s="248">
        <f t="shared" si="40"/>
        <v>-44.861471587881837</v>
      </c>
      <c r="Q46" s="248">
        <f t="shared" si="40"/>
        <v>-44.881852170549102</v>
      </c>
      <c r="R46" s="248">
        <f t="shared" si="40"/>
        <v>-44.903706243211161</v>
      </c>
      <c r="S46" s="248">
        <f t="shared" si="40"/>
        <v>-44.926977610261495</v>
      </c>
      <c r="T46" s="248">
        <f t="shared" si="40"/>
        <v>-44.951611566646442</v>
      </c>
      <c r="U46" s="248">
        <f t="shared" si="40"/>
        <v>-44.977554863290933</v>
      </c>
      <c r="V46" s="248">
        <f t="shared" si="40"/>
        <v>-45.004755673272143</v>
      </c>
      <c r="W46" s="248">
        <f t="shared" si="40"/>
        <v>-45.033163558725242</v>
      </c>
      <c r="X46" s="248">
        <f t="shared" si="40"/>
        <v>-45.062729438466206</v>
      </c>
      <c r="Y46" s="248">
        <f t="shared" si="40"/>
        <v>-45.093405556316867</v>
      </c>
      <c r="Z46" s="248">
        <f t="shared" si="40"/>
        <v>-45.125145450117486</v>
      </c>
      <c r="AA46" s="248">
        <f t="shared" si="40"/>
        <v>-45.157903921412725</v>
      </c>
      <c r="AB46" s="248">
        <f t="shared" si="40"/>
        <v>-45.191637005796906</v>
      </c>
      <c r="AC46" s="248">
        <f t="shared" si="40"/>
        <v>-45.226301943904865</v>
      </c>
      <c r="AD46" s="248">
        <f t="shared" si="40"/>
        <v>-45.261857153034988</v>
      </c>
      <c r="AE46" s="248">
        <f t="shared" si="40"/>
        <v>-45.29826219939136</v>
      </c>
      <c r="AF46" s="248">
        <f t="shared" si="40"/>
        <v>-45.335477770931902</v>
      </c>
      <c r="AG46" s="248">
        <f t="shared" si="40"/>
        <v>-45.37346565081004</v>
      </c>
      <c r="AH46" s="248">
        <f t="shared" si="40"/>
        <v>-45.412188691397532</v>
      </c>
      <c r="AI46" s="248">
        <f t="shared" si="40"/>
        <v>-45.451610788876145</v>
      </c>
      <c r="AJ46" s="248">
        <f t="shared" si="40"/>
        <v>-45.491696858386625</v>
      </c>
      <c r="AK46" s="248">
        <f t="shared" si="40"/>
        <v>-45.532412809722828</v>
      </c>
      <c r="AL46" s="248">
        <f t="shared" si="40"/>
        <v>-45.573725523560114</v>
      </c>
      <c r="AM46" s="248">
        <f t="shared" si="40"/>
        <v>-45.615602828206534</v>
      </c>
      <c r="AN46" s="248">
        <f t="shared" si="40"/>
        <v>-45.658013476865861</v>
      </c>
      <c r="AO46" s="248">
        <f t="shared" si="40"/>
        <v>-45.700927125401833</v>
      </c>
      <c r="AP46" s="248">
        <f t="shared" si="40"/>
        <v>-45.74431431059314</v>
      </c>
      <c r="AQ46" s="248">
        <f t="shared" si="40"/>
        <v>-45.788146428868629</v>
      </c>
      <c r="AR46" s="248">
        <f t="shared" si="40"/>
        <v>-45.832395715512931</v>
      </c>
      <c r="AS46" s="248">
        <f t="shared" si="40"/>
        <v>-45.877035224332353</v>
      </c>
      <c r="AT46" s="248">
        <f t="shared" si="40"/>
        <v>-45.922038807771614</v>
      </c>
      <c r="AU46" s="248">
        <f t="shared" si="40"/>
        <v>-45.967381097471716</v>
      </c>
      <c r="AV46" s="248">
        <f t="shared" si="40"/>
        <v>-46.013037485259794</v>
      </c>
      <c r="AW46" s="248">
        <f t="shared" si="40"/>
        <v>-46.058984104561745</v>
      </c>
      <c r="AX46" s="248">
        <f t="shared" si="40"/>
        <v>-46.105197812228838</v>
      </c>
      <c r="AY46" s="248">
        <f t="shared" si="40"/>
        <v>-46.151656170769485</v>
      </c>
      <c r="AZ46" s="248">
        <f t="shared" si="40"/>
        <v>-46.198337430977588</v>
      </c>
      <c r="BA46" s="248">
        <f t="shared" si="40"/>
        <v>-46.245220514949139</v>
      </c>
      <c r="BB46" s="248">
        <f t="shared" si="40"/>
        <v>-46.292284999478909</v>
      </c>
      <c r="BC46" s="248">
        <f t="shared" si="40"/>
        <v>-46.339511099829039</v>
      </c>
      <c r="BD46" s="248">
        <f t="shared" si="40"/>
        <v>-46.386879653861698</v>
      </c>
      <c r="BE46" s="248">
        <f t="shared" si="40"/>
        <v>-46.434372106528258</v>
      </c>
      <c r="BF46" s="248">
        <f t="shared" si="40"/>
        <v>-46.481970494707149</v>
      </c>
      <c r="BG46" s="248">
        <f t="shared" si="40"/>
        <v>-46.529657432383217</v>
      </c>
      <c r="BH46" s="248">
        <f t="shared" si="40"/>
        <v>-46.577416096161166</v>
      </c>
      <c r="BI46" s="248">
        <f t="shared" si="40"/>
        <v>-46.625230211106064</v>
      </c>
      <c r="BJ46" s="248">
        <f t="shared" si="40"/>
        <v>-46.673084036904015</v>
      </c>
      <c r="BK46" s="248">
        <f t="shared" si="40"/>
        <v>-46.720962354336045</v>
      </c>
      <c r="BL46" s="248">
        <f t="shared" si="40"/>
        <v>-46.768850452058501</v>
      </c>
      <c r="BM46" s="248">
        <f t="shared" si="40"/>
        <v>-46.816734113683651</v>
      </c>
      <c r="BN46" s="248">
        <f t="shared" si="40"/>
        <v>-46.864599605153828</v>
      </c>
      <c r="BO46" s="248">
        <f t="shared" si="40"/>
        <v>-46.912433662402954</v>
      </c>
      <c r="BP46" s="248">
        <f t="shared" si="40"/>
        <v>-46.960223479299358</v>
      </c>
      <c r="BQ46" s="248">
        <f t="shared" si="40"/>
        <v>-47.007956695863676</v>
      </c>
      <c r="BR46" s="248">
        <f t="shared" si="40"/>
        <v>-47.055621386756172</v>
      </c>
      <c r="BS46" s="248">
        <f t="shared" si="40"/>
        <v>-47.103206050027531</v>
      </c>
      <c r="BT46" s="248">
        <f t="shared" si="40"/>
        <v>-47.150699596127524</v>
      </c>
      <c r="BU46" s="248">
        <f t="shared" si="39"/>
        <v>-47.198091337166069</v>
      </c>
      <c r="BV46" s="248">
        <f t="shared" si="39"/>
        <v>-47.245370976421121</v>
      </c>
      <c r="BW46" s="248">
        <f t="shared" si="39"/>
        <v>-47.292528598088261</v>
      </c>
      <c r="BX46" s="248">
        <f t="shared" si="39"/>
        <v>-47.339554657266582</v>
      </c>
      <c r="BY46" s="248">
        <f t="shared" si="39"/>
        <v>-47.386439970175957</v>
      </c>
      <c r="BZ46" s="248">
        <f t="shared" si="39"/>
        <v>-47.433175704600586</v>
      </c>
      <c r="CA46" s="248">
        <f t="shared" si="39"/>
        <v>-47.479753370553979</v>
      </c>
      <c r="CB46" s="248">
        <f t="shared" si="39"/>
        <v>-47.526164811160548</v>
      </c>
      <c r="CC46" s="248">
        <f t="shared" si="39"/>
        <v>-47.572402193749227</v>
      </c>
      <c r="CD46" s="248">
        <f t="shared" si="39"/>
        <v>-47.618458001154345</v>
      </c>
      <c r="CE46" s="248">
        <f t="shared" si="39"/>
        <v>-47.664325023219455</v>
      </c>
      <c r="CF46" s="248">
        <f t="shared" si="39"/>
        <v>-47.709996348499672</v>
      </c>
      <c r="CG46" s="248">
        <f t="shared" si="39"/>
        <v>-47.755465356157977</v>
      </c>
      <c r="CH46" s="248">
        <f t="shared" si="39"/>
        <v>-47.800725708051715</v>
      </c>
      <c r="CI46" s="248">
        <f t="shared" si="39"/>
        <v>-47.845771341004713</v>
      </c>
      <c r="CJ46" s="248">
        <f t="shared" si="39"/>
        <v>-47.890596459261211</v>
      </c>
      <c r="CK46" s="248">
        <f t="shared" si="39"/>
        <v>-47.935195527117628</v>
      </c>
      <c r="CL46" s="248">
        <f t="shared" si="39"/>
        <v>-47.979563261728202</v>
      </c>
      <c r="CM46" s="248">
        <f t="shared" si="39"/>
        <v>-48.023694626080768</v>
      </c>
      <c r="CN46" s="248">
        <f t="shared" si="39"/>
        <v>-48.067584822138933</v>
      </c>
      <c r="CO46" s="248">
        <f t="shared" si="39"/>
        <v>-48.111229284147008</v>
      </c>
      <c r="CP46" s="248">
        <f t="shared" si="39"/>
        <v>-48.154623672094104</v>
      </c>
      <c r="CQ46" s="248">
        <f t="shared" si="39"/>
        <v>-48.197763865334032</v>
      </c>
      <c r="CR46" s="248">
        <f t="shared" si="39"/>
        <v>-48.240645956357312</v>
      </c>
      <c r="CS46" s="248">
        <f t="shared" si="39"/>
        <v>-48.283266244712301</v>
      </c>
      <c r="CT46" s="248">
        <f t="shared" si="39"/>
        <v>-48.325621231071807</v>
      </c>
      <c r="CU46" s="248">
        <f t="shared" si="39"/>
        <v>-48.367707611442285</v>
      </c>
      <c r="CV46" s="248">
        <f t="shared" si="39"/>
        <v>-48.409522271512323</v>
      </c>
      <c r="CW46" s="248">
        <f t="shared" si="39"/>
        <v>-48.451062281137247</v>
      </c>
      <c r="CX46" s="248">
        <f t="shared" si="39"/>
        <v>-48.492324888957093</v>
      </c>
      <c r="CY46" s="248">
        <f t="shared" si="39"/>
        <v>-48.492324888957093</v>
      </c>
      <c r="CZ46" s="248">
        <f t="shared" si="39"/>
        <v>-48.492324888957093</v>
      </c>
      <c r="DA46" s="248">
        <f t="shared" si="39"/>
        <v>-48.492324888957093</v>
      </c>
      <c r="DB46" s="248">
        <f t="shared" si="39"/>
        <v>-48.492324888957093</v>
      </c>
      <c r="DC46" s="248">
        <f t="shared" si="39"/>
        <v>-48.492324888957093</v>
      </c>
      <c r="DD46" s="248">
        <f t="shared" si="39"/>
        <v>-48.492324888957093</v>
      </c>
      <c r="DE46" s="248">
        <f t="shared" si="39"/>
        <v>-48.492324888957093</v>
      </c>
      <c r="DF46" s="248">
        <f t="shared" si="39"/>
        <v>-48.492324888957093</v>
      </c>
      <c r="DG46" s="248">
        <f t="shared" si="39"/>
        <v>-48.492324888957093</v>
      </c>
      <c r="DH46" s="248">
        <f t="shared" si="39"/>
        <v>-48.492324888957093</v>
      </c>
      <c r="DI46" s="248">
        <f t="shared" si="39"/>
        <v>-48.492324888957093</v>
      </c>
      <c r="DJ46" s="248">
        <f t="shared" si="39"/>
        <v>-48.492324888957093</v>
      </c>
      <c r="DK46" s="248">
        <f t="shared" si="39"/>
        <v>-48.492324888957093</v>
      </c>
      <c r="DL46" s="248">
        <f t="shared" si="39"/>
        <v>-48.492324888957093</v>
      </c>
      <c r="DM46" s="248">
        <f t="shared" si="39"/>
        <v>-48.492324888957093</v>
      </c>
      <c r="DN46" s="248">
        <f t="shared" si="39"/>
        <v>-48.492324888957093</v>
      </c>
      <c r="DO46" s="248">
        <f t="shared" si="39"/>
        <v>-48.492324888957093</v>
      </c>
      <c r="DP46" s="248">
        <f t="shared" si="39"/>
        <v>-48.492324888957093</v>
      </c>
      <c r="DQ46" s="248">
        <f t="shared" si="39"/>
        <v>-48.492324888957093</v>
      </c>
      <c r="DR46" s="248">
        <f t="shared" si="39"/>
        <v>-48.492324888957093</v>
      </c>
      <c r="DS46" s="248">
        <f t="shared" si="39"/>
        <v>-48.492324888957093</v>
      </c>
      <c r="DT46" s="248">
        <f t="shared" si="39"/>
        <v>-48.492324888957093</v>
      </c>
      <c r="DU46" s="248">
        <f t="shared" si="39"/>
        <v>-48.492324888957093</v>
      </c>
      <c r="DV46" s="248">
        <f t="shared" si="39"/>
        <v>-48.492324888957093</v>
      </c>
      <c r="DW46" s="248">
        <f t="shared" si="39"/>
        <v>-48.492324888957093</v>
      </c>
      <c r="DX46" s="248">
        <f t="shared" si="39"/>
        <v>-48.492324888957093</v>
      </c>
      <c r="DY46" s="248">
        <f t="shared" si="39"/>
        <v>-48.492324888957093</v>
      </c>
      <c r="DZ46" s="248">
        <f t="shared" si="39"/>
        <v>-48.492324888957093</v>
      </c>
      <c r="EA46" s="248">
        <f t="shared" si="39"/>
        <v>-48.492324888957093</v>
      </c>
      <c r="EB46" s="248">
        <f t="shared" si="39"/>
        <v>-48.492324888957093</v>
      </c>
      <c r="EC46" s="248">
        <f t="shared" si="39"/>
        <v>-48.492324888957093</v>
      </c>
      <c r="ED46" s="248">
        <f t="shared" si="39"/>
        <v>-48.492324888957093</v>
      </c>
      <c r="EE46" s="248">
        <f t="shared" si="39"/>
        <v>-48.492324888957093</v>
      </c>
      <c r="EF46" s="248">
        <f t="shared" si="38"/>
        <v>-48.492324888957093</v>
      </c>
      <c r="EG46" s="248">
        <f t="shared" si="37"/>
        <v>-48.492324888957093</v>
      </c>
      <c r="EH46" s="248">
        <f t="shared" si="37"/>
        <v>-48.492324888957093</v>
      </c>
      <c r="EI46" s="248">
        <f t="shared" si="37"/>
        <v>-48.492324888957093</v>
      </c>
      <c r="EJ46" s="248">
        <f t="shared" si="37"/>
        <v>-48.492324888957093</v>
      </c>
      <c r="EK46" s="248">
        <f t="shared" si="37"/>
        <v>-48.492324888957093</v>
      </c>
      <c r="EL46" s="248">
        <f t="shared" si="37"/>
        <v>-48.492324888957093</v>
      </c>
      <c r="EM46" s="248">
        <f t="shared" si="37"/>
        <v>-48.492324888957093</v>
      </c>
      <c r="EN46" s="248">
        <f t="shared" si="37"/>
        <v>-48.492324888957093</v>
      </c>
      <c r="EO46" s="248">
        <f t="shared" si="37"/>
        <v>-48.492324888957093</v>
      </c>
      <c r="EP46" s="248">
        <f t="shared" si="37"/>
        <v>-48.492324888957093</v>
      </c>
      <c r="EQ46" s="248">
        <f t="shared" si="37"/>
        <v>-48.492324888957093</v>
      </c>
      <c r="ER46" s="248">
        <f t="shared" si="37"/>
        <v>-48.492324888957093</v>
      </c>
      <c r="ES46" s="248">
        <f t="shared" si="37"/>
        <v>-48.492324888957093</v>
      </c>
      <c r="ET46" s="248">
        <f t="shared" si="37"/>
        <v>-48.492324888957093</v>
      </c>
      <c r="FF46" s="703" t="s">
        <v>380</v>
      </c>
      <c r="FG46" s="706">
        <v>2.5000000000000001E-2</v>
      </c>
      <c r="FH46" s="706">
        <v>96</v>
      </c>
      <c r="FI46" s="281">
        <v>1.7500000000000002E-2</v>
      </c>
      <c r="FJ46" s="281">
        <v>1.47E-2</v>
      </c>
      <c r="FK46" s="248">
        <f t="shared" si="11"/>
        <v>5.7222222222222234E-4</v>
      </c>
      <c r="FL46" s="248" t="e">
        <f>VLOOKUP(FF46,'SIMULADOR COM SALDO'!$BX$22:$CK$500,13,FALSE)</f>
        <v>#N/A</v>
      </c>
      <c r="FM46" s="249">
        <f t="shared" si="12"/>
        <v>1.72E-2</v>
      </c>
    </row>
    <row r="47" spans="5:169" s="248" customFormat="1" hidden="1" x14ac:dyDescent="0.25">
      <c r="F47" s="97"/>
      <c r="G47" s="248">
        <f t="shared" si="34"/>
        <v>-44.754189824380099</v>
      </c>
      <c r="H47" s="248">
        <f t="shared" si="35"/>
        <v>-44.758082188824801</v>
      </c>
      <c r="I47" s="248">
        <f t="shared" si="40"/>
        <v>-44.763820466981379</v>
      </c>
      <c r="J47" s="248">
        <f t="shared" si="40"/>
        <v>-44.771340111673538</v>
      </c>
      <c r="K47" s="248">
        <f t="shared" si="40"/>
        <v>-44.780578250147137</v>
      </c>
      <c r="L47" s="248">
        <f t="shared" si="40"/>
        <v>-44.791473645531916</v>
      </c>
      <c r="M47" s="248">
        <f t="shared" si="40"/>
        <v>-44.803966659134787</v>
      </c>
      <c r="N47" s="248">
        <f t="shared" si="40"/>
        <v>-44.817999213547331</v>
      </c>
      <c r="O47" s="248">
        <f t="shared" si="40"/>
        <v>-44.833514756550677</v>
      </c>
      <c r="P47" s="248">
        <f t="shared" si="40"/>
        <v>-44.850458225801219</v>
      </c>
      <c r="Q47" s="248">
        <f t="shared" si="40"/>
        <v>-44.868776014280932</v>
      </c>
      <c r="R47" s="248">
        <f t="shared" si="40"/>
        <v>-44.888415936496372</v>
      </c>
      <c r="S47" s="248">
        <f t="shared" si="40"/>
        <v>-44.909327195411066</v>
      </c>
      <c r="T47" s="248">
        <f t="shared" si="40"/>
        <v>-44.931460350095549</v>
      </c>
      <c r="U47" s="248">
        <f t="shared" si="40"/>
        <v>-44.954767284080596</v>
      </c>
      <c r="V47" s="248">
        <f t="shared" si="40"/>
        <v>-44.979201174398682</v>
      </c>
      <c r="W47" s="248">
        <f t="shared" si="40"/>
        <v>-45.004716461299559</v>
      </c>
      <c r="X47" s="248">
        <f t="shared" si="40"/>
        <v>-45.031268818625719</v>
      </c>
      <c r="Y47" s="248">
        <f t="shared" si="40"/>
        <v>-45.058815124834098</v>
      </c>
      <c r="Z47" s="248">
        <f t="shared" si="40"/>
        <v>-45.08731343465044</v>
      </c>
      <c r="AA47" s="248">
        <f t="shared" si="40"/>
        <v>-45.116722951343263</v>
      </c>
      <c r="AB47" s="248">
        <f t="shared" si="40"/>
        <v>-45.147003999604252</v>
      </c>
      <c r="AC47" s="248">
        <f t="shared" si="40"/>
        <v>-45.178117999022575</v>
      </c>
      <c r="AD47" s="248">
        <f t="shared" si="40"/>
        <v>-45.210027438140656</v>
      </c>
      <c r="AE47" s="248">
        <f t="shared" si="40"/>
        <v>-45.242695849079226</v>
      </c>
      <c r="AF47" s="248">
        <f t="shared" si="40"/>
        <v>-45.276087782719671</v>
      </c>
      <c r="AG47" s="248">
        <f t="shared" si="40"/>
        <v>-45.310168784431994</v>
      </c>
      <c r="AH47" s="248">
        <f t="shared" si="40"/>
        <v>-45.344905370337159</v>
      </c>
      <c r="AI47" s="248">
        <f t="shared" si="40"/>
        <v>-45.380265004092266</v>
      </c>
      <c r="AJ47" s="248">
        <f t="shared" si="40"/>
        <v>-45.416216074187822</v>
      </c>
      <c r="AK47" s="248">
        <f t="shared" si="40"/>
        <v>-45.452727871746205</v>
      </c>
      <c r="AL47" s="248">
        <f t="shared" si="40"/>
        <v>-45.489770568810883</v>
      </c>
      <c r="AM47" s="248">
        <f t="shared" si="40"/>
        <v>-45.527315197115989</v>
      </c>
      <c r="AN47" s="248">
        <f t="shared" si="40"/>
        <v>-45.56533362732619</v>
      </c>
      <c r="AO47" s="248">
        <f t="shared" si="40"/>
        <v>-45.603798548736791</v>
      </c>
      <c r="AP47" s="248">
        <f t="shared" si="40"/>
        <v>-45.642683449424666</v>
      </c>
      <c r="AQ47" s="248">
        <f t="shared" si="40"/>
        <v>-45.681962596840151</v>
      </c>
      <c r="AR47" s="248">
        <f t="shared" si="40"/>
        <v>-45.721611018830814</v>
      </c>
      <c r="AS47" s="248">
        <f t="shared" si="40"/>
        <v>-45.761604485087929</v>
      </c>
      <c r="AT47" s="248">
        <f t="shared" si="40"/>
        <v>-45.801919489006643</v>
      </c>
      <c r="AU47" s="248">
        <f t="shared" si="40"/>
        <v>-45.842533229951194</v>
      </c>
      <c r="AV47" s="248">
        <f t="shared" si="40"/>
        <v>-45.883423595916511</v>
      </c>
      <c r="AW47" s="248">
        <f t="shared" si="40"/>
        <v>-45.924569146577738</v>
      </c>
      <c r="AX47" s="248">
        <f t="shared" si="40"/>
        <v>-45.965949096719704</v>
      </c>
      <c r="AY47" s="248">
        <f t="shared" si="40"/>
        <v>-46.007543300037966</v>
      </c>
      <c r="AZ47" s="248">
        <f t="shared" si="40"/>
        <v>-46.049332233303744</v>
      </c>
      <c r="BA47" s="248">
        <f t="shared" si="40"/>
        <v>-46.09129698088492</v>
      </c>
      <c r="BB47" s="248">
        <f t="shared" si="40"/>
        <v>-46.133419219615519</v>
      </c>
      <c r="BC47" s="248">
        <f t="shared" si="40"/>
        <v>-46.175681204006295</v>
      </c>
      <c r="BD47" s="248">
        <f t="shared" si="40"/>
        <v>-46.218065751789226</v>
      </c>
      <c r="BE47" s="248">
        <f t="shared" si="40"/>
        <v>-46.260556229788492</v>
      </c>
      <c r="BF47" s="248">
        <f t="shared" si="40"/>
        <v>-46.303136540111467</v>
      </c>
      <c r="BG47" s="248">
        <f t="shared" si="40"/>
        <v>-46.345791106652364</v>
      </c>
      <c r="BH47" s="248">
        <f t="shared" si="40"/>
        <v>-46.388504861902241</v>
      </c>
      <c r="BI47" s="248">
        <f t="shared" si="40"/>
        <v>-46.431263234058612</v>
      </c>
      <c r="BJ47" s="248">
        <f t="shared" si="40"/>
        <v>-46.474052134428305</v>
      </c>
      <c r="BK47" s="248">
        <f t="shared" si="40"/>
        <v>-46.516857945117323</v>
      </c>
      <c r="BL47" s="248">
        <f t="shared" si="40"/>
        <v>-46.5596675070015</v>
      </c>
      <c r="BM47" s="248">
        <f t="shared" si="40"/>
        <v>-46.602468107971852</v>
      </c>
      <c r="BN47" s="248">
        <f t="shared" si="40"/>
        <v>-46.64524747144899</v>
      </c>
      <c r="BO47" s="248">
        <f t="shared" si="40"/>
        <v>-46.687993745160469</v>
      </c>
      <c r="BP47" s="248">
        <f t="shared" si="40"/>
        <v>-46.730695490175691</v>
      </c>
      <c r="BQ47" s="248">
        <f t="shared" si="40"/>
        <v>-46.773341670192586</v>
      </c>
      <c r="BR47" s="248">
        <f t="shared" si="40"/>
        <v>-46.815921641070929</v>
      </c>
      <c r="BS47" s="248">
        <f t="shared" si="40"/>
        <v>-46.858425140606649</v>
      </c>
      <c r="BT47" s="248">
        <f t="shared" ref="BT47:EE50" si="41">PV($F20,BT$9,1,0)+(PV($J$6,$N$5-(BT$9),1,0)/($J$6+1)^BT$9)</f>
        <v>-46.900842278542157</v>
      </c>
      <c r="BU47" s="248">
        <f t="shared" si="41"/>
        <v>-46.943163526807567</v>
      </c>
      <c r="BV47" s="248">
        <f t="shared" si="41"/>
        <v>-46.985379709987633</v>
      </c>
      <c r="BW47" s="248">
        <f t="shared" si="41"/>
        <v>-47.027481996009861</v>
      </c>
      <c r="BX47" s="248">
        <f t="shared" si="41"/>
        <v>-47.069461887048561</v>
      </c>
      <c r="BY47" s="248">
        <f t="shared" si="41"/>
        <v>-47.111311210640615</v>
      </c>
      <c r="BZ47" s="248">
        <f t="shared" si="41"/>
        <v>-47.153022111007935</v>
      </c>
      <c r="CA47" s="248">
        <f t="shared" si="41"/>
        <v>-47.194587040582569</v>
      </c>
      <c r="CB47" s="248">
        <f t="shared" si="41"/>
        <v>-47.235998751729561</v>
      </c>
      <c r="CC47" s="248">
        <f t="shared" si="41"/>
        <v>-47.277250288663659</v>
      </c>
      <c r="CD47" s="248">
        <f t="shared" si="41"/>
        <v>-47.318334979555495</v>
      </c>
      <c r="CE47" s="248">
        <f t="shared" si="41"/>
        <v>-47.359246428823042</v>
      </c>
      <c r="CF47" s="248">
        <f t="shared" si="41"/>
        <v>-47.399978509604402</v>
      </c>
      <c r="CG47" s="248">
        <f t="shared" si="41"/>
        <v>-47.440525356407953</v>
      </c>
      <c r="CH47" s="248">
        <f t="shared" si="41"/>
        <v>-47.4808813579359</v>
      </c>
      <c r="CI47" s="248">
        <f t="shared" si="41"/>
        <v>-47.521041150077558</v>
      </c>
      <c r="CJ47" s="248">
        <f t="shared" si="41"/>
        <v>-47.560999609068524</v>
      </c>
      <c r="CK47" s="248">
        <f t="shared" si="41"/>
        <v>-47.60075184481213</v>
      </c>
      <c r="CL47" s="248">
        <f t="shared" si="41"/>
        <v>-47.640293194359735</v>
      </c>
      <c r="CM47" s="248">
        <f t="shared" si="41"/>
        <v>-47.679619215546161</v>
      </c>
      <c r="CN47" s="248">
        <f t="shared" si="41"/>
        <v>-47.718725680777027</v>
      </c>
      <c r="CO47" s="248">
        <f t="shared" si="41"/>
        <v>-47.757608570964543</v>
      </c>
      <c r="CP47" s="248">
        <f t="shared" si="41"/>
        <v>-47.796264069608519</v>
      </c>
      <c r="CQ47" s="248">
        <f t="shared" si="41"/>
        <v>-47.834688557019426</v>
      </c>
      <c r="CR47" s="248">
        <f t="shared" si="41"/>
        <v>-47.872878604680295</v>
      </c>
      <c r="CS47" s="248">
        <f t="shared" si="41"/>
        <v>-47.91083096974436</v>
      </c>
      <c r="CT47" s="248">
        <f t="shared" si="41"/>
        <v>-47.948542589665635</v>
      </c>
      <c r="CU47" s="248">
        <f t="shared" si="41"/>
        <v>-47.986010576959217</v>
      </c>
      <c r="CV47" s="248">
        <f t="shared" si="41"/>
        <v>-48.023232214088644</v>
      </c>
      <c r="CW47" s="248">
        <f t="shared" si="41"/>
        <v>-48.060204948477292</v>
      </c>
      <c r="CX47" s="248">
        <f t="shared" si="41"/>
        <v>-48.096926387641304</v>
      </c>
      <c r="CY47" s="248">
        <f t="shared" si="41"/>
        <v>-48.096926387641304</v>
      </c>
      <c r="CZ47" s="248">
        <f t="shared" si="41"/>
        <v>-48.096926387641304</v>
      </c>
      <c r="DA47" s="248">
        <f t="shared" si="41"/>
        <v>-48.096926387641304</v>
      </c>
      <c r="DB47" s="248">
        <f t="shared" si="41"/>
        <v>-48.096926387641304</v>
      </c>
      <c r="DC47" s="248">
        <f t="shared" si="41"/>
        <v>-48.096926387641304</v>
      </c>
      <c r="DD47" s="248">
        <f t="shared" si="41"/>
        <v>-48.096926387641304</v>
      </c>
      <c r="DE47" s="248">
        <f t="shared" si="41"/>
        <v>-48.096926387641304</v>
      </c>
      <c r="DF47" s="248">
        <f t="shared" si="41"/>
        <v>-48.096926387641304</v>
      </c>
      <c r="DG47" s="248">
        <f t="shared" si="41"/>
        <v>-48.096926387641304</v>
      </c>
      <c r="DH47" s="248">
        <f t="shared" si="41"/>
        <v>-48.096926387641304</v>
      </c>
      <c r="DI47" s="248">
        <f t="shared" si="41"/>
        <v>-48.096926387641304</v>
      </c>
      <c r="DJ47" s="248">
        <f t="shared" si="41"/>
        <v>-48.096926387641304</v>
      </c>
      <c r="DK47" s="248">
        <f t="shared" si="41"/>
        <v>-48.096926387641304</v>
      </c>
      <c r="DL47" s="248">
        <f t="shared" si="41"/>
        <v>-48.096926387641304</v>
      </c>
      <c r="DM47" s="248">
        <f t="shared" si="41"/>
        <v>-48.096926387641304</v>
      </c>
      <c r="DN47" s="248">
        <f t="shared" si="41"/>
        <v>-48.096926387641304</v>
      </c>
      <c r="DO47" s="248">
        <f t="shared" si="41"/>
        <v>-48.096926387641304</v>
      </c>
      <c r="DP47" s="248">
        <f t="shared" si="41"/>
        <v>-48.096926387641304</v>
      </c>
      <c r="DQ47" s="248">
        <f t="shared" si="41"/>
        <v>-48.096926387641304</v>
      </c>
      <c r="DR47" s="248">
        <f t="shared" si="41"/>
        <v>-48.096926387641304</v>
      </c>
      <c r="DS47" s="248">
        <f t="shared" si="41"/>
        <v>-48.096926387641304</v>
      </c>
      <c r="DT47" s="248">
        <f t="shared" si="41"/>
        <v>-48.096926387641304</v>
      </c>
      <c r="DU47" s="248">
        <f t="shared" si="41"/>
        <v>-48.096926387641304</v>
      </c>
      <c r="DV47" s="248">
        <f t="shared" si="41"/>
        <v>-48.096926387641304</v>
      </c>
      <c r="DW47" s="248">
        <f t="shared" si="41"/>
        <v>-48.096926387641304</v>
      </c>
      <c r="DX47" s="248">
        <f t="shared" si="41"/>
        <v>-48.096926387641304</v>
      </c>
      <c r="DY47" s="248">
        <f t="shared" si="41"/>
        <v>-48.096926387641304</v>
      </c>
      <c r="DZ47" s="248">
        <f t="shared" si="41"/>
        <v>-48.096926387641304</v>
      </c>
      <c r="EA47" s="248">
        <f t="shared" si="41"/>
        <v>-48.096926387641304</v>
      </c>
      <c r="EB47" s="248">
        <f t="shared" si="41"/>
        <v>-48.096926387641304</v>
      </c>
      <c r="EC47" s="248">
        <f t="shared" si="41"/>
        <v>-48.096926387641304</v>
      </c>
      <c r="ED47" s="248">
        <f t="shared" si="41"/>
        <v>-48.096926387641304</v>
      </c>
      <c r="EE47" s="248">
        <f t="shared" si="41"/>
        <v>-48.096926387641304</v>
      </c>
      <c r="EF47" s="248">
        <f t="shared" si="38"/>
        <v>-48.096926387641304</v>
      </c>
      <c r="EG47" s="248">
        <f t="shared" si="37"/>
        <v>-48.096926387641304</v>
      </c>
      <c r="EH47" s="248">
        <f t="shared" si="37"/>
        <v>-48.096926387641304</v>
      </c>
      <c r="EI47" s="248">
        <f t="shared" si="37"/>
        <v>-48.096926387641304</v>
      </c>
      <c r="EJ47" s="248">
        <f t="shared" si="37"/>
        <v>-48.096926387641304</v>
      </c>
      <c r="EK47" s="248">
        <f t="shared" si="37"/>
        <v>-48.096926387641304</v>
      </c>
      <c r="EL47" s="248">
        <f t="shared" si="37"/>
        <v>-48.096926387641304</v>
      </c>
      <c r="EM47" s="248">
        <f t="shared" si="37"/>
        <v>-48.096926387641304</v>
      </c>
      <c r="EN47" s="248">
        <f t="shared" si="37"/>
        <v>-48.096926387641304</v>
      </c>
      <c r="EO47" s="248">
        <f t="shared" si="37"/>
        <v>-48.096926387641304</v>
      </c>
      <c r="EP47" s="248">
        <f t="shared" si="37"/>
        <v>-48.096926387641304</v>
      </c>
      <c r="EQ47" s="248">
        <f t="shared" si="37"/>
        <v>-48.096926387641304</v>
      </c>
      <c r="ER47" s="248">
        <f t="shared" si="37"/>
        <v>-48.096926387641304</v>
      </c>
      <c r="ES47" s="248">
        <f t="shared" si="37"/>
        <v>-48.096926387641304</v>
      </c>
      <c r="ET47" s="248">
        <f t="shared" si="37"/>
        <v>-48.096926387641304</v>
      </c>
      <c r="FF47" s="705" t="s">
        <v>75</v>
      </c>
      <c r="FG47" s="282">
        <v>2.5000000000000001E-2</v>
      </c>
      <c r="FH47" s="282">
        <v>96</v>
      </c>
      <c r="FI47" s="282">
        <v>1.5800000000000002E-2</v>
      </c>
      <c r="FJ47" s="282">
        <v>1.3500000000000002E-2</v>
      </c>
      <c r="FK47" s="248">
        <f t="shared" si="11"/>
        <v>6.3888888888888893E-4</v>
      </c>
      <c r="FL47" s="248" t="e">
        <f>VLOOKUP(FF47,'SIMULADOR COM SALDO'!$BX$22:$CK$500,13,FALSE)</f>
        <v>#N/A</v>
      </c>
      <c r="FM47" s="249">
        <f t="shared" si="12"/>
        <v>1.5500000000000002E-2</v>
      </c>
    </row>
    <row r="48" spans="5:169" s="248" customFormat="1" hidden="1" x14ac:dyDescent="0.25">
      <c r="F48" s="97"/>
      <c r="G48" s="248">
        <f t="shared" si="34"/>
        <v>-44.753969408946666</v>
      </c>
      <c r="H48" s="248">
        <f t="shared" si="35"/>
        <v>-44.757428125415856</v>
      </c>
      <c r="I48" s="248">
        <f t="shared" ref="I48:BT51" si="42">PV($F21,I$9,1,0)+(PV($J$6,$N$5-(I$9),1,0)/($J$6+1)^I$9)</f>
        <v>-44.762526530386637</v>
      </c>
      <c r="J48" s="248">
        <f t="shared" si="42"/>
        <v>-44.769206912269148</v>
      </c>
      <c r="K48" s="248">
        <f t="shared" si="42"/>
        <v>-44.777413065886833</v>
      </c>
      <c r="L48" s="248">
        <f t="shared" si="42"/>
        <v>-44.787090257598543</v>
      </c>
      <c r="M48" s="248">
        <f t="shared" si="42"/>
        <v>-44.798185191177431</v>
      </c>
      <c r="N48" s="248">
        <f t="shared" si="42"/>
        <v>-44.810645974430969</v>
      </c>
      <c r="O48" s="248">
        <f t="shared" si="42"/>
        <v>-44.824422086546406</v>
      </c>
      <c r="P48" s="248">
        <f t="shared" si="42"/>
        <v>-44.839464346146826</v>
      </c>
      <c r="Q48" s="248">
        <f t="shared" si="42"/>
        <v>-44.855724880042757</v>
      </c>
      <c r="R48" s="248">
        <f t="shared" si="42"/>
        <v>-44.873157092664769</v>
      </c>
      <c r="S48" s="248">
        <f t="shared" si="42"/>
        <v>-44.891715636163241</v>
      </c>
      <c r="T48" s="248">
        <f t="shared" si="42"/>
        <v>-44.91135638116068</v>
      </c>
      <c r="U48" s="248">
        <f t="shared" si="42"/>
        <v>-44.93203638814353</v>
      </c>
      <c r="V48" s="248">
        <f t="shared" si="42"/>
        <v>-44.953713879479785</v>
      </c>
      <c r="W48" s="248">
        <f t="shared" si="42"/>
        <v>-44.976348212049359</v>
      </c>
      <c r="X48" s="248">
        <f t="shared" si="42"/>
        <v>-44.999899850474343</v>
      </c>
      <c r="Y48" s="248">
        <f t="shared" si="42"/>
        <v>-45.024330340936707</v>
      </c>
      <c r="Z48" s="248">
        <f t="shared" si="42"/>
        <v>-45.049602285570849</v>
      </c>
      <c r="AA48" s="248">
        <f t="shared" si="42"/>
        <v>-45.07567931741923</v>
      </c>
      <c r="AB48" s="248">
        <f t="shared" si="42"/>
        <v>-45.102526075939011</v>
      </c>
      <c r="AC48" s="248">
        <f t="shared" si="42"/>
        <v>-45.13010818304825</v>
      </c>
      <c r="AD48" s="248">
        <f t="shared" si="42"/>
        <v>-45.158392219700211</v>
      </c>
      <c r="AE48" s="248">
        <f t="shared" si="42"/>
        <v>-45.187345702974824</v>
      </c>
      <c r="AF48" s="248">
        <f t="shared" si="42"/>
        <v>-45.216937063676191</v>
      </c>
      <c r="AG48" s="248">
        <f t="shared" si="42"/>
        <v>-45.247135624425553</v>
      </c>
      <c r="AH48" s="248">
        <f t="shared" si="42"/>
        <v>-45.277911578239411</v>
      </c>
      <c r="AI48" s="248">
        <f t="shared" si="42"/>
        <v>-45.309235967582296</v>
      </c>
      <c r="AJ48" s="248">
        <f t="shared" si="42"/>
        <v>-45.341080663884426</v>
      </c>
      <c r="AK48" s="248">
        <f t="shared" si="42"/>
        <v>-45.373418347514175</v>
      </c>
      <c r="AL48" s="248">
        <f t="shared" si="42"/>
        <v>-45.40622248819588</v>
      </c>
      <c r="AM48" s="248">
        <f t="shared" si="42"/>
        <v>-45.43946732586366</v>
      </c>
      <c r="AN48" s="248">
        <f t="shared" si="42"/>
        <v>-45.473127851941641</v>
      </c>
      <c r="AO48" s="248">
        <f t="shared" si="42"/>
        <v>-45.50717979104207</v>
      </c>
      <c r="AP48" s="248">
        <f t="shared" si="42"/>
        <v>-45.54159958307195</v>
      </c>
      <c r="AQ48" s="248">
        <f t="shared" si="42"/>
        <v>-45.576364365739863</v>
      </c>
      <c r="AR48" s="248">
        <f t="shared" si="42"/>
        <v>-45.611451957454321</v>
      </c>
      <c r="AS48" s="248">
        <f t="shared" si="42"/>
        <v>-45.646840840605464</v>
      </c>
      <c r="AT48" s="248">
        <f t="shared" si="42"/>
        <v>-45.682510145221684</v>
      </c>
      <c r="AU48" s="248">
        <f t="shared" si="42"/>
        <v>-45.718439632993501</v>
      </c>
      <c r="AV48" s="248">
        <f t="shared" si="42"/>
        <v>-45.754609681656746</v>
      </c>
      <c r="AW48" s="248">
        <f t="shared" si="42"/>
        <v>-45.791001269727197</v>
      </c>
      <c r="AX48" s="248">
        <f t="shared" si="42"/>
        <v>-45.827595961579597</v>
      </c>
      <c r="AY48" s="248">
        <f t="shared" si="42"/>
        <v>-45.864375892863265</v>
      </c>
      <c r="AZ48" s="248">
        <f t="shared" si="42"/>
        <v>-45.901323756247379</v>
      </c>
      <c r="BA48" s="248">
        <f t="shared" si="42"/>
        <v>-45.938422787488761</v>
      </c>
      <c r="BB48" s="248">
        <f t="shared" si="42"/>
        <v>-45.97565675181535</v>
      </c>
      <c r="BC48" s="248">
        <f t="shared" si="42"/>
        <v>-46.013009930618509</v>
      </c>
      <c r="BD48" s="248">
        <f t="shared" si="42"/>
        <v>-46.050467108447577</v>
      </c>
      <c r="BE48" s="248">
        <f t="shared" si="42"/>
        <v>-46.08801356030024</v>
      </c>
      <c r="BF48" s="248">
        <f t="shared" si="42"/>
        <v>-46.125635039202329</v>
      </c>
      <c r="BG48" s="248">
        <f t="shared" si="42"/>
        <v>-46.163317764070811</v>
      </c>
      <c r="BH48" s="248">
        <f t="shared" si="42"/>
        <v>-46.201048407853833</v>
      </c>
      <c r="BI48" s="248">
        <f t="shared" si="42"/>
        <v>-46.238814085942032</v>
      </c>
      <c r="BJ48" s="248">
        <f t="shared" si="42"/>
        <v>-46.276602344845116</v>
      </c>
      <c r="BK48" s="248">
        <f t="shared" si="42"/>
        <v>-46.31440115112801</v>
      </c>
      <c r="BL48" s="248">
        <f t="shared" si="42"/>
        <v>-46.352198880601037</v>
      </c>
      <c r="BM48" s="248">
        <f t="shared" si="42"/>
        <v>-46.389984307758596</v>
      </c>
      <c r="BN48" s="248">
        <f t="shared" si="42"/>
        <v>-46.427746595461016</v>
      </c>
      <c r="BO48" s="248">
        <f t="shared" si="42"/>
        <v>-46.465475284854243</v>
      </c>
      <c r="BP48" s="248">
        <f t="shared" si="42"/>
        <v>-46.50316028552232</v>
      </c>
      <c r="BQ48" s="248">
        <f t="shared" si="42"/>
        <v>-46.54079186586749</v>
      </c>
      <c r="BR48" s="248">
        <f t="shared" si="42"/>
        <v>-46.578360643713161</v>
      </c>
      <c r="BS48" s="248">
        <f t="shared" si="42"/>
        <v>-46.615857577124707</v>
      </c>
      <c r="BT48" s="248">
        <f t="shared" si="42"/>
        <v>-46.653273955443467</v>
      </c>
      <c r="BU48" s="248">
        <f t="shared" si="41"/>
        <v>-46.690601390529388</v>
      </c>
      <c r="BV48" s="248">
        <f t="shared" si="41"/>
        <v>-46.727831808207583</v>
      </c>
      <c r="BW48" s="248">
        <f t="shared" si="41"/>
        <v>-46.764957439914497</v>
      </c>
      <c r="BX48" s="248">
        <f t="shared" si="41"/>
        <v>-46.801970814539338</v>
      </c>
      <c r="BY48" s="248">
        <f t="shared" si="41"/>
        <v>-46.83886475045643</v>
      </c>
      <c r="BZ48" s="248">
        <f t="shared" si="41"/>
        <v>-46.875632347744379</v>
      </c>
      <c r="CA48" s="248">
        <f t="shared" si="41"/>
        <v>-46.912266980587951</v>
      </c>
      <c r="CB48" s="248">
        <f t="shared" si="41"/>
        <v>-46.948762289858664</v>
      </c>
      <c r="CC48" s="248">
        <f t="shared" si="41"/>
        <v>-46.985112175870171</v>
      </c>
      <c r="CD48" s="248">
        <f t="shared" si="41"/>
        <v>-47.021310791304629</v>
      </c>
      <c r="CE48" s="248">
        <f t="shared" si="41"/>
        <v>-47.057352534306268</v>
      </c>
      <c r="CF48" s="248">
        <f t="shared" si="41"/>
        <v>-47.093232041738553</v>
      </c>
      <c r="CG48" s="248">
        <f t="shared" si="41"/>
        <v>-47.128944182601217</v>
      </c>
      <c r="CH48" s="248">
        <f t="shared" si="41"/>
        <v>-47.164484051603758</v>
      </c>
      <c r="CI48" s="248">
        <f t="shared" si="41"/>
        <v>-47.199846962891996</v>
      </c>
      <c r="CJ48" s="248">
        <f t="shared" si="41"/>
        <v>-47.235028443924087</v>
      </c>
      <c r="CK48" s="248">
        <f t="shared" si="41"/>
        <v>-47.270024229492968</v>
      </c>
      <c r="CL48" s="248">
        <f t="shared" si="41"/>
        <v>-47.304830255891851</v>
      </c>
      <c r="CM48" s="248">
        <f t="shared" si="41"/>
        <v>-47.339442655219578</v>
      </c>
      <c r="CN48" s="248">
        <f t="shared" si="41"/>
        <v>-47.373857749822854</v>
      </c>
      <c r="CO48" s="248">
        <f t="shared" si="41"/>
        <v>-47.408072046872213</v>
      </c>
      <c r="CP48" s="248">
        <f t="shared" si="41"/>
        <v>-47.44208223306881</v>
      </c>
      <c r="CQ48" s="248">
        <f t="shared" si="41"/>
        <v>-47.475885169479128</v>
      </c>
      <c r="CR48" s="248">
        <f t="shared" si="41"/>
        <v>-47.509477886494764</v>
      </c>
      <c r="CS48" s="248">
        <f t="shared" si="41"/>
        <v>-47.542857578914372</v>
      </c>
      <c r="CT48" s="248">
        <f t="shared" si="41"/>
        <v>-47.576021601145371</v>
      </c>
      <c r="CU48" s="248">
        <f t="shared" si="41"/>
        <v>-47.608967462522322</v>
      </c>
      <c r="CV48" s="248">
        <f t="shared" si="41"/>
        <v>-47.641692822739763</v>
      </c>
      <c r="CW48" s="248">
        <f t="shared" si="41"/>
        <v>-47.674195487396581</v>
      </c>
      <c r="CX48" s="248">
        <f t="shared" si="41"/>
        <v>-47.706473403649753</v>
      </c>
      <c r="CY48" s="248">
        <f t="shared" si="41"/>
        <v>-47.706473403649753</v>
      </c>
      <c r="CZ48" s="248">
        <f t="shared" si="41"/>
        <v>-47.706473403649753</v>
      </c>
      <c r="DA48" s="248">
        <f t="shared" si="41"/>
        <v>-47.706473403649753</v>
      </c>
      <c r="DB48" s="248">
        <f t="shared" si="41"/>
        <v>-47.706473403649753</v>
      </c>
      <c r="DC48" s="248">
        <f t="shared" si="41"/>
        <v>-47.706473403649753</v>
      </c>
      <c r="DD48" s="248">
        <f t="shared" si="41"/>
        <v>-47.706473403649753</v>
      </c>
      <c r="DE48" s="248">
        <f t="shared" si="41"/>
        <v>-47.706473403649753</v>
      </c>
      <c r="DF48" s="248">
        <f t="shared" si="41"/>
        <v>-47.706473403649753</v>
      </c>
      <c r="DG48" s="248">
        <f t="shared" si="41"/>
        <v>-47.706473403649753</v>
      </c>
      <c r="DH48" s="248">
        <f t="shared" si="41"/>
        <v>-47.706473403649753</v>
      </c>
      <c r="DI48" s="248">
        <f t="shared" si="41"/>
        <v>-47.706473403649753</v>
      </c>
      <c r="DJ48" s="248">
        <f t="shared" si="41"/>
        <v>-47.706473403649753</v>
      </c>
      <c r="DK48" s="248">
        <f t="shared" si="41"/>
        <v>-47.706473403649753</v>
      </c>
      <c r="DL48" s="248">
        <f t="shared" si="41"/>
        <v>-47.706473403649753</v>
      </c>
      <c r="DM48" s="248">
        <f t="shared" si="41"/>
        <v>-47.706473403649753</v>
      </c>
      <c r="DN48" s="248">
        <f t="shared" si="41"/>
        <v>-47.706473403649753</v>
      </c>
      <c r="DO48" s="248">
        <f t="shared" si="41"/>
        <v>-47.706473403649753</v>
      </c>
      <c r="DP48" s="248">
        <f t="shared" si="41"/>
        <v>-47.706473403649753</v>
      </c>
      <c r="DQ48" s="248">
        <f t="shared" si="41"/>
        <v>-47.706473403649753</v>
      </c>
      <c r="DR48" s="248">
        <f t="shared" si="41"/>
        <v>-47.706473403649753</v>
      </c>
      <c r="DS48" s="248">
        <f t="shared" si="41"/>
        <v>-47.706473403649753</v>
      </c>
      <c r="DT48" s="248">
        <f t="shared" si="41"/>
        <v>-47.706473403649753</v>
      </c>
      <c r="DU48" s="248">
        <f t="shared" si="41"/>
        <v>-47.706473403649753</v>
      </c>
      <c r="DV48" s="248">
        <f t="shared" si="41"/>
        <v>-47.706473403649753</v>
      </c>
      <c r="DW48" s="248">
        <f t="shared" si="41"/>
        <v>-47.706473403649753</v>
      </c>
      <c r="DX48" s="248">
        <f t="shared" si="41"/>
        <v>-47.706473403649753</v>
      </c>
      <c r="DY48" s="248">
        <f t="shared" si="41"/>
        <v>-47.706473403649753</v>
      </c>
      <c r="DZ48" s="248">
        <f t="shared" si="41"/>
        <v>-47.706473403649753</v>
      </c>
      <c r="EA48" s="248">
        <f t="shared" si="41"/>
        <v>-47.706473403649753</v>
      </c>
      <c r="EB48" s="248">
        <f t="shared" si="41"/>
        <v>-47.706473403649753</v>
      </c>
      <c r="EC48" s="248">
        <f t="shared" si="41"/>
        <v>-47.706473403649753</v>
      </c>
      <c r="ED48" s="248">
        <f t="shared" si="41"/>
        <v>-47.706473403649753</v>
      </c>
      <c r="EE48" s="248">
        <f t="shared" si="41"/>
        <v>-47.706473403649753</v>
      </c>
      <c r="EF48" s="248">
        <f t="shared" si="38"/>
        <v>-47.706473403649753</v>
      </c>
      <c r="EG48" s="248">
        <f t="shared" si="37"/>
        <v>-47.706473403649753</v>
      </c>
      <c r="EH48" s="248">
        <f t="shared" si="37"/>
        <v>-47.706473403649753</v>
      </c>
      <c r="EI48" s="248">
        <f t="shared" si="37"/>
        <v>-47.706473403649753</v>
      </c>
      <c r="EJ48" s="248">
        <f t="shared" si="37"/>
        <v>-47.706473403649753</v>
      </c>
      <c r="EK48" s="248">
        <f t="shared" si="37"/>
        <v>-47.706473403649753</v>
      </c>
      <c r="EL48" s="248">
        <f t="shared" si="37"/>
        <v>-47.706473403649753</v>
      </c>
      <c r="EM48" s="248">
        <f t="shared" si="37"/>
        <v>-47.706473403649753</v>
      </c>
      <c r="EN48" s="248">
        <f t="shared" si="37"/>
        <v>-47.706473403649753</v>
      </c>
      <c r="EO48" s="248">
        <f t="shared" si="37"/>
        <v>-47.706473403649753</v>
      </c>
      <c r="EP48" s="248">
        <f t="shared" si="37"/>
        <v>-47.706473403649753</v>
      </c>
      <c r="EQ48" s="248">
        <f t="shared" si="37"/>
        <v>-47.706473403649753</v>
      </c>
      <c r="ER48" s="248">
        <f t="shared" si="37"/>
        <v>-47.706473403649753</v>
      </c>
      <c r="ES48" s="248">
        <f t="shared" si="37"/>
        <v>-47.706473403649753</v>
      </c>
      <c r="ET48" s="248">
        <f t="shared" si="37"/>
        <v>-47.706473403649753</v>
      </c>
      <c r="FF48" s="698" t="s">
        <v>573</v>
      </c>
      <c r="FG48" s="700">
        <v>2.5000000000000001E-2</v>
      </c>
      <c r="FH48" s="700">
        <v>120</v>
      </c>
      <c r="FI48" s="699">
        <v>1.8000000000000002E-2</v>
      </c>
      <c r="FJ48" s="699">
        <v>1.6E-2</v>
      </c>
      <c r="FK48" s="248">
        <f t="shared" si="11"/>
        <v>5.0000000000000001E-4</v>
      </c>
      <c r="FL48" s="248" t="e">
        <f>VLOOKUP(FF48,'SIMULADOR COM SALDO'!$BX$22:$CK$500,13,FALSE)</f>
        <v>#N/A</v>
      </c>
      <c r="FM48" s="249">
        <f t="shared" si="12"/>
        <v>1.77E-2</v>
      </c>
    </row>
    <row r="49" spans="6:169" s="248" customFormat="1" hidden="1" x14ac:dyDescent="0.25">
      <c r="F49" s="97"/>
      <c r="G49" s="248">
        <f t="shared" si="34"/>
        <v>-44.753749092255418</v>
      </c>
      <c r="H49" s="248">
        <f t="shared" si="35"/>
        <v>-44.756774452116296</v>
      </c>
      <c r="I49" s="248">
        <f t="shared" si="42"/>
        <v>-44.761233557076416</v>
      </c>
      <c r="J49" s="248">
        <f t="shared" si="42"/>
        <v>-44.767075615770437</v>
      </c>
      <c r="K49" s="248">
        <f t="shared" si="42"/>
        <v>-44.774251170843456</v>
      </c>
      <c r="L49" s="248">
        <f t="shared" si="42"/>
        <v>-44.782712067880098</v>
      </c>
      <c r="M49" s="248">
        <f t="shared" si="42"/>
        <v>-44.792411425011792</v>
      </c>
      <c r="N49" s="248">
        <f t="shared" si="42"/>
        <v>-44.8033036031878</v>
      </c>
      <c r="O49" s="248">
        <f t="shared" si="42"/>
        <v>-44.8153441770963</v>
      </c>
      <c r="P49" s="248">
        <f t="shared" si="42"/>
        <v>-44.828489906721671</v>
      </c>
      <c r="Q49" s="248">
        <f t="shared" si="42"/>
        <v>-44.842698709524953</v>
      </c>
      <c r="R49" s="248">
        <f t="shared" si="42"/>
        <v>-44.857929633233894</v>
      </c>
      <c r="S49" s="248">
        <f t="shared" si="42"/>
        <v>-44.874142829230379</v>
      </c>
      <c r="T49" s="248">
        <f t="shared" si="42"/>
        <v>-44.891299526522154</v>
      </c>
      <c r="U49" s="248">
        <f t="shared" si="42"/>
        <v>-44.909362006286813</v>
      </c>
      <c r="V49" s="248">
        <f t="shared" si="42"/>
        <v>-44.928293576976039</v>
      </c>
      <c r="W49" s="248">
        <f t="shared" si="42"/>
        <v>-44.948058549968096</v>
      </c>
      <c r="X49" s="248">
        <f t="shared" si="42"/>
        <v>-44.968622215757172</v>
      </c>
      <c r="Y49" s="248">
        <f t="shared" si="42"/>
        <v>-44.989950820668284</v>
      </c>
      <c r="Z49" s="248">
        <f t="shared" si="42"/>
        <v>-45.012011544086391</v>
      </c>
      <c r="AA49" s="248">
        <f t="shared" si="42"/>
        <v>-45.034772476189303</v>
      </c>
      <c r="AB49" s="248">
        <f t="shared" si="42"/>
        <v>-45.058202596173182</v>
      </c>
      <c r="AC49" s="248">
        <f t="shared" si="42"/>
        <v>-45.082271750960778</v>
      </c>
      <c r="AD49" s="248">
        <f t="shared" si="42"/>
        <v>-45.106950634381739</v>
      </c>
      <c r="AE49" s="248">
        <f t="shared" si="42"/>
        <v>-45.132210766815284</v>
      </c>
      <c r="AF49" s="248">
        <f t="shared" si="42"/>
        <v>-45.158024475285274</v>
      </c>
      <c r="AG49" s="248">
        <f t="shared" si="42"/>
        <v>-45.184364873998177</v>
      </c>
      <c r="AH49" s="248">
        <f t="shared" si="42"/>
        <v>-45.211205845314545</v>
      </c>
      <c r="AI49" s="248">
        <f t="shared" si="42"/>
        <v>-45.238522021144675</v>
      </c>
      <c r="AJ49" s="248">
        <f t="shared" si="42"/>
        <v>-45.266288764759651</v>
      </c>
      <c r="AK49" s="248">
        <f t="shared" si="42"/>
        <v>-45.294482153008687</v>
      </c>
      <c r="AL49" s="248">
        <f t="shared" si="42"/>
        <v>-45.323078958934332</v>
      </c>
      <c r="AM49" s="248">
        <f t="shared" si="42"/>
        <v>-45.352056634776972</v>
      </c>
      <c r="AN49" s="248">
        <f t="shared" si="42"/>
        <v>-45.381393295360326</v>
      </c>
      <c r="AO49" s="248">
        <f t="shared" si="42"/>
        <v>-45.411067701849902</v>
      </c>
      <c r="AP49" s="248">
        <f t="shared" si="42"/>
        <v>-45.441059245876311</v>
      </c>
      <c r="AQ49" s="248">
        <f t="shared" si="42"/>
        <v>-45.471347934015803</v>
      </c>
      <c r="AR49" s="248">
        <f t="shared" si="42"/>
        <v>-45.501914372620263</v>
      </c>
      <c r="AS49" s="248">
        <f t="shared" si="42"/>
        <v>-45.532739752989343</v>
      </c>
      <c r="AT49" s="248">
        <f t="shared" si="42"/>
        <v>-45.563805836877194</v>
      </c>
      <c r="AU49" s="248">
        <f t="shared" si="42"/>
        <v>-45.595094942326874</v>
      </c>
      <c r="AV49" s="248">
        <f t="shared" si="42"/>
        <v>-45.626589929825258</v>
      </c>
      <c r="AW49" s="248">
        <f t="shared" si="42"/>
        <v>-45.658274188771564</v>
      </c>
      <c r="AX49" s="248">
        <f t="shared" si="42"/>
        <v>-45.690131624252935</v>
      </c>
      <c r="AY49" s="248">
        <f t="shared" si="42"/>
        <v>-45.722146644120237</v>
      </c>
      <c r="AZ49" s="248">
        <f t="shared" si="42"/>
        <v>-45.754304146357839</v>
      </c>
      <c r="BA49" s="248">
        <f t="shared" si="42"/>
        <v>-45.786589506740938</v>
      </c>
      <c r="BB49" s="248">
        <f t="shared" si="42"/>
        <v>-45.818988566774209</v>
      </c>
      <c r="BC49" s="248">
        <f t="shared" si="42"/>
        <v>-45.851487621905918</v>
      </c>
      <c r="BD49" s="248">
        <f t="shared" si="42"/>
        <v>-45.88407341001114</v>
      </c>
      <c r="BE49" s="248">
        <f t="shared" si="42"/>
        <v>-45.916733100138956</v>
      </c>
      <c r="BF49" s="248">
        <f t="shared" si="42"/>
        <v>-45.949454281517077</v>
      </c>
      <c r="BG49" s="248">
        <f t="shared" si="42"/>
        <v>-45.982224952809169</v>
      </c>
      <c r="BH49" s="248">
        <f t="shared" si="42"/>
        <v>-46.015033511618711</v>
      </c>
      <c r="BI49" s="248">
        <f t="shared" si="42"/>
        <v>-46.047868744234542</v>
      </c>
      <c r="BJ49" s="248">
        <f t="shared" si="42"/>
        <v>-46.080719815612667</v>
      </c>
      <c r="BK49" s="248">
        <f t="shared" si="42"/>
        <v>-46.113576259589159</v>
      </c>
      <c r="BL49" s="248">
        <f t="shared" si="42"/>
        <v>-46.146427969319134</v>
      </c>
      <c r="BM49" s="248">
        <f t="shared" si="42"/>
        <v>-46.179265187937155</v>
      </c>
      <c r="BN49" s="248">
        <f t="shared" si="42"/>
        <v>-46.212078499433808</v>
      </c>
      <c r="BO49" s="248">
        <f t="shared" si="42"/>
        <v>-46.244858819744131</v>
      </c>
      <c r="BP49" s="248">
        <f t="shared" si="42"/>
        <v>-46.27759738804312</v>
      </c>
      <c r="BQ49" s="248">
        <f t="shared" si="42"/>
        <v>-46.310285758243737</v>
      </c>
      <c r="BR49" s="248">
        <f t="shared" si="42"/>
        <v>-46.342915790693198</v>
      </c>
      <c r="BS49" s="248">
        <f t="shared" si="42"/>
        <v>-46.375479644062992</v>
      </c>
      <c r="BT49" s="248">
        <f t="shared" si="42"/>
        <v>-46.407969767428526</v>
      </c>
      <c r="BU49" s="248">
        <f t="shared" si="41"/>
        <v>-46.440378892534305</v>
      </c>
      <c r="BV49" s="248">
        <f t="shared" si="41"/>
        <v>-46.472700026240361</v>
      </c>
      <c r="BW49" s="248">
        <f t="shared" si="41"/>
        <v>-46.504926443146232</v>
      </c>
      <c r="BX49" s="248">
        <f t="shared" si="41"/>
        <v>-46.537051678388359</v>
      </c>
      <c r="BY49" s="248">
        <f t="shared" si="41"/>
        <v>-46.569069520607307</v>
      </c>
      <c r="BZ49" s="248">
        <f t="shared" si="41"/>
        <v>-46.600974005080886</v>
      </c>
      <c r="CA49" s="248">
        <f t="shared" si="41"/>
        <v>-46.632759407019648</v>
      </c>
      <c r="CB49" s="248">
        <f t="shared" si="41"/>
        <v>-46.66442023502114</v>
      </c>
      <c r="CC49" s="248">
        <f t="shared" si="41"/>
        <v>-46.695951224679455</v>
      </c>
      <c r="CD49" s="248">
        <f t="shared" si="41"/>
        <v>-46.727347332346518</v>
      </c>
      <c r="CE49" s="248">
        <f t="shared" si="41"/>
        <v>-46.758603729042015</v>
      </c>
      <c r="CF49" s="248">
        <f t="shared" si="41"/>
        <v>-46.789715794508389</v>
      </c>
      <c r="CG49" s="248">
        <f t="shared" si="41"/>
        <v>-46.820679111407927</v>
      </c>
      <c r="CH49" s="248">
        <f t="shared" si="41"/>
        <v>-46.85148945965863</v>
      </c>
      <c r="CI49" s="248">
        <f t="shared" si="41"/>
        <v>-46.882142810905869</v>
      </c>
      <c r="CJ49" s="248">
        <f t="shared" si="41"/>
        <v>-46.912635323126821</v>
      </c>
      <c r="CK49" s="248">
        <f t="shared" si="41"/>
        <v>-46.942963335364716</v>
      </c>
      <c r="CL49" s="248">
        <f t="shared" si="41"/>
        <v>-46.973123362589945</v>
      </c>
      <c r="CM49" s="248">
        <f t="shared" si="41"/>
        <v>-47.003112090685363</v>
      </c>
      <c r="CN49" s="248">
        <f t="shared" si="41"/>
        <v>-47.032926371552833</v>
      </c>
      <c r="CO49" s="248">
        <f t="shared" si="41"/>
        <v>-47.062563218338425</v>
      </c>
      <c r="CP49" s="248">
        <f t="shared" si="41"/>
        <v>-47.092019800773642</v>
      </c>
      <c r="CQ49" s="248">
        <f t="shared" si="41"/>
        <v>-47.121293440629941</v>
      </c>
      <c r="CR49" s="248">
        <f t="shared" si="41"/>
        <v>-47.150381607284174</v>
      </c>
      <c r="CS49" s="248">
        <f t="shared" si="41"/>
        <v>-47.179281913392316</v>
      </c>
      <c r="CT49" s="248">
        <f t="shared" si="41"/>
        <v>-47.207992110669203</v>
      </c>
      <c r="CU49" s="248">
        <f t="shared" si="41"/>
        <v>-47.236510085771776</v>
      </c>
      <c r="CV49" s="248">
        <f t="shared" si="41"/>
        <v>-47.264833856283573</v>
      </c>
      <c r="CW49" s="248">
        <f t="shared" si="41"/>
        <v>-47.292961566798105</v>
      </c>
      <c r="CX49" s="248">
        <f t="shared" si="41"/>
        <v>-47.320891485099054</v>
      </c>
      <c r="CY49" s="248">
        <f t="shared" si="41"/>
        <v>-47.320891485099054</v>
      </c>
      <c r="CZ49" s="248">
        <f t="shared" si="41"/>
        <v>-47.320891485099054</v>
      </c>
      <c r="DA49" s="248">
        <f t="shared" si="41"/>
        <v>-47.320891485099054</v>
      </c>
      <c r="DB49" s="248">
        <f t="shared" si="41"/>
        <v>-47.320891485099054</v>
      </c>
      <c r="DC49" s="248">
        <f t="shared" si="41"/>
        <v>-47.320891485099054</v>
      </c>
      <c r="DD49" s="248">
        <f t="shared" si="41"/>
        <v>-47.320891485099054</v>
      </c>
      <c r="DE49" s="248">
        <f t="shared" si="41"/>
        <v>-47.320891485099054</v>
      </c>
      <c r="DF49" s="248">
        <f t="shared" si="41"/>
        <v>-47.320891485099054</v>
      </c>
      <c r="DG49" s="248">
        <f t="shared" si="41"/>
        <v>-47.320891485099054</v>
      </c>
      <c r="DH49" s="248">
        <f t="shared" si="41"/>
        <v>-47.320891485099054</v>
      </c>
      <c r="DI49" s="248">
        <f t="shared" si="41"/>
        <v>-47.320891485099054</v>
      </c>
      <c r="DJ49" s="248">
        <f t="shared" si="41"/>
        <v>-47.320891485099054</v>
      </c>
      <c r="DK49" s="248">
        <f t="shared" si="41"/>
        <v>-47.320891485099054</v>
      </c>
      <c r="DL49" s="248">
        <f t="shared" si="41"/>
        <v>-47.320891485099054</v>
      </c>
      <c r="DM49" s="248">
        <f t="shared" si="41"/>
        <v>-47.320891485099054</v>
      </c>
      <c r="DN49" s="248">
        <f t="shared" si="41"/>
        <v>-47.320891485099054</v>
      </c>
      <c r="DO49" s="248">
        <f t="shared" si="41"/>
        <v>-47.320891485099054</v>
      </c>
      <c r="DP49" s="248">
        <f t="shared" si="41"/>
        <v>-47.320891485099054</v>
      </c>
      <c r="DQ49" s="248">
        <f t="shared" si="41"/>
        <v>-47.320891485099054</v>
      </c>
      <c r="DR49" s="248">
        <f t="shared" si="41"/>
        <v>-47.320891485099054</v>
      </c>
      <c r="DS49" s="248">
        <f t="shared" si="41"/>
        <v>-47.320891485099054</v>
      </c>
      <c r="DT49" s="248">
        <f t="shared" si="41"/>
        <v>-47.320891485099054</v>
      </c>
      <c r="DU49" s="248">
        <f t="shared" si="41"/>
        <v>-47.320891485099054</v>
      </c>
      <c r="DV49" s="248">
        <f t="shared" si="41"/>
        <v>-47.320891485099054</v>
      </c>
      <c r="DW49" s="248">
        <f t="shared" si="41"/>
        <v>-47.320891485099054</v>
      </c>
      <c r="DX49" s="248">
        <f t="shared" si="41"/>
        <v>-47.320891485099054</v>
      </c>
      <c r="DY49" s="248">
        <f t="shared" si="41"/>
        <v>-47.320891485099054</v>
      </c>
      <c r="DZ49" s="248">
        <f t="shared" si="41"/>
        <v>-47.320891485099054</v>
      </c>
      <c r="EA49" s="248">
        <f t="shared" si="41"/>
        <v>-47.320891485099054</v>
      </c>
      <c r="EB49" s="248">
        <f t="shared" si="41"/>
        <v>-47.320891485099054</v>
      </c>
      <c r="EC49" s="248">
        <f t="shared" si="41"/>
        <v>-47.320891485099054</v>
      </c>
      <c r="ED49" s="248">
        <f t="shared" si="41"/>
        <v>-47.320891485099054</v>
      </c>
      <c r="EE49" s="248">
        <f t="shared" si="41"/>
        <v>-47.320891485099054</v>
      </c>
      <c r="EF49" s="248">
        <f t="shared" si="38"/>
        <v>-47.320891485099054</v>
      </c>
      <c r="EG49" s="248">
        <f t="shared" si="37"/>
        <v>-47.320891485099054</v>
      </c>
      <c r="EH49" s="248">
        <f t="shared" si="37"/>
        <v>-47.320891485099054</v>
      </c>
      <c r="EI49" s="248">
        <f t="shared" si="37"/>
        <v>-47.320891485099054</v>
      </c>
      <c r="EJ49" s="248">
        <f t="shared" si="37"/>
        <v>-47.320891485099054</v>
      </c>
      <c r="EK49" s="248">
        <f t="shared" si="37"/>
        <v>-47.320891485099054</v>
      </c>
      <c r="EL49" s="248">
        <f t="shared" si="37"/>
        <v>-47.320891485099054</v>
      </c>
      <c r="EM49" s="248">
        <f t="shared" si="37"/>
        <v>-47.320891485099054</v>
      </c>
      <c r="EN49" s="248">
        <f t="shared" si="37"/>
        <v>-47.320891485099054</v>
      </c>
      <c r="EO49" s="248">
        <f t="shared" si="37"/>
        <v>-47.320891485099054</v>
      </c>
      <c r="EP49" s="248">
        <f t="shared" si="37"/>
        <v>-47.320891485099054</v>
      </c>
      <c r="EQ49" s="248">
        <f t="shared" si="37"/>
        <v>-47.320891485099054</v>
      </c>
      <c r="ER49" s="248">
        <f t="shared" si="37"/>
        <v>-47.320891485099054</v>
      </c>
      <c r="ES49" s="248">
        <f t="shared" si="37"/>
        <v>-47.320891485099054</v>
      </c>
      <c r="ET49" s="248">
        <f t="shared" si="37"/>
        <v>-47.320891485099054</v>
      </c>
      <c r="FF49" s="698" t="s">
        <v>3007</v>
      </c>
      <c r="FG49" s="700">
        <v>2.5000000000000001E-2</v>
      </c>
      <c r="FH49" s="700">
        <v>120</v>
      </c>
      <c r="FI49" s="699">
        <v>1.8000000000000002E-2</v>
      </c>
      <c r="FJ49" s="699">
        <v>1.6E-2</v>
      </c>
      <c r="FK49" s="248">
        <f t="shared" si="11"/>
        <v>5.0000000000000001E-4</v>
      </c>
      <c r="FL49" s="248" t="e">
        <f>VLOOKUP(FF49,'SIMULADOR COM SALDO'!$BX$22:$CK$500,13,FALSE)</f>
        <v>#N/A</v>
      </c>
      <c r="FM49" s="249">
        <f t="shared" si="12"/>
        <v>1.77E-2</v>
      </c>
    </row>
    <row r="50" spans="6:169" s="248" customFormat="1" hidden="1" x14ac:dyDescent="0.25">
      <c r="F50" s="97"/>
      <c r="G50" s="248">
        <f t="shared" si="34"/>
        <v>-44.753528874240033</v>
      </c>
      <c r="H50" s="248">
        <f t="shared" si="35"/>
        <v>-44.756121168598845</v>
      </c>
      <c r="I50" s="248">
        <f t="shared" si="42"/>
        <v>-44.759941546081826</v>
      </c>
      <c r="J50" s="248">
        <f t="shared" si="42"/>
        <v>-44.764946219946452</v>
      </c>
      <c r="K50" s="248">
        <f t="shared" si="42"/>
        <v>-44.771092560613852</v>
      </c>
      <c r="L50" s="248">
        <f t="shared" si="42"/>
        <v>-44.778339068555361</v>
      </c>
      <c r="M50" s="248">
        <f t="shared" si="42"/>
        <v>-44.786645347774154</v>
      </c>
      <c r="N50" s="248">
        <f t="shared" si="42"/>
        <v>-44.795972079869564</v>
      </c>
      <c r="O50" s="248">
        <f t="shared" si="42"/>
        <v>-44.806280998671632</v>
      </c>
      <c r="P50" s="248">
        <f t="shared" si="42"/>
        <v>-44.817534865434084</v>
      </c>
      <c r="Q50" s="248">
        <f t="shared" si="42"/>
        <v>-44.829697444573704</v>
      </c>
      <c r="R50" s="248">
        <f t="shared" si="42"/>
        <v>-44.842733479944762</v>
      </c>
      <c r="S50" s="248">
        <f t="shared" si="42"/>
        <v>-44.85660867163709</v>
      </c>
      <c r="T50" s="248">
        <f t="shared" si="42"/>
        <v>-44.871289653286723</v>
      </c>
      <c r="U50" s="248">
        <f t="shared" si="42"/>
        <v>-44.886743969888315</v>
      </c>
      <c r="V50" s="248">
        <f t="shared" si="42"/>
        <v>-44.902940056098693</v>
      </c>
      <c r="W50" s="248">
        <f t="shared" si="42"/>
        <v>-44.919847215021079</v>
      </c>
      <c r="X50" s="248">
        <f t="shared" si="42"/>
        <v>-44.93743559745986</v>
      </c>
      <c r="Y50" s="248">
        <f t="shared" si="42"/>
        <v>-44.955676181636001</v>
      </c>
      <c r="Z50" s="248">
        <f t="shared" si="42"/>
        <v>-44.974540753353025</v>
      </c>
      <c r="AA50" s="248">
        <f t="shared" si="42"/>
        <v>-44.994001886604394</v>
      </c>
      <c r="AB50" s="248">
        <f t="shared" si="42"/>
        <v>-45.014032924612579</v>
      </c>
      <c r="AC50" s="248">
        <f t="shared" si="42"/>
        <v>-45.034607961290867</v>
      </c>
      <c r="AD50" s="248">
        <f t="shared" si="42"/>
        <v>-45.055701823118667</v>
      </c>
      <c r="AE50" s="248">
        <f t="shared" si="42"/>
        <v>-45.077290051421826</v>
      </c>
      <c r="AF50" s="248">
        <f t="shared" si="42"/>
        <v>-45.099348885049011</v>
      </c>
      <c r="AG50" s="248">
        <f t="shared" si="42"/>
        <v>-45.12185524343586</v>
      </c>
      <c r="AH50" s="248">
        <f t="shared" si="42"/>
        <v>-45.144786710048749</v>
      </c>
      <c r="AI50" s="248">
        <f t="shared" si="42"/>
        <v>-45.168121516199712</v>
      </c>
      <c r="AJ50" s="248">
        <f t="shared" si="42"/>
        <v>-45.191838525225059</v>
      </c>
      <c r="AK50" s="248">
        <f t="shared" si="42"/>
        <v>-45.215917217019438</v>
      </c>
      <c r="AL50" s="248">
        <f t="shared" si="42"/>
        <v>-45.240337672918088</v>
      </c>
      <c r="AM50" s="248">
        <f t="shared" si="42"/>
        <v>-45.265080560919678</v>
      </c>
      <c r="AN50" s="248">
        <f t="shared" si="42"/>
        <v>-45.290127121242428</v>
      </c>
      <c r="AO50" s="248">
        <f t="shared" si="42"/>
        <v>-45.315459152206415</v>
      </c>
      <c r="AP50" s="248">
        <f t="shared" si="42"/>
        <v>-45.341058996435009</v>
      </c>
      <c r="AQ50" s="248">
        <f t="shared" si="42"/>
        <v>-45.366909527368662</v>
      </c>
      <c r="AR50" s="248">
        <f t="shared" si="42"/>
        <v>-45.392994136084276</v>
      </c>
      <c r="AS50" s="248">
        <f t="shared" si="42"/>
        <v>-45.41929671841357</v>
      </c>
      <c r="AT50" s="248">
        <f t="shared" si="42"/>
        <v>-45.445801662354057</v>
      </c>
      <c r="AU50" s="248">
        <f t="shared" si="42"/>
        <v>-45.472493835766329</v>
      </c>
      <c r="AV50" s="248">
        <f t="shared" si="42"/>
        <v>-45.499358574351447</v>
      </c>
      <c r="AW50" s="248">
        <f t="shared" si="42"/>
        <v>-45.526381669902307</v>
      </c>
      <c r="AX50" s="248">
        <f t="shared" si="42"/>
        <v>-45.553549358823375</v>
      </c>
      <c r="AY50" s="248">
        <f t="shared" si="42"/>
        <v>-45.580848310912572</v>
      </c>
      <c r="AZ50" s="248">
        <f t="shared" si="42"/>
        <v>-45.608265618399976</v>
      </c>
      <c r="BA50" s="248">
        <f t="shared" si="42"/>
        <v>-45.635788785237622</v>
      </c>
      <c r="BB50" s="248">
        <f t="shared" si="42"/>
        <v>-45.663405716635026</v>
      </c>
      <c r="BC50" s="248">
        <f t="shared" si="42"/>
        <v>-45.691104708835013</v>
      </c>
      <c r="BD50" s="248">
        <f t="shared" si="42"/>
        <v>-45.718874439124818</v>
      </c>
      <c r="BE50" s="248">
        <f t="shared" si="42"/>
        <v>-45.746703956077127</v>
      </c>
      <c r="BF50" s="248">
        <f t="shared" si="42"/>
        <v>-45.774582670016287</v>
      </c>
      <c r="BG50" s="248">
        <f t="shared" si="42"/>
        <v>-45.802500343704608</v>
      </c>
      <c r="BH50" s="248">
        <f t="shared" si="42"/>
        <v>-45.830447083244046</v>
      </c>
      <c r="BI50" s="248">
        <f t="shared" si="42"/>
        <v>-45.858413329188608</v>
      </c>
      <c r="BJ50" s="248">
        <f t="shared" si="42"/>
        <v>-45.886389847862816</v>
      </c>
      <c r="BK50" s="248">
        <f t="shared" si="42"/>
        <v>-45.914367722881821</v>
      </c>
      <c r="BL50" s="248">
        <f t="shared" si="42"/>
        <v>-45.942338346868596</v>
      </c>
      <c r="BM50" s="248">
        <f t="shared" si="42"/>
        <v>-45.970293413364189</v>
      </c>
      <c r="BN50" s="248">
        <f t="shared" si="42"/>
        <v>-45.998224908926474</v>
      </c>
      <c r="BO50" s="248">
        <f t="shared" si="42"/>
        <v>-46.026125105413541</v>
      </c>
      <c r="BP50" s="248">
        <f t="shared" si="42"/>
        <v>-46.053986552447583</v>
      </c>
      <c r="BQ50" s="248">
        <f t="shared" si="42"/>
        <v>-46.081802070055247</v>
      </c>
      <c r="BR50" s="248">
        <f t="shared" si="42"/>
        <v>-46.109564741480753</v>
      </c>
      <c r="BS50" s="248">
        <f t="shared" si="42"/>
        <v>-46.137267906167779</v>
      </c>
      <c r="BT50" s="248">
        <f t="shared" si="42"/>
        <v>-46.16490515290657</v>
      </c>
      <c r="BU50" s="248">
        <f t="shared" si="41"/>
        <v>-46.192470313142557</v>
      </c>
      <c r="BV50" s="248">
        <f t="shared" si="41"/>
        <v>-46.21995745444292</v>
      </c>
      <c r="BW50" s="248">
        <f t="shared" si="41"/>
        <v>-46.247360874117668</v>
      </c>
      <c r="BX50" s="248">
        <f t="shared" si="41"/>
        <v>-46.27467509299175</v>
      </c>
      <c r="BY50" s="248">
        <f t="shared" si="41"/>
        <v>-46.301894849324938</v>
      </c>
      <c r="BZ50" s="248">
        <f t="shared" si="41"/>
        <v>-46.329015092876169</v>
      </c>
      <c r="CA50" s="248">
        <f t="shared" si="41"/>
        <v>-46.35603097910915</v>
      </c>
      <c r="CB50" s="248">
        <f t="shared" si="41"/>
        <v>-46.382937863536085</v>
      </c>
      <c r="CC50" s="248">
        <f t="shared" si="41"/>
        <v>-46.409731296196576</v>
      </c>
      <c r="CD50" s="248">
        <f t="shared" si="41"/>
        <v>-46.436407016268426</v>
      </c>
      <c r="CE50" s="248">
        <f t="shared" si="41"/>
        <v>-46.462960946807812</v>
      </c>
      <c r="CF50" s="248">
        <f t="shared" si="41"/>
        <v>-46.489389189615537</v>
      </c>
      <c r="CG50" s="248">
        <f t="shared" si="41"/>
        <v>-46.515688020226861</v>
      </c>
      <c r="CH50" s="248">
        <f t="shared" si="41"/>
        <v>-46.541853883021986</v>
      </c>
      <c r="CI50" s="248">
        <f t="shared" si="41"/>
        <v>-46.567883386454596</v>
      </c>
      <c r="CJ50" s="248">
        <f t="shared" si="41"/>
        <v>-46.593773298395739</v>
      </c>
      <c r="CK50" s="248">
        <f t="shared" si="41"/>
        <v>-46.619520541590575</v>
      </c>
      <c r="CL50" s="248">
        <f t="shared" si="41"/>
        <v>-46.645122189225297</v>
      </c>
      <c r="CM50" s="248">
        <f t="shared" si="41"/>
        <v>-46.670575460601995</v>
      </c>
      <c r="CN50" s="248">
        <f t="shared" si="41"/>
        <v>-46.695877716918787</v>
      </c>
      <c r="CO50" s="248">
        <f t="shared" si="41"/>
        <v>-46.721026457153059</v>
      </c>
      <c r="CP50" s="248">
        <f t="shared" si="41"/>
        <v>-46.746019314045348</v>
      </c>
      <c r="CQ50" s="248">
        <f t="shared" si="41"/>
        <v>-46.770854050181718</v>
      </c>
      <c r="CR50" s="248">
        <f t="shared" si="41"/>
        <v>-46.795528554172378</v>
      </c>
      <c r="CS50" s="248">
        <f t="shared" si="41"/>
        <v>-46.820040836924214</v>
      </c>
      <c r="CT50" s="248">
        <f t="shared" si="41"/>
        <v>-46.844389028005473</v>
      </c>
      <c r="CU50" s="248">
        <f t="shared" si="41"/>
        <v>-46.868571372100099</v>
      </c>
      <c r="CV50" s="248">
        <f t="shared" si="41"/>
        <v>-46.892586225550033</v>
      </c>
      <c r="CW50" s="248">
        <f t="shared" si="41"/>
        <v>-46.916432052983232</v>
      </c>
      <c r="CX50" s="248">
        <f t="shared" si="41"/>
        <v>-46.940107424025641</v>
      </c>
      <c r="CY50" s="248">
        <f t="shared" si="41"/>
        <v>-46.940107424025641</v>
      </c>
      <c r="CZ50" s="248">
        <f t="shared" si="41"/>
        <v>-46.940107424025641</v>
      </c>
      <c r="DA50" s="248">
        <f t="shared" si="41"/>
        <v>-46.940107424025641</v>
      </c>
      <c r="DB50" s="248">
        <f t="shared" si="41"/>
        <v>-46.940107424025641</v>
      </c>
      <c r="DC50" s="248">
        <f t="shared" si="41"/>
        <v>-46.940107424025641</v>
      </c>
      <c r="DD50" s="248">
        <f t="shared" si="41"/>
        <v>-46.940107424025641</v>
      </c>
      <c r="DE50" s="248">
        <f t="shared" si="41"/>
        <v>-46.940107424025641</v>
      </c>
      <c r="DF50" s="248">
        <f t="shared" si="41"/>
        <v>-46.940107424025641</v>
      </c>
      <c r="DG50" s="248">
        <f t="shared" si="41"/>
        <v>-46.940107424025641</v>
      </c>
      <c r="DH50" s="248">
        <f t="shared" si="41"/>
        <v>-46.940107424025641</v>
      </c>
      <c r="DI50" s="248">
        <f t="shared" si="41"/>
        <v>-46.940107424025641</v>
      </c>
      <c r="DJ50" s="248">
        <f t="shared" si="41"/>
        <v>-46.940107424025641</v>
      </c>
      <c r="DK50" s="248">
        <f t="shared" si="41"/>
        <v>-46.940107424025641</v>
      </c>
      <c r="DL50" s="248">
        <f t="shared" si="41"/>
        <v>-46.940107424025641</v>
      </c>
      <c r="DM50" s="248">
        <f t="shared" si="41"/>
        <v>-46.940107424025641</v>
      </c>
      <c r="DN50" s="248">
        <f t="shared" si="41"/>
        <v>-46.940107424025641</v>
      </c>
      <c r="DO50" s="248">
        <f t="shared" si="41"/>
        <v>-46.940107424025641</v>
      </c>
      <c r="DP50" s="248">
        <f t="shared" si="41"/>
        <v>-46.940107424025641</v>
      </c>
      <c r="DQ50" s="248">
        <f t="shared" si="41"/>
        <v>-46.940107424025641</v>
      </c>
      <c r="DR50" s="248">
        <f t="shared" si="41"/>
        <v>-46.940107424025641</v>
      </c>
      <c r="DS50" s="248">
        <f t="shared" si="41"/>
        <v>-46.940107424025641</v>
      </c>
      <c r="DT50" s="248">
        <f t="shared" si="41"/>
        <v>-46.940107424025641</v>
      </c>
      <c r="DU50" s="248">
        <f t="shared" si="41"/>
        <v>-46.940107424025641</v>
      </c>
      <c r="DV50" s="248">
        <f t="shared" si="41"/>
        <v>-46.940107424025641</v>
      </c>
      <c r="DW50" s="248">
        <f t="shared" si="41"/>
        <v>-46.940107424025641</v>
      </c>
      <c r="DX50" s="248">
        <f t="shared" si="41"/>
        <v>-46.940107424025641</v>
      </c>
      <c r="DY50" s="248">
        <f t="shared" si="41"/>
        <v>-46.940107424025641</v>
      </c>
      <c r="DZ50" s="248">
        <f t="shared" si="41"/>
        <v>-46.940107424025641</v>
      </c>
      <c r="EA50" s="248">
        <f t="shared" si="41"/>
        <v>-46.940107424025641</v>
      </c>
      <c r="EB50" s="248">
        <f t="shared" si="41"/>
        <v>-46.940107424025641</v>
      </c>
      <c r="EC50" s="248">
        <f t="shared" si="41"/>
        <v>-46.940107424025641</v>
      </c>
      <c r="ED50" s="248">
        <f t="shared" si="41"/>
        <v>-46.940107424025641</v>
      </c>
      <c r="EE50" s="248">
        <f t="shared" si="41"/>
        <v>-46.940107424025641</v>
      </c>
      <c r="EF50" s="248">
        <f t="shared" si="38"/>
        <v>-46.940107424025641</v>
      </c>
      <c r="EG50" s="248">
        <f t="shared" si="37"/>
        <v>-46.940107424025641</v>
      </c>
      <c r="EH50" s="248">
        <f t="shared" si="37"/>
        <v>-46.940107424025641</v>
      </c>
      <c r="EI50" s="248">
        <f t="shared" si="37"/>
        <v>-46.940107424025641</v>
      </c>
      <c r="EJ50" s="248">
        <f t="shared" si="37"/>
        <v>-46.940107424025641</v>
      </c>
      <c r="EK50" s="248">
        <f t="shared" si="37"/>
        <v>-46.940107424025641</v>
      </c>
      <c r="EL50" s="248">
        <f t="shared" si="37"/>
        <v>-46.940107424025641</v>
      </c>
      <c r="EM50" s="248">
        <f t="shared" si="37"/>
        <v>-46.940107424025641</v>
      </c>
      <c r="EN50" s="248">
        <f t="shared" si="37"/>
        <v>-46.940107424025641</v>
      </c>
      <c r="EO50" s="248">
        <f t="shared" si="37"/>
        <v>-46.940107424025641</v>
      </c>
      <c r="EP50" s="248">
        <f t="shared" si="37"/>
        <v>-46.940107424025641</v>
      </c>
      <c r="EQ50" s="248">
        <f t="shared" si="37"/>
        <v>-46.940107424025641</v>
      </c>
      <c r="ER50" s="248">
        <f t="shared" si="37"/>
        <v>-46.940107424025641</v>
      </c>
      <c r="ES50" s="248">
        <f t="shared" si="37"/>
        <v>-46.940107424025641</v>
      </c>
      <c r="ET50" s="248">
        <f t="shared" si="37"/>
        <v>-46.940107424025641</v>
      </c>
      <c r="FF50" s="698" t="s">
        <v>1013</v>
      </c>
      <c r="FG50" s="700">
        <v>2.0499999999999997E-2</v>
      </c>
      <c r="FH50" s="700">
        <v>120</v>
      </c>
      <c r="FI50" s="699">
        <v>1.6E-2</v>
      </c>
      <c r="FJ50" s="699">
        <v>1.43E-2</v>
      </c>
      <c r="FK50" s="248">
        <f t="shared" si="11"/>
        <v>3.4444444444444431E-4</v>
      </c>
      <c r="FL50" s="248" t="e">
        <f>VLOOKUP(FF50,'SIMULADOR COM SALDO'!$BX$22:$CK$500,13,FALSE)</f>
        <v>#N/A</v>
      </c>
      <c r="FM50" s="249">
        <f t="shared" si="12"/>
        <v>1.5699999999999999E-2</v>
      </c>
    </row>
    <row r="51" spans="6:169" s="248" customFormat="1" hidden="1" x14ac:dyDescent="0.25">
      <c r="F51" s="97"/>
      <c r="G51" s="248">
        <f t="shared" si="34"/>
        <v>-44.753308754834194</v>
      </c>
      <c r="H51" s="248">
        <f t="shared" si="35"/>
        <v>-44.755468274536504</v>
      </c>
      <c r="I51" s="248">
        <f t="shared" si="42"/>
        <v>-44.758650496435052</v>
      </c>
      <c r="J51" s="248">
        <f t="shared" si="42"/>
        <v>-44.762818722569207</v>
      </c>
      <c r="K51" s="248">
        <f t="shared" si="42"/>
        <v>-44.767937230801721</v>
      </c>
      <c r="L51" s="248">
        <f t="shared" si="42"/>
        <v>-44.773971251816754</v>
      </c>
      <c r="M51" s="248">
        <f t="shared" si="42"/>
        <v>-44.780886946625728</v>
      </c>
      <c r="N51" s="248">
        <f t="shared" si="42"/>
        <v>-44.788651384570251</v>
      </c>
      <c r="O51" s="248">
        <f t="shared" si="42"/>
        <v>-44.797232521811679</v>
      </c>
      <c r="P51" s="248">
        <f t="shared" si="42"/>
        <v>-44.806599180296807</v>
      </c>
      <c r="Q51" s="248">
        <f t="shared" si="42"/>
        <v>-44.816721027189871</v>
      </c>
      <c r="R51" s="248">
        <f t="shared" si="42"/>
        <v>-44.827568554760489</v>
      </c>
      <c r="S51" s="248">
        <f t="shared" si="42"/>
        <v>-44.839113060718446</v>
      </c>
      <c r="T51" s="248">
        <f t="shared" si="42"/>
        <v>-44.851326628985291</v>
      </c>
      <c r="U51" s="248">
        <f t="shared" si="42"/>
        <v>-44.864182110893793</v>
      </c>
      <c r="V51" s="248">
        <f t="shared" si="42"/>
        <v>-44.877653106805923</v>
      </c>
      <c r="W51" s="248">
        <f t="shared" si="42"/>
        <v>-44.891713948140605</v>
      </c>
      <c r="X51" s="248">
        <f t="shared" si="42"/>
        <v>-44.906339679802421</v>
      </c>
      <c r="Y51" s="248">
        <f t="shared" si="42"/>
        <v>-44.921506043002779</v>
      </c>
      <c r="Z51" s="248">
        <f t="shared" si="42"/>
        <v>-44.937189458464935</v>
      </c>
      <c r="AA51" s="248">
        <f t="shared" si="42"/>
        <v>-44.953367010005117</v>
      </c>
      <c r="AB51" s="248">
        <f t="shared" si="42"/>
        <v>-44.97001642848123</v>
      </c>
      <c r="AC51" s="248">
        <f t="shared" si="42"/>
        <v>-44.987116076101579</v>
      </c>
      <c r="AD51" s="248">
        <f t="shared" si="42"/>
        <v>-45.004644931085821</v>
      </c>
      <c r="AE51" s="248">
        <f t="shared" si="42"/>
        <v>-45.022582572670558</v>
      </c>
      <c r="AF51" s="248">
        <f t="shared" si="42"/>
        <v>-45.04090916645228</v>
      </c>
      <c r="AG51" s="248">
        <f t="shared" si="42"/>
        <v>-45.059605450060282</v>
      </c>
      <c r="AH51" s="248">
        <f t="shared" si="42"/>
        <v>-45.078652719152657</v>
      </c>
      <c r="AI51" s="248">
        <f t="shared" si="42"/>
        <v>-45.098032813728203</v>
      </c>
      <c r="AJ51" s="248">
        <f t="shared" si="42"/>
        <v>-45.117728104747727</v>
      </c>
      <c r="AK51" s="248">
        <f t="shared" si="42"/>
        <v>-45.137721481057795</v>
      </c>
      <c r="AL51" s="248">
        <f t="shared" si="42"/>
        <v>-45.157996336610623</v>
      </c>
      <c r="AM51" s="248">
        <f t="shared" si="42"/>
        <v>-45.178536557973715</v>
      </c>
      <c r="AN51" s="248">
        <f t="shared" si="42"/>
        <v>-45.199326512122838</v>
      </c>
      <c r="AO51" s="248">
        <f t="shared" si="42"/>
        <v>-45.22035103451249</v>
      </c>
      <c r="AP51" s="248">
        <f t="shared" si="42"/>
        <v>-45.241595417417585</v>
      </c>
      <c r="AQ51" s="248">
        <f t="shared" si="42"/>
        <v>-45.26304539854074</v>
      </c>
      <c r="AR51" s="248">
        <f t="shared" si="42"/>
        <v>-45.284687149879218</v>
      </c>
      <c r="AS51" s="248">
        <f t="shared" si="42"/>
        <v>-45.306507266846133</v>
      </c>
      <c r="AT51" s="248">
        <f t="shared" si="42"/>
        <v>-45.328492757640127</v>
      </c>
      <c r="AU51" s="248">
        <f t="shared" si="42"/>
        <v>-45.350631032858459</v>
      </c>
      <c r="AV51" s="248">
        <f t="shared" si="42"/>
        <v>-45.372909895347945</v>
      </c>
      <c r="AW51" s="248">
        <f t="shared" si="42"/>
        <v>-45.395317530288757</v>
      </c>
      <c r="AX51" s="248">
        <f t="shared" si="42"/>
        <v>-45.417842495505994</v>
      </c>
      <c r="AY51" s="248">
        <f t="shared" si="42"/>
        <v>-45.44047371200395</v>
      </c>
      <c r="AZ51" s="248">
        <f t="shared" si="42"/>
        <v>-45.463200454718518</v>
      </c>
      <c r="BA51" s="248">
        <f t="shared" si="42"/>
        <v>-45.48601234348267</v>
      </c>
      <c r="BB51" s="248">
        <f t="shared" si="42"/>
        <v>-45.508899334200493</v>
      </c>
      <c r="BC51" s="248">
        <f t="shared" si="42"/>
        <v>-45.53185171022534</v>
      </c>
      <c r="BD51" s="248">
        <f t="shared" si="42"/>
        <v>-45.554860073937476</v>
      </c>
      <c r="BE51" s="248">
        <f t="shared" si="42"/>
        <v>-45.577915338517045</v>
      </c>
      <c r="BF51" s="248">
        <f t="shared" si="42"/>
        <v>-45.601008719907732</v>
      </c>
      <c r="BG51" s="248">
        <f t="shared" si="42"/>
        <v>-45.624131728967548</v>
      </c>
      <c r="BH51" s="248">
        <f t="shared" si="42"/>
        <v>-45.647276163801955</v>
      </c>
      <c r="BI51" s="248">
        <f t="shared" si="42"/>
        <v>-45.670434102275877</v>
      </c>
      <c r="BJ51" s="248">
        <f t="shared" si="42"/>
        <v>-45.693597894700446</v>
      </c>
      <c r="BK51" s="248">
        <f t="shared" si="42"/>
        <v>-45.716760156690555</v>
      </c>
      <c r="BL51" s="248">
        <f t="shared" si="42"/>
        <v>-45.739913762189708</v>
      </c>
      <c r="BM51" s="248">
        <f t="shared" si="42"/>
        <v>-45.763051836658306</v>
      </c>
      <c r="BN51" s="248">
        <f t="shared" si="42"/>
        <v>-45.786167750421839</v>
      </c>
      <c r="BO51" s="248">
        <f t="shared" si="42"/>
        <v>-45.809255112175428</v>
      </c>
      <c r="BP51" s="248">
        <f t="shared" si="42"/>
        <v>-45.832307762641335</v>
      </c>
      <c r="BQ51" s="248">
        <f t="shared" si="42"/>
        <v>-45.855319768375992</v>
      </c>
      <c r="BR51" s="248">
        <f t="shared" si="42"/>
        <v>-45.878285415723312</v>
      </c>
      <c r="BS51" s="248">
        <f t="shared" si="42"/>
        <v>-45.901199204910974</v>
      </c>
      <c r="BT51" s="248">
        <f t="shared" ref="BT51:EE54" si="43">PV($F24,BT$9,1,0)+(PV($J$6,$N$5-(BT$9),1,0)/($J$6+1)^BT$9)</f>
        <v>-45.924055844286606</v>
      </c>
      <c r="BU51" s="248">
        <f t="shared" si="43"/>
        <v>-45.946850244690708</v>
      </c>
      <c r="BV51" s="248">
        <f t="shared" si="43"/>
        <v>-45.969577513963252</v>
      </c>
      <c r="BW51" s="248">
        <f t="shared" si="43"/>
        <v>-45.992232951581165</v>
      </c>
      <c r="BX51" s="248">
        <f t="shared" si="43"/>
        <v>-46.014812043423518</v>
      </c>
      <c r="BY51" s="248">
        <f t="shared" si="43"/>
        <v>-46.037310456661835</v>
      </c>
      <c r="BZ51" s="248">
        <f t="shared" si="43"/>
        <v>-46.059724034772572</v>
      </c>
      <c r="CA51" s="248">
        <f t="shared" si="43"/>
        <v>-46.082048792669163</v>
      </c>
      <c r="CB51" s="248">
        <f t="shared" si="43"/>
        <v>-46.104280911950852</v>
      </c>
      <c r="CC51" s="248">
        <f t="shared" si="43"/>
        <v>-46.126416736265789</v>
      </c>
      <c r="CD51" s="248">
        <f t="shared" si="43"/>
        <v>-46.148452766785809</v>
      </c>
      <c r="CE51" s="248">
        <f t="shared" si="43"/>
        <v>-46.170385657790419</v>
      </c>
      <c r="CF51" s="248">
        <f t="shared" si="43"/>
        <v>-46.192212212357497</v>
      </c>
      <c r="CG51" s="248">
        <f t="shared" si="43"/>
        <v>-46.213929378158376</v>
      </c>
      <c r="CH51" s="248">
        <f t="shared" si="43"/>
        <v>-46.235534243354884</v>
      </c>
      <c r="CI51" s="248">
        <f t="shared" si="43"/>
        <v>-46.257024032596206</v>
      </c>
      <c r="CJ51" s="248">
        <f t="shared" si="43"/>
        <v>-46.27839610311311</v>
      </c>
      <c r="CK51" s="248">
        <f t="shared" si="43"/>
        <v>-46.299647940907541</v>
      </c>
      <c r="CL51" s="248">
        <f t="shared" si="43"/>
        <v>-46.320777157035337</v>
      </c>
      <c r="CM51" s="248">
        <f t="shared" si="43"/>
        <v>-46.341781483979979</v>
      </c>
      <c r="CN51" s="248">
        <f t="shared" si="43"/>
        <v>-46.362658772115317</v>
      </c>
      <c r="CO51" s="248">
        <f t="shared" si="43"/>
        <v>-46.383406986255295</v>
      </c>
      <c r="CP51" s="248">
        <f t="shared" si="43"/>
        <v>-46.404024202288682</v>
      </c>
      <c r="CQ51" s="248">
        <f t="shared" si="43"/>
        <v>-46.424508603896825</v>
      </c>
      <c r="CR51" s="248">
        <f t="shared" si="43"/>
        <v>-46.444858479352746</v>
      </c>
      <c r="CS51" s="248">
        <f t="shared" si="43"/>
        <v>-46.465072218399378</v>
      </c>
      <c r="CT51" s="248">
        <f t="shared" si="43"/>
        <v>-46.485148309205584</v>
      </c>
      <c r="CU51" s="248">
        <f t="shared" si="43"/>
        <v>-46.505085335397773</v>
      </c>
      <c r="CV51" s="248">
        <f t="shared" si="43"/>
        <v>-46.524881973165733</v>
      </c>
      <c r="CW51" s="248">
        <f t="shared" si="43"/>
        <v>-46.544536988440683</v>
      </c>
      <c r="CX51" s="248">
        <f t="shared" si="43"/>
        <v>-46.564049234144164</v>
      </c>
      <c r="CY51" s="248">
        <f t="shared" si="43"/>
        <v>-46.564049234144164</v>
      </c>
      <c r="CZ51" s="248">
        <f t="shared" si="43"/>
        <v>-46.564049234144164</v>
      </c>
      <c r="DA51" s="248">
        <f t="shared" si="43"/>
        <v>-46.564049234144164</v>
      </c>
      <c r="DB51" s="248">
        <f t="shared" si="43"/>
        <v>-46.564049234144164</v>
      </c>
      <c r="DC51" s="248">
        <f t="shared" si="43"/>
        <v>-46.564049234144164</v>
      </c>
      <c r="DD51" s="248">
        <f t="shared" si="43"/>
        <v>-46.564049234144164</v>
      </c>
      <c r="DE51" s="248">
        <f t="shared" si="43"/>
        <v>-46.564049234144164</v>
      </c>
      <c r="DF51" s="248">
        <f t="shared" si="43"/>
        <v>-46.564049234144164</v>
      </c>
      <c r="DG51" s="248">
        <f t="shared" si="43"/>
        <v>-46.564049234144164</v>
      </c>
      <c r="DH51" s="248">
        <f t="shared" si="43"/>
        <v>-46.564049234144164</v>
      </c>
      <c r="DI51" s="248">
        <f t="shared" si="43"/>
        <v>-46.564049234144164</v>
      </c>
      <c r="DJ51" s="248">
        <f t="shared" si="43"/>
        <v>-46.564049234144164</v>
      </c>
      <c r="DK51" s="248">
        <f t="shared" si="43"/>
        <v>-46.564049234144164</v>
      </c>
      <c r="DL51" s="248">
        <f t="shared" si="43"/>
        <v>-46.564049234144164</v>
      </c>
      <c r="DM51" s="248">
        <f t="shared" si="43"/>
        <v>-46.564049234144164</v>
      </c>
      <c r="DN51" s="248">
        <f t="shared" si="43"/>
        <v>-46.564049234144164</v>
      </c>
      <c r="DO51" s="248">
        <f t="shared" si="43"/>
        <v>-46.564049234144164</v>
      </c>
      <c r="DP51" s="248">
        <f t="shared" si="43"/>
        <v>-46.564049234144164</v>
      </c>
      <c r="DQ51" s="248">
        <f t="shared" si="43"/>
        <v>-46.564049234144164</v>
      </c>
      <c r="DR51" s="248">
        <f t="shared" si="43"/>
        <v>-46.564049234144164</v>
      </c>
      <c r="DS51" s="248">
        <f t="shared" si="43"/>
        <v>-46.564049234144164</v>
      </c>
      <c r="DT51" s="248">
        <f t="shared" si="43"/>
        <v>-46.564049234144164</v>
      </c>
      <c r="DU51" s="248">
        <f t="shared" si="43"/>
        <v>-46.564049234144164</v>
      </c>
      <c r="DV51" s="248">
        <f t="shared" si="43"/>
        <v>-46.564049234144164</v>
      </c>
      <c r="DW51" s="248">
        <f t="shared" si="43"/>
        <v>-46.564049234144164</v>
      </c>
      <c r="DX51" s="248">
        <f t="shared" si="43"/>
        <v>-46.564049234144164</v>
      </c>
      <c r="DY51" s="248">
        <f t="shared" si="43"/>
        <v>-46.564049234144164</v>
      </c>
      <c r="DZ51" s="248">
        <f t="shared" si="43"/>
        <v>-46.564049234144164</v>
      </c>
      <c r="EA51" s="248">
        <f t="shared" si="43"/>
        <v>-46.564049234144164</v>
      </c>
      <c r="EB51" s="248">
        <f t="shared" si="43"/>
        <v>-46.564049234144164</v>
      </c>
      <c r="EC51" s="248">
        <f t="shared" si="43"/>
        <v>-46.564049234144164</v>
      </c>
      <c r="ED51" s="248">
        <f t="shared" si="43"/>
        <v>-46.564049234144164</v>
      </c>
      <c r="EE51" s="248">
        <f t="shared" si="43"/>
        <v>-46.564049234144164</v>
      </c>
      <c r="EF51" s="248">
        <f t="shared" si="38"/>
        <v>-46.564049234144164</v>
      </c>
      <c r="EG51" s="248">
        <f t="shared" si="37"/>
        <v>-46.564049234144164</v>
      </c>
      <c r="EH51" s="248">
        <f t="shared" si="37"/>
        <v>-46.564049234144164</v>
      </c>
      <c r="EI51" s="248">
        <f t="shared" si="37"/>
        <v>-46.564049234144164</v>
      </c>
      <c r="EJ51" s="248">
        <f t="shared" si="37"/>
        <v>-46.564049234144164</v>
      </c>
      <c r="EK51" s="248">
        <f t="shared" si="37"/>
        <v>-46.564049234144164</v>
      </c>
      <c r="EL51" s="248">
        <f t="shared" si="37"/>
        <v>-46.564049234144164</v>
      </c>
      <c r="EM51" s="248">
        <f t="shared" si="37"/>
        <v>-46.564049234144164</v>
      </c>
      <c r="EN51" s="248">
        <f t="shared" si="37"/>
        <v>-46.564049234144164</v>
      </c>
      <c r="EO51" s="248">
        <f t="shared" si="37"/>
        <v>-46.564049234144164</v>
      </c>
      <c r="EP51" s="248">
        <f t="shared" si="37"/>
        <v>-46.564049234144164</v>
      </c>
      <c r="EQ51" s="248">
        <f t="shared" si="37"/>
        <v>-46.564049234144164</v>
      </c>
      <c r="ER51" s="248">
        <f t="shared" si="37"/>
        <v>-46.564049234144164</v>
      </c>
      <c r="ES51" s="248">
        <f t="shared" si="37"/>
        <v>-46.564049234144164</v>
      </c>
      <c r="ET51" s="248">
        <f t="shared" si="37"/>
        <v>-46.564049234144164</v>
      </c>
      <c r="FF51" s="705" t="s">
        <v>66</v>
      </c>
      <c r="FG51" s="282">
        <v>2.5000000000000001E-2</v>
      </c>
      <c r="FH51" s="282">
        <v>96</v>
      </c>
      <c r="FI51" s="282">
        <v>1.55E-2</v>
      </c>
      <c r="FJ51" s="282">
        <v>1.4499999999999999E-2</v>
      </c>
      <c r="FK51" s="248">
        <f t="shared" si="11"/>
        <v>5.8333333333333349E-4</v>
      </c>
      <c r="FL51" s="248" t="e">
        <f>VLOOKUP(FF51,'SIMULADOR COM SALDO'!$BX$22:$CK$500,13,FALSE)</f>
        <v>#N/A</v>
      </c>
      <c r="FM51" s="249">
        <f t="shared" si="12"/>
        <v>1.52E-2</v>
      </c>
    </row>
    <row r="52" spans="6:169" s="248" customFormat="1" hidden="1" x14ac:dyDescent="0.25">
      <c r="F52" s="97"/>
      <c r="G52" s="248">
        <f t="shared" si="34"/>
        <v>-44.753088733971715</v>
      </c>
      <c r="H52" s="248">
        <f t="shared" si="35"/>
        <v>-44.7548157696027</v>
      </c>
      <c r="I52" s="248">
        <f t="shared" ref="I52:BT55" si="44">PV($F25,I$9,1,0)+(PV($J$6,$N$5-(I$9),1,0)/($J$6+1)^I$9)</f>
        <v>-44.757360407169614</v>
      </c>
      <c r="J52" s="248">
        <f t="shared" si="44"/>
        <v>-44.760693121414107</v>
      </c>
      <c r="K52" s="248">
        <f t="shared" si="44"/>
        <v>-44.764785177018069</v>
      </c>
      <c r="L52" s="248">
        <f t="shared" si="44"/>
        <v>-44.769608609870957</v>
      </c>
      <c r="M52" s="248">
        <f t="shared" si="44"/>
        <v>-44.775136208753231</v>
      </c>
      <c r="N52" s="248">
        <f t="shared" si="44"/>
        <v>-44.781341497426837</v>
      </c>
      <c r="O52" s="248">
        <f t="shared" si="44"/>
        <v>-44.788198717124303</v>
      </c>
      <c r="P52" s="248">
        <f t="shared" si="44"/>
        <v>-44.795682809427738</v>
      </c>
      <c r="Q52" s="248">
        <f t="shared" si="44"/>
        <v>-44.803769399529585</v>
      </c>
      <c r="R52" s="248">
        <f t="shared" si="44"/>
        <v>-44.812434779866678</v>
      </c>
      <c r="S52" s="248">
        <f t="shared" si="44"/>
        <v>-44.821655894120141</v>
      </c>
      <c r="T52" s="248">
        <f t="shared" si="44"/>
        <v>-44.831410321572662</v>
      </c>
      <c r="U52" s="248">
        <f t="shared" si="44"/>
        <v>-44.841676261816083</v>
      </c>
      <c r="V52" s="248">
        <f t="shared" si="44"/>
        <v>-44.852432519801283</v>
      </c>
      <c r="W52" s="248">
        <f t="shared" si="44"/>
        <v>-44.863658491223489</v>
      </c>
      <c r="X52" s="248">
        <f t="shared" si="44"/>
        <v>-44.875334148235495</v>
      </c>
      <c r="Y52" s="248">
        <f t="shared" si="44"/>
        <v>-44.887440025481865</v>
      </c>
      <c r="Z52" s="248">
        <f t="shared" si="44"/>
        <v>-44.899957206447233</v>
      </c>
      <c r="AA52" s="248">
        <f t="shared" si="44"/>
        <v>-44.912867310111956</v>
      </c>
      <c r="AB52" s="248">
        <f t="shared" si="44"/>
        <v>-44.92615247790846</v>
      </c>
      <c r="AC52" s="248">
        <f t="shared" si="44"/>
        <v>-44.939795360971857</v>
      </c>
      <c r="AD52" s="248">
        <f t="shared" si="44"/>
        <v>-44.953779107678535</v>
      </c>
      <c r="AE52" s="248">
        <f t="shared" si="44"/>
        <v>-44.968087351466316</v>
      </c>
      <c r="AF52" s="248">
        <f t="shared" si="44"/>
        <v>-44.982704198930492</v>
      </c>
      <c r="AG52" s="248">
        <f t="shared" si="44"/>
        <v>-44.99761421818927</v>
      </c>
      <c r="AH52" s="248">
        <f t="shared" si="44"/>
        <v>-45.0128024275134</v>
      </c>
      <c r="AI52" s="248">
        <f t="shared" si="44"/>
        <v>-45.028254284213645</v>
      </c>
      <c r="AJ52" s="248">
        <f t="shared" si="44"/>
        <v>-45.043955673781163</v>
      </c>
      <c r="AK52" s="248">
        <f t="shared" si="44"/>
        <v>-45.059892899274814</v>
      </c>
      <c r="AL52" s="248">
        <f t="shared" si="44"/>
        <v>-45.076052670950205</v>
      </c>
      <c r="AM52" s="248">
        <f t="shared" si="44"/>
        <v>-45.092422096125489</v>
      </c>
      <c r="AN52" s="248">
        <f t="shared" si="44"/>
        <v>-45.108988669278332</v>
      </c>
      <c r="AO52" s="248">
        <f t="shared" si="44"/>
        <v>-45.125740262369419</v>
      </c>
      <c r="AP52" s="248">
        <f t="shared" si="44"/>
        <v>-45.142665115387345</v>
      </c>
      <c r="AQ52" s="248">
        <f t="shared" si="44"/>
        <v>-45.159751827110227</v>
      </c>
      <c r="AR52" s="248">
        <f t="shared" si="44"/>
        <v>-45.176989346079225</v>
      </c>
      <c r="AS52" s="248">
        <f t="shared" si="44"/>
        <v>-45.194366961779345</v>
      </c>
      <c r="AT52" s="248">
        <f t="shared" si="44"/>
        <v>-45.21187429602319</v>
      </c>
      <c r="AU52" s="248">
        <f t="shared" si="44"/>
        <v>-45.229501294532959</v>
      </c>
      <c r="AV52" s="248">
        <f t="shared" si="44"/>
        <v>-45.24723821871666</v>
      </c>
      <c r="AW52" s="248">
        <f t="shared" si="44"/>
        <v>-45.26507563763397</v>
      </c>
      <c r="AX52" s="248">
        <f t="shared" si="44"/>
        <v>-45.283004420147989</v>
      </c>
      <c r="AY52" s="248">
        <f t="shared" si="44"/>
        <v>-45.301015727258438</v>
      </c>
      <c r="AZ52" s="248">
        <f t="shared" si="44"/>
        <v>-45.319101004612634</v>
      </c>
      <c r="BA52" s="248">
        <f t="shared" si="44"/>
        <v>-45.337251975190185</v>
      </c>
      <c r="BB52" s="248">
        <f t="shared" si="44"/>
        <v>-45.355460632157531</v>
      </c>
      <c r="BC52" s="248">
        <f t="shared" si="44"/>
        <v>-45.373719231888899</v>
      </c>
      <c r="BD52" s="248">
        <f t="shared" si="44"/>
        <v>-45.392020287149691</v>
      </c>
      <c r="BE52" s="248">
        <f t="shared" si="44"/>
        <v>-45.410356560438927</v>
      </c>
      <c r="BF52" s="248">
        <f t="shared" si="44"/>
        <v>-45.428721057487216</v>
      </c>
      <c r="BG52" s="248">
        <f t="shared" si="44"/>
        <v>-45.447107020906692</v>
      </c>
      <c r="BH52" s="248">
        <f t="shared" si="44"/>
        <v>-45.465507923989875</v>
      </c>
      <c r="BI52" s="248">
        <f t="shared" si="44"/>
        <v>-45.4839174646538</v>
      </c>
      <c r="BJ52" s="248">
        <f t="shared" si="44"/>
        <v>-45.502329559526544</v>
      </c>
      <c r="BK52" s="248">
        <f t="shared" si="44"/>
        <v>-45.52073833817272</v>
      </c>
      <c r="BL52" s="248">
        <f t="shared" si="44"/>
        <v>-45.539138137455133</v>
      </c>
      <c r="BM52" s="248">
        <f t="shared" si="44"/>
        <v>-45.557523496029368</v>
      </c>
      <c r="BN52" s="248">
        <f t="shared" si="44"/>
        <v>-45.57588914896845</v>
      </c>
      <c r="BO52" s="248">
        <f t="shared" si="44"/>
        <v>-45.594230022514772</v>
      </c>
      <c r="BP52" s="248">
        <f t="shared" si="44"/>
        <v>-45.612541228956353</v>
      </c>
      <c r="BQ52" s="248">
        <f t="shared" si="44"/>
        <v>-45.630818061624637</v>
      </c>
      <c r="BR52" s="248">
        <f t="shared" si="44"/>
        <v>-45.649055990011377</v>
      </c>
      <c r="BS52" s="248">
        <f t="shared" si="44"/>
        <v>-45.667250655001553</v>
      </c>
      <c r="BT52" s="248">
        <f t="shared" si="44"/>
        <v>-45.685397864220171</v>
      </c>
      <c r="BU52" s="248">
        <f t="shared" si="43"/>
        <v>-45.703493587490108</v>
      </c>
      <c r="BV52" s="248">
        <f t="shared" si="43"/>
        <v>-45.721533952398588</v>
      </c>
      <c r="BW52" s="248">
        <f t="shared" si="43"/>
        <v>-45.739515239969997</v>
      </c>
      <c r="BX52" s="248">
        <f t="shared" si="43"/>
        <v>-45.757433880442449</v>
      </c>
      <c r="BY52" s="248">
        <f t="shared" si="43"/>
        <v>-45.775286449146016</v>
      </c>
      <c r="BZ52" s="248">
        <f t="shared" si="43"/>
        <v>-45.793069662480079</v>
      </c>
      <c r="CA52" s="248">
        <f t="shared" si="43"/>
        <v>-45.810780373987861</v>
      </c>
      <c r="CB52" s="248">
        <f t="shared" si="43"/>
        <v>-45.828415570525763</v>
      </c>
      <c r="CC52" s="248">
        <f t="shared" si="43"/>
        <v>-45.845972368525366</v>
      </c>
      <c r="CD52" s="248">
        <f t="shared" si="43"/>
        <v>-45.863448010346247</v>
      </c>
      <c r="CE52" s="248">
        <f t="shared" si="43"/>
        <v>-45.880839860717217</v>
      </c>
      <c r="CF52" s="248">
        <f t="shared" si="43"/>
        <v>-45.898145403264351</v>
      </c>
      <c r="CG52" s="248">
        <f t="shared" si="43"/>
        <v>-45.915362237123539</v>
      </c>
      <c r="CH52" s="248">
        <f t="shared" si="43"/>
        <v>-45.932488073635866</v>
      </c>
      <c r="CI52" s="248">
        <f t="shared" si="43"/>
        <v>-45.94952073312384</v>
      </c>
      <c r="CJ52" s="248">
        <f t="shared" si="43"/>
        <v>-45.966458141746685</v>
      </c>
      <c r="CK52" s="248">
        <f t="shared" si="43"/>
        <v>-45.98329832843288</v>
      </c>
      <c r="CL52" s="248">
        <f t="shared" si="43"/>
        <v>-46.000039421888204</v>
      </c>
      <c r="CM52" s="248">
        <f t="shared" si="43"/>
        <v>-46.016679647677627</v>
      </c>
      <c r="CN52" s="248">
        <f t="shared" si="43"/>
        <v>-46.033217325379255</v>
      </c>
      <c r="CO52" s="248">
        <f t="shared" si="43"/>
        <v>-46.049650865808758</v>
      </c>
      <c r="CP52" s="248">
        <f t="shared" si="43"/>
        <v>-46.065978768312732</v>
      </c>
      <c r="CQ52" s="248">
        <f t="shared" si="43"/>
        <v>-46.082199618129309</v>
      </c>
      <c r="CR52" s="248">
        <f t="shared" si="43"/>
        <v>-46.098312083814534</v>
      </c>
      <c r="CS52" s="248">
        <f t="shared" si="43"/>
        <v>-46.114314914733065</v>
      </c>
      <c r="CT52" s="248">
        <f t="shared" si="43"/>
        <v>-46.130206938611565</v>
      </c>
      <c r="CU52" s="248">
        <f t="shared" si="43"/>
        <v>-46.145987059153533</v>
      </c>
      <c r="CV52" s="248">
        <f t="shared" si="43"/>
        <v>-46.161654253714126</v>
      </c>
      <c r="CW52" s="248">
        <f t="shared" si="43"/>
        <v>-46.177207571033392</v>
      </c>
      <c r="CX52" s="248">
        <f t="shared" si="43"/>
        <v>-46.19264612902689</v>
      </c>
      <c r="CY52" s="248">
        <f t="shared" si="43"/>
        <v>-46.19264612902689</v>
      </c>
      <c r="CZ52" s="248">
        <f t="shared" si="43"/>
        <v>-46.19264612902689</v>
      </c>
      <c r="DA52" s="248">
        <f t="shared" si="43"/>
        <v>-46.19264612902689</v>
      </c>
      <c r="DB52" s="248">
        <f t="shared" si="43"/>
        <v>-46.19264612902689</v>
      </c>
      <c r="DC52" s="248">
        <f t="shared" si="43"/>
        <v>-46.19264612902689</v>
      </c>
      <c r="DD52" s="248">
        <f t="shared" si="43"/>
        <v>-46.19264612902689</v>
      </c>
      <c r="DE52" s="248">
        <f t="shared" si="43"/>
        <v>-46.19264612902689</v>
      </c>
      <c r="DF52" s="248">
        <f t="shared" si="43"/>
        <v>-46.19264612902689</v>
      </c>
      <c r="DG52" s="248">
        <f t="shared" si="43"/>
        <v>-46.19264612902689</v>
      </c>
      <c r="DH52" s="248">
        <f t="shared" si="43"/>
        <v>-46.19264612902689</v>
      </c>
      <c r="DI52" s="248">
        <f t="shared" si="43"/>
        <v>-46.19264612902689</v>
      </c>
      <c r="DJ52" s="248">
        <f t="shared" si="43"/>
        <v>-46.19264612902689</v>
      </c>
      <c r="DK52" s="248">
        <f t="shared" si="43"/>
        <v>-46.19264612902689</v>
      </c>
      <c r="DL52" s="248">
        <f t="shared" si="43"/>
        <v>-46.19264612902689</v>
      </c>
      <c r="DM52" s="248">
        <f t="shared" si="43"/>
        <v>-46.19264612902689</v>
      </c>
      <c r="DN52" s="248">
        <f t="shared" si="43"/>
        <v>-46.19264612902689</v>
      </c>
      <c r="DO52" s="248">
        <f t="shared" si="43"/>
        <v>-46.19264612902689</v>
      </c>
      <c r="DP52" s="248">
        <f t="shared" si="43"/>
        <v>-46.19264612902689</v>
      </c>
      <c r="DQ52" s="248">
        <f t="shared" si="43"/>
        <v>-46.19264612902689</v>
      </c>
      <c r="DR52" s="248">
        <f t="shared" si="43"/>
        <v>-46.19264612902689</v>
      </c>
      <c r="DS52" s="248">
        <f t="shared" si="43"/>
        <v>-46.19264612902689</v>
      </c>
      <c r="DT52" s="248">
        <f t="shared" si="43"/>
        <v>-46.19264612902689</v>
      </c>
      <c r="DU52" s="248">
        <f t="shared" si="43"/>
        <v>-46.19264612902689</v>
      </c>
      <c r="DV52" s="248">
        <f t="shared" si="43"/>
        <v>-46.19264612902689</v>
      </c>
      <c r="DW52" s="248">
        <f t="shared" si="43"/>
        <v>-46.19264612902689</v>
      </c>
      <c r="DX52" s="248">
        <f t="shared" si="43"/>
        <v>-46.19264612902689</v>
      </c>
      <c r="DY52" s="248">
        <f t="shared" si="43"/>
        <v>-46.19264612902689</v>
      </c>
      <c r="DZ52" s="248">
        <f t="shared" si="43"/>
        <v>-46.19264612902689</v>
      </c>
      <c r="EA52" s="248">
        <f t="shared" si="43"/>
        <v>-46.19264612902689</v>
      </c>
      <c r="EB52" s="248">
        <f t="shared" si="43"/>
        <v>-46.19264612902689</v>
      </c>
      <c r="EC52" s="248">
        <f t="shared" si="43"/>
        <v>-46.19264612902689</v>
      </c>
      <c r="ED52" s="248">
        <f t="shared" si="43"/>
        <v>-46.19264612902689</v>
      </c>
      <c r="EE52" s="248">
        <f t="shared" si="43"/>
        <v>-46.19264612902689</v>
      </c>
      <c r="EF52" s="248">
        <f t="shared" si="38"/>
        <v>-46.19264612902689</v>
      </c>
      <c r="EG52" s="248">
        <f t="shared" si="37"/>
        <v>-46.19264612902689</v>
      </c>
      <c r="EH52" s="248">
        <f t="shared" si="37"/>
        <v>-46.19264612902689</v>
      </c>
      <c r="EI52" s="248">
        <f t="shared" si="37"/>
        <v>-46.19264612902689</v>
      </c>
      <c r="EJ52" s="248">
        <f t="shared" si="37"/>
        <v>-46.19264612902689</v>
      </c>
      <c r="EK52" s="248">
        <f t="shared" si="37"/>
        <v>-46.19264612902689</v>
      </c>
      <c r="EL52" s="248">
        <f t="shared" si="37"/>
        <v>-46.19264612902689</v>
      </c>
      <c r="EM52" s="248">
        <f t="shared" si="37"/>
        <v>-46.19264612902689</v>
      </c>
      <c r="EN52" s="248">
        <f t="shared" si="37"/>
        <v>-46.19264612902689</v>
      </c>
      <c r="EO52" s="248">
        <f t="shared" si="37"/>
        <v>-46.19264612902689</v>
      </c>
      <c r="EP52" s="248">
        <f t="shared" si="37"/>
        <v>-46.19264612902689</v>
      </c>
      <c r="EQ52" s="248">
        <f t="shared" si="37"/>
        <v>-46.19264612902689</v>
      </c>
      <c r="ER52" s="248">
        <f t="shared" si="37"/>
        <v>-46.19264612902689</v>
      </c>
      <c r="ES52" s="248">
        <f t="shared" si="37"/>
        <v>-46.19264612902689</v>
      </c>
      <c r="ET52" s="248">
        <f t="shared" si="37"/>
        <v>-46.19264612902689</v>
      </c>
      <c r="FF52" s="698" t="s">
        <v>2775</v>
      </c>
      <c r="FG52" s="700">
        <v>2.5000000000000001E-2</v>
      </c>
      <c r="FH52" s="700">
        <v>96</v>
      </c>
      <c r="FI52" s="699">
        <v>1.6500000000000001E-2</v>
      </c>
      <c r="FJ52" s="699">
        <v>1.4499999999999999E-2</v>
      </c>
      <c r="FK52" s="248">
        <f t="shared" si="11"/>
        <v>5.8333333333333349E-4</v>
      </c>
      <c r="FL52" s="248" t="e">
        <f>VLOOKUP(FF52,'SIMULADOR COM SALDO'!$BX$22:$CK$500,13,FALSE)</f>
        <v>#N/A</v>
      </c>
      <c r="FM52" s="249">
        <f t="shared" si="12"/>
        <v>1.6199999999999999E-2</v>
      </c>
    </row>
    <row r="53" spans="6:169" s="248" customFormat="1" hidden="1" x14ac:dyDescent="0.25">
      <c r="F53" s="97"/>
      <c r="G53" s="248">
        <f t="shared" si="34"/>
        <v>-44.752868811586424</v>
      </c>
      <c r="H53" s="248">
        <f t="shared" si="35"/>
        <v>-44.754163653471167</v>
      </c>
      <c r="I53" s="248">
        <f t="shared" si="44"/>
        <v>-44.756071277320189</v>
      </c>
      <c r="J53" s="248">
        <f t="shared" si="44"/>
        <v>-44.758569414259661</v>
      </c>
      <c r="K53" s="248">
        <f t="shared" si="44"/>
        <v>-44.761636394880838</v>
      </c>
      <c r="L53" s="248">
        <f t="shared" si="44"/>
        <v>-44.765251134938417</v>
      </c>
      <c r="M53" s="248">
        <f t="shared" si="44"/>
        <v>-44.769393121368388</v>
      </c>
      <c r="N53" s="248">
        <f t="shared" si="44"/>
        <v>-44.77404239861859</v>
      </c>
      <c r="O53" s="248">
        <f t="shared" si="44"/>
        <v>-44.779179555285253</v>
      </c>
      <c r="P53" s="248">
        <f t="shared" si="44"/>
        <v>-44.784785711048855</v>
      </c>
      <c r="Q53" s="248">
        <f t="shared" si="44"/>
        <v>-44.790842503903008</v>
      </c>
      <c r="R53" s="248">
        <f t="shared" si="44"/>
        <v>-44.797332077669921</v>
      </c>
      <c r="S53" s="248">
        <f t="shared" si="44"/>
        <v>-44.804237069796585</v>
      </c>
      <c r="T53" s="248">
        <f t="shared" si="44"/>
        <v>-44.811540599425143</v>
      </c>
      <c r="U53" s="248">
        <f t="shared" si="44"/>
        <v>-44.819226255732048</v>
      </c>
      <c r="V53" s="248">
        <f t="shared" si="44"/>
        <v>-44.827278086529816</v>
      </c>
      <c r="W53" s="248">
        <f t="shared" si="44"/>
        <v>-44.835680587126078</v>
      </c>
      <c r="X53" s="248">
        <f t="shared" si="44"/>
        <v>-44.844418689433979</v>
      </c>
      <c r="Y53" s="248">
        <f t="shared" si="44"/>
        <v>-44.853477751328903</v>
      </c>
      <c r="Z53" s="248">
        <f t="shared" si="44"/>
        <v>-44.86284354624587</v>
      </c>
      <c r="AA53" s="248">
        <f t="shared" si="44"/>
        <v>-44.872502253012641</v>
      </c>
      <c r="AB53" s="248">
        <f t="shared" si="44"/>
        <v>-44.882440445913247</v>
      </c>
      <c r="AC53" s="248">
        <f t="shared" si="44"/>
        <v>-44.892645084977126</v>
      </c>
      <c r="AD53" s="248">
        <f t="shared" si="44"/>
        <v>-44.903103506488804</v>
      </c>
      <c r="AE53" s="248">
        <f t="shared" si="44"/>
        <v>-44.91380341371358</v>
      </c>
      <c r="AF53" s="248">
        <f t="shared" si="44"/>
        <v>-44.924732867834194</v>
      </c>
      <c r="AG53" s="248">
        <f t="shared" si="44"/>
        <v>-44.935880279094221</v>
      </c>
      <c r="AH53" s="248">
        <f t="shared" si="44"/>
        <v>-44.947234398143507</v>
      </c>
      <c r="AI53" s="248">
        <f t="shared" si="44"/>
        <v>-44.958784307581382</v>
      </c>
      <c r="AJ53" s="248">
        <f t="shared" si="44"/>
        <v>-44.970519413693189</v>
      </c>
      <c r="AK53" s="248">
        <f t="shared" si="44"/>
        <v>-44.982429438376137</v>
      </c>
      <c r="AL53" s="248">
        <f t="shared" si="44"/>
        <v>-44.994504411250034</v>
      </c>
      <c r="AM53" s="248">
        <f t="shared" si="44"/>
        <v>-45.006734661949324</v>
      </c>
      <c r="AN53" s="248">
        <f t="shared" si="44"/>
        <v>-45.019110812592018</v>
      </c>
      <c r="AO53" s="248">
        <f t="shared" si="44"/>
        <v>-45.031623770421916</v>
      </c>
      <c r="AP53" s="248">
        <f t="shared" si="44"/>
        <v>-45.044264720620298</v>
      </c>
      <c r="AQ53" s="248">
        <f t="shared" si="44"/>
        <v>-45.057025119283367</v>
      </c>
      <c r="AR53" s="248">
        <f t="shared" si="44"/>
        <v>-45.069896686561741</v>
      </c>
      <c r="AS53" s="248">
        <f t="shared" si="44"/>
        <v>-45.082871399958563</v>
      </c>
      <c r="AT53" s="248">
        <f t="shared" si="44"/>
        <v>-45.095941487782653</v>
      </c>
      <c r="AU53" s="248">
        <f t="shared" si="44"/>
        <v>-45.109099422753481</v>
      </c>
      <c r="AV53" s="248">
        <f t="shared" si="44"/>
        <v>-45.122337915754315</v>
      </c>
      <c r="AW53" s="248">
        <f t="shared" si="44"/>
        <v>-45.13564990973056</v>
      </c>
      <c r="AX53" s="248">
        <f t="shared" si="44"/>
        <v>-45.149028573730071</v>
      </c>
      <c r="AY53" s="248">
        <f t="shared" si="44"/>
        <v>-45.162467297082166</v>
      </c>
      <c r="AZ53" s="248">
        <f t="shared" si="44"/>
        <v>-45.175959683712364</v>
      </c>
      <c r="BA53" s="248">
        <f t="shared" si="44"/>
        <v>-45.18949954659</v>
      </c>
      <c r="BB53" s="248">
        <f t="shared" si="44"/>
        <v>-45.203080902305487</v>
      </c>
      <c r="BC53" s="248">
        <f t="shared" si="44"/>
        <v>-45.216697965774628</v>
      </c>
      <c r="BD53" s="248">
        <f t="shared" si="44"/>
        <v>-45.230345145067105</v>
      </c>
      <c r="BE53" s="248">
        <f t="shared" si="44"/>
        <v>-45.244017036356269</v>
      </c>
      <c r="BF53" s="248">
        <f t="shared" si="44"/>
        <v>-45.257708418987697</v>
      </c>
      <c r="BG53" s="248">
        <f t="shared" si="44"/>
        <v>-45.271414250663952</v>
      </c>
      <c r="BH53" s="248">
        <f t="shared" si="44"/>
        <v>-45.285129662742627</v>
      </c>
      <c r="BI53" s="248">
        <f t="shared" si="44"/>
        <v>-45.298849955645551</v>
      </c>
      <c r="BJ53" s="248">
        <f t="shared" si="44"/>
        <v>-45.312570594376552</v>
      </c>
      <c r="BK53" s="248">
        <f t="shared" si="44"/>
        <v>-45.326287204145238</v>
      </c>
      <c r="BL53" s="248">
        <f t="shared" si="44"/>
        <v>-45.339995566094572</v>
      </c>
      <c r="BM53" s="248">
        <f t="shared" si="44"/>
        <v>-45.353691613129939</v>
      </c>
      <c r="BN53" s="248">
        <f t="shared" si="44"/>
        <v>-45.367371425847388</v>
      </c>
      <c r="BO53" s="248">
        <f t="shared" si="44"/>
        <v>-45.381031228558832</v>
      </c>
      <c r="BP53" s="248">
        <f t="shared" si="44"/>
        <v>-45.394667385412077</v>
      </c>
      <c r="BQ53" s="248">
        <f t="shared" si="44"/>
        <v>-45.408276396603583</v>
      </c>
      <c r="BR53" s="248">
        <f t="shared" si="44"/>
        <v>-45.421854894681793</v>
      </c>
      <c r="BS53" s="248">
        <f t="shared" si="44"/>
        <v>-45.435399640939096</v>
      </c>
      <c r="BT53" s="248">
        <f t="shared" si="44"/>
        <v>-45.448907521890398</v>
      </c>
      <c r="BU53" s="248">
        <f t="shared" si="43"/>
        <v>-45.462375545836345</v>
      </c>
      <c r="BV53" s="248">
        <f t="shared" si="43"/>
        <v>-45.475800839509347</v>
      </c>
      <c r="BW53" s="248">
        <f t="shared" si="43"/>
        <v>-45.489180644800491</v>
      </c>
      <c r="BX53" s="248">
        <f t="shared" si="43"/>
        <v>-45.502512315565525</v>
      </c>
      <c r="BY53" s="248">
        <f t="shared" si="43"/>
        <v>-45.515793314508194</v>
      </c>
      <c r="BZ53" s="248">
        <f t="shared" si="43"/>
        <v>-45.529021210139156</v>
      </c>
      <c r="CA53" s="248">
        <f t="shared" si="43"/>
        <v>-45.542193673808676</v>
      </c>
      <c r="CB53" s="248">
        <f t="shared" si="43"/>
        <v>-45.555308476811597</v>
      </c>
      <c r="CC53" s="248">
        <f t="shared" si="43"/>
        <v>-45.56836348756287</v>
      </c>
      <c r="CD53" s="248">
        <f t="shared" si="43"/>
        <v>-45.581356668841984</v>
      </c>
      <c r="CE53" s="248">
        <f t="shared" si="43"/>
        <v>-45.594286075104904</v>
      </c>
      <c r="CF53" s="248">
        <f t="shared" si="43"/>
        <v>-45.607149849861784</v>
      </c>
      <c r="CG53" s="248">
        <f t="shared" si="43"/>
        <v>-45.619946223119165</v>
      </c>
      <c r="CH53" s="248">
        <f t="shared" si="43"/>
        <v>-45.632673508884999</v>
      </c>
      <c r="CI53" s="248">
        <f t="shared" si="43"/>
        <v>-45.645330102735215</v>
      </c>
      <c r="CJ53" s="248">
        <f t="shared" si="43"/>
        <v>-45.657914479440372</v>
      </c>
      <c r="CK53" s="248">
        <f t="shared" si="43"/>
        <v>-45.670425190651009</v>
      </c>
      <c r="CL53" s="248">
        <f t="shared" si="43"/>
        <v>-45.682860862640368</v>
      </c>
      <c r="CM53" s="248">
        <f t="shared" si="43"/>
        <v>-45.695220194103292</v>
      </c>
      <c r="CN53" s="248">
        <f t="shared" si="43"/>
        <v>-45.707501954009707</v>
      </c>
      <c r="CO53" s="248">
        <f t="shared" si="43"/>
        <v>-45.719704979511839</v>
      </c>
      <c r="CP53" s="248">
        <f t="shared" si="43"/>
        <v>-45.731828173903608</v>
      </c>
      <c r="CQ53" s="248">
        <f t="shared" si="43"/>
        <v>-45.743870504631182</v>
      </c>
      <c r="CR53" s="248">
        <f t="shared" si="43"/>
        <v>-45.755831001353499</v>
      </c>
      <c r="CS53" s="248">
        <f t="shared" si="43"/>
        <v>-45.767708754051405</v>
      </c>
      <c r="CT53" s="248">
        <f t="shared" si="43"/>
        <v>-45.779502911184693</v>
      </c>
      <c r="CU53" s="248">
        <f t="shared" si="43"/>
        <v>-45.791212677895516</v>
      </c>
      <c r="CV53" s="248">
        <f t="shared" si="43"/>
        <v>-45.802837314257367</v>
      </c>
      <c r="CW53" s="248">
        <f t="shared" si="43"/>
        <v>-45.814376133568466</v>
      </c>
      <c r="CX53" s="248">
        <f t="shared" si="43"/>
        <v>-45.825828500688573</v>
      </c>
      <c r="CY53" s="248">
        <f t="shared" si="43"/>
        <v>-45.825828500688573</v>
      </c>
      <c r="CZ53" s="248">
        <f t="shared" si="43"/>
        <v>-45.825828500688573</v>
      </c>
      <c r="DA53" s="248">
        <f t="shared" si="43"/>
        <v>-45.825828500688573</v>
      </c>
      <c r="DB53" s="248">
        <f t="shared" si="43"/>
        <v>-45.825828500688573</v>
      </c>
      <c r="DC53" s="248">
        <f t="shared" si="43"/>
        <v>-45.825828500688573</v>
      </c>
      <c r="DD53" s="248">
        <f t="shared" si="43"/>
        <v>-45.825828500688573</v>
      </c>
      <c r="DE53" s="248">
        <f t="shared" si="43"/>
        <v>-45.825828500688573</v>
      </c>
      <c r="DF53" s="248">
        <f t="shared" si="43"/>
        <v>-45.825828500688573</v>
      </c>
      <c r="DG53" s="248">
        <f t="shared" si="43"/>
        <v>-45.825828500688573</v>
      </c>
      <c r="DH53" s="248">
        <f t="shared" si="43"/>
        <v>-45.825828500688573</v>
      </c>
      <c r="DI53" s="248">
        <f t="shared" si="43"/>
        <v>-45.825828500688573</v>
      </c>
      <c r="DJ53" s="248">
        <f t="shared" si="43"/>
        <v>-45.825828500688573</v>
      </c>
      <c r="DK53" s="248">
        <f t="shared" si="43"/>
        <v>-45.825828500688573</v>
      </c>
      <c r="DL53" s="248">
        <f t="shared" si="43"/>
        <v>-45.825828500688573</v>
      </c>
      <c r="DM53" s="248">
        <f t="shared" si="43"/>
        <v>-45.825828500688573</v>
      </c>
      <c r="DN53" s="248">
        <f t="shared" si="43"/>
        <v>-45.825828500688573</v>
      </c>
      <c r="DO53" s="248">
        <f t="shared" si="43"/>
        <v>-45.825828500688573</v>
      </c>
      <c r="DP53" s="248">
        <f t="shared" si="43"/>
        <v>-45.825828500688573</v>
      </c>
      <c r="DQ53" s="248">
        <f t="shared" si="43"/>
        <v>-45.825828500688573</v>
      </c>
      <c r="DR53" s="248">
        <f t="shared" si="43"/>
        <v>-45.825828500688573</v>
      </c>
      <c r="DS53" s="248">
        <f t="shared" si="43"/>
        <v>-45.825828500688573</v>
      </c>
      <c r="DT53" s="248">
        <f t="shared" si="43"/>
        <v>-45.825828500688573</v>
      </c>
      <c r="DU53" s="248">
        <f t="shared" si="43"/>
        <v>-45.825828500688573</v>
      </c>
      <c r="DV53" s="248">
        <f t="shared" si="43"/>
        <v>-45.825828500688573</v>
      </c>
      <c r="DW53" s="248">
        <f t="shared" si="43"/>
        <v>-45.825828500688573</v>
      </c>
      <c r="DX53" s="248">
        <f t="shared" si="43"/>
        <v>-45.825828500688573</v>
      </c>
      <c r="DY53" s="248">
        <f t="shared" si="43"/>
        <v>-45.825828500688573</v>
      </c>
      <c r="DZ53" s="248">
        <f t="shared" si="43"/>
        <v>-45.825828500688573</v>
      </c>
      <c r="EA53" s="248">
        <f t="shared" si="43"/>
        <v>-45.825828500688573</v>
      </c>
      <c r="EB53" s="248">
        <f t="shared" si="43"/>
        <v>-45.825828500688573</v>
      </c>
      <c r="EC53" s="248">
        <f t="shared" si="43"/>
        <v>-45.825828500688573</v>
      </c>
      <c r="ED53" s="248">
        <f t="shared" si="43"/>
        <v>-45.825828500688573</v>
      </c>
      <c r="EE53" s="248">
        <f t="shared" si="43"/>
        <v>-45.825828500688573</v>
      </c>
      <c r="EF53" s="248">
        <f t="shared" si="38"/>
        <v>-45.825828500688573</v>
      </c>
      <c r="EG53" s="248">
        <f t="shared" si="37"/>
        <v>-45.825828500688573</v>
      </c>
      <c r="EH53" s="248">
        <f t="shared" si="37"/>
        <v>-45.825828500688573</v>
      </c>
      <c r="EI53" s="248">
        <f t="shared" si="37"/>
        <v>-45.825828500688573</v>
      </c>
      <c r="EJ53" s="248">
        <f t="shared" si="37"/>
        <v>-45.825828500688573</v>
      </c>
      <c r="EK53" s="248">
        <f t="shared" si="37"/>
        <v>-45.825828500688573</v>
      </c>
      <c r="EL53" s="248">
        <f t="shared" si="37"/>
        <v>-45.825828500688573</v>
      </c>
      <c r="EM53" s="248">
        <f t="shared" si="37"/>
        <v>-45.825828500688573</v>
      </c>
      <c r="EN53" s="248">
        <f t="shared" si="37"/>
        <v>-45.825828500688573</v>
      </c>
      <c r="EO53" s="248">
        <f t="shared" si="37"/>
        <v>-45.825828500688573</v>
      </c>
      <c r="EP53" s="248">
        <f t="shared" si="37"/>
        <v>-45.825828500688573</v>
      </c>
      <c r="EQ53" s="248">
        <f t="shared" si="37"/>
        <v>-45.825828500688573</v>
      </c>
      <c r="ER53" s="248">
        <f t="shared" si="37"/>
        <v>-45.825828500688573</v>
      </c>
      <c r="ES53" s="248">
        <f t="shared" si="37"/>
        <v>-45.825828500688573</v>
      </c>
      <c r="ET53" s="248">
        <f t="shared" si="37"/>
        <v>-45.825828500688573</v>
      </c>
      <c r="FF53" s="698" t="s">
        <v>788</v>
      </c>
      <c r="FG53" s="700">
        <v>2.5000000000000001E-2</v>
      </c>
      <c r="FH53" s="700">
        <v>96</v>
      </c>
      <c r="FI53" s="699">
        <v>1.7399999999999999E-2</v>
      </c>
      <c r="FJ53" s="699">
        <v>1.5600000000000001E-2</v>
      </c>
      <c r="FK53" s="248">
        <f t="shared" si="11"/>
        <v>5.2222222222222221E-4</v>
      </c>
      <c r="FL53" s="248" t="e">
        <f>VLOOKUP(FF53,'SIMULADOR COM SALDO'!$BX$22:$CK$500,13,FALSE)</f>
        <v>#N/A</v>
      </c>
      <c r="FM53" s="249">
        <f t="shared" si="12"/>
        <v>1.7099999999999997E-2</v>
      </c>
    </row>
    <row r="54" spans="6:169" s="248" customFormat="1" hidden="1" x14ac:dyDescent="0.25">
      <c r="F54" s="97"/>
      <c r="G54" s="248">
        <f t="shared" si="34"/>
        <v>-44.752648987612233</v>
      </c>
      <c r="H54" s="248">
        <f t="shared" si="35"/>
        <v>-44.753511925816028</v>
      </c>
      <c r="I54" s="248">
        <f t="shared" si="44"/>
        <v>-44.754783105922691</v>
      </c>
      <c r="J54" s="248">
        <f t="shared" si="44"/>
        <v>-44.75644759888759</v>
      </c>
      <c r="K54" s="248">
        <f t="shared" si="44"/>
        <v>-44.758490880015096</v>
      </c>
      <c r="L54" s="248">
        <f t="shared" si="44"/>
        <v>-44.760898819253526</v>
      </c>
      <c r="M54" s="248">
        <f t="shared" si="44"/>
        <v>-44.76365767170806</v>
      </c>
      <c r="N54" s="248">
        <f t="shared" si="44"/>
        <v>-44.766754068367284</v>
      </c>
      <c r="O54" s="248">
        <f t="shared" si="44"/>
        <v>-44.770175007038304</v>
      </c>
      <c r="P54" s="248">
        <f t="shared" si="44"/>
        <v>-44.77390784348637</v>
      </c>
      <c r="Q54" s="248">
        <f t="shared" si="44"/>
        <v>-44.777940282774345</v>
      </c>
      <c r="R54" s="248">
        <f t="shared" si="44"/>
        <v>-44.78226037079758</v>
      </c>
      <c r="S54" s="248">
        <f t="shared" si="44"/>
        <v>-44.786856486010386</v>
      </c>
      <c r="T54" s="248">
        <f t="shared" si="44"/>
        <v>-44.791717331339562</v>
      </c>
      <c r="U54" s="248">
        <f t="shared" si="44"/>
        <v>-44.796831926281037</v>
      </c>
      <c r="V54" s="248">
        <f t="shared" si="44"/>
        <v>-44.80218959917579</v>
      </c>
      <c r="W54" s="248">
        <f t="shared" si="44"/>
        <v>-44.807779979660971</v>
      </c>
      <c r="X54" s="248">
        <f t="shared" si="44"/>
        <v>-44.813592991292538</v>
      </c>
      <c r="Y54" s="248">
        <f t="shared" si="44"/>
        <v>-44.819618844335729</v>
      </c>
      <c r="Z54" s="248">
        <f t="shared" si="44"/>
        <v>-44.82584802871947</v>
      </c>
      <c r="AA54" s="248">
        <f t="shared" si="44"/>
        <v>-44.832271307151515</v>
      </c>
      <c r="AB54" s="248">
        <f t="shared" si="44"/>
        <v>-44.83887970839055</v>
      </c>
      <c r="AC54" s="248">
        <f t="shared" si="44"/>
        <v>-44.845664520671917</v>
      </c>
      <c r="AD54" s="248">
        <f t="shared" si="44"/>
        <v>-44.852617285283685</v>
      </c>
      <c r="AE54" s="248">
        <f t="shared" si="44"/>
        <v>-44.859729790289663</v>
      </c>
      <c r="AF54" s="248">
        <f t="shared" si="44"/>
        <v>-44.866994064396252</v>
      </c>
      <c r="AG54" s="248">
        <f t="shared" si="44"/>
        <v>-44.874402370959984</v>
      </c>
      <c r="AH54" s="248">
        <f t="shared" si="44"/>
        <v>-44.881947202132565</v>
      </c>
      <c r="AI54" s="248">
        <f t="shared" si="44"/>
        <v>-44.889621273140534</v>
      </c>
      <c r="AJ54" s="248">
        <f t="shared" si="44"/>
        <v>-44.897417516696677</v>
      </c>
      <c r="AK54" s="248">
        <f t="shared" si="44"/>
        <v>-44.905329077539989</v>
      </c>
      <c r="AL54" s="248">
        <f t="shared" si="44"/>
        <v>-44.913349307101647</v>
      </c>
      <c r="AM54" s="248">
        <f t="shared" si="44"/>
        <v>-44.921471758294238</v>
      </c>
      <c r="AN54" s="248">
        <f t="shared" si="44"/>
        <v>-44.929690180421346</v>
      </c>
      <c r="AO54" s="248">
        <f t="shared" si="44"/>
        <v>-44.937998514204985</v>
      </c>
      <c r="AP54" s="248">
        <f t="shared" si="44"/>
        <v>-44.946390886928278</v>
      </c>
      <c r="AQ54" s="248">
        <f t="shared" si="44"/>
        <v>-44.95486160769083</v>
      </c>
      <c r="AR54" s="248">
        <f t="shared" si="44"/>
        <v>-44.963405162774308</v>
      </c>
      <c r="AS54" s="248">
        <f t="shared" si="44"/>
        <v>-44.9720162111158</v>
      </c>
      <c r="AT54" s="248">
        <f t="shared" si="44"/>
        <v>-44.980689579886601</v>
      </c>
      <c r="AU54" s="248">
        <f t="shared" si="44"/>
        <v>-44.989420260174064</v>
      </c>
      <c r="AV54" s="248">
        <f t="shared" si="44"/>
        <v>-44.998203402764325</v>
      </c>
      <c r="AW54" s="248">
        <f t="shared" si="44"/>
        <v>-45.007034314023485</v>
      </c>
      <c r="AX54" s="248">
        <f t="shared" si="44"/>
        <v>-45.015908451875319</v>
      </c>
      <c r="AY54" s="248">
        <f t="shared" si="44"/>
        <v>-45.024821421873142</v>
      </c>
      <c r="AZ54" s="248">
        <f t="shared" si="44"/>
        <v>-45.033768973364033</v>
      </c>
      <c r="BA54" s="248">
        <f t="shared" si="44"/>
        <v>-45.042746995742888</v>
      </c>
      <c r="BB54" s="248">
        <f t="shared" si="44"/>
        <v>-45.051751514794987</v>
      </c>
      <c r="BC54" s="248">
        <f t="shared" si="44"/>
        <v>-45.06077868912439</v>
      </c>
      <c r="BD54" s="248">
        <f t="shared" si="44"/>
        <v>-45.06982480666683</v>
      </c>
      <c r="BE54" s="248">
        <f t="shared" si="44"/>
        <v>-45.078886281284923</v>
      </c>
      <c r="BF54" s="248">
        <f t="shared" si="44"/>
        <v>-45.08795964944391</v>
      </c>
      <c r="BG54" s="248">
        <f t="shared" si="44"/>
        <v>-45.097041566966176</v>
      </c>
      <c r="BH54" s="248">
        <f t="shared" si="44"/>
        <v>-45.10612880586276</v>
      </c>
      <c r="BI54" s="248">
        <f t="shared" si="44"/>
        <v>-45.115218251240186</v>
      </c>
      <c r="BJ54" s="248">
        <f t="shared" si="44"/>
        <v>-45.124306898280878</v>
      </c>
      <c r="BK54" s="248">
        <f t="shared" si="44"/>
        <v>-45.133391849295528</v>
      </c>
      <c r="BL54" s="248">
        <f t="shared" si="44"/>
        <v>-45.142470310845773</v>
      </c>
      <c r="BM54" s="248">
        <f t="shared" si="44"/>
        <v>-45.151539590935776</v>
      </c>
      <c r="BN54" s="248">
        <f t="shared" si="44"/>
        <v>-45.160597096270834</v>
      </c>
      <c r="BO54" s="248">
        <f t="shared" si="44"/>
        <v>-45.169640329581902</v>
      </c>
      <c r="BP54" s="248">
        <f t="shared" si="44"/>
        <v>-45.178666887014245</v>
      </c>
      <c r="BQ54" s="248">
        <f t="shared" si="44"/>
        <v>-45.187674455578922</v>
      </c>
      <c r="BR54" s="248">
        <f t="shared" si="44"/>
        <v>-45.196660810665676</v>
      </c>
      <c r="BS54" s="248">
        <f t="shared" si="44"/>
        <v>-45.205623813615816</v>
      </c>
      <c r="BT54" s="248">
        <f t="shared" si="44"/>
        <v>-45.214561409353699</v>
      </c>
      <c r="BU54" s="248">
        <f t="shared" si="43"/>
        <v>-45.223471624075685</v>
      </c>
      <c r="BV54" s="248">
        <f t="shared" si="43"/>
        <v>-45.232352562994947</v>
      </c>
      <c r="BW54" s="248">
        <f t="shared" si="43"/>
        <v>-45.24120240814117</v>
      </c>
      <c r="BX54" s="248">
        <f t="shared" si="43"/>
        <v>-45.250019416213746</v>
      </c>
      <c r="BY54" s="248">
        <f t="shared" si="43"/>
        <v>-45.258801916487251</v>
      </c>
      <c r="BZ54" s="248">
        <f t="shared" si="43"/>
        <v>-45.267548308768127</v>
      </c>
      <c r="CA54" s="248">
        <f t="shared" si="43"/>
        <v>-45.276257061401218</v>
      </c>
      <c r="CB54" s="248">
        <f t="shared" si="43"/>
        <v>-45.284926709325262</v>
      </c>
      <c r="CC54" s="248">
        <f t="shared" si="43"/>
        <v>-45.293555852176027</v>
      </c>
      <c r="CD54" s="248">
        <f t="shared" si="43"/>
        <v>-45.302143152436081</v>
      </c>
      <c r="CE54" s="248">
        <f t="shared" si="43"/>
        <v>-45.310687333630163</v>
      </c>
      <c r="CF54" s="248">
        <f t="shared" si="43"/>
        <v>-45.319187178565137</v>
      </c>
      <c r="CG54" s="248">
        <f t="shared" si="43"/>
        <v>-45.327641527613302</v>
      </c>
      <c r="CH54" s="248">
        <f t="shared" si="43"/>
        <v>-45.336049277038406</v>
      </c>
      <c r="CI54" s="248">
        <f t="shared" si="43"/>
        <v>-45.344409377363078</v>
      </c>
      <c r="CJ54" s="248">
        <f t="shared" si="43"/>
        <v>-45.352720831776928</v>
      </c>
      <c r="CK54" s="248">
        <f t="shared" si="43"/>
        <v>-45.360982694584273</v>
      </c>
      <c r="CL54" s="248">
        <f t="shared" si="43"/>
        <v>-45.369194069690586</v>
      </c>
      <c r="CM54" s="248">
        <f t="shared" si="43"/>
        <v>-45.377354109126934</v>
      </c>
      <c r="CN54" s="248">
        <f t="shared" si="43"/>
        <v>-45.385462011611224</v>
      </c>
      <c r="CO54" s="248">
        <f t="shared" si="43"/>
        <v>-45.39351702114574</v>
      </c>
      <c r="CP54" s="248">
        <f t="shared" si="43"/>
        <v>-45.401518425649911</v>
      </c>
      <c r="CQ54" s="248">
        <f t="shared" si="43"/>
        <v>-45.409465555627555</v>
      </c>
      <c r="CR54" s="248">
        <f t="shared" si="43"/>
        <v>-45.417357782867882</v>
      </c>
      <c r="CS54" s="248">
        <f t="shared" si="43"/>
        <v>-45.425194519179321</v>
      </c>
      <c r="CT54" s="248">
        <f t="shared" si="43"/>
        <v>-45.432975215155572</v>
      </c>
      <c r="CU54" s="248">
        <f t="shared" si="43"/>
        <v>-45.440699358973006</v>
      </c>
      <c r="CV54" s="248">
        <f t="shared" si="43"/>
        <v>-45.448366475218762</v>
      </c>
      <c r="CW54" s="248">
        <f t="shared" si="43"/>
        <v>-45.455976123748805</v>
      </c>
      <c r="CX54" s="248">
        <f t="shared" si="43"/>
        <v>-45.463527898575229</v>
      </c>
      <c r="CY54" s="248">
        <f t="shared" si="43"/>
        <v>-45.463527898575229</v>
      </c>
      <c r="CZ54" s="248">
        <f t="shared" si="43"/>
        <v>-45.463527898575229</v>
      </c>
      <c r="DA54" s="248">
        <f t="shared" si="43"/>
        <v>-45.463527898575229</v>
      </c>
      <c r="DB54" s="248">
        <f t="shared" si="43"/>
        <v>-45.463527898575229</v>
      </c>
      <c r="DC54" s="248">
        <f t="shared" si="43"/>
        <v>-45.463527898575229</v>
      </c>
      <c r="DD54" s="248">
        <f t="shared" si="43"/>
        <v>-45.463527898575229</v>
      </c>
      <c r="DE54" s="248">
        <f t="shared" si="43"/>
        <v>-45.463527898575229</v>
      </c>
      <c r="DF54" s="248">
        <f t="shared" si="43"/>
        <v>-45.463527898575229</v>
      </c>
      <c r="DG54" s="248">
        <f t="shared" si="43"/>
        <v>-45.463527898575229</v>
      </c>
      <c r="DH54" s="248">
        <f t="shared" si="43"/>
        <v>-45.463527898575229</v>
      </c>
      <c r="DI54" s="248">
        <f t="shared" si="43"/>
        <v>-45.463527898575229</v>
      </c>
      <c r="DJ54" s="248">
        <f t="shared" si="43"/>
        <v>-45.463527898575229</v>
      </c>
      <c r="DK54" s="248">
        <f t="shared" si="43"/>
        <v>-45.463527898575229</v>
      </c>
      <c r="DL54" s="248">
        <f t="shared" si="43"/>
        <v>-45.463527898575229</v>
      </c>
      <c r="DM54" s="248">
        <f t="shared" si="43"/>
        <v>-45.463527898575229</v>
      </c>
      <c r="DN54" s="248">
        <f t="shared" si="43"/>
        <v>-45.463527898575229</v>
      </c>
      <c r="DO54" s="248">
        <f t="shared" si="43"/>
        <v>-45.463527898575229</v>
      </c>
      <c r="DP54" s="248">
        <f t="shared" si="43"/>
        <v>-45.463527898575229</v>
      </c>
      <c r="DQ54" s="248">
        <f t="shared" si="43"/>
        <v>-45.463527898575229</v>
      </c>
      <c r="DR54" s="248">
        <f t="shared" si="43"/>
        <v>-45.463527898575229</v>
      </c>
      <c r="DS54" s="248">
        <f t="shared" si="43"/>
        <v>-45.463527898575229</v>
      </c>
      <c r="DT54" s="248">
        <f t="shared" si="43"/>
        <v>-45.463527898575229</v>
      </c>
      <c r="DU54" s="248">
        <f t="shared" si="43"/>
        <v>-45.463527898575229</v>
      </c>
      <c r="DV54" s="248">
        <f t="shared" si="43"/>
        <v>-45.463527898575229</v>
      </c>
      <c r="DW54" s="248">
        <f t="shared" si="43"/>
        <v>-45.463527898575229</v>
      </c>
      <c r="DX54" s="248">
        <f t="shared" si="43"/>
        <v>-45.463527898575229</v>
      </c>
      <c r="DY54" s="248">
        <f t="shared" si="43"/>
        <v>-45.463527898575229</v>
      </c>
      <c r="DZ54" s="248">
        <f t="shared" si="43"/>
        <v>-45.463527898575229</v>
      </c>
      <c r="EA54" s="248">
        <f t="shared" si="43"/>
        <v>-45.463527898575229</v>
      </c>
      <c r="EB54" s="248">
        <f t="shared" si="43"/>
        <v>-45.463527898575229</v>
      </c>
      <c r="EC54" s="248">
        <f t="shared" si="43"/>
        <v>-45.463527898575229</v>
      </c>
      <c r="ED54" s="248">
        <f t="shared" si="43"/>
        <v>-45.463527898575229</v>
      </c>
      <c r="EE54" s="248">
        <f t="shared" si="43"/>
        <v>-45.463527898575229</v>
      </c>
      <c r="EF54" s="248">
        <f t="shared" si="38"/>
        <v>-45.463527898575229</v>
      </c>
      <c r="EG54" s="248">
        <f t="shared" si="37"/>
        <v>-45.463527898575229</v>
      </c>
      <c r="EH54" s="248">
        <f t="shared" si="37"/>
        <v>-45.463527898575229</v>
      </c>
      <c r="EI54" s="248">
        <f t="shared" si="37"/>
        <v>-45.463527898575229</v>
      </c>
      <c r="EJ54" s="248">
        <f t="shared" si="37"/>
        <v>-45.463527898575229</v>
      </c>
      <c r="EK54" s="248">
        <f t="shared" si="37"/>
        <v>-45.463527898575229</v>
      </c>
      <c r="EL54" s="248">
        <f t="shared" si="37"/>
        <v>-45.463527898575229</v>
      </c>
      <c r="EM54" s="248">
        <f t="shared" si="37"/>
        <v>-45.463527898575229</v>
      </c>
      <c r="EN54" s="248">
        <f t="shared" si="37"/>
        <v>-45.463527898575229</v>
      </c>
      <c r="EO54" s="248">
        <f t="shared" si="37"/>
        <v>-45.463527898575229</v>
      </c>
      <c r="EP54" s="248">
        <f t="shared" si="37"/>
        <v>-45.463527898575229</v>
      </c>
      <c r="EQ54" s="248">
        <f t="shared" si="37"/>
        <v>-45.463527898575229</v>
      </c>
      <c r="ER54" s="248">
        <f t="shared" si="37"/>
        <v>-45.463527898575229</v>
      </c>
      <c r="ES54" s="248">
        <f t="shared" si="37"/>
        <v>-45.463527898575229</v>
      </c>
      <c r="ET54" s="248">
        <f t="shared" si="37"/>
        <v>-45.463527898575229</v>
      </c>
      <c r="FF54" s="698" t="s">
        <v>3010</v>
      </c>
      <c r="FG54" s="700">
        <v>2.4900000000000002E-2</v>
      </c>
      <c r="FH54" s="700">
        <v>120</v>
      </c>
      <c r="FI54" s="699">
        <v>1.6899999999999998E-2</v>
      </c>
      <c r="FJ54" s="699">
        <v>1.4499999999999999E-2</v>
      </c>
      <c r="FK54" s="248">
        <f t="shared" si="11"/>
        <v>5.7777777777777797E-4</v>
      </c>
      <c r="FL54" s="248" t="e">
        <f>VLOOKUP(FF54,'SIMULADOR COM SALDO'!$BX$22:$CK$500,13,FALSE)</f>
        <v>#N/A</v>
      </c>
      <c r="FM54" s="249">
        <f t="shared" si="12"/>
        <v>1.6599999999999997E-2</v>
      </c>
    </row>
    <row r="55" spans="6:169" s="248" customFormat="1" hidden="1" x14ac:dyDescent="0.25">
      <c r="F55" s="97"/>
      <c r="G55" s="248">
        <f t="shared" si="34"/>
        <v>-44.752429261983082</v>
      </c>
      <c r="H55" s="248">
        <f t="shared" si="35"/>
        <v>-44.752860586311705</v>
      </c>
      <c r="I55" s="248">
        <f t="shared" si="44"/>
        <v>-44.753495892014186</v>
      </c>
      <c r="J55" s="248">
        <f t="shared" si="44"/>
        <v>-44.754327673082685</v>
      </c>
      <c r="K55" s="248">
        <f t="shared" si="44"/>
        <v>-44.755348628052786</v>
      </c>
      <c r="L55" s="248">
        <f t="shared" si="44"/>
        <v>-44.756551655064364</v>
      </c>
      <c r="M55" s="248">
        <f t="shared" si="44"/>
        <v>-44.757929847033978</v>
      </c>
      <c r="N55" s="248">
        <f t="shared" si="44"/>
        <v>-44.759476486936677</v>
      </c>
      <c r="O55" s="248">
        <f t="shared" si="44"/>
        <v>-44.761185043194558</v>
      </c>
      <c r="P55" s="248">
        <f t="shared" si="44"/>
        <v>-44.763049165169932</v>
      </c>
      <c r="Q55" s="248">
        <f t="shared" si="44"/>
        <v>-44.765062678760849</v>
      </c>
      <c r="R55" s="248">
        <f t="shared" si="44"/>
        <v>-44.767219582096473</v>
      </c>
      <c r="S55" s="248">
        <f t="shared" si="44"/>
        <v>-44.769514041330709</v>
      </c>
      <c r="T55" s="248">
        <f t="shared" si="44"/>
        <v>-44.771940386531178</v>
      </c>
      <c r="U55" s="248">
        <f t="shared" si="44"/>
        <v>-44.774493107662153</v>
      </c>
      <c r="V55" s="248">
        <f t="shared" si="44"/>
        <v>-44.777166850659007</v>
      </c>
      <c r="W55" s="248">
        <f t="shared" si="44"/>
        <v>-44.779956413592316</v>
      </c>
      <c r="X55" s="248">
        <f t="shared" si="44"/>
        <v>-44.782856742919542</v>
      </c>
      <c r="Y55" s="248">
        <f t="shared" si="44"/>
        <v>-44.785862929822684</v>
      </c>
      <c r="Z55" s="248">
        <f t="shared" si="44"/>
        <v>-44.788970206629543</v>
      </c>
      <c r="AA55" s="248">
        <f t="shared" si="44"/>
        <v>-44.79217394331728</v>
      </c>
      <c r="AB55" s="248">
        <f t="shared" si="44"/>
        <v>-44.795469644096016</v>
      </c>
      <c r="AC55" s="248">
        <f t="shared" si="44"/>
        <v>-44.798852944071058</v>
      </c>
      <c r="AD55" s="248">
        <f t="shared" si="44"/>
        <v>-44.802319605981879</v>
      </c>
      <c r="AE55" s="248">
        <f t="shared" si="44"/>
        <v>-44.80586551701613</v>
      </c>
      <c r="AF55" s="248">
        <f t="shared" si="44"/>
        <v>-44.809486685697131</v>
      </c>
      <c r="AG55" s="248">
        <f t="shared" si="44"/>
        <v>-44.813179238843155</v>
      </c>
      <c r="AH55" s="248">
        <f t="shared" si="44"/>
        <v>-44.816939418597002</v>
      </c>
      <c r="AI55" s="248">
        <f t="shared" si="44"/>
        <v>-44.820763579524261</v>
      </c>
      <c r="AJ55" s="248">
        <f t="shared" si="44"/>
        <v>-44.824648185778742</v>
      </c>
      <c r="AK55" s="248">
        <f t="shared" si="44"/>
        <v>-44.828589808333618</v>
      </c>
      <c r="AL55" s="248">
        <f t="shared" si="44"/>
        <v>-44.832585122276818</v>
      </c>
      <c r="AM55" s="248">
        <f t="shared" si="44"/>
        <v>-44.83663090416934</v>
      </c>
      <c r="AN55" s="248">
        <f t="shared" si="44"/>
        <v>-44.84072402946488</v>
      </c>
      <c r="AO55" s="248">
        <f t="shared" si="44"/>
        <v>-44.844861469989681</v>
      </c>
      <c r="AP55" s="248">
        <f t="shared" si="44"/>
        <v>-44.849040291481067</v>
      </c>
      <c r="AQ55" s="248">
        <f t="shared" si="44"/>
        <v>-44.853257651183526</v>
      </c>
      <c r="AR55" s="248">
        <f t="shared" si="44"/>
        <v>-44.857510795500858</v>
      </c>
      <c r="AS55" s="248">
        <f t="shared" si="44"/>
        <v>-44.861797057703441</v>
      </c>
      <c r="AT55" s="248">
        <f t="shared" si="44"/>
        <v>-44.866113855689044</v>
      </c>
      <c r="AU55" s="248">
        <f t="shared" si="44"/>
        <v>-44.870458689796365</v>
      </c>
      <c r="AV55" s="248">
        <f t="shared" si="44"/>
        <v>-44.874829140669775</v>
      </c>
      <c r="AW55" s="248">
        <f t="shared" si="44"/>
        <v>-44.879222867174363</v>
      </c>
      <c r="AX55" s="248">
        <f t="shared" si="44"/>
        <v>-44.883637604360104</v>
      </c>
      <c r="AY55" s="248">
        <f t="shared" si="44"/>
        <v>-44.888071161474002</v>
      </c>
      <c r="AZ55" s="248">
        <f t="shared" si="44"/>
        <v>-44.89252142001925</v>
      </c>
      <c r="BA55" s="248">
        <f t="shared" si="44"/>
        <v>-44.896986331860134</v>
      </c>
      <c r="BB55" s="248">
        <f t="shared" si="44"/>
        <v>-44.901463917372041</v>
      </c>
      <c r="BC55" s="248">
        <f t="shared" si="44"/>
        <v>-44.905952263635101</v>
      </c>
      <c r="BD55" s="248">
        <f t="shared" si="44"/>
        <v>-44.910449522670916</v>
      </c>
      <c r="BE55" s="248">
        <f t="shared" si="44"/>
        <v>-44.914953909721063</v>
      </c>
      <c r="BF55" s="248">
        <f t="shared" si="44"/>
        <v>-44.919463701566706</v>
      </c>
      <c r="BG55" s="248">
        <f t="shared" si="44"/>
        <v>-44.923977234888227</v>
      </c>
      <c r="BH55" s="248">
        <f t="shared" si="44"/>
        <v>-44.928492904663997</v>
      </c>
      <c r="BI55" s="248">
        <f t="shared" si="44"/>
        <v>-44.933009162607497</v>
      </c>
      <c r="BJ55" s="248">
        <f t="shared" si="44"/>
        <v>-44.937524515641869</v>
      </c>
      <c r="BK55" s="248">
        <f t="shared" si="44"/>
        <v>-44.942037524411042</v>
      </c>
      <c r="BL55" s="248">
        <f t="shared" si="44"/>
        <v>-44.94654680182655</v>
      </c>
      <c r="BM55" s="248">
        <f t="shared" si="44"/>
        <v>-44.95105101164949</v>
      </c>
      <c r="BN55" s="248">
        <f t="shared" si="44"/>
        <v>-44.955548867106437</v>
      </c>
      <c r="BO55" s="248">
        <f t="shared" si="44"/>
        <v>-44.96003912953892</v>
      </c>
      <c r="BP55" s="248">
        <f t="shared" si="44"/>
        <v>-44.96452060708549</v>
      </c>
      <c r="BQ55" s="248">
        <f t="shared" si="44"/>
        <v>-44.968992153395632</v>
      </c>
      <c r="BR55" s="248">
        <f t="shared" si="44"/>
        <v>-44.973452666374996</v>
      </c>
      <c r="BS55" s="248">
        <f t="shared" si="44"/>
        <v>-44.977901086960955</v>
      </c>
      <c r="BT55" s="248">
        <f t="shared" ref="BT55:EE56" si="45">PV($F28,BT$9,1,0)+(PV($J$6,$N$5-(BT$9),1,0)/($J$6+1)^BT$9)</f>
        <v>-44.982336397928059</v>
      </c>
      <c r="BU55" s="248">
        <f t="shared" si="45"/>
        <v>-44.986757622722543</v>
      </c>
      <c r="BV55" s="248">
        <f t="shared" si="45"/>
        <v>-44.991163824325298</v>
      </c>
      <c r="BW55" s="248">
        <f t="shared" si="45"/>
        <v>-44.995554104142634</v>
      </c>
      <c r="BX55" s="248">
        <f t="shared" si="45"/>
        <v>-44.999927600924231</v>
      </c>
      <c r="BY55" s="248">
        <f t="shared" si="45"/>
        <v>-45.004283489707603</v>
      </c>
      <c r="BZ55" s="248">
        <f t="shared" si="45"/>
        <v>-45.008620980788528</v>
      </c>
      <c r="CA55" s="248">
        <f t="shared" si="45"/>
        <v>-45.012939318716853</v>
      </c>
      <c r="CB55" s="248">
        <f t="shared" si="45"/>
        <v>-45.017237781316965</v>
      </c>
      <c r="CC55" s="248">
        <f t="shared" si="45"/>
        <v>-45.021515678732605</v>
      </c>
      <c r="CD55" s="248">
        <f t="shared" si="45"/>
        <v>-45.025772352495203</v>
      </c>
      <c r="CE55" s="248">
        <f t="shared" si="45"/>
        <v>-45.030007174615413</v>
      </c>
      <c r="CF55" s="248">
        <f t="shared" si="45"/>
        <v>-45.034219546697166</v>
      </c>
      <c r="CG55" s="248">
        <f t="shared" si="45"/>
        <v>-45.038408899073765</v>
      </c>
      <c r="CH55" s="248">
        <f t="shared" si="45"/>
        <v>-45.042574689965626</v>
      </c>
      <c r="CI55" s="248">
        <f t="shared" si="45"/>
        <v>-45.046716404658959</v>
      </c>
      <c r="CJ55" s="248">
        <f t="shared" si="45"/>
        <v>-45.050833554705015</v>
      </c>
      <c r="CK55" s="248">
        <f t="shared" si="45"/>
        <v>-45.054925677139565</v>
      </c>
      <c r="CL55" s="248">
        <f t="shared" si="45"/>
        <v>-45.058992333721775</v>
      </c>
      <c r="CM55" s="248">
        <f t="shared" si="45"/>
        <v>-45.063033110192521</v>
      </c>
      <c r="CN55" s="248">
        <f t="shared" si="45"/>
        <v>-45.067047615551189</v>
      </c>
      <c r="CO55" s="248">
        <f t="shared" si="45"/>
        <v>-45.071035481350897</v>
      </c>
      <c r="CP55" s="248">
        <f t="shared" si="45"/>
        <v>-45.074996361011607</v>
      </c>
      <c r="CQ55" s="248">
        <f t="shared" si="45"/>
        <v>-45.078929929150569</v>
      </c>
      <c r="CR55" s="248">
        <f t="shared" si="45"/>
        <v>-45.082835880929963</v>
      </c>
      <c r="CS55" s="248">
        <f t="shared" si="45"/>
        <v>-45.086713931421066</v>
      </c>
      <c r="CT55" s="248">
        <f t="shared" si="45"/>
        <v>-45.090563814984705</v>
      </c>
      <c r="CU55" s="248">
        <f t="shared" si="45"/>
        <v>-45.094385284667659</v>
      </c>
      <c r="CV55" s="248">
        <f t="shared" si="45"/>
        <v>-45.098178111614537</v>
      </c>
      <c r="CW55" s="248">
        <f t="shared" si="45"/>
        <v>-45.101942084494716</v>
      </c>
      <c r="CX55" s="248">
        <f t="shared" si="45"/>
        <v>-45.105677008944227</v>
      </c>
      <c r="CY55" s="248">
        <f t="shared" si="45"/>
        <v>-45.105677008944227</v>
      </c>
      <c r="CZ55" s="248">
        <f t="shared" si="45"/>
        <v>-45.105677008944227</v>
      </c>
      <c r="DA55" s="248">
        <f t="shared" si="45"/>
        <v>-45.105677008944227</v>
      </c>
      <c r="DB55" s="248">
        <f t="shared" si="45"/>
        <v>-45.105677008944227</v>
      </c>
      <c r="DC55" s="248">
        <f t="shared" si="45"/>
        <v>-45.105677008944227</v>
      </c>
      <c r="DD55" s="248">
        <f t="shared" si="45"/>
        <v>-45.105677008944227</v>
      </c>
      <c r="DE55" s="248">
        <f t="shared" si="45"/>
        <v>-45.105677008944227</v>
      </c>
      <c r="DF55" s="248">
        <f t="shared" si="45"/>
        <v>-45.105677008944227</v>
      </c>
      <c r="DG55" s="248">
        <f t="shared" si="45"/>
        <v>-45.105677008944227</v>
      </c>
      <c r="DH55" s="248">
        <f t="shared" si="45"/>
        <v>-45.105677008944227</v>
      </c>
      <c r="DI55" s="248">
        <f t="shared" si="45"/>
        <v>-45.105677008944227</v>
      </c>
      <c r="DJ55" s="248">
        <f t="shared" si="45"/>
        <v>-45.105677008944227</v>
      </c>
      <c r="DK55" s="248">
        <f t="shared" si="45"/>
        <v>-45.105677008944227</v>
      </c>
      <c r="DL55" s="248">
        <f t="shared" si="45"/>
        <v>-45.105677008944227</v>
      </c>
      <c r="DM55" s="248">
        <f t="shared" si="45"/>
        <v>-45.105677008944227</v>
      </c>
      <c r="DN55" s="248">
        <f t="shared" si="45"/>
        <v>-45.105677008944227</v>
      </c>
      <c r="DO55" s="248">
        <f t="shared" si="45"/>
        <v>-45.105677008944227</v>
      </c>
      <c r="DP55" s="248">
        <f t="shared" si="45"/>
        <v>-45.105677008944227</v>
      </c>
      <c r="DQ55" s="248">
        <f t="shared" si="45"/>
        <v>-45.105677008944227</v>
      </c>
      <c r="DR55" s="248">
        <f t="shared" si="45"/>
        <v>-45.105677008944227</v>
      </c>
      <c r="DS55" s="248">
        <f t="shared" si="45"/>
        <v>-45.105677008944227</v>
      </c>
      <c r="DT55" s="248">
        <f t="shared" si="45"/>
        <v>-45.105677008944227</v>
      </c>
      <c r="DU55" s="248">
        <f t="shared" si="45"/>
        <v>-45.105677008944227</v>
      </c>
      <c r="DV55" s="248">
        <f t="shared" si="45"/>
        <v>-45.105677008944227</v>
      </c>
      <c r="DW55" s="248">
        <f t="shared" si="45"/>
        <v>-45.105677008944227</v>
      </c>
      <c r="DX55" s="248">
        <f t="shared" si="45"/>
        <v>-45.105677008944227</v>
      </c>
      <c r="DY55" s="248">
        <f t="shared" si="45"/>
        <v>-45.105677008944227</v>
      </c>
      <c r="DZ55" s="248">
        <f t="shared" si="45"/>
        <v>-45.105677008944227</v>
      </c>
      <c r="EA55" s="248">
        <f t="shared" si="45"/>
        <v>-45.105677008944227</v>
      </c>
      <c r="EB55" s="248">
        <f t="shared" si="45"/>
        <v>-45.105677008944227</v>
      </c>
      <c r="EC55" s="248">
        <f t="shared" si="45"/>
        <v>-45.105677008944227</v>
      </c>
      <c r="ED55" s="248">
        <f t="shared" si="45"/>
        <v>-45.105677008944227</v>
      </c>
      <c r="EE55" s="248">
        <f t="shared" si="45"/>
        <v>-45.105677008944227</v>
      </c>
      <c r="EF55" s="248">
        <f t="shared" si="38"/>
        <v>-45.105677008944227</v>
      </c>
      <c r="EG55" s="248">
        <f t="shared" si="37"/>
        <v>-45.105677008944227</v>
      </c>
      <c r="EH55" s="248">
        <f t="shared" si="37"/>
        <v>-45.105677008944227</v>
      </c>
      <c r="EI55" s="248">
        <f t="shared" si="37"/>
        <v>-45.105677008944227</v>
      </c>
      <c r="EJ55" s="248">
        <f t="shared" si="37"/>
        <v>-45.105677008944227</v>
      </c>
      <c r="EK55" s="248">
        <f t="shared" si="37"/>
        <v>-45.105677008944227</v>
      </c>
      <c r="EL55" s="248">
        <f t="shared" si="37"/>
        <v>-45.105677008944227</v>
      </c>
      <c r="EM55" s="248">
        <f t="shared" si="37"/>
        <v>-45.105677008944227</v>
      </c>
      <c r="EN55" s="248">
        <f t="shared" si="37"/>
        <v>-45.105677008944227</v>
      </c>
      <c r="EO55" s="248">
        <f t="shared" si="37"/>
        <v>-45.105677008944227</v>
      </c>
      <c r="EP55" s="248">
        <f t="shared" si="37"/>
        <v>-45.105677008944227</v>
      </c>
      <c r="EQ55" s="248">
        <f t="shared" si="37"/>
        <v>-45.105677008944227</v>
      </c>
      <c r="ER55" s="248">
        <f t="shared" si="37"/>
        <v>-45.105677008944227</v>
      </c>
      <c r="ES55" s="248">
        <f t="shared" si="37"/>
        <v>-45.105677008944227</v>
      </c>
      <c r="ET55" s="248">
        <f t="shared" si="37"/>
        <v>-45.105677008944227</v>
      </c>
      <c r="FF55" s="702" t="s">
        <v>512</v>
      </c>
      <c r="FG55" s="282">
        <v>2.5000000000000001E-2</v>
      </c>
      <c r="FH55" s="282">
        <v>120</v>
      </c>
      <c r="FI55" s="282">
        <v>1.7500000000000002E-2</v>
      </c>
      <c r="FJ55" s="282">
        <v>1.4499999999999999E-2</v>
      </c>
      <c r="FK55" s="248">
        <f t="shared" si="11"/>
        <v>5.8333333333333349E-4</v>
      </c>
      <c r="FL55" s="248" t="e">
        <f>VLOOKUP(FF55,'SIMULADOR COM SALDO'!$BX$22:$CK$500,13,FALSE)</f>
        <v>#N/A</v>
      </c>
      <c r="FM55" s="249">
        <f t="shared" si="12"/>
        <v>1.72E-2</v>
      </c>
    </row>
    <row r="56" spans="6:169" s="248" customFormat="1" hidden="1" x14ac:dyDescent="0.25">
      <c r="F56" s="97"/>
      <c r="G56" s="248">
        <f t="shared" si="34"/>
        <v>-44.752209634632997</v>
      </c>
      <c r="H56" s="248">
        <f t="shared" si="35"/>
        <v>-44.752209634632997</v>
      </c>
      <c r="I56" s="248">
        <f t="shared" ref="I56:BT56" si="46">PV($F29,I$9,1,0)+(PV($J$6,$N$5-(I$9),1,0)/($J$6+1)^I$9)</f>
        <v>-44.752209634632997</v>
      </c>
      <c r="J56" s="248">
        <f t="shared" si="46"/>
        <v>-44.752209634633004</v>
      </c>
      <c r="K56" s="248">
        <f t="shared" si="46"/>
        <v>-44.752209634633004</v>
      </c>
      <c r="L56" s="248">
        <f t="shared" si="46"/>
        <v>-44.752209634633004</v>
      </c>
      <c r="M56" s="248">
        <f t="shared" si="46"/>
        <v>-44.752209634633004</v>
      </c>
      <c r="N56" s="248">
        <f t="shared" si="46"/>
        <v>-44.752209634633004</v>
      </c>
      <c r="O56" s="248">
        <f t="shared" si="46"/>
        <v>-44.752209634633004</v>
      </c>
      <c r="P56" s="248">
        <f t="shared" si="46"/>
        <v>-44.75220963463299</v>
      </c>
      <c r="Q56" s="248">
        <f t="shared" si="46"/>
        <v>-44.752209634633004</v>
      </c>
      <c r="R56" s="248">
        <f t="shared" si="46"/>
        <v>-44.752209634632997</v>
      </c>
      <c r="S56" s="248">
        <f t="shared" si="46"/>
        <v>-44.752209634633004</v>
      </c>
      <c r="T56" s="248">
        <f t="shared" si="46"/>
        <v>-44.752209634632997</v>
      </c>
      <c r="U56" s="248">
        <f t="shared" si="46"/>
        <v>-44.752209634632997</v>
      </c>
      <c r="V56" s="248">
        <f t="shared" si="46"/>
        <v>-44.752209634633004</v>
      </c>
      <c r="W56" s="248">
        <f t="shared" si="46"/>
        <v>-44.752209634632997</v>
      </c>
      <c r="X56" s="248">
        <f t="shared" si="46"/>
        <v>-44.752209634633004</v>
      </c>
      <c r="Y56" s="248">
        <f t="shared" si="46"/>
        <v>-44.752209634633004</v>
      </c>
      <c r="Z56" s="248">
        <f t="shared" si="46"/>
        <v>-44.752209634633004</v>
      </c>
      <c r="AA56" s="248">
        <f t="shared" si="46"/>
        <v>-44.752209634632997</v>
      </c>
      <c r="AB56" s="248">
        <f t="shared" si="46"/>
        <v>-44.752209634632997</v>
      </c>
      <c r="AC56" s="248">
        <f t="shared" si="46"/>
        <v>-44.752209634633004</v>
      </c>
      <c r="AD56" s="248">
        <f t="shared" si="46"/>
        <v>-44.752209634632997</v>
      </c>
      <c r="AE56" s="248">
        <f t="shared" si="46"/>
        <v>-44.75220963463299</v>
      </c>
      <c r="AF56" s="248">
        <f t="shared" si="46"/>
        <v>-44.752209634632997</v>
      </c>
      <c r="AG56" s="248">
        <f t="shared" si="46"/>
        <v>-44.75220963463299</v>
      </c>
      <c r="AH56" s="248">
        <f t="shared" si="46"/>
        <v>-44.752209634632997</v>
      </c>
      <c r="AI56" s="248">
        <f t="shared" si="46"/>
        <v>-44.752209634632997</v>
      </c>
      <c r="AJ56" s="248">
        <f t="shared" si="46"/>
        <v>-44.752209634632997</v>
      </c>
      <c r="AK56" s="248">
        <f t="shared" si="46"/>
        <v>-44.752209634632997</v>
      </c>
      <c r="AL56" s="248">
        <f t="shared" si="46"/>
        <v>-44.752209634632997</v>
      </c>
      <c r="AM56" s="248">
        <f t="shared" si="46"/>
        <v>-44.75220963463299</v>
      </c>
      <c r="AN56" s="248">
        <f t="shared" si="46"/>
        <v>-44.752209634632997</v>
      </c>
      <c r="AO56" s="248">
        <f t="shared" si="46"/>
        <v>-44.75220963463299</v>
      </c>
      <c r="AP56" s="248">
        <f t="shared" si="46"/>
        <v>-44.75220963463299</v>
      </c>
      <c r="AQ56" s="248">
        <f t="shared" si="46"/>
        <v>-44.75220963463299</v>
      </c>
      <c r="AR56" s="248">
        <f t="shared" si="46"/>
        <v>-44.75220963463299</v>
      </c>
      <c r="AS56" s="248">
        <f t="shared" si="46"/>
        <v>-44.752209634632997</v>
      </c>
      <c r="AT56" s="248">
        <f t="shared" si="46"/>
        <v>-44.752209634632997</v>
      </c>
      <c r="AU56" s="248">
        <f t="shared" si="46"/>
        <v>-44.75220963463299</v>
      </c>
      <c r="AV56" s="248">
        <f t="shared" si="46"/>
        <v>-44.75220963463299</v>
      </c>
      <c r="AW56" s="248">
        <f t="shared" si="46"/>
        <v>-44.752209634632997</v>
      </c>
      <c r="AX56" s="248">
        <f t="shared" si="46"/>
        <v>-44.752209634632997</v>
      </c>
      <c r="AY56" s="248">
        <f t="shared" si="46"/>
        <v>-44.75220963463299</v>
      </c>
      <c r="AZ56" s="248">
        <f t="shared" si="46"/>
        <v>-44.75220963463299</v>
      </c>
      <c r="BA56" s="248">
        <f t="shared" si="46"/>
        <v>-44.75220963463299</v>
      </c>
      <c r="BB56" s="248">
        <f t="shared" si="46"/>
        <v>-44.75220963463299</v>
      </c>
      <c r="BC56" s="248">
        <f t="shared" si="46"/>
        <v>-44.75220963463299</v>
      </c>
      <c r="BD56" s="248">
        <f t="shared" si="46"/>
        <v>-44.75220963463299</v>
      </c>
      <c r="BE56" s="248">
        <f t="shared" si="46"/>
        <v>-44.75220963463299</v>
      </c>
      <c r="BF56" s="248">
        <f t="shared" si="46"/>
        <v>-44.75220963463299</v>
      </c>
      <c r="BG56" s="248">
        <f t="shared" si="46"/>
        <v>-44.75220963463299</v>
      </c>
      <c r="BH56" s="248">
        <f t="shared" si="46"/>
        <v>-44.752209634632997</v>
      </c>
      <c r="BI56" s="248">
        <f t="shared" si="46"/>
        <v>-44.752209634632997</v>
      </c>
      <c r="BJ56" s="248">
        <f t="shared" si="46"/>
        <v>-44.75220963463299</v>
      </c>
      <c r="BK56" s="248">
        <f t="shared" si="46"/>
        <v>-44.752209634632997</v>
      </c>
      <c r="BL56" s="248">
        <f t="shared" si="46"/>
        <v>-44.752209634632997</v>
      </c>
      <c r="BM56" s="248">
        <f t="shared" si="46"/>
        <v>-44.752209634632997</v>
      </c>
      <c r="BN56" s="248">
        <f t="shared" si="46"/>
        <v>-44.75220963463299</v>
      </c>
      <c r="BO56" s="248">
        <f t="shared" si="46"/>
        <v>-44.752209634632997</v>
      </c>
      <c r="BP56" s="248">
        <f t="shared" si="46"/>
        <v>-44.752209634632997</v>
      </c>
      <c r="BQ56" s="248">
        <f t="shared" si="46"/>
        <v>-44.75220963463299</v>
      </c>
      <c r="BR56" s="248">
        <f t="shared" si="46"/>
        <v>-44.752209634632997</v>
      </c>
      <c r="BS56" s="248">
        <f t="shared" si="46"/>
        <v>-44.75220963463299</v>
      </c>
      <c r="BT56" s="248">
        <f t="shared" si="46"/>
        <v>-44.75220963463299</v>
      </c>
      <c r="BU56" s="248">
        <f t="shared" si="45"/>
        <v>-44.752209634632997</v>
      </c>
      <c r="BV56" s="248">
        <f t="shared" si="45"/>
        <v>-44.752209634632997</v>
      </c>
      <c r="BW56" s="248">
        <f t="shared" si="45"/>
        <v>-44.752209634632997</v>
      </c>
      <c r="BX56" s="248">
        <f t="shared" si="45"/>
        <v>-44.752209634632997</v>
      </c>
      <c r="BY56" s="248">
        <f t="shared" si="45"/>
        <v>-44.752209634632997</v>
      </c>
      <c r="BZ56" s="248">
        <f t="shared" si="45"/>
        <v>-44.75220963463299</v>
      </c>
      <c r="CA56" s="248">
        <f t="shared" si="45"/>
        <v>-44.752209634632997</v>
      </c>
      <c r="CB56" s="248">
        <f t="shared" si="45"/>
        <v>-44.75220963463299</v>
      </c>
      <c r="CC56" s="248">
        <f t="shared" si="45"/>
        <v>-44.752209634632997</v>
      </c>
      <c r="CD56" s="248">
        <f t="shared" si="45"/>
        <v>-44.752209634632997</v>
      </c>
      <c r="CE56" s="248">
        <f t="shared" si="45"/>
        <v>-44.752209634632997</v>
      </c>
      <c r="CF56" s="248">
        <f t="shared" si="45"/>
        <v>-44.752209634632997</v>
      </c>
      <c r="CG56" s="248">
        <f t="shared" si="45"/>
        <v>-44.752209634632997</v>
      </c>
      <c r="CH56" s="248">
        <f t="shared" si="45"/>
        <v>-44.752209634632997</v>
      </c>
      <c r="CI56" s="248">
        <f t="shared" si="45"/>
        <v>-44.75220963463299</v>
      </c>
      <c r="CJ56" s="248">
        <f t="shared" si="45"/>
        <v>-44.752209634632997</v>
      </c>
      <c r="CK56" s="248">
        <f t="shared" si="45"/>
        <v>-44.752209634632997</v>
      </c>
      <c r="CL56" s="248">
        <f t="shared" si="45"/>
        <v>-44.752209634632997</v>
      </c>
      <c r="CM56" s="248">
        <f t="shared" si="45"/>
        <v>-44.75220963463299</v>
      </c>
      <c r="CN56" s="248">
        <f t="shared" si="45"/>
        <v>-44.752209634632997</v>
      </c>
      <c r="CO56" s="248">
        <f t="shared" si="45"/>
        <v>-44.752209634632997</v>
      </c>
      <c r="CP56" s="248">
        <f t="shared" si="45"/>
        <v>-44.752209634632997</v>
      </c>
      <c r="CQ56" s="248">
        <f t="shared" si="45"/>
        <v>-44.75220963463299</v>
      </c>
      <c r="CR56" s="248">
        <f t="shared" si="45"/>
        <v>-44.75220963463299</v>
      </c>
      <c r="CS56" s="248">
        <f t="shared" si="45"/>
        <v>-44.75220963463299</v>
      </c>
      <c r="CT56" s="248">
        <f t="shared" si="45"/>
        <v>-44.752209634632997</v>
      </c>
      <c r="CU56" s="248">
        <f t="shared" si="45"/>
        <v>-44.75220963463299</v>
      </c>
      <c r="CV56" s="248">
        <f t="shared" si="45"/>
        <v>-44.752209634632997</v>
      </c>
      <c r="CW56" s="248">
        <f t="shared" si="45"/>
        <v>-44.752209634632997</v>
      </c>
      <c r="CX56" s="248">
        <f t="shared" si="45"/>
        <v>-44.752209634632997</v>
      </c>
      <c r="CY56" s="248">
        <f t="shared" si="45"/>
        <v>-44.752209634632997</v>
      </c>
      <c r="CZ56" s="248">
        <f t="shared" si="45"/>
        <v>-44.752209634632997</v>
      </c>
      <c r="DA56" s="248">
        <f t="shared" si="45"/>
        <v>-44.752209634632997</v>
      </c>
      <c r="DB56" s="248">
        <f t="shared" si="45"/>
        <v>-44.752209634632997</v>
      </c>
      <c r="DC56" s="248">
        <f t="shared" si="45"/>
        <v>-44.752209634632997</v>
      </c>
      <c r="DD56" s="248">
        <f t="shared" si="45"/>
        <v>-44.752209634632997</v>
      </c>
      <c r="DE56" s="248">
        <f t="shared" si="45"/>
        <v>-44.752209634632997</v>
      </c>
      <c r="DF56" s="248">
        <f t="shared" si="45"/>
        <v>-44.752209634632997</v>
      </c>
      <c r="DG56" s="248">
        <f t="shared" si="45"/>
        <v>-44.752209634632997</v>
      </c>
      <c r="DH56" s="248">
        <f t="shared" si="45"/>
        <v>-44.752209634632997</v>
      </c>
      <c r="DI56" s="248">
        <f t="shared" si="45"/>
        <v>-44.752209634632997</v>
      </c>
      <c r="DJ56" s="248">
        <f t="shared" si="45"/>
        <v>-44.752209634632997</v>
      </c>
      <c r="DK56" s="248">
        <f t="shared" si="45"/>
        <v>-44.752209634632997</v>
      </c>
      <c r="DL56" s="248">
        <f t="shared" si="45"/>
        <v>-44.752209634632997</v>
      </c>
      <c r="DM56" s="248">
        <f t="shared" si="45"/>
        <v>-44.752209634632997</v>
      </c>
      <c r="DN56" s="248">
        <f t="shared" si="45"/>
        <v>-44.752209634632997</v>
      </c>
      <c r="DO56" s="248">
        <f t="shared" si="45"/>
        <v>-44.752209634632997</v>
      </c>
      <c r="DP56" s="248">
        <f t="shared" si="45"/>
        <v>-44.752209634632997</v>
      </c>
      <c r="DQ56" s="248">
        <f t="shared" si="45"/>
        <v>-44.752209634632997</v>
      </c>
      <c r="DR56" s="248">
        <f t="shared" si="45"/>
        <v>-44.752209634632997</v>
      </c>
      <c r="DS56" s="248">
        <f t="shared" si="45"/>
        <v>-44.752209634632997</v>
      </c>
      <c r="DT56" s="248">
        <f t="shared" si="45"/>
        <v>-44.752209634632997</v>
      </c>
      <c r="DU56" s="248">
        <f t="shared" si="45"/>
        <v>-44.752209634632997</v>
      </c>
      <c r="DV56" s="248">
        <f t="shared" si="45"/>
        <v>-44.752209634632997</v>
      </c>
      <c r="DW56" s="248">
        <f t="shared" si="45"/>
        <v>-44.752209634632997</v>
      </c>
      <c r="DX56" s="248">
        <f t="shared" si="45"/>
        <v>-44.752209634632997</v>
      </c>
      <c r="DY56" s="248">
        <f t="shared" si="45"/>
        <v>-44.752209634632997</v>
      </c>
      <c r="DZ56" s="248">
        <f t="shared" si="45"/>
        <v>-44.752209634632997</v>
      </c>
      <c r="EA56" s="248">
        <f t="shared" si="45"/>
        <v>-44.752209634632997</v>
      </c>
      <c r="EB56" s="248">
        <f t="shared" si="45"/>
        <v>-44.752209634632997</v>
      </c>
      <c r="EC56" s="248">
        <f t="shared" si="45"/>
        <v>-44.752209634632997</v>
      </c>
      <c r="ED56" s="248">
        <f t="shared" si="45"/>
        <v>-44.752209634632997</v>
      </c>
      <c r="EE56" s="248">
        <f t="shared" si="45"/>
        <v>-44.752209634632997</v>
      </c>
      <c r="EF56" s="248">
        <f t="shared" si="38"/>
        <v>-44.752209634632997</v>
      </c>
      <c r="EG56" s="248">
        <f t="shared" si="37"/>
        <v>-44.752209634632997</v>
      </c>
      <c r="EH56" s="248">
        <f t="shared" si="37"/>
        <v>-44.752209634632997</v>
      </c>
      <c r="EI56" s="248">
        <f t="shared" si="37"/>
        <v>-44.752209634632997</v>
      </c>
      <c r="EJ56" s="248">
        <f t="shared" si="37"/>
        <v>-44.752209634632997</v>
      </c>
      <c r="EK56" s="248">
        <f t="shared" si="37"/>
        <v>-44.752209634632997</v>
      </c>
      <c r="EL56" s="248">
        <f t="shared" si="37"/>
        <v>-44.752209634632997</v>
      </c>
      <c r="EM56" s="248">
        <f t="shared" si="37"/>
        <v>-44.752209634632997</v>
      </c>
      <c r="EN56" s="248">
        <f t="shared" si="37"/>
        <v>-44.752209634632997</v>
      </c>
      <c r="EO56" s="248">
        <f t="shared" si="37"/>
        <v>-44.752209634632997</v>
      </c>
      <c r="EP56" s="248">
        <f t="shared" si="37"/>
        <v>-44.752209634632997</v>
      </c>
      <c r="EQ56" s="248">
        <f t="shared" si="37"/>
        <v>-44.752209634632997</v>
      </c>
      <c r="ER56" s="248">
        <f t="shared" si="37"/>
        <v>-44.752209634632997</v>
      </c>
      <c r="ES56" s="248">
        <f t="shared" si="37"/>
        <v>-44.752209634632997</v>
      </c>
      <c r="ET56" s="248">
        <f t="shared" si="37"/>
        <v>-44.752209634632997</v>
      </c>
      <c r="FF56" s="705" t="s">
        <v>42</v>
      </c>
      <c r="FG56" s="282">
        <v>1.8500000000000003E-2</v>
      </c>
      <c r="FH56" s="282">
        <v>96</v>
      </c>
      <c r="FI56" s="282">
        <v>1.5600000000000001E-2</v>
      </c>
      <c r="FJ56" s="282">
        <v>1.44E-2</v>
      </c>
      <c r="FK56" s="248">
        <f t="shared" si="11"/>
        <v>2.2777777777777794E-4</v>
      </c>
      <c r="FL56" s="248" t="e">
        <f>VLOOKUP(FF56,'SIMULADOR COM SALDO'!$BX$22:$CK$500,13,FALSE)</f>
        <v>#N/A</v>
      </c>
      <c r="FM56" s="249">
        <f t="shared" si="12"/>
        <v>1.5300000000000001E-2</v>
      </c>
    </row>
    <row r="57" spans="6:169" s="250" customFormat="1" hidden="1" x14ac:dyDescent="0.25">
      <c r="F57" s="97"/>
      <c r="FF57" s="698" t="s">
        <v>3011</v>
      </c>
      <c r="FG57" s="700">
        <v>2.5000000000000001E-2</v>
      </c>
      <c r="FH57" s="700">
        <v>120</v>
      </c>
      <c r="FI57" s="699">
        <v>1.67E-2</v>
      </c>
      <c r="FJ57" s="699">
        <v>1.4199999999999999E-2</v>
      </c>
      <c r="FK57" s="250">
        <f t="shared" si="11"/>
        <v>6.0000000000000016E-4</v>
      </c>
      <c r="FL57" s="250" t="e">
        <f>VLOOKUP(FF57,'SIMULADOR COM SALDO'!$BX$22:$CK$500,13,FALSE)</f>
        <v>#N/A</v>
      </c>
      <c r="FM57" s="251">
        <f t="shared" si="12"/>
        <v>1.6399999999999998E-2</v>
      </c>
    </row>
    <row r="58" spans="6:169" hidden="1" x14ac:dyDescent="0.25">
      <c r="F58" s="97">
        <f>IF(H6="INSS",1.9%,"")</f>
        <v>1.9E-2</v>
      </c>
      <c r="EU58" s="204"/>
      <c r="EV58" s="204"/>
      <c r="EW58" s="204"/>
      <c r="EX58" s="204"/>
      <c r="EY58" s="204"/>
      <c r="EZ58" s="204"/>
      <c r="FA58" s="204"/>
      <c r="FF58" s="698" t="s">
        <v>2902</v>
      </c>
      <c r="FG58" s="700">
        <v>2.5000000000000001E-2</v>
      </c>
      <c r="FH58" s="700">
        <v>120</v>
      </c>
      <c r="FI58" s="699">
        <v>1.6799999999999999E-2</v>
      </c>
      <c r="FJ58" s="699">
        <v>1.3000000000000001E-2</v>
      </c>
      <c r="FK58" s="204">
        <f t="shared" si="11"/>
        <v>6.6666666666666664E-4</v>
      </c>
      <c r="FL58" s="204" t="e">
        <f>VLOOKUP(FF58,'SIMULADOR COM SALDO'!$BX$22:$CK$500,13,FALSE)</f>
        <v>#N/A</v>
      </c>
      <c r="FM58" s="243">
        <f t="shared" si="12"/>
        <v>1.6499999999999997E-2</v>
      </c>
    </row>
    <row r="59" spans="6:169" hidden="1" x14ac:dyDescent="0.25">
      <c r="F59" s="97">
        <f>IF(H6="INSS",2.14%,"")</f>
        <v>2.1400000000000002E-2</v>
      </c>
      <c r="EU59" s="204"/>
      <c r="EV59" s="204"/>
      <c r="EW59" s="204"/>
      <c r="EX59" s="204"/>
      <c r="EY59" s="204"/>
      <c r="EZ59" s="204"/>
      <c r="FA59" s="204"/>
      <c r="FF59" s="698" t="s">
        <v>2514</v>
      </c>
      <c r="FG59" s="700">
        <v>2.5000000000000001E-2</v>
      </c>
      <c r="FH59" s="700">
        <v>96</v>
      </c>
      <c r="FI59" s="699">
        <v>1.95E-2</v>
      </c>
      <c r="FJ59" s="699">
        <v>1.6500000000000001E-2</v>
      </c>
      <c r="FK59" s="204">
        <f t="shared" si="11"/>
        <v>4.7222222222222224E-4</v>
      </c>
      <c r="FL59" s="204" t="e">
        <f>VLOOKUP(FF59,'SIMULADOR COM SALDO'!$BX$22:$CK$500,13,FALSE)</f>
        <v>#N/A</v>
      </c>
      <c r="FM59" s="243">
        <f t="shared" si="12"/>
        <v>1.9199999999999998E-2</v>
      </c>
    </row>
    <row r="60" spans="6:169" hidden="1" x14ac:dyDescent="0.25">
      <c r="EU60" s="204"/>
      <c r="EV60" s="204"/>
      <c r="EW60" s="204"/>
      <c r="EX60" s="204"/>
      <c r="EY60" s="204"/>
      <c r="EZ60" s="204"/>
      <c r="FA60" s="204"/>
      <c r="FF60" s="698" t="s">
        <v>2523</v>
      </c>
      <c r="FG60" s="700">
        <v>2.5000000000000001E-2</v>
      </c>
      <c r="FH60" s="700">
        <v>96</v>
      </c>
      <c r="FI60" s="699">
        <v>1.95E-2</v>
      </c>
      <c r="FJ60" s="699">
        <v>1.6500000000000001E-2</v>
      </c>
      <c r="FK60" s="204">
        <f t="shared" si="11"/>
        <v>4.7222222222222224E-4</v>
      </c>
      <c r="FL60" s="204" t="e">
        <f>VLOOKUP(FF60,'SIMULADOR COM SALDO'!$BX$22:$CK$500,13,FALSE)</f>
        <v>#N/A</v>
      </c>
      <c r="FM60" s="243">
        <f t="shared" si="12"/>
        <v>1.9199999999999998E-2</v>
      </c>
    </row>
    <row r="61" spans="6:169" hidden="1" x14ac:dyDescent="0.25">
      <c r="EU61" s="204"/>
      <c r="EV61" s="204"/>
      <c r="EW61" s="204"/>
      <c r="EX61" s="204"/>
      <c r="EY61" s="204"/>
      <c r="EZ61" s="204"/>
      <c r="FA61" s="204"/>
      <c r="FF61" s="698" t="s">
        <v>2611</v>
      </c>
      <c r="FG61" s="700">
        <v>2.5000000000000001E-2</v>
      </c>
      <c r="FH61" s="700">
        <v>96</v>
      </c>
      <c r="FI61" s="699">
        <v>1.9599999999999999E-2</v>
      </c>
      <c r="FJ61" s="699">
        <v>1.3500000000000002E-2</v>
      </c>
      <c r="FK61" s="204">
        <f t="shared" si="11"/>
        <v>6.3888888888888893E-4</v>
      </c>
      <c r="FL61" s="204" t="e">
        <f>VLOOKUP(FF61,'SIMULADOR COM SALDO'!$BX$22:$CK$500,13,FALSE)</f>
        <v>#N/A</v>
      </c>
      <c r="FM61" s="243">
        <f t="shared" si="12"/>
        <v>1.9299999999999998E-2</v>
      </c>
    </row>
    <row r="62" spans="6:169" hidden="1" x14ac:dyDescent="0.25">
      <c r="EU62" s="204"/>
      <c r="EV62" s="204"/>
      <c r="EW62" s="204"/>
      <c r="EX62" s="204"/>
      <c r="EY62" s="204"/>
      <c r="EZ62" s="204"/>
      <c r="FA62" s="204"/>
      <c r="FF62" s="698" t="s">
        <v>2338</v>
      </c>
      <c r="FG62" s="700">
        <v>1.9900000000000001E-2</v>
      </c>
      <c r="FH62" s="700">
        <v>96</v>
      </c>
      <c r="FI62" s="699">
        <v>1.9900000000000001E-2</v>
      </c>
      <c r="FJ62" s="699">
        <v>1.6E-2</v>
      </c>
      <c r="FK62" s="204">
        <f t="shared" si="11"/>
        <v>2.1666666666666671E-4</v>
      </c>
      <c r="FL62" s="204" t="e">
        <f>VLOOKUP(FF62,'SIMULADOR COM SALDO'!$BX$22:$CK$500,13,FALSE)</f>
        <v>#N/A</v>
      </c>
      <c r="FM62" s="243">
        <f t="shared" si="12"/>
        <v>1.9599999999999999E-2</v>
      </c>
    </row>
    <row r="63" spans="6:169" hidden="1" x14ac:dyDescent="0.25">
      <c r="EU63" s="204"/>
      <c r="EV63" s="204"/>
      <c r="EW63" s="204"/>
      <c r="EX63" s="204"/>
      <c r="EY63" s="204"/>
      <c r="EZ63" s="204"/>
      <c r="FA63" s="204"/>
      <c r="FF63" s="702" t="s">
        <v>536</v>
      </c>
      <c r="FG63" s="282">
        <v>2.5000000000000001E-2</v>
      </c>
      <c r="FH63" s="282">
        <v>120</v>
      </c>
      <c r="FI63" s="282">
        <v>1.7000000000000001E-2</v>
      </c>
      <c r="FJ63" s="282">
        <v>1.3999999999999999E-2</v>
      </c>
      <c r="FK63" s="204">
        <f t="shared" si="11"/>
        <v>6.1111111111111132E-4</v>
      </c>
      <c r="FL63" s="204" t="e">
        <f>VLOOKUP(FF63,'SIMULADOR COM SALDO'!$BX$22:$CK$500,13,FALSE)</f>
        <v>#N/A</v>
      </c>
      <c r="FM63" s="243">
        <f t="shared" si="12"/>
        <v>1.67E-2</v>
      </c>
    </row>
    <row r="64" spans="6:169" hidden="1" x14ac:dyDescent="0.25">
      <c r="EU64" s="204"/>
      <c r="EV64" s="204"/>
      <c r="EW64" s="204"/>
      <c r="EX64" s="204"/>
      <c r="EY64" s="204"/>
      <c r="EZ64" s="204"/>
      <c r="FA64" s="204"/>
      <c r="FF64" s="702" t="s">
        <v>209</v>
      </c>
      <c r="FG64" s="282">
        <v>2.5000000000000001E-2</v>
      </c>
      <c r="FH64" s="282">
        <v>120</v>
      </c>
      <c r="FI64" s="282">
        <v>1.89E-2</v>
      </c>
      <c r="FJ64" s="282">
        <v>1.4199999999999999E-2</v>
      </c>
      <c r="FK64" s="204">
        <f t="shared" si="11"/>
        <v>6.0000000000000016E-4</v>
      </c>
      <c r="FL64" s="204" t="e">
        <f>VLOOKUP(FF64,'SIMULADOR COM SALDO'!$BX$22:$CK$500,13,FALSE)</f>
        <v>#N/A</v>
      </c>
      <c r="FM64" s="243">
        <f t="shared" si="12"/>
        <v>1.8599999999999998E-2</v>
      </c>
    </row>
    <row r="65" spans="151:169" hidden="1" x14ac:dyDescent="0.25">
      <c r="EU65" s="204"/>
      <c r="EV65" s="204"/>
      <c r="EW65" s="204"/>
      <c r="EX65" s="204"/>
      <c r="EY65" s="204"/>
      <c r="EZ65" s="204"/>
      <c r="FA65" s="204"/>
      <c r="FF65" s="698" t="s">
        <v>3748</v>
      </c>
      <c r="FG65" s="700">
        <v>2.5000000000000001E-2</v>
      </c>
      <c r="FH65" s="700">
        <v>96</v>
      </c>
      <c r="FI65" s="699">
        <v>1.7000000000000001E-2</v>
      </c>
      <c r="FJ65" s="699">
        <v>1.4499999999999999E-2</v>
      </c>
      <c r="FK65" s="204">
        <f t="shared" si="11"/>
        <v>5.8333333333333349E-4</v>
      </c>
      <c r="FL65" s="204" t="e">
        <f>VLOOKUP(FF65,'SIMULADOR COM SALDO'!$BX$22:$CK$500,13,FALSE)</f>
        <v>#N/A</v>
      </c>
      <c r="FM65" s="243">
        <f t="shared" si="12"/>
        <v>1.67E-2</v>
      </c>
    </row>
    <row r="66" spans="151:169" hidden="1" x14ac:dyDescent="0.25">
      <c r="FF66" s="698" t="s">
        <v>3012</v>
      </c>
      <c r="FG66" s="700">
        <v>2.1400000000000002E-2</v>
      </c>
      <c r="FH66" s="700">
        <v>96</v>
      </c>
      <c r="FI66" s="699">
        <v>1.9400000000000001E-2</v>
      </c>
      <c r="FJ66" s="699">
        <v>1.37E-2</v>
      </c>
      <c r="FK66" s="204">
        <f t="shared" si="11"/>
        <v>4.277777777777779E-4</v>
      </c>
      <c r="FL66" s="204" t="e">
        <f>VLOOKUP(FF66,'SIMULADOR COM SALDO'!$BX$22:$CK$500,13,FALSE)</f>
        <v>#N/A</v>
      </c>
      <c r="FM66" s="243">
        <f t="shared" si="12"/>
        <v>1.9099999999999999E-2</v>
      </c>
    </row>
    <row r="67" spans="151:169" hidden="1" x14ac:dyDescent="0.25">
      <c r="FF67" s="698" t="s">
        <v>3013</v>
      </c>
      <c r="FG67" s="700">
        <v>2.1400000000000002E-2</v>
      </c>
      <c r="FH67" s="700">
        <v>96</v>
      </c>
      <c r="FI67" s="699">
        <v>1.72E-2</v>
      </c>
      <c r="FJ67" s="699">
        <v>1.37E-2</v>
      </c>
      <c r="FK67" s="204">
        <f t="shared" si="11"/>
        <v>4.277777777777779E-4</v>
      </c>
      <c r="FL67" s="204" t="e">
        <f>VLOOKUP(FF67,'SIMULADOR COM SALDO'!$BX$22:$CK$500,13,FALSE)</f>
        <v>#N/A</v>
      </c>
      <c r="FM67" s="243">
        <f t="shared" si="12"/>
        <v>1.6899999999999998E-2</v>
      </c>
    </row>
    <row r="68" spans="151:169" hidden="1" x14ac:dyDescent="0.25">
      <c r="FF68" s="698" t="s">
        <v>810</v>
      </c>
      <c r="FG68" s="700">
        <v>2.4E-2</v>
      </c>
      <c r="FH68" s="700">
        <v>96</v>
      </c>
      <c r="FI68" s="699">
        <v>2.4E-2</v>
      </c>
      <c r="FJ68" s="699">
        <v>2.1499999999999998E-2</v>
      </c>
      <c r="FK68" s="204">
        <f t="shared" si="11"/>
        <v>1.3888888888888902E-4</v>
      </c>
      <c r="FL68" s="204" t="e">
        <f>VLOOKUP(FF68,'SIMULADOR COM SALDO'!$BX$22:$CK$500,13,FALSE)</f>
        <v>#N/A</v>
      </c>
      <c r="FM68" s="243">
        <f t="shared" si="12"/>
        <v>2.3699999999999999E-2</v>
      </c>
    </row>
    <row r="69" spans="151:169" hidden="1" x14ac:dyDescent="0.25">
      <c r="FF69" s="698" t="s">
        <v>610</v>
      </c>
      <c r="FG69" s="700">
        <v>2.5000000000000001E-2</v>
      </c>
      <c r="FH69" s="700">
        <v>96</v>
      </c>
      <c r="FI69" s="699">
        <v>2.2499999999999999E-2</v>
      </c>
      <c r="FJ69" s="699">
        <v>1.3999999999999999E-2</v>
      </c>
      <c r="FK69" s="204">
        <f t="shared" si="11"/>
        <v>6.1111111111111132E-4</v>
      </c>
      <c r="FL69" s="204" t="e">
        <f>VLOOKUP(FF69,'SIMULADOR COM SALDO'!$BX$22:$CK$500,13,FALSE)</f>
        <v>#N/A</v>
      </c>
      <c r="FM69" s="243">
        <f t="shared" si="12"/>
        <v>2.2199999999999998E-2</v>
      </c>
    </row>
    <row r="70" spans="151:169" hidden="1" x14ac:dyDescent="0.25">
      <c r="FF70" s="698" t="s">
        <v>1166</v>
      </c>
      <c r="FG70" s="700">
        <v>2.5000000000000001E-2</v>
      </c>
      <c r="FH70" s="700">
        <v>96</v>
      </c>
      <c r="FI70" s="699">
        <v>2.1499999999999998E-2</v>
      </c>
      <c r="FJ70" s="699">
        <v>1.4499999999999999E-2</v>
      </c>
      <c r="FK70" s="204">
        <f t="shared" si="11"/>
        <v>5.8333333333333349E-4</v>
      </c>
      <c r="FL70" s="204" t="e">
        <f>VLOOKUP(FF70,'SIMULADOR COM SALDO'!$BX$22:$CK$500,13,FALSE)</f>
        <v>#N/A</v>
      </c>
      <c r="FM70" s="243">
        <f t="shared" si="12"/>
        <v>2.1199999999999997E-2</v>
      </c>
    </row>
    <row r="71" spans="151:169" hidden="1" x14ac:dyDescent="0.25">
      <c r="FF71" s="698" t="s">
        <v>1509</v>
      </c>
      <c r="FG71" s="700">
        <v>2.5000000000000001E-2</v>
      </c>
      <c r="FH71" s="700">
        <v>96</v>
      </c>
      <c r="FI71" s="699">
        <v>2.1499999999999998E-2</v>
      </c>
      <c r="FJ71" s="699">
        <v>1.4499999999999999E-2</v>
      </c>
      <c r="FK71" s="204">
        <f t="shared" si="11"/>
        <v>5.8333333333333349E-4</v>
      </c>
      <c r="FL71" s="204" t="e">
        <f>VLOOKUP(FF71,'SIMULADOR COM SALDO'!$BX$22:$CK$500,13,FALSE)</f>
        <v>#N/A</v>
      </c>
      <c r="FM71" s="243">
        <f t="shared" si="12"/>
        <v>2.1199999999999997E-2</v>
      </c>
    </row>
    <row r="72" spans="151:169" hidden="1" x14ac:dyDescent="0.25">
      <c r="FF72" s="698" t="s">
        <v>3014</v>
      </c>
      <c r="FG72" s="700">
        <v>2.5000000000000001E-2</v>
      </c>
      <c r="FH72" s="700">
        <v>120</v>
      </c>
      <c r="FI72" s="699">
        <v>1.9400000000000001E-2</v>
      </c>
      <c r="FJ72" s="699">
        <v>1.4999999999999999E-2</v>
      </c>
      <c r="FK72" s="204">
        <f t="shared" si="11"/>
        <v>5.5555555555555566E-4</v>
      </c>
      <c r="FL72" s="204" t="e">
        <f>VLOOKUP(FF72,'SIMULADOR COM SALDO'!$BX$22:$CK$500,13,FALSE)</f>
        <v>#N/A</v>
      </c>
      <c r="FM72" s="243">
        <f t="shared" si="12"/>
        <v>1.9099999999999999E-2</v>
      </c>
    </row>
    <row r="73" spans="151:169" hidden="1" x14ac:dyDescent="0.25">
      <c r="FF73" s="698" t="s">
        <v>3015</v>
      </c>
      <c r="FG73" s="700">
        <v>2.2499999999999999E-2</v>
      </c>
      <c r="FH73" s="700">
        <v>96</v>
      </c>
      <c r="FI73" s="699">
        <v>2.07E-2</v>
      </c>
      <c r="FJ73" s="699">
        <v>1.4999999999999999E-2</v>
      </c>
      <c r="FK73" s="204">
        <f t="shared" si="11"/>
        <v>4.1666666666666664E-4</v>
      </c>
      <c r="FL73" s="204" t="e">
        <f>VLOOKUP(FF73,'SIMULADOR COM SALDO'!$BX$22:$CK$500,13,FALSE)</f>
        <v>#N/A</v>
      </c>
      <c r="FM73" s="243">
        <f t="shared" si="12"/>
        <v>2.0399999999999998E-2</v>
      </c>
    </row>
    <row r="74" spans="151:169" hidden="1" x14ac:dyDescent="0.25">
      <c r="FF74" s="698" t="s">
        <v>3016</v>
      </c>
      <c r="FG74" s="700">
        <v>2.4900000000000002E-2</v>
      </c>
      <c r="FH74" s="700">
        <v>120</v>
      </c>
      <c r="FI74" s="699">
        <v>1.5700000000000002E-2</v>
      </c>
      <c r="FJ74" s="699">
        <v>1.37E-2</v>
      </c>
      <c r="FK74" s="204">
        <f t="shared" si="11"/>
        <v>6.2222222222222236E-4</v>
      </c>
      <c r="FL74" s="204" t="e">
        <f>VLOOKUP(FF74,'SIMULADOR COM SALDO'!$BX$22:$CK$500,13,FALSE)</f>
        <v>#N/A</v>
      </c>
      <c r="FM74" s="243">
        <f t="shared" si="12"/>
        <v>1.5400000000000002E-2</v>
      </c>
    </row>
    <row r="75" spans="151:169" hidden="1" x14ac:dyDescent="0.25">
      <c r="FF75" s="698" t="s">
        <v>3017</v>
      </c>
      <c r="FG75" s="700">
        <v>2.4900000000000002E-2</v>
      </c>
      <c r="FH75" s="700">
        <v>120</v>
      </c>
      <c r="FI75" s="699">
        <v>1.5700000000000002E-2</v>
      </c>
      <c r="FJ75" s="699">
        <v>1.37E-2</v>
      </c>
      <c r="FK75" s="204">
        <f t="shared" si="11"/>
        <v>6.2222222222222236E-4</v>
      </c>
      <c r="FL75" s="204" t="e">
        <f>VLOOKUP(FF75,'SIMULADOR COM SALDO'!$BX$22:$CK$500,13,FALSE)</f>
        <v>#N/A</v>
      </c>
      <c r="FM75" s="243">
        <f t="shared" si="12"/>
        <v>1.5400000000000002E-2</v>
      </c>
    </row>
    <row r="76" spans="151:169" hidden="1" x14ac:dyDescent="0.25">
      <c r="FF76" s="698" t="s">
        <v>3018</v>
      </c>
      <c r="FG76" s="700">
        <v>2.4900000000000002E-2</v>
      </c>
      <c r="FH76" s="700">
        <v>120</v>
      </c>
      <c r="FI76" s="699">
        <v>1.6899999999999998E-2</v>
      </c>
      <c r="FJ76" s="699">
        <v>1.37E-2</v>
      </c>
      <c r="FK76" s="204">
        <f t="shared" ref="FK76:FK139" si="47">(FG76-FJ76)/18</f>
        <v>6.2222222222222236E-4</v>
      </c>
      <c r="FL76" s="204" t="e">
        <f>VLOOKUP(FF76,'SIMULADOR COM SALDO'!$BX$22:$CK$500,13,FALSE)</f>
        <v>#N/A</v>
      </c>
      <c r="FM76" s="243">
        <f t="shared" ref="FM76:FM139" si="48">FI76-0.03%</f>
        <v>1.6599999999999997E-2</v>
      </c>
    </row>
    <row r="77" spans="151:169" hidden="1" x14ac:dyDescent="0.25">
      <c r="FF77" s="698" t="s">
        <v>3019</v>
      </c>
      <c r="FG77" s="700">
        <v>2.4900000000000002E-2</v>
      </c>
      <c r="FH77" s="700">
        <v>120</v>
      </c>
      <c r="FI77" s="699">
        <v>1.6899999999999998E-2</v>
      </c>
      <c r="FJ77" s="699">
        <v>1.37E-2</v>
      </c>
      <c r="FK77" s="204">
        <f t="shared" si="47"/>
        <v>6.2222222222222236E-4</v>
      </c>
      <c r="FL77" s="204" t="e">
        <f>VLOOKUP(FF77,'SIMULADOR COM SALDO'!$BX$22:$CK$500,13,FALSE)</f>
        <v>#N/A</v>
      </c>
      <c r="FM77" s="243">
        <f t="shared" si="48"/>
        <v>1.6599999999999997E-2</v>
      </c>
    </row>
    <row r="78" spans="151:169" hidden="1" x14ac:dyDescent="0.25">
      <c r="FF78" s="698" t="s">
        <v>2393</v>
      </c>
      <c r="FG78" s="700">
        <v>2.5000000000000001E-2</v>
      </c>
      <c r="FH78" s="700">
        <v>120</v>
      </c>
      <c r="FI78" s="699">
        <v>1.9400000000000001E-2</v>
      </c>
      <c r="FJ78" s="699">
        <v>1.3899999999999999E-2</v>
      </c>
      <c r="FK78" s="204">
        <f t="shared" si="47"/>
        <v>6.1666666666666684E-4</v>
      </c>
      <c r="FL78" s="204" t="e">
        <f>VLOOKUP(FF78,'SIMULADOR COM SALDO'!$BX$22:$CK$500,13,FALSE)</f>
        <v>#N/A</v>
      </c>
      <c r="FM78" s="243">
        <f t="shared" si="48"/>
        <v>1.9099999999999999E-2</v>
      </c>
    </row>
    <row r="79" spans="151:169" hidden="1" x14ac:dyDescent="0.25">
      <c r="FF79" s="698" t="s">
        <v>3772</v>
      </c>
      <c r="FG79" s="700">
        <v>2.5000000000000001E-2</v>
      </c>
      <c r="FH79" s="700">
        <v>96</v>
      </c>
      <c r="FI79" s="699">
        <v>1.6899999999999998E-2</v>
      </c>
      <c r="FJ79" s="699">
        <v>1.49E-2</v>
      </c>
      <c r="FK79" s="204">
        <f t="shared" si="47"/>
        <v>5.6111111111111119E-4</v>
      </c>
      <c r="FL79" s="204" t="e">
        <f>VLOOKUP(FF79,'SIMULADOR COM SALDO'!$BX$22:$CK$500,13,FALSE)</f>
        <v>#N/A</v>
      </c>
      <c r="FM79" s="243">
        <f t="shared" si="48"/>
        <v>1.6599999999999997E-2</v>
      </c>
    </row>
    <row r="80" spans="151:169" hidden="1" x14ac:dyDescent="0.25">
      <c r="FF80" s="698" t="s">
        <v>3020</v>
      </c>
      <c r="FG80" s="700">
        <v>1.8500000000000003E-2</v>
      </c>
      <c r="FH80" s="700">
        <v>120</v>
      </c>
      <c r="FI80" s="699">
        <v>1.7100000000000001E-2</v>
      </c>
      <c r="FJ80" s="699">
        <v>1.3500000000000002E-2</v>
      </c>
      <c r="FK80" s="204">
        <f t="shared" si="47"/>
        <v>2.7777777777777783E-4</v>
      </c>
      <c r="FL80" s="204" t="e">
        <f>VLOOKUP(FF80,'SIMULADOR COM SALDO'!$BX$22:$CK$500,13,FALSE)</f>
        <v>#N/A</v>
      </c>
      <c r="FM80" s="243">
        <f t="shared" si="48"/>
        <v>1.6799999999999999E-2</v>
      </c>
    </row>
    <row r="81" spans="162:169" hidden="1" x14ac:dyDescent="0.25">
      <c r="FF81" s="698" t="s">
        <v>542</v>
      </c>
      <c r="FG81" s="700">
        <v>2.5000000000000001E-2</v>
      </c>
      <c r="FH81" s="700">
        <v>96</v>
      </c>
      <c r="FI81" s="699">
        <v>2.1000000000000001E-2</v>
      </c>
      <c r="FJ81" s="699">
        <v>1.5300000000000001E-2</v>
      </c>
      <c r="FK81" s="204">
        <f t="shared" si="47"/>
        <v>5.3888888888888888E-4</v>
      </c>
      <c r="FL81" s="204" t="e">
        <f>VLOOKUP(FF81,'SIMULADOR COM SALDO'!$BX$22:$CK$500,13,FALSE)</f>
        <v>#N/A</v>
      </c>
      <c r="FM81" s="243">
        <f t="shared" si="48"/>
        <v>2.07E-2</v>
      </c>
    </row>
    <row r="82" spans="162:169" hidden="1" x14ac:dyDescent="0.25">
      <c r="FF82" s="698" t="s">
        <v>3124</v>
      </c>
      <c r="FG82" s="700">
        <v>2.35E-2</v>
      </c>
      <c r="FH82" s="700">
        <v>120</v>
      </c>
      <c r="FI82" s="699">
        <v>0.02</v>
      </c>
      <c r="FJ82" s="699">
        <v>1.4999999999999999E-2</v>
      </c>
      <c r="FK82" s="204">
        <f t="shared" si="47"/>
        <v>4.7222222222222224E-4</v>
      </c>
      <c r="FL82" s="204" t="e">
        <f>VLOOKUP(FF82,'SIMULADOR COM SALDO'!$BX$22:$CK$500,13,FALSE)</f>
        <v>#N/A</v>
      </c>
      <c r="FM82" s="243">
        <f t="shared" si="48"/>
        <v>1.9699999999999999E-2</v>
      </c>
    </row>
    <row r="83" spans="162:169" hidden="1" x14ac:dyDescent="0.25">
      <c r="FF83" s="698" t="s">
        <v>3021</v>
      </c>
      <c r="FG83" s="700">
        <v>2.4E-2</v>
      </c>
      <c r="FH83" s="700">
        <v>96</v>
      </c>
      <c r="FI83" s="699">
        <v>1.8500000000000003E-2</v>
      </c>
      <c r="FJ83" s="699">
        <v>1.3500000000000002E-2</v>
      </c>
      <c r="FK83" s="204">
        <f t="shared" si="47"/>
        <v>5.8333333333333327E-4</v>
      </c>
      <c r="FL83" s="204" t="e">
        <f>VLOOKUP(FF83,'SIMULADOR COM SALDO'!$BX$22:$CK$500,13,FALSE)</f>
        <v>#N/A</v>
      </c>
      <c r="FM83" s="243">
        <f t="shared" si="48"/>
        <v>1.8200000000000001E-2</v>
      </c>
    </row>
    <row r="84" spans="162:169" hidden="1" x14ac:dyDescent="0.25">
      <c r="FF84" s="698" t="s">
        <v>236</v>
      </c>
      <c r="FG84" s="700">
        <v>2.5000000000000001E-2</v>
      </c>
      <c r="FH84" s="700">
        <v>120</v>
      </c>
      <c r="FI84" s="699">
        <v>2.23E-2</v>
      </c>
      <c r="FJ84" s="699">
        <v>1.6E-2</v>
      </c>
      <c r="FK84" s="204">
        <f t="shared" si="47"/>
        <v>5.0000000000000001E-4</v>
      </c>
      <c r="FL84" s="204" t="e">
        <f>VLOOKUP(FF84,'SIMULADOR COM SALDO'!$BX$22:$CK$500,13,FALSE)</f>
        <v>#N/A</v>
      </c>
      <c r="FM84" s="243">
        <f t="shared" si="48"/>
        <v>2.1999999999999999E-2</v>
      </c>
    </row>
    <row r="85" spans="162:169" hidden="1" x14ac:dyDescent="0.25">
      <c r="FF85" s="701" t="s">
        <v>77</v>
      </c>
      <c r="FG85" s="700">
        <v>2.5000000000000001E-2</v>
      </c>
      <c r="FH85" s="700">
        <v>120</v>
      </c>
      <c r="FI85" s="699">
        <v>2.1000000000000001E-2</v>
      </c>
      <c r="FJ85" s="699">
        <v>1.55E-2</v>
      </c>
      <c r="FK85" s="204">
        <f t="shared" si="47"/>
        <v>5.2777777777777784E-4</v>
      </c>
      <c r="FL85" s="204" t="e">
        <f>VLOOKUP(FF85,'SIMULADOR COM SALDO'!$BX$22:$CK$500,13,FALSE)</f>
        <v>#N/A</v>
      </c>
      <c r="FM85" s="243">
        <f t="shared" si="48"/>
        <v>2.07E-2</v>
      </c>
    </row>
    <row r="86" spans="162:169" hidden="1" x14ac:dyDescent="0.25">
      <c r="FF86" s="698" t="s">
        <v>3022</v>
      </c>
      <c r="FG86" s="700">
        <v>2.1600000000000001E-2</v>
      </c>
      <c r="FH86" s="700">
        <v>72</v>
      </c>
      <c r="FI86" s="699">
        <v>1.5900000000000001E-2</v>
      </c>
      <c r="FJ86" s="699">
        <v>1.3600000000000001E-2</v>
      </c>
      <c r="FK86" s="204">
        <f t="shared" si="47"/>
        <v>4.4444444444444447E-4</v>
      </c>
      <c r="FL86" s="204" t="e">
        <f>VLOOKUP(FF86,'SIMULADOR COM SALDO'!$BX$22:$CK$500,13,FALSE)</f>
        <v>#N/A</v>
      </c>
      <c r="FM86" s="243">
        <f t="shared" si="48"/>
        <v>1.5600000000000001E-2</v>
      </c>
    </row>
    <row r="87" spans="162:169" hidden="1" x14ac:dyDescent="0.25">
      <c r="FF87" s="698" t="s">
        <v>246</v>
      </c>
      <c r="FG87" s="700">
        <v>2.5000000000000001E-2</v>
      </c>
      <c r="FH87" s="700">
        <v>96</v>
      </c>
      <c r="FI87" s="699">
        <v>1.9E-2</v>
      </c>
      <c r="FJ87" s="699">
        <v>1.6E-2</v>
      </c>
      <c r="FK87" s="204">
        <f t="shared" si="47"/>
        <v>5.0000000000000001E-4</v>
      </c>
      <c r="FL87" s="204" t="e">
        <f>VLOOKUP(FF87,'SIMULADOR COM SALDO'!$BX$22:$CK$500,13,FALSE)</f>
        <v>#N/A</v>
      </c>
      <c r="FM87" s="243">
        <f t="shared" si="48"/>
        <v>1.8699999999999998E-2</v>
      </c>
    </row>
    <row r="88" spans="162:169" hidden="1" x14ac:dyDescent="0.25">
      <c r="FF88" s="698" t="s">
        <v>394</v>
      </c>
      <c r="FG88" s="700">
        <v>2.1000000000000001E-2</v>
      </c>
      <c r="FH88" s="700">
        <v>120</v>
      </c>
      <c r="FI88" s="699">
        <v>1.7000000000000001E-2</v>
      </c>
      <c r="FJ88" s="699">
        <v>1.3000000000000001E-2</v>
      </c>
      <c r="FK88" s="204">
        <f t="shared" si="47"/>
        <v>4.4444444444444447E-4</v>
      </c>
      <c r="FL88" s="204" t="e">
        <f>VLOOKUP(FF88,'SIMULADOR COM SALDO'!$BX$22:$CK$500,13,FALSE)</f>
        <v>#N/A</v>
      </c>
      <c r="FM88" s="243">
        <f t="shared" si="48"/>
        <v>1.67E-2</v>
      </c>
    </row>
    <row r="89" spans="162:169" hidden="1" x14ac:dyDescent="0.25">
      <c r="FF89" s="698" t="s">
        <v>1081</v>
      </c>
      <c r="FG89" s="700">
        <v>2.5000000000000001E-2</v>
      </c>
      <c r="FH89" s="700">
        <v>120</v>
      </c>
      <c r="FI89" s="699">
        <v>1.6799999999999999E-2</v>
      </c>
      <c r="FJ89" s="699">
        <v>1.4499999999999999E-2</v>
      </c>
      <c r="FK89" s="204">
        <f t="shared" si="47"/>
        <v>5.8333333333333349E-4</v>
      </c>
      <c r="FL89" s="204" t="e">
        <f>VLOOKUP(FF89,'SIMULADOR COM SALDO'!$BX$22:$CK$500,13,FALSE)</f>
        <v>#N/A</v>
      </c>
      <c r="FM89" s="243">
        <f t="shared" si="48"/>
        <v>1.6499999999999997E-2</v>
      </c>
    </row>
    <row r="90" spans="162:169" hidden="1" x14ac:dyDescent="0.25">
      <c r="FF90" s="698" t="s">
        <v>3023</v>
      </c>
      <c r="FG90" s="700">
        <v>2.5000000000000001E-2</v>
      </c>
      <c r="FH90" s="700">
        <v>120</v>
      </c>
      <c r="FI90" s="699">
        <v>1.7899999999999999E-2</v>
      </c>
      <c r="FJ90" s="699">
        <v>1.3899999999999999E-2</v>
      </c>
      <c r="FK90" s="204">
        <f t="shared" si="47"/>
        <v>6.1666666666666684E-4</v>
      </c>
      <c r="FL90" s="204" t="e">
        <f>VLOOKUP(FF90,'SIMULADOR COM SALDO'!$BX$22:$CK$500,13,FALSE)</f>
        <v>#N/A</v>
      </c>
      <c r="FM90" s="243">
        <f t="shared" si="48"/>
        <v>1.7599999999999998E-2</v>
      </c>
    </row>
    <row r="91" spans="162:169" hidden="1" x14ac:dyDescent="0.25">
      <c r="FF91" s="698" t="s">
        <v>3024</v>
      </c>
      <c r="FG91" s="700">
        <v>2.5000000000000001E-2</v>
      </c>
      <c r="FH91" s="700">
        <v>120</v>
      </c>
      <c r="FI91" s="699">
        <v>2.1499999999999998E-2</v>
      </c>
      <c r="FJ91" s="699">
        <v>1.4999999999999999E-2</v>
      </c>
      <c r="FK91" s="204">
        <f t="shared" si="47"/>
        <v>5.5555555555555566E-4</v>
      </c>
      <c r="FL91" s="204" t="e">
        <f>VLOOKUP(FF91,'SIMULADOR COM SALDO'!$BX$22:$CK$500,13,FALSE)</f>
        <v>#N/A</v>
      </c>
      <c r="FM91" s="243">
        <f t="shared" si="48"/>
        <v>2.1199999999999997E-2</v>
      </c>
    </row>
    <row r="92" spans="162:169" hidden="1" x14ac:dyDescent="0.25">
      <c r="FF92" s="701" t="s">
        <v>218</v>
      </c>
      <c r="FG92" s="700">
        <v>2.5000000000000001E-2</v>
      </c>
      <c r="FH92" s="700">
        <v>120</v>
      </c>
      <c r="FI92" s="699">
        <v>1.9E-2</v>
      </c>
      <c r="FJ92" s="699">
        <v>1.3999999999999999E-2</v>
      </c>
      <c r="FK92" s="204">
        <f t="shared" si="47"/>
        <v>6.1111111111111132E-4</v>
      </c>
      <c r="FL92" s="204" t="e">
        <f>VLOOKUP(FF92,'SIMULADOR COM SALDO'!$BX$22:$CK$500,13,FALSE)</f>
        <v>#N/A</v>
      </c>
      <c r="FM92" s="243">
        <f t="shared" si="48"/>
        <v>1.8699999999999998E-2</v>
      </c>
    </row>
    <row r="93" spans="162:169" hidden="1" x14ac:dyDescent="0.25">
      <c r="FF93" s="698" t="s">
        <v>3343</v>
      </c>
      <c r="FG93" s="700">
        <v>2.5000000000000001E-2</v>
      </c>
      <c r="FH93" s="700">
        <v>120</v>
      </c>
      <c r="FI93" s="699">
        <v>1.6799999999999999E-2</v>
      </c>
      <c r="FJ93" s="699">
        <v>1.4199999999999999E-2</v>
      </c>
      <c r="FK93" s="204">
        <f t="shared" si="47"/>
        <v>6.0000000000000016E-4</v>
      </c>
      <c r="FL93" s="204" t="e">
        <f>VLOOKUP(FF93,'SIMULADOR COM SALDO'!$BX$22:$CK$500,13,FALSE)</f>
        <v>#N/A</v>
      </c>
      <c r="FM93" s="243">
        <f t="shared" si="48"/>
        <v>1.6499999999999997E-2</v>
      </c>
    </row>
    <row r="94" spans="162:169" hidden="1" x14ac:dyDescent="0.25">
      <c r="FF94" s="698" t="s">
        <v>3025</v>
      </c>
      <c r="FG94" s="700">
        <v>2.5000000000000001E-2</v>
      </c>
      <c r="FH94" s="700">
        <v>96</v>
      </c>
      <c r="FI94" s="699">
        <v>0.02</v>
      </c>
      <c r="FJ94" s="699">
        <v>1.46E-2</v>
      </c>
      <c r="FK94" s="204">
        <f t="shared" si="47"/>
        <v>5.7777777777777786E-4</v>
      </c>
      <c r="FL94" s="204" t="e">
        <f>VLOOKUP(FF94,'SIMULADOR COM SALDO'!$BX$22:$CK$500,13,FALSE)</f>
        <v>#N/A</v>
      </c>
      <c r="FM94" s="243">
        <f t="shared" si="48"/>
        <v>1.9699999999999999E-2</v>
      </c>
    </row>
    <row r="95" spans="162:169" hidden="1" x14ac:dyDescent="0.25">
      <c r="FF95" s="698" t="s">
        <v>3026</v>
      </c>
      <c r="FG95" s="700">
        <v>2.5000000000000001E-2</v>
      </c>
      <c r="FH95" s="700">
        <v>120</v>
      </c>
      <c r="FI95" s="699">
        <v>1.6799999999999999E-2</v>
      </c>
      <c r="FJ95" s="699">
        <v>1.4499999999999999E-2</v>
      </c>
      <c r="FK95" s="204">
        <f t="shared" si="47"/>
        <v>5.8333333333333349E-4</v>
      </c>
      <c r="FL95" s="204" t="e">
        <f>VLOOKUP(FF95,'SIMULADOR COM SALDO'!$BX$22:$CK$500,13,FALSE)</f>
        <v>#N/A</v>
      </c>
      <c r="FM95" s="243">
        <f t="shared" si="48"/>
        <v>1.6499999999999997E-2</v>
      </c>
    </row>
    <row r="96" spans="162:169" hidden="1" x14ac:dyDescent="0.25">
      <c r="FF96" s="698" t="s">
        <v>3027</v>
      </c>
      <c r="FG96" s="700">
        <v>2.5000000000000001E-2</v>
      </c>
      <c r="FH96" s="700">
        <v>120</v>
      </c>
      <c r="FI96" s="699">
        <v>2.1099999999999997E-2</v>
      </c>
      <c r="FJ96" s="699">
        <v>1.7000000000000001E-2</v>
      </c>
      <c r="FK96" s="204">
        <f t="shared" si="47"/>
        <v>4.4444444444444447E-4</v>
      </c>
      <c r="FL96" s="204" t="e">
        <f>VLOOKUP(FF96,'SIMULADOR COM SALDO'!$BX$22:$CK$500,13,FALSE)</f>
        <v>#N/A</v>
      </c>
      <c r="FM96" s="243">
        <f t="shared" si="48"/>
        <v>2.0799999999999996E-2</v>
      </c>
    </row>
    <row r="97" spans="162:169" hidden="1" x14ac:dyDescent="0.25">
      <c r="FF97" s="701" t="s">
        <v>211</v>
      </c>
      <c r="FG97" s="700">
        <v>2.5000000000000001E-2</v>
      </c>
      <c r="FH97" s="700">
        <v>120</v>
      </c>
      <c r="FI97" s="699">
        <v>1.7600000000000001E-2</v>
      </c>
      <c r="FJ97" s="699">
        <v>1.43E-2</v>
      </c>
      <c r="FK97" s="204">
        <f t="shared" si="47"/>
        <v>5.9444444444444453E-4</v>
      </c>
      <c r="FL97" s="204" t="e">
        <f>VLOOKUP(FF97,'SIMULADOR COM SALDO'!$BX$22:$CK$500,13,FALSE)</f>
        <v>#N/A</v>
      </c>
      <c r="FM97" s="243">
        <f t="shared" si="48"/>
        <v>1.7299999999999999E-2</v>
      </c>
    </row>
    <row r="98" spans="162:169" hidden="1" x14ac:dyDescent="0.25">
      <c r="FF98" s="698" t="s">
        <v>360</v>
      </c>
      <c r="FG98" s="700">
        <v>2.5000000000000001E-2</v>
      </c>
      <c r="FH98" s="700">
        <v>120</v>
      </c>
      <c r="FI98" s="699">
        <v>1.7600000000000001E-2</v>
      </c>
      <c r="FJ98" s="699">
        <v>1.43E-2</v>
      </c>
      <c r="FK98" s="204">
        <f t="shared" si="47"/>
        <v>5.9444444444444453E-4</v>
      </c>
      <c r="FL98" s="204" t="e">
        <f>VLOOKUP(FF98,'SIMULADOR COM SALDO'!$BX$22:$CK$500,13,FALSE)</f>
        <v>#N/A</v>
      </c>
      <c r="FM98" s="243">
        <f t="shared" si="48"/>
        <v>1.7299999999999999E-2</v>
      </c>
    </row>
    <row r="99" spans="162:169" hidden="1" x14ac:dyDescent="0.25">
      <c r="FF99" s="698" t="s">
        <v>381</v>
      </c>
      <c r="FG99" s="700">
        <v>2.5000000000000001E-2</v>
      </c>
      <c r="FH99" s="700">
        <v>120</v>
      </c>
      <c r="FI99" s="699">
        <v>1.7500000000000002E-2</v>
      </c>
      <c r="FJ99" s="699">
        <v>1.5900000000000001E-2</v>
      </c>
      <c r="FK99" s="204">
        <f t="shared" si="47"/>
        <v>5.0555555555555553E-4</v>
      </c>
      <c r="FL99" s="204" t="e">
        <f>VLOOKUP(FF99,'SIMULADOR COM SALDO'!$BX$22:$CK$500,13,FALSE)</f>
        <v>#N/A</v>
      </c>
      <c r="FM99" s="243">
        <f t="shared" si="48"/>
        <v>1.72E-2</v>
      </c>
    </row>
    <row r="100" spans="162:169" hidden="1" x14ac:dyDescent="0.25">
      <c r="FF100" s="698" t="s">
        <v>220</v>
      </c>
      <c r="FG100" s="700">
        <v>2.5000000000000001E-2</v>
      </c>
      <c r="FH100" s="700">
        <v>120</v>
      </c>
      <c r="FI100" s="699">
        <v>2.1000000000000001E-2</v>
      </c>
      <c r="FJ100" s="699">
        <v>1.6500000000000001E-2</v>
      </c>
      <c r="FK100" s="204">
        <f t="shared" si="47"/>
        <v>4.7222222222222224E-4</v>
      </c>
      <c r="FL100" s="204" t="e">
        <f>VLOOKUP(FF100,'SIMULADOR COM SALDO'!$BX$22:$CK$500,13,FALSE)</f>
        <v>#N/A</v>
      </c>
      <c r="FM100" s="243">
        <f t="shared" si="48"/>
        <v>2.07E-2</v>
      </c>
    </row>
    <row r="101" spans="162:169" hidden="1" x14ac:dyDescent="0.25">
      <c r="FF101" s="698" t="s">
        <v>390</v>
      </c>
      <c r="FG101" s="700">
        <v>2.5000000000000001E-2</v>
      </c>
      <c r="FH101" s="700">
        <v>120</v>
      </c>
      <c r="FI101" s="699">
        <v>1.9099999999999999E-2</v>
      </c>
      <c r="FJ101" s="699">
        <v>1.67E-2</v>
      </c>
      <c r="FK101" s="204">
        <f t="shared" si="47"/>
        <v>4.6111111111111119E-4</v>
      </c>
      <c r="FL101" s="204" t="e">
        <f>VLOOKUP(FF101,'SIMULADOR COM SALDO'!$BX$22:$CK$500,13,FALSE)</f>
        <v>#N/A</v>
      </c>
      <c r="FM101" s="243">
        <f t="shared" si="48"/>
        <v>1.8799999999999997E-2</v>
      </c>
    </row>
    <row r="102" spans="162:169" hidden="1" x14ac:dyDescent="0.25">
      <c r="FF102" s="698" t="s">
        <v>3028</v>
      </c>
      <c r="FG102" s="700">
        <v>2.5000000000000001E-2</v>
      </c>
      <c r="FH102" s="700">
        <v>96</v>
      </c>
      <c r="FI102" s="699">
        <v>2.2000000000000002E-2</v>
      </c>
      <c r="FJ102" s="699">
        <v>1.4999999999999999E-2</v>
      </c>
      <c r="FK102" s="204">
        <f t="shared" si="47"/>
        <v>5.5555555555555566E-4</v>
      </c>
      <c r="FL102" s="204" t="e">
        <f>VLOOKUP(FF102,'SIMULADOR COM SALDO'!$BX$22:$CK$500,13,FALSE)</f>
        <v>#N/A</v>
      </c>
      <c r="FM102" s="243">
        <f t="shared" si="48"/>
        <v>2.1700000000000001E-2</v>
      </c>
    </row>
    <row r="103" spans="162:169" hidden="1" x14ac:dyDescent="0.25">
      <c r="FF103" s="701" t="s">
        <v>78</v>
      </c>
      <c r="FG103" s="700">
        <v>2.5000000000000001E-2</v>
      </c>
      <c r="FH103" s="700">
        <v>120</v>
      </c>
      <c r="FI103" s="699">
        <v>1.77E-2</v>
      </c>
      <c r="FJ103" s="699">
        <v>1.4800000000000001E-2</v>
      </c>
      <c r="FK103" s="204">
        <f t="shared" si="47"/>
        <v>5.6666666666666671E-4</v>
      </c>
      <c r="FL103" s="204" t="e">
        <f>VLOOKUP(FF103,'SIMULADOR COM SALDO'!$BX$22:$CK$500,13,FALSE)</f>
        <v>#N/A</v>
      </c>
      <c r="FM103" s="243">
        <f t="shared" si="48"/>
        <v>1.7399999999999999E-2</v>
      </c>
    </row>
    <row r="104" spans="162:169" hidden="1" x14ac:dyDescent="0.25">
      <c r="FF104" s="698" t="s">
        <v>367</v>
      </c>
      <c r="FG104" s="700">
        <v>2.23E-2</v>
      </c>
      <c r="FH104" s="700">
        <v>120</v>
      </c>
      <c r="FI104" s="699">
        <v>2.23E-2</v>
      </c>
      <c r="FJ104" s="699">
        <v>1.9799999999999998E-2</v>
      </c>
      <c r="FK104" s="204">
        <f t="shared" si="47"/>
        <v>1.3888888888888902E-4</v>
      </c>
      <c r="FL104" s="204" t="e">
        <f>VLOOKUP(FF104,'SIMULADOR COM SALDO'!$BX$22:$CK$500,13,FALSE)</f>
        <v>#N/A</v>
      </c>
      <c r="FM104" s="243">
        <f t="shared" si="48"/>
        <v>2.1999999999999999E-2</v>
      </c>
    </row>
    <row r="105" spans="162:169" hidden="1" x14ac:dyDescent="0.25">
      <c r="FF105" s="698" t="s">
        <v>3750</v>
      </c>
      <c r="FG105" s="700">
        <v>2.5000000000000001E-2</v>
      </c>
      <c r="FH105" s="700">
        <v>120</v>
      </c>
      <c r="FI105" s="699">
        <v>1.8100000000000002E-2</v>
      </c>
      <c r="FJ105" s="699">
        <v>1.5600000000000001E-2</v>
      </c>
      <c r="FK105" s="204">
        <f t="shared" si="47"/>
        <v>5.2222222222222221E-4</v>
      </c>
      <c r="FL105" s="204" t="e">
        <f>VLOOKUP(FF105,'SIMULADOR COM SALDO'!$BX$22:$CK$500,13,FALSE)</f>
        <v>#N/A</v>
      </c>
      <c r="FM105" s="243">
        <f t="shared" si="48"/>
        <v>1.78E-2</v>
      </c>
    </row>
    <row r="106" spans="162:169" hidden="1" x14ac:dyDescent="0.25">
      <c r="FF106" s="698" t="s">
        <v>387</v>
      </c>
      <c r="FG106" s="700">
        <v>2.5000000000000001E-2</v>
      </c>
      <c r="FH106" s="700">
        <v>120</v>
      </c>
      <c r="FI106" s="699">
        <v>1.7500000000000002E-2</v>
      </c>
      <c r="FJ106" s="699">
        <v>1.55E-2</v>
      </c>
      <c r="FK106" s="204">
        <f t="shared" si="47"/>
        <v>5.2777777777777784E-4</v>
      </c>
      <c r="FL106" s="204" t="e">
        <f>VLOOKUP(FF106,'SIMULADOR COM SALDO'!$BX$22:$CK$500,13,FALSE)</f>
        <v>#N/A</v>
      </c>
      <c r="FM106" s="243">
        <f t="shared" si="48"/>
        <v>1.72E-2</v>
      </c>
    </row>
    <row r="107" spans="162:169" hidden="1" x14ac:dyDescent="0.25">
      <c r="FF107" s="698" t="s">
        <v>253</v>
      </c>
      <c r="FG107" s="700">
        <v>2.5000000000000001E-2</v>
      </c>
      <c r="FH107" s="700">
        <v>120</v>
      </c>
      <c r="FI107" s="699">
        <v>1.9900000000000001E-2</v>
      </c>
      <c r="FJ107" s="699">
        <v>1.55E-2</v>
      </c>
      <c r="FK107" s="204">
        <f t="shared" si="47"/>
        <v>5.2777777777777784E-4</v>
      </c>
      <c r="FL107" s="204" t="e">
        <f>VLOOKUP(FF107,'SIMULADOR COM SALDO'!$BX$22:$CK$500,13,FALSE)</f>
        <v>#N/A</v>
      </c>
      <c r="FM107" s="243">
        <f t="shared" si="48"/>
        <v>1.9599999999999999E-2</v>
      </c>
    </row>
    <row r="108" spans="162:169" hidden="1" x14ac:dyDescent="0.25">
      <c r="FF108" s="698" t="s">
        <v>400</v>
      </c>
      <c r="FG108" s="700">
        <v>2.5000000000000001E-2</v>
      </c>
      <c r="FH108" s="700">
        <v>120</v>
      </c>
      <c r="FI108" s="699">
        <v>2.1299999999999999E-2</v>
      </c>
      <c r="FJ108" s="699">
        <v>1.4999999999999999E-2</v>
      </c>
      <c r="FK108" s="204">
        <f t="shared" si="47"/>
        <v>5.5555555555555566E-4</v>
      </c>
      <c r="FL108" s="204" t="e">
        <f>VLOOKUP(FF108,'SIMULADOR COM SALDO'!$BX$22:$CK$500,13,FALSE)</f>
        <v>#N/A</v>
      </c>
      <c r="FM108" s="243">
        <f t="shared" si="48"/>
        <v>2.0999999999999998E-2</v>
      </c>
    </row>
    <row r="109" spans="162:169" hidden="1" x14ac:dyDescent="0.25">
      <c r="FF109" s="701" t="s">
        <v>803</v>
      </c>
      <c r="FG109" s="700">
        <v>2.5000000000000001E-2</v>
      </c>
      <c r="FH109" s="700">
        <v>120</v>
      </c>
      <c r="FI109" s="699">
        <v>1.9699999999999999E-2</v>
      </c>
      <c r="FJ109" s="699">
        <v>1.52E-2</v>
      </c>
      <c r="FK109" s="204">
        <f t="shared" si="47"/>
        <v>5.4444444444444451E-4</v>
      </c>
      <c r="FL109" s="204" t="e">
        <f>VLOOKUP(FF109,'SIMULADOR COM SALDO'!$BX$22:$CK$500,13,FALSE)</f>
        <v>#N/A</v>
      </c>
      <c r="FM109" s="243">
        <f t="shared" si="48"/>
        <v>1.9399999999999997E-2</v>
      </c>
    </row>
    <row r="110" spans="162:169" x14ac:dyDescent="0.25">
      <c r="FF110" s="698" t="s">
        <v>3029</v>
      </c>
      <c r="FG110" s="700">
        <v>2.5000000000000001E-2</v>
      </c>
      <c r="FH110" s="700">
        <v>120</v>
      </c>
      <c r="FI110" s="699">
        <v>1.8500000000000003E-2</v>
      </c>
      <c r="FJ110" s="699">
        <v>1.6500000000000001E-2</v>
      </c>
      <c r="FK110" s="204">
        <f t="shared" si="47"/>
        <v>4.7222222222222224E-4</v>
      </c>
      <c r="FL110" s="204" t="e">
        <f>VLOOKUP(FF110,'SIMULADOR COM SALDO'!$BX$22:$CK$500,13,FALSE)</f>
        <v>#N/A</v>
      </c>
      <c r="FM110" s="243">
        <f t="shared" si="48"/>
        <v>1.8200000000000001E-2</v>
      </c>
    </row>
    <row r="111" spans="162:169" x14ac:dyDescent="0.25">
      <c r="FF111" s="698" t="s">
        <v>3030</v>
      </c>
      <c r="FG111" s="700">
        <v>2.5000000000000001E-2</v>
      </c>
      <c r="FH111" s="700">
        <v>120</v>
      </c>
      <c r="FI111" s="699">
        <v>1.9900000000000001E-2</v>
      </c>
      <c r="FJ111" s="699">
        <v>1.3899999999999999E-2</v>
      </c>
      <c r="FK111" s="204">
        <f t="shared" si="47"/>
        <v>6.1666666666666684E-4</v>
      </c>
      <c r="FL111" s="204" t="e">
        <f>VLOOKUP(FF111,'SIMULADOR COM SALDO'!$BX$22:$CK$500,13,FALSE)</f>
        <v>#N/A</v>
      </c>
      <c r="FM111" s="243">
        <f t="shared" si="48"/>
        <v>1.9599999999999999E-2</v>
      </c>
    </row>
    <row r="112" spans="162:169" x14ac:dyDescent="0.25">
      <c r="FF112" s="698" t="s">
        <v>368</v>
      </c>
      <c r="FG112" s="700">
        <v>2.2499999999999999E-2</v>
      </c>
      <c r="FH112" s="700">
        <v>120</v>
      </c>
      <c r="FI112" s="699">
        <v>1.9699999999999999E-2</v>
      </c>
      <c r="FJ112" s="699">
        <v>1.4999999999999999E-2</v>
      </c>
      <c r="FK112" s="204">
        <f t="shared" si="47"/>
        <v>4.1666666666666664E-4</v>
      </c>
      <c r="FL112" s="204" t="e">
        <f>VLOOKUP(FF112,'SIMULADOR COM SALDO'!$BX$22:$CK$500,13,FALSE)</f>
        <v>#N/A</v>
      </c>
      <c r="FM112" s="243">
        <f t="shared" si="48"/>
        <v>1.9399999999999997E-2</v>
      </c>
    </row>
    <row r="113" spans="162:169" x14ac:dyDescent="0.25">
      <c r="FF113" s="698" t="s">
        <v>3033</v>
      </c>
      <c r="FG113" s="700">
        <v>2.5000000000000001E-2</v>
      </c>
      <c r="FH113" s="700">
        <v>120</v>
      </c>
      <c r="FI113" s="699">
        <v>1.61E-2</v>
      </c>
      <c r="FJ113" s="699">
        <v>1.43E-2</v>
      </c>
      <c r="FK113" s="204">
        <f t="shared" si="47"/>
        <v>5.9444444444444453E-4</v>
      </c>
      <c r="FL113" s="204" t="e">
        <f>VLOOKUP(FF113,'SIMULADOR COM SALDO'!$BX$22:$CK$500,13,FALSE)</f>
        <v>#N/A</v>
      </c>
      <c r="FM113" s="243">
        <f t="shared" si="48"/>
        <v>1.5799999999999998E-2</v>
      </c>
    </row>
    <row r="114" spans="162:169" x14ac:dyDescent="0.25">
      <c r="FF114" s="698" t="s">
        <v>563</v>
      </c>
      <c r="FG114" s="700">
        <v>2.5000000000000001E-2</v>
      </c>
      <c r="FH114" s="700">
        <v>96</v>
      </c>
      <c r="FI114" s="699">
        <v>2.2099999999999998E-2</v>
      </c>
      <c r="FJ114" s="699">
        <v>1.5900000000000001E-2</v>
      </c>
      <c r="FK114" s="204">
        <f t="shared" si="47"/>
        <v>5.0555555555555553E-4</v>
      </c>
      <c r="FL114" s="204" t="e">
        <f>VLOOKUP(FF114,'SIMULADOR COM SALDO'!$BX$22:$CK$500,13,FALSE)</f>
        <v>#N/A</v>
      </c>
      <c r="FM114" s="243">
        <f t="shared" si="48"/>
        <v>2.1799999999999996E-2</v>
      </c>
    </row>
    <row r="115" spans="162:169" x14ac:dyDescent="0.25">
      <c r="FF115" s="698" t="s">
        <v>416</v>
      </c>
      <c r="FG115" s="700">
        <v>2.5000000000000001E-2</v>
      </c>
      <c r="FH115" s="700">
        <v>120</v>
      </c>
      <c r="FI115" s="699">
        <v>1.7000000000000001E-2</v>
      </c>
      <c r="FJ115" s="699">
        <v>1.4800000000000001E-2</v>
      </c>
      <c r="FK115" s="204">
        <f t="shared" si="47"/>
        <v>5.6666666666666671E-4</v>
      </c>
      <c r="FL115" s="204" t="e">
        <f>VLOOKUP(FF115,'SIMULADOR COM SALDO'!$BX$22:$CK$500,13,FALSE)</f>
        <v>#N/A</v>
      </c>
      <c r="FM115" s="243">
        <f t="shared" si="48"/>
        <v>1.67E-2</v>
      </c>
    </row>
    <row r="116" spans="162:169" x14ac:dyDescent="0.25">
      <c r="FF116" s="701" t="s">
        <v>79</v>
      </c>
      <c r="FG116" s="700">
        <v>2.5000000000000001E-2</v>
      </c>
      <c r="FH116" s="700">
        <v>120</v>
      </c>
      <c r="FI116" s="699">
        <v>2.0499999999999997E-2</v>
      </c>
      <c r="FJ116" s="699">
        <v>1.67E-2</v>
      </c>
      <c r="FK116" s="204">
        <f t="shared" si="47"/>
        <v>4.6111111111111119E-4</v>
      </c>
      <c r="FL116" s="204" t="e">
        <f>VLOOKUP(FF116,'SIMULADOR COM SALDO'!$BX$22:$CK$500,13,FALSE)</f>
        <v>#N/A</v>
      </c>
      <c r="FM116" s="243">
        <f t="shared" si="48"/>
        <v>2.0199999999999996E-2</v>
      </c>
    </row>
    <row r="117" spans="162:169" x14ac:dyDescent="0.25">
      <c r="FF117" s="698" t="s">
        <v>812</v>
      </c>
      <c r="FG117" s="700">
        <v>2.5000000000000001E-2</v>
      </c>
      <c r="FH117" s="700">
        <v>96</v>
      </c>
      <c r="FI117" s="699">
        <v>2.06E-2</v>
      </c>
      <c r="FJ117" s="699">
        <v>1.37E-2</v>
      </c>
      <c r="FK117" s="204">
        <f t="shared" si="47"/>
        <v>6.2777777777777788E-4</v>
      </c>
      <c r="FL117" s="204" t="e">
        <f>VLOOKUP(FF117,'SIMULADOR COM SALDO'!$BX$22:$CK$500,13,FALSE)</f>
        <v>#N/A</v>
      </c>
      <c r="FM117" s="243">
        <f t="shared" si="48"/>
        <v>2.0299999999999999E-2</v>
      </c>
    </row>
    <row r="118" spans="162:169" x14ac:dyDescent="0.25">
      <c r="FF118" s="698" t="s">
        <v>3034</v>
      </c>
      <c r="FG118" s="700">
        <v>2.5000000000000001E-2</v>
      </c>
      <c r="FH118" s="700">
        <v>96</v>
      </c>
      <c r="FI118" s="699">
        <v>2.1299999999999999E-2</v>
      </c>
      <c r="FJ118" s="699">
        <v>1.55E-2</v>
      </c>
      <c r="FK118" s="204">
        <f t="shared" si="47"/>
        <v>5.2777777777777784E-4</v>
      </c>
      <c r="FL118" s="204" t="e">
        <f>VLOOKUP(FF118,'SIMULADOR COM SALDO'!$BX$22:$CK$500,13,FALSE)</f>
        <v>#N/A</v>
      </c>
      <c r="FM118" s="243">
        <f t="shared" si="48"/>
        <v>2.0999999999999998E-2</v>
      </c>
    </row>
    <row r="119" spans="162:169" x14ac:dyDescent="0.25">
      <c r="FF119" s="698" t="s">
        <v>258</v>
      </c>
      <c r="FG119" s="700">
        <v>2.5000000000000001E-2</v>
      </c>
      <c r="FH119" s="700">
        <v>120</v>
      </c>
      <c r="FI119" s="699">
        <v>1.7000000000000001E-2</v>
      </c>
      <c r="FJ119" s="699">
        <v>1.38E-2</v>
      </c>
      <c r="FK119" s="204">
        <f t="shared" si="47"/>
        <v>6.2222222222222236E-4</v>
      </c>
      <c r="FL119" s="204" t="e">
        <f>VLOOKUP(FF119,'SIMULADOR COM SALDO'!$BX$22:$CK$500,13,FALSE)</f>
        <v>#N/A</v>
      </c>
      <c r="FM119" s="243">
        <f t="shared" si="48"/>
        <v>1.67E-2</v>
      </c>
    </row>
    <row r="120" spans="162:169" x14ac:dyDescent="0.25">
      <c r="FF120" s="701" t="s">
        <v>102</v>
      </c>
      <c r="FG120" s="700">
        <v>2.5000000000000001E-2</v>
      </c>
      <c r="FH120" s="700">
        <v>120</v>
      </c>
      <c r="FI120" s="699">
        <v>1.8200000000000001E-2</v>
      </c>
      <c r="FJ120" s="699">
        <v>1.4499999999999999E-2</v>
      </c>
      <c r="FK120" s="204">
        <f t="shared" si="47"/>
        <v>5.8333333333333349E-4</v>
      </c>
      <c r="FL120" s="204" t="e">
        <f>VLOOKUP(FF120,'SIMULADOR COM SALDO'!$BX$22:$CK$500,13,FALSE)</f>
        <v>#N/A</v>
      </c>
      <c r="FM120" s="243">
        <f t="shared" si="48"/>
        <v>1.7899999999999999E-2</v>
      </c>
    </row>
    <row r="121" spans="162:169" x14ac:dyDescent="0.25">
      <c r="FF121" s="698" t="s">
        <v>328</v>
      </c>
      <c r="FG121" s="700">
        <v>2.5000000000000001E-2</v>
      </c>
      <c r="FH121" s="700">
        <v>120</v>
      </c>
      <c r="FI121" s="699">
        <v>2.0899999999999998E-2</v>
      </c>
      <c r="FJ121" s="699">
        <v>1.4499999999999999E-2</v>
      </c>
      <c r="FK121" s="204">
        <f t="shared" si="47"/>
        <v>5.8333333333333349E-4</v>
      </c>
      <c r="FL121" s="204" t="e">
        <f>VLOOKUP(FF121,'SIMULADOR COM SALDO'!$BX$22:$CK$500,13,FALSE)</f>
        <v>#N/A</v>
      </c>
      <c r="FM121" s="243">
        <f t="shared" si="48"/>
        <v>2.0599999999999997E-2</v>
      </c>
    </row>
    <row r="122" spans="162:169" x14ac:dyDescent="0.25">
      <c r="FF122" s="698" t="s">
        <v>332</v>
      </c>
      <c r="FG122" s="700">
        <v>2.3900000000000001E-2</v>
      </c>
      <c r="FH122" s="700">
        <v>120</v>
      </c>
      <c r="FI122" s="699">
        <v>2.0899999999999998E-2</v>
      </c>
      <c r="FJ122" s="699">
        <v>1.6E-2</v>
      </c>
      <c r="FK122" s="204">
        <f t="shared" si="47"/>
        <v>4.3888888888888894E-4</v>
      </c>
      <c r="FL122" s="204" t="e">
        <f>VLOOKUP(FF122,'SIMULADOR COM SALDO'!$BX$22:$CK$500,13,FALSE)</f>
        <v>#N/A</v>
      </c>
      <c r="FM122" s="243">
        <f t="shared" si="48"/>
        <v>2.0599999999999997E-2</v>
      </c>
    </row>
    <row r="123" spans="162:169" x14ac:dyDescent="0.25">
      <c r="FF123" s="698" t="s">
        <v>1063</v>
      </c>
      <c r="FG123" s="700">
        <v>2.0499999999999997E-2</v>
      </c>
      <c r="FH123" s="700">
        <v>120</v>
      </c>
      <c r="FI123" s="699">
        <v>1.95E-2</v>
      </c>
      <c r="FJ123" s="699">
        <v>1.3500000000000002E-2</v>
      </c>
      <c r="FK123" s="204">
        <f t="shared" si="47"/>
        <v>3.8888888888888865E-4</v>
      </c>
      <c r="FL123" s="204" t="e">
        <f>VLOOKUP(FF123,'SIMULADOR COM SALDO'!$BX$22:$CK$500,13,FALSE)</f>
        <v>#N/A</v>
      </c>
      <c r="FM123" s="243">
        <f t="shared" si="48"/>
        <v>1.9199999999999998E-2</v>
      </c>
    </row>
    <row r="124" spans="162:169" x14ac:dyDescent="0.25">
      <c r="FF124" s="698" t="s">
        <v>1067</v>
      </c>
      <c r="FG124" s="700">
        <v>2.0499999999999997E-2</v>
      </c>
      <c r="FH124" s="700">
        <v>120</v>
      </c>
      <c r="FI124" s="699">
        <v>1.95E-2</v>
      </c>
      <c r="FJ124" s="699">
        <v>1.3500000000000002E-2</v>
      </c>
      <c r="FK124" s="204">
        <f t="shared" si="47"/>
        <v>3.8888888888888865E-4</v>
      </c>
      <c r="FL124" s="204" t="e">
        <f>VLOOKUP(FF124,'SIMULADOR COM SALDO'!$BX$22:$CK$500,13,FALSE)</f>
        <v>#N/A</v>
      </c>
      <c r="FM124" s="243">
        <f t="shared" si="48"/>
        <v>1.9199999999999998E-2</v>
      </c>
    </row>
    <row r="125" spans="162:169" x14ac:dyDescent="0.25">
      <c r="FF125" s="698" t="s">
        <v>630</v>
      </c>
      <c r="FG125" s="700">
        <v>2.5000000000000001E-2</v>
      </c>
      <c r="FH125" s="700">
        <v>96</v>
      </c>
      <c r="FI125" s="699">
        <v>2.1499999999999998E-2</v>
      </c>
      <c r="FJ125" s="699">
        <v>1.49E-2</v>
      </c>
      <c r="FK125" s="204">
        <f t="shared" si="47"/>
        <v>5.6111111111111119E-4</v>
      </c>
      <c r="FL125" s="204" t="e">
        <f>VLOOKUP(FF125,'SIMULADOR COM SALDO'!$BX$22:$CK$500,13,FALSE)</f>
        <v>#N/A</v>
      </c>
      <c r="FM125" s="243">
        <f t="shared" si="48"/>
        <v>2.1199999999999997E-2</v>
      </c>
    </row>
    <row r="126" spans="162:169" x14ac:dyDescent="0.25">
      <c r="FF126" s="698" t="s">
        <v>3035</v>
      </c>
      <c r="FG126" s="700">
        <v>2.5000000000000001E-2</v>
      </c>
      <c r="FH126" s="700">
        <v>120</v>
      </c>
      <c r="FI126" s="699">
        <v>2.0299999999999999E-2</v>
      </c>
      <c r="FJ126" s="699">
        <v>1.55E-2</v>
      </c>
      <c r="FK126" s="204">
        <f t="shared" si="47"/>
        <v>5.2777777777777784E-4</v>
      </c>
      <c r="FL126" s="204" t="e">
        <f>VLOOKUP(FF126,'SIMULADOR COM SALDO'!$BX$22:$CK$500,13,FALSE)</f>
        <v>#N/A</v>
      </c>
      <c r="FM126" s="243">
        <f t="shared" si="48"/>
        <v>1.9999999999999997E-2</v>
      </c>
    </row>
    <row r="127" spans="162:169" x14ac:dyDescent="0.25">
      <c r="FF127" s="698" t="s">
        <v>334</v>
      </c>
      <c r="FG127" s="700">
        <v>2.5000000000000001E-2</v>
      </c>
      <c r="FH127" s="700">
        <v>96</v>
      </c>
      <c r="FI127" s="699">
        <v>2.1899999999999999E-2</v>
      </c>
      <c r="FJ127" s="699">
        <v>1.5900000000000001E-2</v>
      </c>
      <c r="FK127" s="204">
        <f t="shared" si="47"/>
        <v>5.0555555555555553E-4</v>
      </c>
      <c r="FL127" s="204" t="e">
        <f>VLOOKUP(FF127,'SIMULADOR COM SALDO'!$BX$22:$CK$500,13,FALSE)</f>
        <v>#N/A</v>
      </c>
      <c r="FM127" s="243">
        <f t="shared" si="48"/>
        <v>2.1599999999999998E-2</v>
      </c>
    </row>
    <row r="128" spans="162:169" x14ac:dyDescent="0.25">
      <c r="FF128" s="701" t="s">
        <v>634</v>
      </c>
      <c r="FG128" s="700">
        <v>2.5000000000000001E-2</v>
      </c>
      <c r="FH128" s="700">
        <v>120</v>
      </c>
      <c r="FI128" s="699">
        <v>2.2499999999999999E-2</v>
      </c>
      <c r="FJ128" s="699">
        <v>1.6E-2</v>
      </c>
      <c r="FK128" s="204">
        <f t="shared" si="47"/>
        <v>5.0000000000000001E-4</v>
      </c>
      <c r="FL128" s="204" t="e">
        <f>VLOOKUP(FF128,'SIMULADOR COM SALDO'!$BX$22:$CK$500,13,FALSE)</f>
        <v>#N/A</v>
      </c>
      <c r="FM128" s="243">
        <f t="shared" si="48"/>
        <v>2.2199999999999998E-2</v>
      </c>
    </row>
    <row r="129" spans="162:169" x14ac:dyDescent="0.25">
      <c r="FF129" s="698" t="s">
        <v>964</v>
      </c>
      <c r="FG129" s="700">
        <v>2.5000000000000001E-2</v>
      </c>
      <c r="FH129" s="700">
        <v>120</v>
      </c>
      <c r="FI129" s="699">
        <v>1.89E-2</v>
      </c>
      <c r="FJ129" s="699">
        <v>1.43E-2</v>
      </c>
      <c r="FK129" s="204">
        <f t="shared" si="47"/>
        <v>5.9444444444444453E-4</v>
      </c>
      <c r="FL129" s="204" t="e">
        <f>VLOOKUP(FF129,'SIMULADOR COM SALDO'!$BX$22:$CK$500,13,FALSE)</f>
        <v>#N/A</v>
      </c>
      <c r="FM129" s="243">
        <f t="shared" si="48"/>
        <v>1.8599999999999998E-2</v>
      </c>
    </row>
    <row r="130" spans="162:169" x14ac:dyDescent="0.25">
      <c r="FF130" s="698" t="s">
        <v>548</v>
      </c>
      <c r="FG130" s="700">
        <v>2.5000000000000001E-2</v>
      </c>
      <c r="FH130" s="700">
        <v>120</v>
      </c>
      <c r="FI130" s="699">
        <v>1.9400000000000001E-2</v>
      </c>
      <c r="FJ130" s="699">
        <v>1.3600000000000001E-2</v>
      </c>
      <c r="FK130" s="204">
        <f t="shared" si="47"/>
        <v>6.333333333333334E-4</v>
      </c>
      <c r="FL130" s="204" t="e">
        <f>VLOOKUP(FF130,'SIMULADOR COM SALDO'!$BX$22:$CK$500,13,FALSE)</f>
        <v>#N/A</v>
      </c>
      <c r="FM130" s="243">
        <f t="shared" si="48"/>
        <v>1.9099999999999999E-2</v>
      </c>
    </row>
    <row r="131" spans="162:169" x14ac:dyDescent="0.25">
      <c r="FF131" s="698" t="s">
        <v>3036</v>
      </c>
      <c r="FG131" s="700">
        <v>2.5000000000000001E-2</v>
      </c>
      <c r="FH131" s="700">
        <v>120</v>
      </c>
      <c r="FI131" s="699">
        <v>0.02</v>
      </c>
      <c r="FJ131" s="699">
        <v>1.4499999999999999E-2</v>
      </c>
      <c r="FK131" s="204">
        <f t="shared" si="47"/>
        <v>5.8333333333333349E-4</v>
      </c>
      <c r="FL131" s="204" t="e">
        <f>VLOOKUP(FF131,'SIMULADOR COM SALDO'!$BX$22:$CK$500,13,FALSE)</f>
        <v>#N/A</v>
      </c>
      <c r="FM131" s="243">
        <f t="shared" si="48"/>
        <v>1.9699999999999999E-2</v>
      </c>
    </row>
    <row r="132" spans="162:169" x14ac:dyDescent="0.25">
      <c r="FF132" s="698" t="s">
        <v>3037</v>
      </c>
      <c r="FG132" s="700">
        <v>2.5000000000000001E-2</v>
      </c>
      <c r="FH132" s="700">
        <v>96</v>
      </c>
      <c r="FI132" s="699">
        <v>2.12E-2</v>
      </c>
      <c r="FJ132" s="699">
        <v>1.49E-2</v>
      </c>
      <c r="FK132" s="204">
        <f t="shared" si="47"/>
        <v>5.6111111111111119E-4</v>
      </c>
      <c r="FL132" s="204" t="e">
        <f>VLOOKUP(FF132,'SIMULADOR COM SALDO'!$BX$22:$CK$500,13,FALSE)</f>
        <v>#N/A</v>
      </c>
      <c r="FM132" s="243">
        <f t="shared" si="48"/>
        <v>2.0899999999999998E-2</v>
      </c>
    </row>
    <row r="133" spans="162:169" x14ac:dyDescent="0.25">
      <c r="FF133" s="698" t="s">
        <v>1003</v>
      </c>
      <c r="FG133" s="700">
        <v>2.5699999999999997E-2</v>
      </c>
      <c r="FH133" s="700">
        <v>120</v>
      </c>
      <c r="FI133" s="699">
        <v>0.02</v>
      </c>
      <c r="FJ133" s="699">
        <v>1.54E-2</v>
      </c>
      <c r="FK133" s="204">
        <f t="shared" si="47"/>
        <v>5.7222222222222201E-4</v>
      </c>
      <c r="FL133" s="204" t="e">
        <f>VLOOKUP(FF133,'SIMULADOR COM SALDO'!$BX$22:$CK$500,13,FALSE)</f>
        <v>#N/A</v>
      </c>
      <c r="FM133" s="243">
        <f t="shared" si="48"/>
        <v>1.9699999999999999E-2</v>
      </c>
    </row>
    <row r="134" spans="162:169" x14ac:dyDescent="0.25">
      <c r="FF134" s="698" t="s">
        <v>369</v>
      </c>
      <c r="FG134" s="700">
        <v>2.5000000000000001E-2</v>
      </c>
      <c r="FH134" s="700">
        <v>96</v>
      </c>
      <c r="FI134" s="699">
        <v>1.8600000000000002E-2</v>
      </c>
      <c r="FJ134" s="699">
        <v>1.55E-2</v>
      </c>
      <c r="FK134" s="204">
        <f t="shared" si="47"/>
        <v>5.2777777777777784E-4</v>
      </c>
      <c r="FL134" s="204" t="e">
        <f>VLOOKUP(FF134,'SIMULADOR COM SALDO'!$BX$22:$CK$500,13,FALSE)</f>
        <v>#N/A</v>
      </c>
      <c r="FM134" s="243">
        <f t="shared" si="48"/>
        <v>1.83E-2</v>
      </c>
    </row>
    <row r="135" spans="162:169" x14ac:dyDescent="0.25">
      <c r="FF135" s="698" t="s">
        <v>370</v>
      </c>
      <c r="FG135" s="700">
        <v>2.5000000000000001E-2</v>
      </c>
      <c r="FH135" s="700">
        <v>120</v>
      </c>
      <c r="FI135" s="699">
        <v>1.8799999999999997E-2</v>
      </c>
      <c r="FJ135" s="699">
        <v>1.3000000000000001E-2</v>
      </c>
      <c r="FK135" s="204">
        <f t="shared" si="47"/>
        <v>6.6666666666666664E-4</v>
      </c>
      <c r="FL135" s="204" t="e">
        <f>VLOOKUP(FF135,'SIMULADOR COM SALDO'!$BX$22:$CK$500,13,FALSE)</f>
        <v>#N/A</v>
      </c>
      <c r="FM135" s="243">
        <f t="shared" si="48"/>
        <v>1.8499999999999996E-2</v>
      </c>
    </row>
    <row r="136" spans="162:169" x14ac:dyDescent="0.25">
      <c r="FF136" s="698" t="s">
        <v>1041</v>
      </c>
      <c r="FG136" s="700">
        <v>2.5000000000000001E-2</v>
      </c>
      <c r="FH136" s="700">
        <v>96</v>
      </c>
      <c r="FI136" s="699">
        <v>1.9699999999999999E-2</v>
      </c>
      <c r="FJ136" s="699">
        <v>1.6E-2</v>
      </c>
      <c r="FK136" s="204">
        <f t="shared" si="47"/>
        <v>5.0000000000000001E-4</v>
      </c>
      <c r="FL136" s="204" t="e">
        <f>VLOOKUP(FF136,'SIMULADOR COM SALDO'!$BX$22:$CK$500,13,FALSE)</f>
        <v>#N/A</v>
      </c>
      <c r="FM136" s="243">
        <f t="shared" si="48"/>
        <v>1.9399999999999997E-2</v>
      </c>
    </row>
    <row r="137" spans="162:169" x14ac:dyDescent="0.25">
      <c r="FF137" s="701" t="s">
        <v>105</v>
      </c>
      <c r="FG137" s="700">
        <v>2.2499999999999999E-2</v>
      </c>
      <c r="FH137" s="700">
        <v>120</v>
      </c>
      <c r="FI137" s="699">
        <v>1.8500000000000003E-2</v>
      </c>
      <c r="FJ137" s="699">
        <v>1.4999999999999999E-2</v>
      </c>
      <c r="FK137" s="204">
        <f t="shared" si="47"/>
        <v>4.1666666666666664E-4</v>
      </c>
      <c r="FL137" s="204" t="e">
        <f>VLOOKUP(FF137,'SIMULADOR COM SALDO'!$BX$22:$CK$500,13,FALSE)</f>
        <v>#N/A</v>
      </c>
      <c r="FM137" s="243">
        <f t="shared" si="48"/>
        <v>1.8200000000000001E-2</v>
      </c>
    </row>
    <row r="138" spans="162:169" x14ac:dyDescent="0.25">
      <c r="FF138" s="698" t="s">
        <v>351</v>
      </c>
      <c r="FG138" s="700">
        <v>2.5000000000000001E-2</v>
      </c>
      <c r="FH138" s="700">
        <v>96</v>
      </c>
      <c r="FI138" s="699">
        <v>2.29E-2</v>
      </c>
      <c r="FJ138" s="699">
        <v>1.6799999999999999E-2</v>
      </c>
      <c r="FK138" s="204">
        <f t="shared" si="47"/>
        <v>4.5555555555555567E-4</v>
      </c>
      <c r="FL138" s="204" t="e">
        <f>VLOOKUP(FF138,'SIMULADOR COM SALDO'!$BX$22:$CK$500,13,FALSE)</f>
        <v>#N/A</v>
      </c>
      <c r="FM138" s="243">
        <f t="shared" si="48"/>
        <v>2.2599999999999999E-2</v>
      </c>
    </row>
    <row r="139" spans="162:169" x14ac:dyDescent="0.25">
      <c r="FF139" s="698" t="s">
        <v>3038</v>
      </c>
      <c r="FG139" s="700">
        <v>2.5000000000000001E-2</v>
      </c>
      <c r="FH139" s="700">
        <v>120</v>
      </c>
      <c r="FI139" s="699">
        <v>2.2000000000000002E-2</v>
      </c>
      <c r="FJ139" s="699">
        <v>1.7299999999999999E-2</v>
      </c>
      <c r="FK139" s="204">
        <f t="shared" si="47"/>
        <v>4.277777777777779E-4</v>
      </c>
      <c r="FL139" s="204" t="e">
        <f>VLOOKUP(FF139,'SIMULADOR COM SALDO'!$BX$22:$CK$500,13,FALSE)</f>
        <v>#N/A</v>
      </c>
      <c r="FM139" s="243">
        <f t="shared" si="48"/>
        <v>2.1700000000000001E-2</v>
      </c>
    </row>
    <row r="140" spans="162:169" x14ac:dyDescent="0.25">
      <c r="FF140" s="698" t="s">
        <v>3039</v>
      </c>
      <c r="FG140" s="700">
        <v>2.5000000000000001E-2</v>
      </c>
      <c r="FH140" s="700">
        <v>96</v>
      </c>
      <c r="FI140" s="699">
        <v>1.9199999999999998E-2</v>
      </c>
      <c r="FJ140" s="699">
        <v>1.3999999999999999E-2</v>
      </c>
      <c r="FK140" s="204">
        <f t="shared" ref="FK140:FK203" si="49">(FG140-FJ140)/18</f>
        <v>6.1111111111111132E-4</v>
      </c>
      <c r="FL140" s="204" t="e">
        <f>VLOOKUP(FF140,'SIMULADOR COM SALDO'!$BX$22:$CK$500,13,FALSE)</f>
        <v>#N/A</v>
      </c>
      <c r="FM140" s="243">
        <f t="shared" ref="FM140:FM203" si="50">FI140-0.03%</f>
        <v>1.8899999999999997E-2</v>
      </c>
    </row>
    <row r="141" spans="162:169" x14ac:dyDescent="0.25">
      <c r="FF141" s="698" t="s">
        <v>3133</v>
      </c>
      <c r="FG141" s="700">
        <v>2.7999999999999997E-2</v>
      </c>
      <c r="FH141" s="700">
        <v>120</v>
      </c>
      <c r="FI141" s="699">
        <v>2.5000000000000001E-2</v>
      </c>
      <c r="FJ141" s="699">
        <v>1.6E-2</v>
      </c>
      <c r="FK141" s="204">
        <f t="shared" si="49"/>
        <v>6.6666666666666654E-4</v>
      </c>
      <c r="FL141" s="204" t="e">
        <f>VLOOKUP(FF141,'SIMULADOR COM SALDO'!$BX$22:$CK$500,13,FALSE)</f>
        <v>#N/A</v>
      </c>
      <c r="FM141" s="243">
        <f t="shared" si="50"/>
        <v>2.47E-2</v>
      </c>
    </row>
    <row r="142" spans="162:169" x14ac:dyDescent="0.25">
      <c r="FF142" s="698" t="s">
        <v>587</v>
      </c>
      <c r="FG142" s="700">
        <v>2.5000000000000001E-2</v>
      </c>
      <c r="FH142" s="700">
        <v>120</v>
      </c>
      <c r="FI142" s="699">
        <v>2.1600000000000001E-2</v>
      </c>
      <c r="FJ142" s="699">
        <v>1.6E-2</v>
      </c>
      <c r="FK142" s="204">
        <f t="shared" si="49"/>
        <v>5.0000000000000001E-4</v>
      </c>
      <c r="FL142" s="204" t="e">
        <f>VLOOKUP(FF142,'SIMULADOR COM SALDO'!$BX$22:$CK$500,13,FALSE)</f>
        <v>#N/A</v>
      </c>
      <c r="FM142" s="243">
        <f t="shared" si="50"/>
        <v>2.1299999999999999E-2</v>
      </c>
    </row>
    <row r="143" spans="162:169" x14ac:dyDescent="0.25">
      <c r="FF143" s="698" t="s">
        <v>589</v>
      </c>
      <c r="FG143" s="700">
        <v>2.5000000000000001E-2</v>
      </c>
      <c r="FH143" s="700">
        <v>120</v>
      </c>
      <c r="FI143" s="699">
        <v>2.1600000000000001E-2</v>
      </c>
      <c r="FJ143" s="699">
        <v>1.6E-2</v>
      </c>
      <c r="FK143" s="204">
        <f t="shared" si="49"/>
        <v>5.0000000000000001E-4</v>
      </c>
      <c r="FL143" s="204" t="e">
        <f>VLOOKUP(FF143,'SIMULADOR COM SALDO'!$BX$22:$CK$500,13,FALSE)</f>
        <v>#N/A</v>
      </c>
      <c r="FM143" s="243">
        <f t="shared" si="50"/>
        <v>2.1299999999999999E-2</v>
      </c>
    </row>
    <row r="144" spans="162:169" x14ac:dyDescent="0.25">
      <c r="FF144" s="698" t="s">
        <v>3792</v>
      </c>
      <c r="FG144" s="700">
        <v>2.5000000000000001E-2</v>
      </c>
      <c r="FH144" s="700">
        <v>120</v>
      </c>
      <c r="FI144" s="699">
        <v>1.8500000000000003E-2</v>
      </c>
      <c r="FJ144" s="699">
        <v>1.55E-2</v>
      </c>
      <c r="FK144" s="204">
        <f t="shared" si="49"/>
        <v>5.2777777777777784E-4</v>
      </c>
      <c r="FL144" s="204" t="e">
        <f>VLOOKUP(FF144,'SIMULADOR COM SALDO'!$BX$22:$CK$500,13,FALSE)</f>
        <v>#N/A</v>
      </c>
      <c r="FM144" s="243">
        <f t="shared" si="50"/>
        <v>1.8200000000000001E-2</v>
      </c>
    </row>
    <row r="145" spans="162:169" x14ac:dyDescent="0.25">
      <c r="FF145" s="698" t="s">
        <v>1264</v>
      </c>
      <c r="FG145" s="700">
        <v>2.5000000000000001E-2</v>
      </c>
      <c r="FH145" s="700">
        <v>120</v>
      </c>
      <c r="FI145" s="699">
        <v>0.02</v>
      </c>
      <c r="FJ145" s="699">
        <v>1.3899999999999999E-2</v>
      </c>
      <c r="FK145" s="204">
        <f t="shared" si="49"/>
        <v>6.1666666666666684E-4</v>
      </c>
      <c r="FL145" s="204" t="e">
        <f>VLOOKUP(FF145,'SIMULADOR COM SALDO'!$BX$22:$CK$500,13,FALSE)</f>
        <v>#N/A</v>
      </c>
      <c r="FM145" s="243">
        <f t="shared" si="50"/>
        <v>1.9699999999999999E-2</v>
      </c>
    </row>
    <row r="146" spans="162:169" x14ac:dyDescent="0.25">
      <c r="FF146" s="701" t="s">
        <v>80</v>
      </c>
      <c r="FG146" s="700">
        <v>2.5000000000000001E-2</v>
      </c>
      <c r="FH146" s="700">
        <v>120</v>
      </c>
      <c r="FI146" s="699">
        <v>1.55E-2</v>
      </c>
      <c r="FJ146" s="699">
        <v>1.4499999999999999E-2</v>
      </c>
      <c r="FK146" s="204">
        <f t="shared" si="49"/>
        <v>5.8333333333333349E-4</v>
      </c>
      <c r="FL146" s="204" t="e">
        <f>VLOOKUP(FF146,'SIMULADOR COM SALDO'!$BX$22:$CK$500,13,FALSE)</f>
        <v>#N/A</v>
      </c>
      <c r="FM146" s="243">
        <f t="shared" si="50"/>
        <v>1.52E-2</v>
      </c>
    </row>
    <row r="147" spans="162:169" x14ac:dyDescent="0.25">
      <c r="FF147" s="698" t="s">
        <v>1071</v>
      </c>
      <c r="FG147" s="700">
        <v>2.2499999999999999E-2</v>
      </c>
      <c r="FH147" s="700">
        <v>120</v>
      </c>
      <c r="FI147" s="699">
        <v>2.0199999999999999E-2</v>
      </c>
      <c r="FJ147" s="699">
        <v>1.4999999999999999E-2</v>
      </c>
      <c r="FK147" s="204">
        <f t="shared" si="49"/>
        <v>4.1666666666666664E-4</v>
      </c>
      <c r="FL147" s="204" t="e">
        <f>VLOOKUP(FF147,'SIMULADOR COM SALDO'!$BX$22:$CK$500,13,FALSE)</f>
        <v>#N/A</v>
      </c>
      <c r="FM147" s="243">
        <f t="shared" si="50"/>
        <v>1.9899999999999998E-2</v>
      </c>
    </row>
    <row r="148" spans="162:169" x14ac:dyDescent="0.25">
      <c r="FF148" s="701" t="s">
        <v>81</v>
      </c>
      <c r="FG148" s="700">
        <v>2.5000000000000001E-2</v>
      </c>
      <c r="FH148" s="700">
        <v>120</v>
      </c>
      <c r="FI148" s="699">
        <v>1.7600000000000001E-2</v>
      </c>
      <c r="FJ148" s="699">
        <v>1.6E-2</v>
      </c>
      <c r="FK148" s="204">
        <f t="shared" si="49"/>
        <v>5.0000000000000001E-4</v>
      </c>
      <c r="FL148" s="204" t="e">
        <f>VLOOKUP(FF148,'SIMULADOR COM SALDO'!$BX$22:$CK$500,13,FALSE)</f>
        <v>#N/A</v>
      </c>
      <c r="FM148" s="243">
        <f t="shared" si="50"/>
        <v>1.7299999999999999E-2</v>
      </c>
    </row>
    <row r="149" spans="162:169" x14ac:dyDescent="0.25">
      <c r="FF149" s="701" t="s">
        <v>3040</v>
      </c>
      <c r="FG149" s="700">
        <v>2.5000000000000001E-2</v>
      </c>
      <c r="FH149" s="700">
        <v>96</v>
      </c>
      <c r="FI149" s="699">
        <v>1.7600000000000001E-2</v>
      </c>
      <c r="FJ149" s="699">
        <v>1.3500000000000002E-2</v>
      </c>
      <c r="FK149" s="204">
        <f t="shared" si="49"/>
        <v>6.3888888888888893E-4</v>
      </c>
      <c r="FL149" s="204" t="e">
        <f>VLOOKUP(FF149,'SIMULADOR COM SALDO'!$BX$22:$CK$500,13,FALSE)</f>
        <v>#N/A</v>
      </c>
      <c r="FM149" s="243">
        <f t="shared" si="50"/>
        <v>1.7299999999999999E-2</v>
      </c>
    </row>
    <row r="150" spans="162:169" x14ac:dyDescent="0.25">
      <c r="FF150" s="698" t="s">
        <v>3041</v>
      </c>
      <c r="FG150" s="700">
        <v>2.4E-2</v>
      </c>
      <c r="FH150" s="700">
        <v>96</v>
      </c>
      <c r="FI150" s="699">
        <v>1.9E-2</v>
      </c>
      <c r="FJ150" s="699">
        <v>1.3999999999999999E-2</v>
      </c>
      <c r="FK150" s="204">
        <f t="shared" si="49"/>
        <v>5.5555555555555566E-4</v>
      </c>
      <c r="FL150" s="204" t="e">
        <f>VLOOKUP(FF150,'SIMULADOR COM SALDO'!$BX$22:$CK$500,13,FALSE)</f>
        <v>#N/A</v>
      </c>
      <c r="FM150" s="243">
        <f t="shared" si="50"/>
        <v>1.8699999999999998E-2</v>
      </c>
    </row>
    <row r="151" spans="162:169" x14ac:dyDescent="0.25">
      <c r="FF151" s="701" t="s">
        <v>82</v>
      </c>
      <c r="FG151" s="700">
        <v>2.5000000000000001E-2</v>
      </c>
      <c r="FH151" s="700">
        <v>120</v>
      </c>
      <c r="FI151" s="699">
        <v>1.83E-2</v>
      </c>
      <c r="FJ151" s="699">
        <v>1.52E-2</v>
      </c>
      <c r="FK151" s="204">
        <f t="shared" si="49"/>
        <v>5.4444444444444451E-4</v>
      </c>
      <c r="FL151" s="204" t="e">
        <f>VLOOKUP(FF151,'SIMULADOR COM SALDO'!$BX$22:$CK$500,13,FALSE)</f>
        <v>#N/A</v>
      </c>
      <c r="FM151" s="243">
        <f t="shared" si="50"/>
        <v>1.7999999999999999E-2</v>
      </c>
    </row>
    <row r="152" spans="162:169" x14ac:dyDescent="0.25">
      <c r="FF152" s="698" t="s">
        <v>361</v>
      </c>
      <c r="FG152" s="700">
        <v>2.5000000000000001E-2</v>
      </c>
      <c r="FH152" s="700">
        <v>120</v>
      </c>
      <c r="FI152" s="699">
        <v>1.83E-2</v>
      </c>
      <c r="FJ152" s="699">
        <v>1.52E-2</v>
      </c>
      <c r="FK152" s="204">
        <f t="shared" si="49"/>
        <v>5.4444444444444451E-4</v>
      </c>
      <c r="FL152" s="204" t="e">
        <f>VLOOKUP(FF152,'SIMULADOR COM SALDO'!$BX$22:$CK$500,13,FALSE)</f>
        <v>#N/A</v>
      </c>
      <c r="FM152" s="243">
        <f t="shared" si="50"/>
        <v>1.7999999999999999E-2</v>
      </c>
    </row>
    <row r="153" spans="162:169" x14ac:dyDescent="0.25">
      <c r="FF153" s="698" t="s">
        <v>1815</v>
      </c>
      <c r="FG153" s="700">
        <v>2.5000000000000001E-2</v>
      </c>
      <c r="FH153" s="700">
        <v>120</v>
      </c>
      <c r="FI153" s="699">
        <v>1.9900000000000001E-2</v>
      </c>
      <c r="FJ153" s="699">
        <v>1.3899999999999999E-2</v>
      </c>
      <c r="FK153" s="204">
        <f t="shared" si="49"/>
        <v>6.1666666666666684E-4</v>
      </c>
      <c r="FL153" s="204" t="e">
        <f>VLOOKUP(FF153,'SIMULADOR COM SALDO'!$BX$22:$CK$500,13,FALSE)</f>
        <v>#N/A</v>
      </c>
      <c r="FM153" s="243">
        <f t="shared" si="50"/>
        <v>1.9599999999999999E-2</v>
      </c>
    </row>
    <row r="154" spans="162:169" x14ac:dyDescent="0.25">
      <c r="FF154" s="698" t="s">
        <v>1828</v>
      </c>
      <c r="FG154" s="700">
        <v>2.5000000000000001E-2</v>
      </c>
      <c r="FH154" s="700">
        <v>120</v>
      </c>
      <c r="FI154" s="699">
        <v>1.9900000000000001E-2</v>
      </c>
      <c r="FJ154" s="699">
        <v>1.3899999999999999E-2</v>
      </c>
      <c r="FK154" s="204">
        <f t="shared" si="49"/>
        <v>6.1666666666666684E-4</v>
      </c>
      <c r="FL154" s="204" t="e">
        <f>VLOOKUP(FF154,'SIMULADOR COM SALDO'!$BX$22:$CK$500,13,FALSE)</f>
        <v>#N/A</v>
      </c>
      <c r="FM154" s="243">
        <f t="shared" si="50"/>
        <v>1.9599999999999999E-2</v>
      </c>
    </row>
    <row r="155" spans="162:169" x14ac:dyDescent="0.25">
      <c r="FF155" s="701" t="s">
        <v>1103</v>
      </c>
      <c r="FG155" s="700">
        <v>2.5000000000000001E-2</v>
      </c>
      <c r="FH155" s="700">
        <v>120</v>
      </c>
      <c r="FI155" s="699">
        <v>1.9900000000000001E-2</v>
      </c>
      <c r="FJ155" s="699">
        <v>1.3899999999999999E-2</v>
      </c>
      <c r="FK155" s="204">
        <f t="shared" si="49"/>
        <v>6.1666666666666684E-4</v>
      </c>
      <c r="FL155" s="204" t="e">
        <f>VLOOKUP(FF155,'SIMULADOR COM SALDO'!$BX$22:$CK$500,13,FALSE)</f>
        <v>#N/A</v>
      </c>
      <c r="FM155" s="243">
        <f t="shared" si="50"/>
        <v>1.9599999999999999E-2</v>
      </c>
    </row>
    <row r="156" spans="162:169" x14ac:dyDescent="0.25">
      <c r="FF156" s="698" t="s">
        <v>720</v>
      </c>
      <c r="FG156" s="700">
        <v>2.5000000000000001E-2</v>
      </c>
      <c r="FH156" s="700">
        <v>96</v>
      </c>
      <c r="FI156" s="699">
        <v>1.8000000000000002E-2</v>
      </c>
      <c r="FJ156" s="699">
        <v>1.4499999999999999E-2</v>
      </c>
      <c r="FK156" s="204">
        <f t="shared" si="49"/>
        <v>5.8333333333333349E-4</v>
      </c>
      <c r="FL156" s="204" t="e">
        <f>VLOOKUP(FF156,'SIMULADOR COM SALDO'!$BX$22:$CK$500,13,FALSE)</f>
        <v>#N/A</v>
      </c>
      <c r="FM156" s="243">
        <f t="shared" si="50"/>
        <v>1.77E-2</v>
      </c>
    </row>
    <row r="157" spans="162:169" x14ac:dyDescent="0.25">
      <c r="FF157" s="698" t="s">
        <v>1143</v>
      </c>
      <c r="FG157" s="700">
        <v>2.35E-2</v>
      </c>
      <c r="FH157" s="700">
        <v>120</v>
      </c>
      <c r="FI157" s="699">
        <v>2.1499999999999998E-2</v>
      </c>
      <c r="FJ157" s="699">
        <v>1.4999999999999999E-2</v>
      </c>
      <c r="FK157" s="204">
        <f t="shared" si="49"/>
        <v>4.7222222222222224E-4</v>
      </c>
      <c r="FL157" s="204" t="e">
        <f>VLOOKUP(FF157,'SIMULADOR COM SALDO'!$BX$22:$CK$500,13,FALSE)</f>
        <v>#N/A</v>
      </c>
      <c r="FM157" s="243">
        <f t="shared" si="50"/>
        <v>2.1199999999999997E-2</v>
      </c>
    </row>
    <row r="158" spans="162:169" x14ac:dyDescent="0.25">
      <c r="FF158" s="698" t="s">
        <v>371</v>
      </c>
      <c r="FG158" s="700">
        <v>2.5000000000000001E-2</v>
      </c>
      <c r="FH158" s="700">
        <v>120</v>
      </c>
      <c r="FI158" s="699">
        <v>2.1499999999999998E-2</v>
      </c>
      <c r="FJ158" s="699">
        <v>1.4999999999999999E-2</v>
      </c>
      <c r="FK158" s="204">
        <f t="shared" si="49"/>
        <v>5.5555555555555566E-4</v>
      </c>
      <c r="FL158" s="204" t="e">
        <f>VLOOKUP(FF158,'SIMULADOR COM SALDO'!$BX$22:$CK$500,13,FALSE)</f>
        <v>#N/A</v>
      </c>
      <c r="FM158" s="243">
        <f t="shared" si="50"/>
        <v>2.1199999999999997E-2</v>
      </c>
    </row>
    <row r="159" spans="162:169" x14ac:dyDescent="0.25">
      <c r="FF159" s="698" t="s">
        <v>809</v>
      </c>
      <c r="FG159" s="700">
        <v>2.5000000000000001E-2</v>
      </c>
      <c r="FH159" s="700">
        <v>120</v>
      </c>
      <c r="FI159" s="699">
        <v>1.6500000000000001E-2</v>
      </c>
      <c r="FJ159" s="699">
        <v>1.7399999999999999E-2</v>
      </c>
      <c r="FK159" s="204">
        <f t="shared" si="49"/>
        <v>4.2222222222222238E-4</v>
      </c>
      <c r="FL159" s="204" t="e">
        <f>VLOOKUP(FF159,'SIMULADOR COM SALDO'!$BX$22:$CK$500,13,FALSE)</f>
        <v>#N/A</v>
      </c>
      <c r="FM159" s="243">
        <f t="shared" si="50"/>
        <v>1.6199999999999999E-2</v>
      </c>
    </row>
    <row r="160" spans="162:169" x14ac:dyDescent="0.25">
      <c r="FF160" s="698" t="s">
        <v>3042</v>
      </c>
      <c r="FG160" s="700">
        <v>2.5000000000000001E-2</v>
      </c>
      <c r="FH160" s="700">
        <v>120</v>
      </c>
      <c r="FI160" s="699">
        <v>1.9E-2</v>
      </c>
      <c r="FJ160" s="699">
        <v>1.7500000000000002E-2</v>
      </c>
      <c r="FK160" s="204">
        <f t="shared" si="49"/>
        <v>4.1666666666666664E-4</v>
      </c>
      <c r="FL160" s="204" t="e">
        <f>VLOOKUP(FF160,'SIMULADOR COM SALDO'!$BX$22:$CK$500,13,FALSE)</f>
        <v>#N/A</v>
      </c>
      <c r="FM160" s="243">
        <f t="shared" si="50"/>
        <v>1.8699999999999998E-2</v>
      </c>
    </row>
    <row r="161" spans="162:169" x14ac:dyDescent="0.25">
      <c r="FF161" s="698" t="s">
        <v>3043</v>
      </c>
      <c r="FG161" s="700">
        <v>2.5000000000000001E-2</v>
      </c>
      <c r="FH161" s="700">
        <v>120</v>
      </c>
      <c r="FI161" s="699">
        <v>2.2400000000000003E-2</v>
      </c>
      <c r="FJ161" s="699">
        <v>1.55E-2</v>
      </c>
      <c r="FK161" s="204">
        <f t="shared" si="49"/>
        <v>5.2777777777777784E-4</v>
      </c>
      <c r="FL161" s="204" t="e">
        <f>VLOOKUP(FF161,'SIMULADOR COM SALDO'!$BX$22:$CK$500,13,FALSE)</f>
        <v>#N/A</v>
      </c>
      <c r="FM161" s="243">
        <f t="shared" si="50"/>
        <v>2.2100000000000002E-2</v>
      </c>
    </row>
    <row r="162" spans="162:169" x14ac:dyDescent="0.25">
      <c r="FF162" s="698" t="s">
        <v>723</v>
      </c>
      <c r="FG162" s="700">
        <v>2.5000000000000001E-2</v>
      </c>
      <c r="FH162" s="700">
        <v>120</v>
      </c>
      <c r="FI162" s="699">
        <v>1.83E-2</v>
      </c>
      <c r="FJ162" s="699">
        <v>1.7000000000000001E-2</v>
      </c>
      <c r="FK162" s="204">
        <f t="shared" si="49"/>
        <v>4.4444444444444447E-4</v>
      </c>
      <c r="FL162" s="204" t="e">
        <f>VLOOKUP(FF162,'SIMULADOR COM SALDO'!$BX$22:$CK$500,13,FALSE)</f>
        <v>#N/A</v>
      </c>
      <c r="FM162" s="243">
        <f t="shared" si="50"/>
        <v>1.7999999999999999E-2</v>
      </c>
    </row>
    <row r="163" spans="162:169" x14ac:dyDescent="0.25">
      <c r="FF163" s="698" t="s">
        <v>3044</v>
      </c>
      <c r="FG163" s="700">
        <v>2.5000000000000001E-2</v>
      </c>
      <c r="FH163" s="700">
        <v>120</v>
      </c>
      <c r="FI163" s="699">
        <v>2.1099999999999997E-2</v>
      </c>
      <c r="FJ163" s="699">
        <v>1.49E-2</v>
      </c>
      <c r="FK163" s="204">
        <f t="shared" si="49"/>
        <v>5.6111111111111119E-4</v>
      </c>
      <c r="FL163" s="204" t="e">
        <f>VLOOKUP(FF163,'SIMULADOR COM SALDO'!$BX$22:$CK$500,13,FALSE)</f>
        <v>#N/A</v>
      </c>
      <c r="FM163" s="243">
        <f t="shared" si="50"/>
        <v>2.0799999999999996E-2</v>
      </c>
    </row>
    <row r="164" spans="162:169" x14ac:dyDescent="0.25">
      <c r="FF164" s="698" t="s">
        <v>2422</v>
      </c>
      <c r="FG164" s="700">
        <v>2.5000000000000001E-2</v>
      </c>
      <c r="FH164" s="700">
        <v>120</v>
      </c>
      <c r="FI164" s="699">
        <v>1.9900000000000001E-2</v>
      </c>
      <c r="FJ164" s="699">
        <v>1.3899999999999999E-2</v>
      </c>
      <c r="FK164" s="204">
        <f t="shared" si="49"/>
        <v>6.1666666666666684E-4</v>
      </c>
      <c r="FL164" s="204" t="e">
        <f>VLOOKUP(FF164,'SIMULADOR COM SALDO'!$BX$22:$CK$500,13,FALSE)</f>
        <v>#N/A</v>
      </c>
      <c r="FM164" s="243">
        <f t="shared" si="50"/>
        <v>1.9599999999999999E-2</v>
      </c>
    </row>
    <row r="165" spans="162:169" x14ac:dyDescent="0.25">
      <c r="FF165" s="698" t="s">
        <v>470</v>
      </c>
      <c r="FG165" s="700">
        <v>2.5000000000000001E-2</v>
      </c>
      <c r="FH165" s="700">
        <v>120</v>
      </c>
      <c r="FI165" s="699">
        <v>1.8500000000000003E-2</v>
      </c>
      <c r="FJ165" s="699">
        <v>1.52E-2</v>
      </c>
      <c r="FK165" s="204">
        <f t="shared" si="49"/>
        <v>5.4444444444444451E-4</v>
      </c>
      <c r="FL165" s="204" t="e">
        <f>VLOOKUP(FF165,'SIMULADOR COM SALDO'!$BX$22:$CK$500,13,FALSE)</f>
        <v>#N/A</v>
      </c>
      <c r="FM165" s="243">
        <f t="shared" si="50"/>
        <v>1.8200000000000001E-2</v>
      </c>
    </row>
    <row r="166" spans="162:169" x14ac:dyDescent="0.25">
      <c r="FF166" s="698" t="s">
        <v>507</v>
      </c>
      <c r="FG166" s="700">
        <v>2.5000000000000001E-2</v>
      </c>
      <c r="FH166" s="700">
        <v>96</v>
      </c>
      <c r="FI166" s="699">
        <v>2.3E-2</v>
      </c>
      <c r="FJ166" s="699">
        <v>2.2000000000000002E-2</v>
      </c>
      <c r="FK166" s="204">
        <f t="shared" si="49"/>
        <v>1.6666666666666663E-4</v>
      </c>
      <c r="FL166" s="204" t="e">
        <f>VLOOKUP(FF166,'SIMULADOR COM SALDO'!$BX$22:$CK$500,13,FALSE)</f>
        <v>#N/A</v>
      </c>
      <c r="FM166" s="243">
        <f t="shared" si="50"/>
        <v>2.2699999999999998E-2</v>
      </c>
    </row>
    <row r="167" spans="162:169" x14ac:dyDescent="0.25">
      <c r="FF167" s="701" t="s">
        <v>226</v>
      </c>
      <c r="FG167" s="700">
        <v>2.5000000000000001E-2</v>
      </c>
      <c r="FH167" s="700">
        <v>120</v>
      </c>
      <c r="FI167" s="699">
        <v>1.6799999999999999E-2</v>
      </c>
      <c r="FJ167" s="699">
        <v>1.3999999999999999E-2</v>
      </c>
      <c r="FK167" s="204">
        <f t="shared" si="49"/>
        <v>6.1111111111111132E-4</v>
      </c>
      <c r="FL167" s="204" t="e">
        <f>VLOOKUP(FF167,'SIMULADOR COM SALDO'!$BX$22:$CK$500,13,FALSE)</f>
        <v>#N/A</v>
      </c>
      <c r="FM167" s="243">
        <f t="shared" si="50"/>
        <v>1.6499999999999997E-2</v>
      </c>
    </row>
    <row r="168" spans="162:169" x14ac:dyDescent="0.25">
      <c r="FF168" s="701" t="s">
        <v>217</v>
      </c>
      <c r="FG168" s="700">
        <v>2.5000000000000001E-2</v>
      </c>
      <c r="FH168" s="700">
        <v>120</v>
      </c>
      <c r="FI168" s="699">
        <v>2.2000000000000002E-2</v>
      </c>
      <c r="FJ168" s="699">
        <v>1.6E-2</v>
      </c>
      <c r="FK168" s="204">
        <f t="shared" si="49"/>
        <v>5.0000000000000001E-4</v>
      </c>
      <c r="FL168" s="204" t="e">
        <f>VLOOKUP(FF168,'SIMULADOR COM SALDO'!$BX$22:$CK$500,13,FALSE)</f>
        <v>#N/A</v>
      </c>
      <c r="FM168" s="243">
        <f t="shared" si="50"/>
        <v>2.1700000000000001E-2</v>
      </c>
    </row>
    <row r="169" spans="162:169" x14ac:dyDescent="0.25">
      <c r="FF169" s="701" t="s">
        <v>91</v>
      </c>
      <c r="FG169" s="700">
        <v>1.8500000000000003E-2</v>
      </c>
      <c r="FH169" s="700">
        <v>120</v>
      </c>
      <c r="FI169" s="699">
        <v>1.8500000000000003E-2</v>
      </c>
      <c r="FJ169" s="699">
        <v>1.4999999999999999E-2</v>
      </c>
      <c r="FK169" s="204">
        <f t="shared" si="49"/>
        <v>1.9444444444444462E-4</v>
      </c>
      <c r="FL169" s="204" t="e">
        <f>VLOOKUP(FF169,'SIMULADOR COM SALDO'!$BX$22:$CK$500,13,FALSE)</f>
        <v>#N/A</v>
      </c>
      <c r="FM169" s="243">
        <f t="shared" si="50"/>
        <v>1.8200000000000001E-2</v>
      </c>
    </row>
    <row r="170" spans="162:169" x14ac:dyDescent="0.25">
      <c r="FF170" s="698" t="s">
        <v>372</v>
      </c>
      <c r="FG170" s="700">
        <v>2.29E-2</v>
      </c>
      <c r="FH170" s="700">
        <v>120</v>
      </c>
      <c r="FI170" s="699">
        <v>1.6899999999999998E-2</v>
      </c>
      <c r="FJ170" s="699">
        <v>1.4499999999999999E-2</v>
      </c>
      <c r="FK170" s="204">
        <f t="shared" si="49"/>
        <v>4.6666666666666672E-4</v>
      </c>
      <c r="FL170" s="204" t="e">
        <f>VLOOKUP(FF170,'SIMULADOR COM SALDO'!$BX$22:$CK$500,13,FALSE)</f>
        <v>#N/A</v>
      </c>
      <c r="FM170" s="243">
        <f t="shared" si="50"/>
        <v>1.6599999999999997E-2</v>
      </c>
    </row>
    <row r="171" spans="162:169" x14ac:dyDescent="0.25">
      <c r="FF171" s="698" t="s">
        <v>1091</v>
      </c>
      <c r="FG171" s="700">
        <v>2.5000000000000001E-2</v>
      </c>
      <c r="FH171" s="700">
        <v>120</v>
      </c>
      <c r="FI171" s="699">
        <v>2.0299999999999999E-2</v>
      </c>
      <c r="FJ171" s="699">
        <v>1.34E-2</v>
      </c>
      <c r="FK171" s="204">
        <f t="shared" si="49"/>
        <v>6.4444444444444445E-4</v>
      </c>
      <c r="FL171" s="204" t="e">
        <f>VLOOKUP(FF171,'SIMULADOR COM SALDO'!$BX$22:$CK$500,13,FALSE)</f>
        <v>#N/A</v>
      </c>
      <c r="FM171" s="243">
        <f t="shared" si="50"/>
        <v>1.9999999999999997E-2</v>
      </c>
    </row>
    <row r="172" spans="162:169" x14ac:dyDescent="0.25">
      <c r="FF172" s="698" t="s">
        <v>3842</v>
      </c>
      <c r="FG172" s="700">
        <v>2.5000000000000001E-2</v>
      </c>
      <c r="FH172" s="700">
        <v>96</v>
      </c>
      <c r="FI172" s="699">
        <v>1.72E-2</v>
      </c>
      <c r="FJ172" s="699">
        <v>1.41E-2</v>
      </c>
      <c r="FK172" s="204">
        <f t="shared" si="49"/>
        <v>6.0555555555555569E-4</v>
      </c>
      <c r="FL172" s="204" t="e">
        <f>VLOOKUP(FF172,'SIMULADOR COM SALDO'!$BX$22:$CK$500,13,FALSE)</f>
        <v>#N/A</v>
      </c>
      <c r="FM172" s="243">
        <f t="shared" si="50"/>
        <v>1.6899999999999998E-2</v>
      </c>
    </row>
    <row r="173" spans="162:169" x14ac:dyDescent="0.25">
      <c r="FF173" s="698" t="s">
        <v>3672</v>
      </c>
      <c r="FG173" s="700">
        <v>2.5000000000000001E-2</v>
      </c>
      <c r="FH173" s="700">
        <v>120</v>
      </c>
      <c r="FI173" s="699">
        <v>1.7000000000000001E-2</v>
      </c>
      <c r="FJ173" s="699">
        <v>1.41E-2</v>
      </c>
      <c r="FK173" s="204">
        <f t="shared" si="49"/>
        <v>6.0555555555555569E-4</v>
      </c>
      <c r="FL173" s="204" t="e">
        <f>VLOOKUP(FF173,'SIMULADOR COM SALDO'!$BX$22:$CK$500,13,FALSE)</f>
        <v>#N/A</v>
      </c>
      <c r="FM173" s="243">
        <f t="shared" si="50"/>
        <v>1.67E-2</v>
      </c>
    </row>
    <row r="174" spans="162:169" x14ac:dyDescent="0.25">
      <c r="FF174" s="698" t="s">
        <v>3045</v>
      </c>
      <c r="FG174" s="700">
        <v>2.5000000000000001E-2</v>
      </c>
      <c r="FH174" s="700">
        <v>120</v>
      </c>
      <c r="FI174" s="699">
        <v>2.3E-2</v>
      </c>
      <c r="FJ174" s="699">
        <v>1.7600000000000001E-2</v>
      </c>
      <c r="FK174" s="204">
        <f t="shared" si="49"/>
        <v>4.1111111111111112E-4</v>
      </c>
      <c r="FL174" s="204" t="e">
        <f>VLOOKUP(FF174,'SIMULADOR COM SALDO'!$BX$22:$CK$500,13,FALSE)</f>
        <v>#N/A</v>
      </c>
      <c r="FM174" s="243">
        <f t="shared" si="50"/>
        <v>2.2699999999999998E-2</v>
      </c>
    </row>
    <row r="175" spans="162:169" x14ac:dyDescent="0.25">
      <c r="FF175" s="698" t="s">
        <v>670</v>
      </c>
      <c r="FG175" s="700">
        <v>2.5000000000000001E-2</v>
      </c>
      <c r="FH175" s="700">
        <v>96</v>
      </c>
      <c r="FI175" s="699">
        <v>1.7500000000000002E-2</v>
      </c>
      <c r="FJ175" s="699">
        <v>1.55E-2</v>
      </c>
      <c r="FK175" s="204">
        <f t="shared" si="49"/>
        <v>5.2777777777777784E-4</v>
      </c>
      <c r="FL175" s="204" t="e">
        <f>VLOOKUP(FF175,'SIMULADOR COM SALDO'!$BX$22:$CK$500,13,FALSE)</f>
        <v>#N/A</v>
      </c>
      <c r="FM175" s="243">
        <f t="shared" si="50"/>
        <v>1.72E-2</v>
      </c>
    </row>
    <row r="176" spans="162:169" x14ac:dyDescent="0.25">
      <c r="FF176" s="698" t="s">
        <v>789</v>
      </c>
      <c r="FG176" s="700">
        <v>2.5000000000000001E-2</v>
      </c>
      <c r="FH176" s="700">
        <v>120</v>
      </c>
      <c r="FI176" s="699">
        <v>2.41E-2</v>
      </c>
      <c r="FJ176" s="699">
        <v>1.7000000000000001E-2</v>
      </c>
      <c r="FK176" s="204">
        <f t="shared" si="49"/>
        <v>4.4444444444444447E-4</v>
      </c>
      <c r="FL176" s="204" t="e">
        <f>VLOOKUP(FF176,'SIMULADOR COM SALDO'!$BX$22:$CK$500,13,FALSE)</f>
        <v>#N/A</v>
      </c>
      <c r="FM176" s="243">
        <f t="shared" si="50"/>
        <v>2.3799999999999998E-2</v>
      </c>
    </row>
    <row r="177" spans="162:169" x14ac:dyDescent="0.25">
      <c r="FF177" s="701" t="s">
        <v>642</v>
      </c>
      <c r="FG177" s="700">
        <v>2.5000000000000001E-2</v>
      </c>
      <c r="FH177" s="700">
        <v>120</v>
      </c>
      <c r="FI177" s="699">
        <v>2.0099999999999996E-2</v>
      </c>
      <c r="FJ177" s="699">
        <v>1.3899999999999999E-2</v>
      </c>
      <c r="FK177" s="204">
        <f t="shared" si="49"/>
        <v>6.1666666666666684E-4</v>
      </c>
      <c r="FL177" s="204" t="e">
        <f>VLOOKUP(FF177,'SIMULADOR COM SALDO'!$BX$22:$CK$500,13,FALSE)</f>
        <v>#N/A</v>
      </c>
      <c r="FM177" s="243">
        <f t="shared" si="50"/>
        <v>1.9799999999999995E-2</v>
      </c>
    </row>
    <row r="178" spans="162:169" x14ac:dyDescent="0.25">
      <c r="FF178" s="698" t="s">
        <v>3715</v>
      </c>
      <c r="FG178" s="700">
        <v>2.5000000000000001E-2</v>
      </c>
      <c r="FH178" s="700">
        <v>120</v>
      </c>
      <c r="FI178" s="699">
        <v>1.7000000000000001E-2</v>
      </c>
      <c r="FJ178" s="699">
        <v>1.41E-2</v>
      </c>
      <c r="FK178" s="204">
        <f t="shared" si="49"/>
        <v>6.0555555555555569E-4</v>
      </c>
      <c r="FL178" s="204" t="e">
        <f>VLOOKUP(FF178,'SIMULADOR COM SALDO'!$BX$22:$CK$500,13,FALSE)</f>
        <v>#N/A</v>
      </c>
      <c r="FM178" s="243">
        <f t="shared" si="50"/>
        <v>1.67E-2</v>
      </c>
    </row>
    <row r="179" spans="162:169" x14ac:dyDescent="0.25">
      <c r="FF179" s="698" t="s">
        <v>846</v>
      </c>
      <c r="FG179" s="700">
        <v>1.9900000000000001E-2</v>
      </c>
      <c r="FH179" s="700">
        <v>96</v>
      </c>
      <c r="FI179" s="699">
        <v>1.9900000000000001E-2</v>
      </c>
      <c r="FJ179" s="699">
        <v>1.4999999999999999E-2</v>
      </c>
      <c r="FK179" s="204">
        <f t="shared" si="49"/>
        <v>2.7222222222222231E-4</v>
      </c>
      <c r="FL179" s="204" t="e">
        <f>VLOOKUP(FF179,'SIMULADOR COM SALDO'!$BX$22:$CK$500,13,FALSE)</f>
        <v>#N/A</v>
      </c>
      <c r="FM179" s="243">
        <f t="shared" si="50"/>
        <v>1.9599999999999999E-2</v>
      </c>
    </row>
    <row r="180" spans="162:169" x14ac:dyDescent="0.25">
      <c r="FF180" s="698" t="s">
        <v>2640</v>
      </c>
      <c r="FG180" s="700">
        <v>2.5000000000000001E-2</v>
      </c>
      <c r="FH180" s="700">
        <v>96</v>
      </c>
      <c r="FI180" s="699">
        <v>2.0199999999999999E-2</v>
      </c>
      <c r="FJ180" s="699">
        <v>1.55E-2</v>
      </c>
      <c r="FK180" s="204">
        <f t="shared" si="49"/>
        <v>5.2777777777777784E-4</v>
      </c>
      <c r="FL180" s="204" t="e">
        <f>VLOOKUP(FF180,'SIMULADOR COM SALDO'!$BX$22:$CK$500,13,FALSE)</f>
        <v>#N/A</v>
      </c>
      <c r="FM180" s="243">
        <f t="shared" si="50"/>
        <v>1.9899999999999998E-2</v>
      </c>
    </row>
    <row r="181" spans="162:169" x14ac:dyDescent="0.25">
      <c r="FF181" s="701" t="s">
        <v>93</v>
      </c>
      <c r="FG181" s="700">
        <v>2.5000000000000001E-2</v>
      </c>
      <c r="FH181" s="700">
        <v>120</v>
      </c>
      <c r="FI181" s="699">
        <v>2.35E-2</v>
      </c>
      <c r="FJ181" s="699">
        <v>2.06E-2</v>
      </c>
      <c r="FK181" s="204">
        <f t="shared" si="49"/>
        <v>2.4444444444444448E-4</v>
      </c>
      <c r="FL181" s="204" t="e">
        <f>VLOOKUP(FF181,'SIMULADOR COM SALDO'!$BX$22:$CK$500,13,FALSE)</f>
        <v>#N/A</v>
      </c>
      <c r="FM181" s="243">
        <f t="shared" si="50"/>
        <v>2.3199999999999998E-2</v>
      </c>
    </row>
    <row r="182" spans="162:169" x14ac:dyDescent="0.25">
      <c r="FF182" s="698" t="s">
        <v>3046</v>
      </c>
      <c r="FG182" s="700">
        <v>2.5000000000000001E-2</v>
      </c>
      <c r="FH182" s="700">
        <v>96</v>
      </c>
      <c r="FI182" s="699">
        <v>1.9900000000000001E-2</v>
      </c>
      <c r="FJ182" s="699">
        <v>1.5900000000000001E-2</v>
      </c>
      <c r="FK182" s="204">
        <f t="shared" si="49"/>
        <v>5.0555555555555553E-4</v>
      </c>
      <c r="FL182" s="204" t="e">
        <f>VLOOKUP(FF182,'SIMULADOR COM SALDO'!$BX$22:$CK$500,13,FALSE)</f>
        <v>#N/A</v>
      </c>
      <c r="FM182" s="243">
        <f t="shared" si="50"/>
        <v>1.9599999999999999E-2</v>
      </c>
    </row>
    <row r="183" spans="162:169" x14ac:dyDescent="0.25">
      <c r="FF183" s="698" t="s">
        <v>508</v>
      </c>
      <c r="FG183" s="700">
        <v>2.5000000000000001E-2</v>
      </c>
      <c r="FH183" s="700">
        <v>120</v>
      </c>
      <c r="FI183" s="699">
        <v>1.66E-2</v>
      </c>
      <c r="FJ183" s="699">
        <v>1.38E-2</v>
      </c>
      <c r="FK183" s="204">
        <f t="shared" si="49"/>
        <v>6.2222222222222236E-4</v>
      </c>
      <c r="FL183" s="204" t="e">
        <f>VLOOKUP(FF183,'SIMULADOR COM SALDO'!$BX$22:$CK$500,13,FALSE)</f>
        <v>#N/A</v>
      </c>
      <c r="FM183" s="243">
        <f t="shared" si="50"/>
        <v>1.6299999999999999E-2</v>
      </c>
    </row>
    <row r="184" spans="162:169" x14ac:dyDescent="0.25">
      <c r="FF184" s="698" t="s">
        <v>1301</v>
      </c>
      <c r="FG184" s="700">
        <v>2.5000000000000001E-2</v>
      </c>
      <c r="FH184" s="700">
        <v>120</v>
      </c>
      <c r="FI184" s="699">
        <v>1.7500000000000002E-2</v>
      </c>
      <c r="FJ184" s="699">
        <v>1.3999999999999999E-2</v>
      </c>
      <c r="FK184" s="204">
        <f t="shared" si="49"/>
        <v>6.1111111111111132E-4</v>
      </c>
      <c r="FL184" s="204" t="e">
        <f>VLOOKUP(FF184,'SIMULADOR COM SALDO'!$BX$22:$CK$500,13,FALSE)</f>
        <v>#N/A</v>
      </c>
      <c r="FM184" s="243">
        <f t="shared" si="50"/>
        <v>1.72E-2</v>
      </c>
    </row>
    <row r="185" spans="162:169" x14ac:dyDescent="0.25">
      <c r="FF185" s="698" t="s">
        <v>580</v>
      </c>
      <c r="FG185" s="700">
        <v>2.7000000000000003E-2</v>
      </c>
      <c r="FH185" s="700">
        <v>120</v>
      </c>
      <c r="FI185" s="699">
        <v>2.2000000000000002E-2</v>
      </c>
      <c r="FJ185" s="699">
        <v>1.4999999999999999E-2</v>
      </c>
      <c r="FK185" s="204">
        <f t="shared" si="49"/>
        <v>6.6666666666666686E-4</v>
      </c>
      <c r="FL185" s="204" t="e">
        <f>VLOOKUP(FF185,'SIMULADOR COM SALDO'!$BX$22:$CK$500,13,FALSE)</f>
        <v>#N/A</v>
      </c>
      <c r="FM185" s="243">
        <f t="shared" si="50"/>
        <v>2.1700000000000001E-2</v>
      </c>
    </row>
    <row r="186" spans="162:169" x14ac:dyDescent="0.25">
      <c r="FF186" s="701" t="s">
        <v>98</v>
      </c>
      <c r="FG186" s="700">
        <v>2.5000000000000001E-2</v>
      </c>
      <c r="FH186" s="700">
        <v>120</v>
      </c>
      <c r="FI186" s="699">
        <v>1.9900000000000001E-2</v>
      </c>
      <c r="FJ186" s="699">
        <v>1.49E-2</v>
      </c>
      <c r="FK186" s="204">
        <f t="shared" si="49"/>
        <v>5.6111111111111119E-4</v>
      </c>
      <c r="FL186" s="204" t="e">
        <f>VLOOKUP(FF186,'SIMULADOR COM SALDO'!$BX$22:$CK$500,13,FALSE)</f>
        <v>#N/A</v>
      </c>
      <c r="FM186" s="243">
        <f t="shared" si="50"/>
        <v>1.9599999999999999E-2</v>
      </c>
    </row>
    <row r="187" spans="162:169" x14ac:dyDescent="0.25">
      <c r="FF187" s="698" t="s">
        <v>3047</v>
      </c>
      <c r="FG187" s="700">
        <v>2.5000000000000001E-2</v>
      </c>
      <c r="FH187" s="700">
        <v>120</v>
      </c>
      <c r="FI187" s="699">
        <v>2.1499999999999998E-2</v>
      </c>
      <c r="FJ187" s="699">
        <v>1.55E-2</v>
      </c>
      <c r="FK187" s="204">
        <f t="shared" si="49"/>
        <v>5.2777777777777784E-4</v>
      </c>
      <c r="FL187" s="204" t="e">
        <f>VLOOKUP(FF187,'SIMULADOR COM SALDO'!$BX$22:$CK$500,13,FALSE)</f>
        <v>#N/A</v>
      </c>
      <c r="FM187" s="243">
        <f t="shared" si="50"/>
        <v>2.1199999999999997E-2</v>
      </c>
    </row>
    <row r="188" spans="162:169" x14ac:dyDescent="0.25">
      <c r="FF188" s="698" t="s">
        <v>3048</v>
      </c>
      <c r="FG188" s="700">
        <v>2.7999999999999997E-2</v>
      </c>
      <c r="FH188" s="700">
        <v>120</v>
      </c>
      <c r="FI188" s="699">
        <v>2.2000000000000002E-2</v>
      </c>
      <c r="FJ188" s="699">
        <v>1.4999999999999999E-2</v>
      </c>
      <c r="FK188" s="204">
        <f t="shared" si="49"/>
        <v>7.2222222222222208E-4</v>
      </c>
      <c r="FL188" s="204" t="e">
        <f>VLOOKUP(FF188,'SIMULADOR COM SALDO'!$BX$22:$CK$500,13,FALSE)</f>
        <v>#N/A</v>
      </c>
      <c r="FM188" s="243">
        <f t="shared" si="50"/>
        <v>2.1700000000000001E-2</v>
      </c>
    </row>
    <row r="189" spans="162:169" x14ac:dyDescent="0.25">
      <c r="FF189" s="698" t="s">
        <v>3751</v>
      </c>
      <c r="FG189" s="700">
        <v>2.5000000000000001E-2</v>
      </c>
      <c r="FH189" s="700">
        <v>120</v>
      </c>
      <c r="FI189" s="699">
        <v>2.1499999999999998E-2</v>
      </c>
      <c r="FJ189" s="699">
        <v>1.6200000000000003E-2</v>
      </c>
      <c r="FK189" s="204">
        <f t="shared" si="49"/>
        <v>4.8888888888888886E-4</v>
      </c>
      <c r="FL189" s="204" t="e">
        <f>VLOOKUP(FF189,'SIMULADOR COM SALDO'!$BX$22:$CK$500,13,FALSE)</f>
        <v>#N/A</v>
      </c>
      <c r="FM189" s="243">
        <f t="shared" si="50"/>
        <v>2.1199999999999997E-2</v>
      </c>
    </row>
    <row r="190" spans="162:169" x14ac:dyDescent="0.25">
      <c r="FF190" s="698" t="s">
        <v>3049</v>
      </c>
      <c r="FG190" s="700">
        <v>2.5000000000000001E-2</v>
      </c>
      <c r="FH190" s="700">
        <v>96</v>
      </c>
      <c r="FI190" s="699">
        <v>1.8500000000000003E-2</v>
      </c>
      <c r="FJ190" s="699">
        <v>1.4499999999999999E-2</v>
      </c>
      <c r="FK190" s="204">
        <f t="shared" si="49"/>
        <v>5.8333333333333349E-4</v>
      </c>
      <c r="FL190" s="204" t="e">
        <f>VLOOKUP(FF190,'SIMULADOR COM SALDO'!$BX$22:$CK$500,13,FALSE)</f>
        <v>#N/A</v>
      </c>
      <c r="FM190" s="243">
        <f t="shared" si="50"/>
        <v>1.8200000000000001E-2</v>
      </c>
    </row>
    <row r="191" spans="162:169" x14ac:dyDescent="0.25">
      <c r="FF191" s="698" t="s">
        <v>3050</v>
      </c>
      <c r="FG191" s="700">
        <v>2.5000000000000001E-2</v>
      </c>
      <c r="FH191" s="700">
        <v>96</v>
      </c>
      <c r="FI191" s="699">
        <v>1.8500000000000003E-2</v>
      </c>
      <c r="FJ191" s="699">
        <v>1.4499999999999999E-2</v>
      </c>
      <c r="FK191" s="204">
        <f t="shared" si="49"/>
        <v>5.8333333333333349E-4</v>
      </c>
      <c r="FL191" s="204" t="e">
        <f>VLOOKUP(FF191,'SIMULADOR COM SALDO'!$BX$22:$CK$500,13,FALSE)</f>
        <v>#N/A</v>
      </c>
      <c r="FM191" s="243">
        <f t="shared" si="50"/>
        <v>1.8200000000000001E-2</v>
      </c>
    </row>
    <row r="192" spans="162:169" x14ac:dyDescent="0.25">
      <c r="FF192" s="698" t="s">
        <v>1050</v>
      </c>
      <c r="FG192" s="700">
        <v>1.9E-2</v>
      </c>
      <c r="FH192" s="700">
        <v>96</v>
      </c>
      <c r="FI192" s="699">
        <v>1.7000000000000001E-2</v>
      </c>
      <c r="FJ192" s="699">
        <v>1.3999999999999999E-2</v>
      </c>
      <c r="FK192" s="204">
        <f t="shared" si="49"/>
        <v>2.7777777777777783E-4</v>
      </c>
      <c r="FL192" s="204" t="e">
        <f>VLOOKUP(FF192,'SIMULADOR COM SALDO'!$BX$22:$CK$500,13,FALSE)</f>
        <v>#N/A</v>
      </c>
      <c r="FM192" s="243">
        <f t="shared" si="50"/>
        <v>1.67E-2</v>
      </c>
    </row>
    <row r="193" spans="162:169" x14ac:dyDescent="0.25">
      <c r="FF193" s="698" t="s">
        <v>3051</v>
      </c>
      <c r="FG193" s="700">
        <v>2.5000000000000001E-2</v>
      </c>
      <c r="FH193" s="700">
        <v>96</v>
      </c>
      <c r="FI193" s="699">
        <v>1.7000000000000001E-2</v>
      </c>
      <c r="FJ193" s="699">
        <v>1.46E-2</v>
      </c>
      <c r="FK193" s="204">
        <f t="shared" si="49"/>
        <v>5.7777777777777786E-4</v>
      </c>
      <c r="FL193" s="204" t="e">
        <f>VLOOKUP(FF193,'SIMULADOR COM SALDO'!$BX$22:$CK$500,13,FALSE)</f>
        <v>#N/A</v>
      </c>
      <c r="FM193" s="243">
        <f t="shared" si="50"/>
        <v>1.67E-2</v>
      </c>
    </row>
    <row r="194" spans="162:169" x14ac:dyDescent="0.25">
      <c r="FF194" s="698" t="s">
        <v>3052</v>
      </c>
      <c r="FG194" s="700">
        <v>2.5000000000000001E-2</v>
      </c>
      <c r="FH194" s="700">
        <v>120</v>
      </c>
      <c r="FI194" s="699">
        <v>2.1000000000000001E-2</v>
      </c>
      <c r="FJ194" s="699">
        <v>1.6E-2</v>
      </c>
      <c r="FK194" s="204">
        <f t="shared" si="49"/>
        <v>5.0000000000000001E-4</v>
      </c>
      <c r="FL194" s="204" t="e">
        <f>VLOOKUP(FF194,'SIMULADOR COM SALDO'!$BX$22:$CK$500,13,FALSE)</f>
        <v>#N/A</v>
      </c>
      <c r="FM194" s="243">
        <f t="shared" si="50"/>
        <v>2.07E-2</v>
      </c>
    </row>
    <row r="195" spans="162:169" x14ac:dyDescent="0.25">
      <c r="FF195" s="698" t="s">
        <v>601</v>
      </c>
      <c r="FG195" s="700">
        <v>2.2499999999999999E-2</v>
      </c>
      <c r="FH195" s="700">
        <v>96</v>
      </c>
      <c r="FI195" s="699">
        <v>2.07E-2</v>
      </c>
      <c r="FJ195" s="699">
        <v>1.4999999999999999E-2</v>
      </c>
      <c r="FK195" s="204">
        <f t="shared" si="49"/>
        <v>4.1666666666666664E-4</v>
      </c>
      <c r="FL195" s="204" t="e">
        <f>VLOOKUP(FF195,'SIMULADOR COM SALDO'!$BX$22:$CK$500,13,FALSE)</f>
        <v>#N/A</v>
      </c>
      <c r="FM195" s="243">
        <f t="shared" si="50"/>
        <v>2.0399999999999998E-2</v>
      </c>
    </row>
    <row r="196" spans="162:169" x14ac:dyDescent="0.25">
      <c r="FF196" s="698" t="s">
        <v>375</v>
      </c>
      <c r="FG196" s="700">
        <v>2.5000000000000001E-2</v>
      </c>
      <c r="FH196" s="700">
        <v>96</v>
      </c>
      <c r="FI196" s="699">
        <v>1.6299999999999999E-2</v>
      </c>
      <c r="FJ196" s="699">
        <v>1.3500000000000002E-2</v>
      </c>
      <c r="FK196" s="204">
        <f t="shared" si="49"/>
        <v>6.3888888888888893E-4</v>
      </c>
      <c r="FL196" s="204" t="e">
        <f>VLOOKUP(FF196,'SIMULADOR COM SALDO'!$BX$22:$CK$500,13,FALSE)</f>
        <v>#N/A</v>
      </c>
      <c r="FM196" s="243">
        <f t="shared" si="50"/>
        <v>1.5999999999999997E-2</v>
      </c>
    </row>
    <row r="197" spans="162:169" x14ac:dyDescent="0.25">
      <c r="FF197" s="698" t="s">
        <v>1122</v>
      </c>
      <c r="FG197" s="700">
        <v>2.5000000000000001E-2</v>
      </c>
      <c r="FH197" s="700">
        <v>120</v>
      </c>
      <c r="FI197" s="699">
        <v>2.1000000000000001E-2</v>
      </c>
      <c r="FJ197" s="699">
        <v>1.49E-2</v>
      </c>
      <c r="FK197" s="204">
        <f t="shared" si="49"/>
        <v>5.6111111111111119E-4</v>
      </c>
      <c r="FL197" s="204" t="e">
        <f>VLOOKUP(FF197,'SIMULADOR COM SALDO'!$BX$22:$CK$500,13,FALSE)</f>
        <v>#N/A</v>
      </c>
      <c r="FM197" s="243">
        <f t="shared" si="50"/>
        <v>2.07E-2</v>
      </c>
    </row>
    <row r="198" spans="162:169" x14ac:dyDescent="0.25">
      <c r="FF198" s="698" t="s">
        <v>205</v>
      </c>
      <c r="FG198" s="700">
        <v>2.5000000000000001E-2</v>
      </c>
      <c r="FH198" s="700">
        <v>120</v>
      </c>
      <c r="FI198" s="699">
        <v>2.2000000000000002E-2</v>
      </c>
      <c r="FJ198" s="699">
        <v>1.7000000000000001E-2</v>
      </c>
      <c r="FK198" s="204">
        <f t="shared" si="49"/>
        <v>4.4444444444444447E-4</v>
      </c>
      <c r="FL198" s="204" t="e">
        <f>VLOOKUP(FF198,'SIMULADOR COM SALDO'!$BX$22:$CK$500,13,FALSE)</f>
        <v>#N/A</v>
      </c>
      <c r="FM198" s="243">
        <f t="shared" si="50"/>
        <v>2.1700000000000001E-2</v>
      </c>
    </row>
    <row r="199" spans="162:169" x14ac:dyDescent="0.25">
      <c r="FF199" s="698" t="s">
        <v>3053</v>
      </c>
      <c r="FG199" s="700">
        <v>2.5000000000000001E-2</v>
      </c>
      <c r="FH199" s="700">
        <v>120</v>
      </c>
      <c r="FI199" s="699">
        <v>1.95E-2</v>
      </c>
      <c r="FJ199" s="699">
        <v>1.4800000000000001E-2</v>
      </c>
      <c r="FK199" s="204">
        <f t="shared" si="49"/>
        <v>5.6666666666666671E-4</v>
      </c>
      <c r="FL199" s="204" t="e">
        <f>VLOOKUP(FF199,'SIMULADOR COM SALDO'!$BX$22:$CK$500,13,FALSE)</f>
        <v>#N/A</v>
      </c>
      <c r="FM199" s="243">
        <f t="shared" si="50"/>
        <v>1.9199999999999998E-2</v>
      </c>
    </row>
    <row r="200" spans="162:169" x14ac:dyDescent="0.25">
      <c r="FF200" s="698" t="s">
        <v>3054</v>
      </c>
      <c r="FG200" s="700">
        <v>2.5000000000000001E-2</v>
      </c>
      <c r="FH200" s="700">
        <v>120</v>
      </c>
      <c r="FI200" s="699">
        <v>1.95E-2</v>
      </c>
      <c r="FJ200" s="699">
        <v>1.4800000000000001E-2</v>
      </c>
      <c r="FK200" s="204">
        <f t="shared" si="49"/>
        <v>5.6666666666666671E-4</v>
      </c>
      <c r="FL200" s="204" t="e">
        <f>VLOOKUP(FF200,'SIMULADOR COM SALDO'!$BX$22:$CK$500,13,FALSE)</f>
        <v>#N/A</v>
      </c>
      <c r="FM200" s="243">
        <f t="shared" si="50"/>
        <v>1.9199999999999998E-2</v>
      </c>
    </row>
    <row r="201" spans="162:169" x14ac:dyDescent="0.25">
      <c r="FF201" s="698" t="s">
        <v>373</v>
      </c>
      <c r="FG201" s="700">
        <v>2.5000000000000001E-2</v>
      </c>
      <c r="FH201" s="700">
        <v>120</v>
      </c>
      <c r="FI201" s="699">
        <v>2.1499999999999998E-2</v>
      </c>
      <c r="FJ201" s="699">
        <v>1.6500000000000001E-2</v>
      </c>
      <c r="FK201" s="204">
        <f t="shared" si="49"/>
        <v>4.7222222222222224E-4</v>
      </c>
      <c r="FL201" s="204" t="e">
        <f>VLOOKUP(FF201,'SIMULADOR COM SALDO'!$BX$22:$CK$500,13,FALSE)</f>
        <v>#N/A</v>
      </c>
      <c r="FM201" s="243">
        <f t="shared" si="50"/>
        <v>2.1199999999999997E-2</v>
      </c>
    </row>
    <row r="202" spans="162:169" x14ac:dyDescent="0.25">
      <c r="FF202" s="698" t="s">
        <v>362</v>
      </c>
      <c r="FG202" s="700">
        <v>2.5000000000000001E-2</v>
      </c>
      <c r="FH202" s="700">
        <v>120</v>
      </c>
      <c r="FI202" s="699">
        <v>2.1499999999999998E-2</v>
      </c>
      <c r="FJ202" s="699">
        <v>1.6500000000000001E-2</v>
      </c>
      <c r="FK202" s="204">
        <f t="shared" si="49"/>
        <v>4.7222222222222224E-4</v>
      </c>
      <c r="FL202" s="204" t="e">
        <f>VLOOKUP(FF202,'SIMULADOR COM SALDO'!$BX$22:$CK$500,13,FALSE)</f>
        <v>#N/A</v>
      </c>
      <c r="FM202" s="243">
        <f t="shared" si="50"/>
        <v>2.1199999999999997E-2</v>
      </c>
    </row>
    <row r="203" spans="162:169" x14ac:dyDescent="0.25">
      <c r="FF203" s="698" t="s">
        <v>228</v>
      </c>
      <c r="FG203" s="700">
        <v>2.5000000000000001E-2</v>
      </c>
      <c r="FH203" s="700">
        <v>120</v>
      </c>
      <c r="FI203" s="699">
        <v>1.9900000000000001E-2</v>
      </c>
      <c r="FJ203" s="699">
        <v>1.6E-2</v>
      </c>
      <c r="FK203" s="204">
        <f t="shared" si="49"/>
        <v>5.0000000000000001E-4</v>
      </c>
      <c r="FL203" s="204" t="e">
        <f>VLOOKUP(FF203,'SIMULADOR COM SALDO'!$BX$22:$CK$500,13,FALSE)</f>
        <v>#N/A</v>
      </c>
      <c r="FM203" s="243">
        <f t="shared" si="50"/>
        <v>1.9599999999999999E-2</v>
      </c>
    </row>
    <row r="204" spans="162:169" x14ac:dyDescent="0.25">
      <c r="FF204" s="698" t="s">
        <v>854</v>
      </c>
      <c r="FG204" s="700">
        <v>2.2499999999999999E-2</v>
      </c>
      <c r="FH204" s="700">
        <v>120</v>
      </c>
      <c r="FI204" s="699">
        <v>1.9E-2</v>
      </c>
      <c r="FJ204" s="699">
        <v>1.4999999999999999E-2</v>
      </c>
      <c r="FK204" s="204">
        <f t="shared" ref="FK204:FK267" si="51">(FG204-FJ204)/18</f>
        <v>4.1666666666666664E-4</v>
      </c>
      <c r="FL204" s="204" t="e">
        <f>VLOOKUP(FF204,'SIMULADOR COM SALDO'!$BX$22:$CK$500,13,FALSE)</f>
        <v>#N/A</v>
      </c>
      <c r="FM204" s="243">
        <f t="shared" ref="FM204:FM267" si="52">FI204-0.03%</f>
        <v>1.8699999999999998E-2</v>
      </c>
    </row>
    <row r="205" spans="162:169" x14ac:dyDescent="0.25">
      <c r="FF205" s="698" t="s">
        <v>3055</v>
      </c>
      <c r="FG205" s="700">
        <v>2.5000000000000001E-2</v>
      </c>
      <c r="FH205" s="700">
        <v>120</v>
      </c>
      <c r="FI205" s="699">
        <v>2.0400000000000001E-2</v>
      </c>
      <c r="FJ205" s="699">
        <v>1.4999999999999999E-2</v>
      </c>
      <c r="FK205" s="204">
        <f t="shared" si="51"/>
        <v>5.5555555555555566E-4</v>
      </c>
      <c r="FL205" s="204" t="e">
        <f>VLOOKUP(FF205,'SIMULADOR COM SALDO'!$BX$22:$CK$500,13,FALSE)</f>
        <v>#N/A</v>
      </c>
      <c r="FM205" s="243">
        <f t="shared" si="52"/>
        <v>2.01E-2</v>
      </c>
    </row>
    <row r="206" spans="162:169" x14ac:dyDescent="0.25">
      <c r="FF206" s="698" t="s">
        <v>552</v>
      </c>
      <c r="FG206" s="700">
        <v>2.6000000000000002E-2</v>
      </c>
      <c r="FH206" s="700">
        <v>120</v>
      </c>
      <c r="FI206" s="699">
        <v>2.0299999999999999E-2</v>
      </c>
      <c r="FJ206" s="699">
        <v>1.8000000000000002E-2</v>
      </c>
      <c r="FK206" s="204">
        <f t="shared" si="51"/>
        <v>4.4444444444444447E-4</v>
      </c>
      <c r="FL206" s="204" t="e">
        <f>VLOOKUP(FF206,'SIMULADOR COM SALDO'!$BX$22:$CK$500,13,FALSE)</f>
        <v>#N/A</v>
      </c>
      <c r="FM206" s="243">
        <f t="shared" si="52"/>
        <v>1.9999999999999997E-2</v>
      </c>
    </row>
    <row r="207" spans="162:169" x14ac:dyDescent="0.25">
      <c r="FF207" s="698" t="s">
        <v>355</v>
      </c>
      <c r="FG207" s="700">
        <v>2.5000000000000001E-2</v>
      </c>
      <c r="FH207" s="700">
        <v>120</v>
      </c>
      <c r="FI207" s="699">
        <v>2.1000000000000001E-2</v>
      </c>
      <c r="FJ207" s="699">
        <v>1.7500000000000002E-2</v>
      </c>
      <c r="FK207" s="204">
        <f t="shared" si="51"/>
        <v>4.1666666666666664E-4</v>
      </c>
      <c r="FL207" s="204" t="e">
        <f>VLOOKUP(FF207,'SIMULADOR COM SALDO'!$BX$22:$CK$500,13,FALSE)</f>
        <v>#N/A</v>
      </c>
      <c r="FM207" s="243">
        <f t="shared" si="52"/>
        <v>2.07E-2</v>
      </c>
    </row>
    <row r="208" spans="162:169" x14ac:dyDescent="0.25">
      <c r="FF208" s="698" t="s">
        <v>3056</v>
      </c>
      <c r="FG208" s="700">
        <v>2.5000000000000001E-2</v>
      </c>
      <c r="FH208" s="700">
        <v>120</v>
      </c>
      <c r="FI208" s="699">
        <v>1.8600000000000002E-2</v>
      </c>
      <c r="FJ208" s="699">
        <v>1.4499999999999999E-2</v>
      </c>
      <c r="FK208" s="204">
        <f t="shared" si="51"/>
        <v>5.8333333333333349E-4</v>
      </c>
      <c r="FL208" s="204" t="e">
        <f>VLOOKUP(FF208,'SIMULADOR COM SALDO'!$BX$22:$CK$500,13,FALSE)</f>
        <v>#N/A</v>
      </c>
      <c r="FM208" s="243">
        <f t="shared" si="52"/>
        <v>1.83E-2</v>
      </c>
    </row>
    <row r="209" spans="162:169" x14ac:dyDescent="0.25">
      <c r="FF209" s="698" t="s">
        <v>3057</v>
      </c>
      <c r="FG209" s="700">
        <v>2.5000000000000001E-2</v>
      </c>
      <c r="FH209" s="700">
        <v>120</v>
      </c>
      <c r="FI209" s="699">
        <v>1.8600000000000002E-2</v>
      </c>
      <c r="FJ209" s="699">
        <v>1.4499999999999999E-2</v>
      </c>
      <c r="FK209" s="204">
        <f t="shared" si="51"/>
        <v>5.8333333333333349E-4</v>
      </c>
      <c r="FL209" s="204" t="e">
        <f>VLOOKUP(FF209,'SIMULADOR COM SALDO'!$BX$22:$CK$500,13,FALSE)</f>
        <v>#N/A</v>
      </c>
      <c r="FM209" s="243">
        <f t="shared" si="52"/>
        <v>1.83E-2</v>
      </c>
    </row>
    <row r="210" spans="162:169" x14ac:dyDescent="0.25">
      <c r="FF210" s="698" t="s">
        <v>385</v>
      </c>
      <c r="FG210" s="700">
        <v>2.5000000000000001E-2</v>
      </c>
      <c r="FH210" s="700">
        <v>120</v>
      </c>
      <c r="FI210" s="699">
        <v>2.12E-2</v>
      </c>
      <c r="FJ210" s="699">
        <v>1.5900000000000001E-2</v>
      </c>
      <c r="FK210" s="204">
        <f t="shared" si="51"/>
        <v>5.0555555555555553E-4</v>
      </c>
      <c r="FL210" s="204" t="e">
        <f>VLOOKUP(FF210,'SIMULADOR COM SALDO'!$BX$22:$CK$500,13,FALSE)</f>
        <v>#N/A</v>
      </c>
      <c r="FM210" s="243">
        <f t="shared" si="52"/>
        <v>2.0899999999999998E-2</v>
      </c>
    </row>
    <row r="211" spans="162:169" x14ac:dyDescent="0.25">
      <c r="FF211" s="698" t="s">
        <v>751</v>
      </c>
      <c r="FG211" s="700">
        <v>2.5000000000000001E-2</v>
      </c>
      <c r="FH211" s="700">
        <v>120</v>
      </c>
      <c r="FI211" s="699">
        <v>1.7899999999999999E-2</v>
      </c>
      <c r="FJ211" s="699">
        <v>1.4499999999999999E-2</v>
      </c>
      <c r="FK211" s="204">
        <f t="shared" si="51"/>
        <v>5.8333333333333349E-4</v>
      </c>
      <c r="FL211" s="204" t="e">
        <f>VLOOKUP(FF211,'SIMULADOR COM SALDO'!$BX$22:$CK$500,13,FALSE)</f>
        <v>#N/A</v>
      </c>
      <c r="FM211" s="243">
        <f t="shared" si="52"/>
        <v>1.7599999999999998E-2</v>
      </c>
    </row>
    <row r="212" spans="162:169" x14ac:dyDescent="0.25">
      <c r="FF212" s="698" t="s">
        <v>363</v>
      </c>
      <c r="FG212" s="700">
        <v>2.5000000000000001E-2</v>
      </c>
      <c r="FH212" s="700">
        <v>120</v>
      </c>
      <c r="FI212" s="699">
        <v>1.6399999999999998E-2</v>
      </c>
      <c r="FJ212" s="699">
        <v>1.3000000000000001E-2</v>
      </c>
      <c r="FK212" s="204">
        <f t="shared" si="51"/>
        <v>6.6666666666666664E-4</v>
      </c>
      <c r="FL212" s="204" t="e">
        <f>VLOOKUP(FF212,'SIMULADOR COM SALDO'!$BX$22:$CK$500,13,FALSE)</f>
        <v>#N/A</v>
      </c>
      <c r="FM212" s="243">
        <f t="shared" si="52"/>
        <v>1.6099999999999996E-2</v>
      </c>
    </row>
    <row r="213" spans="162:169" x14ac:dyDescent="0.25">
      <c r="FF213" s="698" t="s">
        <v>364</v>
      </c>
      <c r="FG213" s="700">
        <v>2.5000000000000001E-2</v>
      </c>
      <c r="FH213" s="700">
        <v>120</v>
      </c>
      <c r="FI213" s="699">
        <v>1.6399999999999998E-2</v>
      </c>
      <c r="FJ213" s="699">
        <v>1.3000000000000001E-2</v>
      </c>
      <c r="FK213" s="204">
        <f t="shared" si="51"/>
        <v>6.6666666666666664E-4</v>
      </c>
      <c r="FL213" s="204" t="e">
        <f>VLOOKUP(FF213,'SIMULADOR COM SALDO'!$BX$22:$CK$500,13,FALSE)</f>
        <v>#N/A</v>
      </c>
      <c r="FM213" s="243">
        <f t="shared" si="52"/>
        <v>1.6099999999999996E-2</v>
      </c>
    </row>
    <row r="214" spans="162:169" x14ac:dyDescent="0.25">
      <c r="FF214" s="698" t="s">
        <v>365</v>
      </c>
      <c r="FG214" s="700">
        <v>2.5000000000000001E-2</v>
      </c>
      <c r="FH214" s="700">
        <v>120</v>
      </c>
      <c r="FI214" s="699">
        <v>1.6399999999999998E-2</v>
      </c>
      <c r="FJ214" s="699">
        <v>1.3000000000000001E-2</v>
      </c>
      <c r="FK214" s="204">
        <f t="shared" si="51"/>
        <v>6.6666666666666664E-4</v>
      </c>
      <c r="FL214" s="204" t="e">
        <f>VLOOKUP(FF214,'SIMULADOR COM SALDO'!$BX$22:$CK$500,13,FALSE)</f>
        <v>#N/A</v>
      </c>
      <c r="FM214" s="243">
        <f t="shared" si="52"/>
        <v>1.6099999999999996E-2</v>
      </c>
    </row>
    <row r="215" spans="162:169" x14ac:dyDescent="0.25">
      <c r="FF215" s="698" t="s">
        <v>2466</v>
      </c>
      <c r="FG215" s="700">
        <v>2.5000000000000001E-2</v>
      </c>
      <c r="FH215" s="700">
        <v>96</v>
      </c>
      <c r="FI215" s="699">
        <v>2.1499999999999998E-2</v>
      </c>
      <c r="FJ215" s="699">
        <v>1.6500000000000001E-2</v>
      </c>
      <c r="FK215" s="204">
        <f t="shared" si="51"/>
        <v>4.7222222222222224E-4</v>
      </c>
      <c r="FL215" s="204" t="e">
        <f>VLOOKUP(FF215,'SIMULADOR COM SALDO'!$BX$22:$CK$500,13,FALSE)</f>
        <v>#N/A</v>
      </c>
      <c r="FM215" s="243">
        <f t="shared" si="52"/>
        <v>2.1199999999999997E-2</v>
      </c>
    </row>
    <row r="216" spans="162:169" x14ac:dyDescent="0.25">
      <c r="FF216" s="698" t="s">
        <v>336</v>
      </c>
      <c r="FG216" s="700">
        <v>2.5000000000000001E-2</v>
      </c>
      <c r="FH216" s="700">
        <v>120</v>
      </c>
      <c r="FI216" s="699">
        <v>1.6899999999999998E-2</v>
      </c>
      <c r="FJ216" s="699">
        <v>1.3899999999999999E-2</v>
      </c>
      <c r="FK216" s="204">
        <f t="shared" si="51"/>
        <v>6.1666666666666684E-4</v>
      </c>
      <c r="FL216" s="204" t="e">
        <f>VLOOKUP(FF216,'SIMULADOR COM SALDO'!$BX$22:$CK$500,13,FALSE)</f>
        <v>#N/A</v>
      </c>
      <c r="FM216" s="243">
        <f t="shared" si="52"/>
        <v>1.6599999999999997E-2</v>
      </c>
    </row>
    <row r="217" spans="162:169" x14ac:dyDescent="0.25">
      <c r="FF217" s="698" t="s">
        <v>3058</v>
      </c>
      <c r="FG217" s="700">
        <v>2.5000000000000001E-2</v>
      </c>
      <c r="FH217" s="700">
        <v>120</v>
      </c>
      <c r="FI217" s="699">
        <v>1.8500000000000003E-2</v>
      </c>
      <c r="FJ217" s="699">
        <v>1.4999999999999999E-2</v>
      </c>
      <c r="FK217" s="204">
        <f t="shared" si="51"/>
        <v>5.5555555555555566E-4</v>
      </c>
      <c r="FL217" s="204" t="e">
        <f>VLOOKUP(FF217,'SIMULADOR COM SALDO'!$BX$22:$CK$500,13,FALSE)</f>
        <v>#N/A</v>
      </c>
      <c r="FM217" s="243">
        <f t="shared" si="52"/>
        <v>1.8200000000000001E-2</v>
      </c>
    </row>
    <row r="218" spans="162:169" x14ac:dyDescent="0.25">
      <c r="FF218" s="698" t="s">
        <v>3838</v>
      </c>
      <c r="FG218" s="700">
        <v>2.5000000000000001E-2</v>
      </c>
      <c r="FH218" s="700">
        <v>120</v>
      </c>
      <c r="FI218" s="699">
        <v>1.7899999999999999E-2</v>
      </c>
      <c r="FJ218" s="699">
        <v>1.3999999999999999E-2</v>
      </c>
      <c r="FK218" s="204">
        <f t="shared" si="51"/>
        <v>6.1111111111111132E-4</v>
      </c>
      <c r="FL218" s="204" t="e">
        <f>VLOOKUP(FF218,'SIMULADOR COM SALDO'!$BX$22:$CK$500,13,FALSE)</f>
        <v>#N/A</v>
      </c>
      <c r="FM218" s="243">
        <f t="shared" si="52"/>
        <v>1.7599999999999998E-2</v>
      </c>
    </row>
    <row r="219" spans="162:169" x14ac:dyDescent="0.25">
      <c r="FF219" s="698" t="s">
        <v>3941</v>
      </c>
      <c r="FG219" s="700">
        <v>2.5000000000000001E-2</v>
      </c>
      <c r="FH219" s="700">
        <v>120</v>
      </c>
      <c r="FI219" s="699">
        <v>1.7899999999999999E-2</v>
      </c>
      <c r="FJ219" s="699">
        <v>1.3999999999999999E-2</v>
      </c>
      <c r="FK219" s="204">
        <f t="shared" si="51"/>
        <v>6.1111111111111132E-4</v>
      </c>
      <c r="FL219" s="204" t="e">
        <f>VLOOKUP(FF219,'SIMULADOR COM SALDO'!$BX$22:$CK$500,13,FALSE)</f>
        <v>#N/A</v>
      </c>
      <c r="FM219" s="243">
        <f t="shared" si="52"/>
        <v>1.7599999999999998E-2</v>
      </c>
    </row>
    <row r="220" spans="162:169" x14ac:dyDescent="0.25">
      <c r="FF220" s="698" t="s">
        <v>3839</v>
      </c>
      <c r="FG220" s="700">
        <v>2.5000000000000001E-2</v>
      </c>
      <c r="FH220" s="700">
        <v>120</v>
      </c>
      <c r="FI220" s="699">
        <v>1.7899999999999999E-2</v>
      </c>
      <c r="FJ220" s="699">
        <v>1.3999999999999999E-2</v>
      </c>
      <c r="FK220" s="204">
        <f t="shared" si="51"/>
        <v>6.1111111111111132E-4</v>
      </c>
      <c r="FL220" s="204" t="e">
        <f>VLOOKUP(FF220,'SIMULADOR COM SALDO'!$BX$22:$CK$500,13,FALSE)</f>
        <v>#N/A</v>
      </c>
      <c r="FM220" s="243">
        <f t="shared" si="52"/>
        <v>1.7599999999999998E-2</v>
      </c>
    </row>
    <row r="221" spans="162:169" x14ac:dyDescent="0.25">
      <c r="FF221" s="698" t="s">
        <v>3956</v>
      </c>
      <c r="FG221" s="700">
        <v>2.5000000000000001E-2</v>
      </c>
      <c r="FH221" s="700">
        <v>120</v>
      </c>
      <c r="FI221" s="699">
        <v>1.7899999999999999E-2</v>
      </c>
      <c r="FJ221" s="699">
        <v>1.3999999999999999E-2</v>
      </c>
      <c r="FK221" s="204">
        <f t="shared" si="51"/>
        <v>6.1111111111111132E-4</v>
      </c>
      <c r="FL221" s="204" t="e">
        <f>VLOOKUP(FF221,'SIMULADOR COM SALDO'!$BX$22:$CK$500,13,FALSE)</f>
        <v>#N/A</v>
      </c>
      <c r="FM221" s="243">
        <f t="shared" si="52"/>
        <v>1.7599999999999998E-2</v>
      </c>
    </row>
    <row r="222" spans="162:169" x14ac:dyDescent="0.25">
      <c r="FF222" s="698" t="s">
        <v>3065</v>
      </c>
      <c r="FG222" s="700">
        <v>2.4900000000000002E-2</v>
      </c>
      <c r="FH222" s="700">
        <v>120</v>
      </c>
      <c r="FI222" s="699">
        <v>1.4999999999999999E-2</v>
      </c>
      <c r="FJ222" s="699">
        <v>1.29E-2</v>
      </c>
      <c r="FK222" s="204">
        <f t="shared" si="51"/>
        <v>6.6666666666666675E-4</v>
      </c>
      <c r="FL222" s="204" t="e">
        <f>VLOOKUP(FF222,'SIMULADOR COM SALDO'!$BX$22:$CK$500,13,FALSE)</f>
        <v>#N/A</v>
      </c>
      <c r="FM222" s="243">
        <f t="shared" si="52"/>
        <v>1.47E-2</v>
      </c>
    </row>
    <row r="223" spans="162:169" x14ac:dyDescent="0.25">
      <c r="FF223" s="698" t="s">
        <v>3957</v>
      </c>
      <c r="FG223" s="700">
        <v>2.2499999999999999E-2</v>
      </c>
      <c r="FH223" s="700">
        <v>120</v>
      </c>
      <c r="FI223" s="699">
        <v>2.0499999999999997E-2</v>
      </c>
      <c r="FJ223" s="699">
        <v>1.4999999999999999E-2</v>
      </c>
      <c r="FK223" s="204">
        <f t="shared" si="51"/>
        <v>4.1666666666666664E-4</v>
      </c>
      <c r="FL223" s="204" t="e">
        <f>VLOOKUP(FF223,'SIMULADOR COM SALDO'!$BX$22:$CK$500,13,FALSE)</f>
        <v>#N/A</v>
      </c>
      <c r="FM223" s="243">
        <f t="shared" si="52"/>
        <v>2.0199999999999996E-2</v>
      </c>
    </row>
    <row r="224" spans="162:169" x14ac:dyDescent="0.25">
      <c r="FF224" s="698" t="s">
        <v>398</v>
      </c>
      <c r="FG224" s="700">
        <v>2.5000000000000001E-2</v>
      </c>
      <c r="FH224" s="700">
        <v>120</v>
      </c>
      <c r="FI224" s="699">
        <v>1.72E-2</v>
      </c>
      <c r="FJ224" s="699">
        <v>1.4999999999999999E-2</v>
      </c>
      <c r="FK224" s="204">
        <f t="shared" si="51"/>
        <v>5.5555555555555566E-4</v>
      </c>
      <c r="FL224" s="204" t="e">
        <f>VLOOKUP(FF224,'SIMULADOR COM SALDO'!$BX$22:$CK$500,13,FALSE)</f>
        <v>#N/A</v>
      </c>
      <c r="FM224" s="243">
        <f t="shared" si="52"/>
        <v>1.6899999999999998E-2</v>
      </c>
    </row>
    <row r="225" spans="162:169" x14ac:dyDescent="0.25">
      <c r="FF225" s="698" t="s">
        <v>582</v>
      </c>
      <c r="FG225" s="700">
        <v>2.5000000000000001E-2</v>
      </c>
      <c r="FH225" s="700">
        <v>96</v>
      </c>
      <c r="FI225" s="699">
        <v>2.0899999999999998E-2</v>
      </c>
      <c r="FJ225" s="699">
        <v>1.5900000000000001E-2</v>
      </c>
      <c r="FK225" s="204">
        <f t="shared" si="51"/>
        <v>5.0555555555555553E-4</v>
      </c>
      <c r="FL225" s="204" t="e">
        <f>VLOOKUP(FF225,'SIMULADOR COM SALDO'!$BX$22:$CK$500,13,FALSE)</f>
        <v>#N/A</v>
      </c>
      <c r="FM225" s="243">
        <f t="shared" si="52"/>
        <v>2.0599999999999997E-2</v>
      </c>
    </row>
    <row r="226" spans="162:169" x14ac:dyDescent="0.25">
      <c r="FF226" s="698" t="s">
        <v>2086</v>
      </c>
      <c r="FG226" s="700">
        <v>1.9599999999999999E-2</v>
      </c>
      <c r="FH226" s="700">
        <v>96</v>
      </c>
      <c r="FI226" s="699">
        <v>1.9599999999999999E-2</v>
      </c>
      <c r="FJ226" s="699">
        <v>1.7100000000000001E-2</v>
      </c>
      <c r="FK226" s="204">
        <f t="shared" si="51"/>
        <v>1.3888888888888881E-4</v>
      </c>
      <c r="FL226" s="204" t="e">
        <f>VLOOKUP(FF226,'SIMULADOR COM SALDO'!$BX$22:$CK$500,13,FALSE)</f>
        <v>#N/A</v>
      </c>
      <c r="FM226" s="243">
        <f t="shared" si="52"/>
        <v>1.9299999999999998E-2</v>
      </c>
    </row>
    <row r="227" spans="162:169" x14ac:dyDescent="0.25">
      <c r="FF227" s="698" t="s">
        <v>374</v>
      </c>
      <c r="FG227" s="700">
        <v>2.5000000000000001E-2</v>
      </c>
      <c r="FH227" s="700">
        <v>120</v>
      </c>
      <c r="FI227" s="699">
        <v>2.2099999999999998E-2</v>
      </c>
      <c r="FJ227" s="699">
        <v>1.6E-2</v>
      </c>
      <c r="FK227" s="204">
        <f t="shared" si="51"/>
        <v>5.0000000000000001E-4</v>
      </c>
      <c r="FL227" s="204" t="e">
        <f>VLOOKUP(FF227,'SIMULADOR COM SALDO'!$BX$22:$CK$500,13,FALSE)</f>
        <v>#N/A</v>
      </c>
      <c r="FM227" s="243">
        <f t="shared" si="52"/>
        <v>2.1799999999999996E-2</v>
      </c>
    </row>
    <row r="228" spans="162:169" x14ac:dyDescent="0.25">
      <c r="FF228" s="698" t="s">
        <v>3840</v>
      </c>
      <c r="FG228" s="700">
        <v>2.5000000000000001E-2</v>
      </c>
      <c r="FH228" s="700">
        <v>120</v>
      </c>
      <c r="FI228" s="699">
        <v>1.7899999999999999E-2</v>
      </c>
      <c r="FJ228" s="699">
        <v>1.5900000000000001E-2</v>
      </c>
      <c r="FK228" s="204">
        <f t="shared" si="51"/>
        <v>5.0555555555555553E-4</v>
      </c>
      <c r="FL228" s="204" t="e">
        <f>VLOOKUP(FF228,'SIMULADOR COM SALDO'!$BX$22:$CK$500,13,FALSE)</f>
        <v>#N/A</v>
      </c>
      <c r="FM228" s="243">
        <f t="shared" si="52"/>
        <v>1.7599999999999998E-2</v>
      </c>
    </row>
    <row r="229" spans="162:169" x14ac:dyDescent="0.25">
      <c r="FF229" s="698" t="s">
        <v>3066</v>
      </c>
      <c r="FG229" s="700">
        <v>1.9E-2</v>
      </c>
      <c r="FH229" s="700">
        <v>120</v>
      </c>
      <c r="FI229" s="699">
        <v>1.7000000000000001E-2</v>
      </c>
      <c r="FJ229" s="699">
        <v>1.4499999999999999E-2</v>
      </c>
      <c r="FK229" s="204">
        <f t="shared" si="51"/>
        <v>2.5000000000000001E-4</v>
      </c>
      <c r="FL229" s="204" t="e">
        <f>VLOOKUP(FF229,'SIMULADOR COM SALDO'!$BX$22:$CK$500,13,FALSE)</f>
        <v>#N/A</v>
      </c>
      <c r="FM229" s="243">
        <f t="shared" si="52"/>
        <v>1.67E-2</v>
      </c>
    </row>
    <row r="230" spans="162:169" x14ac:dyDescent="0.25">
      <c r="FF230" s="698" t="s">
        <v>752</v>
      </c>
      <c r="FG230" s="700">
        <v>2.4900000000000002E-2</v>
      </c>
      <c r="FH230" s="700">
        <v>96</v>
      </c>
      <c r="FI230" s="699">
        <v>2.2099999999999998E-2</v>
      </c>
      <c r="FJ230" s="699">
        <v>1.8799999999999997E-2</v>
      </c>
      <c r="FK230" s="204">
        <f t="shared" si="51"/>
        <v>3.3888888888888917E-4</v>
      </c>
      <c r="FL230" s="204" t="e">
        <f>VLOOKUP(FF230,'SIMULADOR COM SALDO'!$BX$22:$CK$500,13,FALSE)</f>
        <v>#N/A</v>
      </c>
      <c r="FM230" s="243">
        <f t="shared" si="52"/>
        <v>2.1799999999999996E-2</v>
      </c>
    </row>
    <row r="231" spans="162:169" x14ac:dyDescent="0.25">
      <c r="FF231" s="698" t="s">
        <v>3067</v>
      </c>
      <c r="FG231" s="700">
        <v>2.5000000000000001E-2</v>
      </c>
      <c r="FH231" s="700">
        <v>120</v>
      </c>
      <c r="FI231" s="699">
        <v>2.2000000000000002E-2</v>
      </c>
      <c r="FJ231" s="699">
        <v>1.4999999999999999E-2</v>
      </c>
      <c r="FK231" s="204">
        <f t="shared" si="51"/>
        <v>5.5555555555555566E-4</v>
      </c>
      <c r="FL231" s="204" t="e">
        <f>VLOOKUP(FF231,'SIMULADOR COM SALDO'!$BX$22:$CK$500,13,FALSE)</f>
        <v>#N/A</v>
      </c>
      <c r="FM231" s="243">
        <f t="shared" si="52"/>
        <v>2.1700000000000001E-2</v>
      </c>
    </row>
    <row r="232" spans="162:169" x14ac:dyDescent="0.25">
      <c r="FF232" s="698" t="s">
        <v>1124</v>
      </c>
      <c r="FG232" s="700">
        <v>2.5000000000000001E-2</v>
      </c>
      <c r="FH232" s="700">
        <v>120</v>
      </c>
      <c r="FI232" s="699">
        <v>2.0299999999999999E-2</v>
      </c>
      <c r="FJ232" s="699">
        <v>1.34E-2</v>
      </c>
      <c r="FK232" s="204">
        <f t="shared" si="51"/>
        <v>6.4444444444444445E-4</v>
      </c>
      <c r="FL232" s="204" t="e">
        <f>VLOOKUP(FF232,'SIMULADOR COM SALDO'!$BX$22:$CK$500,13,FALSE)</f>
        <v>#N/A</v>
      </c>
      <c r="FM232" s="243">
        <f t="shared" si="52"/>
        <v>1.9999999999999997E-2</v>
      </c>
    </row>
    <row r="233" spans="162:169" x14ac:dyDescent="0.25">
      <c r="FF233" s="698" t="s">
        <v>286</v>
      </c>
      <c r="FG233" s="700">
        <v>2.5000000000000001E-2</v>
      </c>
      <c r="FH233" s="700">
        <v>120</v>
      </c>
      <c r="FI233" s="699">
        <v>2.2499999999999999E-2</v>
      </c>
      <c r="FJ233" s="699">
        <v>1.55E-2</v>
      </c>
      <c r="FK233" s="204">
        <f t="shared" si="51"/>
        <v>5.2777777777777784E-4</v>
      </c>
      <c r="FL233" s="204" t="e">
        <f>VLOOKUP(FF233,'SIMULADOR COM SALDO'!$BX$22:$CK$500,13,FALSE)</f>
        <v>#N/A</v>
      </c>
      <c r="FM233" s="243">
        <f t="shared" si="52"/>
        <v>2.2199999999999998E-2</v>
      </c>
    </row>
    <row r="234" spans="162:169" x14ac:dyDescent="0.25">
      <c r="FF234" s="698" t="s">
        <v>3068</v>
      </c>
      <c r="FG234" s="700">
        <v>2.5000000000000001E-2</v>
      </c>
      <c r="FH234" s="700">
        <v>120</v>
      </c>
      <c r="FI234" s="699">
        <v>2.5000000000000001E-2</v>
      </c>
      <c r="FJ234" s="699">
        <v>1.8600000000000002E-2</v>
      </c>
      <c r="FK234" s="204">
        <f t="shared" si="51"/>
        <v>3.5555555555555552E-4</v>
      </c>
      <c r="FL234" s="204" t="e">
        <f>VLOOKUP(FF234,'SIMULADOR COM SALDO'!$BX$22:$CK$500,13,FALSE)</f>
        <v>#N/A</v>
      </c>
      <c r="FM234" s="243">
        <f t="shared" si="52"/>
        <v>2.47E-2</v>
      </c>
    </row>
    <row r="235" spans="162:169" x14ac:dyDescent="0.25">
      <c r="FF235" s="698" t="s">
        <v>3069</v>
      </c>
      <c r="FG235" s="700">
        <v>2.5000000000000001E-2</v>
      </c>
      <c r="FH235" s="700">
        <v>120</v>
      </c>
      <c r="FI235" s="699">
        <v>2.0199999999999999E-2</v>
      </c>
      <c r="FJ235" s="699">
        <v>1.3500000000000002E-2</v>
      </c>
      <c r="FK235" s="204">
        <f t="shared" si="51"/>
        <v>6.3888888888888893E-4</v>
      </c>
      <c r="FL235" s="204" t="e">
        <f>VLOOKUP(FF235,'SIMULADOR COM SALDO'!$BX$22:$CK$500,13,FALSE)</f>
        <v>#N/A</v>
      </c>
      <c r="FM235" s="243">
        <f t="shared" si="52"/>
        <v>1.9899999999999998E-2</v>
      </c>
    </row>
    <row r="236" spans="162:169" x14ac:dyDescent="0.25">
      <c r="FF236" s="698" t="s">
        <v>3070</v>
      </c>
      <c r="FG236" s="700">
        <v>2.5000000000000001E-2</v>
      </c>
      <c r="FH236" s="700">
        <v>120</v>
      </c>
      <c r="FI236" s="699">
        <v>2.3E-2</v>
      </c>
      <c r="FJ236" s="699">
        <v>1.6E-2</v>
      </c>
      <c r="FK236" s="204">
        <f t="shared" si="51"/>
        <v>5.0000000000000001E-4</v>
      </c>
      <c r="FL236" s="204" t="e">
        <f>VLOOKUP(FF236,'SIMULADOR COM SALDO'!$BX$22:$CK$500,13,FALSE)</f>
        <v>#N/A</v>
      </c>
      <c r="FM236" s="243">
        <f t="shared" si="52"/>
        <v>2.2699999999999998E-2</v>
      </c>
    </row>
    <row r="237" spans="162:169" x14ac:dyDescent="0.25">
      <c r="FF237" s="698" t="s">
        <v>3071</v>
      </c>
      <c r="FG237" s="700">
        <v>2.5000000000000001E-2</v>
      </c>
      <c r="FH237" s="700">
        <v>120</v>
      </c>
      <c r="FI237" s="699">
        <v>2.3E-2</v>
      </c>
      <c r="FJ237" s="699">
        <v>1.6E-2</v>
      </c>
      <c r="FK237" s="204">
        <f t="shared" si="51"/>
        <v>5.0000000000000001E-4</v>
      </c>
      <c r="FL237" s="204" t="e">
        <f>VLOOKUP(FF237,'SIMULADOR COM SALDO'!$BX$22:$CK$500,13,FALSE)</f>
        <v>#N/A</v>
      </c>
      <c r="FM237" s="243">
        <f t="shared" si="52"/>
        <v>2.2699999999999998E-2</v>
      </c>
    </row>
    <row r="238" spans="162:169" x14ac:dyDescent="0.25">
      <c r="FF238" s="698" t="s">
        <v>337</v>
      </c>
      <c r="FG238" s="700">
        <v>2.5000000000000001E-2</v>
      </c>
      <c r="FH238" s="700">
        <v>120</v>
      </c>
      <c r="FI238" s="699">
        <v>2.0199999999999999E-2</v>
      </c>
      <c r="FJ238" s="699">
        <v>1.3999999999999999E-2</v>
      </c>
      <c r="FK238" s="204">
        <f t="shared" si="51"/>
        <v>6.1111111111111132E-4</v>
      </c>
      <c r="FL238" s="204" t="e">
        <f>VLOOKUP(FF238,'SIMULADOR COM SALDO'!$BX$22:$CK$500,13,FALSE)</f>
        <v>#N/A</v>
      </c>
      <c r="FM238" s="243">
        <f t="shared" si="52"/>
        <v>1.9899999999999998E-2</v>
      </c>
    </row>
    <row r="239" spans="162:169" x14ac:dyDescent="0.25">
      <c r="FF239" s="698" t="s">
        <v>2776</v>
      </c>
      <c r="FG239" s="700">
        <v>2.5000000000000001E-2</v>
      </c>
      <c r="FH239" s="700">
        <v>120</v>
      </c>
      <c r="FI239" s="699">
        <v>1.89E-2</v>
      </c>
      <c r="FJ239" s="699">
        <v>1.49E-2</v>
      </c>
      <c r="FK239" s="204">
        <f t="shared" si="51"/>
        <v>5.6111111111111119E-4</v>
      </c>
      <c r="FL239" s="204" t="e">
        <f>VLOOKUP(FF239,'SIMULADOR COM SALDO'!$BX$22:$CK$500,13,FALSE)</f>
        <v>#N/A</v>
      </c>
      <c r="FM239" s="243">
        <f t="shared" si="52"/>
        <v>1.8599999999999998E-2</v>
      </c>
    </row>
    <row r="240" spans="162:169" x14ac:dyDescent="0.25">
      <c r="FF240" s="698" t="s">
        <v>3072</v>
      </c>
      <c r="FG240" s="700">
        <v>2.2499999999999999E-2</v>
      </c>
      <c r="FH240" s="700">
        <v>120</v>
      </c>
      <c r="FI240" s="699">
        <v>0.02</v>
      </c>
      <c r="FJ240" s="699">
        <v>1.4999999999999999E-2</v>
      </c>
      <c r="FK240" s="204">
        <f t="shared" si="51"/>
        <v>4.1666666666666664E-4</v>
      </c>
      <c r="FL240" s="204" t="e">
        <f>VLOOKUP(FF240,'SIMULADOR COM SALDO'!$BX$22:$CK$500,13,FALSE)</f>
        <v>#N/A</v>
      </c>
      <c r="FM240" s="243">
        <f t="shared" si="52"/>
        <v>1.9699999999999999E-2</v>
      </c>
    </row>
    <row r="241" spans="162:169" x14ac:dyDescent="0.25">
      <c r="FF241" s="698" t="s">
        <v>2532</v>
      </c>
      <c r="FG241" s="700">
        <v>2.4E-2</v>
      </c>
      <c r="FH241" s="700">
        <v>96</v>
      </c>
      <c r="FI241" s="699">
        <v>0.02</v>
      </c>
      <c r="FJ241" s="699">
        <v>1.3500000000000002E-2</v>
      </c>
      <c r="FK241" s="204">
        <f t="shared" si="51"/>
        <v>5.8333333333333327E-4</v>
      </c>
      <c r="FL241" s="204" t="e">
        <f>VLOOKUP(FF241,'SIMULADOR COM SALDO'!$BX$22:$CK$500,13,FALSE)</f>
        <v>#N/A</v>
      </c>
      <c r="FM241" s="243">
        <f t="shared" si="52"/>
        <v>1.9699999999999999E-2</v>
      </c>
    </row>
    <row r="242" spans="162:169" x14ac:dyDescent="0.25">
      <c r="FF242" s="698" t="s">
        <v>265</v>
      </c>
      <c r="FG242" s="700">
        <v>2.5000000000000001E-2</v>
      </c>
      <c r="FH242" s="700">
        <v>96</v>
      </c>
      <c r="FI242" s="699">
        <v>2.12E-2</v>
      </c>
      <c r="FJ242" s="699">
        <v>1.7500000000000002E-2</v>
      </c>
      <c r="FK242" s="204">
        <f t="shared" si="51"/>
        <v>4.1666666666666664E-4</v>
      </c>
      <c r="FL242" s="204" t="e">
        <f>VLOOKUP(FF242,'SIMULADOR COM SALDO'!$BX$22:$CK$500,13,FALSE)</f>
        <v>#N/A</v>
      </c>
      <c r="FM242" s="243">
        <f t="shared" si="52"/>
        <v>2.0899999999999998E-2</v>
      </c>
    </row>
    <row r="243" spans="162:169" x14ac:dyDescent="0.25">
      <c r="FF243" s="701" t="s">
        <v>1108</v>
      </c>
      <c r="FG243" s="700">
        <v>2.35E-2</v>
      </c>
      <c r="FH243" s="700">
        <v>120</v>
      </c>
      <c r="FI243" s="699">
        <v>0.02</v>
      </c>
      <c r="FJ243" s="699">
        <v>1.4999999999999999E-2</v>
      </c>
      <c r="FK243" s="204">
        <f t="shared" si="51"/>
        <v>4.7222222222222224E-4</v>
      </c>
      <c r="FL243" s="204" t="e">
        <f>VLOOKUP(FF243,'SIMULADOR COM SALDO'!$BX$22:$CK$500,13,FALSE)</f>
        <v>#N/A</v>
      </c>
      <c r="FM243" s="243">
        <f t="shared" si="52"/>
        <v>1.9699999999999999E-2</v>
      </c>
    </row>
    <row r="244" spans="162:169" x14ac:dyDescent="0.25">
      <c r="FF244" s="698" t="s">
        <v>989</v>
      </c>
      <c r="FG244" s="700">
        <v>2.2499999999999999E-2</v>
      </c>
      <c r="FH244" s="700">
        <v>120</v>
      </c>
      <c r="FI244" s="699">
        <v>1.9E-2</v>
      </c>
      <c r="FJ244" s="699">
        <v>1.4999999999999999E-2</v>
      </c>
      <c r="FK244" s="204">
        <f t="shared" si="51"/>
        <v>4.1666666666666664E-4</v>
      </c>
      <c r="FL244" s="204" t="e">
        <f>VLOOKUP(FF244,'SIMULADOR COM SALDO'!$BX$22:$CK$500,13,FALSE)</f>
        <v>#N/A</v>
      </c>
      <c r="FM244" s="243">
        <f t="shared" si="52"/>
        <v>1.8699999999999998E-2</v>
      </c>
    </row>
    <row r="245" spans="162:169" x14ac:dyDescent="0.25">
      <c r="FF245" s="698" t="s">
        <v>558</v>
      </c>
      <c r="FG245" s="700">
        <v>2.5000000000000001E-2</v>
      </c>
      <c r="FH245" s="700">
        <v>96</v>
      </c>
      <c r="FI245" s="699">
        <v>1.95E-2</v>
      </c>
      <c r="FJ245" s="699">
        <v>1.3999999999999999E-2</v>
      </c>
      <c r="FK245" s="204">
        <f t="shared" si="51"/>
        <v>6.1111111111111132E-4</v>
      </c>
      <c r="FL245" s="204" t="e">
        <f>VLOOKUP(FF245,'SIMULADOR COM SALDO'!$BX$22:$CK$500,13,FALSE)</f>
        <v>#N/A</v>
      </c>
      <c r="FM245" s="243">
        <f t="shared" si="52"/>
        <v>1.9199999999999998E-2</v>
      </c>
    </row>
    <row r="246" spans="162:169" x14ac:dyDescent="0.25">
      <c r="FF246" s="701" t="s">
        <v>3673</v>
      </c>
      <c r="FG246" s="700">
        <v>2.5000000000000001E-2</v>
      </c>
      <c r="FH246" s="700">
        <v>96</v>
      </c>
      <c r="FI246" s="699">
        <v>1.8000000000000002E-2</v>
      </c>
      <c r="FJ246" s="699">
        <v>1.43E-2</v>
      </c>
      <c r="FK246" s="204">
        <f t="shared" si="51"/>
        <v>5.9444444444444453E-4</v>
      </c>
      <c r="FL246" s="204" t="e">
        <f>VLOOKUP(FF246,'SIMULADOR COM SALDO'!$BX$22:$CK$500,13,FALSE)</f>
        <v>#N/A</v>
      </c>
      <c r="FM246" s="243">
        <f t="shared" si="52"/>
        <v>1.77E-2</v>
      </c>
    </row>
    <row r="247" spans="162:169" x14ac:dyDescent="0.25">
      <c r="FF247" s="698" t="s">
        <v>981</v>
      </c>
      <c r="FG247" s="700">
        <v>2.5000000000000001E-2</v>
      </c>
      <c r="FH247" s="700">
        <v>120</v>
      </c>
      <c r="FI247" s="699">
        <v>1.9900000000000001E-2</v>
      </c>
      <c r="FJ247" s="699">
        <v>1.52E-2</v>
      </c>
      <c r="FK247" s="204">
        <f t="shared" si="51"/>
        <v>5.4444444444444451E-4</v>
      </c>
      <c r="FL247" s="204" t="e">
        <f>VLOOKUP(FF247,'SIMULADOR COM SALDO'!$BX$22:$CK$500,13,FALSE)</f>
        <v>#N/A</v>
      </c>
      <c r="FM247" s="243">
        <f t="shared" si="52"/>
        <v>1.9599999999999999E-2</v>
      </c>
    </row>
    <row r="248" spans="162:169" x14ac:dyDescent="0.25">
      <c r="FF248" s="698" t="s">
        <v>2539</v>
      </c>
      <c r="FG248" s="700">
        <v>1.8500000000000003E-2</v>
      </c>
      <c r="FH248" s="700">
        <v>120</v>
      </c>
      <c r="FI248" s="699">
        <v>1.6299999999999999E-2</v>
      </c>
      <c r="FJ248" s="699">
        <v>1.37E-2</v>
      </c>
      <c r="FK248" s="204">
        <f t="shared" si="51"/>
        <v>2.6666666666666679E-4</v>
      </c>
      <c r="FL248" s="204" t="e">
        <f>VLOOKUP(FF248,'SIMULADOR COM SALDO'!$BX$22:$CK$500,13,FALSE)</f>
        <v>#N/A</v>
      </c>
      <c r="FM248" s="243">
        <f t="shared" si="52"/>
        <v>1.5999999999999997E-2</v>
      </c>
    </row>
    <row r="249" spans="162:169" x14ac:dyDescent="0.25">
      <c r="FF249" s="698" t="s">
        <v>2544</v>
      </c>
      <c r="FG249" s="700">
        <v>1.8500000000000003E-2</v>
      </c>
      <c r="FH249" s="700">
        <v>120</v>
      </c>
      <c r="FI249" s="699">
        <v>1.6299999999999999E-2</v>
      </c>
      <c r="FJ249" s="699">
        <v>1.37E-2</v>
      </c>
      <c r="FK249" s="204">
        <f t="shared" si="51"/>
        <v>2.6666666666666679E-4</v>
      </c>
      <c r="FL249" s="204" t="e">
        <f>VLOOKUP(FF249,'SIMULADOR COM SALDO'!$BX$22:$CK$500,13,FALSE)</f>
        <v>#N/A</v>
      </c>
      <c r="FM249" s="243">
        <f t="shared" si="52"/>
        <v>1.5999999999999997E-2</v>
      </c>
    </row>
    <row r="250" spans="162:169" x14ac:dyDescent="0.25">
      <c r="FF250" s="698" t="s">
        <v>3749</v>
      </c>
      <c r="FG250" s="700">
        <v>2.5000000000000001E-2</v>
      </c>
      <c r="FH250" s="700">
        <v>96</v>
      </c>
      <c r="FI250" s="699">
        <v>1.95E-2</v>
      </c>
      <c r="FJ250" s="699">
        <v>1.55E-2</v>
      </c>
      <c r="FK250" s="204">
        <f t="shared" si="51"/>
        <v>5.2777777777777784E-4</v>
      </c>
      <c r="FL250" s="204" t="e">
        <f>VLOOKUP(FF250,'SIMULADOR COM SALDO'!$BX$22:$CK$500,13,FALSE)</f>
        <v>#N/A</v>
      </c>
      <c r="FM250" s="243">
        <f t="shared" si="52"/>
        <v>1.9199999999999998E-2</v>
      </c>
    </row>
    <row r="251" spans="162:169" x14ac:dyDescent="0.25">
      <c r="FF251" s="698" t="s">
        <v>569</v>
      </c>
      <c r="FG251" s="700">
        <v>2.5000000000000001E-2</v>
      </c>
      <c r="FH251" s="700">
        <v>84</v>
      </c>
      <c r="FI251" s="699">
        <v>2.29E-2</v>
      </c>
      <c r="FJ251" s="699">
        <v>1.5900000000000001E-2</v>
      </c>
      <c r="FK251" s="204">
        <f t="shared" si="51"/>
        <v>5.0555555555555553E-4</v>
      </c>
      <c r="FL251" s="204" t="e">
        <f>VLOOKUP(FF251,'SIMULADOR COM SALDO'!$BX$22:$CK$500,13,FALSE)</f>
        <v>#N/A</v>
      </c>
      <c r="FM251" s="243">
        <f t="shared" si="52"/>
        <v>2.2599999999999999E-2</v>
      </c>
    </row>
    <row r="252" spans="162:169" x14ac:dyDescent="0.25">
      <c r="FF252" s="698" t="s">
        <v>3815</v>
      </c>
      <c r="FG252" s="700">
        <v>1.8000000000000002E-2</v>
      </c>
      <c r="FH252" s="700">
        <v>120</v>
      </c>
      <c r="FI252" s="699">
        <v>1.67E-2</v>
      </c>
      <c r="FJ252" s="699">
        <v>1.6E-2</v>
      </c>
      <c r="FK252" s="204">
        <f t="shared" si="51"/>
        <v>1.1111111111111121E-4</v>
      </c>
      <c r="FL252" s="204" t="e">
        <f>VLOOKUP(FF252,'SIMULADOR COM SALDO'!$BX$22:$CK$500,13,FALSE)</f>
        <v>#N/A</v>
      </c>
      <c r="FM252" s="243">
        <f t="shared" si="52"/>
        <v>1.6399999999999998E-2</v>
      </c>
    </row>
    <row r="253" spans="162:169" x14ac:dyDescent="0.25">
      <c r="FF253" s="698" t="s">
        <v>678</v>
      </c>
      <c r="FG253" s="700">
        <v>2.5000000000000001E-2</v>
      </c>
      <c r="FH253" s="700">
        <v>96</v>
      </c>
      <c r="FI253" s="699">
        <v>2.12E-2</v>
      </c>
      <c r="FJ253" s="699">
        <v>1.49E-2</v>
      </c>
      <c r="FK253" s="204">
        <f t="shared" si="51"/>
        <v>5.6111111111111119E-4</v>
      </c>
      <c r="FL253" s="204" t="e">
        <f>VLOOKUP(FF253,'SIMULADOR COM SALDO'!$BX$22:$CK$500,13,FALSE)</f>
        <v>#N/A</v>
      </c>
      <c r="FM253" s="243">
        <f t="shared" si="52"/>
        <v>2.0899999999999998E-2</v>
      </c>
    </row>
    <row r="254" spans="162:169" x14ac:dyDescent="0.25">
      <c r="FF254" s="698" t="s">
        <v>3073</v>
      </c>
      <c r="FG254" s="700">
        <v>2.5000000000000001E-2</v>
      </c>
      <c r="FH254" s="700">
        <v>96</v>
      </c>
      <c r="FI254" s="699">
        <v>1.8000000000000002E-2</v>
      </c>
      <c r="FJ254" s="699">
        <v>1.3999999999999999E-2</v>
      </c>
      <c r="FK254" s="204">
        <f t="shared" si="51"/>
        <v>6.1111111111111132E-4</v>
      </c>
      <c r="FL254" s="204" t="e">
        <f>VLOOKUP(FF254,'SIMULADOR COM SALDO'!$BX$22:$CK$500,13,FALSE)</f>
        <v>#N/A</v>
      </c>
      <c r="FM254" s="243">
        <f t="shared" si="52"/>
        <v>1.77E-2</v>
      </c>
    </row>
    <row r="255" spans="162:169" x14ac:dyDescent="0.25">
      <c r="FF255" s="698" t="s">
        <v>790</v>
      </c>
      <c r="FG255" s="700">
        <v>2.5000000000000001E-2</v>
      </c>
      <c r="FH255" s="700">
        <v>120</v>
      </c>
      <c r="FI255" s="699">
        <v>2.0899999999999998E-2</v>
      </c>
      <c r="FJ255" s="699">
        <v>1.49E-2</v>
      </c>
      <c r="FK255" s="204">
        <f t="shared" si="51"/>
        <v>5.6111111111111119E-4</v>
      </c>
      <c r="FL255" s="204" t="e">
        <f>VLOOKUP(FF255,'SIMULADOR COM SALDO'!$BX$22:$CK$500,13,FALSE)</f>
        <v>#N/A</v>
      </c>
      <c r="FM255" s="243">
        <f t="shared" si="52"/>
        <v>2.0599999999999997E-2</v>
      </c>
    </row>
    <row r="256" spans="162:169" x14ac:dyDescent="0.25">
      <c r="FF256" s="698" t="s">
        <v>3074</v>
      </c>
      <c r="FG256" s="700">
        <v>2.2499999999999999E-2</v>
      </c>
      <c r="FH256" s="700">
        <v>120</v>
      </c>
      <c r="FI256" s="699">
        <v>2.0199999999999999E-2</v>
      </c>
      <c r="FJ256" s="699">
        <v>1.4999999999999999E-2</v>
      </c>
      <c r="FK256" s="204">
        <f t="shared" si="51"/>
        <v>4.1666666666666664E-4</v>
      </c>
      <c r="FL256" s="204" t="e">
        <f>VLOOKUP(FF256,'SIMULADOR COM SALDO'!$BX$22:$CK$500,13,FALSE)</f>
        <v>#N/A</v>
      </c>
      <c r="FM256" s="243">
        <f t="shared" si="52"/>
        <v>1.9899999999999998E-2</v>
      </c>
    </row>
    <row r="257" spans="162:169" x14ac:dyDescent="0.25">
      <c r="FF257" s="698" t="s">
        <v>457</v>
      </c>
      <c r="FG257" s="700">
        <v>2.2499999999999999E-2</v>
      </c>
      <c r="FH257" s="700">
        <v>120</v>
      </c>
      <c r="FI257" s="699">
        <v>2.0199999999999999E-2</v>
      </c>
      <c r="FJ257" s="699">
        <v>1.4999999999999999E-2</v>
      </c>
      <c r="FK257" s="204">
        <f t="shared" si="51"/>
        <v>4.1666666666666664E-4</v>
      </c>
      <c r="FL257" s="204" t="e">
        <f>VLOOKUP(FF257,'SIMULADOR COM SALDO'!$BX$22:$CK$500,13,FALSE)</f>
        <v>#N/A</v>
      </c>
      <c r="FM257" s="243">
        <f t="shared" si="52"/>
        <v>1.9899999999999998E-2</v>
      </c>
    </row>
    <row r="258" spans="162:169" x14ac:dyDescent="0.25">
      <c r="FF258" s="698" t="s">
        <v>3958</v>
      </c>
      <c r="FG258" s="700">
        <v>2.5000000000000001E-2</v>
      </c>
      <c r="FH258" s="700">
        <v>120</v>
      </c>
      <c r="FI258" s="699">
        <v>1.7899999999999999E-2</v>
      </c>
      <c r="FJ258" s="699">
        <v>1.4499999999999999E-2</v>
      </c>
      <c r="FK258" s="204">
        <f t="shared" si="51"/>
        <v>5.8333333333333349E-4</v>
      </c>
      <c r="FL258" s="204" t="e">
        <f>VLOOKUP(FF258,'SIMULADOR COM SALDO'!$BX$22:$CK$500,13,FALSE)</f>
        <v>#N/A</v>
      </c>
      <c r="FM258" s="243">
        <f t="shared" si="52"/>
        <v>1.7599999999999998E-2</v>
      </c>
    </row>
    <row r="259" spans="162:169" x14ac:dyDescent="0.25">
      <c r="FF259" s="698" t="s">
        <v>3075</v>
      </c>
      <c r="FG259" s="700">
        <v>2.5899999999999999E-2</v>
      </c>
      <c r="FH259" s="700">
        <v>120</v>
      </c>
      <c r="FI259" s="699">
        <v>2.4900000000000002E-2</v>
      </c>
      <c r="FJ259" s="699">
        <v>2.2400000000000003E-2</v>
      </c>
      <c r="FK259" s="204">
        <f t="shared" si="51"/>
        <v>1.9444444444444424E-4</v>
      </c>
      <c r="FL259" s="204" t="e">
        <f>VLOOKUP(FF259,'SIMULADOR COM SALDO'!$BX$22:$CK$500,13,FALSE)</f>
        <v>#N/A</v>
      </c>
      <c r="FM259" s="243">
        <f t="shared" si="52"/>
        <v>2.46E-2</v>
      </c>
    </row>
    <row r="260" spans="162:169" x14ac:dyDescent="0.25">
      <c r="FF260" s="698" t="s">
        <v>3076</v>
      </c>
      <c r="FG260" s="700">
        <v>2.0799999999999999E-2</v>
      </c>
      <c r="FH260" s="700">
        <v>96</v>
      </c>
      <c r="FI260" s="699">
        <v>1.9699999999999999E-2</v>
      </c>
      <c r="FJ260" s="699">
        <v>1.8000000000000002E-2</v>
      </c>
      <c r="FK260" s="204">
        <f t="shared" si="51"/>
        <v>1.5555555555555537E-4</v>
      </c>
      <c r="FL260" s="204" t="e">
        <f>VLOOKUP(FF260,'SIMULADOR COM SALDO'!$BX$22:$CK$500,13,FALSE)</f>
        <v>#N/A</v>
      </c>
      <c r="FM260" s="243">
        <f t="shared" si="52"/>
        <v>1.9399999999999997E-2</v>
      </c>
    </row>
    <row r="261" spans="162:169" x14ac:dyDescent="0.25">
      <c r="FF261" s="698" t="s">
        <v>403</v>
      </c>
      <c r="FG261" s="700">
        <v>1.4999999999999999E-2</v>
      </c>
      <c r="FH261" s="700">
        <v>120</v>
      </c>
      <c r="FI261" s="699">
        <v>1.4999999999999999E-2</v>
      </c>
      <c r="FJ261" s="699">
        <v>1.2500000000000001E-2</v>
      </c>
      <c r="FK261" s="204">
        <f t="shared" si="51"/>
        <v>1.3888888888888881E-4</v>
      </c>
      <c r="FL261" s="204" t="e">
        <f>VLOOKUP(FF261,'SIMULADOR COM SALDO'!$BX$22:$CK$500,13,FALSE)</f>
        <v>#N/A</v>
      </c>
      <c r="FM261" s="243">
        <f t="shared" si="52"/>
        <v>1.47E-2</v>
      </c>
    </row>
    <row r="262" spans="162:169" x14ac:dyDescent="0.25">
      <c r="FF262" s="698" t="s">
        <v>2477</v>
      </c>
      <c r="FG262" s="700">
        <v>1.8500000000000003E-2</v>
      </c>
      <c r="FH262" s="700">
        <v>96</v>
      </c>
      <c r="FI262" s="699">
        <v>1.6899999999999998E-2</v>
      </c>
      <c r="FJ262" s="699">
        <v>1.55E-2</v>
      </c>
      <c r="FK262" s="204">
        <f t="shared" si="51"/>
        <v>1.6666666666666682E-4</v>
      </c>
      <c r="FL262" s="204" t="e">
        <f>VLOOKUP(FF262,'SIMULADOR COM SALDO'!$BX$22:$CK$500,13,FALSE)</f>
        <v>#N/A</v>
      </c>
      <c r="FM262" s="243">
        <f t="shared" si="52"/>
        <v>1.6599999999999997E-2</v>
      </c>
    </row>
    <row r="263" spans="162:169" x14ac:dyDescent="0.25">
      <c r="FF263" s="698" t="s">
        <v>3077</v>
      </c>
      <c r="FG263" s="700">
        <v>1.8000000000000002E-2</v>
      </c>
      <c r="FH263" s="700">
        <v>120</v>
      </c>
      <c r="FI263" s="699">
        <v>1.5100000000000001E-2</v>
      </c>
      <c r="FJ263" s="699">
        <v>1.34E-2</v>
      </c>
      <c r="FK263" s="204">
        <f t="shared" si="51"/>
        <v>2.5555555555555564E-4</v>
      </c>
      <c r="FL263" s="204" t="e">
        <f>VLOOKUP(FF263,'SIMULADOR COM SALDO'!$BX$22:$CK$500,13,FALSE)</f>
        <v>#N/A</v>
      </c>
      <c r="FM263" s="243">
        <f t="shared" si="52"/>
        <v>1.4800000000000001E-2</v>
      </c>
    </row>
    <row r="264" spans="162:169" x14ac:dyDescent="0.25">
      <c r="FF264" s="698" t="s">
        <v>3084</v>
      </c>
      <c r="FG264" s="700">
        <v>2.5000000000000001E-2</v>
      </c>
      <c r="FH264" s="700">
        <v>120</v>
      </c>
      <c r="FI264" s="699">
        <v>1.95E-2</v>
      </c>
      <c r="FJ264" s="699">
        <v>1.4499999999999999E-2</v>
      </c>
      <c r="FK264" s="204">
        <f t="shared" si="51"/>
        <v>5.8333333333333349E-4</v>
      </c>
      <c r="FL264" s="204" t="e">
        <f>VLOOKUP(FF264,'SIMULADOR COM SALDO'!$BX$22:$CK$500,13,FALSE)</f>
        <v>#N/A</v>
      </c>
      <c r="FM264" s="243">
        <f t="shared" si="52"/>
        <v>1.9199999999999998E-2</v>
      </c>
    </row>
    <row r="265" spans="162:169" x14ac:dyDescent="0.25">
      <c r="FF265" s="698" t="s">
        <v>3085</v>
      </c>
      <c r="FG265" s="700">
        <v>2.5000000000000001E-2</v>
      </c>
      <c r="FH265" s="700">
        <v>120</v>
      </c>
      <c r="FI265" s="699">
        <v>1.8000000000000002E-2</v>
      </c>
      <c r="FJ265" s="699">
        <v>1.3000000000000001E-2</v>
      </c>
      <c r="FK265" s="204">
        <f t="shared" si="51"/>
        <v>6.6666666666666664E-4</v>
      </c>
      <c r="FL265" s="204" t="e">
        <f>VLOOKUP(FF265,'SIMULADOR COM SALDO'!$BX$22:$CK$500,13,FALSE)</f>
        <v>#N/A</v>
      </c>
      <c r="FM265" s="243">
        <f t="shared" si="52"/>
        <v>1.77E-2</v>
      </c>
    </row>
    <row r="266" spans="162:169" x14ac:dyDescent="0.25">
      <c r="FF266" s="698" t="s">
        <v>3342</v>
      </c>
      <c r="FG266" s="700">
        <v>1.8500000000000003E-2</v>
      </c>
      <c r="FH266" s="700">
        <v>120</v>
      </c>
      <c r="FI266" s="699">
        <v>1.7299999999999999E-2</v>
      </c>
      <c r="FJ266" s="699">
        <v>1.3899999999999999E-2</v>
      </c>
      <c r="FK266" s="204">
        <f t="shared" si="51"/>
        <v>2.5555555555555574E-4</v>
      </c>
      <c r="FL266" s="204" t="e">
        <f>VLOOKUP(FF266,'SIMULADOR COM SALDO'!$BX$22:$CK$500,13,FALSE)</f>
        <v>#N/A</v>
      </c>
      <c r="FM266" s="243">
        <f t="shared" si="52"/>
        <v>1.6999999999999998E-2</v>
      </c>
    </row>
    <row r="267" spans="162:169" x14ac:dyDescent="0.25">
      <c r="FF267" s="698" t="s">
        <v>1284</v>
      </c>
      <c r="FG267" s="700">
        <v>2.5000000000000001E-2</v>
      </c>
      <c r="FH267" s="700">
        <v>96</v>
      </c>
      <c r="FI267" s="699">
        <v>1.83E-2</v>
      </c>
      <c r="FJ267" s="699">
        <v>1.7000000000000001E-2</v>
      </c>
      <c r="FK267" s="204">
        <f t="shared" si="51"/>
        <v>4.4444444444444447E-4</v>
      </c>
      <c r="FL267" s="204" t="e">
        <f>VLOOKUP(FF267,'SIMULADOR COM SALDO'!$BX$22:$CK$500,13,FALSE)</f>
        <v>#N/A</v>
      </c>
      <c r="FM267" s="243">
        <f t="shared" si="52"/>
        <v>1.7999999999999999E-2</v>
      </c>
    </row>
    <row r="268" spans="162:169" x14ac:dyDescent="0.25">
      <c r="FF268" s="698" t="s">
        <v>3086</v>
      </c>
      <c r="FG268" s="700">
        <v>2.5000000000000001E-2</v>
      </c>
      <c r="FH268" s="700">
        <v>120</v>
      </c>
      <c r="FI268" s="699">
        <v>2.1099999999999997E-2</v>
      </c>
      <c r="FJ268" s="699">
        <v>1.5100000000000001E-2</v>
      </c>
      <c r="FK268" s="204">
        <f t="shared" ref="FK268:FK331" si="53">(FG268-FJ268)/18</f>
        <v>5.5000000000000003E-4</v>
      </c>
      <c r="FL268" s="204" t="e">
        <f>VLOOKUP(FF268,'SIMULADOR COM SALDO'!$BX$22:$CK$500,13,FALSE)</f>
        <v>#N/A</v>
      </c>
      <c r="FM268" s="243">
        <f t="shared" ref="FM268:FM331" si="54">FI268-0.03%</f>
        <v>2.0799999999999996E-2</v>
      </c>
    </row>
    <row r="269" spans="162:169" x14ac:dyDescent="0.25">
      <c r="FF269" s="701" t="s">
        <v>791</v>
      </c>
      <c r="FG269" s="700">
        <v>1.7500000000000002E-2</v>
      </c>
      <c r="FH269" s="700">
        <v>120</v>
      </c>
      <c r="FI269" s="699">
        <v>1.7500000000000002E-2</v>
      </c>
      <c r="FJ269" s="699">
        <v>1.3999999999999999E-2</v>
      </c>
      <c r="FK269" s="204">
        <f t="shared" si="53"/>
        <v>1.9444444444444462E-4</v>
      </c>
      <c r="FL269" s="204" t="e">
        <f>VLOOKUP(FF269,'SIMULADOR COM SALDO'!$BX$22:$CK$500,13,FALSE)</f>
        <v>#N/A</v>
      </c>
      <c r="FM269" s="243">
        <f t="shared" si="54"/>
        <v>1.72E-2</v>
      </c>
    </row>
    <row r="270" spans="162:169" x14ac:dyDescent="0.25">
      <c r="FF270" s="698" t="s">
        <v>855</v>
      </c>
      <c r="FG270" s="700">
        <v>2.5000000000000001E-2</v>
      </c>
      <c r="FH270" s="700">
        <v>120</v>
      </c>
      <c r="FI270" s="699">
        <v>1.9699999999999999E-2</v>
      </c>
      <c r="FJ270" s="699">
        <v>1.66E-2</v>
      </c>
      <c r="FK270" s="204">
        <f t="shared" si="53"/>
        <v>4.6666666666666672E-4</v>
      </c>
      <c r="FL270" s="204" t="e">
        <f>VLOOKUP(FF270,'SIMULADOR COM SALDO'!$BX$22:$CK$500,13,FALSE)</f>
        <v>#N/A</v>
      </c>
      <c r="FM270" s="243">
        <f t="shared" si="54"/>
        <v>1.9399999999999997E-2</v>
      </c>
    </row>
    <row r="271" spans="162:169" x14ac:dyDescent="0.25">
      <c r="FF271" s="698" t="s">
        <v>3087</v>
      </c>
      <c r="FG271" s="700">
        <v>2.5000000000000001E-2</v>
      </c>
      <c r="FH271" s="700">
        <v>120</v>
      </c>
      <c r="FI271" s="699">
        <v>1.9E-2</v>
      </c>
      <c r="FJ271" s="699">
        <v>1.41E-2</v>
      </c>
      <c r="FK271" s="204">
        <f t="shared" si="53"/>
        <v>6.0555555555555569E-4</v>
      </c>
      <c r="FL271" s="204" t="e">
        <f>VLOOKUP(FF271,'SIMULADOR COM SALDO'!$BX$22:$CK$500,13,FALSE)</f>
        <v>#N/A</v>
      </c>
      <c r="FM271" s="243">
        <f t="shared" si="54"/>
        <v>1.8699999999999998E-2</v>
      </c>
    </row>
    <row r="272" spans="162:169" x14ac:dyDescent="0.25">
      <c r="FF272" s="698" t="s">
        <v>282</v>
      </c>
      <c r="FG272" s="700">
        <v>2.5000000000000001E-2</v>
      </c>
      <c r="FH272" s="700">
        <v>120</v>
      </c>
      <c r="FI272" s="699">
        <v>1.6799999999999999E-2</v>
      </c>
      <c r="FJ272" s="699">
        <v>1.3500000000000002E-2</v>
      </c>
      <c r="FK272" s="204">
        <f t="shared" si="53"/>
        <v>6.3888888888888893E-4</v>
      </c>
      <c r="FL272" s="204" t="e">
        <f>VLOOKUP(FF272,'SIMULADOR COM SALDO'!$BX$22:$CK$500,13,FALSE)</f>
        <v>#N/A</v>
      </c>
      <c r="FM272" s="243">
        <f t="shared" si="54"/>
        <v>1.6499999999999997E-2</v>
      </c>
    </row>
    <row r="273" spans="162:169" x14ac:dyDescent="0.25">
      <c r="FF273" s="698" t="s">
        <v>3088</v>
      </c>
      <c r="FG273" s="700">
        <v>2.2499999999999999E-2</v>
      </c>
      <c r="FH273" s="700">
        <v>120</v>
      </c>
      <c r="FI273" s="699">
        <v>2.0499999999999997E-2</v>
      </c>
      <c r="FJ273" s="699">
        <v>1.3999999999999999E-2</v>
      </c>
      <c r="FK273" s="204">
        <f t="shared" si="53"/>
        <v>4.7222222222222224E-4</v>
      </c>
      <c r="FL273" s="204" t="e">
        <f>VLOOKUP(FF273,'SIMULADOR COM SALDO'!$BX$22:$CK$500,13,FALSE)</f>
        <v>#N/A</v>
      </c>
      <c r="FM273" s="243">
        <f t="shared" si="54"/>
        <v>2.0199999999999996E-2</v>
      </c>
    </row>
    <row r="274" spans="162:169" x14ac:dyDescent="0.25">
      <c r="FF274" s="698" t="s">
        <v>923</v>
      </c>
      <c r="FG274" s="700">
        <v>2.35E-2</v>
      </c>
      <c r="FH274" s="700">
        <v>96</v>
      </c>
      <c r="FI274" s="699">
        <v>1.6500000000000001E-2</v>
      </c>
      <c r="FJ274" s="699">
        <v>1.3999999999999999E-2</v>
      </c>
      <c r="FK274" s="204">
        <f t="shared" si="53"/>
        <v>5.2777777777777784E-4</v>
      </c>
      <c r="FL274" s="204" t="e">
        <f>VLOOKUP(FF274,'SIMULADOR COM SALDO'!$BX$22:$CK$500,13,FALSE)</f>
        <v>#N/A</v>
      </c>
      <c r="FM274" s="243">
        <f t="shared" si="54"/>
        <v>1.6199999999999999E-2</v>
      </c>
    </row>
    <row r="275" spans="162:169" x14ac:dyDescent="0.25">
      <c r="FF275" s="698" t="s">
        <v>3089</v>
      </c>
      <c r="FG275" s="700">
        <v>2.5000000000000001E-2</v>
      </c>
      <c r="FH275" s="700">
        <v>120</v>
      </c>
      <c r="FI275" s="699">
        <v>1.6E-2</v>
      </c>
      <c r="FJ275" s="699">
        <v>1.37E-2</v>
      </c>
      <c r="FK275" s="204">
        <f t="shared" si="53"/>
        <v>6.2777777777777788E-4</v>
      </c>
      <c r="FL275" s="204" t="e">
        <f>VLOOKUP(FF275,'SIMULADOR COM SALDO'!$BX$22:$CK$500,13,FALSE)</f>
        <v>#N/A</v>
      </c>
      <c r="FM275" s="243">
        <f t="shared" si="54"/>
        <v>1.5699999999999999E-2</v>
      </c>
    </row>
    <row r="276" spans="162:169" x14ac:dyDescent="0.25">
      <c r="FF276" s="701" t="s">
        <v>84</v>
      </c>
      <c r="FG276" s="700">
        <v>2.5000000000000001E-2</v>
      </c>
      <c r="FH276" s="700">
        <v>96</v>
      </c>
      <c r="FI276" s="699">
        <v>1.5100000000000001E-2</v>
      </c>
      <c r="FJ276" s="699">
        <v>1.32E-2</v>
      </c>
      <c r="FK276" s="204">
        <f t="shared" si="53"/>
        <v>6.555555555555556E-4</v>
      </c>
      <c r="FL276" s="204" t="e">
        <f>VLOOKUP(FF276,'SIMULADOR COM SALDO'!$BX$22:$CK$500,13,FALSE)</f>
        <v>#N/A</v>
      </c>
      <c r="FM276" s="243">
        <f t="shared" si="54"/>
        <v>1.4800000000000001E-2</v>
      </c>
    </row>
    <row r="277" spans="162:169" x14ac:dyDescent="0.25">
      <c r="FF277" s="698" t="s">
        <v>3090</v>
      </c>
      <c r="FG277" s="700">
        <v>2.4E-2</v>
      </c>
      <c r="FH277" s="700">
        <v>120</v>
      </c>
      <c r="FI277" s="699">
        <v>2.18E-2</v>
      </c>
      <c r="FJ277" s="699">
        <v>1.54E-2</v>
      </c>
      <c r="FK277" s="204">
        <f t="shared" si="53"/>
        <v>4.7777777777777776E-4</v>
      </c>
      <c r="FL277" s="204" t="e">
        <f>VLOOKUP(FF277,'SIMULADOR COM SALDO'!$BX$22:$CK$500,13,FALSE)</f>
        <v>#N/A</v>
      </c>
      <c r="FM277" s="243">
        <f t="shared" si="54"/>
        <v>2.1499999999999998E-2</v>
      </c>
    </row>
    <row r="278" spans="162:169" x14ac:dyDescent="0.25">
      <c r="FF278" s="698" t="s">
        <v>3091</v>
      </c>
      <c r="FG278" s="700">
        <v>2.5000000000000001E-2</v>
      </c>
      <c r="FH278" s="700">
        <v>120</v>
      </c>
      <c r="FI278" s="699">
        <v>1.9E-2</v>
      </c>
      <c r="FJ278" s="699">
        <v>1.6500000000000001E-2</v>
      </c>
      <c r="FK278" s="204">
        <f t="shared" si="53"/>
        <v>4.7222222222222224E-4</v>
      </c>
      <c r="FL278" s="204" t="e">
        <f>VLOOKUP(FF278,'SIMULADOR COM SALDO'!$BX$22:$CK$500,13,FALSE)</f>
        <v>#N/A</v>
      </c>
      <c r="FM278" s="243">
        <f t="shared" si="54"/>
        <v>1.8699999999999998E-2</v>
      </c>
    </row>
    <row r="279" spans="162:169" x14ac:dyDescent="0.25">
      <c r="FF279" s="698" t="s">
        <v>3092</v>
      </c>
      <c r="FG279" s="700">
        <v>2.5000000000000001E-2</v>
      </c>
      <c r="FH279" s="700">
        <v>120</v>
      </c>
      <c r="FI279" s="699">
        <v>1.6799999999999999E-2</v>
      </c>
      <c r="FJ279" s="699">
        <v>1.3500000000000002E-2</v>
      </c>
      <c r="FK279" s="204">
        <f t="shared" si="53"/>
        <v>6.3888888888888893E-4</v>
      </c>
      <c r="FL279" s="204" t="e">
        <f>VLOOKUP(FF279,'SIMULADOR COM SALDO'!$BX$22:$CK$500,13,FALSE)</f>
        <v>#N/A</v>
      </c>
      <c r="FM279" s="243">
        <f t="shared" si="54"/>
        <v>1.6499999999999997E-2</v>
      </c>
    </row>
    <row r="280" spans="162:169" x14ac:dyDescent="0.25">
      <c r="FF280" s="698" t="s">
        <v>3093</v>
      </c>
      <c r="FG280" s="700">
        <v>2.5000000000000001E-2</v>
      </c>
      <c r="FH280" s="700">
        <v>120</v>
      </c>
      <c r="FI280" s="699">
        <v>1.67E-2</v>
      </c>
      <c r="FJ280" s="699">
        <v>1.32E-2</v>
      </c>
      <c r="FK280" s="204">
        <f t="shared" si="53"/>
        <v>6.555555555555556E-4</v>
      </c>
      <c r="FL280" s="204" t="e">
        <f>VLOOKUP(FF280,'SIMULADOR COM SALDO'!$BX$22:$CK$500,13,FALSE)</f>
        <v>#N/A</v>
      </c>
      <c r="FM280" s="243">
        <f t="shared" si="54"/>
        <v>1.6399999999999998E-2</v>
      </c>
    </row>
    <row r="281" spans="162:169" x14ac:dyDescent="0.25">
      <c r="FF281" s="698" t="s">
        <v>3094</v>
      </c>
      <c r="FG281" s="700">
        <v>2.5000000000000001E-2</v>
      </c>
      <c r="FH281" s="700">
        <v>96</v>
      </c>
      <c r="FI281" s="699">
        <v>1.7299999999999999E-2</v>
      </c>
      <c r="FJ281" s="699">
        <v>1.55E-2</v>
      </c>
      <c r="FK281" s="204">
        <f t="shared" si="53"/>
        <v>5.2777777777777784E-4</v>
      </c>
      <c r="FL281" s="204" t="e">
        <f>VLOOKUP(FF281,'SIMULADOR COM SALDO'!$BX$22:$CK$500,13,FALSE)</f>
        <v>#N/A</v>
      </c>
      <c r="FM281" s="243">
        <f t="shared" si="54"/>
        <v>1.6999999999999998E-2</v>
      </c>
    </row>
    <row r="282" spans="162:169" x14ac:dyDescent="0.25">
      <c r="FF282" s="698" t="s">
        <v>3095</v>
      </c>
      <c r="FG282" s="700">
        <v>2.5000000000000001E-2</v>
      </c>
      <c r="FH282" s="700">
        <v>96</v>
      </c>
      <c r="FI282" s="699">
        <v>1.7299999999999999E-2</v>
      </c>
      <c r="FJ282" s="699">
        <v>1.55E-2</v>
      </c>
      <c r="FK282" s="204">
        <f t="shared" si="53"/>
        <v>5.2777777777777784E-4</v>
      </c>
      <c r="FL282" s="204" t="e">
        <f>VLOOKUP(FF282,'SIMULADOR COM SALDO'!$BX$22:$CK$500,13,FALSE)</f>
        <v>#N/A</v>
      </c>
      <c r="FM282" s="243">
        <f t="shared" si="54"/>
        <v>1.6999999999999998E-2</v>
      </c>
    </row>
    <row r="283" spans="162:169" x14ac:dyDescent="0.25">
      <c r="FF283" s="701" t="s">
        <v>1130</v>
      </c>
      <c r="FG283" s="700">
        <v>2.5000000000000001E-2</v>
      </c>
      <c r="FH283" s="700">
        <v>96</v>
      </c>
      <c r="FI283" s="699">
        <v>2.12E-2</v>
      </c>
      <c r="FJ283" s="699">
        <v>1.4499999999999999E-2</v>
      </c>
      <c r="FK283" s="204">
        <f t="shared" si="53"/>
        <v>5.8333333333333349E-4</v>
      </c>
      <c r="FL283" s="204" t="e">
        <f>VLOOKUP(FF283,'SIMULADOR COM SALDO'!$BX$22:$CK$500,13,FALSE)</f>
        <v>#N/A</v>
      </c>
      <c r="FM283" s="243">
        <f t="shared" si="54"/>
        <v>2.0899999999999998E-2</v>
      </c>
    </row>
    <row r="284" spans="162:169" x14ac:dyDescent="0.25">
      <c r="FF284" s="698" t="s">
        <v>1136</v>
      </c>
      <c r="FG284" s="700">
        <v>2.5000000000000001E-2</v>
      </c>
      <c r="FH284" s="700">
        <v>96</v>
      </c>
      <c r="FI284" s="699">
        <v>2.12E-2</v>
      </c>
      <c r="FJ284" s="699">
        <v>1.4499999999999999E-2</v>
      </c>
      <c r="FK284" s="204">
        <f t="shared" si="53"/>
        <v>5.8333333333333349E-4</v>
      </c>
      <c r="FL284" s="204" t="e">
        <f>VLOOKUP(FF284,'SIMULADOR COM SALDO'!$BX$22:$CK$500,13,FALSE)</f>
        <v>#N/A</v>
      </c>
      <c r="FM284" s="243">
        <f t="shared" si="54"/>
        <v>2.0899999999999998E-2</v>
      </c>
    </row>
    <row r="285" spans="162:169" x14ac:dyDescent="0.25">
      <c r="FF285" s="701" t="s">
        <v>86</v>
      </c>
      <c r="FG285" s="700">
        <v>2.8999999999999998E-2</v>
      </c>
      <c r="FH285" s="700">
        <v>120</v>
      </c>
      <c r="FI285" s="699">
        <v>1.4999999999999999E-2</v>
      </c>
      <c r="FJ285" s="699">
        <v>2.2400000000000003E-2</v>
      </c>
      <c r="FK285" s="204">
        <f t="shared" si="53"/>
        <v>3.666666666666664E-4</v>
      </c>
      <c r="FL285" s="204" t="e">
        <f>VLOOKUP(FF285,'SIMULADOR COM SALDO'!$BX$22:$CK$500,13,FALSE)</f>
        <v>#N/A</v>
      </c>
      <c r="FM285" s="243">
        <f t="shared" si="54"/>
        <v>1.47E-2</v>
      </c>
    </row>
    <row r="286" spans="162:169" x14ac:dyDescent="0.25">
      <c r="FF286"/>
      <c r="FG286"/>
      <c r="FH286"/>
      <c r="FI286"/>
      <c r="FJ286"/>
      <c r="FK286" s="204">
        <f t="shared" si="53"/>
        <v>0</v>
      </c>
      <c r="FL286" s="204" t="e">
        <f>VLOOKUP(FF286,'SIMULADOR COM SALDO'!$BX$22:$CK$500,13,FALSE)</f>
        <v>#N/A</v>
      </c>
      <c r="FM286" s="243">
        <f t="shared" si="54"/>
        <v>-2.9999999999999997E-4</v>
      </c>
    </row>
    <row r="287" spans="162:169" x14ac:dyDescent="0.25">
      <c r="FK287" s="204">
        <f t="shared" si="53"/>
        <v>0</v>
      </c>
      <c r="FL287" s="204" t="e">
        <f>VLOOKUP(FF287,'SIMULADOR COM SALDO'!$BX$22:$CK$500,13,FALSE)</f>
        <v>#N/A</v>
      </c>
      <c r="FM287" s="243">
        <f t="shared" si="54"/>
        <v>-2.9999999999999997E-4</v>
      </c>
    </row>
    <row r="288" spans="162:169" x14ac:dyDescent="0.25">
      <c r="FK288" s="204">
        <f t="shared" si="53"/>
        <v>0</v>
      </c>
      <c r="FL288" s="204" t="e">
        <f>VLOOKUP(FF288,'SIMULADOR COM SALDO'!$BX$22:$CK$500,13,FALSE)</f>
        <v>#N/A</v>
      </c>
      <c r="FM288" s="243">
        <f t="shared" si="54"/>
        <v>-2.9999999999999997E-4</v>
      </c>
    </row>
    <row r="289" spans="167:169" x14ac:dyDescent="0.25">
      <c r="FK289" s="204">
        <f t="shared" si="53"/>
        <v>0</v>
      </c>
      <c r="FL289" s="204" t="e">
        <f>VLOOKUP(FF289,'SIMULADOR COM SALDO'!$BX$22:$CK$500,13,FALSE)</f>
        <v>#N/A</v>
      </c>
      <c r="FM289" s="243">
        <f t="shared" si="54"/>
        <v>-2.9999999999999997E-4</v>
      </c>
    </row>
    <row r="290" spans="167:169" x14ac:dyDescent="0.25">
      <c r="FK290" s="204">
        <f t="shared" si="53"/>
        <v>0</v>
      </c>
      <c r="FL290" s="204" t="e">
        <f>VLOOKUP(FF290,'SIMULADOR COM SALDO'!$BX$22:$CK$500,13,FALSE)</f>
        <v>#N/A</v>
      </c>
      <c r="FM290" s="243">
        <f t="shared" si="54"/>
        <v>-2.9999999999999997E-4</v>
      </c>
    </row>
    <row r="291" spans="167:169" x14ac:dyDescent="0.25">
      <c r="FK291" s="204">
        <f t="shared" si="53"/>
        <v>0</v>
      </c>
      <c r="FL291" s="204" t="e">
        <f>VLOOKUP(FF291,'SIMULADOR COM SALDO'!$BX$22:$CK$500,13,FALSE)</f>
        <v>#N/A</v>
      </c>
      <c r="FM291" s="243">
        <f t="shared" si="54"/>
        <v>-2.9999999999999997E-4</v>
      </c>
    </row>
    <row r="292" spans="167:169" x14ac:dyDescent="0.25">
      <c r="FK292" s="204">
        <f t="shared" si="53"/>
        <v>0</v>
      </c>
      <c r="FL292" s="204" t="e">
        <f>VLOOKUP(FF292,'SIMULADOR COM SALDO'!$BX$22:$CK$500,13,FALSE)</f>
        <v>#N/A</v>
      </c>
      <c r="FM292" s="243">
        <f t="shared" si="54"/>
        <v>-2.9999999999999997E-4</v>
      </c>
    </row>
    <row r="293" spans="167:169" x14ac:dyDescent="0.25">
      <c r="FK293" s="204">
        <f t="shared" si="53"/>
        <v>0</v>
      </c>
      <c r="FL293" s="204" t="e">
        <f>VLOOKUP(FF293,'SIMULADOR COM SALDO'!$BX$22:$CK$500,13,FALSE)</f>
        <v>#N/A</v>
      </c>
      <c r="FM293" s="243">
        <f t="shared" si="54"/>
        <v>-2.9999999999999997E-4</v>
      </c>
    </row>
    <row r="294" spans="167:169" x14ac:dyDescent="0.25">
      <c r="FK294" s="204">
        <f t="shared" si="53"/>
        <v>0</v>
      </c>
      <c r="FL294" s="204" t="e">
        <f>VLOOKUP(FF294,'SIMULADOR COM SALDO'!$BX$22:$CK$500,13,FALSE)</f>
        <v>#N/A</v>
      </c>
      <c r="FM294" s="243">
        <f t="shared" si="54"/>
        <v>-2.9999999999999997E-4</v>
      </c>
    </row>
    <row r="295" spans="167:169" x14ac:dyDescent="0.25">
      <c r="FK295" s="204">
        <f t="shared" si="53"/>
        <v>0</v>
      </c>
      <c r="FL295" s="204" t="e">
        <f>VLOOKUP(FF295,'SIMULADOR COM SALDO'!$BX$22:$CK$500,13,FALSE)</f>
        <v>#N/A</v>
      </c>
      <c r="FM295" s="243">
        <f t="shared" si="54"/>
        <v>-2.9999999999999997E-4</v>
      </c>
    </row>
    <row r="296" spans="167:169" x14ac:dyDescent="0.25">
      <c r="FK296" s="204">
        <f t="shared" si="53"/>
        <v>0</v>
      </c>
      <c r="FL296" s="204" t="e">
        <f>VLOOKUP(FF296,'SIMULADOR COM SALDO'!$BX$22:$CK$500,13,FALSE)</f>
        <v>#N/A</v>
      </c>
      <c r="FM296" s="243">
        <f t="shared" si="54"/>
        <v>-2.9999999999999997E-4</v>
      </c>
    </row>
    <row r="297" spans="167:169" x14ac:dyDescent="0.25">
      <c r="FK297" s="204">
        <f t="shared" si="53"/>
        <v>0</v>
      </c>
      <c r="FL297" s="204" t="e">
        <f>VLOOKUP(FF297,'SIMULADOR COM SALDO'!$BX$22:$CK$500,13,FALSE)</f>
        <v>#N/A</v>
      </c>
      <c r="FM297" s="243">
        <f t="shared" si="54"/>
        <v>-2.9999999999999997E-4</v>
      </c>
    </row>
    <row r="298" spans="167:169" x14ac:dyDescent="0.25">
      <c r="FK298" s="204">
        <f t="shared" si="53"/>
        <v>0</v>
      </c>
      <c r="FL298" s="204" t="e">
        <f>VLOOKUP(FF298,'SIMULADOR COM SALDO'!$BX$22:$CK$500,13,FALSE)</f>
        <v>#N/A</v>
      </c>
      <c r="FM298" s="243">
        <f t="shared" si="54"/>
        <v>-2.9999999999999997E-4</v>
      </c>
    </row>
    <row r="299" spans="167:169" x14ac:dyDescent="0.25">
      <c r="FK299" s="204">
        <f t="shared" si="53"/>
        <v>0</v>
      </c>
      <c r="FL299" s="204" t="e">
        <f>VLOOKUP(FF299,'SIMULADOR COM SALDO'!$BX$22:$CK$500,13,FALSE)</f>
        <v>#N/A</v>
      </c>
      <c r="FM299" s="243">
        <f t="shared" si="54"/>
        <v>-2.9999999999999997E-4</v>
      </c>
    </row>
    <row r="300" spans="167:169" x14ac:dyDescent="0.25">
      <c r="FK300" s="204">
        <f t="shared" si="53"/>
        <v>0</v>
      </c>
      <c r="FL300" s="204" t="e">
        <f>VLOOKUP(FF300,'SIMULADOR COM SALDO'!$BX$22:$CK$500,13,FALSE)</f>
        <v>#N/A</v>
      </c>
      <c r="FM300" s="243">
        <f t="shared" si="54"/>
        <v>-2.9999999999999997E-4</v>
      </c>
    </row>
    <row r="301" spans="167:169" x14ac:dyDescent="0.25">
      <c r="FK301" s="204">
        <f t="shared" si="53"/>
        <v>0</v>
      </c>
      <c r="FL301" s="204" t="e">
        <f>VLOOKUP(FF301,'SIMULADOR COM SALDO'!$BX$22:$CK$500,13,FALSE)</f>
        <v>#N/A</v>
      </c>
      <c r="FM301" s="243">
        <f t="shared" si="54"/>
        <v>-2.9999999999999997E-4</v>
      </c>
    </row>
    <row r="302" spans="167:169" x14ac:dyDescent="0.25">
      <c r="FK302" s="204">
        <f t="shared" si="53"/>
        <v>0</v>
      </c>
      <c r="FL302" s="204" t="e">
        <f>VLOOKUP(FF302,'SIMULADOR COM SALDO'!$BX$22:$CK$500,13,FALSE)</f>
        <v>#N/A</v>
      </c>
      <c r="FM302" s="243">
        <f t="shared" si="54"/>
        <v>-2.9999999999999997E-4</v>
      </c>
    </row>
    <row r="303" spans="167:169" x14ac:dyDescent="0.25">
      <c r="FK303" s="204">
        <f t="shared" si="53"/>
        <v>0</v>
      </c>
      <c r="FL303" s="204" t="e">
        <f>VLOOKUP(FF303,'SIMULADOR COM SALDO'!$BX$22:$CK$500,13,FALSE)</f>
        <v>#N/A</v>
      </c>
      <c r="FM303" s="243">
        <f t="shared" si="54"/>
        <v>-2.9999999999999997E-4</v>
      </c>
    </row>
    <row r="304" spans="167:169" x14ac:dyDescent="0.25">
      <c r="FK304" s="204">
        <f t="shared" si="53"/>
        <v>0</v>
      </c>
      <c r="FL304" s="204" t="e">
        <f>VLOOKUP(FF304,'SIMULADOR COM SALDO'!$BX$22:$CK$500,13,FALSE)</f>
        <v>#N/A</v>
      </c>
      <c r="FM304" s="243">
        <f t="shared" si="54"/>
        <v>-2.9999999999999997E-4</v>
      </c>
    </row>
    <row r="305" spans="167:169" x14ac:dyDescent="0.25">
      <c r="FK305" s="204">
        <f t="shared" si="53"/>
        <v>0</v>
      </c>
      <c r="FL305" s="204" t="e">
        <f>VLOOKUP(FF305,'SIMULADOR COM SALDO'!$BX$22:$CK$500,13,FALSE)</f>
        <v>#N/A</v>
      </c>
      <c r="FM305" s="243">
        <f t="shared" si="54"/>
        <v>-2.9999999999999997E-4</v>
      </c>
    </row>
    <row r="306" spans="167:169" x14ac:dyDescent="0.25">
      <c r="FK306" s="204">
        <f t="shared" si="53"/>
        <v>0</v>
      </c>
      <c r="FL306" s="204" t="e">
        <f>VLOOKUP(FF306,'SIMULADOR COM SALDO'!$BX$22:$CK$500,13,FALSE)</f>
        <v>#N/A</v>
      </c>
      <c r="FM306" s="243">
        <f t="shared" si="54"/>
        <v>-2.9999999999999997E-4</v>
      </c>
    </row>
    <row r="307" spans="167:169" x14ac:dyDescent="0.25">
      <c r="FK307" s="204">
        <f t="shared" si="53"/>
        <v>0</v>
      </c>
      <c r="FL307" s="204" t="e">
        <f>VLOOKUP(FF307,'SIMULADOR COM SALDO'!$BX$22:$CK$500,13,FALSE)</f>
        <v>#N/A</v>
      </c>
      <c r="FM307" s="243">
        <f t="shared" si="54"/>
        <v>-2.9999999999999997E-4</v>
      </c>
    </row>
    <row r="308" spans="167:169" x14ac:dyDescent="0.25">
      <c r="FK308" s="204">
        <f t="shared" si="53"/>
        <v>0</v>
      </c>
      <c r="FL308" s="204" t="e">
        <f>VLOOKUP(FF308,'SIMULADOR COM SALDO'!$BX$22:$CK$500,13,FALSE)</f>
        <v>#N/A</v>
      </c>
      <c r="FM308" s="243">
        <f t="shared" si="54"/>
        <v>-2.9999999999999997E-4</v>
      </c>
    </row>
    <row r="309" spans="167:169" x14ac:dyDescent="0.25">
      <c r="FK309" s="204">
        <f t="shared" si="53"/>
        <v>0</v>
      </c>
      <c r="FL309" s="204" t="e">
        <f>VLOOKUP(FF309,'SIMULADOR COM SALDO'!$BX$22:$CK$500,13,FALSE)</f>
        <v>#N/A</v>
      </c>
      <c r="FM309" s="243">
        <f t="shared" si="54"/>
        <v>-2.9999999999999997E-4</v>
      </c>
    </row>
    <row r="310" spans="167:169" x14ac:dyDescent="0.25">
      <c r="FK310" s="204">
        <f t="shared" si="53"/>
        <v>0</v>
      </c>
      <c r="FL310" s="204" t="e">
        <f>VLOOKUP(FF310,'SIMULADOR COM SALDO'!$BX$22:$CK$500,13,FALSE)</f>
        <v>#N/A</v>
      </c>
      <c r="FM310" s="243">
        <f t="shared" si="54"/>
        <v>-2.9999999999999997E-4</v>
      </c>
    </row>
    <row r="311" spans="167:169" x14ac:dyDescent="0.25">
      <c r="FK311" s="204">
        <f t="shared" si="53"/>
        <v>0</v>
      </c>
      <c r="FL311" s="204" t="e">
        <f>VLOOKUP(FF311,'SIMULADOR COM SALDO'!$BX$22:$CK$500,13,FALSE)</f>
        <v>#N/A</v>
      </c>
      <c r="FM311" s="243">
        <f t="shared" si="54"/>
        <v>-2.9999999999999997E-4</v>
      </c>
    </row>
    <row r="312" spans="167:169" x14ac:dyDescent="0.25">
      <c r="FK312" s="204">
        <f t="shared" si="53"/>
        <v>0</v>
      </c>
      <c r="FL312" s="204" t="e">
        <f>VLOOKUP(FF312,'SIMULADOR COM SALDO'!$BX$22:$CK$500,13,FALSE)</f>
        <v>#N/A</v>
      </c>
      <c r="FM312" s="243">
        <f t="shared" si="54"/>
        <v>-2.9999999999999997E-4</v>
      </c>
    </row>
    <row r="313" spans="167:169" x14ac:dyDescent="0.25">
      <c r="FK313" s="204">
        <f t="shared" si="53"/>
        <v>0</v>
      </c>
      <c r="FL313" s="204" t="e">
        <f>VLOOKUP(FF313,'SIMULADOR COM SALDO'!$BX$22:$CK$500,13,FALSE)</f>
        <v>#N/A</v>
      </c>
      <c r="FM313" s="243">
        <f t="shared" si="54"/>
        <v>-2.9999999999999997E-4</v>
      </c>
    </row>
    <row r="314" spans="167:169" x14ac:dyDescent="0.25">
      <c r="FK314" s="204">
        <f t="shared" si="53"/>
        <v>0</v>
      </c>
      <c r="FL314" s="204" t="e">
        <f>VLOOKUP(FF314,'SIMULADOR COM SALDO'!$BX$22:$CK$500,13,FALSE)</f>
        <v>#N/A</v>
      </c>
      <c r="FM314" s="243">
        <f t="shared" si="54"/>
        <v>-2.9999999999999997E-4</v>
      </c>
    </row>
    <row r="315" spans="167:169" x14ac:dyDescent="0.25">
      <c r="FK315" s="204">
        <f t="shared" si="53"/>
        <v>0</v>
      </c>
      <c r="FL315" s="204" t="e">
        <f>VLOOKUP(FF315,'SIMULADOR COM SALDO'!$BX$22:$CK$500,13,FALSE)</f>
        <v>#N/A</v>
      </c>
      <c r="FM315" s="243">
        <f t="shared" si="54"/>
        <v>-2.9999999999999997E-4</v>
      </c>
    </row>
    <row r="316" spans="167:169" x14ac:dyDescent="0.25">
      <c r="FK316" s="204">
        <f t="shared" si="53"/>
        <v>0</v>
      </c>
      <c r="FL316" s="204" t="e">
        <f>VLOOKUP(FF316,'SIMULADOR COM SALDO'!$BX$22:$CK$500,13,FALSE)</f>
        <v>#N/A</v>
      </c>
      <c r="FM316" s="243">
        <f t="shared" si="54"/>
        <v>-2.9999999999999997E-4</v>
      </c>
    </row>
    <row r="317" spans="167:169" x14ac:dyDescent="0.25">
      <c r="FK317" s="204">
        <f t="shared" si="53"/>
        <v>0</v>
      </c>
      <c r="FL317" s="204" t="e">
        <f>VLOOKUP(FF317,'SIMULADOR COM SALDO'!$BX$22:$CK$500,13,FALSE)</f>
        <v>#N/A</v>
      </c>
      <c r="FM317" s="243">
        <f t="shared" si="54"/>
        <v>-2.9999999999999997E-4</v>
      </c>
    </row>
    <row r="318" spans="167:169" x14ac:dyDescent="0.25">
      <c r="FK318" s="204">
        <f t="shared" si="53"/>
        <v>0</v>
      </c>
      <c r="FL318" s="204" t="e">
        <f>VLOOKUP(FF318,'SIMULADOR COM SALDO'!$BX$22:$CK$500,13,FALSE)</f>
        <v>#N/A</v>
      </c>
      <c r="FM318" s="243">
        <f t="shared" si="54"/>
        <v>-2.9999999999999997E-4</v>
      </c>
    </row>
    <row r="319" spans="167:169" x14ac:dyDescent="0.25">
      <c r="FK319" s="204">
        <f t="shared" si="53"/>
        <v>0</v>
      </c>
      <c r="FL319" s="204" t="e">
        <f>VLOOKUP(FF319,'SIMULADOR COM SALDO'!$BX$22:$CK$500,13,FALSE)</f>
        <v>#N/A</v>
      </c>
      <c r="FM319" s="243">
        <f t="shared" si="54"/>
        <v>-2.9999999999999997E-4</v>
      </c>
    </row>
    <row r="320" spans="167:169" x14ac:dyDescent="0.25">
      <c r="FK320" s="204">
        <f t="shared" si="53"/>
        <v>0</v>
      </c>
      <c r="FL320" s="204" t="e">
        <f>VLOOKUP(FF320,'SIMULADOR COM SALDO'!$BX$22:$CK$500,13,FALSE)</f>
        <v>#N/A</v>
      </c>
      <c r="FM320" s="243">
        <f t="shared" si="54"/>
        <v>-2.9999999999999997E-4</v>
      </c>
    </row>
    <row r="321" spans="167:169" x14ac:dyDescent="0.25">
      <c r="FK321" s="204">
        <f t="shared" si="53"/>
        <v>0</v>
      </c>
      <c r="FL321" s="204" t="e">
        <f>VLOOKUP(FF321,'SIMULADOR COM SALDO'!$BX$22:$CK$500,13,FALSE)</f>
        <v>#N/A</v>
      </c>
      <c r="FM321" s="243">
        <f t="shared" si="54"/>
        <v>-2.9999999999999997E-4</v>
      </c>
    </row>
    <row r="322" spans="167:169" x14ac:dyDescent="0.25">
      <c r="FK322" s="204">
        <f t="shared" si="53"/>
        <v>0</v>
      </c>
      <c r="FL322" s="204" t="e">
        <f>VLOOKUP(FF322,'SIMULADOR COM SALDO'!$BX$22:$CK$500,13,FALSE)</f>
        <v>#N/A</v>
      </c>
      <c r="FM322" s="243">
        <f t="shared" si="54"/>
        <v>-2.9999999999999997E-4</v>
      </c>
    </row>
    <row r="323" spans="167:169" x14ac:dyDescent="0.25">
      <c r="FK323" s="204">
        <f t="shared" si="53"/>
        <v>0</v>
      </c>
      <c r="FL323" s="204" t="e">
        <f>VLOOKUP(FF323,'SIMULADOR COM SALDO'!$BX$22:$CK$500,13,FALSE)</f>
        <v>#N/A</v>
      </c>
      <c r="FM323" s="243">
        <f t="shared" si="54"/>
        <v>-2.9999999999999997E-4</v>
      </c>
    </row>
    <row r="324" spans="167:169" x14ac:dyDescent="0.25">
      <c r="FK324" s="204">
        <f t="shared" si="53"/>
        <v>0</v>
      </c>
      <c r="FL324" s="204" t="e">
        <f>VLOOKUP(FF324,'SIMULADOR COM SALDO'!$BX$22:$CK$500,13,FALSE)</f>
        <v>#N/A</v>
      </c>
      <c r="FM324" s="243">
        <f t="shared" si="54"/>
        <v>-2.9999999999999997E-4</v>
      </c>
    </row>
    <row r="325" spans="167:169" x14ac:dyDescent="0.25">
      <c r="FK325" s="204">
        <f t="shared" si="53"/>
        <v>0</v>
      </c>
      <c r="FL325" s="204" t="e">
        <f>VLOOKUP(FF325,'SIMULADOR COM SALDO'!$BX$22:$CK$500,13,FALSE)</f>
        <v>#N/A</v>
      </c>
      <c r="FM325" s="243">
        <f t="shared" si="54"/>
        <v>-2.9999999999999997E-4</v>
      </c>
    </row>
    <row r="326" spans="167:169" x14ac:dyDescent="0.25">
      <c r="FK326" s="204">
        <f t="shared" si="53"/>
        <v>0</v>
      </c>
      <c r="FL326" s="204" t="e">
        <f>VLOOKUP(FF326,'SIMULADOR COM SALDO'!$BX$22:$CK$500,13,FALSE)</f>
        <v>#N/A</v>
      </c>
      <c r="FM326" s="243">
        <f t="shared" si="54"/>
        <v>-2.9999999999999997E-4</v>
      </c>
    </row>
    <row r="327" spans="167:169" x14ac:dyDescent="0.25">
      <c r="FK327" s="204">
        <f t="shared" si="53"/>
        <v>0</v>
      </c>
      <c r="FL327" s="204" t="e">
        <f>VLOOKUP(FF327,'SIMULADOR COM SALDO'!$BX$22:$CK$500,13,FALSE)</f>
        <v>#N/A</v>
      </c>
      <c r="FM327" s="243">
        <f t="shared" si="54"/>
        <v>-2.9999999999999997E-4</v>
      </c>
    </row>
    <row r="328" spans="167:169" x14ac:dyDescent="0.25">
      <c r="FK328" s="204">
        <f t="shared" si="53"/>
        <v>0</v>
      </c>
      <c r="FL328" s="204" t="e">
        <f>VLOOKUP(FF328,'SIMULADOR COM SALDO'!$BX$22:$CK$500,13,FALSE)</f>
        <v>#N/A</v>
      </c>
      <c r="FM328" s="243">
        <f t="shared" si="54"/>
        <v>-2.9999999999999997E-4</v>
      </c>
    </row>
    <row r="329" spans="167:169" x14ac:dyDescent="0.25">
      <c r="FK329" s="204">
        <f t="shared" si="53"/>
        <v>0</v>
      </c>
      <c r="FL329" s="204" t="e">
        <f>VLOOKUP(FF329,'SIMULADOR COM SALDO'!$BX$22:$CK$500,13,FALSE)</f>
        <v>#N/A</v>
      </c>
      <c r="FM329" s="243">
        <f t="shared" si="54"/>
        <v>-2.9999999999999997E-4</v>
      </c>
    </row>
    <row r="330" spans="167:169" x14ac:dyDescent="0.25">
      <c r="FK330" s="204">
        <f t="shared" si="53"/>
        <v>0</v>
      </c>
      <c r="FL330" s="204" t="e">
        <f>VLOOKUP(FF330,'SIMULADOR COM SALDO'!$BX$22:$CK$500,13,FALSE)</f>
        <v>#N/A</v>
      </c>
      <c r="FM330" s="243">
        <f t="shared" si="54"/>
        <v>-2.9999999999999997E-4</v>
      </c>
    </row>
    <row r="331" spans="167:169" x14ac:dyDescent="0.25">
      <c r="FK331" s="204">
        <f t="shared" si="53"/>
        <v>0</v>
      </c>
      <c r="FL331" s="204" t="e">
        <f>VLOOKUP(FF331,'SIMULADOR COM SALDO'!$BX$22:$CK$500,13,FALSE)</f>
        <v>#N/A</v>
      </c>
      <c r="FM331" s="243">
        <f t="shared" si="54"/>
        <v>-2.9999999999999997E-4</v>
      </c>
    </row>
    <row r="332" spans="167:169" x14ac:dyDescent="0.25">
      <c r="FK332" s="204">
        <f t="shared" ref="FK332:FK395" si="55">(FG332-FJ332)/18</f>
        <v>0</v>
      </c>
      <c r="FL332" s="204" t="e">
        <f>VLOOKUP(FF332,'SIMULADOR COM SALDO'!$BX$22:$CK$500,13,FALSE)</f>
        <v>#N/A</v>
      </c>
      <c r="FM332" s="243">
        <f t="shared" ref="FM332:FM395" si="56">FI332-0.03%</f>
        <v>-2.9999999999999997E-4</v>
      </c>
    </row>
    <row r="333" spans="167:169" x14ac:dyDescent="0.25">
      <c r="FK333" s="204">
        <f t="shared" si="55"/>
        <v>0</v>
      </c>
      <c r="FL333" s="204" t="e">
        <f>VLOOKUP(FF333,'SIMULADOR COM SALDO'!$BX$22:$CK$500,13,FALSE)</f>
        <v>#N/A</v>
      </c>
      <c r="FM333" s="243">
        <f t="shared" si="56"/>
        <v>-2.9999999999999997E-4</v>
      </c>
    </row>
    <row r="334" spans="167:169" x14ac:dyDescent="0.25">
      <c r="FK334" s="204">
        <f t="shared" si="55"/>
        <v>0</v>
      </c>
      <c r="FL334" s="204" t="e">
        <f>VLOOKUP(FF334,'SIMULADOR COM SALDO'!$BX$22:$CK$500,13,FALSE)</f>
        <v>#N/A</v>
      </c>
      <c r="FM334" s="243">
        <f t="shared" si="56"/>
        <v>-2.9999999999999997E-4</v>
      </c>
    </row>
    <row r="335" spans="167:169" x14ac:dyDescent="0.25">
      <c r="FK335" s="204">
        <f t="shared" si="55"/>
        <v>0</v>
      </c>
      <c r="FL335" s="204" t="e">
        <f>VLOOKUP(FF335,'SIMULADOR COM SALDO'!$BX$22:$CK$500,13,FALSE)</f>
        <v>#N/A</v>
      </c>
      <c r="FM335" s="243">
        <f t="shared" si="56"/>
        <v>-2.9999999999999997E-4</v>
      </c>
    </row>
    <row r="336" spans="167:169" x14ac:dyDescent="0.25">
      <c r="FK336" s="204">
        <f t="shared" si="55"/>
        <v>0</v>
      </c>
      <c r="FL336" s="204" t="e">
        <f>VLOOKUP(FF336,'SIMULADOR COM SALDO'!$BX$22:$CK$500,13,FALSE)</f>
        <v>#N/A</v>
      </c>
      <c r="FM336" s="243">
        <f t="shared" si="56"/>
        <v>-2.9999999999999997E-4</v>
      </c>
    </row>
    <row r="337" spans="167:169" x14ac:dyDescent="0.25">
      <c r="FK337" s="204">
        <f t="shared" si="55"/>
        <v>0</v>
      </c>
      <c r="FL337" s="204" t="e">
        <f>VLOOKUP(FF337,'SIMULADOR COM SALDO'!$BX$22:$CK$500,13,FALSE)</f>
        <v>#N/A</v>
      </c>
      <c r="FM337" s="243">
        <f t="shared" si="56"/>
        <v>-2.9999999999999997E-4</v>
      </c>
    </row>
    <row r="338" spans="167:169" x14ac:dyDescent="0.25">
      <c r="FK338" s="204">
        <f t="shared" si="55"/>
        <v>0</v>
      </c>
      <c r="FL338" s="204" t="e">
        <f>VLOOKUP(FF338,'SIMULADOR COM SALDO'!$BX$22:$CK$500,13,FALSE)</f>
        <v>#N/A</v>
      </c>
      <c r="FM338" s="243">
        <f t="shared" si="56"/>
        <v>-2.9999999999999997E-4</v>
      </c>
    </row>
    <row r="339" spans="167:169" x14ac:dyDescent="0.25">
      <c r="FK339" s="204">
        <f t="shared" si="55"/>
        <v>0</v>
      </c>
      <c r="FL339" s="204" t="e">
        <f>VLOOKUP(FF339,'SIMULADOR COM SALDO'!$BX$22:$CK$500,13,FALSE)</f>
        <v>#N/A</v>
      </c>
      <c r="FM339" s="243">
        <f t="shared" si="56"/>
        <v>-2.9999999999999997E-4</v>
      </c>
    </row>
    <row r="340" spans="167:169" x14ac:dyDescent="0.25">
      <c r="FK340" s="204">
        <f t="shared" si="55"/>
        <v>0</v>
      </c>
      <c r="FL340" s="204" t="e">
        <f>VLOOKUP(FF340,'SIMULADOR COM SALDO'!$BX$22:$CK$500,13,FALSE)</f>
        <v>#N/A</v>
      </c>
      <c r="FM340" s="243">
        <f t="shared" si="56"/>
        <v>-2.9999999999999997E-4</v>
      </c>
    </row>
    <row r="341" spans="167:169" x14ac:dyDescent="0.25">
      <c r="FK341" s="204">
        <f t="shared" si="55"/>
        <v>0</v>
      </c>
      <c r="FL341" s="204" t="e">
        <f>VLOOKUP(FF341,'SIMULADOR COM SALDO'!$BX$22:$CK$500,13,FALSE)</f>
        <v>#N/A</v>
      </c>
      <c r="FM341" s="243">
        <f t="shared" si="56"/>
        <v>-2.9999999999999997E-4</v>
      </c>
    </row>
    <row r="342" spans="167:169" x14ac:dyDescent="0.25">
      <c r="FK342" s="204">
        <f t="shared" si="55"/>
        <v>0</v>
      </c>
      <c r="FL342" s="204" t="e">
        <f>VLOOKUP(FF342,'SIMULADOR COM SALDO'!$BX$22:$CK$500,13,FALSE)</f>
        <v>#N/A</v>
      </c>
      <c r="FM342" s="243">
        <f t="shared" si="56"/>
        <v>-2.9999999999999997E-4</v>
      </c>
    </row>
    <row r="343" spans="167:169" x14ac:dyDescent="0.25">
      <c r="FK343" s="204">
        <f t="shared" si="55"/>
        <v>0</v>
      </c>
      <c r="FL343" s="204" t="e">
        <f>VLOOKUP(FF343,'SIMULADOR COM SALDO'!$BX$22:$CK$500,13,FALSE)</f>
        <v>#N/A</v>
      </c>
      <c r="FM343" s="243">
        <f t="shared" si="56"/>
        <v>-2.9999999999999997E-4</v>
      </c>
    </row>
    <row r="344" spans="167:169" x14ac:dyDescent="0.25">
      <c r="FK344" s="204">
        <f t="shared" si="55"/>
        <v>0</v>
      </c>
      <c r="FL344" s="204" t="e">
        <f>VLOOKUP(FF344,'SIMULADOR COM SALDO'!$BX$22:$CK$500,13,FALSE)</f>
        <v>#N/A</v>
      </c>
      <c r="FM344" s="243">
        <f t="shared" si="56"/>
        <v>-2.9999999999999997E-4</v>
      </c>
    </row>
    <row r="345" spans="167:169" x14ac:dyDescent="0.25">
      <c r="FK345" s="204">
        <f t="shared" si="55"/>
        <v>0</v>
      </c>
      <c r="FL345" s="204" t="e">
        <f>VLOOKUP(FF345,'SIMULADOR COM SALDO'!$BX$22:$CK$500,13,FALSE)</f>
        <v>#N/A</v>
      </c>
      <c r="FM345" s="243">
        <f t="shared" si="56"/>
        <v>-2.9999999999999997E-4</v>
      </c>
    </row>
    <row r="346" spans="167:169" x14ac:dyDescent="0.25">
      <c r="FK346" s="204">
        <f t="shared" si="55"/>
        <v>0</v>
      </c>
      <c r="FL346" s="204" t="e">
        <f>VLOOKUP(FF346,'SIMULADOR COM SALDO'!$BX$22:$CK$500,13,FALSE)</f>
        <v>#N/A</v>
      </c>
      <c r="FM346" s="243">
        <f t="shared" si="56"/>
        <v>-2.9999999999999997E-4</v>
      </c>
    </row>
    <row r="347" spans="167:169" x14ac:dyDescent="0.25">
      <c r="FK347" s="204">
        <f t="shared" si="55"/>
        <v>0</v>
      </c>
      <c r="FL347" s="204" t="e">
        <f>VLOOKUP(FF347,'SIMULADOR COM SALDO'!$BX$22:$CK$500,13,FALSE)</f>
        <v>#N/A</v>
      </c>
      <c r="FM347" s="243">
        <f t="shared" si="56"/>
        <v>-2.9999999999999997E-4</v>
      </c>
    </row>
    <row r="348" spans="167:169" x14ac:dyDescent="0.25">
      <c r="FK348" s="204">
        <f t="shared" si="55"/>
        <v>0</v>
      </c>
      <c r="FL348" s="204" t="e">
        <f>VLOOKUP(FF348,'SIMULADOR COM SALDO'!$BX$22:$CK$500,13,FALSE)</f>
        <v>#N/A</v>
      </c>
      <c r="FM348" s="243">
        <f t="shared" si="56"/>
        <v>-2.9999999999999997E-4</v>
      </c>
    </row>
    <row r="349" spans="167:169" x14ac:dyDescent="0.25">
      <c r="FK349" s="204">
        <f t="shared" si="55"/>
        <v>0</v>
      </c>
      <c r="FL349" s="204" t="e">
        <f>VLOOKUP(FF349,'SIMULADOR COM SALDO'!$BX$22:$CK$500,13,FALSE)</f>
        <v>#N/A</v>
      </c>
      <c r="FM349" s="243">
        <f t="shared" si="56"/>
        <v>-2.9999999999999997E-4</v>
      </c>
    </row>
    <row r="350" spans="167:169" x14ac:dyDescent="0.25">
      <c r="FK350" s="204">
        <f t="shared" si="55"/>
        <v>0</v>
      </c>
      <c r="FL350" s="204" t="e">
        <f>VLOOKUP(FF350,'SIMULADOR COM SALDO'!$BX$22:$CK$500,13,FALSE)</f>
        <v>#N/A</v>
      </c>
      <c r="FM350" s="243">
        <f t="shared" si="56"/>
        <v>-2.9999999999999997E-4</v>
      </c>
    </row>
    <row r="351" spans="167:169" x14ac:dyDescent="0.25">
      <c r="FK351" s="204">
        <f t="shared" si="55"/>
        <v>0</v>
      </c>
      <c r="FL351" s="204" t="e">
        <f>VLOOKUP(FF351,'SIMULADOR COM SALDO'!$BX$22:$CK$500,13,FALSE)</f>
        <v>#N/A</v>
      </c>
      <c r="FM351" s="243">
        <f t="shared" si="56"/>
        <v>-2.9999999999999997E-4</v>
      </c>
    </row>
    <row r="352" spans="167:169" x14ac:dyDescent="0.25">
      <c r="FK352" s="204">
        <f t="shared" si="55"/>
        <v>0</v>
      </c>
      <c r="FL352" s="204" t="e">
        <f>VLOOKUP(FF352,'SIMULADOR COM SALDO'!$BX$22:$CK$500,13,FALSE)</f>
        <v>#N/A</v>
      </c>
      <c r="FM352" s="243">
        <f t="shared" si="56"/>
        <v>-2.9999999999999997E-4</v>
      </c>
    </row>
    <row r="353" spans="167:169" x14ac:dyDescent="0.25">
      <c r="FK353" s="204">
        <f t="shared" si="55"/>
        <v>0</v>
      </c>
      <c r="FL353" s="204" t="e">
        <f>VLOOKUP(FF353,'SIMULADOR COM SALDO'!$BX$22:$CK$500,13,FALSE)</f>
        <v>#N/A</v>
      </c>
      <c r="FM353" s="243">
        <f t="shared" si="56"/>
        <v>-2.9999999999999997E-4</v>
      </c>
    </row>
    <row r="354" spans="167:169" x14ac:dyDescent="0.25">
      <c r="FK354" s="204">
        <f t="shared" si="55"/>
        <v>0</v>
      </c>
      <c r="FL354" s="204" t="e">
        <f>VLOOKUP(FF354,'SIMULADOR COM SALDO'!$BX$22:$CK$500,13,FALSE)</f>
        <v>#N/A</v>
      </c>
      <c r="FM354" s="243">
        <f t="shared" si="56"/>
        <v>-2.9999999999999997E-4</v>
      </c>
    </row>
    <row r="355" spans="167:169" x14ac:dyDescent="0.25">
      <c r="FK355" s="204">
        <f t="shared" si="55"/>
        <v>0</v>
      </c>
      <c r="FL355" s="204" t="e">
        <f>VLOOKUP(FF355,'SIMULADOR COM SALDO'!$BX$22:$CK$500,13,FALSE)</f>
        <v>#N/A</v>
      </c>
      <c r="FM355" s="243">
        <f t="shared" si="56"/>
        <v>-2.9999999999999997E-4</v>
      </c>
    </row>
    <row r="356" spans="167:169" x14ac:dyDescent="0.25">
      <c r="FK356" s="204">
        <f t="shared" si="55"/>
        <v>0</v>
      </c>
      <c r="FL356" s="204" t="e">
        <f>VLOOKUP(FF356,'SIMULADOR COM SALDO'!$BX$22:$CK$500,13,FALSE)</f>
        <v>#N/A</v>
      </c>
      <c r="FM356" s="243">
        <f t="shared" si="56"/>
        <v>-2.9999999999999997E-4</v>
      </c>
    </row>
    <row r="357" spans="167:169" x14ac:dyDescent="0.25">
      <c r="FK357" s="204">
        <f t="shared" si="55"/>
        <v>0</v>
      </c>
      <c r="FL357" s="204" t="e">
        <f>VLOOKUP(FF357,'SIMULADOR COM SALDO'!$BX$22:$CK$500,13,FALSE)</f>
        <v>#N/A</v>
      </c>
      <c r="FM357" s="243">
        <f t="shared" si="56"/>
        <v>-2.9999999999999997E-4</v>
      </c>
    </row>
    <row r="358" spans="167:169" x14ac:dyDescent="0.25">
      <c r="FK358" s="204">
        <f t="shared" si="55"/>
        <v>0</v>
      </c>
      <c r="FL358" s="204" t="e">
        <f>VLOOKUP(FF358,'SIMULADOR COM SALDO'!$BX$22:$CK$500,13,FALSE)</f>
        <v>#N/A</v>
      </c>
      <c r="FM358" s="243">
        <f t="shared" si="56"/>
        <v>-2.9999999999999997E-4</v>
      </c>
    </row>
    <row r="359" spans="167:169" x14ac:dyDescent="0.25">
      <c r="FK359" s="204">
        <f t="shared" si="55"/>
        <v>0</v>
      </c>
      <c r="FL359" s="204" t="e">
        <f>VLOOKUP(FF359,'SIMULADOR COM SALDO'!$BX$22:$CK$500,13,FALSE)</f>
        <v>#N/A</v>
      </c>
      <c r="FM359" s="243">
        <f t="shared" si="56"/>
        <v>-2.9999999999999997E-4</v>
      </c>
    </row>
    <row r="360" spans="167:169" x14ac:dyDescent="0.25">
      <c r="FK360" s="204">
        <f t="shared" si="55"/>
        <v>0</v>
      </c>
      <c r="FL360" s="204" t="e">
        <f>VLOOKUP(FF360,'SIMULADOR COM SALDO'!$BX$22:$CK$500,13,FALSE)</f>
        <v>#N/A</v>
      </c>
      <c r="FM360" s="243">
        <f t="shared" si="56"/>
        <v>-2.9999999999999997E-4</v>
      </c>
    </row>
    <row r="361" spans="167:169" x14ac:dyDescent="0.25">
      <c r="FK361" s="204">
        <f t="shared" si="55"/>
        <v>0</v>
      </c>
      <c r="FL361" s="204" t="e">
        <f>VLOOKUP(FF361,'SIMULADOR COM SALDO'!$BX$22:$CK$500,13,FALSE)</f>
        <v>#N/A</v>
      </c>
      <c r="FM361" s="243">
        <f t="shared" si="56"/>
        <v>-2.9999999999999997E-4</v>
      </c>
    </row>
    <row r="362" spans="167:169" x14ac:dyDescent="0.25">
      <c r="FK362" s="204">
        <f t="shared" si="55"/>
        <v>0</v>
      </c>
      <c r="FL362" s="204" t="e">
        <f>VLOOKUP(FF362,'SIMULADOR COM SALDO'!$BX$22:$CK$500,13,FALSE)</f>
        <v>#N/A</v>
      </c>
      <c r="FM362" s="243">
        <f t="shared" si="56"/>
        <v>-2.9999999999999997E-4</v>
      </c>
    </row>
    <row r="363" spans="167:169" x14ac:dyDescent="0.25">
      <c r="FK363" s="204">
        <f t="shared" si="55"/>
        <v>0</v>
      </c>
      <c r="FL363" s="204" t="e">
        <f>VLOOKUP(FF363,'SIMULADOR COM SALDO'!$BX$22:$CK$500,13,FALSE)</f>
        <v>#N/A</v>
      </c>
      <c r="FM363" s="243">
        <f t="shared" si="56"/>
        <v>-2.9999999999999997E-4</v>
      </c>
    </row>
    <row r="364" spans="167:169" x14ac:dyDescent="0.25">
      <c r="FK364" s="204">
        <f t="shared" si="55"/>
        <v>0</v>
      </c>
      <c r="FL364" s="204" t="e">
        <f>VLOOKUP(FF364,'SIMULADOR COM SALDO'!$BX$22:$CK$500,13,FALSE)</f>
        <v>#N/A</v>
      </c>
      <c r="FM364" s="243">
        <f t="shared" si="56"/>
        <v>-2.9999999999999997E-4</v>
      </c>
    </row>
    <row r="365" spans="167:169" x14ac:dyDescent="0.25">
      <c r="FK365" s="204">
        <f t="shared" si="55"/>
        <v>0</v>
      </c>
      <c r="FL365" s="204" t="e">
        <f>VLOOKUP(FF365,'SIMULADOR COM SALDO'!$BX$22:$CK$500,13,FALSE)</f>
        <v>#N/A</v>
      </c>
      <c r="FM365" s="243">
        <f t="shared" si="56"/>
        <v>-2.9999999999999997E-4</v>
      </c>
    </row>
    <row r="366" spans="167:169" x14ac:dyDescent="0.25">
      <c r="FK366" s="204">
        <f t="shared" si="55"/>
        <v>0</v>
      </c>
      <c r="FL366" s="204" t="e">
        <f>VLOOKUP(FF366,'SIMULADOR COM SALDO'!$BX$22:$CK$500,13,FALSE)</f>
        <v>#N/A</v>
      </c>
      <c r="FM366" s="243">
        <f t="shared" si="56"/>
        <v>-2.9999999999999997E-4</v>
      </c>
    </row>
    <row r="367" spans="167:169" x14ac:dyDescent="0.25">
      <c r="FK367" s="204">
        <f t="shared" si="55"/>
        <v>0</v>
      </c>
      <c r="FL367" s="204" t="e">
        <f>VLOOKUP(FF367,'SIMULADOR COM SALDO'!$BX$22:$CK$500,13,FALSE)</f>
        <v>#N/A</v>
      </c>
      <c r="FM367" s="243">
        <f t="shared" si="56"/>
        <v>-2.9999999999999997E-4</v>
      </c>
    </row>
    <row r="368" spans="167:169" x14ac:dyDescent="0.25">
      <c r="FK368" s="204">
        <f t="shared" si="55"/>
        <v>0</v>
      </c>
      <c r="FL368" s="204" t="e">
        <f>VLOOKUP(FF368,'SIMULADOR COM SALDO'!$BX$22:$CK$500,13,FALSE)</f>
        <v>#N/A</v>
      </c>
      <c r="FM368" s="243">
        <f t="shared" si="56"/>
        <v>-2.9999999999999997E-4</v>
      </c>
    </row>
    <row r="369" spans="167:169" x14ac:dyDescent="0.25">
      <c r="FK369" s="204">
        <f t="shared" si="55"/>
        <v>0</v>
      </c>
      <c r="FL369" s="204" t="e">
        <f>VLOOKUP(FF369,'SIMULADOR COM SALDO'!$BX$22:$CK$500,13,FALSE)</f>
        <v>#N/A</v>
      </c>
      <c r="FM369" s="243">
        <f t="shared" si="56"/>
        <v>-2.9999999999999997E-4</v>
      </c>
    </row>
    <row r="370" spans="167:169" x14ac:dyDescent="0.25">
      <c r="FK370" s="204">
        <f t="shared" si="55"/>
        <v>0</v>
      </c>
      <c r="FL370" s="204" t="e">
        <f>VLOOKUP(FF370,'SIMULADOR COM SALDO'!$BX$22:$CK$500,13,FALSE)</f>
        <v>#N/A</v>
      </c>
      <c r="FM370" s="243">
        <f t="shared" si="56"/>
        <v>-2.9999999999999997E-4</v>
      </c>
    </row>
    <row r="371" spans="167:169" x14ac:dyDescent="0.25">
      <c r="FK371" s="204">
        <f t="shared" si="55"/>
        <v>0</v>
      </c>
      <c r="FL371" s="204" t="e">
        <f>VLOOKUP(FF371,'SIMULADOR COM SALDO'!$BX$22:$CK$500,13,FALSE)</f>
        <v>#N/A</v>
      </c>
      <c r="FM371" s="243">
        <f t="shared" si="56"/>
        <v>-2.9999999999999997E-4</v>
      </c>
    </row>
    <row r="372" spans="167:169" x14ac:dyDescent="0.25">
      <c r="FK372" s="204">
        <f t="shared" si="55"/>
        <v>0</v>
      </c>
      <c r="FL372" s="204" t="e">
        <f>VLOOKUP(FF372,'SIMULADOR COM SALDO'!$BX$22:$CK$500,13,FALSE)</f>
        <v>#N/A</v>
      </c>
      <c r="FM372" s="243">
        <f t="shared" si="56"/>
        <v>-2.9999999999999997E-4</v>
      </c>
    </row>
    <row r="373" spans="167:169" x14ac:dyDescent="0.25">
      <c r="FK373" s="204">
        <f t="shared" si="55"/>
        <v>0</v>
      </c>
      <c r="FL373" s="204" t="e">
        <f>VLOOKUP(FF373,'SIMULADOR COM SALDO'!$BX$22:$CK$500,13,FALSE)</f>
        <v>#N/A</v>
      </c>
      <c r="FM373" s="243">
        <f t="shared" si="56"/>
        <v>-2.9999999999999997E-4</v>
      </c>
    </row>
    <row r="374" spans="167:169" x14ac:dyDescent="0.25">
      <c r="FK374" s="204">
        <f t="shared" si="55"/>
        <v>0</v>
      </c>
      <c r="FL374" s="204" t="e">
        <f>VLOOKUP(FF374,'SIMULADOR COM SALDO'!$BX$22:$CK$500,13,FALSE)</f>
        <v>#N/A</v>
      </c>
      <c r="FM374" s="243">
        <f t="shared" si="56"/>
        <v>-2.9999999999999997E-4</v>
      </c>
    </row>
    <row r="375" spans="167:169" x14ac:dyDescent="0.25">
      <c r="FK375" s="204">
        <f t="shared" si="55"/>
        <v>0</v>
      </c>
      <c r="FL375" s="204" t="e">
        <f>VLOOKUP(FF375,'SIMULADOR COM SALDO'!$BX$22:$CK$500,13,FALSE)</f>
        <v>#N/A</v>
      </c>
      <c r="FM375" s="243">
        <f t="shared" si="56"/>
        <v>-2.9999999999999997E-4</v>
      </c>
    </row>
    <row r="376" spans="167:169" x14ac:dyDescent="0.25">
      <c r="FK376" s="204">
        <f t="shared" si="55"/>
        <v>0</v>
      </c>
      <c r="FL376" s="204" t="e">
        <f>VLOOKUP(FF376,'SIMULADOR COM SALDO'!$BX$22:$CK$500,13,FALSE)</f>
        <v>#N/A</v>
      </c>
      <c r="FM376" s="243">
        <f t="shared" si="56"/>
        <v>-2.9999999999999997E-4</v>
      </c>
    </row>
    <row r="377" spans="167:169" x14ac:dyDescent="0.25">
      <c r="FK377" s="204">
        <f t="shared" si="55"/>
        <v>0</v>
      </c>
      <c r="FL377" s="204" t="e">
        <f>VLOOKUP(FF377,'SIMULADOR COM SALDO'!$BX$22:$CK$500,13,FALSE)</f>
        <v>#N/A</v>
      </c>
      <c r="FM377" s="243">
        <f t="shared" si="56"/>
        <v>-2.9999999999999997E-4</v>
      </c>
    </row>
    <row r="378" spans="167:169" x14ac:dyDescent="0.25">
      <c r="FK378" s="204">
        <f t="shared" si="55"/>
        <v>0</v>
      </c>
      <c r="FL378" s="204" t="e">
        <f>VLOOKUP(FF378,'SIMULADOR COM SALDO'!$BX$22:$CK$500,13,FALSE)</f>
        <v>#N/A</v>
      </c>
      <c r="FM378" s="243">
        <f t="shared" si="56"/>
        <v>-2.9999999999999997E-4</v>
      </c>
    </row>
    <row r="379" spans="167:169" x14ac:dyDescent="0.25">
      <c r="FK379" s="204">
        <f t="shared" si="55"/>
        <v>0</v>
      </c>
      <c r="FL379" s="204" t="e">
        <f>VLOOKUP(FF379,'SIMULADOR COM SALDO'!$BX$22:$CK$500,13,FALSE)</f>
        <v>#N/A</v>
      </c>
      <c r="FM379" s="243">
        <f t="shared" si="56"/>
        <v>-2.9999999999999997E-4</v>
      </c>
    </row>
    <row r="380" spans="167:169" x14ac:dyDescent="0.25">
      <c r="FK380" s="204">
        <f t="shared" si="55"/>
        <v>0</v>
      </c>
      <c r="FL380" s="204" t="e">
        <f>VLOOKUP(FF380,'SIMULADOR COM SALDO'!$BX$22:$CK$500,13,FALSE)</f>
        <v>#N/A</v>
      </c>
      <c r="FM380" s="243">
        <f t="shared" si="56"/>
        <v>-2.9999999999999997E-4</v>
      </c>
    </row>
    <row r="381" spans="167:169" x14ac:dyDescent="0.25">
      <c r="FK381" s="204">
        <f t="shared" si="55"/>
        <v>0</v>
      </c>
      <c r="FL381" s="204" t="e">
        <f>VLOOKUP(FF381,'SIMULADOR COM SALDO'!$BX$22:$CK$500,13,FALSE)</f>
        <v>#N/A</v>
      </c>
      <c r="FM381" s="243">
        <f t="shared" si="56"/>
        <v>-2.9999999999999997E-4</v>
      </c>
    </row>
    <row r="382" spans="167:169" x14ac:dyDescent="0.25">
      <c r="FK382" s="204">
        <f t="shared" si="55"/>
        <v>0</v>
      </c>
      <c r="FL382" s="204" t="e">
        <f>VLOOKUP(FF382,'SIMULADOR COM SALDO'!$BX$22:$CK$500,13,FALSE)</f>
        <v>#N/A</v>
      </c>
      <c r="FM382" s="243">
        <f t="shared" si="56"/>
        <v>-2.9999999999999997E-4</v>
      </c>
    </row>
    <row r="383" spans="167:169" x14ac:dyDescent="0.25">
      <c r="FK383" s="204">
        <f t="shared" si="55"/>
        <v>0</v>
      </c>
      <c r="FL383" s="204" t="e">
        <f>VLOOKUP(FF383,'SIMULADOR COM SALDO'!$BX$22:$CK$500,13,FALSE)</f>
        <v>#N/A</v>
      </c>
      <c r="FM383" s="243">
        <f t="shared" si="56"/>
        <v>-2.9999999999999997E-4</v>
      </c>
    </row>
    <row r="384" spans="167:169" x14ac:dyDescent="0.25">
      <c r="FK384" s="204">
        <f t="shared" si="55"/>
        <v>0</v>
      </c>
      <c r="FL384" s="204" t="e">
        <f>VLOOKUP(FF384,'SIMULADOR COM SALDO'!$BX$22:$CK$500,13,FALSE)</f>
        <v>#N/A</v>
      </c>
      <c r="FM384" s="243">
        <f t="shared" si="56"/>
        <v>-2.9999999999999997E-4</v>
      </c>
    </row>
    <row r="385" spans="167:169" x14ac:dyDescent="0.25">
      <c r="FK385" s="204">
        <f t="shared" si="55"/>
        <v>0</v>
      </c>
      <c r="FL385" s="204" t="e">
        <f>VLOOKUP(FF385,'SIMULADOR COM SALDO'!$BX$22:$CK$500,13,FALSE)</f>
        <v>#N/A</v>
      </c>
      <c r="FM385" s="243">
        <f t="shared" si="56"/>
        <v>-2.9999999999999997E-4</v>
      </c>
    </row>
    <row r="386" spans="167:169" x14ac:dyDescent="0.25">
      <c r="FK386" s="204">
        <f t="shared" si="55"/>
        <v>0</v>
      </c>
      <c r="FL386" s="204" t="e">
        <f>VLOOKUP(FF386,'SIMULADOR COM SALDO'!$BX$22:$CK$500,13,FALSE)</f>
        <v>#N/A</v>
      </c>
      <c r="FM386" s="243">
        <f t="shared" si="56"/>
        <v>-2.9999999999999997E-4</v>
      </c>
    </row>
    <row r="387" spans="167:169" x14ac:dyDescent="0.25">
      <c r="FK387" s="204">
        <f t="shared" si="55"/>
        <v>0</v>
      </c>
      <c r="FL387" s="204" t="e">
        <f>VLOOKUP(FF387,'SIMULADOR COM SALDO'!$BX$22:$CK$500,13,FALSE)</f>
        <v>#N/A</v>
      </c>
      <c r="FM387" s="243">
        <f t="shared" si="56"/>
        <v>-2.9999999999999997E-4</v>
      </c>
    </row>
    <row r="388" spans="167:169" x14ac:dyDescent="0.25">
      <c r="FK388" s="204">
        <f t="shared" si="55"/>
        <v>0</v>
      </c>
      <c r="FL388" s="204" t="e">
        <f>VLOOKUP(FF388,'SIMULADOR COM SALDO'!$BX$22:$CK$500,13,FALSE)</f>
        <v>#N/A</v>
      </c>
      <c r="FM388" s="243">
        <f t="shared" si="56"/>
        <v>-2.9999999999999997E-4</v>
      </c>
    </row>
    <row r="389" spans="167:169" x14ac:dyDescent="0.25">
      <c r="FK389" s="204">
        <f t="shared" si="55"/>
        <v>0</v>
      </c>
      <c r="FL389" s="204" t="e">
        <f>VLOOKUP(FF389,'SIMULADOR COM SALDO'!$BX$22:$CK$500,13,FALSE)</f>
        <v>#N/A</v>
      </c>
      <c r="FM389" s="243">
        <f t="shared" si="56"/>
        <v>-2.9999999999999997E-4</v>
      </c>
    </row>
    <row r="390" spans="167:169" x14ac:dyDescent="0.25">
      <c r="FK390" s="204">
        <f t="shared" si="55"/>
        <v>0</v>
      </c>
      <c r="FL390" s="204" t="e">
        <f>VLOOKUP(FF390,'SIMULADOR COM SALDO'!$BX$22:$CK$500,13,FALSE)</f>
        <v>#N/A</v>
      </c>
      <c r="FM390" s="243">
        <f t="shared" si="56"/>
        <v>-2.9999999999999997E-4</v>
      </c>
    </row>
    <row r="391" spans="167:169" x14ac:dyDescent="0.25">
      <c r="FK391" s="204">
        <f t="shared" si="55"/>
        <v>0</v>
      </c>
      <c r="FL391" s="204" t="e">
        <f>VLOOKUP(FF391,'SIMULADOR COM SALDO'!$BX$22:$CK$500,13,FALSE)</f>
        <v>#N/A</v>
      </c>
      <c r="FM391" s="243">
        <f t="shared" si="56"/>
        <v>-2.9999999999999997E-4</v>
      </c>
    </row>
    <row r="392" spans="167:169" x14ac:dyDescent="0.25">
      <c r="FK392" s="204">
        <f t="shared" si="55"/>
        <v>0</v>
      </c>
      <c r="FL392" s="204" t="e">
        <f>VLOOKUP(FF392,'SIMULADOR COM SALDO'!$BX$22:$CK$500,13,FALSE)</f>
        <v>#N/A</v>
      </c>
      <c r="FM392" s="243">
        <f t="shared" si="56"/>
        <v>-2.9999999999999997E-4</v>
      </c>
    </row>
    <row r="393" spans="167:169" x14ac:dyDescent="0.25">
      <c r="FK393" s="204">
        <f t="shared" si="55"/>
        <v>0</v>
      </c>
      <c r="FL393" s="204" t="e">
        <f>VLOOKUP(FF393,'SIMULADOR COM SALDO'!$BX$22:$CK$500,13,FALSE)</f>
        <v>#N/A</v>
      </c>
      <c r="FM393" s="243">
        <f t="shared" si="56"/>
        <v>-2.9999999999999997E-4</v>
      </c>
    </row>
    <row r="394" spans="167:169" x14ac:dyDescent="0.25">
      <c r="FK394" s="204">
        <f t="shared" si="55"/>
        <v>0</v>
      </c>
      <c r="FL394" s="204" t="e">
        <f>VLOOKUP(FF394,'SIMULADOR COM SALDO'!$BX$22:$CK$500,13,FALSE)</f>
        <v>#N/A</v>
      </c>
      <c r="FM394" s="243">
        <f t="shared" si="56"/>
        <v>-2.9999999999999997E-4</v>
      </c>
    </row>
    <row r="395" spans="167:169" x14ac:dyDescent="0.25">
      <c r="FK395" s="204">
        <f t="shared" si="55"/>
        <v>0</v>
      </c>
      <c r="FL395" s="204" t="e">
        <f>VLOOKUP(FF395,'SIMULADOR COM SALDO'!$BX$22:$CK$500,13,FALSE)</f>
        <v>#N/A</v>
      </c>
      <c r="FM395" s="243">
        <f t="shared" si="56"/>
        <v>-2.9999999999999997E-4</v>
      </c>
    </row>
    <row r="396" spans="167:169" x14ac:dyDescent="0.25">
      <c r="FK396" s="204">
        <f t="shared" ref="FK396:FK413" si="57">(FG396-FJ396)/18</f>
        <v>0</v>
      </c>
      <c r="FL396" s="204" t="e">
        <f>VLOOKUP(FF396,'SIMULADOR COM SALDO'!$BX$22:$CK$500,13,FALSE)</f>
        <v>#N/A</v>
      </c>
      <c r="FM396" s="243">
        <f t="shared" ref="FM396:FM413" si="58">FI396-0.03%</f>
        <v>-2.9999999999999997E-4</v>
      </c>
    </row>
    <row r="397" spans="167:169" x14ac:dyDescent="0.25">
      <c r="FK397" s="204">
        <f t="shared" si="57"/>
        <v>0</v>
      </c>
      <c r="FL397" s="204" t="e">
        <f>VLOOKUP(FF397,'SIMULADOR COM SALDO'!$BX$22:$CK$500,13,FALSE)</f>
        <v>#N/A</v>
      </c>
      <c r="FM397" s="243">
        <f t="shared" si="58"/>
        <v>-2.9999999999999997E-4</v>
      </c>
    </row>
    <row r="398" spans="167:169" x14ac:dyDescent="0.25">
      <c r="FK398" s="204">
        <f t="shared" si="57"/>
        <v>0</v>
      </c>
      <c r="FL398" s="204" t="e">
        <f>VLOOKUP(FF398,'SIMULADOR COM SALDO'!$BX$22:$CK$500,13,FALSE)</f>
        <v>#N/A</v>
      </c>
      <c r="FM398" s="243">
        <f t="shared" si="58"/>
        <v>-2.9999999999999997E-4</v>
      </c>
    </row>
    <row r="399" spans="167:169" x14ac:dyDescent="0.25">
      <c r="FK399" s="204">
        <f t="shared" si="57"/>
        <v>0</v>
      </c>
      <c r="FL399" s="204" t="e">
        <f>VLOOKUP(FF399,'SIMULADOR COM SALDO'!$BX$22:$CK$500,13,FALSE)</f>
        <v>#N/A</v>
      </c>
      <c r="FM399" s="243">
        <f t="shared" si="58"/>
        <v>-2.9999999999999997E-4</v>
      </c>
    </row>
    <row r="400" spans="167:169" x14ac:dyDescent="0.25">
      <c r="FK400" s="204">
        <f t="shared" si="57"/>
        <v>0</v>
      </c>
      <c r="FL400" s="204" t="e">
        <f>VLOOKUP(FF400,'SIMULADOR COM SALDO'!$BX$22:$CK$500,13,FALSE)</f>
        <v>#N/A</v>
      </c>
      <c r="FM400" s="243">
        <f t="shared" si="58"/>
        <v>-2.9999999999999997E-4</v>
      </c>
    </row>
    <row r="401" spans="167:169" x14ac:dyDescent="0.25">
      <c r="FK401" s="204">
        <f t="shared" si="57"/>
        <v>0</v>
      </c>
      <c r="FL401" s="204" t="e">
        <f>VLOOKUP(FF401,'SIMULADOR COM SALDO'!$BX$22:$CK$500,13,FALSE)</f>
        <v>#N/A</v>
      </c>
      <c r="FM401" s="243">
        <f t="shared" si="58"/>
        <v>-2.9999999999999997E-4</v>
      </c>
    </row>
    <row r="402" spans="167:169" x14ac:dyDescent="0.25">
      <c r="FK402" s="204">
        <f t="shared" si="57"/>
        <v>0</v>
      </c>
      <c r="FL402" s="204" t="e">
        <f>VLOOKUP(FF402,'SIMULADOR COM SALDO'!$BX$22:$CK$500,13,FALSE)</f>
        <v>#N/A</v>
      </c>
      <c r="FM402" s="243">
        <f t="shared" si="58"/>
        <v>-2.9999999999999997E-4</v>
      </c>
    </row>
    <row r="403" spans="167:169" x14ac:dyDescent="0.25">
      <c r="FK403" s="204">
        <f t="shared" si="57"/>
        <v>0</v>
      </c>
      <c r="FL403" s="204" t="e">
        <f>VLOOKUP(FF403,'SIMULADOR COM SALDO'!$BX$22:$CK$500,13,FALSE)</f>
        <v>#N/A</v>
      </c>
      <c r="FM403" s="243">
        <f t="shared" si="58"/>
        <v>-2.9999999999999997E-4</v>
      </c>
    </row>
    <row r="404" spans="167:169" x14ac:dyDescent="0.25">
      <c r="FK404" s="204">
        <f t="shared" si="57"/>
        <v>0</v>
      </c>
      <c r="FL404" s="204" t="e">
        <f>VLOOKUP(FF404,'SIMULADOR COM SALDO'!$BX$22:$CK$500,13,FALSE)</f>
        <v>#N/A</v>
      </c>
      <c r="FM404" s="243">
        <f t="shared" si="58"/>
        <v>-2.9999999999999997E-4</v>
      </c>
    </row>
    <row r="405" spans="167:169" x14ac:dyDescent="0.25">
      <c r="FK405" s="204">
        <f t="shared" si="57"/>
        <v>0</v>
      </c>
      <c r="FL405" s="204" t="e">
        <f>VLOOKUP(FF405,'SIMULADOR COM SALDO'!$BX$22:$CK$500,13,FALSE)</f>
        <v>#N/A</v>
      </c>
      <c r="FM405" s="243">
        <f t="shared" si="58"/>
        <v>-2.9999999999999997E-4</v>
      </c>
    </row>
    <row r="406" spans="167:169" x14ac:dyDescent="0.25">
      <c r="FK406" s="204">
        <f t="shared" si="57"/>
        <v>0</v>
      </c>
      <c r="FL406" s="204" t="e">
        <f>VLOOKUP(FF406,'SIMULADOR COM SALDO'!$BX$22:$CK$500,13,FALSE)</f>
        <v>#N/A</v>
      </c>
      <c r="FM406" s="243">
        <f t="shared" si="58"/>
        <v>-2.9999999999999997E-4</v>
      </c>
    </row>
    <row r="407" spans="167:169" x14ac:dyDescent="0.25">
      <c r="FK407" s="204">
        <f t="shared" si="57"/>
        <v>0</v>
      </c>
      <c r="FL407" s="204" t="e">
        <f>VLOOKUP(FF407,'SIMULADOR COM SALDO'!$BX$22:$CK$500,13,FALSE)</f>
        <v>#N/A</v>
      </c>
      <c r="FM407" s="243">
        <f t="shared" si="58"/>
        <v>-2.9999999999999997E-4</v>
      </c>
    </row>
    <row r="408" spans="167:169" x14ac:dyDescent="0.25">
      <c r="FK408" s="204">
        <f t="shared" si="57"/>
        <v>0</v>
      </c>
      <c r="FL408" s="204" t="e">
        <f>VLOOKUP(FF408,'SIMULADOR COM SALDO'!$BX$22:$CK$500,13,FALSE)</f>
        <v>#N/A</v>
      </c>
      <c r="FM408" s="243">
        <f t="shared" si="58"/>
        <v>-2.9999999999999997E-4</v>
      </c>
    </row>
    <row r="409" spans="167:169" x14ac:dyDescent="0.25">
      <c r="FK409" s="204">
        <f t="shared" si="57"/>
        <v>0</v>
      </c>
      <c r="FL409" s="204" t="e">
        <f>VLOOKUP(FF409,'SIMULADOR COM SALDO'!$BX$22:$CK$500,13,FALSE)</f>
        <v>#N/A</v>
      </c>
      <c r="FM409" s="243">
        <f t="shared" si="58"/>
        <v>-2.9999999999999997E-4</v>
      </c>
    </row>
    <row r="410" spans="167:169" x14ac:dyDescent="0.25">
      <c r="FK410" s="204">
        <f t="shared" si="57"/>
        <v>0</v>
      </c>
      <c r="FL410" s="204" t="e">
        <f>VLOOKUP(FF410,'SIMULADOR COM SALDO'!$BX$22:$CK$500,13,FALSE)</f>
        <v>#N/A</v>
      </c>
      <c r="FM410" s="243">
        <f t="shared" si="58"/>
        <v>-2.9999999999999997E-4</v>
      </c>
    </row>
    <row r="411" spans="167:169" x14ac:dyDescent="0.25">
      <c r="FK411" s="204">
        <f t="shared" si="57"/>
        <v>0</v>
      </c>
      <c r="FL411" s="204" t="e">
        <f>VLOOKUP(FF411,'SIMULADOR COM SALDO'!$BX$22:$CK$500,13,FALSE)</f>
        <v>#N/A</v>
      </c>
      <c r="FM411" s="243">
        <f t="shared" si="58"/>
        <v>-2.9999999999999997E-4</v>
      </c>
    </row>
    <row r="412" spans="167:169" x14ac:dyDescent="0.25">
      <c r="FK412" s="204">
        <f t="shared" si="57"/>
        <v>0</v>
      </c>
      <c r="FL412" s="204" t="e">
        <f>VLOOKUP(FF412,'SIMULADOR COM SALDO'!$BX$22:$CK$500,13,FALSE)</f>
        <v>#N/A</v>
      </c>
      <c r="FM412" s="243">
        <f t="shared" si="58"/>
        <v>-2.9999999999999997E-4</v>
      </c>
    </row>
    <row r="413" spans="167:169" x14ac:dyDescent="0.25">
      <c r="FK413" s="204">
        <f t="shared" si="57"/>
        <v>0</v>
      </c>
      <c r="FL413" s="204" t="e">
        <f>VLOOKUP(FF413,'SIMULADOR COM SALDO'!$BX$22:$CK$500,13,FALSE)</f>
        <v>#N/A</v>
      </c>
      <c r="FM413" s="243">
        <f t="shared" si="58"/>
        <v>-2.9999999999999997E-4</v>
      </c>
    </row>
  </sheetData>
  <sheetProtection algorithmName="SHA-512" hashValue="UMvV7AgvNMmKFB+NQQR/xYtCNb3vRx43zl2jrP0lb5KEFCpq07oZHZA02bVXzmgalpM95TwO1Toj6UQt7oC4Jw==" saltValue="pCRqxBOIX7YV5oHWNsOy3A==" spinCount="100000" sheet="1" objects="1" scenarios="1"/>
  <mergeCells count="4">
    <mergeCell ref="H5:I5"/>
    <mergeCell ref="H6:I6"/>
    <mergeCell ref="F9:F10"/>
    <mergeCell ref="F7:F8"/>
  </mergeCells>
  <conditionalFormatting sqref="G11:ET29">
    <cfRule type="cellIs" dxfId="60" priority="3" operator="greaterThan">
      <formula>$M$6</formula>
    </cfRule>
  </conditionalFormatting>
  <conditionalFormatting sqref="G30:ET33">
    <cfRule type="cellIs" dxfId="59" priority="1" operator="greaterThan">
      <formula>$M$6</formula>
    </cfRule>
  </conditionalFormatting>
  <conditionalFormatting sqref="H11:ET29">
    <cfRule type="cellIs" dxfId="58" priority="2" operator="lessThan">
      <formula>$M$6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2"/>
  <ignoredErrors>
    <ignoredError sqref="N7:P7 U7:X7 S7 Z7:AA7" unlockedFormula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C326AB-5996-43CF-B418-8D0949559636}">
          <x14:formula1>
            <xm:f>'SIMULADOR COM SALDO'!$CM$2:$CM$290</xm:f>
          </x14:formula1>
          <xm:sqref>H6:I6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123C-5112-4894-AFB1-E507A654624B}">
  <sheetPr codeName="Planilha11"/>
  <dimension ref="A1:I59"/>
  <sheetViews>
    <sheetView topLeftCell="A28" workbookViewId="0">
      <selection activeCell="B40" sqref="B40"/>
    </sheetView>
  </sheetViews>
  <sheetFormatPr defaultRowHeight="15" x14ac:dyDescent="0.25"/>
  <cols>
    <col min="1" max="1" width="75.5703125" bestFit="1" customWidth="1"/>
    <col min="2" max="6" width="18.28515625" customWidth="1"/>
    <col min="7" max="8" width="30" customWidth="1"/>
  </cols>
  <sheetData>
    <row r="1" spans="1:9" x14ac:dyDescent="0.25">
      <c r="A1" t="s">
        <v>2355</v>
      </c>
    </row>
    <row r="2" spans="1:9" x14ac:dyDescent="0.25">
      <c r="A2" t="s">
        <v>2354</v>
      </c>
    </row>
    <row r="4" spans="1:9" x14ac:dyDescent="0.25">
      <c r="A4" t="s">
        <v>2353</v>
      </c>
      <c r="B4">
        <v>400</v>
      </c>
    </row>
    <row r="5" spans="1:9" x14ac:dyDescent="0.25">
      <c r="A5" t="s">
        <v>2352</v>
      </c>
      <c r="B5">
        <v>68</v>
      </c>
    </row>
    <row r="6" spans="1:9" x14ac:dyDescent="0.25">
      <c r="A6" t="s">
        <v>2351</v>
      </c>
      <c r="B6">
        <v>0</v>
      </c>
    </row>
    <row r="7" spans="1:9" x14ac:dyDescent="0.25">
      <c r="A7" t="s">
        <v>2350</v>
      </c>
      <c r="B7" t="s">
        <v>115</v>
      </c>
    </row>
    <row r="9" spans="1:9" x14ac:dyDescent="0.25">
      <c r="A9" t="s">
        <v>2349</v>
      </c>
    </row>
    <row r="10" spans="1:9" x14ac:dyDescent="0.25">
      <c r="A10" t="s">
        <v>2344</v>
      </c>
      <c r="B10" s="373">
        <v>2428.81</v>
      </c>
      <c r="C10" s="373">
        <v>2826.65</v>
      </c>
      <c r="D10" s="27">
        <v>7.4999999999999997E-2</v>
      </c>
      <c r="E10" s="373">
        <v>182.16</v>
      </c>
      <c r="F10" s="373">
        <f>IF(D10=0,0,('Margem IR Publico'!$C$7 + E10)/D10)</f>
        <v>8619.3333333333339</v>
      </c>
      <c r="G10" t="str">
        <f>IF(AND(F10&gt;=$B$10,F10&lt;=$C$10),"SIM","")</f>
        <v/>
      </c>
      <c r="H10" s="373" t="str">
        <f>IF(G10="SIM",F10,"")</f>
        <v/>
      </c>
      <c r="I10">
        <f>IF('Margem IR Publico'!$AC$7=TRUE,607.2,0)</f>
        <v>0</v>
      </c>
    </row>
    <row r="11" spans="1:9" x14ac:dyDescent="0.25">
      <c r="A11" t="s">
        <v>2343</v>
      </c>
      <c r="B11" s="373">
        <v>2826.66</v>
      </c>
      <c r="C11" s="373">
        <v>3751.05</v>
      </c>
      <c r="D11" s="27">
        <v>0.15</v>
      </c>
      <c r="E11" s="373">
        <v>394.16</v>
      </c>
      <c r="F11" s="373">
        <f>IF(D11=0,0,('Margem IR Publico'!$C$7 + E11)/D11)</f>
        <v>5723.0000000000009</v>
      </c>
      <c r="G11" t="str">
        <f>IF(AND(F11&gt;=$B$11,F11&lt;=$C$11),"SIM","")</f>
        <v/>
      </c>
      <c r="H11" s="373" t="str">
        <f>IF(G11="SIM",F11,"")</f>
        <v/>
      </c>
      <c r="I11">
        <f>IF('Margem IR Publico'!$AC$7=TRUE,607.2,0)</f>
        <v>0</v>
      </c>
    </row>
    <row r="12" spans="1:9" x14ac:dyDescent="0.25">
      <c r="A12" t="s">
        <v>2342</v>
      </c>
      <c r="B12" s="373">
        <v>3751.06</v>
      </c>
      <c r="C12" s="373">
        <v>4664.68</v>
      </c>
      <c r="D12" s="27">
        <v>0.22500000000000001</v>
      </c>
      <c r="E12" s="373">
        <v>675.49</v>
      </c>
      <c r="F12" s="373">
        <f>IF(D12=0,0,('Margem IR Publico'!$C$7 + E12)/D12)</f>
        <v>5065.6888888888889</v>
      </c>
      <c r="G12" t="str">
        <f>IF(AND(F12&gt;=$B$12,F12&lt;=$C$12),"SIM","")</f>
        <v/>
      </c>
      <c r="H12" s="373" t="str">
        <f>IF(G12="SIM",F12,"")</f>
        <v/>
      </c>
      <c r="I12">
        <f>IF('Margem IR Publico'!$AC$7=TRUE,607.2,0)</f>
        <v>0</v>
      </c>
    </row>
    <row r="13" spans="1:9" x14ac:dyDescent="0.25">
      <c r="A13" t="s">
        <v>2341</v>
      </c>
      <c r="B13" s="373">
        <v>4664.6899999999996</v>
      </c>
      <c r="C13" s="373">
        <v>9999999</v>
      </c>
      <c r="D13" s="27">
        <v>0.27500000000000002</v>
      </c>
      <c r="E13" s="373">
        <v>908.73</v>
      </c>
      <c r="F13" s="373">
        <f>IF(D13=0,0,('Margem IR Publico'!$C$7 + E13)/D13)</f>
        <v>4992.7999999999993</v>
      </c>
      <c r="G13" t="str">
        <f>IF(AND(F13&gt;=$B$13,F13&lt;=$C$13),"SIM","")</f>
        <v>SIM</v>
      </c>
      <c r="H13" s="373">
        <f>IF(G13="SIM",F13,"")</f>
        <v>4992.7999999999993</v>
      </c>
      <c r="I13">
        <f>IF('Margem IR Publico'!$AC$7=TRUE,607.2,0)</f>
        <v>0</v>
      </c>
    </row>
    <row r="19" spans="1:7" x14ac:dyDescent="0.25">
      <c r="A19" t="s">
        <v>2348</v>
      </c>
      <c r="B19" s="373">
        <v>2428.8000000000002</v>
      </c>
      <c r="F19" t="str">
        <f>IF($C$25&lt;=B19,"SIM","NAO")</f>
        <v>SIM</v>
      </c>
      <c r="G19">
        <f>IF(F19="SIM",($C$25*D19)-E19,0)</f>
        <v>0</v>
      </c>
    </row>
    <row r="20" spans="1:7" x14ac:dyDescent="0.25">
      <c r="A20" t="s">
        <v>2344</v>
      </c>
      <c r="B20" s="373">
        <v>2428.81</v>
      </c>
      <c r="C20" s="373">
        <v>2826.65</v>
      </c>
      <c r="D20" s="27">
        <v>7.4999999999999997E-2</v>
      </c>
      <c r="E20" s="373">
        <v>182.16</v>
      </c>
      <c r="F20" t="str">
        <f>IF(AND($C$25&gt;=B20,$C$25&lt;=C20),"SIM","NAO")</f>
        <v>NAO</v>
      </c>
      <c r="G20">
        <f>IF(F20="SIM",($C$25*D20)-E20,0)</f>
        <v>0</v>
      </c>
    </row>
    <row r="21" spans="1:7" x14ac:dyDescent="0.25">
      <c r="A21" t="s">
        <v>2343</v>
      </c>
      <c r="B21" s="373">
        <v>2826.66</v>
      </c>
      <c r="C21" s="373">
        <v>3751.05</v>
      </c>
      <c r="D21" s="27">
        <v>0.15</v>
      </c>
      <c r="E21" s="373">
        <v>394.16</v>
      </c>
      <c r="F21" t="str">
        <f>IF(AND($C$25&gt;=B21,$C$25&lt;=C21),"SIM","NÃO")</f>
        <v>NÃO</v>
      </c>
      <c r="G21" s="373">
        <f>IF(F21="SIM",($C$25*D21)-E21,0)</f>
        <v>0</v>
      </c>
    </row>
    <row r="22" spans="1:7" x14ac:dyDescent="0.25">
      <c r="A22" t="s">
        <v>2342</v>
      </c>
      <c r="B22" s="373">
        <v>3751.06</v>
      </c>
      <c r="C22" s="373">
        <v>4664.68</v>
      </c>
      <c r="D22" s="27">
        <v>0.22500000000000001</v>
      </c>
      <c r="E22" s="373">
        <v>675.49</v>
      </c>
      <c r="F22" t="str">
        <f>IF(AND($C$25&gt;=B22,$C$25&lt;=C22),"SIM","NÃO")</f>
        <v>NÃO</v>
      </c>
      <c r="G22">
        <f>IF(F22="SIM",($C$25*D22)-E22,0)</f>
        <v>0</v>
      </c>
    </row>
    <row r="23" spans="1:7" x14ac:dyDescent="0.25">
      <c r="A23" t="s">
        <v>2341</v>
      </c>
      <c r="B23" s="373">
        <v>4664.6899999999996</v>
      </c>
      <c r="C23" s="373">
        <v>9999999</v>
      </c>
      <c r="D23" s="27">
        <v>0.27500000000000002</v>
      </c>
      <c r="E23" s="373">
        <v>908.73</v>
      </c>
      <c r="F23" t="str">
        <f>IF(AND($C$25&gt;=B23,$C$25&lt;=C23),"SIM","NAO")</f>
        <v>NAO</v>
      </c>
      <c r="G23">
        <f>IF(F23="SIM",($C$25*D23)-E23,0)</f>
        <v>0</v>
      </c>
    </row>
    <row r="25" spans="1:7" x14ac:dyDescent="0.25">
      <c r="A25" t="s">
        <v>2347</v>
      </c>
      <c r="B25" s="1">
        <f>5000-B19</f>
        <v>2571.1999999999998</v>
      </c>
      <c r="C25" s="1">
        <f>'Margem IR Publico'!C8-'Calculadora Inversa IRPF'!B25</f>
        <v>2421.5999999999995</v>
      </c>
    </row>
    <row r="27" spans="1:7" x14ac:dyDescent="0.25">
      <c r="A27" t="s">
        <v>2348</v>
      </c>
      <c r="B27" s="373">
        <v>2428.8000000000002</v>
      </c>
      <c r="F27" t="str">
        <f>IF(C33&lt;=B27,"SIM","NAO")</f>
        <v>SIM</v>
      </c>
      <c r="G27">
        <f>IF(F27="SIM",($C$25*D27)-E27,0)</f>
        <v>0</v>
      </c>
    </row>
    <row r="28" spans="1:7" x14ac:dyDescent="0.25">
      <c r="A28" t="s">
        <v>2344</v>
      </c>
      <c r="B28" s="373">
        <v>2428.81</v>
      </c>
      <c r="C28" s="373">
        <v>2826.65</v>
      </c>
      <c r="D28" s="27">
        <v>7.4999999999999997E-2</v>
      </c>
      <c r="E28" s="373">
        <v>182.16</v>
      </c>
      <c r="F28" t="str">
        <f>IF(AND($C$25&gt;=B28,$C$25&lt;=C28),"SIM","NAO")</f>
        <v>NAO</v>
      </c>
      <c r="G28">
        <f>IF(F28="SIM",($C$25*D28)-E28,0)</f>
        <v>0</v>
      </c>
    </row>
    <row r="29" spans="1:7" x14ac:dyDescent="0.25">
      <c r="A29" t="s">
        <v>2343</v>
      </c>
      <c r="B29" s="373">
        <v>2826.66</v>
      </c>
      <c r="C29" s="373">
        <v>3751.05</v>
      </c>
      <c r="D29" s="27">
        <v>0.15</v>
      </c>
      <c r="E29" s="373">
        <v>394.16</v>
      </c>
      <c r="F29" t="str">
        <f>IF(AND($C$25&gt;=B29,$C$25&lt;=C29),"SIM","NÃO")</f>
        <v>NÃO</v>
      </c>
      <c r="G29" s="373">
        <f>IF(F29="SIM",($C$25*D29)-E29,0)</f>
        <v>0</v>
      </c>
    </row>
    <row r="30" spans="1:7" x14ac:dyDescent="0.25">
      <c r="A30" t="s">
        <v>2342</v>
      </c>
      <c r="B30" s="373">
        <v>3751.06</v>
      </c>
      <c r="C30" s="373">
        <v>4664.68</v>
      </c>
      <c r="D30" s="27">
        <v>0.22500000000000001</v>
      </c>
      <c r="E30" s="373">
        <v>675.49</v>
      </c>
      <c r="F30" t="str">
        <f>IF(AND($C$25&gt;=B30,$C$25&lt;=C30),"SIM","NÃO")</f>
        <v>NÃO</v>
      </c>
      <c r="G30">
        <f>IF(F30="SIM",($C$25*D30)-E30,0)</f>
        <v>0</v>
      </c>
    </row>
    <row r="31" spans="1:7" x14ac:dyDescent="0.25">
      <c r="A31" t="s">
        <v>2341</v>
      </c>
      <c r="B31" s="373">
        <v>4664.6899999999996</v>
      </c>
      <c r="C31" s="373">
        <v>9999999</v>
      </c>
      <c r="D31" s="27">
        <v>0.27500000000000002</v>
      </c>
      <c r="E31" s="373">
        <v>908.73</v>
      </c>
      <c r="F31" t="str">
        <f>IF(AND($C$25&gt;=B31,$C$25&lt;=C31),"SIM","NAO")</f>
        <v>NAO</v>
      </c>
      <c r="G31">
        <f>IF(F31="SIM",($C$25*D31)-E31,0)</f>
        <v>0</v>
      </c>
    </row>
    <row r="33" spans="1:8" x14ac:dyDescent="0.25">
      <c r="A33" t="s">
        <v>2347</v>
      </c>
      <c r="B33" s="1"/>
      <c r="C33" s="1"/>
    </row>
    <row r="39" spans="1:8" x14ac:dyDescent="0.25">
      <c r="A39" t="s">
        <v>2346</v>
      </c>
      <c r="B39" s="373">
        <v>1</v>
      </c>
      <c r="C39">
        <v>5000</v>
      </c>
      <c r="D39" s="465">
        <v>1</v>
      </c>
    </row>
    <row r="40" spans="1:8" x14ac:dyDescent="0.25">
      <c r="A40" t="s">
        <v>2344</v>
      </c>
      <c r="B40" s="373">
        <v>5000.01</v>
      </c>
      <c r="C40" s="373">
        <v>5500</v>
      </c>
      <c r="D40" s="27">
        <v>0.75</v>
      </c>
      <c r="E40" s="373">
        <v>182.16</v>
      </c>
      <c r="F40" s="373"/>
      <c r="H40" s="373"/>
    </row>
    <row r="41" spans="1:8" x14ac:dyDescent="0.25">
      <c r="A41" t="s">
        <v>2343</v>
      </c>
      <c r="B41" s="373">
        <v>5500.01</v>
      </c>
      <c r="C41" s="373">
        <v>6000</v>
      </c>
      <c r="D41" s="27">
        <v>0.5</v>
      </c>
      <c r="E41" s="373">
        <v>394.16</v>
      </c>
      <c r="F41" s="373"/>
      <c r="H41" s="373"/>
    </row>
    <row r="42" spans="1:8" x14ac:dyDescent="0.25">
      <c r="A42" t="s">
        <v>2342</v>
      </c>
      <c r="B42" s="373">
        <v>6000.01</v>
      </c>
      <c r="C42" s="373">
        <v>6500</v>
      </c>
      <c r="D42" s="27">
        <v>0.25</v>
      </c>
      <c r="E42" s="373">
        <v>675.49</v>
      </c>
      <c r="F42" s="373"/>
      <c r="H42" s="373"/>
    </row>
    <row r="43" spans="1:8" x14ac:dyDescent="0.25">
      <c r="A43" t="s">
        <v>2341</v>
      </c>
      <c r="B43" s="373">
        <v>6500.01</v>
      </c>
      <c r="C43" s="373">
        <v>7349.99</v>
      </c>
      <c r="D43" s="27">
        <v>0.125</v>
      </c>
      <c r="E43" s="373">
        <v>908.73</v>
      </c>
      <c r="F43" s="373"/>
      <c r="H43" s="373"/>
    </row>
    <row r="44" spans="1:8" x14ac:dyDescent="0.25">
      <c r="B44" s="373">
        <v>7350</v>
      </c>
      <c r="D44" s="27">
        <v>0.27500000000000002</v>
      </c>
      <c r="E44" s="373">
        <v>908.73</v>
      </c>
    </row>
    <row r="48" spans="1:8" x14ac:dyDescent="0.25">
      <c r="A48" t="s">
        <v>2345</v>
      </c>
    </row>
    <row r="49" spans="1:8" x14ac:dyDescent="0.25">
      <c r="A49" t="s">
        <v>2344</v>
      </c>
      <c r="B49" s="373">
        <v>0</v>
      </c>
      <c r="C49" s="373">
        <v>1518</v>
      </c>
      <c r="D49" s="27">
        <v>7.4999999999999997E-2</v>
      </c>
      <c r="E49" s="373">
        <v>0</v>
      </c>
      <c r="F49" s="373">
        <f>('Margem IR Publico'!$C$8+E49)+(D49*'Margem IR Publico'!$C$8)</f>
        <v>5367.2599999999993</v>
      </c>
      <c r="G49" t="str">
        <f>IF(AND(F49&gt;=B49,F49&lt;=C49),"SIM","")</f>
        <v/>
      </c>
      <c r="H49" s="373" t="str">
        <f>IF(G49="SIM",F49,"")</f>
        <v/>
      </c>
    </row>
    <row r="50" spans="1:8" x14ac:dyDescent="0.25">
      <c r="A50" t="s">
        <v>2343</v>
      </c>
      <c r="B50" s="373">
        <v>1508.01</v>
      </c>
      <c r="C50" s="373">
        <v>2793.88</v>
      </c>
      <c r="D50" s="27">
        <v>0.09</v>
      </c>
      <c r="E50" s="373">
        <v>22.77</v>
      </c>
      <c r="F50" s="373">
        <f>('Margem IR Publico'!$C$8+E50)+(D50*'Margem IR Publico'!$C$8)</f>
        <v>5464.9219999999996</v>
      </c>
      <c r="G50" t="str">
        <f>IF(AND(F50&gt;=B50,F50&lt;=C50),"SIM","")</f>
        <v/>
      </c>
      <c r="H50" s="373" t="str">
        <f>IF(G50="SIM",F50,"")</f>
        <v/>
      </c>
    </row>
    <row r="51" spans="1:8" x14ac:dyDescent="0.25">
      <c r="A51" t="s">
        <v>2342</v>
      </c>
      <c r="B51" s="373">
        <f>C50+0.01</f>
        <v>2793.8900000000003</v>
      </c>
      <c r="C51" s="373">
        <v>4190.83</v>
      </c>
      <c r="D51" s="27">
        <v>0.12</v>
      </c>
      <c r="E51" s="373">
        <v>106.59</v>
      </c>
      <c r="F51" s="373">
        <f>('Margem IR Publico'!$C$8+E51)+(D51*'Margem IR Publico'!$C$8)</f>
        <v>5698.5259999999989</v>
      </c>
      <c r="G51" t="str">
        <f>IF(AND(F51&gt;=B51,F51&lt;=C51),"SIM","")</f>
        <v/>
      </c>
      <c r="H51" s="373" t="str">
        <f>IF(G51="SIM",F51,"")</f>
        <v/>
      </c>
    </row>
    <row r="52" spans="1:8" x14ac:dyDescent="0.25">
      <c r="A52" t="s">
        <v>2341</v>
      </c>
      <c r="B52" s="373">
        <f>C51+0.01</f>
        <v>4190.84</v>
      </c>
      <c r="C52" s="373">
        <v>8157.41</v>
      </c>
      <c r="D52" s="27">
        <v>0.14000000000000001</v>
      </c>
      <c r="E52" s="373">
        <v>190.4</v>
      </c>
      <c r="F52" s="373">
        <f>('Margem IR Publico'!$C$8+E52)+(D52*'Margem IR Publico'!$C$8)</f>
        <v>5882.1919999999991</v>
      </c>
      <c r="G52" t="str">
        <f>IF(AND(F52&gt;=B52,F52&lt;=C52),"SIM","")</f>
        <v>SIM</v>
      </c>
      <c r="H52" s="373">
        <f>IF(G52="SIM",F52,"")</f>
        <v>5882.1919999999991</v>
      </c>
    </row>
    <row r="53" spans="1:8" x14ac:dyDescent="0.25">
      <c r="B53" s="373"/>
    </row>
    <row r="57" spans="1:8" x14ac:dyDescent="0.25">
      <c r="F57" s="1"/>
    </row>
    <row r="59" spans="1:8" x14ac:dyDescent="0.25">
      <c r="G59" s="1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FEB8-A73B-4A20-9800-A3E8917D48B3}">
  <sheetPr codeName="Planilha41">
    <tabColor theme="0" tint="-0.249977111117893"/>
  </sheetPr>
  <dimension ref="A1:FQ1290"/>
  <sheetViews>
    <sheetView showGridLines="0" tabSelected="1" showRuler="0" topLeftCell="A2" zoomScale="90" zoomScaleNormal="90" workbookViewId="0">
      <selection activeCell="B35" sqref="B35"/>
    </sheetView>
  </sheetViews>
  <sheetFormatPr defaultRowHeight="12.75" customHeight="1" x14ac:dyDescent="0.25"/>
  <cols>
    <col min="1" max="1" width="2.140625" style="87" customWidth="1"/>
    <col min="2" max="2" width="29.42578125" style="87" customWidth="1"/>
    <col min="3" max="3" width="10.42578125" style="87" bestFit="1" customWidth="1"/>
    <col min="4" max="4" width="22.7109375" style="87" customWidth="1"/>
    <col min="5" max="5" width="30.28515625" style="87" customWidth="1"/>
    <col min="6" max="6" width="16.28515625" style="87" customWidth="1"/>
    <col min="7" max="7" width="17.7109375" style="87" customWidth="1"/>
    <col min="8" max="8" width="17.85546875" style="87" customWidth="1"/>
    <col min="9" max="9" width="15" style="87" bestFit="1" customWidth="1"/>
    <col min="10" max="10" width="14.5703125" style="87" bestFit="1" customWidth="1"/>
    <col min="11" max="11" width="20.7109375" style="87" customWidth="1"/>
    <col min="12" max="12" width="13.140625" style="87" customWidth="1"/>
    <col min="13" max="13" width="17.5703125" style="87" customWidth="1"/>
    <col min="14" max="20" width="14.28515625" style="87" customWidth="1"/>
    <col min="21" max="21" width="15.140625" style="87" hidden="1" customWidth="1"/>
    <col min="22" max="22" width="10.7109375" style="87" hidden="1" customWidth="1"/>
    <col min="23" max="23" width="11.5703125" style="87" hidden="1" customWidth="1"/>
    <col min="24" max="24" width="4.42578125" style="87" hidden="1" customWidth="1"/>
    <col min="25" max="27" width="11" style="87" hidden="1" customWidth="1"/>
    <col min="28" max="28" width="9.85546875" style="87" hidden="1" customWidth="1"/>
    <col min="29" max="41" width="7.85546875" style="87" hidden="1" customWidth="1"/>
    <col min="42" max="42" width="8.140625" style="87" hidden="1" customWidth="1"/>
    <col min="43" max="43" width="18.7109375" style="87" hidden="1" customWidth="1"/>
    <col min="44" max="44" width="11.140625" style="87" hidden="1" customWidth="1"/>
    <col min="45" max="45" width="10.85546875" style="87" hidden="1" customWidth="1"/>
    <col min="46" max="46" width="9.140625" style="87" hidden="1" customWidth="1"/>
    <col min="47" max="47" width="18.7109375" style="87" hidden="1" customWidth="1"/>
    <col min="48" max="48" width="11.140625" style="87" hidden="1" customWidth="1"/>
    <col min="49" max="49" width="11.5703125" style="87" hidden="1" customWidth="1"/>
    <col min="50" max="50" width="10" style="87" hidden="1" customWidth="1"/>
    <col min="51" max="51" width="28.7109375" style="87" hidden="1" customWidth="1"/>
    <col min="52" max="52" width="17.7109375" style="87" hidden="1" customWidth="1"/>
    <col min="53" max="53" width="10.85546875" style="87" hidden="1" customWidth="1"/>
    <col min="54" max="54" width="8.5703125" style="87" hidden="1" customWidth="1"/>
    <col min="55" max="55" width="10.42578125" style="87" hidden="1" customWidth="1"/>
    <col min="56" max="56" width="13.5703125" style="87" hidden="1" customWidth="1"/>
    <col min="57" max="57" width="13.28515625" style="87" hidden="1" customWidth="1"/>
    <col min="58" max="58" width="17" style="87" hidden="1" customWidth="1"/>
    <col min="59" max="60" width="13" style="87" hidden="1" customWidth="1"/>
    <col min="61" max="61" width="18.5703125" style="87" hidden="1" customWidth="1"/>
    <col min="62" max="62" width="9.140625" style="87" hidden="1" customWidth="1"/>
    <col min="63" max="63" width="18.140625" style="87" hidden="1" customWidth="1"/>
    <col min="64" max="64" width="14.5703125" style="87" hidden="1" customWidth="1"/>
    <col min="65" max="65" width="4.7109375" style="87" hidden="1" customWidth="1"/>
    <col min="66" max="66" width="14.28515625" style="87" hidden="1" customWidth="1"/>
    <col min="67" max="69" width="9.140625" style="87" hidden="1" customWidth="1"/>
    <col min="70" max="70" width="27" style="87" hidden="1" customWidth="1"/>
    <col min="71" max="71" width="13" style="87" hidden="1" customWidth="1"/>
    <col min="72" max="72" width="26.140625" style="87" hidden="1" customWidth="1"/>
    <col min="73" max="73" width="19.28515625" style="87" hidden="1" customWidth="1"/>
    <col min="74" max="74" width="11.28515625" style="87" hidden="1" customWidth="1"/>
    <col min="75" max="75" width="12.5703125" style="87" hidden="1" customWidth="1"/>
    <col min="76" max="76" width="12.42578125" style="87" hidden="1" customWidth="1"/>
    <col min="77" max="77" width="22.140625" style="87" hidden="1" customWidth="1"/>
    <col min="78" max="78" width="19.42578125" style="87" hidden="1" customWidth="1"/>
    <col min="79" max="79" width="2.85546875" style="188" hidden="1" customWidth="1"/>
    <col min="80" max="80" width="43.85546875" style="87" hidden="1" customWidth="1"/>
    <col min="81" max="81" width="14.42578125" style="87" hidden="1" customWidth="1"/>
    <col min="82" max="82" width="15.85546875" style="87" hidden="1" customWidth="1"/>
    <col min="83" max="83" width="15.42578125" style="268" hidden="1" customWidth="1"/>
    <col min="84" max="84" width="18.28515625" style="87" hidden="1" customWidth="1"/>
    <col min="85" max="85" width="23.5703125" style="188" hidden="1" customWidth="1"/>
    <col min="86" max="96" width="9.140625" style="87" hidden="1" customWidth="1"/>
    <col min="97" max="97" width="4.42578125" style="87" hidden="1" customWidth="1"/>
    <col min="98" max="98" width="11.140625" style="87" hidden="1" customWidth="1"/>
    <col min="99" max="102" width="10.7109375" style="87" hidden="1" customWidth="1"/>
    <col min="103" max="107" width="9" style="87" hidden="1" customWidth="1"/>
    <col min="108" max="121" width="10.85546875" style="87" hidden="1" customWidth="1"/>
    <col min="122" max="135" width="12.140625" style="87" hidden="1" customWidth="1"/>
    <col min="136" max="146" width="9.140625" style="87" hidden="1" customWidth="1"/>
    <col min="147" max="147" width="11.42578125" style="87" hidden="1" customWidth="1"/>
    <col min="148" max="149" width="11.5703125" style="87" hidden="1" customWidth="1"/>
    <col min="150" max="172" width="9.140625" style="87" hidden="1" customWidth="1"/>
    <col min="173" max="173" width="0" style="87" hidden="1" customWidth="1"/>
    <col min="174" max="16384" width="9.140625" style="87"/>
  </cols>
  <sheetData>
    <row r="1" spans="2:173" customFormat="1" ht="7.5" customHeight="1" thickBot="1" x14ac:dyDescent="0.3"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188"/>
      <c r="CB1" s="87"/>
      <c r="CC1" s="87"/>
      <c r="CD1" s="87"/>
      <c r="CE1" s="268"/>
      <c r="CF1" s="87"/>
      <c r="CG1" s="188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</row>
    <row r="2" spans="2:173" customFormat="1" ht="19.5" thickBot="1" x14ac:dyDescent="0.3">
      <c r="D2" s="655" t="s">
        <v>50</v>
      </c>
      <c r="E2" s="656"/>
      <c r="F2" s="656"/>
      <c r="G2" s="656"/>
      <c r="H2" s="656"/>
      <c r="I2" s="656"/>
      <c r="J2" s="656"/>
      <c r="K2" s="656"/>
      <c r="L2" s="65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188"/>
      <c r="CB2" s="87"/>
      <c r="CC2" s="87"/>
      <c r="CD2" s="87"/>
      <c r="CE2" s="268"/>
      <c r="CF2" s="87"/>
      <c r="CG2" s="188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</row>
    <row r="3" spans="2:173" customFormat="1" ht="8.25" customHeight="1" thickBot="1" x14ac:dyDescent="0.3">
      <c r="F3" s="54" t="s">
        <v>46</v>
      </c>
      <c r="G3" s="54"/>
      <c r="H3" s="55" t="e">
        <f>VLOOKUP(E8,$BT$23:$CF$44,10,FALSE)</f>
        <v>#N/A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188"/>
      <c r="CB3" s="87"/>
      <c r="CC3" s="87"/>
      <c r="CD3" s="87"/>
      <c r="CE3" s="268"/>
      <c r="CF3" s="87"/>
      <c r="CG3" s="188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</row>
    <row r="4" spans="2:173" customFormat="1" ht="12.75" customHeight="1" thickBot="1" x14ac:dyDescent="0.3">
      <c r="D4" s="600" t="s">
        <v>3148</v>
      </c>
      <c r="E4" s="601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188"/>
      <c r="CB4" s="87"/>
      <c r="CC4" s="87"/>
      <c r="CD4" s="87"/>
      <c r="CE4" s="268"/>
      <c r="CF4" s="87"/>
      <c r="CG4" s="188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</row>
    <row r="5" spans="2:173" customFormat="1" ht="36" customHeight="1" thickBot="1" x14ac:dyDescent="0.3">
      <c r="D5" s="602"/>
      <c r="E5" s="603"/>
      <c r="G5" s="598" t="s">
        <v>1100</v>
      </c>
      <c r="H5" s="599"/>
      <c r="T5" s="87"/>
      <c r="U5" s="87"/>
      <c r="V5" s="87"/>
      <c r="W5" s="383">
        <v>45574</v>
      </c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188"/>
      <c r="CB5" s="87"/>
      <c r="CC5" s="87"/>
      <c r="CD5" s="87"/>
      <c r="CE5" s="268"/>
      <c r="CF5" s="87"/>
      <c r="CG5" s="188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</row>
    <row r="6" spans="2:173" customFormat="1" ht="54.75" customHeight="1" thickBot="1" x14ac:dyDescent="0.3">
      <c r="D6" s="604"/>
      <c r="E6" s="605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188"/>
      <c r="CB6" s="87"/>
      <c r="CC6" s="87"/>
      <c r="CD6" s="87"/>
      <c r="CE6" s="268"/>
      <c r="CF6" s="87"/>
      <c r="CG6" s="188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</row>
    <row r="7" spans="2:173" customFormat="1" ht="9.75" customHeight="1" thickBot="1" x14ac:dyDescent="0.3">
      <c r="T7" s="87"/>
      <c r="U7" s="87"/>
      <c r="V7" s="87"/>
      <c r="W7" s="87">
        <f>VLOOKUP(E8,'Base tabelas'!$A:$Q,15,FALSE)</f>
        <v>20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188"/>
      <c r="CB7" s="87"/>
      <c r="CC7" s="87"/>
      <c r="CD7" s="87"/>
      <c r="CE7" s="268"/>
      <c r="CF7" s="87"/>
      <c r="CG7" s="188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</row>
    <row r="8" spans="2:173" customFormat="1" ht="19.5" customHeight="1" thickTop="1" thickBot="1" x14ac:dyDescent="0.3">
      <c r="D8" s="81" t="s">
        <v>51</v>
      </c>
      <c r="E8" s="23" t="s">
        <v>42</v>
      </c>
      <c r="G8" s="594">
        <f ca="1">H54</f>
        <v>46162</v>
      </c>
      <c r="H8" s="595"/>
      <c r="J8" s="596" t="s">
        <v>357</v>
      </c>
      <c r="K8" s="597"/>
      <c r="L8" s="164">
        <f ca="1">BA16</f>
        <v>46213</v>
      </c>
      <c r="T8" s="87"/>
      <c r="U8" s="87"/>
      <c r="V8" s="87"/>
      <c r="W8" s="137">
        <f>IF(W7="LG",0.03%,0.03%)</f>
        <v>2.9999999999999997E-4</v>
      </c>
      <c r="X8" s="87"/>
      <c r="Y8" s="87"/>
      <c r="Z8" s="384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385">
        <f ca="1">EDATE(AW9,-1)</f>
        <v>46183</v>
      </c>
      <c r="AX8" s="87"/>
      <c r="AY8" s="87"/>
      <c r="AZ8" s="87" t="s">
        <v>49</v>
      </c>
      <c r="BA8" s="87" t="e">
        <f ca="1">VLOOKUP(E8,$BT$23:$BW$1000,4,FALSE)</f>
        <v>#N/A</v>
      </c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188"/>
      <c r="CB8" s="87"/>
      <c r="CC8" s="87"/>
      <c r="CD8" s="87"/>
      <c r="CE8" s="268"/>
      <c r="CF8" s="87"/>
      <c r="CG8" s="188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</row>
    <row r="9" spans="2:173" customFormat="1" ht="60.75" hidden="1" thickTop="1" x14ac:dyDescent="0.25">
      <c r="C9" s="26"/>
      <c r="D9" s="177">
        <f>IF(_xlfn.NUMBERVALUE(D18)&lt;$E$24,0,1)</f>
        <v>1</v>
      </c>
      <c r="E9" s="177">
        <f t="shared" ref="E9:T9" si="0">IF(_xlfn.NUMBERVALUE(E18)&lt;$E$24,0,1)</f>
        <v>0</v>
      </c>
      <c r="F9" s="177">
        <f t="shared" si="0"/>
        <v>0</v>
      </c>
      <c r="G9" s="177">
        <f t="shared" si="0"/>
        <v>0</v>
      </c>
      <c r="H9" s="177">
        <f t="shared" si="0"/>
        <v>0</v>
      </c>
      <c r="I9" s="177">
        <f t="shared" si="0"/>
        <v>0</v>
      </c>
      <c r="J9" s="177">
        <f t="shared" si="0"/>
        <v>0</v>
      </c>
      <c r="K9" s="177">
        <f t="shared" si="0"/>
        <v>0</v>
      </c>
      <c r="L9" s="177">
        <f t="shared" si="0"/>
        <v>0</v>
      </c>
      <c r="M9" s="177">
        <f t="shared" si="0"/>
        <v>0</v>
      </c>
      <c r="N9" s="177">
        <f t="shared" si="0"/>
        <v>0</v>
      </c>
      <c r="O9" s="177">
        <f t="shared" si="0"/>
        <v>0</v>
      </c>
      <c r="P9" s="177">
        <f t="shared" si="0"/>
        <v>0</v>
      </c>
      <c r="Q9" s="177">
        <f t="shared" si="0"/>
        <v>0</v>
      </c>
      <c r="R9" s="177">
        <f t="shared" si="0"/>
        <v>0</v>
      </c>
      <c r="S9" s="177">
        <f t="shared" si="0"/>
        <v>0</v>
      </c>
      <c r="T9" s="177">
        <f t="shared" si="0"/>
        <v>0</v>
      </c>
      <c r="U9" s="2">
        <f>SUM(D9:T9)</f>
        <v>1</v>
      </c>
      <c r="V9" s="87"/>
      <c r="W9" s="259">
        <f ca="1">TODAY()+Y11</f>
        <v>46162</v>
      </c>
      <c r="X9" s="87"/>
      <c r="Y9" s="386">
        <f ca="1">NOW()</f>
        <v>46162.526789930555</v>
      </c>
      <c r="Z9" s="384">
        <f>IF(E8="INSS",0,0.03%)</f>
        <v>0</v>
      </c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259">
        <f ca="1">EDATE(IF(BC10=3,BK10,BL11),AX9)</f>
        <v>46213</v>
      </c>
      <c r="AX9" s="87">
        <f>IFERROR(IFERROR(VLOOKUP(E8,$BX:$BY,2,FALSE),VLOOKUP(E8,$BZ:$CA,2,FALSE)),0)</f>
        <v>0</v>
      </c>
      <c r="AY9" s="87"/>
      <c r="AZ9" s="87"/>
      <c r="BA9" s="87"/>
      <c r="BB9" s="270" t="s">
        <v>304</v>
      </c>
      <c r="BC9" s="270" t="s">
        <v>307</v>
      </c>
      <c r="BD9" s="253" t="s">
        <v>308</v>
      </c>
      <c r="BE9" s="253" t="s">
        <v>309</v>
      </c>
      <c r="BF9" s="253" t="s">
        <v>310</v>
      </c>
      <c r="BG9" s="253" t="s">
        <v>311</v>
      </c>
      <c r="BH9" s="253" t="s">
        <v>312</v>
      </c>
      <c r="BI9" s="253"/>
      <c r="BJ9" s="253"/>
      <c r="BK9" s="253" t="s">
        <v>313</v>
      </c>
      <c r="BL9" s="253" t="s">
        <v>314</v>
      </c>
      <c r="BM9" s="87"/>
      <c r="BN9" s="87" t="s">
        <v>315</v>
      </c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188"/>
      <c r="CB9" s="87"/>
      <c r="CC9" s="87"/>
      <c r="CD9" s="87"/>
      <c r="CE9" s="268"/>
      <c r="CF9" s="87"/>
      <c r="CG9" s="188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  <c r="EN9" s="87"/>
      <c r="EO9" s="87"/>
      <c r="EP9" s="87"/>
      <c r="EQ9" s="87"/>
      <c r="ER9" s="87"/>
      <c r="ES9" s="87"/>
      <c r="ET9" s="87"/>
      <c r="EU9" s="87"/>
      <c r="EV9" s="87"/>
      <c r="EW9" s="87"/>
      <c r="EX9" s="87"/>
      <c r="EY9" s="87"/>
      <c r="EZ9" s="87"/>
      <c r="FA9" s="87"/>
      <c r="FB9" s="87"/>
      <c r="FC9" s="87"/>
      <c r="FD9" s="87"/>
      <c r="FE9" s="87"/>
      <c r="FF9" s="87"/>
      <c r="FG9" s="87"/>
      <c r="FH9" s="87"/>
      <c r="FI9" s="87"/>
      <c r="FJ9" s="87"/>
      <c r="FK9" s="87"/>
      <c r="FL9" s="87"/>
      <c r="FM9" s="87"/>
      <c r="FN9" s="87"/>
      <c r="FO9" s="87"/>
      <c r="FP9" s="87"/>
      <c r="FQ9" s="87"/>
    </row>
    <row r="10" spans="2:173" customFormat="1" ht="30" hidden="1" x14ac:dyDescent="0.25">
      <c r="C10" s="26"/>
      <c r="D10" s="354">
        <f>IFERROR(VLOOKUP(IF(D18&gt;$AB$13,$AB$13,D18)+0.015%,'Batalha Naval (3)'!$F$9:$ET$53,'CALCULAR SALDO APROXIMADO '!D20+1,TRUE),0%)</f>
        <v>1.85000000000007E-2</v>
      </c>
      <c r="E10" s="354">
        <f>IFERROR(VLOOKUP(IF(E18&gt;$AB$13,$AB$13,E18)+0.015%,'Batalha Naval (3)'!$F$9:$ET$53,'CALCULAR SALDO APROXIMADO '!E20+1,TRUE),0%)</f>
        <v>1.8500000000000006E-2</v>
      </c>
      <c r="F10" s="354">
        <f>IFERROR(VLOOKUP(IF(F18&gt;$AB$13,$AB$13,F18)+0.015%,'Batalha Naval (3)'!$F$9:$ET$53,'CALCULAR SALDO APROXIMADO '!F20+1,TRUE),0%)</f>
        <v>1.8500000000000006E-2</v>
      </c>
      <c r="G10" s="354">
        <f>IFERROR(VLOOKUP(IF(G18&gt;$AB$13,$AB$13,G18)+0.015%,'Batalha Naval (3)'!$F$9:$ET$53,'CALCULAR SALDO APROXIMADO '!G20+1,TRUE),0%)</f>
        <v>1.8500000000000006E-2</v>
      </c>
      <c r="H10" s="354">
        <f>IFERROR(VLOOKUP(IF(H18&gt;$AB$13,$AB$13,H18)+0.015%,'Batalha Naval (3)'!$F$9:$ET$53,'CALCULAR SALDO APROXIMADO '!H20+1,TRUE),0%)</f>
        <v>1.8500000000000006E-2</v>
      </c>
      <c r="I10" s="354">
        <f>IFERROR(VLOOKUP(IF(I18&gt;$AB$13,$AB$13,I18)+0.015%,'Batalha Naval (3)'!$F$9:$ET$53,'CALCULAR SALDO APROXIMADO '!I20+1,TRUE),0%)</f>
        <v>1.8500000000000006E-2</v>
      </c>
      <c r="J10" s="354">
        <f>IFERROR(VLOOKUP(IF(J18&gt;$AB$13,$AB$13,J18)+0.015%,'Batalha Naval (3)'!$F$9:$ET$53,'CALCULAR SALDO APROXIMADO '!J20+1,TRUE),0%)</f>
        <v>1.8500000000000006E-2</v>
      </c>
      <c r="K10" s="354">
        <f>IFERROR(VLOOKUP(IF(K18&gt;$AB$13,$AB$13,K18)+0.015%,'Batalha Naval (3)'!$F$9:$ET$53,'CALCULAR SALDO APROXIMADO '!K20+1,TRUE),0%)</f>
        <v>1.8500000000000006E-2</v>
      </c>
      <c r="L10" s="354">
        <f>IFERROR(VLOOKUP(IF(L18&gt;$AB$13,$AB$13,L18)+0.015%,'Batalha Naval (3)'!$F$9:$ET$53,'CALCULAR SALDO APROXIMADO '!L20+1,TRUE),0%)</f>
        <v>1.8500000000000006E-2</v>
      </c>
      <c r="M10" s="354">
        <f>IFERROR(VLOOKUP(IF(M18&gt;$AB$13,$AB$13,M18)+0.015%,'Batalha Naval (3)'!$F$9:$ET$53,'CALCULAR SALDO APROXIMADO '!M20+1,TRUE),0%)</f>
        <v>1.8500000000000006E-2</v>
      </c>
      <c r="N10" s="354">
        <f>IFERROR(VLOOKUP(IF(N18&gt;$AB$13,$AB$13,N18)+0.015%,'Batalha Naval (3)'!$F$9:$ET$53,'CALCULAR SALDO APROXIMADO '!N20+1,TRUE),0%)</f>
        <v>1.8500000000000006E-2</v>
      </c>
      <c r="O10" s="354">
        <f>IFERROR(VLOOKUP(IF(O18&gt;$AB$13,$AB$13,O18)+0.015%,'Batalha Naval (3)'!$F$9:$ET$53,'CALCULAR SALDO APROXIMADO '!O20+1,TRUE),0%)</f>
        <v>1.8500000000000006E-2</v>
      </c>
      <c r="P10" s="354">
        <f>IFERROR(VLOOKUP(IF(P18&gt;$AB$13,$AB$13,P18)+0.015%,'Batalha Naval (3)'!$F$9:$ET$53,'CALCULAR SALDO APROXIMADO '!P20+1,TRUE),0%)</f>
        <v>1.8500000000000006E-2</v>
      </c>
      <c r="Q10" s="354">
        <f>IFERROR(VLOOKUP(IF(Q18&gt;$AB$13,$AB$13,Q18)+0.015%,'Batalha Naval (3)'!$F$9:$ET$53,'CALCULAR SALDO APROXIMADO '!Q20+1,TRUE),0%)</f>
        <v>1.8500000000000006E-2</v>
      </c>
      <c r="R10" s="354">
        <f>IFERROR(VLOOKUP(IF(R18&gt;$AB$13,$AB$13,R18)+0.015%,'Batalha Naval (3)'!$F$9:$ET$53,'CALCULAR SALDO APROXIMADO '!R20+1,TRUE),0%)</f>
        <v>1.8500000000000006E-2</v>
      </c>
      <c r="S10" s="354">
        <f>IFERROR(VLOOKUP(IF(S18&gt;$AB$13,$AB$13,S18)+0.015%,'Batalha Naval (3)'!$F$9:$ET$53,'CALCULAR SALDO APROXIMADO '!S20+1,TRUE),0%)</f>
        <v>1.8500000000000006E-2</v>
      </c>
      <c r="T10" s="453">
        <f>IFERROR(VLOOKUP(IF(T18&gt;$AB$13,$AB$13,T18)+0.015%,'Batalha Naval (3)'!$F$9:$ET$53,'CALCULAR SALDO APROXIMADO '!T20+1,TRUE),0%)</f>
        <v>1.8500000000000006E-2</v>
      </c>
      <c r="U10" s="87"/>
      <c r="V10" s="87"/>
      <c r="W10" s="259"/>
      <c r="X10" s="87"/>
      <c r="Y10" s="386"/>
      <c r="Z10" s="269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271">
        <f ca="1">VLOOKUP(G8,CALENDARIO!$C:$G,5,FALSE)</f>
        <v>13</v>
      </c>
      <c r="BC10" s="144">
        <f>_xlfn.NUMBERVALUE(VLOOKUP(E8,'Base tabelas'!$A:$N,14,FALSE))</f>
        <v>3</v>
      </c>
      <c r="BD10" s="141">
        <f>VLOOKUP(E8,'Base tabelas'!$A:$M,13,FALSE)</f>
        <v>3</v>
      </c>
      <c r="BE10" s="145"/>
      <c r="BF10" s="203">
        <f ca="1">IF(BC10=3,BK10,BL10)-AW15</f>
        <v>51</v>
      </c>
      <c r="BG10" s="177">
        <f ca="1">_xlfn.NUMBERVALUE(DAY(G8))</f>
        <v>20</v>
      </c>
      <c r="BH10" s="177">
        <f>_xlfn.NUMBERVALUE(BD10)</f>
        <v>3</v>
      </c>
      <c r="BI10" s="272" t="str">
        <f ca="1">IF(DAY(G8)&gt;W12,"ALEM VENCIMENTO","")</f>
        <v>ALEM VENCIMENTO</v>
      </c>
      <c r="BJ10" s="188" t="str">
        <f>IF(AND(BC10=2,BD10&gt;=24),"FINAL MÊS","")</f>
        <v/>
      </c>
      <c r="BK10" s="259">
        <f ca="1">IF(BC10=3,IF(AND(BB10&gt;BD10,BG10&lt;BM10),EDATE(AS16,2),IF(AND(BG10&gt;=BM10),EDATE(AS16,1),EDATE(AS16,1))))</f>
        <v>46213</v>
      </c>
      <c r="BL10" s="273">
        <f ca="1">IF(AND(BC10=2,BJ10&lt;&gt;"FINAL MÊS",BG10&lt;=BH10,BG10&gt;=BM10),EDATE(AS16,0),IF(AND(BC10=2,BJ10&lt;&gt;"FINAL MÊS",BG10&lt;=BH10,BG10&lt;BM10),EDATE(AS16,1),IF(AND(BC10=2,BJ10&lt;&gt;"FINAL MÊS",BG10&gt;BH10,BG10&gt;=BM10),EDATE(AS16,1),IF(AND(BC10=2,BJ10&lt;&gt;"FINAL MÊS",BG10&gt;BH10,BG10&lt;BM10),EDATE(AS16,2),IF(AND(BJ10="FINAL MÊS",BG10&gt;BM10,BG10&lt;BH10),EDATE(AS16,1),IF(AND(BJ10="FINAL MÊS",BG10&lt;=BH10,BG10&gt;=BM10),EDATE(AS16,1),EDATE(AS16,2)))))))</f>
        <v>46244</v>
      </c>
      <c r="BM10" s="274">
        <f>_xlfn.NUMBERVALUE(W12)</f>
        <v>10</v>
      </c>
      <c r="BN10" s="87" t="str">
        <f>IF(_xlfn.NUMBERVALUE(BO10)=0,0,BO10)</f>
        <v>1</v>
      </c>
      <c r="BO10" s="87" t="str">
        <f>VLOOKUP(E8,'Base tabelas'!$A:$S,18,FALSE)</f>
        <v>1</v>
      </c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188"/>
      <c r="CB10" s="87"/>
      <c r="CC10" s="87"/>
      <c r="CD10" s="87"/>
      <c r="CE10" s="268"/>
      <c r="CF10" s="87"/>
      <c r="CG10" s="188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</row>
    <row r="11" spans="2:173" customFormat="1" ht="16.5" thickTop="1" thickBot="1" x14ac:dyDescent="0.3"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65"/>
      <c r="U11" s="87"/>
      <c r="V11" s="87"/>
      <c r="W11" s="87"/>
      <c r="X11" s="87"/>
      <c r="Y11" s="387">
        <f ca="1">IF(HOUR(Y9)&lt;17,0,1)</f>
        <v>0</v>
      </c>
      <c r="Z11" s="269"/>
      <c r="AA11" s="269"/>
      <c r="AB11" s="87" t="s">
        <v>39</v>
      </c>
      <c r="AC11" s="87" t="s">
        <v>476</v>
      </c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259">
        <f ca="1">IF(AND(BC10=2,BJ10&lt;&gt;"FINAL MÊS",BG10&lt;=BH10,BG10&gt;=BM10),EDATE(AS16,1),IF(AND(BC10=2,BJ10&lt;&gt;"FINAL MÊS",BG10&lt;=BH10,BG10&lt;BM10),EDATE(AS16,1),IF(AND(BC10=2,BJ10&lt;&gt;"FINAL MÊS",BG10&gt;BH10,BG10&gt;=BM10),EDATE(AS16,BN10),IF(AND(BC10=2,BJ10&lt;&gt;"FINAL MÊS",BG10&gt;BH10,BG10&lt;BM10),EDATE(AS16,BN10+1),IF(AND(BJ10="FINAL MÊS",BG10&gt;BM10,BG10&lt;BH10),EDATE(AS16,BN10),IF(AND(BJ10="FINAL MÊS",BG10&lt;=BH10,BG10&gt;=BM10),EDATE(AS16,BN10),EDATE(AS16,BN10+1)))))))</f>
        <v>46244</v>
      </c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188"/>
      <c r="CB11" s="87"/>
      <c r="CC11" s="87"/>
      <c r="CD11" s="87"/>
      <c r="CE11" s="268"/>
      <c r="CF11" s="87"/>
      <c r="CG11" s="188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</row>
    <row r="12" spans="2:173" customFormat="1" ht="15.75" hidden="1" thickBot="1" x14ac:dyDescent="0.3">
      <c r="D12" s="323">
        <f>VLOOKUP($E$8,'Batalha Naval (3)'!$H$6:$L$6,5,FALSE)</f>
        <v>1.5600000000000001E-2</v>
      </c>
      <c r="E12" s="323">
        <f>VLOOKUP($E$8,'Batalha Naval (3)'!$H$6:$L$6,5,FALSE)</f>
        <v>1.5600000000000001E-2</v>
      </c>
      <c r="F12" s="323">
        <f>VLOOKUP($E$8,'Batalha Naval (3)'!$H$6:$L$6,5,FALSE)</f>
        <v>1.5600000000000001E-2</v>
      </c>
      <c r="G12" s="323">
        <f>VLOOKUP($E$8,'Batalha Naval (3)'!$H$6:$L$6,5,FALSE)</f>
        <v>1.5600000000000001E-2</v>
      </c>
      <c r="H12" s="323">
        <f>VLOOKUP($E$8,'Batalha Naval (3)'!$H$6:$L$6,5,FALSE)</f>
        <v>1.5600000000000001E-2</v>
      </c>
      <c r="I12" s="323">
        <f>VLOOKUP($E$8,'Batalha Naval (3)'!$H$6:$L$6,5,FALSE)</f>
        <v>1.5600000000000001E-2</v>
      </c>
      <c r="J12" s="323">
        <f>VLOOKUP($E$8,'Batalha Naval (3)'!$H$6:$L$6,5,FALSE)</f>
        <v>1.5600000000000001E-2</v>
      </c>
      <c r="K12" s="323">
        <f>VLOOKUP($E$8,'Batalha Naval (3)'!$H$6:$L$6,5,FALSE)</f>
        <v>1.5600000000000001E-2</v>
      </c>
      <c r="L12" s="323">
        <f>VLOOKUP($E$8,'Batalha Naval (3)'!$H$6:$L$6,5,FALSE)</f>
        <v>1.5600000000000001E-2</v>
      </c>
      <c r="M12" s="323">
        <f>VLOOKUP($E$8,'Batalha Naval (3)'!$H$6:$L$6,5,FALSE)</f>
        <v>1.5600000000000001E-2</v>
      </c>
      <c r="N12" s="323">
        <f>VLOOKUP($E$8,'Batalha Naval (3)'!$H$6:$L$6,5,FALSE)</f>
        <v>1.5600000000000001E-2</v>
      </c>
      <c r="O12" s="323">
        <f>VLOOKUP($E$8,'Batalha Naval (3)'!$H$6:$L$6,5,FALSE)</f>
        <v>1.5600000000000001E-2</v>
      </c>
      <c r="P12" s="323">
        <f>VLOOKUP($E$8,'Batalha Naval (3)'!$H$6:$L$6,5,FALSE)</f>
        <v>1.5600000000000001E-2</v>
      </c>
      <c r="Q12" s="323">
        <f>VLOOKUP($E$8,'Batalha Naval (3)'!$H$6:$L$6,5,FALSE)</f>
        <v>1.5600000000000001E-2</v>
      </c>
      <c r="R12" s="323">
        <f>VLOOKUP($E$8,'Batalha Naval (3)'!$H$6:$L$6,5,FALSE)</f>
        <v>1.5600000000000001E-2</v>
      </c>
      <c r="S12" s="323">
        <f>VLOOKUP($E$8,'Batalha Naval (3)'!$H$6:$L$6,5,FALSE)</f>
        <v>1.5600000000000001E-2</v>
      </c>
      <c r="T12" s="454">
        <f>VLOOKUP($E$8,'Batalha Naval (3)'!$H$6:$L$6,5,FALSE)</f>
        <v>1.5600000000000001E-2</v>
      </c>
      <c r="U12" s="87"/>
      <c r="V12" s="87"/>
      <c r="W12" s="275">
        <f>VLOOKUP(E8,'Base tabelas'!$A:$I,9,FALSE)</f>
        <v>10</v>
      </c>
      <c r="X12" s="87"/>
      <c r="Y12" s="87"/>
      <c r="Z12" s="87"/>
      <c r="AA12" s="87"/>
      <c r="AB12" s="87" t="s">
        <v>442</v>
      </c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188"/>
      <c r="CB12" s="87"/>
      <c r="CC12" s="87"/>
      <c r="CD12" s="87"/>
      <c r="CE12" s="268"/>
      <c r="CF12" s="87"/>
      <c r="CG12" s="188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</row>
    <row r="13" spans="2:173" ht="15.75" thickBot="1" x14ac:dyDescent="0.3">
      <c r="B13" s="610" t="s">
        <v>25</v>
      </c>
      <c r="C13" s="611"/>
      <c r="D13" s="7">
        <v>1</v>
      </c>
      <c r="E13" s="7">
        <v>2</v>
      </c>
      <c r="F13" s="7">
        <v>3</v>
      </c>
      <c r="G13" s="7">
        <v>4</v>
      </c>
      <c r="H13" s="7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7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W13" s="259">
        <f ca="1">IF(DAY(AS15)&gt;=W12,EDATE(AS15-DAY(AS15)+W12,1),EDATE(AS15-DAY(AS15)+W12,0))</f>
        <v>46183</v>
      </c>
      <c r="Z13" s="87">
        <f>D16-D20</f>
        <v>15</v>
      </c>
      <c r="AB13" s="98">
        <f>VLOOKUP(E8,'Base tabelas'!$A:$U,20,FALSE)</f>
        <v>1.8500000000000003E-2</v>
      </c>
      <c r="AC13" s="137" t="str">
        <f>VLOOKUP(E8,'Base tabelas'!$A:$T,18,FALSE)</f>
        <v>1</v>
      </c>
      <c r="AQ13" s="388" t="s">
        <v>8</v>
      </c>
      <c r="AR13" s="388"/>
      <c r="AS13" s="138"/>
      <c r="AT13" s="138"/>
      <c r="AU13" s="388" t="s">
        <v>9</v>
      </c>
      <c r="AV13" s="388"/>
      <c r="AW13" s="138"/>
      <c r="AX13" s="138"/>
      <c r="AY13" s="388" t="s">
        <v>10</v>
      </c>
      <c r="AZ13" s="388"/>
      <c r="BA13" s="388"/>
      <c r="BU13" s="98"/>
    </row>
    <row r="14" spans="2:173" customFormat="1" ht="6.75" customHeight="1" x14ac:dyDescent="0.25">
      <c r="D14" s="100" t="str">
        <f ca="1">IF(D18&lt;$E$24,"Desvincular",IF(D15&lt;&gt;"",IF($D$26&lt;D12-0.03%,IFERROR(IF(D10&lt;(D12-$Z$9),"Desvincular","Manter"),""),""),""))</f>
        <v/>
      </c>
      <c r="E14" s="100" t="str">
        <f t="shared" ref="E14:T14" si="1">IF(E18&lt;$E$24,"Desvincular",IF(E15&lt;&gt;"",IF($D$26&lt;E12-0.03%,IFERROR(IF(E10&lt;(E12-$Z$9),"Desvincular","Manter"),""),""),""))</f>
        <v/>
      </c>
      <c r="F14" s="100" t="str">
        <f t="shared" si="1"/>
        <v/>
      </c>
      <c r="G14" s="100" t="str">
        <f t="shared" si="1"/>
        <v/>
      </c>
      <c r="H14" s="100" t="str">
        <f t="shared" si="1"/>
        <v/>
      </c>
      <c r="I14" s="100" t="str">
        <f t="shared" si="1"/>
        <v/>
      </c>
      <c r="J14" s="100" t="str">
        <f t="shared" si="1"/>
        <v/>
      </c>
      <c r="K14" s="100" t="str">
        <f t="shared" si="1"/>
        <v/>
      </c>
      <c r="L14" s="100" t="str">
        <f t="shared" si="1"/>
        <v/>
      </c>
      <c r="M14" s="100" t="str">
        <f t="shared" si="1"/>
        <v/>
      </c>
      <c r="N14" s="100" t="str">
        <f t="shared" si="1"/>
        <v/>
      </c>
      <c r="O14" s="100" t="str">
        <f t="shared" si="1"/>
        <v/>
      </c>
      <c r="P14" s="100" t="str">
        <f t="shared" si="1"/>
        <v/>
      </c>
      <c r="Q14" s="100" t="str">
        <f t="shared" si="1"/>
        <v/>
      </c>
      <c r="R14" s="100" t="str">
        <f t="shared" si="1"/>
        <v/>
      </c>
      <c r="S14" s="100" t="str">
        <f t="shared" si="1"/>
        <v/>
      </c>
      <c r="T14" s="455" t="str">
        <f t="shared" si="1"/>
        <v/>
      </c>
      <c r="U14" s="87"/>
      <c r="V14" s="87"/>
      <c r="W14" s="389">
        <f ca="1">WEEKDAY(W9,11)</f>
        <v>3</v>
      </c>
      <c r="X14" s="87"/>
      <c r="Y14" s="87"/>
      <c r="Z14" s="87" t="s">
        <v>2</v>
      </c>
      <c r="AA14" s="87"/>
      <c r="AB14" s="139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608" t="s">
        <v>11</v>
      </c>
      <c r="AR14" s="608"/>
      <c r="AS14" s="609"/>
      <c r="AT14" s="138"/>
      <c r="AU14" s="609" t="s">
        <v>12</v>
      </c>
      <c r="AV14" s="609"/>
      <c r="AW14" s="609"/>
      <c r="AX14" s="138"/>
      <c r="AY14" s="609" t="s">
        <v>13</v>
      </c>
      <c r="AZ14" s="609"/>
      <c r="BA14" s="609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98"/>
      <c r="BV14" s="87"/>
      <c r="BW14" s="87"/>
      <c r="BX14" s="87"/>
      <c r="BY14" s="87"/>
      <c r="BZ14" s="87"/>
      <c r="CA14" s="188"/>
      <c r="CB14" s="87"/>
      <c r="CC14" s="87"/>
      <c r="CD14" s="87"/>
      <c r="CE14" s="268"/>
      <c r="CF14" s="87"/>
      <c r="CG14" s="188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</row>
    <row r="15" spans="2:173" s="8" customFormat="1" ht="12.75" customHeight="1" x14ac:dyDescent="0.25">
      <c r="B15" s="658" t="s">
        <v>55</v>
      </c>
      <c r="C15" s="659"/>
      <c r="D15" s="39">
        <v>3550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56"/>
      <c r="U15" s="87"/>
      <c r="V15" s="133"/>
      <c r="W15" s="133">
        <f ca="1">IF(W14&gt;5,2,0)</f>
        <v>0</v>
      </c>
      <c r="X15" s="133">
        <v>0</v>
      </c>
      <c r="Y15" s="390">
        <f ca="1">-D21</f>
        <v>-3304.6532608733751</v>
      </c>
      <c r="Z15" s="391">
        <f t="shared" ref="Z15:AO15" si="2">IFERROR(-E21,0)</f>
        <v>0</v>
      </c>
      <c r="AA15" s="391">
        <f t="shared" si="2"/>
        <v>0</v>
      </c>
      <c r="AB15" s="391">
        <f t="shared" si="2"/>
        <v>0</v>
      </c>
      <c r="AC15" s="391">
        <f t="shared" si="2"/>
        <v>0</v>
      </c>
      <c r="AD15" s="391">
        <f t="shared" si="2"/>
        <v>0</v>
      </c>
      <c r="AE15" s="391">
        <f t="shared" si="2"/>
        <v>0</v>
      </c>
      <c r="AF15" s="391">
        <f t="shared" si="2"/>
        <v>0</v>
      </c>
      <c r="AG15" s="391">
        <f t="shared" si="2"/>
        <v>0</v>
      </c>
      <c r="AH15" s="391">
        <f t="shared" si="2"/>
        <v>0</v>
      </c>
      <c r="AI15" s="391">
        <f t="shared" si="2"/>
        <v>0</v>
      </c>
      <c r="AJ15" s="391">
        <f t="shared" si="2"/>
        <v>0</v>
      </c>
      <c r="AK15" s="391">
        <f t="shared" si="2"/>
        <v>0</v>
      </c>
      <c r="AL15" s="391">
        <f t="shared" si="2"/>
        <v>0</v>
      </c>
      <c r="AM15" s="391">
        <f t="shared" si="2"/>
        <v>0</v>
      </c>
      <c r="AN15" s="391">
        <f t="shared" si="2"/>
        <v>0</v>
      </c>
      <c r="AO15" s="391">
        <f t="shared" si="2"/>
        <v>0</v>
      </c>
      <c r="AP15" s="133"/>
      <c r="AQ15" s="392" t="s">
        <v>14</v>
      </c>
      <c r="AR15" s="393"/>
      <c r="AS15" s="394">
        <f ca="1">W9</f>
        <v>46162</v>
      </c>
      <c r="AT15" s="276"/>
      <c r="AU15" s="392" t="s">
        <v>14</v>
      </c>
      <c r="AV15" s="393"/>
      <c r="AW15" s="395">
        <f ca="1">AS15</f>
        <v>46162</v>
      </c>
      <c r="AX15" s="276"/>
      <c r="AY15" s="396" t="s">
        <v>14</v>
      </c>
      <c r="AZ15" s="397"/>
      <c r="BA15" s="395">
        <f ca="1">AW15</f>
        <v>46162</v>
      </c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87"/>
      <c r="BU15" s="98"/>
      <c r="BV15" s="133"/>
      <c r="BW15" s="133"/>
      <c r="BX15" s="133"/>
      <c r="BY15" s="133"/>
      <c r="BZ15" s="133"/>
      <c r="CA15" s="177"/>
      <c r="CB15" s="133"/>
      <c r="CC15" s="133"/>
      <c r="CD15" s="133"/>
      <c r="CE15" s="398"/>
      <c r="CF15" s="133"/>
      <c r="CG15" s="177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</row>
    <row r="16" spans="2:173" s="8" customFormat="1" ht="12.75" customHeight="1" x14ac:dyDescent="0.25">
      <c r="B16" s="658" t="s">
        <v>56</v>
      </c>
      <c r="C16" s="659"/>
      <c r="D16" s="40">
        <v>84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57"/>
      <c r="U16" s="87"/>
      <c r="V16" s="133"/>
      <c r="W16" s="379">
        <f ca="1">W9+W15</f>
        <v>46162</v>
      </c>
      <c r="X16" s="133">
        <v>1</v>
      </c>
      <c r="Y16" s="377">
        <f ca="1">IF(D$18&gt;=$E$24,IF($X16&lt;=D$20,D$22,0),0)</f>
        <v>85.212964394200711</v>
      </c>
      <c r="Z16" s="377">
        <f t="shared" ref="Z16:AO16" si="3">IF(E$18&gt;=$E$24,IF($X16&lt;=E$20,E$22,0),0)</f>
        <v>0</v>
      </c>
      <c r="AA16" s="377">
        <f t="shared" si="3"/>
        <v>0</v>
      </c>
      <c r="AB16" s="377">
        <f t="shared" si="3"/>
        <v>0</v>
      </c>
      <c r="AC16" s="377">
        <f t="shared" si="3"/>
        <v>0</v>
      </c>
      <c r="AD16" s="377">
        <f t="shared" si="3"/>
        <v>0</v>
      </c>
      <c r="AE16" s="377">
        <f t="shared" si="3"/>
        <v>0</v>
      </c>
      <c r="AF16" s="377">
        <f t="shared" si="3"/>
        <v>0</v>
      </c>
      <c r="AG16" s="377">
        <f t="shared" si="3"/>
        <v>0</v>
      </c>
      <c r="AH16" s="377">
        <f t="shared" si="3"/>
        <v>0</v>
      </c>
      <c r="AI16" s="377">
        <f t="shared" si="3"/>
        <v>0</v>
      </c>
      <c r="AJ16" s="377">
        <f t="shared" si="3"/>
        <v>0</v>
      </c>
      <c r="AK16" s="377">
        <f t="shared" si="3"/>
        <v>0</v>
      </c>
      <c r="AL16" s="377">
        <f t="shared" si="3"/>
        <v>0</v>
      </c>
      <c r="AM16" s="377">
        <f t="shared" si="3"/>
        <v>0</v>
      </c>
      <c r="AN16" s="377">
        <f t="shared" si="3"/>
        <v>0</v>
      </c>
      <c r="AO16" s="377">
        <f t="shared" si="3"/>
        <v>0</v>
      </c>
      <c r="AP16" s="133"/>
      <c r="AQ16" s="399" t="s">
        <v>15</v>
      </c>
      <c r="AR16" s="400"/>
      <c r="AS16" s="401">
        <f ca="1">W13</f>
        <v>46183</v>
      </c>
      <c r="AT16" s="276"/>
      <c r="AU16" s="399" t="s">
        <v>15</v>
      </c>
      <c r="AV16" s="400"/>
      <c r="AW16" s="379">
        <f ca="1">AW9</f>
        <v>46213</v>
      </c>
      <c r="AX16" s="276"/>
      <c r="AY16" s="392" t="s">
        <v>15</v>
      </c>
      <c r="AZ16" s="393"/>
      <c r="BA16" s="385">
        <f ca="1">AW9</f>
        <v>46213</v>
      </c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87"/>
      <c r="BU16" s="98"/>
      <c r="BV16" s="133"/>
      <c r="BW16" s="133"/>
      <c r="BX16" s="133"/>
      <c r="BY16" s="133"/>
      <c r="BZ16" s="133"/>
      <c r="CA16" s="177"/>
      <c r="CB16" s="133"/>
      <c r="CC16" s="133"/>
      <c r="CD16" s="133"/>
      <c r="CE16" s="398"/>
      <c r="CF16" s="133"/>
      <c r="CG16" s="177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</row>
    <row r="17" spans="1:173" s="8" customFormat="1" ht="12.75" customHeight="1" thickBot="1" x14ac:dyDescent="0.3">
      <c r="B17" s="660" t="s">
        <v>0</v>
      </c>
      <c r="C17" s="661"/>
      <c r="D17" s="39">
        <v>91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56"/>
      <c r="U17" s="87"/>
      <c r="V17" s="184">
        <f>SUMIF(D19:T19,1,D17:T17)</f>
        <v>91</v>
      </c>
      <c r="W17" s="133"/>
      <c r="X17" s="133">
        <v>2</v>
      </c>
      <c r="Y17" s="377">
        <f t="shared" ref="Y17:Y80" ca="1" si="4">IF(D$18&gt;=$E$24,IF($X17&lt;=D$20,D$22,0),0)</f>
        <v>85.212964394200711</v>
      </c>
      <c r="Z17" s="377">
        <f t="shared" ref="Z17:Z80" si="5">IF(E$18&gt;=$E$24,IF($X17&lt;=E$20,E$22,0),0)</f>
        <v>0</v>
      </c>
      <c r="AA17" s="377">
        <f t="shared" ref="AA17:AA80" si="6">IF(F$18&gt;=$E$24,IF($X17&lt;=F$20,F$22,0),0)</f>
        <v>0</v>
      </c>
      <c r="AB17" s="377">
        <f t="shared" ref="AB17:AB80" si="7">IF(G$18&gt;=$E$24,IF($X17&lt;=G$20,G$22,0),0)</f>
        <v>0</v>
      </c>
      <c r="AC17" s="377">
        <f t="shared" ref="AC17:AC80" si="8">IF(H$18&gt;=$E$24,IF($X17&lt;=H$20,H$22,0),0)</f>
        <v>0</v>
      </c>
      <c r="AD17" s="377">
        <f t="shared" ref="AD17:AD80" si="9">IF(I$18&gt;=$E$24,IF($X17&lt;=I$20,I$22,0),0)</f>
        <v>0</v>
      </c>
      <c r="AE17" s="377">
        <f t="shared" ref="AE17:AE80" si="10">IF(J$18&gt;=$E$24,IF($X17&lt;=J$20,J$22,0),0)</f>
        <v>0</v>
      </c>
      <c r="AF17" s="377">
        <f t="shared" ref="AF17:AF80" si="11">IF(K$18&gt;=$E$24,IF($X17&lt;=K$20,K$22,0),0)</f>
        <v>0</v>
      </c>
      <c r="AG17" s="377">
        <f t="shared" ref="AG17:AG80" si="12">IF(L$18&gt;=$E$24,IF($X17&lt;=L$20,L$22,0),0)</f>
        <v>0</v>
      </c>
      <c r="AH17" s="377">
        <f t="shared" ref="AH17:AH80" si="13">IF(M$18&gt;=$E$24,IF($X17&lt;=M$20,M$22,0),0)</f>
        <v>0</v>
      </c>
      <c r="AI17" s="377">
        <f t="shared" ref="AI17:AI80" si="14">IF(N$18&gt;=$E$24,IF($X17&lt;=N$20,N$22,0),0)</f>
        <v>0</v>
      </c>
      <c r="AJ17" s="377">
        <f t="shared" ref="AJ17:AJ80" si="15">IF(O$18&gt;=$E$24,IF($X17&lt;=O$20,O$22,0),0)</f>
        <v>0</v>
      </c>
      <c r="AK17" s="377">
        <f t="shared" ref="AK17:AK80" si="16">IF(P$18&gt;=$E$24,IF($X17&lt;=P$20,P$22,0),0)</f>
        <v>0</v>
      </c>
      <c r="AL17" s="377">
        <f t="shared" ref="AL17:AL80" si="17">IF(Q$18&gt;=$E$24,IF($X17&lt;=Q$20,Q$22,0),0)</f>
        <v>0</v>
      </c>
      <c r="AM17" s="377">
        <f t="shared" ref="AM17:AM80" si="18">IF(R$18&gt;=$E$24,IF($X17&lt;=R$20,R$22,0),0)</f>
        <v>0</v>
      </c>
      <c r="AN17" s="377">
        <f t="shared" ref="AN17:AN80" si="19">IF(S$18&gt;=$E$24,IF($X17&lt;=S$20,S$22,0),0)</f>
        <v>0</v>
      </c>
      <c r="AO17" s="377">
        <f t="shared" ref="AO17:AO80" si="20">IF(T$18&gt;=$E$24,IF($X17&lt;=T$20,T$22,0),0)</f>
        <v>0</v>
      </c>
      <c r="AP17" s="133"/>
      <c r="AQ17" s="593" t="s">
        <v>7</v>
      </c>
      <c r="AR17" s="593"/>
      <c r="AS17" s="402">
        <f ca="1">V21</f>
        <v>3304.6532608733751</v>
      </c>
      <c r="AT17" s="276"/>
      <c r="AU17" s="593" t="s">
        <v>16</v>
      </c>
      <c r="AV17" s="593"/>
      <c r="AW17" s="277">
        <f ca="1">-AW23</f>
        <v>743.31000000000029</v>
      </c>
      <c r="AX17" s="276"/>
      <c r="AY17" s="593" t="s">
        <v>17</v>
      </c>
      <c r="AZ17" s="593"/>
      <c r="BA17" s="277">
        <f ca="1">AS17+AW17</f>
        <v>4047.9632608733755</v>
      </c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87"/>
      <c r="BU17" s="98"/>
      <c r="BV17" s="133"/>
      <c r="BW17" s="133"/>
      <c r="BX17" s="133"/>
      <c r="BY17" s="133"/>
      <c r="BZ17" s="133"/>
      <c r="CA17" s="177"/>
      <c r="CB17" s="133"/>
      <c r="CC17" s="133"/>
      <c r="CD17" s="133"/>
      <c r="CE17" s="398"/>
      <c r="CF17" s="133"/>
      <c r="CG17" s="177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264">
        <f t="shared" ref="DR17:EF17" ca="1" si="21">((CU163+$AS$23)*-1)/1.03129</f>
        <v>-657.04301265309164</v>
      </c>
      <c r="DS17" s="264">
        <f t="shared" ca="1" si="21"/>
        <v>-726.50868028777347</v>
      </c>
      <c r="DT17" s="264">
        <f t="shared" ca="1" si="21"/>
        <v>-769.11766295676705</v>
      </c>
      <c r="DU17" s="264">
        <f t="shared" ca="1" si="21"/>
        <v>-812.44119607825655</v>
      </c>
      <c r="DV17" s="264">
        <f t="shared" ca="1" si="21"/>
        <v>-856.49386382672355</v>
      </c>
      <c r="DW17" s="264">
        <f t="shared" ca="1" si="21"/>
        <v>-901.29058279338858</v>
      </c>
      <c r="DX17" s="264">
        <f t="shared" ca="1" si="21"/>
        <v>-931.57594402056782</v>
      </c>
      <c r="DY17" s="264">
        <f t="shared" ca="1" si="21"/>
        <v>-993.17755186982583</v>
      </c>
      <c r="DZ17" s="264">
        <f t="shared" ca="1" si="21"/>
        <v>-1024.5032226177234</v>
      </c>
      <c r="EA17" s="264">
        <f t="shared" ca="1" si="21"/>
        <v>-1056.1852071265944</v>
      </c>
      <c r="EB17" s="264">
        <f t="shared" ca="1" si="21"/>
        <v>-1088.2283989140606</v>
      </c>
      <c r="EC17" s="264" t="e">
        <f t="shared" ca="1" si="21"/>
        <v>#VALUE!</v>
      </c>
      <c r="ED17" s="264" t="e">
        <f t="shared" ca="1" si="21"/>
        <v>#VALUE!</v>
      </c>
      <c r="EE17" s="264" t="e">
        <f t="shared" ca="1" si="21"/>
        <v>#VALUE!</v>
      </c>
      <c r="EF17" s="264" t="e">
        <f t="shared" ca="1" si="21"/>
        <v>#VALUE!</v>
      </c>
      <c r="EG17" s="264" t="e">
        <f t="shared" ref="EG17:EO17" ca="1" si="22">((DJ163+$AS$23)*-1)/1.03129</f>
        <v>#VALUE!</v>
      </c>
      <c r="EH17" s="264" t="e">
        <f t="shared" ca="1" si="22"/>
        <v>#VALUE!</v>
      </c>
      <c r="EI17" s="264" t="e">
        <f t="shared" ca="1" si="22"/>
        <v>#VALUE!</v>
      </c>
      <c r="EJ17" s="264" t="e">
        <f t="shared" ca="1" si="22"/>
        <v>#VALUE!</v>
      </c>
      <c r="EK17" s="264" t="e">
        <f t="shared" ca="1" si="22"/>
        <v>#VALUE!</v>
      </c>
      <c r="EL17" s="264" t="e">
        <f t="shared" ca="1" si="22"/>
        <v>#VALUE!</v>
      </c>
      <c r="EM17" s="264" t="e">
        <f t="shared" ca="1" si="22"/>
        <v>#VALUE!</v>
      </c>
      <c r="EN17" s="264" t="e">
        <f t="shared" ca="1" si="22"/>
        <v>#VALUE!</v>
      </c>
      <c r="EO17" s="264">
        <f t="shared" ca="1" si="22"/>
        <v>3204.12518387008</v>
      </c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  <c r="EZ17" s="133"/>
      <c r="FA17" s="133"/>
      <c r="FB17" s="133"/>
      <c r="FC17" s="133"/>
      <c r="FD17" s="133"/>
      <c r="FE17" s="133"/>
      <c r="FF17" s="133"/>
      <c r="FG17" s="133"/>
      <c r="FH17" s="133"/>
      <c r="FI17" s="133"/>
      <c r="FJ17" s="133"/>
      <c r="FK17" s="133"/>
      <c r="FL17" s="133"/>
      <c r="FM17" s="133"/>
      <c r="FN17" s="133"/>
      <c r="FO17" s="133"/>
      <c r="FP17" s="133"/>
      <c r="FQ17" s="133"/>
    </row>
    <row r="18" spans="1:173" s="6" customFormat="1" ht="15.75" thickBot="1" x14ac:dyDescent="0.3">
      <c r="B18" s="653" t="s">
        <v>44</v>
      </c>
      <c r="C18" s="654"/>
      <c r="D18" s="322">
        <f>IF(D15=0," ",RATE(D16,-D17,D15,0))</f>
        <v>2.1252080065976287E-2</v>
      </c>
      <c r="E18" s="322" t="str">
        <f t="shared" ref="E18:T18" si="23">IF(E15=0," ",RATE(E16,-E17,E15,0))</f>
        <v xml:space="preserve"> </v>
      </c>
      <c r="F18" s="322" t="str">
        <f t="shared" si="23"/>
        <v xml:space="preserve"> </v>
      </c>
      <c r="G18" s="322" t="str">
        <f t="shared" si="23"/>
        <v xml:space="preserve"> </v>
      </c>
      <c r="H18" s="322" t="str">
        <f t="shared" si="23"/>
        <v xml:space="preserve"> </v>
      </c>
      <c r="I18" s="322" t="str">
        <f t="shared" si="23"/>
        <v xml:space="preserve"> </v>
      </c>
      <c r="J18" s="322" t="str">
        <f t="shared" si="23"/>
        <v xml:space="preserve"> </v>
      </c>
      <c r="K18" s="322" t="str">
        <f t="shared" si="23"/>
        <v xml:space="preserve"> </v>
      </c>
      <c r="L18" s="322" t="str">
        <f t="shared" si="23"/>
        <v xml:space="preserve"> </v>
      </c>
      <c r="M18" s="322" t="str">
        <f t="shared" si="23"/>
        <v xml:space="preserve"> </v>
      </c>
      <c r="N18" s="322" t="str">
        <f t="shared" si="23"/>
        <v xml:space="preserve"> </v>
      </c>
      <c r="O18" s="322" t="str">
        <f t="shared" si="23"/>
        <v xml:space="preserve"> </v>
      </c>
      <c r="P18" s="322" t="str">
        <f t="shared" si="23"/>
        <v xml:space="preserve"> </v>
      </c>
      <c r="Q18" s="322" t="str">
        <f t="shared" si="23"/>
        <v xml:space="preserve"> </v>
      </c>
      <c r="R18" s="322" t="str">
        <f t="shared" si="23"/>
        <v xml:space="preserve"> </v>
      </c>
      <c r="S18" s="322" t="str">
        <f t="shared" si="23"/>
        <v xml:space="preserve"> </v>
      </c>
      <c r="T18" s="322" t="str">
        <f t="shared" si="23"/>
        <v xml:space="preserve"> </v>
      </c>
      <c r="U18" s="87"/>
      <c r="V18" s="188"/>
      <c r="W18" s="188"/>
      <c r="X18" s="188">
        <v>3</v>
      </c>
      <c r="Y18" s="377">
        <f t="shared" ca="1" si="4"/>
        <v>85.212964394200711</v>
      </c>
      <c r="Z18" s="377">
        <f t="shared" si="5"/>
        <v>0</v>
      </c>
      <c r="AA18" s="377">
        <f t="shared" si="6"/>
        <v>0</v>
      </c>
      <c r="AB18" s="377">
        <f t="shared" si="7"/>
        <v>0</v>
      </c>
      <c r="AC18" s="377">
        <f t="shared" si="8"/>
        <v>0</v>
      </c>
      <c r="AD18" s="377">
        <f t="shared" si="9"/>
        <v>0</v>
      </c>
      <c r="AE18" s="377">
        <f t="shared" si="10"/>
        <v>0</v>
      </c>
      <c r="AF18" s="377">
        <f t="shared" si="11"/>
        <v>0</v>
      </c>
      <c r="AG18" s="377">
        <f t="shared" si="12"/>
        <v>0</v>
      </c>
      <c r="AH18" s="377">
        <f t="shared" si="13"/>
        <v>0</v>
      </c>
      <c r="AI18" s="377">
        <f t="shared" si="14"/>
        <v>0</v>
      </c>
      <c r="AJ18" s="377">
        <f t="shared" si="15"/>
        <v>0</v>
      </c>
      <c r="AK18" s="377">
        <f t="shared" si="16"/>
        <v>0</v>
      </c>
      <c r="AL18" s="377">
        <f t="shared" si="17"/>
        <v>0</v>
      </c>
      <c r="AM18" s="377">
        <f t="shared" si="18"/>
        <v>0</v>
      </c>
      <c r="AN18" s="377">
        <f t="shared" si="19"/>
        <v>0</v>
      </c>
      <c r="AO18" s="377">
        <f t="shared" si="20"/>
        <v>0</v>
      </c>
      <c r="AP18" s="188"/>
      <c r="AQ18" s="665" t="s">
        <v>18</v>
      </c>
      <c r="AR18" s="665"/>
      <c r="AS18" s="403">
        <f ca="1">V22</f>
        <v>85.212964394200711</v>
      </c>
      <c r="AT18" s="278"/>
      <c r="AU18" s="665" t="s">
        <v>19</v>
      </c>
      <c r="AV18" s="665"/>
      <c r="AW18" s="403">
        <f>V17+D25</f>
        <v>91</v>
      </c>
      <c r="AX18" s="278"/>
      <c r="AY18" s="665" t="s">
        <v>18</v>
      </c>
      <c r="AZ18" s="665"/>
      <c r="BA18" s="404">
        <f>AW18</f>
        <v>91</v>
      </c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405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38">
        <v>0</v>
      </c>
      <c r="CT18" s="259">
        <f ca="1">AZ23</f>
        <v>46162</v>
      </c>
      <c r="CU18" s="265">
        <f>$H$28</f>
        <v>1.8500000000000003E-2</v>
      </c>
      <c r="CV18" s="265">
        <f>$H$29</f>
        <v>1.8000000000000002E-2</v>
      </c>
      <c r="CW18" s="265">
        <f>$H$30</f>
        <v>1.77E-2</v>
      </c>
      <c r="CX18" s="265">
        <f>$H$31</f>
        <v>1.7399999999999999E-2</v>
      </c>
      <c r="CY18" s="265">
        <f>$H$32</f>
        <v>1.7100000000000001E-2</v>
      </c>
      <c r="CZ18" s="266">
        <f>$H$33</f>
        <v>1.6799999999999999E-2</v>
      </c>
      <c r="DA18" s="266">
        <f>$H$34</f>
        <v>1.66E-2</v>
      </c>
      <c r="DB18" s="266">
        <f>$H$35</f>
        <v>1.6200000000000003E-2</v>
      </c>
      <c r="DC18" s="266">
        <f>$H$36</f>
        <v>1.6E-2</v>
      </c>
      <c r="DD18" s="266">
        <f>$H$37</f>
        <v>1.5800000000000002E-2</v>
      </c>
      <c r="DE18" s="266">
        <f>$H$38</f>
        <v>1.5600000000000001E-2</v>
      </c>
      <c r="DF18" s="266" t="str">
        <f>$H$39</f>
        <v/>
      </c>
      <c r="DG18" s="266" t="str">
        <f>$H$40</f>
        <v/>
      </c>
      <c r="DH18" s="266" t="str">
        <f>$H$41</f>
        <v/>
      </c>
      <c r="DI18" s="266" t="str">
        <f>$H$42</f>
        <v/>
      </c>
      <c r="DJ18" s="266" t="str">
        <f>$H$43</f>
        <v/>
      </c>
      <c r="DK18" s="266" t="str">
        <f>$H$44</f>
        <v/>
      </c>
      <c r="DL18" s="266" t="str">
        <f>$H$45</f>
        <v/>
      </c>
      <c r="DM18" s="266" t="str">
        <f>$H$46</f>
        <v/>
      </c>
      <c r="DN18" s="266" t="str">
        <f>$H$47</f>
        <v/>
      </c>
      <c r="DO18" s="266" t="str">
        <f>$H$48</f>
        <v/>
      </c>
      <c r="DP18" s="266" t="str">
        <f t="shared" ref="DP18:DQ18" si="24">$H$42</f>
        <v/>
      </c>
      <c r="DQ18" s="266" t="str">
        <f t="shared" si="24"/>
        <v/>
      </c>
      <c r="DR18" s="182">
        <f t="shared" ref="DR18:EF18" ca="1" si="25">((CU163+$AS$23)*-1)</f>
        <v>-677.60188851900693</v>
      </c>
      <c r="DS18" s="182">
        <f t="shared" ca="1" si="25"/>
        <v>-749.24113689397791</v>
      </c>
      <c r="DT18" s="182">
        <f t="shared" ca="1" si="25"/>
        <v>-793.18335463068433</v>
      </c>
      <c r="DU18" s="182">
        <f t="shared" ca="1" si="25"/>
        <v>-837.86248110354518</v>
      </c>
      <c r="DV18" s="182">
        <f t="shared" ca="1" si="25"/>
        <v>-883.29355682586174</v>
      </c>
      <c r="DW18" s="182">
        <f t="shared" ca="1" si="25"/>
        <v>-929.4919651289938</v>
      </c>
      <c r="DX18" s="182">
        <f t="shared" ca="1" si="25"/>
        <v>-960.7249553089714</v>
      </c>
      <c r="DY18" s="182">
        <f t="shared" ca="1" si="25"/>
        <v>-1024.2540774678328</v>
      </c>
      <c r="DZ18" s="182">
        <f t="shared" ca="1" si="25"/>
        <v>-1056.5599284534319</v>
      </c>
      <c r="EA18" s="182">
        <f t="shared" ca="1" si="25"/>
        <v>-1089.2332422575855</v>
      </c>
      <c r="EB18" s="182">
        <f t="shared" ca="1" si="25"/>
        <v>-1122.2790655160816</v>
      </c>
      <c r="EC18" s="182" t="e">
        <f t="shared" ca="1" si="25"/>
        <v>#VALUE!</v>
      </c>
      <c r="ED18" s="182" t="e">
        <f t="shared" ca="1" si="25"/>
        <v>#VALUE!</v>
      </c>
      <c r="EE18" s="182" t="e">
        <f t="shared" ca="1" si="25"/>
        <v>#VALUE!</v>
      </c>
      <c r="EF18" s="182" t="e">
        <f t="shared" ca="1" si="25"/>
        <v>#VALUE!</v>
      </c>
      <c r="EG18" s="182" t="e">
        <f t="shared" ref="EG18:EO18" ca="1" si="26">((DJ163+$AS$23)*-1)</f>
        <v>#VALUE!</v>
      </c>
      <c r="EH18" s="182" t="e">
        <f t="shared" ca="1" si="26"/>
        <v>#VALUE!</v>
      </c>
      <c r="EI18" s="182" t="e">
        <f t="shared" ca="1" si="26"/>
        <v>#VALUE!</v>
      </c>
      <c r="EJ18" s="182" t="e">
        <f t="shared" ca="1" si="26"/>
        <v>#VALUE!</v>
      </c>
      <c r="EK18" s="182" t="e">
        <f t="shared" ca="1" si="26"/>
        <v>#VALUE!</v>
      </c>
      <c r="EL18" s="182" t="e">
        <f t="shared" ca="1" si="26"/>
        <v>#VALUE!</v>
      </c>
      <c r="EM18" s="182" t="e">
        <f t="shared" ca="1" si="26"/>
        <v>#VALUE!</v>
      </c>
      <c r="EN18" s="182" t="e">
        <f t="shared" ca="1" si="26"/>
        <v>#VALUE!</v>
      </c>
      <c r="EO18" s="182">
        <f t="shared" ca="1" si="26"/>
        <v>3304.3822608733749</v>
      </c>
      <c r="EP18" s="188"/>
      <c r="EQ18" s="273">
        <f ca="1">CT18</f>
        <v>46162</v>
      </c>
      <c r="ER18" s="180">
        <f t="shared" ref="ER18:FM18" ca="1" si="27">DR18</f>
        <v>-677.60188851900693</v>
      </c>
      <c r="ES18" s="180">
        <f t="shared" ca="1" si="27"/>
        <v>-749.24113689397791</v>
      </c>
      <c r="ET18" s="180">
        <f t="shared" ca="1" si="27"/>
        <v>-793.18335463068433</v>
      </c>
      <c r="EU18" s="180">
        <f t="shared" ca="1" si="27"/>
        <v>-837.86248110354518</v>
      </c>
      <c r="EV18" s="180">
        <f t="shared" ca="1" si="27"/>
        <v>-883.29355682586174</v>
      </c>
      <c r="EW18" s="180">
        <f t="shared" ca="1" si="27"/>
        <v>-929.4919651289938</v>
      </c>
      <c r="EX18" s="180">
        <f t="shared" ca="1" si="27"/>
        <v>-960.7249553089714</v>
      </c>
      <c r="EY18" s="180">
        <f t="shared" ca="1" si="27"/>
        <v>-1024.2540774678328</v>
      </c>
      <c r="EZ18" s="180">
        <f t="shared" ca="1" si="27"/>
        <v>-1056.5599284534319</v>
      </c>
      <c r="FA18" s="180">
        <f t="shared" ca="1" si="27"/>
        <v>-1089.2332422575855</v>
      </c>
      <c r="FB18" s="180">
        <f t="shared" ca="1" si="27"/>
        <v>-1122.2790655160816</v>
      </c>
      <c r="FC18" s="180" t="e">
        <f t="shared" ca="1" si="27"/>
        <v>#VALUE!</v>
      </c>
      <c r="FD18" s="180" t="e">
        <f t="shared" ca="1" si="27"/>
        <v>#VALUE!</v>
      </c>
      <c r="FE18" s="180" t="e">
        <f t="shared" ca="1" si="27"/>
        <v>#VALUE!</v>
      </c>
      <c r="FF18" s="180" t="e">
        <f t="shared" ca="1" si="27"/>
        <v>#VALUE!</v>
      </c>
      <c r="FG18" s="180" t="e">
        <f t="shared" ca="1" si="27"/>
        <v>#VALUE!</v>
      </c>
      <c r="FH18" s="180" t="e">
        <f t="shared" ca="1" si="27"/>
        <v>#VALUE!</v>
      </c>
      <c r="FI18" s="180" t="e">
        <f t="shared" ca="1" si="27"/>
        <v>#VALUE!</v>
      </c>
      <c r="FJ18" s="180" t="e">
        <f t="shared" ca="1" si="27"/>
        <v>#VALUE!</v>
      </c>
      <c r="FK18" s="180" t="e">
        <f t="shared" ca="1" si="27"/>
        <v>#VALUE!</v>
      </c>
      <c r="FL18" s="180" t="e">
        <f t="shared" ca="1" si="27"/>
        <v>#VALUE!</v>
      </c>
      <c r="FM18" s="180" t="e">
        <f t="shared" ca="1" si="27"/>
        <v>#VALUE!</v>
      </c>
      <c r="FN18" s="180" t="e">
        <f t="shared" ref="FN18:FP18" ca="1" si="28">EN18</f>
        <v>#VALUE!</v>
      </c>
      <c r="FO18" s="180">
        <f t="shared" ca="1" si="28"/>
        <v>3304.3822608733749</v>
      </c>
      <c r="FP18" s="180">
        <f t="shared" si="28"/>
        <v>0</v>
      </c>
      <c r="FQ18" s="188"/>
    </row>
    <row r="19" spans="1:173" customFormat="1" ht="12.75" customHeight="1" x14ac:dyDescent="0.25">
      <c r="D19" s="195">
        <v>1</v>
      </c>
      <c r="E19" s="195">
        <v>1</v>
      </c>
      <c r="F19" s="195">
        <v>1</v>
      </c>
      <c r="G19" s="195">
        <v>1</v>
      </c>
      <c r="H19" s="195">
        <v>1</v>
      </c>
      <c r="I19" s="195">
        <v>1</v>
      </c>
      <c r="J19" s="195">
        <v>1</v>
      </c>
      <c r="K19" s="195">
        <v>1</v>
      </c>
      <c r="L19" s="195">
        <v>1</v>
      </c>
      <c r="M19" s="195">
        <v>1</v>
      </c>
      <c r="N19" s="195">
        <v>1</v>
      </c>
      <c r="O19" s="195">
        <v>1</v>
      </c>
      <c r="P19" s="195">
        <v>1</v>
      </c>
      <c r="Q19" s="195">
        <v>1</v>
      </c>
      <c r="R19" s="195">
        <v>1</v>
      </c>
      <c r="S19" s="195">
        <v>1</v>
      </c>
      <c r="T19" s="195">
        <v>1</v>
      </c>
      <c r="U19" s="87"/>
      <c r="V19" s="87"/>
      <c r="W19" s="87"/>
      <c r="X19" s="87">
        <v>4</v>
      </c>
      <c r="Y19" s="377">
        <f t="shared" ca="1" si="4"/>
        <v>85.212964394200711</v>
      </c>
      <c r="Z19" s="377">
        <f t="shared" si="5"/>
        <v>0</v>
      </c>
      <c r="AA19" s="377">
        <f t="shared" si="6"/>
        <v>0</v>
      </c>
      <c r="AB19" s="377">
        <f t="shared" si="7"/>
        <v>0</v>
      </c>
      <c r="AC19" s="377">
        <f t="shared" si="8"/>
        <v>0</v>
      </c>
      <c r="AD19" s="377">
        <f t="shared" si="9"/>
        <v>0</v>
      </c>
      <c r="AE19" s="377">
        <f t="shared" si="10"/>
        <v>0</v>
      </c>
      <c r="AF19" s="377">
        <f t="shared" si="11"/>
        <v>0</v>
      </c>
      <c r="AG19" s="377">
        <f t="shared" si="12"/>
        <v>0</v>
      </c>
      <c r="AH19" s="377">
        <f t="shared" si="13"/>
        <v>0</v>
      </c>
      <c r="AI19" s="377">
        <f t="shared" si="14"/>
        <v>0</v>
      </c>
      <c r="AJ19" s="377">
        <f t="shared" si="15"/>
        <v>0</v>
      </c>
      <c r="AK19" s="377">
        <f t="shared" si="16"/>
        <v>0</v>
      </c>
      <c r="AL19" s="377">
        <f t="shared" si="17"/>
        <v>0</v>
      </c>
      <c r="AM19" s="377">
        <f t="shared" si="18"/>
        <v>0</v>
      </c>
      <c r="AN19" s="377">
        <f t="shared" si="19"/>
        <v>0</v>
      </c>
      <c r="AO19" s="377">
        <f t="shared" si="20"/>
        <v>0</v>
      </c>
      <c r="AP19" s="87"/>
      <c r="AQ19" s="607" t="s">
        <v>20</v>
      </c>
      <c r="AR19" s="607"/>
      <c r="AS19" s="406">
        <f>D20</f>
        <v>69</v>
      </c>
      <c r="AT19" s="138"/>
      <c r="AU19" s="607" t="s">
        <v>20</v>
      </c>
      <c r="AV19" s="607"/>
      <c r="AW19" s="407">
        <f>BA19-AS19</f>
        <v>27</v>
      </c>
      <c r="AX19" s="138"/>
      <c r="AY19" s="607" t="s">
        <v>20</v>
      </c>
      <c r="AZ19" s="607"/>
      <c r="BA19" s="408">
        <f>_xlfn.NUMBERVALUE(VLOOKUP(E8,'Base tabelas'!$A:$F,6,FALSE))</f>
        <v>96</v>
      </c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188"/>
      <c r="CB19" s="87"/>
      <c r="CC19" s="87"/>
      <c r="CD19" s="87"/>
      <c r="CE19" s="268"/>
      <c r="CF19" s="87"/>
      <c r="CG19" s="188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>
        <v>1</v>
      </c>
      <c r="CT19" s="259">
        <f t="shared" ref="CT19:CT82" ca="1" si="29">AZ24</f>
        <v>46213</v>
      </c>
      <c r="CU19" s="179">
        <f ca="1">(($AW24/(1+CU$18)^(($AZ24-$AZ$23)/30)))+($AS24/(1+CU$18)^(($AZ24-$AZ$23)/30))</f>
        <v>88.207931048317818</v>
      </c>
      <c r="CV19" s="179">
        <f t="shared" ref="CV19:DC19" ca="1" si="30">(($AW24/(1+CV$18)^(($AZ24-$AZ$23)/30)))+($AS24/(1+CV$18)^(($AZ24-$AZ$23)/30))</f>
        <v>88.281594731704018</v>
      </c>
      <c r="CW19" s="179">
        <f t="shared" ca="1" si="30"/>
        <v>88.32583985151787</v>
      </c>
      <c r="CX19" s="179">
        <f t="shared" ca="1" si="30"/>
        <v>88.370120200588133</v>
      </c>
      <c r="CY19" s="179">
        <f t="shared" ca="1" si="30"/>
        <v>88.414435817365799</v>
      </c>
      <c r="CZ19" s="179">
        <f t="shared" ca="1" si="30"/>
        <v>88.458786740355137</v>
      </c>
      <c r="DA19" s="179">
        <f t="shared" ca="1" si="30"/>
        <v>88.488373655948763</v>
      </c>
      <c r="DB19" s="179">
        <f t="shared" ca="1" si="30"/>
        <v>88.54759465925342</v>
      </c>
      <c r="DC19" s="179">
        <f t="shared" ca="1" si="30"/>
        <v>88.577228769871709</v>
      </c>
      <c r="DD19" s="179">
        <f t="shared" ref="DD19:DH19" ca="1" si="31">(($AW24/(1+DD$18)^(($AZ24-$AZ$23)/30)))+($AS24/(1+DD$18)^(($AZ24-$AZ$23)/30))</f>
        <v>88.6068786350897</v>
      </c>
      <c r="DE19" s="179">
        <f t="shared" ca="1" si="31"/>
        <v>88.63654426638756</v>
      </c>
      <c r="DF19" s="179" t="e">
        <f t="shared" ca="1" si="31"/>
        <v>#VALUE!</v>
      </c>
      <c r="DG19" s="179" t="e">
        <f t="shared" ca="1" si="31"/>
        <v>#VALUE!</v>
      </c>
      <c r="DH19" s="179" t="e">
        <f t="shared" ca="1" si="31"/>
        <v>#VALUE!</v>
      </c>
      <c r="DI19" s="179" t="e">
        <f ca="1">(($AW24/(1+DI$18)^(($AZ24-$AZ$23)/30)))+($AS24/(1+DI$18)^(($AZ24-$AZ$23)/30))</f>
        <v>#VALUE!</v>
      </c>
      <c r="DJ19" s="179" t="e">
        <f t="shared" ref="DJ19:DQ19" ca="1" si="32">(($AW24/(1+DJ$18)^(($AZ24-$AZ$23)/30)))+($AS24/(1+DJ$18)^(($AZ24-$AZ$23)/30))</f>
        <v>#VALUE!</v>
      </c>
      <c r="DK19" s="179" t="e">
        <f t="shared" ca="1" si="32"/>
        <v>#VALUE!</v>
      </c>
      <c r="DL19" s="179" t="e">
        <f t="shared" ca="1" si="32"/>
        <v>#VALUE!</v>
      </c>
      <c r="DM19" s="179" t="e">
        <f t="shared" ca="1" si="32"/>
        <v>#VALUE!</v>
      </c>
      <c r="DN19" s="179" t="e">
        <f t="shared" ca="1" si="32"/>
        <v>#VALUE!</v>
      </c>
      <c r="DO19" s="179" t="e">
        <f t="shared" ca="1" si="32"/>
        <v>#VALUE!</v>
      </c>
      <c r="DP19" s="179" t="e">
        <f t="shared" ca="1" si="32"/>
        <v>#VALUE!</v>
      </c>
      <c r="DQ19" s="179" t="e">
        <f t="shared" ca="1" si="32"/>
        <v>#VALUE!</v>
      </c>
      <c r="DR19" s="180">
        <f ca="1">IF($AU24&gt;$BA$19,0,$BA24-$AS24)</f>
        <v>5.7870356057992893</v>
      </c>
      <c r="DS19" s="180">
        <f t="shared" ref="DS19:EF34" ca="1" si="33">IF($AU24&gt;$BA$19,0,$BA24-$AS24)</f>
        <v>5.7870356057992893</v>
      </c>
      <c r="DT19" s="180">
        <f t="shared" ca="1" si="33"/>
        <v>5.7870356057992893</v>
      </c>
      <c r="DU19" s="180">
        <f t="shared" ca="1" si="33"/>
        <v>5.7870356057992893</v>
      </c>
      <c r="DV19" s="180">
        <f t="shared" ca="1" si="33"/>
        <v>5.7870356057992893</v>
      </c>
      <c r="DW19" s="180">
        <f t="shared" ca="1" si="33"/>
        <v>5.7870356057992893</v>
      </c>
      <c r="DX19" s="180">
        <f t="shared" ca="1" si="33"/>
        <v>5.7870356057992893</v>
      </c>
      <c r="DY19" s="180">
        <f t="shared" ca="1" si="33"/>
        <v>5.7870356057992893</v>
      </c>
      <c r="DZ19" s="180">
        <f t="shared" ca="1" si="33"/>
        <v>5.7870356057992893</v>
      </c>
      <c r="EA19" s="180">
        <f t="shared" ca="1" si="33"/>
        <v>5.7870356057992893</v>
      </c>
      <c r="EB19" s="180">
        <f t="shared" ca="1" si="33"/>
        <v>5.7870356057992893</v>
      </c>
      <c r="EC19" s="180">
        <f t="shared" ca="1" si="33"/>
        <v>5.7870356057992893</v>
      </c>
      <c r="ED19" s="180">
        <f t="shared" ca="1" si="33"/>
        <v>5.7870356057992893</v>
      </c>
      <c r="EE19" s="180">
        <f t="shared" ca="1" si="33"/>
        <v>5.7870356057992893</v>
      </c>
      <c r="EF19" s="180">
        <f t="shared" ca="1" si="33"/>
        <v>5.7870356057992893</v>
      </c>
      <c r="EG19" s="180">
        <f t="shared" ref="EG19:EO19" ca="1" si="34">IF($AU24&gt;$BA$19,0,$BA24-$AS24)</f>
        <v>5.7870356057992893</v>
      </c>
      <c r="EH19" s="180">
        <f t="shared" ca="1" si="34"/>
        <v>5.7870356057992893</v>
      </c>
      <c r="EI19" s="180">
        <f t="shared" ca="1" si="34"/>
        <v>5.7870356057992893</v>
      </c>
      <c r="EJ19" s="180">
        <f t="shared" ca="1" si="34"/>
        <v>5.7870356057992893</v>
      </c>
      <c r="EK19" s="180">
        <f t="shared" ca="1" si="34"/>
        <v>5.7870356057992893</v>
      </c>
      <c r="EL19" s="180">
        <f t="shared" ca="1" si="34"/>
        <v>5.7870356057992893</v>
      </c>
      <c r="EM19" s="180">
        <f t="shared" ca="1" si="34"/>
        <v>5.7870356057992893</v>
      </c>
      <c r="EN19" s="180">
        <f t="shared" ca="1" si="34"/>
        <v>5.7870356057992893</v>
      </c>
      <c r="EO19" s="180">
        <f t="shared" ca="1" si="34"/>
        <v>5.7870356057992893</v>
      </c>
      <c r="EP19" s="87"/>
      <c r="EQ19" s="259">
        <f ca="1">AR24</f>
        <v>46183</v>
      </c>
      <c r="ER19" s="87">
        <f t="shared" ref="ER19:FF28" ca="1" si="35" xml:space="preserve"> IFERROR(VLOOKUP($EQ19,$AZ$23:$BA$167,2,FALSE),0)-IFERROR(VLOOKUP($EQ19,$AR$23:$AS$167,2,FALSE),0)</f>
        <v>-85.212964394200711</v>
      </c>
      <c r="ES19" s="87">
        <f t="shared" ca="1" si="35"/>
        <v>-85.212964394200711</v>
      </c>
      <c r="ET19" s="87">
        <f t="shared" ca="1" si="35"/>
        <v>-85.212964394200711</v>
      </c>
      <c r="EU19" s="87">
        <f t="shared" ca="1" si="35"/>
        <v>-85.212964394200711</v>
      </c>
      <c r="EV19" s="87">
        <f t="shared" ca="1" si="35"/>
        <v>-85.212964394200711</v>
      </c>
      <c r="EW19" s="87">
        <f t="shared" ca="1" si="35"/>
        <v>-85.212964394200711</v>
      </c>
      <c r="EX19" s="87">
        <f t="shared" ca="1" si="35"/>
        <v>-85.212964394200711</v>
      </c>
      <c r="EY19" s="87">
        <f t="shared" ca="1" si="35"/>
        <v>-85.212964394200711</v>
      </c>
      <c r="EZ19" s="87">
        <f t="shared" ca="1" si="35"/>
        <v>-85.212964394200711</v>
      </c>
      <c r="FA19" s="87">
        <f t="shared" ca="1" si="35"/>
        <v>-85.212964394200711</v>
      </c>
      <c r="FB19" s="87">
        <f t="shared" ca="1" si="35"/>
        <v>-85.212964394200711</v>
      </c>
      <c r="FC19" s="87">
        <f t="shared" ca="1" si="35"/>
        <v>-85.212964394200711</v>
      </c>
      <c r="FD19" s="87">
        <f t="shared" ca="1" si="35"/>
        <v>-85.212964394200711</v>
      </c>
      <c r="FE19" s="87">
        <f t="shared" ca="1" si="35"/>
        <v>-85.212964394200711</v>
      </c>
      <c r="FF19" s="87">
        <f t="shared" ca="1" si="35"/>
        <v>-85.212964394200711</v>
      </c>
      <c r="FG19" s="87">
        <f t="shared" ref="FG19:FP34" ca="1" si="36" xml:space="preserve"> IFERROR(VLOOKUP($EQ19,$AZ$23:$BA$167,2,FALSE),0)-IFERROR(VLOOKUP($EQ19,$AR$23:$AS$167,2,FALSE),0)</f>
        <v>-85.212964394200711</v>
      </c>
      <c r="FH19" s="87">
        <f t="shared" ca="1" si="36"/>
        <v>-85.212964394200711</v>
      </c>
      <c r="FI19" s="87">
        <f t="shared" ca="1" si="36"/>
        <v>-85.212964394200711</v>
      </c>
      <c r="FJ19" s="87">
        <f t="shared" ca="1" si="36"/>
        <v>-85.212964394200711</v>
      </c>
      <c r="FK19" s="87">
        <f t="shared" ca="1" si="36"/>
        <v>-85.212964394200711</v>
      </c>
      <c r="FL19" s="87">
        <f t="shared" ca="1" si="36"/>
        <v>-85.212964394200711</v>
      </c>
      <c r="FM19" s="87">
        <f t="shared" ca="1" si="36"/>
        <v>-85.212964394200711</v>
      </c>
      <c r="FN19" s="87">
        <f t="shared" ca="1" si="36"/>
        <v>-85.212964394200711</v>
      </c>
      <c r="FO19" s="87">
        <f t="shared" ca="1" si="36"/>
        <v>-85.212964394200711</v>
      </c>
      <c r="FP19" s="87">
        <f t="shared" ca="1" si="36"/>
        <v>-85.212964394200711</v>
      </c>
      <c r="FQ19" s="87"/>
    </row>
    <row r="20" spans="1:173" customFormat="1" ht="12.75" customHeight="1" thickBot="1" x14ac:dyDescent="0.3">
      <c r="B20" s="660" t="s">
        <v>54</v>
      </c>
      <c r="C20" s="661"/>
      <c r="D20" s="40">
        <v>69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57"/>
      <c r="U20" s="87"/>
      <c r="V20" s="87"/>
      <c r="W20" s="87"/>
      <c r="X20" s="87">
        <v>5</v>
      </c>
      <c r="Y20" s="377">
        <f t="shared" ca="1" si="4"/>
        <v>85.212964394200711</v>
      </c>
      <c r="Z20" s="377">
        <f t="shared" si="5"/>
        <v>0</v>
      </c>
      <c r="AA20" s="377">
        <f t="shared" si="6"/>
        <v>0</v>
      </c>
      <c r="AB20" s="377">
        <f t="shared" si="7"/>
        <v>0</v>
      </c>
      <c r="AC20" s="377">
        <f t="shared" si="8"/>
        <v>0</v>
      </c>
      <c r="AD20" s="377">
        <f t="shared" si="9"/>
        <v>0</v>
      </c>
      <c r="AE20" s="377">
        <f t="shared" si="10"/>
        <v>0</v>
      </c>
      <c r="AF20" s="377">
        <f t="shared" si="11"/>
        <v>0</v>
      </c>
      <c r="AG20" s="377">
        <f t="shared" si="12"/>
        <v>0</v>
      </c>
      <c r="AH20" s="377">
        <f t="shared" si="13"/>
        <v>0</v>
      </c>
      <c r="AI20" s="377">
        <f t="shared" si="14"/>
        <v>0</v>
      </c>
      <c r="AJ20" s="377">
        <f t="shared" si="15"/>
        <v>0</v>
      </c>
      <c r="AK20" s="377">
        <f t="shared" si="16"/>
        <v>0</v>
      </c>
      <c r="AL20" s="377">
        <f t="shared" si="17"/>
        <v>0</v>
      </c>
      <c r="AM20" s="377">
        <f t="shared" si="18"/>
        <v>0</v>
      </c>
      <c r="AN20" s="377">
        <f t="shared" si="19"/>
        <v>0</v>
      </c>
      <c r="AO20" s="377">
        <f t="shared" si="20"/>
        <v>0</v>
      </c>
      <c r="AP20" s="87"/>
      <c r="AQ20" s="607" t="s">
        <v>21</v>
      </c>
      <c r="AR20" s="607"/>
      <c r="AS20" s="409">
        <f ca="1">AS173</f>
        <v>1.8445258298004141E-2</v>
      </c>
      <c r="AT20" s="138"/>
      <c r="AU20" s="607" t="s">
        <v>22</v>
      </c>
      <c r="AV20" s="607"/>
      <c r="AW20" s="410">
        <f>VLOOKUP(E8,'Base tabelas'!$A:$U,20,FALSE)</f>
        <v>1.8500000000000003E-2</v>
      </c>
      <c r="AX20" s="138"/>
      <c r="AY20" s="607" t="s">
        <v>23</v>
      </c>
      <c r="AZ20" s="607"/>
      <c r="BA20" s="411">
        <f ca="1">BD174</f>
        <v>1.857004054354916E-2</v>
      </c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188"/>
      <c r="CB20" s="87"/>
      <c r="CC20" s="87"/>
      <c r="CD20" s="87"/>
      <c r="CE20" s="268"/>
      <c r="CF20" s="87"/>
      <c r="CG20" s="188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178">
        <v>2</v>
      </c>
      <c r="CT20" s="259">
        <f t="shared" ca="1" si="29"/>
        <v>46244</v>
      </c>
      <c r="CU20" s="179">
        <f t="shared" ref="CU20:DC20" ca="1" si="37">(($AW25/(1+CU$18)^(($AZ25-$AZ$23)/30)))+($AS25/(1+CU$18)^(($AZ25-$AZ$23)/30))</f>
        <v>86.552822437744894</v>
      </c>
      <c r="CV20" s="179">
        <f t="shared" ca="1" si="37"/>
        <v>86.669069211362356</v>
      </c>
      <c r="CW20" s="179">
        <f t="shared" ca="1" si="37"/>
        <v>86.738919653081467</v>
      </c>
      <c r="CX20" s="179">
        <f t="shared" ca="1" si="37"/>
        <v>86.808847008981587</v>
      </c>
      <c r="CY20" s="179">
        <f t="shared" ca="1" si="37"/>
        <v>86.878851386472107</v>
      </c>
      <c r="CZ20" s="179">
        <f t="shared" ca="1" si="37"/>
        <v>86.948932893144061</v>
      </c>
      <c r="DA20" s="179">
        <f t="shared" ca="1" si="37"/>
        <v>86.995696800351098</v>
      </c>
      <c r="DB20" s="179">
        <f t="shared" ca="1" si="37"/>
        <v>87.089327725307569</v>
      </c>
      <c r="DC20" s="179">
        <f t="shared" ca="1" si="37"/>
        <v>87.136194807120972</v>
      </c>
      <c r="DD20" s="179">
        <f t="shared" ref="DD20:DI20" ca="1" si="38">(($AW25/(1+DD$18)^(($AZ25-$AZ$23)/30)))+($AS25/(1+DD$18)^(($AZ25-$AZ$23)/30))</f>
        <v>87.183096344594091</v>
      </c>
      <c r="DE20" s="179">
        <f t="shared" ca="1" si="38"/>
        <v>87.23003236984944</v>
      </c>
      <c r="DF20" s="179" t="e">
        <f t="shared" ca="1" si="38"/>
        <v>#VALUE!</v>
      </c>
      <c r="DG20" s="179" t="e">
        <f t="shared" ca="1" si="38"/>
        <v>#VALUE!</v>
      </c>
      <c r="DH20" s="179" t="e">
        <f t="shared" ca="1" si="38"/>
        <v>#VALUE!</v>
      </c>
      <c r="DI20" s="179" t="e">
        <f t="shared" ca="1" si="38"/>
        <v>#VALUE!</v>
      </c>
      <c r="DJ20" s="179" t="e">
        <f t="shared" ref="DJ20:DQ20" ca="1" si="39">(($AW25/(1+DJ$18)^(($AZ25-$AZ$23)/30)))+($AS25/(1+DJ$18)^(($AZ25-$AZ$23)/30))</f>
        <v>#VALUE!</v>
      </c>
      <c r="DK20" s="179" t="e">
        <f t="shared" ca="1" si="39"/>
        <v>#VALUE!</v>
      </c>
      <c r="DL20" s="179" t="e">
        <f t="shared" ca="1" si="39"/>
        <v>#VALUE!</v>
      </c>
      <c r="DM20" s="179" t="e">
        <f t="shared" ca="1" si="39"/>
        <v>#VALUE!</v>
      </c>
      <c r="DN20" s="179" t="e">
        <f t="shared" ca="1" si="39"/>
        <v>#VALUE!</v>
      </c>
      <c r="DO20" s="179" t="e">
        <f t="shared" ca="1" si="39"/>
        <v>#VALUE!</v>
      </c>
      <c r="DP20" s="179" t="e">
        <f t="shared" ca="1" si="39"/>
        <v>#VALUE!</v>
      </c>
      <c r="DQ20" s="179" t="e">
        <f t="shared" ca="1" si="39"/>
        <v>#VALUE!</v>
      </c>
      <c r="DR20" s="180">
        <f t="shared" ref="DR20:DR83" ca="1" si="40">IF($AU25&gt;$BA$19,0,$BA25-$AS25)</f>
        <v>5.7870356057992893</v>
      </c>
      <c r="DS20" s="180">
        <f t="shared" ca="1" si="33"/>
        <v>5.7870356057992893</v>
      </c>
      <c r="DT20" s="180">
        <f t="shared" ca="1" si="33"/>
        <v>5.7870356057992893</v>
      </c>
      <c r="DU20" s="180">
        <f t="shared" ca="1" si="33"/>
        <v>5.7870356057992893</v>
      </c>
      <c r="DV20" s="180">
        <f t="shared" ca="1" si="33"/>
        <v>5.7870356057992893</v>
      </c>
      <c r="DW20" s="180">
        <f t="shared" ca="1" si="33"/>
        <v>5.7870356057992893</v>
      </c>
      <c r="DX20" s="180">
        <f t="shared" ca="1" si="33"/>
        <v>5.7870356057992893</v>
      </c>
      <c r="DY20" s="180">
        <f t="shared" ca="1" si="33"/>
        <v>5.7870356057992893</v>
      </c>
      <c r="DZ20" s="180">
        <f t="shared" ca="1" si="33"/>
        <v>5.7870356057992893</v>
      </c>
      <c r="EA20" s="180">
        <f t="shared" ca="1" si="33"/>
        <v>5.7870356057992893</v>
      </c>
      <c r="EB20" s="180">
        <f t="shared" ca="1" si="33"/>
        <v>5.7870356057992893</v>
      </c>
      <c r="EC20" s="180">
        <f t="shared" ca="1" si="33"/>
        <v>5.7870356057992893</v>
      </c>
      <c r="ED20" s="180">
        <f t="shared" ca="1" si="33"/>
        <v>5.7870356057992893</v>
      </c>
      <c r="EE20" s="180">
        <f t="shared" ca="1" si="33"/>
        <v>5.7870356057992893</v>
      </c>
      <c r="EF20" s="180">
        <f t="shared" ca="1" si="33"/>
        <v>5.7870356057992893</v>
      </c>
      <c r="EG20" s="180">
        <f t="shared" ref="EG20:EO20" ca="1" si="41">IF($AU25&gt;$BA$19,0,$BA25-$AS25)</f>
        <v>5.7870356057992893</v>
      </c>
      <c r="EH20" s="180">
        <f t="shared" ca="1" si="41"/>
        <v>5.7870356057992893</v>
      </c>
      <c r="EI20" s="180">
        <f t="shared" ca="1" si="41"/>
        <v>5.7870356057992893</v>
      </c>
      <c r="EJ20" s="180">
        <f t="shared" ca="1" si="41"/>
        <v>5.7870356057992893</v>
      </c>
      <c r="EK20" s="180">
        <f t="shared" ca="1" si="41"/>
        <v>5.7870356057992893</v>
      </c>
      <c r="EL20" s="180">
        <f t="shared" ca="1" si="41"/>
        <v>5.7870356057992893</v>
      </c>
      <c r="EM20" s="180">
        <f t="shared" ca="1" si="41"/>
        <v>5.7870356057992893</v>
      </c>
      <c r="EN20" s="180">
        <f t="shared" ca="1" si="41"/>
        <v>5.7870356057992893</v>
      </c>
      <c r="EO20" s="180">
        <f t="shared" ca="1" si="41"/>
        <v>5.7870356057992893</v>
      </c>
      <c r="EP20" s="87"/>
      <c r="EQ20" s="259">
        <f t="shared" ref="EQ20:EQ83" ca="1" si="42">AR25</f>
        <v>46213</v>
      </c>
      <c r="ER20" s="87">
        <f t="shared" ca="1" si="35"/>
        <v>5.7870356057992893</v>
      </c>
      <c r="ES20" s="87">
        <f t="shared" ca="1" si="35"/>
        <v>5.7870356057992893</v>
      </c>
      <c r="ET20" s="87">
        <f t="shared" ca="1" si="35"/>
        <v>5.7870356057992893</v>
      </c>
      <c r="EU20" s="87">
        <f t="shared" ca="1" si="35"/>
        <v>5.7870356057992893</v>
      </c>
      <c r="EV20" s="87">
        <f t="shared" ca="1" si="35"/>
        <v>5.7870356057992893</v>
      </c>
      <c r="EW20" s="87">
        <f t="shared" ca="1" si="35"/>
        <v>5.7870356057992893</v>
      </c>
      <c r="EX20" s="87">
        <f t="shared" ca="1" si="35"/>
        <v>5.7870356057992893</v>
      </c>
      <c r="EY20" s="87">
        <f t="shared" ca="1" si="35"/>
        <v>5.7870356057992893</v>
      </c>
      <c r="EZ20" s="87">
        <f t="shared" ca="1" si="35"/>
        <v>5.7870356057992893</v>
      </c>
      <c r="FA20" s="87">
        <f t="shared" ca="1" si="35"/>
        <v>5.7870356057992893</v>
      </c>
      <c r="FB20" s="87">
        <f t="shared" ca="1" si="35"/>
        <v>5.7870356057992893</v>
      </c>
      <c r="FC20" s="87">
        <f t="shared" ca="1" si="35"/>
        <v>5.7870356057992893</v>
      </c>
      <c r="FD20" s="87">
        <f t="shared" ca="1" si="35"/>
        <v>5.7870356057992893</v>
      </c>
      <c r="FE20" s="87">
        <f t="shared" ca="1" si="35"/>
        <v>5.7870356057992893</v>
      </c>
      <c r="FF20" s="87">
        <f t="shared" ca="1" si="35"/>
        <v>5.7870356057992893</v>
      </c>
      <c r="FG20" s="87">
        <f t="shared" ca="1" si="36"/>
        <v>5.7870356057992893</v>
      </c>
      <c r="FH20" s="87">
        <f t="shared" ca="1" si="36"/>
        <v>5.7870356057992893</v>
      </c>
      <c r="FI20" s="87">
        <f t="shared" ca="1" si="36"/>
        <v>5.7870356057992893</v>
      </c>
      <c r="FJ20" s="87">
        <f t="shared" ca="1" si="36"/>
        <v>5.7870356057992893</v>
      </c>
      <c r="FK20" s="87">
        <f t="shared" ca="1" si="36"/>
        <v>5.7870356057992893</v>
      </c>
      <c r="FL20" s="87">
        <f t="shared" ca="1" si="36"/>
        <v>5.7870356057992893</v>
      </c>
      <c r="FM20" s="87">
        <f t="shared" ca="1" si="36"/>
        <v>5.7870356057992893</v>
      </c>
      <c r="FN20" s="87">
        <f t="shared" ca="1" si="36"/>
        <v>5.7870356057992893</v>
      </c>
      <c r="FO20" s="87">
        <f t="shared" ca="1" si="36"/>
        <v>5.7870356057992893</v>
      </c>
      <c r="FP20" s="87">
        <f t="shared" ca="1" si="36"/>
        <v>5.7870356057992893</v>
      </c>
      <c r="FQ20" s="87"/>
    </row>
    <row r="21" spans="1:173" customFormat="1" ht="15.75" thickBot="1" x14ac:dyDescent="0.3">
      <c r="B21" s="630" t="s">
        <v>7</v>
      </c>
      <c r="C21" s="631"/>
      <c r="D21" s="321">
        <f t="shared" ref="D21:T21" ca="1" si="43">IFERROR(IF(D20=0," ",D17/((((D18-$BG$176)+1)^D20*((D18-$BG$176)))/((((D18-$BG$176))+1)^D20-1))),0)</f>
        <v>3304.6532608733751</v>
      </c>
      <c r="E21" s="321" t="str">
        <f t="shared" si="43"/>
        <v xml:space="preserve"> </v>
      </c>
      <c r="F21" s="321" t="str">
        <f t="shared" si="43"/>
        <v xml:space="preserve"> </v>
      </c>
      <c r="G21" s="321" t="str">
        <f t="shared" si="43"/>
        <v xml:space="preserve"> </v>
      </c>
      <c r="H21" s="321" t="str">
        <f t="shared" si="43"/>
        <v xml:space="preserve"> </v>
      </c>
      <c r="I21" s="321" t="str">
        <f t="shared" si="43"/>
        <v xml:space="preserve"> </v>
      </c>
      <c r="J21" s="321" t="str">
        <f t="shared" si="43"/>
        <v xml:space="preserve"> </v>
      </c>
      <c r="K21" s="321" t="str">
        <f t="shared" si="43"/>
        <v xml:space="preserve"> </v>
      </c>
      <c r="L21" s="321" t="str">
        <f t="shared" si="43"/>
        <v xml:space="preserve"> </v>
      </c>
      <c r="M21" s="321" t="str">
        <f t="shared" si="43"/>
        <v xml:space="preserve"> </v>
      </c>
      <c r="N21" s="321" t="str">
        <f t="shared" si="43"/>
        <v xml:space="preserve"> </v>
      </c>
      <c r="O21" s="321" t="str">
        <f t="shared" si="43"/>
        <v xml:space="preserve"> </v>
      </c>
      <c r="P21" s="321" t="str">
        <f t="shared" si="43"/>
        <v xml:space="preserve"> </v>
      </c>
      <c r="Q21" s="321" t="str">
        <f t="shared" si="43"/>
        <v xml:space="preserve"> </v>
      </c>
      <c r="R21" s="321" t="str">
        <f t="shared" si="43"/>
        <v xml:space="preserve"> </v>
      </c>
      <c r="S21" s="321" t="str">
        <f t="shared" si="43"/>
        <v xml:space="preserve"> </v>
      </c>
      <c r="T21" s="321" t="str">
        <f t="shared" si="43"/>
        <v xml:space="preserve"> </v>
      </c>
      <c r="U21" s="87"/>
      <c r="V21" s="182">
        <f ca="1">SUMIF(D19:T19,1,D21:T21)</f>
        <v>3304.6532608733751</v>
      </c>
      <c r="W21" s="87"/>
      <c r="X21" s="87">
        <v>6</v>
      </c>
      <c r="Y21" s="377">
        <f t="shared" ca="1" si="4"/>
        <v>85.212964394200711</v>
      </c>
      <c r="Z21" s="377">
        <f t="shared" si="5"/>
        <v>0</v>
      </c>
      <c r="AA21" s="377">
        <f t="shared" si="6"/>
        <v>0</v>
      </c>
      <c r="AB21" s="377">
        <f t="shared" si="7"/>
        <v>0</v>
      </c>
      <c r="AC21" s="377">
        <f t="shared" si="8"/>
        <v>0</v>
      </c>
      <c r="AD21" s="377">
        <f t="shared" si="9"/>
        <v>0</v>
      </c>
      <c r="AE21" s="377">
        <f t="shared" si="10"/>
        <v>0</v>
      </c>
      <c r="AF21" s="377">
        <f t="shared" si="11"/>
        <v>0</v>
      </c>
      <c r="AG21" s="377">
        <f t="shared" si="12"/>
        <v>0</v>
      </c>
      <c r="AH21" s="377">
        <f t="shared" si="13"/>
        <v>0</v>
      </c>
      <c r="AI21" s="377">
        <f t="shared" si="14"/>
        <v>0</v>
      </c>
      <c r="AJ21" s="377">
        <f t="shared" si="15"/>
        <v>0</v>
      </c>
      <c r="AK21" s="377">
        <f t="shared" si="16"/>
        <v>0</v>
      </c>
      <c r="AL21" s="377">
        <f t="shared" si="17"/>
        <v>0</v>
      </c>
      <c r="AM21" s="377">
        <f t="shared" si="18"/>
        <v>0</v>
      </c>
      <c r="AN21" s="377">
        <f t="shared" si="19"/>
        <v>0</v>
      </c>
      <c r="AO21" s="377">
        <f t="shared" si="20"/>
        <v>0</v>
      </c>
      <c r="AP21" s="87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188"/>
      <c r="CB21" s="87"/>
      <c r="CC21" s="87"/>
      <c r="CD21" s="87"/>
      <c r="CE21" s="268"/>
      <c r="CF21" s="87"/>
      <c r="CG21" s="188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138">
        <v>3</v>
      </c>
      <c r="CT21" s="259">
        <f t="shared" ca="1" si="29"/>
        <v>46275</v>
      </c>
      <c r="CU21" s="179">
        <f t="shared" ref="CU21:DC21" ca="1" si="44">(($AW26/(1+CU$18)^(($AZ26-$AZ$23)/30)))+($AS26/(1+CU$18)^(($AZ26-$AZ$23)/30))</f>
        <v>84.928769815904914</v>
      </c>
      <c r="CV21" s="179">
        <f t="shared" ca="1" si="44"/>
        <v>85.085997605640785</v>
      </c>
      <c r="CW21" s="179">
        <f t="shared" ca="1" si="44"/>
        <v>85.180511107864959</v>
      </c>
      <c r="CX21" s="179">
        <f t="shared" ca="1" si="44"/>
        <v>85.275157507125542</v>
      </c>
      <c r="CY21" s="179">
        <f t="shared" ca="1" si="44"/>
        <v>85.369937029561299</v>
      </c>
      <c r="CZ21" s="179">
        <f t="shared" ca="1" si="44"/>
        <v>85.464849901762477</v>
      </c>
      <c r="DA21" s="179">
        <f t="shared" ca="1" si="44"/>
        <v>85.528199345201017</v>
      </c>
      <c r="DB21" s="179">
        <f t="shared" ca="1" si="44"/>
        <v>85.655076604087327</v>
      </c>
      <c r="DC21" s="179">
        <f t="shared" ca="1" si="44"/>
        <v>85.718604554572536</v>
      </c>
      <c r="DD21" s="179">
        <f t="shared" ref="DD21:DI21" ca="1" si="45">(($AW26/(1+DD$18)^(($AZ26-$AZ$23)/30)))+($AS26/(1+DD$18)^(($AZ26-$AZ$23)/30))</f>
        <v>85.78219214259407</v>
      </c>
      <c r="DE21" s="179">
        <f t="shared" ca="1" si="45"/>
        <v>85.845839435895812</v>
      </c>
      <c r="DF21" s="179" t="e">
        <f t="shared" ca="1" si="45"/>
        <v>#VALUE!</v>
      </c>
      <c r="DG21" s="179" t="e">
        <f t="shared" ca="1" si="45"/>
        <v>#VALUE!</v>
      </c>
      <c r="DH21" s="179" t="e">
        <f t="shared" ca="1" si="45"/>
        <v>#VALUE!</v>
      </c>
      <c r="DI21" s="179" t="e">
        <f t="shared" ca="1" si="45"/>
        <v>#VALUE!</v>
      </c>
      <c r="DJ21" s="179" t="e">
        <f t="shared" ref="DJ21:DQ21" ca="1" si="46">(($AW26/(1+DJ$18)^(($AZ26-$AZ$23)/30)))+($AS26/(1+DJ$18)^(($AZ26-$AZ$23)/30))</f>
        <v>#VALUE!</v>
      </c>
      <c r="DK21" s="179" t="e">
        <f t="shared" ca="1" si="46"/>
        <v>#VALUE!</v>
      </c>
      <c r="DL21" s="179" t="e">
        <f t="shared" ca="1" si="46"/>
        <v>#VALUE!</v>
      </c>
      <c r="DM21" s="179" t="e">
        <f t="shared" ca="1" si="46"/>
        <v>#VALUE!</v>
      </c>
      <c r="DN21" s="179" t="e">
        <f t="shared" ca="1" si="46"/>
        <v>#VALUE!</v>
      </c>
      <c r="DO21" s="179" t="e">
        <f t="shared" ca="1" si="46"/>
        <v>#VALUE!</v>
      </c>
      <c r="DP21" s="179" t="e">
        <f t="shared" ca="1" si="46"/>
        <v>#VALUE!</v>
      </c>
      <c r="DQ21" s="179" t="e">
        <f t="shared" ca="1" si="46"/>
        <v>#VALUE!</v>
      </c>
      <c r="DR21" s="180">
        <f t="shared" ca="1" si="40"/>
        <v>5.7870356057992893</v>
      </c>
      <c r="DS21" s="180">
        <f t="shared" ca="1" si="33"/>
        <v>5.7870356057992893</v>
      </c>
      <c r="DT21" s="180">
        <f t="shared" ca="1" si="33"/>
        <v>5.7870356057992893</v>
      </c>
      <c r="DU21" s="180">
        <f t="shared" ca="1" si="33"/>
        <v>5.7870356057992893</v>
      </c>
      <c r="DV21" s="180">
        <f t="shared" ca="1" si="33"/>
        <v>5.7870356057992893</v>
      </c>
      <c r="DW21" s="180">
        <f t="shared" ca="1" si="33"/>
        <v>5.7870356057992893</v>
      </c>
      <c r="DX21" s="180">
        <f t="shared" ca="1" si="33"/>
        <v>5.7870356057992893</v>
      </c>
      <c r="DY21" s="180">
        <f t="shared" ca="1" si="33"/>
        <v>5.7870356057992893</v>
      </c>
      <c r="DZ21" s="180">
        <f t="shared" ca="1" si="33"/>
        <v>5.7870356057992893</v>
      </c>
      <c r="EA21" s="180">
        <f t="shared" ca="1" si="33"/>
        <v>5.7870356057992893</v>
      </c>
      <c r="EB21" s="180">
        <f t="shared" ca="1" si="33"/>
        <v>5.7870356057992893</v>
      </c>
      <c r="EC21" s="180">
        <f t="shared" ca="1" si="33"/>
        <v>5.7870356057992893</v>
      </c>
      <c r="ED21" s="180">
        <f t="shared" ca="1" si="33"/>
        <v>5.7870356057992893</v>
      </c>
      <c r="EE21" s="180">
        <f t="shared" ca="1" si="33"/>
        <v>5.7870356057992893</v>
      </c>
      <c r="EF21" s="180">
        <f t="shared" ca="1" si="33"/>
        <v>5.7870356057992893</v>
      </c>
      <c r="EG21" s="180">
        <f t="shared" ref="EG21:EO21" ca="1" si="47">IF($AU26&gt;$BA$19,0,$BA26-$AS26)</f>
        <v>5.7870356057992893</v>
      </c>
      <c r="EH21" s="180">
        <f t="shared" ca="1" si="47"/>
        <v>5.7870356057992893</v>
      </c>
      <c r="EI21" s="180">
        <f t="shared" ca="1" si="47"/>
        <v>5.7870356057992893</v>
      </c>
      <c r="EJ21" s="180">
        <f t="shared" ca="1" si="47"/>
        <v>5.7870356057992893</v>
      </c>
      <c r="EK21" s="180">
        <f t="shared" ca="1" si="47"/>
        <v>5.7870356057992893</v>
      </c>
      <c r="EL21" s="180">
        <f t="shared" ca="1" si="47"/>
        <v>5.7870356057992893</v>
      </c>
      <c r="EM21" s="180">
        <f t="shared" ca="1" si="47"/>
        <v>5.7870356057992893</v>
      </c>
      <c r="EN21" s="180">
        <f t="shared" ca="1" si="47"/>
        <v>5.7870356057992893</v>
      </c>
      <c r="EO21" s="180">
        <f t="shared" ca="1" si="47"/>
        <v>5.7870356057992893</v>
      </c>
      <c r="EP21" s="87"/>
      <c r="EQ21" s="259">
        <f t="shared" ca="1" si="42"/>
        <v>46244</v>
      </c>
      <c r="ER21" s="87">
        <f t="shared" ca="1" si="35"/>
        <v>5.7870356057992893</v>
      </c>
      <c r="ES21" s="87">
        <f t="shared" ca="1" si="35"/>
        <v>5.7870356057992893</v>
      </c>
      <c r="ET21" s="87">
        <f t="shared" ca="1" si="35"/>
        <v>5.7870356057992893</v>
      </c>
      <c r="EU21" s="87">
        <f t="shared" ca="1" si="35"/>
        <v>5.7870356057992893</v>
      </c>
      <c r="EV21" s="87">
        <f t="shared" ca="1" si="35"/>
        <v>5.7870356057992893</v>
      </c>
      <c r="EW21" s="87">
        <f t="shared" ca="1" si="35"/>
        <v>5.7870356057992893</v>
      </c>
      <c r="EX21" s="87">
        <f t="shared" ca="1" si="35"/>
        <v>5.7870356057992893</v>
      </c>
      <c r="EY21" s="87">
        <f t="shared" ca="1" si="35"/>
        <v>5.7870356057992893</v>
      </c>
      <c r="EZ21" s="87">
        <f t="shared" ca="1" si="35"/>
        <v>5.7870356057992893</v>
      </c>
      <c r="FA21" s="87">
        <f t="shared" ca="1" si="35"/>
        <v>5.7870356057992893</v>
      </c>
      <c r="FB21" s="87">
        <f t="shared" ca="1" si="35"/>
        <v>5.7870356057992893</v>
      </c>
      <c r="FC21" s="87">
        <f t="shared" ca="1" si="35"/>
        <v>5.7870356057992893</v>
      </c>
      <c r="FD21" s="87">
        <f t="shared" ca="1" si="35"/>
        <v>5.7870356057992893</v>
      </c>
      <c r="FE21" s="87">
        <f t="shared" ca="1" si="35"/>
        <v>5.7870356057992893</v>
      </c>
      <c r="FF21" s="87">
        <f t="shared" ca="1" si="35"/>
        <v>5.7870356057992893</v>
      </c>
      <c r="FG21" s="87">
        <f t="shared" ca="1" si="36"/>
        <v>5.7870356057992893</v>
      </c>
      <c r="FH21" s="87">
        <f t="shared" ca="1" si="36"/>
        <v>5.7870356057992893</v>
      </c>
      <c r="FI21" s="87">
        <f t="shared" ca="1" si="36"/>
        <v>5.7870356057992893</v>
      </c>
      <c r="FJ21" s="87">
        <f t="shared" ca="1" si="36"/>
        <v>5.7870356057992893</v>
      </c>
      <c r="FK21" s="87">
        <f t="shared" ca="1" si="36"/>
        <v>5.7870356057992893</v>
      </c>
      <c r="FL21" s="87">
        <f t="shared" ca="1" si="36"/>
        <v>5.7870356057992893</v>
      </c>
      <c r="FM21" s="87">
        <f t="shared" ca="1" si="36"/>
        <v>5.7870356057992893</v>
      </c>
      <c r="FN21" s="87">
        <f t="shared" ca="1" si="36"/>
        <v>5.7870356057992893</v>
      </c>
      <c r="FO21" s="87">
        <f t="shared" ca="1" si="36"/>
        <v>5.7870356057992893</v>
      </c>
      <c r="FP21" s="87">
        <f t="shared" ca="1" si="36"/>
        <v>5.7870356057992893</v>
      </c>
      <c r="FQ21" s="87"/>
    </row>
    <row r="22" spans="1:173" customFormat="1" ht="12.75" customHeight="1" thickBot="1" x14ac:dyDescent="0.3">
      <c r="B22" s="630" t="s">
        <v>475</v>
      </c>
      <c r="C22" s="631"/>
      <c r="D22" s="321">
        <f t="shared" ref="D22:T22" ca="1" si="48">IFERROR(IF(D18&gt;$AB$13,D203,D17),"")</f>
        <v>85.212964394200711</v>
      </c>
      <c r="E22" s="321" t="str">
        <f t="shared" si="48"/>
        <v/>
      </c>
      <c r="F22" s="321" t="str">
        <f t="shared" si="48"/>
        <v/>
      </c>
      <c r="G22" s="321" t="str">
        <f t="shared" si="48"/>
        <v/>
      </c>
      <c r="H22" s="321" t="str">
        <f t="shared" si="48"/>
        <v/>
      </c>
      <c r="I22" s="321" t="str">
        <f t="shared" si="48"/>
        <v/>
      </c>
      <c r="J22" s="321" t="str">
        <f t="shared" si="48"/>
        <v/>
      </c>
      <c r="K22" s="321" t="str">
        <f t="shared" si="48"/>
        <v/>
      </c>
      <c r="L22" s="321" t="str">
        <f t="shared" si="48"/>
        <v/>
      </c>
      <c r="M22" s="321" t="str">
        <f t="shared" si="48"/>
        <v/>
      </c>
      <c r="N22" s="321" t="str">
        <f t="shared" si="48"/>
        <v/>
      </c>
      <c r="O22" s="321" t="str">
        <f t="shared" si="48"/>
        <v/>
      </c>
      <c r="P22" s="321" t="str">
        <f t="shared" si="48"/>
        <v/>
      </c>
      <c r="Q22" s="321" t="str">
        <f t="shared" si="48"/>
        <v/>
      </c>
      <c r="R22" s="321" t="str">
        <f t="shared" si="48"/>
        <v/>
      </c>
      <c r="S22" s="321" t="str">
        <f t="shared" si="48"/>
        <v/>
      </c>
      <c r="T22" s="321" t="str">
        <f t="shared" si="48"/>
        <v/>
      </c>
      <c r="U22" s="87"/>
      <c r="V22" s="182">
        <f ca="1">SUMIF(D19:T19,1,D22:T22)</f>
        <v>85.212964394200711</v>
      </c>
      <c r="W22" s="87"/>
      <c r="X22" s="87">
        <v>7</v>
      </c>
      <c r="Y22" s="377">
        <f t="shared" ca="1" si="4"/>
        <v>85.212964394200711</v>
      </c>
      <c r="Z22" s="377">
        <f t="shared" si="5"/>
        <v>0</v>
      </c>
      <c r="AA22" s="377">
        <f t="shared" si="6"/>
        <v>0</v>
      </c>
      <c r="AB22" s="377">
        <f t="shared" si="7"/>
        <v>0</v>
      </c>
      <c r="AC22" s="377">
        <f t="shared" si="8"/>
        <v>0</v>
      </c>
      <c r="AD22" s="377">
        <f t="shared" si="9"/>
        <v>0</v>
      </c>
      <c r="AE22" s="377">
        <f t="shared" si="10"/>
        <v>0</v>
      </c>
      <c r="AF22" s="377">
        <f t="shared" si="11"/>
        <v>0</v>
      </c>
      <c r="AG22" s="377">
        <f t="shared" si="12"/>
        <v>0</v>
      </c>
      <c r="AH22" s="377">
        <f t="shared" si="13"/>
        <v>0</v>
      </c>
      <c r="AI22" s="377">
        <f t="shared" si="14"/>
        <v>0</v>
      </c>
      <c r="AJ22" s="377">
        <f t="shared" si="15"/>
        <v>0</v>
      </c>
      <c r="AK22" s="377">
        <f t="shared" si="16"/>
        <v>0</v>
      </c>
      <c r="AL22" s="377">
        <f t="shared" si="17"/>
        <v>0</v>
      </c>
      <c r="AM22" s="377">
        <f t="shared" si="18"/>
        <v>0</v>
      </c>
      <c r="AN22" s="377">
        <f t="shared" si="19"/>
        <v>0</v>
      </c>
      <c r="AO22" s="377">
        <f t="shared" si="20"/>
        <v>0</v>
      </c>
      <c r="AP22" s="87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188"/>
      <c r="CB22" s="87"/>
      <c r="CC22" s="87"/>
      <c r="CD22" s="87"/>
      <c r="CE22" s="268"/>
      <c r="CF22" s="87"/>
      <c r="CG22" s="1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>
        <v>4</v>
      </c>
      <c r="CT22" s="259">
        <f t="shared" ca="1" si="29"/>
        <v>46305</v>
      </c>
      <c r="CU22" s="179">
        <f t="shared" ref="CU22:DC22" ca="1" si="49">(($AW27/(1+CU$18)^(($AZ27-$AZ$23)/30)))+($AS27/(1+CU$18)^(($AZ27-$AZ$23)/30))</f>
        <v>83.386126476097118</v>
      </c>
      <c r="CV22" s="179">
        <f t="shared" ca="1" si="49"/>
        <v>83.581530064480134</v>
      </c>
      <c r="CW22" s="179">
        <f t="shared" ca="1" si="49"/>
        <v>83.69903813291242</v>
      </c>
      <c r="CX22" s="179">
        <f t="shared" ca="1" si="49"/>
        <v>83.816746124558222</v>
      </c>
      <c r="CY22" s="179">
        <f t="shared" ca="1" si="49"/>
        <v>83.934654438660218</v>
      </c>
      <c r="CZ22" s="179">
        <f t="shared" ca="1" si="49"/>
        <v>84.052763475376153</v>
      </c>
      <c r="DA22" s="179">
        <f t="shared" ca="1" si="49"/>
        <v>84.131614543774361</v>
      </c>
      <c r="DB22" s="179">
        <f t="shared" ca="1" si="49"/>
        <v>84.289585321872977</v>
      </c>
      <c r="DC22" s="179">
        <f t="shared" ca="1" si="49"/>
        <v>84.368705270248554</v>
      </c>
      <c r="DD22" s="179">
        <f t="shared" ref="DD22:DI22" ca="1" si="50">(($AW27/(1+DD$18)^(($AZ27-$AZ$23)/30)))+($AS27/(1+DD$18)^(($AZ27-$AZ$23)/30))</f>
        <v>84.447915084262718</v>
      </c>
      <c r="DE22" s="179">
        <f t="shared" ca="1" si="50"/>
        <v>84.527214883709931</v>
      </c>
      <c r="DF22" s="179" t="e">
        <f t="shared" ca="1" si="50"/>
        <v>#VALUE!</v>
      </c>
      <c r="DG22" s="179" t="e">
        <f t="shared" ca="1" si="50"/>
        <v>#VALUE!</v>
      </c>
      <c r="DH22" s="179" t="e">
        <f t="shared" ca="1" si="50"/>
        <v>#VALUE!</v>
      </c>
      <c r="DI22" s="179" t="e">
        <f t="shared" ca="1" si="50"/>
        <v>#VALUE!</v>
      </c>
      <c r="DJ22" s="179" t="e">
        <f t="shared" ref="DJ22:DQ22" ca="1" si="51">(($AW27/(1+DJ$18)^(($AZ27-$AZ$23)/30)))+($AS27/(1+DJ$18)^(($AZ27-$AZ$23)/30))</f>
        <v>#VALUE!</v>
      </c>
      <c r="DK22" s="179" t="e">
        <f t="shared" ca="1" si="51"/>
        <v>#VALUE!</v>
      </c>
      <c r="DL22" s="179" t="e">
        <f t="shared" ca="1" si="51"/>
        <v>#VALUE!</v>
      </c>
      <c r="DM22" s="179" t="e">
        <f t="shared" ca="1" si="51"/>
        <v>#VALUE!</v>
      </c>
      <c r="DN22" s="179" t="e">
        <f t="shared" ca="1" si="51"/>
        <v>#VALUE!</v>
      </c>
      <c r="DO22" s="179" t="e">
        <f t="shared" ca="1" si="51"/>
        <v>#VALUE!</v>
      </c>
      <c r="DP22" s="179" t="e">
        <f t="shared" ca="1" si="51"/>
        <v>#VALUE!</v>
      </c>
      <c r="DQ22" s="179" t="e">
        <f t="shared" ca="1" si="51"/>
        <v>#VALUE!</v>
      </c>
      <c r="DR22" s="180">
        <f t="shared" ca="1" si="40"/>
        <v>5.7870356057992893</v>
      </c>
      <c r="DS22" s="180">
        <f t="shared" ca="1" si="33"/>
        <v>5.7870356057992893</v>
      </c>
      <c r="DT22" s="180">
        <f t="shared" ca="1" si="33"/>
        <v>5.7870356057992893</v>
      </c>
      <c r="DU22" s="180">
        <f t="shared" ca="1" si="33"/>
        <v>5.7870356057992893</v>
      </c>
      <c r="DV22" s="180">
        <f t="shared" ca="1" si="33"/>
        <v>5.7870356057992893</v>
      </c>
      <c r="DW22" s="180">
        <f t="shared" ca="1" si="33"/>
        <v>5.7870356057992893</v>
      </c>
      <c r="DX22" s="180">
        <f t="shared" ca="1" si="33"/>
        <v>5.7870356057992893</v>
      </c>
      <c r="DY22" s="180">
        <f t="shared" ca="1" si="33"/>
        <v>5.7870356057992893</v>
      </c>
      <c r="DZ22" s="180">
        <f t="shared" ca="1" si="33"/>
        <v>5.7870356057992893</v>
      </c>
      <c r="EA22" s="180">
        <f t="shared" ca="1" si="33"/>
        <v>5.7870356057992893</v>
      </c>
      <c r="EB22" s="180">
        <f t="shared" ca="1" si="33"/>
        <v>5.7870356057992893</v>
      </c>
      <c r="EC22" s="180">
        <f t="shared" ca="1" si="33"/>
        <v>5.7870356057992893</v>
      </c>
      <c r="ED22" s="180">
        <f t="shared" ca="1" si="33"/>
        <v>5.7870356057992893</v>
      </c>
      <c r="EE22" s="180">
        <f t="shared" ca="1" si="33"/>
        <v>5.7870356057992893</v>
      </c>
      <c r="EF22" s="180">
        <f t="shared" ca="1" si="33"/>
        <v>5.7870356057992893</v>
      </c>
      <c r="EG22" s="180">
        <f t="shared" ref="EG22:EO22" ca="1" si="52">IF($AU27&gt;$BA$19,0,$BA27-$AS27)</f>
        <v>5.7870356057992893</v>
      </c>
      <c r="EH22" s="180">
        <f t="shared" ca="1" si="52"/>
        <v>5.7870356057992893</v>
      </c>
      <c r="EI22" s="180">
        <f t="shared" ca="1" si="52"/>
        <v>5.7870356057992893</v>
      </c>
      <c r="EJ22" s="180">
        <f t="shared" ca="1" si="52"/>
        <v>5.7870356057992893</v>
      </c>
      <c r="EK22" s="180">
        <f t="shared" ca="1" si="52"/>
        <v>5.7870356057992893</v>
      </c>
      <c r="EL22" s="180">
        <f t="shared" ca="1" si="52"/>
        <v>5.7870356057992893</v>
      </c>
      <c r="EM22" s="180">
        <f t="shared" ca="1" si="52"/>
        <v>5.7870356057992893</v>
      </c>
      <c r="EN22" s="180">
        <f t="shared" ca="1" si="52"/>
        <v>5.7870356057992893</v>
      </c>
      <c r="EO22" s="180">
        <f t="shared" ca="1" si="52"/>
        <v>5.7870356057992893</v>
      </c>
      <c r="EP22" s="87"/>
      <c r="EQ22" s="259">
        <f t="shared" ca="1" si="42"/>
        <v>46275</v>
      </c>
      <c r="ER22" s="87">
        <f t="shared" ca="1" si="35"/>
        <v>5.7870356057992893</v>
      </c>
      <c r="ES22" s="87">
        <f t="shared" ca="1" si="35"/>
        <v>5.7870356057992893</v>
      </c>
      <c r="ET22" s="87">
        <f t="shared" ca="1" si="35"/>
        <v>5.7870356057992893</v>
      </c>
      <c r="EU22" s="87">
        <f t="shared" ca="1" si="35"/>
        <v>5.7870356057992893</v>
      </c>
      <c r="EV22" s="87">
        <f t="shared" ca="1" si="35"/>
        <v>5.7870356057992893</v>
      </c>
      <c r="EW22" s="87">
        <f t="shared" ca="1" si="35"/>
        <v>5.7870356057992893</v>
      </c>
      <c r="EX22" s="87">
        <f t="shared" ca="1" si="35"/>
        <v>5.7870356057992893</v>
      </c>
      <c r="EY22" s="87">
        <f t="shared" ca="1" si="35"/>
        <v>5.7870356057992893</v>
      </c>
      <c r="EZ22" s="87">
        <f t="shared" ca="1" si="35"/>
        <v>5.7870356057992893</v>
      </c>
      <c r="FA22" s="87">
        <f t="shared" ca="1" si="35"/>
        <v>5.7870356057992893</v>
      </c>
      <c r="FB22" s="87">
        <f t="shared" ca="1" si="35"/>
        <v>5.7870356057992893</v>
      </c>
      <c r="FC22" s="87">
        <f t="shared" ca="1" si="35"/>
        <v>5.7870356057992893</v>
      </c>
      <c r="FD22" s="87">
        <f t="shared" ca="1" si="35"/>
        <v>5.7870356057992893</v>
      </c>
      <c r="FE22" s="87">
        <f t="shared" ca="1" si="35"/>
        <v>5.7870356057992893</v>
      </c>
      <c r="FF22" s="87">
        <f t="shared" ca="1" si="35"/>
        <v>5.7870356057992893</v>
      </c>
      <c r="FG22" s="87">
        <f t="shared" ca="1" si="36"/>
        <v>5.7870356057992893</v>
      </c>
      <c r="FH22" s="87">
        <f t="shared" ca="1" si="36"/>
        <v>5.7870356057992893</v>
      </c>
      <c r="FI22" s="87">
        <f t="shared" ca="1" si="36"/>
        <v>5.7870356057992893</v>
      </c>
      <c r="FJ22" s="87">
        <f t="shared" ca="1" si="36"/>
        <v>5.7870356057992893</v>
      </c>
      <c r="FK22" s="87">
        <f t="shared" ca="1" si="36"/>
        <v>5.7870356057992893</v>
      </c>
      <c r="FL22" s="87">
        <f t="shared" ca="1" si="36"/>
        <v>5.7870356057992893</v>
      </c>
      <c r="FM22" s="87">
        <f t="shared" ca="1" si="36"/>
        <v>5.7870356057992893</v>
      </c>
      <c r="FN22" s="87">
        <f t="shared" ca="1" si="36"/>
        <v>5.7870356057992893</v>
      </c>
      <c r="FO22" s="87">
        <f t="shared" ca="1" si="36"/>
        <v>5.7870356057992893</v>
      </c>
      <c r="FP22" s="87">
        <f t="shared" ca="1" si="36"/>
        <v>5.7870356057992893</v>
      </c>
      <c r="FQ22" s="87"/>
    </row>
    <row r="23" spans="1:173" s="8" customFormat="1" ht="15.75" thickBot="1" x14ac:dyDescent="0.3">
      <c r="L23" s="197"/>
      <c r="M23" s="197"/>
      <c r="N23" s="197"/>
      <c r="O23" s="197"/>
      <c r="P23" s="197"/>
      <c r="Q23" s="197"/>
      <c r="R23" s="197"/>
      <c r="S23" s="197"/>
      <c r="T23" s="199"/>
      <c r="U23" s="87"/>
      <c r="V23" s="184"/>
      <c r="W23" s="133"/>
      <c r="X23" s="133">
        <v>8</v>
      </c>
      <c r="Y23" s="377">
        <f t="shared" ca="1" si="4"/>
        <v>85.212964394200711</v>
      </c>
      <c r="Z23" s="377">
        <f t="shared" si="5"/>
        <v>0</v>
      </c>
      <c r="AA23" s="377">
        <f t="shared" si="6"/>
        <v>0</v>
      </c>
      <c r="AB23" s="377">
        <f t="shared" si="7"/>
        <v>0</v>
      </c>
      <c r="AC23" s="377">
        <f t="shared" si="8"/>
        <v>0</v>
      </c>
      <c r="AD23" s="377">
        <f t="shared" si="9"/>
        <v>0</v>
      </c>
      <c r="AE23" s="377">
        <f t="shared" si="10"/>
        <v>0</v>
      </c>
      <c r="AF23" s="377">
        <f t="shared" si="11"/>
        <v>0</v>
      </c>
      <c r="AG23" s="377">
        <f t="shared" si="12"/>
        <v>0</v>
      </c>
      <c r="AH23" s="377">
        <f t="shared" si="13"/>
        <v>0</v>
      </c>
      <c r="AI23" s="377">
        <f t="shared" si="14"/>
        <v>0</v>
      </c>
      <c r="AJ23" s="377">
        <f t="shared" si="15"/>
        <v>0</v>
      </c>
      <c r="AK23" s="377">
        <f t="shared" si="16"/>
        <v>0</v>
      </c>
      <c r="AL23" s="377">
        <f t="shared" si="17"/>
        <v>0</v>
      </c>
      <c r="AM23" s="377">
        <f t="shared" si="18"/>
        <v>0</v>
      </c>
      <c r="AN23" s="377">
        <f t="shared" si="19"/>
        <v>0</v>
      </c>
      <c r="AO23" s="377">
        <f t="shared" si="20"/>
        <v>0</v>
      </c>
      <c r="AP23" s="133"/>
      <c r="AQ23" s="276">
        <v>0</v>
      </c>
      <c r="AR23" s="279">
        <f ca="1">AS15</f>
        <v>46162</v>
      </c>
      <c r="AS23" s="412">
        <f ca="1">-AS17</f>
        <v>-3304.6532608733751</v>
      </c>
      <c r="AT23" s="276"/>
      <c r="AU23" s="276">
        <v>0</v>
      </c>
      <c r="AV23" s="279">
        <f ca="1">AW15</f>
        <v>46162</v>
      </c>
      <c r="AW23" s="412">
        <f ca="1">-SUM(AX24:AX167)</f>
        <v>-743.31000000000029</v>
      </c>
      <c r="AX23" s="276"/>
      <c r="AY23" s="276">
        <v>0</v>
      </c>
      <c r="AZ23" s="279">
        <f ca="1">BA15</f>
        <v>46162</v>
      </c>
      <c r="BA23" s="412">
        <f ca="1">-BA17</f>
        <v>-4047.9632608733755</v>
      </c>
      <c r="BB23" s="133"/>
      <c r="BC23" s="258">
        <f ca="1">AR23</f>
        <v>46162</v>
      </c>
      <c r="BD23" s="377">
        <f ca="1">AW23</f>
        <v>-743.31000000000029</v>
      </c>
      <c r="BE23" s="133">
        <f>AQ23</f>
        <v>0</v>
      </c>
      <c r="BF23" s="379">
        <f ca="1">AR23</f>
        <v>46162</v>
      </c>
      <c r="BG23" s="413">
        <f>-D15</f>
        <v>-3550</v>
      </c>
      <c r="BH23" s="413">
        <f t="shared" ref="BH23:BR23" si="53">-E15</f>
        <v>0</v>
      </c>
      <c r="BI23" s="413">
        <f t="shared" si="53"/>
        <v>0</v>
      </c>
      <c r="BJ23" s="413">
        <f t="shared" si="53"/>
        <v>0</v>
      </c>
      <c r="BK23" s="413">
        <f t="shared" si="53"/>
        <v>0</v>
      </c>
      <c r="BL23" s="413">
        <f t="shared" si="53"/>
        <v>0</v>
      </c>
      <c r="BM23" s="413">
        <f t="shared" si="53"/>
        <v>0</v>
      </c>
      <c r="BN23" s="413">
        <f t="shared" si="53"/>
        <v>0</v>
      </c>
      <c r="BO23" s="413">
        <f t="shared" si="53"/>
        <v>0</v>
      </c>
      <c r="BP23" s="413">
        <f t="shared" si="53"/>
        <v>0</v>
      </c>
      <c r="BQ23" s="413">
        <f t="shared" si="53"/>
        <v>0</v>
      </c>
      <c r="BR23" s="413">
        <f t="shared" si="53"/>
        <v>0</v>
      </c>
      <c r="BS23" s="413">
        <f>-P15</f>
        <v>0</v>
      </c>
      <c r="BT23" s="413">
        <f t="shared" ref="BT23" si="54">-Q15</f>
        <v>0</v>
      </c>
      <c r="BU23" s="413">
        <f t="shared" ref="BU23" si="55">-R15</f>
        <v>0</v>
      </c>
      <c r="BV23" s="413">
        <f t="shared" ref="BV23" si="56">-S15</f>
        <v>0</v>
      </c>
      <c r="BW23" s="413">
        <f>-T15</f>
        <v>0</v>
      </c>
      <c r="BX23" s="280" t="s">
        <v>2585</v>
      </c>
      <c r="BY23" s="280"/>
      <c r="BZ23" s="280" t="s">
        <v>2586</v>
      </c>
      <c r="CA23" s="414"/>
      <c r="CB23" s="280"/>
      <c r="CC23" s="280"/>
      <c r="CD23" s="280"/>
      <c r="CE23" s="414"/>
      <c r="CF23" s="280"/>
      <c r="CG23" s="177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78">
        <v>5</v>
      </c>
      <c r="CT23" s="259">
        <f t="shared" ca="1" si="29"/>
        <v>46336</v>
      </c>
      <c r="CU23" s="179">
        <f t="shared" ref="CU23:DC23" ca="1" si="57">(($AW28/(1+CU$18)^(($AZ28-$AZ$23)/30)))+($AS28/(1+CU$18)^(($AZ28-$AZ$23)/30))</f>
        <v>81.821492839499157</v>
      </c>
      <c r="CV23" s="179">
        <f t="shared" ca="1" si="57"/>
        <v>82.054854536384184</v>
      </c>
      <c r="CW23" s="179">
        <f t="shared" ca="1" si="57"/>
        <v>82.195246100749401</v>
      </c>
      <c r="CX23" s="179">
        <f t="shared" ca="1" si="57"/>
        <v>82.335919365072911</v>
      </c>
      <c r="CY23" s="179">
        <f t="shared" ca="1" si="57"/>
        <v>82.476874977909162</v>
      </c>
      <c r="CZ23" s="179">
        <f t="shared" ca="1" si="57"/>
        <v>82.618113589497455</v>
      </c>
      <c r="DA23" s="179">
        <f t="shared" ca="1" si="57"/>
        <v>82.712430207289373</v>
      </c>
      <c r="DB23" s="179">
        <f t="shared" ca="1" si="57"/>
        <v>82.901442418342953</v>
      </c>
      <c r="DC23" s="179">
        <f t="shared" ca="1" si="57"/>
        <v>82.996138399776697</v>
      </c>
      <c r="DD23" s="179">
        <f t="shared" ref="DD23:DI23" ca="1" si="58">(($AW28/(1+DD$18)^(($AZ28-$AZ$23)/30)))+($AS28/(1+DD$18)^(($AZ28-$AZ$23)/30))</f>
        <v>83.090961224490556</v>
      </c>
      <c r="DE23" s="179">
        <f t="shared" ca="1" si="58"/>
        <v>83.185911087412705</v>
      </c>
      <c r="DF23" s="179" t="e">
        <f t="shared" ca="1" si="58"/>
        <v>#VALUE!</v>
      </c>
      <c r="DG23" s="179" t="e">
        <f t="shared" ca="1" si="58"/>
        <v>#VALUE!</v>
      </c>
      <c r="DH23" s="179" t="e">
        <f t="shared" ca="1" si="58"/>
        <v>#VALUE!</v>
      </c>
      <c r="DI23" s="179" t="e">
        <f t="shared" ca="1" si="58"/>
        <v>#VALUE!</v>
      </c>
      <c r="DJ23" s="179" t="e">
        <f t="shared" ref="DJ23:DQ23" ca="1" si="59">(($AW28/(1+DJ$18)^(($AZ28-$AZ$23)/30)))+($AS28/(1+DJ$18)^(($AZ28-$AZ$23)/30))</f>
        <v>#VALUE!</v>
      </c>
      <c r="DK23" s="179" t="e">
        <f t="shared" ca="1" si="59"/>
        <v>#VALUE!</v>
      </c>
      <c r="DL23" s="179" t="e">
        <f t="shared" ca="1" si="59"/>
        <v>#VALUE!</v>
      </c>
      <c r="DM23" s="179" t="e">
        <f t="shared" ca="1" si="59"/>
        <v>#VALUE!</v>
      </c>
      <c r="DN23" s="179" t="e">
        <f t="shared" ca="1" si="59"/>
        <v>#VALUE!</v>
      </c>
      <c r="DO23" s="179" t="e">
        <f t="shared" ca="1" si="59"/>
        <v>#VALUE!</v>
      </c>
      <c r="DP23" s="179" t="e">
        <f t="shared" ca="1" si="59"/>
        <v>#VALUE!</v>
      </c>
      <c r="DQ23" s="179" t="e">
        <f t="shared" ca="1" si="59"/>
        <v>#VALUE!</v>
      </c>
      <c r="DR23" s="180">
        <f t="shared" ca="1" si="40"/>
        <v>5.7870356057992893</v>
      </c>
      <c r="DS23" s="180">
        <f t="shared" ca="1" si="33"/>
        <v>5.7870356057992893</v>
      </c>
      <c r="DT23" s="180">
        <f t="shared" ca="1" si="33"/>
        <v>5.7870356057992893</v>
      </c>
      <c r="DU23" s="180">
        <f t="shared" ca="1" si="33"/>
        <v>5.7870356057992893</v>
      </c>
      <c r="DV23" s="180">
        <f t="shared" ca="1" si="33"/>
        <v>5.7870356057992893</v>
      </c>
      <c r="DW23" s="180">
        <f t="shared" ca="1" si="33"/>
        <v>5.7870356057992893</v>
      </c>
      <c r="DX23" s="180">
        <f t="shared" ca="1" si="33"/>
        <v>5.7870356057992893</v>
      </c>
      <c r="DY23" s="180">
        <f t="shared" ca="1" si="33"/>
        <v>5.7870356057992893</v>
      </c>
      <c r="DZ23" s="180">
        <f t="shared" ca="1" si="33"/>
        <v>5.7870356057992893</v>
      </c>
      <c r="EA23" s="180">
        <f t="shared" ca="1" si="33"/>
        <v>5.7870356057992893</v>
      </c>
      <c r="EB23" s="180">
        <f t="shared" ca="1" si="33"/>
        <v>5.7870356057992893</v>
      </c>
      <c r="EC23" s="180">
        <f t="shared" ca="1" si="33"/>
        <v>5.7870356057992893</v>
      </c>
      <c r="ED23" s="180">
        <f t="shared" ca="1" si="33"/>
        <v>5.7870356057992893</v>
      </c>
      <c r="EE23" s="180">
        <f t="shared" ca="1" si="33"/>
        <v>5.7870356057992893</v>
      </c>
      <c r="EF23" s="180">
        <f t="shared" ca="1" si="33"/>
        <v>5.7870356057992893</v>
      </c>
      <c r="EG23" s="180">
        <f t="shared" ref="EG23:EO23" ca="1" si="60">IF($AU28&gt;$BA$19,0,$BA28-$AS28)</f>
        <v>5.7870356057992893</v>
      </c>
      <c r="EH23" s="180">
        <f t="shared" ca="1" si="60"/>
        <v>5.7870356057992893</v>
      </c>
      <c r="EI23" s="180">
        <f t="shared" ca="1" si="60"/>
        <v>5.7870356057992893</v>
      </c>
      <c r="EJ23" s="180">
        <f t="shared" ca="1" si="60"/>
        <v>5.7870356057992893</v>
      </c>
      <c r="EK23" s="180">
        <f t="shared" ca="1" si="60"/>
        <v>5.7870356057992893</v>
      </c>
      <c r="EL23" s="180">
        <f t="shared" ca="1" si="60"/>
        <v>5.7870356057992893</v>
      </c>
      <c r="EM23" s="180">
        <f t="shared" ca="1" si="60"/>
        <v>5.7870356057992893</v>
      </c>
      <c r="EN23" s="180">
        <f t="shared" ca="1" si="60"/>
        <v>5.7870356057992893</v>
      </c>
      <c r="EO23" s="180">
        <f t="shared" ca="1" si="60"/>
        <v>5.7870356057992893</v>
      </c>
      <c r="EP23" s="133"/>
      <c r="EQ23" s="259">
        <f t="shared" ca="1" si="42"/>
        <v>46305</v>
      </c>
      <c r="ER23" s="87">
        <f t="shared" ca="1" si="35"/>
        <v>5.7870356057992893</v>
      </c>
      <c r="ES23" s="87">
        <f t="shared" ca="1" si="35"/>
        <v>5.7870356057992893</v>
      </c>
      <c r="ET23" s="87">
        <f t="shared" ca="1" si="35"/>
        <v>5.7870356057992893</v>
      </c>
      <c r="EU23" s="87">
        <f t="shared" ca="1" si="35"/>
        <v>5.7870356057992893</v>
      </c>
      <c r="EV23" s="87">
        <f t="shared" ca="1" si="35"/>
        <v>5.7870356057992893</v>
      </c>
      <c r="EW23" s="87">
        <f t="shared" ca="1" si="35"/>
        <v>5.7870356057992893</v>
      </c>
      <c r="EX23" s="87">
        <f t="shared" ca="1" si="35"/>
        <v>5.7870356057992893</v>
      </c>
      <c r="EY23" s="87">
        <f t="shared" ca="1" si="35"/>
        <v>5.7870356057992893</v>
      </c>
      <c r="EZ23" s="87">
        <f t="shared" ca="1" si="35"/>
        <v>5.7870356057992893</v>
      </c>
      <c r="FA23" s="87">
        <f t="shared" ca="1" si="35"/>
        <v>5.7870356057992893</v>
      </c>
      <c r="FB23" s="87">
        <f t="shared" ca="1" si="35"/>
        <v>5.7870356057992893</v>
      </c>
      <c r="FC23" s="87">
        <f t="shared" ca="1" si="35"/>
        <v>5.7870356057992893</v>
      </c>
      <c r="FD23" s="87">
        <f t="shared" ca="1" si="35"/>
        <v>5.7870356057992893</v>
      </c>
      <c r="FE23" s="87">
        <f t="shared" ca="1" si="35"/>
        <v>5.7870356057992893</v>
      </c>
      <c r="FF23" s="87">
        <f t="shared" ca="1" si="35"/>
        <v>5.7870356057992893</v>
      </c>
      <c r="FG23" s="87">
        <f t="shared" ca="1" si="36"/>
        <v>5.7870356057992893</v>
      </c>
      <c r="FH23" s="87">
        <f t="shared" ca="1" si="36"/>
        <v>5.7870356057992893</v>
      </c>
      <c r="FI23" s="87">
        <f t="shared" ca="1" si="36"/>
        <v>5.7870356057992893</v>
      </c>
      <c r="FJ23" s="87">
        <f t="shared" ca="1" si="36"/>
        <v>5.7870356057992893</v>
      </c>
      <c r="FK23" s="87">
        <f t="shared" ca="1" si="36"/>
        <v>5.7870356057992893</v>
      </c>
      <c r="FL23" s="87">
        <f t="shared" ca="1" si="36"/>
        <v>5.7870356057992893</v>
      </c>
      <c r="FM23" s="87">
        <f t="shared" ca="1" si="36"/>
        <v>5.7870356057992893</v>
      </c>
      <c r="FN23" s="87">
        <f t="shared" ca="1" si="36"/>
        <v>5.7870356057992893</v>
      </c>
      <c r="FO23" s="87">
        <f t="shared" ca="1" si="36"/>
        <v>5.7870356057992893</v>
      </c>
      <c r="FP23" s="87">
        <f t="shared" ca="1" si="36"/>
        <v>5.7870356057992893</v>
      </c>
      <c r="FQ23" s="133"/>
    </row>
    <row r="24" spans="1:173" s="8" customFormat="1" ht="16.5" thickBot="1" x14ac:dyDescent="0.3">
      <c r="B24" s="662" t="s">
        <v>58</v>
      </c>
      <c r="C24" s="663"/>
      <c r="D24" s="325">
        <f>V17+D25</f>
        <v>91</v>
      </c>
      <c r="E24" s="196">
        <f>VLOOKUP(E8,'Base tabelas'!$A:$T,19,FALSE)-0.03%</f>
        <v>1.41E-2</v>
      </c>
      <c r="F24" s="197"/>
      <c r="G24" s="197"/>
      <c r="H24" s="197"/>
      <c r="I24" s="197"/>
      <c r="J24" s="197"/>
      <c r="K24" s="197"/>
      <c r="L24" s="198"/>
      <c r="M24" s="199"/>
      <c r="N24" s="198"/>
      <c r="O24" s="198"/>
      <c r="P24" s="198"/>
      <c r="Q24" s="197"/>
      <c r="R24" s="197"/>
      <c r="S24" s="197"/>
      <c r="T24" s="199"/>
      <c r="U24" s="184"/>
      <c r="V24" s="184"/>
      <c r="W24" s="133"/>
      <c r="X24" s="133">
        <v>9</v>
      </c>
      <c r="Y24" s="377">
        <f t="shared" ca="1" si="4"/>
        <v>85.212964394200711</v>
      </c>
      <c r="Z24" s="377">
        <f t="shared" si="5"/>
        <v>0</v>
      </c>
      <c r="AA24" s="377">
        <f t="shared" si="6"/>
        <v>0</v>
      </c>
      <c r="AB24" s="377">
        <f t="shared" si="7"/>
        <v>0</v>
      </c>
      <c r="AC24" s="377">
        <f t="shared" si="8"/>
        <v>0</v>
      </c>
      <c r="AD24" s="377">
        <f t="shared" si="9"/>
        <v>0</v>
      </c>
      <c r="AE24" s="377">
        <f t="shared" si="10"/>
        <v>0</v>
      </c>
      <c r="AF24" s="377">
        <f t="shared" si="11"/>
        <v>0</v>
      </c>
      <c r="AG24" s="377">
        <f t="shared" si="12"/>
        <v>0</v>
      </c>
      <c r="AH24" s="377">
        <f t="shared" si="13"/>
        <v>0</v>
      </c>
      <c r="AI24" s="377">
        <f t="shared" si="14"/>
        <v>0</v>
      </c>
      <c r="AJ24" s="377">
        <f t="shared" si="15"/>
        <v>0</v>
      </c>
      <c r="AK24" s="377">
        <f t="shared" si="16"/>
        <v>0</v>
      </c>
      <c r="AL24" s="377">
        <f t="shared" si="17"/>
        <v>0</v>
      </c>
      <c r="AM24" s="377">
        <f t="shared" si="18"/>
        <v>0</v>
      </c>
      <c r="AN24" s="377">
        <f t="shared" si="19"/>
        <v>0</v>
      </c>
      <c r="AO24" s="377">
        <f t="shared" si="20"/>
        <v>0</v>
      </c>
      <c r="AP24" s="133"/>
      <c r="AQ24" s="276">
        <v>1</v>
      </c>
      <c r="AR24" s="279">
        <f ca="1">AS16</f>
        <v>46183</v>
      </c>
      <c r="AS24" s="378">
        <f ca="1">SUM(Y16:AO16)</f>
        <v>85.212964394200711</v>
      </c>
      <c r="AT24" s="276"/>
      <c r="AU24" s="276">
        <v>1</v>
      </c>
      <c r="AV24" s="279">
        <f ca="1">AW16</f>
        <v>46213</v>
      </c>
      <c r="AW24" s="378">
        <f ca="1">IF(AU24&gt;$BA$19,0,BA24-AS24)</f>
        <v>5.7870356057992893</v>
      </c>
      <c r="AX24" s="202">
        <f ca="1">ROUND(AW24/(1+$AW$20)^((AV24-$AV$23)/30),2)</f>
        <v>5.61</v>
      </c>
      <c r="AY24" s="276">
        <v>1</v>
      </c>
      <c r="AZ24" s="279">
        <f ca="1">BA16</f>
        <v>46213</v>
      </c>
      <c r="BA24" s="378">
        <f>IF(AY24&gt;$BA$19,0,$BA$18)</f>
        <v>91</v>
      </c>
      <c r="BB24" s="133"/>
      <c r="BC24" s="258">
        <f t="shared" ref="BC24:BC87" ca="1" si="61">AR24</f>
        <v>46183</v>
      </c>
      <c r="BD24" s="302">
        <f ca="1">IFERROR(VLOOKUP(BC24,$AZ$23:$BA$169,2,FALSE),0)-IFERROR(VLOOKUP(BC24,$AR$23:$AS$167,2,FALSE),0)</f>
        <v>-85.212964394200711</v>
      </c>
      <c r="BE24" s="133">
        <f t="shared" ref="BE24:BE87" si="62">AQ24</f>
        <v>1</v>
      </c>
      <c r="BF24" s="379">
        <f t="shared" ref="BF24:BF87" ca="1" si="63">AR24</f>
        <v>46183</v>
      </c>
      <c r="BG24" s="133">
        <f>IF($BE24&lt;=D$16,D$17,0)</f>
        <v>91</v>
      </c>
      <c r="BH24" s="133">
        <f t="shared" ref="BH24:BW24" si="64">IF($BE24&lt;=E$16,E$17,0)</f>
        <v>0</v>
      </c>
      <c r="BI24" s="133">
        <f t="shared" si="64"/>
        <v>0</v>
      </c>
      <c r="BJ24" s="133">
        <f t="shared" si="64"/>
        <v>0</v>
      </c>
      <c r="BK24" s="133">
        <f t="shared" si="64"/>
        <v>0</v>
      </c>
      <c r="BL24" s="133">
        <f t="shared" si="64"/>
        <v>0</v>
      </c>
      <c r="BM24" s="133">
        <f t="shared" si="64"/>
        <v>0</v>
      </c>
      <c r="BN24" s="133">
        <f t="shared" si="64"/>
        <v>0</v>
      </c>
      <c r="BO24" s="133">
        <f t="shared" si="64"/>
        <v>0</v>
      </c>
      <c r="BP24" s="133">
        <f t="shared" si="64"/>
        <v>0</v>
      </c>
      <c r="BQ24" s="133">
        <f t="shared" si="64"/>
        <v>0</v>
      </c>
      <c r="BR24" s="133">
        <f t="shared" si="64"/>
        <v>0</v>
      </c>
      <c r="BS24" s="133">
        <f t="shared" si="64"/>
        <v>0</v>
      </c>
      <c r="BT24" s="133">
        <f t="shared" si="64"/>
        <v>0</v>
      </c>
      <c r="BU24" s="133">
        <f t="shared" si="64"/>
        <v>0</v>
      </c>
      <c r="BV24" s="133">
        <f t="shared" si="64"/>
        <v>0</v>
      </c>
      <c r="BW24" s="133">
        <f t="shared" si="64"/>
        <v>0</v>
      </c>
      <c r="BX24" s="267" t="s">
        <v>1046</v>
      </c>
      <c r="BY24" s="267">
        <v>1</v>
      </c>
      <c r="BZ24" s="64" t="s">
        <v>568</v>
      </c>
      <c r="CA24" s="267">
        <v>-1</v>
      </c>
      <c r="CB24" s="267"/>
      <c r="CC24" s="267"/>
      <c r="CD24" s="267"/>
      <c r="CE24" s="267"/>
      <c r="CF24" s="267"/>
      <c r="CG24" s="267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8">
        <v>6</v>
      </c>
      <c r="CT24" s="259">
        <f t="shared" ca="1" si="29"/>
        <v>46366</v>
      </c>
      <c r="CU24" s="179">
        <f t="shared" ref="CU24:DC24" ca="1" si="65">(($AW29/(1+CU$18)^(($AZ29-$AZ$23)/30)))+($AS29/(1+CU$18)^(($AZ29-$AZ$23)/30))</f>
        <v>80.33528997496235</v>
      </c>
      <c r="CV24" s="179">
        <f t="shared" ca="1" si="65"/>
        <v>80.603982845171103</v>
      </c>
      <c r="CW24" s="179">
        <f t="shared" ca="1" si="65"/>
        <v>80.76569332882913</v>
      </c>
      <c r="CX24" s="179">
        <f t="shared" ca="1" si="65"/>
        <v>80.927776061601051</v>
      </c>
      <c r="CY24" s="179">
        <f t="shared" ca="1" si="65"/>
        <v>81.090232010529135</v>
      </c>
      <c r="CZ24" s="179">
        <f t="shared" ca="1" si="65"/>
        <v>81.253062145453825</v>
      </c>
      <c r="DA24" s="179">
        <f t="shared" ca="1" si="65"/>
        <v>81.361823930050534</v>
      </c>
      <c r="DB24" s="179">
        <f t="shared" ca="1" si="65"/>
        <v>81.579848866702378</v>
      </c>
      <c r="DC24" s="179">
        <f t="shared" ca="1" si="65"/>
        <v>81.689112598205412</v>
      </c>
      <c r="DD24" s="179">
        <f t="shared" ref="DD24:DI24" ca="1" si="66">(($AW29/(1+DD$18)^(($AZ29-$AZ$23)/30)))+($AS29/(1+DD$18)^(($AZ29-$AZ$23)/30))</f>
        <v>81.798544225724115</v>
      </c>
      <c r="DE24" s="179">
        <f t="shared" ca="1" si="66"/>
        <v>81.908144040382709</v>
      </c>
      <c r="DF24" s="179" t="e">
        <f t="shared" ca="1" si="66"/>
        <v>#VALUE!</v>
      </c>
      <c r="DG24" s="179" t="e">
        <f t="shared" ca="1" si="66"/>
        <v>#VALUE!</v>
      </c>
      <c r="DH24" s="179" t="e">
        <f t="shared" ca="1" si="66"/>
        <v>#VALUE!</v>
      </c>
      <c r="DI24" s="179" t="e">
        <f t="shared" ca="1" si="66"/>
        <v>#VALUE!</v>
      </c>
      <c r="DJ24" s="179" t="e">
        <f t="shared" ref="DJ24:DQ24" ca="1" si="67">(($AW29/(1+DJ$18)^(($AZ29-$AZ$23)/30)))+($AS29/(1+DJ$18)^(($AZ29-$AZ$23)/30))</f>
        <v>#VALUE!</v>
      </c>
      <c r="DK24" s="179" t="e">
        <f t="shared" ca="1" si="67"/>
        <v>#VALUE!</v>
      </c>
      <c r="DL24" s="179" t="e">
        <f t="shared" ca="1" si="67"/>
        <v>#VALUE!</v>
      </c>
      <c r="DM24" s="179" t="e">
        <f t="shared" ca="1" si="67"/>
        <v>#VALUE!</v>
      </c>
      <c r="DN24" s="179" t="e">
        <f t="shared" ca="1" si="67"/>
        <v>#VALUE!</v>
      </c>
      <c r="DO24" s="179" t="e">
        <f t="shared" ca="1" si="67"/>
        <v>#VALUE!</v>
      </c>
      <c r="DP24" s="179" t="e">
        <f t="shared" ca="1" si="67"/>
        <v>#VALUE!</v>
      </c>
      <c r="DQ24" s="179" t="e">
        <f t="shared" ca="1" si="67"/>
        <v>#VALUE!</v>
      </c>
      <c r="DR24" s="180">
        <f t="shared" ca="1" si="40"/>
        <v>5.7870356057992893</v>
      </c>
      <c r="DS24" s="180">
        <f t="shared" ca="1" si="33"/>
        <v>5.7870356057992893</v>
      </c>
      <c r="DT24" s="180">
        <f t="shared" ca="1" si="33"/>
        <v>5.7870356057992893</v>
      </c>
      <c r="DU24" s="180">
        <f t="shared" ca="1" si="33"/>
        <v>5.7870356057992893</v>
      </c>
      <c r="DV24" s="180">
        <f t="shared" ca="1" si="33"/>
        <v>5.7870356057992893</v>
      </c>
      <c r="DW24" s="180">
        <f t="shared" ca="1" si="33"/>
        <v>5.7870356057992893</v>
      </c>
      <c r="DX24" s="180">
        <f t="shared" ca="1" si="33"/>
        <v>5.7870356057992893</v>
      </c>
      <c r="DY24" s="180">
        <f t="shared" ca="1" si="33"/>
        <v>5.7870356057992893</v>
      </c>
      <c r="DZ24" s="180">
        <f t="shared" ca="1" si="33"/>
        <v>5.7870356057992893</v>
      </c>
      <c r="EA24" s="180">
        <f t="shared" ca="1" si="33"/>
        <v>5.7870356057992893</v>
      </c>
      <c r="EB24" s="180">
        <f t="shared" ca="1" si="33"/>
        <v>5.7870356057992893</v>
      </c>
      <c r="EC24" s="180">
        <f t="shared" ca="1" si="33"/>
        <v>5.7870356057992893</v>
      </c>
      <c r="ED24" s="180">
        <f t="shared" ca="1" si="33"/>
        <v>5.7870356057992893</v>
      </c>
      <c r="EE24" s="180">
        <f t="shared" ca="1" si="33"/>
        <v>5.7870356057992893</v>
      </c>
      <c r="EF24" s="180">
        <f t="shared" ca="1" si="33"/>
        <v>5.7870356057992893</v>
      </c>
      <c r="EG24" s="180">
        <f t="shared" ref="EG24:EO24" ca="1" si="68">IF($AU29&gt;$BA$19,0,$BA29-$AS29)</f>
        <v>5.7870356057992893</v>
      </c>
      <c r="EH24" s="180">
        <f t="shared" ca="1" si="68"/>
        <v>5.7870356057992893</v>
      </c>
      <c r="EI24" s="180">
        <f t="shared" ca="1" si="68"/>
        <v>5.7870356057992893</v>
      </c>
      <c r="EJ24" s="180">
        <f t="shared" ca="1" si="68"/>
        <v>5.7870356057992893</v>
      </c>
      <c r="EK24" s="180">
        <f t="shared" ca="1" si="68"/>
        <v>5.7870356057992893</v>
      </c>
      <c r="EL24" s="180">
        <f t="shared" ca="1" si="68"/>
        <v>5.7870356057992893</v>
      </c>
      <c r="EM24" s="180">
        <f t="shared" ca="1" si="68"/>
        <v>5.7870356057992893</v>
      </c>
      <c r="EN24" s="180">
        <f t="shared" ca="1" si="68"/>
        <v>5.7870356057992893</v>
      </c>
      <c r="EO24" s="180">
        <f t="shared" ca="1" si="68"/>
        <v>5.7870356057992893</v>
      </c>
      <c r="EP24" s="133"/>
      <c r="EQ24" s="259">
        <f t="shared" ca="1" si="42"/>
        <v>46336</v>
      </c>
      <c r="ER24" s="87">
        <f t="shared" ca="1" si="35"/>
        <v>5.7870356057992893</v>
      </c>
      <c r="ES24" s="87">
        <f t="shared" ca="1" si="35"/>
        <v>5.7870356057992893</v>
      </c>
      <c r="ET24" s="87">
        <f t="shared" ca="1" si="35"/>
        <v>5.7870356057992893</v>
      </c>
      <c r="EU24" s="87">
        <f t="shared" ca="1" si="35"/>
        <v>5.7870356057992893</v>
      </c>
      <c r="EV24" s="87">
        <f t="shared" ca="1" si="35"/>
        <v>5.7870356057992893</v>
      </c>
      <c r="EW24" s="87">
        <f t="shared" ca="1" si="35"/>
        <v>5.7870356057992893</v>
      </c>
      <c r="EX24" s="87">
        <f t="shared" ca="1" si="35"/>
        <v>5.7870356057992893</v>
      </c>
      <c r="EY24" s="87">
        <f t="shared" ca="1" si="35"/>
        <v>5.7870356057992893</v>
      </c>
      <c r="EZ24" s="87">
        <f t="shared" ca="1" si="35"/>
        <v>5.7870356057992893</v>
      </c>
      <c r="FA24" s="87">
        <f t="shared" ca="1" si="35"/>
        <v>5.7870356057992893</v>
      </c>
      <c r="FB24" s="87">
        <f t="shared" ca="1" si="35"/>
        <v>5.7870356057992893</v>
      </c>
      <c r="FC24" s="87">
        <f t="shared" ca="1" si="35"/>
        <v>5.7870356057992893</v>
      </c>
      <c r="FD24" s="87">
        <f t="shared" ca="1" si="35"/>
        <v>5.7870356057992893</v>
      </c>
      <c r="FE24" s="87">
        <f t="shared" ca="1" si="35"/>
        <v>5.7870356057992893</v>
      </c>
      <c r="FF24" s="87">
        <f t="shared" ca="1" si="35"/>
        <v>5.7870356057992893</v>
      </c>
      <c r="FG24" s="87">
        <f t="shared" ca="1" si="36"/>
        <v>5.7870356057992893</v>
      </c>
      <c r="FH24" s="87">
        <f t="shared" ca="1" si="36"/>
        <v>5.7870356057992893</v>
      </c>
      <c r="FI24" s="87">
        <f t="shared" ca="1" si="36"/>
        <v>5.7870356057992893</v>
      </c>
      <c r="FJ24" s="87">
        <f t="shared" ca="1" si="36"/>
        <v>5.7870356057992893</v>
      </c>
      <c r="FK24" s="87">
        <f t="shared" ca="1" si="36"/>
        <v>5.7870356057992893</v>
      </c>
      <c r="FL24" s="87">
        <f t="shared" ca="1" si="36"/>
        <v>5.7870356057992893</v>
      </c>
      <c r="FM24" s="87">
        <f t="shared" ca="1" si="36"/>
        <v>5.7870356057992893</v>
      </c>
      <c r="FN24" s="87">
        <f t="shared" ca="1" si="36"/>
        <v>5.7870356057992893</v>
      </c>
      <c r="FO24" s="87">
        <f t="shared" ca="1" si="36"/>
        <v>5.7870356057992893</v>
      </c>
      <c r="FP24" s="87">
        <f t="shared" ca="1" si="36"/>
        <v>5.7870356057992893</v>
      </c>
      <c r="FQ24" s="133"/>
    </row>
    <row r="25" spans="1:173" s="8" customFormat="1" ht="16.5" thickBot="1" x14ac:dyDescent="0.3">
      <c r="B25" s="662" t="s">
        <v>57</v>
      </c>
      <c r="C25" s="663"/>
      <c r="D25" s="44"/>
      <c r="E25" s="196"/>
      <c r="F25" s="197"/>
      <c r="G25" s="197"/>
      <c r="H25" s="197"/>
      <c r="I25" s="197"/>
      <c r="J25" s="197"/>
      <c r="K25" s="197"/>
      <c r="L25" s="198"/>
      <c r="M25" s="199"/>
      <c r="N25" s="198"/>
      <c r="O25" s="198"/>
      <c r="P25" s="198"/>
      <c r="Q25" s="197"/>
      <c r="R25" s="197"/>
      <c r="S25" s="197"/>
      <c r="T25" s="199"/>
      <c r="U25" s="184"/>
      <c r="V25" s="184"/>
      <c r="W25" s="133"/>
      <c r="X25" s="133">
        <v>10</v>
      </c>
      <c r="Y25" s="377">
        <f t="shared" ca="1" si="4"/>
        <v>85.212964394200711</v>
      </c>
      <c r="Z25" s="377">
        <f t="shared" si="5"/>
        <v>0</v>
      </c>
      <c r="AA25" s="377">
        <f t="shared" si="6"/>
        <v>0</v>
      </c>
      <c r="AB25" s="377">
        <f t="shared" si="7"/>
        <v>0</v>
      </c>
      <c r="AC25" s="377">
        <f t="shared" si="8"/>
        <v>0</v>
      </c>
      <c r="AD25" s="377">
        <f t="shared" si="9"/>
        <v>0</v>
      </c>
      <c r="AE25" s="377">
        <f t="shared" si="10"/>
        <v>0</v>
      </c>
      <c r="AF25" s="377">
        <f t="shared" si="11"/>
        <v>0</v>
      </c>
      <c r="AG25" s="377">
        <f t="shared" si="12"/>
        <v>0</v>
      </c>
      <c r="AH25" s="377">
        <f t="shared" si="13"/>
        <v>0</v>
      </c>
      <c r="AI25" s="377">
        <f t="shared" si="14"/>
        <v>0</v>
      </c>
      <c r="AJ25" s="377">
        <f t="shared" si="15"/>
        <v>0</v>
      </c>
      <c r="AK25" s="377">
        <f t="shared" si="16"/>
        <v>0</v>
      </c>
      <c r="AL25" s="377">
        <f t="shared" si="17"/>
        <v>0</v>
      </c>
      <c r="AM25" s="377">
        <f t="shared" si="18"/>
        <v>0</v>
      </c>
      <c r="AN25" s="377">
        <f t="shared" si="19"/>
        <v>0</v>
      </c>
      <c r="AO25" s="377">
        <f t="shared" si="20"/>
        <v>0</v>
      </c>
      <c r="AP25" s="133"/>
      <c r="AQ25" s="276">
        <v>2</v>
      </c>
      <c r="AR25" s="279">
        <f t="shared" ref="AR25:AR56" ca="1" si="69">EDATE(AR24,1)</f>
        <v>46213</v>
      </c>
      <c r="AS25" s="378">
        <f t="shared" ref="AS25:AS88" ca="1" si="70">SUM(Y17:AO17)</f>
        <v>85.212964394200711</v>
      </c>
      <c r="AT25" s="276"/>
      <c r="AU25" s="276">
        <v>2</v>
      </c>
      <c r="AV25" s="279">
        <f t="shared" ref="AV25:AV56" ca="1" si="71">EDATE(AV24,1)</f>
        <v>46244</v>
      </c>
      <c r="AW25" s="378">
        <f t="shared" ref="AW25:AW88" ca="1" si="72">IF(AU25&gt;$BA$19,0,BA25-AS25)</f>
        <v>5.7870356057992893</v>
      </c>
      <c r="AX25" s="202">
        <f t="shared" ref="AX25:AX88" ca="1" si="73">ROUND(AW25/(1+$AW$20)^((AV25-$AV$23)/30),2)</f>
        <v>5.5</v>
      </c>
      <c r="AY25" s="276">
        <v>2</v>
      </c>
      <c r="AZ25" s="279">
        <f t="shared" ref="AZ25:AZ56" ca="1" si="74">EDATE(AZ24,1)</f>
        <v>46244</v>
      </c>
      <c r="BA25" s="378">
        <f t="shared" ref="BA25:BA88" si="75">IF(AY25&gt;$BA$19,0,$BA$18)</f>
        <v>91</v>
      </c>
      <c r="BB25" s="133"/>
      <c r="BC25" s="258">
        <f t="shared" ca="1" si="61"/>
        <v>46213</v>
      </c>
      <c r="BD25" s="302">
        <f t="shared" ref="BD25:BD88" ca="1" si="76">IFERROR(VLOOKUP(BC25,$AZ$23:$BA$169,2,FALSE),0)-IFERROR(VLOOKUP(BC25,$AR$23:$AS$167,2,FALSE),0)</f>
        <v>5.7870356057992893</v>
      </c>
      <c r="BE25" s="133">
        <f t="shared" si="62"/>
        <v>2</v>
      </c>
      <c r="BF25" s="379">
        <f t="shared" ca="1" si="63"/>
        <v>46213</v>
      </c>
      <c r="BG25" s="133">
        <f t="shared" ref="BG25:BG88" si="77">IF($BE25&lt;=D$16,D$17,0)</f>
        <v>91</v>
      </c>
      <c r="BH25" s="133">
        <f t="shared" ref="BH25:BH88" si="78">IF($BE25&lt;=E$16,E$17,0)</f>
        <v>0</v>
      </c>
      <c r="BI25" s="133">
        <f t="shared" ref="BI25:BI88" si="79">IF($BE25&lt;=F$16,F$17,0)</f>
        <v>0</v>
      </c>
      <c r="BJ25" s="133">
        <f t="shared" ref="BJ25:BJ88" si="80">IF($BE25&lt;=G$16,G$17,0)</f>
        <v>0</v>
      </c>
      <c r="BK25" s="133">
        <f t="shared" ref="BK25:BK88" si="81">IF($BE25&lt;=H$16,H$17,0)</f>
        <v>0</v>
      </c>
      <c r="BL25" s="133">
        <f t="shared" ref="BL25:BL88" si="82">IF($BE25&lt;=I$16,I$17,0)</f>
        <v>0</v>
      </c>
      <c r="BM25" s="133">
        <f t="shared" ref="BM25:BM88" si="83">IF($BE25&lt;=J$16,J$17,0)</f>
        <v>0</v>
      </c>
      <c r="BN25" s="133">
        <f t="shared" ref="BN25:BN88" si="84">IF($BE25&lt;=K$16,K$17,0)</f>
        <v>0</v>
      </c>
      <c r="BO25" s="133">
        <f t="shared" ref="BO25:BO88" si="85">IF($BE25&lt;=L$16,L$17,0)</f>
        <v>0</v>
      </c>
      <c r="BP25" s="133">
        <f t="shared" ref="BP25:BP88" si="86">IF($BE25&lt;=M$16,M$17,0)</f>
        <v>0</v>
      </c>
      <c r="BQ25" s="133">
        <f t="shared" ref="BQ25:BQ88" si="87">IF($BE25&lt;=N$16,N$17,0)</f>
        <v>0</v>
      </c>
      <c r="BR25" s="133">
        <f t="shared" ref="BR25:BR88" si="88">IF($BE25&lt;=O$16,O$17,0)</f>
        <v>0</v>
      </c>
      <c r="BS25" s="133">
        <f t="shared" ref="BS25:BS88" si="89">IF($BE25&lt;=P$16,P$17,0)</f>
        <v>0</v>
      </c>
      <c r="BT25" s="133">
        <f t="shared" ref="BT25:BT88" si="90">IF($BE25&lt;=Q$16,Q$17,0)</f>
        <v>0</v>
      </c>
      <c r="BU25" s="133">
        <f t="shared" ref="BU25:BU88" si="91">IF($BE25&lt;=R$16,R$17,0)</f>
        <v>0</v>
      </c>
      <c r="BV25" s="133">
        <f t="shared" ref="BV25:BV88" si="92">IF($BE25&lt;=S$16,S$17,0)</f>
        <v>0</v>
      </c>
      <c r="BW25" s="133">
        <f t="shared" ref="BW25:BW88" si="93">IF($BE25&lt;=T$16,T$17,0)</f>
        <v>0</v>
      </c>
      <c r="BX25" s="267"/>
      <c r="BY25" s="267"/>
      <c r="BZ25" s="267"/>
      <c r="CA25" s="267"/>
      <c r="CB25" s="267"/>
      <c r="CC25" s="267"/>
      <c r="CD25" s="267"/>
      <c r="CE25" s="267"/>
      <c r="CF25" s="267"/>
      <c r="CG25" s="267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87">
        <v>7</v>
      </c>
      <c r="CT25" s="259">
        <f t="shared" ca="1" si="29"/>
        <v>46397</v>
      </c>
      <c r="CU25" s="179">
        <f t="shared" ref="CU25:DC25" ca="1" si="94">(($AW30/(1+CU$18)^(($AZ30-$AZ$23)/30)))+($AS30/(1+CU$18)^(($AZ30-$AZ$23)/30))</f>
        <v>78.827901369536391</v>
      </c>
      <c r="CV25" s="179">
        <f t="shared" ca="1" si="94"/>
        <v>79.131694314656585</v>
      </c>
      <c r="CW25" s="179">
        <f t="shared" ca="1" si="94"/>
        <v>79.314603700927478</v>
      </c>
      <c r="CX25" s="179">
        <f t="shared" ca="1" si="94"/>
        <v>79.497989987591879</v>
      </c>
      <c r="CY25" s="179">
        <f t="shared" ca="1" si="94"/>
        <v>79.681854559247952</v>
      </c>
      <c r="CZ25" s="179">
        <f t="shared" ca="1" si="94"/>
        <v>79.866198804923428</v>
      </c>
      <c r="DA25" s="179">
        <f t="shared" ca="1" si="94"/>
        <v>79.989362142225204</v>
      </c>
      <c r="DB25" s="179">
        <f t="shared" ca="1" si="94"/>
        <v>80.23633189668854</v>
      </c>
      <c r="DC25" s="179">
        <f t="shared" ca="1" si="94"/>
        <v>80.360139144465791</v>
      </c>
      <c r="DD25" s="179">
        <f t="shared" ref="DD25:DI25" ca="1" si="95">(($AW30/(1+DD$18)^(($AZ30-$AZ$23)/30)))+($AS30/(1+DD$18)^(($AZ30-$AZ$23)/30))</f>
        <v>80.484161861161425</v>
      </c>
      <c r="DE25" s="179">
        <f t="shared" ca="1" si="95"/>
        <v>80.608400464302846</v>
      </c>
      <c r="DF25" s="179" t="e">
        <f t="shared" ca="1" si="95"/>
        <v>#VALUE!</v>
      </c>
      <c r="DG25" s="179" t="e">
        <f t="shared" ca="1" si="95"/>
        <v>#VALUE!</v>
      </c>
      <c r="DH25" s="179" t="e">
        <f t="shared" ca="1" si="95"/>
        <v>#VALUE!</v>
      </c>
      <c r="DI25" s="179" t="e">
        <f t="shared" ca="1" si="95"/>
        <v>#VALUE!</v>
      </c>
      <c r="DJ25" s="179" t="e">
        <f t="shared" ref="DJ25:DQ25" ca="1" si="96">(($AW30/(1+DJ$18)^(($AZ30-$AZ$23)/30)))+($AS30/(1+DJ$18)^(($AZ30-$AZ$23)/30))</f>
        <v>#VALUE!</v>
      </c>
      <c r="DK25" s="179" t="e">
        <f t="shared" ca="1" si="96"/>
        <v>#VALUE!</v>
      </c>
      <c r="DL25" s="179" t="e">
        <f t="shared" ca="1" si="96"/>
        <v>#VALUE!</v>
      </c>
      <c r="DM25" s="179" t="e">
        <f t="shared" ca="1" si="96"/>
        <v>#VALUE!</v>
      </c>
      <c r="DN25" s="179" t="e">
        <f t="shared" ca="1" si="96"/>
        <v>#VALUE!</v>
      </c>
      <c r="DO25" s="179" t="e">
        <f t="shared" ca="1" si="96"/>
        <v>#VALUE!</v>
      </c>
      <c r="DP25" s="179" t="e">
        <f t="shared" ca="1" si="96"/>
        <v>#VALUE!</v>
      </c>
      <c r="DQ25" s="179" t="e">
        <f t="shared" ca="1" si="96"/>
        <v>#VALUE!</v>
      </c>
      <c r="DR25" s="180">
        <f t="shared" ca="1" si="40"/>
        <v>5.7870356057992893</v>
      </c>
      <c r="DS25" s="180">
        <f t="shared" ca="1" si="33"/>
        <v>5.7870356057992893</v>
      </c>
      <c r="DT25" s="180">
        <f t="shared" ca="1" si="33"/>
        <v>5.7870356057992893</v>
      </c>
      <c r="DU25" s="180">
        <f t="shared" ca="1" si="33"/>
        <v>5.7870356057992893</v>
      </c>
      <c r="DV25" s="180">
        <f t="shared" ca="1" si="33"/>
        <v>5.7870356057992893</v>
      </c>
      <c r="DW25" s="180">
        <f t="shared" ca="1" si="33"/>
        <v>5.7870356057992893</v>
      </c>
      <c r="DX25" s="180">
        <f t="shared" ca="1" si="33"/>
        <v>5.7870356057992893</v>
      </c>
      <c r="DY25" s="180">
        <f t="shared" ca="1" si="33"/>
        <v>5.7870356057992893</v>
      </c>
      <c r="DZ25" s="180">
        <f t="shared" ca="1" si="33"/>
        <v>5.7870356057992893</v>
      </c>
      <c r="EA25" s="180">
        <f t="shared" ca="1" si="33"/>
        <v>5.7870356057992893</v>
      </c>
      <c r="EB25" s="180">
        <f t="shared" ca="1" si="33"/>
        <v>5.7870356057992893</v>
      </c>
      <c r="EC25" s="180">
        <f t="shared" ca="1" si="33"/>
        <v>5.7870356057992893</v>
      </c>
      <c r="ED25" s="180">
        <f t="shared" ca="1" si="33"/>
        <v>5.7870356057992893</v>
      </c>
      <c r="EE25" s="180">
        <f t="shared" ca="1" si="33"/>
        <v>5.7870356057992893</v>
      </c>
      <c r="EF25" s="180">
        <f t="shared" ca="1" si="33"/>
        <v>5.7870356057992893</v>
      </c>
      <c r="EG25" s="180">
        <f t="shared" ref="EG25:EO25" ca="1" si="97">IF($AU30&gt;$BA$19,0,$BA30-$AS30)</f>
        <v>5.7870356057992893</v>
      </c>
      <c r="EH25" s="180">
        <f t="shared" ca="1" si="97"/>
        <v>5.7870356057992893</v>
      </c>
      <c r="EI25" s="180">
        <f t="shared" ca="1" si="97"/>
        <v>5.7870356057992893</v>
      </c>
      <c r="EJ25" s="180">
        <f t="shared" ca="1" si="97"/>
        <v>5.7870356057992893</v>
      </c>
      <c r="EK25" s="180">
        <f t="shared" ca="1" si="97"/>
        <v>5.7870356057992893</v>
      </c>
      <c r="EL25" s="180">
        <f t="shared" ca="1" si="97"/>
        <v>5.7870356057992893</v>
      </c>
      <c r="EM25" s="180">
        <f t="shared" ca="1" si="97"/>
        <v>5.7870356057992893</v>
      </c>
      <c r="EN25" s="180">
        <f t="shared" ca="1" si="97"/>
        <v>5.7870356057992893</v>
      </c>
      <c r="EO25" s="180">
        <f t="shared" ca="1" si="97"/>
        <v>5.7870356057992893</v>
      </c>
      <c r="EP25" s="133"/>
      <c r="EQ25" s="259">
        <f t="shared" ca="1" si="42"/>
        <v>46366</v>
      </c>
      <c r="ER25" s="87">
        <f t="shared" ca="1" si="35"/>
        <v>5.7870356057992893</v>
      </c>
      <c r="ES25" s="87">
        <f t="shared" ca="1" si="35"/>
        <v>5.7870356057992893</v>
      </c>
      <c r="ET25" s="87">
        <f t="shared" ca="1" si="35"/>
        <v>5.7870356057992893</v>
      </c>
      <c r="EU25" s="87">
        <f t="shared" ca="1" si="35"/>
        <v>5.7870356057992893</v>
      </c>
      <c r="EV25" s="87">
        <f t="shared" ca="1" si="35"/>
        <v>5.7870356057992893</v>
      </c>
      <c r="EW25" s="87">
        <f t="shared" ca="1" si="35"/>
        <v>5.7870356057992893</v>
      </c>
      <c r="EX25" s="87">
        <f t="shared" ca="1" si="35"/>
        <v>5.7870356057992893</v>
      </c>
      <c r="EY25" s="87">
        <f t="shared" ca="1" si="35"/>
        <v>5.7870356057992893</v>
      </c>
      <c r="EZ25" s="87">
        <f t="shared" ca="1" si="35"/>
        <v>5.7870356057992893</v>
      </c>
      <c r="FA25" s="87">
        <f t="shared" ca="1" si="35"/>
        <v>5.7870356057992893</v>
      </c>
      <c r="FB25" s="87">
        <f t="shared" ca="1" si="35"/>
        <v>5.7870356057992893</v>
      </c>
      <c r="FC25" s="87">
        <f t="shared" ca="1" si="35"/>
        <v>5.7870356057992893</v>
      </c>
      <c r="FD25" s="87">
        <f t="shared" ca="1" si="35"/>
        <v>5.7870356057992893</v>
      </c>
      <c r="FE25" s="87">
        <f t="shared" ca="1" si="35"/>
        <v>5.7870356057992893</v>
      </c>
      <c r="FF25" s="87">
        <f t="shared" ca="1" si="35"/>
        <v>5.7870356057992893</v>
      </c>
      <c r="FG25" s="87">
        <f t="shared" ca="1" si="36"/>
        <v>5.7870356057992893</v>
      </c>
      <c r="FH25" s="87">
        <f t="shared" ca="1" si="36"/>
        <v>5.7870356057992893</v>
      </c>
      <c r="FI25" s="87">
        <f t="shared" ca="1" si="36"/>
        <v>5.7870356057992893</v>
      </c>
      <c r="FJ25" s="87">
        <f t="shared" ca="1" si="36"/>
        <v>5.7870356057992893</v>
      </c>
      <c r="FK25" s="87">
        <f t="shared" ca="1" si="36"/>
        <v>5.7870356057992893</v>
      </c>
      <c r="FL25" s="87">
        <f t="shared" ca="1" si="36"/>
        <v>5.7870356057992893</v>
      </c>
      <c r="FM25" s="87">
        <f t="shared" ca="1" si="36"/>
        <v>5.7870356057992893</v>
      </c>
      <c r="FN25" s="87">
        <f t="shared" ca="1" si="36"/>
        <v>5.7870356057992893</v>
      </c>
      <c r="FO25" s="87">
        <f t="shared" ca="1" si="36"/>
        <v>5.7870356057992893</v>
      </c>
      <c r="FP25" s="87">
        <f t="shared" ca="1" si="36"/>
        <v>5.7870356057992893</v>
      </c>
      <c r="FQ25" s="133"/>
    </row>
    <row r="26" spans="1:173" s="8" customFormat="1" ht="21" customHeight="1" thickBot="1" x14ac:dyDescent="0.3">
      <c r="B26" s="662" t="s">
        <v>28</v>
      </c>
      <c r="C26" s="663"/>
      <c r="D26" s="56">
        <f ca="1">IF(MAX(P28:P37)=0%,BA20,MAX(P28:P37))</f>
        <v>1.8500000000000003E-2</v>
      </c>
      <c r="E26" s="197"/>
      <c r="F26" s="197"/>
      <c r="G26" s="197"/>
      <c r="H26" s="197"/>
      <c r="I26" s="197"/>
      <c r="J26" s="197"/>
      <c r="K26" s="197"/>
      <c r="L26" s="197"/>
      <c r="M26" s="185" t="s">
        <v>358</v>
      </c>
      <c r="N26" s="155"/>
      <c r="O26" s="155"/>
      <c r="P26" s="314"/>
      <c r="Q26" s="310"/>
      <c r="R26" s="133"/>
      <c r="S26" s="133"/>
      <c r="T26" s="133"/>
      <c r="U26" s="133"/>
      <c r="V26" s="187"/>
      <c r="W26" s="187" t="s">
        <v>24</v>
      </c>
      <c r="X26" s="133">
        <v>11</v>
      </c>
      <c r="Y26" s="377">
        <f t="shared" ca="1" si="4"/>
        <v>85.212964394200711</v>
      </c>
      <c r="Z26" s="377">
        <f t="shared" si="5"/>
        <v>0</v>
      </c>
      <c r="AA26" s="377">
        <f t="shared" si="6"/>
        <v>0</v>
      </c>
      <c r="AB26" s="377">
        <f t="shared" si="7"/>
        <v>0</v>
      </c>
      <c r="AC26" s="377">
        <f t="shared" si="8"/>
        <v>0</v>
      </c>
      <c r="AD26" s="377">
        <f t="shared" si="9"/>
        <v>0</v>
      </c>
      <c r="AE26" s="377">
        <f t="shared" si="10"/>
        <v>0</v>
      </c>
      <c r="AF26" s="377">
        <f t="shared" si="11"/>
        <v>0</v>
      </c>
      <c r="AG26" s="377">
        <f t="shared" si="12"/>
        <v>0</v>
      </c>
      <c r="AH26" s="377">
        <f t="shared" si="13"/>
        <v>0</v>
      </c>
      <c r="AI26" s="377">
        <f t="shared" si="14"/>
        <v>0</v>
      </c>
      <c r="AJ26" s="377">
        <f t="shared" si="15"/>
        <v>0</v>
      </c>
      <c r="AK26" s="377">
        <f t="shared" si="16"/>
        <v>0</v>
      </c>
      <c r="AL26" s="377">
        <f t="shared" si="17"/>
        <v>0</v>
      </c>
      <c r="AM26" s="377">
        <f t="shared" si="18"/>
        <v>0</v>
      </c>
      <c r="AN26" s="377">
        <f t="shared" si="19"/>
        <v>0</v>
      </c>
      <c r="AO26" s="377">
        <f t="shared" si="20"/>
        <v>0</v>
      </c>
      <c r="AP26" s="133"/>
      <c r="AQ26" s="276">
        <v>3</v>
      </c>
      <c r="AR26" s="279">
        <f t="shared" ca="1" si="69"/>
        <v>46244</v>
      </c>
      <c r="AS26" s="378">
        <f t="shared" ca="1" si="70"/>
        <v>85.212964394200711</v>
      </c>
      <c r="AT26" s="276"/>
      <c r="AU26" s="276">
        <v>3</v>
      </c>
      <c r="AV26" s="279">
        <f t="shared" ca="1" si="71"/>
        <v>46275</v>
      </c>
      <c r="AW26" s="378">
        <f t="shared" ca="1" si="72"/>
        <v>5.7870356057992893</v>
      </c>
      <c r="AX26" s="202">
        <f t="shared" ca="1" si="73"/>
        <v>5.4</v>
      </c>
      <c r="AY26" s="276">
        <v>3</v>
      </c>
      <c r="AZ26" s="279">
        <f t="shared" ca="1" si="74"/>
        <v>46275</v>
      </c>
      <c r="BA26" s="378">
        <f t="shared" si="75"/>
        <v>91</v>
      </c>
      <c r="BB26" s="133"/>
      <c r="BC26" s="258">
        <f t="shared" ca="1" si="61"/>
        <v>46244</v>
      </c>
      <c r="BD26" s="302">
        <f t="shared" ca="1" si="76"/>
        <v>5.7870356057992893</v>
      </c>
      <c r="BE26" s="133">
        <f t="shared" si="62"/>
        <v>3</v>
      </c>
      <c r="BF26" s="379">
        <f t="shared" ca="1" si="63"/>
        <v>46244</v>
      </c>
      <c r="BG26" s="133">
        <f t="shared" si="77"/>
        <v>91</v>
      </c>
      <c r="BH26" s="133">
        <f t="shared" si="78"/>
        <v>0</v>
      </c>
      <c r="BI26" s="133">
        <f t="shared" si="79"/>
        <v>0</v>
      </c>
      <c r="BJ26" s="133">
        <f t="shared" si="80"/>
        <v>0</v>
      </c>
      <c r="BK26" s="133">
        <f t="shared" si="81"/>
        <v>0</v>
      </c>
      <c r="BL26" s="133">
        <f t="shared" si="82"/>
        <v>0</v>
      </c>
      <c r="BM26" s="133">
        <f t="shared" si="83"/>
        <v>0</v>
      </c>
      <c r="BN26" s="133">
        <f t="shared" si="84"/>
        <v>0</v>
      </c>
      <c r="BO26" s="133">
        <f t="shared" si="85"/>
        <v>0</v>
      </c>
      <c r="BP26" s="133">
        <f t="shared" si="86"/>
        <v>0</v>
      </c>
      <c r="BQ26" s="133">
        <f t="shared" si="87"/>
        <v>0</v>
      </c>
      <c r="BR26" s="133">
        <f t="shared" si="88"/>
        <v>0</v>
      </c>
      <c r="BS26" s="133">
        <f t="shared" si="89"/>
        <v>0</v>
      </c>
      <c r="BT26" s="133">
        <f t="shared" si="90"/>
        <v>0</v>
      </c>
      <c r="BU26" s="133">
        <f t="shared" si="91"/>
        <v>0</v>
      </c>
      <c r="BV26" s="133">
        <f t="shared" si="92"/>
        <v>0</v>
      </c>
      <c r="BW26" s="133">
        <f t="shared" si="93"/>
        <v>0</v>
      </c>
      <c r="BX26" s="267"/>
      <c r="BY26" s="267"/>
      <c r="BZ26" s="267"/>
      <c r="CA26" s="267"/>
      <c r="CB26" s="267"/>
      <c r="CC26" s="267"/>
      <c r="CD26" s="267"/>
      <c r="CE26" s="267"/>
      <c r="CF26" s="267"/>
      <c r="CG26" s="267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78">
        <v>8</v>
      </c>
      <c r="CT26" s="259">
        <f t="shared" ca="1" si="29"/>
        <v>46428</v>
      </c>
      <c r="CU26" s="179">
        <f t="shared" ref="CU26:DC26" ca="1" si="98">(($AW31/(1+CU$18)^(($AZ31-$AZ$23)/30)))+($AS31/(1+CU$18)^(($AZ31-$AZ$23)/30))</f>
        <v>77.348796976546538</v>
      </c>
      <c r="CV26" s="179">
        <f t="shared" ca="1" si="98"/>
        <v>77.686298171348867</v>
      </c>
      <c r="CW26" s="179">
        <f t="shared" ca="1" si="98"/>
        <v>77.889585304775551</v>
      </c>
      <c r="CX26" s="179">
        <f t="shared" ca="1" si="98"/>
        <v>78.093464563472267</v>
      </c>
      <c r="CY26" s="179">
        <f t="shared" ca="1" si="98"/>
        <v>78.297937847517005</v>
      </c>
      <c r="CZ26" s="179">
        <f t="shared" ca="1" si="98"/>
        <v>78.503007063647544</v>
      </c>
      <c r="DA26" s="179">
        <f t="shared" ca="1" si="98"/>
        <v>78.640051892406959</v>
      </c>
      <c r="DB26" s="179">
        <f t="shared" ca="1" si="98"/>
        <v>78.914940952571925</v>
      </c>
      <c r="DC26" s="179">
        <f t="shared" ca="1" si="98"/>
        <v>79.052786325160412</v>
      </c>
      <c r="DD26" s="179">
        <f t="shared" ref="DD26:DI26" ca="1" si="99">(($AW31/(1+DD$18)^(($AZ31-$AZ$23)/30)))+($AS31/(1+DD$18)^(($AZ31-$AZ$23)/30))</f>
        <v>79.190899689098842</v>
      </c>
      <c r="DE26" s="179">
        <f t="shared" ca="1" si="99"/>
        <v>79.329281618319726</v>
      </c>
      <c r="DF26" s="179" t="e">
        <f t="shared" ca="1" si="99"/>
        <v>#VALUE!</v>
      </c>
      <c r="DG26" s="179" t="e">
        <f t="shared" ca="1" si="99"/>
        <v>#VALUE!</v>
      </c>
      <c r="DH26" s="179" t="e">
        <f t="shared" ca="1" si="99"/>
        <v>#VALUE!</v>
      </c>
      <c r="DI26" s="179" t="e">
        <f t="shared" ca="1" si="99"/>
        <v>#VALUE!</v>
      </c>
      <c r="DJ26" s="179" t="e">
        <f t="shared" ref="DJ26:DQ26" ca="1" si="100">(($AW31/(1+DJ$18)^(($AZ31-$AZ$23)/30)))+($AS31/(1+DJ$18)^(($AZ31-$AZ$23)/30))</f>
        <v>#VALUE!</v>
      </c>
      <c r="DK26" s="179" t="e">
        <f t="shared" ca="1" si="100"/>
        <v>#VALUE!</v>
      </c>
      <c r="DL26" s="179" t="e">
        <f t="shared" ca="1" si="100"/>
        <v>#VALUE!</v>
      </c>
      <c r="DM26" s="179" t="e">
        <f t="shared" ca="1" si="100"/>
        <v>#VALUE!</v>
      </c>
      <c r="DN26" s="179" t="e">
        <f t="shared" ca="1" si="100"/>
        <v>#VALUE!</v>
      </c>
      <c r="DO26" s="179" t="e">
        <f t="shared" ca="1" si="100"/>
        <v>#VALUE!</v>
      </c>
      <c r="DP26" s="179" t="e">
        <f t="shared" ca="1" si="100"/>
        <v>#VALUE!</v>
      </c>
      <c r="DQ26" s="179" t="e">
        <f t="shared" ca="1" si="100"/>
        <v>#VALUE!</v>
      </c>
      <c r="DR26" s="180">
        <f t="shared" ca="1" si="40"/>
        <v>5.7870356057992893</v>
      </c>
      <c r="DS26" s="180">
        <f t="shared" ca="1" si="33"/>
        <v>5.7870356057992893</v>
      </c>
      <c r="DT26" s="180">
        <f t="shared" ca="1" si="33"/>
        <v>5.7870356057992893</v>
      </c>
      <c r="DU26" s="180">
        <f t="shared" ca="1" si="33"/>
        <v>5.7870356057992893</v>
      </c>
      <c r="DV26" s="180">
        <f t="shared" ca="1" si="33"/>
        <v>5.7870356057992893</v>
      </c>
      <c r="DW26" s="180">
        <f t="shared" ca="1" si="33"/>
        <v>5.7870356057992893</v>
      </c>
      <c r="DX26" s="180">
        <f t="shared" ca="1" si="33"/>
        <v>5.7870356057992893</v>
      </c>
      <c r="DY26" s="180">
        <f t="shared" ca="1" si="33"/>
        <v>5.7870356057992893</v>
      </c>
      <c r="DZ26" s="180">
        <f t="shared" ca="1" si="33"/>
        <v>5.7870356057992893</v>
      </c>
      <c r="EA26" s="180">
        <f t="shared" ca="1" si="33"/>
        <v>5.7870356057992893</v>
      </c>
      <c r="EB26" s="180">
        <f t="shared" ca="1" si="33"/>
        <v>5.7870356057992893</v>
      </c>
      <c r="EC26" s="180">
        <f t="shared" ca="1" si="33"/>
        <v>5.7870356057992893</v>
      </c>
      <c r="ED26" s="180">
        <f t="shared" ca="1" si="33"/>
        <v>5.7870356057992893</v>
      </c>
      <c r="EE26" s="180">
        <f t="shared" ca="1" si="33"/>
        <v>5.7870356057992893</v>
      </c>
      <c r="EF26" s="180">
        <f t="shared" ca="1" si="33"/>
        <v>5.7870356057992893</v>
      </c>
      <c r="EG26" s="180">
        <f t="shared" ref="EG26:EO26" ca="1" si="101">IF($AU31&gt;$BA$19,0,$BA31-$AS31)</f>
        <v>5.7870356057992893</v>
      </c>
      <c r="EH26" s="180">
        <f t="shared" ca="1" si="101"/>
        <v>5.7870356057992893</v>
      </c>
      <c r="EI26" s="180">
        <f t="shared" ca="1" si="101"/>
        <v>5.7870356057992893</v>
      </c>
      <c r="EJ26" s="180">
        <f t="shared" ca="1" si="101"/>
        <v>5.7870356057992893</v>
      </c>
      <c r="EK26" s="180">
        <f t="shared" ca="1" si="101"/>
        <v>5.7870356057992893</v>
      </c>
      <c r="EL26" s="180">
        <f t="shared" ca="1" si="101"/>
        <v>5.7870356057992893</v>
      </c>
      <c r="EM26" s="180">
        <f t="shared" ca="1" si="101"/>
        <v>5.7870356057992893</v>
      </c>
      <c r="EN26" s="180">
        <f t="shared" ca="1" si="101"/>
        <v>5.7870356057992893</v>
      </c>
      <c r="EO26" s="180">
        <f t="shared" ca="1" si="101"/>
        <v>5.7870356057992893</v>
      </c>
      <c r="EP26" s="133"/>
      <c r="EQ26" s="259">
        <f t="shared" ca="1" si="42"/>
        <v>46397</v>
      </c>
      <c r="ER26" s="87">
        <f t="shared" ca="1" si="35"/>
        <v>5.7870356057992893</v>
      </c>
      <c r="ES26" s="87">
        <f t="shared" ca="1" si="35"/>
        <v>5.7870356057992893</v>
      </c>
      <c r="ET26" s="87">
        <f t="shared" ca="1" si="35"/>
        <v>5.7870356057992893</v>
      </c>
      <c r="EU26" s="87">
        <f t="shared" ca="1" si="35"/>
        <v>5.7870356057992893</v>
      </c>
      <c r="EV26" s="87">
        <f t="shared" ca="1" si="35"/>
        <v>5.7870356057992893</v>
      </c>
      <c r="EW26" s="87">
        <f t="shared" ca="1" si="35"/>
        <v>5.7870356057992893</v>
      </c>
      <c r="EX26" s="87">
        <f t="shared" ca="1" si="35"/>
        <v>5.7870356057992893</v>
      </c>
      <c r="EY26" s="87">
        <f t="shared" ca="1" si="35"/>
        <v>5.7870356057992893</v>
      </c>
      <c r="EZ26" s="87">
        <f t="shared" ca="1" si="35"/>
        <v>5.7870356057992893</v>
      </c>
      <c r="FA26" s="87">
        <f t="shared" ca="1" si="35"/>
        <v>5.7870356057992893</v>
      </c>
      <c r="FB26" s="87">
        <f t="shared" ca="1" si="35"/>
        <v>5.7870356057992893</v>
      </c>
      <c r="FC26" s="87">
        <f t="shared" ca="1" si="35"/>
        <v>5.7870356057992893</v>
      </c>
      <c r="FD26" s="87">
        <f t="shared" ca="1" si="35"/>
        <v>5.7870356057992893</v>
      </c>
      <c r="FE26" s="87">
        <f t="shared" ca="1" si="35"/>
        <v>5.7870356057992893</v>
      </c>
      <c r="FF26" s="87">
        <f t="shared" ca="1" si="35"/>
        <v>5.7870356057992893</v>
      </c>
      <c r="FG26" s="87">
        <f t="shared" ca="1" si="36"/>
        <v>5.7870356057992893</v>
      </c>
      <c r="FH26" s="87">
        <f t="shared" ca="1" si="36"/>
        <v>5.7870356057992893</v>
      </c>
      <c r="FI26" s="87">
        <f t="shared" ca="1" si="36"/>
        <v>5.7870356057992893</v>
      </c>
      <c r="FJ26" s="87">
        <f t="shared" ca="1" si="36"/>
        <v>5.7870356057992893</v>
      </c>
      <c r="FK26" s="87">
        <f t="shared" ca="1" si="36"/>
        <v>5.7870356057992893</v>
      </c>
      <c r="FL26" s="87">
        <f t="shared" ca="1" si="36"/>
        <v>5.7870356057992893</v>
      </c>
      <c r="FM26" s="87">
        <f t="shared" ca="1" si="36"/>
        <v>5.7870356057992893</v>
      </c>
      <c r="FN26" s="87">
        <f t="shared" ca="1" si="36"/>
        <v>5.7870356057992893</v>
      </c>
      <c r="FO26" s="87">
        <f t="shared" ca="1" si="36"/>
        <v>5.7870356057992893</v>
      </c>
      <c r="FP26" s="87">
        <f t="shared" ca="1" si="36"/>
        <v>5.7870356057992893</v>
      </c>
      <c r="FQ26" s="133"/>
    </row>
    <row r="27" spans="1:173" customFormat="1" ht="39.75" customHeight="1" thickBot="1" x14ac:dyDescent="0.3">
      <c r="A27" s="133" t="str">
        <f t="shared" ref="A27:A34" si="102">IF(E8="AERONAUTICA - ESPECIAL",IF(J28&gt;=99999,"SIM","NÃO"),"NÃO")</f>
        <v>NÃO</v>
      </c>
      <c r="B27" s="625" t="s">
        <v>474</v>
      </c>
      <c r="C27" s="664"/>
      <c r="D27" s="24" t="s">
        <v>34</v>
      </c>
      <c r="E27" s="630" t="s">
        <v>3</v>
      </c>
      <c r="F27" s="631"/>
      <c r="G27" s="632"/>
      <c r="H27" s="41" t="s">
        <v>35</v>
      </c>
      <c r="I27" s="41" t="s">
        <v>5</v>
      </c>
      <c r="J27" s="41" t="s">
        <v>4</v>
      </c>
      <c r="K27" s="41" t="s">
        <v>1</v>
      </c>
      <c r="L27" s="41" t="s">
        <v>6</v>
      </c>
      <c r="M27" s="74" t="s">
        <v>27</v>
      </c>
      <c r="N27" s="87"/>
      <c r="O27" s="87"/>
      <c r="P27" s="352"/>
      <c r="Q27" s="311"/>
      <c r="R27" s="87"/>
      <c r="S27" s="87"/>
      <c r="T27" s="87"/>
      <c r="U27" s="87"/>
      <c r="V27" s="98">
        <v>1.9400000000000001E-2</v>
      </c>
      <c r="W27" s="98">
        <f>C57</f>
        <v>1.8500000000000003E-2</v>
      </c>
      <c r="X27" s="87">
        <v>12</v>
      </c>
      <c r="Y27" s="377">
        <f t="shared" ca="1" si="4"/>
        <v>85.212964394200711</v>
      </c>
      <c r="Z27" s="377">
        <f t="shared" si="5"/>
        <v>0</v>
      </c>
      <c r="AA27" s="377">
        <f t="shared" si="6"/>
        <v>0</v>
      </c>
      <c r="AB27" s="377">
        <f t="shared" si="7"/>
        <v>0</v>
      </c>
      <c r="AC27" s="377">
        <f t="shared" si="8"/>
        <v>0</v>
      </c>
      <c r="AD27" s="377">
        <f t="shared" si="9"/>
        <v>0</v>
      </c>
      <c r="AE27" s="377">
        <f t="shared" si="10"/>
        <v>0</v>
      </c>
      <c r="AF27" s="377">
        <f t="shared" si="11"/>
        <v>0</v>
      </c>
      <c r="AG27" s="377">
        <f t="shared" si="12"/>
        <v>0</v>
      </c>
      <c r="AH27" s="377">
        <f t="shared" si="13"/>
        <v>0</v>
      </c>
      <c r="AI27" s="377">
        <f t="shared" si="14"/>
        <v>0</v>
      </c>
      <c r="AJ27" s="377">
        <f t="shared" si="15"/>
        <v>0</v>
      </c>
      <c r="AK27" s="377">
        <f t="shared" si="16"/>
        <v>0</v>
      </c>
      <c r="AL27" s="377">
        <f t="shared" si="17"/>
        <v>0</v>
      </c>
      <c r="AM27" s="377">
        <f t="shared" si="18"/>
        <v>0</v>
      </c>
      <c r="AN27" s="377">
        <f t="shared" si="19"/>
        <v>0</v>
      </c>
      <c r="AO27" s="377">
        <f t="shared" si="20"/>
        <v>0</v>
      </c>
      <c r="AP27" s="87"/>
      <c r="AQ27" s="138">
        <v>4</v>
      </c>
      <c r="AR27" s="258">
        <f t="shared" ca="1" si="69"/>
        <v>46275</v>
      </c>
      <c r="AS27" s="378">
        <f t="shared" ca="1" si="70"/>
        <v>85.212964394200711</v>
      </c>
      <c r="AT27" s="138"/>
      <c r="AU27" s="138">
        <v>4</v>
      </c>
      <c r="AV27" s="258">
        <f t="shared" ca="1" si="71"/>
        <v>46305</v>
      </c>
      <c r="AW27" s="378">
        <f t="shared" ca="1" si="72"/>
        <v>5.7870356057992893</v>
      </c>
      <c r="AX27" s="202">
        <f t="shared" ca="1" si="73"/>
        <v>5.3</v>
      </c>
      <c r="AY27" s="138">
        <v>4</v>
      </c>
      <c r="AZ27" s="258">
        <f t="shared" ca="1" si="74"/>
        <v>46305</v>
      </c>
      <c r="BA27" s="378">
        <f t="shared" si="75"/>
        <v>91</v>
      </c>
      <c r="BB27" s="87"/>
      <c r="BC27" s="258">
        <f t="shared" ca="1" si="61"/>
        <v>46275</v>
      </c>
      <c r="BD27" s="302">
        <f t="shared" ca="1" si="76"/>
        <v>5.7870356057992893</v>
      </c>
      <c r="BE27" s="133">
        <f t="shared" si="62"/>
        <v>4</v>
      </c>
      <c r="BF27" s="379">
        <f t="shared" ca="1" si="63"/>
        <v>46275</v>
      </c>
      <c r="BG27" s="133">
        <f t="shared" si="77"/>
        <v>91</v>
      </c>
      <c r="BH27" s="133">
        <f t="shared" si="78"/>
        <v>0</v>
      </c>
      <c r="BI27" s="133">
        <f t="shared" si="79"/>
        <v>0</v>
      </c>
      <c r="BJ27" s="133">
        <f t="shared" si="80"/>
        <v>0</v>
      </c>
      <c r="BK27" s="133">
        <f t="shared" si="81"/>
        <v>0</v>
      </c>
      <c r="BL27" s="133">
        <f t="shared" si="82"/>
        <v>0</v>
      </c>
      <c r="BM27" s="133">
        <f t="shared" si="83"/>
        <v>0</v>
      </c>
      <c r="BN27" s="133">
        <f t="shared" si="84"/>
        <v>0</v>
      </c>
      <c r="BO27" s="133">
        <f t="shared" si="85"/>
        <v>0</v>
      </c>
      <c r="BP27" s="133">
        <f t="shared" si="86"/>
        <v>0</v>
      </c>
      <c r="BQ27" s="133">
        <f t="shared" si="87"/>
        <v>0</v>
      </c>
      <c r="BR27" s="133">
        <f t="shared" si="88"/>
        <v>0</v>
      </c>
      <c r="BS27" s="133">
        <f t="shared" si="89"/>
        <v>0</v>
      </c>
      <c r="BT27" s="133">
        <f t="shared" si="90"/>
        <v>0</v>
      </c>
      <c r="BU27" s="133">
        <f t="shared" si="91"/>
        <v>0</v>
      </c>
      <c r="BV27" s="133">
        <f t="shared" si="92"/>
        <v>0</v>
      </c>
      <c r="BW27" s="133">
        <f t="shared" si="93"/>
        <v>0</v>
      </c>
      <c r="BX27" s="267"/>
      <c r="BY27" s="267"/>
      <c r="BZ27" s="267"/>
      <c r="CA27" s="267"/>
      <c r="CB27" s="267"/>
      <c r="CC27" s="267"/>
      <c r="CD27" s="267"/>
      <c r="CE27" s="267"/>
      <c r="CF27" s="267"/>
      <c r="CG27" s="26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138">
        <v>9</v>
      </c>
      <c r="CT27" s="259">
        <f t="shared" ca="1" si="29"/>
        <v>46456</v>
      </c>
      <c r="CU27" s="179">
        <f t="shared" ref="CU27:DC27" ca="1" si="103">(($AW32/(1+CU$18)^(($AZ32-$AZ$23)/30)))+($AS32/(1+CU$18)^(($AZ32-$AZ$23)/30))</f>
        <v>76.036700953464447</v>
      </c>
      <c r="CV27" s="179">
        <f t="shared" ca="1" si="103"/>
        <v>76.403484888743236</v>
      </c>
      <c r="CW27" s="179">
        <f t="shared" ca="1" si="103"/>
        <v>76.624490901063893</v>
      </c>
      <c r="CX27" s="179">
        <f t="shared" ca="1" si="103"/>
        <v>76.846201640316124</v>
      </c>
      <c r="CY27" s="179">
        <f t="shared" ca="1" si="103"/>
        <v>77.068619562476073</v>
      </c>
      <c r="CZ27" s="179">
        <f t="shared" ca="1" si="103"/>
        <v>77.291747132806549</v>
      </c>
      <c r="DA27" s="179">
        <f t="shared" ca="1" si="103"/>
        <v>77.44089431697796</v>
      </c>
      <c r="DB27" s="179">
        <f t="shared" ca="1" si="103"/>
        <v>77.740141125695757</v>
      </c>
      <c r="DC27" s="179">
        <f t="shared" ca="1" si="103"/>
        <v>77.890242226854028</v>
      </c>
      <c r="DD27" s="179">
        <f t="shared" ref="DD27:DI27" ca="1" si="104">(($AW32/(1+DD$18)^(($AZ32-$AZ$23)/30)))+($AS32/(1+DD$18)^(($AZ32-$AZ$23)/30))</f>
        <v>78.040662780057446</v>
      </c>
      <c r="DE27" s="179">
        <f t="shared" ca="1" si="104"/>
        <v>78.191403528276055</v>
      </c>
      <c r="DF27" s="179" t="e">
        <f t="shared" ca="1" si="104"/>
        <v>#VALUE!</v>
      </c>
      <c r="DG27" s="179" t="e">
        <f t="shared" ca="1" si="104"/>
        <v>#VALUE!</v>
      </c>
      <c r="DH27" s="179" t="e">
        <f t="shared" ca="1" si="104"/>
        <v>#VALUE!</v>
      </c>
      <c r="DI27" s="179" t="e">
        <f t="shared" ca="1" si="104"/>
        <v>#VALUE!</v>
      </c>
      <c r="DJ27" s="179" t="e">
        <f t="shared" ref="DJ27:DQ27" ca="1" si="105">(($AW32/(1+DJ$18)^(($AZ32-$AZ$23)/30)))+($AS32/(1+DJ$18)^(($AZ32-$AZ$23)/30))</f>
        <v>#VALUE!</v>
      </c>
      <c r="DK27" s="179" t="e">
        <f t="shared" ca="1" si="105"/>
        <v>#VALUE!</v>
      </c>
      <c r="DL27" s="179" t="e">
        <f t="shared" ca="1" si="105"/>
        <v>#VALUE!</v>
      </c>
      <c r="DM27" s="179" t="e">
        <f t="shared" ca="1" si="105"/>
        <v>#VALUE!</v>
      </c>
      <c r="DN27" s="179" t="e">
        <f t="shared" ca="1" si="105"/>
        <v>#VALUE!</v>
      </c>
      <c r="DO27" s="179" t="e">
        <f t="shared" ca="1" si="105"/>
        <v>#VALUE!</v>
      </c>
      <c r="DP27" s="179" t="e">
        <f t="shared" ca="1" si="105"/>
        <v>#VALUE!</v>
      </c>
      <c r="DQ27" s="179" t="e">
        <f t="shared" ca="1" si="105"/>
        <v>#VALUE!</v>
      </c>
      <c r="DR27" s="180">
        <f t="shared" ca="1" si="40"/>
        <v>5.7870356057992893</v>
      </c>
      <c r="DS27" s="180">
        <f t="shared" ca="1" si="33"/>
        <v>5.7870356057992893</v>
      </c>
      <c r="DT27" s="180">
        <f t="shared" ca="1" si="33"/>
        <v>5.7870356057992893</v>
      </c>
      <c r="DU27" s="180">
        <f t="shared" ca="1" si="33"/>
        <v>5.7870356057992893</v>
      </c>
      <c r="DV27" s="180">
        <f t="shared" ca="1" si="33"/>
        <v>5.7870356057992893</v>
      </c>
      <c r="DW27" s="180">
        <f t="shared" ca="1" si="33"/>
        <v>5.7870356057992893</v>
      </c>
      <c r="DX27" s="180">
        <f t="shared" ca="1" si="33"/>
        <v>5.7870356057992893</v>
      </c>
      <c r="DY27" s="180">
        <f t="shared" ca="1" si="33"/>
        <v>5.7870356057992893</v>
      </c>
      <c r="DZ27" s="180">
        <f t="shared" ca="1" si="33"/>
        <v>5.7870356057992893</v>
      </c>
      <c r="EA27" s="180">
        <f t="shared" ca="1" si="33"/>
        <v>5.7870356057992893</v>
      </c>
      <c r="EB27" s="180">
        <f t="shared" ca="1" si="33"/>
        <v>5.7870356057992893</v>
      </c>
      <c r="EC27" s="180">
        <f t="shared" ca="1" si="33"/>
        <v>5.7870356057992893</v>
      </c>
      <c r="ED27" s="180">
        <f t="shared" ca="1" si="33"/>
        <v>5.7870356057992893</v>
      </c>
      <c r="EE27" s="180">
        <f t="shared" ca="1" si="33"/>
        <v>5.7870356057992893</v>
      </c>
      <c r="EF27" s="180">
        <f t="shared" ca="1" si="33"/>
        <v>5.7870356057992893</v>
      </c>
      <c r="EG27" s="180">
        <f t="shared" ref="EG27:EO27" ca="1" si="106">IF($AU32&gt;$BA$19,0,$BA32-$AS32)</f>
        <v>5.7870356057992893</v>
      </c>
      <c r="EH27" s="180">
        <f t="shared" ca="1" si="106"/>
        <v>5.7870356057992893</v>
      </c>
      <c r="EI27" s="180">
        <f t="shared" ca="1" si="106"/>
        <v>5.7870356057992893</v>
      </c>
      <c r="EJ27" s="180">
        <f t="shared" ca="1" si="106"/>
        <v>5.7870356057992893</v>
      </c>
      <c r="EK27" s="180">
        <f t="shared" ca="1" si="106"/>
        <v>5.7870356057992893</v>
      </c>
      <c r="EL27" s="180">
        <f t="shared" ca="1" si="106"/>
        <v>5.7870356057992893</v>
      </c>
      <c r="EM27" s="180">
        <f t="shared" ca="1" si="106"/>
        <v>5.7870356057992893</v>
      </c>
      <c r="EN27" s="180">
        <f t="shared" ca="1" si="106"/>
        <v>5.7870356057992893</v>
      </c>
      <c r="EO27" s="180">
        <f t="shared" ca="1" si="106"/>
        <v>5.7870356057992893</v>
      </c>
      <c r="EP27" s="87"/>
      <c r="EQ27" s="259">
        <f t="shared" ca="1" si="42"/>
        <v>46428</v>
      </c>
      <c r="ER27" s="87">
        <f t="shared" ca="1" si="35"/>
        <v>5.7870356057992893</v>
      </c>
      <c r="ES27" s="87">
        <f t="shared" ca="1" si="35"/>
        <v>5.7870356057992893</v>
      </c>
      <c r="ET27" s="87">
        <f t="shared" ca="1" si="35"/>
        <v>5.7870356057992893</v>
      </c>
      <c r="EU27" s="87">
        <f t="shared" ca="1" si="35"/>
        <v>5.7870356057992893</v>
      </c>
      <c r="EV27" s="87">
        <f t="shared" ca="1" si="35"/>
        <v>5.7870356057992893</v>
      </c>
      <c r="EW27" s="87">
        <f t="shared" ca="1" si="35"/>
        <v>5.7870356057992893</v>
      </c>
      <c r="EX27" s="87">
        <f t="shared" ca="1" si="35"/>
        <v>5.7870356057992893</v>
      </c>
      <c r="EY27" s="87">
        <f t="shared" ca="1" si="35"/>
        <v>5.7870356057992893</v>
      </c>
      <c r="EZ27" s="87">
        <f t="shared" ca="1" si="35"/>
        <v>5.7870356057992893</v>
      </c>
      <c r="FA27" s="87">
        <f t="shared" ca="1" si="35"/>
        <v>5.7870356057992893</v>
      </c>
      <c r="FB27" s="87">
        <f t="shared" ca="1" si="35"/>
        <v>5.7870356057992893</v>
      </c>
      <c r="FC27" s="87">
        <f t="shared" ca="1" si="35"/>
        <v>5.7870356057992893</v>
      </c>
      <c r="FD27" s="87">
        <f t="shared" ca="1" si="35"/>
        <v>5.7870356057992893</v>
      </c>
      <c r="FE27" s="87">
        <f t="shared" ca="1" si="35"/>
        <v>5.7870356057992893</v>
      </c>
      <c r="FF27" s="87">
        <f t="shared" ca="1" si="35"/>
        <v>5.7870356057992893</v>
      </c>
      <c r="FG27" s="87">
        <f t="shared" ca="1" si="36"/>
        <v>5.7870356057992893</v>
      </c>
      <c r="FH27" s="87">
        <f t="shared" ca="1" si="36"/>
        <v>5.7870356057992893</v>
      </c>
      <c r="FI27" s="87">
        <f t="shared" ca="1" si="36"/>
        <v>5.7870356057992893</v>
      </c>
      <c r="FJ27" s="87">
        <f t="shared" ca="1" si="36"/>
        <v>5.7870356057992893</v>
      </c>
      <c r="FK27" s="87">
        <f t="shared" ca="1" si="36"/>
        <v>5.7870356057992893</v>
      </c>
      <c r="FL27" s="87">
        <f t="shared" ca="1" si="36"/>
        <v>5.7870356057992893</v>
      </c>
      <c r="FM27" s="87">
        <f t="shared" ca="1" si="36"/>
        <v>5.7870356057992893</v>
      </c>
      <c r="FN27" s="87">
        <f t="shared" ca="1" si="36"/>
        <v>5.7870356057992893</v>
      </c>
      <c r="FO27" s="87">
        <f t="shared" ca="1" si="36"/>
        <v>5.7870356057992893</v>
      </c>
      <c r="FP27" s="87">
        <f t="shared" ca="1" si="36"/>
        <v>5.7870356057992893</v>
      </c>
      <c r="FQ27" s="87"/>
    </row>
    <row r="28" spans="1:173" customFormat="1" ht="18.75" customHeight="1" thickBot="1" x14ac:dyDescent="0.3">
      <c r="A28" s="133" t="str">
        <f t="shared" si="102"/>
        <v>NÃO</v>
      </c>
      <c r="B28" s="146" t="str">
        <f>IF(OR(E28="795739 - Tabela ",E28="745170 - Tabela ",E28="795042 - Tabela 4",E28="795046 - Tabela 5"),"Válido somente para Portabilidade Especial","")</f>
        <v/>
      </c>
      <c r="C28" s="64">
        <v>1</v>
      </c>
      <c r="D28" s="32" t="str">
        <f t="shared" ref="D28:D50" si="107">$E$8</f>
        <v>INSS</v>
      </c>
      <c r="E28" s="627" t="str">
        <f>IFERROR(VLOOKUP(CONCATENATE(C28,D28),'Base tabelas'!$B:$K,10,FALSE),"")</f>
        <v xml:space="preserve">805971 - RFN - INSS 1   </v>
      </c>
      <c r="F28" s="628"/>
      <c r="G28" s="629"/>
      <c r="H28" s="33">
        <f>IFERROR(VLOOKUP(CONCATENATE(C28,D28),'Base tabelas'!$B:$E,4,FALSE),"")</f>
        <v>1.8500000000000003E-2</v>
      </c>
      <c r="I28" s="34">
        <f ca="1">IFERROR((PMT(H28,$BA$19,-1,0,0)*(H28+1)^(($BF$10-30)/30))*1.03017,"")</f>
        <v>2.3316702867503352E-2</v>
      </c>
      <c r="J28" s="35">
        <f ca="1">IFERROR(CU163,"")</f>
        <v>3982.255149392382</v>
      </c>
      <c r="K28" s="36">
        <f t="shared" ref="K28:K34" ca="1" si="108">IF(J28&lt;&gt;"",$V$21,"")</f>
        <v>3304.6532608733751</v>
      </c>
      <c r="L28" s="102">
        <f ca="1">IFERROR(DR17*-1,"")</f>
        <v>657.04301265309164</v>
      </c>
      <c r="M28" s="37" t="str">
        <f t="shared" ref="M28:M42" ca="1" si="109">IFERROR(IF(J28&gt;=N28,IF($U$9&gt;=1,IF(E28="","",IF(L28&lt;100,"Não Libera Troco",IF(P28&lt;=$D$26,IF(L28&gt;100,"TAB disponivel","Não Libera Troco"),"Tabela Superior Taxa Ponderada"))),"Não Disponível"),"Não Disponível"),"")</f>
        <v>TAB disponivel</v>
      </c>
      <c r="N28" s="304">
        <f>IFERROR(VLOOKUP(CONCATENATE(C28,D28),'Base tabelas'!$B:$O,14,FALSE),"")</f>
        <v>20</v>
      </c>
      <c r="O28" s="374">
        <f ca="1">ER168</f>
        <v>1.8597822156823929E-2</v>
      </c>
      <c r="P28" s="375">
        <f t="shared" ref="P28:P50" ca="1" si="110">IFERROR(IF(AND(ROUND(Q28,4)&lt;=$AB$13,L28&gt;0),H28,""),"")</f>
        <v>1.8500000000000003E-2</v>
      </c>
      <c r="Q28" s="303">
        <f t="shared" ref="Q28:Q50" ca="1" si="111">O28*98.75%</f>
        <v>1.836534937986363E-2</v>
      </c>
      <c r="R28" s="176">
        <f t="shared" ref="R28:R42" ca="1" si="112">IF(J28&lt;N28,1,0)</f>
        <v>0</v>
      </c>
      <c r="S28" s="176"/>
      <c r="T28" s="176"/>
      <c r="U28" s="176"/>
      <c r="V28" s="98">
        <v>1.9199999999999998E-2</v>
      </c>
      <c r="W28" s="98">
        <v>1.9199999999999998E-2</v>
      </c>
      <c r="X28" s="87">
        <v>13</v>
      </c>
      <c r="Y28" s="377">
        <f t="shared" ca="1" si="4"/>
        <v>85.212964394200711</v>
      </c>
      <c r="Z28" s="377">
        <f t="shared" si="5"/>
        <v>0</v>
      </c>
      <c r="AA28" s="377">
        <f t="shared" si="6"/>
        <v>0</v>
      </c>
      <c r="AB28" s="377">
        <f t="shared" si="7"/>
        <v>0</v>
      </c>
      <c r="AC28" s="377">
        <f t="shared" si="8"/>
        <v>0</v>
      </c>
      <c r="AD28" s="377">
        <f t="shared" si="9"/>
        <v>0</v>
      </c>
      <c r="AE28" s="377">
        <f t="shared" si="10"/>
        <v>0</v>
      </c>
      <c r="AF28" s="377">
        <f t="shared" si="11"/>
        <v>0</v>
      </c>
      <c r="AG28" s="377">
        <f t="shared" si="12"/>
        <v>0</v>
      </c>
      <c r="AH28" s="377">
        <f t="shared" si="13"/>
        <v>0</v>
      </c>
      <c r="AI28" s="377">
        <f t="shared" si="14"/>
        <v>0</v>
      </c>
      <c r="AJ28" s="377">
        <f t="shared" si="15"/>
        <v>0</v>
      </c>
      <c r="AK28" s="377">
        <f t="shared" si="16"/>
        <v>0</v>
      </c>
      <c r="AL28" s="377">
        <f t="shared" si="17"/>
        <v>0</v>
      </c>
      <c r="AM28" s="377">
        <f t="shared" si="18"/>
        <v>0</v>
      </c>
      <c r="AN28" s="377">
        <f t="shared" si="19"/>
        <v>0</v>
      </c>
      <c r="AO28" s="377">
        <f t="shared" si="20"/>
        <v>0</v>
      </c>
      <c r="AP28" s="87"/>
      <c r="AQ28" s="138">
        <v>5</v>
      </c>
      <c r="AR28" s="258">
        <f t="shared" ca="1" si="69"/>
        <v>46305</v>
      </c>
      <c r="AS28" s="378">
        <f t="shared" ca="1" si="70"/>
        <v>85.212964394200711</v>
      </c>
      <c r="AT28" s="138"/>
      <c r="AU28" s="138">
        <v>5</v>
      </c>
      <c r="AV28" s="258">
        <f t="shared" ca="1" si="71"/>
        <v>46336</v>
      </c>
      <c r="AW28" s="378">
        <f t="shared" ca="1" si="72"/>
        <v>5.7870356057992893</v>
      </c>
      <c r="AX28" s="202">
        <f t="shared" ca="1" si="73"/>
        <v>5.2</v>
      </c>
      <c r="AY28" s="138">
        <v>5</v>
      </c>
      <c r="AZ28" s="258">
        <f t="shared" ca="1" si="74"/>
        <v>46336</v>
      </c>
      <c r="BA28" s="378">
        <f t="shared" si="75"/>
        <v>91</v>
      </c>
      <c r="BB28" s="87"/>
      <c r="BC28" s="258">
        <f t="shared" ca="1" si="61"/>
        <v>46305</v>
      </c>
      <c r="BD28" s="302">
        <f t="shared" ca="1" si="76"/>
        <v>5.7870356057992893</v>
      </c>
      <c r="BE28" s="133">
        <f t="shared" si="62"/>
        <v>5</v>
      </c>
      <c r="BF28" s="379">
        <f t="shared" ca="1" si="63"/>
        <v>46305</v>
      </c>
      <c r="BG28" s="133">
        <f t="shared" si="77"/>
        <v>91</v>
      </c>
      <c r="BH28" s="133">
        <f t="shared" si="78"/>
        <v>0</v>
      </c>
      <c r="BI28" s="133">
        <f t="shared" si="79"/>
        <v>0</v>
      </c>
      <c r="BJ28" s="133">
        <f t="shared" si="80"/>
        <v>0</v>
      </c>
      <c r="BK28" s="133">
        <f t="shared" si="81"/>
        <v>0</v>
      </c>
      <c r="BL28" s="133">
        <f t="shared" si="82"/>
        <v>0</v>
      </c>
      <c r="BM28" s="133">
        <f t="shared" si="83"/>
        <v>0</v>
      </c>
      <c r="BN28" s="133">
        <f t="shared" si="84"/>
        <v>0</v>
      </c>
      <c r="BO28" s="133">
        <f t="shared" si="85"/>
        <v>0</v>
      </c>
      <c r="BP28" s="133">
        <f t="shared" si="86"/>
        <v>0</v>
      </c>
      <c r="BQ28" s="133">
        <f t="shared" si="87"/>
        <v>0</v>
      </c>
      <c r="BR28" s="133">
        <f t="shared" si="88"/>
        <v>0</v>
      </c>
      <c r="BS28" s="133">
        <f t="shared" si="89"/>
        <v>0</v>
      </c>
      <c r="BT28" s="133">
        <f t="shared" si="90"/>
        <v>0</v>
      </c>
      <c r="BU28" s="133">
        <f t="shared" si="91"/>
        <v>0</v>
      </c>
      <c r="BV28" s="133">
        <f t="shared" si="92"/>
        <v>0</v>
      </c>
      <c r="BW28" s="133">
        <f t="shared" si="93"/>
        <v>0</v>
      </c>
      <c r="BX28" s="267"/>
      <c r="BY28" s="267"/>
      <c r="BZ28" s="267"/>
      <c r="CA28" s="267"/>
      <c r="CB28" s="267"/>
      <c r="CC28" s="267"/>
      <c r="CD28" s="267"/>
      <c r="CE28" s="267"/>
      <c r="CF28" s="267"/>
      <c r="CG28" s="26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>
        <v>10</v>
      </c>
      <c r="CT28" s="259">
        <f t="shared" ca="1" si="29"/>
        <v>46487</v>
      </c>
      <c r="CU28" s="179">
        <f t="shared" ref="CU28:DC28" ca="1" si="113">(($AW33/(1+CU$18)^(($AZ33-$AZ$23)/30)))+($AS33/(1+CU$18)^(($AZ33-$AZ$23)/30))</f>
        <v>74.60996985375526</v>
      </c>
      <c r="CV28" s="179">
        <f t="shared" ca="1" si="113"/>
        <v>75.007921412567256</v>
      </c>
      <c r="CW28" s="179">
        <f t="shared" ca="1" si="113"/>
        <v>75.247804842825218</v>
      </c>
      <c r="CX28" s="179">
        <f t="shared" ca="1" si="113"/>
        <v>75.488526509565091</v>
      </c>
      <c r="CY28" s="179">
        <f t="shared" ca="1" si="113"/>
        <v>75.730089590344932</v>
      </c>
      <c r="CZ28" s="179">
        <f t="shared" ca="1" si="113"/>
        <v>75.972497275710168</v>
      </c>
      <c r="DA28" s="179">
        <f t="shared" ca="1" si="113"/>
        <v>76.134573205538175</v>
      </c>
      <c r="DB28" s="179">
        <f t="shared" ca="1" si="113"/>
        <v>76.459859287661203</v>
      </c>
      <c r="DC28" s="179">
        <f t="shared" ca="1" si="113"/>
        <v>76.623071352639968</v>
      </c>
      <c r="DD28" s="179">
        <f t="shared" ref="DD28:DI28" ca="1" si="114">(($AW33/(1+DD$18)^(($AZ33-$AZ$23)/30)))+($AS33/(1+DD$18)^(($AZ33-$AZ$23)/30))</f>
        <v>76.786664046365658</v>
      </c>
      <c r="DE28" s="179">
        <f t="shared" ca="1" si="114"/>
        <v>76.950638331710962</v>
      </c>
      <c r="DF28" s="179" t="e">
        <f t="shared" ca="1" si="114"/>
        <v>#VALUE!</v>
      </c>
      <c r="DG28" s="179" t="e">
        <f t="shared" ca="1" si="114"/>
        <v>#VALUE!</v>
      </c>
      <c r="DH28" s="179" t="e">
        <f t="shared" ca="1" si="114"/>
        <v>#VALUE!</v>
      </c>
      <c r="DI28" s="179" t="e">
        <f t="shared" ca="1" si="114"/>
        <v>#VALUE!</v>
      </c>
      <c r="DJ28" s="179" t="e">
        <f t="shared" ref="DJ28:DQ28" ca="1" si="115">(($AW33/(1+DJ$18)^(($AZ33-$AZ$23)/30)))+($AS33/(1+DJ$18)^(($AZ33-$AZ$23)/30))</f>
        <v>#VALUE!</v>
      </c>
      <c r="DK28" s="179" t="e">
        <f t="shared" ca="1" si="115"/>
        <v>#VALUE!</v>
      </c>
      <c r="DL28" s="179" t="e">
        <f t="shared" ca="1" si="115"/>
        <v>#VALUE!</v>
      </c>
      <c r="DM28" s="179" t="e">
        <f t="shared" ca="1" si="115"/>
        <v>#VALUE!</v>
      </c>
      <c r="DN28" s="179" t="e">
        <f t="shared" ca="1" si="115"/>
        <v>#VALUE!</v>
      </c>
      <c r="DO28" s="179" t="e">
        <f t="shared" ca="1" si="115"/>
        <v>#VALUE!</v>
      </c>
      <c r="DP28" s="179" t="e">
        <f t="shared" ca="1" si="115"/>
        <v>#VALUE!</v>
      </c>
      <c r="DQ28" s="179" t="e">
        <f t="shared" ca="1" si="115"/>
        <v>#VALUE!</v>
      </c>
      <c r="DR28" s="180">
        <f t="shared" ca="1" si="40"/>
        <v>5.7870356057992893</v>
      </c>
      <c r="DS28" s="180">
        <f t="shared" ca="1" si="33"/>
        <v>5.7870356057992893</v>
      </c>
      <c r="DT28" s="180">
        <f t="shared" ca="1" si="33"/>
        <v>5.7870356057992893</v>
      </c>
      <c r="DU28" s="180">
        <f t="shared" ca="1" si="33"/>
        <v>5.7870356057992893</v>
      </c>
      <c r="DV28" s="180">
        <f t="shared" ca="1" si="33"/>
        <v>5.7870356057992893</v>
      </c>
      <c r="DW28" s="180">
        <f t="shared" ca="1" si="33"/>
        <v>5.7870356057992893</v>
      </c>
      <c r="DX28" s="180">
        <f t="shared" ca="1" si="33"/>
        <v>5.7870356057992893</v>
      </c>
      <c r="DY28" s="180">
        <f t="shared" ca="1" si="33"/>
        <v>5.7870356057992893</v>
      </c>
      <c r="DZ28" s="180">
        <f t="shared" ca="1" si="33"/>
        <v>5.7870356057992893</v>
      </c>
      <c r="EA28" s="180">
        <f t="shared" ca="1" si="33"/>
        <v>5.7870356057992893</v>
      </c>
      <c r="EB28" s="180">
        <f t="shared" ca="1" si="33"/>
        <v>5.7870356057992893</v>
      </c>
      <c r="EC28" s="180">
        <f t="shared" ca="1" si="33"/>
        <v>5.7870356057992893</v>
      </c>
      <c r="ED28" s="180">
        <f t="shared" ca="1" si="33"/>
        <v>5.7870356057992893</v>
      </c>
      <c r="EE28" s="180">
        <f t="shared" ca="1" si="33"/>
        <v>5.7870356057992893</v>
      </c>
      <c r="EF28" s="180">
        <f t="shared" ca="1" si="33"/>
        <v>5.7870356057992893</v>
      </c>
      <c r="EG28" s="180">
        <f t="shared" ref="EG28:EO28" ca="1" si="116">IF($AU33&gt;$BA$19,0,$BA33-$AS33)</f>
        <v>5.7870356057992893</v>
      </c>
      <c r="EH28" s="180">
        <f t="shared" ca="1" si="116"/>
        <v>5.7870356057992893</v>
      </c>
      <c r="EI28" s="180">
        <f t="shared" ca="1" si="116"/>
        <v>5.7870356057992893</v>
      </c>
      <c r="EJ28" s="180">
        <f t="shared" ca="1" si="116"/>
        <v>5.7870356057992893</v>
      </c>
      <c r="EK28" s="180">
        <f t="shared" ca="1" si="116"/>
        <v>5.7870356057992893</v>
      </c>
      <c r="EL28" s="180">
        <f t="shared" ca="1" si="116"/>
        <v>5.7870356057992893</v>
      </c>
      <c r="EM28" s="180">
        <f t="shared" ca="1" si="116"/>
        <v>5.7870356057992893</v>
      </c>
      <c r="EN28" s="180">
        <f t="shared" ca="1" si="116"/>
        <v>5.7870356057992893</v>
      </c>
      <c r="EO28" s="180">
        <f t="shared" ca="1" si="116"/>
        <v>5.7870356057992893</v>
      </c>
      <c r="EP28" s="87"/>
      <c r="EQ28" s="259">
        <f t="shared" ca="1" si="42"/>
        <v>46456</v>
      </c>
      <c r="ER28" s="87">
        <f t="shared" ca="1" si="35"/>
        <v>5.7870356057992893</v>
      </c>
      <c r="ES28" s="87">
        <f t="shared" ca="1" si="35"/>
        <v>5.7870356057992893</v>
      </c>
      <c r="ET28" s="87">
        <f t="shared" ca="1" si="35"/>
        <v>5.7870356057992893</v>
      </c>
      <c r="EU28" s="87">
        <f t="shared" ca="1" si="35"/>
        <v>5.7870356057992893</v>
      </c>
      <c r="EV28" s="87">
        <f t="shared" ca="1" si="35"/>
        <v>5.7870356057992893</v>
      </c>
      <c r="EW28" s="87">
        <f t="shared" ca="1" si="35"/>
        <v>5.7870356057992893</v>
      </c>
      <c r="EX28" s="87">
        <f t="shared" ca="1" si="35"/>
        <v>5.7870356057992893</v>
      </c>
      <c r="EY28" s="87">
        <f t="shared" ca="1" si="35"/>
        <v>5.7870356057992893</v>
      </c>
      <c r="EZ28" s="87">
        <f t="shared" ca="1" si="35"/>
        <v>5.7870356057992893</v>
      </c>
      <c r="FA28" s="87">
        <f t="shared" ca="1" si="35"/>
        <v>5.7870356057992893</v>
      </c>
      <c r="FB28" s="87">
        <f t="shared" ca="1" si="35"/>
        <v>5.7870356057992893</v>
      </c>
      <c r="FC28" s="87">
        <f t="shared" ca="1" si="35"/>
        <v>5.7870356057992893</v>
      </c>
      <c r="FD28" s="87">
        <f t="shared" ca="1" si="35"/>
        <v>5.7870356057992893</v>
      </c>
      <c r="FE28" s="87">
        <f t="shared" ca="1" si="35"/>
        <v>5.7870356057992893</v>
      </c>
      <c r="FF28" s="87">
        <f t="shared" ca="1" si="35"/>
        <v>5.7870356057992893</v>
      </c>
      <c r="FG28" s="87">
        <f t="shared" ca="1" si="36"/>
        <v>5.7870356057992893</v>
      </c>
      <c r="FH28" s="87">
        <f t="shared" ca="1" si="36"/>
        <v>5.7870356057992893</v>
      </c>
      <c r="FI28" s="87">
        <f t="shared" ca="1" si="36"/>
        <v>5.7870356057992893</v>
      </c>
      <c r="FJ28" s="87">
        <f t="shared" ca="1" si="36"/>
        <v>5.7870356057992893</v>
      </c>
      <c r="FK28" s="87">
        <f t="shared" ca="1" si="36"/>
        <v>5.7870356057992893</v>
      </c>
      <c r="FL28" s="87">
        <f t="shared" ca="1" si="36"/>
        <v>5.7870356057992893</v>
      </c>
      <c r="FM28" s="87">
        <f t="shared" ca="1" si="36"/>
        <v>5.7870356057992893</v>
      </c>
      <c r="FN28" s="87">
        <f t="shared" ca="1" si="36"/>
        <v>5.7870356057992893</v>
      </c>
      <c r="FO28" s="87">
        <f t="shared" ca="1" si="36"/>
        <v>5.7870356057992893</v>
      </c>
      <c r="FP28" s="87">
        <f t="shared" ca="1" si="36"/>
        <v>5.7870356057992893</v>
      </c>
      <c r="FQ28" s="87"/>
    </row>
    <row r="29" spans="1:173" customFormat="1" ht="18.75" customHeight="1" thickBot="1" x14ac:dyDescent="0.3">
      <c r="A29" s="133" t="str">
        <f t="shared" si="102"/>
        <v>NÃO</v>
      </c>
      <c r="B29" s="146" t="str">
        <f t="shared" ref="B29:B35" si="117">IF(OR(E29="795739 - Tabela ",E29="745170 - Tabela ",E29="795042 - Tabela 4",E29="795046 - Tabela 5"),"Válido somente para Portabilidade Especial","")</f>
        <v/>
      </c>
      <c r="C29" s="64">
        <v>2</v>
      </c>
      <c r="D29" s="32" t="str">
        <f t="shared" si="107"/>
        <v>INSS</v>
      </c>
      <c r="E29" s="627" t="str">
        <f>IFERROR(VLOOKUP(CONCATENATE(C29,D29),'Base tabelas'!$B:$K,10,FALSE),"")</f>
        <v xml:space="preserve">805972 - RFN - INSS 2   </v>
      </c>
      <c r="F29" s="628"/>
      <c r="G29" s="629"/>
      <c r="H29" s="33">
        <f>IFERROR(VLOOKUP(CONCATENATE(C29,D29),'Base tabelas'!$B:$E,4,FALSE),"")</f>
        <v>1.8000000000000002E-2</v>
      </c>
      <c r="I29" s="34">
        <f ca="1">IFERROR((PMT(H29,$BA$19,-1,0,0)*(H29+1)^(($BF$10-30)/30))*1.03017,"")</f>
        <v>2.2908559816700771E-2</v>
      </c>
      <c r="J29" s="35">
        <f ca="1">IFERROR(CV163,"")</f>
        <v>4053.894397767353</v>
      </c>
      <c r="K29" s="36">
        <f t="shared" ca="1" si="108"/>
        <v>3304.6532608733751</v>
      </c>
      <c r="L29" s="102">
        <f ca="1">IFERROR(DS17*-1,"")</f>
        <v>726.50868028777347</v>
      </c>
      <c r="M29" s="37" t="str">
        <f t="shared" ca="1" si="109"/>
        <v>TAB disponivel</v>
      </c>
      <c r="N29" s="304">
        <f>IFERROR(VLOOKUP(CONCATENATE(C29,D29),'Base tabelas'!$B:$O,14,FALSE),"")</f>
        <v>20</v>
      </c>
      <c r="O29" s="186">
        <f ca="1">ES168</f>
        <v>1.7252372684076533E-2</v>
      </c>
      <c r="P29" s="375">
        <f t="shared" ca="1" si="110"/>
        <v>1.8000000000000002E-2</v>
      </c>
      <c r="Q29" s="303">
        <f t="shared" ca="1" si="111"/>
        <v>1.7036718025525577E-2</v>
      </c>
      <c r="R29" s="176">
        <f t="shared" ca="1" si="112"/>
        <v>0</v>
      </c>
      <c r="S29" s="176"/>
      <c r="T29" s="176"/>
      <c r="U29" s="176"/>
      <c r="V29" s="98">
        <f t="shared" ref="V29:V34" si="118">W29-0.0002</f>
        <v>1.8500000000000003E-2</v>
      </c>
      <c r="W29" s="98">
        <v>1.8700000000000001E-2</v>
      </c>
      <c r="X29" s="87">
        <v>14</v>
      </c>
      <c r="Y29" s="377">
        <f t="shared" ca="1" si="4"/>
        <v>85.212964394200711</v>
      </c>
      <c r="Z29" s="377">
        <f t="shared" si="5"/>
        <v>0</v>
      </c>
      <c r="AA29" s="377">
        <f t="shared" si="6"/>
        <v>0</v>
      </c>
      <c r="AB29" s="377">
        <f t="shared" si="7"/>
        <v>0</v>
      </c>
      <c r="AC29" s="377">
        <f t="shared" si="8"/>
        <v>0</v>
      </c>
      <c r="AD29" s="377">
        <f t="shared" si="9"/>
        <v>0</v>
      </c>
      <c r="AE29" s="377">
        <f t="shared" si="10"/>
        <v>0</v>
      </c>
      <c r="AF29" s="377">
        <f t="shared" si="11"/>
        <v>0</v>
      </c>
      <c r="AG29" s="377">
        <f t="shared" si="12"/>
        <v>0</v>
      </c>
      <c r="AH29" s="377">
        <f t="shared" si="13"/>
        <v>0</v>
      </c>
      <c r="AI29" s="377">
        <f t="shared" si="14"/>
        <v>0</v>
      </c>
      <c r="AJ29" s="377">
        <f t="shared" si="15"/>
        <v>0</v>
      </c>
      <c r="AK29" s="377">
        <f t="shared" si="16"/>
        <v>0</v>
      </c>
      <c r="AL29" s="377">
        <f t="shared" si="17"/>
        <v>0</v>
      </c>
      <c r="AM29" s="377">
        <f t="shared" si="18"/>
        <v>0</v>
      </c>
      <c r="AN29" s="377">
        <f t="shared" si="19"/>
        <v>0</v>
      </c>
      <c r="AO29" s="377">
        <f t="shared" si="20"/>
        <v>0</v>
      </c>
      <c r="AP29" s="87"/>
      <c r="AQ29" s="138">
        <v>6</v>
      </c>
      <c r="AR29" s="258">
        <f t="shared" ca="1" si="69"/>
        <v>46336</v>
      </c>
      <c r="AS29" s="378">
        <f t="shared" ca="1" si="70"/>
        <v>85.212964394200711</v>
      </c>
      <c r="AT29" s="138"/>
      <c r="AU29" s="138">
        <v>6</v>
      </c>
      <c r="AV29" s="258">
        <f t="shared" ca="1" si="71"/>
        <v>46366</v>
      </c>
      <c r="AW29" s="378">
        <f t="shared" ca="1" si="72"/>
        <v>5.7870356057992893</v>
      </c>
      <c r="AX29" s="202">
        <f t="shared" ca="1" si="73"/>
        <v>5.1100000000000003</v>
      </c>
      <c r="AY29" s="138">
        <v>6</v>
      </c>
      <c r="AZ29" s="258">
        <f t="shared" ca="1" si="74"/>
        <v>46366</v>
      </c>
      <c r="BA29" s="378">
        <f t="shared" si="75"/>
        <v>91</v>
      </c>
      <c r="BB29" s="87"/>
      <c r="BC29" s="258">
        <f t="shared" ca="1" si="61"/>
        <v>46336</v>
      </c>
      <c r="BD29" s="302">
        <f t="shared" ca="1" si="76"/>
        <v>5.7870356057992893</v>
      </c>
      <c r="BE29" s="133">
        <f t="shared" si="62"/>
        <v>6</v>
      </c>
      <c r="BF29" s="379">
        <f t="shared" ca="1" si="63"/>
        <v>46336</v>
      </c>
      <c r="BG29" s="133">
        <f t="shared" si="77"/>
        <v>91</v>
      </c>
      <c r="BH29" s="133">
        <f t="shared" si="78"/>
        <v>0</v>
      </c>
      <c r="BI29" s="133">
        <f t="shared" si="79"/>
        <v>0</v>
      </c>
      <c r="BJ29" s="133">
        <f t="shared" si="80"/>
        <v>0</v>
      </c>
      <c r="BK29" s="133">
        <f t="shared" si="81"/>
        <v>0</v>
      </c>
      <c r="BL29" s="133">
        <f t="shared" si="82"/>
        <v>0</v>
      </c>
      <c r="BM29" s="133">
        <f t="shared" si="83"/>
        <v>0</v>
      </c>
      <c r="BN29" s="133">
        <f t="shared" si="84"/>
        <v>0</v>
      </c>
      <c r="BO29" s="133">
        <f t="shared" si="85"/>
        <v>0</v>
      </c>
      <c r="BP29" s="133">
        <f t="shared" si="86"/>
        <v>0</v>
      </c>
      <c r="BQ29" s="133">
        <f t="shared" si="87"/>
        <v>0</v>
      </c>
      <c r="BR29" s="133">
        <f t="shared" si="88"/>
        <v>0</v>
      </c>
      <c r="BS29" s="133">
        <f t="shared" si="89"/>
        <v>0</v>
      </c>
      <c r="BT29" s="133">
        <f t="shared" si="90"/>
        <v>0</v>
      </c>
      <c r="BU29" s="133">
        <f t="shared" si="91"/>
        <v>0</v>
      </c>
      <c r="BV29" s="133">
        <f t="shared" si="92"/>
        <v>0</v>
      </c>
      <c r="BW29" s="133">
        <f t="shared" si="93"/>
        <v>0</v>
      </c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178">
        <v>11</v>
      </c>
      <c r="CT29" s="259">
        <f t="shared" ca="1" si="29"/>
        <v>46517</v>
      </c>
      <c r="CU29" s="179">
        <f t="shared" ref="CU29:DC29" ca="1" si="119">(($AW34/(1+CU$18)^(($AZ34-$AZ$23)/30)))+($AS34/(1+CU$18)^(($AZ34-$AZ$23)/30))</f>
        <v>73.254756851993392</v>
      </c>
      <c r="CV29" s="179">
        <f t="shared" ca="1" si="119"/>
        <v>73.681651682286102</v>
      </c>
      <c r="CW29" s="179">
        <f t="shared" ca="1" si="119"/>
        <v>73.939083072442969</v>
      </c>
      <c r="CX29" s="179">
        <f t="shared" ca="1" si="119"/>
        <v>74.197490180425689</v>
      </c>
      <c r="CY29" s="179">
        <f t="shared" ca="1" si="119"/>
        <v>74.456876993751791</v>
      </c>
      <c r="CZ29" s="179">
        <f t="shared" ca="1" si="119"/>
        <v>74.717247517417562</v>
      </c>
      <c r="DA29" s="179">
        <f t="shared" ca="1" si="119"/>
        <v>74.891376357995469</v>
      </c>
      <c r="DB29" s="179">
        <f t="shared" ca="1" si="119"/>
        <v>75.240955803642208</v>
      </c>
      <c r="DC29" s="179">
        <f t="shared" ca="1" si="119"/>
        <v>75.416408811653511</v>
      </c>
      <c r="DD29" s="179">
        <f t="shared" ref="DD29:DI29" ca="1" si="120">(($AW34/(1+DD$18)^(($AZ34-$AZ$23)/30)))+($AS34/(1+DD$18)^(($AZ34-$AZ$23)/30))</f>
        <v>75.592305617607451</v>
      </c>
      <c r="DE29" s="179">
        <f t="shared" ca="1" si="120"/>
        <v>75.768647431775264</v>
      </c>
      <c r="DF29" s="179" t="e">
        <f t="shared" ca="1" si="120"/>
        <v>#VALUE!</v>
      </c>
      <c r="DG29" s="179" t="e">
        <f t="shared" ca="1" si="120"/>
        <v>#VALUE!</v>
      </c>
      <c r="DH29" s="179" t="e">
        <f t="shared" ca="1" si="120"/>
        <v>#VALUE!</v>
      </c>
      <c r="DI29" s="179" t="e">
        <f t="shared" ca="1" si="120"/>
        <v>#VALUE!</v>
      </c>
      <c r="DJ29" s="179" t="e">
        <f t="shared" ref="DJ29:DQ29" ca="1" si="121">(($AW34/(1+DJ$18)^(($AZ34-$AZ$23)/30)))+($AS34/(1+DJ$18)^(($AZ34-$AZ$23)/30))</f>
        <v>#VALUE!</v>
      </c>
      <c r="DK29" s="179" t="e">
        <f t="shared" ca="1" si="121"/>
        <v>#VALUE!</v>
      </c>
      <c r="DL29" s="179" t="e">
        <f t="shared" ca="1" si="121"/>
        <v>#VALUE!</v>
      </c>
      <c r="DM29" s="179" t="e">
        <f t="shared" ca="1" si="121"/>
        <v>#VALUE!</v>
      </c>
      <c r="DN29" s="179" t="e">
        <f t="shared" ca="1" si="121"/>
        <v>#VALUE!</v>
      </c>
      <c r="DO29" s="179" t="e">
        <f t="shared" ca="1" si="121"/>
        <v>#VALUE!</v>
      </c>
      <c r="DP29" s="179" t="e">
        <f t="shared" ca="1" si="121"/>
        <v>#VALUE!</v>
      </c>
      <c r="DQ29" s="179" t="e">
        <f t="shared" ca="1" si="121"/>
        <v>#VALUE!</v>
      </c>
      <c r="DR29" s="180">
        <f t="shared" ca="1" si="40"/>
        <v>5.7870356057992893</v>
      </c>
      <c r="DS29" s="180">
        <f t="shared" ca="1" si="33"/>
        <v>5.7870356057992893</v>
      </c>
      <c r="DT29" s="180">
        <f t="shared" ca="1" si="33"/>
        <v>5.7870356057992893</v>
      </c>
      <c r="DU29" s="180">
        <f t="shared" ca="1" si="33"/>
        <v>5.7870356057992893</v>
      </c>
      <c r="DV29" s="180">
        <f t="shared" ca="1" si="33"/>
        <v>5.7870356057992893</v>
      </c>
      <c r="DW29" s="180">
        <f t="shared" ca="1" si="33"/>
        <v>5.7870356057992893</v>
      </c>
      <c r="DX29" s="180">
        <f t="shared" ca="1" si="33"/>
        <v>5.7870356057992893</v>
      </c>
      <c r="DY29" s="180">
        <f t="shared" ca="1" si="33"/>
        <v>5.7870356057992893</v>
      </c>
      <c r="DZ29" s="180">
        <f t="shared" ca="1" si="33"/>
        <v>5.7870356057992893</v>
      </c>
      <c r="EA29" s="180">
        <f t="shared" ca="1" si="33"/>
        <v>5.7870356057992893</v>
      </c>
      <c r="EB29" s="180">
        <f t="shared" ca="1" si="33"/>
        <v>5.7870356057992893</v>
      </c>
      <c r="EC29" s="180">
        <f t="shared" ca="1" si="33"/>
        <v>5.7870356057992893</v>
      </c>
      <c r="ED29" s="180">
        <f t="shared" ca="1" si="33"/>
        <v>5.7870356057992893</v>
      </c>
      <c r="EE29" s="180">
        <f t="shared" ca="1" si="33"/>
        <v>5.7870356057992893</v>
      </c>
      <c r="EF29" s="180">
        <f t="shared" ca="1" si="33"/>
        <v>5.7870356057992893</v>
      </c>
      <c r="EG29" s="180">
        <f t="shared" ref="EG29:EO29" ca="1" si="122">IF($AU34&gt;$BA$19,0,$BA34-$AS34)</f>
        <v>5.7870356057992893</v>
      </c>
      <c r="EH29" s="180">
        <f t="shared" ca="1" si="122"/>
        <v>5.7870356057992893</v>
      </c>
      <c r="EI29" s="180">
        <f t="shared" ca="1" si="122"/>
        <v>5.7870356057992893</v>
      </c>
      <c r="EJ29" s="180">
        <f t="shared" ca="1" si="122"/>
        <v>5.7870356057992893</v>
      </c>
      <c r="EK29" s="180">
        <f t="shared" ca="1" si="122"/>
        <v>5.7870356057992893</v>
      </c>
      <c r="EL29" s="180">
        <f t="shared" ca="1" si="122"/>
        <v>5.7870356057992893</v>
      </c>
      <c r="EM29" s="180">
        <f t="shared" ca="1" si="122"/>
        <v>5.7870356057992893</v>
      </c>
      <c r="EN29" s="180">
        <f t="shared" ca="1" si="122"/>
        <v>5.7870356057992893</v>
      </c>
      <c r="EO29" s="180">
        <f t="shared" ca="1" si="122"/>
        <v>5.7870356057992893</v>
      </c>
      <c r="EP29" s="87"/>
      <c r="EQ29" s="259">
        <f t="shared" ca="1" si="42"/>
        <v>46487</v>
      </c>
      <c r="ER29" s="87">
        <f t="shared" ref="ER29:FF38" ca="1" si="123" xml:space="preserve"> IFERROR(VLOOKUP($EQ29,$AZ$23:$BA$167,2,FALSE),0)-IFERROR(VLOOKUP($EQ29,$AR$23:$AS$167,2,FALSE),0)</f>
        <v>5.7870356057992893</v>
      </c>
      <c r="ES29" s="87">
        <f t="shared" ca="1" si="123"/>
        <v>5.7870356057992893</v>
      </c>
      <c r="ET29" s="87">
        <f t="shared" ca="1" si="123"/>
        <v>5.7870356057992893</v>
      </c>
      <c r="EU29" s="87">
        <f t="shared" ca="1" si="123"/>
        <v>5.7870356057992893</v>
      </c>
      <c r="EV29" s="87">
        <f t="shared" ca="1" si="123"/>
        <v>5.7870356057992893</v>
      </c>
      <c r="EW29" s="87">
        <f t="shared" ca="1" si="123"/>
        <v>5.7870356057992893</v>
      </c>
      <c r="EX29" s="87">
        <f t="shared" ca="1" si="123"/>
        <v>5.7870356057992893</v>
      </c>
      <c r="EY29" s="87">
        <f t="shared" ca="1" si="123"/>
        <v>5.7870356057992893</v>
      </c>
      <c r="EZ29" s="87">
        <f t="shared" ca="1" si="123"/>
        <v>5.7870356057992893</v>
      </c>
      <c r="FA29" s="87">
        <f t="shared" ca="1" si="123"/>
        <v>5.7870356057992893</v>
      </c>
      <c r="FB29" s="87">
        <f t="shared" ca="1" si="123"/>
        <v>5.7870356057992893</v>
      </c>
      <c r="FC29" s="87">
        <f t="shared" ca="1" si="123"/>
        <v>5.7870356057992893</v>
      </c>
      <c r="FD29" s="87">
        <f t="shared" ca="1" si="123"/>
        <v>5.7870356057992893</v>
      </c>
      <c r="FE29" s="87">
        <f t="shared" ca="1" si="123"/>
        <v>5.7870356057992893</v>
      </c>
      <c r="FF29" s="87">
        <f t="shared" ca="1" si="123"/>
        <v>5.7870356057992893</v>
      </c>
      <c r="FG29" s="87">
        <f t="shared" ca="1" si="36"/>
        <v>5.7870356057992893</v>
      </c>
      <c r="FH29" s="87">
        <f t="shared" ca="1" si="36"/>
        <v>5.7870356057992893</v>
      </c>
      <c r="FI29" s="87">
        <f t="shared" ca="1" si="36"/>
        <v>5.7870356057992893</v>
      </c>
      <c r="FJ29" s="87">
        <f t="shared" ca="1" si="36"/>
        <v>5.7870356057992893</v>
      </c>
      <c r="FK29" s="87">
        <f t="shared" ca="1" si="36"/>
        <v>5.7870356057992893</v>
      </c>
      <c r="FL29" s="87">
        <f t="shared" ca="1" si="36"/>
        <v>5.7870356057992893</v>
      </c>
      <c r="FM29" s="87">
        <f t="shared" ca="1" si="36"/>
        <v>5.7870356057992893</v>
      </c>
      <c r="FN29" s="87">
        <f t="shared" ca="1" si="36"/>
        <v>5.7870356057992893</v>
      </c>
      <c r="FO29" s="87">
        <f t="shared" ca="1" si="36"/>
        <v>5.7870356057992893</v>
      </c>
      <c r="FP29" s="87">
        <f t="shared" ca="1" si="36"/>
        <v>5.7870356057992893</v>
      </c>
      <c r="FQ29" s="87"/>
    </row>
    <row r="30" spans="1:173" customFormat="1" ht="18.75" customHeight="1" thickBot="1" x14ac:dyDescent="0.3">
      <c r="A30" s="133" t="str">
        <f t="shared" si="102"/>
        <v>NÃO</v>
      </c>
      <c r="B30" s="146" t="str">
        <f t="shared" si="117"/>
        <v/>
      </c>
      <c r="C30" s="64">
        <v>3</v>
      </c>
      <c r="D30" s="32" t="str">
        <f t="shared" si="107"/>
        <v>INSS</v>
      </c>
      <c r="E30" s="627" t="str">
        <f>IFERROR(VLOOKUP(CONCATENATE(C30,D30),'Base tabelas'!$B:$K,10,FALSE),"")</f>
        <v xml:space="preserve">805973 - RFN - INSS 3   </v>
      </c>
      <c r="F30" s="628"/>
      <c r="G30" s="629"/>
      <c r="H30" s="33">
        <f>IFERROR(VLOOKUP(CONCATENATE(C30,D30),'Base tabelas'!$B:$E,4,FALSE),"")</f>
        <v>1.77E-2</v>
      </c>
      <c r="I30" s="34">
        <f t="shared" ref="I30:I34" ca="1" si="124">IFERROR((PMT(H30,$BA$19,-1,0,0)*(H30+1)^(($BF$10-30)/30))*1.03017,"")</f>
        <v>2.2665267520179107E-2</v>
      </c>
      <c r="J30" s="35">
        <f ca="1">IFERROR(CW163,"")</f>
        <v>4097.8366155040594</v>
      </c>
      <c r="K30" s="36">
        <f t="shared" ca="1" si="108"/>
        <v>3304.6532608733751</v>
      </c>
      <c r="L30" s="102">
        <f ca="1">IFERROR(DT17*-1,"")</f>
        <v>769.11766295676705</v>
      </c>
      <c r="M30" s="37" t="str">
        <f t="shared" ca="1" si="109"/>
        <v>TAB disponivel</v>
      </c>
      <c r="N30" s="304">
        <f>IFERROR(VLOOKUP(CONCATENATE(C30,D30),'Base tabelas'!$B:$O,14,FALSE),"")</f>
        <v>20</v>
      </c>
      <c r="O30" s="186">
        <f ca="1">ET168</f>
        <v>1.6492596602848852E-2</v>
      </c>
      <c r="P30" s="375">
        <f t="shared" ca="1" si="110"/>
        <v>1.77E-2</v>
      </c>
      <c r="Q30" s="303">
        <f t="shared" ca="1" si="111"/>
        <v>1.6286439145313244E-2</v>
      </c>
      <c r="R30" s="176">
        <f t="shared" ca="1" si="112"/>
        <v>0</v>
      </c>
      <c r="S30" s="176"/>
      <c r="T30" s="176"/>
      <c r="U30" s="176"/>
      <c r="V30" s="98">
        <f t="shared" si="118"/>
        <v>1.8000000000000002E-2</v>
      </c>
      <c r="W30" s="98">
        <v>1.8200000000000001E-2</v>
      </c>
      <c r="X30" s="87">
        <v>15</v>
      </c>
      <c r="Y30" s="377">
        <f t="shared" ca="1" si="4"/>
        <v>85.212964394200711</v>
      </c>
      <c r="Z30" s="377">
        <f t="shared" si="5"/>
        <v>0</v>
      </c>
      <c r="AA30" s="377">
        <f t="shared" si="6"/>
        <v>0</v>
      </c>
      <c r="AB30" s="377">
        <f t="shared" si="7"/>
        <v>0</v>
      </c>
      <c r="AC30" s="377">
        <f t="shared" si="8"/>
        <v>0</v>
      </c>
      <c r="AD30" s="377">
        <f t="shared" si="9"/>
        <v>0</v>
      </c>
      <c r="AE30" s="377">
        <f t="shared" si="10"/>
        <v>0</v>
      </c>
      <c r="AF30" s="377">
        <f t="shared" si="11"/>
        <v>0</v>
      </c>
      <c r="AG30" s="377">
        <f t="shared" si="12"/>
        <v>0</v>
      </c>
      <c r="AH30" s="377">
        <f t="shared" si="13"/>
        <v>0</v>
      </c>
      <c r="AI30" s="377">
        <f t="shared" si="14"/>
        <v>0</v>
      </c>
      <c r="AJ30" s="377">
        <f t="shared" si="15"/>
        <v>0</v>
      </c>
      <c r="AK30" s="377">
        <f t="shared" si="16"/>
        <v>0</v>
      </c>
      <c r="AL30" s="377">
        <f t="shared" si="17"/>
        <v>0</v>
      </c>
      <c r="AM30" s="377">
        <f t="shared" si="18"/>
        <v>0</v>
      </c>
      <c r="AN30" s="377">
        <f t="shared" si="19"/>
        <v>0</v>
      </c>
      <c r="AO30" s="377">
        <f t="shared" si="20"/>
        <v>0</v>
      </c>
      <c r="AP30" s="87"/>
      <c r="AQ30" s="138">
        <v>7</v>
      </c>
      <c r="AR30" s="258">
        <f t="shared" ca="1" si="69"/>
        <v>46366</v>
      </c>
      <c r="AS30" s="378">
        <f t="shared" ca="1" si="70"/>
        <v>85.212964394200711</v>
      </c>
      <c r="AT30" s="138"/>
      <c r="AU30" s="138">
        <v>7</v>
      </c>
      <c r="AV30" s="258">
        <f t="shared" ca="1" si="71"/>
        <v>46397</v>
      </c>
      <c r="AW30" s="378">
        <f t="shared" ca="1" si="72"/>
        <v>5.7870356057992893</v>
      </c>
      <c r="AX30" s="202">
        <f t="shared" ca="1" si="73"/>
        <v>5.01</v>
      </c>
      <c r="AY30" s="138">
        <v>7</v>
      </c>
      <c r="AZ30" s="258">
        <f t="shared" ca="1" si="74"/>
        <v>46397</v>
      </c>
      <c r="BA30" s="378">
        <f t="shared" si="75"/>
        <v>91</v>
      </c>
      <c r="BB30" s="87"/>
      <c r="BC30" s="258">
        <f t="shared" ca="1" si="61"/>
        <v>46366</v>
      </c>
      <c r="BD30" s="302">
        <f t="shared" ca="1" si="76"/>
        <v>5.7870356057992893</v>
      </c>
      <c r="BE30" s="133">
        <f t="shared" si="62"/>
        <v>7</v>
      </c>
      <c r="BF30" s="379">
        <f t="shared" ca="1" si="63"/>
        <v>46366</v>
      </c>
      <c r="BG30" s="133">
        <f t="shared" si="77"/>
        <v>91</v>
      </c>
      <c r="BH30" s="133">
        <f t="shared" si="78"/>
        <v>0</v>
      </c>
      <c r="BI30" s="133">
        <f t="shared" si="79"/>
        <v>0</v>
      </c>
      <c r="BJ30" s="133">
        <f t="shared" si="80"/>
        <v>0</v>
      </c>
      <c r="BK30" s="133">
        <f t="shared" si="81"/>
        <v>0</v>
      </c>
      <c r="BL30" s="133">
        <f t="shared" si="82"/>
        <v>0</v>
      </c>
      <c r="BM30" s="133">
        <f t="shared" si="83"/>
        <v>0</v>
      </c>
      <c r="BN30" s="133">
        <f t="shared" si="84"/>
        <v>0</v>
      </c>
      <c r="BO30" s="133">
        <f t="shared" si="85"/>
        <v>0</v>
      </c>
      <c r="BP30" s="133">
        <f t="shared" si="86"/>
        <v>0</v>
      </c>
      <c r="BQ30" s="133">
        <f t="shared" si="87"/>
        <v>0</v>
      </c>
      <c r="BR30" s="133">
        <f t="shared" si="88"/>
        <v>0</v>
      </c>
      <c r="BS30" s="133">
        <f t="shared" si="89"/>
        <v>0</v>
      </c>
      <c r="BT30" s="133">
        <f t="shared" si="90"/>
        <v>0</v>
      </c>
      <c r="BU30" s="133">
        <f t="shared" si="91"/>
        <v>0</v>
      </c>
      <c r="BV30" s="133">
        <f t="shared" si="92"/>
        <v>0</v>
      </c>
      <c r="BW30" s="133">
        <f t="shared" si="93"/>
        <v>0</v>
      </c>
      <c r="BX30" s="267"/>
      <c r="BY30" s="267"/>
      <c r="BZ30" s="267"/>
      <c r="CA30" s="267"/>
      <c r="CB30" s="267"/>
      <c r="CC30" s="267"/>
      <c r="CD30" s="267"/>
      <c r="CE30" s="267"/>
      <c r="CF30" s="267"/>
      <c r="CG30" s="26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138">
        <v>12</v>
      </c>
      <c r="CT30" s="259">
        <f t="shared" ca="1" si="29"/>
        <v>46548</v>
      </c>
      <c r="CU30" s="179">
        <f t="shared" ref="CU30:DC30" ca="1" si="125">(($AW35/(1+CU$18)^(($AZ35-$AZ$23)/30)))+($AS35/(1+CU$18)^(($AZ35-$AZ$23)/30))</f>
        <v>71.88022536270195</v>
      </c>
      <c r="CV30" s="179">
        <f t="shared" ca="1" si="125"/>
        <v>72.335804407101548</v>
      </c>
      <c r="CW30" s="179">
        <f t="shared" ca="1" si="125"/>
        <v>72.610644819506149</v>
      </c>
      <c r="CX30" s="179">
        <f t="shared" ca="1" si="125"/>
        <v>72.886610982341054</v>
      </c>
      <c r="CY30" s="179">
        <f t="shared" ca="1" si="125"/>
        <v>73.163707840687835</v>
      </c>
      <c r="CZ30" s="179">
        <f t="shared" ca="1" si="125"/>
        <v>73.441940362817732</v>
      </c>
      <c r="DA30" s="179">
        <f t="shared" ca="1" si="125"/>
        <v>73.628062099242356</v>
      </c>
      <c r="DB30" s="179">
        <f t="shared" ca="1" si="125"/>
        <v>74.001832388159727</v>
      </c>
      <c r="DC30" s="179">
        <f t="shared" ca="1" si="125"/>
        <v>74.189483924122484</v>
      </c>
      <c r="DD30" s="179">
        <f t="shared" ref="DD30:DI30" ca="1" si="126">(($AW35/(1+DD$18)^(($AZ35-$AZ$23)/30)))+($AS35/(1+DD$18)^(($AZ35-$AZ$23)/30))</f>
        <v>74.377648384512469</v>
      </c>
      <c r="DE30" s="179">
        <f t="shared" ca="1" si="126"/>
        <v>74.566327272754705</v>
      </c>
      <c r="DF30" s="179" t="e">
        <f t="shared" ca="1" si="126"/>
        <v>#VALUE!</v>
      </c>
      <c r="DG30" s="179" t="e">
        <f t="shared" ca="1" si="126"/>
        <v>#VALUE!</v>
      </c>
      <c r="DH30" s="179" t="e">
        <f t="shared" ca="1" si="126"/>
        <v>#VALUE!</v>
      </c>
      <c r="DI30" s="179" t="e">
        <f t="shared" ca="1" si="126"/>
        <v>#VALUE!</v>
      </c>
      <c r="DJ30" s="179" t="e">
        <f t="shared" ref="DJ30:DQ30" ca="1" si="127">(($AW35/(1+DJ$18)^(($AZ35-$AZ$23)/30)))+($AS35/(1+DJ$18)^(($AZ35-$AZ$23)/30))</f>
        <v>#VALUE!</v>
      </c>
      <c r="DK30" s="179" t="e">
        <f t="shared" ca="1" si="127"/>
        <v>#VALUE!</v>
      </c>
      <c r="DL30" s="179" t="e">
        <f t="shared" ca="1" si="127"/>
        <v>#VALUE!</v>
      </c>
      <c r="DM30" s="179" t="e">
        <f t="shared" ca="1" si="127"/>
        <v>#VALUE!</v>
      </c>
      <c r="DN30" s="179" t="e">
        <f t="shared" ca="1" si="127"/>
        <v>#VALUE!</v>
      </c>
      <c r="DO30" s="179" t="e">
        <f t="shared" ca="1" si="127"/>
        <v>#VALUE!</v>
      </c>
      <c r="DP30" s="179" t="e">
        <f t="shared" ca="1" si="127"/>
        <v>#VALUE!</v>
      </c>
      <c r="DQ30" s="179" t="e">
        <f t="shared" ca="1" si="127"/>
        <v>#VALUE!</v>
      </c>
      <c r="DR30" s="180">
        <f t="shared" ca="1" si="40"/>
        <v>5.7870356057992893</v>
      </c>
      <c r="DS30" s="180">
        <f t="shared" ca="1" si="33"/>
        <v>5.7870356057992893</v>
      </c>
      <c r="DT30" s="180">
        <f t="shared" ca="1" si="33"/>
        <v>5.7870356057992893</v>
      </c>
      <c r="DU30" s="180">
        <f t="shared" ca="1" si="33"/>
        <v>5.7870356057992893</v>
      </c>
      <c r="DV30" s="180">
        <f t="shared" ca="1" si="33"/>
        <v>5.7870356057992893</v>
      </c>
      <c r="DW30" s="180">
        <f t="shared" ca="1" si="33"/>
        <v>5.7870356057992893</v>
      </c>
      <c r="DX30" s="180">
        <f t="shared" ca="1" si="33"/>
        <v>5.7870356057992893</v>
      </c>
      <c r="DY30" s="180">
        <f t="shared" ca="1" si="33"/>
        <v>5.7870356057992893</v>
      </c>
      <c r="DZ30" s="180">
        <f t="shared" ca="1" si="33"/>
        <v>5.7870356057992893</v>
      </c>
      <c r="EA30" s="180">
        <f t="shared" ca="1" si="33"/>
        <v>5.7870356057992893</v>
      </c>
      <c r="EB30" s="180">
        <f t="shared" ca="1" si="33"/>
        <v>5.7870356057992893</v>
      </c>
      <c r="EC30" s="180">
        <f t="shared" ca="1" si="33"/>
        <v>5.7870356057992893</v>
      </c>
      <c r="ED30" s="180">
        <f t="shared" ca="1" si="33"/>
        <v>5.7870356057992893</v>
      </c>
      <c r="EE30" s="180">
        <f t="shared" ca="1" si="33"/>
        <v>5.7870356057992893</v>
      </c>
      <c r="EF30" s="180">
        <f t="shared" ca="1" si="33"/>
        <v>5.7870356057992893</v>
      </c>
      <c r="EG30" s="180">
        <f t="shared" ref="EG30:EO30" ca="1" si="128">IF($AU35&gt;$BA$19,0,$BA35-$AS35)</f>
        <v>5.7870356057992893</v>
      </c>
      <c r="EH30" s="180">
        <f t="shared" ca="1" si="128"/>
        <v>5.7870356057992893</v>
      </c>
      <c r="EI30" s="180">
        <f t="shared" ca="1" si="128"/>
        <v>5.7870356057992893</v>
      </c>
      <c r="EJ30" s="180">
        <f t="shared" ca="1" si="128"/>
        <v>5.7870356057992893</v>
      </c>
      <c r="EK30" s="180">
        <f t="shared" ca="1" si="128"/>
        <v>5.7870356057992893</v>
      </c>
      <c r="EL30" s="180">
        <f t="shared" ca="1" si="128"/>
        <v>5.7870356057992893</v>
      </c>
      <c r="EM30" s="180">
        <f t="shared" ca="1" si="128"/>
        <v>5.7870356057992893</v>
      </c>
      <c r="EN30" s="180">
        <f t="shared" ca="1" si="128"/>
        <v>5.7870356057992893</v>
      </c>
      <c r="EO30" s="180">
        <f t="shared" ca="1" si="128"/>
        <v>5.7870356057992893</v>
      </c>
      <c r="EP30" s="87"/>
      <c r="EQ30" s="259">
        <f t="shared" ca="1" si="42"/>
        <v>46517</v>
      </c>
      <c r="ER30" s="87">
        <f t="shared" ca="1" si="123"/>
        <v>5.7870356057992893</v>
      </c>
      <c r="ES30" s="87">
        <f t="shared" ca="1" si="123"/>
        <v>5.7870356057992893</v>
      </c>
      <c r="ET30" s="87">
        <f t="shared" ca="1" si="123"/>
        <v>5.7870356057992893</v>
      </c>
      <c r="EU30" s="87">
        <f t="shared" ca="1" si="123"/>
        <v>5.7870356057992893</v>
      </c>
      <c r="EV30" s="87">
        <f t="shared" ca="1" si="123"/>
        <v>5.7870356057992893</v>
      </c>
      <c r="EW30" s="87">
        <f t="shared" ca="1" si="123"/>
        <v>5.7870356057992893</v>
      </c>
      <c r="EX30" s="87">
        <f t="shared" ca="1" si="123"/>
        <v>5.7870356057992893</v>
      </c>
      <c r="EY30" s="87">
        <f t="shared" ca="1" si="123"/>
        <v>5.7870356057992893</v>
      </c>
      <c r="EZ30" s="87">
        <f t="shared" ca="1" si="123"/>
        <v>5.7870356057992893</v>
      </c>
      <c r="FA30" s="87">
        <f t="shared" ca="1" si="123"/>
        <v>5.7870356057992893</v>
      </c>
      <c r="FB30" s="87">
        <f t="shared" ca="1" si="123"/>
        <v>5.7870356057992893</v>
      </c>
      <c r="FC30" s="87">
        <f t="shared" ca="1" si="123"/>
        <v>5.7870356057992893</v>
      </c>
      <c r="FD30" s="87">
        <f t="shared" ca="1" si="123"/>
        <v>5.7870356057992893</v>
      </c>
      <c r="FE30" s="87">
        <f t="shared" ca="1" si="123"/>
        <v>5.7870356057992893</v>
      </c>
      <c r="FF30" s="87">
        <f t="shared" ca="1" si="123"/>
        <v>5.7870356057992893</v>
      </c>
      <c r="FG30" s="87">
        <f t="shared" ca="1" si="36"/>
        <v>5.7870356057992893</v>
      </c>
      <c r="FH30" s="87">
        <f t="shared" ca="1" si="36"/>
        <v>5.7870356057992893</v>
      </c>
      <c r="FI30" s="87">
        <f t="shared" ca="1" si="36"/>
        <v>5.7870356057992893</v>
      </c>
      <c r="FJ30" s="87">
        <f t="shared" ca="1" si="36"/>
        <v>5.7870356057992893</v>
      </c>
      <c r="FK30" s="87">
        <f t="shared" ca="1" si="36"/>
        <v>5.7870356057992893</v>
      </c>
      <c r="FL30" s="87">
        <f t="shared" ca="1" si="36"/>
        <v>5.7870356057992893</v>
      </c>
      <c r="FM30" s="87">
        <f t="shared" ca="1" si="36"/>
        <v>5.7870356057992893</v>
      </c>
      <c r="FN30" s="87">
        <f t="shared" ca="1" si="36"/>
        <v>5.7870356057992893</v>
      </c>
      <c r="FO30" s="87">
        <f t="shared" ca="1" si="36"/>
        <v>5.7870356057992893</v>
      </c>
      <c r="FP30" s="87">
        <f t="shared" ca="1" si="36"/>
        <v>5.7870356057992893</v>
      </c>
      <c r="FQ30" s="87"/>
    </row>
    <row r="31" spans="1:173" customFormat="1" ht="18.75" customHeight="1" thickBot="1" x14ac:dyDescent="0.3">
      <c r="A31" s="133" t="str">
        <f t="shared" si="102"/>
        <v>NÃO</v>
      </c>
      <c r="B31" s="147" t="s">
        <v>3959</v>
      </c>
      <c r="C31" s="64">
        <v>4</v>
      </c>
      <c r="D31" s="32" t="str">
        <f t="shared" si="107"/>
        <v>INSS</v>
      </c>
      <c r="E31" s="627" t="str">
        <f>IFERROR(VLOOKUP(CONCATENATE(C31,D31),'Base tabelas'!$B:$K,10,FALSE),"")</f>
        <v xml:space="preserve">805974 - RFN - INSS 4   </v>
      </c>
      <c r="F31" s="628"/>
      <c r="G31" s="629"/>
      <c r="H31" s="33">
        <f>IFERROR(VLOOKUP(CONCATENATE(C31,D31),'Base tabelas'!$B:$E,4,FALSE),"")</f>
        <v>1.7399999999999999E-2</v>
      </c>
      <c r="I31" s="34">
        <f t="shared" ca="1" si="124"/>
        <v>2.2423182468891668E-2</v>
      </c>
      <c r="J31" s="35">
        <f ca="1">IFERROR(CX163,"")</f>
        <v>4142.5157419769203</v>
      </c>
      <c r="K31" s="36">
        <f t="shared" ca="1" si="108"/>
        <v>3304.6532608733751</v>
      </c>
      <c r="L31" s="102">
        <f ca="1">IFERROR(DU17*-1,"")</f>
        <v>812.44119607825655</v>
      </c>
      <c r="M31" s="37" t="str">
        <f t="shared" ca="1" si="109"/>
        <v>TAB disponivel</v>
      </c>
      <c r="N31" s="304">
        <f>IFERROR(VLOOKUP(CONCATENATE(C31,D31),'Base tabelas'!$B:$O,14,FALSE),"")</f>
        <v>20</v>
      </c>
      <c r="O31" s="186">
        <f ca="1">EU168</f>
        <v>1.576426701527911E-2</v>
      </c>
      <c r="P31" s="375">
        <f t="shared" ca="1" si="110"/>
        <v>1.7399999999999999E-2</v>
      </c>
      <c r="Q31" s="303">
        <f t="shared" ca="1" si="111"/>
        <v>1.5567213677588121E-2</v>
      </c>
      <c r="R31" s="176">
        <f t="shared" ca="1" si="112"/>
        <v>0</v>
      </c>
      <c r="S31" s="176"/>
      <c r="T31" s="176"/>
      <c r="U31" s="176"/>
      <c r="V31" s="98">
        <f t="shared" si="118"/>
        <v>1.7500000000000002E-2</v>
      </c>
      <c r="W31" s="98">
        <v>1.77E-2</v>
      </c>
      <c r="X31" s="87">
        <v>16</v>
      </c>
      <c r="Y31" s="377">
        <f t="shared" ca="1" si="4"/>
        <v>85.212964394200711</v>
      </c>
      <c r="Z31" s="377">
        <f t="shared" si="5"/>
        <v>0</v>
      </c>
      <c r="AA31" s="377">
        <f t="shared" si="6"/>
        <v>0</v>
      </c>
      <c r="AB31" s="377">
        <f t="shared" si="7"/>
        <v>0</v>
      </c>
      <c r="AC31" s="377">
        <f t="shared" si="8"/>
        <v>0</v>
      </c>
      <c r="AD31" s="377">
        <f t="shared" si="9"/>
        <v>0</v>
      </c>
      <c r="AE31" s="377">
        <f t="shared" si="10"/>
        <v>0</v>
      </c>
      <c r="AF31" s="377">
        <f t="shared" si="11"/>
        <v>0</v>
      </c>
      <c r="AG31" s="377">
        <f t="shared" si="12"/>
        <v>0</v>
      </c>
      <c r="AH31" s="377">
        <f t="shared" si="13"/>
        <v>0</v>
      </c>
      <c r="AI31" s="377">
        <f t="shared" si="14"/>
        <v>0</v>
      </c>
      <c r="AJ31" s="377">
        <f t="shared" si="15"/>
        <v>0</v>
      </c>
      <c r="AK31" s="377">
        <f t="shared" si="16"/>
        <v>0</v>
      </c>
      <c r="AL31" s="377">
        <f t="shared" si="17"/>
        <v>0</v>
      </c>
      <c r="AM31" s="377">
        <f t="shared" si="18"/>
        <v>0</v>
      </c>
      <c r="AN31" s="377">
        <f t="shared" si="19"/>
        <v>0</v>
      </c>
      <c r="AO31" s="377">
        <f t="shared" si="20"/>
        <v>0</v>
      </c>
      <c r="AP31" s="87"/>
      <c r="AQ31" s="138">
        <v>8</v>
      </c>
      <c r="AR31" s="258">
        <f t="shared" ca="1" si="69"/>
        <v>46397</v>
      </c>
      <c r="AS31" s="378">
        <f t="shared" ca="1" si="70"/>
        <v>85.212964394200711</v>
      </c>
      <c r="AT31" s="138"/>
      <c r="AU31" s="138">
        <v>8</v>
      </c>
      <c r="AV31" s="258">
        <f t="shared" ca="1" si="71"/>
        <v>46428</v>
      </c>
      <c r="AW31" s="378">
        <f t="shared" ca="1" si="72"/>
        <v>5.7870356057992893</v>
      </c>
      <c r="AX31" s="202">
        <f t="shared" ca="1" si="73"/>
        <v>4.92</v>
      </c>
      <c r="AY31" s="138">
        <v>8</v>
      </c>
      <c r="AZ31" s="258">
        <f t="shared" ca="1" si="74"/>
        <v>46428</v>
      </c>
      <c r="BA31" s="378">
        <f t="shared" si="75"/>
        <v>91</v>
      </c>
      <c r="BB31" s="87"/>
      <c r="BC31" s="258">
        <f t="shared" ca="1" si="61"/>
        <v>46397</v>
      </c>
      <c r="BD31" s="302">
        <f t="shared" ca="1" si="76"/>
        <v>5.7870356057992893</v>
      </c>
      <c r="BE31" s="133">
        <f t="shared" si="62"/>
        <v>8</v>
      </c>
      <c r="BF31" s="379">
        <f t="shared" ca="1" si="63"/>
        <v>46397</v>
      </c>
      <c r="BG31" s="133">
        <f t="shared" si="77"/>
        <v>91</v>
      </c>
      <c r="BH31" s="133">
        <f t="shared" si="78"/>
        <v>0</v>
      </c>
      <c r="BI31" s="133">
        <f t="shared" si="79"/>
        <v>0</v>
      </c>
      <c r="BJ31" s="133">
        <f t="shared" si="80"/>
        <v>0</v>
      </c>
      <c r="BK31" s="133">
        <f t="shared" si="81"/>
        <v>0</v>
      </c>
      <c r="BL31" s="133">
        <f t="shared" si="82"/>
        <v>0</v>
      </c>
      <c r="BM31" s="133">
        <f t="shared" si="83"/>
        <v>0</v>
      </c>
      <c r="BN31" s="133">
        <f t="shared" si="84"/>
        <v>0</v>
      </c>
      <c r="BO31" s="133">
        <f t="shared" si="85"/>
        <v>0</v>
      </c>
      <c r="BP31" s="133">
        <f t="shared" si="86"/>
        <v>0</v>
      </c>
      <c r="BQ31" s="133">
        <f t="shared" si="87"/>
        <v>0</v>
      </c>
      <c r="BR31" s="133">
        <f t="shared" si="88"/>
        <v>0</v>
      </c>
      <c r="BS31" s="133">
        <f t="shared" si="89"/>
        <v>0</v>
      </c>
      <c r="BT31" s="133">
        <f t="shared" si="90"/>
        <v>0</v>
      </c>
      <c r="BU31" s="133">
        <f t="shared" si="91"/>
        <v>0</v>
      </c>
      <c r="BV31" s="133">
        <f t="shared" si="92"/>
        <v>0</v>
      </c>
      <c r="BW31" s="133">
        <f t="shared" si="93"/>
        <v>0</v>
      </c>
      <c r="BX31" s="267"/>
      <c r="BY31" s="267"/>
      <c r="BZ31" s="267"/>
      <c r="CA31" s="267"/>
      <c r="CB31" s="267"/>
      <c r="CC31" s="267"/>
      <c r="CD31" s="267"/>
      <c r="CE31" s="267"/>
      <c r="CF31" s="267"/>
      <c r="CG31" s="26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>
        <v>13</v>
      </c>
      <c r="CT31" s="259">
        <f t="shared" ca="1" si="29"/>
        <v>46578</v>
      </c>
      <c r="CU31" s="179">
        <f t="shared" ref="CU31:DC31" ca="1" si="129">(($AW36/(1+CU$18)^(($AZ36-$AZ$23)/30)))+($AS36/(1+CU$18)^(($AZ36-$AZ$23)/30))</f>
        <v>70.574595348750066</v>
      </c>
      <c r="CV31" s="179">
        <f t="shared" ca="1" si="129"/>
        <v>71.056782325247099</v>
      </c>
      <c r="CW31" s="179">
        <f t="shared" ca="1" si="129"/>
        <v>71.347788955002613</v>
      </c>
      <c r="CX31" s="179">
        <f t="shared" ca="1" si="129"/>
        <v>71.640073699961718</v>
      </c>
      <c r="CY31" s="179">
        <f t="shared" ca="1" si="129"/>
        <v>71.933642553031007</v>
      </c>
      <c r="CZ31" s="179">
        <f t="shared" ca="1" si="129"/>
        <v>72.228501536996205</v>
      </c>
      <c r="DA31" s="179">
        <f t="shared" ca="1" si="129"/>
        <v>72.425793920167578</v>
      </c>
      <c r="DB31" s="179">
        <f t="shared" ca="1" si="129"/>
        <v>72.822114139106191</v>
      </c>
      <c r="DC31" s="179">
        <f t="shared" ca="1" si="129"/>
        <v>73.02114559460874</v>
      </c>
      <c r="DD31" s="179">
        <f t="shared" ref="DD31:DI31" ca="1" si="130">(($AW36/(1+DD$18)^(($AZ36-$AZ$23)/30)))+($AS36/(1+DD$18)^(($AZ36-$AZ$23)/30))</f>
        <v>73.220760370656109</v>
      </c>
      <c r="DE31" s="179">
        <f t="shared" ca="1" si="130"/>
        <v>73.42096029219644</v>
      </c>
      <c r="DF31" s="179" t="e">
        <f t="shared" ca="1" si="130"/>
        <v>#VALUE!</v>
      </c>
      <c r="DG31" s="179" t="e">
        <f t="shared" ca="1" si="130"/>
        <v>#VALUE!</v>
      </c>
      <c r="DH31" s="179" t="e">
        <f t="shared" ca="1" si="130"/>
        <v>#VALUE!</v>
      </c>
      <c r="DI31" s="179" t="e">
        <f t="shared" ca="1" si="130"/>
        <v>#VALUE!</v>
      </c>
      <c r="DJ31" s="179" t="e">
        <f t="shared" ref="DJ31:DQ31" ca="1" si="131">(($AW36/(1+DJ$18)^(($AZ36-$AZ$23)/30)))+($AS36/(1+DJ$18)^(($AZ36-$AZ$23)/30))</f>
        <v>#VALUE!</v>
      </c>
      <c r="DK31" s="179" t="e">
        <f t="shared" ca="1" si="131"/>
        <v>#VALUE!</v>
      </c>
      <c r="DL31" s="179" t="e">
        <f t="shared" ca="1" si="131"/>
        <v>#VALUE!</v>
      </c>
      <c r="DM31" s="179" t="e">
        <f t="shared" ca="1" si="131"/>
        <v>#VALUE!</v>
      </c>
      <c r="DN31" s="179" t="e">
        <f t="shared" ca="1" si="131"/>
        <v>#VALUE!</v>
      </c>
      <c r="DO31" s="179" t="e">
        <f t="shared" ca="1" si="131"/>
        <v>#VALUE!</v>
      </c>
      <c r="DP31" s="179" t="e">
        <f t="shared" ca="1" si="131"/>
        <v>#VALUE!</v>
      </c>
      <c r="DQ31" s="179" t="e">
        <f t="shared" ca="1" si="131"/>
        <v>#VALUE!</v>
      </c>
      <c r="DR31" s="180">
        <f t="shared" ca="1" si="40"/>
        <v>5.7870356057992893</v>
      </c>
      <c r="DS31" s="180">
        <f t="shared" ca="1" si="33"/>
        <v>5.7870356057992893</v>
      </c>
      <c r="DT31" s="180">
        <f t="shared" ca="1" si="33"/>
        <v>5.7870356057992893</v>
      </c>
      <c r="DU31" s="180">
        <f t="shared" ca="1" si="33"/>
        <v>5.7870356057992893</v>
      </c>
      <c r="DV31" s="180">
        <f t="shared" ca="1" si="33"/>
        <v>5.7870356057992893</v>
      </c>
      <c r="DW31" s="180">
        <f t="shared" ca="1" si="33"/>
        <v>5.7870356057992893</v>
      </c>
      <c r="DX31" s="180">
        <f t="shared" ca="1" si="33"/>
        <v>5.7870356057992893</v>
      </c>
      <c r="DY31" s="180">
        <f t="shared" ca="1" si="33"/>
        <v>5.7870356057992893</v>
      </c>
      <c r="DZ31" s="180">
        <f t="shared" ca="1" si="33"/>
        <v>5.7870356057992893</v>
      </c>
      <c r="EA31" s="180">
        <f t="shared" ca="1" si="33"/>
        <v>5.7870356057992893</v>
      </c>
      <c r="EB31" s="180">
        <f t="shared" ca="1" si="33"/>
        <v>5.7870356057992893</v>
      </c>
      <c r="EC31" s="180">
        <f t="shared" ca="1" si="33"/>
        <v>5.7870356057992893</v>
      </c>
      <c r="ED31" s="180">
        <f t="shared" ca="1" si="33"/>
        <v>5.7870356057992893</v>
      </c>
      <c r="EE31" s="180">
        <f t="shared" ca="1" si="33"/>
        <v>5.7870356057992893</v>
      </c>
      <c r="EF31" s="180">
        <f t="shared" ca="1" si="33"/>
        <v>5.7870356057992893</v>
      </c>
      <c r="EG31" s="180">
        <f t="shared" ref="EG31:EO31" ca="1" si="132">IF($AU36&gt;$BA$19,0,$BA36-$AS36)</f>
        <v>5.7870356057992893</v>
      </c>
      <c r="EH31" s="180">
        <f t="shared" ca="1" si="132"/>
        <v>5.7870356057992893</v>
      </c>
      <c r="EI31" s="180">
        <f t="shared" ca="1" si="132"/>
        <v>5.7870356057992893</v>
      </c>
      <c r="EJ31" s="180">
        <f t="shared" ca="1" si="132"/>
        <v>5.7870356057992893</v>
      </c>
      <c r="EK31" s="180">
        <f t="shared" ca="1" si="132"/>
        <v>5.7870356057992893</v>
      </c>
      <c r="EL31" s="180">
        <f t="shared" ca="1" si="132"/>
        <v>5.7870356057992893</v>
      </c>
      <c r="EM31" s="180">
        <f t="shared" ca="1" si="132"/>
        <v>5.7870356057992893</v>
      </c>
      <c r="EN31" s="180">
        <f t="shared" ca="1" si="132"/>
        <v>5.7870356057992893</v>
      </c>
      <c r="EO31" s="180">
        <f t="shared" ca="1" si="132"/>
        <v>5.7870356057992893</v>
      </c>
      <c r="EP31" s="87"/>
      <c r="EQ31" s="259">
        <f t="shared" ca="1" si="42"/>
        <v>46548</v>
      </c>
      <c r="ER31" s="87">
        <f t="shared" ca="1" si="123"/>
        <v>5.7870356057992893</v>
      </c>
      <c r="ES31" s="87">
        <f t="shared" ca="1" si="123"/>
        <v>5.7870356057992893</v>
      </c>
      <c r="ET31" s="87">
        <f t="shared" ca="1" si="123"/>
        <v>5.7870356057992893</v>
      </c>
      <c r="EU31" s="87">
        <f t="shared" ca="1" si="123"/>
        <v>5.7870356057992893</v>
      </c>
      <c r="EV31" s="87">
        <f t="shared" ca="1" si="123"/>
        <v>5.7870356057992893</v>
      </c>
      <c r="EW31" s="87">
        <f t="shared" ca="1" si="123"/>
        <v>5.7870356057992893</v>
      </c>
      <c r="EX31" s="87">
        <f t="shared" ca="1" si="123"/>
        <v>5.7870356057992893</v>
      </c>
      <c r="EY31" s="87">
        <f t="shared" ca="1" si="123"/>
        <v>5.7870356057992893</v>
      </c>
      <c r="EZ31" s="87">
        <f t="shared" ca="1" si="123"/>
        <v>5.7870356057992893</v>
      </c>
      <c r="FA31" s="87">
        <f t="shared" ca="1" si="123"/>
        <v>5.7870356057992893</v>
      </c>
      <c r="FB31" s="87">
        <f t="shared" ca="1" si="123"/>
        <v>5.7870356057992893</v>
      </c>
      <c r="FC31" s="87">
        <f t="shared" ca="1" si="123"/>
        <v>5.7870356057992893</v>
      </c>
      <c r="FD31" s="87">
        <f t="shared" ca="1" si="123"/>
        <v>5.7870356057992893</v>
      </c>
      <c r="FE31" s="87">
        <f t="shared" ca="1" si="123"/>
        <v>5.7870356057992893</v>
      </c>
      <c r="FF31" s="87">
        <f t="shared" ca="1" si="123"/>
        <v>5.7870356057992893</v>
      </c>
      <c r="FG31" s="87">
        <f t="shared" ca="1" si="36"/>
        <v>5.7870356057992893</v>
      </c>
      <c r="FH31" s="87">
        <f t="shared" ca="1" si="36"/>
        <v>5.7870356057992893</v>
      </c>
      <c r="FI31" s="87">
        <f t="shared" ca="1" si="36"/>
        <v>5.7870356057992893</v>
      </c>
      <c r="FJ31" s="87">
        <f t="shared" ca="1" si="36"/>
        <v>5.7870356057992893</v>
      </c>
      <c r="FK31" s="87">
        <f t="shared" ca="1" si="36"/>
        <v>5.7870356057992893</v>
      </c>
      <c r="FL31" s="87">
        <f t="shared" ca="1" si="36"/>
        <v>5.7870356057992893</v>
      </c>
      <c r="FM31" s="87">
        <f t="shared" ca="1" si="36"/>
        <v>5.7870356057992893</v>
      </c>
      <c r="FN31" s="87">
        <f t="shared" ca="1" si="36"/>
        <v>5.7870356057992893</v>
      </c>
      <c r="FO31" s="87">
        <f t="shared" ca="1" si="36"/>
        <v>5.7870356057992893</v>
      </c>
      <c r="FP31" s="87">
        <f t="shared" ca="1" si="36"/>
        <v>5.7870356057992893</v>
      </c>
      <c r="FQ31" s="87"/>
    </row>
    <row r="32" spans="1:173" s="125" customFormat="1" ht="18.75" customHeight="1" thickBot="1" x14ac:dyDescent="0.3">
      <c r="A32" s="133" t="str">
        <f t="shared" si="102"/>
        <v>NÃO</v>
      </c>
      <c r="B32" s="146" t="str">
        <f t="shared" si="117"/>
        <v/>
      </c>
      <c r="C32" s="64">
        <v>5</v>
      </c>
      <c r="D32" s="32" t="str">
        <f t="shared" si="107"/>
        <v>INSS</v>
      </c>
      <c r="E32" s="627" t="str">
        <f>IFERROR(VLOOKUP(CONCATENATE(C32,D32),'Base tabelas'!$B:$K,10,FALSE),"")</f>
        <v xml:space="preserve">805975 - RFN - INSS 5   </v>
      </c>
      <c r="F32" s="628"/>
      <c r="G32" s="629"/>
      <c r="H32" s="33">
        <f>IFERROR(VLOOKUP(CONCATENATE(C32,D32),'Base tabelas'!$B:$E,4,FALSE),"")</f>
        <v>1.7100000000000001E-2</v>
      </c>
      <c r="I32" s="34">
        <f t="shared" ca="1" si="124"/>
        <v>2.218231449189758E-2</v>
      </c>
      <c r="J32" s="35">
        <f ca="1">IFERROR(CY163,"")</f>
        <v>4187.9468176992368</v>
      </c>
      <c r="K32" s="36">
        <f t="shared" ca="1" si="108"/>
        <v>3304.6532608733751</v>
      </c>
      <c r="L32" s="102">
        <f ca="1">IFERROR(DV17*-1,"")</f>
        <v>856.49386382672355</v>
      </c>
      <c r="M32" s="37" t="str">
        <f t="shared" ca="1" si="109"/>
        <v>TAB disponivel</v>
      </c>
      <c r="N32" s="304">
        <f>IFERROR(VLOOKUP(CONCATENATE(C32,D32),'Base tabelas'!$B:$O,14,FALSE),"")</f>
        <v>20</v>
      </c>
      <c r="O32" s="186">
        <f ca="1">EV168</f>
        <v>1.5064502839731819E-2</v>
      </c>
      <c r="P32" s="375">
        <f t="shared" ca="1" si="110"/>
        <v>1.7100000000000001E-2</v>
      </c>
      <c r="Q32" s="303">
        <f t="shared" ca="1" si="111"/>
        <v>1.4876196554235173E-2</v>
      </c>
      <c r="R32" s="176">
        <f t="shared" ca="1" si="112"/>
        <v>0</v>
      </c>
      <c r="S32" s="312"/>
      <c r="T32" s="312"/>
      <c r="U32" s="312"/>
      <c r="V32" s="512">
        <f t="shared" si="118"/>
        <v>1.7000000000000001E-2</v>
      </c>
      <c r="W32" s="512">
        <v>1.72E-2</v>
      </c>
      <c r="X32" s="513">
        <v>17</v>
      </c>
      <c r="Y32" s="377">
        <f t="shared" ca="1" si="4"/>
        <v>85.212964394200711</v>
      </c>
      <c r="Z32" s="377">
        <f t="shared" si="5"/>
        <v>0</v>
      </c>
      <c r="AA32" s="377">
        <f t="shared" si="6"/>
        <v>0</v>
      </c>
      <c r="AB32" s="377">
        <f t="shared" si="7"/>
        <v>0</v>
      </c>
      <c r="AC32" s="377">
        <f t="shared" si="8"/>
        <v>0</v>
      </c>
      <c r="AD32" s="377">
        <f t="shared" si="9"/>
        <v>0</v>
      </c>
      <c r="AE32" s="377">
        <f t="shared" si="10"/>
        <v>0</v>
      </c>
      <c r="AF32" s="377">
        <f t="shared" si="11"/>
        <v>0</v>
      </c>
      <c r="AG32" s="377">
        <f t="shared" si="12"/>
        <v>0</v>
      </c>
      <c r="AH32" s="377">
        <f t="shared" si="13"/>
        <v>0</v>
      </c>
      <c r="AI32" s="377">
        <f t="shared" si="14"/>
        <v>0</v>
      </c>
      <c r="AJ32" s="377">
        <f t="shared" si="15"/>
        <v>0</v>
      </c>
      <c r="AK32" s="377">
        <f t="shared" si="16"/>
        <v>0</v>
      </c>
      <c r="AL32" s="377">
        <f t="shared" si="17"/>
        <v>0</v>
      </c>
      <c r="AM32" s="377">
        <f t="shared" si="18"/>
        <v>0</v>
      </c>
      <c r="AN32" s="377">
        <f t="shared" si="19"/>
        <v>0</v>
      </c>
      <c r="AO32" s="377">
        <f t="shared" si="20"/>
        <v>0</v>
      </c>
      <c r="AP32" s="513"/>
      <c r="AQ32" s="514">
        <v>9</v>
      </c>
      <c r="AR32" s="515">
        <f t="shared" ca="1" si="69"/>
        <v>46428</v>
      </c>
      <c r="AS32" s="378">
        <f t="shared" ca="1" si="70"/>
        <v>85.212964394200711</v>
      </c>
      <c r="AT32" s="514"/>
      <c r="AU32" s="514">
        <v>9</v>
      </c>
      <c r="AV32" s="515">
        <f t="shared" ca="1" si="71"/>
        <v>46456</v>
      </c>
      <c r="AW32" s="378">
        <f t="shared" ca="1" si="72"/>
        <v>5.7870356057992893</v>
      </c>
      <c r="AX32" s="202">
        <f t="shared" ca="1" si="73"/>
        <v>4.84</v>
      </c>
      <c r="AY32" s="514">
        <v>9</v>
      </c>
      <c r="AZ32" s="515">
        <f t="shared" ca="1" si="74"/>
        <v>46456</v>
      </c>
      <c r="BA32" s="378">
        <f t="shared" si="75"/>
        <v>91</v>
      </c>
      <c r="BB32" s="513"/>
      <c r="BC32" s="258">
        <f t="shared" ca="1" si="61"/>
        <v>46428</v>
      </c>
      <c r="BD32" s="302">
        <f t="shared" ca="1" si="76"/>
        <v>5.7870356057992893</v>
      </c>
      <c r="BE32" s="133">
        <f t="shared" si="62"/>
        <v>9</v>
      </c>
      <c r="BF32" s="379">
        <f t="shared" ca="1" si="63"/>
        <v>46428</v>
      </c>
      <c r="BG32" s="133">
        <f t="shared" si="77"/>
        <v>91</v>
      </c>
      <c r="BH32" s="133">
        <f t="shared" si="78"/>
        <v>0</v>
      </c>
      <c r="BI32" s="133">
        <f t="shared" si="79"/>
        <v>0</v>
      </c>
      <c r="BJ32" s="133">
        <f t="shared" si="80"/>
        <v>0</v>
      </c>
      <c r="BK32" s="133">
        <f t="shared" si="81"/>
        <v>0</v>
      </c>
      <c r="BL32" s="133">
        <f t="shared" si="82"/>
        <v>0</v>
      </c>
      <c r="BM32" s="133">
        <f t="shared" si="83"/>
        <v>0</v>
      </c>
      <c r="BN32" s="133">
        <f t="shared" si="84"/>
        <v>0</v>
      </c>
      <c r="BO32" s="133">
        <f t="shared" si="85"/>
        <v>0</v>
      </c>
      <c r="BP32" s="133">
        <f t="shared" si="86"/>
        <v>0</v>
      </c>
      <c r="BQ32" s="133">
        <f t="shared" si="87"/>
        <v>0</v>
      </c>
      <c r="BR32" s="133">
        <f t="shared" si="88"/>
        <v>0</v>
      </c>
      <c r="BS32" s="133">
        <f t="shared" si="89"/>
        <v>0</v>
      </c>
      <c r="BT32" s="133">
        <f t="shared" si="90"/>
        <v>0</v>
      </c>
      <c r="BU32" s="133">
        <f t="shared" si="91"/>
        <v>0</v>
      </c>
      <c r="BV32" s="133">
        <f t="shared" si="92"/>
        <v>0</v>
      </c>
      <c r="BW32" s="133">
        <f t="shared" si="93"/>
        <v>0</v>
      </c>
      <c r="BX32" s="267"/>
      <c r="BY32" s="267"/>
      <c r="BZ32" s="267"/>
      <c r="CA32" s="267"/>
      <c r="CB32" s="267"/>
      <c r="CC32" s="267"/>
      <c r="CD32" s="267"/>
      <c r="CE32" s="267"/>
      <c r="CF32" s="267"/>
      <c r="CG32" s="267"/>
      <c r="CH32" s="513"/>
      <c r="CI32" s="513"/>
      <c r="CJ32" s="513"/>
      <c r="CK32" s="513"/>
      <c r="CL32" s="513"/>
      <c r="CM32" s="513"/>
      <c r="CN32" s="513"/>
      <c r="CO32" s="513"/>
      <c r="CP32" s="513"/>
      <c r="CQ32" s="513"/>
      <c r="CR32" s="513"/>
      <c r="CS32" s="178">
        <v>14</v>
      </c>
      <c r="CT32" s="259">
        <f t="shared" ca="1" si="29"/>
        <v>46609</v>
      </c>
      <c r="CU32" s="179">
        <f t="shared" ref="CU32:DC32" ca="1" si="133">(($AW37/(1+CU$18)^(($AZ37-$AZ$23)/30)))+($AS37/(1+CU$18)^(($AZ37-$AZ$23)/30))</f>
        <v>69.250353650059367</v>
      </c>
      <c r="CV32" s="179">
        <f t="shared" ca="1" si="133"/>
        <v>69.758880138035309</v>
      </c>
      <c r="CW32" s="179">
        <f t="shared" ca="1" si="133"/>
        <v>70.065907598461791</v>
      </c>
      <c r="CX32" s="179">
        <f t="shared" ca="1" si="133"/>
        <v>70.374377486597012</v>
      </c>
      <c r="CY32" s="179">
        <f t="shared" ca="1" si="133"/>
        <v>70.684297007354758</v>
      </c>
      <c r="CZ32" s="179">
        <f t="shared" ca="1" si="133"/>
        <v>70.995673403777246</v>
      </c>
      <c r="DA32" s="179">
        <f t="shared" ca="1" si="133"/>
        <v>71.204070637589751</v>
      </c>
      <c r="DB32" s="179">
        <f t="shared" ca="1" si="133"/>
        <v>71.622825987714336</v>
      </c>
      <c r="DC32" s="179">
        <f t="shared" ca="1" si="133"/>
        <v>71.833188460905916</v>
      </c>
      <c r="DD32" s="179">
        <f t="shared" ref="DD32:DI32" ca="1" si="134">(($AW37/(1+DD$18)^(($AZ37-$AZ$23)/30)))+($AS37/(1+DD$18)^(($AZ37-$AZ$23)/30))</f>
        <v>72.044210383586858</v>
      </c>
      <c r="DE32" s="179">
        <f t="shared" ca="1" si="134"/>
        <v>72.255893953465204</v>
      </c>
      <c r="DF32" s="179" t="e">
        <f t="shared" ca="1" si="134"/>
        <v>#VALUE!</v>
      </c>
      <c r="DG32" s="179" t="e">
        <f t="shared" ca="1" si="134"/>
        <v>#VALUE!</v>
      </c>
      <c r="DH32" s="179" t="e">
        <f t="shared" ca="1" si="134"/>
        <v>#VALUE!</v>
      </c>
      <c r="DI32" s="179" t="e">
        <f t="shared" ca="1" si="134"/>
        <v>#VALUE!</v>
      </c>
      <c r="DJ32" s="179" t="e">
        <f t="shared" ref="DJ32:DQ32" ca="1" si="135">(($AW37/(1+DJ$18)^(($AZ37-$AZ$23)/30)))+($AS37/(1+DJ$18)^(($AZ37-$AZ$23)/30))</f>
        <v>#VALUE!</v>
      </c>
      <c r="DK32" s="179" t="e">
        <f t="shared" ca="1" si="135"/>
        <v>#VALUE!</v>
      </c>
      <c r="DL32" s="179" t="e">
        <f t="shared" ca="1" si="135"/>
        <v>#VALUE!</v>
      </c>
      <c r="DM32" s="179" t="e">
        <f t="shared" ca="1" si="135"/>
        <v>#VALUE!</v>
      </c>
      <c r="DN32" s="179" t="e">
        <f t="shared" ca="1" si="135"/>
        <v>#VALUE!</v>
      </c>
      <c r="DO32" s="179" t="e">
        <f t="shared" ca="1" si="135"/>
        <v>#VALUE!</v>
      </c>
      <c r="DP32" s="179" t="e">
        <f t="shared" ca="1" si="135"/>
        <v>#VALUE!</v>
      </c>
      <c r="DQ32" s="179" t="e">
        <f t="shared" ca="1" si="135"/>
        <v>#VALUE!</v>
      </c>
      <c r="DR32" s="180">
        <f t="shared" ca="1" si="40"/>
        <v>5.7870356057992893</v>
      </c>
      <c r="DS32" s="180">
        <f t="shared" ca="1" si="33"/>
        <v>5.7870356057992893</v>
      </c>
      <c r="DT32" s="180">
        <f t="shared" ca="1" si="33"/>
        <v>5.7870356057992893</v>
      </c>
      <c r="DU32" s="180">
        <f t="shared" ca="1" si="33"/>
        <v>5.7870356057992893</v>
      </c>
      <c r="DV32" s="180">
        <f t="shared" ca="1" si="33"/>
        <v>5.7870356057992893</v>
      </c>
      <c r="DW32" s="180">
        <f t="shared" ca="1" si="33"/>
        <v>5.7870356057992893</v>
      </c>
      <c r="DX32" s="180">
        <f t="shared" ca="1" si="33"/>
        <v>5.7870356057992893</v>
      </c>
      <c r="DY32" s="180">
        <f t="shared" ca="1" si="33"/>
        <v>5.7870356057992893</v>
      </c>
      <c r="DZ32" s="180">
        <f t="shared" ca="1" si="33"/>
        <v>5.7870356057992893</v>
      </c>
      <c r="EA32" s="180">
        <f t="shared" ca="1" si="33"/>
        <v>5.7870356057992893</v>
      </c>
      <c r="EB32" s="180">
        <f t="shared" ca="1" si="33"/>
        <v>5.7870356057992893</v>
      </c>
      <c r="EC32" s="180">
        <f t="shared" ca="1" si="33"/>
        <v>5.7870356057992893</v>
      </c>
      <c r="ED32" s="180">
        <f t="shared" ca="1" si="33"/>
        <v>5.7870356057992893</v>
      </c>
      <c r="EE32" s="180">
        <f t="shared" ca="1" si="33"/>
        <v>5.7870356057992893</v>
      </c>
      <c r="EF32" s="180">
        <f t="shared" ca="1" si="33"/>
        <v>5.7870356057992893</v>
      </c>
      <c r="EG32" s="180">
        <f t="shared" ref="EG32:EO32" ca="1" si="136">IF($AU37&gt;$BA$19,0,$BA37-$AS37)</f>
        <v>5.7870356057992893</v>
      </c>
      <c r="EH32" s="180">
        <f t="shared" ca="1" si="136"/>
        <v>5.7870356057992893</v>
      </c>
      <c r="EI32" s="180">
        <f t="shared" ca="1" si="136"/>
        <v>5.7870356057992893</v>
      </c>
      <c r="EJ32" s="180">
        <f t="shared" ca="1" si="136"/>
        <v>5.7870356057992893</v>
      </c>
      <c r="EK32" s="180">
        <f t="shared" ca="1" si="136"/>
        <v>5.7870356057992893</v>
      </c>
      <c r="EL32" s="180">
        <f t="shared" ca="1" si="136"/>
        <v>5.7870356057992893</v>
      </c>
      <c r="EM32" s="180">
        <f t="shared" ca="1" si="136"/>
        <v>5.7870356057992893</v>
      </c>
      <c r="EN32" s="180">
        <f t="shared" ca="1" si="136"/>
        <v>5.7870356057992893</v>
      </c>
      <c r="EO32" s="180">
        <f t="shared" ca="1" si="136"/>
        <v>5.7870356057992893</v>
      </c>
      <c r="EP32" s="513"/>
      <c r="EQ32" s="259">
        <f t="shared" ca="1" si="42"/>
        <v>46578</v>
      </c>
      <c r="ER32" s="87">
        <f t="shared" ca="1" si="123"/>
        <v>5.7870356057992893</v>
      </c>
      <c r="ES32" s="87">
        <f t="shared" ca="1" si="123"/>
        <v>5.7870356057992893</v>
      </c>
      <c r="ET32" s="87">
        <f t="shared" ca="1" si="123"/>
        <v>5.7870356057992893</v>
      </c>
      <c r="EU32" s="87">
        <f t="shared" ca="1" si="123"/>
        <v>5.7870356057992893</v>
      </c>
      <c r="EV32" s="87">
        <f t="shared" ca="1" si="123"/>
        <v>5.7870356057992893</v>
      </c>
      <c r="EW32" s="87">
        <f t="shared" ca="1" si="123"/>
        <v>5.7870356057992893</v>
      </c>
      <c r="EX32" s="87">
        <f t="shared" ca="1" si="123"/>
        <v>5.7870356057992893</v>
      </c>
      <c r="EY32" s="87">
        <f t="shared" ca="1" si="123"/>
        <v>5.7870356057992893</v>
      </c>
      <c r="EZ32" s="87">
        <f t="shared" ca="1" si="123"/>
        <v>5.7870356057992893</v>
      </c>
      <c r="FA32" s="87">
        <f t="shared" ca="1" si="123"/>
        <v>5.7870356057992893</v>
      </c>
      <c r="FB32" s="87">
        <f t="shared" ca="1" si="123"/>
        <v>5.7870356057992893</v>
      </c>
      <c r="FC32" s="87">
        <f t="shared" ca="1" si="123"/>
        <v>5.7870356057992893</v>
      </c>
      <c r="FD32" s="87">
        <f t="shared" ca="1" si="123"/>
        <v>5.7870356057992893</v>
      </c>
      <c r="FE32" s="87">
        <f t="shared" ca="1" si="123"/>
        <v>5.7870356057992893</v>
      </c>
      <c r="FF32" s="87">
        <f t="shared" ca="1" si="123"/>
        <v>5.7870356057992893</v>
      </c>
      <c r="FG32" s="87">
        <f t="shared" ca="1" si="36"/>
        <v>5.7870356057992893</v>
      </c>
      <c r="FH32" s="87">
        <f t="shared" ca="1" si="36"/>
        <v>5.7870356057992893</v>
      </c>
      <c r="FI32" s="87">
        <f t="shared" ca="1" si="36"/>
        <v>5.7870356057992893</v>
      </c>
      <c r="FJ32" s="87">
        <f t="shared" ca="1" si="36"/>
        <v>5.7870356057992893</v>
      </c>
      <c r="FK32" s="87">
        <f t="shared" ca="1" si="36"/>
        <v>5.7870356057992893</v>
      </c>
      <c r="FL32" s="87">
        <f t="shared" ca="1" si="36"/>
        <v>5.7870356057992893</v>
      </c>
      <c r="FM32" s="87">
        <f t="shared" ca="1" si="36"/>
        <v>5.7870356057992893</v>
      </c>
      <c r="FN32" s="87">
        <f t="shared" ca="1" si="36"/>
        <v>5.7870356057992893</v>
      </c>
      <c r="FO32" s="87">
        <f t="shared" ca="1" si="36"/>
        <v>5.7870356057992893</v>
      </c>
      <c r="FP32" s="87">
        <f t="shared" ca="1" si="36"/>
        <v>5.7870356057992893</v>
      </c>
      <c r="FQ32" s="513"/>
    </row>
    <row r="33" spans="1:173" s="26" customFormat="1" ht="18.75" customHeight="1" thickBot="1" x14ac:dyDescent="0.3">
      <c r="A33" s="133" t="str">
        <f t="shared" si="102"/>
        <v>NÃO</v>
      </c>
      <c r="B33" s="146" t="str">
        <f t="shared" si="117"/>
        <v/>
      </c>
      <c r="C33" s="64">
        <v>6</v>
      </c>
      <c r="D33" s="32" t="str">
        <f t="shared" si="107"/>
        <v>INSS</v>
      </c>
      <c r="E33" s="627" t="str">
        <f>IFERROR(VLOOKUP(CONCATENATE(C33,D33),'Base tabelas'!$B:$K,10,FALSE),"")</f>
        <v xml:space="preserve">805976 - RFN - INSS 6   </v>
      </c>
      <c r="F33" s="628"/>
      <c r="G33" s="629"/>
      <c r="H33" s="33">
        <f>IFERROR(VLOOKUP(CONCATENATE(C33,D33),'Base tabelas'!$B:$E,4,FALSE),"")</f>
        <v>1.6799999999999999E-2</v>
      </c>
      <c r="I33" s="34">
        <f t="shared" ca="1" si="124"/>
        <v>2.1942673356409332E-2</v>
      </c>
      <c r="J33" s="35">
        <f ca="1">IFERROR(CZ163,"")</f>
        <v>4234.1452260023689</v>
      </c>
      <c r="K33" s="36">
        <f t="shared" ca="1" si="108"/>
        <v>3304.6532608733751</v>
      </c>
      <c r="L33" s="102">
        <f ca="1">IFERROR(DW17*-1,"")</f>
        <v>901.29058279338858</v>
      </c>
      <c r="M33" s="37" t="str">
        <f t="shared" ca="1" si="109"/>
        <v>TAB disponivel</v>
      </c>
      <c r="N33" s="304">
        <f>IFERROR(VLOOKUP(CONCATENATE(C33,D33),'Base tabelas'!$B:$O,14,FALSE),"")</f>
        <v>20</v>
      </c>
      <c r="O33" s="186">
        <f ca="1">EW168</f>
        <v>1.439078907334479E-2</v>
      </c>
      <c r="P33" s="375">
        <f t="shared" ca="1" si="110"/>
        <v>1.6799999999999999E-2</v>
      </c>
      <c r="Q33" s="303">
        <f t="shared" ca="1" si="111"/>
        <v>1.4210904209927981E-2</v>
      </c>
      <c r="R33" s="176">
        <f t="shared" ca="1" si="112"/>
        <v>0</v>
      </c>
      <c r="S33" s="313"/>
      <c r="T33" s="313"/>
      <c r="U33" s="313"/>
      <c r="V33" s="516">
        <f t="shared" si="118"/>
        <v>1.6490000000000001E-2</v>
      </c>
      <c r="W33" s="516">
        <v>1.669E-2</v>
      </c>
      <c r="X33" s="2">
        <v>18</v>
      </c>
      <c r="Y33" s="377">
        <f t="shared" ca="1" si="4"/>
        <v>85.212964394200711</v>
      </c>
      <c r="Z33" s="377">
        <f t="shared" si="5"/>
        <v>0</v>
      </c>
      <c r="AA33" s="377">
        <f t="shared" si="6"/>
        <v>0</v>
      </c>
      <c r="AB33" s="377">
        <f t="shared" si="7"/>
        <v>0</v>
      </c>
      <c r="AC33" s="377">
        <f t="shared" si="8"/>
        <v>0</v>
      </c>
      <c r="AD33" s="377">
        <f t="shared" si="9"/>
        <v>0</v>
      </c>
      <c r="AE33" s="377">
        <f t="shared" si="10"/>
        <v>0</v>
      </c>
      <c r="AF33" s="377">
        <f t="shared" si="11"/>
        <v>0</v>
      </c>
      <c r="AG33" s="377">
        <f t="shared" si="12"/>
        <v>0</v>
      </c>
      <c r="AH33" s="377">
        <f t="shared" si="13"/>
        <v>0</v>
      </c>
      <c r="AI33" s="377">
        <f t="shared" si="14"/>
        <v>0</v>
      </c>
      <c r="AJ33" s="377">
        <f t="shared" si="15"/>
        <v>0</v>
      </c>
      <c r="AK33" s="377">
        <f t="shared" si="16"/>
        <v>0</v>
      </c>
      <c r="AL33" s="377">
        <f t="shared" si="17"/>
        <v>0</v>
      </c>
      <c r="AM33" s="377">
        <f t="shared" si="18"/>
        <v>0</v>
      </c>
      <c r="AN33" s="377">
        <f t="shared" si="19"/>
        <v>0</v>
      </c>
      <c r="AO33" s="377">
        <f t="shared" si="20"/>
        <v>0</v>
      </c>
      <c r="AP33" s="2"/>
      <c r="AQ33" s="517">
        <v>10</v>
      </c>
      <c r="AR33" s="518">
        <f t="shared" ca="1" si="69"/>
        <v>46456</v>
      </c>
      <c r="AS33" s="378">
        <f t="shared" ca="1" si="70"/>
        <v>85.212964394200711</v>
      </c>
      <c r="AT33" s="517"/>
      <c r="AU33" s="517">
        <v>10</v>
      </c>
      <c r="AV33" s="518">
        <f t="shared" ca="1" si="71"/>
        <v>46487</v>
      </c>
      <c r="AW33" s="378">
        <f t="shared" ca="1" si="72"/>
        <v>5.7870356057992893</v>
      </c>
      <c r="AX33" s="202">
        <f t="shared" ca="1" si="73"/>
        <v>4.74</v>
      </c>
      <c r="AY33" s="517">
        <v>10</v>
      </c>
      <c r="AZ33" s="518">
        <f t="shared" ca="1" si="74"/>
        <v>46487</v>
      </c>
      <c r="BA33" s="378">
        <f t="shared" si="75"/>
        <v>91</v>
      </c>
      <c r="BB33" s="2"/>
      <c r="BC33" s="258">
        <f t="shared" ca="1" si="61"/>
        <v>46456</v>
      </c>
      <c r="BD33" s="302">
        <f t="shared" ca="1" si="76"/>
        <v>5.7870356057992893</v>
      </c>
      <c r="BE33" s="133">
        <f t="shared" si="62"/>
        <v>10</v>
      </c>
      <c r="BF33" s="379">
        <f t="shared" ca="1" si="63"/>
        <v>46456</v>
      </c>
      <c r="BG33" s="133">
        <f t="shared" si="77"/>
        <v>91</v>
      </c>
      <c r="BH33" s="133">
        <f t="shared" si="78"/>
        <v>0</v>
      </c>
      <c r="BI33" s="133">
        <f t="shared" si="79"/>
        <v>0</v>
      </c>
      <c r="BJ33" s="133">
        <f t="shared" si="80"/>
        <v>0</v>
      </c>
      <c r="BK33" s="133">
        <f t="shared" si="81"/>
        <v>0</v>
      </c>
      <c r="BL33" s="133">
        <f t="shared" si="82"/>
        <v>0</v>
      </c>
      <c r="BM33" s="133">
        <f t="shared" si="83"/>
        <v>0</v>
      </c>
      <c r="BN33" s="133">
        <f t="shared" si="84"/>
        <v>0</v>
      </c>
      <c r="BO33" s="133">
        <f t="shared" si="85"/>
        <v>0</v>
      </c>
      <c r="BP33" s="133">
        <f t="shared" si="86"/>
        <v>0</v>
      </c>
      <c r="BQ33" s="133">
        <f t="shared" si="87"/>
        <v>0</v>
      </c>
      <c r="BR33" s="133">
        <f t="shared" si="88"/>
        <v>0</v>
      </c>
      <c r="BS33" s="133">
        <f t="shared" si="89"/>
        <v>0</v>
      </c>
      <c r="BT33" s="133">
        <f t="shared" si="90"/>
        <v>0</v>
      </c>
      <c r="BU33" s="133">
        <f t="shared" si="91"/>
        <v>0</v>
      </c>
      <c r="BV33" s="133">
        <f t="shared" si="92"/>
        <v>0</v>
      </c>
      <c r="BW33" s="133">
        <f t="shared" si="93"/>
        <v>0</v>
      </c>
      <c r="BX33" s="267"/>
      <c r="BY33" s="267"/>
      <c r="BZ33" s="267"/>
      <c r="CA33" s="267"/>
      <c r="CB33" s="267"/>
      <c r="CC33" s="267"/>
      <c r="CD33" s="267"/>
      <c r="CE33" s="267"/>
      <c r="CF33" s="267"/>
      <c r="CG33" s="267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138">
        <v>15</v>
      </c>
      <c r="CT33" s="259">
        <f t="shared" ca="1" si="29"/>
        <v>46640</v>
      </c>
      <c r="CU33" s="179">
        <f t="shared" ref="CU33:DC33" ca="1" si="137">(($AW38/(1+CU$18)^(($AZ38-$AZ$23)/30)))+($AS38/(1+CU$18)^(($AZ38-$AZ$23)/30))</f>
        <v>67.950959647170336</v>
      </c>
      <c r="CV33" s="179">
        <f t="shared" ca="1" si="137"/>
        <v>68.484685048618331</v>
      </c>
      <c r="CW33" s="179">
        <f t="shared" ca="1" si="137"/>
        <v>68.807057366449328</v>
      </c>
      <c r="CX33" s="179">
        <f t="shared" ca="1" si="137"/>
        <v>69.131042876477395</v>
      </c>
      <c r="CY33" s="179">
        <f t="shared" ca="1" si="137"/>
        <v>69.456650130578097</v>
      </c>
      <c r="CZ33" s="179">
        <f t="shared" ca="1" si="137"/>
        <v>69.783887728503743</v>
      </c>
      <c r="DA33" s="179">
        <f t="shared" ca="1" si="137"/>
        <v>70.002956142274058</v>
      </c>
      <c r="DB33" s="179">
        <f t="shared" ca="1" si="137"/>
        <v>70.443288595924486</v>
      </c>
      <c r="DC33" s="179">
        <f t="shared" ca="1" si="137"/>
        <v>70.66455781325071</v>
      </c>
      <c r="DD33" s="179">
        <f t="shared" ref="DD33:DI33" ca="1" si="138">(($AW38/(1+DD$18)^(($AZ38-$AZ$23)/30)))+($AS38/(1+DD$18)^(($AZ38-$AZ$23)/30))</f>
        <v>70.886565825320389</v>
      </c>
      <c r="DE33" s="179">
        <f t="shared" ca="1" si="138"/>
        <v>71.109315245081547</v>
      </c>
      <c r="DF33" s="179" t="e">
        <f t="shared" ca="1" si="138"/>
        <v>#VALUE!</v>
      </c>
      <c r="DG33" s="179" t="e">
        <f t="shared" ca="1" si="138"/>
        <v>#VALUE!</v>
      </c>
      <c r="DH33" s="179" t="e">
        <f t="shared" ca="1" si="138"/>
        <v>#VALUE!</v>
      </c>
      <c r="DI33" s="179" t="e">
        <f t="shared" ca="1" si="138"/>
        <v>#VALUE!</v>
      </c>
      <c r="DJ33" s="179" t="e">
        <f t="shared" ref="DJ33:DQ33" ca="1" si="139">(($AW38/(1+DJ$18)^(($AZ38-$AZ$23)/30)))+($AS38/(1+DJ$18)^(($AZ38-$AZ$23)/30))</f>
        <v>#VALUE!</v>
      </c>
      <c r="DK33" s="179" t="e">
        <f t="shared" ca="1" si="139"/>
        <v>#VALUE!</v>
      </c>
      <c r="DL33" s="179" t="e">
        <f t="shared" ca="1" si="139"/>
        <v>#VALUE!</v>
      </c>
      <c r="DM33" s="179" t="e">
        <f t="shared" ca="1" si="139"/>
        <v>#VALUE!</v>
      </c>
      <c r="DN33" s="179" t="e">
        <f t="shared" ca="1" si="139"/>
        <v>#VALUE!</v>
      </c>
      <c r="DO33" s="179" t="e">
        <f t="shared" ca="1" si="139"/>
        <v>#VALUE!</v>
      </c>
      <c r="DP33" s="179" t="e">
        <f t="shared" ca="1" si="139"/>
        <v>#VALUE!</v>
      </c>
      <c r="DQ33" s="179" t="e">
        <f t="shared" ca="1" si="139"/>
        <v>#VALUE!</v>
      </c>
      <c r="DR33" s="180">
        <f t="shared" ca="1" si="40"/>
        <v>5.7870356057992893</v>
      </c>
      <c r="DS33" s="180">
        <f t="shared" ca="1" si="33"/>
        <v>5.7870356057992893</v>
      </c>
      <c r="DT33" s="180">
        <f t="shared" ca="1" si="33"/>
        <v>5.7870356057992893</v>
      </c>
      <c r="DU33" s="180">
        <f t="shared" ca="1" si="33"/>
        <v>5.7870356057992893</v>
      </c>
      <c r="DV33" s="180">
        <f t="shared" ca="1" si="33"/>
        <v>5.7870356057992893</v>
      </c>
      <c r="DW33" s="180">
        <f t="shared" ca="1" si="33"/>
        <v>5.7870356057992893</v>
      </c>
      <c r="DX33" s="180">
        <f t="shared" ca="1" si="33"/>
        <v>5.7870356057992893</v>
      </c>
      <c r="DY33" s="180">
        <f t="shared" ca="1" si="33"/>
        <v>5.7870356057992893</v>
      </c>
      <c r="DZ33" s="180">
        <f t="shared" ca="1" si="33"/>
        <v>5.7870356057992893</v>
      </c>
      <c r="EA33" s="180">
        <f t="shared" ca="1" si="33"/>
        <v>5.7870356057992893</v>
      </c>
      <c r="EB33" s="180">
        <f t="shared" ca="1" si="33"/>
        <v>5.7870356057992893</v>
      </c>
      <c r="EC33" s="180">
        <f t="shared" ca="1" si="33"/>
        <v>5.7870356057992893</v>
      </c>
      <c r="ED33" s="180">
        <f t="shared" ca="1" si="33"/>
        <v>5.7870356057992893</v>
      </c>
      <c r="EE33" s="180">
        <f t="shared" ca="1" si="33"/>
        <v>5.7870356057992893</v>
      </c>
      <c r="EF33" s="180">
        <f t="shared" ca="1" si="33"/>
        <v>5.7870356057992893</v>
      </c>
      <c r="EG33" s="180">
        <f t="shared" ref="EG33:EO33" ca="1" si="140">IF($AU38&gt;$BA$19,0,$BA38-$AS38)</f>
        <v>5.7870356057992893</v>
      </c>
      <c r="EH33" s="180">
        <f t="shared" ca="1" si="140"/>
        <v>5.7870356057992893</v>
      </c>
      <c r="EI33" s="180">
        <f t="shared" ca="1" si="140"/>
        <v>5.7870356057992893</v>
      </c>
      <c r="EJ33" s="180">
        <f t="shared" ca="1" si="140"/>
        <v>5.7870356057992893</v>
      </c>
      <c r="EK33" s="180">
        <f t="shared" ca="1" si="140"/>
        <v>5.7870356057992893</v>
      </c>
      <c r="EL33" s="180">
        <f t="shared" ca="1" si="140"/>
        <v>5.7870356057992893</v>
      </c>
      <c r="EM33" s="180">
        <f t="shared" ca="1" si="140"/>
        <v>5.7870356057992893</v>
      </c>
      <c r="EN33" s="180">
        <f t="shared" ca="1" si="140"/>
        <v>5.7870356057992893</v>
      </c>
      <c r="EO33" s="180">
        <f t="shared" ca="1" si="140"/>
        <v>5.7870356057992893</v>
      </c>
      <c r="EP33" s="2"/>
      <c r="EQ33" s="259">
        <f t="shared" ca="1" si="42"/>
        <v>46609</v>
      </c>
      <c r="ER33" s="87">
        <f t="shared" ca="1" si="123"/>
        <v>5.7870356057992893</v>
      </c>
      <c r="ES33" s="87">
        <f t="shared" ca="1" si="123"/>
        <v>5.7870356057992893</v>
      </c>
      <c r="ET33" s="87">
        <f t="shared" ca="1" si="123"/>
        <v>5.7870356057992893</v>
      </c>
      <c r="EU33" s="87">
        <f t="shared" ca="1" si="123"/>
        <v>5.7870356057992893</v>
      </c>
      <c r="EV33" s="87">
        <f t="shared" ca="1" si="123"/>
        <v>5.7870356057992893</v>
      </c>
      <c r="EW33" s="87">
        <f t="shared" ca="1" si="123"/>
        <v>5.7870356057992893</v>
      </c>
      <c r="EX33" s="87">
        <f t="shared" ca="1" si="123"/>
        <v>5.7870356057992893</v>
      </c>
      <c r="EY33" s="87">
        <f t="shared" ca="1" si="123"/>
        <v>5.7870356057992893</v>
      </c>
      <c r="EZ33" s="87">
        <f t="shared" ca="1" si="123"/>
        <v>5.7870356057992893</v>
      </c>
      <c r="FA33" s="87">
        <f t="shared" ca="1" si="123"/>
        <v>5.7870356057992893</v>
      </c>
      <c r="FB33" s="87">
        <f t="shared" ca="1" si="123"/>
        <v>5.7870356057992893</v>
      </c>
      <c r="FC33" s="87">
        <f t="shared" ca="1" si="123"/>
        <v>5.7870356057992893</v>
      </c>
      <c r="FD33" s="87">
        <f t="shared" ca="1" si="123"/>
        <v>5.7870356057992893</v>
      </c>
      <c r="FE33" s="87">
        <f t="shared" ca="1" si="123"/>
        <v>5.7870356057992893</v>
      </c>
      <c r="FF33" s="87">
        <f t="shared" ca="1" si="123"/>
        <v>5.7870356057992893</v>
      </c>
      <c r="FG33" s="87">
        <f t="shared" ca="1" si="36"/>
        <v>5.7870356057992893</v>
      </c>
      <c r="FH33" s="87">
        <f t="shared" ca="1" si="36"/>
        <v>5.7870356057992893</v>
      </c>
      <c r="FI33" s="87">
        <f t="shared" ca="1" si="36"/>
        <v>5.7870356057992893</v>
      </c>
      <c r="FJ33" s="87">
        <f t="shared" ca="1" si="36"/>
        <v>5.7870356057992893</v>
      </c>
      <c r="FK33" s="87">
        <f t="shared" ca="1" si="36"/>
        <v>5.7870356057992893</v>
      </c>
      <c r="FL33" s="87">
        <f t="shared" ca="1" si="36"/>
        <v>5.7870356057992893</v>
      </c>
      <c r="FM33" s="87">
        <f t="shared" ca="1" si="36"/>
        <v>5.7870356057992893</v>
      </c>
      <c r="FN33" s="87">
        <f t="shared" ca="1" si="36"/>
        <v>5.7870356057992893</v>
      </c>
      <c r="FO33" s="87">
        <f t="shared" ca="1" si="36"/>
        <v>5.7870356057992893</v>
      </c>
      <c r="FP33" s="87">
        <f t="shared" ca="1" si="36"/>
        <v>5.7870356057992893</v>
      </c>
      <c r="FQ33" s="2"/>
    </row>
    <row r="34" spans="1:173" customFormat="1" ht="18.75" customHeight="1" thickBot="1" x14ac:dyDescent="0.3">
      <c r="A34" s="133" t="str">
        <f t="shared" si="102"/>
        <v>NÃO</v>
      </c>
      <c r="B34" s="146" t="str">
        <f t="shared" si="117"/>
        <v/>
      </c>
      <c r="C34" s="64">
        <v>7</v>
      </c>
      <c r="D34" s="32" t="str">
        <f t="shared" si="107"/>
        <v>INSS</v>
      </c>
      <c r="E34" s="627" t="str">
        <f>IFERROR(VLOOKUP(CONCATENATE(C34,D34),'Base tabelas'!$B:$K,10,FALSE),"")</f>
        <v xml:space="preserve">805977 - RFN - INSS 7   </v>
      </c>
      <c r="F34" s="628"/>
      <c r="G34" s="629"/>
      <c r="H34" s="33">
        <f>IFERROR(VLOOKUP(CONCATENATE(C34,D34),'Base tabelas'!$B:$E,4,FALSE),"")</f>
        <v>1.66E-2</v>
      </c>
      <c r="I34" s="34">
        <f t="shared" ca="1" si="124"/>
        <v>2.1783598971578812E-2</v>
      </c>
      <c r="J34" s="35">
        <f ca="1">IFERROR(DA163,"")</f>
        <v>4265.3782161823465</v>
      </c>
      <c r="K34" s="57">
        <f t="shared" ca="1" si="108"/>
        <v>3304.6532608733751</v>
      </c>
      <c r="L34" s="102">
        <f ca="1">IFERROR(DX17*-1,"")</f>
        <v>931.57594402056782</v>
      </c>
      <c r="M34" s="37" t="str">
        <f t="shared" ca="1" si="109"/>
        <v>TAB disponivel</v>
      </c>
      <c r="N34" s="304">
        <f>IFERROR(VLOOKUP(CONCATENATE(C34,D34),'Base tabelas'!$B:$O,14,FALSE),"")</f>
        <v>20</v>
      </c>
      <c r="O34" s="186">
        <f ca="1">EX168</f>
        <v>1.3955020201168677E-2</v>
      </c>
      <c r="P34" s="375">
        <f t="shared" ca="1" si="110"/>
        <v>1.66E-2</v>
      </c>
      <c r="Q34" s="303">
        <f t="shared" ca="1" si="111"/>
        <v>1.378058244865407E-2</v>
      </c>
      <c r="R34" s="176">
        <f t="shared" ca="1" si="112"/>
        <v>0</v>
      </c>
      <c r="S34" s="176"/>
      <c r="T34" s="176"/>
      <c r="U34" s="176"/>
      <c r="V34" s="98">
        <f t="shared" si="118"/>
        <v>1.6290000000000002E-2</v>
      </c>
      <c r="W34" s="98">
        <v>1.6490000000000001E-2</v>
      </c>
      <c r="X34" s="87">
        <v>19</v>
      </c>
      <c r="Y34" s="377">
        <f t="shared" ca="1" si="4"/>
        <v>85.212964394200711</v>
      </c>
      <c r="Z34" s="377">
        <f t="shared" si="5"/>
        <v>0</v>
      </c>
      <c r="AA34" s="377">
        <f t="shared" si="6"/>
        <v>0</v>
      </c>
      <c r="AB34" s="377">
        <f t="shared" si="7"/>
        <v>0</v>
      </c>
      <c r="AC34" s="377">
        <f t="shared" si="8"/>
        <v>0</v>
      </c>
      <c r="AD34" s="377">
        <f t="shared" si="9"/>
        <v>0</v>
      </c>
      <c r="AE34" s="377">
        <f t="shared" si="10"/>
        <v>0</v>
      </c>
      <c r="AF34" s="377">
        <f t="shared" si="11"/>
        <v>0</v>
      </c>
      <c r="AG34" s="377">
        <f t="shared" si="12"/>
        <v>0</v>
      </c>
      <c r="AH34" s="377">
        <f t="shared" si="13"/>
        <v>0</v>
      </c>
      <c r="AI34" s="377">
        <f t="shared" si="14"/>
        <v>0</v>
      </c>
      <c r="AJ34" s="377">
        <f t="shared" si="15"/>
        <v>0</v>
      </c>
      <c r="AK34" s="377">
        <f t="shared" si="16"/>
        <v>0</v>
      </c>
      <c r="AL34" s="377">
        <f t="shared" si="17"/>
        <v>0</v>
      </c>
      <c r="AM34" s="377">
        <f t="shared" si="18"/>
        <v>0</v>
      </c>
      <c r="AN34" s="377">
        <f t="shared" si="19"/>
        <v>0</v>
      </c>
      <c r="AO34" s="377">
        <f t="shared" si="20"/>
        <v>0</v>
      </c>
      <c r="AP34" s="87"/>
      <c r="AQ34" s="138">
        <v>11</v>
      </c>
      <c r="AR34" s="258">
        <f t="shared" ca="1" si="69"/>
        <v>46487</v>
      </c>
      <c r="AS34" s="378">
        <f t="shared" ca="1" si="70"/>
        <v>85.212964394200711</v>
      </c>
      <c r="AT34" s="138"/>
      <c r="AU34" s="138">
        <v>11</v>
      </c>
      <c r="AV34" s="258">
        <f t="shared" ca="1" si="71"/>
        <v>46517</v>
      </c>
      <c r="AW34" s="378">
        <f t="shared" ca="1" si="72"/>
        <v>5.7870356057992893</v>
      </c>
      <c r="AX34" s="202">
        <f t="shared" ca="1" si="73"/>
        <v>4.66</v>
      </c>
      <c r="AY34" s="138">
        <v>11</v>
      </c>
      <c r="AZ34" s="258">
        <f t="shared" ca="1" si="74"/>
        <v>46517</v>
      </c>
      <c r="BA34" s="378">
        <f t="shared" si="75"/>
        <v>91</v>
      </c>
      <c r="BB34" s="87"/>
      <c r="BC34" s="258">
        <f t="shared" ca="1" si="61"/>
        <v>46487</v>
      </c>
      <c r="BD34" s="302">
        <f t="shared" ca="1" si="76"/>
        <v>5.7870356057992893</v>
      </c>
      <c r="BE34" s="133">
        <f t="shared" si="62"/>
        <v>11</v>
      </c>
      <c r="BF34" s="379">
        <f t="shared" ca="1" si="63"/>
        <v>46487</v>
      </c>
      <c r="BG34" s="133">
        <f t="shared" si="77"/>
        <v>91</v>
      </c>
      <c r="BH34" s="133">
        <f t="shared" si="78"/>
        <v>0</v>
      </c>
      <c r="BI34" s="133">
        <f t="shared" si="79"/>
        <v>0</v>
      </c>
      <c r="BJ34" s="133">
        <f t="shared" si="80"/>
        <v>0</v>
      </c>
      <c r="BK34" s="133">
        <f t="shared" si="81"/>
        <v>0</v>
      </c>
      <c r="BL34" s="133">
        <f t="shared" si="82"/>
        <v>0</v>
      </c>
      <c r="BM34" s="133">
        <f t="shared" si="83"/>
        <v>0</v>
      </c>
      <c r="BN34" s="133">
        <f t="shared" si="84"/>
        <v>0</v>
      </c>
      <c r="BO34" s="133">
        <f t="shared" si="85"/>
        <v>0</v>
      </c>
      <c r="BP34" s="133">
        <f t="shared" si="86"/>
        <v>0</v>
      </c>
      <c r="BQ34" s="133">
        <f t="shared" si="87"/>
        <v>0</v>
      </c>
      <c r="BR34" s="133">
        <f t="shared" si="88"/>
        <v>0</v>
      </c>
      <c r="BS34" s="133">
        <f t="shared" si="89"/>
        <v>0</v>
      </c>
      <c r="BT34" s="133">
        <f t="shared" si="90"/>
        <v>0</v>
      </c>
      <c r="BU34" s="133">
        <f t="shared" si="91"/>
        <v>0</v>
      </c>
      <c r="BV34" s="133">
        <f t="shared" si="92"/>
        <v>0</v>
      </c>
      <c r="BW34" s="133">
        <f t="shared" si="93"/>
        <v>0</v>
      </c>
      <c r="BX34" s="267"/>
      <c r="BY34" s="267"/>
      <c r="BZ34" s="267"/>
      <c r="CA34" s="267"/>
      <c r="CB34" s="267"/>
      <c r="CC34" s="267"/>
      <c r="CD34" s="267"/>
      <c r="CE34" s="267"/>
      <c r="CF34" s="267"/>
      <c r="CG34" s="26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>
        <v>16</v>
      </c>
      <c r="CT34" s="259">
        <f t="shared" ca="1" si="29"/>
        <v>46670</v>
      </c>
      <c r="CU34" s="179">
        <f t="shared" ref="CU34:DC34" ca="1" si="141">(($AW39/(1+CU$18)^(($AZ39-$AZ$23)/30)))+($AS39/(1+CU$18)^(($AZ39-$AZ$23)/30))</f>
        <v>66.716700684506961</v>
      </c>
      <c r="CV34" s="179">
        <f t="shared" ca="1" si="141"/>
        <v>67.27375741514571</v>
      </c>
      <c r="CW34" s="179">
        <f t="shared" ca="1" si="141"/>
        <v>67.61035409889881</v>
      </c>
      <c r="CX34" s="179">
        <f t="shared" ca="1" si="141"/>
        <v>67.948734889401791</v>
      </c>
      <c r="CY34" s="179">
        <f t="shared" ca="1" si="141"/>
        <v>68.288909773452076</v>
      </c>
      <c r="CZ34" s="179">
        <f t="shared" ca="1" si="141"/>
        <v>68.630888796718892</v>
      </c>
      <c r="DA34" s="179">
        <f t="shared" ca="1" si="141"/>
        <v>68.859882099423629</v>
      </c>
      <c r="DB34" s="179">
        <f t="shared" ca="1" si="141"/>
        <v>69.320299740134288</v>
      </c>
      <c r="DC34" s="179">
        <f t="shared" ca="1" si="141"/>
        <v>69.551730131152283</v>
      </c>
      <c r="DD34" s="179">
        <f t="shared" ref="DD34:DI34" ca="1" si="142">(($AW39/(1+DD$18)^(($AZ39-$AZ$23)/30)))+($AS39/(1+DD$18)^(($AZ39-$AZ$23)/30))</f>
        <v>69.78397895778734</v>
      </c>
      <c r="DE34" s="179">
        <f t="shared" ca="1" si="142"/>
        <v>70.017049276370159</v>
      </c>
      <c r="DF34" s="179" t="e">
        <f t="shared" ca="1" si="142"/>
        <v>#VALUE!</v>
      </c>
      <c r="DG34" s="179" t="e">
        <f t="shared" ca="1" si="142"/>
        <v>#VALUE!</v>
      </c>
      <c r="DH34" s="179" t="e">
        <f t="shared" ca="1" si="142"/>
        <v>#VALUE!</v>
      </c>
      <c r="DI34" s="179" t="e">
        <f t="shared" ca="1" si="142"/>
        <v>#VALUE!</v>
      </c>
      <c r="DJ34" s="179" t="e">
        <f t="shared" ref="DJ34:DQ34" ca="1" si="143">(($AW39/(1+DJ$18)^(($AZ39-$AZ$23)/30)))+($AS39/(1+DJ$18)^(($AZ39-$AZ$23)/30))</f>
        <v>#VALUE!</v>
      </c>
      <c r="DK34" s="179" t="e">
        <f t="shared" ca="1" si="143"/>
        <v>#VALUE!</v>
      </c>
      <c r="DL34" s="179" t="e">
        <f t="shared" ca="1" si="143"/>
        <v>#VALUE!</v>
      </c>
      <c r="DM34" s="179" t="e">
        <f t="shared" ca="1" si="143"/>
        <v>#VALUE!</v>
      </c>
      <c r="DN34" s="179" t="e">
        <f t="shared" ca="1" si="143"/>
        <v>#VALUE!</v>
      </c>
      <c r="DO34" s="179" t="e">
        <f t="shared" ca="1" si="143"/>
        <v>#VALUE!</v>
      </c>
      <c r="DP34" s="179" t="e">
        <f t="shared" ca="1" si="143"/>
        <v>#VALUE!</v>
      </c>
      <c r="DQ34" s="179" t="e">
        <f t="shared" ca="1" si="143"/>
        <v>#VALUE!</v>
      </c>
      <c r="DR34" s="180">
        <f t="shared" ca="1" si="40"/>
        <v>5.7870356057992893</v>
      </c>
      <c r="DS34" s="180">
        <f t="shared" ca="1" si="33"/>
        <v>5.7870356057992893</v>
      </c>
      <c r="DT34" s="180">
        <f t="shared" ca="1" si="33"/>
        <v>5.7870356057992893</v>
      </c>
      <c r="DU34" s="180">
        <f t="shared" ca="1" si="33"/>
        <v>5.7870356057992893</v>
      </c>
      <c r="DV34" s="180">
        <f t="shared" ca="1" si="33"/>
        <v>5.7870356057992893</v>
      </c>
      <c r="DW34" s="180">
        <f t="shared" ca="1" si="33"/>
        <v>5.7870356057992893</v>
      </c>
      <c r="DX34" s="180">
        <f t="shared" ca="1" si="33"/>
        <v>5.7870356057992893</v>
      </c>
      <c r="DY34" s="180">
        <f t="shared" ca="1" si="33"/>
        <v>5.7870356057992893</v>
      </c>
      <c r="DZ34" s="180">
        <f t="shared" ca="1" si="33"/>
        <v>5.7870356057992893</v>
      </c>
      <c r="EA34" s="180">
        <f t="shared" ca="1" si="33"/>
        <v>5.7870356057992893</v>
      </c>
      <c r="EB34" s="180">
        <f t="shared" ca="1" si="33"/>
        <v>5.7870356057992893</v>
      </c>
      <c r="EC34" s="180">
        <f t="shared" ca="1" si="33"/>
        <v>5.7870356057992893</v>
      </c>
      <c r="ED34" s="180">
        <f t="shared" ca="1" si="33"/>
        <v>5.7870356057992893</v>
      </c>
      <c r="EE34" s="180">
        <f t="shared" ca="1" si="33"/>
        <v>5.7870356057992893</v>
      </c>
      <c r="EF34" s="180">
        <f t="shared" ca="1" si="33"/>
        <v>5.7870356057992893</v>
      </c>
      <c r="EG34" s="180">
        <f t="shared" ref="EG34:EO34" ca="1" si="144">IF($AU39&gt;$BA$19,0,$BA39-$AS39)</f>
        <v>5.7870356057992893</v>
      </c>
      <c r="EH34" s="180">
        <f t="shared" ca="1" si="144"/>
        <v>5.7870356057992893</v>
      </c>
      <c r="EI34" s="180">
        <f t="shared" ca="1" si="144"/>
        <v>5.7870356057992893</v>
      </c>
      <c r="EJ34" s="180">
        <f t="shared" ca="1" si="144"/>
        <v>5.7870356057992893</v>
      </c>
      <c r="EK34" s="180">
        <f t="shared" ca="1" si="144"/>
        <v>5.7870356057992893</v>
      </c>
      <c r="EL34" s="180">
        <f t="shared" ca="1" si="144"/>
        <v>5.7870356057992893</v>
      </c>
      <c r="EM34" s="180">
        <f t="shared" ca="1" si="144"/>
        <v>5.7870356057992893</v>
      </c>
      <c r="EN34" s="180">
        <f t="shared" ca="1" si="144"/>
        <v>5.7870356057992893</v>
      </c>
      <c r="EO34" s="180">
        <f t="shared" ca="1" si="144"/>
        <v>5.7870356057992893</v>
      </c>
      <c r="EP34" s="87"/>
      <c r="EQ34" s="259">
        <f t="shared" ca="1" si="42"/>
        <v>46640</v>
      </c>
      <c r="ER34" s="87">
        <f t="shared" ca="1" si="123"/>
        <v>5.7870356057992893</v>
      </c>
      <c r="ES34" s="87">
        <f t="shared" ca="1" si="123"/>
        <v>5.7870356057992893</v>
      </c>
      <c r="ET34" s="87">
        <f t="shared" ca="1" si="123"/>
        <v>5.7870356057992893</v>
      </c>
      <c r="EU34" s="87">
        <f t="shared" ca="1" si="123"/>
        <v>5.7870356057992893</v>
      </c>
      <c r="EV34" s="87">
        <f t="shared" ca="1" si="123"/>
        <v>5.7870356057992893</v>
      </c>
      <c r="EW34" s="87">
        <f t="shared" ca="1" si="123"/>
        <v>5.7870356057992893</v>
      </c>
      <c r="EX34" s="87">
        <f t="shared" ca="1" si="123"/>
        <v>5.7870356057992893</v>
      </c>
      <c r="EY34" s="87">
        <f t="shared" ca="1" si="123"/>
        <v>5.7870356057992893</v>
      </c>
      <c r="EZ34" s="87">
        <f t="shared" ca="1" si="123"/>
        <v>5.7870356057992893</v>
      </c>
      <c r="FA34" s="87">
        <f t="shared" ca="1" si="123"/>
        <v>5.7870356057992893</v>
      </c>
      <c r="FB34" s="87">
        <f t="shared" ca="1" si="123"/>
        <v>5.7870356057992893</v>
      </c>
      <c r="FC34" s="87">
        <f t="shared" ca="1" si="123"/>
        <v>5.7870356057992893</v>
      </c>
      <c r="FD34" s="87">
        <f t="shared" ca="1" si="123"/>
        <v>5.7870356057992893</v>
      </c>
      <c r="FE34" s="87">
        <f t="shared" ca="1" si="123"/>
        <v>5.7870356057992893</v>
      </c>
      <c r="FF34" s="87">
        <f t="shared" ca="1" si="123"/>
        <v>5.7870356057992893</v>
      </c>
      <c r="FG34" s="87">
        <f t="shared" ca="1" si="36"/>
        <v>5.7870356057992893</v>
      </c>
      <c r="FH34" s="87">
        <f t="shared" ca="1" si="36"/>
        <v>5.7870356057992893</v>
      </c>
      <c r="FI34" s="87">
        <f t="shared" ca="1" si="36"/>
        <v>5.7870356057992893</v>
      </c>
      <c r="FJ34" s="87">
        <f t="shared" ca="1" si="36"/>
        <v>5.7870356057992893</v>
      </c>
      <c r="FK34" s="87">
        <f t="shared" ca="1" si="36"/>
        <v>5.7870356057992893</v>
      </c>
      <c r="FL34" s="87">
        <f t="shared" ca="1" si="36"/>
        <v>5.7870356057992893</v>
      </c>
      <c r="FM34" s="87">
        <f t="shared" ca="1" si="36"/>
        <v>5.7870356057992893</v>
      </c>
      <c r="FN34" s="87">
        <f t="shared" ca="1" si="36"/>
        <v>5.7870356057992893</v>
      </c>
      <c r="FO34" s="87">
        <f t="shared" ca="1" si="36"/>
        <v>5.7870356057992893</v>
      </c>
      <c r="FP34" s="87">
        <f t="shared" ca="1" si="36"/>
        <v>5.7870356057992893</v>
      </c>
      <c r="FQ34" s="87"/>
    </row>
    <row r="35" spans="1:173" customFormat="1" ht="18.75" customHeight="1" thickBot="1" x14ac:dyDescent="0.3">
      <c r="B35" s="146" t="str">
        <f t="shared" si="117"/>
        <v/>
      </c>
      <c r="C35" s="64">
        <v>8</v>
      </c>
      <c r="D35" s="32" t="str">
        <f t="shared" si="107"/>
        <v>INSS</v>
      </c>
      <c r="E35" s="627" t="str">
        <f>IFERROR(VLOOKUP(CONCATENATE(C35,D35),'Base tabelas'!$B:$K,10,FALSE),"")</f>
        <v xml:space="preserve">805978 - RFN - INSS 10K 8   </v>
      </c>
      <c r="F35" s="628"/>
      <c r="G35" s="629"/>
      <c r="H35" s="33">
        <f>IFERROR(VLOOKUP(CONCATENATE(C35,D35),'Base tabelas'!$B:$E,4,FALSE),"")</f>
        <v>1.6200000000000003E-2</v>
      </c>
      <c r="I35" s="34">
        <f t="shared" ref="I35:I37" ca="1" si="145">IFERROR((PMT(H35,$BA$19,-1,0,0)*(H35+1)^(($BF$10-30)/30))*1.03017,"")</f>
        <v>2.1467110344375633E-2</v>
      </c>
      <c r="J35" s="35">
        <f ca="1">IFERROR(DB163,"")</f>
        <v>4328.9073383412078</v>
      </c>
      <c r="K35" s="57">
        <f t="shared" ref="K35:K37" ca="1" si="146">IF(J35&lt;&gt;"",$V$21,"")</f>
        <v>3304.6532608733751</v>
      </c>
      <c r="L35" s="102">
        <f ca="1">IFERROR(DY17*-1,"")</f>
        <v>993.17755186982583</v>
      </c>
      <c r="M35" s="37" t="str">
        <f t="shared" ca="1" si="109"/>
        <v>Não Disponível</v>
      </c>
      <c r="N35" s="304">
        <f>IFERROR(VLOOKUP(CONCATENATE(C35,D35),'Base tabelas'!$B:$O,14,FALSE),"")</f>
        <v>10000</v>
      </c>
      <c r="O35" s="186">
        <f ca="1">EY168</f>
        <v>1.3112959003038549E-2</v>
      </c>
      <c r="P35" s="375">
        <f t="shared" ca="1" si="110"/>
        <v>1.6200000000000003E-2</v>
      </c>
      <c r="Q35" s="303">
        <f t="shared" ca="1" si="111"/>
        <v>1.2949047015500568E-2</v>
      </c>
      <c r="R35" s="176">
        <f t="shared" ca="1" si="112"/>
        <v>1</v>
      </c>
      <c r="S35" s="87"/>
      <c r="T35" s="87"/>
      <c r="U35" s="176"/>
      <c r="V35" s="98">
        <f>W35-0.0002</f>
        <v>1.0162899999999999</v>
      </c>
      <c r="W35" s="98">
        <v>1.0164899999999999</v>
      </c>
      <c r="X35" s="87">
        <v>20</v>
      </c>
      <c r="Y35" s="377">
        <f t="shared" ca="1" si="4"/>
        <v>85.212964394200711</v>
      </c>
      <c r="Z35" s="377">
        <f t="shared" si="5"/>
        <v>0</v>
      </c>
      <c r="AA35" s="377">
        <f t="shared" si="6"/>
        <v>0</v>
      </c>
      <c r="AB35" s="377">
        <f t="shared" si="7"/>
        <v>0</v>
      </c>
      <c r="AC35" s="377">
        <f t="shared" si="8"/>
        <v>0</v>
      </c>
      <c r="AD35" s="377">
        <f t="shared" si="9"/>
        <v>0</v>
      </c>
      <c r="AE35" s="377">
        <f t="shared" si="10"/>
        <v>0</v>
      </c>
      <c r="AF35" s="377">
        <f t="shared" si="11"/>
        <v>0</v>
      </c>
      <c r="AG35" s="377">
        <f t="shared" si="12"/>
        <v>0</v>
      </c>
      <c r="AH35" s="377">
        <f t="shared" si="13"/>
        <v>0</v>
      </c>
      <c r="AI35" s="377">
        <f t="shared" si="14"/>
        <v>0</v>
      </c>
      <c r="AJ35" s="377">
        <f t="shared" si="15"/>
        <v>0</v>
      </c>
      <c r="AK35" s="377">
        <f t="shared" si="16"/>
        <v>0</v>
      </c>
      <c r="AL35" s="377">
        <f t="shared" si="17"/>
        <v>0</v>
      </c>
      <c r="AM35" s="377">
        <f t="shared" si="18"/>
        <v>0</v>
      </c>
      <c r="AN35" s="377">
        <f t="shared" si="19"/>
        <v>0</v>
      </c>
      <c r="AO35" s="377">
        <f t="shared" si="20"/>
        <v>0</v>
      </c>
      <c r="AP35" s="87"/>
      <c r="AQ35" s="138">
        <v>12</v>
      </c>
      <c r="AR35" s="258">
        <f t="shared" ca="1" si="69"/>
        <v>46517</v>
      </c>
      <c r="AS35" s="378">
        <f t="shared" ca="1" si="70"/>
        <v>85.212964394200711</v>
      </c>
      <c r="AT35" s="138"/>
      <c r="AU35" s="138">
        <v>12</v>
      </c>
      <c r="AV35" s="258">
        <f t="shared" ca="1" si="71"/>
        <v>46548</v>
      </c>
      <c r="AW35" s="378">
        <f t="shared" ca="1" si="72"/>
        <v>5.7870356057992893</v>
      </c>
      <c r="AX35" s="202">
        <f t="shared" ca="1" si="73"/>
        <v>4.57</v>
      </c>
      <c r="AY35" s="138">
        <v>12</v>
      </c>
      <c r="AZ35" s="258">
        <f t="shared" ca="1" si="74"/>
        <v>46548</v>
      </c>
      <c r="BA35" s="378">
        <f t="shared" si="75"/>
        <v>91</v>
      </c>
      <c r="BB35" s="87"/>
      <c r="BC35" s="258">
        <f t="shared" ca="1" si="61"/>
        <v>46517</v>
      </c>
      <c r="BD35" s="302">
        <f t="shared" ca="1" si="76"/>
        <v>5.7870356057992893</v>
      </c>
      <c r="BE35" s="133">
        <f t="shared" si="62"/>
        <v>12</v>
      </c>
      <c r="BF35" s="379">
        <f t="shared" ca="1" si="63"/>
        <v>46517</v>
      </c>
      <c r="BG35" s="133">
        <f t="shared" si="77"/>
        <v>91</v>
      </c>
      <c r="BH35" s="133">
        <f t="shared" si="78"/>
        <v>0</v>
      </c>
      <c r="BI35" s="133">
        <f t="shared" si="79"/>
        <v>0</v>
      </c>
      <c r="BJ35" s="133">
        <f t="shared" si="80"/>
        <v>0</v>
      </c>
      <c r="BK35" s="133">
        <f t="shared" si="81"/>
        <v>0</v>
      </c>
      <c r="BL35" s="133">
        <f t="shared" si="82"/>
        <v>0</v>
      </c>
      <c r="BM35" s="133">
        <f t="shared" si="83"/>
        <v>0</v>
      </c>
      <c r="BN35" s="133">
        <f t="shared" si="84"/>
        <v>0</v>
      </c>
      <c r="BO35" s="133">
        <f t="shared" si="85"/>
        <v>0</v>
      </c>
      <c r="BP35" s="133">
        <f t="shared" si="86"/>
        <v>0</v>
      </c>
      <c r="BQ35" s="133">
        <f t="shared" si="87"/>
        <v>0</v>
      </c>
      <c r="BR35" s="133">
        <f t="shared" si="88"/>
        <v>0</v>
      </c>
      <c r="BS35" s="133">
        <f t="shared" si="89"/>
        <v>0</v>
      </c>
      <c r="BT35" s="133">
        <f t="shared" si="90"/>
        <v>0</v>
      </c>
      <c r="BU35" s="133">
        <f t="shared" si="91"/>
        <v>0</v>
      </c>
      <c r="BV35" s="133">
        <f t="shared" si="92"/>
        <v>0</v>
      </c>
      <c r="BW35" s="133">
        <f t="shared" si="93"/>
        <v>0</v>
      </c>
      <c r="BX35" s="267"/>
      <c r="BY35" s="267"/>
      <c r="BZ35" s="267"/>
      <c r="CA35" s="267"/>
      <c r="CB35" s="267"/>
      <c r="CC35" s="267"/>
      <c r="CD35" s="267"/>
      <c r="CE35" s="267"/>
      <c r="CF35" s="267"/>
      <c r="CG35" s="26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178">
        <v>17</v>
      </c>
      <c r="CT35" s="259">
        <f t="shared" ca="1" si="29"/>
        <v>46701</v>
      </c>
      <c r="CU35" s="179">
        <f t="shared" ref="CU35:DC35" ca="1" si="147">(($AW40/(1+CU$18)^(($AZ40-$AZ$23)/30)))+($AS40/(1+CU$18)^(($AZ40-$AZ$23)/30))</f>
        <v>65.464847427553707</v>
      </c>
      <c r="CV35" s="179">
        <f t="shared" ca="1" si="147"/>
        <v>66.044954842980147</v>
      </c>
      <c r="CW35" s="179">
        <f t="shared" ca="1" si="147"/>
        <v>66.395621957960813</v>
      </c>
      <c r="CX35" s="179">
        <f t="shared" ca="1" si="147"/>
        <v>66.748255157727769</v>
      </c>
      <c r="CY35" s="179">
        <f t="shared" ca="1" si="147"/>
        <v>67.102866050146204</v>
      </c>
      <c r="CZ35" s="179">
        <f t="shared" ca="1" si="147"/>
        <v>67.459466315067672</v>
      </c>
      <c r="DA35" s="179">
        <f t="shared" ca="1" si="147"/>
        <v>67.698310832574123</v>
      </c>
      <c r="DB35" s="179">
        <f t="shared" ca="1" si="147"/>
        <v>68.178682044574572</v>
      </c>
      <c r="DC35" s="179">
        <f t="shared" ca="1" si="147"/>
        <v>68.420215782837587</v>
      </c>
      <c r="DD35" s="179">
        <f t="shared" ref="DD35:DI35" ca="1" si="148">(($AW40/(1+DD$18)^(($AZ40-$AZ$23)/30)))+($AS40/(1+DD$18)^(($AZ40-$AZ$23)/30))</f>
        <v>68.662652996068289</v>
      </c>
      <c r="DE35" s="179">
        <f t="shared" ca="1" si="148"/>
        <v>68.905997242665634</v>
      </c>
      <c r="DF35" s="179" t="e">
        <f t="shared" ca="1" si="148"/>
        <v>#VALUE!</v>
      </c>
      <c r="DG35" s="179" t="e">
        <f t="shared" ca="1" si="148"/>
        <v>#VALUE!</v>
      </c>
      <c r="DH35" s="179" t="e">
        <f t="shared" ca="1" si="148"/>
        <v>#VALUE!</v>
      </c>
      <c r="DI35" s="179" t="e">
        <f t="shared" ca="1" si="148"/>
        <v>#VALUE!</v>
      </c>
      <c r="DJ35" s="179" t="e">
        <f t="shared" ref="DJ35:DQ35" ca="1" si="149">(($AW40/(1+DJ$18)^(($AZ40-$AZ$23)/30)))+($AS40/(1+DJ$18)^(($AZ40-$AZ$23)/30))</f>
        <v>#VALUE!</v>
      </c>
      <c r="DK35" s="179" t="e">
        <f t="shared" ca="1" si="149"/>
        <v>#VALUE!</v>
      </c>
      <c r="DL35" s="179" t="e">
        <f t="shared" ca="1" si="149"/>
        <v>#VALUE!</v>
      </c>
      <c r="DM35" s="179" t="e">
        <f t="shared" ca="1" si="149"/>
        <v>#VALUE!</v>
      </c>
      <c r="DN35" s="179" t="e">
        <f t="shared" ca="1" si="149"/>
        <v>#VALUE!</v>
      </c>
      <c r="DO35" s="179" t="e">
        <f t="shared" ca="1" si="149"/>
        <v>#VALUE!</v>
      </c>
      <c r="DP35" s="179" t="e">
        <f t="shared" ca="1" si="149"/>
        <v>#VALUE!</v>
      </c>
      <c r="DQ35" s="179" t="e">
        <f t="shared" ca="1" si="149"/>
        <v>#VALUE!</v>
      </c>
      <c r="DR35" s="180">
        <f t="shared" ca="1" si="40"/>
        <v>5.7870356057992893</v>
      </c>
      <c r="DS35" s="180">
        <f t="shared" ref="DS35:EF50" ca="1" si="150">IF($AU40&gt;$BA$19,0,$BA40-$AS40)</f>
        <v>5.7870356057992893</v>
      </c>
      <c r="DT35" s="180">
        <f t="shared" ca="1" si="150"/>
        <v>5.7870356057992893</v>
      </c>
      <c r="DU35" s="180">
        <f t="shared" ca="1" si="150"/>
        <v>5.7870356057992893</v>
      </c>
      <c r="DV35" s="180">
        <f t="shared" ca="1" si="150"/>
        <v>5.7870356057992893</v>
      </c>
      <c r="DW35" s="180">
        <f t="shared" ca="1" si="150"/>
        <v>5.7870356057992893</v>
      </c>
      <c r="DX35" s="180">
        <f t="shared" ca="1" si="150"/>
        <v>5.7870356057992893</v>
      </c>
      <c r="DY35" s="180">
        <f t="shared" ca="1" si="150"/>
        <v>5.7870356057992893</v>
      </c>
      <c r="DZ35" s="180">
        <f t="shared" ca="1" si="150"/>
        <v>5.7870356057992893</v>
      </c>
      <c r="EA35" s="180">
        <f t="shared" ca="1" si="150"/>
        <v>5.7870356057992893</v>
      </c>
      <c r="EB35" s="180">
        <f t="shared" ca="1" si="150"/>
        <v>5.7870356057992893</v>
      </c>
      <c r="EC35" s="180">
        <f t="shared" ca="1" si="150"/>
        <v>5.7870356057992893</v>
      </c>
      <c r="ED35" s="180">
        <f t="shared" ca="1" si="150"/>
        <v>5.7870356057992893</v>
      </c>
      <c r="EE35" s="180">
        <f t="shared" ca="1" si="150"/>
        <v>5.7870356057992893</v>
      </c>
      <c r="EF35" s="180">
        <f t="shared" ca="1" si="150"/>
        <v>5.7870356057992893</v>
      </c>
      <c r="EG35" s="180">
        <f t="shared" ref="EG35:EO35" ca="1" si="151">IF($AU40&gt;$BA$19,0,$BA40-$AS40)</f>
        <v>5.7870356057992893</v>
      </c>
      <c r="EH35" s="180">
        <f t="shared" ca="1" si="151"/>
        <v>5.7870356057992893</v>
      </c>
      <c r="EI35" s="180">
        <f t="shared" ca="1" si="151"/>
        <v>5.7870356057992893</v>
      </c>
      <c r="EJ35" s="180">
        <f t="shared" ca="1" si="151"/>
        <v>5.7870356057992893</v>
      </c>
      <c r="EK35" s="180">
        <f t="shared" ca="1" si="151"/>
        <v>5.7870356057992893</v>
      </c>
      <c r="EL35" s="180">
        <f t="shared" ca="1" si="151"/>
        <v>5.7870356057992893</v>
      </c>
      <c r="EM35" s="180">
        <f t="shared" ca="1" si="151"/>
        <v>5.7870356057992893</v>
      </c>
      <c r="EN35" s="180">
        <f t="shared" ca="1" si="151"/>
        <v>5.7870356057992893</v>
      </c>
      <c r="EO35" s="180">
        <f t="shared" ca="1" si="151"/>
        <v>5.7870356057992893</v>
      </c>
      <c r="EP35" s="87"/>
      <c r="EQ35" s="259">
        <f t="shared" ca="1" si="42"/>
        <v>46670</v>
      </c>
      <c r="ER35" s="87">
        <f t="shared" ca="1" si="123"/>
        <v>5.7870356057992893</v>
      </c>
      <c r="ES35" s="87">
        <f t="shared" ca="1" si="123"/>
        <v>5.7870356057992893</v>
      </c>
      <c r="ET35" s="87">
        <f t="shared" ca="1" si="123"/>
        <v>5.7870356057992893</v>
      </c>
      <c r="EU35" s="87">
        <f t="shared" ca="1" si="123"/>
        <v>5.7870356057992893</v>
      </c>
      <c r="EV35" s="87">
        <f t="shared" ca="1" si="123"/>
        <v>5.7870356057992893</v>
      </c>
      <c r="EW35" s="87">
        <f t="shared" ca="1" si="123"/>
        <v>5.7870356057992893</v>
      </c>
      <c r="EX35" s="87">
        <f t="shared" ca="1" si="123"/>
        <v>5.7870356057992893</v>
      </c>
      <c r="EY35" s="87">
        <f t="shared" ca="1" si="123"/>
        <v>5.7870356057992893</v>
      </c>
      <c r="EZ35" s="87">
        <f t="shared" ca="1" si="123"/>
        <v>5.7870356057992893</v>
      </c>
      <c r="FA35" s="87">
        <f t="shared" ca="1" si="123"/>
        <v>5.7870356057992893</v>
      </c>
      <c r="FB35" s="87">
        <f t="shared" ca="1" si="123"/>
        <v>5.7870356057992893</v>
      </c>
      <c r="FC35" s="87">
        <f t="shared" ca="1" si="123"/>
        <v>5.7870356057992893</v>
      </c>
      <c r="FD35" s="87">
        <f t="shared" ca="1" si="123"/>
        <v>5.7870356057992893</v>
      </c>
      <c r="FE35" s="87">
        <f t="shared" ca="1" si="123"/>
        <v>5.7870356057992893</v>
      </c>
      <c r="FF35" s="87">
        <f t="shared" ca="1" si="123"/>
        <v>5.7870356057992893</v>
      </c>
      <c r="FG35" s="87">
        <f t="shared" ref="FG35:FP50" ca="1" si="152" xml:space="preserve"> IFERROR(VLOOKUP($EQ35,$AZ$23:$BA$167,2,FALSE),0)-IFERROR(VLOOKUP($EQ35,$AR$23:$AS$167,2,FALSE),0)</f>
        <v>5.7870356057992893</v>
      </c>
      <c r="FH35" s="87">
        <f t="shared" ca="1" si="152"/>
        <v>5.7870356057992893</v>
      </c>
      <c r="FI35" s="87">
        <f t="shared" ca="1" si="152"/>
        <v>5.7870356057992893</v>
      </c>
      <c r="FJ35" s="87">
        <f t="shared" ca="1" si="152"/>
        <v>5.7870356057992893</v>
      </c>
      <c r="FK35" s="87">
        <f t="shared" ca="1" si="152"/>
        <v>5.7870356057992893</v>
      </c>
      <c r="FL35" s="87">
        <f t="shared" ca="1" si="152"/>
        <v>5.7870356057992893</v>
      </c>
      <c r="FM35" s="87">
        <f t="shared" ca="1" si="152"/>
        <v>5.7870356057992893</v>
      </c>
      <c r="FN35" s="87">
        <f t="shared" ca="1" si="152"/>
        <v>5.7870356057992893</v>
      </c>
      <c r="FO35" s="87">
        <f t="shared" ca="1" si="152"/>
        <v>5.7870356057992893</v>
      </c>
      <c r="FP35" s="87">
        <f t="shared" ca="1" si="152"/>
        <v>5.7870356057992893</v>
      </c>
      <c r="FQ35" s="87"/>
    </row>
    <row r="36" spans="1:173" customFormat="1" ht="18.75" customHeight="1" thickBot="1" x14ac:dyDescent="0.3">
      <c r="C36" s="64">
        <v>9</v>
      </c>
      <c r="D36" s="32" t="str">
        <f t="shared" si="107"/>
        <v>INSS</v>
      </c>
      <c r="E36" s="627" t="str">
        <f>IFERROR(VLOOKUP(CONCATENATE(C36,D36),'Base tabelas'!$B:$K,10,FALSE),"")</f>
        <v xml:space="preserve">805979 - RFN - INSS 15K 9   </v>
      </c>
      <c r="F36" s="628"/>
      <c r="G36" s="629"/>
      <c r="H36" s="33">
        <f>IFERROR(VLOOKUP(CONCATENATE(C36,D36),'Base tabelas'!$B:$E,4,FALSE),"")</f>
        <v>1.6E-2</v>
      </c>
      <c r="I36" s="34">
        <f t="shared" ca="1" si="145"/>
        <v>2.1309701772622147E-2</v>
      </c>
      <c r="J36" s="35">
        <f ca="1">IFERROR(DC163,"")</f>
        <v>4361.213189326807</v>
      </c>
      <c r="K36" s="57">
        <f t="shared" ca="1" si="146"/>
        <v>3304.6532608733751</v>
      </c>
      <c r="L36" s="102">
        <f ca="1">IFERROR(DZ17*-1,"")</f>
        <v>1024.5032226177234</v>
      </c>
      <c r="M36" s="37" t="str">
        <f t="shared" ca="1" si="109"/>
        <v>Não Disponível</v>
      </c>
      <c r="N36" s="304">
        <f>IFERROR(VLOOKUP(CONCATENATE(C36,D36),'Base tabelas'!$B:$O,14,FALSE),"")</f>
        <v>15000</v>
      </c>
      <c r="O36" s="186">
        <f ca="1">EZ168</f>
        <v>1.2705625068288207E-2</v>
      </c>
      <c r="P36" s="375">
        <f t="shared" ca="1" si="110"/>
        <v>1.6E-2</v>
      </c>
      <c r="Q36" s="303">
        <f t="shared" ca="1" si="111"/>
        <v>1.2546804754934604E-2</v>
      </c>
      <c r="R36" s="176">
        <f t="shared" ca="1" si="112"/>
        <v>1</v>
      </c>
      <c r="S36" s="87"/>
      <c r="T36" s="87"/>
      <c r="U36" s="176"/>
      <c r="V36" s="98">
        <f>W36-0.0002</f>
        <v>2.0162900000000001</v>
      </c>
      <c r="W36" s="98">
        <v>2.0164900000000001</v>
      </c>
      <c r="X36" s="87">
        <v>21</v>
      </c>
      <c r="Y36" s="377">
        <f t="shared" ca="1" si="4"/>
        <v>85.212964394200711</v>
      </c>
      <c r="Z36" s="377">
        <f t="shared" si="5"/>
        <v>0</v>
      </c>
      <c r="AA36" s="377">
        <f t="shared" si="6"/>
        <v>0</v>
      </c>
      <c r="AB36" s="377">
        <f t="shared" si="7"/>
        <v>0</v>
      </c>
      <c r="AC36" s="377">
        <f t="shared" si="8"/>
        <v>0</v>
      </c>
      <c r="AD36" s="377">
        <f t="shared" si="9"/>
        <v>0</v>
      </c>
      <c r="AE36" s="377">
        <f t="shared" si="10"/>
        <v>0</v>
      </c>
      <c r="AF36" s="377">
        <f t="shared" si="11"/>
        <v>0</v>
      </c>
      <c r="AG36" s="377">
        <f t="shared" si="12"/>
        <v>0</v>
      </c>
      <c r="AH36" s="377">
        <f t="shared" si="13"/>
        <v>0</v>
      </c>
      <c r="AI36" s="377">
        <f t="shared" si="14"/>
        <v>0</v>
      </c>
      <c r="AJ36" s="377">
        <f t="shared" si="15"/>
        <v>0</v>
      </c>
      <c r="AK36" s="377">
        <f t="shared" si="16"/>
        <v>0</v>
      </c>
      <c r="AL36" s="377">
        <f t="shared" si="17"/>
        <v>0</v>
      </c>
      <c r="AM36" s="377">
        <f t="shared" si="18"/>
        <v>0</v>
      </c>
      <c r="AN36" s="377">
        <f t="shared" si="19"/>
        <v>0</v>
      </c>
      <c r="AO36" s="377">
        <f t="shared" si="20"/>
        <v>0</v>
      </c>
      <c r="AP36" s="87"/>
      <c r="AQ36" s="138">
        <v>13</v>
      </c>
      <c r="AR36" s="258">
        <f t="shared" ca="1" si="69"/>
        <v>46548</v>
      </c>
      <c r="AS36" s="378">
        <f t="shared" ca="1" si="70"/>
        <v>85.212964394200711</v>
      </c>
      <c r="AT36" s="138"/>
      <c r="AU36" s="138">
        <v>13</v>
      </c>
      <c r="AV36" s="258">
        <f t="shared" ca="1" si="71"/>
        <v>46578</v>
      </c>
      <c r="AW36" s="378">
        <f t="shared" ca="1" si="72"/>
        <v>5.7870356057992893</v>
      </c>
      <c r="AX36" s="202">
        <f t="shared" ca="1" si="73"/>
        <v>4.49</v>
      </c>
      <c r="AY36" s="138">
        <v>13</v>
      </c>
      <c r="AZ36" s="258">
        <f t="shared" ca="1" si="74"/>
        <v>46578</v>
      </c>
      <c r="BA36" s="378">
        <f t="shared" si="75"/>
        <v>91</v>
      </c>
      <c r="BB36" s="87"/>
      <c r="BC36" s="258">
        <f t="shared" ca="1" si="61"/>
        <v>46548</v>
      </c>
      <c r="BD36" s="302">
        <f t="shared" ca="1" si="76"/>
        <v>5.7870356057992893</v>
      </c>
      <c r="BE36" s="133">
        <f t="shared" si="62"/>
        <v>13</v>
      </c>
      <c r="BF36" s="379">
        <f t="shared" ca="1" si="63"/>
        <v>46548</v>
      </c>
      <c r="BG36" s="133">
        <f t="shared" si="77"/>
        <v>91</v>
      </c>
      <c r="BH36" s="133">
        <f t="shared" si="78"/>
        <v>0</v>
      </c>
      <c r="BI36" s="133">
        <f t="shared" si="79"/>
        <v>0</v>
      </c>
      <c r="BJ36" s="133">
        <f t="shared" si="80"/>
        <v>0</v>
      </c>
      <c r="BK36" s="133">
        <f t="shared" si="81"/>
        <v>0</v>
      </c>
      <c r="BL36" s="133">
        <f t="shared" si="82"/>
        <v>0</v>
      </c>
      <c r="BM36" s="133">
        <f t="shared" si="83"/>
        <v>0</v>
      </c>
      <c r="BN36" s="133">
        <f t="shared" si="84"/>
        <v>0</v>
      </c>
      <c r="BO36" s="133">
        <f t="shared" si="85"/>
        <v>0</v>
      </c>
      <c r="BP36" s="133">
        <f t="shared" si="86"/>
        <v>0</v>
      </c>
      <c r="BQ36" s="133">
        <f t="shared" si="87"/>
        <v>0</v>
      </c>
      <c r="BR36" s="133">
        <f t="shared" si="88"/>
        <v>0</v>
      </c>
      <c r="BS36" s="133">
        <f t="shared" si="89"/>
        <v>0</v>
      </c>
      <c r="BT36" s="133">
        <f t="shared" si="90"/>
        <v>0</v>
      </c>
      <c r="BU36" s="133">
        <f t="shared" si="91"/>
        <v>0</v>
      </c>
      <c r="BV36" s="133">
        <f t="shared" si="92"/>
        <v>0</v>
      </c>
      <c r="BW36" s="133">
        <f t="shared" si="93"/>
        <v>0</v>
      </c>
      <c r="BX36" s="267"/>
      <c r="BY36" s="267"/>
      <c r="BZ36" s="267"/>
      <c r="CA36" s="267"/>
      <c r="CB36" s="267"/>
      <c r="CC36" s="267"/>
      <c r="CD36" s="267"/>
      <c r="CE36" s="267"/>
      <c r="CF36" s="267"/>
      <c r="CG36" s="26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138">
        <v>18</v>
      </c>
      <c r="CT36" s="259">
        <f t="shared" ca="1" si="29"/>
        <v>46731</v>
      </c>
      <c r="CU36" s="179">
        <f t="shared" ref="CU36:DC36" ca="1" si="153">(($AW41/(1+CU$18)^(($AZ41-$AZ$23)/30)))+($AS41/(1+CU$18)^(($AZ41-$AZ$23)/30))</f>
        <v>64.275746124254994</v>
      </c>
      <c r="CV36" s="179">
        <f t="shared" ca="1" si="153"/>
        <v>64.877165857544341</v>
      </c>
      <c r="CW36" s="179">
        <f t="shared" ca="1" si="153"/>
        <v>65.24085875794519</v>
      </c>
      <c r="CX36" s="179">
        <f t="shared" ca="1" si="153"/>
        <v>65.606698602052049</v>
      </c>
      <c r="CY36" s="179">
        <f t="shared" ca="1" si="153"/>
        <v>65.974698702336255</v>
      </c>
      <c r="CZ36" s="179">
        <f t="shared" ca="1" si="153"/>
        <v>66.344872457777029</v>
      </c>
      <c r="DA36" s="179">
        <f t="shared" ca="1" si="153"/>
        <v>66.592869203791182</v>
      </c>
      <c r="DB36" s="179">
        <f t="shared" ca="1" si="153"/>
        <v>67.091794966123373</v>
      </c>
      <c r="DC36" s="179">
        <f t="shared" ca="1" si="153"/>
        <v>67.342732069722032</v>
      </c>
      <c r="DD36" s="179">
        <f t="shared" ref="DD36:DI36" ca="1" si="154">(($AW41/(1+DD$18)^(($AZ41-$AZ$23)/30)))+($AS41/(1+DD$18)^(($AZ41-$AZ$23)/30))</f>
        <v>67.59465740900599</v>
      </c>
      <c r="DE36" s="179">
        <f t="shared" ca="1" si="154"/>
        <v>67.847575071549457</v>
      </c>
      <c r="DF36" s="179" t="e">
        <f t="shared" ca="1" si="154"/>
        <v>#VALUE!</v>
      </c>
      <c r="DG36" s="179" t="e">
        <f t="shared" ca="1" si="154"/>
        <v>#VALUE!</v>
      </c>
      <c r="DH36" s="179" t="e">
        <f t="shared" ca="1" si="154"/>
        <v>#VALUE!</v>
      </c>
      <c r="DI36" s="179" t="e">
        <f t="shared" ca="1" si="154"/>
        <v>#VALUE!</v>
      </c>
      <c r="DJ36" s="179" t="e">
        <f t="shared" ref="DJ36:DQ36" ca="1" si="155">(($AW41/(1+DJ$18)^(($AZ41-$AZ$23)/30)))+($AS41/(1+DJ$18)^(($AZ41-$AZ$23)/30))</f>
        <v>#VALUE!</v>
      </c>
      <c r="DK36" s="179" t="e">
        <f t="shared" ca="1" si="155"/>
        <v>#VALUE!</v>
      </c>
      <c r="DL36" s="179" t="e">
        <f t="shared" ca="1" si="155"/>
        <v>#VALUE!</v>
      </c>
      <c r="DM36" s="179" t="e">
        <f t="shared" ca="1" si="155"/>
        <v>#VALUE!</v>
      </c>
      <c r="DN36" s="179" t="e">
        <f t="shared" ca="1" si="155"/>
        <v>#VALUE!</v>
      </c>
      <c r="DO36" s="179" t="e">
        <f t="shared" ca="1" si="155"/>
        <v>#VALUE!</v>
      </c>
      <c r="DP36" s="179" t="e">
        <f t="shared" ca="1" si="155"/>
        <v>#VALUE!</v>
      </c>
      <c r="DQ36" s="179" t="e">
        <f t="shared" ca="1" si="155"/>
        <v>#VALUE!</v>
      </c>
      <c r="DR36" s="180">
        <f t="shared" ca="1" si="40"/>
        <v>5.7870356057992893</v>
      </c>
      <c r="DS36" s="180">
        <f t="shared" ca="1" si="150"/>
        <v>5.7870356057992893</v>
      </c>
      <c r="DT36" s="180">
        <f t="shared" ca="1" si="150"/>
        <v>5.7870356057992893</v>
      </c>
      <c r="DU36" s="180">
        <f t="shared" ca="1" si="150"/>
        <v>5.7870356057992893</v>
      </c>
      <c r="DV36" s="180">
        <f t="shared" ca="1" si="150"/>
        <v>5.7870356057992893</v>
      </c>
      <c r="DW36" s="180">
        <f t="shared" ca="1" si="150"/>
        <v>5.7870356057992893</v>
      </c>
      <c r="DX36" s="180">
        <f t="shared" ca="1" si="150"/>
        <v>5.7870356057992893</v>
      </c>
      <c r="DY36" s="180">
        <f t="shared" ca="1" si="150"/>
        <v>5.7870356057992893</v>
      </c>
      <c r="DZ36" s="180">
        <f t="shared" ca="1" si="150"/>
        <v>5.7870356057992893</v>
      </c>
      <c r="EA36" s="180">
        <f t="shared" ca="1" si="150"/>
        <v>5.7870356057992893</v>
      </c>
      <c r="EB36" s="180">
        <f t="shared" ca="1" si="150"/>
        <v>5.7870356057992893</v>
      </c>
      <c r="EC36" s="180">
        <f t="shared" ca="1" si="150"/>
        <v>5.7870356057992893</v>
      </c>
      <c r="ED36" s="180">
        <f t="shared" ca="1" si="150"/>
        <v>5.7870356057992893</v>
      </c>
      <c r="EE36" s="180">
        <f t="shared" ca="1" si="150"/>
        <v>5.7870356057992893</v>
      </c>
      <c r="EF36" s="180">
        <f t="shared" ca="1" si="150"/>
        <v>5.7870356057992893</v>
      </c>
      <c r="EG36" s="180">
        <f t="shared" ref="EG36:EO36" ca="1" si="156">IF($AU41&gt;$BA$19,0,$BA41-$AS41)</f>
        <v>5.7870356057992893</v>
      </c>
      <c r="EH36" s="180">
        <f t="shared" ca="1" si="156"/>
        <v>5.7870356057992893</v>
      </c>
      <c r="EI36" s="180">
        <f t="shared" ca="1" si="156"/>
        <v>5.7870356057992893</v>
      </c>
      <c r="EJ36" s="180">
        <f t="shared" ca="1" si="156"/>
        <v>5.7870356057992893</v>
      </c>
      <c r="EK36" s="180">
        <f t="shared" ca="1" si="156"/>
        <v>5.7870356057992893</v>
      </c>
      <c r="EL36" s="180">
        <f t="shared" ca="1" si="156"/>
        <v>5.7870356057992893</v>
      </c>
      <c r="EM36" s="180">
        <f t="shared" ca="1" si="156"/>
        <v>5.7870356057992893</v>
      </c>
      <c r="EN36" s="180">
        <f t="shared" ca="1" si="156"/>
        <v>5.7870356057992893</v>
      </c>
      <c r="EO36" s="180">
        <f t="shared" ca="1" si="156"/>
        <v>5.7870356057992893</v>
      </c>
      <c r="EP36" s="87"/>
      <c r="EQ36" s="259">
        <f t="shared" ca="1" si="42"/>
        <v>46701</v>
      </c>
      <c r="ER36" s="87">
        <f t="shared" ca="1" si="123"/>
        <v>5.7870356057992893</v>
      </c>
      <c r="ES36" s="87">
        <f t="shared" ca="1" si="123"/>
        <v>5.7870356057992893</v>
      </c>
      <c r="ET36" s="87">
        <f t="shared" ca="1" si="123"/>
        <v>5.7870356057992893</v>
      </c>
      <c r="EU36" s="87">
        <f t="shared" ca="1" si="123"/>
        <v>5.7870356057992893</v>
      </c>
      <c r="EV36" s="87">
        <f t="shared" ca="1" si="123"/>
        <v>5.7870356057992893</v>
      </c>
      <c r="EW36" s="87">
        <f t="shared" ca="1" si="123"/>
        <v>5.7870356057992893</v>
      </c>
      <c r="EX36" s="87">
        <f t="shared" ca="1" si="123"/>
        <v>5.7870356057992893</v>
      </c>
      <c r="EY36" s="87">
        <f t="shared" ca="1" si="123"/>
        <v>5.7870356057992893</v>
      </c>
      <c r="EZ36" s="87">
        <f t="shared" ca="1" si="123"/>
        <v>5.7870356057992893</v>
      </c>
      <c r="FA36" s="87">
        <f t="shared" ca="1" si="123"/>
        <v>5.7870356057992893</v>
      </c>
      <c r="FB36" s="87">
        <f t="shared" ca="1" si="123"/>
        <v>5.7870356057992893</v>
      </c>
      <c r="FC36" s="87">
        <f t="shared" ca="1" si="123"/>
        <v>5.7870356057992893</v>
      </c>
      <c r="FD36" s="87">
        <f t="shared" ca="1" si="123"/>
        <v>5.7870356057992893</v>
      </c>
      <c r="FE36" s="87">
        <f t="shared" ca="1" si="123"/>
        <v>5.7870356057992893</v>
      </c>
      <c r="FF36" s="87">
        <f t="shared" ca="1" si="123"/>
        <v>5.7870356057992893</v>
      </c>
      <c r="FG36" s="87">
        <f t="shared" ca="1" si="152"/>
        <v>5.7870356057992893</v>
      </c>
      <c r="FH36" s="87">
        <f t="shared" ca="1" si="152"/>
        <v>5.7870356057992893</v>
      </c>
      <c r="FI36" s="87">
        <f t="shared" ca="1" si="152"/>
        <v>5.7870356057992893</v>
      </c>
      <c r="FJ36" s="87">
        <f t="shared" ca="1" si="152"/>
        <v>5.7870356057992893</v>
      </c>
      <c r="FK36" s="87">
        <f t="shared" ca="1" si="152"/>
        <v>5.7870356057992893</v>
      </c>
      <c r="FL36" s="87">
        <f t="shared" ca="1" si="152"/>
        <v>5.7870356057992893</v>
      </c>
      <c r="FM36" s="87">
        <f t="shared" ca="1" si="152"/>
        <v>5.7870356057992893</v>
      </c>
      <c r="FN36" s="87">
        <f t="shared" ca="1" si="152"/>
        <v>5.7870356057992893</v>
      </c>
      <c r="FO36" s="87">
        <f t="shared" ca="1" si="152"/>
        <v>5.7870356057992893</v>
      </c>
      <c r="FP36" s="87">
        <f t="shared" ca="1" si="152"/>
        <v>5.7870356057992893</v>
      </c>
      <c r="FQ36" s="87"/>
    </row>
    <row r="37" spans="1:173" customFormat="1" ht="18.75" customHeight="1" thickBot="1" x14ac:dyDescent="0.3">
      <c r="C37" s="64">
        <v>10</v>
      </c>
      <c r="D37" s="32" t="str">
        <f t="shared" si="107"/>
        <v>INSS</v>
      </c>
      <c r="E37" s="627" t="str">
        <f>IFERROR(VLOOKUP(CONCATENATE(C37,D37),'Base tabelas'!$B:$K,10,FALSE),"")</f>
        <v xml:space="preserve">805980 - RFN - INSS 30K 10   </v>
      </c>
      <c r="F37" s="628"/>
      <c r="G37" s="629"/>
      <c r="H37" s="33">
        <f>IFERROR(VLOOKUP(CONCATENATE(C37,D37),'Base tabelas'!$B:$E,4,FALSE),"")</f>
        <v>1.5800000000000002E-2</v>
      </c>
      <c r="I37" s="34">
        <f t="shared" ca="1" si="145"/>
        <v>2.1152854116951673E-2</v>
      </c>
      <c r="J37" s="35">
        <f ca="1">IFERROR(DD163,"")</f>
        <v>4393.8865031309606</v>
      </c>
      <c r="K37" s="57">
        <f t="shared" ca="1" si="146"/>
        <v>3304.6532608733751</v>
      </c>
      <c r="L37" s="102">
        <f ca="1">IFERROR(EA17*-1,"")</f>
        <v>1056.1852071265944</v>
      </c>
      <c r="M37" s="37" t="str">
        <f t="shared" ca="1" si="109"/>
        <v>Não Disponível</v>
      </c>
      <c r="N37" s="304">
        <f>IFERROR(VLOOKUP(CONCATENATE(C37,D37),'Base tabelas'!$B:$O,14,FALSE),"")</f>
        <v>30000</v>
      </c>
      <c r="O37" s="186">
        <f ca="1">FA168</f>
        <v>1.2306793477565581E-2</v>
      </c>
      <c r="P37" s="375">
        <f t="shared" ca="1" si="110"/>
        <v>1.5800000000000002E-2</v>
      </c>
      <c r="Q37" s="303">
        <f t="shared" ca="1" si="111"/>
        <v>1.2152958559096011E-2</v>
      </c>
      <c r="R37" s="176">
        <f t="shared" ca="1" si="112"/>
        <v>1</v>
      </c>
      <c r="S37" s="87"/>
      <c r="T37" s="87"/>
      <c r="U37" s="182"/>
      <c r="V37" s="176"/>
      <c r="W37" s="176"/>
      <c r="X37" s="87">
        <v>22</v>
      </c>
      <c r="Y37" s="377">
        <f t="shared" ca="1" si="4"/>
        <v>85.212964394200711</v>
      </c>
      <c r="Z37" s="377">
        <f t="shared" si="5"/>
        <v>0</v>
      </c>
      <c r="AA37" s="377">
        <f t="shared" si="6"/>
        <v>0</v>
      </c>
      <c r="AB37" s="377">
        <f t="shared" si="7"/>
        <v>0</v>
      </c>
      <c r="AC37" s="377">
        <f t="shared" si="8"/>
        <v>0</v>
      </c>
      <c r="AD37" s="377">
        <f t="shared" si="9"/>
        <v>0</v>
      </c>
      <c r="AE37" s="377">
        <f t="shared" si="10"/>
        <v>0</v>
      </c>
      <c r="AF37" s="377">
        <f t="shared" si="11"/>
        <v>0</v>
      </c>
      <c r="AG37" s="377">
        <f t="shared" si="12"/>
        <v>0</v>
      </c>
      <c r="AH37" s="377">
        <f t="shared" si="13"/>
        <v>0</v>
      </c>
      <c r="AI37" s="377">
        <f t="shared" si="14"/>
        <v>0</v>
      </c>
      <c r="AJ37" s="377">
        <f t="shared" si="15"/>
        <v>0</v>
      </c>
      <c r="AK37" s="377">
        <f t="shared" si="16"/>
        <v>0</v>
      </c>
      <c r="AL37" s="377">
        <f t="shared" si="17"/>
        <v>0</v>
      </c>
      <c r="AM37" s="377">
        <f t="shared" si="18"/>
        <v>0</v>
      </c>
      <c r="AN37" s="377">
        <f t="shared" si="19"/>
        <v>0</v>
      </c>
      <c r="AO37" s="377">
        <f t="shared" si="20"/>
        <v>0</v>
      </c>
      <c r="AP37" s="87"/>
      <c r="AQ37" s="138">
        <v>14</v>
      </c>
      <c r="AR37" s="258">
        <f t="shared" ca="1" si="69"/>
        <v>46578</v>
      </c>
      <c r="AS37" s="378">
        <f t="shared" ca="1" si="70"/>
        <v>85.212964394200711</v>
      </c>
      <c r="AT37" s="138"/>
      <c r="AU37" s="138">
        <v>14</v>
      </c>
      <c r="AV37" s="258">
        <f t="shared" ca="1" si="71"/>
        <v>46609</v>
      </c>
      <c r="AW37" s="378">
        <f t="shared" ca="1" si="72"/>
        <v>5.7870356057992893</v>
      </c>
      <c r="AX37" s="202">
        <f t="shared" ca="1" si="73"/>
        <v>4.4000000000000004</v>
      </c>
      <c r="AY37" s="138">
        <v>14</v>
      </c>
      <c r="AZ37" s="258">
        <f t="shared" ca="1" si="74"/>
        <v>46609</v>
      </c>
      <c r="BA37" s="378">
        <f t="shared" si="75"/>
        <v>91</v>
      </c>
      <c r="BB37" s="87"/>
      <c r="BC37" s="258">
        <f t="shared" ca="1" si="61"/>
        <v>46578</v>
      </c>
      <c r="BD37" s="302">
        <f t="shared" ca="1" si="76"/>
        <v>5.7870356057992893</v>
      </c>
      <c r="BE37" s="133">
        <f t="shared" si="62"/>
        <v>14</v>
      </c>
      <c r="BF37" s="379">
        <f t="shared" ca="1" si="63"/>
        <v>46578</v>
      </c>
      <c r="BG37" s="133">
        <f t="shared" si="77"/>
        <v>91</v>
      </c>
      <c r="BH37" s="133">
        <f t="shared" si="78"/>
        <v>0</v>
      </c>
      <c r="BI37" s="133">
        <f t="shared" si="79"/>
        <v>0</v>
      </c>
      <c r="BJ37" s="133">
        <f t="shared" si="80"/>
        <v>0</v>
      </c>
      <c r="BK37" s="133">
        <f t="shared" si="81"/>
        <v>0</v>
      </c>
      <c r="BL37" s="133">
        <f t="shared" si="82"/>
        <v>0</v>
      </c>
      <c r="BM37" s="133">
        <f t="shared" si="83"/>
        <v>0</v>
      </c>
      <c r="BN37" s="133">
        <f t="shared" si="84"/>
        <v>0</v>
      </c>
      <c r="BO37" s="133">
        <f t="shared" si="85"/>
        <v>0</v>
      </c>
      <c r="BP37" s="133">
        <f t="shared" si="86"/>
        <v>0</v>
      </c>
      <c r="BQ37" s="133">
        <f t="shared" si="87"/>
        <v>0</v>
      </c>
      <c r="BR37" s="133">
        <f t="shared" si="88"/>
        <v>0</v>
      </c>
      <c r="BS37" s="133">
        <f t="shared" si="89"/>
        <v>0</v>
      </c>
      <c r="BT37" s="133">
        <f t="shared" si="90"/>
        <v>0</v>
      </c>
      <c r="BU37" s="133">
        <f t="shared" si="91"/>
        <v>0</v>
      </c>
      <c r="BV37" s="133">
        <f t="shared" si="92"/>
        <v>0</v>
      </c>
      <c r="BW37" s="133">
        <f t="shared" si="93"/>
        <v>0</v>
      </c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>
        <v>19</v>
      </c>
      <c r="CT37" s="259">
        <f t="shared" ca="1" si="29"/>
        <v>46762</v>
      </c>
      <c r="CU37" s="179">
        <f t="shared" ref="CU37:DC37" ca="1" si="157">(($AW42/(1+CU$18)^(($AZ42-$AZ$23)/30)))+($AS42/(1+CU$18)^(($AZ42-$AZ$23)/30))</f>
        <v>63.069694246641085</v>
      </c>
      <c r="CV37" s="179">
        <f t="shared" ca="1" si="157"/>
        <v>63.692138718527801</v>
      </c>
      <c r="CW37" s="179">
        <f t="shared" ca="1" si="157"/>
        <v>64.068698530537574</v>
      </c>
      <c r="CX37" s="179">
        <f t="shared" ca="1" si="157"/>
        <v>64.447596639933025</v>
      </c>
      <c r="CY37" s="179">
        <f t="shared" ca="1" si="157"/>
        <v>64.828848262601767</v>
      </c>
      <c r="CZ37" s="179">
        <f t="shared" ca="1" si="157"/>
        <v>65.21246871797527</v>
      </c>
      <c r="DA37" s="179">
        <f t="shared" ca="1" si="157"/>
        <v>65.469539318728309</v>
      </c>
      <c r="DB37" s="179">
        <f t="shared" ca="1" si="157"/>
        <v>65.986877926708956</v>
      </c>
      <c r="DC37" s="179">
        <f t="shared" ca="1" si="157"/>
        <v>66.247155188343029</v>
      </c>
      <c r="DD37" s="179">
        <f t="shared" ref="DD37:DI37" ca="1" si="158">(($AW42/(1+DD$18)^(($AZ42-$AZ$23)/30)))+($AS42/(1+DD$18)^(($AZ42-$AZ$23)/30))</f>
        <v>66.508510626345853</v>
      </c>
      <c r="DE37" s="179">
        <f t="shared" ca="1" si="158"/>
        <v>66.770948920572721</v>
      </c>
      <c r="DF37" s="179" t="e">
        <f t="shared" ca="1" si="158"/>
        <v>#VALUE!</v>
      </c>
      <c r="DG37" s="179" t="e">
        <f t="shared" ca="1" si="158"/>
        <v>#VALUE!</v>
      </c>
      <c r="DH37" s="179" t="e">
        <f t="shared" ca="1" si="158"/>
        <v>#VALUE!</v>
      </c>
      <c r="DI37" s="179" t="e">
        <f t="shared" ca="1" si="158"/>
        <v>#VALUE!</v>
      </c>
      <c r="DJ37" s="179" t="e">
        <f t="shared" ref="DJ37:DQ37" ca="1" si="159">(($AW42/(1+DJ$18)^(($AZ42-$AZ$23)/30)))+($AS42/(1+DJ$18)^(($AZ42-$AZ$23)/30))</f>
        <v>#VALUE!</v>
      </c>
      <c r="DK37" s="179" t="e">
        <f t="shared" ca="1" si="159"/>
        <v>#VALUE!</v>
      </c>
      <c r="DL37" s="179" t="e">
        <f t="shared" ca="1" si="159"/>
        <v>#VALUE!</v>
      </c>
      <c r="DM37" s="179" t="e">
        <f t="shared" ca="1" si="159"/>
        <v>#VALUE!</v>
      </c>
      <c r="DN37" s="179" t="e">
        <f t="shared" ca="1" si="159"/>
        <v>#VALUE!</v>
      </c>
      <c r="DO37" s="179" t="e">
        <f t="shared" ca="1" si="159"/>
        <v>#VALUE!</v>
      </c>
      <c r="DP37" s="179" t="e">
        <f t="shared" ca="1" si="159"/>
        <v>#VALUE!</v>
      </c>
      <c r="DQ37" s="179" t="e">
        <f t="shared" ca="1" si="159"/>
        <v>#VALUE!</v>
      </c>
      <c r="DR37" s="180">
        <f t="shared" ca="1" si="40"/>
        <v>5.7870356057992893</v>
      </c>
      <c r="DS37" s="180">
        <f t="shared" ca="1" si="150"/>
        <v>5.7870356057992893</v>
      </c>
      <c r="DT37" s="180">
        <f t="shared" ca="1" si="150"/>
        <v>5.7870356057992893</v>
      </c>
      <c r="DU37" s="180">
        <f t="shared" ca="1" si="150"/>
        <v>5.7870356057992893</v>
      </c>
      <c r="DV37" s="180">
        <f t="shared" ca="1" si="150"/>
        <v>5.7870356057992893</v>
      </c>
      <c r="DW37" s="180">
        <f t="shared" ca="1" si="150"/>
        <v>5.7870356057992893</v>
      </c>
      <c r="DX37" s="180">
        <f t="shared" ca="1" si="150"/>
        <v>5.7870356057992893</v>
      </c>
      <c r="DY37" s="180">
        <f t="shared" ca="1" si="150"/>
        <v>5.7870356057992893</v>
      </c>
      <c r="DZ37" s="180">
        <f t="shared" ca="1" si="150"/>
        <v>5.7870356057992893</v>
      </c>
      <c r="EA37" s="180">
        <f t="shared" ca="1" si="150"/>
        <v>5.7870356057992893</v>
      </c>
      <c r="EB37" s="180">
        <f t="shared" ca="1" si="150"/>
        <v>5.7870356057992893</v>
      </c>
      <c r="EC37" s="180">
        <f t="shared" ca="1" si="150"/>
        <v>5.7870356057992893</v>
      </c>
      <c r="ED37" s="180">
        <f t="shared" ca="1" si="150"/>
        <v>5.7870356057992893</v>
      </c>
      <c r="EE37" s="180">
        <f t="shared" ca="1" si="150"/>
        <v>5.7870356057992893</v>
      </c>
      <c r="EF37" s="180">
        <f t="shared" ca="1" si="150"/>
        <v>5.7870356057992893</v>
      </c>
      <c r="EG37" s="180">
        <f t="shared" ref="EG37:EO37" ca="1" si="160">IF($AU42&gt;$BA$19,0,$BA42-$AS42)</f>
        <v>5.7870356057992893</v>
      </c>
      <c r="EH37" s="180">
        <f t="shared" ca="1" si="160"/>
        <v>5.7870356057992893</v>
      </c>
      <c r="EI37" s="180">
        <f t="shared" ca="1" si="160"/>
        <v>5.7870356057992893</v>
      </c>
      <c r="EJ37" s="180">
        <f t="shared" ca="1" si="160"/>
        <v>5.7870356057992893</v>
      </c>
      <c r="EK37" s="180">
        <f t="shared" ca="1" si="160"/>
        <v>5.7870356057992893</v>
      </c>
      <c r="EL37" s="180">
        <f t="shared" ca="1" si="160"/>
        <v>5.7870356057992893</v>
      </c>
      <c r="EM37" s="180">
        <f t="shared" ca="1" si="160"/>
        <v>5.7870356057992893</v>
      </c>
      <c r="EN37" s="180">
        <f t="shared" ca="1" si="160"/>
        <v>5.7870356057992893</v>
      </c>
      <c r="EO37" s="180">
        <f t="shared" ca="1" si="160"/>
        <v>5.7870356057992893</v>
      </c>
      <c r="EP37" s="87"/>
      <c r="EQ37" s="259">
        <f t="shared" ca="1" si="42"/>
        <v>46731</v>
      </c>
      <c r="ER37" s="87">
        <f t="shared" ca="1" si="123"/>
        <v>5.7870356057992893</v>
      </c>
      <c r="ES37" s="87">
        <f t="shared" ca="1" si="123"/>
        <v>5.7870356057992893</v>
      </c>
      <c r="ET37" s="87">
        <f t="shared" ca="1" si="123"/>
        <v>5.7870356057992893</v>
      </c>
      <c r="EU37" s="87">
        <f t="shared" ca="1" si="123"/>
        <v>5.7870356057992893</v>
      </c>
      <c r="EV37" s="87">
        <f t="shared" ca="1" si="123"/>
        <v>5.7870356057992893</v>
      </c>
      <c r="EW37" s="87">
        <f t="shared" ca="1" si="123"/>
        <v>5.7870356057992893</v>
      </c>
      <c r="EX37" s="87">
        <f t="shared" ca="1" si="123"/>
        <v>5.7870356057992893</v>
      </c>
      <c r="EY37" s="87">
        <f t="shared" ca="1" si="123"/>
        <v>5.7870356057992893</v>
      </c>
      <c r="EZ37" s="87">
        <f t="shared" ca="1" si="123"/>
        <v>5.7870356057992893</v>
      </c>
      <c r="FA37" s="87">
        <f t="shared" ca="1" si="123"/>
        <v>5.7870356057992893</v>
      </c>
      <c r="FB37" s="87">
        <f t="shared" ca="1" si="123"/>
        <v>5.7870356057992893</v>
      </c>
      <c r="FC37" s="87">
        <f t="shared" ca="1" si="123"/>
        <v>5.7870356057992893</v>
      </c>
      <c r="FD37" s="87">
        <f t="shared" ca="1" si="123"/>
        <v>5.7870356057992893</v>
      </c>
      <c r="FE37" s="87">
        <f t="shared" ca="1" si="123"/>
        <v>5.7870356057992893</v>
      </c>
      <c r="FF37" s="87">
        <f t="shared" ca="1" si="123"/>
        <v>5.7870356057992893</v>
      </c>
      <c r="FG37" s="87">
        <f t="shared" ca="1" si="152"/>
        <v>5.7870356057992893</v>
      </c>
      <c r="FH37" s="87">
        <f t="shared" ca="1" si="152"/>
        <v>5.7870356057992893</v>
      </c>
      <c r="FI37" s="87">
        <f t="shared" ca="1" si="152"/>
        <v>5.7870356057992893</v>
      </c>
      <c r="FJ37" s="87">
        <f t="shared" ca="1" si="152"/>
        <v>5.7870356057992893</v>
      </c>
      <c r="FK37" s="87">
        <f t="shared" ca="1" si="152"/>
        <v>5.7870356057992893</v>
      </c>
      <c r="FL37" s="87">
        <f t="shared" ca="1" si="152"/>
        <v>5.7870356057992893</v>
      </c>
      <c r="FM37" s="87">
        <f t="shared" ca="1" si="152"/>
        <v>5.7870356057992893</v>
      </c>
      <c r="FN37" s="87">
        <f t="shared" ca="1" si="152"/>
        <v>5.7870356057992893</v>
      </c>
      <c r="FO37" s="87">
        <f t="shared" ca="1" si="152"/>
        <v>5.7870356057992893</v>
      </c>
      <c r="FP37" s="87">
        <f t="shared" ca="1" si="152"/>
        <v>5.7870356057992893</v>
      </c>
      <c r="FQ37" s="87"/>
    </row>
    <row r="38" spans="1:173" s="446" customFormat="1" ht="18.75" customHeight="1" thickBot="1" x14ac:dyDescent="0.3">
      <c r="C38" s="64">
        <v>11</v>
      </c>
      <c r="D38" s="32" t="str">
        <f t="shared" si="107"/>
        <v>INSS</v>
      </c>
      <c r="E38" s="627" t="str">
        <f>IFERROR(VLOOKUP(CONCATENATE(C38,D38),'Base tabelas'!$B:$K,10,FALSE),"")</f>
        <v xml:space="preserve">805981 - RFN - INSS 50K 11   </v>
      </c>
      <c r="F38" s="628"/>
      <c r="G38" s="629"/>
      <c r="H38" s="33">
        <f>IFERROR(VLOOKUP(CONCATENATE(C38,D38),'Base tabelas'!$B:$E,4,FALSE),"")</f>
        <v>1.5600000000000001E-2</v>
      </c>
      <c r="I38" s="34">
        <f t="shared" ref="I38:I42" ca="1" si="161">IFERROR((PMT(H38,$BA$19,-1,0,0)*(H38+1)^(($BF$10-30)/30))*1.03017,"")</f>
        <v>2.0996570173484306E-2</v>
      </c>
      <c r="J38" s="35">
        <f ca="1">IFERROR(DE163,"")</f>
        <v>4426.9323263894566</v>
      </c>
      <c r="K38" s="57">
        <f t="shared" ref="K38:K42" ca="1" si="162">IF(J38&lt;&gt;"",$V$21,"")</f>
        <v>3304.6532608733751</v>
      </c>
      <c r="L38" s="102">
        <f ca="1">IFERROR(EB17*-1,"")</f>
        <v>1088.2283989140606</v>
      </c>
      <c r="M38" s="37" t="str">
        <f t="shared" ca="1" si="109"/>
        <v>Não Disponível</v>
      </c>
      <c r="N38" s="304">
        <f>IFERROR(VLOOKUP(CONCATENATE(C38,D38),'Base tabelas'!$B:$O,14,FALSE),"")</f>
        <v>50000</v>
      </c>
      <c r="O38" s="186">
        <f ca="1">FB168</f>
        <v>1.1916035034158057E-2</v>
      </c>
      <c r="P38" s="375">
        <f t="shared" ca="1" si="110"/>
        <v>1.5600000000000001E-2</v>
      </c>
      <c r="Q38" s="303">
        <f t="shared" ca="1" si="111"/>
        <v>1.1767084596231082E-2</v>
      </c>
      <c r="R38" s="176">
        <f t="shared" ca="1" si="112"/>
        <v>1</v>
      </c>
      <c r="S38" s="87"/>
      <c r="T38" s="87"/>
      <c r="U38" s="175"/>
      <c r="V38" s="176"/>
      <c r="W38" s="176"/>
      <c r="X38" s="87">
        <v>23</v>
      </c>
      <c r="Y38" s="377">
        <f t="shared" ca="1" si="4"/>
        <v>85.212964394200711</v>
      </c>
      <c r="Z38" s="377">
        <f t="shared" si="5"/>
        <v>0</v>
      </c>
      <c r="AA38" s="377">
        <f t="shared" si="6"/>
        <v>0</v>
      </c>
      <c r="AB38" s="377">
        <f t="shared" si="7"/>
        <v>0</v>
      </c>
      <c r="AC38" s="377">
        <f t="shared" si="8"/>
        <v>0</v>
      </c>
      <c r="AD38" s="377">
        <f t="shared" si="9"/>
        <v>0</v>
      </c>
      <c r="AE38" s="377">
        <f t="shared" si="10"/>
        <v>0</v>
      </c>
      <c r="AF38" s="377">
        <f t="shared" si="11"/>
        <v>0</v>
      </c>
      <c r="AG38" s="377">
        <f t="shared" si="12"/>
        <v>0</v>
      </c>
      <c r="AH38" s="377">
        <f t="shared" si="13"/>
        <v>0</v>
      </c>
      <c r="AI38" s="377">
        <f t="shared" si="14"/>
        <v>0</v>
      </c>
      <c r="AJ38" s="377">
        <f t="shared" si="15"/>
        <v>0</v>
      </c>
      <c r="AK38" s="377">
        <f t="shared" si="16"/>
        <v>0</v>
      </c>
      <c r="AL38" s="377">
        <f t="shared" si="17"/>
        <v>0</v>
      </c>
      <c r="AM38" s="377">
        <f t="shared" si="18"/>
        <v>0</v>
      </c>
      <c r="AN38" s="377">
        <f t="shared" si="19"/>
        <v>0</v>
      </c>
      <c r="AO38" s="377">
        <f t="shared" si="20"/>
        <v>0</v>
      </c>
      <c r="AP38" s="87"/>
      <c r="AQ38" s="138">
        <v>15</v>
      </c>
      <c r="AR38" s="258">
        <f t="shared" ca="1" si="69"/>
        <v>46609</v>
      </c>
      <c r="AS38" s="378">
        <f t="shared" ca="1" si="70"/>
        <v>85.212964394200711</v>
      </c>
      <c r="AT38" s="138"/>
      <c r="AU38" s="138">
        <v>15</v>
      </c>
      <c r="AV38" s="258">
        <f t="shared" ca="1" si="71"/>
        <v>46640</v>
      </c>
      <c r="AW38" s="378">
        <f t="shared" ca="1" si="72"/>
        <v>5.7870356057992893</v>
      </c>
      <c r="AX38" s="202">
        <f t="shared" ca="1" si="73"/>
        <v>4.32</v>
      </c>
      <c r="AY38" s="138">
        <v>15</v>
      </c>
      <c r="AZ38" s="258">
        <f t="shared" ca="1" si="74"/>
        <v>46640</v>
      </c>
      <c r="BA38" s="378">
        <f t="shared" si="75"/>
        <v>91</v>
      </c>
      <c r="BB38" s="87"/>
      <c r="BC38" s="258">
        <f t="shared" ca="1" si="61"/>
        <v>46609</v>
      </c>
      <c r="BD38" s="302">
        <f t="shared" ca="1" si="76"/>
        <v>5.7870356057992893</v>
      </c>
      <c r="BE38" s="133">
        <f t="shared" si="62"/>
        <v>15</v>
      </c>
      <c r="BF38" s="379">
        <f t="shared" ca="1" si="63"/>
        <v>46609</v>
      </c>
      <c r="BG38" s="133">
        <f t="shared" si="77"/>
        <v>91</v>
      </c>
      <c r="BH38" s="133">
        <f t="shared" si="78"/>
        <v>0</v>
      </c>
      <c r="BI38" s="133">
        <f t="shared" si="79"/>
        <v>0</v>
      </c>
      <c r="BJ38" s="133">
        <f t="shared" si="80"/>
        <v>0</v>
      </c>
      <c r="BK38" s="133">
        <f t="shared" si="81"/>
        <v>0</v>
      </c>
      <c r="BL38" s="133">
        <f t="shared" si="82"/>
        <v>0</v>
      </c>
      <c r="BM38" s="133">
        <f t="shared" si="83"/>
        <v>0</v>
      </c>
      <c r="BN38" s="133">
        <f t="shared" si="84"/>
        <v>0</v>
      </c>
      <c r="BO38" s="133">
        <f t="shared" si="85"/>
        <v>0</v>
      </c>
      <c r="BP38" s="133">
        <f t="shared" si="86"/>
        <v>0</v>
      </c>
      <c r="BQ38" s="133">
        <f t="shared" si="87"/>
        <v>0</v>
      </c>
      <c r="BR38" s="133">
        <f t="shared" si="88"/>
        <v>0</v>
      </c>
      <c r="BS38" s="133">
        <f t="shared" si="89"/>
        <v>0</v>
      </c>
      <c r="BT38" s="133">
        <f t="shared" si="90"/>
        <v>0</v>
      </c>
      <c r="BU38" s="133">
        <f t="shared" si="91"/>
        <v>0</v>
      </c>
      <c r="BV38" s="133">
        <f t="shared" si="92"/>
        <v>0</v>
      </c>
      <c r="BW38" s="133">
        <f t="shared" si="93"/>
        <v>0</v>
      </c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178">
        <v>20</v>
      </c>
      <c r="CT38" s="259">
        <f t="shared" ca="1" si="29"/>
        <v>46793</v>
      </c>
      <c r="CU38" s="179">
        <f t="shared" ref="CU38:DC38" ca="1" si="163">(($AW43/(1+CU$18)^(($AZ43-$AZ$23)/30)))+($AS43/(1+CU$18)^(($AZ43-$AZ$23)/30))</f>
        <v>61.886272384534038</v>
      </c>
      <c r="CV38" s="179">
        <f t="shared" ca="1" si="163"/>
        <v>62.528756935032632</v>
      </c>
      <c r="CW38" s="179">
        <f t="shared" ca="1" si="163"/>
        <v>62.917598105604625</v>
      </c>
      <c r="CX38" s="179">
        <f t="shared" ca="1" si="163"/>
        <v>63.308973034250421</v>
      </c>
      <c r="CY38" s="179">
        <f t="shared" ca="1" si="163"/>
        <v>63.702898985829123</v>
      </c>
      <c r="CZ38" s="179">
        <f t="shared" ca="1" si="163"/>
        <v>64.099393347984375</v>
      </c>
      <c r="DA38" s="179">
        <f t="shared" ca="1" si="163"/>
        <v>64.365158459976485</v>
      </c>
      <c r="DB38" s="179">
        <f t="shared" ca="1" si="163"/>
        <v>64.900157473994895</v>
      </c>
      <c r="DC38" s="179">
        <f t="shared" ca="1" si="163"/>
        <v>65.169401888902584</v>
      </c>
      <c r="DD38" s="179">
        <f t="shared" ref="DD38:DI38" ca="1" si="164">(($AW43/(1+DD$18)^(($AZ43-$AZ$23)/30)))+($AS43/(1+DD$18)^(($AZ43-$AZ$23)/30))</f>
        <v>65.439816625883367</v>
      </c>
      <c r="DE38" s="179">
        <f t="shared" ca="1" si="164"/>
        <v>65.711407003892432</v>
      </c>
      <c r="DF38" s="179" t="e">
        <f t="shared" ca="1" si="164"/>
        <v>#VALUE!</v>
      </c>
      <c r="DG38" s="179" t="e">
        <f t="shared" ca="1" si="164"/>
        <v>#VALUE!</v>
      </c>
      <c r="DH38" s="179" t="e">
        <f t="shared" ca="1" si="164"/>
        <v>#VALUE!</v>
      </c>
      <c r="DI38" s="179" t="e">
        <f t="shared" ca="1" si="164"/>
        <v>#VALUE!</v>
      </c>
      <c r="DJ38" s="179" t="e">
        <f t="shared" ref="DJ38:DQ38" ca="1" si="165">(($AW43/(1+DJ$18)^(($AZ43-$AZ$23)/30)))+($AS43/(1+DJ$18)^(($AZ43-$AZ$23)/30))</f>
        <v>#VALUE!</v>
      </c>
      <c r="DK38" s="179" t="e">
        <f t="shared" ca="1" si="165"/>
        <v>#VALUE!</v>
      </c>
      <c r="DL38" s="179" t="e">
        <f t="shared" ca="1" si="165"/>
        <v>#VALUE!</v>
      </c>
      <c r="DM38" s="179" t="e">
        <f t="shared" ca="1" si="165"/>
        <v>#VALUE!</v>
      </c>
      <c r="DN38" s="179" t="e">
        <f t="shared" ca="1" si="165"/>
        <v>#VALUE!</v>
      </c>
      <c r="DO38" s="179" t="e">
        <f t="shared" ca="1" si="165"/>
        <v>#VALUE!</v>
      </c>
      <c r="DP38" s="179" t="e">
        <f t="shared" ca="1" si="165"/>
        <v>#VALUE!</v>
      </c>
      <c r="DQ38" s="179" t="e">
        <f t="shared" ca="1" si="165"/>
        <v>#VALUE!</v>
      </c>
      <c r="DR38" s="180">
        <f t="shared" ca="1" si="40"/>
        <v>5.7870356057992893</v>
      </c>
      <c r="DS38" s="180">
        <f t="shared" ca="1" si="150"/>
        <v>5.7870356057992893</v>
      </c>
      <c r="DT38" s="180">
        <f t="shared" ca="1" si="150"/>
        <v>5.7870356057992893</v>
      </c>
      <c r="DU38" s="180">
        <f t="shared" ca="1" si="150"/>
        <v>5.7870356057992893</v>
      </c>
      <c r="DV38" s="180">
        <f t="shared" ca="1" si="150"/>
        <v>5.7870356057992893</v>
      </c>
      <c r="DW38" s="180">
        <f t="shared" ca="1" si="150"/>
        <v>5.7870356057992893</v>
      </c>
      <c r="DX38" s="180">
        <f t="shared" ca="1" si="150"/>
        <v>5.7870356057992893</v>
      </c>
      <c r="DY38" s="180">
        <f t="shared" ca="1" si="150"/>
        <v>5.7870356057992893</v>
      </c>
      <c r="DZ38" s="180">
        <f t="shared" ca="1" si="150"/>
        <v>5.7870356057992893</v>
      </c>
      <c r="EA38" s="180">
        <f t="shared" ca="1" si="150"/>
        <v>5.7870356057992893</v>
      </c>
      <c r="EB38" s="180">
        <f t="shared" ca="1" si="150"/>
        <v>5.7870356057992893</v>
      </c>
      <c r="EC38" s="180">
        <f t="shared" ca="1" si="150"/>
        <v>5.7870356057992893</v>
      </c>
      <c r="ED38" s="180">
        <f t="shared" ca="1" si="150"/>
        <v>5.7870356057992893</v>
      </c>
      <c r="EE38" s="180">
        <f t="shared" ca="1" si="150"/>
        <v>5.7870356057992893</v>
      </c>
      <c r="EF38" s="180">
        <f t="shared" ca="1" si="150"/>
        <v>5.7870356057992893</v>
      </c>
      <c r="EG38" s="180">
        <f t="shared" ref="EG38:EO38" ca="1" si="166">IF($AU43&gt;$BA$19,0,$BA43-$AS43)</f>
        <v>5.7870356057992893</v>
      </c>
      <c r="EH38" s="180">
        <f t="shared" ca="1" si="166"/>
        <v>5.7870356057992893</v>
      </c>
      <c r="EI38" s="180">
        <f t="shared" ca="1" si="166"/>
        <v>5.7870356057992893</v>
      </c>
      <c r="EJ38" s="180">
        <f t="shared" ca="1" si="166"/>
        <v>5.7870356057992893</v>
      </c>
      <c r="EK38" s="180">
        <f t="shared" ca="1" si="166"/>
        <v>5.7870356057992893</v>
      </c>
      <c r="EL38" s="180">
        <f t="shared" ca="1" si="166"/>
        <v>5.7870356057992893</v>
      </c>
      <c r="EM38" s="180">
        <f t="shared" ca="1" si="166"/>
        <v>5.7870356057992893</v>
      </c>
      <c r="EN38" s="180">
        <f t="shared" ca="1" si="166"/>
        <v>5.7870356057992893</v>
      </c>
      <c r="EO38" s="180">
        <f t="shared" ca="1" si="166"/>
        <v>5.7870356057992893</v>
      </c>
      <c r="EP38" s="87"/>
      <c r="EQ38" s="259">
        <f t="shared" ca="1" si="42"/>
        <v>46762</v>
      </c>
      <c r="ER38" s="87">
        <f t="shared" ca="1" si="123"/>
        <v>5.7870356057992893</v>
      </c>
      <c r="ES38" s="87">
        <f t="shared" ca="1" si="123"/>
        <v>5.7870356057992893</v>
      </c>
      <c r="ET38" s="87">
        <f t="shared" ca="1" si="123"/>
        <v>5.7870356057992893</v>
      </c>
      <c r="EU38" s="87">
        <f t="shared" ca="1" si="123"/>
        <v>5.7870356057992893</v>
      </c>
      <c r="EV38" s="87">
        <f t="shared" ca="1" si="123"/>
        <v>5.7870356057992893</v>
      </c>
      <c r="EW38" s="87">
        <f t="shared" ca="1" si="123"/>
        <v>5.7870356057992893</v>
      </c>
      <c r="EX38" s="87">
        <f t="shared" ca="1" si="123"/>
        <v>5.7870356057992893</v>
      </c>
      <c r="EY38" s="87">
        <f t="shared" ca="1" si="123"/>
        <v>5.7870356057992893</v>
      </c>
      <c r="EZ38" s="87">
        <f t="shared" ca="1" si="123"/>
        <v>5.7870356057992893</v>
      </c>
      <c r="FA38" s="87">
        <f t="shared" ca="1" si="123"/>
        <v>5.7870356057992893</v>
      </c>
      <c r="FB38" s="87">
        <f t="shared" ca="1" si="123"/>
        <v>5.7870356057992893</v>
      </c>
      <c r="FC38" s="87">
        <f t="shared" ca="1" si="123"/>
        <v>5.7870356057992893</v>
      </c>
      <c r="FD38" s="87">
        <f t="shared" ca="1" si="123"/>
        <v>5.7870356057992893</v>
      </c>
      <c r="FE38" s="87">
        <f t="shared" ca="1" si="123"/>
        <v>5.7870356057992893</v>
      </c>
      <c r="FF38" s="87">
        <f t="shared" ca="1" si="123"/>
        <v>5.7870356057992893</v>
      </c>
      <c r="FG38" s="87">
        <f t="shared" ca="1" si="152"/>
        <v>5.7870356057992893</v>
      </c>
      <c r="FH38" s="87">
        <f t="shared" ca="1" si="152"/>
        <v>5.7870356057992893</v>
      </c>
      <c r="FI38" s="87">
        <f t="shared" ca="1" si="152"/>
        <v>5.7870356057992893</v>
      </c>
      <c r="FJ38" s="87">
        <f t="shared" ca="1" si="152"/>
        <v>5.7870356057992893</v>
      </c>
      <c r="FK38" s="87">
        <f t="shared" ca="1" si="152"/>
        <v>5.7870356057992893</v>
      </c>
      <c r="FL38" s="87">
        <f t="shared" ca="1" si="152"/>
        <v>5.7870356057992893</v>
      </c>
      <c r="FM38" s="87">
        <f t="shared" ca="1" si="152"/>
        <v>5.7870356057992893</v>
      </c>
      <c r="FN38" s="87">
        <f t="shared" ca="1" si="152"/>
        <v>5.7870356057992893</v>
      </c>
      <c r="FO38" s="87">
        <f t="shared" ca="1" si="152"/>
        <v>5.7870356057992893</v>
      </c>
      <c r="FP38" s="87">
        <f t="shared" ca="1" si="152"/>
        <v>5.7870356057992893</v>
      </c>
      <c r="FQ38" s="87"/>
    </row>
    <row r="39" spans="1:173" s="446" customFormat="1" ht="18.75" customHeight="1" thickBot="1" x14ac:dyDescent="0.3">
      <c r="C39" s="64">
        <v>12</v>
      </c>
      <c r="D39" s="32" t="str">
        <f t="shared" si="107"/>
        <v>INSS</v>
      </c>
      <c r="E39" s="627" t="str">
        <f>IFERROR(VLOOKUP(CONCATENATE(C39,D39),'Base tabelas'!$B:$K,10,FALSE),"")</f>
        <v/>
      </c>
      <c r="F39" s="628"/>
      <c r="G39" s="629"/>
      <c r="H39" s="33" t="str">
        <f>IFERROR(VLOOKUP(CONCATENATE(C39,D39),'Base tabelas'!$B:$E,4,FALSE),"")</f>
        <v/>
      </c>
      <c r="I39" s="34" t="str">
        <f t="shared" ca="1" si="161"/>
        <v/>
      </c>
      <c r="J39" s="35" t="str">
        <f ca="1">IFERROR(DF163,"")</f>
        <v/>
      </c>
      <c r="K39" s="36" t="str">
        <f t="shared" ca="1" si="162"/>
        <v/>
      </c>
      <c r="L39" s="102" t="str">
        <f ca="1">IFERROR(EC17*-1,"")</f>
        <v/>
      </c>
      <c r="M39" s="37" t="str">
        <f t="shared" ca="1" si="109"/>
        <v/>
      </c>
      <c r="N39" s="304" t="str">
        <f>IFERROR(VLOOKUP(CONCATENATE(C39,D39),'Base tabelas'!$B:$O,14,FALSE),"")</f>
        <v/>
      </c>
      <c r="O39" s="186" t="str">
        <f ca="1">FC168</f>
        <v/>
      </c>
      <c r="P39" s="375" t="str">
        <f t="shared" ca="1" si="110"/>
        <v/>
      </c>
      <c r="Q39" s="303" t="e">
        <f t="shared" ca="1" si="111"/>
        <v>#VALUE!</v>
      </c>
      <c r="R39" s="176">
        <f t="shared" ca="1" si="112"/>
        <v>0</v>
      </c>
      <c r="S39" s="87"/>
      <c r="T39" s="87"/>
      <c r="U39" s="175"/>
      <c r="V39" s="176"/>
      <c r="W39" s="176"/>
      <c r="X39" s="87">
        <v>24</v>
      </c>
      <c r="Y39" s="377">
        <f t="shared" ca="1" si="4"/>
        <v>85.212964394200711</v>
      </c>
      <c r="Z39" s="377">
        <f t="shared" si="5"/>
        <v>0</v>
      </c>
      <c r="AA39" s="377">
        <f t="shared" si="6"/>
        <v>0</v>
      </c>
      <c r="AB39" s="377">
        <f t="shared" si="7"/>
        <v>0</v>
      </c>
      <c r="AC39" s="377">
        <f t="shared" si="8"/>
        <v>0</v>
      </c>
      <c r="AD39" s="377">
        <f t="shared" si="9"/>
        <v>0</v>
      </c>
      <c r="AE39" s="377">
        <f t="shared" si="10"/>
        <v>0</v>
      </c>
      <c r="AF39" s="377">
        <f t="shared" si="11"/>
        <v>0</v>
      </c>
      <c r="AG39" s="377">
        <f t="shared" si="12"/>
        <v>0</v>
      </c>
      <c r="AH39" s="377">
        <f t="shared" si="13"/>
        <v>0</v>
      </c>
      <c r="AI39" s="377">
        <f t="shared" si="14"/>
        <v>0</v>
      </c>
      <c r="AJ39" s="377">
        <f t="shared" si="15"/>
        <v>0</v>
      </c>
      <c r="AK39" s="377">
        <f t="shared" si="16"/>
        <v>0</v>
      </c>
      <c r="AL39" s="377">
        <f t="shared" si="17"/>
        <v>0</v>
      </c>
      <c r="AM39" s="377">
        <f t="shared" si="18"/>
        <v>0</v>
      </c>
      <c r="AN39" s="377">
        <f t="shared" si="19"/>
        <v>0</v>
      </c>
      <c r="AO39" s="377">
        <f t="shared" si="20"/>
        <v>0</v>
      </c>
      <c r="AP39" s="87"/>
      <c r="AQ39" s="138">
        <v>16</v>
      </c>
      <c r="AR39" s="258">
        <f t="shared" ca="1" si="69"/>
        <v>46640</v>
      </c>
      <c r="AS39" s="378">
        <f t="shared" ca="1" si="70"/>
        <v>85.212964394200711</v>
      </c>
      <c r="AT39" s="138"/>
      <c r="AU39" s="138">
        <v>16</v>
      </c>
      <c r="AV39" s="258">
        <f t="shared" ca="1" si="71"/>
        <v>46670</v>
      </c>
      <c r="AW39" s="378">
        <f t="shared" ca="1" si="72"/>
        <v>5.7870356057992893</v>
      </c>
      <c r="AX39" s="202">
        <f t="shared" ca="1" si="73"/>
        <v>4.24</v>
      </c>
      <c r="AY39" s="138">
        <v>16</v>
      </c>
      <c r="AZ39" s="258">
        <f t="shared" ca="1" si="74"/>
        <v>46670</v>
      </c>
      <c r="BA39" s="378">
        <f t="shared" si="75"/>
        <v>91</v>
      </c>
      <c r="BB39" s="87"/>
      <c r="BC39" s="258">
        <f t="shared" ca="1" si="61"/>
        <v>46640</v>
      </c>
      <c r="BD39" s="302">
        <f t="shared" ca="1" si="76"/>
        <v>5.7870356057992893</v>
      </c>
      <c r="BE39" s="133">
        <f t="shared" si="62"/>
        <v>16</v>
      </c>
      <c r="BF39" s="379">
        <f t="shared" ca="1" si="63"/>
        <v>46640</v>
      </c>
      <c r="BG39" s="133">
        <f t="shared" si="77"/>
        <v>91</v>
      </c>
      <c r="BH39" s="133">
        <f t="shared" si="78"/>
        <v>0</v>
      </c>
      <c r="BI39" s="133">
        <f t="shared" si="79"/>
        <v>0</v>
      </c>
      <c r="BJ39" s="133">
        <f t="shared" si="80"/>
        <v>0</v>
      </c>
      <c r="BK39" s="133">
        <f t="shared" si="81"/>
        <v>0</v>
      </c>
      <c r="BL39" s="133">
        <f t="shared" si="82"/>
        <v>0</v>
      </c>
      <c r="BM39" s="133">
        <f t="shared" si="83"/>
        <v>0</v>
      </c>
      <c r="BN39" s="133">
        <f t="shared" si="84"/>
        <v>0</v>
      </c>
      <c r="BO39" s="133">
        <f t="shared" si="85"/>
        <v>0</v>
      </c>
      <c r="BP39" s="133">
        <f t="shared" si="86"/>
        <v>0</v>
      </c>
      <c r="BQ39" s="133">
        <f t="shared" si="87"/>
        <v>0</v>
      </c>
      <c r="BR39" s="133">
        <f t="shared" si="88"/>
        <v>0</v>
      </c>
      <c r="BS39" s="133">
        <f t="shared" si="89"/>
        <v>0</v>
      </c>
      <c r="BT39" s="133">
        <f t="shared" si="90"/>
        <v>0</v>
      </c>
      <c r="BU39" s="133">
        <f t="shared" si="91"/>
        <v>0</v>
      </c>
      <c r="BV39" s="133">
        <f t="shared" si="92"/>
        <v>0</v>
      </c>
      <c r="BW39" s="133">
        <f t="shared" si="93"/>
        <v>0</v>
      </c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138">
        <v>21</v>
      </c>
      <c r="CT39" s="259">
        <f t="shared" ca="1" si="29"/>
        <v>46822</v>
      </c>
      <c r="CU39" s="179">
        <f t="shared" ref="CU39:DC39" ca="1" si="167">(($AW44/(1+CU$18)^(($AZ44-$AZ$23)/30)))+($AS44/(1+CU$18)^(($AZ44-$AZ$23)/30))</f>
        <v>60.799311169135436</v>
      </c>
      <c r="CV39" s="179">
        <f t="shared" ca="1" si="167"/>
        <v>61.459677396767624</v>
      </c>
      <c r="CW39" s="179">
        <f t="shared" ca="1" si="167"/>
        <v>61.859492534403579</v>
      </c>
      <c r="CX39" s="179">
        <f t="shared" ca="1" si="167"/>
        <v>62.262027627028061</v>
      </c>
      <c r="CY39" s="179">
        <f t="shared" ca="1" si="167"/>
        <v>62.667301988809932</v>
      </c>
      <c r="CZ39" s="179">
        <f t="shared" ca="1" si="167"/>
        <v>63.075335076821979</v>
      </c>
      <c r="DA39" s="179">
        <f t="shared" ca="1" si="167"/>
        <v>63.348899434765848</v>
      </c>
      <c r="DB39" s="179">
        <f t="shared" ca="1" si="167"/>
        <v>63.89975598096602</v>
      </c>
      <c r="DC39" s="179">
        <f t="shared" ca="1" si="167"/>
        <v>64.177059942827199</v>
      </c>
      <c r="DD39" s="179">
        <f t="shared" ref="DD39:DI39" ca="1" si="168">(($AW44/(1+DD$18)^(($AZ44-$AZ$23)/30)))+($AS44/(1+DD$18)^(($AZ44-$AZ$23)/30))</f>
        <v>64.455622261345994</v>
      </c>
      <c r="DE39" s="179">
        <f t="shared" ca="1" si="168"/>
        <v>64.735448896168876</v>
      </c>
      <c r="DF39" s="179" t="e">
        <f t="shared" ca="1" si="168"/>
        <v>#VALUE!</v>
      </c>
      <c r="DG39" s="179" t="e">
        <f t="shared" ca="1" si="168"/>
        <v>#VALUE!</v>
      </c>
      <c r="DH39" s="179" t="e">
        <f t="shared" ca="1" si="168"/>
        <v>#VALUE!</v>
      </c>
      <c r="DI39" s="179" t="e">
        <f t="shared" ca="1" si="168"/>
        <v>#VALUE!</v>
      </c>
      <c r="DJ39" s="179" t="e">
        <f t="shared" ref="DJ39:DQ39" ca="1" si="169">(($AW44/(1+DJ$18)^(($AZ44-$AZ$23)/30)))+($AS44/(1+DJ$18)^(($AZ44-$AZ$23)/30))</f>
        <v>#VALUE!</v>
      </c>
      <c r="DK39" s="179" t="e">
        <f t="shared" ca="1" si="169"/>
        <v>#VALUE!</v>
      </c>
      <c r="DL39" s="179" t="e">
        <f t="shared" ca="1" si="169"/>
        <v>#VALUE!</v>
      </c>
      <c r="DM39" s="179" t="e">
        <f t="shared" ca="1" si="169"/>
        <v>#VALUE!</v>
      </c>
      <c r="DN39" s="179" t="e">
        <f t="shared" ca="1" si="169"/>
        <v>#VALUE!</v>
      </c>
      <c r="DO39" s="179" t="e">
        <f t="shared" ca="1" si="169"/>
        <v>#VALUE!</v>
      </c>
      <c r="DP39" s="179" t="e">
        <f t="shared" ca="1" si="169"/>
        <v>#VALUE!</v>
      </c>
      <c r="DQ39" s="179" t="e">
        <f t="shared" ca="1" si="169"/>
        <v>#VALUE!</v>
      </c>
      <c r="DR39" s="180">
        <f t="shared" ca="1" si="40"/>
        <v>5.7870356057992893</v>
      </c>
      <c r="DS39" s="180">
        <f t="shared" ca="1" si="150"/>
        <v>5.7870356057992893</v>
      </c>
      <c r="DT39" s="180">
        <f t="shared" ca="1" si="150"/>
        <v>5.7870356057992893</v>
      </c>
      <c r="DU39" s="180">
        <f t="shared" ca="1" si="150"/>
        <v>5.7870356057992893</v>
      </c>
      <c r="DV39" s="180">
        <f t="shared" ca="1" si="150"/>
        <v>5.7870356057992893</v>
      </c>
      <c r="DW39" s="180">
        <f t="shared" ca="1" si="150"/>
        <v>5.7870356057992893</v>
      </c>
      <c r="DX39" s="180">
        <f t="shared" ca="1" si="150"/>
        <v>5.7870356057992893</v>
      </c>
      <c r="DY39" s="180">
        <f t="shared" ca="1" si="150"/>
        <v>5.7870356057992893</v>
      </c>
      <c r="DZ39" s="180">
        <f t="shared" ca="1" si="150"/>
        <v>5.7870356057992893</v>
      </c>
      <c r="EA39" s="180">
        <f t="shared" ca="1" si="150"/>
        <v>5.7870356057992893</v>
      </c>
      <c r="EB39" s="180">
        <f t="shared" ca="1" si="150"/>
        <v>5.7870356057992893</v>
      </c>
      <c r="EC39" s="180">
        <f t="shared" ca="1" si="150"/>
        <v>5.7870356057992893</v>
      </c>
      <c r="ED39" s="180">
        <f t="shared" ca="1" si="150"/>
        <v>5.7870356057992893</v>
      </c>
      <c r="EE39" s="180">
        <f t="shared" ca="1" si="150"/>
        <v>5.7870356057992893</v>
      </c>
      <c r="EF39" s="180">
        <f t="shared" ca="1" si="150"/>
        <v>5.7870356057992893</v>
      </c>
      <c r="EG39" s="180">
        <f t="shared" ref="EG39:EO39" ca="1" si="170">IF($AU44&gt;$BA$19,0,$BA44-$AS44)</f>
        <v>5.7870356057992893</v>
      </c>
      <c r="EH39" s="180">
        <f t="shared" ca="1" si="170"/>
        <v>5.7870356057992893</v>
      </c>
      <c r="EI39" s="180">
        <f t="shared" ca="1" si="170"/>
        <v>5.7870356057992893</v>
      </c>
      <c r="EJ39" s="180">
        <f t="shared" ca="1" si="170"/>
        <v>5.7870356057992893</v>
      </c>
      <c r="EK39" s="180">
        <f t="shared" ca="1" si="170"/>
        <v>5.7870356057992893</v>
      </c>
      <c r="EL39" s="180">
        <f t="shared" ca="1" si="170"/>
        <v>5.7870356057992893</v>
      </c>
      <c r="EM39" s="180">
        <f t="shared" ca="1" si="170"/>
        <v>5.7870356057992893</v>
      </c>
      <c r="EN39" s="180">
        <f t="shared" ca="1" si="170"/>
        <v>5.7870356057992893</v>
      </c>
      <c r="EO39" s="180">
        <f t="shared" ca="1" si="170"/>
        <v>5.7870356057992893</v>
      </c>
      <c r="EP39" s="87"/>
      <c r="EQ39" s="259">
        <f t="shared" ca="1" si="42"/>
        <v>46793</v>
      </c>
      <c r="ER39" s="87">
        <f t="shared" ref="ER39:FF48" ca="1" si="171" xml:space="preserve"> IFERROR(VLOOKUP($EQ39,$AZ$23:$BA$167,2,FALSE),0)-IFERROR(VLOOKUP($EQ39,$AR$23:$AS$167,2,FALSE),0)</f>
        <v>5.7870356057992893</v>
      </c>
      <c r="ES39" s="87">
        <f t="shared" ca="1" si="171"/>
        <v>5.7870356057992893</v>
      </c>
      <c r="ET39" s="87">
        <f t="shared" ca="1" si="171"/>
        <v>5.7870356057992893</v>
      </c>
      <c r="EU39" s="87">
        <f t="shared" ca="1" si="171"/>
        <v>5.7870356057992893</v>
      </c>
      <c r="EV39" s="87">
        <f t="shared" ca="1" si="171"/>
        <v>5.7870356057992893</v>
      </c>
      <c r="EW39" s="87">
        <f t="shared" ca="1" si="171"/>
        <v>5.7870356057992893</v>
      </c>
      <c r="EX39" s="87">
        <f t="shared" ca="1" si="171"/>
        <v>5.7870356057992893</v>
      </c>
      <c r="EY39" s="87">
        <f t="shared" ca="1" si="171"/>
        <v>5.7870356057992893</v>
      </c>
      <c r="EZ39" s="87">
        <f t="shared" ca="1" si="171"/>
        <v>5.7870356057992893</v>
      </c>
      <c r="FA39" s="87">
        <f t="shared" ca="1" si="171"/>
        <v>5.7870356057992893</v>
      </c>
      <c r="FB39" s="87">
        <f t="shared" ca="1" si="171"/>
        <v>5.7870356057992893</v>
      </c>
      <c r="FC39" s="87">
        <f t="shared" ca="1" si="171"/>
        <v>5.7870356057992893</v>
      </c>
      <c r="FD39" s="87">
        <f t="shared" ca="1" si="171"/>
        <v>5.7870356057992893</v>
      </c>
      <c r="FE39" s="87">
        <f t="shared" ca="1" si="171"/>
        <v>5.7870356057992893</v>
      </c>
      <c r="FF39" s="87">
        <f t="shared" ca="1" si="171"/>
        <v>5.7870356057992893</v>
      </c>
      <c r="FG39" s="87">
        <f t="shared" ca="1" si="152"/>
        <v>5.7870356057992893</v>
      </c>
      <c r="FH39" s="87">
        <f t="shared" ca="1" si="152"/>
        <v>5.7870356057992893</v>
      </c>
      <c r="FI39" s="87">
        <f t="shared" ca="1" si="152"/>
        <v>5.7870356057992893</v>
      </c>
      <c r="FJ39" s="87">
        <f t="shared" ca="1" si="152"/>
        <v>5.7870356057992893</v>
      </c>
      <c r="FK39" s="87">
        <f t="shared" ca="1" si="152"/>
        <v>5.7870356057992893</v>
      </c>
      <c r="FL39" s="87">
        <f t="shared" ca="1" si="152"/>
        <v>5.7870356057992893</v>
      </c>
      <c r="FM39" s="87">
        <f t="shared" ca="1" si="152"/>
        <v>5.7870356057992893</v>
      </c>
      <c r="FN39" s="87">
        <f t="shared" ca="1" si="152"/>
        <v>5.7870356057992893</v>
      </c>
      <c r="FO39" s="87">
        <f t="shared" ca="1" si="152"/>
        <v>5.7870356057992893</v>
      </c>
      <c r="FP39" s="87">
        <f t="shared" ca="1" si="152"/>
        <v>5.7870356057992893</v>
      </c>
      <c r="FQ39" s="87"/>
    </row>
    <row r="40" spans="1:173" s="446" customFormat="1" ht="18.75" customHeight="1" thickBot="1" x14ac:dyDescent="0.3">
      <c r="C40" s="64">
        <v>13</v>
      </c>
      <c r="D40" s="32" t="str">
        <f t="shared" si="107"/>
        <v>INSS</v>
      </c>
      <c r="E40" s="627" t="str">
        <f>IFERROR(VLOOKUP(CONCATENATE(C40,D40),'Base tabelas'!$B:$K,10,FALSE),"")</f>
        <v/>
      </c>
      <c r="F40" s="628"/>
      <c r="G40" s="629"/>
      <c r="H40" s="33" t="str">
        <f>IFERROR(VLOOKUP(CONCATENATE(C40,D40),'Base tabelas'!$B:$E,4,FALSE),"")</f>
        <v/>
      </c>
      <c r="I40" s="34" t="str">
        <f t="shared" ca="1" si="161"/>
        <v/>
      </c>
      <c r="J40" s="35" t="str">
        <f ca="1">IFERROR(DG163,"")</f>
        <v/>
      </c>
      <c r="K40" s="36" t="str">
        <f t="shared" ca="1" si="162"/>
        <v/>
      </c>
      <c r="L40" s="102" t="str">
        <f ca="1">IFERROR(ED17*-1,"")</f>
        <v/>
      </c>
      <c r="M40" s="37" t="str">
        <f t="shared" ca="1" si="109"/>
        <v/>
      </c>
      <c r="N40" s="304" t="str">
        <f>IFERROR(VLOOKUP(CONCATENATE(C40,D40),'Base tabelas'!$B:$O,14,FALSE),"")</f>
        <v/>
      </c>
      <c r="O40" s="186" t="str">
        <f ca="1">FD168</f>
        <v/>
      </c>
      <c r="P40" s="375" t="str">
        <f t="shared" ca="1" si="110"/>
        <v/>
      </c>
      <c r="Q40" s="303" t="e">
        <f t="shared" ca="1" si="111"/>
        <v>#VALUE!</v>
      </c>
      <c r="R40" s="176">
        <f t="shared" ca="1" si="112"/>
        <v>0</v>
      </c>
      <c r="S40" s="87"/>
      <c r="T40" s="87"/>
      <c r="U40" s="175"/>
      <c r="V40" s="176"/>
      <c r="W40" s="176"/>
      <c r="X40" s="87">
        <v>25</v>
      </c>
      <c r="Y40" s="377">
        <f t="shared" ca="1" si="4"/>
        <v>85.212964394200711</v>
      </c>
      <c r="Z40" s="377">
        <f t="shared" si="5"/>
        <v>0</v>
      </c>
      <c r="AA40" s="377">
        <f t="shared" si="6"/>
        <v>0</v>
      </c>
      <c r="AB40" s="377">
        <f t="shared" si="7"/>
        <v>0</v>
      </c>
      <c r="AC40" s="377">
        <f t="shared" si="8"/>
        <v>0</v>
      </c>
      <c r="AD40" s="377">
        <f t="shared" si="9"/>
        <v>0</v>
      </c>
      <c r="AE40" s="377">
        <f t="shared" si="10"/>
        <v>0</v>
      </c>
      <c r="AF40" s="377">
        <f t="shared" si="11"/>
        <v>0</v>
      </c>
      <c r="AG40" s="377">
        <f t="shared" si="12"/>
        <v>0</v>
      </c>
      <c r="AH40" s="377">
        <f t="shared" si="13"/>
        <v>0</v>
      </c>
      <c r="AI40" s="377">
        <f t="shared" si="14"/>
        <v>0</v>
      </c>
      <c r="AJ40" s="377">
        <f t="shared" si="15"/>
        <v>0</v>
      </c>
      <c r="AK40" s="377">
        <f t="shared" si="16"/>
        <v>0</v>
      </c>
      <c r="AL40" s="377">
        <f t="shared" si="17"/>
        <v>0</v>
      </c>
      <c r="AM40" s="377">
        <f t="shared" si="18"/>
        <v>0</v>
      </c>
      <c r="AN40" s="377">
        <f t="shared" si="19"/>
        <v>0</v>
      </c>
      <c r="AO40" s="377">
        <f t="shared" si="20"/>
        <v>0</v>
      </c>
      <c r="AP40" s="87"/>
      <c r="AQ40" s="138">
        <v>17</v>
      </c>
      <c r="AR40" s="258">
        <f t="shared" ca="1" si="69"/>
        <v>46670</v>
      </c>
      <c r="AS40" s="378">
        <f t="shared" ca="1" si="70"/>
        <v>85.212964394200711</v>
      </c>
      <c r="AT40" s="138"/>
      <c r="AU40" s="138">
        <v>17</v>
      </c>
      <c r="AV40" s="258">
        <f t="shared" ca="1" si="71"/>
        <v>46701</v>
      </c>
      <c r="AW40" s="378">
        <f t="shared" ca="1" si="72"/>
        <v>5.7870356057992893</v>
      </c>
      <c r="AX40" s="202">
        <f t="shared" ca="1" si="73"/>
        <v>4.16</v>
      </c>
      <c r="AY40" s="138">
        <v>17</v>
      </c>
      <c r="AZ40" s="258">
        <f t="shared" ca="1" si="74"/>
        <v>46701</v>
      </c>
      <c r="BA40" s="378">
        <f t="shared" si="75"/>
        <v>91</v>
      </c>
      <c r="BB40" s="87"/>
      <c r="BC40" s="258">
        <f t="shared" ca="1" si="61"/>
        <v>46670</v>
      </c>
      <c r="BD40" s="302">
        <f t="shared" ca="1" si="76"/>
        <v>5.7870356057992893</v>
      </c>
      <c r="BE40" s="133">
        <f t="shared" si="62"/>
        <v>17</v>
      </c>
      <c r="BF40" s="379">
        <f t="shared" ca="1" si="63"/>
        <v>46670</v>
      </c>
      <c r="BG40" s="133">
        <f t="shared" si="77"/>
        <v>91</v>
      </c>
      <c r="BH40" s="133">
        <f t="shared" si="78"/>
        <v>0</v>
      </c>
      <c r="BI40" s="133">
        <f t="shared" si="79"/>
        <v>0</v>
      </c>
      <c r="BJ40" s="133">
        <f t="shared" si="80"/>
        <v>0</v>
      </c>
      <c r="BK40" s="133">
        <f t="shared" si="81"/>
        <v>0</v>
      </c>
      <c r="BL40" s="133">
        <f t="shared" si="82"/>
        <v>0</v>
      </c>
      <c r="BM40" s="133">
        <f t="shared" si="83"/>
        <v>0</v>
      </c>
      <c r="BN40" s="133">
        <f t="shared" si="84"/>
        <v>0</v>
      </c>
      <c r="BO40" s="133">
        <f t="shared" si="85"/>
        <v>0</v>
      </c>
      <c r="BP40" s="133">
        <f t="shared" si="86"/>
        <v>0</v>
      </c>
      <c r="BQ40" s="133">
        <f t="shared" si="87"/>
        <v>0</v>
      </c>
      <c r="BR40" s="133">
        <f t="shared" si="88"/>
        <v>0</v>
      </c>
      <c r="BS40" s="133">
        <f t="shared" si="89"/>
        <v>0</v>
      </c>
      <c r="BT40" s="133">
        <f t="shared" si="90"/>
        <v>0</v>
      </c>
      <c r="BU40" s="133">
        <f t="shared" si="91"/>
        <v>0</v>
      </c>
      <c r="BV40" s="133">
        <f t="shared" si="92"/>
        <v>0</v>
      </c>
      <c r="BW40" s="133">
        <f t="shared" si="93"/>
        <v>0</v>
      </c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>
        <v>22</v>
      </c>
      <c r="CT40" s="259">
        <f t="shared" ca="1" si="29"/>
        <v>46853</v>
      </c>
      <c r="CU40" s="179">
        <f t="shared" ref="CU40:DC40" ca="1" si="172">(($AW45/(1+CU$18)^(($AZ45-$AZ$23)/30)))+($AS45/(1+CU$18)^(($AZ45-$AZ$23)/30))</f>
        <v>59.658490131423882</v>
      </c>
      <c r="CV40" s="179">
        <f t="shared" ca="1" si="172"/>
        <v>60.337073092037457</v>
      </c>
      <c r="CW40" s="179">
        <f t="shared" ca="1" si="172"/>
        <v>60.748084159086751</v>
      </c>
      <c r="CX40" s="179">
        <f t="shared" ca="1" si="172"/>
        <v>61.162017415788178</v>
      </c>
      <c r="CY40" s="179">
        <f t="shared" ca="1" si="172"/>
        <v>61.578894509075361</v>
      </c>
      <c r="CZ40" s="179">
        <f t="shared" ca="1" si="172"/>
        <v>61.99873725269174</v>
      </c>
      <c r="DA40" s="179">
        <f t="shared" ca="1" si="172"/>
        <v>62.280290846913196</v>
      </c>
      <c r="DB40" s="179">
        <f t="shared" ca="1" si="172"/>
        <v>62.847407787964954</v>
      </c>
      <c r="DC40" s="179">
        <f t="shared" ca="1" si="172"/>
        <v>63.132984345843063</v>
      </c>
      <c r="DD40" s="179">
        <f t="shared" ref="DD40:DI40" ca="1" si="173">(($AW45/(1+DD$18)^(($AZ45-$AZ$23)/30)))+($AS45/(1+DD$18)^(($AZ45-$AZ$23)/30))</f>
        <v>63.419915159231294</v>
      </c>
      <c r="DE40" s="179">
        <f t="shared" ca="1" si="173"/>
        <v>63.70820691879041</v>
      </c>
      <c r="DF40" s="179" t="e">
        <f t="shared" ca="1" si="173"/>
        <v>#VALUE!</v>
      </c>
      <c r="DG40" s="179" t="e">
        <f t="shared" ca="1" si="173"/>
        <v>#VALUE!</v>
      </c>
      <c r="DH40" s="179" t="e">
        <f t="shared" ca="1" si="173"/>
        <v>#VALUE!</v>
      </c>
      <c r="DI40" s="179" t="e">
        <f t="shared" ca="1" si="173"/>
        <v>#VALUE!</v>
      </c>
      <c r="DJ40" s="179" t="e">
        <f t="shared" ref="DJ40:DQ40" ca="1" si="174">(($AW45/(1+DJ$18)^(($AZ45-$AZ$23)/30)))+($AS45/(1+DJ$18)^(($AZ45-$AZ$23)/30))</f>
        <v>#VALUE!</v>
      </c>
      <c r="DK40" s="179" t="e">
        <f t="shared" ca="1" si="174"/>
        <v>#VALUE!</v>
      </c>
      <c r="DL40" s="179" t="e">
        <f t="shared" ca="1" si="174"/>
        <v>#VALUE!</v>
      </c>
      <c r="DM40" s="179" t="e">
        <f t="shared" ca="1" si="174"/>
        <v>#VALUE!</v>
      </c>
      <c r="DN40" s="179" t="e">
        <f t="shared" ca="1" si="174"/>
        <v>#VALUE!</v>
      </c>
      <c r="DO40" s="179" t="e">
        <f t="shared" ca="1" si="174"/>
        <v>#VALUE!</v>
      </c>
      <c r="DP40" s="179" t="e">
        <f t="shared" ca="1" si="174"/>
        <v>#VALUE!</v>
      </c>
      <c r="DQ40" s="179" t="e">
        <f t="shared" ca="1" si="174"/>
        <v>#VALUE!</v>
      </c>
      <c r="DR40" s="180">
        <f t="shared" ca="1" si="40"/>
        <v>5.7870356057992893</v>
      </c>
      <c r="DS40" s="180">
        <f t="shared" ca="1" si="150"/>
        <v>5.7870356057992893</v>
      </c>
      <c r="DT40" s="180">
        <f t="shared" ca="1" si="150"/>
        <v>5.7870356057992893</v>
      </c>
      <c r="DU40" s="180">
        <f t="shared" ca="1" si="150"/>
        <v>5.7870356057992893</v>
      </c>
      <c r="DV40" s="180">
        <f t="shared" ca="1" si="150"/>
        <v>5.7870356057992893</v>
      </c>
      <c r="DW40" s="180">
        <f t="shared" ca="1" si="150"/>
        <v>5.7870356057992893</v>
      </c>
      <c r="DX40" s="180">
        <f t="shared" ca="1" si="150"/>
        <v>5.7870356057992893</v>
      </c>
      <c r="DY40" s="180">
        <f t="shared" ca="1" si="150"/>
        <v>5.7870356057992893</v>
      </c>
      <c r="DZ40" s="180">
        <f t="shared" ca="1" si="150"/>
        <v>5.7870356057992893</v>
      </c>
      <c r="EA40" s="180">
        <f t="shared" ca="1" si="150"/>
        <v>5.7870356057992893</v>
      </c>
      <c r="EB40" s="180">
        <f t="shared" ca="1" si="150"/>
        <v>5.7870356057992893</v>
      </c>
      <c r="EC40" s="180">
        <f t="shared" ca="1" si="150"/>
        <v>5.7870356057992893</v>
      </c>
      <c r="ED40" s="180">
        <f t="shared" ca="1" si="150"/>
        <v>5.7870356057992893</v>
      </c>
      <c r="EE40" s="180">
        <f t="shared" ca="1" si="150"/>
        <v>5.7870356057992893</v>
      </c>
      <c r="EF40" s="180">
        <f t="shared" ca="1" si="150"/>
        <v>5.7870356057992893</v>
      </c>
      <c r="EG40" s="180">
        <f t="shared" ref="EG40:EO40" ca="1" si="175">IF($AU45&gt;$BA$19,0,$BA45-$AS45)</f>
        <v>5.7870356057992893</v>
      </c>
      <c r="EH40" s="180">
        <f t="shared" ca="1" si="175"/>
        <v>5.7870356057992893</v>
      </c>
      <c r="EI40" s="180">
        <f t="shared" ca="1" si="175"/>
        <v>5.7870356057992893</v>
      </c>
      <c r="EJ40" s="180">
        <f t="shared" ca="1" si="175"/>
        <v>5.7870356057992893</v>
      </c>
      <c r="EK40" s="180">
        <f t="shared" ca="1" si="175"/>
        <v>5.7870356057992893</v>
      </c>
      <c r="EL40" s="180">
        <f t="shared" ca="1" si="175"/>
        <v>5.7870356057992893</v>
      </c>
      <c r="EM40" s="180">
        <f t="shared" ca="1" si="175"/>
        <v>5.7870356057992893</v>
      </c>
      <c r="EN40" s="180">
        <f t="shared" ca="1" si="175"/>
        <v>5.7870356057992893</v>
      </c>
      <c r="EO40" s="180">
        <f t="shared" ca="1" si="175"/>
        <v>5.7870356057992893</v>
      </c>
      <c r="EP40" s="87"/>
      <c r="EQ40" s="259">
        <f t="shared" ca="1" si="42"/>
        <v>46822</v>
      </c>
      <c r="ER40" s="87">
        <f t="shared" ca="1" si="171"/>
        <v>5.7870356057992893</v>
      </c>
      <c r="ES40" s="87">
        <f t="shared" ca="1" si="171"/>
        <v>5.7870356057992893</v>
      </c>
      <c r="ET40" s="87">
        <f t="shared" ca="1" si="171"/>
        <v>5.7870356057992893</v>
      </c>
      <c r="EU40" s="87">
        <f t="shared" ca="1" si="171"/>
        <v>5.7870356057992893</v>
      </c>
      <c r="EV40" s="87">
        <f t="shared" ca="1" si="171"/>
        <v>5.7870356057992893</v>
      </c>
      <c r="EW40" s="87">
        <f t="shared" ca="1" si="171"/>
        <v>5.7870356057992893</v>
      </c>
      <c r="EX40" s="87">
        <f t="shared" ca="1" si="171"/>
        <v>5.7870356057992893</v>
      </c>
      <c r="EY40" s="87">
        <f t="shared" ca="1" si="171"/>
        <v>5.7870356057992893</v>
      </c>
      <c r="EZ40" s="87">
        <f t="shared" ca="1" si="171"/>
        <v>5.7870356057992893</v>
      </c>
      <c r="FA40" s="87">
        <f t="shared" ca="1" si="171"/>
        <v>5.7870356057992893</v>
      </c>
      <c r="FB40" s="87">
        <f t="shared" ca="1" si="171"/>
        <v>5.7870356057992893</v>
      </c>
      <c r="FC40" s="87">
        <f t="shared" ca="1" si="171"/>
        <v>5.7870356057992893</v>
      </c>
      <c r="FD40" s="87">
        <f t="shared" ca="1" si="171"/>
        <v>5.7870356057992893</v>
      </c>
      <c r="FE40" s="87">
        <f t="shared" ca="1" si="171"/>
        <v>5.7870356057992893</v>
      </c>
      <c r="FF40" s="87">
        <f t="shared" ca="1" si="171"/>
        <v>5.7870356057992893</v>
      </c>
      <c r="FG40" s="87">
        <f t="shared" ca="1" si="152"/>
        <v>5.7870356057992893</v>
      </c>
      <c r="FH40" s="87">
        <f t="shared" ca="1" si="152"/>
        <v>5.7870356057992893</v>
      </c>
      <c r="FI40" s="87">
        <f t="shared" ca="1" si="152"/>
        <v>5.7870356057992893</v>
      </c>
      <c r="FJ40" s="87">
        <f t="shared" ca="1" si="152"/>
        <v>5.7870356057992893</v>
      </c>
      <c r="FK40" s="87">
        <f t="shared" ca="1" si="152"/>
        <v>5.7870356057992893</v>
      </c>
      <c r="FL40" s="87">
        <f t="shared" ca="1" si="152"/>
        <v>5.7870356057992893</v>
      </c>
      <c r="FM40" s="87">
        <f t="shared" ca="1" si="152"/>
        <v>5.7870356057992893</v>
      </c>
      <c r="FN40" s="87">
        <f t="shared" ca="1" si="152"/>
        <v>5.7870356057992893</v>
      </c>
      <c r="FO40" s="87">
        <f t="shared" ca="1" si="152"/>
        <v>5.7870356057992893</v>
      </c>
      <c r="FP40" s="87">
        <f t="shared" ca="1" si="152"/>
        <v>5.7870356057992893</v>
      </c>
      <c r="FQ40" s="87"/>
    </row>
    <row r="41" spans="1:173" s="446" customFormat="1" ht="18.75" customHeight="1" thickBot="1" x14ac:dyDescent="0.3">
      <c r="C41" s="64">
        <v>14</v>
      </c>
      <c r="D41" s="32" t="str">
        <f t="shared" si="107"/>
        <v>INSS</v>
      </c>
      <c r="E41" s="627" t="str">
        <f>IFERROR(VLOOKUP(CONCATENATE(C41,D41),'Base tabelas'!$B:$K,10,FALSE),"")</f>
        <v/>
      </c>
      <c r="F41" s="628"/>
      <c r="G41" s="629"/>
      <c r="H41" s="33" t="str">
        <f>IFERROR(VLOOKUP(CONCATENATE(C41,D41),'Base tabelas'!$B:$E,4,FALSE),"")</f>
        <v/>
      </c>
      <c r="I41" s="34" t="str">
        <f t="shared" ca="1" si="161"/>
        <v/>
      </c>
      <c r="J41" s="35" t="str">
        <f ca="1">IFERROR(DH163,"")</f>
        <v/>
      </c>
      <c r="K41" s="36" t="str">
        <f t="shared" ca="1" si="162"/>
        <v/>
      </c>
      <c r="L41" s="102" t="str">
        <f ca="1">IFERROR(EE17*-1,"")</f>
        <v/>
      </c>
      <c r="M41" s="37" t="str">
        <f t="shared" ca="1" si="109"/>
        <v/>
      </c>
      <c r="N41" s="304" t="str">
        <f>IFERROR(VLOOKUP(CONCATENATE(C41,D41),'Base tabelas'!$B:$O,14,FALSE),"")</f>
        <v/>
      </c>
      <c r="O41" s="186" t="str">
        <f ca="1">FE168</f>
        <v/>
      </c>
      <c r="P41" s="375" t="str">
        <f t="shared" ca="1" si="110"/>
        <v/>
      </c>
      <c r="Q41" s="303" t="e">
        <f t="shared" ca="1" si="111"/>
        <v>#VALUE!</v>
      </c>
      <c r="R41" s="176">
        <f t="shared" ca="1" si="112"/>
        <v>0</v>
      </c>
      <c r="S41" s="176"/>
      <c r="T41" s="176"/>
      <c r="U41" s="175"/>
      <c r="V41" s="176"/>
      <c r="W41" s="176"/>
      <c r="X41" s="87">
        <v>26</v>
      </c>
      <c r="Y41" s="377">
        <f t="shared" ca="1" si="4"/>
        <v>85.212964394200711</v>
      </c>
      <c r="Z41" s="377">
        <f t="shared" si="5"/>
        <v>0</v>
      </c>
      <c r="AA41" s="377">
        <f t="shared" si="6"/>
        <v>0</v>
      </c>
      <c r="AB41" s="377">
        <f t="shared" si="7"/>
        <v>0</v>
      </c>
      <c r="AC41" s="377">
        <f t="shared" si="8"/>
        <v>0</v>
      </c>
      <c r="AD41" s="377">
        <f t="shared" si="9"/>
        <v>0</v>
      </c>
      <c r="AE41" s="377">
        <f t="shared" si="10"/>
        <v>0</v>
      </c>
      <c r="AF41" s="377">
        <f t="shared" si="11"/>
        <v>0</v>
      </c>
      <c r="AG41" s="377">
        <f t="shared" si="12"/>
        <v>0</v>
      </c>
      <c r="AH41" s="377">
        <f t="shared" si="13"/>
        <v>0</v>
      </c>
      <c r="AI41" s="377">
        <f t="shared" si="14"/>
        <v>0</v>
      </c>
      <c r="AJ41" s="377">
        <f t="shared" si="15"/>
        <v>0</v>
      </c>
      <c r="AK41" s="377">
        <f t="shared" si="16"/>
        <v>0</v>
      </c>
      <c r="AL41" s="377">
        <f t="shared" si="17"/>
        <v>0</v>
      </c>
      <c r="AM41" s="377">
        <f t="shared" si="18"/>
        <v>0</v>
      </c>
      <c r="AN41" s="377">
        <f t="shared" si="19"/>
        <v>0</v>
      </c>
      <c r="AO41" s="377">
        <f t="shared" si="20"/>
        <v>0</v>
      </c>
      <c r="AP41" s="87"/>
      <c r="AQ41" s="138">
        <v>18</v>
      </c>
      <c r="AR41" s="258">
        <f t="shared" ca="1" si="69"/>
        <v>46701</v>
      </c>
      <c r="AS41" s="378">
        <f t="shared" ca="1" si="70"/>
        <v>85.212964394200711</v>
      </c>
      <c r="AT41" s="138"/>
      <c r="AU41" s="138">
        <v>18</v>
      </c>
      <c r="AV41" s="258">
        <f t="shared" ca="1" si="71"/>
        <v>46731</v>
      </c>
      <c r="AW41" s="378">
        <f t="shared" ca="1" si="72"/>
        <v>5.7870356057992893</v>
      </c>
      <c r="AX41" s="202">
        <f t="shared" ca="1" si="73"/>
        <v>4.09</v>
      </c>
      <c r="AY41" s="138">
        <v>18</v>
      </c>
      <c r="AZ41" s="258">
        <f t="shared" ca="1" si="74"/>
        <v>46731</v>
      </c>
      <c r="BA41" s="378">
        <f t="shared" si="75"/>
        <v>91</v>
      </c>
      <c r="BB41" s="87"/>
      <c r="BC41" s="258">
        <f t="shared" ca="1" si="61"/>
        <v>46701</v>
      </c>
      <c r="BD41" s="302">
        <f t="shared" ca="1" si="76"/>
        <v>5.7870356057992893</v>
      </c>
      <c r="BE41" s="133">
        <f t="shared" si="62"/>
        <v>18</v>
      </c>
      <c r="BF41" s="379">
        <f t="shared" ca="1" si="63"/>
        <v>46701</v>
      </c>
      <c r="BG41" s="133">
        <f t="shared" si="77"/>
        <v>91</v>
      </c>
      <c r="BH41" s="133">
        <f t="shared" si="78"/>
        <v>0</v>
      </c>
      <c r="BI41" s="133">
        <f t="shared" si="79"/>
        <v>0</v>
      </c>
      <c r="BJ41" s="133">
        <f t="shared" si="80"/>
        <v>0</v>
      </c>
      <c r="BK41" s="133">
        <f t="shared" si="81"/>
        <v>0</v>
      </c>
      <c r="BL41" s="133">
        <f t="shared" si="82"/>
        <v>0</v>
      </c>
      <c r="BM41" s="133">
        <f t="shared" si="83"/>
        <v>0</v>
      </c>
      <c r="BN41" s="133">
        <f t="shared" si="84"/>
        <v>0</v>
      </c>
      <c r="BO41" s="133">
        <f t="shared" si="85"/>
        <v>0</v>
      </c>
      <c r="BP41" s="133">
        <f t="shared" si="86"/>
        <v>0</v>
      </c>
      <c r="BQ41" s="133">
        <f t="shared" si="87"/>
        <v>0</v>
      </c>
      <c r="BR41" s="133">
        <f t="shared" si="88"/>
        <v>0</v>
      </c>
      <c r="BS41" s="133">
        <f t="shared" si="89"/>
        <v>0</v>
      </c>
      <c r="BT41" s="133">
        <f t="shared" si="90"/>
        <v>0</v>
      </c>
      <c r="BU41" s="133">
        <f t="shared" si="91"/>
        <v>0</v>
      </c>
      <c r="BV41" s="133">
        <f t="shared" si="92"/>
        <v>0</v>
      </c>
      <c r="BW41" s="133">
        <f t="shared" si="93"/>
        <v>0</v>
      </c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178">
        <v>23</v>
      </c>
      <c r="CT41" s="259">
        <f t="shared" ca="1" si="29"/>
        <v>46883</v>
      </c>
      <c r="CU41" s="179">
        <f t="shared" ref="CU41:DC41" ca="1" si="176">(($AW46/(1+CU$18)^(($AZ46-$AZ$23)/30)))+($AS46/(1+CU$18)^(($AZ46-$AZ$23)/30))</f>
        <v>58.574855308221785</v>
      </c>
      <c r="CV41" s="179">
        <f t="shared" ca="1" si="176"/>
        <v>59.270209324201829</v>
      </c>
      <c r="CW41" s="179">
        <f t="shared" ca="1" si="176"/>
        <v>59.691543833238427</v>
      </c>
      <c r="CX41" s="179">
        <f t="shared" ca="1" si="176"/>
        <v>60.115999032620572</v>
      </c>
      <c r="CY41" s="179">
        <f t="shared" ca="1" si="176"/>
        <v>60.54359896674405</v>
      </c>
      <c r="CZ41" s="179">
        <f t="shared" ca="1" si="176"/>
        <v>60.974367872434833</v>
      </c>
      <c r="DA41" s="179">
        <f t="shared" ca="1" si="176"/>
        <v>61.26331973924178</v>
      </c>
      <c r="DB41" s="179">
        <f t="shared" ca="1" si="176"/>
        <v>61.845510517580159</v>
      </c>
      <c r="DC41" s="179">
        <f t="shared" ca="1" si="176"/>
        <v>62.138764119924289</v>
      </c>
      <c r="DD41" s="179">
        <f t="shared" ref="DD41:DI41" ca="1" si="177">(($AW46/(1+DD$18)^(($AZ46-$AZ$23)/30)))+($AS46/(1+DD$18)^(($AZ46-$AZ$23)/30))</f>
        <v>62.433466390265103</v>
      </c>
      <c r="DE41" s="179">
        <f t="shared" ca="1" si="177"/>
        <v>62.729624772341879</v>
      </c>
      <c r="DF41" s="179" t="e">
        <f t="shared" ca="1" si="177"/>
        <v>#VALUE!</v>
      </c>
      <c r="DG41" s="179" t="e">
        <f t="shared" ca="1" si="177"/>
        <v>#VALUE!</v>
      </c>
      <c r="DH41" s="179" t="e">
        <f t="shared" ca="1" si="177"/>
        <v>#VALUE!</v>
      </c>
      <c r="DI41" s="179" t="e">
        <f t="shared" ca="1" si="177"/>
        <v>#VALUE!</v>
      </c>
      <c r="DJ41" s="179" t="e">
        <f t="shared" ref="DJ41:DQ41" ca="1" si="178">(($AW46/(1+DJ$18)^(($AZ46-$AZ$23)/30)))+($AS46/(1+DJ$18)^(($AZ46-$AZ$23)/30))</f>
        <v>#VALUE!</v>
      </c>
      <c r="DK41" s="179" t="e">
        <f t="shared" ca="1" si="178"/>
        <v>#VALUE!</v>
      </c>
      <c r="DL41" s="179" t="e">
        <f t="shared" ca="1" si="178"/>
        <v>#VALUE!</v>
      </c>
      <c r="DM41" s="179" t="e">
        <f t="shared" ca="1" si="178"/>
        <v>#VALUE!</v>
      </c>
      <c r="DN41" s="179" t="e">
        <f t="shared" ca="1" si="178"/>
        <v>#VALUE!</v>
      </c>
      <c r="DO41" s="179" t="e">
        <f t="shared" ca="1" si="178"/>
        <v>#VALUE!</v>
      </c>
      <c r="DP41" s="179" t="e">
        <f t="shared" ca="1" si="178"/>
        <v>#VALUE!</v>
      </c>
      <c r="DQ41" s="179" t="e">
        <f t="shared" ca="1" si="178"/>
        <v>#VALUE!</v>
      </c>
      <c r="DR41" s="180">
        <f t="shared" ca="1" si="40"/>
        <v>5.7870356057992893</v>
      </c>
      <c r="DS41" s="180">
        <f t="shared" ca="1" si="150"/>
        <v>5.7870356057992893</v>
      </c>
      <c r="DT41" s="180">
        <f t="shared" ca="1" si="150"/>
        <v>5.7870356057992893</v>
      </c>
      <c r="DU41" s="180">
        <f t="shared" ca="1" si="150"/>
        <v>5.7870356057992893</v>
      </c>
      <c r="DV41" s="180">
        <f t="shared" ca="1" si="150"/>
        <v>5.7870356057992893</v>
      </c>
      <c r="DW41" s="180">
        <f t="shared" ca="1" si="150"/>
        <v>5.7870356057992893</v>
      </c>
      <c r="DX41" s="180">
        <f t="shared" ca="1" si="150"/>
        <v>5.7870356057992893</v>
      </c>
      <c r="DY41" s="180">
        <f t="shared" ca="1" si="150"/>
        <v>5.7870356057992893</v>
      </c>
      <c r="DZ41" s="180">
        <f t="shared" ca="1" si="150"/>
        <v>5.7870356057992893</v>
      </c>
      <c r="EA41" s="180">
        <f t="shared" ca="1" si="150"/>
        <v>5.7870356057992893</v>
      </c>
      <c r="EB41" s="180">
        <f t="shared" ca="1" si="150"/>
        <v>5.7870356057992893</v>
      </c>
      <c r="EC41" s="180">
        <f t="shared" ca="1" si="150"/>
        <v>5.7870356057992893</v>
      </c>
      <c r="ED41" s="180">
        <f t="shared" ca="1" si="150"/>
        <v>5.7870356057992893</v>
      </c>
      <c r="EE41" s="180">
        <f t="shared" ca="1" si="150"/>
        <v>5.7870356057992893</v>
      </c>
      <c r="EF41" s="180">
        <f t="shared" ca="1" si="150"/>
        <v>5.7870356057992893</v>
      </c>
      <c r="EG41" s="180">
        <f t="shared" ref="EG41:EO41" ca="1" si="179">IF($AU46&gt;$BA$19,0,$BA46-$AS46)</f>
        <v>5.7870356057992893</v>
      </c>
      <c r="EH41" s="180">
        <f t="shared" ca="1" si="179"/>
        <v>5.7870356057992893</v>
      </c>
      <c r="EI41" s="180">
        <f t="shared" ca="1" si="179"/>
        <v>5.7870356057992893</v>
      </c>
      <c r="EJ41" s="180">
        <f t="shared" ca="1" si="179"/>
        <v>5.7870356057992893</v>
      </c>
      <c r="EK41" s="180">
        <f t="shared" ca="1" si="179"/>
        <v>5.7870356057992893</v>
      </c>
      <c r="EL41" s="180">
        <f t="shared" ca="1" si="179"/>
        <v>5.7870356057992893</v>
      </c>
      <c r="EM41" s="180">
        <f t="shared" ca="1" si="179"/>
        <v>5.7870356057992893</v>
      </c>
      <c r="EN41" s="180">
        <f t="shared" ca="1" si="179"/>
        <v>5.7870356057992893</v>
      </c>
      <c r="EO41" s="180">
        <f t="shared" ca="1" si="179"/>
        <v>5.7870356057992893</v>
      </c>
      <c r="EP41" s="87"/>
      <c r="EQ41" s="259">
        <f t="shared" ca="1" si="42"/>
        <v>46853</v>
      </c>
      <c r="ER41" s="87">
        <f t="shared" ca="1" si="171"/>
        <v>5.7870356057992893</v>
      </c>
      <c r="ES41" s="87">
        <f t="shared" ca="1" si="171"/>
        <v>5.7870356057992893</v>
      </c>
      <c r="ET41" s="87">
        <f t="shared" ca="1" si="171"/>
        <v>5.7870356057992893</v>
      </c>
      <c r="EU41" s="87">
        <f t="shared" ca="1" si="171"/>
        <v>5.7870356057992893</v>
      </c>
      <c r="EV41" s="87">
        <f t="shared" ca="1" si="171"/>
        <v>5.7870356057992893</v>
      </c>
      <c r="EW41" s="87">
        <f t="shared" ca="1" si="171"/>
        <v>5.7870356057992893</v>
      </c>
      <c r="EX41" s="87">
        <f t="shared" ca="1" si="171"/>
        <v>5.7870356057992893</v>
      </c>
      <c r="EY41" s="87">
        <f t="shared" ca="1" si="171"/>
        <v>5.7870356057992893</v>
      </c>
      <c r="EZ41" s="87">
        <f t="shared" ca="1" si="171"/>
        <v>5.7870356057992893</v>
      </c>
      <c r="FA41" s="87">
        <f t="shared" ca="1" si="171"/>
        <v>5.7870356057992893</v>
      </c>
      <c r="FB41" s="87">
        <f t="shared" ca="1" si="171"/>
        <v>5.7870356057992893</v>
      </c>
      <c r="FC41" s="87">
        <f t="shared" ca="1" si="171"/>
        <v>5.7870356057992893</v>
      </c>
      <c r="FD41" s="87">
        <f t="shared" ca="1" si="171"/>
        <v>5.7870356057992893</v>
      </c>
      <c r="FE41" s="87">
        <f t="shared" ca="1" si="171"/>
        <v>5.7870356057992893</v>
      </c>
      <c r="FF41" s="87">
        <f t="shared" ca="1" si="171"/>
        <v>5.7870356057992893</v>
      </c>
      <c r="FG41" s="87">
        <f t="shared" ca="1" si="152"/>
        <v>5.7870356057992893</v>
      </c>
      <c r="FH41" s="87">
        <f t="shared" ca="1" si="152"/>
        <v>5.7870356057992893</v>
      </c>
      <c r="FI41" s="87">
        <f t="shared" ca="1" si="152"/>
        <v>5.7870356057992893</v>
      </c>
      <c r="FJ41" s="87">
        <f t="shared" ca="1" si="152"/>
        <v>5.7870356057992893</v>
      </c>
      <c r="FK41" s="87">
        <f t="shared" ca="1" si="152"/>
        <v>5.7870356057992893</v>
      </c>
      <c r="FL41" s="87">
        <f t="shared" ca="1" si="152"/>
        <v>5.7870356057992893</v>
      </c>
      <c r="FM41" s="87">
        <f t="shared" ca="1" si="152"/>
        <v>5.7870356057992893</v>
      </c>
      <c r="FN41" s="87">
        <f t="shared" ca="1" si="152"/>
        <v>5.7870356057992893</v>
      </c>
      <c r="FO41" s="87">
        <f t="shared" ca="1" si="152"/>
        <v>5.7870356057992893</v>
      </c>
      <c r="FP41" s="87">
        <f t="shared" ca="1" si="152"/>
        <v>5.7870356057992893</v>
      </c>
      <c r="FQ41" s="87"/>
    </row>
    <row r="42" spans="1:173" s="446" customFormat="1" ht="18.75" customHeight="1" thickBot="1" x14ac:dyDescent="0.3">
      <c r="C42" s="64">
        <v>15</v>
      </c>
      <c r="D42" s="32" t="str">
        <f t="shared" si="107"/>
        <v>INSS</v>
      </c>
      <c r="E42" s="627" t="str">
        <f>IFERROR(VLOOKUP(CONCATENATE(C42,D42),'Base tabelas'!$B:$K,10,FALSE),"")</f>
        <v/>
      </c>
      <c r="F42" s="628"/>
      <c r="G42" s="629"/>
      <c r="H42" s="33" t="str">
        <f>IFERROR(VLOOKUP(CONCATENATE(C42,D42),'Base tabelas'!$B:$E,4,FALSE),"")</f>
        <v/>
      </c>
      <c r="I42" s="34" t="str">
        <f t="shared" ca="1" si="161"/>
        <v/>
      </c>
      <c r="J42" s="35" t="str">
        <f ca="1">IFERROR(DI163,"")</f>
        <v/>
      </c>
      <c r="K42" s="36" t="str">
        <f t="shared" ca="1" si="162"/>
        <v/>
      </c>
      <c r="L42" s="574" t="str">
        <f ca="1">IFERROR(EF17*-1,"")</f>
        <v/>
      </c>
      <c r="M42" s="575" t="str">
        <f t="shared" ca="1" si="109"/>
        <v/>
      </c>
      <c r="N42" s="304" t="str">
        <f>IFERROR(VLOOKUP(CONCATENATE(C42,D42),'Base tabelas'!$B:$O,14,FALSE),"")</f>
        <v/>
      </c>
      <c r="O42" s="186" t="str">
        <f ca="1">FF168</f>
        <v/>
      </c>
      <c r="P42" s="375" t="str">
        <f t="shared" ca="1" si="110"/>
        <v/>
      </c>
      <c r="Q42" s="303" t="e">
        <f t="shared" ca="1" si="111"/>
        <v>#VALUE!</v>
      </c>
      <c r="R42" s="176">
        <f t="shared" ca="1" si="112"/>
        <v>0</v>
      </c>
      <c r="S42" s="87"/>
      <c r="T42" s="87"/>
      <c r="U42" s="175"/>
      <c r="V42" s="176"/>
      <c r="W42" s="176"/>
      <c r="X42" s="87">
        <v>27</v>
      </c>
      <c r="Y42" s="377">
        <f t="shared" ca="1" si="4"/>
        <v>85.212964394200711</v>
      </c>
      <c r="Z42" s="377">
        <f t="shared" si="5"/>
        <v>0</v>
      </c>
      <c r="AA42" s="377">
        <f t="shared" si="6"/>
        <v>0</v>
      </c>
      <c r="AB42" s="377">
        <f t="shared" si="7"/>
        <v>0</v>
      </c>
      <c r="AC42" s="377">
        <f t="shared" si="8"/>
        <v>0</v>
      </c>
      <c r="AD42" s="377">
        <f t="shared" si="9"/>
        <v>0</v>
      </c>
      <c r="AE42" s="377">
        <f t="shared" si="10"/>
        <v>0</v>
      </c>
      <c r="AF42" s="377">
        <f t="shared" si="11"/>
        <v>0</v>
      </c>
      <c r="AG42" s="377">
        <f t="shared" si="12"/>
        <v>0</v>
      </c>
      <c r="AH42" s="377">
        <f t="shared" si="13"/>
        <v>0</v>
      </c>
      <c r="AI42" s="377">
        <f t="shared" si="14"/>
        <v>0</v>
      </c>
      <c r="AJ42" s="377">
        <f t="shared" si="15"/>
        <v>0</v>
      </c>
      <c r="AK42" s="377">
        <f t="shared" si="16"/>
        <v>0</v>
      </c>
      <c r="AL42" s="377">
        <f t="shared" si="17"/>
        <v>0</v>
      </c>
      <c r="AM42" s="377">
        <f t="shared" si="18"/>
        <v>0</v>
      </c>
      <c r="AN42" s="377">
        <f t="shared" si="19"/>
        <v>0</v>
      </c>
      <c r="AO42" s="377">
        <f t="shared" si="20"/>
        <v>0</v>
      </c>
      <c r="AP42" s="87"/>
      <c r="AQ42" s="138">
        <v>19</v>
      </c>
      <c r="AR42" s="258">
        <f t="shared" ca="1" si="69"/>
        <v>46731</v>
      </c>
      <c r="AS42" s="378">
        <f t="shared" ca="1" si="70"/>
        <v>85.212964394200711</v>
      </c>
      <c r="AT42" s="138"/>
      <c r="AU42" s="138">
        <v>19</v>
      </c>
      <c r="AV42" s="258">
        <f t="shared" ca="1" si="71"/>
        <v>46762</v>
      </c>
      <c r="AW42" s="378">
        <f t="shared" ca="1" si="72"/>
        <v>5.7870356057992893</v>
      </c>
      <c r="AX42" s="202">
        <f t="shared" ca="1" si="73"/>
        <v>4.01</v>
      </c>
      <c r="AY42" s="138">
        <v>19</v>
      </c>
      <c r="AZ42" s="258">
        <f t="shared" ca="1" si="74"/>
        <v>46762</v>
      </c>
      <c r="BA42" s="378">
        <f t="shared" si="75"/>
        <v>91</v>
      </c>
      <c r="BB42" s="87"/>
      <c r="BC42" s="258">
        <f t="shared" ca="1" si="61"/>
        <v>46731</v>
      </c>
      <c r="BD42" s="302">
        <f t="shared" ca="1" si="76"/>
        <v>5.7870356057992893</v>
      </c>
      <c r="BE42" s="133">
        <f t="shared" si="62"/>
        <v>19</v>
      </c>
      <c r="BF42" s="379">
        <f t="shared" ca="1" si="63"/>
        <v>46731</v>
      </c>
      <c r="BG42" s="133">
        <f t="shared" si="77"/>
        <v>91</v>
      </c>
      <c r="BH42" s="133">
        <f t="shared" si="78"/>
        <v>0</v>
      </c>
      <c r="BI42" s="133">
        <f t="shared" si="79"/>
        <v>0</v>
      </c>
      <c r="BJ42" s="133">
        <f t="shared" si="80"/>
        <v>0</v>
      </c>
      <c r="BK42" s="133">
        <f t="shared" si="81"/>
        <v>0</v>
      </c>
      <c r="BL42" s="133">
        <f t="shared" si="82"/>
        <v>0</v>
      </c>
      <c r="BM42" s="133">
        <f t="shared" si="83"/>
        <v>0</v>
      </c>
      <c r="BN42" s="133">
        <f t="shared" si="84"/>
        <v>0</v>
      </c>
      <c r="BO42" s="133">
        <f t="shared" si="85"/>
        <v>0</v>
      </c>
      <c r="BP42" s="133">
        <f t="shared" si="86"/>
        <v>0</v>
      </c>
      <c r="BQ42" s="133">
        <f t="shared" si="87"/>
        <v>0</v>
      </c>
      <c r="BR42" s="133">
        <f t="shared" si="88"/>
        <v>0</v>
      </c>
      <c r="BS42" s="133">
        <f t="shared" si="89"/>
        <v>0</v>
      </c>
      <c r="BT42" s="133">
        <f t="shared" si="90"/>
        <v>0</v>
      </c>
      <c r="BU42" s="133">
        <f t="shared" si="91"/>
        <v>0</v>
      </c>
      <c r="BV42" s="133">
        <f t="shared" si="92"/>
        <v>0</v>
      </c>
      <c r="BW42" s="133">
        <f t="shared" si="93"/>
        <v>0</v>
      </c>
      <c r="BX42" s="267"/>
      <c r="BY42" s="267"/>
      <c r="BZ42" s="267"/>
      <c r="CA42" s="267"/>
      <c r="CB42" s="267"/>
      <c r="CC42" s="267"/>
      <c r="CD42" s="267"/>
      <c r="CE42" s="267"/>
      <c r="CF42" s="267"/>
      <c r="CG42" s="26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138">
        <v>24</v>
      </c>
      <c r="CT42" s="259">
        <f t="shared" ca="1" si="29"/>
        <v>46914</v>
      </c>
      <c r="CU42" s="179">
        <f t="shared" ref="CU42:DC42" ca="1" si="180">(($AW47/(1+CU$18)^(($AZ47-$AZ$23)/30)))+($AS47/(1+CU$18)^(($AZ47-$AZ$23)/30))</f>
        <v>57.475773329634208</v>
      </c>
      <c r="CV42" s="179">
        <f t="shared" ca="1" si="180"/>
        <v>58.187597196252305</v>
      </c>
      <c r="CW42" s="179">
        <f t="shared" ca="1" si="180"/>
        <v>58.619086251809719</v>
      </c>
      <c r="CX42" s="179">
        <f t="shared" ca="1" si="180"/>
        <v>59.053903638122613</v>
      </c>
      <c r="CY42" s="179">
        <f t="shared" ca="1" si="180"/>
        <v>59.492076021377443</v>
      </c>
      <c r="CZ42" s="179">
        <f t="shared" ca="1" si="180"/>
        <v>59.933630289364864</v>
      </c>
      <c r="DA42" s="179">
        <f t="shared" ca="1" si="180"/>
        <v>60.229892005250456</v>
      </c>
      <c r="DB42" s="179">
        <f t="shared" ca="1" si="180"/>
        <v>60.826993150193218</v>
      </c>
      <c r="DC42" s="179">
        <f t="shared" ca="1" si="180"/>
        <v>61.127848890991046</v>
      </c>
      <c r="DD42" s="179">
        <f t="shared" ref="DD42:DI42" ca="1" si="181">(($AW47/(1+DD$18)^(($AZ47-$AZ$23)/30)))+($AS47/(1+DD$18)^(($AZ47-$AZ$23)/30))</f>
        <v>61.430252360496667</v>
      </c>
      <c r="DE42" s="179">
        <f t="shared" ca="1" si="181"/>
        <v>61.734211827964138</v>
      </c>
      <c r="DF42" s="179" t="e">
        <f t="shared" ca="1" si="181"/>
        <v>#VALUE!</v>
      </c>
      <c r="DG42" s="179" t="e">
        <f t="shared" ca="1" si="181"/>
        <v>#VALUE!</v>
      </c>
      <c r="DH42" s="179" t="e">
        <f t="shared" ca="1" si="181"/>
        <v>#VALUE!</v>
      </c>
      <c r="DI42" s="179" t="e">
        <f t="shared" ca="1" si="181"/>
        <v>#VALUE!</v>
      </c>
      <c r="DJ42" s="179" t="e">
        <f t="shared" ref="DJ42:DQ42" ca="1" si="182">(($AW47/(1+DJ$18)^(($AZ47-$AZ$23)/30)))+($AS47/(1+DJ$18)^(($AZ47-$AZ$23)/30))</f>
        <v>#VALUE!</v>
      </c>
      <c r="DK42" s="179" t="e">
        <f t="shared" ca="1" si="182"/>
        <v>#VALUE!</v>
      </c>
      <c r="DL42" s="179" t="e">
        <f t="shared" ca="1" si="182"/>
        <v>#VALUE!</v>
      </c>
      <c r="DM42" s="179" t="e">
        <f t="shared" ca="1" si="182"/>
        <v>#VALUE!</v>
      </c>
      <c r="DN42" s="179" t="e">
        <f t="shared" ca="1" si="182"/>
        <v>#VALUE!</v>
      </c>
      <c r="DO42" s="179" t="e">
        <f t="shared" ca="1" si="182"/>
        <v>#VALUE!</v>
      </c>
      <c r="DP42" s="179" t="e">
        <f t="shared" ca="1" si="182"/>
        <v>#VALUE!</v>
      </c>
      <c r="DQ42" s="179" t="e">
        <f t="shared" ca="1" si="182"/>
        <v>#VALUE!</v>
      </c>
      <c r="DR42" s="180">
        <f t="shared" ca="1" si="40"/>
        <v>5.7870356057992893</v>
      </c>
      <c r="DS42" s="180">
        <f t="shared" ca="1" si="150"/>
        <v>5.7870356057992893</v>
      </c>
      <c r="DT42" s="180">
        <f t="shared" ca="1" si="150"/>
        <v>5.7870356057992893</v>
      </c>
      <c r="DU42" s="180">
        <f t="shared" ca="1" si="150"/>
        <v>5.7870356057992893</v>
      </c>
      <c r="DV42" s="180">
        <f t="shared" ca="1" si="150"/>
        <v>5.7870356057992893</v>
      </c>
      <c r="DW42" s="180">
        <f t="shared" ca="1" si="150"/>
        <v>5.7870356057992893</v>
      </c>
      <c r="DX42" s="180">
        <f t="shared" ca="1" si="150"/>
        <v>5.7870356057992893</v>
      </c>
      <c r="DY42" s="180">
        <f t="shared" ca="1" si="150"/>
        <v>5.7870356057992893</v>
      </c>
      <c r="DZ42" s="180">
        <f t="shared" ca="1" si="150"/>
        <v>5.7870356057992893</v>
      </c>
      <c r="EA42" s="180">
        <f t="shared" ca="1" si="150"/>
        <v>5.7870356057992893</v>
      </c>
      <c r="EB42" s="180">
        <f t="shared" ca="1" si="150"/>
        <v>5.7870356057992893</v>
      </c>
      <c r="EC42" s="180">
        <f t="shared" ca="1" si="150"/>
        <v>5.7870356057992893</v>
      </c>
      <c r="ED42" s="180">
        <f t="shared" ca="1" si="150"/>
        <v>5.7870356057992893</v>
      </c>
      <c r="EE42" s="180">
        <f t="shared" ca="1" si="150"/>
        <v>5.7870356057992893</v>
      </c>
      <c r="EF42" s="180">
        <f t="shared" ca="1" si="150"/>
        <v>5.7870356057992893</v>
      </c>
      <c r="EG42" s="180">
        <f t="shared" ref="EG42:EO42" ca="1" si="183">IF($AU47&gt;$BA$19,0,$BA47-$AS47)</f>
        <v>5.7870356057992893</v>
      </c>
      <c r="EH42" s="180">
        <f t="shared" ca="1" si="183"/>
        <v>5.7870356057992893</v>
      </c>
      <c r="EI42" s="180">
        <f t="shared" ca="1" si="183"/>
        <v>5.7870356057992893</v>
      </c>
      <c r="EJ42" s="180">
        <f t="shared" ca="1" si="183"/>
        <v>5.7870356057992893</v>
      </c>
      <c r="EK42" s="180">
        <f t="shared" ca="1" si="183"/>
        <v>5.7870356057992893</v>
      </c>
      <c r="EL42" s="180">
        <f t="shared" ca="1" si="183"/>
        <v>5.7870356057992893</v>
      </c>
      <c r="EM42" s="180">
        <f t="shared" ca="1" si="183"/>
        <v>5.7870356057992893</v>
      </c>
      <c r="EN42" s="180">
        <f t="shared" ca="1" si="183"/>
        <v>5.7870356057992893</v>
      </c>
      <c r="EO42" s="180">
        <f t="shared" ca="1" si="183"/>
        <v>5.7870356057992893</v>
      </c>
      <c r="EP42" s="87"/>
      <c r="EQ42" s="259">
        <f t="shared" ca="1" si="42"/>
        <v>46883</v>
      </c>
      <c r="ER42" s="87">
        <f t="shared" ca="1" si="171"/>
        <v>5.7870356057992893</v>
      </c>
      <c r="ES42" s="87">
        <f t="shared" ca="1" si="171"/>
        <v>5.7870356057992893</v>
      </c>
      <c r="ET42" s="87">
        <f t="shared" ca="1" si="171"/>
        <v>5.7870356057992893</v>
      </c>
      <c r="EU42" s="87">
        <f t="shared" ca="1" si="171"/>
        <v>5.7870356057992893</v>
      </c>
      <c r="EV42" s="87">
        <f t="shared" ca="1" si="171"/>
        <v>5.7870356057992893</v>
      </c>
      <c r="EW42" s="87">
        <f t="shared" ca="1" si="171"/>
        <v>5.7870356057992893</v>
      </c>
      <c r="EX42" s="87">
        <f t="shared" ca="1" si="171"/>
        <v>5.7870356057992893</v>
      </c>
      <c r="EY42" s="87">
        <f t="shared" ca="1" si="171"/>
        <v>5.7870356057992893</v>
      </c>
      <c r="EZ42" s="87">
        <f t="shared" ca="1" si="171"/>
        <v>5.7870356057992893</v>
      </c>
      <c r="FA42" s="87">
        <f t="shared" ca="1" si="171"/>
        <v>5.7870356057992893</v>
      </c>
      <c r="FB42" s="87">
        <f t="shared" ca="1" si="171"/>
        <v>5.7870356057992893</v>
      </c>
      <c r="FC42" s="87">
        <f t="shared" ca="1" si="171"/>
        <v>5.7870356057992893</v>
      </c>
      <c r="FD42" s="87">
        <f t="shared" ca="1" si="171"/>
        <v>5.7870356057992893</v>
      </c>
      <c r="FE42" s="87">
        <f t="shared" ca="1" si="171"/>
        <v>5.7870356057992893</v>
      </c>
      <c r="FF42" s="87">
        <f t="shared" ca="1" si="171"/>
        <v>5.7870356057992893</v>
      </c>
      <c r="FG42" s="87">
        <f t="shared" ca="1" si="152"/>
        <v>5.7870356057992893</v>
      </c>
      <c r="FH42" s="87">
        <f t="shared" ca="1" si="152"/>
        <v>5.7870356057992893</v>
      </c>
      <c r="FI42" s="87">
        <f t="shared" ca="1" si="152"/>
        <v>5.7870356057992893</v>
      </c>
      <c r="FJ42" s="87">
        <f t="shared" ca="1" si="152"/>
        <v>5.7870356057992893</v>
      </c>
      <c r="FK42" s="87">
        <f t="shared" ca="1" si="152"/>
        <v>5.7870356057992893</v>
      </c>
      <c r="FL42" s="87">
        <f t="shared" ca="1" si="152"/>
        <v>5.7870356057992893</v>
      </c>
      <c r="FM42" s="87">
        <f t="shared" ca="1" si="152"/>
        <v>5.7870356057992893</v>
      </c>
      <c r="FN42" s="87">
        <f t="shared" ca="1" si="152"/>
        <v>5.7870356057992893</v>
      </c>
      <c r="FO42" s="87">
        <f t="shared" ca="1" si="152"/>
        <v>5.7870356057992893</v>
      </c>
      <c r="FP42" s="87">
        <f t="shared" ca="1" si="152"/>
        <v>5.7870356057992893</v>
      </c>
      <c r="FQ42" s="87"/>
    </row>
    <row r="43" spans="1:173" s="446" customFormat="1" ht="12.75" customHeight="1" thickBot="1" x14ac:dyDescent="0.3">
      <c r="C43" s="64">
        <v>16</v>
      </c>
      <c r="D43" s="32" t="str">
        <f t="shared" si="107"/>
        <v>INSS</v>
      </c>
      <c r="E43" s="627" t="str">
        <f>IFERROR(VLOOKUP(CONCATENATE(C43,D43),'Base tabelas'!$B:$K,10,FALSE),"")</f>
        <v/>
      </c>
      <c r="F43" s="628"/>
      <c r="G43" s="629"/>
      <c r="H43" s="33" t="str">
        <f>IFERROR(VLOOKUP(CONCATENATE(C43,D43),'Base tabelas'!$B:$E,4,FALSE),"")</f>
        <v/>
      </c>
      <c r="I43" s="34" t="str">
        <f t="shared" ref="I43:I49" ca="1" si="184">IFERROR((PMT(H43,$BA$19,-1,0,0)*(H43+1)^(($BF$10-30)/30))*1.03017,"")</f>
        <v/>
      </c>
      <c r="J43" s="35" t="str">
        <f ca="1">IFERROR(DJ163,"")</f>
        <v/>
      </c>
      <c r="K43" s="36" t="str">
        <f t="shared" ref="K43:K49" ca="1" si="185">IF(J43&lt;&gt;"",$V$21,"")</f>
        <v/>
      </c>
      <c r="L43" s="574" t="str">
        <f ca="1">IFERROR(EG17*-1,"")</f>
        <v/>
      </c>
      <c r="M43" s="575" t="str">
        <f t="shared" ref="M43:M49" ca="1" si="186">IFERROR(IF(J43&gt;=N43,IF($U$9&gt;=1,IF(E43="","",IF(L43&lt;100,"Não Libera Troco",IF(P43&lt;=$D$26,IF(L43&gt;100,"TAB disponivel","Não Libera Troco"),"Tabela Superior Taxa Ponderada"))),"Não Disponível"),"Não Disponível"),"")</f>
        <v/>
      </c>
      <c r="N43" s="304" t="str">
        <f>IFERROR(VLOOKUP(CONCATENATE(C43,D43),'Base tabelas'!$B:$O,14,FALSE),"")</f>
        <v/>
      </c>
      <c r="O43" s="382" t="str">
        <f ca="1">FG168</f>
        <v/>
      </c>
      <c r="P43" s="375" t="str">
        <f t="shared" ca="1" si="110"/>
        <v/>
      </c>
      <c r="Q43" s="303" t="e">
        <f t="shared" ca="1" si="111"/>
        <v>#VALUE!</v>
      </c>
      <c r="R43" s="87"/>
      <c r="S43" s="87"/>
      <c r="T43" s="87"/>
      <c r="U43" s="175"/>
      <c r="V43" s="176"/>
      <c r="W43" s="176"/>
      <c r="X43" s="87">
        <v>28</v>
      </c>
      <c r="Y43" s="377">
        <f t="shared" ca="1" si="4"/>
        <v>85.212964394200711</v>
      </c>
      <c r="Z43" s="377">
        <f t="shared" si="5"/>
        <v>0</v>
      </c>
      <c r="AA43" s="377">
        <f t="shared" si="6"/>
        <v>0</v>
      </c>
      <c r="AB43" s="377">
        <f t="shared" si="7"/>
        <v>0</v>
      </c>
      <c r="AC43" s="377">
        <f t="shared" si="8"/>
        <v>0</v>
      </c>
      <c r="AD43" s="377">
        <f t="shared" si="9"/>
        <v>0</v>
      </c>
      <c r="AE43" s="377">
        <f t="shared" si="10"/>
        <v>0</v>
      </c>
      <c r="AF43" s="377">
        <f t="shared" si="11"/>
        <v>0</v>
      </c>
      <c r="AG43" s="377">
        <f t="shared" si="12"/>
        <v>0</v>
      </c>
      <c r="AH43" s="377">
        <f t="shared" si="13"/>
        <v>0</v>
      </c>
      <c r="AI43" s="377">
        <f t="shared" si="14"/>
        <v>0</v>
      </c>
      <c r="AJ43" s="377">
        <f t="shared" si="15"/>
        <v>0</v>
      </c>
      <c r="AK43" s="377">
        <f t="shared" si="16"/>
        <v>0</v>
      </c>
      <c r="AL43" s="377">
        <f t="shared" si="17"/>
        <v>0</v>
      </c>
      <c r="AM43" s="377">
        <f t="shared" si="18"/>
        <v>0</v>
      </c>
      <c r="AN43" s="377">
        <f t="shared" si="19"/>
        <v>0</v>
      </c>
      <c r="AO43" s="377">
        <f t="shared" si="20"/>
        <v>0</v>
      </c>
      <c r="AP43" s="87"/>
      <c r="AQ43" s="138">
        <v>20</v>
      </c>
      <c r="AR43" s="258">
        <f t="shared" ca="1" si="69"/>
        <v>46762</v>
      </c>
      <c r="AS43" s="378">
        <f t="shared" ca="1" si="70"/>
        <v>85.212964394200711</v>
      </c>
      <c r="AT43" s="138"/>
      <c r="AU43" s="138">
        <v>20</v>
      </c>
      <c r="AV43" s="258">
        <f t="shared" ca="1" si="71"/>
        <v>46793</v>
      </c>
      <c r="AW43" s="378">
        <f t="shared" ca="1" si="72"/>
        <v>5.7870356057992893</v>
      </c>
      <c r="AX43" s="202">
        <f t="shared" ca="1" si="73"/>
        <v>3.94</v>
      </c>
      <c r="AY43" s="138">
        <v>20</v>
      </c>
      <c r="AZ43" s="258">
        <f t="shared" ca="1" si="74"/>
        <v>46793</v>
      </c>
      <c r="BA43" s="378">
        <f t="shared" si="75"/>
        <v>91</v>
      </c>
      <c r="BB43" s="87"/>
      <c r="BC43" s="258">
        <f t="shared" ca="1" si="61"/>
        <v>46762</v>
      </c>
      <c r="BD43" s="302">
        <f t="shared" ca="1" si="76"/>
        <v>5.7870356057992893</v>
      </c>
      <c r="BE43" s="133">
        <f t="shared" si="62"/>
        <v>20</v>
      </c>
      <c r="BF43" s="379">
        <f t="shared" ca="1" si="63"/>
        <v>46762</v>
      </c>
      <c r="BG43" s="133">
        <f t="shared" si="77"/>
        <v>91</v>
      </c>
      <c r="BH43" s="133">
        <f t="shared" si="78"/>
        <v>0</v>
      </c>
      <c r="BI43" s="133">
        <f t="shared" si="79"/>
        <v>0</v>
      </c>
      <c r="BJ43" s="133">
        <f t="shared" si="80"/>
        <v>0</v>
      </c>
      <c r="BK43" s="133">
        <f t="shared" si="81"/>
        <v>0</v>
      </c>
      <c r="BL43" s="133">
        <f t="shared" si="82"/>
        <v>0</v>
      </c>
      <c r="BM43" s="133">
        <f t="shared" si="83"/>
        <v>0</v>
      </c>
      <c r="BN43" s="133">
        <f t="shared" si="84"/>
        <v>0</v>
      </c>
      <c r="BO43" s="133">
        <f t="shared" si="85"/>
        <v>0</v>
      </c>
      <c r="BP43" s="133">
        <f t="shared" si="86"/>
        <v>0</v>
      </c>
      <c r="BQ43" s="133">
        <f t="shared" si="87"/>
        <v>0</v>
      </c>
      <c r="BR43" s="133">
        <f t="shared" si="88"/>
        <v>0</v>
      </c>
      <c r="BS43" s="133">
        <f t="shared" si="89"/>
        <v>0</v>
      </c>
      <c r="BT43" s="133">
        <f t="shared" si="90"/>
        <v>0</v>
      </c>
      <c r="BU43" s="133">
        <f t="shared" si="91"/>
        <v>0</v>
      </c>
      <c r="BV43" s="133">
        <f t="shared" si="92"/>
        <v>0</v>
      </c>
      <c r="BW43" s="133">
        <f t="shared" si="93"/>
        <v>0</v>
      </c>
      <c r="BX43" s="267"/>
      <c r="BY43" s="267"/>
      <c r="BZ43" s="267"/>
      <c r="CA43" s="267"/>
      <c r="CB43" s="267"/>
      <c r="CC43" s="267"/>
      <c r="CD43" s="267"/>
      <c r="CE43" s="267"/>
      <c r="CF43" s="267"/>
      <c r="CG43" s="26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>
        <v>25</v>
      </c>
      <c r="CT43" s="259">
        <f t="shared" ca="1" si="29"/>
        <v>46944</v>
      </c>
      <c r="CU43" s="179">
        <f t="shared" ref="CU43:DC43" ca="1" si="187">(($AW48/(1+CU$18)^(($AZ48-$AZ$23)/30)))+($AS48/(1+CU$18)^(($AZ48-$AZ$23)/30))</f>
        <v>56.431785301555443</v>
      </c>
      <c r="CV43" s="179">
        <f t="shared" ca="1" si="187"/>
        <v>57.158739878440386</v>
      </c>
      <c r="CW43" s="179">
        <f t="shared" ca="1" si="187"/>
        <v>57.599573795627116</v>
      </c>
      <c r="CX43" s="179">
        <f t="shared" ca="1" si="187"/>
        <v>58.043939097820534</v>
      </c>
      <c r="CY43" s="179">
        <f t="shared" ca="1" si="187"/>
        <v>58.491865127693885</v>
      </c>
      <c r="CZ43" s="179">
        <f t="shared" ca="1" si="187"/>
        <v>58.943381480492597</v>
      </c>
      <c r="DA43" s="179">
        <f t="shared" ca="1" si="187"/>
        <v>59.246401736425788</v>
      </c>
      <c r="DB43" s="179">
        <f t="shared" ca="1" si="187"/>
        <v>59.857304812235014</v>
      </c>
      <c r="DC43" s="179">
        <f t="shared" ca="1" si="187"/>
        <v>60.165205601369138</v>
      </c>
      <c r="DD43" s="179">
        <f t="shared" ref="DD43:DI43" ca="1" si="188">(($AW48/(1+DD$18)^(($AZ48-$AZ$23)/30)))+($AS48/(1+DD$18)^(($AZ48-$AZ$23)/30))</f>
        <v>60.474751290112884</v>
      </c>
      <c r="DE43" s="179">
        <f t="shared" ca="1" si="188"/>
        <v>60.785950992481432</v>
      </c>
      <c r="DF43" s="179" t="e">
        <f t="shared" ca="1" si="188"/>
        <v>#VALUE!</v>
      </c>
      <c r="DG43" s="179" t="e">
        <f t="shared" ca="1" si="188"/>
        <v>#VALUE!</v>
      </c>
      <c r="DH43" s="179" t="e">
        <f t="shared" ca="1" si="188"/>
        <v>#VALUE!</v>
      </c>
      <c r="DI43" s="179" t="e">
        <f t="shared" ca="1" si="188"/>
        <v>#VALUE!</v>
      </c>
      <c r="DJ43" s="179" t="e">
        <f t="shared" ref="DJ43:DQ43" ca="1" si="189">(($AW48/(1+DJ$18)^(($AZ48-$AZ$23)/30)))+($AS48/(1+DJ$18)^(($AZ48-$AZ$23)/30))</f>
        <v>#VALUE!</v>
      </c>
      <c r="DK43" s="179" t="e">
        <f t="shared" ca="1" si="189"/>
        <v>#VALUE!</v>
      </c>
      <c r="DL43" s="179" t="e">
        <f t="shared" ca="1" si="189"/>
        <v>#VALUE!</v>
      </c>
      <c r="DM43" s="179" t="e">
        <f t="shared" ca="1" si="189"/>
        <v>#VALUE!</v>
      </c>
      <c r="DN43" s="179" t="e">
        <f t="shared" ca="1" si="189"/>
        <v>#VALUE!</v>
      </c>
      <c r="DO43" s="179" t="e">
        <f t="shared" ca="1" si="189"/>
        <v>#VALUE!</v>
      </c>
      <c r="DP43" s="179" t="e">
        <f t="shared" ca="1" si="189"/>
        <v>#VALUE!</v>
      </c>
      <c r="DQ43" s="179" t="e">
        <f t="shared" ca="1" si="189"/>
        <v>#VALUE!</v>
      </c>
      <c r="DR43" s="180">
        <f t="shared" ca="1" si="40"/>
        <v>5.7870356057992893</v>
      </c>
      <c r="DS43" s="180">
        <f t="shared" ca="1" si="150"/>
        <v>5.7870356057992893</v>
      </c>
      <c r="DT43" s="180">
        <f t="shared" ca="1" si="150"/>
        <v>5.7870356057992893</v>
      </c>
      <c r="DU43" s="180">
        <f t="shared" ca="1" si="150"/>
        <v>5.7870356057992893</v>
      </c>
      <c r="DV43" s="180">
        <f t="shared" ca="1" si="150"/>
        <v>5.7870356057992893</v>
      </c>
      <c r="DW43" s="180">
        <f t="shared" ca="1" si="150"/>
        <v>5.7870356057992893</v>
      </c>
      <c r="DX43" s="180">
        <f t="shared" ca="1" si="150"/>
        <v>5.7870356057992893</v>
      </c>
      <c r="DY43" s="180">
        <f t="shared" ca="1" si="150"/>
        <v>5.7870356057992893</v>
      </c>
      <c r="DZ43" s="180">
        <f t="shared" ca="1" si="150"/>
        <v>5.7870356057992893</v>
      </c>
      <c r="EA43" s="180">
        <f t="shared" ca="1" si="150"/>
        <v>5.7870356057992893</v>
      </c>
      <c r="EB43" s="180">
        <f t="shared" ca="1" si="150"/>
        <v>5.7870356057992893</v>
      </c>
      <c r="EC43" s="180">
        <f t="shared" ca="1" si="150"/>
        <v>5.7870356057992893</v>
      </c>
      <c r="ED43" s="180">
        <f t="shared" ca="1" si="150"/>
        <v>5.7870356057992893</v>
      </c>
      <c r="EE43" s="180">
        <f t="shared" ca="1" si="150"/>
        <v>5.7870356057992893</v>
      </c>
      <c r="EF43" s="180">
        <f t="shared" ca="1" si="150"/>
        <v>5.7870356057992893</v>
      </c>
      <c r="EG43" s="180">
        <f t="shared" ref="EG43:EO43" ca="1" si="190">IF($AU48&gt;$BA$19,0,$BA48-$AS48)</f>
        <v>5.7870356057992893</v>
      </c>
      <c r="EH43" s="180">
        <f t="shared" ca="1" si="190"/>
        <v>5.7870356057992893</v>
      </c>
      <c r="EI43" s="180">
        <f t="shared" ca="1" si="190"/>
        <v>5.7870356057992893</v>
      </c>
      <c r="EJ43" s="180">
        <f t="shared" ca="1" si="190"/>
        <v>5.7870356057992893</v>
      </c>
      <c r="EK43" s="180">
        <f t="shared" ca="1" si="190"/>
        <v>5.7870356057992893</v>
      </c>
      <c r="EL43" s="180">
        <f t="shared" ca="1" si="190"/>
        <v>5.7870356057992893</v>
      </c>
      <c r="EM43" s="180">
        <f t="shared" ca="1" si="190"/>
        <v>5.7870356057992893</v>
      </c>
      <c r="EN43" s="180">
        <f t="shared" ca="1" si="190"/>
        <v>5.7870356057992893</v>
      </c>
      <c r="EO43" s="180">
        <f t="shared" ca="1" si="190"/>
        <v>5.7870356057992893</v>
      </c>
      <c r="EP43" s="87"/>
      <c r="EQ43" s="259">
        <f t="shared" ca="1" si="42"/>
        <v>46914</v>
      </c>
      <c r="ER43" s="87">
        <f t="shared" ca="1" si="171"/>
        <v>5.7870356057992893</v>
      </c>
      <c r="ES43" s="87">
        <f t="shared" ca="1" si="171"/>
        <v>5.7870356057992893</v>
      </c>
      <c r="ET43" s="87">
        <f t="shared" ca="1" si="171"/>
        <v>5.7870356057992893</v>
      </c>
      <c r="EU43" s="87">
        <f t="shared" ca="1" si="171"/>
        <v>5.7870356057992893</v>
      </c>
      <c r="EV43" s="87">
        <f t="shared" ca="1" si="171"/>
        <v>5.7870356057992893</v>
      </c>
      <c r="EW43" s="87">
        <f t="shared" ca="1" si="171"/>
        <v>5.7870356057992893</v>
      </c>
      <c r="EX43" s="87">
        <f t="shared" ca="1" si="171"/>
        <v>5.7870356057992893</v>
      </c>
      <c r="EY43" s="87">
        <f t="shared" ca="1" si="171"/>
        <v>5.7870356057992893</v>
      </c>
      <c r="EZ43" s="87">
        <f t="shared" ca="1" si="171"/>
        <v>5.7870356057992893</v>
      </c>
      <c r="FA43" s="87">
        <f t="shared" ca="1" si="171"/>
        <v>5.7870356057992893</v>
      </c>
      <c r="FB43" s="87">
        <f t="shared" ca="1" si="171"/>
        <v>5.7870356057992893</v>
      </c>
      <c r="FC43" s="87">
        <f t="shared" ca="1" si="171"/>
        <v>5.7870356057992893</v>
      </c>
      <c r="FD43" s="87">
        <f t="shared" ca="1" si="171"/>
        <v>5.7870356057992893</v>
      </c>
      <c r="FE43" s="87">
        <f t="shared" ca="1" si="171"/>
        <v>5.7870356057992893</v>
      </c>
      <c r="FF43" s="87">
        <f t="shared" ca="1" si="171"/>
        <v>5.7870356057992893</v>
      </c>
      <c r="FG43" s="87">
        <f t="shared" ca="1" si="152"/>
        <v>5.7870356057992893</v>
      </c>
      <c r="FH43" s="87">
        <f t="shared" ca="1" si="152"/>
        <v>5.7870356057992893</v>
      </c>
      <c r="FI43" s="87">
        <f t="shared" ca="1" si="152"/>
        <v>5.7870356057992893</v>
      </c>
      <c r="FJ43" s="87">
        <f t="shared" ca="1" si="152"/>
        <v>5.7870356057992893</v>
      </c>
      <c r="FK43" s="87">
        <f t="shared" ca="1" si="152"/>
        <v>5.7870356057992893</v>
      </c>
      <c r="FL43" s="87">
        <f t="shared" ca="1" si="152"/>
        <v>5.7870356057992893</v>
      </c>
      <c r="FM43" s="87">
        <f t="shared" ca="1" si="152"/>
        <v>5.7870356057992893</v>
      </c>
      <c r="FN43" s="87">
        <f t="shared" ca="1" si="152"/>
        <v>5.7870356057992893</v>
      </c>
      <c r="FO43" s="87">
        <f t="shared" ca="1" si="152"/>
        <v>5.7870356057992893</v>
      </c>
      <c r="FP43" s="87">
        <f t="shared" ca="1" si="152"/>
        <v>5.7870356057992893</v>
      </c>
      <c r="FQ43" s="87"/>
    </row>
    <row r="44" spans="1:173" s="446" customFormat="1" ht="12.75" customHeight="1" thickBot="1" x14ac:dyDescent="0.3">
      <c r="C44" s="64">
        <v>17</v>
      </c>
      <c r="D44" s="32" t="str">
        <f t="shared" si="107"/>
        <v>INSS</v>
      </c>
      <c r="E44" s="627" t="str">
        <f>IFERROR(VLOOKUP(CONCATENATE(C44,D44),'Base tabelas'!$B:$K,10,FALSE),"")</f>
        <v/>
      </c>
      <c r="F44" s="628"/>
      <c r="G44" s="629"/>
      <c r="H44" s="33" t="str">
        <f>IFERROR(VLOOKUP(CONCATENATE(C44,D44),'Base tabelas'!$B:$E,4,FALSE),"")</f>
        <v/>
      </c>
      <c r="I44" s="34" t="str">
        <f t="shared" ca="1" si="184"/>
        <v/>
      </c>
      <c r="J44" s="35" t="str">
        <f ca="1">IFERROR(DK163,"")</f>
        <v/>
      </c>
      <c r="K44" s="36" t="str">
        <f t="shared" ca="1" si="185"/>
        <v/>
      </c>
      <c r="L44" s="574" t="str">
        <f ca="1">IFERROR(EH17*-1,"")</f>
        <v/>
      </c>
      <c r="M44" s="575" t="str">
        <f t="shared" ca="1" si="186"/>
        <v/>
      </c>
      <c r="N44" s="304" t="str">
        <f>IFERROR(VLOOKUP(CONCATENATE(C44,D44),'Base tabelas'!$B:$O,14,FALSE),"")</f>
        <v/>
      </c>
      <c r="O44" s="382" t="str">
        <f ca="1">FH168</f>
        <v/>
      </c>
      <c r="P44" s="375" t="str">
        <f t="shared" ca="1" si="110"/>
        <v/>
      </c>
      <c r="Q44" s="303" t="e">
        <f t="shared" ca="1" si="111"/>
        <v>#VALUE!</v>
      </c>
      <c r="R44" s="87"/>
      <c r="S44" s="87"/>
      <c r="T44" s="87"/>
      <c r="U44" s="175"/>
      <c r="V44" s="176"/>
      <c r="W44" s="176"/>
      <c r="X44" s="87">
        <v>29</v>
      </c>
      <c r="Y44" s="377">
        <f t="shared" ca="1" si="4"/>
        <v>85.212964394200711</v>
      </c>
      <c r="Z44" s="377">
        <f t="shared" si="5"/>
        <v>0</v>
      </c>
      <c r="AA44" s="377">
        <f t="shared" si="6"/>
        <v>0</v>
      </c>
      <c r="AB44" s="377">
        <f t="shared" si="7"/>
        <v>0</v>
      </c>
      <c r="AC44" s="377">
        <f t="shared" si="8"/>
        <v>0</v>
      </c>
      <c r="AD44" s="377">
        <f t="shared" si="9"/>
        <v>0</v>
      </c>
      <c r="AE44" s="377">
        <f t="shared" si="10"/>
        <v>0</v>
      </c>
      <c r="AF44" s="377">
        <f t="shared" si="11"/>
        <v>0</v>
      </c>
      <c r="AG44" s="377">
        <f t="shared" si="12"/>
        <v>0</v>
      </c>
      <c r="AH44" s="377">
        <f t="shared" si="13"/>
        <v>0</v>
      </c>
      <c r="AI44" s="377">
        <f t="shared" si="14"/>
        <v>0</v>
      </c>
      <c r="AJ44" s="377">
        <f t="shared" si="15"/>
        <v>0</v>
      </c>
      <c r="AK44" s="377">
        <f t="shared" si="16"/>
        <v>0</v>
      </c>
      <c r="AL44" s="377">
        <f t="shared" si="17"/>
        <v>0</v>
      </c>
      <c r="AM44" s="377">
        <f t="shared" si="18"/>
        <v>0</v>
      </c>
      <c r="AN44" s="377">
        <f t="shared" si="19"/>
        <v>0</v>
      </c>
      <c r="AO44" s="377">
        <f t="shared" si="20"/>
        <v>0</v>
      </c>
      <c r="AP44" s="87"/>
      <c r="AQ44" s="138">
        <v>21</v>
      </c>
      <c r="AR44" s="258">
        <f t="shared" ca="1" si="69"/>
        <v>46793</v>
      </c>
      <c r="AS44" s="378">
        <f t="shared" ca="1" si="70"/>
        <v>85.212964394200711</v>
      </c>
      <c r="AT44" s="138"/>
      <c r="AU44" s="138">
        <v>21</v>
      </c>
      <c r="AV44" s="258">
        <f t="shared" ca="1" si="71"/>
        <v>46822</v>
      </c>
      <c r="AW44" s="378">
        <f t="shared" ca="1" si="72"/>
        <v>5.7870356057992893</v>
      </c>
      <c r="AX44" s="202">
        <f t="shared" ca="1" si="73"/>
        <v>3.87</v>
      </c>
      <c r="AY44" s="138">
        <v>21</v>
      </c>
      <c r="AZ44" s="258">
        <f t="shared" ca="1" si="74"/>
        <v>46822</v>
      </c>
      <c r="BA44" s="378">
        <f t="shared" si="75"/>
        <v>91</v>
      </c>
      <c r="BB44" s="87"/>
      <c r="BC44" s="258">
        <f t="shared" ca="1" si="61"/>
        <v>46793</v>
      </c>
      <c r="BD44" s="302">
        <f t="shared" ca="1" si="76"/>
        <v>5.7870356057992893</v>
      </c>
      <c r="BE44" s="133">
        <f t="shared" si="62"/>
        <v>21</v>
      </c>
      <c r="BF44" s="379">
        <f t="shared" ca="1" si="63"/>
        <v>46793</v>
      </c>
      <c r="BG44" s="133">
        <f t="shared" si="77"/>
        <v>91</v>
      </c>
      <c r="BH44" s="133">
        <f t="shared" si="78"/>
        <v>0</v>
      </c>
      <c r="BI44" s="133">
        <f t="shared" si="79"/>
        <v>0</v>
      </c>
      <c r="BJ44" s="133">
        <f t="shared" si="80"/>
        <v>0</v>
      </c>
      <c r="BK44" s="133">
        <f t="shared" si="81"/>
        <v>0</v>
      </c>
      <c r="BL44" s="133">
        <f t="shared" si="82"/>
        <v>0</v>
      </c>
      <c r="BM44" s="133">
        <f t="shared" si="83"/>
        <v>0</v>
      </c>
      <c r="BN44" s="133">
        <f t="shared" si="84"/>
        <v>0</v>
      </c>
      <c r="BO44" s="133">
        <f t="shared" si="85"/>
        <v>0</v>
      </c>
      <c r="BP44" s="133">
        <f t="shared" si="86"/>
        <v>0</v>
      </c>
      <c r="BQ44" s="133">
        <f t="shared" si="87"/>
        <v>0</v>
      </c>
      <c r="BR44" s="133">
        <f t="shared" si="88"/>
        <v>0</v>
      </c>
      <c r="BS44" s="133">
        <f t="shared" si="89"/>
        <v>0</v>
      </c>
      <c r="BT44" s="133">
        <f t="shared" si="90"/>
        <v>0</v>
      </c>
      <c r="BU44" s="133">
        <f t="shared" si="91"/>
        <v>0</v>
      </c>
      <c r="BV44" s="133">
        <f t="shared" si="92"/>
        <v>0</v>
      </c>
      <c r="BW44" s="133">
        <f t="shared" si="93"/>
        <v>0</v>
      </c>
      <c r="BX44" s="267"/>
      <c r="BY44" s="267"/>
      <c r="BZ44" s="267"/>
      <c r="CA44" s="267"/>
      <c r="CB44" s="267"/>
      <c r="CC44" s="267"/>
      <c r="CD44" s="267"/>
      <c r="CE44" s="267"/>
      <c r="CF44" s="267"/>
      <c r="CG44" s="26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178">
        <v>26</v>
      </c>
      <c r="CT44" s="259">
        <f t="shared" ca="1" si="29"/>
        <v>46975</v>
      </c>
      <c r="CU44" s="179">
        <f t="shared" ref="CU44:DC44" ca="1" si="191">(($AW49/(1+CU$18)^(($AZ49-$AZ$23)/30)))+($AS49/(1+CU$18)^(($AZ49-$AZ$23)/30))</f>
        <v>55.372915280996338</v>
      </c>
      <c r="CV44" s="179">
        <f t="shared" ca="1" si="191"/>
        <v>56.114695227404475</v>
      </c>
      <c r="CW44" s="179">
        <f t="shared" ca="1" si="191"/>
        <v>56.564701925387673</v>
      </c>
      <c r="CX44" s="179">
        <f t="shared" ca="1" si="191"/>
        <v>57.018451683715291</v>
      </c>
      <c r="CY44" s="179">
        <f t="shared" ca="1" si="191"/>
        <v>57.475976753881767</v>
      </c>
      <c r="CZ44" s="179">
        <f t="shared" ca="1" si="191"/>
        <v>57.937309674905052</v>
      </c>
      <c r="DA44" s="179">
        <f t="shared" ca="1" si="191"/>
        <v>58.246996628210667</v>
      </c>
      <c r="DB44" s="179">
        <f t="shared" ca="1" si="191"/>
        <v>58.871530679140825</v>
      </c>
      <c r="DC44" s="179">
        <f t="shared" ca="1" si="191"/>
        <v>59.186397550456824</v>
      </c>
      <c r="DD44" s="179">
        <f t="shared" ref="DD44:DI44" ca="1" si="192">(($AW49/(1+DD$18)^(($AZ49-$AZ$23)/30)))+($AS49/(1+DD$18)^(($AZ49-$AZ$23)/30))</f>
        <v>59.503010932757711</v>
      </c>
      <c r="DE44" s="179">
        <f t="shared" ca="1" si="192"/>
        <v>59.821380860365721</v>
      </c>
      <c r="DF44" s="179" t="e">
        <f t="shared" ca="1" si="192"/>
        <v>#VALUE!</v>
      </c>
      <c r="DG44" s="179" t="e">
        <f t="shared" ca="1" si="192"/>
        <v>#VALUE!</v>
      </c>
      <c r="DH44" s="179" t="e">
        <f t="shared" ca="1" si="192"/>
        <v>#VALUE!</v>
      </c>
      <c r="DI44" s="179" t="e">
        <f t="shared" ca="1" si="192"/>
        <v>#VALUE!</v>
      </c>
      <c r="DJ44" s="179" t="e">
        <f t="shared" ref="DJ44:DQ44" ca="1" si="193">(($AW49/(1+DJ$18)^(($AZ49-$AZ$23)/30)))+($AS49/(1+DJ$18)^(($AZ49-$AZ$23)/30))</f>
        <v>#VALUE!</v>
      </c>
      <c r="DK44" s="179" t="e">
        <f t="shared" ca="1" si="193"/>
        <v>#VALUE!</v>
      </c>
      <c r="DL44" s="179" t="e">
        <f t="shared" ca="1" si="193"/>
        <v>#VALUE!</v>
      </c>
      <c r="DM44" s="179" t="e">
        <f t="shared" ca="1" si="193"/>
        <v>#VALUE!</v>
      </c>
      <c r="DN44" s="179" t="e">
        <f t="shared" ca="1" si="193"/>
        <v>#VALUE!</v>
      </c>
      <c r="DO44" s="179" t="e">
        <f t="shared" ca="1" si="193"/>
        <v>#VALUE!</v>
      </c>
      <c r="DP44" s="179" t="e">
        <f t="shared" ca="1" si="193"/>
        <v>#VALUE!</v>
      </c>
      <c r="DQ44" s="179" t="e">
        <f t="shared" ca="1" si="193"/>
        <v>#VALUE!</v>
      </c>
      <c r="DR44" s="180">
        <f t="shared" ca="1" si="40"/>
        <v>5.7870356057992893</v>
      </c>
      <c r="DS44" s="180">
        <f t="shared" ca="1" si="150"/>
        <v>5.7870356057992893</v>
      </c>
      <c r="DT44" s="180">
        <f t="shared" ca="1" si="150"/>
        <v>5.7870356057992893</v>
      </c>
      <c r="DU44" s="180">
        <f t="shared" ca="1" si="150"/>
        <v>5.7870356057992893</v>
      </c>
      <c r="DV44" s="180">
        <f t="shared" ca="1" si="150"/>
        <v>5.7870356057992893</v>
      </c>
      <c r="DW44" s="180">
        <f t="shared" ca="1" si="150"/>
        <v>5.7870356057992893</v>
      </c>
      <c r="DX44" s="180">
        <f t="shared" ca="1" si="150"/>
        <v>5.7870356057992893</v>
      </c>
      <c r="DY44" s="180">
        <f t="shared" ca="1" si="150"/>
        <v>5.7870356057992893</v>
      </c>
      <c r="DZ44" s="180">
        <f t="shared" ca="1" si="150"/>
        <v>5.7870356057992893</v>
      </c>
      <c r="EA44" s="180">
        <f t="shared" ca="1" si="150"/>
        <v>5.7870356057992893</v>
      </c>
      <c r="EB44" s="180">
        <f t="shared" ca="1" si="150"/>
        <v>5.7870356057992893</v>
      </c>
      <c r="EC44" s="180">
        <f t="shared" ca="1" si="150"/>
        <v>5.7870356057992893</v>
      </c>
      <c r="ED44" s="180">
        <f t="shared" ca="1" si="150"/>
        <v>5.7870356057992893</v>
      </c>
      <c r="EE44" s="180">
        <f t="shared" ca="1" si="150"/>
        <v>5.7870356057992893</v>
      </c>
      <c r="EF44" s="180">
        <f t="shared" ca="1" si="150"/>
        <v>5.7870356057992893</v>
      </c>
      <c r="EG44" s="180">
        <f t="shared" ref="EG44:EO44" ca="1" si="194">IF($AU49&gt;$BA$19,0,$BA49-$AS49)</f>
        <v>5.7870356057992893</v>
      </c>
      <c r="EH44" s="180">
        <f t="shared" ca="1" si="194"/>
        <v>5.7870356057992893</v>
      </c>
      <c r="EI44" s="180">
        <f t="shared" ca="1" si="194"/>
        <v>5.7870356057992893</v>
      </c>
      <c r="EJ44" s="180">
        <f t="shared" ca="1" si="194"/>
        <v>5.7870356057992893</v>
      </c>
      <c r="EK44" s="180">
        <f t="shared" ca="1" si="194"/>
        <v>5.7870356057992893</v>
      </c>
      <c r="EL44" s="180">
        <f t="shared" ca="1" si="194"/>
        <v>5.7870356057992893</v>
      </c>
      <c r="EM44" s="180">
        <f t="shared" ca="1" si="194"/>
        <v>5.7870356057992893</v>
      </c>
      <c r="EN44" s="180">
        <f t="shared" ca="1" si="194"/>
        <v>5.7870356057992893</v>
      </c>
      <c r="EO44" s="180">
        <f t="shared" ca="1" si="194"/>
        <v>5.7870356057992893</v>
      </c>
      <c r="EP44" s="87"/>
      <c r="EQ44" s="259">
        <f t="shared" ca="1" si="42"/>
        <v>46944</v>
      </c>
      <c r="ER44" s="87">
        <f t="shared" ca="1" si="171"/>
        <v>5.7870356057992893</v>
      </c>
      <c r="ES44" s="87">
        <f t="shared" ca="1" si="171"/>
        <v>5.7870356057992893</v>
      </c>
      <c r="ET44" s="87">
        <f t="shared" ca="1" si="171"/>
        <v>5.7870356057992893</v>
      </c>
      <c r="EU44" s="87">
        <f t="shared" ca="1" si="171"/>
        <v>5.7870356057992893</v>
      </c>
      <c r="EV44" s="87">
        <f t="shared" ca="1" si="171"/>
        <v>5.7870356057992893</v>
      </c>
      <c r="EW44" s="87">
        <f t="shared" ca="1" si="171"/>
        <v>5.7870356057992893</v>
      </c>
      <c r="EX44" s="87">
        <f t="shared" ca="1" si="171"/>
        <v>5.7870356057992893</v>
      </c>
      <c r="EY44" s="87">
        <f t="shared" ca="1" si="171"/>
        <v>5.7870356057992893</v>
      </c>
      <c r="EZ44" s="87">
        <f t="shared" ca="1" si="171"/>
        <v>5.7870356057992893</v>
      </c>
      <c r="FA44" s="87">
        <f t="shared" ca="1" si="171"/>
        <v>5.7870356057992893</v>
      </c>
      <c r="FB44" s="87">
        <f t="shared" ca="1" si="171"/>
        <v>5.7870356057992893</v>
      </c>
      <c r="FC44" s="87">
        <f t="shared" ca="1" si="171"/>
        <v>5.7870356057992893</v>
      </c>
      <c r="FD44" s="87">
        <f t="shared" ca="1" si="171"/>
        <v>5.7870356057992893</v>
      </c>
      <c r="FE44" s="87">
        <f t="shared" ca="1" si="171"/>
        <v>5.7870356057992893</v>
      </c>
      <c r="FF44" s="87">
        <f t="shared" ca="1" si="171"/>
        <v>5.7870356057992893</v>
      </c>
      <c r="FG44" s="87">
        <f t="shared" ca="1" si="152"/>
        <v>5.7870356057992893</v>
      </c>
      <c r="FH44" s="87">
        <f t="shared" ca="1" si="152"/>
        <v>5.7870356057992893</v>
      </c>
      <c r="FI44" s="87">
        <f t="shared" ca="1" si="152"/>
        <v>5.7870356057992893</v>
      </c>
      <c r="FJ44" s="87">
        <f t="shared" ca="1" si="152"/>
        <v>5.7870356057992893</v>
      </c>
      <c r="FK44" s="87">
        <f t="shared" ca="1" si="152"/>
        <v>5.7870356057992893</v>
      </c>
      <c r="FL44" s="87">
        <f t="shared" ca="1" si="152"/>
        <v>5.7870356057992893</v>
      </c>
      <c r="FM44" s="87">
        <f t="shared" ca="1" si="152"/>
        <v>5.7870356057992893</v>
      </c>
      <c r="FN44" s="87">
        <f t="shared" ca="1" si="152"/>
        <v>5.7870356057992893</v>
      </c>
      <c r="FO44" s="87">
        <f t="shared" ca="1" si="152"/>
        <v>5.7870356057992893</v>
      </c>
      <c r="FP44" s="87">
        <f t="shared" ca="1" si="152"/>
        <v>5.7870356057992893</v>
      </c>
      <c r="FQ44" s="87"/>
    </row>
    <row r="45" spans="1:173" ht="12.75" customHeight="1" thickBot="1" x14ac:dyDescent="0.3">
      <c r="B45" s="446"/>
      <c r="C45" s="64">
        <v>18</v>
      </c>
      <c r="D45" s="32" t="str">
        <f t="shared" si="107"/>
        <v>INSS</v>
      </c>
      <c r="E45" s="627" t="str">
        <f>IFERROR(VLOOKUP(CONCATENATE(C45,D45),'Base tabelas'!$B:$K,10,FALSE),"")</f>
        <v/>
      </c>
      <c r="F45" s="628"/>
      <c r="G45" s="629"/>
      <c r="H45" s="33" t="str">
        <f>IFERROR(VLOOKUP(CONCATENATE(C45,D45),'Base tabelas'!$B:$E,4,FALSE),"")</f>
        <v/>
      </c>
      <c r="I45" s="34" t="str">
        <f t="shared" ca="1" si="184"/>
        <v/>
      </c>
      <c r="J45" s="35" t="str">
        <f ca="1">IFERROR(DL163,"")</f>
        <v/>
      </c>
      <c r="K45" s="36" t="str">
        <f t="shared" ca="1" si="185"/>
        <v/>
      </c>
      <c r="L45" s="574" t="str">
        <f ca="1">IFERROR(EI17*-1,"")</f>
        <v/>
      </c>
      <c r="M45" s="575" t="str">
        <f t="shared" ca="1" si="186"/>
        <v/>
      </c>
      <c r="N45" s="304" t="str">
        <f>IFERROR(VLOOKUP(CONCATENATE(C45,D45),'Base tabelas'!$B:$O,14,FALSE),"")</f>
        <v/>
      </c>
      <c r="O45" s="382" t="str">
        <f ca="1">FI168</f>
        <v/>
      </c>
      <c r="P45" s="375" t="str">
        <f t="shared" ca="1" si="110"/>
        <v/>
      </c>
      <c r="Q45" s="303" t="e">
        <f t="shared" ca="1" si="111"/>
        <v>#VALUE!</v>
      </c>
      <c r="U45" s="175"/>
      <c r="V45" s="176"/>
      <c r="W45" s="176"/>
      <c r="X45" s="87">
        <v>30</v>
      </c>
      <c r="Y45" s="377">
        <f t="shared" ca="1" si="4"/>
        <v>85.212964394200711</v>
      </c>
      <c r="Z45" s="377">
        <f t="shared" si="5"/>
        <v>0</v>
      </c>
      <c r="AA45" s="377">
        <f t="shared" si="6"/>
        <v>0</v>
      </c>
      <c r="AB45" s="377">
        <f t="shared" si="7"/>
        <v>0</v>
      </c>
      <c r="AC45" s="377">
        <f t="shared" si="8"/>
        <v>0</v>
      </c>
      <c r="AD45" s="377">
        <f t="shared" si="9"/>
        <v>0</v>
      </c>
      <c r="AE45" s="377">
        <f t="shared" si="10"/>
        <v>0</v>
      </c>
      <c r="AF45" s="377">
        <f t="shared" si="11"/>
        <v>0</v>
      </c>
      <c r="AG45" s="377">
        <f t="shared" si="12"/>
        <v>0</v>
      </c>
      <c r="AH45" s="377">
        <f t="shared" si="13"/>
        <v>0</v>
      </c>
      <c r="AI45" s="377">
        <f t="shared" si="14"/>
        <v>0</v>
      </c>
      <c r="AJ45" s="377">
        <f t="shared" si="15"/>
        <v>0</v>
      </c>
      <c r="AK45" s="377">
        <f t="shared" si="16"/>
        <v>0</v>
      </c>
      <c r="AL45" s="377">
        <f t="shared" si="17"/>
        <v>0</v>
      </c>
      <c r="AM45" s="377">
        <f t="shared" si="18"/>
        <v>0</v>
      </c>
      <c r="AN45" s="377">
        <f t="shared" si="19"/>
        <v>0</v>
      </c>
      <c r="AO45" s="377">
        <f t="shared" si="20"/>
        <v>0</v>
      </c>
      <c r="AQ45" s="138">
        <v>22</v>
      </c>
      <c r="AR45" s="258">
        <f t="shared" ca="1" si="69"/>
        <v>46822</v>
      </c>
      <c r="AS45" s="378">
        <f t="shared" ca="1" si="70"/>
        <v>85.212964394200711</v>
      </c>
      <c r="AT45" s="138"/>
      <c r="AU45" s="138">
        <v>22</v>
      </c>
      <c r="AV45" s="258">
        <f t="shared" ca="1" si="71"/>
        <v>46853</v>
      </c>
      <c r="AW45" s="378">
        <f t="shared" ca="1" si="72"/>
        <v>5.7870356057992893</v>
      </c>
      <c r="AX45" s="202">
        <f t="shared" ca="1" si="73"/>
        <v>3.79</v>
      </c>
      <c r="AY45" s="138">
        <v>22</v>
      </c>
      <c r="AZ45" s="258">
        <f t="shared" ca="1" si="74"/>
        <v>46853</v>
      </c>
      <c r="BA45" s="378">
        <f t="shared" si="75"/>
        <v>91</v>
      </c>
      <c r="BC45" s="258">
        <f t="shared" ca="1" si="61"/>
        <v>46822</v>
      </c>
      <c r="BD45" s="302">
        <f t="shared" ca="1" si="76"/>
        <v>5.7870356057992893</v>
      </c>
      <c r="BE45" s="133">
        <f t="shared" si="62"/>
        <v>22</v>
      </c>
      <c r="BF45" s="379">
        <f t="shared" ca="1" si="63"/>
        <v>46822</v>
      </c>
      <c r="BG45" s="133">
        <f t="shared" si="77"/>
        <v>91</v>
      </c>
      <c r="BH45" s="133">
        <f t="shared" si="78"/>
        <v>0</v>
      </c>
      <c r="BI45" s="133">
        <f t="shared" si="79"/>
        <v>0</v>
      </c>
      <c r="BJ45" s="133">
        <f t="shared" si="80"/>
        <v>0</v>
      </c>
      <c r="BK45" s="133">
        <f t="shared" si="81"/>
        <v>0</v>
      </c>
      <c r="BL45" s="133">
        <f t="shared" si="82"/>
        <v>0</v>
      </c>
      <c r="BM45" s="133">
        <f t="shared" si="83"/>
        <v>0</v>
      </c>
      <c r="BN45" s="133">
        <f t="shared" si="84"/>
        <v>0</v>
      </c>
      <c r="BO45" s="133">
        <f t="shared" si="85"/>
        <v>0</v>
      </c>
      <c r="BP45" s="133">
        <f t="shared" si="86"/>
        <v>0</v>
      </c>
      <c r="BQ45" s="133">
        <f t="shared" si="87"/>
        <v>0</v>
      </c>
      <c r="BR45" s="133">
        <f t="shared" si="88"/>
        <v>0</v>
      </c>
      <c r="BS45" s="133">
        <f t="shared" si="89"/>
        <v>0</v>
      </c>
      <c r="BT45" s="133">
        <f t="shared" si="90"/>
        <v>0</v>
      </c>
      <c r="BU45" s="133">
        <f t="shared" si="91"/>
        <v>0</v>
      </c>
      <c r="BV45" s="133">
        <f t="shared" si="92"/>
        <v>0</v>
      </c>
      <c r="BW45" s="133">
        <f t="shared" si="93"/>
        <v>0</v>
      </c>
      <c r="BX45" s="267"/>
      <c r="BY45" s="267"/>
      <c r="BZ45" s="267"/>
      <c r="CA45" s="267"/>
      <c r="CB45" s="267"/>
      <c r="CC45" s="267"/>
      <c r="CD45" s="267"/>
      <c r="CE45" s="267"/>
      <c r="CF45" s="267"/>
      <c r="CG45" s="267"/>
      <c r="CS45" s="138">
        <v>27</v>
      </c>
      <c r="CT45" s="259">
        <f t="shared" ca="1" si="29"/>
        <v>47006</v>
      </c>
      <c r="CU45" s="179">
        <f t="shared" ref="CU45:DC45" ca="1" si="195">(($AW50/(1+CU$18)^(($AZ50-$AZ$23)/30)))+($AS50/(1+CU$18)^(($AZ50-$AZ$23)/30))</f>
        <v>54.333913597305333</v>
      </c>
      <c r="CV45" s="179">
        <f t="shared" ca="1" si="195"/>
        <v>55.089720787427716</v>
      </c>
      <c r="CW45" s="179">
        <f t="shared" ca="1" si="195"/>
        <v>55.548423244598091</v>
      </c>
      <c r="CX45" s="179">
        <f t="shared" ca="1" si="195"/>
        <v>56.011081999950783</v>
      </c>
      <c r="CY45" s="179">
        <f t="shared" ca="1" si="195"/>
        <v>56.477732358181711</v>
      </c>
      <c r="CZ45" s="179">
        <f t="shared" ca="1" si="195"/>
        <v>56.948409949584622</v>
      </c>
      <c r="DA45" s="179">
        <f t="shared" ca="1" si="195"/>
        <v>57.264450106189017</v>
      </c>
      <c r="DB45" s="179">
        <f t="shared" ca="1" si="195"/>
        <v>57.901990999711501</v>
      </c>
      <c r="DC45" s="179">
        <f t="shared" ca="1" si="195"/>
        <v>58.223513407573314</v>
      </c>
      <c r="DD45" s="179">
        <f t="shared" ref="DD45:DI45" ca="1" si="196">(($AW50/(1+DD$18)^(($AZ50-$AZ$23)/30)))+($AS50/(1+DD$18)^(($AZ50-$AZ$23)/30))</f>
        <v>58.546885014519162</v>
      </c>
      <c r="DE45" s="179">
        <f t="shared" ca="1" si="196"/>
        <v>58.872116823237072</v>
      </c>
      <c r="DF45" s="179" t="e">
        <f t="shared" ca="1" si="196"/>
        <v>#VALUE!</v>
      </c>
      <c r="DG45" s="179" t="e">
        <f t="shared" ca="1" si="196"/>
        <v>#VALUE!</v>
      </c>
      <c r="DH45" s="179" t="e">
        <f t="shared" ca="1" si="196"/>
        <v>#VALUE!</v>
      </c>
      <c r="DI45" s="179" t="e">
        <f t="shared" ca="1" si="196"/>
        <v>#VALUE!</v>
      </c>
      <c r="DJ45" s="179" t="e">
        <f t="shared" ref="DJ45:DQ45" ca="1" si="197">(($AW50/(1+DJ$18)^(($AZ50-$AZ$23)/30)))+($AS50/(1+DJ$18)^(($AZ50-$AZ$23)/30))</f>
        <v>#VALUE!</v>
      </c>
      <c r="DK45" s="179" t="e">
        <f t="shared" ca="1" si="197"/>
        <v>#VALUE!</v>
      </c>
      <c r="DL45" s="179" t="e">
        <f t="shared" ca="1" si="197"/>
        <v>#VALUE!</v>
      </c>
      <c r="DM45" s="179" t="e">
        <f t="shared" ca="1" si="197"/>
        <v>#VALUE!</v>
      </c>
      <c r="DN45" s="179" t="e">
        <f t="shared" ca="1" si="197"/>
        <v>#VALUE!</v>
      </c>
      <c r="DO45" s="179" t="e">
        <f t="shared" ca="1" si="197"/>
        <v>#VALUE!</v>
      </c>
      <c r="DP45" s="179" t="e">
        <f t="shared" ca="1" si="197"/>
        <v>#VALUE!</v>
      </c>
      <c r="DQ45" s="179" t="e">
        <f t="shared" ca="1" si="197"/>
        <v>#VALUE!</v>
      </c>
      <c r="DR45" s="180">
        <f t="shared" ca="1" si="40"/>
        <v>5.7870356057992893</v>
      </c>
      <c r="DS45" s="180">
        <f t="shared" ca="1" si="150"/>
        <v>5.7870356057992893</v>
      </c>
      <c r="DT45" s="180">
        <f t="shared" ca="1" si="150"/>
        <v>5.7870356057992893</v>
      </c>
      <c r="DU45" s="180">
        <f t="shared" ca="1" si="150"/>
        <v>5.7870356057992893</v>
      </c>
      <c r="DV45" s="180">
        <f t="shared" ca="1" si="150"/>
        <v>5.7870356057992893</v>
      </c>
      <c r="DW45" s="180">
        <f t="shared" ca="1" si="150"/>
        <v>5.7870356057992893</v>
      </c>
      <c r="DX45" s="180">
        <f t="shared" ca="1" si="150"/>
        <v>5.7870356057992893</v>
      </c>
      <c r="DY45" s="180">
        <f t="shared" ca="1" si="150"/>
        <v>5.7870356057992893</v>
      </c>
      <c r="DZ45" s="180">
        <f t="shared" ca="1" si="150"/>
        <v>5.7870356057992893</v>
      </c>
      <c r="EA45" s="180">
        <f t="shared" ca="1" si="150"/>
        <v>5.7870356057992893</v>
      </c>
      <c r="EB45" s="180">
        <f t="shared" ca="1" si="150"/>
        <v>5.7870356057992893</v>
      </c>
      <c r="EC45" s="180">
        <f t="shared" ca="1" si="150"/>
        <v>5.7870356057992893</v>
      </c>
      <c r="ED45" s="180">
        <f t="shared" ca="1" si="150"/>
        <v>5.7870356057992893</v>
      </c>
      <c r="EE45" s="180">
        <f t="shared" ca="1" si="150"/>
        <v>5.7870356057992893</v>
      </c>
      <c r="EF45" s="180">
        <f t="shared" ca="1" si="150"/>
        <v>5.7870356057992893</v>
      </c>
      <c r="EG45" s="180">
        <f t="shared" ref="EG45:EO45" ca="1" si="198">IF($AU50&gt;$BA$19,0,$BA50-$AS50)</f>
        <v>5.7870356057992893</v>
      </c>
      <c r="EH45" s="180">
        <f t="shared" ca="1" si="198"/>
        <v>5.7870356057992893</v>
      </c>
      <c r="EI45" s="180">
        <f t="shared" ca="1" si="198"/>
        <v>5.7870356057992893</v>
      </c>
      <c r="EJ45" s="180">
        <f t="shared" ca="1" si="198"/>
        <v>5.7870356057992893</v>
      </c>
      <c r="EK45" s="180">
        <f t="shared" ca="1" si="198"/>
        <v>5.7870356057992893</v>
      </c>
      <c r="EL45" s="180">
        <f t="shared" ca="1" si="198"/>
        <v>5.7870356057992893</v>
      </c>
      <c r="EM45" s="180">
        <f t="shared" ca="1" si="198"/>
        <v>5.7870356057992893</v>
      </c>
      <c r="EN45" s="180">
        <f t="shared" ca="1" si="198"/>
        <v>5.7870356057992893</v>
      </c>
      <c r="EO45" s="180">
        <f t="shared" ca="1" si="198"/>
        <v>5.7870356057992893</v>
      </c>
      <c r="EQ45" s="259">
        <f t="shared" ca="1" si="42"/>
        <v>46975</v>
      </c>
      <c r="ER45" s="87">
        <f t="shared" ca="1" si="171"/>
        <v>5.7870356057992893</v>
      </c>
      <c r="ES45" s="87">
        <f t="shared" ca="1" si="171"/>
        <v>5.7870356057992893</v>
      </c>
      <c r="ET45" s="87">
        <f t="shared" ca="1" si="171"/>
        <v>5.7870356057992893</v>
      </c>
      <c r="EU45" s="87">
        <f t="shared" ca="1" si="171"/>
        <v>5.7870356057992893</v>
      </c>
      <c r="EV45" s="87">
        <f t="shared" ca="1" si="171"/>
        <v>5.7870356057992893</v>
      </c>
      <c r="EW45" s="87">
        <f t="shared" ca="1" si="171"/>
        <v>5.7870356057992893</v>
      </c>
      <c r="EX45" s="87">
        <f t="shared" ca="1" si="171"/>
        <v>5.7870356057992893</v>
      </c>
      <c r="EY45" s="87">
        <f t="shared" ca="1" si="171"/>
        <v>5.7870356057992893</v>
      </c>
      <c r="EZ45" s="87">
        <f t="shared" ca="1" si="171"/>
        <v>5.7870356057992893</v>
      </c>
      <c r="FA45" s="87">
        <f t="shared" ca="1" si="171"/>
        <v>5.7870356057992893</v>
      </c>
      <c r="FB45" s="87">
        <f t="shared" ca="1" si="171"/>
        <v>5.7870356057992893</v>
      </c>
      <c r="FC45" s="87">
        <f t="shared" ca="1" si="171"/>
        <v>5.7870356057992893</v>
      </c>
      <c r="FD45" s="87">
        <f t="shared" ca="1" si="171"/>
        <v>5.7870356057992893</v>
      </c>
      <c r="FE45" s="87">
        <f t="shared" ca="1" si="171"/>
        <v>5.7870356057992893</v>
      </c>
      <c r="FF45" s="87">
        <f t="shared" ca="1" si="171"/>
        <v>5.7870356057992893</v>
      </c>
      <c r="FG45" s="87">
        <f t="shared" ca="1" si="152"/>
        <v>5.7870356057992893</v>
      </c>
      <c r="FH45" s="87">
        <f t="shared" ca="1" si="152"/>
        <v>5.7870356057992893</v>
      </c>
      <c r="FI45" s="87">
        <f t="shared" ca="1" si="152"/>
        <v>5.7870356057992893</v>
      </c>
      <c r="FJ45" s="87">
        <f t="shared" ca="1" si="152"/>
        <v>5.7870356057992893</v>
      </c>
      <c r="FK45" s="87">
        <f t="shared" ca="1" si="152"/>
        <v>5.7870356057992893</v>
      </c>
      <c r="FL45" s="87">
        <f t="shared" ca="1" si="152"/>
        <v>5.7870356057992893</v>
      </c>
      <c r="FM45" s="87">
        <f t="shared" ca="1" si="152"/>
        <v>5.7870356057992893</v>
      </c>
      <c r="FN45" s="87">
        <f t="shared" ca="1" si="152"/>
        <v>5.7870356057992893</v>
      </c>
      <c r="FO45" s="87">
        <f t="shared" ca="1" si="152"/>
        <v>5.7870356057992893</v>
      </c>
      <c r="FP45" s="87">
        <f t="shared" ca="1" si="152"/>
        <v>5.7870356057992893</v>
      </c>
    </row>
    <row r="46" spans="1:173" ht="12.75" customHeight="1" thickBot="1" x14ac:dyDescent="0.3">
      <c r="C46" s="64">
        <v>19</v>
      </c>
      <c r="D46" s="32" t="str">
        <f t="shared" si="107"/>
        <v>INSS</v>
      </c>
      <c r="E46" s="627" t="str">
        <f>IFERROR(VLOOKUP(CONCATENATE(C46,D46),'Base tabelas'!$B:$K,10,FALSE),"")</f>
        <v/>
      </c>
      <c r="F46" s="628"/>
      <c r="G46" s="629"/>
      <c r="H46" s="33" t="str">
        <f>IFERROR(VLOOKUP(CONCATENATE(C46,D46),'Base tabelas'!$B:$E,4,FALSE),"")</f>
        <v/>
      </c>
      <c r="I46" s="34" t="str">
        <f t="shared" ca="1" si="184"/>
        <v/>
      </c>
      <c r="J46" s="35" t="str">
        <f ca="1">IFERROR(DM163,"")</f>
        <v/>
      </c>
      <c r="K46" s="36" t="str">
        <f t="shared" ca="1" si="185"/>
        <v/>
      </c>
      <c r="L46" s="574" t="str">
        <f ca="1">IFERROR(EJ17*-1,"")</f>
        <v/>
      </c>
      <c r="M46" s="575" t="str">
        <f t="shared" ca="1" si="186"/>
        <v/>
      </c>
      <c r="N46" s="304" t="str">
        <f>IFERROR(VLOOKUP(CONCATENATE(C46,D46),'Base tabelas'!$B:$O,14,FALSE),"")</f>
        <v/>
      </c>
      <c r="O46" s="382" t="str">
        <f ca="1">FJ168</f>
        <v/>
      </c>
      <c r="P46" s="375" t="str">
        <f t="shared" ca="1" si="110"/>
        <v/>
      </c>
      <c r="Q46" s="303" t="e">
        <f t="shared" ca="1" si="111"/>
        <v>#VALUE!</v>
      </c>
      <c r="U46" s="175"/>
      <c r="V46" s="176"/>
      <c r="W46" s="176"/>
      <c r="X46" s="87">
        <v>31</v>
      </c>
      <c r="Y46" s="377">
        <f t="shared" ca="1" si="4"/>
        <v>85.212964394200711</v>
      </c>
      <c r="Z46" s="377">
        <f t="shared" si="5"/>
        <v>0</v>
      </c>
      <c r="AA46" s="377">
        <f t="shared" si="6"/>
        <v>0</v>
      </c>
      <c r="AB46" s="377">
        <f t="shared" si="7"/>
        <v>0</v>
      </c>
      <c r="AC46" s="377">
        <f t="shared" si="8"/>
        <v>0</v>
      </c>
      <c r="AD46" s="377">
        <f t="shared" si="9"/>
        <v>0</v>
      </c>
      <c r="AE46" s="377">
        <f t="shared" si="10"/>
        <v>0</v>
      </c>
      <c r="AF46" s="377">
        <f t="shared" si="11"/>
        <v>0</v>
      </c>
      <c r="AG46" s="377">
        <f t="shared" si="12"/>
        <v>0</v>
      </c>
      <c r="AH46" s="377">
        <f t="shared" si="13"/>
        <v>0</v>
      </c>
      <c r="AI46" s="377">
        <f t="shared" si="14"/>
        <v>0</v>
      </c>
      <c r="AJ46" s="377">
        <f t="shared" si="15"/>
        <v>0</v>
      </c>
      <c r="AK46" s="377">
        <f t="shared" si="16"/>
        <v>0</v>
      </c>
      <c r="AL46" s="377">
        <f t="shared" si="17"/>
        <v>0</v>
      </c>
      <c r="AM46" s="377">
        <f t="shared" si="18"/>
        <v>0</v>
      </c>
      <c r="AN46" s="377">
        <f t="shared" si="19"/>
        <v>0</v>
      </c>
      <c r="AO46" s="377">
        <f t="shared" si="20"/>
        <v>0</v>
      </c>
      <c r="AQ46" s="138">
        <v>23</v>
      </c>
      <c r="AR46" s="258">
        <f t="shared" ca="1" si="69"/>
        <v>46853</v>
      </c>
      <c r="AS46" s="378">
        <f t="shared" ca="1" si="70"/>
        <v>85.212964394200711</v>
      </c>
      <c r="AT46" s="138"/>
      <c r="AU46" s="138">
        <v>23</v>
      </c>
      <c r="AV46" s="258">
        <f t="shared" ca="1" si="71"/>
        <v>46883</v>
      </c>
      <c r="AW46" s="378">
        <f t="shared" ca="1" si="72"/>
        <v>5.7870356057992893</v>
      </c>
      <c r="AX46" s="202">
        <f t="shared" ca="1" si="73"/>
        <v>3.72</v>
      </c>
      <c r="AY46" s="138">
        <v>23</v>
      </c>
      <c r="AZ46" s="258">
        <f t="shared" ca="1" si="74"/>
        <v>46883</v>
      </c>
      <c r="BA46" s="378">
        <f t="shared" si="75"/>
        <v>91</v>
      </c>
      <c r="BC46" s="258">
        <f t="shared" ca="1" si="61"/>
        <v>46853</v>
      </c>
      <c r="BD46" s="302">
        <f t="shared" ca="1" si="76"/>
        <v>5.7870356057992893</v>
      </c>
      <c r="BE46" s="133">
        <f t="shared" si="62"/>
        <v>23</v>
      </c>
      <c r="BF46" s="379">
        <f t="shared" ca="1" si="63"/>
        <v>46853</v>
      </c>
      <c r="BG46" s="133">
        <f t="shared" si="77"/>
        <v>91</v>
      </c>
      <c r="BH46" s="133">
        <f t="shared" si="78"/>
        <v>0</v>
      </c>
      <c r="BI46" s="133">
        <f t="shared" si="79"/>
        <v>0</v>
      </c>
      <c r="BJ46" s="133">
        <f t="shared" si="80"/>
        <v>0</v>
      </c>
      <c r="BK46" s="133">
        <f t="shared" si="81"/>
        <v>0</v>
      </c>
      <c r="BL46" s="133">
        <f t="shared" si="82"/>
        <v>0</v>
      </c>
      <c r="BM46" s="133">
        <f t="shared" si="83"/>
        <v>0</v>
      </c>
      <c r="BN46" s="133">
        <f t="shared" si="84"/>
        <v>0</v>
      </c>
      <c r="BO46" s="133">
        <f t="shared" si="85"/>
        <v>0</v>
      </c>
      <c r="BP46" s="133">
        <f t="shared" si="86"/>
        <v>0</v>
      </c>
      <c r="BQ46" s="133">
        <f t="shared" si="87"/>
        <v>0</v>
      </c>
      <c r="BR46" s="133">
        <f t="shared" si="88"/>
        <v>0</v>
      </c>
      <c r="BS46" s="133">
        <f t="shared" si="89"/>
        <v>0</v>
      </c>
      <c r="BT46" s="133">
        <f t="shared" si="90"/>
        <v>0</v>
      </c>
      <c r="BU46" s="133">
        <f t="shared" si="91"/>
        <v>0</v>
      </c>
      <c r="BV46" s="133">
        <f t="shared" si="92"/>
        <v>0</v>
      </c>
      <c r="BW46" s="133">
        <f t="shared" si="93"/>
        <v>0</v>
      </c>
      <c r="BX46" s="267"/>
      <c r="BY46" s="267"/>
      <c r="BZ46" s="267"/>
      <c r="CA46" s="267"/>
      <c r="CB46" s="267"/>
      <c r="CC46" s="267"/>
      <c r="CD46" s="267"/>
      <c r="CE46" s="267"/>
      <c r="CF46" s="267"/>
      <c r="CG46" s="267"/>
      <c r="CS46" s="87">
        <v>28</v>
      </c>
      <c r="CT46" s="259">
        <f t="shared" ca="1" si="29"/>
        <v>47036</v>
      </c>
      <c r="CU46" s="179">
        <f t="shared" ref="CU46:DC46" ca="1" si="199">(($AW51/(1+CU$18)^(($AZ51-$AZ$23)/30)))+($AS51/(1+CU$18)^(($AZ51-$AZ$23)/30))</f>
        <v>53.346994204521678</v>
      </c>
      <c r="CV46" s="179">
        <f t="shared" ca="1" si="199"/>
        <v>54.115639280380861</v>
      </c>
      <c r="CW46" s="179">
        <f t="shared" ca="1" si="199"/>
        <v>54.582316247025737</v>
      </c>
      <c r="CX46" s="179">
        <f t="shared" ca="1" si="199"/>
        <v>55.053157066985236</v>
      </c>
      <c r="CY46" s="179">
        <f t="shared" ca="1" si="199"/>
        <v>55.528200135858533</v>
      </c>
      <c r="CZ46" s="179">
        <f t="shared" ca="1" si="199"/>
        <v>56.00748421477639</v>
      </c>
      <c r="DA46" s="179">
        <f t="shared" ca="1" si="199"/>
        <v>56.32938235902914</v>
      </c>
      <c r="DB46" s="179">
        <f t="shared" ca="1" si="199"/>
        <v>56.97893229650807</v>
      </c>
      <c r="DC46" s="179">
        <f t="shared" ca="1" si="199"/>
        <v>57.306607684619408</v>
      </c>
      <c r="DD46" s="179">
        <f t="shared" ref="DD46:DI46" ca="1" si="200">(($AW51/(1+DD$18)^(($AZ51-$AZ$23)/30)))+($AS51/(1+DD$18)^(($AZ51-$AZ$23)/30))</f>
        <v>57.636232540381151</v>
      </c>
      <c r="DE46" s="179">
        <f t="shared" ca="1" si="200"/>
        <v>57.967818849189712</v>
      </c>
      <c r="DF46" s="179" t="e">
        <f t="shared" ca="1" si="200"/>
        <v>#VALUE!</v>
      </c>
      <c r="DG46" s="179" t="e">
        <f t="shared" ca="1" si="200"/>
        <v>#VALUE!</v>
      </c>
      <c r="DH46" s="179" t="e">
        <f t="shared" ca="1" si="200"/>
        <v>#VALUE!</v>
      </c>
      <c r="DI46" s="179" t="e">
        <f t="shared" ca="1" si="200"/>
        <v>#VALUE!</v>
      </c>
      <c r="DJ46" s="179" t="e">
        <f t="shared" ref="DJ46:DQ46" ca="1" si="201">(($AW51/(1+DJ$18)^(($AZ51-$AZ$23)/30)))+($AS51/(1+DJ$18)^(($AZ51-$AZ$23)/30))</f>
        <v>#VALUE!</v>
      </c>
      <c r="DK46" s="179" t="e">
        <f t="shared" ca="1" si="201"/>
        <v>#VALUE!</v>
      </c>
      <c r="DL46" s="179" t="e">
        <f t="shared" ca="1" si="201"/>
        <v>#VALUE!</v>
      </c>
      <c r="DM46" s="179" t="e">
        <f t="shared" ca="1" si="201"/>
        <v>#VALUE!</v>
      </c>
      <c r="DN46" s="179" t="e">
        <f t="shared" ca="1" si="201"/>
        <v>#VALUE!</v>
      </c>
      <c r="DO46" s="179" t="e">
        <f t="shared" ca="1" si="201"/>
        <v>#VALUE!</v>
      </c>
      <c r="DP46" s="179" t="e">
        <f t="shared" ca="1" si="201"/>
        <v>#VALUE!</v>
      </c>
      <c r="DQ46" s="179" t="e">
        <f t="shared" ca="1" si="201"/>
        <v>#VALUE!</v>
      </c>
      <c r="DR46" s="180">
        <f t="shared" ca="1" si="40"/>
        <v>5.7870356057992893</v>
      </c>
      <c r="DS46" s="180">
        <f t="shared" ca="1" si="150"/>
        <v>5.7870356057992893</v>
      </c>
      <c r="DT46" s="180">
        <f t="shared" ca="1" si="150"/>
        <v>5.7870356057992893</v>
      </c>
      <c r="DU46" s="180">
        <f t="shared" ca="1" si="150"/>
        <v>5.7870356057992893</v>
      </c>
      <c r="DV46" s="180">
        <f t="shared" ca="1" si="150"/>
        <v>5.7870356057992893</v>
      </c>
      <c r="DW46" s="180">
        <f t="shared" ca="1" si="150"/>
        <v>5.7870356057992893</v>
      </c>
      <c r="DX46" s="180">
        <f t="shared" ca="1" si="150"/>
        <v>5.7870356057992893</v>
      </c>
      <c r="DY46" s="180">
        <f t="shared" ca="1" si="150"/>
        <v>5.7870356057992893</v>
      </c>
      <c r="DZ46" s="180">
        <f t="shared" ca="1" si="150"/>
        <v>5.7870356057992893</v>
      </c>
      <c r="EA46" s="180">
        <f t="shared" ca="1" si="150"/>
        <v>5.7870356057992893</v>
      </c>
      <c r="EB46" s="180">
        <f t="shared" ca="1" si="150"/>
        <v>5.7870356057992893</v>
      </c>
      <c r="EC46" s="180">
        <f t="shared" ca="1" si="150"/>
        <v>5.7870356057992893</v>
      </c>
      <c r="ED46" s="180">
        <f t="shared" ca="1" si="150"/>
        <v>5.7870356057992893</v>
      </c>
      <c r="EE46" s="180">
        <f t="shared" ca="1" si="150"/>
        <v>5.7870356057992893</v>
      </c>
      <c r="EF46" s="180">
        <f t="shared" ca="1" si="150"/>
        <v>5.7870356057992893</v>
      </c>
      <c r="EG46" s="180">
        <f t="shared" ref="EG46:EO46" ca="1" si="202">IF($AU51&gt;$BA$19,0,$BA51-$AS51)</f>
        <v>5.7870356057992893</v>
      </c>
      <c r="EH46" s="180">
        <f t="shared" ca="1" si="202"/>
        <v>5.7870356057992893</v>
      </c>
      <c r="EI46" s="180">
        <f t="shared" ca="1" si="202"/>
        <v>5.7870356057992893</v>
      </c>
      <c r="EJ46" s="180">
        <f t="shared" ca="1" si="202"/>
        <v>5.7870356057992893</v>
      </c>
      <c r="EK46" s="180">
        <f t="shared" ca="1" si="202"/>
        <v>5.7870356057992893</v>
      </c>
      <c r="EL46" s="180">
        <f t="shared" ca="1" si="202"/>
        <v>5.7870356057992893</v>
      </c>
      <c r="EM46" s="180">
        <f t="shared" ca="1" si="202"/>
        <v>5.7870356057992893</v>
      </c>
      <c r="EN46" s="180">
        <f t="shared" ca="1" si="202"/>
        <v>5.7870356057992893</v>
      </c>
      <c r="EO46" s="180">
        <f t="shared" ca="1" si="202"/>
        <v>5.7870356057992893</v>
      </c>
      <c r="EQ46" s="259">
        <f t="shared" ca="1" si="42"/>
        <v>47006</v>
      </c>
      <c r="ER46" s="87">
        <f t="shared" ca="1" si="171"/>
        <v>5.7870356057992893</v>
      </c>
      <c r="ES46" s="87">
        <f t="shared" ca="1" si="171"/>
        <v>5.7870356057992893</v>
      </c>
      <c r="ET46" s="87">
        <f t="shared" ca="1" si="171"/>
        <v>5.7870356057992893</v>
      </c>
      <c r="EU46" s="87">
        <f t="shared" ca="1" si="171"/>
        <v>5.7870356057992893</v>
      </c>
      <c r="EV46" s="87">
        <f t="shared" ca="1" si="171"/>
        <v>5.7870356057992893</v>
      </c>
      <c r="EW46" s="87">
        <f t="shared" ca="1" si="171"/>
        <v>5.7870356057992893</v>
      </c>
      <c r="EX46" s="87">
        <f t="shared" ca="1" si="171"/>
        <v>5.7870356057992893</v>
      </c>
      <c r="EY46" s="87">
        <f t="shared" ca="1" si="171"/>
        <v>5.7870356057992893</v>
      </c>
      <c r="EZ46" s="87">
        <f t="shared" ca="1" si="171"/>
        <v>5.7870356057992893</v>
      </c>
      <c r="FA46" s="87">
        <f t="shared" ca="1" si="171"/>
        <v>5.7870356057992893</v>
      </c>
      <c r="FB46" s="87">
        <f t="shared" ca="1" si="171"/>
        <v>5.7870356057992893</v>
      </c>
      <c r="FC46" s="87">
        <f t="shared" ca="1" si="171"/>
        <v>5.7870356057992893</v>
      </c>
      <c r="FD46" s="87">
        <f t="shared" ca="1" si="171"/>
        <v>5.7870356057992893</v>
      </c>
      <c r="FE46" s="87">
        <f t="shared" ca="1" si="171"/>
        <v>5.7870356057992893</v>
      </c>
      <c r="FF46" s="87">
        <f t="shared" ca="1" si="171"/>
        <v>5.7870356057992893</v>
      </c>
      <c r="FG46" s="87">
        <f t="shared" ca="1" si="152"/>
        <v>5.7870356057992893</v>
      </c>
      <c r="FH46" s="87">
        <f t="shared" ca="1" si="152"/>
        <v>5.7870356057992893</v>
      </c>
      <c r="FI46" s="87">
        <f t="shared" ca="1" si="152"/>
        <v>5.7870356057992893</v>
      </c>
      <c r="FJ46" s="87">
        <f t="shared" ca="1" si="152"/>
        <v>5.7870356057992893</v>
      </c>
      <c r="FK46" s="87">
        <f t="shared" ca="1" si="152"/>
        <v>5.7870356057992893</v>
      </c>
      <c r="FL46" s="87">
        <f t="shared" ca="1" si="152"/>
        <v>5.7870356057992893</v>
      </c>
      <c r="FM46" s="87">
        <f t="shared" ca="1" si="152"/>
        <v>5.7870356057992893</v>
      </c>
      <c r="FN46" s="87">
        <f t="shared" ca="1" si="152"/>
        <v>5.7870356057992893</v>
      </c>
      <c r="FO46" s="87">
        <f t="shared" ca="1" si="152"/>
        <v>5.7870356057992893</v>
      </c>
      <c r="FP46" s="87">
        <f t="shared" ca="1" si="152"/>
        <v>5.7870356057992893</v>
      </c>
    </row>
    <row r="47" spans="1:173" ht="12.75" customHeight="1" thickBot="1" x14ac:dyDescent="0.3">
      <c r="C47" s="64">
        <v>20</v>
      </c>
      <c r="D47" s="32" t="str">
        <f t="shared" si="107"/>
        <v>INSS</v>
      </c>
      <c r="E47" s="627" t="str">
        <f>IFERROR(VLOOKUP(CONCATENATE(C47,D47),'Base tabelas'!$B:$K,10,FALSE),"")</f>
        <v/>
      </c>
      <c r="F47" s="628"/>
      <c r="G47" s="629"/>
      <c r="H47" s="33" t="str">
        <f>IFERROR(VLOOKUP(CONCATENATE(C47,D47),'Base tabelas'!$B:$E,4,FALSE),"")</f>
        <v/>
      </c>
      <c r="I47" s="34" t="str">
        <f t="shared" ca="1" si="184"/>
        <v/>
      </c>
      <c r="J47" s="35" t="str">
        <f ca="1">IFERROR(DN163,"")</f>
        <v/>
      </c>
      <c r="K47" s="36" t="str">
        <f t="shared" ca="1" si="185"/>
        <v/>
      </c>
      <c r="L47" s="574" t="str">
        <f ca="1">IFERROR(EK17*-1,"")</f>
        <v/>
      </c>
      <c r="M47" s="575" t="str">
        <f t="shared" ca="1" si="186"/>
        <v/>
      </c>
      <c r="N47" s="304" t="str">
        <f>IFERROR(VLOOKUP(CONCATENATE(C47,D47),'Base tabelas'!$B:$O,14,FALSE),"")</f>
        <v/>
      </c>
      <c r="O47" s="382" t="str">
        <f ca="1">FK168</f>
        <v/>
      </c>
      <c r="P47" s="375" t="str">
        <f t="shared" ca="1" si="110"/>
        <v/>
      </c>
      <c r="Q47" s="303" t="e">
        <f t="shared" ca="1" si="111"/>
        <v>#VALUE!</v>
      </c>
      <c r="U47" s="175"/>
      <c r="V47" s="176"/>
      <c r="W47" s="176"/>
      <c r="X47" s="87">
        <v>32</v>
      </c>
      <c r="Y47" s="377">
        <f t="shared" ca="1" si="4"/>
        <v>85.212964394200711</v>
      </c>
      <c r="Z47" s="377">
        <f t="shared" si="5"/>
        <v>0</v>
      </c>
      <c r="AA47" s="377">
        <f t="shared" si="6"/>
        <v>0</v>
      </c>
      <c r="AB47" s="377">
        <f t="shared" si="7"/>
        <v>0</v>
      </c>
      <c r="AC47" s="377">
        <f t="shared" si="8"/>
        <v>0</v>
      </c>
      <c r="AD47" s="377">
        <f t="shared" si="9"/>
        <v>0</v>
      </c>
      <c r="AE47" s="377">
        <f t="shared" si="10"/>
        <v>0</v>
      </c>
      <c r="AF47" s="377">
        <f t="shared" si="11"/>
        <v>0</v>
      </c>
      <c r="AG47" s="377">
        <f t="shared" si="12"/>
        <v>0</v>
      </c>
      <c r="AH47" s="377">
        <f t="shared" si="13"/>
        <v>0</v>
      </c>
      <c r="AI47" s="377">
        <f t="shared" si="14"/>
        <v>0</v>
      </c>
      <c r="AJ47" s="377">
        <f t="shared" si="15"/>
        <v>0</v>
      </c>
      <c r="AK47" s="377">
        <f t="shared" si="16"/>
        <v>0</v>
      </c>
      <c r="AL47" s="377">
        <f t="shared" si="17"/>
        <v>0</v>
      </c>
      <c r="AM47" s="377">
        <f t="shared" si="18"/>
        <v>0</v>
      </c>
      <c r="AN47" s="377">
        <f t="shared" si="19"/>
        <v>0</v>
      </c>
      <c r="AO47" s="377">
        <f t="shared" si="20"/>
        <v>0</v>
      </c>
      <c r="AQ47" s="138">
        <v>24</v>
      </c>
      <c r="AR47" s="258">
        <f t="shared" ca="1" si="69"/>
        <v>46883</v>
      </c>
      <c r="AS47" s="378">
        <f t="shared" ca="1" si="70"/>
        <v>85.212964394200711</v>
      </c>
      <c r="AT47" s="138"/>
      <c r="AU47" s="138">
        <v>24</v>
      </c>
      <c r="AV47" s="258">
        <f t="shared" ca="1" si="71"/>
        <v>46914</v>
      </c>
      <c r="AW47" s="378">
        <f t="shared" ca="1" si="72"/>
        <v>5.7870356057992893</v>
      </c>
      <c r="AX47" s="202">
        <f t="shared" ca="1" si="73"/>
        <v>3.66</v>
      </c>
      <c r="AY47" s="138">
        <v>24</v>
      </c>
      <c r="AZ47" s="258">
        <f t="shared" ca="1" si="74"/>
        <v>46914</v>
      </c>
      <c r="BA47" s="378">
        <f t="shared" si="75"/>
        <v>91</v>
      </c>
      <c r="BC47" s="258">
        <f t="shared" ca="1" si="61"/>
        <v>46883</v>
      </c>
      <c r="BD47" s="302">
        <f t="shared" ca="1" si="76"/>
        <v>5.7870356057992893</v>
      </c>
      <c r="BE47" s="133">
        <f t="shared" si="62"/>
        <v>24</v>
      </c>
      <c r="BF47" s="379">
        <f t="shared" ca="1" si="63"/>
        <v>46883</v>
      </c>
      <c r="BG47" s="133">
        <f t="shared" si="77"/>
        <v>91</v>
      </c>
      <c r="BH47" s="133">
        <f t="shared" si="78"/>
        <v>0</v>
      </c>
      <c r="BI47" s="133">
        <f t="shared" si="79"/>
        <v>0</v>
      </c>
      <c r="BJ47" s="133">
        <f t="shared" si="80"/>
        <v>0</v>
      </c>
      <c r="BK47" s="133">
        <f t="shared" si="81"/>
        <v>0</v>
      </c>
      <c r="BL47" s="133">
        <f t="shared" si="82"/>
        <v>0</v>
      </c>
      <c r="BM47" s="133">
        <f t="shared" si="83"/>
        <v>0</v>
      </c>
      <c r="BN47" s="133">
        <f t="shared" si="84"/>
        <v>0</v>
      </c>
      <c r="BO47" s="133">
        <f t="shared" si="85"/>
        <v>0</v>
      </c>
      <c r="BP47" s="133">
        <f t="shared" si="86"/>
        <v>0</v>
      </c>
      <c r="BQ47" s="133">
        <f t="shared" si="87"/>
        <v>0</v>
      </c>
      <c r="BR47" s="133">
        <f t="shared" si="88"/>
        <v>0</v>
      </c>
      <c r="BS47" s="133">
        <f t="shared" si="89"/>
        <v>0</v>
      </c>
      <c r="BT47" s="133">
        <f t="shared" si="90"/>
        <v>0</v>
      </c>
      <c r="BU47" s="133">
        <f t="shared" si="91"/>
        <v>0</v>
      </c>
      <c r="BV47" s="133">
        <f t="shared" si="92"/>
        <v>0</v>
      </c>
      <c r="BW47" s="133">
        <f t="shared" si="93"/>
        <v>0</v>
      </c>
      <c r="BX47" s="267"/>
      <c r="BY47" s="267"/>
      <c r="BZ47" s="267"/>
      <c r="CA47" s="267"/>
      <c r="CB47" s="267"/>
      <c r="CC47" s="267"/>
      <c r="CD47" s="267"/>
      <c r="CE47" s="267"/>
      <c r="CF47" s="267"/>
      <c r="CG47" s="267"/>
      <c r="CS47" s="178">
        <v>29</v>
      </c>
      <c r="CT47" s="259">
        <f t="shared" ca="1" si="29"/>
        <v>47067</v>
      </c>
      <c r="CU47" s="179">
        <f t="shared" ref="CU47:DC47" ca="1" si="203">(($AW52/(1+CU$18)^(($AZ52-$AZ$23)/30)))+($AS52/(1+CU$18)^(($AZ52-$AZ$23)/30))</f>
        <v>52.346006329545652</v>
      </c>
      <c r="CV47" s="179">
        <f t="shared" ca="1" si="203"/>
        <v>53.127179005570255</v>
      </c>
      <c r="CW47" s="179">
        <f t="shared" ca="1" si="203"/>
        <v>53.60165441266944</v>
      </c>
      <c r="CX47" s="179">
        <f t="shared" ca="1" si="203"/>
        <v>54.080509094493102</v>
      </c>
      <c r="CY47" s="179">
        <f t="shared" ca="1" si="203"/>
        <v>54.563784779747365</v>
      </c>
      <c r="CZ47" s="179">
        <f t="shared" ca="1" si="203"/>
        <v>55.051523607239403</v>
      </c>
      <c r="DA47" s="179">
        <f t="shared" ca="1" si="203"/>
        <v>55.379183345717493</v>
      </c>
      <c r="DB47" s="179">
        <f t="shared" ca="1" si="203"/>
        <v>56.040561319642073</v>
      </c>
      <c r="DC47" s="179">
        <f t="shared" ca="1" si="203"/>
        <v>56.374305228215889</v>
      </c>
      <c r="DD47" s="179">
        <f t="shared" ref="DD47:DI47" ca="1" si="204">(($AW52/(1+DD$18)^(($AZ52-$AZ$23)/30)))+($AS52/(1+DD$18)^(($AZ52-$AZ$23)/30))</f>
        <v>56.710103006805824</v>
      </c>
      <c r="DE47" s="179">
        <f t="shared" ca="1" si="204"/>
        <v>57.047967703112576</v>
      </c>
      <c r="DF47" s="179" t="e">
        <f t="shared" ca="1" si="204"/>
        <v>#VALUE!</v>
      </c>
      <c r="DG47" s="179" t="e">
        <f t="shared" ca="1" si="204"/>
        <v>#VALUE!</v>
      </c>
      <c r="DH47" s="179" t="e">
        <f t="shared" ca="1" si="204"/>
        <v>#VALUE!</v>
      </c>
      <c r="DI47" s="179" t="e">
        <f t="shared" ca="1" si="204"/>
        <v>#VALUE!</v>
      </c>
      <c r="DJ47" s="179" t="e">
        <f t="shared" ref="DJ47:DQ47" ca="1" si="205">(($AW52/(1+DJ$18)^(($AZ52-$AZ$23)/30)))+($AS52/(1+DJ$18)^(($AZ52-$AZ$23)/30))</f>
        <v>#VALUE!</v>
      </c>
      <c r="DK47" s="179" t="e">
        <f t="shared" ca="1" si="205"/>
        <v>#VALUE!</v>
      </c>
      <c r="DL47" s="179" t="e">
        <f t="shared" ca="1" si="205"/>
        <v>#VALUE!</v>
      </c>
      <c r="DM47" s="179" t="e">
        <f t="shared" ca="1" si="205"/>
        <v>#VALUE!</v>
      </c>
      <c r="DN47" s="179" t="e">
        <f t="shared" ca="1" si="205"/>
        <v>#VALUE!</v>
      </c>
      <c r="DO47" s="179" t="e">
        <f t="shared" ca="1" si="205"/>
        <v>#VALUE!</v>
      </c>
      <c r="DP47" s="179" t="e">
        <f t="shared" ca="1" si="205"/>
        <v>#VALUE!</v>
      </c>
      <c r="DQ47" s="179" t="e">
        <f t="shared" ca="1" si="205"/>
        <v>#VALUE!</v>
      </c>
      <c r="DR47" s="180">
        <f t="shared" ca="1" si="40"/>
        <v>5.7870356057992893</v>
      </c>
      <c r="DS47" s="180">
        <f t="shared" ca="1" si="150"/>
        <v>5.7870356057992893</v>
      </c>
      <c r="DT47" s="180">
        <f t="shared" ca="1" si="150"/>
        <v>5.7870356057992893</v>
      </c>
      <c r="DU47" s="180">
        <f t="shared" ca="1" si="150"/>
        <v>5.7870356057992893</v>
      </c>
      <c r="DV47" s="180">
        <f t="shared" ca="1" si="150"/>
        <v>5.7870356057992893</v>
      </c>
      <c r="DW47" s="180">
        <f t="shared" ca="1" si="150"/>
        <v>5.7870356057992893</v>
      </c>
      <c r="DX47" s="180">
        <f t="shared" ca="1" si="150"/>
        <v>5.7870356057992893</v>
      </c>
      <c r="DY47" s="180">
        <f t="shared" ca="1" si="150"/>
        <v>5.7870356057992893</v>
      </c>
      <c r="DZ47" s="180">
        <f t="shared" ca="1" si="150"/>
        <v>5.7870356057992893</v>
      </c>
      <c r="EA47" s="180">
        <f t="shared" ca="1" si="150"/>
        <v>5.7870356057992893</v>
      </c>
      <c r="EB47" s="180">
        <f t="shared" ca="1" si="150"/>
        <v>5.7870356057992893</v>
      </c>
      <c r="EC47" s="180">
        <f t="shared" ca="1" si="150"/>
        <v>5.7870356057992893</v>
      </c>
      <c r="ED47" s="180">
        <f t="shared" ca="1" si="150"/>
        <v>5.7870356057992893</v>
      </c>
      <c r="EE47" s="180">
        <f t="shared" ca="1" si="150"/>
        <v>5.7870356057992893</v>
      </c>
      <c r="EF47" s="180">
        <f t="shared" ca="1" si="150"/>
        <v>5.7870356057992893</v>
      </c>
      <c r="EG47" s="180">
        <f t="shared" ref="EG47:EO47" ca="1" si="206">IF($AU52&gt;$BA$19,0,$BA52-$AS52)</f>
        <v>5.7870356057992893</v>
      </c>
      <c r="EH47" s="180">
        <f t="shared" ca="1" si="206"/>
        <v>5.7870356057992893</v>
      </c>
      <c r="EI47" s="180">
        <f t="shared" ca="1" si="206"/>
        <v>5.7870356057992893</v>
      </c>
      <c r="EJ47" s="180">
        <f t="shared" ca="1" si="206"/>
        <v>5.7870356057992893</v>
      </c>
      <c r="EK47" s="180">
        <f t="shared" ca="1" si="206"/>
        <v>5.7870356057992893</v>
      </c>
      <c r="EL47" s="180">
        <f t="shared" ca="1" si="206"/>
        <v>5.7870356057992893</v>
      </c>
      <c r="EM47" s="180">
        <f t="shared" ca="1" si="206"/>
        <v>5.7870356057992893</v>
      </c>
      <c r="EN47" s="180">
        <f t="shared" ca="1" si="206"/>
        <v>5.7870356057992893</v>
      </c>
      <c r="EO47" s="180">
        <f t="shared" ca="1" si="206"/>
        <v>5.7870356057992893</v>
      </c>
      <c r="EQ47" s="259">
        <f t="shared" ca="1" si="42"/>
        <v>47036</v>
      </c>
      <c r="ER47" s="87">
        <f t="shared" ca="1" si="171"/>
        <v>5.7870356057992893</v>
      </c>
      <c r="ES47" s="87">
        <f t="shared" ca="1" si="171"/>
        <v>5.7870356057992893</v>
      </c>
      <c r="ET47" s="87">
        <f t="shared" ca="1" si="171"/>
        <v>5.7870356057992893</v>
      </c>
      <c r="EU47" s="87">
        <f t="shared" ca="1" si="171"/>
        <v>5.7870356057992893</v>
      </c>
      <c r="EV47" s="87">
        <f t="shared" ca="1" si="171"/>
        <v>5.7870356057992893</v>
      </c>
      <c r="EW47" s="87">
        <f t="shared" ca="1" si="171"/>
        <v>5.7870356057992893</v>
      </c>
      <c r="EX47" s="87">
        <f t="shared" ca="1" si="171"/>
        <v>5.7870356057992893</v>
      </c>
      <c r="EY47" s="87">
        <f t="shared" ca="1" si="171"/>
        <v>5.7870356057992893</v>
      </c>
      <c r="EZ47" s="87">
        <f t="shared" ca="1" si="171"/>
        <v>5.7870356057992893</v>
      </c>
      <c r="FA47" s="87">
        <f t="shared" ca="1" si="171"/>
        <v>5.7870356057992893</v>
      </c>
      <c r="FB47" s="87">
        <f t="shared" ca="1" si="171"/>
        <v>5.7870356057992893</v>
      </c>
      <c r="FC47" s="87">
        <f t="shared" ca="1" si="171"/>
        <v>5.7870356057992893</v>
      </c>
      <c r="FD47" s="87">
        <f t="shared" ca="1" si="171"/>
        <v>5.7870356057992893</v>
      </c>
      <c r="FE47" s="87">
        <f t="shared" ca="1" si="171"/>
        <v>5.7870356057992893</v>
      </c>
      <c r="FF47" s="87">
        <f t="shared" ca="1" si="171"/>
        <v>5.7870356057992893</v>
      </c>
      <c r="FG47" s="87">
        <f t="shared" ca="1" si="152"/>
        <v>5.7870356057992893</v>
      </c>
      <c r="FH47" s="87">
        <f t="shared" ca="1" si="152"/>
        <v>5.7870356057992893</v>
      </c>
      <c r="FI47" s="87">
        <f t="shared" ca="1" si="152"/>
        <v>5.7870356057992893</v>
      </c>
      <c r="FJ47" s="87">
        <f t="shared" ca="1" si="152"/>
        <v>5.7870356057992893</v>
      </c>
      <c r="FK47" s="87">
        <f t="shared" ca="1" si="152"/>
        <v>5.7870356057992893</v>
      </c>
      <c r="FL47" s="87">
        <f t="shared" ca="1" si="152"/>
        <v>5.7870356057992893</v>
      </c>
      <c r="FM47" s="87">
        <f t="shared" ca="1" si="152"/>
        <v>5.7870356057992893</v>
      </c>
      <c r="FN47" s="87">
        <f t="shared" ca="1" si="152"/>
        <v>5.7870356057992893</v>
      </c>
      <c r="FO47" s="87">
        <f t="shared" ca="1" si="152"/>
        <v>5.7870356057992893</v>
      </c>
      <c r="FP47" s="87">
        <f t="shared" ca="1" si="152"/>
        <v>5.7870356057992893</v>
      </c>
    </row>
    <row r="48" spans="1:173" ht="12.75" customHeight="1" thickBot="1" x14ac:dyDescent="0.3">
      <c r="C48" s="64">
        <v>21</v>
      </c>
      <c r="D48" s="32" t="str">
        <f t="shared" si="107"/>
        <v>INSS</v>
      </c>
      <c r="E48" s="627" t="str">
        <f>IFERROR(VLOOKUP(CONCATENATE(C48,D48),'Base tabelas'!$B:$K,10,FALSE),"")</f>
        <v/>
      </c>
      <c r="F48" s="628"/>
      <c r="G48" s="629"/>
      <c r="H48" s="33" t="str">
        <f>IFERROR(VLOOKUP(CONCATENATE(C48,D48),'Base tabelas'!$B:$E,4,FALSE),"")</f>
        <v/>
      </c>
      <c r="I48" s="34" t="str">
        <f t="shared" ca="1" si="184"/>
        <v/>
      </c>
      <c r="J48" s="35" t="str">
        <f ca="1">IFERROR(DO163,"")</f>
        <v/>
      </c>
      <c r="K48" s="36" t="str">
        <f t="shared" ca="1" si="185"/>
        <v/>
      </c>
      <c r="L48" s="574" t="str">
        <f ca="1">IFERROR(EL17*-1,"")</f>
        <v/>
      </c>
      <c r="M48" s="575" t="str">
        <f t="shared" ca="1" si="186"/>
        <v/>
      </c>
      <c r="N48" s="304" t="str">
        <f>IFERROR(VLOOKUP(CONCATENATE(C48,D48),'Base tabelas'!$B:$O,14,FALSE),"")</f>
        <v/>
      </c>
      <c r="O48" s="382" t="str">
        <f ca="1">FL168</f>
        <v/>
      </c>
      <c r="P48" s="375" t="str">
        <f t="shared" ca="1" si="110"/>
        <v/>
      </c>
      <c r="Q48" s="303" t="e">
        <f t="shared" ca="1" si="111"/>
        <v>#VALUE!</v>
      </c>
      <c r="U48" s="175"/>
      <c r="V48" s="176"/>
      <c r="W48" s="176"/>
      <c r="X48" s="87">
        <v>33</v>
      </c>
      <c r="Y48" s="377">
        <f t="shared" ca="1" si="4"/>
        <v>85.212964394200711</v>
      </c>
      <c r="Z48" s="377">
        <f t="shared" si="5"/>
        <v>0</v>
      </c>
      <c r="AA48" s="377">
        <f t="shared" si="6"/>
        <v>0</v>
      </c>
      <c r="AB48" s="377">
        <f t="shared" si="7"/>
        <v>0</v>
      </c>
      <c r="AC48" s="377">
        <f t="shared" si="8"/>
        <v>0</v>
      </c>
      <c r="AD48" s="377">
        <f t="shared" si="9"/>
        <v>0</v>
      </c>
      <c r="AE48" s="377">
        <f t="shared" si="10"/>
        <v>0</v>
      </c>
      <c r="AF48" s="377">
        <f t="shared" si="11"/>
        <v>0</v>
      </c>
      <c r="AG48" s="377">
        <f t="shared" si="12"/>
        <v>0</v>
      </c>
      <c r="AH48" s="377">
        <f t="shared" si="13"/>
        <v>0</v>
      </c>
      <c r="AI48" s="377">
        <f t="shared" si="14"/>
        <v>0</v>
      </c>
      <c r="AJ48" s="377">
        <f t="shared" si="15"/>
        <v>0</v>
      </c>
      <c r="AK48" s="377">
        <f t="shared" si="16"/>
        <v>0</v>
      </c>
      <c r="AL48" s="377">
        <f t="shared" si="17"/>
        <v>0</v>
      </c>
      <c r="AM48" s="377">
        <f t="shared" si="18"/>
        <v>0</v>
      </c>
      <c r="AN48" s="377">
        <f t="shared" si="19"/>
        <v>0</v>
      </c>
      <c r="AO48" s="377">
        <f t="shared" si="20"/>
        <v>0</v>
      </c>
      <c r="AQ48" s="138">
        <v>25</v>
      </c>
      <c r="AR48" s="258">
        <f t="shared" ca="1" si="69"/>
        <v>46914</v>
      </c>
      <c r="AS48" s="378">
        <f t="shared" ca="1" si="70"/>
        <v>85.212964394200711</v>
      </c>
      <c r="AT48" s="138"/>
      <c r="AU48" s="138">
        <v>25</v>
      </c>
      <c r="AV48" s="258">
        <f t="shared" ca="1" si="71"/>
        <v>46944</v>
      </c>
      <c r="AW48" s="378">
        <f t="shared" ca="1" si="72"/>
        <v>5.7870356057992893</v>
      </c>
      <c r="AX48" s="202">
        <f t="shared" ca="1" si="73"/>
        <v>3.59</v>
      </c>
      <c r="AY48" s="138">
        <v>25</v>
      </c>
      <c r="AZ48" s="258">
        <f t="shared" ca="1" si="74"/>
        <v>46944</v>
      </c>
      <c r="BA48" s="378">
        <f t="shared" si="75"/>
        <v>91</v>
      </c>
      <c r="BC48" s="258">
        <f t="shared" ca="1" si="61"/>
        <v>46914</v>
      </c>
      <c r="BD48" s="302">
        <f t="shared" ca="1" si="76"/>
        <v>5.7870356057992893</v>
      </c>
      <c r="BE48" s="133">
        <f t="shared" si="62"/>
        <v>25</v>
      </c>
      <c r="BF48" s="379">
        <f t="shared" ca="1" si="63"/>
        <v>46914</v>
      </c>
      <c r="BG48" s="133">
        <f t="shared" si="77"/>
        <v>91</v>
      </c>
      <c r="BH48" s="133">
        <f t="shared" si="78"/>
        <v>0</v>
      </c>
      <c r="BI48" s="133">
        <f t="shared" si="79"/>
        <v>0</v>
      </c>
      <c r="BJ48" s="133">
        <f t="shared" si="80"/>
        <v>0</v>
      </c>
      <c r="BK48" s="133">
        <f t="shared" si="81"/>
        <v>0</v>
      </c>
      <c r="BL48" s="133">
        <f t="shared" si="82"/>
        <v>0</v>
      </c>
      <c r="BM48" s="133">
        <f t="shared" si="83"/>
        <v>0</v>
      </c>
      <c r="BN48" s="133">
        <f t="shared" si="84"/>
        <v>0</v>
      </c>
      <c r="BO48" s="133">
        <f t="shared" si="85"/>
        <v>0</v>
      </c>
      <c r="BP48" s="133">
        <f t="shared" si="86"/>
        <v>0</v>
      </c>
      <c r="BQ48" s="133">
        <f t="shared" si="87"/>
        <v>0</v>
      </c>
      <c r="BR48" s="133">
        <f t="shared" si="88"/>
        <v>0</v>
      </c>
      <c r="BS48" s="133">
        <f t="shared" si="89"/>
        <v>0</v>
      </c>
      <c r="BT48" s="133">
        <f t="shared" si="90"/>
        <v>0</v>
      </c>
      <c r="BU48" s="133">
        <f t="shared" si="91"/>
        <v>0</v>
      </c>
      <c r="BV48" s="133">
        <f t="shared" si="92"/>
        <v>0</v>
      </c>
      <c r="BW48" s="133">
        <f t="shared" si="93"/>
        <v>0</v>
      </c>
      <c r="BX48" s="267"/>
      <c r="BY48" s="267"/>
      <c r="BZ48" s="267"/>
      <c r="CA48" s="267"/>
      <c r="CB48" s="267"/>
      <c r="CC48" s="267"/>
      <c r="CD48" s="267"/>
      <c r="CE48" s="267"/>
      <c r="CF48" s="267"/>
      <c r="CG48" s="267"/>
      <c r="CS48" s="138">
        <v>30</v>
      </c>
      <c r="CT48" s="259">
        <f t="shared" ca="1" si="29"/>
        <v>47097</v>
      </c>
      <c r="CU48" s="179">
        <f t="shared" ref="CU48:DC48" ca="1" si="207">(($AW53/(1+CU$18)^(($AZ53-$AZ$23)/30)))+($AS53/(1+CU$18)^(($AZ53-$AZ$23)/30))</f>
        <v>51.395195218012425</v>
      </c>
      <c r="CV48" s="179">
        <f t="shared" ca="1" si="207"/>
        <v>52.18779863022619</v>
      </c>
      <c r="CW48" s="179">
        <f t="shared" ca="1" si="207"/>
        <v>52.669405927748294</v>
      </c>
      <c r="CX48" s="179">
        <f t="shared" ca="1" si="207"/>
        <v>53.15560162619726</v>
      </c>
      <c r="CY48" s="179">
        <f t="shared" ca="1" si="207"/>
        <v>53.646430812847669</v>
      </c>
      <c r="CZ48" s="179">
        <f t="shared" ca="1" si="207"/>
        <v>54.141939031510042</v>
      </c>
      <c r="DA48" s="179">
        <f t="shared" ca="1" si="207"/>
        <v>54.474900005624143</v>
      </c>
      <c r="DB48" s="179">
        <f t="shared" ca="1" si="207"/>
        <v>55.147177051409237</v>
      </c>
      <c r="DC48" s="179">
        <f t="shared" ca="1" si="207"/>
        <v>55.486520893913273</v>
      </c>
      <c r="DD48" s="179">
        <f t="shared" ref="DD48:DI48" ca="1" si="208">(($AW53/(1+DD$18)^(($AZ53-$AZ$23)/30)))+($AS53/(1+DD$18)^(($AZ53-$AZ$23)/30))</f>
        <v>55.828020286282559</v>
      </c>
      <c r="DE48" s="179">
        <f t="shared" ca="1" si="208"/>
        <v>56.171689349264057</v>
      </c>
      <c r="DF48" s="179" t="e">
        <f t="shared" ca="1" si="208"/>
        <v>#VALUE!</v>
      </c>
      <c r="DG48" s="179" t="e">
        <f t="shared" ca="1" si="208"/>
        <v>#VALUE!</v>
      </c>
      <c r="DH48" s="179" t="e">
        <f t="shared" ca="1" si="208"/>
        <v>#VALUE!</v>
      </c>
      <c r="DI48" s="179" t="e">
        <f t="shared" ca="1" si="208"/>
        <v>#VALUE!</v>
      </c>
      <c r="DJ48" s="179" t="e">
        <f t="shared" ref="DJ48:DQ48" ca="1" si="209">(($AW53/(1+DJ$18)^(($AZ53-$AZ$23)/30)))+($AS53/(1+DJ$18)^(($AZ53-$AZ$23)/30))</f>
        <v>#VALUE!</v>
      </c>
      <c r="DK48" s="179" t="e">
        <f t="shared" ca="1" si="209"/>
        <v>#VALUE!</v>
      </c>
      <c r="DL48" s="179" t="e">
        <f t="shared" ca="1" si="209"/>
        <v>#VALUE!</v>
      </c>
      <c r="DM48" s="179" t="e">
        <f t="shared" ca="1" si="209"/>
        <v>#VALUE!</v>
      </c>
      <c r="DN48" s="179" t="e">
        <f t="shared" ca="1" si="209"/>
        <v>#VALUE!</v>
      </c>
      <c r="DO48" s="179" t="e">
        <f t="shared" ca="1" si="209"/>
        <v>#VALUE!</v>
      </c>
      <c r="DP48" s="179" t="e">
        <f t="shared" ca="1" si="209"/>
        <v>#VALUE!</v>
      </c>
      <c r="DQ48" s="179" t="e">
        <f t="shared" ca="1" si="209"/>
        <v>#VALUE!</v>
      </c>
      <c r="DR48" s="180">
        <f t="shared" ca="1" si="40"/>
        <v>5.7870356057992893</v>
      </c>
      <c r="DS48" s="180">
        <f t="shared" ca="1" si="150"/>
        <v>5.7870356057992893</v>
      </c>
      <c r="DT48" s="180">
        <f t="shared" ca="1" si="150"/>
        <v>5.7870356057992893</v>
      </c>
      <c r="DU48" s="180">
        <f t="shared" ca="1" si="150"/>
        <v>5.7870356057992893</v>
      </c>
      <c r="DV48" s="180">
        <f t="shared" ca="1" si="150"/>
        <v>5.7870356057992893</v>
      </c>
      <c r="DW48" s="180">
        <f t="shared" ca="1" si="150"/>
        <v>5.7870356057992893</v>
      </c>
      <c r="DX48" s="180">
        <f t="shared" ca="1" si="150"/>
        <v>5.7870356057992893</v>
      </c>
      <c r="DY48" s="180">
        <f t="shared" ca="1" si="150"/>
        <v>5.7870356057992893</v>
      </c>
      <c r="DZ48" s="180">
        <f t="shared" ca="1" si="150"/>
        <v>5.7870356057992893</v>
      </c>
      <c r="EA48" s="180">
        <f t="shared" ca="1" si="150"/>
        <v>5.7870356057992893</v>
      </c>
      <c r="EB48" s="180">
        <f t="shared" ca="1" si="150"/>
        <v>5.7870356057992893</v>
      </c>
      <c r="EC48" s="180">
        <f t="shared" ca="1" si="150"/>
        <v>5.7870356057992893</v>
      </c>
      <c r="ED48" s="180">
        <f t="shared" ca="1" si="150"/>
        <v>5.7870356057992893</v>
      </c>
      <c r="EE48" s="180">
        <f t="shared" ca="1" si="150"/>
        <v>5.7870356057992893</v>
      </c>
      <c r="EF48" s="180">
        <f t="shared" ca="1" si="150"/>
        <v>5.7870356057992893</v>
      </c>
      <c r="EG48" s="180">
        <f t="shared" ref="EG48:EO48" ca="1" si="210">IF($AU53&gt;$BA$19,0,$BA53-$AS53)</f>
        <v>5.7870356057992893</v>
      </c>
      <c r="EH48" s="180">
        <f t="shared" ca="1" si="210"/>
        <v>5.7870356057992893</v>
      </c>
      <c r="EI48" s="180">
        <f t="shared" ca="1" si="210"/>
        <v>5.7870356057992893</v>
      </c>
      <c r="EJ48" s="180">
        <f t="shared" ca="1" si="210"/>
        <v>5.7870356057992893</v>
      </c>
      <c r="EK48" s="180">
        <f t="shared" ca="1" si="210"/>
        <v>5.7870356057992893</v>
      </c>
      <c r="EL48" s="180">
        <f t="shared" ca="1" si="210"/>
        <v>5.7870356057992893</v>
      </c>
      <c r="EM48" s="180">
        <f t="shared" ca="1" si="210"/>
        <v>5.7870356057992893</v>
      </c>
      <c r="EN48" s="180">
        <f t="shared" ca="1" si="210"/>
        <v>5.7870356057992893</v>
      </c>
      <c r="EO48" s="180">
        <f t="shared" ca="1" si="210"/>
        <v>5.7870356057992893</v>
      </c>
      <c r="EQ48" s="259">
        <f t="shared" ca="1" si="42"/>
        <v>47067</v>
      </c>
      <c r="ER48" s="87">
        <f t="shared" ca="1" si="171"/>
        <v>5.7870356057992893</v>
      </c>
      <c r="ES48" s="87">
        <f t="shared" ca="1" si="171"/>
        <v>5.7870356057992893</v>
      </c>
      <c r="ET48" s="87">
        <f t="shared" ca="1" si="171"/>
        <v>5.7870356057992893</v>
      </c>
      <c r="EU48" s="87">
        <f t="shared" ca="1" si="171"/>
        <v>5.7870356057992893</v>
      </c>
      <c r="EV48" s="87">
        <f t="shared" ca="1" si="171"/>
        <v>5.7870356057992893</v>
      </c>
      <c r="EW48" s="87">
        <f t="shared" ca="1" si="171"/>
        <v>5.7870356057992893</v>
      </c>
      <c r="EX48" s="87">
        <f t="shared" ca="1" si="171"/>
        <v>5.7870356057992893</v>
      </c>
      <c r="EY48" s="87">
        <f t="shared" ca="1" si="171"/>
        <v>5.7870356057992893</v>
      </c>
      <c r="EZ48" s="87">
        <f t="shared" ca="1" si="171"/>
        <v>5.7870356057992893</v>
      </c>
      <c r="FA48" s="87">
        <f t="shared" ca="1" si="171"/>
        <v>5.7870356057992893</v>
      </c>
      <c r="FB48" s="87">
        <f t="shared" ca="1" si="171"/>
        <v>5.7870356057992893</v>
      </c>
      <c r="FC48" s="87">
        <f t="shared" ca="1" si="171"/>
        <v>5.7870356057992893</v>
      </c>
      <c r="FD48" s="87">
        <f t="shared" ca="1" si="171"/>
        <v>5.7870356057992893</v>
      </c>
      <c r="FE48" s="87">
        <f t="shared" ca="1" si="171"/>
        <v>5.7870356057992893</v>
      </c>
      <c r="FF48" s="87">
        <f t="shared" ca="1" si="171"/>
        <v>5.7870356057992893</v>
      </c>
      <c r="FG48" s="87">
        <f t="shared" ca="1" si="152"/>
        <v>5.7870356057992893</v>
      </c>
      <c r="FH48" s="87">
        <f t="shared" ca="1" si="152"/>
        <v>5.7870356057992893</v>
      </c>
      <c r="FI48" s="87">
        <f t="shared" ca="1" si="152"/>
        <v>5.7870356057992893</v>
      </c>
      <c r="FJ48" s="87">
        <f t="shared" ca="1" si="152"/>
        <v>5.7870356057992893</v>
      </c>
      <c r="FK48" s="87">
        <f t="shared" ca="1" si="152"/>
        <v>5.7870356057992893</v>
      </c>
      <c r="FL48" s="87">
        <f t="shared" ca="1" si="152"/>
        <v>5.7870356057992893</v>
      </c>
      <c r="FM48" s="87">
        <f t="shared" ca="1" si="152"/>
        <v>5.7870356057992893</v>
      </c>
      <c r="FN48" s="87">
        <f t="shared" ca="1" si="152"/>
        <v>5.7870356057992893</v>
      </c>
      <c r="FO48" s="87">
        <f t="shared" ca="1" si="152"/>
        <v>5.7870356057992893</v>
      </c>
      <c r="FP48" s="87">
        <f t="shared" ca="1" si="152"/>
        <v>5.7870356057992893</v>
      </c>
    </row>
    <row r="49" spans="2:172" ht="12.75" customHeight="1" thickBot="1" x14ac:dyDescent="0.3">
      <c r="C49" s="64">
        <v>22</v>
      </c>
      <c r="D49" s="32" t="str">
        <f t="shared" si="107"/>
        <v>INSS</v>
      </c>
      <c r="E49" s="627" t="str">
        <f>IFERROR(VLOOKUP(CONCATENATE(C49,D49),'Base tabelas'!$B:$K,10,FALSE),"")</f>
        <v/>
      </c>
      <c r="F49" s="628"/>
      <c r="G49" s="629"/>
      <c r="H49" s="33" t="str">
        <f>IFERROR(VLOOKUP(CONCATENATE(C49,D49),'Base tabelas'!$B:$E,4,FALSE),"")</f>
        <v/>
      </c>
      <c r="I49" s="34" t="str">
        <f t="shared" ca="1" si="184"/>
        <v/>
      </c>
      <c r="J49" s="35" t="str">
        <f ca="1">IFERROR(DP163,"")</f>
        <v/>
      </c>
      <c r="K49" s="36" t="str">
        <f t="shared" ca="1" si="185"/>
        <v/>
      </c>
      <c r="L49" s="574" t="str">
        <f ca="1">IFERROR(EM17*-1,"")</f>
        <v/>
      </c>
      <c r="M49" s="575" t="str">
        <f t="shared" ca="1" si="186"/>
        <v/>
      </c>
      <c r="N49" s="304" t="str">
        <f>IFERROR(VLOOKUP(CONCATENATE(C49,D49),'Base tabelas'!$B:$O,14,FALSE),"")</f>
        <v/>
      </c>
      <c r="O49" s="382" t="str">
        <f ca="1">FM168</f>
        <v/>
      </c>
      <c r="P49" s="375" t="str">
        <f t="shared" ca="1" si="110"/>
        <v/>
      </c>
      <c r="Q49" s="303" t="e">
        <f t="shared" ca="1" si="111"/>
        <v>#VALUE!</v>
      </c>
      <c r="U49" s="175"/>
      <c r="V49" s="176"/>
      <c r="W49" s="176"/>
      <c r="X49" s="87">
        <v>34</v>
      </c>
      <c r="Y49" s="377">
        <f t="shared" ca="1" si="4"/>
        <v>85.212964394200711</v>
      </c>
      <c r="Z49" s="377">
        <f t="shared" si="5"/>
        <v>0</v>
      </c>
      <c r="AA49" s="377">
        <f t="shared" si="6"/>
        <v>0</v>
      </c>
      <c r="AB49" s="377">
        <f t="shared" si="7"/>
        <v>0</v>
      </c>
      <c r="AC49" s="377">
        <f t="shared" si="8"/>
        <v>0</v>
      </c>
      <c r="AD49" s="377">
        <f t="shared" si="9"/>
        <v>0</v>
      </c>
      <c r="AE49" s="377">
        <f t="shared" si="10"/>
        <v>0</v>
      </c>
      <c r="AF49" s="377">
        <f t="shared" si="11"/>
        <v>0</v>
      </c>
      <c r="AG49" s="377">
        <f t="shared" si="12"/>
        <v>0</v>
      </c>
      <c r="AH49" s="377">
        <f t="shared" si="13"/>
        <v>0</v>
      </c>
      <c r="AI49" s="377">
        <f t="shared" si="14"/>
        <v>0</v>
      </c>
      <c r="AJ49" s="377">
        <f t="shared" si="15"/>
        <v>0</v>
      </c>
      <c r="AK49" s="377">
        <f t="shared" si="16"/>
        <v>0</v>
      </c>
      <c r="AL49" s="377">
        <f t="shared" si="17"/>
        <v>0</v>
      </c>
      <c r="AM49" s="377">
        <f t="shared" si="18"/>
        <v>0</v>
      </c>
      <c r="AN49" s="377">
        <f t="shared" si="19"/>
        <v>0</v>
      </c>
      <c r="AO49" s="377">
        <f t="shared" si="20"/>
        <v>0</v>
      </c>
      <c r="AQ49" s="138">
        <v>26</v>
      </c>
      <c r="AR49" s="258">
        <f t="shared" ca="1" si="69"/>
        <v>46944</v>
      </c>
      <c r="AS49" s="378">
        <f t="shared" ca="1" si="70"/>
        <v>85.212964394200711</v>
      </c>
      <c r="AT49" s="138"/>
      <c r="AU49" s="138">
        <v>26</v>
      </c>
      <c r="AV49" s="258">
        <f t="shared" ca="1" si="71"/>
        <v>46975</v>
      </c>
      <c r="AW49" s="378">
        <f t="shared" ca="1" si="72"/>
        <v>5.7870356057992893</v>
      </c>
      <c r="AX49" s="202">
        <f t="shared" ca="1" si="73"/>
        <v>3.52</v>
      </c>
      <c r="AY49" s="138">
        <v>26</v>
      </c>
      <c r="AZ49" s="258">
        <f t="shared" ca="1" si="74"/>
        <v>46975</v>
      </c>
      <c r="BA49" s="378">
        <f t="shared" si="75"/>
        <v>91</v>
      </c>
      <c r="BC49" s="258">
        <f t="shared" ca="1" si="61"/>
        <v>46944</v>
      </c>
      <c r="BD49" s="302">
        <f t="shared" ca="1" si="76"/>
        <v>5.7870356057992893</v>
      </c>
      <c r="BE49" s="133">
        <f t="shared" si="62"/>
        <v>26</v>
      </c>
      <c r="BF49" s="379">
        <f t="shared" ca="1" si="63"/>
        <v>46944</v>
      </c>
      <c r="BG49" s="133">
        <f t="shared" si="77"/>
        <v>91</v>
      </c>
      <c r="BH49" s="133">
        <f t="shared" si="78"/>
        <v>0</v>
      </c>
      <c r="BI49" s="133">
        <f t="shared" si="79"/>
        <v>0</v>
      </c>
      <c r="BJ49" s="133">
        <f t="shared" si="80"/>
        <v>0</v>
      </c>
      <c r="BK49" s="133">
        <f t="shared" si="81"/>
        <v>0</v>
      </c>
      <c r="BL49" s="133">
        <f t="shared" si="82"/>
        <v>0</v>
      </c>
      <c r="BM49" s="133">
        <f t="shared" si="83"/>
        <v>0</v>
      </c>
      <c r="BN49" s="133">
        <f t="shared" si="84"/>
        <v>0</v>
      </c>
      <c r="BO49" s="133">
        <f t="shared" si="85"/>
        <v>0</v>
      </c>
      <c r="BP49" s="133">
        <f t="shared" si="86"/>
        <v>0</v>
      </c>
      <c r="BQ49" s="133">
        <f t="shared" si="87"/>
        <v>0</v>
      </c>
      <c r="BR49" s="133">
        <f t="shared" si="88"/>
        <v>0</v>
      </c>
      <c r="BS49" s="133">
        <f t="shared" si="89"/>
        <v>0</v>
      </c>
      <c r="BT49" s="133">
        <f t="shared" si="90"/>
        <v>0</v>
      </c>
      <c r="BU49" s="133">
        <f t="shared" si="91"/>
        <v>0</v>
      </c>
      <c r="BV49" s="133">
        <f t="shared" si="92"/>
        <v>0</v>
      </c>
      <c r="BW49" s="133">
        <f t="shared" si="93"/>
        <v>0</v>
      </c>
      <c r="BX49" s="267"/>
      <c r="BY49" s="267"/>
      <c r="BZ49" s="267"/>
      <c r="CA49" s="267"/>
      <c r="CB49" s="267"/>
      <c r="CC49" s="267"/>
      <c r="CD49" s="267"/>
      <c r="CE49" s="267"/>
      <c r="CF49" s="267"/>
      <c r="CG49" s="267"/>
      <c r="CS49" s="87">
        <v>31</v>
      </c>
      <c r="CT49" s="259">
        <f t="shared" ca="1" si="29"/>
        <v>47128</v>
      </c>
      <c r="CU49" s="179">
        <f t="shared" ref="CU49:DC49" ca="1" si="211">(($AW54/(1+CU$18)^(($AZ54-$AZ$23)/30)))+($AS54/(1+CU$18)^(($AZ54-$AZ$23)/30))</f>
        <v>50.430830345869424</v>
      </c>
      <c r="CV49" s="179">
        <f t="shared" ca="1" si="211"/>
        <v>51.234551723014746</v>
      </c>
      <c r="CW49" s="179">
        <f t="shared" ca="1" si="211"/>
        <v>51.723112699776749</v>
      </c>
      <c r="CX49" s="179">
        <f t="shared" ca="1" si="211"/>
        <v>52.21647858761451</v>
      </c>
      <c r="CY49" s="179">
        <f t="shared" ca="1" si="211"/>
        <v>52.714698079752019</v>
      </c>
      <c r="CZ49" s="179">
        <f t="shared" ca="1" si="211"/>
        <v>53.217820377450991</v>
      </c>
      <c r="DA49" s="179">
        <f t="shared" ca="1" si="211"/>
        <v>53.555983552649806</v>
      </c>
      <c r="DB49" s="179">
        <f t="shared" ca="1" si="211"/>
        <v>54.238972767554934</v>
      </c>
      <c r="DC49" s="179">
        <f t="shared" ca="1" si="211"/>
        <v>54.583828834188296</v>
      </c>
      <c r="DD49" s="179">
        <f t="shared" ref="DD49:DI49" ca="1" si="212">(($AW54/(1+DD$18)^(($AZ54-$AZ$23)/30)))+($AS54/(1+DD$18)^(($AZ54-$AZ$23)/30))</f>
        <v>54.930946065618613</v>
      </c>
      <c r="DE49" s="179">
        <f t="shared" ca="1" si="212"/>
        <v>55.280339737517679</v>
      </c>
      <c r="DF49" s="179" t="e">
        <f t="shared" ca="1" si="212"/>
        <v>#VALUE!</v>
      </c>
      <c r="DG49" s="179" t="e">
        <f t="shared" ca="1" si="212"/>
        <v>#VALUE!</v>
      </c>
      <c r="DH49" s="179" t="e">
        <f t="shared" ca="1" si="212"/>
        <v>#VALUE!</v>
      </c>
      <c r="DI49" s="179" t="e">
        <f t="shared" ca="1" si="212"/>
        <v>#VALUE!</v>
      </c>
      <c r="DJ49" s="179" t="e">
        <f t="shared" ref="DJ49:DQ49" ca="1" si="213">(($AW54/(1+DJ$18)^(($AZ54-$AZ$23)/30)))+($AS54/(1+DJ$18)^(($AZ54-$AZ$23)/30))</f>
        <v>#VALUE!</v>
      </c>
      <c r="DK49" s="179" t="e">
        <f t="shared" ca="1" si="213"/>
        <v>#VALUE!</v>
      </c>
      <c r="DL49" s="179" t="e">
        <f t="shared" ca="1" si="213"/>
        <v>#VALUE!</v>
      </c>
      <c r="DM49" s="179" t="e">
        <f t="shared" ca="1" si="213"/>
        <v>#VALUE!</v>
      </c>
      <c r="DN49" s="179" t="e">
        <f t="shared" ca="1" si="213"/>
        <v>#VALUE!</v>
      </c>
      <c r="DO49" s="179" t="e">
        <f t="shared" ca="1" si="213"/>
        <v>#VALUE!</v>
      </c>
      <c r="DP49" s="179" t="e">
        <f t="shared" ca="1" si="213"/>
        <v>#VALUE!</v>
      </c>
      <c r="DQ49" s="179" t="e">
        <f t="shared" ca="1" si="213"/>
        <v>#VALUE!</v>
      </c>
      <c r="DR49" s="180">
        <f t="shared" ca="1" si="40"/>
        <v>5.7870356057992893</v>
      </c>
      <c r="DS49" s="180">
        <f t="shared" ca="1" si="150"/>
        <v>5.7870356057992893</v>
      </c>
      <c r="DT49" s="180">
        <f t="shared" ca="1" si="150"/>
        <v>5.7870356057992893</v>
      </c>
      <c r="DU49" s="180">
        <f t="shared" ca="1" si="150"/>
        <v>5.7870356057992893</v>
      </c>
      <c r="DV49" s="180">
        <f t="shared" ca="1" si="150"/>
        <v>5.7870356057992893</v>
      </c>
      <c r="DW49" s="180">
        <f t="shared" ca="1" si="150"/>
        <v>5.7870356057992893</v>
      </c>
      <c r="DX49" s="180">
        <f t="shared" ca="1" si="150"/>
        <v>5.7870356057992893</v>
      </c>
      <c r="DY49" s="180">
        <f t="shared" ca="1" si="150"/>
        <v>5.7870356057992893</v>
      </c>
      <c r="DZ49" s="180">
        <f t="shared" ca="1" si="150"/>
        <v>5.7870356057992893</v>
      </c>
      <c r="EA49" s="180">
        <f t="shared" ca="1" si="150"/>
        <v>5.7870356057992893</v>
      </c>
      <c r="EB49" s="180">
        <f t="shared" ca="1" si="150"/>
        <v>5.7870356057992893</v>
      </c>
      <c r="EC49" s="180">
        <f t="shared" ca="1" si="150"/>
        <v>5.7870356057992893</v>
      </c>
      <c r="ED49" s="180">
        <f t="shared" ca="1" si="150"/>
        <v>5.7870356057992893</v>
      </c>
      <c r="EE49" s="180">
        <f t="shared" ca="1" si="150"/>
        <v>5.7870356057992893</v>
      </c>
      <c r="EF49" s="180">
        <f t="shared" ca="1" si="150"/>
        <v>5.7870356057992893</v>
      </c>
      <c r="EG49" s="180">
        <f t="shared" ref="EG49:EO49" ca="1" si="214">IF($AU54&gt;$BA$19,0,$BA54-$AS54)</f>
        <v>5.7870356057992893</v>
      </c>
      <c r="EH49" s="180">
        <f t="shared" ca="1" si="214"/>
        <v>5.7870356057992893</v>
      </c>
      <c r="EI49" s="180">
        <f t="shared" ca="1" si="214"/>
        <v>5.7870356057992893</v>
      </c>
      <c r="EJ49" s="180">
        <f t="shared" ca="1" si="214"/>
        <v>5.7870356057992893</v>
      </c>
      <c r="EK49" s="180">
        <f t="shared" ca="1" si="214"/>
        <v>5.7870356057992893</v>
      </c>
      <c r="EL49" s="180">
        <f t="shared" ca="1" si="214"/>
        <v>5.7870356057992893</v>
      </c>
      <c r="EM49" s="180">
        <f t="shared" ca="1" si="214"/>
        <v>5.7870356057992893</v>
      </c>
      <c r="EN49" s="180">
        <f t="shared" ca="1" si="214"/>
        <v>5.7870356057992893</v>
      </c>
      <c r="EO49" s="180">
        <f t="shared" ca="1" si="214"/>
        <v>5.7870356057992893</v>
      </c>
      <c r="EQ49" s="259">
        <f t="shared" ca="1" si="42"/>
        <v>47097</v>
      </c>
      <c r="ER49" s="87">
        <f t="shared" ref="ER49:FF58" ca="1" si="215" xml:space="preserve"> IFERROR(VLOOKUP($EQ49,$AZ$23:$BA$167,2,FALSE),0)-IFERROR(VLOOKUP($EQ49,$AR$23:$AS$167,2,FALSE),0)</f>
        <v>5.7870356057992893</v>
      </c>
      <c r="ES49" s="87">
        <f t="shared" ca="1" si="215"/>
        <v>5.7870356057992893</v>
      </c>
      <c r="ET49" s="87">
        <f t="shared" ca="1" si="215"/>
        <v>5.7870356057992893</v>
      </c>
      <c r="EU49" s="87">
        <f t="shared" ca="1" si="215"/>
        <v>5.7870356057992893</v>
      </c>
      <c r="EV49" s="87">
        <f t="shared" ca="1" si="215"/>
        <v>5.7870356057992893</v>
      </c>
      <c r="EW49" s="87">
        <f t="shared" ca="1" si="215"/>
        <v>5.7870356057992893</v>
      </c>
      <c r="EX49" s="87">
        <f t="shared" ca="1" si="215"/>
        <v>5.7870356057992893</v>
      </c>
      <c r="EY49" s="87">
        <f t="shared" ca="1" si="215"/>
        <v>5.7870356057992893</v>
      </c>
      <c r="EZ49" s="87">
        <f t="shared" ca="1" si="215"/>
        <v>5.7870356057992893</v>
      </c>
      <c r="FA49" s="87">
        <f t="shared" ca="1" si="215"/>
        <v>5.7870356057992893</v>
      </c>
      <c r="FB49" s="87">
        <f t="shared" ca="1" si="215"/>
        <v>5.7870356057992893</v>
      </c>
      <c r="FC49" s="87">
        <f t="shared" ca="1" si="215"/>
        <v>5.7870356057992893</v>
      </c>
      <c r="FD49" s="87">
        <f t="shared" ca="1" si="215"/>
        <v>5.7870356057992893</v>
      </c>
      <c r="FE49" s="87">
        <f t="shared" ca="1" si="215"/>
        <v>5.7870356057992893</v>
      </c>
      <c r="FF49" s="87">
        <f t="shared" ca="1" si="215"/>
        <v>5.7870356057992893</v>
      </c>
      <c r="FG49" s="87">
        <f t="shared" ca="1" si="152"/>
        <v>5.7870356057992893</v>
      </c>
      <c r="FH49" s="87">
        <f t="shared" ca="1" si="152"/>
        <v>5.7870356057992893</v>
      </c>
      <c r="FI49" s="87">
        <f t="shared" ca="1" si="152"/>
        <v>5.7870356057992893</v>
      </c>
      <c r="FJ49" s="87">
        <f t="shared" ca="1" si="152"/>
        <v>5.7870356057992893</v>
      </c>
      <c r="FK49" s="87">
        <f t="shared" ca="1" si="152"/>
        <v>5.7870356057992893</v>
      </c>
      <c r="FL49" s="87">
        <f t="shared" ca="1" si="152"/>
        <v>5.7870356057992893</v>
      </c>
      <c r="FM49" s="87">
        <f t="shared" ca="1" si="152"/>
        <v>5.7870356057992893</v>
      </c>
      <c r="FN49" s="87">
        <f t="shared" ca="1" si="152"/>
        <v>5.7870356057992893</v>
      </c>
      <c r="FO49" s="87">
        <f t="shared" ca="1" si="152"/>
        <v>5.7870356057992893</v>
      </c>
      <c r="FP49" s="87">
        <f t="shared" ca="1" si="152"/>
        <v>5.7870356057992893</v>
      </c>
    </row>
    <row r="50" spans="2:172" ht="12.75" customHeight="1" thickBot="1" x14ac:dyDescent="0.3">
      <c r="C50" s="64">
        <v>23</v>
      </c>
      <c r="D50" s="32" t="str">
        <f t="shared" si="107"/>
        <v>INSS</v>
      </c>
      <c r="E50" s="627" t="str">
        <f>IFERROR(VLOOKUP(CONCATENATE(C50,D50),'Base tabelas'!$B:$K,10,FALSE),"")</f>
        <v/>
      </c>
      <c r="F50" s="628"/>
      <c r="G50" s="629"/>
      <c r="H50" s="33" t="str">
        <f>IFERROR(VLOOKUP(CONCATENATE(C50,D50),'Base tabelas'!$B:$E,4,FALSE),"")</f>
        <v/>
      </c>
      <c r="I50" s="34" t="str">
        <f t="shared" ref="I50" ca="1" si="216">IFERROR((PMT(H50,$BA$19,-1,0,0)*(H50+1)^(($BF$10-30)/30))*1.03017,"")</f>
        <v/>
      </c>
      <c r="J50" s="35" t="str">
        <f ca="1">IFERROR(DQ163,"")</f>
        <v/>
      </c>
      <c r="K50" s="36" t="str">
        <f t="shared" ref="K50" ca="1" si="217">IF(J50&lt;&gt;"",$V$21,"")</f>
        <v/>
      </c>
      <c r="L50" s="574" t="str">
        <f ca="1">IFERROR(EN17*-1,"")</f>
        <v/>
      </c>
      <c r="M50" s="575" t="str">
        <f t="shared" ref="M50" ca="1" si="218">IFERROR(IF(J50&gt;=N50,IF($U$9&gt;=1,IF(E50="","",IF(L50&lt;100,"Não Libera Troco",IF(P50&lt;=$D$26,IF(L50&gt;100,"TAB disponivel","Não Libera Troco"),"Tabela Superior Taxa Ponderada"))),"Não Disponível"),"Não Disponível"),"")</f>
        <v/>
      </c>
      <c r="N50" s="304" t="str">
        <f>IFERROR(VLOOKUP(CONCATENATE(C50,D50),'Base tabelas'!$B:$O,14,FALSE),"")</f>
        <v/>
      </c>
      <c r="O50" s="382" t="str">
        <f ca="1">FN168</f>
        <v/>
      </c>
      <c r="P50" s="375" t="str">
        <f t="shared" ca="1" si="110"/>
        <v/>
      </c>
      <c r="Q50" s="303" t="e">
        <f t="shared" ca="1" si="111"/>
        <v>#VALUE!</v>
      </c>
      <c r="U50" s="175"/>
      <c r="V50" s="176"/>
      <c r="W50" s="176"/>
      <c r="X50" s="87">
        <v>35</v>
      </c>
      <c r="Y50" s="377">
        <f t="shared" ca="1" si="4"/>
        <v>85.212964394200711</v>
      </c>
      <c r="Z50" s="377">
        <f t="shared" si="5"/>
        <v>0</v>
      </c>
      <c r="AA50" s="377">
        <f t="shared" si="6"/>
        <v>0</v>
      </c>
      <c r="AB50" s="377">
        <f t="shared" si="7"/>
        <v>0</v>
      </c>
      <c r="AC50" s="377">
        <f t="shared" si="8"/>
        <v>0</v>
      </c>
      <c r="AD50" s="377">
        <f t="shared" si="9"/>
        <v>0</v>
      </c>
      <c r="AE50" s="377">
        <f t="shared" si="10"/>
        <v>0</v>
      </c>
      <c r="AF50" s="377">
        <f t="shared" si="11"/>
        <v>0</v>
      </c>
      <c r="AG50" s="377">
        <f t="shared" si="12"/>
        <v>0</v>
      </c>
      <c r="AH50" s="377">
        <f t="shared" si="13"/>
        <v>0</v>
      </c>
      <c r="AI50" s="377">
        <f t="shared" si="14"/>
        <v>0</v>
      </c>
      <c r="AJ50" s="377">
        <f t="shared" si="15"/>
        <v>0</v>
      </c>
      <c r="AK50" s="377">
        <f t="shared" si="16"/>
        <v>0</v>
      </c>
      <c r="AL50" s="377">
        <f t="shared" si="17"/>
        <v>0</v>
      </c>
      <c r="AM50" s="377">
        <f t="shared" si="18"/>
        <v>0</v>
      </c>
      <c r="AN50" s="377">
        <f t="shared" si="19"/>
        <v>0</v>
      </c>
      <c r="AO50" s="377">
        <f t="shared" si="20"/>
        <v>0</v>
      </c>
      <c r="AQ50" s="138">
        <v>27</v>
      </c>
      <c r="AR50" s="258">
        <f t="shared" ca="1" si="69"/>
        <v>46975</v>
      </c>
      <c r="AS50" s="378">
        <f t="shared" ca="1" si="70"/>
        <v>85.212964394200711</v>
      </c>
      <c r="AT50" s="138"/>
      <c r="AU50" s="138">
        <v>27</v>
      </c>
      <c r="AV50" s="258">
        <f t="shared" ca="1" si="71"/>
        <v>47006</v>
      </c>
      <c r="AW50" s="378">
        <f t="shared" ca="1" si="72"/>
        <v>5.7870356057992893</v>
      </c>
      <c r="AX50" s="202">
        <f t="shared" ca="1" si="73"/>
        <v>3.46</v>
      </c>
      <c r="AY50" s="138">
        <v>27</v>
      </c>
      <c r="AZ50" s="258">
        <f t="shared" ca="1" si="74"/>
        <v>47006</v>
      </c>
      <c r="BA50" s="378">
        <f t="shared" si="75"/>
        <v>91</v>
      </c>
      <c r="BC50" s="258">
        <f t="shared" ca="1" si="61"/>
        <v>46975</v>
      </c>
      <c r="BD50" s="302">
        <f t="shared" ca="1" si="76"/>
        <v>5.7870356057992893</v>
      </c>
      <c r="BE50" s="133">
        <f t="shared" si="62"/>
        <v>27</v>
      </c>
      <c r="BF50" s="379">
        <f t="shared" ca="1" si="63"/>
        <v>46975</v>
      </c>
      <c r="BG50" s="133">
        <f t="shared" si="77"/>
        <v>91</v>
      </c>
      <c r="BH50" s="133">
        <f t="shared" si="78"/>
        <v>0</v>
      </c>
      <c r="BI50" s="133">
        <f t="shared" si="79"/>
        <v>0</v>
      </c>
      <c r="BJ50" s="133">
        <f t="shared" si="80"/>
        <v>0</v>
      </c>
      <c r="BK50" s="133">
        <f t="shared" si="81"/>
        <v>0</v>
      </c>
      <c r="BL50" s="133">
        <f t="shared" si="82"/>
        <v>0</v>
      </c>
      <c r="BM50" s="133">
        <f t="shared" si="83"/>
        <v>0</v>
      </c>
      <c r="BN50" s="133">
        <f t="shared" si="84"/>
        <v>0</v>
      </c>
      <c r="BO50" s="133">
        <f t="shared" si="85"/>
        <v>0</v>
      </c>
      <c r="BP50" s="133">
        <f t="shared" si="86"/>
        <v>0</v>
      </c>
      <c r="BQ50" s="133">
        <f t="shared" si="87"/>
        <v>0</v>
      </c>
      <c r="BR50" s="133">
        <f t="shared" si="88"/>
        <v>0</v>
      </c>
      <c r="BS50" s="133">
        <f t="shared" si="89"/>
        <v>0</v>
      </c>
      <c r="BT50" s="133">
        <f t="shared" si="90"/>
        <v>0</v>
      </c>
      <c r="BU50" s="133">
        <f t="shared" si="91"/>
        <v>0</v>
      </c>
      <c r="BV50" s="133">
        <f t="shared" si="92"/>
        <v>0</v>
      </c>
      <c r="BW50" s="133">
        <f t="shared" si="93"/>
        <v>0</v>
      </c>
      <c r="BX50" s="267"/>
      <c r="BY50" s="267"/>
      <c r="BZ50" s="267"/>
      <c r="CA50" s="267"/>
      <c r="CB50" s="267"/>
      <c r="CC50" s="267"/>
      <c r="CD50" s="267"/>
      <c r="CE50" s="267"/>
      <c r="CF50" s="267"/>
      <c r="CG50" s="267"/>
      <c r="CS50" s="178">
        <v>32</v>
      </c>
      <c r="CT50" s="259">
        <f t="shared" ca="1" si="29"/>
        <v>47159</v>
      </c>
      <c r="CU50" s="179">
        <f t="shared" ref="CU50:DC50" ca="1" si="219">(($AW55/(1+CU$18)^(($AZ55-$AZ$23)/30)))+($AS55/(1+CU$18)^(($AZ55-$AZ$23)/30))</f>
        <v>49.484560542782567</v>
      </c>
      <c r="CV50" s="179">
        <f t="shared" ca="1" si="219"/>
        <v>50.298716542106348</v>
      </c>
      <c r="CW50" s="179">
        <f t="shared" ca="1" si="219"/>
        <v>50.79382119904195</v>
      </c>
      <c r="CX50" s="179">
        <f t="shared" ca="1" si="219"/>
        <v>51.293947442540919</v>
      </c>
      <c r="CY50" s="179">
        <f t="shared" ca="1" si="219"/>
        <v>51.799147707211745</v>
      </c>
      <c r="CZ50" s="179">
        <f t="shared" ca="1" si="219"/>
        <v>52.309474990882109</v>
      </c>
      <c r="DA50" s="179">
        <f t="shared" ca="1" si="219"/>
        <v>52.652567953232982</v>
      </c>
      <c r="DB50" s="179">
        <f t="shared" ca="1" si="219"/>
        <v>53.345725460019523</v>
      </c>
      <c r="DC50" s="179">
        <f t="shared" ca="1" si="219"/>
        <v>53.695822376327747</v>
      </c>
      <c r="DD50" s="179">
        <f t="shared" ref="DD50:DI50" ca="1" si="220">(($AW55/(1+DD$18)^(($AZ55-$AZ$23)/30)))+($AS55/(1+DD$18)^(($AZ55-$AZ$23)/30))</f>
        <v>54.048286509011412</v>
      </c>
      <c r="DE50" s="179">
        <f t="shared" ca="1" si="220"/>
        <v>54.403134335061871</v>
      </c>
      <c r="DF50" s="179" t="e">
        <f t="shared" ca="1" si="220"/>
        <v>#VALUE!</v>
      </c>
      <c r="DG50" s="179" t="e">
        <f t="shared" ca="1" si="220"/>
        <v>#VALUE!</v>
      </c>
      <c r="DH50" s="179" t="e">
        <f t="shared" ca="1" si="220"/>
        <v>#VALUE!</v>
      </c>
      <c r="DI50" s="179" t="e">
        <f t="shared" ca="1" si="220"/>
        <v>#VALUE!</v>
      </c>
      <c r="DJ50" s="179" t="e">
        <f t="shared" ref="DJ50:DQ50" ca="1" si="221">(($AW55/(1+DJ$18)^(($AZ55-$AZ$23)/30)))+($AS55/(1+DJ$18)^(($AZ55-$AZ$23)/30))</f>
        <v>#VALUE!</v>
      </c>
      <c r="DK50" s="179" t="e">
        <f t="shared" ca="1" si="221"/>
        <v>#VALUE!</v>
      </c>
      <c r="DL50" s="179" t="e">
        <f t="shared" ca="1" si="221"/>
        <v>#VALUE!</v>
      </c>
      <c r="DM50" s="179" t="e">
        <f t="shared" ca="1" si="221"/>
        <v>#VALUE!</v>
      </c>
      <c r="DN50" s="179" t="e">
        <f t="shared" ca="1" si="221"/>
        <v>#VALUE!</v>
      </c>
      <c r="DO50" s="179" t="e">
        <f t="shared" ca="1" si="221"/>
        <v>#VALUE!</v>
      </c>
      <c r="DP50" s="179" t="e">
        <f t="shared" ca="1" si="221"/>
        <v>#VALUE!</v>
      </c>
      <c r="DQ50" s="179" t="e">
        <f t="shared" ca="1" si="221"/>
        <v>#VALUE!</v>
      </c>
      <c r="DR50" s="180">
        <f t="shared" ca="1" si="40"/>
        <v>5.7870356057992893</v>
      </c>
      <c r="DS50" s="180">
        <f t="shared" ca="1" si="150"/>
        <v>5.7870356057992893</v>
      </c>
      <c r="DT50" s="180">
        <f t="shared" ca="1" si="150"/>
        <v>5.7870356057992893</v>
      </c>
      <c r="DU50" s="180">
        <f t="shared" ca="1" si="150"/>
        <v>5.7870356057992893</v>
      </c>
      <c r="DV50" s="180">
        <f t="shared" ca="1" si="150"/>
        <v>5.7870356057992893</v>
      </c>
      <c r="DW50" s="180">
        <f t="shared" ca="1" si="150"/>
        <v>5.7870356057992893</v>
      </c>
      <c r="DX50" s="180">
        <f t="shared" ca="1" si="150"/>
        <v>5.7870356057992893</v>
      </c>
      <c r="DY50" s="180">
        <f t="shared" ca="1" si="150"/>
        <v>5.7870356057992893</v>
      </c>
      <c r="DZ50" s="180">
        <f t="shared" ca="1" si="150"/>
        <v>5.7870356057992893</v>
      </c>
      <c r="EA50" s="180">
        <f t="shared" ca="1" si="150"/>
        <v>5.7870356057992893</v>
      </c>
      <c r="EB50" s="180">
        <f t="shared" ca="1" si="150"/>
        <v>5.7870356057992893</v>
      </c>
      <c r="EC50" s="180">
        <f t="shared" ca="1" si="150"/>
        <v>5.7870356057992893</v>
      </c>
      <c r="ED50" s="180">
        <f t="shared" ca="1" si="150"/>
        <v>5.7870356057992893</v>
      </c>
      <c r="EE50" s="180">
        <f t="shared" ca="1" si="150"/>
        <v>5.7870356057992893</v>
      </c>
      <c r="EF50" s="180">
        <f t="shared" ca="1" si="150"/>
        <v>5.7870356057992893</v>
      </c>
      <c r="EG50" s="180">
        <f t="shared" ref="EG50:EO50" ca="1" si="222">IF($AU55&gt;$BA$19,0,$BA55-$AS55)</f>
        <v>5.7870356057992893</v>
      </c>
      <c r="EH50" s="180">
        <f t="shared" ca="1" si="222"/>
        <v>5.7870356057992893</v>
      </c>
      <c r="EI50" s="180">
        <f t="shared" ca="1" si="222"/>
        <v>5.7870356057992893</v>
      </c>
      <c r="EJ50" s="180">
        <f t="shared" ca="1" si="222"/>
        <v>5.7870356057992893</v>
      </c>
      <c r="EK50" s="180">
        <f t="shared" ca="1" si="222"/>
        <v>5.7870356057992893</v>
      </c>
      <c r="EL50" s="180">
        <f t="shared" ca="1" si="222"/>
        <v>5.7870356057992893</v>
      </c>
      <c r="EM50" s="180">
        <f t="shared" ca="1" si="222"/>
        <v>5.7870356057992893</v>
      </c>
      <c r="EN50" s="180">
        <f t="shared" ca="1" si="222"/>
        <v>5.7870356057992893</v>
      </c>
      <c r="EO50" s="180">
        <f t="shared" ca="1" si="222"/>
        <v>5.7870356057992893</v>
      </c>
      <c r="EQ50" s="259">
        <f t="shared" ca="1" si="42"/>
        <v>47128</v>
      </c>
      <c r="ER50" s="87">
        <f t="shared" ca="1" si="215"/>
        <v>5.7870356057992893</v>
      </c>
      <c r="ES50" s="87">
        <f t="shared" ca="1" si="215"/>
        <v>5.7870356057992893</v>
      </c>
      <c r="ET50" s="87">
        <f t="shared" ca="1" si="215"/>
        <v>5.7870356057992893</v>
      </c>
      <c r="EU50" s="87">
        <f t="shared" ca="1" si="215"/>
        <v>5.7870356057992893</v>
      </c>
      <c r="EV50" s="87">
        <f t="shared" ca="1" si="215"/>
        <v>5.7870356057992893</v>
      </c>
      <c r="EW50" s="87">
        <f t="shared" ca="1" si="215"/>
        <v>5.7870356057992893</v>
      </c>
      <c r="EX50" s="87">
        <f t="shared" ca="1" si="215"/>
        <v>5.7870356057992893</v>
      </c>
      <c r="EY50" s="87">
        <f t="shared" ca="1" si="215"/>
        <v>5.7870356057992893</v>
      </c>
      <c r="EZ50" s="87">
        <f t="shared" ca="1" si="215"/>
        <v>5.7870356057992893</v>
      </c>
      <c r="FA50" s="87">
        <f t="shared" ca="1" si="215"/>
        <v>5.7870356057992893</v>
      </c>
      <c r="FB50" s="87">
        <f t="shared" ca="1" si="215"/>
        <v>5.7870356057992893</v>
      </c>
      <c r="FC50" s="87">
        <f t="shared" ca="1" si="215"/>
        <v>5.7870356057992893</v>
      </c>
      <c r="FD50" s="87">
        <f t="shared" ca="1" si="215"/>
        <v>5.7870356057992893</v>
      </c>
      <c r="FE50" s="87">
        <f t="shared" ca="1" si="215"/>
        <v>5.7870356057992893</v>
      </c>
      <c r="FF50" s="87">
        <f t="shared" ca="1" si="215"/>
        <v>5.7870356057992893</v>
      </c>
      <c r="FG50" s="87">
        <f t="shared" ca="1" si="152"/>
        <v>5.7870356057992893</v>
      </c>
      <c r="FH50" s="87">
        <f t="shared" ca="1" si="152"/>
        <v>5.7870356057992893</v>
      </c>
      <c r="FI50" s="87">
        <f t="shared" ca="1" si="152"/>
        <v>5.7870356057992893</v>
      </c>
      <c r="FJ50" s="87">
        <f t="shared" ca="1" si="152"/>
        <v>5.7870356057992893</v>
      </c>
      <c r="FK50" s="87">
        <f t="shared" ca="1" si="152"/>
        <v>5.7870356057992893</v>
      </c>
      <c r="FL50" s="87">
        <f t="shared" ca="1" si="152"/>
        <v>5.7870356057992893</v>
      </c>
      <c r="FM50" s="87">
        <f t="shared" ca="1" si="152"/>
        <v>5.7870356057992893</v>
      </c>
      <c r="FN50" s="87">
        <f t="shared" ca="1" si="152"/>
        <v>5.7870356057992893</v>
      </c>
      <c r="FO50" s="87">
        <f t="shared" ca="1" si="152"/>
        <v>5.7870356057992893</v>
      </c>
      <c r="FP50" s="87">
        <f t="shared" ca="1" si="152"/>
        <v>5.7870356057992893</v>
      </c>
    </row>
    <row r="51" spans="2:172" ht="12.75" hidden="1" customHeight="1" x14ac:dyDescent="0.25">
      <c r="C51"/>
      <c r="U51" s="175"/>
      <c r="V51" s="176"/>
      <c r="W51" s="176"/>
      <c r="X51" s="87">
        <v>36</v>
      </c>
      <c r="Y51" s="377">
        <f t="shared" ca="1" si="4"/>
        <v>85.212964394200711</v>
      </c>
      <c r="Z51" s="377">
        <f t="shared" si="5"/>
        <v>0</v>
      </c>
      <c r="AA51" s="377">
        <f t="shared" si="6"/>
        <v>0</v>
      </c>
      <c r="AB51" s="377">
        <f t="shared" si="7"/>
        <v>0</v>
      </c>
      <c r="AC51" s="377">
        <f t="shared" si="8"/>
        <v>0</v>
      </c>
      <c r="AD51" s="377">
        <f t="shared" si="9"/>
        <v>0</v>
      </c>
      <c r="AE51" s="377">
        <f t="shared" si="10"/>
        <v>0</v>
      </c>
      <c r="AF51" s="377">
        <f t="shared" si="11"/>
        <v>0</v>
      </c>
      <c r="AG51" s="377">
        <f t="shared" si="12"/>
        <v>0</v>
      </c>
      <c r="AH51" s="377">
        <f t="shared" si="13"/>
        <v>0</v>
      </c>
      <c r="AI51" s="377">
        <f t="shared" si="14"/>
        <v>0</v>
      </c>
      <c r="AJ51" s="377">
        <f t="shared" si="15"/>
        <v>0</v>
      </c>
      <c r="AK51" s="377">
        <f t="shared" si="16"/>
        <v>0</v>
      </c>
      <c r="AL51" s="377">
        <f t="shared" si="17"/>
        <v>0</v>
      </c>
      <c r="AM51" s="377">
        <f t="shared" si="18"/>
        <v>0</v>
      </c>
      <c r="AN51" s="377">
        <f t="shared" si="19"/>
        <v>0</v>
      </c>
      <c r="AO51" s="377">
        <f t="shared" si="20"/>
        <v>0</v>
      </c>
      <c r="AQ51" s="138">
        <v>28</v>
      </c>
      <c r="AR51" s="258">
        <f t="shared" ca="1" si="69"/>
        <v>47006</v>
      </c>
      <c r="AS51" s="378">
        <f t="shared" ca="1" si="70"/>
        <v>85.212964394200711</v>
      </c>
      <c r="AT51" s="138"/>
      <c r="AU51" s="138">
        <v>28</v>
      </c>
      <c r="AV51" s="258">
        <f t="shared" ca="1" si="71"/>
        <v>47036</v>
      </c>
      <c r="AW51" s="378">
        <f t="shared" ca="1" si="72"/>
        <v>5.7870356057992893</v>
      </c>
      <c r="AX51" s="202">
        <f t="shared" ca="1" si="73"/>
        <v>3.39</v>
      </c>
      <c r="AY51" s="138">
        <v>28</v>
      </c>
      <c r="AZ51" s="258">
        <f t="shared" ca="1" si="74"/>
        <v>47036</v>
      </c>
      <c r="BA51" s="378">
        <f t="shared" si="75"/>
        <v>91</v>
      </c>
      <c r="BC51" s="258">
        <f t="shared" ca="1" si="61"/>
        <v>47006</v>
      </c>
      <c r="BD51" s="302">
        <f t="shared" ca="1" si="76"/>
        <v>5.7870356057992893</v>
      </c>
      <c r="BE51" s="133">
        <f t="shared" si="62"/>
        <v>28</v>
      </c>
      <c r="BF51" s="379">
        <f t="shared" ca="1" si="63"/>
        <v>47006</v>
      </c>
      <c r="BG51" s="133">
        <f t="shared" si="77"/>
        <v>91</v>
      </c>
      <c r="BH51" s="133">
        <f t="shared" si="78"/>
        <v>0</v>
      </c>
      <c r="BI51" s="133">
        <f t="shared" si="79"/>
        <v>0</v>
      </c>
      <c r="BJ51" s="133">
        <f t="shared" si="80"/>
        <v>0</v>
      </c>
      <c r="BK51" s="133">
        <f t="shared" si="81"/>
        <v>0</v>
      </c>
      <c r="BL51" s="133">
        <f t="shared" si="82"/>
        <v>0</v>
      </c>
      <c r="BM51" s="133">
        <f t="shared" si="83"/>
        <v>0</v>
      </c>
      <c r="BN51" s="133">
        <f t="shared" si="84"/>
        <v>0</v>
      </c>
      <c r="BO51" s="133">
        <f t="shared" si="85"/>
        <v>0</v>
      </c>
      <c r="BP51" s="133">
        <f t="shared" si="86"/>
        <v>0</v>
      </c>
      <c r="BQ51" s="133">
        <f t="shared" si="87"/>
        <v>0</v>
      </c>
      <c r="BR51" s="133">
        <f t="shared" si="88"/>
        <v>0</v>
      </c>
      <c r="BS51" s="133">
        <f t="shared" si="89"/>
        <v>0</v>
      </c>
      <c r="BT51" s="133">
        <f t="shared" si="90"/>
        <v>0</v>
      </c>
      <c r="BU51" s="133">
        <f t="shared" si="91"/>
        <v>0</v>
      </c>
      <c r="BV51" s="133">
        <f t="shared" si="92"/>
        <v>0</v>
      </c>
      <c r="BW51" s="133">
        <f t="shared" si="93"/>
        <v>0</v>
      </c>
      <c r="BX51" s="267"/>
      <c r="BY51" s="267"/>
      <c r="BZ51" s="267"/>
      <c r="CA51" s="267"/>
      <c r="CB51" s="267"/>
      <c r="CC51" s="267"/>
      <c r="CD51" s="267"/>
      <c r="CE51" s="267"/>
      <c r="CF51" s="267"/>
      <c r="CG51" s="267"/>
      <c r="CS51" s="138">
        <v>33</v>
      </c>
      <c r="CT51" s="259">
        <f t="shared" ca="1" si="29"/>
        <v>47187</v>
      </c>
      <c r="CU51" s="179">
        <f t="shared" ref="CU51:DC51" ca="1" si="223">(($AW56/(1+CU$18)^(($AZ56-$AZ$23)/30)))+($AS56/(1+CU$18)^(($AZ56-$AZ$23)/30))</f>
        <v>48.645135785965245</v>
      </c>
      <c r="CV51" s="179">
        <f t="shared" ca="1" si="223"/>
        <v>49.468147147025725</v>
      </c>
      <c r="CW51" s="179">
        <f t="shared" ca="1" si="223"/>
        <v>49.968820286652978</v>
      </c>
      <c r="CX51" s="179">
        <f t="shared" ca="1" si="223"/>
        <v>50.474710657682898</v>
      </c>
      <c r="CY51" s="179">
        <f t="shared" ca="1" si="223"/>
        <v>50.985874188437556</v>
      </c>
      <c r="CZ51" s="179">
        <f t="shared" ca="1" si="223"/>
        <v>51.502367423545067</v>
      </c>
      <c r="DA51" s="179">
        <f t="shared" ca="1" si="223"/>
        <v>51.849685399018831</v>
      </c>
      <c r="DB51" s="179">
        <f t="shared" ca="1" si="223"/>
        <v>52.55157230880981</v>
      </c>
      <c r="DC51" s="179">
        <f t="shared" ca="1" si="223"/>
        <v>52.906175808393435</v>
      </c>
      <c r="DD51" s="179">
        <f t="shared" ref="DD51:DI51" ca="1" si="224">(($AW56/(1+DD$18)^(($AZ56-$AZ$23)/30)))+($AS56/(1+DD$18)^(($AZ56-$AZ$23)/30))</f>
        <v>53.263242592889988</v>
      </c>
      <c r="DE51" s="179">
        <f t="shared" ca="1" si="224"/>
        <v>53.622790263784239</v>
      </c>
      <c r="DF51" s="179" t="e">
        <f t="shared" ca="1" si="224"/>
        <v>#VALUE!</v>
      </c>
      <c r="DG51" s="179" t="e">
        <f t="shared" ca="1" si="224"/>
        <v>#VALUE!</v>
      </c>
      <c r="DH51" s="179" t="e">
        <f t="shared" ca="1" si="224"/>
        <v>#VALUE!</v>
      </c>
      <c r="DI51" s="179" t="e">
        <f t="shared" ca="1" si="224"/>
        <v>#VALUE!</v>
      </c>
      <c r="DJ51" s="179" t="e">
        <f t="shared" ref="DJ51:DQ51" ca="1" si="225">(($AW56/(1+DJ$18)^(($AZ56-$AZ$23)/30)))+($AS56/(1+DJ$18)^(($AZ56-$AZ$23)/30))</f>
        <v>#VALUE!</v>
      </c>
      <c r="DK51" s="179" t="e">
        <f t="shared" ca="1" si="225"/>
        <v>#VALUE!</v>
      </c>
      <c r="DL51" s="179" t="e">
        <f t="shared" ca="1" si="225"/>
        <v>#VALUE!</v>
      </c>
      <c r="DM51" s="179" t="e">
        <f t="shared" ca="1" si="225"/>
        <v>#VALUE!</v>
      </c>
      <c r="DN51" s="179" t="e">
        <f t="shared" ca="1" si="225"/>
        <v>#VALUE!</v>
      </c>
      <c r="DO51" s="179" t="e">
        <f t="shared" ca="1" si="225"/>
        <v>#VALUE!</v>
      </c>
      <c r="DP51" s="179" t="e">
        <f t="shared" ca="1" si="225"/>
        <v>#VALUE!</v>
      </c>
      <c r="DQ51" s="179" t="e">
        <f t="shared" ca="1" si="225"/>
        <v>#VALUE!</v>
      </c>
      <c r="DR51" s="180">
        <f t="shared" ca="1" si="40"/>
        <v>5.7870356057992893</v>
      </c>
      <c r="DS51" s="180">
        <f t="shared" ref="DS51:EF66" ca="1" si="226">IF($AU56&gt;$BA$19,0,$BA56-$AS56)</f>
        <v>5.7870356057992893</v>
      </c>
      <c r="DT51" s="180">
        <f t="shared" ca="1" si="226"/>
        <v>5.7870356057992893</v>
      </c>
      <c r="DU51" s="180">
        <f t="shared" ca="1" si="226"/>
        <v>5.7870356057992893</v>
      </c>
      <c r="DV51" s="180">
        <f t="shared" ca="1" si="226"/>
        <v>5.7870356057992893</v>
      </c>
      <c r="DW51" s="180">
        <f t="shared" ca="1" si="226"/>
        <v>5.7870356057992893</v>
      </c>
      <c r="DX51" s="180">
        <f t="shared" ca="1" si="226"/>
        <v>5.7870356057992893</v>
      </c>
      <c r="DY51" s="180">
        <f t="shared" ca="1" si="226"/>
        <v>5.7870356057992893</v>
      </c>
      <c r="DZ51" s="180">
        <f t="shared" ca="1" si="226"/>
        <v>5.7870356057992893</v>
      </c>
      <c r="EA51" s="180">
        <f t="shared" ca="1" si="226"/>
        <v>5.7870356057992893</v>
      </c>
      <c r="EB51" s="180">
        <f t="shared" ca="1" si="226"/>
        <v>5.7870356057992893</v>
      </c>
      <c r="EC51" s="180">
        <f t="shared" ca="1" si="226"/>
        <v>5.7870356057992893</v>
      </c>
      <c r="ED51" s="180">
        <f t="shared" ca="1" si="226"/>
        <v>5.7870356057992893</v>
      </c>
      <c r="EE51" s="180">
        <f t="shared" ca="1" si="226"/>
        <v>5.7870356057992893</v>
      </c>
      <c r="EF51" s="180">
        <f t="shared" ca="1" si="226"/>
        <v>5.7870356057992893</v>
      </c>
      <c r="EG51" s="180">
        <f t="shared" ref="EG51:EO51" ca="1" si="227">IF($AU56&gt;$BA$19,0,$BA56-$AS56)</f>
        <v>5.7870356057992893</v>
      </c>
      <c r="EH51" s="180">
        <f t="shared" ca="1" si="227"/>
        <v>5.7870356057992893</v>
      </c>
      <c r="EI51" s="180">
        <f t="shared" ca="1" si="227"/>
        <v>5.7870356057992893</v>
      </c>
      <c r="EJ51" s="180">
        <f t="shared" ca="1" si="227"/>
        <v>5.7870356057992893</v>
      </c>
      <c r="EK51" s="180">
        <f t="shared" ca="1" si="227"/>
        <v>5.7870356057992893</v>
      </c>
      <c r="EL51" s="180">
        <f t="shared" ca="1" si="227"/>
        <v>5.7870356057992893</v>
      </c>
      <c r="EM51" s="180">
        <f t="shared" ca="1" si="227"/>
        <v>5.7870356057992893</v>
      </c>
      <c r="EN51" s="180">
        <f t="shared" ca="1" si="227"/>
        <v>5.7870356057992893</v>
      </c>
      <c r="EO51" s="180">
        <f t="shared" ca="1" si="227"/>
        <v>5.7870356057992893</v>
      </c>
      <c r="EQ51" s="259">
        <f t="shared" ca="1" si="42"/>
        <v>47159</v>
      </c>
      <c r="ER51" s="87">
        <f t="shared" ca="1" si="215"/>
        <v>5.7870356057992893</v>
      </c>
      <c r="ES51" s="87">
        <f t="shared" ca="1" si="215"/>
        <v>5.7870356057992893</v>
      </c>
      <c r="ET51" s="87">
        <f t="shared" ca="1" si="215"/>
        <v>5.7870356057992893</v>
      </c>
      <c r="EU51" s="87">
        <f t="shared" ca="1" si="215"/>
        <v>5.7870356057992893</v>
      </c>
      <c r="EV51" s="87">
        <f t="shared" ca="1" si="215"/>
        <v>5.7870356057992893</v>
      </c>
      <c r="EW51" s="87">
        <f t="shared" ca="1" si="215"/>
        <v>5.7870356057992893</v>
      </c>
      <c r="EX51" s="87">
        <f t="shared" ca="1" si="215"/>
        <v>5.7870356057992893</v>
      </c>
      <c r="EY51" s="87">
        <f t="shared" ca="1" si="215"/>
        <v>5.7870356057992893</v>
      </c>
      <c r="EZ51" s="87">
        <f t="shared" ca="1" si="215"/>
        <v>5.7870356057992893</v>
      </c>
      <c r="FA51" s="87">
        <f t="shared" ca="1" si="215"/>
        <v>5.7870356057992893</v>
      </c>
      <c r="FB51" s="87">
        <f t="shared" ca="1" si="215"/>
        <v>5.7870356057992893</v>
      </c>
      <c r="FC51" s="87">
        <f t="shared" ca="1" si="215"/>
        <v>5.7870356057992893</v>
      </c>
      <c r="FD51" s="87">
        <f t="shared" ca="1" si="215"/>
        <v>5.7870356057992893</v>
      </c>
      <c r="FE51" s="87">
        <f t="shared" ca="1" si="215"/>
        <v>5.7870356057992893</v>
      </c>
      <c r="FF51" s="87">
        <f t="shared" ca="1" si="215"/>
        <v>5.7870356057992893</v>
      </c>
      <c r="FG51" s="87">
        <f t="shared" ref="FG51:FP66" ca="1" si="228" xml:space="preserve"> IFERROR(VLOOKUP($EQ51,$AZ$23:$BA$167,2,FALSE),0)-IFERROR(VLOOKUP($EQ51,$AR$23:$AS$167,2,FALSE),0)</f>
        <v>5.7870356057992893</v>
      </c>
      <c r="FH51" s="87">
        <f t="shared" ca="1" si="228"/>
        <v>5.7870356057992893</v>
      </c>
      <c r="FI51" s="87">
        <f t="shared" ca="1" si="228"/>
        <v>5.7870356057992893</v>
      </c>
      <c r="FJ51" s="87">
        <f t="shared" ca="1" si="228"/>
        <v>5.7870356057992893</v>
      </c>
      <c r="FK51" s="87">
        <f t="shared" ca="1" si="228"/>
        <v>5.7870356057992893</v>
      </c>
      <c r="FL51" s="87">
        <f t="shared" ca="1" si="228"/>
        <v>5.7870356057992893</v>
      </c>
      <c r="FM51" s="87">
        <f t="shared" ca="1" si="228"/>
        <v>5.7870356057992893</v>
      </c>
      <c r="FN51" s="87">
        <f t="shared" ca="1" si="228"/>
        <v>5.7870356057992893</v>
      </c>
      <c r="FO51" s="87">
        <f t="shared" ca="1" si="228"/>
        <v>5.7870356057992893</v>
      </c>
      <c r="FP51" s="87">
        <f t="shared" ca="1" si="228"/>
        <v>5.7870356057992893</v>
      </c>
    </row>
    <row r="52" spans="2:172" ht="12.75" hidden="1" customHeight="1" x14ac:dyDescent="0.25">
      <c r="C52"/>
      <c r="U52" s="175"/>
      <c r="V52" s="176"/>
      <c r="W52" s="176"/>
      <c r="X52" s="87">
        <v>37</v>
      </c>
      <c r="Y52" s="377">
        <f t="shared" ca="1" si="4"/>
        <v>85.212964394200711</v>
      </c>
      <c r="Z52" s="377">
        <f t="shared" si="5"/>
        <v>0</v>
      </c>
      <c r="AA52" s="377">
        <f t="shared" si="6"/>
        <v>0</v>
      </c>
      <c r="AB52" s="377">
        <f t="shared" si="7"/>
        <v>0</v>
      </c>
      <c r="AC52" s="377">
        <f t="shared" si="8"/>
        <v>0</v>
      </c>
      <c r="AD52" s="377">
        <f t="shared" si="9"/>
        <v>0</v>
      </c>
      <c r="AE52" s="377">
        <f t="shared" si="10"/>
        <v>0</v>
      </c>
      <c r="AF52" s="377">
        <f t="shared" si="11"/>
        <v>0</v>
      </c>
      <c r="AG52" s="377">
        <f t="shared" si="12"/>
        <v>0</v>
      </c>
      <c r="AH52" s="377">
        <f t="shared" si="13"/>
        <v>0</v>
      </c>
      <c r="AI52" s="377">
        <f t="shared" si="14"/>
        <v>0</v>
      </c>
      <c r="AJ52" s="377">
        <f t="shared" si="15"/>
        <v>0</v>
      </c>
      <c r="AK52" s="377">
        <f t="shared" si="16"/>
        <v>0</v>
      </c>
      <c r="AL52" s="377">
        <f t="shared" si="17"/>
        <v>0</v>
      </c>
      <c r="AM52" s="377">
        <f t="shared" si="18"/>
        <v>0</v>
      </c>
      <c r="AN52" s="377">
        <f t="shared" si="19"/>
        <v>0</v>
      </c>
      <c r="AO52" s="377">
        <f t="shared" si="20"/>
        <v>0</v>
      </c>
      <c r="AQ52" s="138">
        <v>29</v>
      </c>
      <c r="AR52" s="258">
        <f t="shared" ca="1" si="69"/>
        <v>47036</v>
      </c>
      <c r="AS52" s="378">
        <f t="shared" ca="1" si="70"/>
        <v>85.212964394200711</v>
      </c>
      <c r="AT52" s="138"/>
      <c r="AU52" s="138">
        <v>29</v>
      </c>
      <c r="AV52" s="258">
        <f t="shared" ca="1" si="71"/>
        <v>47067</v>
      </c>
      <c r="AW52" s="378">
        <f t="shared" ca="1" si="72"/>
        <v>5.7870356057992893</v>
      </c>
      <c r="AX52" s="202">
        <f t="shared" ca="1" si="73"/>
        <v>3.33</v>
      </c>
      <c r="AY52" s="138">
        <v>29</v>
      </c>
      <c r="AZ52" s="258">
        <f t="shared" ca="1" si="74"/>
        <v>47067</v>
      </c>
      <c r="BA52" s="378">
        <f t="shared" si="75"/>
        <v>91</v>
      </c>
      <c r="BC52" s="258">
        <f t="shared" ca="1" si="61"/>
        <v>47036</v>
      </c>
      <c r="BD52" s="302">
        <f t="shared" ca="1" si="76"/>
        <v>5.7870356057992893</v>
      </c>
      <c r="BE52" s="133">
        <f t="shared" si="62"/>
        <v>29</v>
      </c>
      <c r="BF52" s="379">
        <f t="shared" ca="1" si="63"/>
        <v>47036</v>
      </c>
      <c r="BG52" s="133">
        <f t="shared" si="77"/>
        <v>91</v>
      </c>
      <c r="BH52" s="133">
        <f t="shared" si="78"/>
        <v>0</v>
      </c>
      <c r="BI52" s="133">
        <f t="shared" si="79"/>
        <v>0</v>
      </c>
      <c r="BJ52" s="133">
        <f t="shared" si="80"/>
        <v>0</v>
      </c>
      <c r="BK52" s="133">
        <f t="shared" si="81"/>
        <v>0</v>
      </c>
      <c r="BL52" s="133">
        <f t="shared" si="82"/>
        <v>0</v>
      </c>
      <c r="BM52" s="133">
        <f t="shared" si="83"/>
        <v>0</v>
      </c>
      <c r="BN52" s="133">
        <f t="shared" si="84"/>
        <v>0</v>
      </c>
      <c r="BO52" s="133">
        <f t="shared" si="85"/>
        <v>0</v>
      </c>
      <c r="BP52" s="133">
        <f t="shared" si="86"/>
        <v>0</v>
      </c>
      <c r="BQ52" s="133">
        <f t="shared" si="87"/>
        <v>0</v>
      </c>
      <c r="BR52" s="133">
        <f t="shared" si="88"/>
        <v>0</v>
      </c>
      <c r="BS52" s="133">
        <f t="shared" si="89"/>
        <v>0</v>
      </c>
      <c r="BT52" s="133">
        <f t="shared" si="90"/>
        <v>0</v>
      </c>
      <c r="BU52" s="133">
        <f t="shared" si="91"/>
        <v>0</v>
      </c>
      <c r="BV52" s="133">
        <f t="shared" si="92"/>
        <v>0</v>
      </c>
      <c r="BW52" s="133">
        <f t="shared" si="93"/>
        <v>0</v>
      </c>
      <c r="BX52" s="267"/>
      <c r="BY52" s="267"/>
      <c r="BZ52" s="267"/>
      <c r="CA52" s="267"/>
      <c r="CB52" s="267"/>
      <c r="CC52" s="267"/>
      <c r="CD52" s="267"/>
      <c r="CE52" s="267"/>
      <c r="CF52" s="267"/>
      <c r="CG52" s="267"/>
      <c r="CS52" s="87">
        <v>34</v>
      </c>
      <c r="CT52" s="259">
        <f t="shared" ca="1" si="29"/>
        <v>47218</v>
      </c>
      <c r="CU52" s="179">
        <f t="shared" ref="CU52:DC52" ca="1" si="229">(($AW57/(1+CU$18)^(($AZ57-$AZ$23)/30)))+($AS57/(1+CU$18)^(($AZ57-$AZ$23)/30))</f>
        <v>47.732372249342475</v>
      </c>
      <c r="CV52" s="179">
        <f t="shared" ca="1" si="229"/>
        <v>48.564576590093445</v>
      </c>
      <c r="CW52" s="179">
        <f t="shared" ca="1" si="229"/>
        <v>49.07104755855628</v>
      </c>
      <c r="CX52" s="179">
        <f t="shared" ca="1" si="229"/>
        <v>49.582952081084144</v>
      </c>
      <c r="CY52" s="179">
        <f t="shared" ca="1" si="229"/>
        <v>50.100350078313781</v>
      </c>
      <c r="CZ52" s="179">
        <f t="shared" ca="1" si="229"/>
        <v>50.623302149643408</v>
      </c>
      <c r="DA52" s="179">
        <f t="shared" ca="1" si="229"/>
        <v>50.97505269680584</v>
      </c>
      <c r="DB52" s="179">
        <f t="shared" ca="1" si="229"/>
        <v>51.686114353461555</v>
      </c>
      <c r="DC52" s="179">
        <f t="shared" ca="1" si="229"/>
        <v>52.045462538877743</v>
      </c>
      <c r="DD52" s="179">
        <f t="shared" ref="DD52:DI52" ca="1" si="230">(($AW57/(1+DD$18)^(($AZ57-$AZ$23)/30)))+($AS57/(1+DD$18)^(($AZ57-$AZ$23)/30))</f>
        <v>52.407380579620785</v>
      </c>
      <c r="DE52" s="179">
        <f t="shared" ca="1" si="230"/>
        <v>52.771887365258401</v>
      </c>
      <c r="DF52" s="179" t="e">
        <f t="shared" ca="1" si="230"/>
        <v>#VALUE!</v>
      </c>
      <c r="DG52" s="179" t="e">
        <f t="shared" ca="1" si="230"/>
        <v>#VALUE!</v>
      </c>
      <c r="DH52" s="179" t="e">
        <f t="shared" ca="1" si="230"/>
        <v>#VALUE!</v>
      </c>
      <c r="DI52" s="179" t="e">
        <f t="shared" ca="1" si="230"/>
        <v>#VALUE!</v>
      </c>
      <c r="DJ52" s="179" t="e">
        <f t="shared" ref="DJ52:DQ52" ca="1" si="231">(($AW57/(1+DJ$18)^(($AZ57-$AZ$23)/30)))+($AS57/(1+DJ$18)^(($AZ57-$AZ$23)/30))</f>
        <v>#VALUE!</v>
      </c>
      <c r="DK52" s="179" t="e">
        <f t="shared" ca="1" si="231"/>
        <v>#VALUE!</v>
      </c>
      <c r="DL52" s="179" t="e">
        <f t="shared" ca="1" si="231"/>
        <v>#VALUE!</v>
      </c>
      <c r="DM52" s="179" t="e">
        <f t="shared" ca="1" si="231"/>
        <v>#VALUE!</v>
      </c>
      <c r="DN52" s="179" t="e">
        <f t="shared" ca="1" si="231"/>
        <v>#VALUE!</v>
      </c>
      <c r="DO52" s="179" t="e">
        <f t="shared" ca="1" si="231"/>
        <v>#VALUE!</v>
      </c>
      <c r="DP52" s="179" t="e">
        <f t="shared" ca="1" si="231"/>
        <v>#VALUE!</v>
      </c>
      <c r="DQ52" s="179" t="e">
        <f t="shared" ca="1" si="231"/>
        <v>#VALUE!</v>
      </c>
      <c r="DR52" s="180">
        <f t="shared" ca="1" si="40"/>
        <v>5.7870356057992893</v>
      </c>
      <c r="DS52" s="180">
        <f t="shared" ca="1" si="226"/>
        <v>5.7870356057992893</v>
      </c>
      <c r="DT52" s="180">
        <f t="shared" ca="1" si="226"/>
        <v>5.7870356057992893</v>
      </c>
      <c r="DU52" s="180">
        <f t="shared" ca="1" si="226"/>
        <v>5.7870356057992893</v>
      </c>
      <c r="DV52" s="180">
        <f t="shared" ca="1" si="226"/>
        <v>5.7870356057992893</v>
      </c>
      <c r="DW52" s="180">
        <f t="shared" ca="1" si="226"/>
        <v>5.7870356057992893</v>
      </c>
      <c r="DX52" s="180">
        <f t="shared" ca="1" si="226"/>
        <v>5.7870356057992893</v>
      </c>
      <c r="DY52" s="180">
        <f t="shared" ca="1" si="226"/>
        <v>5.7870356057992893</v>
      </c>
      <c r="DZ52" s="180">
        <f t="shared" ca="1" si="226"/>
        <v>5.7870356057992893</v>
      </c>
      <c r="EA52" s="180">
        <f t="shared" ca="1" si="226"/>
        <v>5.7870356057992893</v>
      </c>
      <c r="EB52" s="180">
        <f t="shared" ca="1" si="226"/>
        <v>5.7870356057992893</v>
      </c>
      <c r="EC52" s="180">
        <f t="shared" ca="1" si="226"/>
        <v>5.7870356057992893</v>
      </c>
      <c r="ED52" s="180">
        <f t="shared" ca="1" si="226"/>
        <v>5.7870356057992893</v>
      </c>
      <c r="EE52" s="180">
        <f t="shared" ca="1" si="226"/>
        <v>5.7870356057992893</v>
      </c>
      <c r="EF52" s="180">
        <f t="shared" ca="1" si="226"/>
        <v>5.7870356057992893</v>
      </c>
      <c r="EG52" s="180">
        <f t="shared" ref="EG52:EO52" ca="1" si="232">IF($AU57&gt;$BA$19,0,$BA57-$AS57)</f>
        <v>5.7870356057992893</v>
      </c>
      <c r="EH52" s="180">
        <f t="shared" ca="1" si="232"/>
        <v>5.7870356057992893</v>
      </c>
      <c r="EI52" s="180">
        <f t="shared" ca="1" si="232"/>
        <v>5.7870356057992893</v>
      </c>
      <c r="EJ52" s="180">
        <f t="shared" ca="1" si="232"/>
        <v>5.7870356057992893</v>
      </c>
      <c r="EK52" s="180">
        <f t="shared" ca="1" si="232"/>
        <v>5.7870356057992893</v>
      </c>
      <c r="EL52" s="180">
        <f t="shared" ca="1" si="232"/>
        <v>5.7870356057992893</v>
      </c>
      <c r="EM52" s="180">
        <f t="shared" ca="1" si="232"/>
        <v>5.7870356057992893</v>
      </c>
      <c r="EN52" s="180">
        <f t="shared" ca="1" si="232"/>
        <v>5.7870356057992893</v>
      </c>
      <c r="EO52" s="180">
        <f t="shared" ca="1" si="232"/>
        <v>5.7870356057992893</v>
      </c>
      <c r="EQ52" s="259">
        <f t="shared" ca="1" si="42"/>
        <v>47187</v>
      </c>
      <c r="ER52" s="87">
        <f t="shared" ca="1" si="215"/>
        <v>5.7870356057992893</v>
      </c>
      <c r="ES52" s="87">
        <f t="shared" ca="1" si="215"/>
        <v>5.7870356057992893</v>
      </c>
      <c r="ET52" s="87">
        <f t="shared" ca="1" si="215"/>
        <v>5.7870356057992893</v>
      </c>
      <c r="EU52" s="87">
        <f t="shared" ca="1" si="215"/>
        <v>5.7870356057992893</v>
      </c>
      <c r="EV52" s="87">
        <f t="shared" ca="1" si="215"/>
        <v>5.7870356057992893</v>
      </c>
      <c r="EW52" s="87">
        <f t="shared" ca="1" si="215"/>
        <v>5.7870356057992893</v>
      </c>
      <c r="EX52" s="87">
        <f t="shared" ca="1" si="215"/>
        <v>5.7870356057992893</v>
      </c>
      <c r="EY52" s="87">
        <f t="shared" ca="1" si="215"/>
        <v>5.7870356057992893</v>
      </c>
      <c r="EZ52" s="87">
        <f t="shared" ca="1" si="215"/>
        <v>5.7870356057992893</v>
      </c>
      <c r="FA52" s="87">
        <f t="shared" ca="1" si="215"/>
        <v>5.7870356057992893</v>
      </c>
      <c r="FB52" s="87">
        <f t="shared" ca="1" si="215"/>
        <v>5.7870356057992893</v>
      </c>
      <c r="FC52" s="87">
        <f t="shared" ca="1" si="215"/>
        <v>5.7870356057992893</v>
      </c>
      <c r="FD52" s="87">
        <f t="shared" ca="1" si="215"/>
        <v>5.7870356057992893</v>
      </c>
      <c r="FE52" s="87">
        <f t="shared" ca="1" si="215"/>
        <v>5.7870356057992893</v>
      </c>
      <c r="FF52" s="87">
        <f t="shared" ca="1" si="215"/>
        <v>5.7870356057992893</v>
      </c>
      <c r="FG52" s="87">
        <f t="shared" ca="1" si="228"/>
        <v>5.7870356057992893</v>
      </c>
      <c r="FH52" s="87">
        <f t="shared" ca="1" si="228"/>
        <v>5.7870356057992893</v>
      </c>
      <c r="FI52" s="87">
        <f t="shared" ca="1" si="228"/>
        <v>5.7870356057992893</v>
      </c>
      <c r="FJ52" s="87">
        <f t="shared" ca="1" si="228"/>
        <v>5.7870356057992893</v>
      </c>
      <c r="FK52" s="87">
        <f t="shared" ca="1" si="228"/>
        <v>5.7870356057992893</v>
      </c>
      <c r="FL52" s="87">
        <f t="shared" ca="1" si="228"/>
        <v>5.7870356057992893</v>
      </c>
      <c r="FM52" s="87">
        <f t="shared" ca="1" si="228"/>
        <v>5.7870356057992893</v>
      </c>
      <c r="FN52" s="87">
        <f t="shared" ca="1" si="228"/>
        <v>5.7870356057992893</v>
      </c>
      <c r="FO52" s="87">
        <f t="shared" ca="1" si="228"/>
        <v>5.7870356057992893</v>
      </c>
      <c r="FP52" s="87">
        <f t="shared" ca="1" si="228"/>
        <v>5.7870356057992893</v>
      </c>
    </row>
    <row r="53" spans="2:172" ht="12.75" hidden="1" customHeight="1" x14ac:dyDescent="0.25">
      <c r="U53" s="175"/>
      <c r="V53" s="176"/>
      <c r="W53" s="176"/>
      <c r="X53" s="87">
        <v>38</v>
      </c>
      <c r="Y53" s="377">
        <f t="shared" ca="1" si="4"/>
        <v>85.212964394200711</v>
      </c>
      <c r="Z53" s="377">
        <f t="shared" si="5"/>
        <v>0</v>
      </c>
      <c r="AA53" s="377">
        <f t="shared" si="6"/>
        <v>0</v>
      </c>
      <c r="AB53" s="377">
        <f t="shared" si="7"/>
        <v>0</v>
      </c>
      <c r="AC53" s="377">
        <f t="shared" si="8"/>
        <v>0</v>
      </c>
      <c r="AD53" s="377">
        <f t="shared" si="9"/>
        <v>0</v>
      </c>
      <c r="AE53" s="377">
        <f t="shared" si="10"/>
        <v>0</v>
      </c>
      <c r="AF53" s="377">
        <f t="shared" si="11"/>
        <v>0</v>
      </c>
      <c r="AG53" s="377">
        <f t="shared" si="12"/>
        <v>0</v>
      </c>
      <c r="AH53" s="377">
        <f t="shared" si="13"/>
        <v>0</v>
      </c>
      <c r="AI53" s="377">
        <f t="shared" si="14"/>
        <v>0</v>
      </c>
      <c r="AJ53" s="377">
        <f t="shared" si="15"/>
        <v>0</v>
      </c>
      <c r="AK53" s="377">
        <f t="shared" si="16"/>
        <v>0</v>
      </c>
      <c r="AL53" s="377">
        <f t="shared" si="17"/>
        <v>0</v>
      </c>
      <c r="AM53" s="377">
        <f t="shared" si="18"/>
        <v>0</v>
      </c>
      <c r="AN53" s="377">
        <f t="shared" si="19"/>
        <v>0</v>
      </c>
      <c r="AO53" s="377">
        <f t="shared" si="20"/>
        <v>0</v>
      </c>
      <c r="AQ53" s="138">
        <v>30</v>
      </c>
      <c r="AR53" s="258">
        <f t="shared" ca="1" si="69"/>
        <v>47067</v>
      </c>
      <c r="AS53" s="378">
        <f t="shared" ca="1" si="70"/>
        <v>85.212964394200711</v>
      </c>
      <c r="AT53" s="138"/>
      <c r="AU53" s="138">
        <v>30</v>
      </c>
      <c r="AV53" s="258">
        <f t="shared" ca="1" si="71"/>
        <v>47097</v>
      </c>
      <c r="AW53" s="378">
        <f t="shared" ca="1" si="72"/>
        <v>5.7870356057992893</v>
      </c>
      <c r="AX53" s="202">
        <f t="shared" ca="1" si="73"/>
        <v>3.27</v>
      </c>
      <c r="AY53" s="138">
        <v>30</v>
      </c>
      <c r="AZ53" s="258">
        <f t="shared" ca="1" si="74"/>
        <v>47097</v>
      </c>
      <c r="BA53" s="378">
        <f t="shared" si="75"/>
        <v>91</v>
      </c>
      <c r="BC53" s="258">
        <f t="shared" ca="1" si="61"/>
        <v>47067</v>
      </c>
      <c r="BD53" s="302">
        <f t="shared" ca="1" si="76"/>
        <v>5.7870356057992893</v>
      </c>
      <c r="BE53" s="133">
        <f t="shared" si="62"/>
        <v>30</v>
      </c>
      <c r="BF53" s="379">
        <f t="shared" ca="1" si="63"/>
        <v>47067</v>
      </c>
      <c r="BG53" s="133">
        <f t="shared" si="77"/>
        <v>91</v>
      </c>
      <c r="BH53" s="133">
        <f t="shared" si="78"/>
        <v>0</v>
      </c>
      <c r="BI53" s="133">
        <f t="shared" si="79"/>
        <v>0</v>
      </c>
      <c r="BJ53" s="133">
        <f t="shared" si="80"/>
        <v>0</v>
      </c>
      <c r="BK53" s="133">
        <f t="shared" si="81"/>
        <v>0</v>
      </c>
      <c r="BL53" s="133">
        <f t="shared" si="82"/>
        <v>0</v>
      </c>
      <c r="BM53" s="133">
        <f t="shared" si="83"/>
        <v>0</v>
      </c>
      <c r="BN53" s="133">
        <f t="shared" si="84"/>
        <v>0</v>
      </c>
      <c r="BO53" s="133">
        <f t="shared" si="85"/>
        <v>0</v>
      </c>
      <c r="BP53" s="133">
        <f t="shared" si="86"/>
        <v>0</v>
      </c>
      <c r="BQ53" s="133">
        <f t="shared" si="87"/>
        <v>0</v>
      </c>
      <c r="BR53" s="133">
        <f t="shared" si="88"/>
        <v>0</v>
      </c>
      <c r="BS53" s="133">
        <f t="shared" si="89"/>
        <v>0</v>
      </c>
      <c r="BT53" s="133">
        <f t="shared" si="90"/>
        <v>0</v>
      </c>
      <c r="BU53" s="133">
        <f t="shared" si="91"/>
        <v>0</v>
      </c>
      <c r="BV53" s="133">
        <f t="shared" si="92"/>
        <v>0</v>
      </c>
      <c r="BW53" s="133">
        <f t="shared" si="93"/>
        <v>0</v>
      </c>
      <c r="BX53" s="267"/>
      <c r="BY53" s="267"/>
      <c r="BZ53" s="267"/>
      <c r="CA53" s="267"/>
      <c r="CB53" s="267"/>
      <c r="CC53" s="267"/>
      <c r="CD53" s="267"/>
      <c r="CE53" s="267"/>
      <c r="CF53" s="267"/>
      <c r="CG53" s="267"/>
      <c r="CS53" s="178">
        <v>35</v>
      </c>
      <c r="CT53" s="259">
        <f t="shared" ca="1" si="29"/>
        <v>47248</v>
      </c>
      <c r="CU53" s="179">
        <f t="shared" ref="CU53:DC53" ca="1" si="233">(($AW58/(1+CU$18)^(($AZ58-$AZ$23)/30)))+($AS58/(1+CU$18)^(($AZ58-$AZ$23)/30))</f>
        <v>46.865363033227766</v>
      </c>
      <c r="CV53" s="179">
        <f t="shared" ca="1" si="233"/>
        <v>47.705870913647786</v>
      </c>
      <c r="CW53" s="179">
        <f t="shared" ca="1" si="233"/>
        <v>48.217596107454334</v>
      </c>
      <c r="CX53" s="179">
        <f t="shared" ca="1" si="233"/>
        <v>48.734963712486859</v>
      </c>
      <c r="CY53" s="179">
        <f t="shared" ca="1" si="233"/>
        <v>49.258037634759397</v>
      </c>
      <c r="CZ53" s="179">
        <f t="shared" ca="1" si="233"/>
        <v>49.786882523252771</v>
      </c>
      <c r="DA53" s="179">
        <f t="shared" ca="1" si="233"/>
        <v>50.142684140080505</v>
      </c>
      <c r="DB53" s="179">
        <f t="shared" ca="1" si="233"/>
        <v>50.8621475629419</v>
      </c>
      <c r="DC53" s="179">
        <f t="shared" ca="1" si="233"/>
        <v>51.225848955588326</v>
      </c>
      <c r="DD53" s="179">
        <f t="shared" ref="DD53:DI53" ca="1" si="234">(($AW58/(1+DD$18)^(($AZ58-$AZ$23)/30)))+($AS58/(1+DD$18)^(($AZ58-$AZ$23)/30))</f>
        <v>51.592223449124603</v>
      </c>
      <c r="DE53" s="179">
        <f t="shared" ca="1" si="234"/>
        <v>51.961291222192202</v>
      </c>
      <c r="DF53" s="179" t="e">
        <f t="shared" ca="1" si="234"/>
        <v>#VALUE!</v>
      </c>
      <c r="DG53" s="179" t="e">
        <f t="shared" ca="1" si="234"/>
        <v>#VALUE!</v>
      </c>
      <c r="DH53" s="179" t="e">
        <f t="shared" ca="1" si="234"/>
        <v>#VALUE!</v>
      </c>
      <c r="DI53" s="179" t="e">
        <f t="shared" ca="1" si="234"/>
        <v>#VALUE!</v>
      </c>
      <c r="DJ53" s="179" t="e">
        <f t="shared" ref="DJ53:DQ53" ca="1" si="235">(($AW58/(1+DJ$18)^(($AZ58-$AZ$23)/30)))+($AS58/(1+DJ$18)^(($AZ58-$AZ$23)/30))</f>
        <v>#VALUE!</v>
      </c>
      <c r="DK53" s="179" t="e">
        <f t="shared" ca="1" si="235"/>
        <v>#VALUE!</v>
      </c>
      <c r="DL53" s="179" t="e">
        <f t="shared" ca="1" si="235"/>
        <v>#VALUE!</v>
      </c>
      <c r="DM53" s="179" t="e">
        <f t="shared" ca="1" si="235"/>
        <v>#VALUE!</v>
      </c>
      <c r="DN53" s="179" t="e">
        <f t="shared" ca="1" si="235"/>
        <v>#VALUE!</v>
      </c>
      <c r="DO53" s="179" t="e">
        <f t="shared" ca="1" si="235"/>
        <v>#VALUE!</v>
      </c>
      <c r="DP53" s="179" t="e">
        <f t="shared" ca="1" si="235"/>
        <v>#VALUE!</v>
      </c>
      <c r="DQ53" s="179" t="e">
        <f t="shared" ca="1" si="235"/>
        <v>#VALUE!</v>
      </c>
      <c r="DR53" s="180">
        <f t="shared" ca="1" si="40"/>
        <v>5.7870356057992893</v>
      </c>
      <c r="DS53" s="180">
        <f t="shared" ca="1" si="226"/>
        <v>5.7870356057992893</v>
      </c>
      <c r="DT53" s="180">
        <f t="shared" ca="1" si="226"/>
        <v>5.7870356057992893</v>
      </c>
      <c r="DU53" s="180">
        <f t="shared" ca="1" si="226"/>
        <v>5.7870356057992893</v>
      </c>
      <c r="DV53" s="180">
        <f t="shared" ca="1" si="226"/>
        <v>5.7870356057992893</v>
      </c>
      <c r="DW53" s="180">
        <f t="shared" ca="1" si="226"/>
        <v>5.7870356057992893</v>
      </c>
      <c r="DX53" s="180">
        <f t="shared" ca="1" si="226"/>
        <v>5.7870356057992893</v>
      </c>
      <c r="DY53" s="180">
        <f t="shared" ca="1" si="226"/>
        <v>5.7870356057992893</v>
      </c>
      <c r="DZ53" s="180">
        <f t="shared" ca="1" si="226"/>
        <v>5.7870356057992893</v>
      </c>
      <c r="EA53" s="180">
        <f t="shared" ca="1" si="226"/>
        <v>5.7870356057992893</v>
      </c>
      <c r="EB53" s="180">
        <f t="shared" ca="1" si="226"/>
        <v>5.7870356057992893</v>
      </c>
      <c r="EC53" s="180">
        <f t="shared" ca="1" si="226"/>
        <v>5.7870356057992893</v>
      </c>
      <c r="ED53" s="180">
        <f t="shared" ca="1" si="226"/>
        <v>5.7870356057992893</v>
      </c>
      <c r="EE53" s="180">
        <f t="shared" ca="1" si="226"/>
        <v>5.7870356057992893</v>
      </c>
      <c r="EF53" s="180">
        <f t="shared" ca="1" si="226"/>
        <v>5.7870356057992893</v>
      </c>
      <c r="EG53" s="180">
        <f t="shared" ref="EG53:EO53" ca="1" si="236">IF($AU58&gt;$BA$19,0,$BA58-$AS58)</f>
        <v>5.7870356057992893</v>
      </c>
      <c r="EH53" s="180">
        <f t="shared" ca="1" si="236"/>
        <v>5.7870356057992893</v>
      </c>
      <c r="EI53" s="180">
        <f t="shared" ca="1" si="236"/>
        <v>5.7870356057992893</v>
      </c>
      <c r="EJ53" s="180">
        <f t="shared" ca="1" si="236"/>
        <v>5.7870356057992893</v>
      </c>
      <c r="EK53" s="180">
        <f t="shared" ca="1" si="236"/>
        <v>5.7870356057992893</v>
      </c>
      <c r="EL53" s="180">
        <f t="shared" ca="1" si="236"/>
        <v>5.7870356057992893</v>
      </c>
      <c r="EM53" s="180">
        <f t="shared" ca="1" si="236"/>
        <v>5.7870356057992893</v>
      </c>
      <c r="EN53" s="180">
        <f t="shared" ca="1" si="236"/>
        <v>5.7870356057992893</v>
      </c>
      <c r="EO53" s="180">
        <f t="shared" ca="1" si="236"/>
        <v>5.7870356057992893</v>
      </c>
      <c r="EQ53" s="259">
        <f t="shared" ca="1" si="42"/>
        <v>47218</v>
      </c>
      <c r="ER53" s="87">
        <f t="shared" ca="1" si="215"/>
        <v>5.7870356057992893</v>
      </c>
      <c r="ES53" s="87">
        <f t="shared" ca="1" si="215"/>
        <v>5.7870356057992893</v>
      </c>
      <c r="ET53" s="87">
        <f t="shared" ca="1" si="215"/>
        <v>5.7870356057992893</v>
      </c>
      <c r="EU53" s="87">
        <f t="shared" ca="1" si="215"/>
        <v>5.7870356057992893</v>
      </c>
      <c r="EV53" s="87">
        <f t="shared" ca="1" si="215"/>
        <v>5.7870356057992893</v>
      </c>
      <c r="EW53" s="87">
        <f t="shared" ca="1" si="215"/>
        <v>5.7870356057992893</v>
      </c>
      <c r="EX53" s="87">
        <f t="shared" ca="1" si="215"/>
        <v>5.7870356057992893</v>
      </c>
      <c r="EY53" s="87">
        <f t="shared" ca="1" si="215"/>
        <v>5.7870356057992893</v>
      </c>
      <c r="EZ53" s="87">
        <f t="shared" ca="1" si="215"/>
        <v>5.7870356057992893</v>
      </c>
      <c r="FA53" s="87">
        <f t="shared" ca="1" si="215"/>
        <v>5.7870356057992893</v>
      </c>
      <c r="FB53" s="87">
        <f t="shared" ca="1" si="215"/>
        <v>5.7870356057992893</v>
      </c>
      <c r="FC53" s="87">
        <f t="shared" ca="1" si="215"/>
        <v>5.7870356057992893</v>
      </c>
      <c r="FD53" s="87">
        <f t="shared" ca="1" si="215"/>
        <v>5.7870356057992893</v>
      </c>
      <c r="FE53" s="87">
        <f t="shared" ca="1" si="215"/>
        <v>5.7870356057992893</v>
      </c>
      <c r="FF53" s="87">
        <f t="shared" ca="1" si="215"/>
        <v>5.7870356057992893</v>
      </c>
      <c r="FG53" s="87">
        <f t="shared" ca="1" si="228"/>
        <v>5.7870356057992893</v>
      </c>
      <c r="FH53" s="87">
        <f t="shared" ca="1" si="228"/>
        <v>5.7870356057992893</v>
      </c>
      <c r="FI53" s="87">
        <f t="shared" ca="1" si="228"/>
        <v>5.7870356057992893</v>
      </c>
      <c r="FJ53" s="87">
        <f t="shared" ca="1" si="228"/>
        <v>5.7870356057992893</v>
      </c>
      <c r="FK53" s="87">
        <f t="shared" ca="1" si="228"/>
        <v>5.7870356057992893</v>
      </c>
      <c r="FL53" s="87">
        <f t="shared" ca="1" si="228"/>
        <v>5.7870356057992893</v>
      </c>
      <c r="FM53" s="87">
        <f t="shared" ca="1" si="228"/>
        <v>5.7870356057992893</v>
      </c>
      <c r="FN53" s="87">
        <f t="shared" ca="1" si="228"/>
        <v>5.7870356057992893</v>
      </c>
      <c r="FO53" s="87">
        <f t="shared" ca="1" si="228"/>
        <v>5.7870356057992893</v>
      </c>
      <c r="FP53" s="87">
        <f t="shared" ca="1" si="228"/>
        <v>5.7870356057992893</v>
      </c>
    </row>
    <row r="54" spans="2:172" ht="12.75" customHeight="1" x14ac:dyDescent="0.25">
      <c r="D54" s="452" t="str">
        <f ca="1">IF(P43&gt;0,"* Tabelas com condições mínimas para liberação","")</f>
        <v>* Tabelas com condições mínimas para liberação</v>
      </c>
      <c r="E54" s="446"/>
      <c r="F54" s="573" t="s">
        <v>43</v>
      </c>
      <c r="G54" s="446"/>
      <c r="H54" s="576">
        <f ca="1">W9</f>
        <v>46162</v>
      </c>
      <c r="I54" s="446"/>
      <c r="J54" s="446"/>
      <c r="K54" s="446"/>
      <c r="L54" s="446"/>
      <c r="M54" s="446"/>
      <c r="U54" s="175"/>
      <c r="V54" s="176"/>
      <c r="W54" s="176"/>
      <c r="X54" s="87">
        <v>39</v>
      </c>
      <c r="Y54" s="377">
        <f t="shared" ca="1" si="4"/>
        <v>85.212964394200711</v>
      </c>
      <c r="Z54" s="377">
        <f t="shared" si="5"/>
        <v>0</v>
      </c>
      <c r="AA54" s="377">
        <f t="shared" si="6"/>
        <v>0</v>
      </c>
      <c r="AB54" s="377">
        <f t="shared" si="7"/>
        <v>0</v>
      </c>
      <c r="AC54" s="377">
        <f t="shared" si="8"/>
        <v>0</v>
      </c>
      <c r="AD54" s="377">
        <f t="shared" si="9"/>
        <v>0</v>
      </c>
      <c r="AE54" s="377">
        <f t="shared" si="10"/>
        <v>0</v>
      </c>
      <c r="AF54" s="377">
        <f t="shared" si="11"/>
        <v>0</v>
      </c>
      <c r="AG54" s="377">
        <f t="shared" si="12"/>
        <v>0</v>
      </c>
      <c r="AH54" s="377">
        <f t="shared" si="13"/>
        <v>0</v>
      </c>
      <c r="AI54" s="377">
        <f t="shared" si="14"/>
        <v>0</v>
      </c>
      <c r="AJ54" s="377">
        <f t="shared" si="15"/>
        <v>0</v>
      </c>
      <c r="AK54" s="377">
        <f t="shared" si="16"/>
        <v>0</v>
      </c>
      <c r="AL54" s="377">
        <f t="shared" si="17"/>
        <v>0</v>
      </c>
      <c r="AM54" s="377">
        <f t="shared" si="18"/>
        <v>0</v>
      </c>
      <c r="AN54" s="377">
        <f t="shared" si="19"/>
        <v>0</v>
      </c>
      <c r="AO54" s="377">
        <f t="shared" si="20"/>
        <v>0</v>
      </c>
      <c r="AQ54" s="138">
        <v>31</v>
      </c>
      <c r="AR54" s="258">
        <f t="shared" ca="1" si="69"/>
        <v>47097</v>
      </c>
      <c r="AS54" s="378">
        <f t="shared" ca="1" si="70"/>
        <v>85.212964394200711</v>
      </c>
      <c r="AT54" s="138"/>
      <c r="AU54" s="138">
        <v>31</v>
      </c>
      <c r="AV54" s="258">
        <f t="shared" ca="1" si="71"/>
        <v>47128</v>
      </c>
      <c r="AW54" s="378">
        <f t="shared" ca="1" si="72"/>
        <v>5.7870356057992893</v>
      </c>
      <c r="AX54" s="202">
        <f t="shared" ca="1" si="73"/>
        <v>3.21</v>
      </c>
      <c r="AY54" s="138">
        <v>31</v>
      </c>
      <c r="AZ54" s="258">
        <f t="shared" ca="1" si="74"/>
        <v>47128</v>
      </c>
      <c r="BA54" s="378">
        <f t="shared" si="75"/>
        <v>91</v>
      </c>
      <c r="BC54" s="258">
        <f t="shared" ca="1" si="61"/>
        <v>47097</v>
      </c>
      <c r="BD54" s="302">
        <f t="shared" ca="1" si="76"/>
        <v>5.7870356057992893</v>
      </c>
      <c r="BE54" s="133">
        <f t="shared" si="62"/>
        <v>31</v>
      </c>
      <c r="BF54" s="379">
        <f t="shared" ca="1" si="63"/>
        <v>47097</v>
      </c>
      <c r="BG54" s="133">
        <f t="shared" si="77"/>
        <v>91</v>
      </c>
      <c r="BH54" s="133">
        <f t="shared" si="78"/>
        <v>0</v>
      </c>
      <c r="BI54" s="133">
        <f t="shared" si="79"/>
        <v>0</v>
      </c>
      <c r="BJ54" s="133">
        <f t="shared" si="80"/>
        <v>0</v>
      </c>
      <c r="BK54" s="133">
        <f t="shared" si="81"/>
        <v>0</v>
      </c>
      <c r="BL54" s="133">
        <f t="shared" si="82"/>
        <v>0</v>
      </c>
      <c r="BM54" s="133">
        <f t="shared" si="83"/>
        <v>0</v>
      </c>
      <c r="BN54" s="133">
        <f t="shared" si="84"/>
        <v>0</v>
      </c>
      <c r="BO54" s="133">
        <f t="shared" si="85"/>
        <v>0</v>
      </c>
      <c r="BP54" s="133">
        <f t="shared" si="86"/>
        <v>0</v>
      </c>
      <c r="BQ54" s="133">
        <f t="shared" si="87"/>
        <v>0</v>
      </c>
      <c r="BR54" s="133">
        <f t="shared" si="88"/>
        <v>0</v>
      </c>
      <c r="BS54" s="133">
        <f t="shared" si="89"/>
        <v>0</v>
      </c>
      <c r="BT54" s="133">
        <f t="shared" si="90"/>
        <v>0</v>
      </c>
      <c r="BU54" s="133">
        <f t="shared" si="91"/>
        <v>0</v>
      </c>
      <c r="BV54" s="133">
        <f t="shared" si="92"/>
        <v>0</v>
      </c>
      <c r="BW54" s="133">
        <f t="shared" si="93"/>
        <v>0</v>
      </c>
      <c r="BX54" s="267"/>
      <c r="BY54" s="267"/>
      <c r="BZ54" s="267"/>
      <c r="CA54" s="267"/>
      <c r="CB54" s="267"/>
      <c r="CC54" s="267"/>
      <c r="CD54" s="267"/>
      <c r="CE54" s="267"/>
      <c r="CF54" s="267"/>
      <c r="CG54" s="267"/>
      <c r="CS54" s="138">
        <v>36</v>
      </c>
      <c r="CT54" s="259">
        <f t="shared" ca="1" si="29"/>
        <v>47279</v>
      </c>
      <c r="CU54" s="179">
        <f t="shared" ref="CU54:DC54" ca="1" si="237">(($AW59/(1+CU$18)^(($AZ59-$AZ$23)/30)))+($AS59/(1+CU$18)^(($AZ59-$AZ$23)/30))</f>
        <v>45.985994647958272</v>
      </c>
      <c r="CV54" s="179">
        <f t="shared" ca="1" si="237"/>
        <v>46.834489573605509</v>
      </c>
      <c r="CW54" s="179">
        <f t="shared" ca="1" si="237"/>
        <v>47.351287026084719</v>
      </c>
      <c r="CX54" s="179">
        <f t="shared" ca="1" si="237"/>
        <v>47.873941998750226</v>
      </c>
      <c r="CY54" s="179">
        <f t="shared" ca="1" si="237"/>
        <v>48.402522638944035</v>
      </c>
      <c r="CZ54" s="179">
        <f t="shared" ca="1" si="237"/>
        <v>48.937097907293456</v>
      </c>
      <c r="DA54" s="179">
        <f t="shared" ca="1" si="237"/>
        <v>49.296846195488442</v>
      </c>
      <c r="DB54" s="179">
        <f t="shared" ca="1" si="237"/>
        <v>50.024512297230459</v>
      </c>
      <c r="DC54" s="179">
        <f t="shared" ca="1" si="237"/>
        <v>50.392472374034568</v>
      </c>
      <c r="DD54" s="179">
        <f t="shared" ref="DD54:DI54" ca="1" si="238">(($AW59/(1+DD$18)^(($AZ59-$AZ$23)/30)))+($AS59/(1+DD$18)^(($AZ59-$AZ$23)/30))</f>
        <v>50.763212257153057</v>
      </c>
      <c r="DE54" s="179">
        <f t="shared" ca="1" si="238"/>
        <v>51.136753500551698</v>
      </c>
      <c r="DF54" s="179" t="e">
        <f t="shared" ca="1" si="238"/>
        <v>#VALUE!</v>
      </c>
      <c r="DG54" s="179" t="e">
        <f t="shared" ca="1" si="238"/>
        <v>#VALUE!</v>
      </c>
      <c r="DH54" s="179" t="e">
        <f t="shared" ca="1" si="238"/>
        <v>#VALUE!</v>
      </c>
      <c r="DI54" s="179" t="e">
        <f t="shared" ca="1" si="238"/>
        <v>#VALUE!</v>
      </c>
      <c r="DJ54" s="179" t="e">
        <f t="shared" ref="DJ54:DQ54" ca="1" si="239">(($AW59/(1+DJ$18)^(($AZ59-$AZ$23)/30)))+($AS59/(1+DJ$18)^(($AZ59-$AZ$23)/30))</f>
        <v>#VALUE!</v>
      </c>
      <c r="DK54" s="179" t="e">
        <f t="shared" ca="1" si="239"/>
        <v>#VALUE!</v>
      </c>
      <c r="DL54" s="179" t="e">
        <f t="shared" ca="1" si="239"/>
        <v>#VALUE!</v>
      </c>
      <c r="DM54" s="179" t="e">
        <f t="shared" ca="1" si="239"/>
        <v>#VALUE!</v>
      </c>
      <c r="DN54" s="179" t="e">
        <f t="shared" ca="1" si="239"/>
        <v>#VALUE!</v>
      </c>
      <c r="DO54" s="179" t="e">
        <f t="shared" ca="1" si="239"/>
        <v>#VALUE!</v>
      </c>
      <c r="DP54" s="179" t="e">
        <f t="shared" ca="1" si="239"/>
        <v>#VALUE!</v>
      </c>
      <c r="DQ54" s="179" t="e">
        <f t="shared" ca="1" si="239"/>
        <v>#VALUE!</v>
      </c>
      <c r="DR54" s="180">
        <f t="shared" ca="1" si="40"/>
        <v>5.7870356057992893</v>
      </c>
      <c r="DS54" s="180">
        <f t="shared" ca="1" si="226"/>
        <v>5.7870356057992893</v>
      </c>
      <c r="DT54" s="180">
        <f t="shared" ca="1" si="226"/>
        <v>5.7870356057992893</v>
      </c>
      <c r="DU54" s="180">
        <f t="shared" ca="1" si="226"/>
        <v>5.7870356057992893</v>
      </c>
      <c r="DV54" s="180">
        <f t="shared" ca="1" si="226"/>
        <v>5.7870356057992893</v>
      </c>
      <c r="DW54" s="180">
        <f t="shared" ca="1" si="226"/>
        <v>5.7870356057992893</v>
      </c>
      <c r="DX54" s="180">
        <f t="shared" ca="1" si="226"/>
        <v>5.7870356057992893</v>
      </c>
      <c r="DY54" s="180">
        <f t="shared" ca="1" si="226"/>
        <v>5.7870356057992893</v>
      </c>
      <c r="DZ54" s="180">
        <f t="shared" ca="1" si="226"/>
        <v>5.7870356057992893</v>
      </c>
      <c r="EA54" s="180">
        <f t="shared" ca="1" si="226"/>
        <v>5.7870356057992893</v>
      </c>
      <c r="EB54" s="180">
        <f t="shared" ca="1" si="226"/>
        <v>5.7870356057992893</v>
      </c>
      <c r="EC54" s="180">
        <f t="shared" ca="1" si="226"/>
        <v>5.7870356057992893</v>
      </c>
      <c r="ED54" s="180">
        <f t="shared" ca="1" si="226"/>
        <v>5.7870356057992893</v>
      </c>
      <c r="EE54" s="180">
        <f t="shared" ca="1" si="226"/>
        <v>5.7870356057992893</v>
      </c>
      <c r="EF54" s="180">
        <f t="shared" ca="1" si="226"/>
        <v>5.7870356057992893</v>
      </c>
      <c r="EG54" s="180">
        <f t="shared" ref="EG54:EO54" ca="1" si="240">IF($AU59&gt;$BA$19,0,$BA59-$AS59)</f>
        <v>5.7870356057992893</v>
      </c>
      <c r="EH54" s="180">
        <f t="shared" ca="1" si="240"/>
        <v>5.7870356057992893</v>
      </c>
      <c r="EI54" s="180">
        <f t="shared" ca="1" si="240"/>
        <v>5.7870356057992893</v>
      </c>
      <c r="EJ54" s="180">
        <f t="shared" ca="1" si="240"/>
        <v>5.7870356057992893</v>
      </c>
      <c r="EK54" s="180">
        <f t="shared" ca="1" si="240"/>
        <v>5.7870356057992893</v>
      </c>
      <c r="EL54" s="180">
        <f t="shared" ca="1" si="240"/>
        <v>5.7870356057992893</v>
      </c>
      <c r="EM54" s="180">
        <f t="shared" ca="1" si="240"/>
        <v>5.7870356057992893</v>
      </c>
      <c r="EN54" s="180">
        <f t="shared" ca="1" si="240"/>
        <v>5.7870356057992893</v>
      </c>
      <c r="EO54" s="180">
        <f t="shared" ca="1" si="240"/>
        <v>5.7870356057992893</v>
      </c>
      <c r="EQ54" s="259">
        <f t="shared" ca="1" si="42"/>
        <v>47248</v>
      </c>
      <c r="ER54" s="87">
        <f t="shared" ca="1" si="215"/>
        <v>5.7870356057992893</v>
      </c>
      <c r="ES54" s="87">
        <f t="shared" ca="1" si="215"/>
        <v>5.7870356057992893</v>
      </c>
      <c r="ET54" s="87">
        <f t="shared" ca="1" si="215"/>
        <v>5.7870356057992893</v>
      </c>
      <c r="EU54" s="87">
        <f t="shared" ca="1" si="215"/>
        <v>5.7870356057992893</v>
      </c>
      <c r="EV54" s="87">
        <f t="shared" ca="1" si="215"/>
        <v>5.7870356057992893</v>
      </c>
      <c r="EW54" s="87">
        <f t="shared" ca="1" si="215"/>
        <v>5.7870356057992893</v>
      </c>
      <c r="EX54" s="87">
        <f t="shared" ca="1" si="215"/>
        <v>5.7870356057992893</v>
      </c>
      <c r="EY54" s="87">
        <f t="shared" ca="1" si="215"/>
        <v>5.7870356057992893</v>
      </c>
      <c r="EZ54" s="87">
        <f t="shared" ca="1" si="215"/>
        <v>5.7870356057992893</v>
      </c>
      <c r="FA54" s="87">
        <f t="shared" ca="1" si="215"/>
        <v>5.7870356057992893</v>
      </c>
      <c r="FB54" s="87">
        <f t="shared" ca="1" si="215"/>
        <v>5.7870356057992893</v>
      </c>
      <c r="FC54" s="87">
        <f t="shared" ca="1" si="215"/>
        <v>5.7870356057992893</v>
      </c>
      <c r="FD54" s="87">
        <f t="shared" ca="1" si="215"/>
        <v>5.7870356057992893</v>
      </c>
      <c r="FE54" s="87">
        <f t="shared" ca="1" si="215"/>
        <v>5.7870356057992893</v>
      </c>
      <c r="FF54" s="87">
        <f t="shared" ca="1" si="215"/>
        <v>5.7870356057992893</v>
      </c>
      <c r="FG54" s="87">
        <f t="shared" ca="1" si="228"/>
        <v>5.7870356057992893</v>
      </c>
      <c r="FH54" s="87">
        <f t="shared" ca="1" si="228"/>
        <v>5.7870356057992893</v>
      </c>
      <c r="FI54" s="87">
        <f t="shared" ca="1" si="228"/>
        <v>5.7870356057992893</v>
      </c>
      <c r="FJ54" s="87">
        <f t="shared" ca="1" si="228"/>
        <v>5.7870356057992893</v>
      </c>
      <c r="FK54" s="87">
        <f t="shared" ca="1" si="228"/>
        <v>5.7870356057992893</v>
      </c>
      <c r="FL54" s="87">
        <f t="shared" ca="1" si="228"/>
        <v>5.7870356057992893</v>
      </c>
      <c r="FM54" s="87">
        <f t="shared" ca="1" si="228"/>
        <v>5.7870356057992893</v>
      </c>
      <c r="FN54" s="87">
        <f t="shared" ca="1" si="228"/>
        <v>5.7870356057992893</v>
      </c>
      <c r="FO54" s="87">
        <f t="shared" ca="1" si="228"/>
        <v>5.7870356057992893</v>
      </c>
      <c r="FP54" s="87">
        <f t="shared" ca="1" si="228"/>
        <v>5.7870356057992893</v>
      </c>
    </row>
    <row r="55" spans="2:172" ht="12.75" customHeight="1" x14ac:dyDescent="0.25">
      <c r="U55" s="175"/>
      <c r="V55" s="176"/>
      <c r="W55" s="176"/>
      <c r="X55" s="87">
        <v>40</v>
      </c>
      <c r="Y55" s="377">
        <f t="shared" ca="1" si="4"/>
        <v>85.212964394200711</v>
      </c>
      <c r="Z55" s="377">
        <f t="shared" si="5"/>
        <v>0</v>
      </c>
      <c r="AA55" s="377">
        <f t="shared" si="6"/>
        <v>0</v>
      </c>
      <c r="AB55" s="377">
        <f t="shared" si="7"/>
        <v>0</v>
      </c>
      <c r="AC55" s="377">
        <f t="shared" si="8"/>
        <v>0</v>
      </c>
      <c r="AD55" s="377">
        <f t="shared" si="9"/>
        <v>0</v>
      </c>
      <c r="AE55" s="377">
        <f t="shared" si="10"/>
        <v>0</v>
      </c>
      <c r="AF55" s="377">
        <f t="shared" si="11"/>
        <v>0</v>
      </c>
      <c r="AG55" s="377">
        <f t="shared" si="12"/>
        <v>0</v>
      </c>
      <c r="AH55" s="377">
        <f t="shared" si="13"/>
        <v>0</v>
      </c>
      <c r="AI55" s="377">
        <f t="shared" si="14"/>
        <v>0</v>
      </c>
      <c r="AJ55" s="377">
        <f t="shared" si="15"/>
        <v>0</v>
      </c>
      <c r="AK55" s="377">
        <f t="shared" si="16"/>
        <v>0</v>
      </c>
      <c r="AL55" s="377">
        <f t="shared" si="17"/>
        <v>0</v>
      </c>
      <c r="AM55" s="377">
        <f t="shared" si="18"/>
        <v>0</v>
      </c>
      <c r="AN55" s="377">
        <f t="shared" si="19"/>
        <v>0</v>
      </c>
      <c r="AO55" s="377">
        <f t="shared" si="20"/>
        <v>0</v>
      </c>
      <c r="AQ55" s="138">
        <v>32</v>
      </c>
      <c r="AR55" s="258">
        <f t="shared" ca="1" si="69"/>
        <v>47128</v>
      </c>
      <c r="AS55" s="378">
        <f t="shared" ca="1" si="70"/>
        <v>85.212964394200711</v>
      </c>
      <c r="AT55" s="138"/>
      <c r="AU55" s="138">
        <v>32</v>
      </c>
      <c r="AV55" s="258">
        <f t="shared" ca="1" si="71"/>
        <v>47159</v>
      </c>
      <c r="AW55" s="378">
        <f t="shared" ca="1" si="72"/>
        <v>5.7870356057992893</v>
      </c>
      <c r="AX55" s="202">
        <f t="shared" ca="1" si="73"/>
        <v>3.15</v>
      </c>
      <c r="AY55" s="138">
        <v>32</v>
      </c>
      <c r="AZ55" s="258">
        <f t="shared" ca="1" si="74"/>
        <v>47159</v>
      </c>
      <c r="BA55" s="378">
        <f t="shared" si="75"/>
        <v>91</v>
      </c>
      <c r="BC55" s="258">
        <f t="shared" ca="1" si="61"/>
        <v>47128</v>
      </c>
      <c r="BD55" s="302">
        <f t="shared" ca="1" si="76"/>
        <v>5.7870356057992893</v>
      </c>
      <c r="BE55" s="133">
        <f t="shared" si="62"/>
        <v>32</v>
      </c>
      <c r="BF55" s="379">
        <f t="shared" ca="1" si="63"/>
        <v>47128</v>
      </c>
      <c r="BG55" s="133">
        <f t="shared" si="77"/>
        <v>91</v>
      </c>
      <c r="BH55" s="133">
        <f t="shared" si="78"/>
        <v>0</v>
      </c>
      <c r="BI55" s="133">
        <f t="shared" si="79"/>
        <v>0</v>
      </c>
      <c r="BJ55" s="133">
        <f t="shared" si="80"/>
        <v>0</v>
      </c>
      <c r="BK55" s="133">
        <f t="shared" si="81"/>
        <v>0</v>
      </c>
      <c r="BL55" s="133">
        <f t="shared" si="82"/>
        <v>0</v>
      </c>
      <c r="BM55" s="133">
        <f t="shared" si="83"/>
        <v>0</v>
      </c>
      <c r="BN55" s="133">
        <f t="shared" si="84"/>
        <v>0</v>
      </c>
      <c r="BO55" s="133">
        <f t="shared" si="85"/>
        <v>0</v>
      </c>
      <c r="BP55" s="133">
        <f t="shared" si="86"/>
        <v>0</v>
      </c>
      <c r="BQ55" s="133">
        <f t="shared" si="87"/>
        <v>0</v>
      </c>
      <c r="BR55" s="133">
        <f t="shared" si="88"/>
        <v>0</v>
      </c>
      <c r="BS55" s="133">
        <f t="shared" si="89"/>
        <v>0</v>
      </c>
      <c r="BT55" s="133">
        <f t="shared" si="90"/>
        <v>0</v>
      </c>
      <c r="BU55" s="133">
        <f t="shared" si="91"/>
        <v>0</v>
      </c>
      <c r="BV55" s="133">
        <f t="shared" si="92"/>
        <v>0</v>
      </c>
      <c r="BW55" s="133">
        <f t="shared" si="93"/>
        <v>0</v>
      </c>
      <c r="BX55" s="267"/>
      <c r="BY55" s="267"/>
      <c r="BZ55" s="267"/>
      <c r="CA55" s="267"/>
      <c r="CB55" s="267"/>
      <c r="CC55" s="267"/>
      <c r="CD55" s="267"/>
      <c r="CE55" s="267"/>
      <c r="CF55" s="267"/>
      <c r="CG55" s="267"/>
      <c r="CS55" s="87">
        <v>37</v>
      </c>
      <c r="CT55" s="259">
        <f t="shared" ca="1" si="29"/>
        <v>47309</v>
      </c>
      <c r="CU55" s="179">
        <f t="shared" ref="CU55:DC55" ca="1" si="241">(($AW60/(1+CU$18)^(($AZ60-$AZ$23)/30)))+($AS60/(1+CU$18)^(($AZ60-$AZ$23)/30))</f>
        <v>45.150706576296791</v>
      </c>
      <c r="CV55" s="179">
        <f t="shared" ca="1" si="241"/>
        <v>46.006374826724468</v>
      </c>
      <c r="CW55" s="179">
        <f t="shared" ca="1" si="241"/>
        <v>46.527745923243302</v>
      </c>
      <c r="CX55" s="179">
        <f t="shared" ca="1" si="241"/>
        <v>47.055181834824275</v>
      </c>
      <c r="CY55" s="179">
        <f t="shared" ca="1" si="241"/>
        <v>47.588754929647074</v>
      </c>
      <c r="CZ55" s="179">
        <f t="shared" ca="1" si="241"/>
        <v>48.128538461146199</v>
      </c>
      <c r="DA55" s="179">
        <f t="shared" ca="1" si="241"/>
        <v>48.491880971363813</v>
      </c>
      <c r="DB55" s="179">
        <f t="shared" ca="1" si="241"/>
        <v>49.22703434090775</v>
      </c>
      <c r="DC55" s="179">
        <f t="shared" ca="1" si="241"/>
        <v>49.598890131923795</v>
      </c>
      <c r="DD55" s="179">
        <f t="shared" ref="DD55:DI55" ca="1" si="242">(($AW60/(1+DD$18)^(($AZ60-$AZ$23)/30)))+($AS60/(1+DD$18)^(($AZ60-$AZ$23)/30))</f>
        <v>49.97362892021367</v>
      </c>
      <c r="DE55" s="179">
        <f t="shared" ca="1" si="242"/>
        <v>50.351273631894138</v>
      </c>
      <c r="DF55" s="179" t="e">
        <f t="shared" ca="1" si="242"/>
        <v>#VALUE!</v>
      </c>
      <c r="DG55" s="179" t="e">
        <f t="shared" ca="1" si="242"/>
        <v>#VALUE!</v>
      </c>
      <c r="DH55" s="179" t="e">
        <f t="shared" ca="1" si="242"/>
        <v>#VALUE!</v>
      </c>
      <c r="DI55" s="179" t="e">
        <f t="shared" ca="1" si="242"/>
        <v>#VALUE!</v>
      </c>
      <c r="DJ55" s="179" t="e">
        <f t="shared" ref="DJ55:DQ55" ca="1" si="243">(($AW60/(1+DJ$18)^(($AZ60-$AZ$23)/30)))+($AS60/(1+DJ$18)^(($AZ60-$AZ$23)/30))</f>
        <v>#VALUE!</v>
      </c>
      <c r="DK55" s="179" t="e">
        <f t="shared" ca="1" si="243"/>
        <v>#VALUE!</v>
      </c>
      <c r="DL55" s="179" t="e">
        <f t="shared" ca="1" si="243"/>
        <v>#VALUE!</v>
      </c>
      <c r="DM55" s="179" t="e">
        <f t="shared" ca="1" si="243"/>
        <v>#VALUE!</v>
      </c>
      <c r="DN55" s="179" t="e">
        <f t="shared" ca="1" si="243"/>
        <v>#VALUE!</v>
      </c>
      <c r="DO55" s="179" t="e">
        <f t="shared" ca="1" si="243"/>
        <v>#VALUE!</v>
      </c>
      <c r="DP55" s="179" t="e">
        <f t="shared" ca="1" si="243"/>
        <v>#VALUE!</v>
      </c>
      <c r="DQ55" s="179" t="e">
        <f t="shared" ca="1" si="243"/>
        <v>#VALUE!</v>
      </c>
      <c r="DR55" s="180">
        <f t="shared" ca="1" si="40"/>
        <v>5.7870356057992893</v>
      </c>
      <c r="DS55" s="180">
        <f t="shared" ca="1" si="226"/>
        <v>5.7870356057992893</v>
      </c>
      <c r="DT55" s="180">
        <f t="shared" ca="1" si="226"/>
        <v>5.7870356057992893</v>
      </c>
      <c r="DU55" s="180">
        <f t="shared" ca="1" si="226"/>
        <v>5.7870356057992893</v>
      </c>
      <c r="DV55" s="180">
        <f t="shared" ca="1" si="226"/>
        <v>5.7870356057992893</v>
      </c>
      <c r="DW55" s="180">
        <f t="shared" ca="1" si="226"/>
        <v>5.7870356057992893</v>
      </c>
      <c r="DX55" s="180">
        <f t="shared" ca="1" si="226"/>
        <v>5.7870356057992893</v>
      </c>
      <c r="DY55" s="180">
        <f t="shared" ca="1" si="226"/>
        <v>5.7870356057992893</v>
      </c>
      <c r="DZ55" s="180">
        <f t="shared" ca="1" si="226"/>
        <v>5.7870356057992893</v>
      </c>
      <c r="EA55" s="180">
        <f t="shared" ca="1" si="226"/>
        <v>5.7870356057992893</v>
      </c>
      <c r="EB55" s="180">
        <f t="shared" ca="1" si="226"/>
        <v>5.7870356057992893</v>
      </c>
      <c r="EC55" s="180">
        <f t="shared" ca="1" si="226"/>
        <v>5.7870356057992893</v>
      </c>
      <c r="ED55" s="180">
        <f t="shared" ca="1" si="226"/>
        <v>5.7870356057992893</v>
      </c>
      <c r="EE55" s="180">
        <f t="shared" ca="1" si="226"/>
        <v>5.7870356057992893</v>
      </c>
      <c r="EF55" s="180">
        <f t="shared" ca="1" si="226"/>
        <v>5.7870356057992893</v>
      </c>
      <c r="EG55" s="180">
        <f t="shared" ref="EG55:EO55" ca="1" si="244">IF($AU60&gt;$BA$19,0,$BA60-$AS60)</f>
        <v>5.7870356057992893</v>
      </c>
      <c r="EH55" s="180">
        <f t="shared" ca="1" si="244"/>
        <v>5.7870356057992893</v>
      </c>
      <c r="EI55" s="180">
        <f t="shared" ca="1" si="244"/>
        <v>5.7870356057992893</v>
      </c>
      <c r="EJ55" s="180">
        <f t="shared" ca="1" si="244"/>
        <v>5.7870356057992893</v>
      </c>
      <c r="EK55" s="180">
        <f t="shared" ca="1" si="244"/>
        <v>5.7870356057992893</v>
      </c>
      <c r="EL55" s="180">
        <f t="shared" ca="1" si="244"/>
        <v>5.7870356057992893</v>
      </c>
      <c r="EM55" s="180">
        <f t="shared" ca="1" si="244"/>
        <v>5.7870356057992893</v>
      </c>
      <c r="EN55" s="180">
        <f t="shared" ca="1" si="244"/>
        <v>5.7870356057992893</v>
      </c>
      <c r="EO55" s="180">
        <f t="shared" ca="1" si="244"/>
        <v>5.7870356057992893</v>
      </c>
      <c r="EQ55" s="259">
        <f t="shared" ca="1" si="42"/>
        <v>47279</v>
      </c>
      <c r="ER55" s="87">
        <f t="shared" ca="1" si="215"/>
        <v>5.7870356057992893</v>
      </c>
      <c r="ES55" s="87">
        <f t="shared" ca="1" si="215"/>
        <v>5.7870356057992893</v>
      </c>
      <c r="ET55" s="87">
        <f t="shared" ca="1" si="215"/>
        <v>5.7870356057992893</v>
      </c>
      <c r="EU55" s="87">
        <f t="shared" ca="1" si="215"/>
        <v>5.7870356057992893</v>
      </c>
      <c r="EV55" s="87">
        <f t="shared" ca="1" si="215"/>
        <v>5.7870356057992893</v>
      </c>
      <c r="EW55" s="87">
        <f t="shared" ca="1" si="215"/>
        <v>5.7870356057992893</v>
      </c>
      <c r="EX55" s="87">
        <f t="shared" ca="1" si="215"/>
        <v>5.7870356057992893</v>
      </c>
      <c r="EY55" s="87">
        <f t="shared" ca="1" si="215"/>
        <v>5.7870356057992893</v>
      </c>
      <c r="EZ55" s="87">
        <f t="shared" ca="1" si="215"/>
        <v>5.7870356057992893</v>
      </c>
      <c r="FA55" s="87">
        <f t="shared" ca="1" si="215"/>
        <v>5.7870356057992893</v>
      </c>
      <c r="FB55" s="87">
        <f t="shared" ca="1" si="215"/>
        <v>5.7870356057992893</v>
      </c>
      <c r="FC55" s="87">
        <f t="shared" ca="1" si="215"/>
        <v>5.7870356057992893</v>
      </c>
      <c r="FD55" s="87">
        <f t="shared" ca="1" si="215"/>
        <v>5.7870356057992893</v>
      </c>
      <c r="FE55" s="87">
        <f t="shared" ca="1" si="215"/>
        <v>5.7870356057992893</v>
      </c>
      <c r="FF55" s="87">
        <f t="shared" ca="1" si="215"/>
        <v>5.7870356057992893</v>
      </c>
      <c r="FG55" s="87">
        <f t="shared" ca="1" si="228"/>
        <v>5.7870356057992893</v>
      </c>
      <c r="FH55" s="87">
        <f t="shared" ca="1" si="228"/>
        <v>5.7870356057992893</v>
      </c>
      <c r="FI55" s="87">
        <f t="shared" ca="1" si="228"/>
        <v>5.7870356057992893</v>
      </c>
      <c r="FJ55" s="87">
        <f t="shared" ca="1" si="228"/>
        <v>5.7870356057992893</v>
      </c>
      <c r="FK55" s="87">
        <f t="shared" ca="1" si="228"/>
        <v>5.7870356057992893</v>
      </c>
      <c r="FL55" s="87">
        <f t="shared" ca="1" si="228"/>
        <v>5.7870356057992893</v>
      </c>
      <c r="FM55" s="87">
        <f t="shared" ca="1" si="228"/>
        <v>5.7870356057992893</v>
      </c>
      <c r="FN55" s="87">
        <f t="shared" ca="1" si="228"/>
        <v>5.7870356057992893</v>
      </c>
      <c r="FO55" s="87">
        <f t="shared" ca="1" si="228"/>
        <v>5.7870356057992893</v>
      </c>
      <c r="FP55" s="87">
        <f t="shared" ca="1" si="228"/>
        <v>5.7870356057992893</v>
      </c>
    </row>
    <row r="56" spans="2:172" ht="12.75" hidden="1" customHeight="1" x14ac:dyDescent="0.25">
      <c r="U56" s="175"/>
      <c r="V56" s="176"/>
      <c r="W56" s="176"/>
      <c r="X56" s="87">
        <v>41</v>
      </c>
      <c r="Y56" s="377">
        <f t="shared" ca="1" si="4"/>
        <v>85.212964394200711</v>
      </c>
      <c r="Z56" s="377">
        <f t="shared" si="5"/>
        <v>0</v>
      </c>
      <c r="AA56" s="377">
        <f t="shared" si="6"/>
        <v>0</v>
      </c>
      <c r="AB56" s="377">
        <f t="shared" si="7"/>
        <v>0</v>
      </c>
      <c r="AC56" s="377">
        <f t="shared" si="8"/>
        <v>0</v>
      </c>
      <c r="AD56" s="377">
        <f t="shared" si="9"/>
        <v>0</v>
      </c>
      <c r="AE56" s="377">
        <f t="shared" si="10"/>
        <v>0</v>
      </c>
      <c r="AF56" s="377">
        <f t="shared" si="11"/>
        <v>0</v>
      </c>
      <c r="AG56" s="377">
        <f t="shared" si="12"/>
        <v>0</v>
      </c>
      <c r="AH56" s="377">
        <f t="shared" si="13"/>
        <v>0</v>
      </c>
      <c r="AI56" s="377">
        <f t="shared" si="14"/>
        <v>0</v>
      </c>
      <c r="AJ56" s="377">
        <f t="shared" si="15"/>
        <v>0</v>
      </c>
      <c r="AK56" s="377">
        <f t="shared" si="16"/>
        <v>0</v>
      </c>
      <c r="AL56" s="377">
        <f t="shared" si="17"/>
        <v>0</v>
      </c>
      <c r="AM56" s="377">
        <f t="shared" si="18"/>
        <v>0</v>
      </c>
      <c r="AN56" s="377">
        <f t="shared" si="19"/>
        <v>0</v>
      </c>
      <c r="AO56" s="377">
        <f t="shared" si="20"/>
        <v>0</v>
      </c>
      <c r="AQ56" s="138">
        <v>33</v>
      </c>
      <c r="AR56" s="258">
        <f t="shared" ca="1" si="69"/>
        <v>47159</v>
      </c>
      <c r="AS56" s="378">
        <f t="shared" ca="1" si="70"/>
        <v>85.212964394200711</v>
      </c>
      <c r="AT56" s="138"/>
      <c r="AU56" s="138">
        <v>33</v>
      </c>
      <c r="AV56" s="258">
        <f t="shared" ca="1" si="71"/>
        <v>47187</v>
      </c>
      <c r="AW56" s="378">
        <f t="shared" ca="1" si="72"/>
        <v>5.7870356057992893</v>
      </c>
      <c r="AX56" s="202">
        <f t="shared" ca="1" si="73"/>
        <v>3.09</v>
      </c>
      <c r="AY56" s="138">
        <v>33</v>
      </c>
      <c r="AZ56" s="258">
        <f t="shared" ca="1" si="74"/>
        <v>47187</v>
      </c>
      <c r="BA56" s="378">
        <f t="shared" si="75"/>
        <v>91</v>
      </c>
      <c r="BC56" s="258">
        <f t="shared" ca="1" si="61"/>
        <v>47159</v>
      </c>
      <c r="BD56" s="302">
        <f t="shared" ca="1" si="76"/>
        <v>5.7870356057992893</v>
      </c>
      <c r="BE56" s="133">
        <f t="shared" si="62"/>
        <v>33</v>
      </c>
      <c r="BF56" s="379">
        <f t="shared" ca="1" si="63"/>
        <v>47159</v>
      </c>
      <c r="BG56" s="133">
        <f t="shared" si="77"/>
        <v>91</v>
      </c>
      <c r="BH56" s="133">
        <f t="shared" si="78"/>
        <v>0</v>
      </c>
      <c r="BI56" s="133">
        <f t="shared" si="79"/>
        <v>0</v>
      </c>
      <c r="BJ56" s="133">
        <f t="shared" si="80"/>
        <v>0</v>
      </c>
      <c r="BK56" s="133">
        <f t="shared" si="81"/>
        <v>0</v>
      </c>
      <c r="BL56" s="133">
        <f t="shared" si="82"/>
        <v>0</v>
      </c>
      <c r="BM56" s="133">
        <f t="shared" si="83"/>
        <v>0</v>
      </c>
      <c r="BN56" s="133">
        <f t="shared" si="84"/>
        <v>0</v>
      </c>
      <c r="BO56" s="133">
        <f t="shared" si="85"/>
        <v>0</v>
      </c>
      <c r="BP56" s="133">
        <f t="shared" si="86"/>
        <v>0</v>
      </c>
      <c r="BQ56" s="133">
        <f t="shared" si="87"/>
        <v>0</v>
      </c>
      <c r="BR56" s="133">
        <f t="shared" si="88"/>
        <v>0</v>
      </c>
      <c r="BS56" s="133">
        <f t="shared" si="89"/>
        <v>0</v>
      </c>
      <c r="BT56" s="133">
        <f t="shared" si="90"/>
        <v>0</v>
      </c>
      <c r="BU56" s="133">
        <f t="shared" si="91"/>
        <v>0</v>
      </c>
      <c r="BV56" s="133">
        <f t="shared" si="92"/>
        <v>0</v>
      </c>
      <c r="BW56" s="133">
        <f t="shared" si="93"/>
        <v>0</v>
      </c>
      <c r="BX56" s="267"/>
      <c r="BY56" s="267"/>
      <c r="BZ56" s="267"/>
      <c r="CA56" s="267"/>
      <c r="CB56" s="267"/>
      <c r="CC56" s="267"/>
      <c r="CD56" s="267"/>
      <c r="CE56" s="267"/>
      <c r="CF56" s="267"/>
      <c r="CG56" s="267"/>
      <c r="CS56" s="178">
        <v>38</v>
      </c>
      <c r="CT56" s="259">
        <f t="shared" ca="1" si="29"/>
        <v>47340</v>
      </c>
      <c r="CU56" s="179">
        <f t="shared" ref="CU56:DC56" ca="1" si="245">(($AW61/(1+CU$18)^(($AZ61-$AZ$23)/30)))+($AS61/(1+CU$18)^(($AZ61-$AZ$23)/30))</f>
        <v>44.303511518667037</v>
      </c>
      <c r="CV56" s="179">
        <f t="shared" ca="1" si="245"/>
        <v>45.16603597996987</v>
      </c>
      <c r="CW56" s="179">
        <f t="shared" ca="1" si="245"/>
        <v>45.691797802994067</v>
      </c>
      <c r="CX56" s="179">
        <f t="shared" ca="1" si="245"/>
        <v>46.223837555127425</v>
      </c>
      <c r="CY56" s="179">
        <f t="shared" ca="1" si="245"/>
        <v>46.762232083236192</v>
      </c>
      <c r="CZ56" s="179">
        <f t="shared" ca="1" si="245"/>
        <v>47.307059197932915</v>
      </c>
      <c r="DA56" s="179">
        <f t="shared" ca="1" si="245"/>
        <v>47.673889800096703</v>
      </c>
      <c r="DB56" s="179">
        <f t="shared" ca="1" si="245"/>
        <v>48.416327322701221</v>
      </c>
      <c r="DC56" s="179">
        <f t="shared" ca="1" si="245"/>
        <v>48.791982011321643</v>
      </c>
      <c r="DD56" s="179">
        <f t="shared" ref="DD56:DI56" ca="1" si="246">(($AW61/(1+DD$18)^(($AZ61-$AZ$23)/30)))+($AS61/(1+DD$18)^(($AZ61-$AZ$23)/30))</f>
        <v>49.170626163041483</v>
      </c>
      <c r="DE56" s="179">
        <f t="shared" ca="1" si="246"/>
        <v>49.552284163664588</v>
      </c>
      <c r="DF56" s="179" t="e">
        <f t="shared" ca="1" si="246"/>
        <v>#VALUE!</v>
      </c>
      <c r="DG56" s="179" t="e">
        <f t="shared" ca="1" si="246"/>
        <v>#VALUE!</v>
      </c>
      <c r="DH56" s="179" t="e">
        <f t="shared" ca="1" si="246"/>
        <v>#VALUE!</v>
      </c>
      <c r="DI56" s="179" t="e">
        <f t="shared" ca="1" si="246"/>
        <v>#VALUE!</v>
      </c>
      <c r="DJ56" s="179" t="e">
        <f t="shared" ref="DJ56:DQ56" ca="1" si="247">(($AW61/(1+DJ$18)^(($AZ61-$AZ$23)/30)))+($AS61/(1+DJ$18)^(($AZ61-$AZ$23)/30))</f>
        <v>#VALUE!</v>
      </c>
      <c r="DK56" s="179" t="e">
        <f t="shared" ca="1" si="247"/>
        <v>#VALUE!</v>
      </c>
      <c r="DL56" s="179" t="e">
        <f t="shared" ca="1" si="247"/>
        <v>#VALUE!</v>
      </c>
      <c r="DM56" s="179" t="e">
        <f t="shared" ca="1" si="247"/>
        <v>#VALUE!</v>
      </c>
      <c r="DN56" s="179" t="e">
        <f t="shared" ca="1" si="247"/>
        <v>#VALUE!</v>
      </c>
      <c r="DO56" s="179" t="e">
        <f t="shared" ca="1" si="247"/>
        <v>#VALUE!</v>
      </c>
      <c r="DP56" s="179" t="e">
        <f t="shared" ca="1" si="247"/>
        <v>#VALUE!</v>
      </c>
      <c r="DQ56" s="179" t="e">
        <f t="shared" ca="1" si="247"/>
        <v>#VALUE!</v>
      </c>
      <c r="DR56" s="180">
        <f t="shared" ca="1" si="40"/>
        <v>5.7870356057992893</v>
      </c>
      <c r="DS56" s="180">
        <f t="shared" ca="1" si="226"/>
        <v>5.7870356057992893</v>
      </c>
      <c r="DT56" s="180">
        <f t="shared" ca="1" si="226"/>
        <v>5.7870356057992893</v>
      </c>
      <c r="DU56" s="180">
        <f t="shared" ca="1" si="226"/>
        <v>5.7870356057992893</v>
      </c>
      <c r="DV56" s="180">
        <f t="shared" ca="1" si="226"/>
        <v>5.7870356057992893</v>
      </c>
      <c r="DW56" s="180">
        <f t="shared" ca="1" si="226"/>
        <v>5.7870356057992893</v>
      </c>
      <c r="DX56" s="180">
        <f t="shared" ca="1" si="226"/>
        <v>5.7870356057992893</v>
      </c>
      <c r="DY56" s="180">
        <f t="shared" ca="1" si="226"/>
        <v>5.7870356057992893</v>
      </c>
      <c r="DZ56" s="180">
        <f t="shared" ca="1" si="226"/>
        <v>5.7870356057992893</v>
      </c>
      <c r="EA56" s="180">
        <f t="shared" ca="1" si="226"/>
        <v>5.7870356057992893</v>
      </c>
      <c r="EB56" s="180">
        <f t="shared" ca="1" si="226"/>
        <v>5.7870356057992893</v>
      </c>
      <c r="EC56" s="180">
        <f t="shared" ca="1" si="226"/>
        <v>5.7870356057992893</v>
      </c>
      <c r="ED56" s="180">
        <f t="shared" ca="1" si="226"/>
        <v>5.7870356057992893</v>
      </c>
      <c r="EE56" s="180">
        <f t="shared" ca="1" si="226"/>
        <v>5.7870356057992893</v>
      </c>
      <c r="EF56" s="180">
        <f t="shared" ca="1" si="226"/>
        <v>5.7870356057992893</v>
      </c>
      <c r="EG56" s="180">
        <f t="shared" ref="EG56:EO56" ca="1" si="248">IF($AU61&gt;$BA$19,0,$BA61-$AS61)</f>
        <v>5.7870356057992893</v>
      </c>
      <c r="EH56" s="180">
        <f t="shared" ca="1" si="248"/>
        <v>5.7870356057992893</v>
      </c>
      <c r="EI56" s="180">
        <f t="shared" ca="1" si="248"/>
        <v>5.7870356057992893</v>
      </c>
      <c r="EJ56" s="180">
        <f t="shared" ca="1" si="248"/>
        <v>5.7870356057992893</v>
      </c>
      <c r="EK56" s="180">
        <f t="shared" ca="1" si="248"/>
        <v>5.7870356057992893</v>
      </c>
      <c r="EL56" s="180">
        <f t="shared" ca="1" si="248"/>
        <v>5.7870356057992893</v>
      </c>
      <c r="EM56" s="180">
        <f t="shared" ca="1" si="248"/>
        <v>5.7870356057992893</v>
      </c>
      <c r="EN56" s="180">
        <f t="shared" ca="1" si="248"/>
        <v>5.7870356057992893</v>
      </c>
      <c r="EO56" s="180">
        <f t="shared" ca="1" si="248"/>
        <v>5.7870356057992893</v>
      </c>
      <c r="EQ56" s="259">
        <f t="shared" ca="1" si="42"/>
        <v>47309</v>
      </c>
      <c r="ER56" s="87">
        <f t="shared" ca="1" si="215"/>
        <v>5.7870356057992893</v>
      </c>
      <c r="ES56" s="87">
        <f t="shared" ca="1" si="215"/>
        <v>5.7870356057992893</v>
      </c>
      <c r="ET56" s="87">
        <f t="shared" ca="1" si="215"/>
        <v>5.7870356057992893</v>
      </c>
      <c r="EU56" s="87">
        <f t="shared" ca="1" si="215"/>
        <v>5.7870356057992893</v>
      </c>
      <c r="EV56" s="87">
        <f t="shared" ca="1" si="215"/>
        <v>5.7870356057992893</v>
      </c>
      <c r="EW56" s="87">
        <f t="shared" ca="1" si="215"/>
        <v>5.7870356057992893</v>
      </c>
      <c r="EX56" s="87">
        <f t="shared" ca="1" si="215"/>
        <v>5.7870356057992893</v>
      </c>
      <c r="EY56" s="87">
        <f t="shared" ca="1" si="215"/>
        <v>5.7870356057992893</v>
      </c>
      <c r="EZ56" s="87">
        <f t="shared" ca="1" si="215"/>
        <v>5.7870356057992893</v>
      </c>
      <c r="FA56" s="87">
        <f t="shared" ca="1" si="215"/>
        <v>5.7870356057992893</v>
      </c>
      <c r="FB56" s="87">
        <f t="shared" ca="1" si="215"/>
        <v>5.7870356057992893</v>
      </c>
      <c r="FC56" s="87">
        <f t="shared" ca="1" si="215"/>
        <v>5.7870356057992893</v>
      </c>
      <c r="FD56" s="87">
        <f t="shared" ca="1" si="215"/>
        <v>5.7870356057992893</v>
      </c>
      <c r="FE56" s="87">
        <f t="shared" ca="1" si="215"/>
        <v>5.7870356057992893</v>
      </c>
      <c r="FF56" s="87">
        <f t="shared" ca="1" si="215"/>
        <v>5.7870356057992893</v>
      </c>
      <c r="FG56" s="87">
        <f t="shared" ca="1" si="228"/>
        <v>5.7870356057992893</v>
      </c>
      <c r="FH56" s="87">
        <f t="shared" ca="1" si="228"/>
        <v>5.7870356057992893</v>
      </c>
      <c r="FI56" s="87">
        <f t="shared" ca="1" si="228"/>
        <v>5.7870356057992893</v>
      </c>
      <c r="FJ56" s="87">
        <f t="shared" ca="1" si="228"/>
        <v>5.7870356057992893</v>
      </c>
      <c r="FK56" s="87">
        <f t="shared" ca="1" si="228"/>
        <v>5.7870356057992893</v>
      </c>
      <c r="FL56" s="87">
        <f t="shared" ca="1" si="228"/>
        <v>5.7870356057992893</v>
      </c>
      <c r="FM56" s="87">
        <f t="shared" ca="1" si="228"/>
        <v>5.7870356057992893</v>
      </c>
      <c r="FN56" s="87">
        <f t="shared" ca="1" si="228"/>
        <v>5.7870356057992893</v>
      </c>
      <c r="FO56" s="87">
        <f t="shared" ca="1" si="228"/>
        <v>5.7870356057992893</v>
      </c>
      <c r="FP56" s="87">
        <f t="shared" ca="1" si="228"/>
        <v>5.7870356057992893</v>
      </c>
    </row>
    <row r="57" spans="2:172" ht="12.75" hidden="1" customHeight="1" x14ac:dyDescent="0.25">
      <c r="C57" s="260">
        <f>$AB$13-$Z$9</f>
        <v>1.8500000000000003E-2</v>
      </c>
      <c r="F57" s="176"/>
      <c r="G57" s="176" t="s">
        <v>103</v>
      </c>
      <c r="H57" s="176" t="s">
        <v>45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5"/>
      <c r="V57" s="176"/>
      <c r="W57" s="176"/>
      <c r="X57" s="87">
        <v>42</v>
      </c>
      <c r="Y57" s="377">
        <f t="shared" ca="1" si="4"/>
        <v>85.212964394200711</v>
      </c>
      <c r="Z57" s="377">
        <f t="shared" si="5"/>
        <v>0</v>
      </c>
      <c r="AA57" s="377">
        <f t="shared" si="6"/>
        <v>0</v>
      </c>
      <c r="AB57" s="377">
        <f t="shared" si="7"/>
        <v>0</v>
      </c>
      <c r="AC57" s="377">
        <f t="shared" si="8"/>
        <v>0</v>
      </c>
      <c r="AD57" s="377">
        <f t="shared" si="9"/>
        <v>0</v>
      </c>
      <c r="AE57" s="377">
        <f t="shared" si="10"/>
        <v>0</v>
      </c>
      <c r="AF57" s="377">
        <f t="shared" si="11"/>
        <v>0</v>
      </c>
      <c r="AG57" s="377">
        <f t="shared" si="12"/>
        <v>0</v>
      </c>
      <c r="AH57" s="377">
        <f t="shared" si="13"/>
        <v>0</v>
      </c>
      <c r="AI57" s="377">
        <f t="shared" si="14"/>
        <v>0</v>
      </c>
      <c r="AJ57" s="377">
        <f t="shared" si="15"/>
        <v>0</v>
      </c>
      <c r="AK57" s="377">
        <f t="shared" si="16"/>
        <v>0</v>
      </c>
      <c r="AL57" s="377">
        <f t="shared" si="17"/>
        <v>0</v>
      </c>
      <c r="AM57" s="377">
        <f t="shared" si="18"/>
        <v>0</v>
      </c>
      <c r="AN57" s="377">
        <f t="shared" si="19"/>
        <v>0</v>
      </c>
      <c r="AO57" s="377">
        <f t="shared" si="20"/>
        <v>0</v>
      </c>
      <c r="AQ57" s="138">
        <v>34</v>
      </c>
      <c r="AR57" s="258">
        <f t="shared" ref="AR57:AR88" ca="1" si="249">EDATE(AR56,1)</f>
        <v>47187</v>
      </c>
      <c r="AS57" s="378">
        <f t="shared" ca="1" si="70"/>
        <v>85.212964394200711</v>
      </c>
      <c r="AT57" s="138"/>
      <c r="AU57" s="138">
        <v>34</v>
      </c>
      <c r="AV57" s="258">
        <f t="shared" ref="AV57:AV88" ca="1" si="250">EDATE(AV56,1)</f>
        <v>47218</v>
      </c>
      <c r="AW57" s="378">
        <f t="shared" ca="1" si="72"/>
        <v>5.7870356057992893</v>
      </c>
      <c r="AX57" s="202">
        <f t="shared" ca="1" si="73"/>
        <v>3.04</v>
      </c>
      <c r="AY57" s="138">
        <v>34</v>
      </c>
      <c r="AZ57" s="258">
        <f t="shared" ref="AZ57:AZ88" ca="1" si="251">EDATE(AZ56,1)</f>
        <v>47218</v>
      </c>
      <c r="BA57" s="378">
        <f t="shared" si="75"/>
        <v>91</v>
      </c>
      <c r="BC57" s="258">
        <f t="shared" ca="1" si="61"/>
        <v>47187</v>
      </c>
      <c r="BD57" s="302">
        <f t="shared" ca="1" si="76"/>
        <v>5.7870356057992893</v>
      </c>
      <c r="BE57" s="133">
        <f t="shared" si="62"/>
        <v>34</v>
      </c>
      <c r="BF57" s="379">
        <f t="shared" ca="1" si="63"/>
        <v>47187</v>
      </c>
      <c r="BG57" s="133">
        <f t="shared" si="77"/>
        <v>91</v>
      </c>
      <c r="BH57" s="133">
        <f t="shared" si="78"/>
        <v>0</v>
      </c>
      <c r="BI57" s="133">
        <f t="shared" si="79"/>
        <v>0</v>
      </c>
      <c r="BJ57" s="133">
        <f t="shared" si="80"/>
        <v>0</v>
      </c>
      <c r="BK57" s="133">
        <f t="shared" si="81"/>
        <v>0</v>
      </c>
      <c r="BL57" s="133">
        <f t="shared" si="82"/>
        <v>0</v>
      </c>
      <c r="BM57" s="133">
        <f t="shared" si="83"/>
        <v>0</v>
      </c>
      <c r="BN57" s="133">
        <f t="shared" si="84"/>
        <v>0</v>
      </c>
      <c r="BO57" s="133">
        <f t="shared" si="85"/>
        <v>0</v>
      </c>
      <c r="BP57" s="133">
        <f t="shared" si="86"/>
        <v>0</v>
      </c>
      <c r="BQ57" s="133">
        <f t="shared" si="87"/>
        <v>0</v>
      </c>
      <c r="BR57" s="133">
        <f t="shared" si="88"/>
        <v>0</v>
      </c>
      <c r="BS57" s="133">
        <f t="shared" si="89"/>
        <v>0</v>
      </c>
      <c r="BT57" s="133">
        <f t="shared" si="90"/>
        <v>0</v>
      </c>
      <c r="BU57" s="133">
        <f t="shared" si="91"/>
        <v>0</v>
      </c>
      <c r="BV57" s="133">
        <f t="shared" si="92"/>
        <v>0</v>
      </c>
      <c r="BW57" s="133">
        <f t="shared" si="93"/>
        <v>0</v>
      </c>
      <c r="BX57" s="267"/>
      <c r="BY57" s="267"/>
      <c r="BZ57" s="267"/>
      <c r="CA57" s="267"/>
      <c r="CB57" s="267"/>
      <c r="CC57" s="267"/>
      <c r="CD57" s="267"/>
      <c r="CE57" s="267"/>
      <c r="CF57" s="267"/>
      <c r="CG57" s="267"/>
      <c r="CS57" s="138">
        <v>39</v>
      </c>
      <c r="CT57" s="259">
        <f t="shared" ca="1" si="29"/>
        <v>47371</v>
      </c>
      <c r="CU57" s="179">
        <f t="shared" ref="CU57:DC57" ca="1" si="252">(($AW62/(1+CU$18)^(($AZ62-$AZ$23)/30)))+($AS62/(1+CU$18)^(($AZ62-$AZ$23)/30))</f>
        <v>43.472212988912432</v>
      </c>
      <c r="CV57" s="179">
        <f t="shared" ca="1" si="252"/>
        <v>44.341046514252668</v>
      </c>
      <c r="CW57" s="179">
        <f t="shared" ca="1" si="252"/>
        <v>44.870868877117594</v>
      </c>
      <c r="CX57" s="179">
        <f t="shared" ca="1" si="252"/>
        <v>45.407180994921504</v>
      </c>
      <c r="CY57" s="179">
        <f t="shared" ca="1" si="252"/>
        <v>45.950064309082393</v>
      </c>
      <c r="CZ57" s="179">
        <f t="shared" ca="1" si="252"/>
        <v>46.499601307515618</v>
      </c>
      <c r="DA57" s="179">
        <f t="shared" ca="1" si="252"/>
        <v>46.86969701204071</v>
      </c>
      <c r="DB57" s="179">
        <f t="shared" ca="1" si="252"/>
        <v>47.618971624113456</v>
      </c>
      <c r="DC57" s="179">
        <f t="shared" ca="1" si="252"/>
        <v>47.998201215007647</v>
      </c>
      <c r="DD57" s="179">
        <f t="shared" ref="DD57:DI57" ca="1" si="253">(($AW62/(1+DD$18)^(($AZ62-$AZ$23)/30)))+($AS62/(1+DD$18)^(($AZ62-$AZ$23)/30))</f>
        <v>48.380526479789651</v>
      </c>
      <c r="DE57" s="179">
        <f t="shared" ca="1" si="253"/>
        <v>48.765973305612981</v>
      </c>
      <c r="DF57" s="179" t="e">
        <f t="shared" ca="1" si="253"/>
        <v>#VALUE!</v>
      </c>
      <c r="DG57" s="179" t="e">
        <f t="shared" ca="1" si="253"/>
        <v>#VALUE!</v>
      </c>
      <c r="DH57" s="179" t="e">
        <f t="shared" ca="1" si="253"/>
        <v>#VALUE!</v>
      </c>
      <c r="DI57" s="179" t="e">
        <f t="shared" ca="1" si="253"/>
        <v>#VALUE!</v>
      </c>
      <c r="DJ57" s="179" t="e">
        <f t="shared" ref="DJ57:DQ57" ca="1" si="254">(($AW62/(1+DJ$18)^(($AZ62-$AZ$23)/30)))+($AS62/(1+DJ$18)^(($AZ62-$AZ$23)/30))</f>
        <v>#VALUE!</v>
      </c>
      <c r="DK57" s="179" t="e">
        <f t="shared" ca="1" si="254"/>
        <v>#VALUE!</v>
      </c>
      <c r="DL57" s="179" t="e">
        <f t="shared" ca="1" si="254"/>
        <v>#VALUE!</v>
      </c>
      <c r="DM57" s="179" t="e">
        <f t="shared" ca="1" si="254"/>
        <v>#VALUE!</v>
      </c>
      <c r="DN57" s="179" t="e">
        <f t="shared" ca="1" si="254"/>
        <v>#VALUE!</v>
      </c>
      <c r="DO57" s="179" t="e">
        <f t="shared" ca="1" si="254"/>
        <v>#VALUE!</v>
      </c>
      <c r="DP57" s="179" t="e">
        <f t="shared" ca="1" si="254"/>
        <v>#VALUE!</v>
      </c>
      <c r="DQ57" s="179" t="e">
        <f t="shared" ca="1" si="254"/>
        <v>#VALUE!</v>
      </c>
      <c r="DR57" s="180">
        <f t="shared" ca="1" si="40"/>
        <v>5.7870356057992893</v>
      </c>
      <c r="DS57" s="180">
        <f t="shared" ca="1" si="226"/>
        <v>5.7870356057992893</v>
      </c>
      <c r="DT57" s="180">
        <f t="shared" ca="1" si="226"/>
        <v>5.7870356057992893</v>
      </c>
      <c r="DU57" s="180">
        <f t="shared" ca="1" si="226"/>
        <v>5.7870356057992893</v>
      </c>
      <c r="DV57" s="180">
        <f t="shared" ca="1" si="226"/>
        <v>5.7870356057992893</v>
      </c>
      <c r="DW57" s="180">
        <f t="shared" ca="1" si="226"/>
        <v>5.7870356057992893</v>
      </c>
      <c r="DX57" s="180">
        <f t="shared" ca="1" si="226"/>
        <v>5.7870356057992893</v>
      </c>
      <c r="DY57" s="180">
        <f t="shared" ca="1" si="226"/>
        <v>5.7870356057992893</v>
      </c>
      <c r="DZ57" s="180">
        <f t="shared" ca="1" si="226"/>
        <v>5.7870356057992893</v>
      </c>
      <c r="EA57" s="180">
        <f t="shared" ca="1" si="226"/>
        <v>5.7870356057992893</v>
      </c>
      <c r="EB57" s="180">
        <f t="shared" ca="1" si="226"/>
        <v>5.7870356057992893</v>
      </c>
      <c r="EC57" s="180">
        <f t="shared" ca="1" si="226"/>
        <v>5.7870356057992893</v>
      </c>
      <c r="ED57" s="180">
        <f t="shared" ca="1" si="226"/>
        <v>5.7870356057992893</v>
      </c>
      <c r="EE57" s="180">
        <f t="shared" ca="1" si="226"/>
        <v>5.7870356057992893</v>
      </c>
      <c r="EF57" s="180">
        <f t="shared" ca="1" si="226"/>
        <v>5.7870356057992893</v>
      </c>
      <c r="EG57" s="180">
        <f t="shared" ref="EG57:EO57" ca="1" si="255">IF($AU62&gt;$BA$19,0,$BA62-$AS62)</f>
        <v>5.7870356057992893</v>
      </c>
      <c r="EH57" s="180">
        <f t="shared" ca="1" si="255"/>
        <v>5.7870356057992893</v>
      </c>
      <c r="EI57" s="180">
        <f t="shared" ca="1" si="255"/>
        <v>5.7870356057992893</v>
      </c>
      <c r="EJ57" s="180">
        <f t="shared" ca="1" si="255"/>
        <v>5.7870356057992893</v>
      </c>
      <c r="EK57" s="180">
        <f t="shared" ca="1" si="255"/>
        <v>5.7870356057992893</v>
      </c>
      <c r="EL57" s="180">
        <f t="shared" ca="1" si="255"/>
        <v>5.7870356057992893</v>
      </c>
      <c r="EM57" s="180">
        <f t="shared" ca="1" si="255"/>
        <v>5.7870356057992893</v>
      </c>
      <c r="EN57" s="180">
        <f t="shared" ca="1" si="255"/>
        <v>5.7870356057992893</v>
      </c>
      <c r="EO57" s="180">
        <f t="shared" ca="1" si="255"/>
        <v>5.7870356057992893</v>
      </c>
      <c r="EQ57" s="259">
        <f t="shared" ca="1" si="42"/>
        <v>47340</v>
      </c>
      <c r="ER57" s="87">
        <f t="shared" ca="1" si="215"/>
        <v>5.7870356057992893</v>
      </c>
      <c r="ES57" s="87">
        <f t="shared" ca="1" si="215"/>
        <v>5.7870356057992893</v>
      </c>
      <c r="ET57" s="87">
        <f t="shared" ca="1" si="215"/>
        <v>5.7870356057992893</v>
      </c>
      <c r="EU57" s="87">
        <f t="shared" ca="1" si="215"/>
        <v>5.7870356057992893</v>
      </c>
      <c r="EV57" s="87">
        <f t="shared" ca="1" si="215"/>
        <v>5.7870356057992893</v>
      </c>
      <c r="EW57" s="87">
        <f t="shared" ca="1" si="215"/>
        <v>5.7870356057992893</v>
      </c>
      <c r="EX57" s="87">
        <f t="shared" ca="1" si="215"/>
        <v>5.7870356057992893</v>
      </c>
      <c r="EY57" s="87">
        <f t="shared" ca="1" si="215"/>
        <v>5.7870356057992893</v>
      </c>
      <c r="EZ57" s="87">
        <f t="shared" ca="1" si="215"/>
        <v>5.7870356057992893</v>
      </c>
      <c r="FA57" s="87">
        <f t="shared" ca="1" si="215"/>
        <v>5.7870356057992893</v>
      </c>
      <c r="FB57" s="87">
        <f t="shared" ca="1" si="215"/>
        <v>5.7870356057992893</v>
      </c>
      <c r="FC57" s="87">
        <f t="shared" ca="1" si="215"/>
        <v>5.7870356057992893</v>
      </c>
      <c r="FD57" s="87">
        <f t="shared" ca="1" si="215"/>
        <v>5.7870356057992893</v>
      </c>
      <c r="FE57" s="87">
        <f t="shared" ca="1" si="215"/>
        <v>5.7870356057992893</v>
      </c>
      <c r="FF57" s="87">
        <f t="shared" ca="1" si="215"/>
        <v>5.7870356057992893</v>
      </c>
      <c r="FG57" s="87">
        <f t="shared" ca="1" si="228"/>
        <v>5.7870356057992893</v>
      </c>
      <c r="FH57" s="87">
        <f t="shared" ca="1" si="228"/>
        <v>5.7870356057992893</v>
      </c>
      <c r="FI57" s="87">
        <f t="shared" ca="1" si="228"/>
        <v>5.7870356057992893</v>
      </c>
      <c r="FJ57" s="87">
        <f t="shared" ca="1" si="228"/>
        <v>5.7870356057992893</v>
      </c>
      <c r="FK57" s="87">
        <f t="shared" ca="1" si="228"/>
        <v>5.7870356057992893</v>
      </c>
      <c r="FL57" s="87">
        <f t="shared" ca="1" si="228"/>
        <v>5.7870356057992893</v>
      </c>
      <c r="FM57" s="87">
        <f t="shared" ca="1" si="228"/>
        <v>5.7870356057992893</v>
      </c>
      <c r="FN57" s="87">
        <f t="shared" ca="1" si="228"/>
        <v>5.7870356057992893</v>
      </c>
      <c r="FO57" s="87">
        <f t="shared" ca="1" si="228"/>
        <v>5.7870356057992893</v>
      </c>
      <c r="FP57" s="87">
        <f t="shared" ca="1" si="228"/>
        <v>5.7870356057992893</v>
      </c>
    </row>
    <row r="58" spans="2:172" ht="12.75" hidden="1" customHeight="1" x14ac:dyDescent="0.25">
      <c r="B58" s="87">
        <v>0</v>
      </c>
      <c r="C58" s="181">
        <f t="shared" ref="C58:C89" ca="1" si="256">AR23</f>
        <v>46162</v>
      </c>
      <c r="D58" s="182">
        <f t="shared" ref="D58:T58" ca="1" si="257">-D21</f>
        <v>-3304.6532608733751</v>
      </c>
      <c r="E58" s="182" t="e">
        <f t="shared" si="257"/>
        <v>#VALUE!</v>
      </c>
      <c r="F58" s="182" t="e">
        <f t="shared" si="257"/>
        <v>#VALUE!</v>
      </c>
      <c r="G58" s="182" t="e">
        <f t="shared" si="257"/>
        <v>#VALUE!</v>
      </c>
      <c r="H58" s="182" t="e">
        <f t="shared" si="257"/>
        <v>#VALUE!</v>
      </c>
      <c r="I58" s="182" t="e">
        <f t="shared" si="257"/>
        <v>#VALUE!</v>
      </c>
      <c r="J58" s="182" t="e">
        <f t="shared" si="257"/>
        <v>#VALUE!</v>
      </c>
      <c r="K58" s="182" t="e">
        <f t="shared" si="257"/>
        <v>#VALUE!</v>
      </c>
      <c r="L58" s="182" t="e">
        <f t="shared" si="257"/>
        <v>#VALUE!</v>
      </c>
      <c r="M58" s="182" t="e">
        <f t="shared" si="257"/>
        <v>#VALUE!</v>
      </c>
      <c r="N58" s="182" t="e">
        <f t="shared" si="257"/>
        <v>#VALUE!</v>
      </c>
      <c r="O58" s="182" t="e">
        <f t="shared" si="257"/>
        <v>#VALUE!</v>
      </c>
      <c r="P58" s="182" t="e">
        <f t="shared" si="257"/>
        <v>#VALUE!</v>
      </c>
      <c r="Q58" s="182" t="e">
        <f t="shared" si="257"/>
        <v>#VALUE!</v>
      </c>
      <c r="R58" s="182" t="e">
        <f t="shared" si="257"/>
        <v>#VALUE!</v>
      </c>
      <c r="S58" s="182" t="e">
        <f t="shared" si="257"/>
        <v>#VALUE!</v>
      </c>
      <c r="T58" s="182" t="e">
        <f t="shared" si="257"/>
        <v>#VALUE!</v>
      </c>
      <c r="U58" s="175"/>
      <c r="V58" s="176"/>
      <c r="W58" s="176"/>
      <c r="X58" s="87">
        <v>43</v>
      </c>
      <c r="Y58" s="377">
        <f t="shared" ca="1" si="4"/>
        <v>85.212964394200711</v>
      </c>
      <c r="Z58" s="377">
        <f t="shared" si="5"/>
        <v>0</v>
      </c>
      <c r="AA58" s="377">
        <f t="shared" si="6"/>
        <v>0</v>
      </c>
      <c r="AB58" s="377">
        <f t="shared" si="7"/>
        <v>0</v>
      </c>
      <c r="AC58" s="377">
        <f t="shared" si="8"/>
        <v>0</v>
      </c>
      <c r="AD58" s="377">
        <f t="shared" si="9"/>
        <v>0</v>
      </c>
      <c r="AE58" s="377">
        <f t="shared" si="10"/>
        <v>0</v>
      </c>
      <c r="AF58" s="377">
        <f t="shared" si="11"/>
        <v>0</v>
      </c>
      <c r="AG58" s="377">
        <f t="shared" si="12"/>
        <v>0</v>
      </c>
      <c r="AH58" s="377">
        <f t="shared" si="13"/>
        <v>0</v>
      </c>
      <c r="AI58" s="377">
        <f t="shared" si="14"/>
        <v>0</v>
      </c>
      <c r="AJ58" s="377">
        <f t="shared" si="15"/>
        <v>0</v>
      </c>
      <c r="AK58" s="377">
        <f t="shared" si="16"/>
        <v>0</v>
      </c>
      <c r="AL58" s="377">
        <f t="shared" si="17"/>
        <v>0</v>
      </c>
      <c r="AM58" s="377">
        <f t="shared" si="18"/>
        <v>0</v>
      </c>
      <c r="AN58" s="377">
        <f t="shared" si="19"/>
        <v>0</v>
      </c>
      <c r="AO58" s="377">
        <f t="shared" si="20"/>
        <v>0</v>
      </c>
      <c r="AQ58" s="138">
        <v>35</v>
      </c>
      <c r="AR58" s="258">
        <f t="shared" ca="1" si="249"/>
        <v>47218</v>
      </c>
      <c r="AS58" s="378">
        <f t="shared" ca="1" si="70"/>
        <v>85.212964394200711</v>
      </c>
      <c r="AT58" s="138"/>
      <c r="AU58" s="138">
        <v>35</v>
      </c>
      <c r="AV58" s="258">
        <f t="shared" ca="1" si="250"/>
        <v>47248</v>
      </c>
      <c r="AW58" s="378">
        <f t="shared" ca="1" si="72"/>
        <v>5.7870356057992893</v>
      </c>
      <c r="AX58" s="202">
        <f t="shared" ca="1" si="73"/>
        <v>2.98</v>
      </c>
      <c r="AY58" s="138">
        <v>35</v>
      </c>
      <c r="AZ58" s="258">
        <f t="shared" ca="1" si="251"/>
        <v>47248</v>
      </c>
      <c r="BA58" s="378">
        <f t="shared" si="75"/>
        <v>91</v>
      </c>
      <c r="BC58" s="258">
        <f t="shared" ca="1" si="61"/>
        <v>47218</v>
      </c>
      <c r="BD58" s="302">
        <f t="shared" ca="1" si="76"/>
        <v>5.7870356057992893</v>
      </c>
      <c r="BE58" s="133">
        <f t="shared" si="62"/>
        <v>35</v>
      </c>
      <c r="BF58" s="379">
        <f t="shared" ca="1" si="63"/>
        <v>47218</v>
      </c>
      <c r="BG58" s="133">
        <f t="shared" si="77"/>
        <v>91</v>
      </c>
      <c r="BH58" s="133">
        <f t="shared" si="78"/>
        <v>0</v>
      </c>
      <c r="BI58" s="133">
        <f t="shared" si="79"/>
        <v>0</v>
      </c>
      <c r="BJ58" s="133">
        <f t="shared" si="80"/>
        <v>0</v>
      </c>
      <c r="BK58" s="133">
        <f t="shared" si="81"/>
        <v>0</v>
      </c>
      <c r="BL58" s="133">
        <f t="shared" si="82"/>
        <v>0</v>
      </c>
      <c r="BM58" s="133">
        <f t="shared" si="83"/>
        <v>0</v>
      </c>
      <c r="BN58" s="133">
        <f t="shared" si="84"/>
        <v>0</v>
      </c>
      <c r="BO58" s="133">
        <f t="shared" si="85"/>
        <v>0</v>
      </c>
      <c r="BP58" s="133">
        <f t="shared" si="86"/>
        <v>0</v>
      </c>
      <c r="BQ58" s="133">
        <f t="shared" si="87"/>
        <v>0</v>
      </c>
      <c r="BR58" s="133">
        <f t="shared" si="88"/>
        <v>0</v>
      </c>
      <c r="BS58" s="133">
        <f t="shared" si="89"/>
        <v>0</v>
      </c>
      <c r="BT58" s="133">
        <f t="shared" si="90"/>
        <v>0</v>
      </c>
      <c r="BU58" s="133">
        <f t="shared" si="91"/>
        <v>0</v>
      </c>
      <c r="BV58" s="133">
        <f t="shared" si="92"/>
        <v>0</v>
      </c>
      <c r="BW58" s="133">
        <f t="shared" si="93"/>
        <v>0</v>
      </c>
      <c r="BX58" s="267"/>
      <c r="BY58" s="267"/>
      <c r="BZ58" s="267"/>
      <c r="CA58" s="267"/>
      <c r="CB58" s="267"/>
      <c r="CC58" s="267"/>
      <c r="CD58" s="267"/>
      <c r="CE58" s="267"/>
      <c r="CF58" s="267"/>
      <c r="CG58" s="267"/>
      <c r="CS58" s="87">
        <v>40</v>
      </c>
      <c r="CT58" s="259">
        <f t="shared" ca="1" si="29"/>
        <v>47401</v>
      </c>
      <c r="CU58" s="179">
        <f t="shared" ref="CU58:DC58" ca="1" si="258">(($AW63/(1+CU$18)^(($AZ63-$AZ$23)/30)))+($AS63/(1+CU$18)^(($AZ63-$AZ$23)/30))</f>
        <v>42.682585163389717</v>
      </c>
      <c r="CV58" s="179">
        <f t="shared" ca="1" si="258"/>
        <v>43.557020151525215</v>
      </c>
      <c r="CW58" s="179">
        <f t="shared" ca="1" si="258"/>
        <v>44.090467600587196</v>
      </c>
      <c r="CX58" s="179">
        <f t="shared" ca="1" si="258"/>
        <v>44.63060840861165</v>
      </c>
      <c r="CY58" s="179">
        <f t="shared" ca="1" si="258"/>
        <v>45.177528570526398</v>
      </c>
      <c r="CZ58" s="179">
        <f t="shared" ca="1" si="258"/>
        <v>45.731315211954779</v>
      </c>
      <c r="DA58" s="179">
        <f t="shared" ca="1" si="258"/>
        <v>46.104364560339086</v>
      </c>
      <c r="DB58" s="179">
        <f t="shared" ca="1" si="258"/>
        <v>46.859842180784753</v>
      </c>
      <c r="DC58" s="179">
        <f t="shared" ca="1" si="258"/>
        <v>47.242324030519335</v>
      </c>
      <c r="DD58" s="179">
        <f t="shared" ref="DD58:DI58" ca="1" si="259">(($AW63/(1+DD$18)^(($AZ63-$AZ$23)/30)))+($AS63/(1+DD$18)^(($AZ63-$AZ$23)/30))</f>
        <v>47.628004016331616</v>
      </c>
      <c r="DE58" s="179">
        <f t="shared" ca="1" si="259"/>
        <v>48.016909517145507</v>
      </c>
      <c r="DF58" s="179" t="e">
        <f t="shared" ca="1" si="259"/>
        <v>#VALUE!</v>
      </c>
      <c r="DG58" s="179" t="e">
        <f t="shared" ca="1" si="259"/>
        <v>#VALUE!</v>
      </c>
      <c r="DH58" s="179" t="e">
        <f t="shared" ca="1" si="259"/>
        <v>#VALUE!</v>
      </c>
      <c r="DI58" s="179" t="e">
        <f t="shared" ca="1" si="259"/>
        <v>#VALUE!</v>
      </c>
      <c r="DJ58" s="179" t="e">
        <f t="shared" ref="DJ58:DQ58" ca="1" si="260">(($AW63/(1+DJ$18)^(($AZ63-$AZ$23)/30)))+($AS63/(1+DJ$18)^(($AZ63-$AZ$23)/30))</f>
        <v>#VALUE!</v>
      </c>
      <c r="DK58" s="179" t="e">
        <f t="shared" ca="1" si="260"/>
        <v>#VALUE!</v>
      </c>
      <c r="DL58" s="179" t="e">
        <f t="shared" ca="1" si="260"/>
        <v>#VALUE!</v>
      </c>
      <c r="DM58" s="179" t="e">
        <f t="shared" ca="1" si="260"/>
        <v>#VALUE!</v>
      </c>
      <c r="DN58" s="179" t="e">
        <f t="shared" ca="1" si="260"/>
        <v>#VALUE!</v>
      </c>
      <c r="DO58" s="179" t="e">
        <f t="shared" ca="1" si="260"/>
        <v>#VALUE!</v>
      </c>
      <c r="DP58" s="179" t="e">
        <f t="shared" ca="1" si="260"/>
        <v>#VALUE!</v>
      </c>
      <c r="DQ58" s="179" t="e">
        <f t="shared" ca="1" si="260"/>
        <v>#VALUE!</v>
      </c>
      <c r="DR58" s="180">
        <f t="shared" ca="1" si="40"/>
        <v>5.7870356057992893</v>
      </c>
      <c r="DS58" s="180">
        <f t="shared" ca="1" si="226"/>
        <v>5.7870356057992893</v>
      </c>
      <c r="DT58" s="180">
        <f t="shared" ca="1" si="226"/>
        <v>5.7870356057992893</v>
      </c>
      <c r="DU58" s="180">
        <f t="shared" ca="1" si="226"/>
        <v>5.7870356057992893</v>
      </c>
      <c r="DV58" s="180">
        <f t="shared" ca="1" si="226"/>
        <v>5.7870356057992893</v>
      </c>
      <c r="DW58" s="180">
        <f t="shared" ca="1" si="226"/>
        <v>5.7870356057992893</v>
      </c>
      <c r="DX58" s="180">
        <f t="shared" ca="1" si="226"/>
        <v>5.7870356057992893</v>
      </c>
      <c r="DY58" s="180">
        <f t="shared" ca="1" si="226"/>
        <v>5.7870356057992893</v>
      </c>
      <c r="DZ58" s="180">
        <f t="shared" ca="1" si="226"/>
        <v>5.7870356057992893</v>
      </c>
      <c r="EA58" s="180">
        <f t="shared" ca="1" si="226"/>
        <v>5.7870356057992893</v>
      </c>
      <c r="EB58" s="180">
        <f t="shared" ca="1" si="226"/>
        <v>5.7870356057992893</v>
      </c>
      <c r="EC58" s="180">
        <f t="shared" ca="1" si="226"/>
        <v>5.7870356057992893</v>
      </c>
      <c r="ED58" s="180">
        <f t="shared" ca="1" si="226"/>
        <v>5.7870356057992893</v>
      </c>
      <c r="EE58" s="180">
        <f t="shared" ca="1" si="226"/>
        <v>5.7870356057992893</v>
      </c>
      <c r="EF58" s="180">
        <f t="shared" ca="1" si="226"/>
        <v>5.7870356057992893</v>
      </c>
      <c r="EG58" s="180">
        <f t="shared" ref="EG58:EO58" ca="1" si="261">IF($AU63&gt;$BA$19,0,$BA63-$AS63)</f>
        <v>5.7870356057992893</v>
      </c>
      <c r="EH58" s="180">
        <f t="shared" ca="1" si="261"/>
        <v>5.7870356057992893</v>
      </c>
      <c r="EI58" s="180">
        <f t="shared" ca="1" si="261"/>
        <v>5.7870356057992893</v>
      </c>
      <c r="EJ58" s="180">
        <f t="shared" ca="1" si="261"/>
        <v>5.7870356057992893</v>
      </c>
      <c r="EK58" s="180">
        <f t="shared" ca="1" si="261"/>
        <v>5.7870356057992893</v>
      </c>
      <c r="EL58" s="180">
        <f t="shared" ca="1" si="261"/>
        <v>5.7870356057992893</v>
      </c>
      <c r="EM58" s="180">
        <f t="shared" ca="1" si="261"/>
        <v>5.7870356057992893</v>
      </c>
      <c r="EN58" s="180">
        <f t="shared" ca="1" si="261"/>
        <v>5.7870356057992893</v>
      </c>
      <c r="EO58" s="180">
        <f t="shared" ca="1" si="261"/>
        <v>5.7870356057992893</v>
      </c>
      <c r="EQ58" s="259">
        <f t="shared" ca="1" si="42"/>
        <v>47371</v>
      </c>
      <c r="ER58" s="87">
        <f t="shared" ca="1" si="215"/>
        <v>5.7870356057992893</v>
      </c>
      <c r="ES58" s="87">
        <f t="shared" ca="1" si="215"/>
        <v>5.7870356057992893</v>
      </c>
      <c r="ET58" s="87">
        <f t="shared" ca="1" si="215"/>
        <v>5.7870356057992893</v>
      </c>
      <c r="EU58" s="87">
        <f t="shared" ca="1" si="215"/>
        <v>5.7870356057992893</v>
      </c>
      <c r="EV58" s="87">
        <f t="shared" ca="1" si="215"/>
        <v>5.7870356057992893</v>
      </c>
      <c r="EW58" s="87">
        <f t="shared" ca="1" si="215"/>
        <v>5.7870356057992893</v>
      </c>
      <c r="EX58" s="87">
        <f t="shared" ca="1" si="215"/>
        <v>5.7870356057992893</v>
      </c>
      <c r="EY58" s="87">
        <f t="shared" ca="1" si="215"/>
        <v>5.7870356057992893</v>
      </c>
      <c r="EZ58" s="87">
        <f t="shared" ca="1" si="215"/>
        <v>5.7870356057992893</v>
      </c>
      <c r="FA58" s="87">
        <f t="shared" ca="1" si="215"/>
        <v>5.7870356057992893</v>
      </c>
      <c r="FB58" s="87">
        <f t="shared" ca="1" si="215"/>
        <v>5.7870356057992893</v>
      </c>
      <c r="FC58" s="87">
        <f t="shared" ca="1" si="215"/>
        <v>5.7870356057992893</v>
      </c>
      <c r="FD58" s="87">
        <f t="shared" ca="1" si="215"/>
        <v>5.7870356057992893</v>
      </c>
      <c r="FE58" s="87">
        <f t="shared" ca="1" si="215"/>
        <v>5.7870356057992893</v>
      </c>
      <c r="FF58" s="87">
        <f t="shared" ca="1" si="215"/>
        <v>5.7870356057992893</v>
      </c>
      <c r="FG58" s="87">
        <f t="shared" ca="1" si="228"/>
        <v>5.7870356057992893</v>
      </c>
      <c r="FH58" s="87">
        <f t="shared" ca="1" si="228"/>
        <v>5.7870356057992893</v>
      </c>
      <c r="FI58" s="87">
        <f t="shared" ca="1" si="228"/>
        <v>5.7870356057992893</v>
      </c>
      <c r="FJ58" s="87">
        <f t="shared" ca="1" si="228"/>
        <v>5.7870356057992893</v>
      </c>
      <c r="FK58" s="87">
        <f t="shared" ca="1" si="228"/>
        <v>5.7870356057992893</v>
      </c>
      <c r="FL58" s="87">
        <f t="shared" ca="1" si="228"/>
        <v>5.7870356057992893</v>
      </c>
      <c r="FM58" s="87">
        <f t="shared" ca="1" si="228"/>
        <v>5.7870356057992893</v>
      </c>
      <c r="FN58" s="87">
        <f t="shared" ca="1" si="228"/>
        <v>5.7870356057992893</v>
      </c>
      <c r="FO58" s="87">
        <f t="shared" ca="1" si="228"/>
        <v>5.7870356057992893</v>
      </c>
      <c r="FP58" s="87">
        <f t="shared" ca="1" si="228"/>
        <v>5.7870356057992893</v>
      </c>
    </row>
    <row r="59" spans="2:172" ht="12.75" hidden="1" customHeight="1" x14ac:dyDescent="0.25">
      <c r="B59" s="87">
        <v>1</v>
      </c>
      <c r="C59" s="181">
        <f t="shared" ca="1" si="256"/>
        <v>46183</v>
      </c>
      <c r="D59" s="380">
        <f t="shared" ref="D59:M68" ca="1" si="262">IF($B59&lt;=D$20,1/(($C$57+1)^(($C59-$C$58)/30)),0)</f>
        <v>0.98725030519463397</v>
      </c>
      <c r="E59" s="380">
        <f t="shared" si="262"/>
        <v>0</v>
      </c>
      <c r="F59" s="380">
        <f t="shared" si="262"/>
        <v>0</v>
      </c>
      <c r="G59" s="380">
        <f t="shared" si="262"/>
        <v>0</v>
      </c>
      <c r="H59" s="380">
        <f t="shared" si="262"/>
        <v>0</v>
      </c>
      <c r="I59" s="380">
        <f t="shared" si="262"/>
        <v>0</v>
      </c>
      <c r="J59" s="380">
        <f t="shared" si="262"/>
        <v>0</v>
      </c>
      <c r="K59" s="380">
        <f t="shared" si="262"/>
        <v>0</v>
      </c>
      <c r="L59" s="380">
        <f t="shared" si="262"/>
        <v>0</v>
      </c>
      <c r="M59" s="380">
        <f t="shared" si="262"/>
        <v>0</v>
      </c>
      <c r="N59" s="380">
        <f t="shared" ref="N59:T68" si="263">IF($B59&lt;=N$20,1/(($C$57+1)^(($C59-$C$58)/30)),0)</f>
        <v>0</v>
      </c>
      <c r="O59" s="380">
        <f t="shared" si="263"/>
        <v>0</v>
      </c>
      <c r="P59" s="380">
        <f t="shared" si="263"/>
        <v>0</v>
      </c>
      <c r="Q59" s="380">
        <f t="shared" si="263"/>
        <v>0</v>
      </c>
      <c r="R59" s="380">
        <f t="shared" si="263"/>
        <v>0</v>
      </c>
      <c r="S59" s="380">
        <f t="shared" si="263"/>
        <v>0</v>
      </c>
      <c r="T59" s="380">
        <f t="shared" si="263"/>
        <v>0</v>
      </c>
      <c r="U59" s="175"/>
      <c r="V59" s="176"/>
      <c r="W59" s="176"/>
      <c r="X59" s="87">
        <v>44</v>
      </c>
      <c r="Y59" s="377">
        <f t="shared" ca="1" si="4"/>
        <v>85.212964394200711</v>
      </c>
      <c r="Z59" s="377">
        <f t="shared" si="5"/>
        <v>0</v>
      </c>
      <c r="AA59" s="377">
        <f t="shared" si="6"/>
        <v>0</v>
      </c>
      <c r="AB59" s="377">
        <f t="shared" si="7"/>
        <v>0</v>
      </c>
      <c r="AC59" s="377">
        <f t="shared" si="8"/>
        <v>0</v>
      </c>
      <c r="AD59" s="377">
        <f t="shared" si="9"/>
        <v>0</v>
      </c>
      <c r="AE59" s="377">
        <f t="shared" si="10"/>
        <v>0</v>
      </c>
      <c r="AF59" s="377">
        <f t="shared" si="11"/>
        <v>0</v>
      </c>
      <c r="AG59" s="377">
        <f t="shared" si="12"/>
        <v>0</v>
      </c>
      <c r="AH59" s="377">
        <f t="shared" si="13"/>
        <v>0</v>
      </c>
      <c r="AI59" s="377">
        <f t="shared" si="14"/>
        <v>0</v>
      </c>
      <c r="AJ59" s="377">
        <f t="shared" si="15"/>
        <v>0</v>
      </c>
      <c r="AK59" s="377">
        <f t="shared" si="16"/>
        <v>0</v>
      </c>
      <c r="AL59" s="377">
        <f t="shared" si="17"/>
        <v>0</v>
      </c>
      <c r="AM59" s="377">
        <f t="shared" si="18"/>
        <v>0</v>
      </c>
      <c r="AN59" s="377">
        <f t="shared" si="19"/>
        <v>0</v>
      </c>
      <c r="AO59" s="377">
        <f t="shared" si="20"/>
        <v>0</v>
      </c>
      <c r="AQ59" s="138">
        <v>36</v>
      </c>
      <c r="AR59" s="258">
        <f t="shared" ca="1" si="249"/>
        <v>47248</v>
      </c>
      <c r="AS59" s="378">
        <f t="shared" ca="1" si="70"/>
        <v>85.212964394200711</v>
      </c>
      <c r="AT59" s="138"/>
      <c r="AU59" s="138">
        <v>36</v>
      </c>
      <c r="AV59" s="258">
        <f t="shared" ca="1" si="250"/>
        <v>47279</v>
      </c>
      <c r="AW59" s="378">
        <f t="shared" ca="1" si="72"/>
        <v>5.7870356057992893</v>
      </c>
      <c r="AX59" s="202">
        <f t="shared" ca="1" si="73"/>
        <v>2.92</v>
      </c>
      <c r="AY59" s="138">
        <v>36</v>
      </c>
      <c r="AZ59" s="258">
        <f t="shared" ca="1" si="251"/>
        <v>47279</v>
      </c>
      <c r="BA59" s="378">
        <f t="shared" si="75"/>
        <v>91</v>
      </c>
      <c r="BC59" s="258">
        <f t="shared" ca="1" si="61"/>
        <v>47248</v>
      </c>
      <c r="BD59" s="302">
        <f t="shared" ca="1" si="76"/>
        <v>5.7870356057992893</v>
      </c>
      <c r="BE59" s="133">
        <f t="shared" si="62"/>
        <v>36</v>
      </c>
      <c r="BF59" s="379">
        <f t="shared" ca="1" si="63"/>
        <v>47248</v>
      </c>
      <c r="BG59" s="133">
        <f t="shared" si="77"/>
        <v>91</v>
      </c>
      <c r="BH59" s="133">
        <f t="shared" si="78"/>
        <v>0</v>
      </c>
      <c r="BI59" s="133">
        <f t="shared" si="79"/>
        <v>0</v>
      </c>
      <c r="BJ59" s="133">
        <f t="shared" si="80"/>
        <v>0</v>
      </c>
      <c r="BK59" s="133">
        <f t="shared" si="81"/>
        <v>0</v>
      </c>
      <c r="BL59" s="133">
        <f t="shared" si="82"/>
        <v>0</v>
      </c>
      <c r="BM59" s="133">
        <f t="shared" si="83"/>
        <v>0</v>
      </c>
      <c r="BN59" s="133">
        <f t="shared" si="84"/>
        <v>0</v>
      </c>
      <c r="BO59" s="133">
        <f t="shared" si="85"/>
        <v>0</v>
      </c>
      <c r="BP59" s="133">
        <f t="shared" si="86"/>
        <v>0</v>
      </c>
      <c r="BQ59" s="133">
        <f t="shared" si="87"/>
        <v>0</v>
      </c>
      <c r="BR59" s="133">
        <f t="shared" si="88"/>
        <v>0</v>
      </c>
      <c r="BS59" s="133">
        <f t="shared" si="89"/>
        <v>0</v>
      </c>
      <c r="BT59" s="133">
        <f t="shared" si="90"/>
        <v>0</v>
      </c>
      <c r="BU59" s="133">
        <f t="shared" si="91"/>
        <v>0</v>
      </c>
      <c r="BV59" s="133">
        <f t="shared" si="92"/>
        <v>0</v>
      </c>
      <c r="BW59" s="133">
        <f t="shared" si="93"/>
        <v>0</v>
      </c>
      <c r="BX59" s="267"/>
      <c r="BY59" s="267"/>
      <c r="BZ59" s="267"/>
      <c r="CA59" s="267"/>
      <c r="CB59" s="267"/>
      <c r="CC59" s="267"/>
      <c r="CD59" s="267"/>
      <c r="CE59" s="267"/>
      <c r="CF59" s="267"/>
      <c r="CG59" s="267"/>
      <c r="CS59" s="178">
        <v>41</v>
      </c>
      <c r="CT59" s="259">
        <f t="shared" ca="1" si="29"/>
        <v>47432</v>
      </c>
      <c r="CU59" s="179">
        <f t="shared" ref="CU59:DC59" ca="1" si="264">(($AW64/(1+CU$18)^(($AZ64-$AZ$23)/30)))+($AS64/(1+CU$18)^(($AZ64-$AZ$23)/30))</f>
        <v>41.8817012362206</v>
      </c>
      <c r="CV59" s="179">
        <f t="shared" ca="1" si="264"/>
        <v>42.7614204934331</v>
      </c>
      <c r="CW59" s="179">
        <f t="shared" ca="1" si="264"/>
        <v>43.298309227550497</v>
      </c>
      <c r="CX59" s="179">
        <f t="shared" ca="1" si="264"/>
        <v>43.842100117853526</v>
      </c>
      <c r="CY59" s="179">
        <f t="shared" ca="1" si="264"/>
        <v>44.392883971962668</v>
      </c>
      <c r="CZ59" s="179">
        <f t="shared" ca="1" si="264"/>
        <v>44.950752819510235</v>
      </c>
      <c r="DA59" s="179">
        <f t="shared" ca="1" si="264"/>
        <v>45.326647499012708</v>
      </c>
      <c r="DB59" s="179">
        <f t="shared" ca="1" si="264"/>
        <v>46.088119824631299</v>
      </c>
      <c r="DC59" s="179">
        <f t="shared" ca="1" si="264"/>
        <v>46.4737541130282</v>
      </c>
      <c r="DD59" s="179">
        <f t="shared" ref="DD59:DI59" ca="1" si="265">(($AW64/(1+DD$18)^(($AZ64-$AZ$23)/30)))+($AS64/(1+DD$18)^(($AZ64-$AZ$23)/30))</f>
        <v>46.862692003374057</v>
      </c>
      <c r="DE59" s="179">
        <f t="shared" ca="1" si="265"/>
        <v>47.254962455357003</v>
      </c>
      <c r="DF59" s="179" t="e">
        <f t="shared" ca="1" si="265"/>
        <v>#VALUE!</v>
      </c>
      <c r="DG59" s="179" t="e">
        <f t="shared" ca="1" si="265"/>
        <v>#VALUE!</v>
      </c>
      <c r="DH59" s="179" t="e">
        <f t="shared" ca="1" si="265"/>
        <v>#VALUE!</v>
      </c>
      <c r="DI59" s="179" t="e">
        <f t="shared" ca="1" si="265"/>
        <v>#VALUE!</v>
      </c>
      <c r="DJ59" s="179" t="e">
        <f t="shared" ref="DJ59:DQ59" ca="1" si="266">(($AW64/(1+DJ$18)^(($AZ64-$AZ$23)/30)))+($AS64/(1+DJ$18)^(($AZ64-$AZ$23)/30))</f>
        <v>#VALUE!</v>
      </c>
      <c r="DK59" s="179" t="e">
        <f t="shared" ca="1" si="266"/>
        <v>#VALUE!</v>
      </c>
      <c r="DL59" s="179" t="e">
        <f t="shared" ca="1" si="266"/>
        <v>#VALUE!</v>
      </c>
      <c r="DM59" s="179" t="e">
        <f t="shared" ca="1" si="266"/>
        <v>#VALUE!</v>
      </c>
      <c r="DN59" s="179" t="e">
        <f t="shared" ca="1" si="266"/>
        <v>#VALUE!</v>
      </c>
      <c r="DO59" s="179" t="e">
        <f t="shared" ca="1" si="266"/>
        <v>#VALUE!</v>
      </c>
      <c r="DP59" s="179" t="e">
        <f t="shared" ca="1" si="266"/>
        <v>#VALUE!</v>
      </c>
      <c r="DQ59" s="179" t="e">
        <f t="shared" ca="1" si="266"/>
        <v>#VALUE!</v>
      </c>
      <c r="DR59" s="180">
        <f t="shared" ca="1" si="40"/>
        <v>5.7870356057992893</v>
      </c>
      <c r="DS59" s="180">
        <f t="shared" ca="1" si="226"/>
        <v>5.7870356057992893</v>
      </c>
      <c r="DT59" s="180">
        <f t="shared" ca="1" si="226"/>
        <v>5.7870356057992893</v>
      </c>
      <c r="DU59" s="180">
        <f t="shared" ca="1" si="226"/>
        <v>5.7870356057992893</v>
      </c>
      <c r="DV59" s="180">
        <f t="shared" ca="1" si="226"/>
        <v>5.7870356057992893</v>
      </c>
      <c r="DW59" s="180">
        <f t="shared" ca="1" si="226"/>
        <v>5.7870356057992893</v>
      </c>
      <c r="DX59" s="180">
        <f t="shared" ca="1" si="226"/>
        <v>5.7870356057992893</v>
      </c>
      <c r="DY59" s="180">
        <f t="shared" ca="1" si="226"/>
        <v>5.7870356057992893</v>
      </c>
      <c r="DZ59" s="180">
        <f t="shared" ca="1" si="226"/>
        <v>5.7870356057992893</v>
      </c>
      <c r="EA59" s="180">
        <f t="shared" ca="1" si="226"/>
        <v>5.7870356057992893</v>
      </c>
      <c r="EB59" s="180">
        <f t="shared" ca="1" si="226"/>
        <v>5.7870356057992893</v>
      </c>
      <c r="EC59" s="180">
        <f t="shared" ca="1" si="226"/>
        <v>5.7870356057992893</v>
      </c>
      <c r="ED59" s="180">
        <f t="shared" ca="1" si="226"/>
        <v>5.7870356057992893</v>
      </c>
      <c r="EE59" s="180">
        <f t="shared" ca="1" si="226"/>
        <v>5.7870356057992893</v>
      </c>
      <c r="EF59" s="180">
        <f t="shared" ca="1" si="226"/>
        <v>5.7870356057992893</v>
      </c>
      <c r="EG59" s="180">
        <f t="shared" ref="EG59:EO59" ca="1" si="267">IF($AU64&gt;$BA$19,0,$BA64-$AS64)</f>
        <v>5.7870356057992893</v>
      </c>
      <c r="EH59" s="180">
        <f t="shared" ca="1" si="267"/>
        <v>5.7870356057992893</v>
      </c>
      <c r="EI59" s="180">
        <f t="shared" ca="1" si="267"/>
        <v>5.7870356057992893</v>
      </c>
      <c r="EJ59" s="180">
        <f t="shared" ca="1" si="267"/>
        <v>5.7870356057992893</v>
      </c>
      <c r="EK59" s="180">
        <f t="shared" ca="1" si="267"/>
        <v>5.7870356057992893</v>
      </c>
      <c r="EL59" s="180">
        <f t="shared" ca="1" si="267"/>
        <v>5.7870356057992893</v>
      </c>
      <c r="EM59" s="180">
        <f t="shared" ca="1" si="267"/>
        <v>5.7870356057992893</v>
      </c>
      <c r="EN59" s="180">
        <f t="shared" ca="1" si="267"/>
        <v>5.7870356057992893</v>
      </c>
      <c r="EO59" s="180">
        <f t="shared" ca="1" si="267"/>
        <v>5.7870356057992893</v>
      </c>
      <c r="EQ59" s="259">
        <f t="shared" ca="1" si="42"/>
        <v>47401</v>
      </c>
      <c r="ER59" s="87">
        <f t="shared" ref="ER59:FF68" ca="1" si="268" xml:space="preserve"> IFERROR(VLOOKUP($EQ59,$AZ$23:$BA$167,2,FALSE),0)-IFERROR(VLOOKUP($EQ59,$AR$23:$AS$167,2,FALSE),0)</f>
        <v>5.7870356057992893</v>
      </c>
      <c r="ES59" s="87">
        <f t="shared" ca="1" si="268"/>
        <v>5.7870356057992893</v>
      </c>
      <c r="ET59" s="87">
        <f t="shared" ca="1" si="268"/>
        <v>5.7870356057992893</v>
      </c>
      <c r="EU59" s="87">
        <f t="shared" ca="1" si="268"/>
        <v>5.7870356057992893</v>
      </c>
      <c r="EV59" s="87">
        <f t="shared" ca="1" si="268"/>
        <v>5.7870356057992893</v>
      </c>
      <c r="EW59" s="87">
        <f t="shared" ca="1" si="268"/>
        <v>5.7870356057992893</v>
      </c>
      <c r="EX59" s="87">
        <f t="shared" ca="1" si="268"/>
        <v>5.7870356057992893</v>
      </c>
      <c r="EY59" s="87">
        <f t="shared" ca="1" si="268"/>
        <v>5.7870356057992893</v>
      </c>
      <c r="EZ59" s="87">
        <f t="shared" ca="1" si="268"/>
        <v>5.7870356057992893</v>
      </c>
      <c r="FA59" s="87">
        <f t="shared" ca="1" si="268"/>
        <v>5.7870356057992893</v>
      </c>
      <c r="FB59" s="87">
        <f t="shared" ca="1" si="268"/>
        <v>5.7870356057992893</v>
      </c>
      <c r="FC59" s="87">
        <f t="shared" ca="1" si="268"/>
        <v>5.7870356057992893</v>
      </c>
      <c r="FD59" s="87">
        <f t="shared" ca="1" si="268"/>
        <v>5.7870356057992893</v>
      </c>
      <c r="FE59" s="87">
        <f t="shared" ca="1" si="268"/>
        <v>5.7870356057992893</v>
      </c>
      <c r="FF59" s="87">
        <f t="shared" ca="1" si="268"/>
        <v>5.7870356057992893</v>
      </c>
      <c r="FG59" s="87">
        <f t="shared" ca="1" si="228"/>
        <v>5.7870356057992893</v>
      </c>
      <c r="FH59" s="87">
        <f t="shared" ca="1" si="228"/>
        <v>5.7870356057992893</v>
      </c>
      <c r="FI59" s="87">
        <f t="shared" ca="1" si="228"/>
        <v>5.7870356057992893</v>
      </c>
      <c r="FJ59" s="87">
        <f t="shared" ca="1" si="228"/>
        <v>5.7870356057992893</v>
      </c>
      <c r="FK59" s="87">
        <f t="shared" ca="1" si="228"/>
        <v>5.7870356057992893</v>
      </c>
      <c r="FL59" s="87">
        <f t="shared" ca="1" si="228"/>
        <v>5.7870356057992893</v>
      </c>
      <c r="FM59" s="87">
        <f t="shared" ca="1" si="228"/>
        <v>5.7870356057992893</v>
      </c>
      <c r="FN59" s="87">
        <f t="shared" ca="1" si="228"/>
        <v>5.7870356057992893</v>
      </c>
      <c r="FO59" s="87">
        <f t="shared" ca="1" si="228"/>
        <v>5.7870356057992893</v>
      </c>
      <c r="FP59" s="87">
        <f t="shared" ca="1" si="228"/>
        <v>5.7870356057992893</v>
      </c>
    </row>
    <row r="60" spans="2:172" ht="12.75" hidden="1" customHeight="1" x14ac:dyDescent="0.25">
      <c r="B60" s="87">
        <v>2</v>
      </c>
      <c r="C60" s="181">
        <f t="shared" ca="1" si="256"/>
        <v>46213</v>
      </c>
      <c r="D60" s="380">
        <f t="shared" ca="1" si="262"/>
        <v>0.96931792360788815</v>
      </c>
      <c r="E60" s="380">
        <f t="shared" si="262"/>
        <v>0</v>
      </c>
      <c r="F60" s="380">
        <f t="shared" si="262"/>
        <v>0</v>
      </c>
      <c r="G60" s="380">
        <f t="shared" si="262"/>
        <v>0</v>
      </c>
      <c r="H60" s="380">
        <f t="shared" si="262"/>
        <v>0</v>
      </c>
      <c r="I60" s="380">
        <f t="shared" si="262"/>
        <v>0</v>
      </c>
      <c r="J60" s="380">
        <f t="shared" si="262"/>
        <v>0</v>
      </c>
      <c r="K60" s="380">
        <f t="shared" si="262"/>
        <v>0</v>
      </c>
      <c r="L60" s="380">
        <f t="shared" si="262"/>
        <v>0</v>
      </c>
      <c r="M60" s="380">
        <f t="shared" si="262"/>
        <v>0</v>
      </c>
      <c r="N60" s="380">
        <f t="shared" si="263"/>
        <v>0</v>
      </c>
      <c r="O60" s="380">
        <f t="shared" si="263"/>
        <v>0</v>
      </c>
      <c r="P60" s="380">
        <f t="shared" si="263"/>
        <v>0</v>
      </c>
      <c r="Q60" s="380">
        <f t="shared" si="263"/>
        <v>0</v>
      </c>
      <c r="R60" s="380">
        <f t="shared" si="263"/>
        <v>0</v>
      </c>
      <c r="S60" s="380">
        <f t="shared" si="263"/>
        <v>0</v>
      </c>
      <c r="T60" s="380">
        <f t="shared" si="263"/>
        <v>0</v>
      </c>
      <c r="U60" s="175"/>
      <c r="V60" s="176"/>
      <c r="W60" s="176"/>
      <c r="X60" s="87">
        <v>45</v>
      </c>
      <c r="Y60" s="377">
        <f t="shared" ca="1" si="4"/>
        <v>85.212964394200711</v>
      </c>
      <c r="Z60" s="377">
        <f t="shared" si="5"/>
        <v>0</v>
      </c>
      <c r="AA60" s="377">
        <f t="shared" si="6"/>
        <v>0</v>
      </c>
      <c r="AB60" s="377">
        <f t="shared" si="7"/>
        <v>0</v>
      </c>
      <c r="AC60" s="377">
        <f t="shared" si="8"/>
        <v>0</v>
      </c>
      <c r="AD60" s="377">
        <f t="shared" si="9"/>
        <v>0</v>
      </c>
      <c r="AE60" s="377">
        <f t="shared" si="10"/>
        <v>0</v>
      </c>
      <c r="AF60" s="377">
        <f t="shared" si="11"/>
        <v>0</v>
      </c>
      <c r="AG60" s="377">
        <f t="shared" si="12"/>
        <v>0</v>
      </c>
      <c r="AH60" s="377">
        <f t="shared" si="13"/>
        <v>0</v>
      </c>
      <c r="AI60" s="377">
        <f t="shared" si="14"/>
        <v>0</v>
      </c>
      <c r="AJ60" s="377">
        <f t="shared" si="15"/>
        <v>0</v>
      </c>
      <c r="AK60" s="377">
        <f t="shared" si="16"/>
        <v>0</v>
      </c>
      <c r="AL60" s="377">
        <f t="shared" si="17"/>
        <v>0</v>
      </c>
      <c r="AM60" s="377">
        <f t="shared" si="18"/>
        <v>0</v>
      </c>
      <c r="AN60" s="377">
        <f t="shared" si="19"/>
        <v>0</v>
      </c>
      <c r="AO60" s="377">
        <f t="shared" si="20"/>
        <v>0</v>
      </c>
      <c r="AQ60" s="138">
        <v>37</v>
      </c>
      <c r="AR60" s="258">
        <f t="shared" ca="1" si="249"/>
        <v>47279</v>
      </c>
      <c r="AS60" s="378">
        <f t="shared" ca="1" si="70"/>
        <v>85.212964394200711</v>
      </c>
      <c r="AT60" s="138"/>
      <c r="AU60" s="138">
        <v>37</v>
      </c>
      <c r="AV60" s="258">
        <f t="shared" ca="1" si="250"/>
        <v>47309</v>
      </c>
      <c r="AW60" s="378">
        <f t="shared" ca="1" si="72"/>
        <v>5.7870356057992893</v>
      </c>
      <c r="AX60" s="202">
        <f t="shared" ca="1" si="73"/>
        <v>2.87</v>
      </c>
      <c r="AY60" s="138">
        <v>37</v>
      </c>
      <c r="AZ60" s="258">
        <f t="shared" ca="1" si="251"/>
        <v>47309</v>
      </c>
      <c r="BA60" s="378">
        <f t="shared" si="75"/>
        <v>91</v>
      </c>
      <c r="BC60" s="258">
        <f t="shared" ca="1" si="61"/>
        <v>47279</v>
      </c>
      <c r="BD60" s="302">
        <f t="shared" ca="1" si="76"/>
        <v>5.7870356057992893</v>
      </c>
      <c r="BE60" s="133">
        <f t="shared" si="62"/>
        <v>37</v>
      </c>
      <c r="BF60" s="379">
        <f t="shared" ca="1" si="63"/>
        <v>47279</v>
      </c>
      <c r="BG60" s="133">
        <f t="shared" si="77"/>
        <v>91</v>
      </c>
      <c r="BH60" s="133">
        <f t="shared" si="78"/>
        <v>0</v>
      </c>
      <c r="BI60" s="133">
        <f t="shared" si="79"/>
        <v>0</v>
      </c>
      <c r="BJ60" s="133">
        <f t="shared" si="80"/>
        <v>0</v>
      </c>
      <c r="BK60" s="133">
        <f t="shared" si="81"/>
        <v>0</v>
      </c>
      <c r="BL60" s="133">
        <f t="shared" si="82"/>
        <v>0</v>
      </c>
      <c r="BM60" s="133">
        <f t="shared" si="83"/>
        <v>0</v>
      </c>
      <c r="BN60" s="133">
        <f t="shared" si="84"/>
        <v>0</v>
      </c>
      <c r="BO60" s="133">
        <f t="shared" si="85"/>
        <v>0</v>
      </c>
      <c r="BP60" s="133">
        <f t="shared" si="86"/>
        <v>0</v>
      </c>
      <c r="BQ60" s="133">
        <f t="shared" si="87"/>
        <v>0</v>
      </c>
      <c r="BR60" s="133">
        <f t="shared" si="88"/>
        <v>0</v>
      </c>
      <c r="BS60" s="133">
        <f t="shared" si="89"/>
        <v>0</v>
      </c>
      <c r="BT60" s="133">
        <f t="shared" si="90"/>
        <v>0</v>
      </c>
      <c r="BU60" s="133">
        <f t="shared" si="91"/>
        <v>0</v>
      </c>
      <c r="BV60" s="133">
        <f t="shared" si="92"/>
        <v>0</v>
      </c>
      <c r="BW60" s="133">
        <f t="shared" si="93"/>
        <v>0</v>
      </c>
      <c r="BX60" s="267"/>
      <c r="BY60" s="267"/>
      <c r="BZ60" s="267"/>
      <c r="CA60" s="267"/>
      <c r="CB60" s="267"/>
      <c r="CC60" s="267"/>
      <c r="CD60" s="267"/>
      <c r="CE60" s="267"/>
      <c r="CF60" s="267"/>
      <c r="CG60" s="267"/>
      <c r="CS60" s="138">
        <v>42</v>
      </c>
      <c r="CT60" s="259">
        <f t="shared" ca="1" si="29"/>
        <v>47462</v>
      </c>
      <c r="CU60" s="179">
        <f t="shared" ref="CU60:DC60" ca="1" si="269">(($AW65/(1+CU$18)^(($AZ65-$AZ$23)/30)))+($AS65/(1+CU$18)^(($AZ65-$AZ$23)/30))</f>
        <v>41.120963413078641</v>
      </c>
      <c r="CV60" s="179">
        <f t="shared" ca="1" si="269"/>
        <v>42.005324649737815</v>
      </c>
      <c r="CW60" s="179">
        <f t="shared" ca="1" si="269"/>
        <v>42.545258158151221</v>
      </c>
      <c r="CX60" s="179">
        <f t="shared" ca="1" si="269"/>
        <v>43.092294198794505</v>
      </c>
      <c r="CY60" s="179">
        <f t="shared" ca="1" si="269"/>
        <v>43.646528337393249</v>
      </c>
      <c r="CZ60" s="179">
        <f t="shared" ca="1" si="269"/>
        <v>44.208057454278368</v>
      </c>
      <c r="DA60" s="179">
        <f t="shared" ca="1" si="269"/>
        <v>44.586511409613131</v>
      </c>
      <c r="DB60" s="179">
        <f t="shared" ca="1" si="269"/>
        <v>45.353394828411034</v>
      </c>
      <c r="DC60" s="179">
        <f t="shared" ca="1" si="269"/>
        <v>45.741883969515953</v>
      </c>
      <c r="DD60" s="179">
        <f t="shared" ref="DD60:DI60" ca="1" si="270">(($AW65/(1+DD$18)^(($AZ65-$AZ$23)/30)))+($AS65/(1+DD$18)^(($AZ65-$AZ$23)/30))</f>
        <v>46.133778306137096</v>
      </c>
      <c r="DE60" s="179">
        <f t="shared" ca="1" si="270"/>
        <v>46.529108364865102</v>
      </c>
      <c r="DF60" s="179" t="e">
        <f t="shared" ca="1" si="270"/>
        <v>#VALUE!</v>
      </c>
      <c r="DG60" s="179" t="e">
        <f t="shared" ca="1" si="270"/>
        <v>#VALUE!</v>
      </c>
      <c r="DH60" s="179" t="e">
        <f t="shared" ca="1" si="270"/>
        <v>#VALUE!</v>
      </c>
      <c r="DI60" s="179" t="e">
        <f t="shared" ca="1" si="270"/>
        <v>#VALUE!</v>
      </c>
      <c r="DJ60" s="179" t="e">
        <f t="shared" ref="DJ60:DQ60" ca="1" si="271">(($AW65/(1+DJ$18)^(($AZ65-$AZ$23)/30)))+($AS65/(1+DJ$18)^(($AZ65-$AZ$23)/30))</f>
        <v>#VALUE!</v>
      </c>
      <c r="DK60" s="179" t="e">
        <f t="shared" ca="1" si="271"/>
        <v>#VALUE!</v>
      </c>
      <c r="DL60" s="179" t="e">
        <f t="shared" ca="1" si="271"/>
        <v>#VALUE!</v>
      </c>
      <c r="DM60" s="179" t="e">
        <f t="shared" ca="1" si="271"/>
        <v>#VALUE!</v>
      </c>
      <c r="DN60" s="179" t="e">
        <f t="shared" ca="1" si="271"/>
        <v>#VALUE!</v>
      </c>
      <c r="DO60" s="179" t="e">
        <f t="shared" ca="1" si="271"/>
        <v>#VALUE!</v>
      </c>
      <c r="DP60" s="179" t="e">
        <f t="shared" ca="1" si="271"/>
        <v>#VALUE!</v>
      </c>
      <c r="DQ60" s="179" t="e">
        <f t="shared" ca="1" si="271"/>
        <v>#VALUE!</v>
      </c>
      <c r="DR60" s="180">
        <f t="shared" ca="1" si="40"/>
        <v>5.7870356057992893</v>
      </c>
      <c r="DS60" s="180">
        <f t="shared" ca="1" si="226"/>
        <v>5.7870356057992893</v>
      </c>
      <c r="DT60" s="180">
        <f t="shared" ca="1" si="226"/>
        <v>5.7870356057992893</v>
      </c>
      <c r="DU60" s="180">
        <f t="shared" ca="1" si="226"/>
        <v>5.7870356057992893</v>
      </c>
      <c r="DV60" s="180">
        <f t="shared" ca="1" si="226"/>
        <v>5.7870356057992893</v>
      </c>
      <c r="DW60" s="180">
        <f t="shared" ca="1" si="226"/>
        <v>5.7870356057992893</v>
      </c>
      <c r="DX60" s="180">
        <f t="shared" ca="1" si="226"/>
        <v>5.7870356057992893</v>
      </c>
      <c r="DY60" s="180">
        <f t="shared" ca="1" si="226"/>
        <v>5.7870356057992893</v>
      </c>
      <c r="DZ60" s="180">
        <f t="shared" ca="1" si="226"/>
        <v>5.7870356057992893</v>
      </c>
      <c r="EA60" s="180">
        <f t="shared" ca="1" si="226"/>
        <v>5.7870356057992893</v>
      </c>
      <c r="EB60" s="180">
        <f t="shared" ca="1" si="226"/>
        <v>5.7870356057992893</v>
      </c>
      <c r="EC60" s="180">
        <f t="shared" ca="1" si="226"/>
        <v>5.7870356057992893</v>
      </c>
      <c r="ED60" s="180">
        <f t="shared" ca="1" si="226"/>
        <v>5.7870356057992893</v>
      </c>
      <c r="EE60" s="180">
        <f t="shared" ca="1" si="226"/>
        <v>5.7870356057992893</v>
      </c>
      <c r="EF60" s="180">
        <f t="shared" ca="1" si="226"/>
        <v>5.7870356057992893</v>
      </c>
      <c r="EG60" s="180">
        <f t="shared" ref="EG60:EO60" ca="1" si="272">IF($AU65&gt;$BA$19,0,$BA65-$AS65)</f>
        <v>5.7870356057992893</v>
      </c>
      <c r="EH60" s="180">
        <f t="shared" ca="1" si="272"/>
        <v>5.7870356057992893</v>
      </c>
      <c r="EI60" s="180">
        <f t="shared" ca="1" si="272"/>
        <v>5.7870356057992893</v>
      </c>
      <c r="EJ60" s="180">
        <f t="shared" ca="1" si="272"/>
        <v>5.7870356057992893</v>
      </c>
      <c r="EK60" s="180">
        <f t="shared" ca="1" si="272"/>
        <v>5.7870356057992893</v>
      </c>
      <c r="EL60" s="180">
        <f t="shared" ca="1" si="272"/>
        <v>5.7870356057992893</v>
      </c>
      <c r="EM60" s="180">
        <f t="shared" ca="1" si="272"/>
        <v>5.7870356057992893</v>
      </c>
      <c r="EN60" s="180">
        <f t="shared" ca="1" si="272"/>
        <v>5.7870356057992893</v>
      </c>
      <c r="EO60" s="180">
        <f t="shared" ca="1" si="272"/>
        <v>5.7870356057992893</v>
      </c>
      <c r="EQ60" s="259">
        <f t="shared" ca="1" si="42"/>
        <v>47432</v>
      </c>
      <c r="ER60" s="87">
        <f t="shared" ca="1" si="268"/>
        <v>5.7870356057992893</v>
      </c>
      <c r="ES60" s="87">
        <f t="shared" ca="1" si="268"/>
        <v>5.7870356057992893</v>
      </c>
      <c r="ET60" s="87">
        <f t="shared" ca="1" si="268"/>
        <v>5.7870356057992893</v>
      </c>
      <c r="EU60" s="87">
        <f t="shared" ca="1" si="268"/>
        <v>5.7870356057992893</v>
      </c>
      <c r="EV60" s="87">
        <f t="shared" ca="1" si="268"/>
        <v>5.7870356057992893</v>
      </c>
      <c r="EW60" s="87">
        <f t="shared" ca="1" si="268"/>
        <v>5.7870356057992893</v>
      </c>
      <c r="EX60" s="87">
        <f t="shared" ca="1" si="268"/>
        <v>5.7870356057992893</v>
      </c>
      <c r="EY60" s="87">
        <f t="shared" ca="1" si="268"/>
        <v>5.7870356057992893</v>
      </c>
      <c r="EZ60" s="87">
        <f t="shared" ca="1" si="268"/>
        <v>5.7870356057992893</v>
      </c>
      <c r="FA60" s="87">
        <f t="shared" ca="1" si="268"/>
        <v>5.7870356057992893</v>
      </c>
      <c r="FB60" s="87">
        <f t="shared" ca="1" si="268"/>
        <v>5.7870356057992893</v>
      </c>
      <c r="FC60" s="87">
        <f t="shared" ca="1" si="268"/>
        <v>5.7870356057992893</v>
      </c>
      <c r="FD60" s="87">
        <f t="shared" ca="1" si="268"/>
        <v>5.7870356057992893</v>
      </c>
      <c r="FE60" s="87">
        <f t="shared" ca="1" si="268"/>
        <v>5.7870356057992893</v>
      </c>
      <c r="FF60" s="87">
        <f t="shared" ca="1" si="268"/>
        <v>5.7870356057992893</v>
      </c>
      <c r="FG60" s="87">
        <f t="shared" ca="1" si="228"/>
        <v>5.7870356057992893</v>
      </c>
      <c r="FH60" s="87">
        <f t="shared" ca="1" si="228"/>
        <v>5.7870356057992893</v>
      </c>
      <c r="FI60" s="87">
        <f t="shared" ca="1" si="228"/>
        <v>5.7870356057992893</v>
      </c>
      <c r="FJ60" s="87">
        <f t="shared" ca="1" si="228"/>
        <v>5.7870356057992893</v>
      </c>
      <c r="FK60" s="87">
        <f t="shared" ca="1" si="228"/>
        <v>5.7870356057992893</v>
      </c>
      <c r="FL60" s="87">
        <f t="shared" ca="1" si="228"/>
        <v>5.7870356057992893</v>
      </c>
      <c r="FM60" s="87">
        <f t="shared" ca="1" si="228"/>
        <v>5.7870356057992893</v>
      </c>
      <c r="FN60" s="87">
        <f t="shared" ca="1" si="228"/>
        <v>5.7870356057992893</v>
      </c>
      <c r="FO60" s="87">
        <f t="shared" ca="1" si="228"/>
        <v>5.7870356057992893</v>
      </c>
      <c r="FP60" s="87">
        <f t="shared" ca="1" si="228"/>
        <v>5.7870356057992893</v>
      </c>
    </row>
    <row r="61" spans="2:172" ht="12.75" hidden="1" customHeight="1" x14ac:dyDescent="0.25">
      <c r="B61" s="87">
        <v>3</v>
      </c>
      <c r="C61" s="181">
        <f t="shared" ca="1" si="256"/>
        <v>46244</v>
      </c>
      <c r="D61" s="380">
        <f t="shared" ca="1" si="262"/>
        <v>0.95112991689829551</v>
      </c>
      <c r="E61" s="380">
        <f t="shared" si="262"/>
        <v>0</v>
      </c>
      <c r="F61" s="380">
        <f t="shared" si="262"/>
        <v>0</v>
      </c>
      <c r="G61" s="380">
        <f t="shared" si="262"/>
        <v>0</v>
      </c>
      <c r="H61" s="380">
        <f t="shared" si="262"/>
        <v>0</v>
      </c>
      <c r="I61" s="380">
        <f t="shared" si="262"/>
        <v>0</v>
      </c>
      <c r="J61" s="380">
        <f t="shared" si="262"/>
        <v>0</v>
      </c>
      <c r="K61" s="380">
        <f t="shared" si="262"/>
        <v>0</v>
      </c>
      <c r="L61" s="380">
        <f t="shared" si="262"/>
        <v>0</v>
      </c>
      <c r="M61" s="380">
        <f t="shared" si="262"/>
        <v>0</v>
      </c>
      <c r="N61" s="380">
        <f t="shared" si="263"/>
        <v>0</v>
      </c>
      <c r="O61" s="380">
        <f t="shared" si="263"/>
        <v>0</v>
      </c>
      <c r="P61" s="380">
        <f t="shared" si="263"/>
        <v>0</v>
      </c>
      <c r="Q61" s="380">
        <f t="shared" si="263"/>
        <v>0</v>
      </c>
      <c r="R61" s="380">
        <f t="shared" si="263"/>
        <v>0</v>
      </c>
      <c r="S61" s="380">
        <f t="shared" si="263"/>
        <v>0</v>
      </c>
      <c r="T61" s="380">
        <f t="shared" si="263"/>
        <v>0</v>
      </c>
      <c r="U61" s="175"/>
      <c r="V61" s="176"/>
      <c r="W61" s="176"/>
      <c r="X61" s="87">
        <v>46</v>
      </c>
      <c r="Y61" s="377">
        <f t="shared" ca="1" si="4"/>
        <v>85.212964394200711</v>
      </c>
      <c r="Z61" s="377">
        <f t="shared" si="5"/>
        <v>0</v>
      </c>
      <c r="AA61" s="377">
        <f t="shared" si="6"/>
        <v>0</v>
      </c>
      <c r="AB61" s="377">
        <f t="shared" si="7"/>
        <v>0</v>
      </c>
      <c r="AC61" s="377">
        <f t="shared" si="8"/>
        <v>0</v>
      </c>
      <c r="AD61" s="377">
        <f t="shared" si="9"/>
        <v>0</v>
      </c>
      <c r="AE61" s="377">
        <f t="shared" si="10"/>
        <v>0</v>
      </c>
      <c r="AF61" s="377">
        <f t="shared" si="11"/>
        <v>0</v>
      </c>
      <c r="AG61" s="377">
        <f t="shared" si="12"/>
        <v>0</v>
      </c>
      <c r="AH61" s="377">
        <f t="shared" si="13"/>
        <v>0</v>
      </c>
      <c r="AI61" s="377">
        <f t="shared" si="14"/>
        <v>0</v>
      </c>
      <c r="AJ61" s="377">
        <f t="shared" si="15"/>
        <v>0</v>
      </c>
      <c r="AK61" s="377">
        <f t="shared" si="16"/>
        <v>0</v>
      </c>
      <c r="AL61" s="377">
        <f t="shared" si="17"/>
        <v>0</v>
      </c>
      <c r="AM61" s="377">
        <f t="shared" si="18"/>
        <v>0</v>
      </c>
      <c r="AN61" s="377">
        <f t="shared" si="19"/>
        <v>0</v>
      </c>
      <c r="AO61" s="377">
        <f t="shared" si="20"/>
        <v>0</v>
      </c>
      <c r="AQ61" s="138">
        <v>38</v>
      </c>
      <c r="AR61" s="258">
        <f t="shared" ca="1" si="249"/>
        <v>47309</v>
      </c>
      <c r="AS61" s="378">
        <f t="shared" ca="1" si="70"/>
        <v>85.212964394200711</v>
      </c>
      <c r="AT61" s="138"/>
      <c r="AU61" s="138">
        <v>38</v>
      </c>
      <c r="AV61" s="258">
        <f t="shared" ca="1" si="250"/>
        <v>47340</v>
      </c>
      <c r="AW61" s="378">
        <f t="shared" ca="1" si="72"/>
        <v>5.7870356057992893</v>
      </c>
      <c r="AX61" s="202">
        <f t="shared" ca="1" si="73"/>
        <v>2.82</v>
      </c>
      <c r="AY61" s="138">
        <v>38</v>
      </c>
      <c r="AZ61" s="258">
        <f t="shared" ca="1" si="251"/>
        <v>47340</v>
      </c>
      <c r="BA61" s="378">
        <f t="shared" si="75"/>
        <v>91</v>
      </c>
      <c r="BC61" s="258">
        <f t="shared" ca="1" si="61"/>
        <v>47309</v>
      </c>
      <c r="BD61" s="302">
        <f t="shared" ca="1" si="76"/>
        <v>5.7870356057992893</v>
      </c>
      <c r="BE61" s="133">
        <f t="shared" si="62"/>
        <v>38</v>
      </c>
      <c r="BF61" s="379">
        <f t="shared" ca="1" si="63"/>
        <v>47309</v>
      </c>
      <c r="BG61" s="133">
        <f t="shared" si="77"/>
        <v>91</v>
      </c>
      <c r="BH61" s="133">
        <f t="shared" si="78"/>
        <v>0</v>
      </c>
      <c r="BI61" s="133">
        <f t="shared" si="79"/>
        <v>0</v>
      </c>
      <c r="BJ61" s="133">
        <f t="shared" si="80"/>
        <v>0</v>
      </c>
      <c r="BK61" s="133">
        <f t="shared" si="81"/>
        <v>0</v>
      </c>
      <c r="BL61" s="133">
        <f t="shared" si="82"/>
        <v>0</v>
      </c>
      <c r="BM61" s="133">
        <f t="shared" si="83"/>
        <v>0</v>
      </c>
      <c r="BN61" s="133">
        <f t="shared" si="84"/>
        <v>0</v>
      </c>
      <c r="BO61" s="133">
        <f t="shared" si="85"/>
        <v>0</v>
      </c>
      <c r="BP61" s="133">
        <f t="shared" si="86"/>
        <v>0</v>
      </c>
      <c r="BQ61" s="133">
        <f t="shared" si="87"/>
        <v>0</v>
      </c>
      <c r="BR61" s="133">
        <f t="shared" si="88"/>
        <v>0</v>
      </c>
      <c r="BS61" s="133">
        <f t="shared" si="89"/>
        <v>0</v>
      </c>
      <c r="BT61" s="133">
        <f t="shared" si="90"/>
        <v>0</v>
      </c>
      <c r="BU61" s="133">
        <f t="shared" si="91"/>
        <v>0</v>
      </c>
      <c r="BV61" s="133">
        <f t="shared" si="92"/>
        <v>0</v>
      </c>
      <c r="BW61" s="133">
        <f t="shared" si="93"/>
        <v>0</v>
      </c>
      <c r="BX61" s="267"/>
      <c r="BY61" s="267"/>
      <c r="BZ61" s="267"/>
      <c r="CA61" s="267"/>
      <c r="CB61" s="267"/>
      <c r="CC61" s="267"/>
      <c r="CD61" s="267"/>
      <c r="CE61" s="267"/>
      <c r="CF61" s="267"/>
      <c r="CG61" s="267"/>
      <c r="CS61" s="87">
        <v>43</v>
      </c>
      <c r="CT61" s="259">
        <f t="shared" ca="1" si="29"/>
        <v>47493</v>
      </c>
      <c r="CU61" s="179">
        <f t="shared" ref="CU61:DC61" ca="1" si="273">(($AW66/(1+CU$18)^(($AZ66-$AZ$23)/30)))+($AS66/(1+CU$18)^(($AZ66-$AZ$23)/30))</f>
        <v>40.349381313700768</v>
      </c>
      <c r="CV61" s="179">
        <f t="shared" ca="1" si="273"/>
        <v>41.238067803123414</v>
      </c>
      <c r="CW61" s="179">
        <f t="shared" ca="1" si="273"/>
        <v>41.780862035426985</v>
      </c>
      <c r="CX61" s="179">
        <f t="shared" ca="1" si="273"/>
        <v>42.330963971510819</v>
      </c>
      <c r="CY61" s="179">
        <f t="shared" ca="1" si="273"/>
        <v>42.888474194335579</v>
      </c>
      <c r="CZ61" s="179">
        <f t="shared" ca="1" si="273"/>
        <v>43.453494701558398</v>
      </c>
      <c r="DA61" s="179">
        <f t="shared" ca="1" si="273"/>
        <v>43.834398438119997</v>
      </c>
      <c r="DB61" s="179">
        <f t="shared" ca="1" si="273"/>
        <v>44.606481755560537</v>
      </c>
      <c r="DC61" s="179">
        <f t="shared" ca="1" si="273"/>
        <v>44.997724220608845</v>
      </c>
      <c r="DD61" s="179">
        <f t="shared" ref="DD61:DI61" ca="1" si="274">(($AW66/(1+DD$18)^(($AZ66-$AZ$23)/30)))+($AS66/(1+DD$18)^(($AZ66-$AZ$23)/30))</f>
        <v>45.392476303880173</v>
      </c>
      <c r="DE61" s="179">
        <f t="shared" ca="1" si="274"/>
        <v>45.790770188527688</v>
      </c>
      <c r="DF61" s="179" t="e">
        <f t="shared" ca="1" si="274"/>
        <v>#VALUE!</v>
      </c>
      <c r="DG61" s="179" t="e">
        <f t="shared" ca="1" si="274"/>
        <v>#VALUE!</v>
      </c>
      <c r="DH61" s="179" t="e">
        <f t="shared" ca="1" si="274"/>
        <v>#VALUE!</v>
      </c>
      <c r="DI61" s="179" t="e">
        <f t="shared" ca="1" si="274"/>
        <v>#VALUE!</v>
      </c>
      <c r="DJ61" s="179" t="e">
        <f t="shared" ref="DJ61:DQ61" ca="1" si="275">(($AW66/(1+DJ$18)^(($AZ66-$AZ$23)/30)))+($AS66/(1+DJ$18)^(($AZ66-$AZ$23)/30))</f>
        <v>#VALUE!</v>
      </c>
      <c r="DK61" s="179" t="e">
        <f t="shared" ca="1" si="275"/>
        <v>#VALUE!</v>
      </c>
      <c r="DL61" s="179" t="e">
        <f t="shared" ca="1" si="275"/>
        <v>#VALUE!</v>
      </c>
      <c r="DM61" s="179" t="e">
        <f t="shared" ca="1" si="275"/>
        <v>#VALUE!</v>
      </c>
      <c r="DN61" s="179" t="e">
        <f t="shared" ca="1" si="275"/>
        <v>#VALUE!</v>
      </c>
      <c r="DO61" s="179" t="e">
        <f t="shared" ca="1" si="275"/>
        <v>#VALUE!</v>
      </c>
      <c r="DP61" s="179" t="e">
        <f t="shared" ca="1" si="275"/>
        <v>#VALUE!</v>
      </c>
      <c r="DQ61" s="179" t="e">
        <f t="shared" ca="1" si="275"/>
        <v>#VALUE!</v>
      </c>
      <c r="DR61" s="180">
        <f t="shared" ca="1" si="40"/>
        <v>5.7870356057992893</v>
      </c>
      <c r="DS61" s="180">
        <f t="shared" ca="1" si="226"/>
        <v>5.7870356057992893</v>
      </c>
      <c r="DT61" s="180">
        <f t="shared" ca="1" si="226"/>
        <v>5.7870356057992893</v>
      </c>
      <c r="DU61" s="180">
        <f t="shared" ca="1" si="226"/>
        <v>5.7870356057992893</v>
      </c>
      <c r="DV61" s="180">
        <f t="shared" ca="1" si="226"/>
        <v>5.7870356057992893</v>
      </c>
      <c r="DW61" s="180">
        <f t="shared" ca="1" si="226"/>
        <v>5.7870356057992893</v>
      </c>
      <c r="DX61" s="180">
        <f t="shared" ca="1" si="226"/>
        <v>5.7870356057992893</v>
      </c>
      <c r="DY61" s="180">
        <f t="shared" ca="1" si="226"/>
        <v>5.7870356057992893</v>
      </c>
      <c r="DZ61" s="180">
        <f t="shared" ca="1" si="226"/>
        <v>5.7870356057992893</v>
      </c>
      <c r="EA61" s="180">
        <f t="shared" ca="1" si="226"/>
        <v>5.7870356057992893</v>
      </c>
      <c r="EB61" s="180">
        <f t="shared" ca="1" si="226"/>
        <v>5.7870356057992893</v>
      </c>
      <c r="EC61" s="180">
        <f t="shared" ca="1" si="226"/>
        <v>5.7870356057992893</v>
      </c>
      <c r="ED61" s="180">
        <f t="shared" ca="1" si="226"/>
        <v>5.7870356057992893</v>
      </c>
      <c r="EE61" s="180">
        <f t="shared" ca="1" si="226"/>
        <v>5.7870356057992893</v>
      </c>
      <c r="EF61" s="180">
        <f t="shared" ca="1" si="226"/>
        <v>5.7870356057992893</v>
      </c>
      <c r="EG61" s="180">
        <f t="shared" ref="EG61:EO61" ca="1" si="276">IF($AU66&gt;$BA$19,0,$BA66-$AS66)</f>
        <v>5.7870356057992893</v>
      </c>
      <c r="EH61" s="180">
        <f t="shared" ca="1" si="276"/>
        <v>5.7870356057992893</v>
      </c>
      <c r="EI61" s="180">
        <f t="shared" ca="1" si="276"/>
        <v>5.7870356057992893</v>
      </c>
      <c r="EJ61" s="180">
        <f t="shared" ca="1" si="276"/>
        <v>5.7870356057992893</v>
      </c>
      <c r="EK61" s="180">
        <f t="shared" ca="1" si="276"/>
        <v>5.7870356057992893</v>
      </c>
      <c r="EL61" s="180">
        <f t="shared" ca="1" si="276"/>
        <v>5.7870356057992893</v>
      </c>
      <c r="EM61" s="180">
        <f t="shared" ca="1" si="276"/>
        <v>5.7870356057992893</v>
      </c>
      <c r="EN61" s="180">
        <f t="shared" ca="1" si="276"/>
        <v>5.7870356057992893</v>
      </c>
      <c r="EO61" s="180">
        <f t="shared" ca="1" si="276"/>
        <v>5.7870356057992893</v>
      </c>
      <c r="EQ61" s="259">
        <f t="shared" ca="1" si="42"/>
        <v>47462</v>
      </c>
      <c r="ER61" s="87">
        <f t="shared" ca="1" si="268"/>
        <v>5.7870356057992893</v>
      </c>
      <c r="ES61" s="87">
        <f t="shared" ca="1" si="268"/>
        <v>5.7870356057992893</v>
      </c>
      <c r="ET61" s="87">
        <f t="shared" ca="1" si="268"/>
        <v>5.7870356057992893</v>
      </c>
      <c r="EU61" s="87">
        <f t="shared" ca="1" si="268"/>
        <v>5.7870356057992893</v>
      </c>
      <c r="EV61" s="87">
        <f t="shared" ca="1" si="268"/>
        <v>5.7870356057992893</v>
      </c>
      <c r="EW61" s="87">
        <f t="shared" ca="1" si="268"/>
        <v>5.7870356057992893</v>
      </c>
      <c r="EX61" s="87">
        <f t="shared" ca="1" si="268"/>
        <v>5.7870356057992893</v>
      </c>
      <c r="EY61" s="87">
        <f t="shared" ca="1" si="268"/>
        <v>5.7870356057992893</v>
      </c>
      <c r="EZ61" s="87">
        <f t="shared" ca="1" si="268"/>
        <v>5.7870356057992893</v>
      </c>
      <c r="FA61" s="87">
        <f t="shared" ca="1" si="268"/>
        <v>5.7870356057992893</v>
      </c>
      <c r="FB61" s="87">
        <f t="shared" ca="1" si="268"/>
        <v>5.7870356057992893</v>
      </c>
      <c r="FC61" s="87">
        <f t="shared" ca="1" si="268"/>
        <v>5.7870356057992893</v>
      </c>
      <c r="FD61" s="87">
        <f t="shared" ca="1" si="268"/>
        <v>5.7870356057992893</v>
      </c>
      <c r="FE61" s="87">
        <f t="shared" ca="1" si="268"/>
        <v>5.7870356057992893</v>
      </c>
      <c r="FF61" s="87">
        <f t="shared" ca="1" si="268"/>
        <v>5.7870356057992893</v>
      </c>
      <c r="FG61" s="87">
        <f t="shared" ca="1" si="228"/>
        <v>5.7870356057992893</v>
      </c>
      <c r="FH61" s="87">
        <f t="shared" ca="1" si="228"/>
        <v>5.7870356057992893</v>
      </c>
      <c r="FI61" s="87">
        <f t="shared" ca="1" si="228"/>
        <v>5.7870356057992893</v>
      </c>
      <c r="FJ61" s="87">
        <f t="shared" ca="1" si="228"/>
        <v>5.7870356057992893</v>
      </c>
      <c r="FK61" s="87">
        <f t="shared" ca="1" si="228"/>
        <v>5.7870356057992893</v>
      </c>
      <c r="FL61" s="87">
        <f t="shared" ca="1" si="228"/>
        <v>5.7870356057992893</v>
      </c>
      <c r="FM61" s="87">
        <f t="shared" ca="1" si="228"/>
        <v>5.7870356057992893</v>
      </c>
      <c r="FN61" s="87">
        <f t="shared" ca="1" si="228"/>
        <v>5.7870356057992893</v>
      </c>
      <c r="FO61" s="87">
        <f t="shared" ca="1" si="228"/>
        <v>5.7870356057992893</v>
      </c>
      <c r="FP61" s="87">
        <f t="shared" ca="1" si="228"/>
        <v>5.7870356057992893</v>
      </c>
    </row>
    <row r="62" spans="2:172" ht="12.75" hidden="1" customHeight="1" x14ac:dyDescent="0.25">
      <c r="B62" s="87">
        <v>4</v>
      </c>
      <c r="C62" s="181">
        <f t="shared" ca="1" si="256"/>
        <v>46275</v>
      </c>
      <c r="D62" s="380">
        <f t="shared" ca="1" si="262"/>
        <v>0.93328318479016392</v>
      </c>
      <c r="E62" s="380">
        <f t="shared" si="262"/>
        <v>0</v>
      </c>
      <c r="F62" s="380">
        <f t="shared" si="262"/>
        <v>0</v>
      </c>
      <c r="G62" s="380">
        <f t="shared" si="262"/>
        <v>0</v>
      </c>
      <c r="H62" s="380">
        <f t="shared" si="262"/>
        <v>0</v>
      </c>
      <c r="I62" s="380">
        <f t="shared" si="262"/>
        <v>0</v>
      </c>
      <c r="J62" s="380">
        <f t="shared" si="262"/>
        <v>0</v>
      </c>
      <c r="K62" s="380">
        <f t="shared" si="262"/>
        <v>0</v>
      </c>
      <c r="L62" s="380">
        <f t="shared" si="262"/>
        <v>0</v>
      </c>
      <c r="M62" s="380">
        <f t="shared" si="262"/>
        <v>0</v>
      </c>
      <c r="N62" s="380">
        <f t="shared" si="263"/>
        <v>0</v>
      </c>
      <c r="O62" s="380">
        <f t="shared" si="263"/>
        <v>0</v>
      </c>
      <c r="P62" s="380">
        <f t="shared" si="263"/>
        <v>0</v>
      </c>
      <c r="Q62" s="380">
        <f t="shared" si="263"/>
        <v>0</v>
      </c>
      <c r="R62" s="380">
        <f t="shared" si="263"/>
        <v>0</v>
      </c>
      <c r="S62" s="380">
        <f t="shared" si="263"/>
        <v>0</v>
      </c>
      <c r="T62" s="380">
        <f t="shared" si="263"/>
        <v>0</v>
      </c>
      <c r="U62" s="175"/>
      <c r="V62" s="176"/>
      <c r="W62" s="176"/>
      <c r="X62" s="87">
        <v>47</v>
      </c>
      <c r="Y62" s="377">
        <f t="shared" ca="1" si="4"/>
        <v>85.212964394200711</v>
      </c>
      <c r="Z62" s="377">
        <f t="shared" si="5"/>
        <v>0</v>
      </c>
      <c r="AA62" s="377">
        <f t="shared" si="6"/>
        <v>0</v>
      </c>
      <c r="AB62" s="377">
        <f t="shared" si="7"/>
        <v>0</v>
      </c>
      <c r="AC62" s="377">
        <f t="shared" si="8"/>
        <v>0</v>
      </c>
      <c r="AD62" s="377">
        <f t="shared" si="9"/>
        <v>0</v>
      </c>
      <c r="AE62" s="377">
        <f t="shared" si="10"/>
        <v>0</v>
      </c>
      <c r="AF62" s="377">
        <f t="shared" si="11"/>
        <v>0</v>
      </c>
      <c r="AG62" s="377">
        <f t="shared" si="12"/>
        <v>0</v>
      </c>
      <c r="AH62" s="377">
        <f t="shared" si="13"/>
        <v>0</v>
      </c>
      <c r="AI62" s="377">
        <f t="shared" si="14"/>
        <v>0</v>
      </c>
      <c r="AJ62" s="377">
        <f t="shared" si="15"/>
        <v>0</v>
      </c>
      <c r="AK62" s="377">
        <f t="shared" si="16"/>
        <v>0</v>
      </c>
      <c r="AL62" s="377">
        <f t="shared" si="17"/>
        <v>0</v>
      </c>
      <c r="AM62" s="377">
        <f t="shared" si="18"/>
        <v>0</v>
      </c>
      <c r="AN62" s="377">
        <f t="shared" si="19"/>
        <v>0</v>
      </c>
      <c r="AO62" s="377">
        <f t="shared" si="20"/>
        <v>0</v>
      </c>
      <c r="AQ62" s="138">
        <v>39</v>
      </c>
      <c r="AR62" s="258">
        <f t="shared" ca="1" si="249"/>
        <v>47340</v>
      </c>
      <c r="AS62" s="378">
        <f t="shared" ca="1" si="70"/>
        <v>85.212964394200711</v>
      </c>
      <c r="AT62" s="138"/>
      <c r="AU62" s="138">
        <v>39</v>
      </c>
      <c r="AV62" s="258">
        <f t="shared" ca="1" si="250"/>
        <v>47371</v>
      </c>
      <c r="AW62" s="378">
        <f t="shared" ca="1" si="72"/>
        <v>5.7870356057992893</v>
      </c>
      <c r="AX62" s="202">
        <f t="shared" ca="1" si="73"/>
        <v>2.76</v>
      </c>
      <c r="AY62" s="138">
        <v>39</v>
      </c>
      <c r="AZ62" s="258">
        <f t="shared" ca="1" si="251"/>
        <v>47371</v>
      </c>
      <c r="BA62" s="378">
        <f t="shared" si="75"/>
        <v>91</v>
      </c>
      <c r="BC62" s="258">
        <f t="shared" ca="1" si="61"/>
        <v>47340</v>
      </c>
      <c r="BD62" s="302">
        <f t="shared" ca="1" si="76"/>
        <v>5.7870356057992893</v>
      </c>
      <c r="BE62" s="133">
        <f t="shared" si="62"/>
        <v>39</v>
      </c>
      <c r="BF62" s="379">
        <f t="shared" ca="1" si="63"/>
        <v>47340</v>
      </c>
      <c r="BG62" s="133">
        <f t="shared" si="77"/>
        <v>91</v>
      </c>
      <c r="BH62" s="133">
        <f t="shared" si="78"/>
        <v>0</v>
      </c>
      <c r="BI62" s="133">
        <f t="shared" si="79"/>
        <v>0</v>
      </c>
      <c r="BJ62" s="133">
        <f t="shared" si="80"/>
        <v>0</v>
      </c>
      <c r="BK62" s="133">
        <f t="shared" si="81"/>
        <v>0</v>
      </c>
      <c r="BL62" s="133">
        <f t="shared" si="82"/>
        <v>0</v>
      </c>
      <c r="BM62" s="133">
        <f t="shared" si="83"/>
        <v>0</v>
      </c>
      <c r="BN62" s="133">
        <f t="shared" si="84"/>
        <v>0</v>
      </c>
      <c r="BO62" s="133">
        <f t="shared" si="85"/>
        <v>0</v>
      </c>
      <c r="BP62" s="133">
        <f t="shared" si="86"/>
        <v>0</v>
      </c>
      <c r="BQ62" s="133">
        <f t="shared" si="87"/>
        <v>0</v>
      </c>
      <c r="BR62" s="133">
        <f t="shared" si="88"/>
        <v>0</v>
      </c>
      <c r="BS62" s="133">
        <f t="shared" si="89"/>
        <v>0</v>
      </c>
      <c r="BT62" s="133">
        <f t="shared" si="90"/>
        <v>0</v>
      </c>
      <c r="BU62" s="133">
        <f t="shared" si="91"/>
        <v>0</v>
      </c>
      <c r="BV62" s="133">
        <f t="shared" si="92"/>
        <v>0</v>
      </c>
      <c r="BW62" s="133">
        <f t="shared" si="93"/>
        <v>0</v>
      </c>
      <c r="BX62" s="267"/>
      <c r="BY62" s="267"/>
      <c r="BZ62" s="267"/>
      <c r="CA62" s="267"/>
      <c r="CB62" s="267"/>
      <c r="CC62" s="267"/>
      <c r="CD62" s="267"/>
      <c r="CE62" s="267"/>
      <c r="CF62" s="267"/>
      <c r="CG62" s="267"/>
      <c r="CS62" s="178">
        <v>44</v>
      </c>
      <c r="CT62" s="259">
        <f t="shared" ca="1" si="29"/>
        <v>47524</v>
      </c>
      <c r="CU62" s="179">
        <f t="shared" ref="CU62:DC62" ca="1" si="277">(($AW67/(1+CU$18)^(($AZ67-$AZ$23)/30)))+($AS67/(1+CU$18)^(($AZ67-$AZ$23)/30))</f>
        <v>39.592276962086224</v>
      </c>
      <c r="CV62" s="179">
        <f t="shared" ca="1" si="277"/>
        <v>40.484825443329065</v>
      </c>
      <c r="CW62" s="179">
        <f t="shared" ca="1" si="277"/>
        <v>41.030199556773354</v>
      </c>
      <c r="CX62" s="179">
        <f t="shared" ca="1" si="277"/>
        <v>41.583084495127103</v>
      </c>
      <c r="CY62" s="179">
        <f t="shared" ca="1" si="277"/>
        <v>42.143585957151672</v>
      </c>
      <c r="CZ62" s="179">
        <f t="shared" ca="1" si="277"/>
        <v>42.711811160922814</v>
      </c>
      <c r="DA62" s="179">
        <f t="shared" ca="1" si="277"/>
        <v>43.094972575440821</v>
      </c>
      <c r="DB62" s="179">
        <f t="shared" ca="1" si="277"/>
        <v>43.871869396703019</v>
      </c>
      <c r="DC62" s="179">
        <f t="shared" ca="1" si="277"/>
        <v>44.265670963254706</v>
      </c>
      <c r="DD62" s="179">
        <f t="shared" ref="DD62:DI62" ca="1" si="278">(($AW67/(1+DD$18)^(($AZ67-$AZ$23)/30)))+($AS67/(1+DD$18)^(($AZ67-$AZ$23)/30))</f>
        <v>44.663085935110189</v>
      </c>
      <c r="DE62" s="179">
        <f t="shared" ca="1" si="278"/>
        <v>45.064148189048055</v>
      </c>
      <c r="DF62" s="179" t="e">
        <f t="shared" ca="1" si="278"/>
        <v>#VALUE!</v>
      </c>
      <c r="DG62" s="179" t="e">
        <f t="shared" ca="1" si="278"/>
        <v>#VALUE!</v>
      </c>
      <c r="DH62" s="179" t="e">
        <f t="shared" ca="1" si="278"/>
        <v>#VALUE!</v>
      </c>
      <c r="DI62" s="179" t="e">
        <f t="shared" ca="1" si="278"/>
        <v>#VALUE!</v>
      </c>
      <c r="DJ62" s="179" t="e">
        <f t="shared" ref="DJ62:DQ62" ca="1" si="279">(($AW67/(1+DJ$18)^(($AZ67-$AZ$23)/30)))+($AS67/(1+DJ$18)^(($AZ67-$AZ$23)/30))</f>
        <v>#VALUE!</v>
      </c>
      <c r="DK62" s="179" t="e">
        <f t="shared" ca="1" si="279"/>
        <v>#VALUE!</v>
      </c>
      <c r="DL62" s="179" t="e">
        <f t="shared" ca="1" si="279"/>
        <v>#VALUE!</v>
      </c>
      <c r="DM62" s="179" t="e">
        <f t="shared" ca="1" si="279"/>
        <v>#VALUE!</v>
      </c>
      <c r="DN62" s="179" t="e">
        <f t="shared" ca="1" si="279"/>
        <v>#VALUE!</v>
      </c>
      <c r="DO62" s="179" t="e">
        <f t="shared" ca="1" si="279"/>
        <v>#VALUE!</v>
      </c>
      <c r="DP62" s="179" t="e">
        <f t="shared" ca="1" si="279"/>
        <v>#VALUE!</v>
      </c>
      <c r="DQ62" s="179" t="e">
        <f t="shared" ca="1" si="279"/>
        <v>#VALUE!</v>
      </c>
      <c r="DR62" s="180">
        <f t="shared" ca="1" si="40"/>
        <v>5.7870356057992893</v>
      </c>
      <c r="DS62" s="180">
        <f t="shared" ca="1" si="226"/>
        <v>5.7870356057992893</v>
      </c>
      <c r="DT62" s="180">
        <f t="shared" ca="1" si="226"/>
        <v>5.7870356057992893</v>
      </c>
      <c r="DU62" s="180">
        <f t="shared" ca="1" si="226"/>
        <v>5.7870356057992893</v>
      </c>
      <c r="DV62" s="180">
        <f t="shared" ca="1" si="226"/>
        <v>5.7870356057992893</v>
      </c>
      <c r="DW62" s="180">
        <f t="shared" ca="1" si="226"/>
        <v>5.7870356057992893</v>
      </c>
      <c r="DX62" s="180">
        <f t="shared" ca="1" si="226"/>
        <v>5.7870356057992893</v>
      </c>
      <c r="DY62" s="180">
        <f t="shared" ca="1" si="226"/>
        <v>5.7870356057992893</v>
      </c>
      <c r="DZ62" s="180">
        <f t="shared" ca="1" si="226"/>
        <v>5.7870356057992893</v>
      </c>
      <c r="EA62" s="180">
        <f t="shared" ca="1" si="226"/>
        <v>5.7870356057992893</v>
      </c>
      <c r="EB62" s="180">
        <f t="shared" ca="1" si="226"/>
        <v>5.7870356057992893</v>
      </c>
      <c r="EC62" s="180">
        <f t="shared" ca="1" si="226"/>
        <v>5.7870356057992893</v>
      </c>
      <c r="ED62" s="180">
        <f t="shared" ca="1" si="226"/>
        <v>5.7870356057992893</v>
      </c>
      <c r="EE62" s="180">
        <f t="shared" ca="1" si="226"/>
        <v>5.7870356057992893</v>
      </c>
      <c r="EF62" s="180">
        <f t="shared" ca="1" si="226"/>
        <v>5.7870356057992893</v>
      </c>
      <c r="EG62" s="180">
        <f t="shared" ref="EG62:EO62" ca="1" si="280">IF($AU67&gt;$BA$19,0,$BA67-$AS67)</f>
        <v>5.7870356057992893</v>
      </c>
      <c r="EH62" s="180">
        <f t="shared" ca="1" si="280"/>
        <v>5.7870356057992893</v>
      </c>
      <c r="EI62" s="180">
        <f t="shared" ca="1" si="280"/>
        <v>5.7870356057992893</v>
      </c>
      <c r="EJ62" s="180">
        <f t="shared" ca="1" si="280"/>
        <v>5.7870356057992893</v>
      </c>
      <c r="EK62" s="180">
        <f t="shared" ca="1" si="280"/>
        <v>5.7870356057992893</v>
      </c>
      <c r="EL62" s="180">
        <f t="shared" ca="1" si="280"/>
        <v>5.7870356057992893</v>
      </c>
      <c r="EM62" s="180">
        <f t="shared" ca="1" si="280"/>
        <v>5.7870356057992893</v>
      </c>
      <c r="EN62" s="180">
        <f t="shared" ca="1" si="280"/>
        <v>5.7870356057992893</v>
      </c>
      <c r="EO62" s="180">
        <f t="shared" ca="1" si="280"/>
        <v>5.7870356057992893</v>
      </c>
      <c r="EQ62" s="259">
        <f t="shared" ca="1" si="42"/>
        <v>47493</v>
      </c>
      <c r="ER62" s="87">
        <f t="shared" ca="1" si="268"/>
        <v>5.7870356057992893</v>
      </c>
      <c r="ES62" s="87">
        <f t="shared" ca="1" si="268"/>
        <v>5.7870356057992893</v>
      </c>
      <c r="ET62" s="87">
        <f t="shared" ca="1" si="268"/>
        <v>5.7870356057992893</v>
      </c>
      <c r="EU62" s="87">
        <f t="shared" ca="1" si="268"/>
        <v>5.7870356057992893</v>
      </c>
      <c r="EV62" s="87">
        <f t="shared" ca="1" si="268"/>
        <v>5.7870356057992893</v>
      </c>
      <c r="EW62" s="87">
        <f t="shared" ca="1" si="268"/>
        <v>5.7870356057992893</v>
      </c>
      <c r="EX62" s="87">
        <f t="shared" ca="1" si="268"/>
        <v>5.7870356057992893</v>
      </c>
      <c r="EY62" s="87">
        <f t="shared" ca="1" si="268"/>
        <v>5.7870356057992893</v>
      </c>
      <c r="EZ62" s="87">
        <f t="shared" ca="1" si="268"/>
        <v>5.7870356057992893</v>
      </c>
      <c r="FA62" s="87">
        <f t="shared" ca="1" si="268"/>
        <v>5.7870356057992893</v>
      </c>
      <c r="FB62" s="87">
        <f t="shared" ca="1" si="268"/>
        <v>5.7870356057992893</v>
      </c>
      <c r="FC62" s="87">
        <f t="shared" ca="1" si="268"/>
        <v>5.7870356057992893</v>
      </c>
      <c r="FD62" s="87">
        <f t="shared" ca="1" si="268"/>
        <v>5.7870356057992893</v>
      </c>
      <c r="FE62" s="87">
        <f t="shared" ca="1" si="268"/>
        <v>5.7870356057992893</v>
      </c>
      <c r="FF62" s="87">
        <f t="shared" ca="1" si="268"/>
        <v>5.7870356057992893</v>
      </c>
      <c r="FG62" s="87">
        <f t="shared" ca="1" si="228"/>
        <v>5.7870356057992893</v>
      </c>
      <c r="FH62" s="87">
        <f t="shared" ca="1" si="228"/>
        <v>5.7870356057992893</v>
      </c>
      <c r="FI62" s="87">
        <f t="shared" ca="1" si="228"/>
        <v>5.7870356057992893</v>
      </c>
      <c r="FJ62" s="87">
        <f t="shared" ca="1" si="228"/>
        <v>5.7870356057992893</v>
      </c>
      <c r="FK62" s="87">
        <f t="shared" ca="1" si="228"/>
        <v>5.7870356057992893</v>
      </c>
      <c r="FL62" s="87">
        <f t="shared" ca="1" si="228"/>
        <v>5.7870356057992893</v>
      </c>
      <c r="FM62" s="87">
        <f t="shared" ca="1" si="228"/>
        <v>5.7870356057992893</v>
      </c>
      <c r="FN62" s="87">
        <f t="shared" ca="1" si="228"/>
        <v>5.7870356057992893</v>
      </c>
      <c r="FO62" s="87">
        <f t="shared" ca="1" si="228"/>
        <v>5.7870356057992893</v>
      </c>
      <c r="FP62" s="87">
        <f t="shared" ca="1" si="228"/>
        <v>5.7870356057992893</v>
      </c>
    </row>
    <row r="63" spans="2:172" ht="12.75" hidden="1" customHeight="1" x14ac:dyDescent="0.25">
      <c r="B63" s="87">
        <v>5</v>
      </c>
      <c r="C63" s="181">
        <f t="shared" ca="1" si="256"/>
        <v>46305</v>
      </c>
      <c r="D63" s="380">
        <f t="shared" ca="1" si="262"/>
        <v>0.91633106017689137</v>
      </c>
      <c r="E63" s="380">
        <f t="shared" si="262"/>
        <v>0</v>
      </c>
      <c r="F63" s="380">
        <f t="shared" si="262"/>
        <v>0</v>
      </c>
      <c r="G63" s="380">
        <f t="shared" si="262"/>
        <v>0</v>
      </c>
      <c r="H63" s="380">
        <f t="shared" si="262"/>
        <v>0</v>
      </c>
      <c r="I63" s="380">
        <f t="shared" si="262"/>
        <v>0</v>
      </c>
      <c r="J63" s="380">
        <f t="shared" si="262"/>
        <v>0</v>
      </c>
      <c r="K63" s="380">
        <f t="shared" si="262"/>
        <v>0</v>
      </c>
      <c r="L63" s="380">
        <f t="shared" si="262"/>
        <v>0</v>
      </c>
      <c r="M63" s="380">
        <f t="shared" si="262"/>
        <v>0</v>
      </c>
      <c r="N63" s="380">
        <f t="shared" si="263"/>
        <v>0</v>
      </c>
      <c r="O63" s="380">
        <f t="shared" si="263"/>
        <v>0</v>
      </c>
      <c r="P63" s="380">
        <f t="shared" si="263"/>
        <v>0</v>
      </c>
      <c r="Q63" s="380">
        <f t="shared" si="263"/>
        <v>0</v>
      </c>
      <c r="R63" s="380">
        <f t="shared" si="263"/>
        <v>0</v>
      </c>
      <c r="S63" s="380">
        <f t="shared" si="263"/>
        <v>0</v>
      </c>
      <c r="T63" s="380">
        <f t="shared" si="263"/>
        <v>0</v>
      </c>
      <c r="U63" s="175"/>
      <c r="V63" s="176"/>
      <c r="W63" s="176"/>
      <c r="X63" s="87">
        <v>48</v>
      </c>
      <c r="Y63" s="377">
        <f t="shared" ca="1" si="4"/>
        <v>85.212964394200711</v>
      </c>
      <c r="Z63" s="377">
        <f t="shared" si="5"/>
        <v>0</v>
      </c>
      <c r="AA63" s="377">
        <f t="shared" si="6"/>
        <v>0</v>
      </c>
      <c r="AB63" s="377">
        <f t="shared" si="7"/>
        <v>0</v>
      </c>
      <c r="AC63" s="377">
        <f t="shared" si="8"/>
        <v>0</v>
      </c>
      <c r="AD63" s="377">
        <f t="shared" si="9"/>
        <v>0</v>
      </c>
      <c r="AE63" s="377">
        <f t="shared" si="10"/>
        <v>0</v>
      </c>
      <c r="AF63" s="377">
        <f t="shared" si="11"/>
        <v>0</v>
      </c>
      <c r="AG63" s="377">
        <f t="shared" si="12"/>
        <v>0</v>
      </c>
      <c r="AH63" s="377">
        <f t="shared" si="13"/>
        <v>0</v>
      </c>
      <c r="AI63" s="377">
        <f t="shared" si="14"/>
        <v>0</v>
      </c>
      <c r="AJ63" s="377">
        <f t="shared" si="15"/>
        <v>0</v>
      </c>
      <c r="AK63" s="377">
        <f t="shared" si="16"/>
        <v>0</v>
      </c>
      <c r="AL63" s="377">
        <f t="shared" si="17"/>
        <v>0</v>
      </c>
      <c r="AM63" s="377">
        <f t="shared" si="18"/>
        <v>0</v>
      </c>
      <c r="AN63" s="377">
        <f t="shared" si="19"/>
        <v>0</v>
      </c>
      <c r="AO63" s="377">
        <f t="shared" si="20"/>
        <v>0</v>
      </c>
      <c r="AQ63" s="138">
        <v>40</v>
      </c>
      <c r="AR63" s="258">
        <f t="shared" ca="1" si="249"/>
        <v>47371</v>
      </c>
      <c r="AS63" s="378">
        <f t="shared" ca="1" si="70"/>
        <v>85.212964394200711</v>
      </c>
      <c r="AT63" s="138"/>
      <c r="AU63" s="138">
        <v>40</v>
      </c>
      <c r="AV63" s="258">
        <f t="shared" ca="1" si="250"/>
        <v>47401</v>
      </c>
      <c r="AW63" s="378">
        <f t="shared" ca="1" si="72"/>
        <v>5.7870356057992893</v>
      </c>
      <c r="AX63" s="202">
        <f t="shared" ca="1" si="73"/>
        <v>2.71</v>
      </c>
      <c r="AY63" s="138">
        <v>40</v>
      </c>
      <c r="AZ63" s="258">
        <f t="shared" ca="1" si="251"/>
        <v>47401</v>
      </c>
      <c r="BA63" s="378">
        <f t="shared" si="75"/>
        <v>91</v>
      </c>
      <c r="BC63" s="258">
        <f t="shared" ca="1" si="61"/>
        <v>47371</v>
      </c>
      <c r="BD63" s="302">
        <f t="shared" ca="1" si="76"/>
        <v>5.7870356057992893</v>
      </c>
      <c r="BE63" s="133">
        <f t="shared" si="62"/>
        <v>40</v>
      </c>
      <c r="BF63" s="379">
        <f t="shared" ca="1" si="63"/>
        <v>47371</v>
      </c>
      <c r="BG63" s="133">
        <f t="shared" si="77"/>
        <v>91</v>
      </c>
      <c r="BH63" s="133">
        <f t="shared" si="78"/>
        <v>0</v>
      </c>
      <c r="BI63" s="133">
        <f t="shared" si="79"/>
        <v>0</v>
      </c>
      <c r="BJ63" s="133">
        <f t="shared" si="80"/>
        <v>0</v>
      </c>
      <c r="BK63" s="133">
        <f t="shared" si="81"/>
        <v>0</v>
      </c>
      <c r="BL63" s="133">
        <f t="shared" si="82"/>
        <v>0</v>
      </c>
      <c r="BM63" s="133">
        <f t="shared" si="83"/>
        <v>0</v>
      </c>
      <c r="BN63" s="133">
        <f t="shared" si="84"/>
        <v>0</v>
      </c>
      <c r="BO63" s="133">
        <f t="shared" si="85"/>
        <v>0</v>
      </c>
      <c r="BP63" s="133">
        <f t="shared" si="86"/>
        <v>0</v>
      </c>
      <c r="BQ63" s="133">
        <f t="shared" si="87"/>
        <v>0</v>
      </c>
      <c r="BR63" s="133">
        <f t="shared" si="88"/>
        <v>0</v>
      </c>
      <c r="BS63" s="133">
        <f t="shared" si="89"/>
        <v>0</v>
      </c>
      <c r="BT63" s="133">
        <f t="shared" si="90"/>
        <v>0</v>
      </c>
      <c r="BU63" s="133">
        <f t="shared" si="91"/>
        <v>0</v>
      </c>
      <c r="BV63" s="133">
        <f t="shared" si="92"/>
        <v>0</v>
      </c>
      <c r="BW63" s="133">
        <f t="shared" si="93"/>
        <v>0</v>
      </c>
      <c r="BX63" s="267"/>
      <c r="BY63" s="267"/>
      <c r="BZ63" s="267"/>
      <c r="CA63" s="267"/>
      <c r="CB63" s="267"/>
      <c r="CC63" s="267"/>
      <c r="CD63" s="267"/>
      <c r="CE63" s="267"/>
      <c r="CF63" s="267"/>
      <c r="CG63" s="267"/>
      <c r="CS63" s="138">
        <v>45</v>
      </c>
      <c r="CT63" s="259">
        <f t="shared" ca="1" si="29"/>
        <v>47552</v>
      </c>
      <c r="CU63" s="179">
        <f t="shared" ref="CU63:DC63" ca="1" si="281">(($AW68/(1+CU$18)^(($AZ68-$AZ$23)/30)))+($AS68/(1+CU$18)^(($AZ68-$AZ$23)/30))</f>
        <v>38.920658641216029</v>
      </c>
      <c r="CV63" s="179">
        <f t="shared" ca="1" si="281"/>
        <v>39.816310234789668</v>
      </c>
      <c r="CW63" s="179">
        <f t="shared" ca="1" si="281"/>
        <v>40.363780861137236</v>
      </c>
      <c r="CX63" s="179">
        <f t="shared" ca="1" si="281"/>
        <v>40.918943906523964</v>
      </c>
      <c r="CY63" s="179">
        <f t="shared" ca="1" si="281"/>
        <v>41.481909772074921</v>
      </c>
      <c r="CZ63" s="179">
        <f t="shared" ca="1" si="281"/>
        <v>42.052790476646017</v>
      </c>
      <c r="DA63" s="179">
        <f t="shared" ca="1" si="281"/>
        <v>42.437830806289284</v>
      </c>
      <c r="DB63" s="179">
        <f t="shared" ca="1" si="281"/>
        <v>43.218752712462496</v>
      </c>
      <c r="DC63" s="179">
        <f t="shared" ca="1" si="281"/>
        <v>43.614703465104341</v>
      </c>
      <c r="DD63" s="179">
        <f t="shared" ref="DD63:DI63" ca="1" si="282">(($AW68/(1+DD$18)^(($AZ68-$AZ$23)/30)))+($AS68/(1+DD$18)^(($AZ68-$AZ$23)/30))</f>
        <v>44.014360764466332</v>
      </c>
      <c r="DE63" s="179">
        <f t="shared" ca="1" si="282"/>
        <v>44.417760048064842</v>
      </c>
      <c r="DF63" s="179" t="e">
        <f t="shared" ca="1" si="282"/>
        <v>#VALUE!</v>
      </c>
      <c r="DG63" s="179" t="e">
        <f t="shared" ca="1" si="282"/>
        <v>#VALUE!</v>
      </c>
      <c r="DH63" s="179" t="e">
        <f t="shared" ca="1" si="282"/>
        <v>#VALUE!</v>
      </c>
      <c r="DI63" s="179" t="e">
        <f t="shared" ca="1" si="282"/>
        <v>#VALUE!</v>
      </c>
      <c r="DJ63" s="179" t="e">
        <f t="shared" ref="DJ63:DQ63" ca="1" si="283">(($AW68/(1+DJ$18)^(($AZ68-$AZ$23)/30)))+($AS68/(1+DJ$18)^(($AZ68-$AZ$23)/30))</f>
        <v>#VALUE!</v>
      </c>
      <c r="DK63" s="179" t="e">
        <f t="shared" ca="1" si="283"/>
        <v>#VALUE!</v>
      </c>
      <c r="DL63" s="179" t="e">
        <f t="shared" ca="1" si="283"/>
        <v>#VALUE!</v>
      </c>
      <c r="DM63" s="179" t="e">
        <f t="shared" ca="1" si="283"/>
        <v>#VALUE!</v>
      </c>
      <c r="DN63" s="179" t="e">
        <f t="shared" ca="1" si="283"/>
        <v>#VALUE!</v>
      </c>
      <c r="DO63" s="179" t="e">
        <f t="shared" ca="1" si="283"/>
        <v>#VALUE!</v>
      </c>
      <c r="DP63" s="179" t="e">
        <f t="shared" ca="1" si="283"/>
        <v>#VALUE!</v>
      </c>
      <c r="DQ63" s="179" t="e">
        <f t="shared" ca="1" si="283"/>
        <v>#VALUE!</v>
      </c>
      <c r="DR63" s="180">
        <f t="shared" ca="1" si="40"/>
        <v>5.7870356057992893</v>
      </c>
      <c r="DS63" s="180">
        <f t="shared" ca="1" si="226"/>
        <v>5.7870356057992893</v>
      </c>
      <c r="DT63" s="180">
        <f t="shared" ca="1" si="226"/>
        <v>5.7870356057992893</v>
      </c>
      <c r="DU63" s="180">
        <f t="shared" ca="1" si="226"/>
        <v>5.7870356057992893</v>
      </c>
      <c r="DV63" s="180">
        <f t="shared" ca="1" si="226"/>
        <v>5.7870356057992893</v>
      </c>
      <c r="DW63" s="180">
        <f t="shared" ca="1" si="226"/>
        <v>5.7870356057992893</v>
      </c>
      <c r="DX63" s="180">
        <f t="shared" ca="1" si="226"/>
        <v>5.7870356057992893</v>
      </c>
      <c r="DY63" s="180">
        <f t="shared" ca="1" si="226"/>
        <v>5.7870356057992893</v>
      </c>
      <c r="DZ63" s="180">
        <f t="shared" ca="1" si="226"/>
        <v>5.7870356057992893</v>
      </c>
      <c r="EA63" s="180">
        <f t="shared" ca="1" si="226"/>
        <v>5.7870356057992893</v>
      </c>
      <c r="EB63" s="180">
        <f t="shared" ca="1" si="226"/>
        <v>5.7870356057992893</v>
      </c>
      <c r="EC63" s="180">
        <f t="shared" ca="1" si="226"/>
        <v>5.7870356057992893</v>
      </c>
      <c r="ED63" s="180">
        <f t="shared" ca="1" si="226"/>
        <v>5.7870356057992893</v>
      </c>
      <c r="EE63" s="180">
        <f t="shared" ca="1" si="226"/>
        <v>5.7870356057992893</v>
      </c>
      <c r="EF63" s="180">
        <f t="shared" ca="1" si="226"/>
        <v>5.7870356057992893</v>
      </c>
      <c r="EG63" s="180">
        <f t="shared" ref="EG63:EO63" ca="1" si="284">IF($AU68&gt;$BA$19,0,$BA68-$AS68)</f>
        <v>5.7870356057992893</v>
      </c>
      <c r="EH63" s="180">
        <f t="shared" ca="1" si="284"/>
        <v>5.7870356057992893</v>
      </c>
      <c r="EI63" s="180">
        <f t="shared" ca="1" si="284"/>
        <v>5.7870356057992893</v>
      </c>
      <c r="EJ63" s="180">
        <f t="shared" ca="1" si="284"/>
        <v>5.7870356057992893</v>
      </c>
      <c r="EK63" s="180">
        <f t="shared" ca="1" si="284"/>
        <v>5.7870356057992893</v>
      </c>
      <c r="EL63" s="180">
        <f t="shared" ca="1" si="284"/>
        <v>5.7870356057992893</v>
      </c>
      <c r="EM63" s="180">
        <f t="shared" ca="1" si="284"/>
        <v>5.7870356057992893</v>
      </c>
      <c r="EN63" s="180">
        <f t="shared" ca="1" si="284"/>
        <v>5.7870356057992893</v>
      </c>
      <c r="EO63" s="180">
        <f t="shared" ca="1" si="284"/>
        <v>5.7870356057992893</v>
      </c>
      <c r="EQ63" s="259">
        <f t="shared" ca="1" si="42"/>
        <v>47524</v>
      </c>
      <c r="ER63" s="87">
        <f t="shared" ca="1" si="268"/>
        <v>5.7870356057992893</v>
      </c>
      <c r="ES63" s="87">
        <f t="shared" ca="1" si="268"/>
        <v>5.7870356057992893</v>
      </c>
      <c r="ET63" s="87">
        <f t="shared" ca="1" si="268"/>
        <v>5.7870356057992893</v>
      </c>
      <c r="EU63" s="87">
        <f t="shared" ca="1" si="268"/>
        <v>5.7870356057992893</v>
      </c>
      <c r="EV63" s="87">
        <f t="shared" ca="1" si="268"/>
        <v>5.7870356057992893</v>
      </c>
      <c r="EW63" s="87">
        <f t="shared" ca="1" si="268"/>
        <v>5.7870356057992893</v>
      </c>
      <c r="EX63" s="87">
        <f t="shared" ca="1" si="268"/>
        <v>5.7870356057992893</v>
      </c>
      <c r="EY63" s="87">
        <f t="shared" ca="1" si="268"/>
        <v>5.7870356057992893</v>
      </c>
      <c r="EZ63" s="87">
        <f t="shared" ca="1" si="268"/>
        <v>5.7870356057992893</v>
      </c>
      <c r="FA63" s="87">
        <f t="shared" ca="1" si="268"/>
        <v>5.7870356057992893</v>
      </c>
      <c r="FB63" s="87">
        <f t="shared" ca="1" si="268"/>
        <v>5.7870356057992893</v>
      </c>
      <c r="FC63" s="87">
        <f t="shared" ca="1" si="268"/>
        <v>5.7870356057992893</v>
      </c>
      <c r="FD63" s="87">
        <f t="shared" ca="1" si="268"/>
        <v>5.7870356057992893</v>
      </c>
      <c r="FE63" s="87">
        <f t="shared" ca="1" si="268"/>
        <v>5.7870356057992893</v>
      </c>
      <c r="FF63" s="87">
        <f t="shared" ca="1" si="268"/>
        <v>5.7870356057992893</v>
      </c>
      <c r="FG63" s="87">
        <f t="shared" ca="1" si="228"/>
        <v>5.7870356057992893</v>
      </c>
      <c r="FH63" s="87">
        <f t="shared" ca="1" si="228"/>
        <v>5.7870356057992893</v>
      </c>
      <c r="FI63" s="87">
        <f t="shared" ca="1" si="228"/>
        <v>5.7870356057992893</v>
      </c>
      <c r="FJ63" s="87">
        <f t="shared" ca="1" si="228"/>
        <v>5.7870356057992893</v>
      </c>
      <c r="FK63" s="87">
        <f t="shared" ca="1" si="228"/>
        <v>5.7870356057992893</v>
      </c>
      <c r="FL63" s="87">
        <f t="shared" ca="1" si="228"/>
        <v>5.7870356057992893</v>
      </c>
      <c r="FM63" s="87">
        <f t="shared" ca="1" si="228"/>
        <v>5.7870356057992893</v>
      </c>
      <c r="FN63" s="87">
        <f t="shared" ca="1" si="228"/>
        <v>5.7870356057992893</v>
      </c>
      <c r="FO63" s="87">
        <f t="shared" ca="1" si="228"/>
        <v>5.7870356057992893</v>
      </c>
      <c r="FP63" s="87">
        <f t="shared" ca="1" si="228"/>
        <v>5.7870356057992893</v>
      </c>
    </row>
    <row r="64" spans="2:172" ht="12.75" hidden="1" customHeight="1" x14ac:dyDescent="0.25">
      <c r="B64" s="87">
        <v>6</v>
      </c>
      <c r="C64" s="181">
        <f t="shared" ca="1" si="256"/>
        <v>46336</v>
      </c>
      <c r="D64" s="380">
        <f t="shared" ca="1" si="262"/>
        <v>0.89913728395054027</v>
      </c>
      <c r="E64" s="380">
        <f t="shared" si="262"/>
        <v>0</v>
      </c>
      <c r="F64" s="380">
        <f t="shared" si="262"/>
        <v>0</v>
      </c>
      <c r="G64" s="380">
        <f t="shared" si="262"/>
        <v>0</v>
      </c>
      <c r="H64" s="380">
        <f t="shared" si="262"/>
        <v>0</v>
      </c>
      <c r="I64" s="380">
        <f t="shared" si="262"/>
        <v>0</v>
      </c>
      <c r="J64" s="380">
        <f t="shared" si="262"/>
        <v>0</v>
      </c>
      <c r="K64" s="380">
        <f t="shared" si="262"/>
        <v>0</v>
      </c>
      <c r="L64" s="380">
        <f t="shared" si="262"/>
        <v>0</v>
      </c>
      <c r="M64" s="380">
        <f t="shared" si="262"/>
        <v>0</v>
      </c>
      <c r="N64" s="380">
        <f t="shared" si="263"/>
        <v>0</v>
      </c>
      <c r="O64" s="380">
        <f t="shared" si="263"/>
        <v>0</v>
      </c>
      <c r="P64" s="380">
        <f t="shared" si="263"/>
        <v>0</v>
      </c>
      <c r="Q64" s="380">
        <f t="shared" si="263"/>
        <v>0</v>
      </c>
      <c r="R64" s="380">
        <f t="shared" si="263"/>
        <v>0</v>
      </c>
      <c r="S64" s="380">
        <f t="shared" si="263"/>
        <v>0</v>
      </c>
      <c r="T64" s="380">
        <f t="shared" si="263"/>
        <v>0</v>
      </c>
      <c r="U64" s="175"/>
      <c r="V64" s="176"/>
      <c r="W64" s="176"/>
      <c r="X64" s="87">
        <v>49</v>
      </c>
      <c r="Y64" s="377">
        <f t="shared" ca="1" si="4"/>
        <v>85.212964394200711</v>
      </c>
      <c r="Z64" s="377">
        <f t="shared" si="5"/>
        <v>0</v>
      </c>
      <c r="AA64" s="377">
        <f t="shared" si="6"/>
        <v>0</v>
      </c>
      <c r="AB64" s="377">
        <f t="shared" si="7"/>
        <v>0</v>
      </c>
      <c r="AC64" s="377">
        <f t="shared" si="8"/>
        <v>0</v>
      </c>
      <c r="AD64" s="377">
        <f t="shared" si="9"/>
        <v>0</v>
      </c>
      <c r="AE64" s="377">
        <f t="shared" si="10"/>
        <v>0</v>
      </c>
      <c r="AF64" s="377">
        <f t="shared" si="11"/>
        <v>0</v>
      </c>
      <c r="AG64" s="377">
        <f t="shared" si="12"/>
        <v>0</v>
      </c>
      <c r="AH64" s="377">
        <f t="shared" si="13"/>
        <v>0</v>
      </c>
      <c r="AI64" s="377">
        <f t="shared" si="14"/>
        <v>0</v>
      </c>
      <c r="AJ64" s="377">
        <f t="shared" si="15"/>
        <v>0</v>
      </c>
      <c r="AK64" s="377">
        <f t="shared" si="16"/>
        <v>0</v>
      </c>
      <c r="AL64" s="377">
        <f t="shared" si="17"/>
        <v>0</v>
      </c>
      <c r="AM64" s="377">
        <f t="shared" si="18"/>
        <v>0</v>
      </c>
      <c r="AN64" s="377">
        <f t="shared" si="19"/>
        <v>0</v>
      </c>
      <c r="AO64" s="377">
        <f t="shared" si="20"/>
        <v>0</v>
      </c>
      <c r="AQ64" s="138">
        <v>41</v>
      </c>
      <c r="AR64" s="258">
        <f t="shared" ca="1" si="249"/>
        <v>47401</v>
      </c>
      <c r="AS64" s="378">
        <f t="shared" ca="1" si="70"/>
        <v>85.212964394200711</v>
      </c>
      <c r="AT64" s="138"/>
      <c r="AU64" s="138">
        <v>41</v>
      </c>
      <c r="AV64" s="258">
        <f t="shared" ca="1" si="250"/>
        <v>47432</v>
      </c>
      <c r="AW64" s="378">
        <f t="shared" ca="1" si="72"/>
        <v>5.7870356057992893</v>
      </c>
      <c r="AX64" s="202">
        <f t="shared" ca="1" si="73"/>
        <v>2.66</v>
      </c>
      <c r="AY64" s="138">
        <v>41</v>
      </c>
      <c r="AZ64" s="258">
        <f t="shared" ca="1" si="251"/>
        <v>47432</v>
      </c>
      <c r="BA64" s="378">
        <f t="shared" si="75"/>
        <v>91</v>
      </c>
      <c r="BC64" s="258">
        <f t="shared" ca="1" si="61"/>
        <v>47401</v>
      </c>
      <c r="BD64" s="302">
        <f t="shared" ca="1" si="76"/>
        <v>5.7870356057992893</v>
      </c>
      <c r="BE64" s="133">
        <f t="shared" si="62"/>
        <v>41</v>
      </c>
      <c r="BF64" s="379">
        <f t="shared" ca="1" si="63"/>
        <v>47401</v>
      </c>
      <c r="BG64" s="133">
        <f t="shared" si="77"/>
        <v>91</v>
      </c>
      <c r="BH64" s="133">
        <f t="shared" si="78"/>
        <v>0</v>
      </c>
      <c r="BI64" s="133">
        <f t="shared" si="79"/>
        <v>0</v>
      </c>
      <c r="BJ64" s="133">
        <f t="shared" si="80"/>
        <v>0</v>
      </c>
      <c r="BK64" s="133">
        <f t="shared" si="81"/>
        <v>0</v>
      </c>
      <c r="BL64" s="133">
        <f t="shared" si="82"/>
        <v>0</v>
      </c>
      <c r="BM64" s="133">
        <f t="shared" si="83"/>
        <v>0</v>
      </c>
      <c r="BN64" s="133">
        <f t="shared" si="84"/>
        <v>0</v>
      </c>
      <c r="BO64" s="133">
        <f t="shared" si="85"/>
        <v>0</v>
      </c>
      <c r="BP64" s="133">
        <f t="shared" si="86"/>
        <v>0</v>
      </c>
      <c r="BQ64" s="133">
        <f t="shared" si="87"/>
        <v>0</v>
      </c>
      <c r="BR64" s="133">
        <f t="shared" si="88"/>
        <v>0</v>
      </c>
      <c r="BS64" s="133">
        <f t="shared" si="89"/>
        <v>0</v>
      </c>
      <c r="BT64" s="133">
        <f t="shared" si="90"/>
        <v>0</v>
      </c>
      <c r="BU64" s="133">
        <f t="shared" si="91"/>
        <v>0</v>
      </c>
      <c r="BV64" s="133">
        <f t="shared" si="92"/>
        <v>0</v>
      </c>
      <c r="BW64" s="133">
        <f t="shared" si="93"/>
        <v>0</v>
      </c>
      <c r="BX64" s="267"/>
      <c r="BY64" s="267"/>
      <c r="BZ64" s="267"/>
      <c r="CA64" s="267"/>
      <c r="CB64" s="267"/>
      <c r="CC64" s="267"/>
      <c r="CD64" s="267"/>
      <c r="CE64" s="267"/>
      <c r="CF64" s="267"/>
      <c r="CG64" s="267"/>
      <c r="CS64" s="87">
        <v>46</v>
      </c>
      <c r="CT64" s="259">
        <f t="shared" ca="1" si="29"/>
        <v>47583</v>
      </c>
      <c r="CU64" s="179">
        <f t="shared" ref="CU64:DC64" ca="1" si="285">(($AW69/(1+CU$18)^(($AZ69-$AZ$23)/30)))+($AS69/(1+CU$18)^(($AZ69-$AZ$23)/30))</f>
        <v>38.190362436774272</v>
      </c>
      <c r="CV64" s="179">
        <f t="shared" ca="1" si="285"/>
        <v>39.089037278579902</v>
      </c>
      <c r="CW64" s="179">
        <f t="shared" ca="1" si="285"/>
        <v>39.638578595962294</v>
      </c>
      <c r="CX64" s="179">
        <f t="shared" ca="1" si="285"/>
        <v>40.196011200252933</v>
      </c>
      <c r="CY64" s="179">
        <f t="shared" ca="1" si="285"/>
        <v>40.761450785701761</v>
      </c>
      <c r="CZ64" s="179">
        <f t="shared" ca="1" si="285"/>
        <v>41.335014777624821</v>
      </c>
      <c r="DA64" s="179">
        <f t="shared" ca="1" si="285"/>
        <v>41.721963113968343</v>
      </c>
      <c r="DB64" s="179">
        <f t="shared" ca="1" si="285"/>
        <v>42.506994496448883</v>
      </c>
      <c r="DC64" s="179">
        <f t="shared" ca="1" si="285"/>
        <v>42.90515012005892</v>
      </c>
      <c r="DD64" s="179">
        <f t="shared" ref="DD64:DI64" ca="1" si="286">(($AW69/(1+DD$18)^(($AZ69-$AZ$23)/30)))+($AS69/(1+DD$18)^(($AZ69-$AZ$23)/30))</f>
        <v>43.307114686630619</v>
      </c>
      <c r="DE64" s="179">
        <f t="shared" ca="1" si="286"/>
        <v>43.71292539501902</v>
      </c>
      <c r="DF64" s="179" t="e">
        <f t="shared" ca="1" si="286"/>
        <v>#VALUE!</v>
      </c>
      <c r="DG64" s="179" t="e">
        <f t="shared" ca="1" si="286"/>
        <v>#VALUE!</v>
      </c>
      <c r="DH64" s="179" t="e">
        <f t="shared" ca="1" si="286"/>
        <v>#VALUE!</v>
      </c>
      <c r="DI64" s="179" t="e">
        <f t="shared" ca="1" si="286"/>
        <v>#VALUE!</v>
      </c>
      <c r="DJ64" s="179" t="e">
        <f t="shared" ref="DJ64:DQ64" ca="1" si="287">(($AW69/(1+DJ$18)^(($AZ69-$AZ$23)/30)))+($AS69/(1+DJ$18)^(($AZ69-$AZ$23)/30))</f>
        <v>#VALUE!</v>
      </c>
      <c r="DK64" s="179" t="e">
        <f t="shared" ca="1" si="287"/>
        <v>#VALUE!</v>
      </c>
      <c r="DL64" s="179" t="e">
        <f t="shared" ca="1" si="287"/>
        <v>#VALUE!</v>
      </c>
      <c r="DM64" s="179" t="e">
        <f t="shared" ca="1" si="287"/>
        <v>#VALUE!</v>
      </c>
      <c r="DN64" s="179" t="e">
        <f t="shared" ca="1" si="287"/>
        <v>#VALUE!</v>
      </c>
      <c r="DO64" s="179" t="e">
        <f t="shared" ca="1" si="287"/>
        <v>#VALUE!</v>
      </c>
      <c r="DP64" s="179" t="e">
        <f t="shared" ca="1" si="287"/>
        <v>#VALUE!</v>
      </c>
      <c r="DQ64" s="179" t="e">
        <f t="shared" ca="1" si="287"/>
        <v>#VALUE!</v>
      </c>
      <c r="DR64" s="180">
        <f t="shared" ca="1" si="40"/>
        <v>5.7870356057992893</v>
      </c>
      <c r="DS64" s="180">
        <f t="shared" ca="1" si="226"/>
        <v>5.7870356057992893</v>
      </c>
      <c r="DT64" s="180">
        <f t="shared" ca="1" si="226"/>
        <v>5.7870356057992893</v>
      </c>
      <c r="DU64" s="180">
        <f t="shared" ca="1" si="226"/>
        <v>5.7870356057992893</v>
      </c>
      <c r="DV64" s="180">
        <f t="shared" ca="1" si="226"/>
        <v>5.7870356057992893</v>
      </c>
      <c r="DW64" s="180">
        <f t="shared" ca="1" si="226"/>
        <v>5.7870356057992893</v>
      </c>
      <c r="DX64" s="180">
        <f t="shared" ca="1" si="226"/>
        <v>5.7870356057992893</v>
      </c>
      <c r="DY64" s="180">
        <f t="shared" ca="1" si="226"/>
        <v>5.7870356057992893</v>
      </c>
      <c r="DZ64" s="180">
        <f t="shared" ca="1" si="226"/>
        <v>5.7870356057992893</v>
      </c>
      <c r="EA64" s="180">
        <f t="shared" ca="1" si="226"/>
        <v>5.7870356057992893</v>
      </c>
      <c r="EB64" s="180">
        <f t="shared" ca="1" si="226"/>
        <v>5.7870356057992893</v>
      </c>
      <c r="EC64" s="180">
        <f t="shared" ca="1" si="226"/>
        <v>5.7870356057992893</v>
      </c>
      <c r="ED64" s="180">
        <f t="shared" ca="1" si="226"/>
        <v>5.7870356057992893</v>
      </c>
      <c r="EE64" s="180">
        <f t="shared" ca="1" si="226"/>
        <v>5.7870356057992893</v>
      </c>
      <c r="EF64" s="180">
        <f t="shared" ca="1" si="226"/>
        <v>5.7870356057992893</v>
      </c>
      <c r="EG64" s="180">
        <f t="shared" ref="EG64:EO64" ca="1" si="288">IF($AU69&gt;$BA$19,0,$BA69-$AS69)</f>
        <v>5.7870356057992893</v>
      </c>
      <c r="EH64" s="180">
        <f t="shared" ca="1" si="288"/>
        <v>5.7870356057992893</v>
      </c>
      <c r="EI64" s="180">
        <f t="shared" ca="1" si="288"/>
        <v>5.7870356057992893</v>
      </c>
      <c r="EJ64" s="180">
        <f t="shared" ca="1" si="288"/>
        <v>5.7870356057992893</v>
      </c>
      <c r="EK64" s="180">
        <f t="shared" ca="1" si="288"/>
        <v>5.7870356057992893</v>
      </c>
      <c r="EL64" s="180">
        <f t="shared" ca="1" si="288"/>
        <v>5.7870356057992893</v>
      </c>
      <c r="EM64" s="180">
        <f t="shared" ca="1" si="288"/>
        <v>5.7870356057992893</v>
      </c>
      <c r="EN64" s="180">
        <f t="shared" ca="1" si="288"/>
        <v>5.7870356057992893</v>
      </c>
      <c r="EO64" s="180">
        <f t="shared" ca="1" si="288"/>
        <v>5.7870356057992893</v>
      </c>
      <c r="EQ64" s="259">
        <f t="shared" ca="1" si="42"/>
        <v>47552</v>
      </c>
      <c r="ER64" s="87">
        <f t="shared" ca="1" si="268"/>
        <v>5.7870356057992893</v>
      </c>
      <c r="ES64" s="87">
        <f t="shared" ca="1" si="268"/>
        <v>5.7870356057992893</v>
      </c>
      <c r="ET64" s="87">
        <f t="shared" ca="1" si="268"/>
        <v>5.7870356057992893</v>
      </c>
      <c r="EU64" s="87">
        <f t="shared" ca="1" si="268"/>
        <v>5.7870356057992893</v>
      </c>
      <c r="EV64" s="87">
        <f t="shared" ca="1" si="268"/>
        <v>5.7870356057992893</v>
      </c>
      <c r="EW64" s="87">
        <f t="shared" ca="1" si="268"/>
        <v>5.7870356057992893</v>
      </c>
      <c r="EX64" s="87">
        <f t="shared" ca="1" si="268"/>
        <v>5.7870356057992893</v>
      </c>
      <c r="EY64" s="87">
        <f t="shared" ca="1" si="268"/>
        <v>5.7870356057992893</v>
      </c>
      <c r="EZ64" s="87">
        <f t="shared" ca="1" si="268"/>
        <v>5.7870356057992893</v>
      </c>
      <c r="FA64" s="87">
        <f t="shared" ca="1" si="268"/>
        <v>5.7870356057992893</v>
      </c>
      <c r="FB64" s="87">
        <f t="shared" ca="1" si="268"/>
        <v>5.7870356057992893</v>
      </c>
      <c r="FC64" s="87">
        <f t="shared" ca="1" si="268"/>
        <v>5.7870356057992893</v>
      </c>
      <c r="FD64" s="87">
        <f t="shared" ca="1" si="268"/>
        <v>5.7870356057992893</v>
      </c>
      <c r="FE64" s="87">
        <f t="shared" ca="1" si="268"/>
        <v>5.7870356057992893</v>
      </c>
      <c r="FF64" s="87">
        <f t="shared" ca="1" si="268"/>
        <v>5.7870356057992893</v>
      </c>
      <c r="FG64" s="87">
        <f t="shared" ca="1" si="228"/>
        <v>5.7870356057992893</v>
      </c>
      <c r="FH64" s="87">
        <f t="shared" ca="1" si="228"/>
        <v>5.7870356057992893</v>
      </c>
      <c r="FI64" s="87">
        <f t="shared" ca="1" si="228"/>
        <v>5.7870356057992893</v>
      </c>
      <c r="FJ64" s="87">
        <f t="shared" ca="1" si="228"/>
        <v>5.7870356057992893</v>
      </c>
      <c r="FK64" s="87">
        <f t="shared" ca="1" si="228"/>
        <v>5.7870356057992893</v>
      </c>
      <c r="FL64" s="87">
        <f t="shared" ca="1" si="228"/>
        <v>5.7870356057992893</v>
      </c>
      <c r="FM64" s="87">
        <f t="shared" ca="1" si="228"/>
        <v>5.7870356057992893</v>
      </c>
      <c r="FN64" s="87">
        <f t="shared" ca="1" si="228"/>
        <v>5.7870356057992893</v>
      </c>
      <c r="FO64" s="87">
        <f t="shared" ca="1" si="228"/>
        <v>5.7870356057992893</v>
      </c>
      <c r="FP64" s="87">
        <f t="shared" ca="1" si="228"/>
        <v>5.7870356057992893</v>
      </c>
    </row>
    <row r="65" spans="2:172" ht="12.75" hidden="1" customHeight="1" x14ac:dyDescent="0.25">
      <c r="B65" s="87">
        <v>7</v>
      </c>
      <c r="C65" s="181">
        <f t="shared" ca="1" si="256"/>
        <v>46366</v>
      </c>
      <c r="D65" s="380">
        <f t="shared" ca="1" si="262"/>
        <v>0.88280538434024558</v>
      </c>
      <c r="E65" s="380">
        <f t="shared" si="262"/>
        <v>0</v>
      </c>
      <c r="F65" s="380">
        <f t="shared" si="262"/>
        <v>0</v>
      </c>
      <c r="G65" s="380">
        <f t="shared" si="262"/>
        <v>0</v>
      </c>
      <c r="H65" s="380">
        <f t="shared" si="262"/>
        <v>0</v>
      </c>
      <c r="I65" s="380">
        <f t="shared" si="262"/>
        <v>0</v>
      </c>
      <c r="J65" s="380">
        <f t="shared" si="262"/>
        <v>0</v>
      </c>
      <c r="K65" s="380">
        <f t="shared" si="262"/>
        <v>0</v>
      </c>
      <c r="L65" s="380">
        <f t="shared" si="262"/>
        <v>0</v>
      </c>
      <c r="M65" s="380">
        <f t="shared" si="262"/>
        <v>0</v>
      </c>
      <c r="N65" s="380">
        <f t="shared" si="263"/>
        <v>0</v>
      </c>
      <c r="O65" s="380">
        <f t="shared" si="263"/>
        <v>0</v>
      </c>
      <c r="P65" s="380">
        <f t="shared" si="263"/>
        <v>0</v>
      </c>
      <c r="Q65" s="380">
        <f t="shared" si="263"/>
        <v>0</v>
      </c>
      <c r="R65" s="380">
        <f t="shared" si="263"/>
        <v>0</v>
      </c>
      <c r="S65" s="380">
        <f t="shared" si="263"/>
        <v>0</v>
      </c>
      <c r="T65" s="380">
        <f t="shared" si="263"/>
        <v>0</v>
      </c>
      <c r="U65" s="175"/>
      <c r="V65" s="176"/>
      <c r="W65" s="176"/>
      <c r="X65" s="87">
        <v>50</v>
      </c>
      <c r="Y65" s="377">
        <f t="shared" ca="1" si="4"/>
        <v>85.212964394200711</v>
      </c>
      <c r="Z65" s="377">
        <f t="shared" si="5"/>
        <v>0</v>
      </c>
      <c r="AA65" s="377">
        <f t="shared" si="6"/>
        <v>0</v>
      </c>
      <c r="AB65" s="377">
        <f t="shared" si="7"/>
        <v>0</v>
      </c>
      <c r="AC65" s="377">
        <f t="shared" si="8"/>
        <v>0</v>
      </c>
      <c r="AD65" s="377">
        <f t="shared" si="9"/>
        <v>0</v>
      </c>
      <c r="AE65" s="377">
        <f t="shared" si="10"/>
        <v>0</v>
      </c>
      <c r="AF65" s="377">
        <f t="shared" si="11"/>
        <v>0</v>
      </c>
      <c r="AG65" s="377">
        <f t="shared" si="12"/>
        <v>0</v>
      </c>
      <c r="AH65" s="377">
        <f t="shared" si="13"/>
        <v>0</v>
      </c>
      <c r="AI65" s="377">
        <f t="shared" si="14"/>
        <v>0</v>
      </c>
      <c r="AJ65" s="377">
        <f t="shared" si="15"/>
        <v>0</v>
      </c>
      <c r="AK65" s="377">
        <f t="shared" si="16"/>
        <v>0</v>
      </c>
      <c r="AL65" s="377">
        <f t="shared" si="17"/>
        <v>0</v>
      </c>
      <c r="AM65" s="377">
        <f t="shared" si="18"/>
        <v>0</v>
      </c>
      <c r="AN65" s="377">
        <f t="shared" si="19"/>
        <v>0</v>
      </c>
      <c r="AO65" s="377">
        <f t="shared" si="20"/>
        <v>0</v>
      </c>
      <c r="AQ65" s="138">
        <v>42</v>
      </c>
      <c r="AR65" s="258">
        <f t="shared" ca="1" si="249"/>
        <v>47432</v>
      </c>
      <c r="AS65" s="378">
        <f t="shared" ca="1" si="70"/>
        <v>85.212964394200711</v>
      </c>
      <c r="AT65" s="138"/>
      <c r="AU65" s="138">
        <v>42</v>
      </c>
      <c r="AV65" s="258">
        <f t="shared" ca="1" si="250"/>
        <v>47462</v>
      </c>
      <c r="AW65" s="378">
        <f t="shared" ca="1" si="72"/>
        <v>5.7870356057992893</v>
      </c>
      <c r="AX65" s="202">
        <f t="shared" ca="1" si="73"/>
        <v>2.62</v>
      </c>
      <c r="AY65" s="138">
        <v>42</v>
      </c>
      <c r="AZ65" s="258">
        <f t="shared" ca="1" si="251"/>
        <v>47462</v>
      </c>
      <c r="BA65" s="378">
        <f t="shared" si="75"/>
        <v>91</v>
      </c>
      <c r="BC65" s="258">
        <f t="shared" ca="1" si="61"/>
        <v>47432</v>
      </c>
      <c r="BD65" s="302">
        <f t="shared" ca="1" si="76"/>
        <v>5.7870356057992893</v>
      </c>
      <c r="BE65" s="133">
        <f t="shared" si="62"/>
        <v>42</v>
      </c>
      <c r="BF65" s="379">
        <f t="shared" ca="1" si="63"/>
        <v>47432</v>
      </c>
      <c r="BG65" s="133">
        <f t="shared" si="77"/>
        <v>91</v>
      </c>
      <c r="BH65" s="133">
        <f t="shared" si="78"/>
        <v>0</v>
      </c>
      <c r="BI65" s="133">
        <f t="shared" si="79"/>
        <v>0</v>
      </c>
      <c r="BJ65" s="133">
        <f t="shared" si="80"/>
        <v>0</v>
      </c>
      <c r="BK65" s="133">
        <f t="shared" si="81"/>
        <v>0</v>
      </c>
      <c r="BL65" s="133">
        <f t="shared" si="82"/>
        <v>0</v>
      </c>
      <c r="BM65" s="133">
        <f t="shared" si="83"/>
        <v>0</v>
      </c>
      <c r="BN65" s="133">
        <f t="shared" si="84"/>
        <v>0</v>
      </c>
      <c r="BO65" s="133">
        <f t="shared" si="85"/>
        <v>0</v>
      </c>
      <c r="BP65" s="133">
        <f t="shared" si="86"/>
        <v>0</v>
      </c>
      <c r="BQ65" s="133">
        <f t="shared" si="87"/>
        <v>0</v>
      </c>
      <c r="BR65" s="133">
        <f t="shared" si="88"/>
        <v>0</v>
      </c>
      <c r="BS65" s="133">
        <f t="shared" si="89"/>
        <v>0</v>
      </c>
      <c r="BT65" s="133">
        <f t="shared" si="90"/>
        <v>0</v>
      </c>
      <c r="BU65" s="133">
        <f t="shared" si="91"/>
        <v>0</v>
      </c>
      <c r="BV65" s="133">
        <f t="shared" si="92"/>
        <v>0</v>
      </c>
      <c r="BW65" s="133">
        <f t="shared" si="93"/>
        <v>0</v>
      </c>
      <c r="BX65" s="267"/>
      <c r="BY65" s="267"/>
      <c r="BZ65" s="267"/>
      <c r="CA65" s="267"/>
      <c r="CB65" s="267"/>
      <c r="CC65" s="267"/>
      <c r="CD65" s="267"/>
      <c r="CE65" s="267"/>
      <c r="CF65" s="267"/>
      <c r="CG65" s="267"/>
      <c r="CS65" s="178">
        <v>47</v>
      </c>
      <c r="CT65" s="259">
        <f t="shared" ca="1" si="29"/>
        <v>47613</v>
      </c>
      <c r="CU65" s="179">
        <f t="shared" ref="CU65:DC65" ca="1" si="289">(($AW70/(1+CU$18)^(($AZ70-$AZ$23)/30)))+($AS70/(1+CU$18)^(($AZ70-$AZ$23)/30))</f>
        <v>37.496673968359623</v>
      </c>
      <c r="CV65" s="179">
        <f t="shared" ca="1" si="289"/>
        <v>38.397875519233693</v>
      </c>
      <c r="CW65" s="179">
        <f t="shared" ca="1" si="289"/>
        <v>38.949178142834121</v>
      </c>
      <c r="CX65" s="179">
        <f t="shared" ca="1" si="289"/>
        <v>39.508562217665556</v>
      </c>
      <c r="CY65" s="179">
        <f t="shared" ca="1" si="289"/>
        <v>40.076148643891223</v>
      </c>
      <c r="CZ65" s="179">
        <f t="shared" ca="1" si="289"/>
        <v>40.65206016682221</v>
      </c>
      <c r="DA65" s="179">
        <f t="shared" ca="1" si="289"/>
        <v>41.04068769817858</v>
      </c>
      <c r="DB65" s="179">
        <f t="shared" ca="1" si="289"/>
        <v>41.829358882551546</v>
      </c>
      <c r="DC65" s="179">
        <f t="shared" ca="1" si="289"/>
        <v>42.229478464624918</v>
      </c>
      <c r="DD65" s="179">
        <f t="shared" ref="DD65:DI65" ca="1" si="290">(($AW70/(1+DD$18)^(($AZ70-$AZ$23)/30)))+($AS70/(1+DD$18)^(($AZ70-$AZ$23)/30))</f>
        <v>42.633505302845663</v>
      </c>
      <c r="DE65" s="179">
        <f t="shared" ca="1" si="290"/>
        <v>43.041478333023846</v>
      </c>
      <c r="DF65" s="179" t="e">
        <f t="shared" ca="1" si="290"/>
        <v>#VALUE!</v>
      </c>
      <c r="DG65" s="179" t="e">
        <f t="shared" ca="1" si="290"/>
        <v>#VALUE!</v>
      </c>
      <c r="DH65" s="179" t="e">
        <f t="shared" ca="1" si="290"/>
        <v>#VALUE!</v>
      </c>
      <c r="DI65" s="179" t="e">
        <f t="shared" ca="1" si="290"/>
        <v>#VALUE!</v>
      </c>
      <c r="DJ65" s="179" t="e">
        <f t="shared" ref="DJ65:DQ65" ca="1" si="291">(($AW70/(1+DJ$18)^(($AZ70-$AZ$23)/30)))+($AS70/(1+DJ$18)^(($AZ70-$AZ$23)/30))</f>
        <v>#VALUE!</v>
      </c>
      <c r="DK65" s="179" t="e">
        <f t="shared" ca="1" si="291"/>
        <v>#VALUE!</v>
      </c>
      <c r="DL65" s="179" t="e">
        <f t="shared" ca="1" si="291"/>
        <v>#VALUE!</v>
      </c>
      <c r="DM65" s="179" t="e">
        <f t="shared" ca="1" si="291"/>
        <v>#VALUE!</v>
      </c>
      <c r="DN65" s="179" t="e">
        <f t="shared" ca="1" si="291"/>
        <v>#VALUE!</v>
      </c>
      <c r="DO65" s="179" t="e">
        <f t="shared" ca="1" si="291"/>
        <v>#VALUE!</v>
      </c>
      <c r="DP65" s="179" t="e">
        <f t="shared" ca="1" si="291"/>
        <v>#VALUE!</v>
      </c>
      <c r="DQ65" s="179" t="e">
        <f t="shared" ca="1" si="291"/>
        <v>#VALUE!</v>
      </c>
      <c r="DR65" s="180">
        <f t="shared" ca="1" si="40"/>
        <v>5.7870356057992893</v>
      </c>
      <c r="DS65" s="180">
        <f t="shared" ca="1" si="226"/>
        <v>5.7870356057992893</v>
      </c>
      <c r="DT65" s="180">
        <f t="shared" ca="1" si="226"/>
        <v>5.7870356057992893</v>
      </c>
      <c r="DU65" s="180">
        <f t="shared" ca="1" si="226"/>
        <v>5.7870356057992893</v>
      </c>
      <c r="DV65" s="180">
        <f t="shared" ca="1" si="226"/>
        <v>5.7870356057992893</v>
      </c>
      <c r="DW65" s="180">
        <f t="shared" ca="1" si="226"/>
        <v>5.7870356057992893</v>
      </c>
      <c r="DX65" s="180">
        <f t="shared" ca="1" si="226"/>
        <v>5.7870356057992893</v>
      </c>
      <c r="DY65" s="180">
        <f t="shared" ca="1" si="226"/>
        <v>5.7870356057992893</v>
      </c>
      <c r="DZ65" s="180">
        <f t="shared" ca="1" si="226"/>
        <v>5.7870356057992893</v>
      </c>
      <c r="EA65" s="180">
        <f t="shared" ca="1" si="226"/>
        <v>5.7870356057992893</v>
      </c>
      <c r="EB65" s="180">
        <f t="shared" ca="1" si="226"/>
        <v>5.7870356057992893</v>
      </c>
      <c r="EC65" s="180">
        <f t="shared" ca="1" si="226"/>
        <v>5.7870356057992893</v>
      </c>
      <c r="ED65" s="180">
        <f t="shared" ca="1" si="226"/>
        <v>5.7870356057992893</v>
      </c>
      <c r="EE65" s="180">
        <f t="shared" ca="1" si="226"/>
        <v>5.7870356057992893</v>
      </c>
      <c r="EF65" s="180">
        <f t="shared" ca="1" si="226"/>
        <v>5.7870356057992893</v>
      </c>
      <c r="EG65" s="180">
        <f t="shared" ref="EG65:EO65" ca="1" si="292">IF($AU70&gt;$BA$19,0,$BA70-$AS70)</f>
        <v>5.7870356057992893</v>
      </c>
      <c r="EH65" s="180">
        <f t="shared" ca="1" si="292"/>
        <v>5.7870356057992893</v>
      </c>
      <c r="EI65" s="180">
        <f t="shared" ca="1" si="292"/>
        <v>5.7870356057992893</v>
      </c>
      <c r="EJ65" s="180">
        <f t="shared" ca="1" si="292"/>
        <v>5.7870356057992893</v>
      </c>
      <c r="EK65" s="180">
        <f t="shared" ca="1" si="292"/>
        <v>5.7870356057992893</v>
      </c>
      <c r="EL65" s="180">
        <f t="shared" ca="1" si="292"/>
        <v>5.7870356057992893</v>
      </c>
      <c r="EM65" s="180">
        <f t="shared" ca="1" si="292"/>
        <v>5.7870356057992893</v>
      </c>
      <c r="EN65" s="180">
        <f t="shared" ca="1" si="292"/>
        <v>5.7870356057992893</v>
      </c>
      <c r="EO65" s="180">
        <f t="shared" ca="1" si="292"/>
        <v>5.7870356057992893</v>
      </c>
      <c r="EQ65" s="259">
        <f t="shared" ca="1" si="42"/>
        <v>47583</v>
      </c>
      <c r="ER65" s="87">
        <f t="shared" ca="1" si="268"/>
        <v>5.7870356057992893</v>
      </c>
      <c r="ES65" s="87">
        <f t="shared" ca="1" si="268"/>
        <v>5.7870356057992893</v>
      </c>
      <c r="ET65" s="87">
        <f t="shared" ca="1" si="268"/>
        <v>5.7870356057992893</v>
      </c>
      <c r="EU65" s="87">
        <f t="shared" ca="1" si="268"/>
        <v>5.7870356057992893</v>
      </c>
      <c r="EV65" s="87">
        <f t="shared" ca="1" si="268"/>
        <v>5.7870356057992893</v>
      </c>
      <c r="EW65" s="87">
        <f t="shared" ca="1" si="268"/>
        <v>5.7870356057992893</v>
      </c>
      <c r="EX65" s="87">
        <f t="shared" ca="1" si="268"/>
        <v>5.7870356057992893</v>
      </c>
      <c r="EY65" s="87">
        <f t="shared" ca="1" si="268"/>
        <v>5.7870356057992893</v>
      </c>
      <c r="EZ65" s="87">
        <f t="shared" ca="1" si="268"/>
        <v>5.7870356057992893</v>
      </c>
      <c r="FA65" s="87">
        <f t="shared" ca="1" si="268"/>
        <v>5.7870356057992893</v>
      </c>
      <c r="FB65" s="87">
        <f t="shared" ca="1" si="268"/>
        <v>5.7870356057992893</v>
      </c>
      <c r="FC65" s="87">
        <f t="shared" ca="1" si="268"/>
        <v>5.7870356057992893</v>
      </c>
      <c r="FD65" s="87">
        <f t="shared" ca="1" si="268"/>
        <v>5.7870356057992893</v>
      </c>
      <c r="FE65" s="87">
        <f t="shared" ca="1" si="268"/>
        <v>5.7870356057992893</v>
      </c>
      <c r="FF65" s="87">
        <f t="shared" ca="1" si="268"/>
        <v>5.7870356057992893</v>
      </c>
      <c r="FG65" s="87">
        <f t="shared" ca="1" si="228"/>
        <v>5.7870356057992893</v>
      </c>
      <c r="FH65" s="87">
        <f t="shared" ca="1" si="228"/>
        <v>5.7870356057992893</v>
      </c>
      <c r="FI65" s="87">
        <f t="shared" ca="1" si="228"/>
        <v>5.7870356057992893</v>
      </c>
      <c r="FJ65" s="87">
        <f t="shared" ca="1" si="228"/>
        <v>5.7870356057992893</v>
      </c>
      <c r="FK65" s="87">
        <f t="shared" ca="1" si="228"/>
        <v>5.7870356057992893</v>
      </c>
      <c r="FL65" s="87">
        <f t="shared" ca="1" si="228"/>
        <v>5.7870356057992893</v>
      </c>
      <c r="FM65" s="87">
        <f t="shared" ca="1" si="228"/>
        <v>5.7870356057992893</v>
      </c>
      <c r="FN65" s="87">
        <f t="shared" ca="1" si="228"/>
        <v>5.7870356057992893</v>
      </c>
      <c r="FO65" s="87">
        <f t="shared" ca="1" si="228"/>
        <v>5.7870356057992893</v>
      </c>
      <c r="FP65" s="87">
        <f t="shared" ca="1" si="228"/>
        <v>5.7870356057992893</v>
      </c>
    </row>
    <row r="66" spans="2:172" ht="12.75" hidden="1" customHeight="1" x14ac:dyDescent="0.25">
      <c r="B66" s="87">
        <v>8</v>
      </c>
      <c r="C66" s="181">
        <f t="shared" ca="1" si="256"/>
        <v>46397</v>
      </c>
      <c r="D66" s="380">
        <f t="shared" ca="1" si="262"/>
        <v>0.86624067439050978</v>
      </c>
      <c r="E66" s="380">
        <f t="shared" si="262"/>
        <v>0</v>
      </c>
      <c r="F66" s="380">
        <f t="shared" si="262"/>
        <v>0</v>
      </c>
      <c r="G66" s="380">
        <f t="shared" si="262"/>
        <v>0</v>
      </c>
      <c r="H66" s="380">
        <f t="shared" si="262"/>
        <v>0</v>
      </c>
      <c r="I66" s="380">
        <f t="shared" si="262"/>
        <v>0</v>
      </c>
      <c r="J66" s="380">
        <f t="shared" si="262"/>
        <v>0</v>
      </c>
      <c r="K66" s="380">
        <f t="shared" si="262"/>
        <v>0</v>
      </c>
      <c r="L66" s="380">
        <f t="shared" si="262"/>
        <v>0</v>
      </c>
      <c r="M66" s="380">
        <f t="shared" si="262"/>
        <v>0</v>
      </c>
      <c r="N66" s="380">
        <f t="shared" si="263"/>
        <v>0</v>
      </c>
      <c r="O66" s="380">
        <f t="shared" si="263"/>
        <v>0</v>
      </c>
      <c r="P66" s="380">
        <f t="shared" si="263"/>
        <v>0</v>
      </c>
      <c r="Q66" s="380">
        <f t="shared" si="263"/>
        <v>0</v>
      </c>
      <c r="R66" s="380">
        <f t="shared" si="263"/>
        <v>0</v>
      </c>
      <c r="S66" s="380">
        <f t="shared" si="263"/>
        <v>0</v>
      </c>
      <c r="T66" s="380">
        <f t="shared" si="263"/>
        <v>0</v>
      </c>
      <c r="U66" s="175"/>
      <c r="V66" s="176"/>
      <c r="W66" s="176"/>
      <c r="X66" s="87">
        <v>51</v>
      </c>
      <c r="Y66" s="377">
        <f t="shared" ca="1" si="4"/>
        <v>85.212964394200711</v>
      </c>
      <c r="Z66" s="377">
        <f t="shared" si="5"/>
        <v>0</v>
      </c>
      <c r="AA66" s="377">
        <f t="shared" si="6"/>
        <v>0</v>
      </c>
      <c r="AB66" s="377">
        <f t="shared" si="7"/>
        <v>0</v>
      </c>
      <c r="AC66" s="377">
        <f t="shared" si="8"/>
        <v>0</v>
      </c>
      <c r="AD66" s="377">
        <f t="shared" si="9"/>
        <v>0</v>
      </c>
      <c r="AE66" s="377">
        <f t="shared" si="10"/>
        <v>0</v>
      </c>
      <c r="AF66" s="377">
        <f t="shared" si="11"/>
        <v>0</v>
      </c>
      <c r="AG66" s="377">
        <f t="shared" si="12"/>
        <v>0</v>
      </c>
      <c r="AH66" s="377">
        <f t="shared" si="13"/>
        <v>0</v>
      </c>
      <c r="AI66" s="377">
        <f t="shared" si="14"/>
        <v>0</v>
      </c>
      <c r="AJ66" s="377">
        <f t="shared" si="15"/>
        <v>0</v>
      </c>
      <c r="AK66" s="377">
        <f t="shared" si="16"/>
        <v>0</v>
      </c>
      <c r="AL66" s="377">
        <f t="shared" si="17"/>
        <v>0</v>
      </c>
      <c r="AM66" s="377">
        <f t="shared" si="18"/>
        <v>0</v>
      </c>
      <c r="AN66" s="377">
        <f t="shared" si="19"/>
        <v>0</v>
      </c>
      <c r="AO66" s="377">
        <f t="shared" si="20"/>
        <v>0</v>
      </c>
      <c r="AQ66" s="138">
        <v>43</v>
      </c>
      <c r="AR66" s="258">
        <f t="shared" ca="1" si="249"/>
        <v>47462</v>
      </c>
      <c r="AS66" s="378">
        <f t="shared" ca="1" si="70"/>
        <v>85.212964394200711</v>
      </c>
      <c r="AT66" s="138"/>
      <c r="AU66" s="138">
        <v>43</v>
      </c>
      <c r="AV66" s="258">
        <f t="shared" ca="1" si="250"/>
        <v>47493</v>
      </c>
      <c r="AW66" s="378">
        <f t="shared" ca="1" si="72"/>
        <v>5.7870356057992893</v>
      </c>
      <c r="AX66" s="202">
        <f t="shared" ca="1" si="73"/>
        <v>2.57</v>
      </c>
      <c r="AY66" s="138">
        <v>43</v>
      </c>
      <c r="AZ66" s="258">
        <f t="shared" ca="1" si="251"/>
        <v>47493</v>
      </c>
      <c r="BA66" s="378">
        <f t="shared" si="75"/>
        <v>91</v>
      </c>
      <c r="BC66" s="258">
        <f t="shared" ca="1" si="61"/>
        <v>47462</v>
      </c>
      <c r="BD66" s="302">
        <f t="shared" ca="1" si="76"/>
        <v>5.7870356057992893</v>
      </c>
      <c r="BE66" s="133">
        <f t="shared" si="62"/>
        <v>43</v>
      </c>
      <c r="BF66" s="379">
        <f t="shared" ca="1" si="63"/>
        <v>47462</v>
      </c>
      <c r="BG66" s="133">
        <f t="shared" si="77"/>
        <v>91</v>
      </c>
      <c r="BH66" s="133">
        <f t="shared" si="78"/>
        <v>0</v>
      </c>
      <c r="BI66" s="133">
        <f t="shared" si="79"/>
        <v>0</v>
      </c>
      <c r="BJ66" s="133">
        <f t="shared" si="80"/>
        <v>0</v>
      </c>
      <c r="BK66" s="133">
        <f t="shared" si="81"/>
        <v>0</v>
      </c>
      <c r="BL66" s="133">
        <f t="shared" si="82"/>
        <v>0</v>
      </c>
      <c r="BM66" s="133">
        <f t="shared" si="83"/>
        <v>0</v>
      </c>
      <c r="BN66" s="133">
        <f t="shared" si="84"/>
        <v>0</v>
      </c>
      <c r="BO66" s="133">
        <f t="shared" si="85"/>
        <v>0</v>
      </c>
      <c r="BP66" s="133">
        <f t="shared" si="86"/>
        <v>0</v>
      </c>
      <c r="BQ66" s="133">
        <f t="shared" si="87"/>
        <v>0</v>
      </c>
      <c r="BR66" s="133">
        <f t="shared" si="88"/>
        <v>0</v>
      </c>
      <c r="BS66" s="133">
        <f t="shared" si="89"/>
        <v>0</v>
      </c>
      <c r="BT66" s="133">
        <f t="shared" si="90"/>
        <v>0</v>
      </c>
      <c r="BU66" s="133">
        <f t="shared" si="91"/>
        <v>0</v>
      </c>
      <c r="BV66" s="133">
        <f t="shared" si="92"/>
        <v>0</v>
      </c>
      <c r="BW66" s="133">
        <f t="shared" si="93"/>
        <v>0</v>
      </c>
      <c r="BX66" s="267"/>
      <c r="BY66" s="267"/>
      <c r="BZ66" s="267"/>
      <c r="CA66" s="267"/>
      <c r="CB66" s="267"/>
      <c r="CC66" s="267"/>
      <c r="CD66" s="267"/>
      <c r="CE66" s="267"/>
      <c r="CF66" s="267"/>
      <c r="CG66" s="267"/>
      <c r="CS66" s="138">
        <v>48</v>
      </c>
      <c r="CT66" s="259">
        <f t="shared" ca="1" si="29"/>
        <v>47644</v>
      </c>
      <c r="CU66" s="179">
        <f t="shared" ref="CU66:DC66" ca="1" si="293">(($AW71/(1+CU$18)^(($AZ71-$AZ$23)/30)))+($AS71/(1+CU$18)^(($AZ71-$AZ$23)/30))</f>
        <v>36.793097008608896</v>
      </c>
      <c r="CV66" s="179">
        <f t="shared" ca="1" si="293"/>
        <v>37.696511272361619</v>
      </c>
      <c r="CW66" s="179">
        <f t="shared" ca="1" si="293"/>
        <v>38.249391561565638</v>
      </c>
      <c r="CX66" s="179">
        <f t="shared" ca="1" si="293"/>
        <v>38.810547335606465</v>
      </c>
      <c r="CY66" s="179">
        <f t="shared" ca="1" si="293"/>
        <v>39.380104956694467</v>
      </c>
      <c r="CZ66" s="179">
        <f t="shared" ca="1" si="293"/>
        <v>39.958192754644244</v>
      </c>
      <c r="DA66" s="179">
        <f t="shared" ca="1" si="293"/>
        <v>40.348387883707261</v>
      </c>
      <c r="DB66" s="179">
        <f t="shared" ca="1" si="293"/>
        <v>41.140482226315854</v>
      </c>
      <c r="DC66" s="179">
        <f t="shared" ca="1" si="293"/>
        <v>41.542460892028735</v>
      </c>
      <c r="DD66" s="179">
        <f t="shared" ref="DD66:DI66" ca="1" si="294">(($AW71/(1+DD$18)^(($AZ71-$AZ$23)/30)))+($AS71/(1+DD$18)^(($AZ71-$AZ$23)/30))</f>
        <v>41.948447542466525</v>
      </c>
      <c r="DE66" s="179">
        <f t="shared" ca="1" si="294"/>
        <v>42.358482940761661</v>
      </c>
      <c r="DF66" s="179" t="e">
        <f t="shared" ca="1" si="294"/>
        <v>#VALUE!</v>
      </c>
      <c r="DG66" s="179" t="e">
        <f t="shared" ca="1" si="294"/>
        <v>#VALUE!</v>
      </c>
      <c r="DH66" s="179" t="e">
        <f t="shared" ca="1" si="294"/>
        <v>#VALUE!</v>
      </c>
      <c r="DI66" s="179" t="e">
        <f t="shared" ca="1" si="294"/>
        <v>#VALUE!</v>
      </c>
      <c r="DJ66" s="179" t="e">
        <f t="shared" ref="DJ66:DQ66" ca="1" si="295">(($AW71/(1+DJ$18)^(($AZ71-$AZ$23)/30)))+($AS71/(1+DJ$18)^(($AZ71-$AZ$23)/30))</f>
        <v>#VALUE!</v>
      </c>
      <c r="DK66" s="179" t="e">
        <f t="shared" ca="1" si="295"/>
        <v>#VALUE!</v>
      </c>
      <c r="DL66" s="179" t="e">
        <f t="shared" ca="1" si="295"/>
        <v>#VALUE!</v>
      </c>
      <c r="DM66" s="179" t="e">
        <f t="shared" ca="1" si="295"/>
        <v>#VALUE!</v>
      </c>
      <c r="DN66" s="179" t="e">
        <f t="shared" ca="1" si="295"/>
        <v>#VALUE!</v>
      </c>
      <c r="DO66" s="179" t="e">
        <f t="shared" ca="1" si="295"/>
        <v>#VALUE!</v>
      </c>
      <c r="DP66" s="179" t="e">
        <f t="shared" ca="1" si="295"/>
        <v>#VALUE!</v>
      </c>
      <c r="DQ66" s="179" t="e">
        <f t="shared" ca="1" si="295"/>
        <v>#VALUE!</v>
      </c>
      <c r="DR66" s="180">
        <f t="shared" ca="1" si="40"/>
        <v>5.7870356057992893</v>
      </c>
      <c r="DS66" s="180">
        <f t="shared" ca="1" si="226"/>
        <v>5.7870356057992893</v>
      </c>
      <c r="DT66" s="180">
        <f t="shared" ca="1" si="226"/>
        <v>5.7870356057992893</v>
      </c>
      <c r="DU66" s="180">
        <f t="shared" ca="1" si="226"/>
        <v>5.7870356057992893</v>
      </c>
      <c r="DV66" s="180">
        <f t="shared" ca="1" si="226"/>
        <v>5.7870356057992893</v>
      </c>
      <c r="DW66" s="180">
        <f t="shared" ca="1" si="226"/>
        <v>5.7870356057992893</v>
      </c>
      <c r="DX66" s="180">
        <f t="shared" ca="1" si="226"/>
        <v>5.7870356057992893</v>
      </c>
      <c r="DY66" s="180">
        <f t="shared" ca="1" si="226"/>
        <v>5.7870356057992893</v>
      </c>
      <c r="DZ66" s="180">
        <f t="shared" ca="1" si="226"/>
        <v>5.7870356057992893</v>
      </c>
      <c r="EA66" s="180">
        <f t="shared" ca="1" si="226"/>
        <v>5.7870356057992893</v>
      </c>
      <c r="EB66" s="180">
        <f t="shared" ca="1" si="226"/>
        <v>5.7870356057992893</v>
      </c>
      <c r="EC66" s="180">
        <f t="shared" ca="1" si="226"/>
        <v>5.7870356057992893</v>
      </c>
      <c r="ED66" s="180">
        <f t="shared" ca="1" si="226"/>
        <v>5.7870356057992893</v>
      </c>
      <c r="EE66" s="180">
        <f t="shared" ca="1" si="226"/>
        <v>5.7870356057992893</v>
      </c>
      <c r="EF66" s="180">
        <f t="shared" ca="1" si="226"/>
        <v>5.7870356057992893</v>
      </c>
      <c r="EG66" s="180">
        <f t="shared" ref="EG66:EO66" ca="1" si="296">IF($AU71&gt;$BA$19,0,$BA71-$AS71)</f>
        <v>5.7870356057992893</v>
      </c>
      <c r="EH66" s="180">
        <f t="shared" ca="1" si="296"/>
        <v>5.7870356057992893</v>
      </c>
      <c r="EI66" s="180">
        <f t="shared" ca="1" si="296"/>
        <v>5.7870356057992893</v>
      </c>
      <c r="EJ66" s="180">
        <f t="shared" ca="1" si="296"/>
        <v>5.7870356057992893</v>
      </c>
      <c r="EK66" s="180">
        <f t="shared" ca="1" si="296"/>
        <v>5.7870356057992893</v>
      </c>
      <c r="EL66" s="180">
        <f t="shared" ca="1" si="296"/>
        <v>5.7870356057992893</v>
      </c>
      <c r="EM66" s="180">
        <f t="shared" ca="1" si="296"/>
        <v>5.7870356057992893</v>
      </c>
      <c r="EN66" s="180">
        <f t="shared" ca="1" si="296"/>
        <v>5.7870356057992893</v>
      </c>
      <c r="EO66" s="180">
        <f t="shared" ca="1" si="296"/>
        <v>5.7870356057992893</v>
      </c>
      <c r="EQ66" s="259">
        <f t="shared" ca="1" si="42"/>
        <v>47613</v>
      </c>
      <c r="ER66" s="87">
        <f t="shared" ca="1" si="268"/>
        <v>5.7870356057992893</v>
      </c>
      <c r="ES66" s="87">
        <f t="shared" ca="1" si="268"/>
        <v>5.7870356057992893</v>
      </c>
      <c r="ET66" s="87">
        <f t="shared" ca="1" si="268"/>
        <v>5.7870356057992893</v>
      </c>
      <c r="EU66" s="87">
        <f t="shared" ca="1" si="268"/>
        <v>5.7870356057992893</v>
      </c>
      <c r="EV66" s="87">
        <f t="shared" ca="1" si="268"/>
        <v>5.7870356057992893</v>
      </c>
      <c r="EW66" s="87">
        <f t="shared" ca="1" si="268"/>
        <v>5.7870356057992893</v>
      </c>
      <c r="EX66" s="87">
        <f t="shared" ca="1" si="268"/>
        <v>5.7870356057992893</v>
      </c>
      <c r="EY66" s="87">
        <f t="shared" ca="1" si="268"/>
        <v>5.7870356057992893</v>
      </c>
      <c r="EZ66" s="87">
        <f t="shared" ca="1" si="268"/>
        <v>5.7870356057992893</v>
      </c>
      <c r="FA66" s="87">
        <f t="shared" ca="1" si="268"/>
        <v>5.7870356057992893</v>
      </c>
      <c r="FB66" s="87">
        <f t="shared" ca="1" si="268"/>
        <v>5.7870356057992893</v>
      </c>
      <c r="FC66" s="87">
        <f t="shared" ca="1" si="268"/>
        <v>5.7870356057992893</v>
      </c>
      <c r="FD66" s="87">
        <f t="shared" ca="1" si="268"/>
        <v>5.7870356057992893</v>
      </c>
      <c r="FE66" s="87">
        <f t="shared" ca="1" si="268"/>
        <v>5.7870356057992893</v>
      </c>
      <c r="FF66" s="87">
        <f t="shared" ca="1" si="268"/>
        <v>5.7870356057992893</v>
      </c>
      <c r="FG66" s="87">
        <f t="shared" ca="1" si="228"/>
        <v>5.7870356057992893</v>
      </c>
      <c r="FH66" s="87">
        <f t="shared" ca="1" si="228"/>
        <v>5.7870356057992893</v>
      </c>
      <c r="FI66" s="87">
        <f t="shared" ca="1" si="228"/>
        <v>5.7870356057992893</v>
      </c>
      <c r="FJ66" s="87">
        <f t="shared" ca="1" si="228"/>
        <v>5.7870356057992893</v>
      </c>
      <c r="FK66" s="87">
        <f t="shared" ca="1" si="228"/>
        <v>5.7870356057992893</v>
      </c>
      <c r="FL66" s="87">
        <f t="shared" ca="1" si="228"/>
        <v>5.7870356057992893</v>
      </c>
      <c r="FM66" s="87">
        <f t="shared" ca="1" si="228"/>
        <v>5.7870356057992893</v>
      </c>
      <c r="FN66" s="87">
        <f t="shared" ca="1" si="228"/>
        <v>5.7870356057992893</v>
      </c>
      <c r="FO66" s="87">
        <f t="shared" ca="1" si="228"/>
        <v>5.7870356057992893</v>
      </c>
      <c r="FP66" s="87">
        <f t="shared" ca="1" si="228"/>
        <v>5.7870356057992893</v>
      </c>
    </row>
    <row r="67" spans="2:172" ht="12.75" hidden="1" customHeight="1" x14ac:dyDescent="0.25">
      <c r="B67" s="87">
        <v>9</v>
      </c>
      <c r="C67" s="181">
        <f t="shared" ca="1" si="256"/>
        <v>46428</v>
      </c>
      <c r="D67" s="380">
        <f t="shared" ca="1" si="262"/>
        <v>0.84998677996204974</v>
      </c>
      <c r="E67" s="380">
        <f t="shared" si="262"/>
        <v>0</v>
      </c>
      <c r="F67" s="380">
        <f t="shared" si="262"/>
        <v>0</v>
      </c>
      <c r="G67" s="380">
        <f t="shared" si="262"/>
        <v>0</v>
      </c>
      <c r="H67" s="380">
        <f t="shared" si="262"/>
        <v>0</v>
      </c>
      <c r="I67" s="380">
        <f t="shared" si="262"/>
        <v>0</v>
      </c>
      <c r="J67" s="380">
        <f t="shared" si="262"/>
        <v>0</v>
      </c>
      <c r="K67" s="380">
        <f t="shared" si="262"/>
        <v>0</v>
      </c>
      <c r="L67" s="380">
        <f t="shared" si="262"/>
        <v>0</v>
      </c>
      <c r="M67" s="380">
        <f t="shared" si="262"/>
        <v>0</v>
      </c>
      <c r="N67" s="380">
        <f t="shared" si="263"/>
        <v>0</v>
      </c>
      <c r="O67" s="380">
        <f t="shared" si="263"/>
        <v>0</v>
      </c>
      <c r="P67" s="380">
        <f t="shared" si="263"/>
        <v>0</v>
      </c>
      <c r="Q67" s="380">
        <f t="shared" si="263"/>
        <v>0</v>
      </c>
      <c r="R67" s="380">
        <f t="shared" si="263"/>
        <v>0</v>
      </c>
      <c r="S67" s="380">
        <f t="shared" si="263"/>
        <v>0</v>
      </c>
      <c r="T67" s="380">
        <f t="shared" si="263"/>
        <v>0</v>
      </c>
      <c r="U67" s="175"/>
      <c r="V67" s="176"/>
      <c r="W67" s="176"/>
      <c r="X67" s="87">
        <v>52</v>
      </c>
      <c r="Y67" s="377">
        <f t="shared" ca="1" si="4"/>
        <v>85.212964394200711</v>
      </c>
      <c r="Z67" s="377">
        <f t="shared" si="5"/>
        <v>0</v>
      </c>
      <c r="AA67" s="377">
        <f t="shared" si="6"/>
        <v>0</v>
      </c>
      <c r="AB67" s="377">
        <f t="shared" si="7"/>
        <v>0</v>
      </c>
      <c r="AC67" s="377">
        <f t="shared" si="8"/>
        <v>0</v>
      </c>
      <c r="AD67" s="377">
        <f t="shared" si="9"/>
        <v>0</v>
      </c>
      <c r="AE67" s="377">
        <f t="shared" si="10"/>
        <v>0</v>
      </c>
      <c r="AF67" s="377">
        <f t="shared" si="11"/>
        <v>0</v>
      </c>
      <c r="AG67" s="377">
        <f t="shared" si="12"/>
        <v>0</v>
      </c>
      <c r="AH67" s="377">
        <f t="shared" si="13"/>
        <v>0</v>
      </c>
      <c r="AI67" s="377">
        <f t="shared" si="14"/>
        <v>0</v>
      </c>
      <c r="AJ67" s="377">
        <f t="shared" si="15"/>
        <v>0</v>
      </c>
      <c r="AK67" s="377">
        <f t="shared" si="16"/>
        <v>0</v>
      </c>
      <c r="AL67" s="377">
        <f t="shared" si="17"/>
        <v>0</v>
      </c>
      <c r="AM67" s="377">
        <f t="shared" si="18"/>
        <v>0</v>
      </c>
      <c r="AN67" s="377">
        <f t="shared" si="19"/>
        <v>0</v>
      </c>
      <c r="AO67" s="377">
        <f t="shared" si="20"/>
        <v>0</v>
      </c>
      <c r="AQ67" s="138">
        <v>44</v>
      </c>
      <c r="AR67" s="258">
        <f t="shared" ca="1" si="249"/>
        <v>47493</v>
      </c>
      <c r="AS67" s="378">
        <f t="shared" ca="1" si="70"/>
        <v>85.212964394200711</v>
      </c>
      <c r="AT67" s="138"/>
      <c r="AU67" s="138">
        <v>44</v>
      </c>
      <c r="AV67" s="258">
        <f t="shared" ca="1" si="250"/>
        <v>47524</v>
      </c>
      <c r="AW67" s="378">
        <f t="shared" ca="1" si="72"/>
        <v>5.7870356057992893</v>
      </c>
      <c r="AX67" s="202">
        <f t="shared" ca="1" si="73"/>
        <v>2.52</v>
      </c>
      <c r="AY67" s="138">
        <v>44</v>
      </c>
      <c r="AZ67" s="258">
        <f t="shared" ca="1" si="251"/>
        <v>47524</v>
      </c>
      <c r="BA67" s="378">
        <f t="shared" si="75"/>
        <v>91</v>
      </c>
      <c r="BC67" s="258">
        <f t="shared" ca="1" si="61"/>
        <v>47493</v>
      </c>
      <c r="BD67" s="302">
        <f t="shared" ca="1" si="76"/>
        <v>5.7870356057992893</v>
      </c>
      <c r="BE67" s="133">
        <f t="shared" si="62"/>
        <v>44</v>
      </c>
      <c r="BF67" s="379">
        <f t="shared" ca="1" si="63"/>
        <v>47493</v>
      </c>
      <c r="BG67" s="133">
        <f t="shared" si="77"/>
        <v>91</v>
      </c>
      <c r="BH67" s="133">
        <f t="shared" si="78"/>
        <v>0</v>
      </c>
      <c r="BI67" s="133">
        <f t="shared" si="79"/>
        <v>0</v>
      </c>
      <c r="BJ67" s="133">
        <f t="shared" si="80"/>
        <v>0</v>
      </c>
      <c r="BK67" s="133">
        <f t="shared" si="81"/>
        <v>0</v>
      </c>
      <c r="BL67" s="133">
        <f t="shared" si="82"/>
        <v>0</v>
      </c>
      <c r="BM67" s="133">
        <f t="shared" si="83"/>
        <v>0</v>
      </c>
      <c r="BN67" s="133">
        <f t="shared" si="84"/>
        <v>0</v>
      </c>
      <c r="BO67" s="133">
        <f t="shared" si="85"/>
        <v>0</v>
      </c>
      <c r="BP67" s="133">
        <f t="shared" si="86"/>
        <v>0</v>
      </c>
      <c r="BQ67" s="133">
        <f t="shared" si="87"/>
        <v>0</v>
      </c>
      <c r="BR67" s="133">
        <f t="shared" si="88"/>
        <v>0</v>
      </c>
      <c r="BS67" s="133">
        <f t="shared" si="89"/>
        <v>0</v>
      </c>
      <c r="BT67" s="133">
        <f t="shared" si="90"/>
        <v>0</v>
      </c>
      <c r="BU67" s="133">
        <f t="shared" si="91"/>
        <v>0</v>
      </c>
      <c r="BV67" s="133">
        <f t="shared" si="92"/>
        <v>0</v>
      </c>
      <c r="BW67" s="133">
        <f t="shared" si="93"/>
        <v>0</v>
      </c>
      <c r="BX67" s="267"/>
      <c r="BY67" s="267"/>
      <c r="BZ67" s="267"/>
      <c r="CA67" s="267"/>
      <c r="CB67" s="267"/>
      <c r="CC67" s="267"/>
      <c r="CD67" s="267"/>
      <c r="CE67" s="267"/>
      <c r="CF67" s="267"/>
      <c r="CG67" s="267"/>
      <c r="CS67" s="87">
        <v>49</v>
      </c>
      <c r="CT67" s="259">
        <f t="shared" ca="1" si="29"/>
        <v>47674</v>
      </c>
      <c r="CU67" s="179">
        <f t="shared" ref="CU67:DC67" ca="1" si="297">(($AW72/(1+CU$18)^(($AZ72-$AZ$23)/30)))+($AS72/(1+CU$18)^(($AZ72-$AZ$23)/30))</f>
        <v>36.124788422787326</v>
      </c>
      <c r="CV67" s="179">
        <f t="shared" ca="1" si="297"/>
        <v>37.02997178031594</v>
      </c>
      <c r="CW67" s="179">
        <f t="shared" ca="1" si="297"/>
        <v>37.58415206992791</v>
      </c>
      <c r="CX67" s="179">
        <f t="shared" ca="1" si="297"/>
        <v>38.146793135056484</v>
      </c>
      <c r="CY67" s="179">
        <f t="shared" ca="1" si="297"/>
        <v>38.71802670012238</v>
      </c>
      <c r="CZ67" s="179">
        <f t="shared" ca="1" si="297"/>
        <v>39.297986580098581</v>
      </c>
      <c r="DA67" s="179">
        <f t="shared" ca="1" si="297"/>
        <v>39.689541494892055</v>
      </c>
      <c r="DB67" s="179">
        <f t="shared" ca="1" si="297"/>
        <v>40.484631200861898</v>
      </c>
      <c r="DC67" s="179">
        <f t="shared" ca="1" si="297"/>
        <v>40.888248909477092</v>
      </c>
      <c r="DD67" s="179">
        <f t="shared" ref="DD67:DI67" ca="1" si="298">(($AW72/(1+DD$18)^(($AZ72-$AZ$23)/30)))+($AS72/(1+DD$18)^(($AZ72-$AZ$23)/30))</f>
        <v>41.295971197545299</v>
      </c>
      <c r="DE67" s="179">
        <f t="shared" ca="1" si="298"/>
        <v>41.707840626980754</v>
      </c>
      <c r="DF67" s="179" t="e">
        <f t="shared" ca="1" si="298"/>
        <v>#VALUE!</v>
      </c>
      <c r="DG67" s="179" t="e">
        <f t="shared" ca="1" si="298"/>
        <v>#VALUE!</v>
      </c>
      <c r="DH67" s="179" t="e">
        <f t="shared" ca="1" si="298"/>
        <v>#VALUE!</v>
      </c>
      <c r="DI67" s="179" t="e">
        <f t="shared" ca="1" si="298"/>
        <v>#VALUE!</v>
      </c>
      <c r="DJ67" s="179" t="e">
        <f t="shared" ref="DJ67:DQ67" ca="1" si="299">(($AW72/(1+DJ$18)^(($AZ72-$AZ$23)/30)))+($AS72/(1+DJ$18)^(($AZ72-$AZ$23)/30))</f>
        <v>#VALUE!</v>
      </c>
      <c r="DK67" s="179" t="e">
        <f t="shared" ca="1" si="299"/>
        <v>#VALUE!</v>
      </c>
      <c r="DL67" s="179" t="e">
        <f t="shared" ca="1" si="299"/>
        <v>#VALUE!</v>
      </c>
      <c r="DM67" s="179" t="e">
        <f t="shared" ca="1" si="299"/>
        <v>#VALUE!</v>
      </c>
      <c r="DN67" s="179" t="e">
        <f t="shared" ca="1" si="299"/>
        <v>#VALUE!</v>
      </c>
      <c r="DO67" s="179" t="e">
        <f t="shared" ca="1" si="299"/>
        <v>#VALUE!</v>
      </c>
      <c r="DP67" s="179" t="e">
        <f t="shared" ca="1" si="299"/>
        <v>#VALUE!</v>
      </c>
      <c r="DQ67" s="179" t="e">
        <f t="shared" ca="1" si="299"/>
        <v>#VALUE!</v>
      </c>
      <c r="DR67" s="180">
        <f t="shared" ca="1" si="40"/>
        <v>5.7870356057992893</v>
      </c>
      <c r="DS67" s="180">
        <f t="shared" ref="DS67:EF82" ca="1" si="300">IF($AU72&gt;$BA$19,0,$BA72-$AS72)</f>
        <v>5.7870356057992893</v>
      </c>
      <c r="DT67" s="180">
        <f t="shared" ca="1" si="300"/>
        <v>5.7870356057992893</v>
      </c>
      <c r="DU67" s="180">
        <f t="shared" ca="1" si="300"/>
        <v>5.7870356057992893</v>
      </c>
      <c r="DV67" s="180">
        <f t="shared" ca="1" si="300"/>
        <v>5.7870356057992893</v>
      </c>
      <c r="DW67" s="180">
        <f t="shared" ca="1" si="300"/>
        <v>5.7870356057992893</v>
      </c>
      <c r="DX67" s="180">
        <f t="shared" ca="1" si="300"/>
        <v>5.7870356057992893</v>
      </c>
      <c r="DY67" s="180">
        <f t="shared" ca="1" si="300"/>
        <v>5.7870356057992893</v>
      </c>
      <c r="DZ67" s="180">
        <f t="shared" ca="1" si="300"/>
        <v>5.7870356057992893</v>
      </c>
      <c r="EA67" s="180">
        <f t="shared" ca="1" si="300"/>
        <v>5.7870356057992893</v>
      </c>
      <c r="EB67" s="180">
        <f t="shared" ca="1" si="300"/>
        <v>5.7870356057992893</v>
      </c>
      <c r="EC67" s="180">
        <f t="shared" ca="1" si="300"/>
        <v>5.7870356057992893</v>
      </c>
      <c r="ED67" s="180">
        <f t="shared" ca="1" si="300"/>
        <v>5.7870356057992893</v>
      </c>
      <c r="EE67" s="180">
        <f t="shared" ca="1" si="300"/>
        <v>5.7870356057992893</v>
      </c>
      <c r="EF67" s="180">
        <f t="shared" ca="1" si="300"/>
        <v>5.7870356057992893</v>
      </c>
      <c r="EG67" s="180">
        <f t="shared" ref="EG67:EO67" ca="1" si="301">IF($AU72&gt;$BA$19,0,$BA72-$AS72)</f>
        <v>5.7870356057992893</v>
      </c>
      <c r="EH67" s="180">
        <f t="shared" ca="1" si="301"/>
        <v>5.7870356057992893</v>
      </c>
      <c r="EI67" s="180">
        <f t="shared" ca="1" si="301"/>
        <v>5.7870356057992893</v>
      </c>
      <c r="EJ67" s="180">
        <f t="shared" ca="1" si="301"/>
        <v>5.7870356057992893</v>
      </c>
      <c r="EK67" s="180">
        <f t="shared" ca="1" si="301"/>
        <v>5.7870356057992893</v>
      </c>
      <c r="EL67" s="180">
        <f t="shared" ca="1" si="301"/>
        <v>5.7870356057992893</v>
      </c>
      <c r="EM67" s="180">
        <f t="shared" ca="1" si="301"/>
        <v>5.7870356057992893</v>
      </c>
      <c r="EN67" s="180">
        <f t="shared" ca="1" si="301"/>
        <v>5.7870356057992893</v>
      </c>
      <c r="EO67" s="180">
        <f t="shared" ca="1" si="301"/>
        <v>5.7870356057992893</v>
      </c>
      <c r="EQ67" s="259">
        <f t="shared" ca="1" si="42"/>
        <v>47644</v>
      </c>
      <c r="ER67" s="87">
        <f t="shared" ca="1" si="268"/>
        <v>5.7870356057992893</v>
      </c>
      <c r="ES67" s="87">
        <f t="shared" ca="1" si="268"/>
        <v>5.7870356057992893</v>
      </c>
      <c r="ET67" s="87">
        <f t="shared" ca="1" si="268"/>
        <v>5.7870356057992893</v>
      </c>
      <c r="EU67" s="87">
        <f t="shared" ca="1" si="268"/>
        <v>5.7870356057992893</v>
      </c>
      <c r="EV67" s="87">
        <f t="shared" ca="1" si="268"/>
        <v>5.7870356057992893</v>
      </c>
      <c r="EW67" s="87">
        <f t="shared" ca="1" si="268"/>
        <v>5.7870356057992893</v>
      </c>
      <c r="EX67" s="87">
        <f t="shared" ca="1" si="268"/>
        <v>5.7870356057992893</v>
      </c>
      <c r="EY67" s="87">
        <f t="shared" ca="1" si="268"/>
        <v>5.7870356057992893</v>
      </c>
      <c r="EZ67" s="87">
        <f t="shared" ca="1" si="268"/>
        <v>5.7870356057992893</v>
      </c>
      <c r="FA67" s="87">
        <f t="shared" ca="1" si="268"/>
        <v>5.7870356057992893</v>
      </c>
      <c r="FB67" s="87">
        <f t="shared" ca="1" si="268"/>
        <v>5.7870356057992893</v>
      </c>
      <c r="FC67" s="87">
        <f t="shared" ca="1" si="268"/>
        <v>5.7870356057992893</v>
      </c>
      <c r="FD67" s="87">
        <f t="shared" ca="1" si="268"/>
        <v>5.7870356057992893</v>
      </c>
      <c r="FE67" s="87">
        <f t="shared" ca="1" si="268"/>
        <v>5.7870356057992893</v>
      </c>
      <c r="FF67" s="87">
        <f t="shared" ca="1" si="268"/>
        <v>5.7870356057992893</v>
      </c>
      <c r="FG67" s="87">
        <f t="shared" ref="FG67:FP82" ca="1" si="302" xml:space="preserve"> IFERROR(VLOOKUP($EQ67,$AZ$23:$BA$167,2,FALSE),0)-IFERROR(VLOOKUP($EQ67,$AR$23:$AS$167,2,FALSE),0)</f>
        <v>5.7870356057992893</v>
      </c>
      <c r="FH67" s="87">
        <f t="shared" ca="1" si="302"/>
        <v>5.7870356057992893</v>
      </c>
      <c r="FI67" s="87">
        <f t="shared" ca="1" si="302"/>
        <v>5.7870356057992893</v>
      </c>
      <c r="FJ67" s="87">
        <f t="shared" ca="1" si="302"/>
        <v>5.7870356057992893</v>
      </c>
      <c r="FK67" s="87">
        <f t="shared" ca="1" si="302"/>
        <v>5.7870356057992893</v>
      </c>
      <c r="FL67" s="87">
        <f t="shared" ca="1" si="302"/>
        <v>5.7870356057992893</v>
      </c>
      <c r="FM67" s="87">
        <f t="shared" ca="1" si="302"/>
        <v>5.7870356057992893</v>
      </c>
      <c r="FN67" s="87">
        <f t="shared" ca="1" si="302"/>
        <v>5.7870356057992893</v>
      </c>
      <c r="FO67" s="87">
        <f t="shared" ca="1" si="302"/>
        <v>5.7870356057992893</v>
      </c>
      <c r="FP67" s="87">
        <f t="shared" ca="1" si="302"/>
        <v>5.7870356057992893</v>
      </c>
    </row>
    <row r="68" spans="2:172" ht="12.75" hidden="1" customHeight="1" x14ac:dyDescent="0.25">
      <c r="B68" s="87">
        <v>10</v>
      </c>
      <c r="C68" s="181">
        <f t="shared" ca="1" si="256"/>
        <v>46456</v>
      </c>
      <c r="D68" s="380">
        <f t="shared" ca="1" si="262"/>
        <v>0.83556814234576315</v>
      </c>
      <c r="E68" s="380">
        <f t="shared" si="262"/>
        <v>0</v>
      </c>
      <c r="F68" s="380">
        <f t="shared" si="262"/>
        <v>0</v>
      </c>
      <c r="G68" s="380">
        <f t="shared" si="262"/>
        <v>0</v>
      </c>
      <c r="H68" s="380">
        <f t="shared" si="262"/>
        <v>0</v>
      </c>
      <c r="I68" s="380">
        <f t="shared" si="262"/>
        <v>0</v>
      </c>
      <c r="J68" s="380">
        <f t="shared" si="262"/>
        <v>0</v>
      </c>
      <c r="K68" s="380">
        <f t="shared" si="262"/>
        <v>0</v>
      </c>
      <c r="L68" s="380">
        <f t="shared" si="262"/>
        <v>0</v>
      </c>
      <c r="M68" s="380">
        <f t="shared" si="262"/>
        <v>0</v>
      </c>
      <c r="N68" s="380">
        <f t="shared" si="263"/>
        <v>0</v>
      </c>
      <c r="O68" s="380">
        <f t="shared" si="263"/>
        <v>0</v>
      </c>
      <c r="P68" s="380">
        <f t="shared" si="263"/>
        <v>0</v>
      </c>
      <c r="Q68" s="380">
        <f t="shared" si="263"/>
        <v>0</v>
      </c>
      <c r="R68" s="380">
        <f t="shared" si="263"/>
        <v>0</v>
      </c>
      <c r="S68" s="380">
        <f t="shared" si="263"/>
        <v>0</v>
      </c>
      <c r="T68" s="380">
        <f t="shared" si="263"/>
        <v>0</v>
      </c>
      <c r="U68" s="175"/>
      <c r="V68" s="176"/>
      <c r="W68" s="176"/>
      <c r="X68" s="87">
        <v>53</v>
      </c>
      <c r="Y68" s="377">
        <f t="shared" ca="1" si="4"/>
        <v>85.212964394200711</v>
      </c>
      <c r="Z68" s="377">
        <f t="shared" si="5"/>
        <v>0</v>
      </c>
      <c r="AA68" s="377">
        <f t="shared" si="6"/>
        <v>0</v>
      </c>
      <c r="AB68" s="377">
        <f t="shared" si="7"/>
        <v>0</v>
      </c>
      <c r="AC68" s="377">
        <f t="shared" si="8"/>
        <v>0</v>
      </c>
      <c r="AD68" s="377">
        <f t="shared" si="9"/>
        <v>0</v>
      </c>
      <c r="AE68" s="377">
        <f t="shared" si="10"/>
        <v>0</v>
      </c>
      <c r="AF68" s="377">
        <f t="shared" si="11"/>
        <v>0</v>
      </c>
      <c r="AG68" s="377">
        <f t="shared" si="12"/>
        <v>0</v>
      </c>
      <c r="AH68" s="377">
        <f t="shared" si="13"/>
        <v>0</v>
      </c>
      <c r="AI68" s="377">
        <f t="shared" si="14"/>
        <v>0</v>
      </c>
      <c r="AJ68" s="377">
        <f t="shared" si="15"/>
        <v>0</v>
      </c>
      <c r="AK68" s="377">
        <f t="shared" si="16"/>
        <v>0</v>
      </c>
      <c r="AL68" s="377">
        <f t="shared" si="17"/>
        <v>0</v>
      </c>
      <c r="AM68" s="377">
        <f t="shared" si="18"/>
        <v>0</v>
      </c>
      <c r="AN68" s="377">
        <f t="shared" si="19"/>
        <v>0</v>
      </c>
      <c r="AO68" s="377">
        <f t="shared" si="20"/>
        <v>0</v>
      </c>
      <c r="AQ68" s="138">
        <v>45</v>
      </c>
      <c r="AR68" s="258">
        <f t="shared" ca="1" si="249"/>
        <v>47524</v>
      </c>
      <c r="AS68" s="378">
        <f t="shared" ca="1" si="70"/>
        <v>85.212964394200711</v>
      </c>
      <c r="AT68" s="138"/>
      <c r="AU68" s="138">
        <v>45</v>
      </c>
      <c r="AV68" s="258">
        <f t="shared" ca="1" si="250"/>
        <v>47552</v>
      </c>
      <c r="AW68" s="378">
        <f t="shared" ca="1" si="72"/>
        <v>5.7870356057992893</v>
      </c>
      <c r="AX68" s="202">
        <f t="shared" ca="1" si="73"/>
        <v>2.48</v>
      </c>
      <c r="AY68" s="138">
        <v>45</v>
      </c>
      <c r="AZ68" s="258">
        <f t="shared" ca="1" si="251"/>
        <v>47552</v>
      </c>
      <c r="BA68" s="378">
        <f t="shared" si="75"/>
        <v>91</v>
      </c>
      <c r="BC68" s="258">
        <f t="shared" ca="1" si="61"/>
        <v>47524</v>
      </c>
      <c r="BD68" s="302">
        <f t="shared" ca="1" si="76"/>
        <v>5.7870356057992893</v>
      </c>
      <c r="BE68" s="133">
        <f t="shared" si="62"/>
        <v>45</v>
      </c>
      <c r="BF68" s="379">
        <f t="shared" ca="1" si="63"/>
        <v>47524</v>
      </c>
      <c r="BG68" s="133">
        <f t="shared" si="77"/>
        <v>91</v>
      </c>
      <c r="BH68" s="133">
        <f t="shared" si="78"/>
        <v>0</v>
      </c>
      <c r="BI68" s="133">
        <f t="shared" si="79"/>
        <v>0</v>
      </c>
      <c r="BJ68" s="133">
        <f t="shared" si="80"/>
        <v>0</v>
      </c>
      <c r="BK68" s="133">
        <f t="shared" si="81"/>
        <v>0</v>
      </c>
      <c r="BL68" s="133">
        <f t="shared" si="82"/>
        <v>0</v>
      </c>
      <c r="BM68" s="133">
        <f t="shared" si="83"/>
        <v>0</v>
      </c>
      <c r="BN68" s="133">
        <f t="shared" si="84"/>
        <v>0</v>
      </c>
      <c r="BO68" s="133">
        <f t="shared" si="85"/>
        <v>0</v>
      </c>
      <c r="BP68" s="133">
        <f t="shared" si="86"/>
        <v>0</v>
      </c>
      <c r="BQ68" s="133">
        <f t="shared" si="87"/>
        <v>0</v>
      </c>
      <c r="BR68" s="133">
        <f t="shared" si="88"/>
        <v>0</v>
      </c>
      <c r="BS68" s="133">
        <f t="shared" si="89"/>
        <v>0</v>
      </c>
      <c r="BT68" s="133">
        <f t="shared" si="90"/>
        <v>0</v>
      </c>
      <c r="BU68" s="133">
        <f t="shared" si="91"/>
        <v>0</v>
      </c>
      <c r="BV68" s="133">
        <f t="shared" si="92"/>
        <v>0</v>
      </c>
      <c r="BW68" s="133">
        <f t="shared" si="93"/>
        <v>0</v>
      </c>
      <c r="BX68" s="267"/>
      <c r="BY68" s="267"/>
      <c r="BZ68" s="267"/>
      <c r="CA68" s="267"/>
      <c r="CB68" s="267"/>
      <c r="CC68" s="267"/>
      <c r="CD68" s="267"/>
      <c r="CE68" s="267"/>
      <c r="CF68" s="267"/>
      <c r="CG68" s="267"/>
      <c r="CS68" s="178">
        <v>50</v>
      </c>
      <c r="CT68" s="259">
        <f t="shared" ca="1" si="29"/>
        <v>47705</v>
      </c>
      <c r="CU68" s="179">
        <f t="shared" ref="CU68:DC68" ca="1" si="303">(($AW73/(1+CU$18)^(($AZ73-$AZ$23)/30)))+($AS73/(1+CU$18)^(($AZ73-$AZ$23)/30))</f>
        <v>35.446953134473752</v>
      </c>
      <c r="CV68" s="179">
        <f t="shared" ca="1" si="303"/>
        <v>36.353593258895252</v>
      </c>
      <c r="CW68" s="179">
        <f t="shared" ca="1" si="303"/>
        <v>36.908890445910089</v>
      </c>
      <c r="CX68" s="179">
        <f t="shared" ca="1" si="303"/>
        <v>37.472837217237917</v>
      </c>
      <c r="CY68" s="179">
        <f t="shared" ca="1" si="303"/>
        <v>38.045570913394883</v>
      </c>
      <c r="CZ68" s="179">
        <f t="shared" ca="1" si="303"/>
        <v>38.627231097098694</v>
      </c>
      <c r="DA68" s="179">
        <f t="shared" ca="1" si="303"/>
        <v>39.020033653906602</v>
      </c>
      <c r="DB68" s="179">
        <f t="shared" ca="1" si="303"/>
        <v>39.817900509414024</v>
      </c>
      <c r="DC68" s="179">
        <f t="shared" ca="1" si="303"/>
        <v>40.223051361820218</v>
      </c>
      <c r="DD68" s="179">
        <f t="shared" ref="DD68:DI68" ca="1" si="304">(($AW73/(1+DD$18)^(($AZ73-$AZ$23)/30)))+($AS73/(1+DD$18)^(($AZ73-$AZ$23)/30))</f>
        <v>40.632405644107592</v>
      </c>
      <c r="DE68" s="179">
        <f t="shared" ca="1" si="304"/>
        <v>41.046007807275359</v>
      </c>
      <c r="DF68" s="179" t="e">
        <f t="shared" ca="1" si="304"/>
        <v>#VALUE!</v>
      </c>
      <c r="DG68" s="179" t="e">
        <f t="shared" ca="1" si="304"/>
        <v>#VALUE!</v>
      </c>
      <c r="DH68" s="179" t="e">
        <f t="shared" ca="1" si="304"/>
        <v>#VALUE!</v>
      </c>
      <c r="DI68" s="179" t="e">
        <f t="shared" ca="1" si="304"/>
        <v>#VALUE!</v>
      </c>
      <c r="DJ68" s="179" t="e">
        <f t="shared" ref="DJ68:DQ68" ca="1" si="305">(($AW73/(1+DJ$18)^(($AZ73-$AZ$23)/30)))+($AS73/(1+DJ$18)^(($AZ73-$AZ$23)/30))</f>
        <v>#VALUE!</v>
      </c>
      <c r="DK68" s="179" t="e">
        <f t="shared" ca="1" si="305"/>
        <v>#VALUE!</v>
      </c>
      <c r="DL68" s="179" t="e">
        <f t="shared" ca="1" si="305"/>
        <v>#VALUE!</v>
      </c>
      <c r="DM68" s="179" t="e">
        <f t="shared" ca="1" si="305"/>
        <v>#VALUE!</v>
      </c>
      <c r="DN68" s="179" t="e">
        <f t="shared" ca="1" si="305"/>
        <v>#VALUE!</v>
      </c>
      <c r="DO68" s="179" t="e">
        <f t="shared" ca="1" si="305"/>
        <v>#VALUE!</v>
      </c>
      <c r="DP68" s="179" t="e">
        <f t="shared" ca="1" si="305"/>
        <v>#VALUE!</v>
      </c>
      <c r="DQ68" s="179" t="e">
        <f t="shared" ca="1" si="305"/>
        <v>#VALUE!</v>
      </c>
      <c r="DR68" s="180">
        <f t="shared" ca="1" si="40"/>
        <v>5.7870356057992893</v>
      </c>
      <c r="DS68" s="180">
        <f t="shared" ca="1" si="300"/>
        <v>5.7870356057992893</v>
      </c>
      <c r="DT68" s="180">
        <f t="shared" ca="1" si="300"/>
        <v>5.7870356057992893</v>
      </c>
      <c r="DU68" s="180">
        <f t="shared" ca="1" si="300"/>
        <v>5.7870356057992893</v>
      </c>
      <c r="DV68" s="180">
        <f t="shared" ca="1" si="300"/>
        <v>5.7870356057992893</v>
      </c>
      <c r="DW68" s="180">
        <f t="shared" ca="1" si="300"/>
        <v>5.7870356057992893</v>
      </c>
      <c r="DX68" s="180">
        <f t="shared" ca="1" si="300"/>
        <v>5.7870356057992893</v>
      </c>
      <c r="DY68" s="180">
        <f t="shared" ca="1" si="300"/>
        <v>5.7870356057992893</v>
      </c>
      <c r="DZ68" s="180">
        <f t="shared" ca="1" si="300"/>
        <v>5.7870356057992893</v>
      </c>
      <c r="EA68" s="180">
        <f t="shared" ca="1" si="300"/>
        <v>5.7870356057992893</v>
      </c>
      <c r="EB68" s="180">
        <f t="shared" ca="1" si="300"/>
        <v>5.7870356057992893</v>
      </c>
      <c r="EC68" s="180">
        <f t="shared" ca="1" si="300"/>
        <v>5.7870356057992893</v>
      </c>
      <c r="ED68" s="180">
        <f t="shared" ca="1" si="300"/>
        <v>5.7870356057992893</v>
      </c>
      <c r="EE68" s="180">
        <f t="shared" ca="1" si="300"/>
        <v>5.7870356057992893</v>
      </c>
      <c r="EF68" s="180">
        <f t="shared" ca="1" si="300"/>
        <v>5.7870356057992893</v>
      </c>
      <c r="EG68" s="180">
        <f t="shared" ref="EG68:EO68" ca="1" si="306">IF($AU73&gt;$BA$19,0,$BA73-$AS73)</f>
        <v>5.7870356057992893</v>
      </c>
      <c r="EH68" s="180">
        <f t="shared" ca="1" si="306"/>
        <v>5.7870356057992893</v>
      </c>
      <c r="EI68" s="180">
        <f t="shared" ca="1" si="306"/>
        <v>5.7870356057992893</v>
      </c>
      <c r="EJ68" s="180">
        <f t="shared" ca="1" si="306"/>
        <v>5.7870356057992893</v>
      </c>
      <c r="EK68" s="180">
        <f t="shared" ca="1" si="306"/>
        <v>5.7870356057992893</v>
      </c>
      <c r="EL68" s="180">
        <f t="shared" ca="1" si="306"/>
        <v>5.7870356057992893</v>
      </c>
      <c r="EM68" s="180">
        <f t="shared" ca="1" si="306"/>
        <v>5.7870356057992893</v>
      </c>
      <c r="EN68" s="180">
        <f t="shared" ca="1" si="306"/>
        <v>5.7870356057992893</v>
      </c>
      <c r="EO68" s="180">
        <f t="shared" ca="1" si="306"/>
        <v>5.7870356057992893</v>
      </c>
      <c r="EQ68" s="259">
        <f t="shared" ca="1" si="42"/>
        <v>47674</v>
      </c>
      <c r="ER68" s="87">
        <f t="shared" ca="1" si="268"/>
        <v>5.7870356057992893</v>
      </c>
      <c r="ES68" s="87">
        <f t="shared" ca="1" si="268"/>
        <v>5.7870356057992893</v>
      </c>
      <c r="ET68" s="87">
        <f t="shared" ca="1" si="268"/>
        <v>5.7870356057992893</v>
      </c>
      <c r="EU68" s="87">
        <f t="shared" ca="1" si="268"/>
        <v>5.7870356057992893</v>
      </c>
      <c r="EV68" s="87">
        <f t="shared" ca="1" si="268"/>
        <v>5.7870356057992893</v>
      </c>
      <c r="EW68" s="87">
        <f t="shared" ca="1" si="268"/>
        <v>5.7870356057992893</v>
      </c>
      <c r="EX68" s="87">
        <f t="shared" ca="1" si="268"/>
        <v>5.7870356057992893</v>
      </c>
      <c r="EY68" s="87">
        <f t="shared" ca="1" si="268"/>
        <v>5.7870356057992893</v>
      </c>
      <c r="EZ68" s="87">
        <f t="shared" ca="1" si="268"/>
        <v>5.7870356057992893</v>
      </c>
      <c r="FA68" s="87">
        <f t="shared" ca="1" si="268"/>
        <v>5.7870356057992893</v>
      </c>
      <c r="FB68" s="87">
        <f t="shared" ca="1" si="268"/>
        <v>5.7870356057992893</v>
      </c>
      <c r="FC68" s="87">
        <f t="shared" ca="1" si="268"/>
        <v>5.7870356057992893</v>
      </c>
      <c r="FD68" s="87">
        <f t="shared" ca="1" si="268"/>
        <v>5.7870356057992893</v>
      </c>
      <c r="FE68" s="87">
        <f t="shared" ca="1" si="268"/>
        <v>5.7870356057992893</v>
      </c>
      <c r="FF68" s="87">
        <f t="shared" ca="1" si="268"/>
        <v>5.7870356057992893</v>
      </c>
      <c r="FG68" s="87">
        <f t="shared" ca="1" si="302"/>
        <v>5.7870356057992893</v>
      </c>
      <c r="FH68" s="87">
        <f t="shared" ca="1" si="302"/>
        <v>5.7870356057992893</v>
      </c>
      <c r="FI68" s="87">
        <f t="shared" ca="1" si="302"/>
        <v>5.7870356057992893</v>
      </c>
      <c r="FJ68" s="87">
        <f t="shared" ca="1" si="302"/>
        <v>5.7870356057992893</v>
      </c>
      <c r="FK68" s="87">
        <f t="shared" ca="1" si="302"/>
        <v>5.7870356057992893</v>
      </c>
      <c r="FL68" s="87">
        <f t="shared" ca="1" si="302"/>
        <v>5.7870356057992893</v>
      </c>
      <c r="FM68" s="87">
        <f t="shared" ca="1" si="302"/>
        <v>5.7870356057992893</v>
      </c>
      <c r="FN68" s="87">
        <f t="shared" ca="1" si="302"/>
        <v>5.7870356057992893</v>
      </c>
      <c r="FO68" s="87">
        <f t="shared" ca="1" si="302"/>
        <v>5.7870356057992893</v>
      </c>
      <c r="FP68" s="87">
        <f t="shared" ca="1" si="302"/>
        <v>5.7870356057992893</v>
      </c>
    </row>
    <row r="69" spans="2:172" ht="12.75" hidden="1" customHeight="1" x14ac:dyDescent="0.25">
      <c r="B69" s="87">
        <v>11</v>
      </c>
      <c r="C69" s="181">
        <f t="shared" ca="1" si="256"/>
        <v>46487</v>
      </c>
      <c r="D69" s="380">
        <f t="shared" ref="D69:M78" ca="1" si="307">IF($B69&lt;=D$20,1/(($C$57+1)^(($C69-$C$58)/30)),0)</f>
        <v>0.81988977861269519</v>
      </c>
      <c r="E69" s="380">
        <f t="shared" si="307"/>
        <v>0</v>
      </c>
      <c r="F69" s="380">
        <f t="shared" si="307"/>
        <v>0</v>
      </c>
      <c r="G69" s="380">
        <f t="shared" si="307"/>
        <v>0</v>
      </c>
      <c r="H69" s="380">
        <f t="shared" si="307"/>
        <v>0</v>
      </c>
      <c r="I69" s="380">
        <f t="shared" si="307"/>
        <v>0</v>
      </c>
      <c r="J69" s="380">
        <f t="shared" si="307"/>
        <v>0</v>
      </c>
      <c r="K69" s="380">
        <f t="shared" si="307"/>
        <v>0</v>
      </c>
      <c r="L69" s="380">
        <f t="shared" si="307"/>
        <v>0</v>
      </c>
      <c r="M69" s="380">
        <f t="shared" si="307"/>
        <v>0</v>
      </c>
      <c r="N69" s="380">
        <f t="shared" ref="N69:T78" si="308">IF($B69&lt;=N$20,1/(($C$57+1)^(($C69-$C$58)/30)),0)</f>
        <v>0</v>
      </c>
      <c r="O69" s="380">
        <f t="shared" si="308"/>
        <v>0</v>
      </c>
      <c r="P69" s="380">
        <f t="shared" si="308"/>
        <v>0</v>
      </c>
      <c r="Q69" s="380">
        <f t="shared" si="308"/>
        <v>0</v>
      </c>
      <c r="R69" s="380">
        <f t="shared" si="308"/>
        <v>0</v>
      </c>
      <c r="S69" s="380">
        <f t="shared" si="308"/>
        <v>0</v>
      </c>
      <c r="T69" s="380">
        <f t="shared" si="308"/>
        <v>0</v>
      </c>
      <c r="U69" s="175"/>
      <c r="V69" s="176"/>
      <c r="W69" s="176"/>
      <c r="X69" s="87">
        <v>54</v>
      </c>
      <c r="Y69" s="377">
        <f t="shared" ca="1" si="4"/>
        <v>85.212964394200711</v>
      </c>
      <c r="Z69" s="377">
        <f t="shared" si="5"/>
        <v>0</v>
      </c>
      <c r="AA69" s="377">
        <f t="shared" si="6"/>
        <v>0</v>
      </c>
      <c r="AB69" s="377">
        <f t="shared" si="7"/>
        <v>0</v>
      </c>
      <c r="AC69" s="377">
        <f t="shared" si="8"/>
        <v>0</v>
      </c>
      <c r="AD69" s="377">
        <f t="shared" si="9"/>
        <v>0</v>
      </c>
      <c r="AE69" s="377">
        <f t="shared" si="10"/>
        <v>0</v>
      </c>
      <c r="AF69" s="377">
        <f t="shared" si="11"/>
        <v>0</v>
      </c>
      <c r="AG69" s="377">
        <f t="shared" si="12"/>
        <v>0</v>
      </c>
      <c r="AH69" s="377">
        <f t="shared" si="13"/>
        <v>0</v>
      </c>
      <c r="AI69" s="377">
        <f t="shared" si="14"/>
        <v>0</v>
      </c>
      <c r="AJ69" s="377">
        <f t="shared" si="15"/>
        <v>0</v>
      </c>
      <c r="AK69" s="377">
        <f t="shared" si="16"/>
        <v>0</v>
      </c>
      <c r="AL69" s="377">
        <f t="shared" si="17"/>
        <v>0</v>
      </c>
      <c r="AM69" s="377">
        <f t="shared" si="18"/>
        <v>0</v>
      </c>
      <c r="AN69" s="377">
        <f t="shared" si="19"/>
        <v>0</v>
      </c>
      <c r="AO69" s="377">
        <f t="shared" si="20"/>
        <v>0</v>
      </c>
      <c r="AQ69" s="138">
        <v>46</v>
      </c>
      <c r="AR69" s="258">
        <f t="shared" ca="1" si="249"/>
        <v>47552</v>
      </c>
      <c r="AS69" s="378">
        <f t="shared" ca="1" si="70"/>
        <v>85.212964394200711</v>
      </c>
      <c r="AT69" s="138"/>
      <c r="AU69" s="138">
        <v>46</v>
      </c>
      <c r="AV69" s="258">
        <f t="shared" ca="1" si="250"/>
        <v>47583</v>
      </c>
      <c r="AW69" s="378">
        <f t="shared" ca="1" si="72"/>
        <v>5.7870356057992893</v>
      </c>
      <c r="AX69" s="202">
        <f t="shared" ca="1" si="73"/>
        <v>2.4300000000000002</v>
      </c>
      <c r="AY69" s="138">
        <v>46</v>
      </c>
      <c r="AZ69" s="258">
        <f t="shared" ca="1" si="251"/>
        <v>47583</v>
      </c>
      <c r="BA69" s="378">
        <f t="shared" si="75"/>
        <v>91</v>
      </c>
      <c r="BC69" s="258">
        <f t="shared" ca="1" si="61"/>
        <v>47552</v>
      </c>
      <c r="BD69" s="302">
        <f t="shared" ca="1" si="76"/>
        <v>5.7870356057992893</v>
      </c>
      <c r="BE69" s="133">
        <f t="shared" si="62"/>
        <v>46</v>
      </c>
      <c r="BF69" s="379">
        <f t="shared" ca="1" si="63"/>
        <v>47552</v>
      </c>
      <c r="BG69" s="133">
        <f t="shared" si="77"/>
        <v>91</v>
      </c>
      <c r="BH69" s="133">
        <f t="shared" si="78"/>
        <v>0</v>
      </c>
      <c r="BI69" s="133">
        <f t="shared" si="79"/>
        <v>0</v>
      </c>
      <c r="BJ69" s="133">
        <f t="shared" si="80"/>
        <v>0</v>
      </c>
      <c r="BK69" s="133">
        <f t="shared" si="81"/>
        <v>0</v>
      </c>
      <c r="BL69" s="133">
        <f t="shared" si="82"/>
        <v>0</v>
      </c>
      <c r="BM69" s="133">
        <f t="shared" si="83"/>
        <v>0</v>
      </c>
      <c r="BN69" s="133">
        <f t="shared" si="84"/>
        <v>0</v>
      </c>
      <c r="BO69" s="133">
        <f t="shared" si="85"/>
        <v>0</v>
      </c>
      <c r="BP69" s="133">
        <f t="shared" si="86"/>
        <v>0</v>
      </c>
      <c r="BQ69" s="133">
        <f t="shared" si="87"/>
        <v>0</v>
      </c>
      <c r="BR69" s="133">
        <f t="shared" si="88"/>
        <v>0</v>
      </c>
      <c r="BS69" s="133">
        <f t="shared" si="89"/>
        <v>0</v>
      </c>
      <c r="BT69" s="133">
        <f t="shared" si="90"/>
        <v>0</v>
      </c>
      <c r="BU69" s="133">
        <f t="shared" si="91"/>
        <v>0</v>
      </c>
      <c r="BV69" s="133">
        <f t="shared" si="92"/>
        <v>0</v>
      </c>
      <c r="BW69" s="133">
        <f t="shared" si="93"/>
        <v>0</v>
      </c>
      <c r="BX69" s="267"/>
      <c r="BY69" s="267"/>
      <c r="BZ69" s="267"/>
      <c r="CA69" s="267"/>
      <c r="CB69" s="267"/>
      <c r="CC69" s="267"/>
      <c r="CD69" s="267"/>
      <c r="CE69" s="267"/>
      <c r="CF69" s="267"/>
      <c r="CG69" s="267"/>
      <c r="CS69" s="138">
        <v>51</v>
      </c>
      <c r="CT69" s="259">
        <f t="shared" ca="1" si="29"/>
        <v>47736</v>
      </c>
      <c r="CU69" s="179">
        <f t="shared" ref="CU69:DC69" ca="1" si="309">(($AW74/(1+CU$18)^(($AZ74-$AZ$23)/30)))+($AS74/(1+CU$18)^(($AZ74-$AZ$23)/30))</f>
        <v>34.781836555338636</v>
      </c>
      <c r="CV69" s="179">
        <f t="shared" ca="1" si="309"/>
        <v>35.689569267663053</v>
      </c>
      <c r="CW69" s="179">
        <f t="shared" ca="1" si="309"/>
        <v>36.245761016866958</v>
      </c>
      <c r="CX69" s="179">
        <f t="shared" ca="1" si="309"/>
        <v>36.8107883705473</v>
      </c>
      <c r="CY69" s="179">
        <f t="shared" ca="1" si="309"/>
        <v>37.384794357858738</v>
      </c>
      <c r="CZ69" s="179">
        <f t="shared" ca="1" si="309"/>
        <v>37.967924366493719</v>
      </c>
      <c r="DA69" s="179">
        <f t="shared" ca="1" si="309"/>
        <v>38.361819487079579</v>
      </c>
      <c r="DB69" s="179">
        <f t="shared" ca="1" si="309"/>
        <v>39.162150029511444</v>
      </c>
      <c r="DC69" s="179">
        <f t="shared" ca="1" si="309"/>
        <v>39.568675695491351</v>
      </c>
      <c r="DD69" s="179">
        <f t="shared" ref="DD69:DI69" ca="1" si="310">(($AW74/(1+DD$18)^(($AZ74-$AZ$23)/30)))+($AS74/(1+DD$18)^(($AZ74-$AZ$23)/30))</f>
        <v>39.979502613694287</v>
      </c>
      <c r="DE69" s="179">
        <f t="shared" ca="1" si="310"/>
        <v>40.394677153940961</v>
      </c>
      <c r="DF69" s="179" t="e">
        <f t="shared" ca="1" si="310"/>
        <v>#VALUE!</v>
      </c>
      <c r="DG69" s="179" t="e">
        <f t="shared" ca="1" si="310"/>
        <v>#VALUE!</v>
      </c>
      <c r="DH69" s="179" t="e">
        <f t="shared" ca="1" si="310"/>
        <v>#VALUE!</v>
      </c>
      <c r="DI69" s="179" t="e">
        <f t="shared" ca="1" si="310"/>
        <v>#VALUE!</v>
      </c>
      <c r="DJ69" s="179" t="e">
        <f t="shared" ref="DJ69:DQ69" ca="1" si="311">(($AW74/(1+DJ$18)^(($AZ74-$AZ$23)/30)))+($AS74/(1+DJ$18)^(($AZ74-$AZ$23)/30))</f>
        <v>#VALUE!</v>
      </c>
      <c r="DK69" s="179" t="e">
        <f t="shared" ca="1" si="311"/>
        <v>#VALUE!</v>
      </c>
      <c r="DL69" s="179" t="e">
        <f t="shared" ca="1" si="311"/>
        <v>#VALUE!</v>
      </c>
      <c r="DM69" s="179" t="e">
        <f t="shared" ca="1" si="311"/>
        <v>#VALUE!</v>
      </c>
      <c r="DN69" s="179" t="e">
        <f t="shared" ca="1" si="311"/>
        <v>#VALUE!</v>
      </c>
      <c r="DO69" s="179" t="e">
        <f t="shared" ca="1" si="311"/>
        <v>#VALUE!</v>
      </c>
      <c r="DP69" s="179" t="e">
        <f t="shared" ca="1" si="311"/>
        <v>#VALUE!</v>
      </c>
      <c r="DQ69" s="179" t="e">
        <f t="shared" ca="1" si="311"/>
        <v>#VALUE!</v>
      </c>
      <c r="DR69" s="180">
        <f t="shared" ca="1" si="40"/>
        <v>5.7870356057992893</v>
      </c>
      <c r="DS69" s="180">
        <f t="shared" ca="1" si="300"/>
        <v>5.7870356057992893</v>
      </c>
      <c r="DT69" s="180">
        <f t="shared" ca="1" si="300"/>
        <v>5.7870356057992893</v>
      </c>
      <c r="DU69" s="180">
        <f t="shared" ca="1" si="300"/>
        <v>5.7870356057992893</v>
      </c>
      <c r="DV69" s="180">
        <f t="shared" ca="1" si="300"/>
        <v>5.7870356057992893</v>
      </c>
      <c r="DW69" s="180">
        <f t="shared" ca="1" si="300"/>
        <v>5.7870356057992893</v>
      </c>
      <c r="DX69" s="180">
        <f t="shared" ca="1" si="300"/>
        <v>5.7870356057992893</v>
      </c>
      <c r="DY69" s="180">
        <f t="shared" ca="1" si="300"/>
        <v>5.7870356057992893</v>
      </c>
      <c r="DZ69" s="180">
        <f t="shared" ca="1" si="300"/>
        <v>5.7870356057992893</v>
      </c>
      <c r="EA69" s="180">
        <f t="shared" ca="1" si="300"/>
        <v>5.7870356057992893</v>
      </c>
      <c r="EB69" s="180">
        <f t="shared" ca="1" si="300"/>
        <v>5.7870356057992893</v>
      </c>
      <c r="EC69" s="180">
        <f t="shared" ca="1" si="300"/>
        <v>5.7870356057992893</v>
      </c>
      <c r="ED69" s="180">
        <f t="shared" ca="1" si="300"/>
        <v>5.7870356057992893</v>
      </c>
      <c r="EE69" s="180">
        <f t="shared" ca="1" si="300"/>
        <v>5.7870356057992893</v>
      </c>
      <c r="EF69" s="180">
        <f t="shared" ca="1" si="300"/>
        <v>5.7870356057992893</v>
      </c>
      <c r="EG69" s="180">
        <f t="shared" ref="EG69:EO69" ca="1" si="312">IF($AU74&gt;$BA$19,0,$BA74-$AS74)</f>
        <v>5.7870356057992893</v>
      </c>
      <c r="EH69" s="180">
        <f t="shared" ca="1" si="312"/>
        <v>5.7870356057992893</v>
      </c>
      <c r="EI69" s="180">
        <f t="shared" ca="1" si="312"/>
        <v>5.7870356057992893</v>
      </c>
      <c r="EJ69" s="180">
        <f t="shared" ca="1" si="312"/>
        <v>5.7870356057992893</v>
      </c>
      <c r="EK69" s="180">
        <f t="shared" ca="1" si="312"/>
        <v>5.7870356057992893</v>
      </c>
      <c r="EL69" s="180">
        <f t="shared" ca="1" si="312"/>
        <v>5.7870356057992893</v>
      </c>
      <c r="EM69" s="180">
        <f t="shared" ca="1" si="312"/>
        <v>5.7870356057992893</v>
      </c>
      <c r="EN69" s="180">
        <f t="shared" ca="1" si="312"/>
        <v>5.7870356057992893</v>
      </c>
      <c r="EO69" s="180">
        <f t="shared" ca="1" si="312"/>
        <v>5.7870356057992893</v>
      </c>
      <c r="EQ69" s="259">
        <f t="shared" ca="1" si="42"/>
        <v>47705</v>
      </c>
      <c r="ER69" s="87">
        <f t="shared" ref="ER69:FF78" ca="1" si="313" xml:space="preserve"> IFERROR(VLOOKUP($EQ69,$AZ$23:$BA$167,2,FALSE),0)-IFERROR(VLOOKUP($EQ69,$AR$23:$AS$167,2,FALSE),0)</f>
        <v>5.7870356057992893</v>
      </c>
      <c r="ES69" s="87">
        <f t="shared" ca="1" si="313"/>
        <v>5.7870356057992893</v>
      </c>
      <c r="ET69" s="87">
        <f t="shared" ca="1" si="313"/>
        <v>5.7870356057992893</v>
      </c>
      <c r="EU69" s="87">
        <f t="shared" ca="1" si="313"/>
        <v>5.7870356057992893</v>
      </c>
      <c r="EV69" s="87">
        <f t="shared" ca="1" si="313"/>
        <v>5.7870356057992893</v>
      </c>
      <c r="EW69" s="87">
        <f t="shared" ca="1" si="313"/>
        <v>5.7870356057992893</v>
      </c>
      <c r="EX69" s="87">
        <f t="shared" ca="1" si="313"/>
        <v>5.7870356057992893</v>
      </c>
      <c r="EY69" s="87">
        <f t="shared" ca="1" si="313"/>
        <v>5.7870356057992893</v>
      </c>
      <c r="EZ69" s="87">
        <f t="shared" ca="1" si="313"/>
        <v>5.7870356057992893</v>
      </c>
      <c r="FA69" s="87">
        <f t="shared" ca="1" si="313"/>
        <v>5.7870356057992893</v>
      </c>
      <c r="FB69" s="87">
        <f t="shared" ca="1" si="313"/>
        <v>5.7870356057992893</v>
      </c>
      <c r="FC69" s="87">
        <f t="shared" ca="1" si="313"/>
        <v>5.7870356057992893</v>
      </c>
      <c r="FD69" s="87">
        <f t="shared" ca="1" si="313"/>
        <v>5.7870356057992893</v>
      </c>
      <c r="FE69" s="87">
        <f t="shared" ca="1" si="313"/>
        <v>5.7870356057992893</v>
      </c>
      <c r="FF69" s="87">
        <f t="shared" ca="1" si="313"/>
        <v>5.7870356057992893</v>
      </c>
      <c r="FG69" s="87">
        <f t="shared" ca="1" si="302"/>
        <v>5.7870356057992893</v>
      </c>
      <c r="FH69" s="87">
        <f t="shared" ca="1" si="302"/>
        <v>5.7870356057992893</v>
      </c>
      <c r="FI69" s="87">
        <f t="shared" ca="1" si="302"/>
        <v>5.7870356057992893</v>
      </c>
      <c r="FJ69" s="87">
        <f t="shared" ca="1" si="302"/>
        <v>5.7870356057992893</v>
      </c>
      <c r="FK69" s="87">
        <f t="shared" ca="1" si="302"/>
        <v>5.7870356057992893</v>
      </c>
      <c r="FL69" s="87">
        <f t="shared" ca="1" si="302"/>
        <v>5.7870356057992893</v>
      </c>
      <c r="FM69" s="87">
        <f t="shared" ca="1" si="302"/>
        <v>5.7870356057992893</v>
      </c>
      <c r="FN69" s="87">
        <f t="shared" ca="1" si="302"/>
        <v>5.7870356057992893</v>
      </c>
      <c r="FO69" s="87">
        <f t="shared" ca="1" si="302"/>
        <v>5.7870356057992893</v>
      </c>
      <c r="FP69" s="87">
        <f t="shared" ca="1" si="302"/>
        <v>5.7870356057992893</v>
      </c>
    </row>
    <row r="70" spans="2:172" ht="12.75" hidden="1" customHeight="1" x14ac:dyDescent="0.25">
      <c r="B70" s="87">
        <v>12</v>
      </c>
      <c r="C70" s="181">
        <f t="shared" ca="1" si="256"/>
        <v>46517</v>
      </c>
      <c r="D70" s="380">
        <f t="shared" ca="1" si="307"/>
        <v>0.80499732804388335</v>
      </c>
      <c r="E70" s="380">
        <f t="shared" si="307"/>
        <v>0</v>
      </c>
      <c r="F70" s="380">
        <f t="shared" si="307"/>
        <v>0</v>
      </c>
      <c r="G70" s="380">
        <f t="shared" si="307"/>
        <v>0</v>
      </c>
      <c r="H70" s="380">
        <f t="shared" si="307"/>
        <v>0</v>
      </c>
      <c r="I70" s="380">
        <f t="shared" si="307"/>
        <v>0</v>
      </c>
      <c r="J70" s="380">
        <f t="shared" si="307"/>
        <v>0</v>
      </c>
      <c r="K70" s="380">
        <f t="shared" si="307"/>
        <v>0</v>
      </c>
      <c r="L70" s="380">
        <f t="shared" si="307"/>
        <v>0</v>
      </c>
      <c r="M70" s="380">
        <f t="shared" si="307"/>
        <v>0</v>
      </c>
      <c r="N70" s="380">
        <f t="shared" si="308"/>
        <v>0</v>
      </c>
      <c r="O70" s="380">
        <f t="shared" si="308"/>
        <v>0</v>
      </c>
      <c r="P70" s="380">
        <f t="shared" si="308"/>
        <v>0</v>
      </c>
      <c r="Q70" s="380">
        <f t="shared" si="308"/>
        <v>0</v>
      </c>
      <c r="R70" s="380">
        <f t="shared" si="308"/>
        <v>0</v>
      </c>
      <c r="S70" s="380">
        <f t="shared" si="308"/>
        <v>0</v>
      </c>
      <c r="T70" s="380">
        <f t="shared" si="308"/>
        <v>0</v>
      </c>
      <c r="U70" s="175"/>
      <c r="V70" s="176"/>
      <c r="W70" s="176"/>
      <c r="X70" s="87">
        <v>55</v>
      </c>
      <c r="Y70" s="377">
        <f t="shared" ca="1" si="4"/>
        <v>85.212964394200711</v>
      </c>
      <c r="Z70" s="377">
        <f t="shared" si="5"/>
        <v>0</v>
      </c>
      <c r="AA70" s="377">
        <f t="shared" si="6"/>
        <v>0</v>
      </c>
      <c r="AB70" s="377">
        <f t="shared" si="7"/>
        <v>0</v>
      </c>
      <c r="AC70" s="377">
        <f t="shared" si="8"/>
        <v>0</v>
      </c>
      <c r="AD70" s="377">
        <f t="shared" si="9"/>
        <v>0</v>
      </c>
      <c r="AE70" s="377">
        <f t="shared" si="10"/>
        <v>0</v>
      </c>
      <c r="AF70" s="377">
        <f t="shared" si="11"/>
        <v>0</v>
      </c>
      <c r="AG70" s="377">
        <f t="shared" si="12"/>
        <v>0</v>
      </c>
      <c r="AH70" s="377">
        <f t="shared" si="13"/>
        <v>0</v>
      </c>
      <c r="AI70" s="377">
        <f t="shared" si="14"/>
        <v>0</v>
      </c>
      <c r="AJ70" s="377">
        <f t="shared" si="15"/>
        <v>0</v>
      </c>
      <c r="AK70" s="377">
        <f t="shared" si="16"/>
        <v>0</v>
      </c>
      <c r="AL70" s="377">
        <f t="shared" si="17"/>
        <v>0</v>
      </c>
      <c r="AM70" s="377">
        <f t="shared" si="18"/>
        <v>0</v>
      </c>
      <c r="AN70" s="377">
        <f t="shared" si="19"/>
        <v>0</v>
      </c>
      <c r="AO70" s="377">
        <f t="shared" si="20"/>
        <v>0</v>
      </c>
      <c r="AQ70" s="138">
        <v>47</v>
      </c>
      <c r="AR70" s="258">
        <f t="shared" ca="1" si="249"/>
        <v>47583</v>
      </c>
      <c r="AS70" s="378">
        <f t="shared" ca="1" si="70"/>
        <v>85.212964394200711</v>
      </c>
      <c r="AT70" s="138"/>
      <c r="AU70" s="138">
        <v>47</v>
      </c>
      <c r="AV70" s="258">
        <f t="shared" ca="1" si="250"/>
        <v>47613</v>
      </c>
      <c r="AW70" s="378">
        <f t="shared" ca="1" si="72"/>
        <v>5.7870356057992893</v>
      </c>
      <c r="AX70" s="202">
        <f t="shared" ca="1" si="73"/>
        <v>2.38</v>
      </c>
      <c r="AY70" s="138">
        <v>47</v>
      </c>
      <c r="AZ70" s="258">
        <f t="shared" ca="1" si="251"/>
        <v>47613</v>
      </c>
      <c r="BA70" s="378">
        <f t="shared" si="75"/>
        <v>91</v>
      </c>
      <c r="BC70" s="258">
        <f t="shared" ca="1" si="61"/>
        <v>47583</v>
      </c>
      <c r="BD70" s="302">
        <f t="shared" ca="1" si="76"/>
        <v>5.7870356057992893</v>
      </c>
      <c r="BE70" s="133">
        <f t="shared" si="62"/>
        <v>47</v>
      </c>
      <c r="BF70" s="379">
        <f t="shared" ca="1" si="63"/>
        <v>47583</v>
      </c>
      <c r="BG70" s="133">
        <f t="shared" si="77"/>
        <v>91</v>
      </c>
      <c r="BH70" s="133">
        <f t="shared" si="78"/>
        <v>0</v>
      </c>
      <c r="BI70" s="133">
        <f t="shared" si="79"/>
        <v>0</v>
      </c>
      <c r="BJ70" s="133">
        <f t="shared" si="80"/>
        <v>0</v>
      </c>
      <c r="BK70" s="133">
        <f t="shared" si="81"/>
        <v>0</v>
      </c>
      <c r="BL70" s="133">
        <f t="shared" si="82"/>
        <v>0</v>
      </c>
      <c r="BM70" s="133">
        <f t="shared" si="83"/>
        <v>0</v>
      </c>
      <c r="BN70" s="133">
        <f t="shared" si="84"/>
        <v>0</v>
      </c>
      <c r="BO70" s="133">
        <f t="shared" si="85"/>
        <v>0</v>
      </c>
      <c r="BP70" s="133">
        <f t="shared" si="86"/>
        <v>0</v>
      </c>
      <c r="BQ70" s="133">
        <f t="shared" si="87"/>
        <v>0</v>
      </c>
      <c r="BR70" s="133">
        <f t="shared" si="88"/>
        <v>0</v>
      </c>
      <c r="BS70" s="133">
        <f t="shared" si="89"/>
        <v>0</v>
      </c>
      <c r="BT70" s="133">
        <f t="shared" si="90"/>
        <v>0</v>
      </c>
      <c r="BU70" s="133">
        <f t="shared" si="91"/>
        <v>0</v>
      </c>
      <c r="BV70" s="133">
        <f t="shared" si="92"/>
        <v>0</v>
      </c>
      <c r="BW70" s="133">
        <f t="shared" si="93"/>
        <v>0</v>
      </c>
      <c r="BX70" s="267"/>
      <c r="BY70" s="267"/>
      <c r="BZ70" s="267"/>
      <c r="CA70" s="267"/>
      <c r="CB70" s="267"/>
      <c r="CC70" s="267"/>
      <c r="CD70" s="267"/>
      <c r="CE70" s="267"/>
      <c r="CF70" s="267"/>
      <c r="CG70" s="267"/>
      <c r="CS70" s="87">
        <v>52</v>
      </c>
      <c r="CT70" s="259">
        <f t="shared" ca="1" si="29"/>
        <v>47766</v>
      </c>
      <c r="CU70" s="179">
        <f t="shared" ref="CU70:DC70" ca="1" si="314">(($AW75/(1+CU$18)^(($AZ75-$AZ$23)/30)))+($AS75/(1+CU$18)^(($AZ75-$AZ$23)/30))</f>
        <v>34.150060437249522</v>
      </c>
      <c r="CV70" s="179">
        <f t="shared" ca="1" si="314"/>
        <v>35.058515980022648</v>
      </c>
      <c r="CW70" s="179">
        <f t="shared" ca="1" si="314"/>
        <v>35.61536898581798</v>
      </c>
      <c r="CX70" s="179">
        <f t="shared" ca="1" si="314"/>
        <v>36.181234883573133</v>
      </c>
      <c r="CY70" s="179">
        <f t="shared" ca="1" si="314"/>
        <v>36.756262272990604</v>
      </c>
      <c r="CZ70" s="179">
        <f t="shared" ca="1" si="314"/>
        <v>37.3406022487153</v>
      </c>
      <c r="DA70" s="179">
        <f t="shared" ca="1" si="314"/>
        <v>37.735411653629335</v>
      </c>
      <c r="DB70" s="179">
        <f t="shared" ca="1" si="314"/>
        <v>38.537837068993746</v>
      </c>
      <c r="DC70" s="179">
        <f t="shared" ca="1" si="314"/>
        <v>38.945546944381249</v>
      </c>
      <c r="DD70" s="179">
        <f t="shared" ref="DD70:DI70" ca="1" si="315">(($AW75/(1+DD$18)^(($AZ75-$AZ$23)/30)))+($AS75/(1+DD$18)^(($AZ75-$AZ$23)/30))</f>
        <v>39.357651716572448</v>
      </c>
      <c r="DE70" s="179">
        <f t="shared" ca="1" si="315"/>
        <v>39.774199639563761</v>
      </c>
      <c r="DF70" s="179" t="e">
        <f t="shared" ca="1" si="315"/>
        <v>#VALUE!</v>
      </c>
      <c r="DG70" s="179" t="e">
        <f t="shared" ca="1" si="315"/>
        <v>#VALUE!</v>
      </c>
      <c r="DH70" s="179" t="e">
        <f t="shared" ca="1" si="315"/>
        <v>#VALUE!</v>
      </c>
      <c r="DI70" s="179" t="e">
        <f t="shared" ca="1" si="315"/>
        <v>#VALUE!</v>
      </c>
      <c r="DJ70" s="179" t="e">
        <f t="shared" ref="DJ70:DQ70" ca="1" si="316">(($AW75/(1+DJ$18)^(($AZ75-$AZ$23)/30)))+($AS75/(1+DJ$18)^(($AZ75-$AZ$23)/30))</f>
        <v>#VALUE!</v>
      </c>
      <c r="DK70" s="179" t="e">
        <f t="shared" ca="1" si="316"/>
        <v>#VALUE!</v>
      </c>
      <c r="DL70" s="179" t="e">
        <f t="shared" ca="1" si="316"/>
        <v>#VALUE!</v>
      </c>
      <c r="DM70" s="179" t="e">
        <f t="shared" ca="1" si="316"/>
        <v>#VALUE!</v>
      </c>
      <c r="DN70" s="179" t="e">
        <f t="shared" ca="1" si="316"/>
        <v>#VALUE!</v>
      </c>
      <c r="DO70" s="179" t="e">
        <f t="shared" ca="1" si="316"/>
        <v>#VALUE!</v>
      </c>
      <c r="DP70" s="179" t="e">
        <f t="shared" ca="1" si="316"/>
        <v>#VALUE!</v>
      </c>
      <c r="DQ70" s="179" t="e">
        <f t="shared" ca="1" si="316"/>
        <v>#VALUE!</v>
      </c>
      <c r="DR70" s="180">
        <f t="shared" ca="1" si="40"/>
        <v>5.7870356057992893</v>
      </c>
      <c r="DS70" s="180">
        <f t="shared" ca="1" si="300"/>
        <v>5.7870356057992893</v>
      </c>
      <c r="DT70" s="180">
        <f t="shared" ca="1" si="300"/>
        <v>5.7870356057992893</v>
      </c>
      <c r="DU70" s="180">
        <f t="shared" ca="1" si="300"/>
        <v>5.7870356057992893</v>
      </c>
      <c r="DV70" s="180">
        <f t="shared" ca="1" si="300"/>
        <v>5.7870356057992893</v>
      </c>
      <c r="DW70" s="180">
        <f t="shared" ca="1" si="300"/>
        <v>5.7870356057992893</v>
      </c>
      <c r="DX70" s="180">
        <f t="shared" ca="1" si="300"/>
        <v>5.7870356057992893</v>
      </c>
      <c r="DY70" s="180">
        <f t="shared" ca="1" si="300"/>
        <v>5.7870356057992893</v>
      </c>
      <c r="DZ70" s="180">
        <f t="shared" ca="1" si="300"/>
        <v>5.7870356057992893</v>
      </c>
      <c r="EA70" s="180">
        <f t="shared" ca="1" si="300"/>
        <v>5.7870356057992893</v>
      </c>
      <c r="EB70" s="180">
        <f t="shared" ca="1" si="300"/>
        <v>5.7870356057992893</v>
      </c>
      <c r="EC70" s="180">
        <f t="shared" ca="1" si="300"/>
        <v>5.7870356057992893</v>
      </c>
      <c r="ED70" s="180">
        <f t="shared" ca="1" si="300"/>
        <v>5.7870356057992893</v>
      </c>
      <c r="EE70" s="180">
        <f t="shared" ca="1" si="300"/>
        <v>5.7870356057992893</v>
      </c>
      <c r="EF70" s="180">
        <f t="shared" ca="1" si="300"/>
        <v>5.7870356057992893</v>
      </c>
      <c r="EG70" s="180">
        <f t="shared" ref="EG70:EO70" ca="1" si="317">IF($AU75&gt;$BA$19,0,$BA75-$AS75)</f>
        <v>5.7870356057992893</v>
      </c>
      <c r="EH70" s="180">
        <f t="shared" ca="1" si="317"/>
        <v>5.7870356057992893</v>
      </c>
      <c r="EI70" s="180">
        <f t="shared" ca="1" si="317"/>
        <v>5.7870356057992893</v>
      </c>
      <c r="EJ70" s="180">
        <f t="shared" ca="1" si="317"/>
        <v>5.7870356057992893</v>
      </c>
      <c r="EK70" s="180">
        <f t="shared" ca="1" si="317"/>
        <v>5.7870356057992893</v>
      </c>
      <c r="EL70" s="180">
        <f t="shared" ca="1" si="317"/>
        <v>5.7870356057992893</v>
      </c>
      <c r="EM70" s="180">
        <f t="shared" ca="1" si="317"/>
        <v>5.7870356057992893</v>
      </c>
      <c r="EN70" s="180">
        <f t="shared" ca="1" si="317"/>
        <v>5.7870356057992893</v>
      </c>
      <c r="EO70" s="180">
        <f t="shared" ca="1" si="317"/>
        <v>5.7870356057992893</v>
      </c>
      <c r="EQ70" s="259">
        <f t="shared" ca="1" si="42"/>
        <v>47736</v>
      </c>
      <c r="ER70" s="87">
        <f t="shared" ca="1" si="313"/>
        <v>5.7870356057992893</v>
      </c>
      <c r="ES70" s="87">
        <f t="shared" ca="1" si="313"/>
        <v>5.7870356057992893</v>
      </c>
      <c r="ET70" s="87">
        <f t="shared" ca="1" si="313"/>
        <v>5.7870356057992893</v>
      </c>
      <c r="EU70" s="87">
        <f t="shared" ca="1" si="313"/>
        <v>5.7870356057992893</v>
      </c>
      <c r="EV70" s="87">
        <f t="shared" ca="1" si="313"/>
        <v>5.7870356057992893</v>
      </c>
      <c r="EW70" s="87">
        <f t="shared" ca="1" si="313"/>
        <v>5.7870356057992893</v>
      </c>
      <c r="EX70" s="87">
        <f t="shared" ca="1" si="313"/>
        <v>5.7870356057992893</v>
      </c>
      <c r="EY70" s="87">
        <f t="shared" ca="1" si="313"/>
        <v>5.7870356057992893</v>
      </c>
      <c r="EZ70" s="87">
        <f t="shared" ca="1" si="313"/>
        <v>5.7870356057992893</v>
      </c>
      <c r="FA70" s="87">
        <f t="shared" ca="1" si="313"/>
        <v>5.7870356057992893</v>
      </c>
      <c r="FB70" s="87">
        <f t="shared" ca="1" si="313"/>
        <v>5.7870356057992893</v>
      </c>
      <c r="FC70" s="87">
        <f t="shared" ca="1" si="313"/>
        <v>5.7870356057992893</v>
      </c>
      <c r="FD70" s="87">
        <f t="shared" ca="1" si="313"/>
        <v>5.7870356057992893</v>
      </c>
      <c r="FE70" s="87">
        <f t="shared" ca="1" si="313"/>
        <v>5.7870356057992893</v>
      </c>
      <c r="FF70" s="87">
        <f t="shared" ca="1" si="313"/>
        <v>5.7870356057992893</v>
      </c>
      <c r="FG70" s="87">
        <f t="shared" ca="1" si="302"/>
        <v>5.7870356057992893</v>
      </c>
      <c r="FH70" s="87">
        <f t="shared" ca="1" si="302"/>
        <v>5.7870356057992893</v>
      </c>
      <c r="FI70" s="87">
        <f t="shared" ca="1" si="302"/>
        <v>5.7870356057992893</v>
      </c>
      <c r="FJ70" s="87">
        <f t="shared" ca="1" si="302"/>
        <v>5.7870356057992893</v>
      </c>
      <c r="FK70" s="87">
        <f t="shared" ca="1" si="302"/>
        <v>5.7870356057992893</v>
      </c>
      <c r="FL70" s="87">
        <f t="shared" ca="1" si="302"/>
        <v>5.7870356057992893</v>
      </c>
      <c r="FM70" s="87">
        <f t="shared" ca="1" si="302"/>
        <v>5.7870356057992893</v>
      </c>
      <c r="FN70" s="87">
        <f t="shared" ca="1" si="302"/>
        <v>5.7870356057992893</v>
      </c>
      <c r="FO70" s="87">
        <f t="shared" ca="1" si="302"/>
        <v>5.7870356057992893</v>
      </c>
      <c r="FP70" s="87">
        <f t="shared" ca="1" si="302"/>
        <v>5.7870356057992893</v>
      </c>
    </row>
    <row r="71" spans="2:172" ht="12.75" hidden="1" customHeight="1" x14ac:dyDescent="0.25">
      <c r="B71" s="87">
        <v>13</v>
      </c>
      <c r="C71" s="181">
        <f t="shared" ca="1" si="256"/>
        <v>46548</v>
      </c>
      <c r="D71" s="380">
        <f t="shared" ca="1" si="307"/>
        <v>0.78989258640331805</v>
      </c>
      <c r="E71" s="380">
        <f t="shared" si="307"/>
        <v>0</v>
      </c>
      <c r="F71" s="380">
        <f t="shared" si="307"/>
        <v>0</v>
      </c>
      <c r="G71" s="380">
        <f t="shared" si="307"/>
        <v>0</v>
      </c>
      <c r="H71" s="380">
        <f t="shared" si="307"/>
        <v>0</v>
      </c>
      <c r="I71" s="380">
        <f t="shared" si="307"/>
        <v>0</v>
      </c>
      <c r="J71" s="380">
        <f t="shared" si="307"/>
        <v>0</v>
      </c>
      <c r="K71" s="380">
        <f t="shared" si="307"/>
        <v>0</v>
      </c>
      <c r="L71" s="380">
        <f t="shared" si="307"/>
        <v>0</v>
      </c>
      <c r="M71" s="380">
        <f t="shared" si="307"/>
        <v>0</v>
      </c>
      <c r="N71" s="380">
        <f t="shared" si="308"/>
        <v>0</v>
      </c>
      <c r="O71" s="380">
        <f t="shared" si="308"/>
        <v>0</v>
      </c>
      <c r="P71" s="380">
        <f t="shared" si="308"/>
        <v>0</v>
      </c>
      <c r="Q71" s="380">
        <f t="shared" si="308"/>
        <v>0</v>
      </c>
      <c r="R71" s="380">
        <f t="shared" si="308"/>
        <v>0</v>
      </c>
      <c r="S71" s="380">
        <f t="shared" si="308"/>
        <v>0</v>
      </c>
      <c r="T71" s="380">
        <f t="shared" si="308"/>
        <v>0</v>
      </c>
      <c r="U71" s="175"/>
      <c r="V71" s="176"/>
      <c r="W71" s="176"/>
      <c r="X71" s="87">
        <v>56</v>
      </c>
      <c r="Y71" s="377">
        <f t="shared" ca="1" si="4"/>
        <v>85.212964394200711</v>
      </c>
      <c r="Z71" s="377">
        <f t="shared" si="5"/>
        <v>0</v>
      </c>
      <c r="AA71" s="377">
        <f t="shared" si="6"/>
        <v>0</v>
      </c>
      <c r="AB71" s="377">
        <f t="shared" si="7"/>
        <v>0</v>
      </c>
      <c r="AC71" s="377">
        <f t="shared" si="8"/>
        <v>0</v>
      </c>
      <c r="AD71" s="377">
        <f t="shared" si="9"/>
        <v>0</v>
      </c>
      <c r="AE71" s="377">
        <f t="shared" si="10"/>
        <v>0</v>
      </c>
      <c r="AF71" s="377">
        <f t="shared" si="11"/>
        <v>0</v>
      </c>
      <c r="AG71" s="377">
        <f t="shared" si="12"/>
        <v>0</v>
      </c>
      <c r="AH71" s="377">
        <f t="shared" si="13"/>
        <v>0</v>
      </c>
      <c r="AI71" s="377">
        <f t="shared" si="14"/>
        <v>0</v>
      </c>
      <c r="AJ71" s="377">
        <f t="shared" si="15"/>
        <v>0</v>
      </c>
      <c r="AK71" s="377">
        <f t="shared" si="16"/>
        <v>0</v>
      </c>
      <c r="AL71" s="377">
        <f t="shared" si="17"/>
        <v>0</v>
      </c>
      <c r="AM71" s="377">
        <f t="shared" si="18"/>
        <v>0</v>
      </c>
      <c r="AN71" s="377">
        <f t="shared" si="19"/>
        <v>0</v>
      </c>
      <c r="AO71" s="377">
        <f t="shared" si="20"/>
        <v>0</v>
      </c>
      <c r="AQ71" s="138">
        <v>48</v>
      </c>
      <c r="AR71" s="258">
        <f t="shared" ca="1" si="249"/>
        <v>47613</v>
      </c>
      <c r="AS71" s="378">
        <f t="shared" ca="1" si="70"/>
        <v>85.212964394200711</v>
      </c>
      <c r="AT71" s="138"/>
      <c r="AU71" s="138">
        <v>48</v>
      </c>
      <c r="AV71" s="258">
        <f t="shared" ca="1" si="250"/>
        <v>47644</v>
      </c>
      <c r="AW71" s="378">
        <f t="shared" ca="1" si="72"/>
        <v>5.7870356057992893</v>
      </c>
      <c r="AX71" s="202">
        <f t="shared" ca="1" si="73"/>
        <v>2.34</v>
      </c>
      <c r="AY71" s="138">
        <v>48</v>
      </c>
      <c r="AZ71" s="258">
        <f t="shared" ca="1" si="251"/>
        <v>47644</v>
      </c>
      <c r="BA71" s="378">
        <f t="shared" si="75"/>
        <v>91</v>
      </c>
      <c r="BC71" s="258">
        <f t="shared" ca="1" si="61"/>
        <v>47613</v>
      </c>
      <c r="BD71" s="302">
        <f t="shared" ca="1" si="76"/>
        <v>5.7870356057992893</v>
      </c>
      <c r="BE71" s="133">
        <f t="shared" si="62"/>
        <v>48</v>
      </c>
      <c r="BF71" s="379">
        <f t="shared" ca="1" si="63"/>
        <v>47613</v>
      </c>
      <c r="BG71" s="133">
        <f t="shared" si="77"/>
        <v>91</v>
      </c>
      <c r="BH71" s="133">
        <f t="shared" si="78"/>
        <v>0</v>
      </c>
      <c r="BI71" s="133">
        <f t="shared" si="79"/>
        <v>0</v>
      </c>
      <c r="BJ71" s="133">
        <f t="shared" si="80"/>
        <v>0</v>
      </c>
      <c r="BK71" s="133">
        <f t="shared" si="81"/>
        <v>0</v>
      </c>
      <c r="BL71" s="133">
        <f t="shared" si="82"/>
        <v>0</v>
      </c>
      <c r="BM71" s="133">
        <f t="shared" si="83"/>
        <v>0</v>
      </c>
      <c r="BN71" s="133">
        <f t="shared" si="84"/>
        <v>0</v>
      </c>
      <c r="BO71" s="133">
        <f t="shared" si="85"/>
        <v>0</v>
      </c>
      <c r="BP71" s="133">
        <f t="shared" si="86"/>
        <v>0</v>
      </c>
      <c r="BQ71" s="133">
        <f t="shared" si="87"/>
        <v>0</v>
      </c>
      <c r="BR71" s="133">
        <f t="shared" si="88"/>
        <v>0</v>
      </c>
      <c r="BS71" s="133">
        <f t="shared" si="89"/>
        <v>0</v>
      </c>
      <c r="BT71" s="133">
        <f t="shared" si="90"/>
        <v>0</v>
      </c>
      <c r="BU71" s="133">
        <f t="shared" si="91"/>
        <v>0</v>
      </c>
      <c r="BV71" s="133">
        <f t="shared" si="92"/>
        <v>0</v>
      </c>
      <c r="BW71" s="133">
        <f t="shared" si="93"/>
        <v>0</v>
      </c>
      <c r="BX71" s="267"/>
      <c r="BY71" s="267"/>
      <c r="BZ71" s="267"/>
      <c r="CA71" s="267"/>
      <c r="CB71" s="267"/>
      <c r="CC71" s="267"/>
      <c r="CD71" s="267"/>
      <c r="CE71" s="267"/>
      <c r="CF71" s="267"/>
      <c r="CG71" s="267"/>
      <c r="CS71" s="178">
        <v>53</v>
      </c>
      <c r="CT71" s="259">
        <f t="shared" ca="1" si="29"/>
        <v>47797</v>
      </c>
      <c r="CU71" s="179">
        <f t="shared" ref="CU71:DC71" ca="1" si="318">(($AW76/(1+CU$18)^(($AZ76-$AZ$23)/30)))+($AS76/(1+CU$18)^(($AZ76-$AZ$23)/30))</f>
        <v>33.509278385006212</v>
      </c>
      <c r="CV71" s="179">
        <f t="shared" ca="1" si="318"/>
        <v>34.418147487644362</v>
      </c>
      <c r="CW71" s="179">
        <f t="shared" ca="1" si="318"/>
        <v>34.975479815068262</v>
      </c>
      <c r="CX71" s="179">
        <f t="shared" ca="1" si="318"/>
        <v>35.542005334776313</v>
      </c>
      <c r="CY71" s="179">
        <f t="shared" ca="1" si="318"/>
        <v>36.117878466517645</v>
      </c>
      <c r="CZ71" s="179">
        <f t="shared" ca="1" si="318"/>
        <v>36.703256270549389</v>
      </c>
      <c r="DA71" s="179">
        <f t="shared" ca="1" si="318"/>
        <v>37.098867288707154</v>
      </c>
      <c r="DB71" s="179">
        <f t="shared" ca="1" si="318"/>
        <v>37.903167615579818</v>
      </c>
      <c r="DC71" s="179">
        <f t="shared" ca="1" si="318"/>
        <v>38.311954579569701</v>
      </c>
      <c r="DD71" s="179">
        <f t="shared" ref="DD71:DI71" ca="1" si="319">(($AW76/(1+DD$18)^(($AZ76-$AZ$23)/30)))+($AS76/(1+DD$18)^(($AZ76-$AZ$23)/30))</f>
        <v>38.725232107928676</v>
      </c>
      <c r="DE71" s="179">
        <f t="shared" ca="1" si="319"/>
        <v>39.143050428689754</v>
      </c>
      <c r="DF71" s="179" t="e">
        <f t="shared" ca="1" si="319"/>
        <v>#VALUE!</v>
      </c>
      <c r="DG71" s="179" t="e">
        <f t="shared" ca="1" si="319"/>
        <v>#VALUE!</v>
      </c>
      <c r="DH71" s="179" t="e">
        <f t="shared" ca="1" si="319"/>
        <v>#VALUE!</v>
      </c>
      <c r="DI71" s="179" t="e">
        <f t="shared" ca="1" si="319"/>
        <v>#VALUE!</v>
      </c>
      <c r="DJ71" s="179" t="e">
        <f t="shared" ref="DJ71:DQ71" ca="1" si="320">(($AW76/(1+DJ$18)^(($AZ76-$AZ$23)/30)))+($AS76/(1+DJ$18)^(($AZ76-$AZ$23)/30))</f>
        <v>#VALUE!</v>
      </c>
      <c r="DK71" s="179" t="e">
        <f t="shared" ca="1" si="320"/>
        <v>#VALUE!</v>
      </c>
      <c r="DL71" s="179" t="e">
        <f t="shared" ca="1" si="320"/>
        <v>#VALUE!</v>
      </c>
      <c r="DM71" s="179" t="e">
        <f t="shared" ca="1" si="320"/>
        <v>#VALUE!</v>
      </c>
      <c r="DN71" s="179" t="e">
        <f t="shared" ca="1" si="320"/>
        <v>#VALUE!</v>
      </c>
      <c r="DO71" s="179" t="e">
        <f t="shared" ca="1" si="320"/>
        <v>#VALUE!</v>
      </c>
      <c r="DP71" s="179" t="e">
        <f t="shared" ca="1" si="320"/>
        <v>#VALUE!</v>
      </c>
      <c r="DQ71" s="179" t="e">
        <f t="shared" ca="1" si="320"/>
        <v>#VALUE!</v>
      </c>
      <c r="DR71" s="180">
        <f t="shared" ca="1" si="40"/>
        <v>5.7870356057992893</v>
      </c>
      <c r="DS71" s="180">
        <f t="shared" ca="1" si="300"/>
        <v>5.7870356057992893</v>
      </c>
      <c r="DT71" s="180">
        <f t="shared" ca="1" si="300"/>
        <v>5.7870356057992893</v>
      </c>
      <c r="DU71" s="180">
        <f t="shared" ca="1" si="300"/>
        <v>5.7870356057992893</v>
      </c>
      <c r="DV71" s="180">
        <f t="shared" ca="1" si="300"/>
        <v>5.7870356057992893</v>
      </c>
      <c r="DW71" s="180">
        <f t="shared" ca="1" si="300"/>
        <v>5.7870356057992893</v>
      </c>
      <c r="DX71" s="180">
        <f t="shared" ca="1" si="300"/>
        <v>5.7870356057992893</v>
      </c>
      <c r="DY71" s="180">
        <f t="shared" ca="1" si="300"/>
        <v>5.7870356057992893</v>
      </c>
      <c r="DZ71" s="180">
        <f t="shared" ca="1" si="300"/>
        <v>5.7870356057992893</v>
      </c>
      <c r="EA71" s="180">
        <f t="shared" ca="1" si="300"/>
        <v>5.7870356057992893</v>
      </c>
      <c r="EB71" s="180">
        <f t="shared" ca="1" si="300"/>
        <v>5.7870356057992893</v>
      </c>
      <c r="EC71" s="180">
        <f t="shared" ca="1" si="300"/>
        <v>5.7870356057992893</v>
      </c>
      <c r="ED71" s="180">
        <f t="shared" ca="1" si="300"/>
        <v>5.7870356057992893</v>
      </c>
      <c r="EE71" s="180">
        <f t="shared" ca="1" si="300"/>
        <v>5.7870356057992893</v>
      </c>
      <c r="EF71" s="180">
        <f t="shared" ca="1" si="300"/>
        <v>5.7870356057992893</v>
      </c>
      <c r="EG71" s="180">
        <f t="shared" ref="EG71:EO71" ca="1" si="321">IF($AU76&gt;$BA$19,0,$BA76-$AS76)</f>
        <v>5.7870356057992893</v>
      </c>
      <c r="EH71" s="180">
        <f t="shared" ca="1" si="321"/>
        <v>5.7870356057992893</v>
      </c>
      <c r="EI71" s="180">
        <f t="shared" ca="1" si="321"/>
        <v>5.7870356057992893</v>
      </c>
      <c r="EJ71" s="180">
        <f t="shared" ca="1" si="321"/>
        <v>5.7870356057992893</v>
      </c>
      <c r="EK71" s="180">
        <f t="shared" ca="1" si="321"/>
        <v>5.7870356057992893</v>
      </c>
      <c r="EL71" s="180">
        <f t="shared" ca="1" si="321"/>
        <v>5.7870356057992893</v>
      </c>
      <c r="EM71" s="180">
        <f t="shared" ca="1" si="321"/>
        <v>5.7870356057992893</v>
      </c>
      <c r="EN71" s="180">
        <f t="shared" ca="1" si="321"/>
        <v>5.7870356057992893</v>
      </c>
      <c r="EO71" s="180">
        <f t="shared" ca="1" si="321"/>
        <v>5.7870356057992893</v>
      </c>
      <c r="EQ71" s="259">
        <f t="shared" ca="1" si="42"/>
        <v>47766</v>
      </c>
      <c r="ER71" s="87">
        <f t="shared" ca="1" si="313"/>
        <v>5.7870356057992893</v>
      </c>
      <c r="ES71" s="87">
        <f t="shared" ca="1" si="313"/>
        <v>5.7870356057992893</v>
      </c>
      <c r="ET71" s="87">
        <f t="shared" ca="1" si="313"/>
        <v>5.7870356057992893</v>
      </c>
      <c r="EU71" s="87">
        <f t="shared" ca="1" si="313"/>
        <v>5.7870356057992893</v>
      </c>
      <c r="EV71" s="87">
        <f t="shared" ca="1" si="313"/>
        <v>5.7870356057992893</v>
      </c>
      <c r="EW71" s="87">
        <f t="shared" ca="1" si="313"/>
        <v>5.7870356057992893</v>
      </c>
      <c r="EX71" s="87">
        <f t="shared" ca="1" si="313"/>
        <v>5.7870356057992893</v>
      </c>
      <c r="EY71" s="87">
        <f t="shared" ca="1" si="313"/>
        <v>5.7870356057992893</v>
      </c>
      <c r="EZ71" s="87">
        <f t="shared" ca="1" si="313"/>
        <v>5.7870356057992893</v>
      </c>
      <c r="FA71" s="87">
        <f t="shared" ca="1" si="313"/>
        <v>5.7870356057992893</v>
      </c>
      <c r="FB71" s="87">
        <f t="shared" ca="1" si="313"/>
        <v>5.7870356057992893</v>
      </c>
      <c r="FC71" s="87">
        <f t="shared" ca="1" si="313"/>
        <v>5.7870356057992893</v>
      </c>
      <c r="FD71" s="87">
        <f t="shared" ca="1" si="313"/>
        <v>5.7870356057992893</v>
      </c>
      <c r="FE71" s="87">
        <f t="shared" ca="1" si="313"/>
        <v>5.7870356057992893</v>
      </c>
      <c r="FF71" s="87">
        <f t="shared" ca="1" si="313"/>
        <v>5.7870356057992893</v>
      </c>
      <c r="FG71" s="87">
        <f t="shared" ca="1" si="302"/>
        <v>5.7870356057992893</v>
      </c>
      <c r="FH71" s="87">
        <f t="shared" ca="1" si="302"/>
        <v>5.7870356057992893</v>
      </c>
      <c r="FI71" s="87">
        <f t="shared" ca="1" si="302"/>
        <v>5.7870356057992893</v>
      </c>
      <c r="FJ71" s="87">
        <f t="shared" ca="1" si="302"/>
        <v>5.7870356057992893</v>
      </c>
      <c r="FK71" s="87">
        <f t="shared" ca="1" si="302"/>
        <v>5.7870356057992893</v>
      </c>
      <c r="FL71" s="87">
        <f t="shared" ca="1" si="302"/>
        <v>5.7870356057992893</v>
      </c>
      <c r="FM71" s="87">
        <f t="shared" ca="1" si="302"/>
        <v>5.7870356057992893</v>
      </c>
      <c r="FN71" s="87">
        <f t="shared" ca="1" si="302"/>
        <v>5.7870356057992893</v>
      </c>
      <c r="FO71" s="87">
        <f t="shared" ca="1" si="302"/>
        <v>5.7870356057992893</v>
      </c>
      <c r="FP71" s="87">
        <f t="shared" ca="1" si="302"/>
        <v>5.7870356057992893</v>
      </c>
    </row>
    <row r="72" spans="2:172" ht="12.75" hidden="1" customHeight="1" x14ac:dyDescent="0.25">
      <c r="B72" s="87">
        <v>14</v>
      </c>
      <c r="C72" s="181">
        <f t="shared" ca="1" si="256"/>
        <v>46578</v>
      </c>
      <c r="D72" s="380">
        <f t="shared" ca="1" si="307"/>
        <v>0.77554500383241842</v>
      </c>
      <c r="E72" s="380">
        <f t="shared" si="307"/>
        <v>0</v>
      </c>
      <c r="F72" s="380">
        <f t="shared" si="307"/>
        <v>0</v>
      </c>
      <c r="G72" s="380">
        <f t="shared" si="307"/>
        <v>0</v>
      </c>
      <c r="H72" s="380">
        <f t="shared" si="307"/>
        <v>0</v>
      </c>
      <c r="I72" s="380">
        <f t="shared" si="307"/>
        <v>0</v>
      </c>
      <c r="J72" s="380">
        <f t="shared" si="307"/>
        <v>0</v>
      </c>
      <c r="K72" s="380">
        <f t="shared" si="307"/>
        <v>0</v>
      </c>
      <c r="L72" s="380">
        <f t="shared" si="307"/>
        <v>0</v>
      </c>
      <c r="M72" s="380">
        <f t="shared" si="307"/>
        <v>0</v>
      </c>
      <c r="N72" s="380">
        <f t="shared" si="308"/>
        <v>0</v>
      </c>
      <c r="O72" s="380">
        <f t="shared" si="308"/>
        <v>0</v>
      </c>
      <c r="P72" s="380">
        <f t="shared" si="308"/>
        <v>0</v>
      </c>
      <c r="Q72" s="380">
        <f t="shared" si="308"/>
        <v>0</v>
      </c>
      <c r="R72" s="380">
        <f t="shared" si="308"/>
        <v>0</v>
      </c>
      <c r="S72" s="380">
        <f t="shared" si="308"/>
        <v>0</v>
      </c>
      <c r="T72" s="380">
        <f t="shared" si="308"/>
        <v>0</v>
      </c>
      <c r="U72" s="175"/>
      <c r="V72" s="176"/>
      <c r="W72" s="176"/>
      <c r="X72" s="87">
        <v>57</v>
      </c>
      <c r="Y72" s="377">
        <f t="shared" ca="1" si="4"/>
        <v>85.212964394200711</v>
      </c>
      <c r="Z72" s="377">
        <f t="shared" si="5"/>
        <v>0</v>
      </c>
      <c r="AA72" s="377">
        <f t="shared" si="6"/>
        <v>0</v>
      </c>
      <c r="AB72" s="377">
        <f t="shared" si="7"/>
        <v>0</v>
      </c>
      <c r="AC72" s="377">
        <f t="shared" si="8"/>
        <v>0</v>
      </c>
      <c r="AD72" s="377">
        <f t="shared" si="9"/>
        <v>0</v>
      </c>
      <c r="AE72" s="377">
        <f t="shared" si="10"/>
        <v>0</v>
      </c>
      <c r="AF72" s="377">
        <f t="shared" si="11"/>
        <v>0</v>
      </c>
      <c r="AG72" s="377">
        <f t="shared" si="12"/>
        <v>0</v>
      </c>
      <c r="AH72" s="377">
        <f t="shared" si="13"/>
        <v>0</v>
      </c>
      <c r="AI72" s="377">
        <f t="shared" si="14"/>
        <v>0</v>
      </c>
      <c r="AJ72" s="377">
        <f t="shared" si="15"/>
        <v>0</v>
      </c>
      <c r="AK72" s="377">
        <f t="shared" si="16"/>
        <v>0</v>
      </c>
      <c r="AL72" s="377">
        <f t="shared" si="17"/>
        <v>0</v>
      </c>
      <c r="AM72" s="377">
        <f t="shared" si="18"/>
        <v>0</v>
      </c>
      <c r="AN72" s="377">
        <f t="shared" si="19"/>
        <v>0</v>
      </c>
      <c r="AO72" s="377">
        <f t="shared" si="20"/>
        <v>0</v>
      </c>
      <c r="AQ72" s="138">
        <v>49</v>
      </c>
      <c r="AR72" s="258">
        <f t="shared" ca="1" si="249"/>
        <v>47644</v>
      </c>
      <c r="AS72" s="378">
        <f t="shared" ca="1" si="70"/>
        <v>85.212964394200711</v>
      </c>
      <c r="AT72" s="138"/>
      <c r="AU72" s="138">
        <v>49</v>
      </c>
      <c r="AV72" s="258">
        <f t="shared" ca="1" si="250"/>
        <v>47674</v>
      </c>
      <c r="AW72" s="378">
        <f t="shared" ca="1" si="72"/>
        <v>5.7870356057992893</v>
      </c>
      <c r="AX72" s="202">
        <f t="shared" ca="1" si="73"/>
        <v>2.2999999999999998</v>
      </c>
      <c r="AY72" s="138">
        <v>49</v>
      </c>
      <c r="AZ72" s="258">
        <f t="shared" ca="1" si="251"/>
        <v>47674</v>
      </c>
      <c r="BA72" s="378">
        <f t="shared" si="75"/>
        <v>91</v>
      </c>
      <c r="BC72" s="258">
        <f t="shared" ca="1" si="61"/>
        <v>47644</v>
      </c>
      <c r="BD72" s="302">
        <f t="shared" ca="1" si="76"/>
        <v>5.7870356057992893</v>
      </c>
      <c r="BE72" s="133">
        <f t="shared" si="62"/>
        <v>49</v>
      </c>
      <c r="BF72" s="379">
        <f t="shared" ca="1" si="63"/>
        <v>47644</v>
      </c>
      <c r="BG72" s="133">
        <f t="shared" si="77"/>
        <v>91</v>
      </c>
      <c r="BH72" s="133">
        <f t="shared" si="78"/>
        <v>0</v>
      </c>
      <c r="BI72" s="133">
        <f t="shared" si="79"/>
        <v>0</v>
      </c>
      <c r="BJ72" s="133">
        <f t="shared" si="80"/>
        <v>0</v>
      </c>
      <c r="BK72" s="133">
        <f t="shared" si="81"/>
        <v>0</v>
      </c>
      <c r="BL72" s="133">
        <f t="shared" si="82"/>
        <v>0</v>
      </c>
      <c r="BM72" s="133">
        <f t="shared" si="83"/>
        <v>0</v>
      </c>
      <c r="BN72" s="133">
        <f t="shared" si="84"/>
        <v>0</v>
      </c>
      <c r="BO72" s="133">
        <f t="shared" si="85"/>
        <v>0</v>
      </c>
      <c r="BP72" s="133">
        <f t="shared" si="86"/>
        <v>0</v>
      </c>
      <c r="BQ72" s="133">
        <f t="shared" si="87"/>
        <v>0</v>
      </c>
      <c r="BR72" s="133">
        <f t="shared" si="88"/>
        <v>0</v>
      </c>
      <c r="BS72" s="133">
        <f t="shared" si="89"/>
        <v>0</v>
      </c>
      <c r="BT72" s="133">
        <f t="shared" si="90"/>
        <v>0</v>
      </c>
      <c r="BU72" s="133">
        <f t="shared" si="91"/>
        <v>0</v>
      </c>
      <c r="BV72" s="133">
        <f t="shared" si="92"/>
        <v>0</v>
      </c>
      <c r="BW72" s="133">
        <f t="shared" si="93"/>
        <v>0</v>
      </c>
      <c r="BX72" s="267"/>
      <c r="BY72" s="267"/>
      <c r="BZ72" s="267"/>
      <c r="CA72" s="267"/>
      <c r="CB72" s="267"/>
      <c r="CC72" s="267"/>
      <c r="CD72" s="267"/>
      <c r="CE72" s="267"/>
      <c r="CF72" s="267"/>
      <c r="CG72" s="267"/>
      <c r="CS72" s="138">
        <v>54</v>
      </c>
      <c r="CT72" s="259">
        <f t="shared" ca="1" si="29"/>
        <v>47827</v>
      </c>
      <c r="CU72" s="179">
        <f t="shared" ref="CU72:DC72" ca="1" si="322">(($AW77/(1+CU$18)^(($AZ77-$AZ$23)/30)))+($AS77/(1+CU$18)^(($AZ77-$AZ$23)/30))</f>
        <v>32.900616971041934</v>
      </c>
      <c r="CV72" s="179">
        <f t="shared" ca="1" si="322"/>
        <v>33.809575135210572</v>
      </c>
      <c r="CW72" s="179">
        <f t="shared" ca="1" si="322"/>
        <v>34.367180716388191</v>
      </c>
      <c r="CX72" s="179">
        <f t="shared" ca="1" si="322"/>
        <v>34.934151105539911</v>
      </c>
      <c r="CY72" s="179">
        <f t="shared" ca="1" si="322"/>
        <v>35.510646412857781</v>
      </c>
      <c r="CZ72" s="179">
        <f t="shared" ca="1" si="322"/>
        <v>36.096829534371949</v>
      </c>
      <c r="DA72" s="179">
        <f t="shared" ca="1" si="322"/>
        <v>36.493082125425097</v>
      </c>
      <c r="DB72" s="179">
        <f t="shared" ca="1" si="322"/>
        <v>37.29892503009232</v>
      </c>
      <c r="DC72" s="179">
        <f t="shared" ca="1" si="322"/>
        <v>37.708616712174909</v>
      </c>
      <c r="DD72" s="179">
        <f t="shared" ref="DD72:DI72" ca="1" si="323">(($AW77/(1+DD$18)^(($AZ77-$AZ$23)/30)))+($AS77/(1+DD$18)^(($AZ77-$AZ$23)/30))</f>
        <v>38.122890438992584</v>
      </c>
      <c r="DE72" s="179">
        <f t="shared" ca="1" si="323"/>
        <v>38.541798374054508</v>
      </c>
      <c r="DF72" s="179" t="e">
        <f t="shared" ca="1" si="323"/>
        <v>#VALUE!</v>
      </c>
      <c r="DG72" s="179" t="e">
        <f t="shared" ca="1" si="323"/>
        <v>#VALUE!</v>
      </c>
      <c r="DH72" s="179" t="e">
        <f t="shared" ca="1" si="323"/>
        <v>#VALUE!</v>
      </c>
      <c r="DI72" s="179" t="e">
        <f t="shared" ca="1" si="323"/>
        <v>#VALUE!</v>
      </c>
      <c r="DJ72" s="179" t="e">
        <f t="shared" ref="DJ72:DQ72" ca="1" si="324">(($AW77/(1+DJ$18)^(($AZ77-$AZ$23)/30)))+($AS77/(1+DJ$18)^(($AZ77-$AZ$23)/30))</f>
        <v>#VALUE!</v>
      </c>
      <c r="DK72" s="179" t="e">
        <f t="shared" ca="1" si="324"/>
        <v>#VALUE!</v>
      </c>
      <c r="DL72" s="179" t="e">
        <f t="shared" ca="1" si="324"/>
        <v>#VALUE!</v>
      </c>
      <c r="DM72" s="179" t="e">
        <f t="shared" ca="1" si="324"/>
        <v>#VALUE!</v>
      </c>
      <c r="DN72" s="179" t="e">
        <f t="shared" ca="1" si="324"/>
        <v>#VALUE!</v>
      </c>
      <c r="DO72" s="179" t="e">
        <f t="shared" ca="1" si="324"/>
        <v>#VALUE!</v>
      </c>
      <c r="DP72" s="179" t="e">
        <f t="shared" ca="1" si="324"/>
        <v>#VALUE!</v>
      </c>
      <c r="DQ72" s="179" t="e">
        <f t="shared" ca="1" si="324"/>
        <v>#VALUE!</v>
      </c>
      <c r="DR72" s="180">
        <f t="shared" ca="1" si="40"/>
        <v>5.7870356057992893</v>
      </c>
      <c r="DS72" s="180">
        <f t="shared" ca="1" si="300"/>
        <v>5.7870356057992893</v>
      </c>
      <c r="DT72" s="180">
        <f t="shared" ca="1" si="300"/>
        <v>5.7870356057992893</v>
      </c>
      <c r="DU72" s="180">
        <f t="shared" ca="1" si="300"/>
        <v>5.7870356057992893</v>
      </c>
      <c r="DV72" s="180">
        <f t="shared" ca="1" si="300"/>
        <v>5.7870356057992893</v>
      </c>
      <c r="DW72" s="180">
        <f t="shared" ca="1" si="300"/>
        <v>5.7870356057992893</v>
      </c>
      <c r="DX72" s="180">
        <f t="shared" ca="1" si="300"/>
        <v>5.7870356057992893</v>
      </c>
      <c r="DY72" s="180">
        <f t="shared" ca="1" si="300"/>
        <v>5.7870356057992893</v>
      </c>
      <c r="DZ72" s="180">
        <f t="shared" ca="1" si="300"/>
        <v>5.7870356057992893</v>
      </c>
      <c r="EA72" s="180">
        <f t="shared" ca="1" si="300"/>
        <v>5.7870356057992893</v>
      </c>
      <c r="EB72" s="180">
        <f t="shared" ca="1" si="300"/>
        <v>5.7870356057992893</v>
      </c>
      <c r="EC72" s="180">
        <f t="shared" ca="1" si="300"/>
        <v>5.7870356057992893</v>
      </c>
      <c r="ED72" s="180">
        <f t="shared" ca="1" si="300"/>
        <v>5.7870356057992893</v>
      </c>
      <c r="EE72" s="180">
        <f t="shared" ca="1" si="300"/>
        <v>5.7870356057992893</v>
      </c>
      <c r="EF72" s="180">
        <f t="shared" ca="1" si="300"/>
        <v>5.7870356057992893</v>
      </c>
      <c r="EG72" s="180">
        <f t="shared" ref="EG72:EO72" ca="1" si="325">IF($AU77&gt;$BA$19,0,$BA77-$AS77)</f>
        <v>5.7870356057992893</v>
      </c>
      <c r="EH72" s="180">
        <f t="shared" ca="1" si="325"/>
        <v>5.7870356057992893</v>
      </c>
      <c r="EI72" s="180">
        <f t="shared" ca="1" si="325"/>
        <v>5.7870356057992893</v>
      </c>
      <c r="EJ72" s="180">
        <f t="shared" ca="1" si="325"/>
        <v>5.7870356057992893</v>
      </c>
      <c r="EK72" s="180">
        <f t="shared" ca="1" si="325"/>
        <v>5.7870356057992893</v>
      </c>
      <c r="EL72" s="180">
        <f t="shared" ca="1" si="325"/>
        <v>5.7870356057992893</v>
      </c>
      <c r="EM72" s="180">
        <f t="shared" ca="1" si="325"/>
        <v>5.7870356057992893</v>
      </c>
      <c r="EN72" s="180">
        <f t="shared" ca="1" si="325"/>
        <v>5.7870356057992893</v>
      </c>
      <c r="EO72" s="180">
        <f t="shared" ca="1" si="325"/>
        <v>5.7870356057992893</v>
      </c>
      <c r="EQ72" s="259">
        <f t="shared" ca="1" si="42"/>
        <v>47797</v>
      </c>
      <c r="ER72" s="87">
        <f t="shared" ca="1" si="313"/>
        <v>5.7870356057992893</v>
      </c>
      <c r="ES72" s="87">
        <f t="shared" ca="1" si="313"/>
        <v>5.7870356057992893</v>
      </c>
      <c r="ET72" s="87">
        <f t="shared" ca="1" si="313"/>
        <v>5.7870356057992893</v>
      </c>
      <c r="EU72" s="87">
        <f t="shared" ca="1" si="313"/>
        <v>5.7870356057992893</v>
      </c>
      <c r="EV72" s="87">
        <f t="shared" ca="1" si="313"/>
        <v>5.7870356057992893</v>
      </c>
      <c r="EW72" s="87">
        <f t="shared" ca="1" si="313"/>
        <v>5.7870356057992893</v>
      </c>
      <c r="EX72" s="87">
        <f t="shared" ca="1" si="313"/>
        <v>5.7870356057992893</v>
      </c>
      <c r="EY72" s="87">
        <f t="shared" ca="1" si="313"/>
        <v>5.7870356057992893</v>
      </c>
      <c r="EZ72" s="87">
        <f t="shared" ca="1" si="313"/>
        <v>5.7870356057992893</v>
      </c>
      <c r="FA72" s="87">
        <f t="shared" ca="1" si="313"/>
        <v>5.7870356057992893</v>
      </c>
      <c r="FB72" s="87">
        <f t="shared" ca="1" si="313"/>
        <v>5.7870356057992893</v>
      </c>
      <c r="FC72" s="87">
        <f t="shared" ca="1" si="313"/>
        <v>5.7870356057992893</v>
      </c>
      <c r="FD72" s="87">
        <f t="shared" ca="1" si="313"/>
        <v>5.7870356057992893</v>
      </c>
      <c r="FE72" s="87">
        <f t="shared" ca="1" si="313"/>
        <v>5.7870356057992893</v>
      </c>
      <c r="FF72" s="87">
        <f t="shared" ca="1" si="313"/>
        <v>5.7870356057992893</v>
      </c>
      <c r="FG72" s="87">
        <f t="shared" ca="1" si="302"/>
        <v>5.7870356057992893</v>
      </c>
      <c r="FH72" s="87">
        <f t="shared" ca="1" si="302"/>
        <v>5.7870356057992893</v>
      </c>
      <c r="FI72" s="87">
        <f t="shared" ca="1" si="302"/>
        <v>5.7870356057992893</v>
      </c>
      <c r="FJ72" s="87">
        <f t="shared" ca="1" si="302"/>
        <v>5.7870356057992893</v>
      </c>
      <c r="FK72" s="87">
        <f t="shared" ca="1" si="302"/>
        <v>5.7870356057992893</v>
      </c>
      <c r="FL72" s="87">
        <f t="shared" ca="1" si="302"/>
        <v>5.7870356057992893</v>
      </c>
      <c r="FM72" s="87">
        <f t="shared" ca="1" si="302"/>
        <v>5.7870356057992893</v>
      </c>
      <c r="FN72" s="87">
        <f t="shared" ca="1" si="302"/>
        <v>5.7870356057992893</v>
      </c>
      <c r="FO72" s="87">
        <f t="shared" ca="1" si="302"/>
        <v>5.7870356057992893</v>
      </c>
      <c r="FP72" s="87">
        <f t="shared" ca="1" si="302"/>
        <v>5.7870356057992893</v>
      </c>
    </row>
    <row r="73" spans="2:172" ht="12.75" hidden="1" customHeight="1" x14ac:dyDescent="0.25">
      <c r="B73" s="87">
        <v>15</v>
      </c>
      <c r="C73" s="181">
        <f t="shared" ca="1" si="256"/>
        <v>46609</v>
      </c>
      <c r="D73" s="380">
        <f t="shared" ca="1" si="307"/>
        <v>0.76099289725339969</v>
      </c>
      <c r="E73" s="380">
        <f t="shared" si="307"/>
        <v>0</v>
      </c>
      <c r="F73" s="380">
        <f t="shared" si="307"/>
        <v>0</v>
      </c>
      <c r="G73" s="380">
        <f t="shared" si="307"/>
        <v>0</v>
      </c>
      <c r="H73" s="380">
        <f t="shared" si="307"/>
        <v>0</v>
      </c>
      <c r="I73" s="380">
        <f t="shared" si="307"/>
        <v>0</v>
      </c>
      <c r="J73" s="380">
        <f t="shared" si="307"/>
        <v>0</v>
      </c>
      <c r="K73" s="380">
        <f t="shared" si="307"/>
        <v>0</v>
      </c>
      <c r="L73" s="380">
        <f t="shared" si="307"/>
        <v>0</v>
      </c>
      <c r="M73" s="380">
        <f t="shared" si="307"/>
        <v>0</v>
      </c>
      <c r="N73" s="380">
        <f t="shared" si="308"/>
        <v>0</v>
      </c>
      <c r="O73" s="380">
        <f t="shared" si="308"/>
        <v>0</v>
      </c>
      <c r="P73" s="380">
        <f t="shared" si="308"/>
        <v>0</v>
      </c>
      <c r="Q73" s="380">
        <f t="shared" si="308"/>
        <v>0</v>
      </c>
      <c r="R73" s="380">
        <f t="shared" si="308"/>
        <v>0</v>
      </c>
      <c r="S73" s="380">
        <f t="shared" si="308"/>
        <v>0</v>
      </c>
      <c r="T73" s="380">
        <f t="shared" si="308"/>
        <v>0</v>
      </c>
      <c r="U73" s="175"/>
      <c r="V73" s="176"/>
      <c r="W73" s="176"/>
      <c r="X73" s="87">
        <v>58</v>
      </c>
      <c r="Y73" s="377">
        <f t="shared" ca="1" si="4"/>
        <v>85.212964394200711</v>
      </c>
      <c r="Z73" s="377">
        <f t="shared" si="5"/>
        <v>0</v>
      </c>
      <c r="AA73" s="377">
        <f t="shared" si="6"/>
        <v>0</v>
      </c>
      <c r="AB73" s="377">
        <f t="shared" si="7"/>
        <v>0</v>
      </c>
      <c r="AC73" s="377">
        <f t="shared" si="8"/>
        <v>0</v>
      </c>
      <c r="AD73" s="377">
        <f t="shared" si="9"/>
        <v>0</v>
      </c>
      <c r="AE73" s="377">
        <f t="shared" si="10"/>
        <v>0</v>
      </c>
      <c r="AF73" s="377">
        <f t="shared" si="11"/>
        <v>0</v>
      </c>
      <c r="AG73" s="377">
        <f t="shared" si="12"/>
        <v>0</v>
      </c>
      <c r="AH73" s="377">
        <f t="shared" si="13"/>
        <v>0</v>
      </c>
      <c r="AI73" s="377">
        <f t="shared" si="14"/>
        <v>0</v>
      </c>
      <c r="AJ73" s="377">
        <f t="shared" si="15"/>
        <v>0</v>
      </c>
      <c r="AK73" s="377">
        <f t="shared" si="16"/>
        <v>0</v>
      </c>
      <c r="AL73" s="377">
        <f t="shared" si="17"/>
        <v>0</v>
      </c>
      <c r="AM73" s="377">
        <f t="shared" si="18"/>
        <v>0</v>
      </c>
      <c r="AN73" s="377">
        <f t="shared" si="19"/>
        <v>0</v>
      </c>
      <c r="AO73" s="377">
        <f t="shared" si="20"/>
        <v>0</v>
      </c>
      <c r="AQ73" s="138">
        <v>50</v>
      </c>
      <c r="AR73" s="258">
        <f t="shared" ca="1" si="249"/>
        <v>47674</v>
      </c>
      <c r="AS73" s="378">
        <f t="shared" ca="1" si="70"/>
        <v>85.212964394200711</v>
      </c>
      <c r="AT73" s="138"/>
      <c r="AU73" s="138">
        <v>50</v>
      </c>
      <c r="AV73" s="258">
        <f t="shared" ca="1" si="250"/>
        <v>47705</v>
      </c>
      <c r="AW73" s="378">
        <f t="shared" ca="1" si="72"/>
        <v>5.7870356057992893</v>
      </c>
      <c r="AX73" s="202">
        <f t="shared" ca="1" si="73"/>
        <v>2.25</v>
      </c>
      <c r="AY73" s="138">
        <v>50</v>
      </c>
      <c r="AZ73" s="258">
        <f t="shared" ca="1" si="251"/>
        <v>47705</v>
      </c>
      <c r="BA73" s="378">
        <f t="shared" si="75"/>
        <v>91</v>
      </c>
      <c r="BC73" s="258">
        <f t="shared" ca="1" si="61"/>
        <v>47674</v>
      </c>
      <c r="BD73" s="302">
        <f t="shared" ca="1" si="76"/>
        <v>5.7870356057992893</v>
      </c>
      <c r="BE73" s="133">
        <f t="shared" si="62"/>
        <v>50</v>
      </c>
      <c r="BF73" s="379">
        <f t="shared" ca="1" si="63"/>
        <v>47674</v>
      </c>
      <c r="BG73" s="133">
        <f t="shared" si="77"/>
        <v>91</v>
      </c>
      <c r="BH73" s="133">
        <f t="shared" si="78"/>
        <v>0</v>
      </c>
      <c r="BI73" s="133">
        <f t="shared" si="79"/>
        <v>0</v>
      </c>
      <c r="BJ73" s="133">
        <f t="shared" si="80"/>
        <v>0</v>
      </c>
      <c r="BK73" s="133">
        <f t="shared" si="81"/>
        <v>0</v>
      </c>
      <c r="BL73" s="133">
        <f t="shared" si="82"/>
        <v>0</v>
      </c>
      <c r="BM73" s="133">
        <f t="shared" si="83"/>
        <v>0</v>
      </c>
      <c r="BN73" s="133">
        <f t="shared" si="84"/>
        <v>0</v>
      </c>
      <c r="BO73" s="133">
        <f t="shared" si="85"/>
        <v>0</v>
      </c>
      <c r="BP73" s="133">
        <f t="shared" si="86"/>
        <v>0</v>
      </c>
      <c r="BQ73" s="133">
        <f t="shared" si="87"/>
        <v>0</v>
      </c>
      <c r="BR73" s="133">
        <f t="shared" si="88"/>
        <v>0</v>
      </c>
      <c r="BS73" s="133">
        <f t="shared" si="89"/>
        <v>0</v>
      </c>
      <c r="BT73" s="133">
        <f t="shared" si="90"/>
        <v>0</v>
      </c>
      <c r="BU73" s="133">
        <f t="shared" si="91"/>
        <v>0</v>
      </c>
      <c r="BV73" s="133">
        <f t="shared" si="92"/>
        <v>0</v>
      </c>
      <c r="BW73" s="133">
        <f t="shared" si="93"/>
        <v>0</v>
      </c>
      <c r="BX73" s="267"/>
      <c r="BY73" s="267"/>
      <c r="BZ73" s="267"/>
      <c r="CA73" s="267"/>
      <c r="CB73" s="267"/>
      <c r="CC73" s="267"/>
      <c r="CD73" s="267"/>
      <c r="CE73" s="267"/>
      <c r="CF73" s="267"/>
      <c r="CG73" s="267"/>
      <c r="CS73" s="87">
        <v>55</v>
      </c>
      <c r="CT73" s="259">
        <f t="shared" ca="1" si="29"/>
        <v>47858</v>
      </c>
      <c r="CU73" s="179">
        <f t="shared" ref="CU73:DC73" ca="1" si="326">(($AW78/(1+CU$18)^(($AZ78-$AZ$23)/30)))+($AS78/(1+CU$18)^(($AZ78-$AZ$23)/30))</f>
        <v>32.283279121771848</v>
      </c>
      <c r="CV73" s="179">
        <f t="shared" ca="1" si="326"/>
        <v>33.192019427215897</v>
      </c>
      <c r="CW73" s="179">
        <f t="shared" ca="1" si="326"/>
        <v>33.749717317978011</v>
      </c>
      <c r="CX73" s="179">
        <f t="shared" ca="1" si="326"/>
        <v>34.31695432603108</v>
      </c>
      <c r="CY73" s="179">
        <f t="shared" ca="1" si="326"/>
        <v>34.893896498000046</v>
      </c>
      <c r="CZ73" s="179">
        <f t="shared" ca="1" si="326"/>
        <v>35.480712821121458</v>
      </c>
      <c r="DA73" s="179">
        <f t="shared" ca="1" si="326"/>
        <v>35.877494146716842</v>
      </c>
      <c r="DB73" s="179">
        <f t="shared" ca="1" si="326"/>
        <v>36.684658891611441</v>
      </c>
      <c r="DC73" s="179">
        <f t="shared" ca="1" si="326"/>
        <v>37.095147560732272</v>
      </c>
      <c r="DD73" s="179">
        <f t="shared" ref="DD73:DI73" ca="1" si="327">(($AW78/(1+DD$18)^(($AZ78-$AZ$23)/30)))+($AS78/(1+DD$18)^(($AZ78-$AZ$23)/30))</f>
        <v>37.510311629021437</v>
      </c>
      <c r="DE73" s="179">
        <f t="shared" ca="1" si="327"/>
        <v>37.930205284818527</v>
      </c>
      <c r="DF73" s="179" t="e">
        <f t="shared" ca="1" si="327"/>
        <v>#VALUE!</v>
      </c>
      <c r="DG73" s="179" t="e">
        <f t="shared" ca="1" si="327"/>
        <v>#VALUE!</v>
      </c>
      <c r="DH73" s="179" t="e">
        <f t="shared" ca="1" si="327"/>
        <v>#VALUE!</v>
      </c>
      <c r="DI73" s="179" t="e">
        <f t="shared" ca="1" si="327"/>
        <v>#VALUE!</v>
      </c>
      <c r="DJ73" s="179" t="e">
        <f t="shared" ref="DJ73:DQ73" ca="1" si="328">(($AW78/(1+DJ$18)^(($AZ78-$AZ$23)/30)))+($AS78/(1+DJ$18)^(($AZ78-$AZ$23)/30))</f>
        <v>#VALUE!</v>
      </c>
      <c r="DK73" s="179" t="e">
        <f t="shared" ca="1" si="328"/>
        <v>#VALUE!</v>
      </c>
      <c r="DL73" s="179" t="e">
        <f t="shared" ca="1" si="328"/>
        <v>#VALUE!</v>
      </c>
      <c r="DM73" s="179" t="e">
        <f t="shared" ca="1" si="328"/>
        <v>#VALUE!</v>
      </c>
      <c r="DN73" s="179" t="e">
        <f t="shared" ca="1" si="328"/>
        <v>#VALUE!</v>
      </c>
      <c r="DO73" s="179" t="e">
        <f t="shared" ca="1" si="328"/>
        <v>#VALUE!</v>
      </c>
      <c r="DP73" s="179" t="e">
        <f t="shared" ca="1" si="328"/>
        <v>#VALUE!</v>
      </c>
      <c r="DQ73" s="179" t="e">
        <f t="shared" ca="1" si="328"/>
        <v>#VALUE!</v>
      </c>
      <c r="DR73" s="180">
        <f t="shared" ca="1" si="40"/>
        <v>5.7870356057992893</v>
      </c>
      <c r="DS73" s="180">
        <f t="shared" ca="1" si="300"/>
        <v>5.7870356057992893</v>
      </c>
      <c r="DT73" s="180">
        <f t="shared" ca="1" si="300"/>
        <v>5.7870356057992893</v>
      </c>
      <c r="DU73" s="180">
        <f t="shared" ca="1" si="300"/>
        <v>5.7870356057992893</v>
      </c>
      <c r="DV73" s="180">
        <f t="shared" ca="1" si="300"/>
        <v>5.7870356057992893</v>
      </c>
      <c r="DW73" s="180">
        <f t="shared" ca="1" si="300"/>
        <v>5.7870356057992893</v>
      </c>
      <c r="DX73" s="180">
        <f t="shared" ca="1" si="300"/>
        <v>5.7870356057992893</v>
      </c>
      <c r="DY73" s="180">
        <f t="shared" ca="1" si="300"/>
        <v>5.7870356057992893</v>
      </c>
      <c r="DZ73" s="180">
        <f t="shared" ca="1" si="300"/>
        <v>5.7870356057992893</v>
      </c>
      <c r="EA73" s="180">
        <f t="shared" ca="1" si="300"/>
        <v>5.7870356057992893</v>
      </c>
      <c r="EB73" s="180">
        <f t="shared" ca="1" si="300"/>
        <v>5.7870356057992893</v>
      </c>
      <c r="EC73" s="180">
        <f t="shared" ca="1" si="300"/>
        <v>5.7870356057992893</v>
      </c>
      <c r="ED73" s="180">
        <f t="shared" ca="1" si="300"/>
        <v>5.7870356057992893</v>
      </c>
      <c r="EE73" s="180">
        <f t="shared" ca="1" si="300"/>
        <v>5.7870356057992893</v>
      </c>
      <c r="EF73" s="180">
        <f t="shared" ca="1" si="300"/>
        <v>5.7870356057992893</v>
      </c>
      <c r="EG73" s="180">
        <f t="shared" ref="EG73:EO73" ca="1" si="329">IF($AU78&gt;$BA$19,0,$BA78-$AS78)</f>
        <v>5.7870356057992893</v>
      </c>
      <c r="EH73" s="180">
        <f t="shared" ca="1" si="329"/>
        <v>5.7870356057992893</v>
      </c>
      <c r="EI73" s="180">
        <f t="shared" ca="1" si="329"/>
        <v>5.7870356057992893</v>
      </c>
      <c r="EJ73" s="180">
        <f t="shared" ca="1" si="329"/>
        <v>5.7870356057992893</v>
      </c>
      <c r="EK73" s="180">
        <f t="shared" ca="1" si="329"/>
        <v>5.7870356057992893</v>
      </c>
      <c r="EL73" s="180">
        <f t="shared" ca="1" si="329"/>
        <v>5.7870356057992893</v>
      </c>
      <c r="EM73" s="180">
        <f t="shared" ca="1" si="329"/>
        <v>5.7870356057992893</v>
      </c>
      <c r="EN73" s="180">
        <f t="shared" ca="1" si="329"/>
        <v>5.7870356057992893</v>
      </c>
      <c r="EO73" s="180">
        <f t="shared" ca="1" si="329"/>
        <v>5.7870356057992893</v>
      </c>
      <c r="EQ73" s="259">
        <f t="shared" ca="1" si="42"/>
        <v>47827</v>
      </c>
      <c r="ER73" s="87">
        <f t="shared" ca="1" si="313"/>
        <v>5.7870356057992893</v>
      </c>
      <c r="ES73" s="87">
        <f t="shared" ca="1" si="313"/>
        <v>5.7870356057992893</v>
      </c>
      <c r="ET73" s="87">
        <f t="shared" ca="1" si="313"/>
        <v>5.7870356057992893</v>
      </c>
      <c r="EU73" s="87">
        <f t="shared" ca="1" si="313"/>
        <v>5.7870356057992893</v>
      </c>
      <c r="EV73" s="87">
        <f t="shared" ca="1" si="313"/>
        <v>5.7870356057992893</v>
      </c>
      <c r="EW73" s="87">
        <f t="shared" ca="1" si="313"/>
        <v>5.7870356057992893</v>
      </c>
      <c r="EX73" s="87">
        <f t="shared" ca="1" si="313"/>
        <v>5.7870356057992893</v>
      </c>
      <c r="EY73" s="87">
        <f t="shared" ca="1" si="313"/>
        <v>5.7870356057992893</v>
      </c>
      <c r="EZ73" s="87">
        <f t="shared" ca="1" si="313"/>
        <v>5.7870356057992893</v>
      </c>
      <c r="FA73" s="87">
        <f t="shared" ca="1" si="313"/>
        <v>5.7870356057992893</v>
      </c>
      <c r="FB73" s="87">
        <f t="shared" ca="1" si="313"/>
        <v>5.7870356057992893</v>
      </c>
      <c r="FC73" s="87">
        <f t="shared" ca="1" si="313"/>
        <v>5.7870356057992893</v>
      </c>
      <c r="FD73" s="87">
        <f t="shared" ca="1" si="313"/>
        <v>5.7870356057992893</v>
      </c>
      <c r="FE73" s="87">
        <f t="shared" ca="1" si="313"/>
        <v>5.7870356057992893</v>
      </c>
      <c r="FF73" s="87">
        <f t="shared" ca="1" si="313"/>
        <v>5.7870356057992893</v>
      </c>
      <c r="FG73" s="87">
        <f t="shared" ca="1" si="302"/>
        <v>5.7870356057992893</v>
      </c>
      <c r="FH73" s="87">
        <f t="shared" ca="1" si="302"/>
        <v>5.7870356057992893</v>
      </c>
      <c r="FI73" s="87">
        <f t="shared" ca="1" si="302"/>
        <v>5.7870356057992893</v>
      </c>
      <c r="FJ73" s="87">
        <f t="shared" ca="1" si="302"/>
        <v>5.7870356057992893</v>
      </c>
      <c r="FK73" s="87">
        <f t="shared" ca="1" si="302"/>
        <v>5.7870356057992893</v>
      </c>
      <c r="FL73" s="87">
        <f t="shared" ca="1" si="302"/>
        <v>5.7870356057992893</v>
      </c>
      <c r="FM73" s="87">
        <f t="shared" ca="1" si="302"/>
        <v>5.7870356057992893</v>
      </c>
      <c r="FN73" s="87">
        <f t="shared" ca="1" si="302"/>
        <v>5.7870356057992893</v>
      </c>
      <c r="FO73" s="87">
        <f t="shared" ca="1" si="302"/>
        <v>5.7870356057992893</v>
      </c>
      <c r="FP73" s="87">
        <f t="shared" ca="1" si="302"/>
        <v>5.7870356057992893</v>
      </c>
    </row>
    <row r="74" spans="2:172" ht="12.75" hidden="1" customHeight="1" x14ac:dyDescent="0.25">
      <c r="B74" s="87">
        <v>16</v>
      </c>
      <c r="C74" s="181">
        <f t="shared" ca="1" si="256"/>
        <v>46640</v>
      </c>
      <c r="D74" s="380">
        <f t="shared" ca="1" si="307"/>
        <v>0.7467138422765971</v>
      </c>
      <c r="E74" s="380">
        <f t="shared" si="307"/>
        <v>0</v>
      </c>
      <c r="F74" s="380">
        <f t="shared" si="307"/>
        <v>0</v>
      </c>
      <c r="G74" s="380">
        <f t="shared" si="307"/>
        <v>0</v>
      </c>
      <c r="H74" s="380">
        <f t="shared" si="307"/>
        <v>0</v>
      </c>
      <c r="I74" s="380">
        <f t="shared" si="307"/>
        <v>0</v>
      </c>
      <c r="J74" s="380">
        <f t="shared" si="307"/>
        <v>0</v>
      </c>
      <c r="K74" s="380">
        <f t="shared" si="307"/>
        <v>0</v>
      </c>
      <c r="L74" s="380">
        <f t="shared" si="307"/>
        <v>0</v>
      </c>
      <c r="M74" s="380">
        <f t="shared" si="307"/>
        <v>0</v>
      </c>
      <c r="N74" s="380">
        <f t="shared" si="308"/>
        <v>0</v>
      </c>
      <c r="O74" s="380">
        <f t="shared" si="308"/>
        <v>0</v>
      </c>
      <c r="P74" s="380">
        <f t="shared" si="308"/>
        <v>0</v>
      </c>
      <c r="Q74" s="380">
        <f t="shared" si="308"/>
        <v>0</v>
      </c>
      <c r="R74" s="380">
        <f t="shared" si="308"/>
        <v>0</v>
      </c>
      <c r="S74" s="380">
        <f t="shared" si="308"/>
        <v>0</v>
      </c>
      <c r="T74" s="380">
        <f t="shared" si="308"/>
        <v>0</v>
      </c>
      <c r="U74" s="175"/>
      <c r="V74" s="176"/>
      <c r="W74" s="176"/>
      <c r="X74" s="87">
        <v>59</v>
      </c>
      <c r="Y74" s="377">
        <f t="shared" ca="1" si="4"/>
        <v>85.212964394200711</v>
      </c>
      <c r="Z74" s="377">
        <f t="shared" si="5"/>
        <v>0</v>
      </c>
      <c r="AA74" s="377">
        <f t="shared" si="6"/>
        <v>0</v>
      </c>
      <c r="AB74" s="377">
        <f t="shared" si="7"/>
        <v>0</v>
      </c>
      <c r="AC74" s="377">
        <f t="shared" si="8"/>
        <v>0</v>
      </c>
      <c r="AD74" s="377">
        <f t="shared" si="9"/>
        <v>0</v>
      </c>
      <c r="AE74" s="377">
        <f t="shared" si="10"/>
        <v>0</v>
      </c>
      <c r="AF74" s="377">
        <f t="shared" si="11"/>
        <v>0</v>
      </c>
      <c r="AG74" s="377">
        <f t="shared" si="12"/>
        <v>0</v>
      </c>
      <c r="AH74" s="377">
        <f t="shared" si="13"/>
        <v>0</v>
      </c>
      <c r="AI74" s="377">
        <f t="shared" si="14"/>
        <v>0</v>
      </c>
      <c r="AJ74" s="377">
        <f t="shared" si="15"/>
        <v>0</v>
      </c>
      <c r="AK74" s="377">
        <f t="shared" si="16"/>
        <v>0</v>
      </c>
      <c r="AL74" s="377">
        <f t="shared" si="17"/>
        <v>0</v>
      </c>
      <c r="AM74" s="377">
        <f t="shared" si="18"/>
        <v>0</v>
      </c>
      <c r="AN74" s="377">
        <f t="shared" si="19"/>
        <v>0</v>
      </c>
      <c r="AO74" s="377">
        <f t="shared" si="20"/>
        <v>0</v>
      </c>
      <c r="AQ74" s="138">
        <v>51</v>
      </c>
      <c r="AR74" s="258">
        <f t="shared" ca="1" si="249"/>
        <v>47705</v>
      </c>
      <c r="AS74" s="378">
        <f t="shared" ca="1" si="70"/>
        <v>85.212964394200711</v>
      </c>
      <c r="AT74" s="138"/>
      <c r="AU74" s="138">
        <v>51</v>
      </c>
      <c r="AV74" s="258">
        <f t="shared" ca="1" si="250"/>
        <v>47736</v>
      </c>
      <c r="AW74" s="378">
        <f t="shared" ca="1" si="72"/>
        <v>5.7870356057992893</v>
      </c>
      <c r="AX74" s="202">
        <f t="shared" ca="1" si="73"/>
        <v>2.21</v>
      </c>
      <c r="AY74" s="138">
        <v>51</v>
      </c>
      <c r="AZ74" s="258">
        <f t="shared" ca="1" si="251"/>
        <v>47736</v>
      </c>
      <c r="BA74" s="378">
        <f t="shared" si="75"/>
        <v>91</v>
      </c>
      <c r="BC74" s="258">
        <f t="shared" ca="1" si="61"/>
        <v>47705</v>
      </c>
      <c r="BD74" s="302">
        <f t="shared" ca="1" si="76"/>
        <v>5.7870356057992893</v>
      </c>
      <c r="BE74" s="133">
        <f t="shared" si="62"/>
        <v>51</v>
      </c>
      <c r="BF74" s="379">
        <f t="shared" ca="1" si="63"/>
        <v>47705</v>
      </c>
      <c r="BG74" s="133">
        <f t="shared" si="77"/>
        <v>91</v>
      </c>
      <c r="BH74" s="133">
        <f t="shared" si="78"/>
        <v>0</v>
      </c>
      <c r="BI74" s="133">
        <f t="shared" si="79"/>
        <v>0</v>
      </c>
      <c r="BJ74" s="133">
        <f t="shared" si="80"/>
        <v>0</v>
      </c>
      <c r="BK74" s="133">
        <f t="shared" si="81"/>
        <v>0</v>
      </c>
      <c r="BL74" s="133">
        <f t="shared" si="82"/>
        <v>0</v>
      </c>
      <c r="BM74" s="133">
        <f t="shared" si="83"/>
        <v>0</v>
      </c>
      <c r="BN74" s="133">
        <f t="shared" si="84"/>
        <v>0</v>
      </c>
      <c r="BO74" s="133">
        <f t="shared" si="85"/>
        <v>0</v>
      </c>
      <c r="BP74" s="133">
        <f t="shared" si="86"/>
        <v>0</v>
      </c>
      <c r="BQ74" s="133">
        <f t="shared" si="87"/>
        <v>0</v>
      </c>
      <c r="BR74" s="133">
        <f t="shared" si="88"/>
        <v>0</v>
      </c>
      <c r="BS74" s="133">
        <f t="shared" si="89"/>
        <v>0</v>
      </c>
      <c r="BT74" s="133">
        <f t="shared" si="90"/>
        <v>0</v>
      </c>
      <c r="BU74" s="133">
        <f t="shared" si="91"/>
        <v>0</v>
      </c>
      <c r="BV74" s="133">
        <f t="shared" si="92"/>
        <v>0</v>
      </c>
      <c r="BW74" s="133">
        <f t="shared" si="93"/>
        <v>0</v>
      </c>
      <c r="BX74" s="267"/>
      <c r="BY74" s="267"/>
      <c r="BZ74" s="267"/>
      <c r="CA74" s="267"/>
      <c r="CB74" s="267"/>
      <c r="CC74" s="267"/>
      <c r="CD74" s="267"/>
      <c r="CE74" s="267"/>
      <c r="CF74" s="267"/>
      <c r="CG74" s="267"/>
      <c r="CS74" s="178">
        <v>56</v>
      </c>
      <c r="CT74" s="259">
        <f t="shared" ca="1" si="29"/>
        <v>47889</v>
      </c>
      <c r="CU74" s="179">
        <f t="shared" ref="CU74:DC74" ca="1" si="330">(($AW79/(1+CU$18)^(($AZ79-$AZ$23)/30)))+($AS79/(1+CU$18)^(($AZ79-$AZ$23)/30))</f>
        <v>31.677524824885477</v>
      </c>
      <c r="CV74" s="179">
        <f t="shared" ca="1" si="330"/>
        <v>32.585743809283038</v>
      </c>
      <c r="CW74" s="179">
        <f t="shared" ca="1" si="330"/>
        <v>33.143347673563049</v>
      </c>
      <c r="CX74" s="179">
        <f t="shared" ca="1" si="330"/>
        <v>33.710661829368135</v>
      </c>
      <c r="CY74" s="179">
        <f t="shared" ca="1" si="330"/>
        <v>34.287858313169821</v>
      </c>
      <c r="CZ74" s="179">
        <f t="shared" ca="1" si="330"/>
        <v>34.875112261484524</v>
      </c>
      <c r="DA74" s="179">
        <f t="shared" ca="1" si="330"/>
        <v>35.272290288435237</v>
      </c>
      <c r="DB74" s="179">
        <f t="shared" ca="1" si="330"/>
        <v>36.080508939819047</v>
      </c>
      <c r="DC74" s="179">
        <f t="shared" ca="1" si="330"/>
        <v>36.491658738259119</v>
      </c>
      <c r="DD74" s="179">
        <f t="shared" ref="DD74:DI74" ca="1" si="331">(($AW79/(1+DD$18)^(($AZ79-$AZ$23)/30)))+($AS79/(1+DD$18)^(($AZ79-$AZ$23)/30))</f>
        <v>36.907576060056009</v>
      </c>
      <c r="DE74" s="179">
        <f t="shared" ca="1" si="331"/>
        <v>37.328317142486441</v>
      </c>
      <c r="DF74" s="179" t="e">
        <f t="shared" ca="1" si="331"/>
        <v>#VALUE!</v>
      </c>
      <c r="DG74" s="179" t="e">
        <f t="shared" ca="1" si="331"/>
        <v>#VALUE!</v>
      </c>
      <c r="DH74" s="179" t="e">
        <f t="shared" ca="1" si="331"/>
        <v>#VALUE!</v>
      </c>
      <c r="DI74" s="179" t="e">
        <f t="shared" ca="1" si="331"/>
        <v>#VALUE!</v>
      </c>
      <c r="DJ74" s="179" t="e">
        <f t="shared" ref="DJ74:DQ74" ca="1" si="332">(($AW79/(1+DJ$18)^(($AZ79-$AZ$23)/30)))+($AS79/(1+DJ$18)^(($AZ79-$AZ$23)/30))</f>
        <v>#VALUE!</v>
      </c>
      <c r="DK74" s="179" t="e">
        <f t="shared" ca="1" si="332"/>
        <v>#VALUE!</v>
      </c>
      <c r="DL74" s="179" t="e">
        <f t="shared" ca="1" si="332"/>
        <v>#VALUE!</v>
      </c>
      <c r="DM74" s="179" t="e">
        <f t="shared" ca="1" si="332"/>
        <v>#VALUE!</v>
      </c>
      <c r="DN74" s="179" t="e">
        <f t="shared" ca="1" si="332"/>
        <v>#VALUE!</v>
      </c>
      <c r="DO74" s="179" t="e">
        <f t="shared" ca="1" si="332"/>
        <v>#VALUE!</v>
      </c>
      <c r="DP74" s="179" t="e">
        <f t="shared" ca="1" si="332"/>
        <v>#VALUE!</v>
      </c>
      <c r="DQ74" s="179" t="e">
        <f t="shared" ca="1" si="332"/>
        <v>#VALUE!</v>
      </c>
      <c r="DR74" s="180">
        <f t="shared" ca="1" si="40"/>
        <v>5.7870356057992893</v>
      </c>
      <c r="DS74" s="180">
        <f t="shared" ca="1" si="300"/>
        <v>5.7870356057992893</v>
      </c>
      <c r="DT74" s="180">
        <f t="shared" ca="1" si="300"/>
        <v>5.7870356057992893</v>
      </c>
      <c r="DU74" s="180">
        <f t="shared" ca="1" si="300"/>
        <v>5.7870356057992893</v>
      </c>
      <c r="DV74" s="180">
        <f t="shared" ca="1" si="300"/>
        <v>5.7870356057992893</v>
      </c>
      <c r="DW74" s="180">
        <f t="shared" ca="1" si="300"/>
        <v>5.7870356057992893</v>
      </c>
      <c r="DX74" s="180">
        <f t="shared" ca="1" si="300"/>
        <v>5.7870356057992893</v>
      </c>
      <c r="DY74" s="180">
        <f t="shared" ca="1" si="300"/>
        <v>5.7870356057992893</v>
      </c>
      <c r="DZ74" s="180">
        <f t="shared" ca="1" si="300"/>
        <v>5.7870356057992893</v>
      </c>
      <c r="EA74" s="180">
        <f t="shared" ca="1" si="300"/>
        <v>5.7870356057992893</v>
      </c>
      <c r="EB74" s="180">
        <f t="shared" ca="1" si="300"/>
        <v>5.7870356057992893</v>
      </c>
      <c r="EC74" s="180">
        <f t="shared" ca="1" si="300"/>
        <v>5.7870356057992893</v>
      </c>
      <c r="ED74" s="180">
        <f t="shared" ca="1" si="300"/>
        <v>5.7870356057992893</v>
      </c>
      <c r="EE74" s="180">
        <f t="shared" ca="1" si="300"/>
        <v>5.7870356057992893</v>
      </c>
      <c r="EF74" s="180">
        <f t="shared" ca="1" si="300"/>
        <v>5.7870356057992893</v>
      </c>
      <c r="EG74" s="180">
        <f t="shared" ref="EG74:EO74" ca="1" si="333">IF($AU79&gt;$BA$19,0,$BA79-$AS79)</f>
        <v>5.7870356057992893</v>
      </c>
      <c r="EH74" s="180">
        <f t="shared" ca="1" si="333"/>
        <v>5.7870356057992893</v>
      </c>
      <c r="EI74" s="180">
        <f t="shared" ca="1" si="333"/>
        <v>5.7870356057992893</v>
      </c>
      <c r="EJ74" s="180">
        <f t="shared" ca="1" si="333"/>
        <v>5.7870356057992893</v>
      </c>
      <c r="EK74" s="180">
        <f t="shared" ca="1" si="333"/>
        <v>5.7870356057992893</v>
      </c>
      <c r="EL74" s="180">
        <f t="shared" ca="1" si="333"/>
        <v>5.7870356057992893</v>
      </c>
      <c r="EM74" s="180">
        <f t="shared" ca="1" si="333"/>
        <v>5.7870356057992893</v>
      </c>
      <c r="EN74" s="180">
        <f t="shared" ca="1" si="333"/>
        <v>5.7870356057992893</v>
      </c>
      <c r="EO74" s="180">
        <f t="shared" ca="1" si="333"/>
        <v>5.7870356057992893</v>
      </c>
      <c r="EQ74" s="259">
        <f t="shared" ca="1" si="42"/>
        <v>47858</v>
      </c>
      <c r="ER74" s="87">
        <f t="shared" ca="1" si="313"/>
        <v>5.7870356057992893</v>
      </c>
      <c r="ES74" s="87">
        <f t="shared" ca="1" si="313"/>
        <v>5.7870356057992893</v>
      </c>
      <c r="ET74" s="87">
        <f t="shared" ca="1" si="313"/>
        <v>5.7870356057992893</v>
      </c>
      <c r="EU74" s="87">
        <f t="shared" ca="1" si="313"/>
        <v>5.7870356057992893</v>
      </c>
      <c r="EV74" s="87">
        <f t="shared" ca="1" si="313"/>
        <v>5.7870356057992893</v>
      </c>
      <c r="EW74" s="87">
        <f t="shared" ca="1" si="313"/>
        <v>5.7870356057992893</v>
      </c>
      <c r="EX74" s="87">
        <f t="shared" ca="1" si="313"/>
        <v>5.7870356057992893</v>
      </c>
      <c r="EY74" s="87">
        <f t="shared" ca="1" si="313"/>
        <v>5.7870356057992893</v>
      </c>
      <c r="EZ74" s="87">
        <f t="shared" ca="1" si="313"/>
        <v>5.7870356057992893</v>
      </c>
      <c r="FA74" s="87">
        <f t="shared" ca="1" si="313"/>
        <v>5.7870356057992893</v>
      </c>
      <c r="FB74" s="87">
        <f t="shared" ca="1" si="313"/>
        <v>5.7870356057992893</v>
      </c>
      <c r="FC74" s="87">
        <f t="shared" ca="1" si="313"/>
        <v>5.7870356057992893</v>
      </c>
      <c r="FD74" s="87">
        <f t="shared" ca="1" si="313"/>
        <v>5.7870356057992893</v>
      </c>
      <c r="FE74" s="87">
        <f t="shared" ca="1" si="313"/>
        <v>5.7870356057992893</v>
      </c>
      <c r="FF74" s="87">
        <f t="shared" ca="1" si="313"/>
        <v>5.7870356057992893</v>
      </c>
      <c r="FG74" s="87">
        <f t="shared" ca="1" si="302"/>
        <v>5.7870356057992893</v>
      </c>
      <c r="FH74" s="87">
        <f t="shared" ca="1" si="302"/>
        <v>5.7870356057992893</v>
      </c>
      <c r="FI74" s="87">
        <f t="shared" ca="1" si="302"/>
        <v>5.7870356057992893</v>
      </c>
      <c r="FJ74" s="87">
        <f t="shared" ca="1" si="302"/>
        <v>5.7870356057992893</v>
      </c>
      <c r="FK74" s="87">
        <f t="shared" ca="1" si="302"/>
        <v>5.7870356057992893</v>
      </c>
      <c r="FL74" s="87">
        <f t="shared" ca="1" si="302"/>
        <v>5.7870356057992893</v>
      </c>
      <c r="FM74" s="87">
        <f t="shared" ca="1" si="302"/>
        <v>5.7870356057992893</v>
      </c>
      <c r="FN74" s="87">
        <f t="shared" ca="1" si="302"/>
        <v>5.7870356057992893</v>
      </c>
      <c r="FO74" s="87">
        <f t="shared" ca="1" si="302"/>
        <v>5.7870356057992893</v>
      </c>
      <c r="FP74" s="87">
        <f t="shared" ca="1" si="302"/>
        <v>5.7870356057992893</v>
      </c>
    </row>
    <row r="75" spans="2:172" ht="12.75" hidden="1" customHeight="1" x14ac:dyDescent="0.25">
      <c r="B75" s="87">
        <v>17</v>
      </c>
      <c r="C75" s="181">
        <f t="shared" ca="1" si="256"/>
        <v>46670</v>
      </c>
      <c r="D75" s="380">
        <f t="shared" ca="1" si="307"/>
        <v>0.73315055697260401</v>
      </c>
      <c r="E75" s="380">
        <f t="shared" si="307"/>
        <v>0</v>
      </c>
      <c r="F75" s="380">
        <f t="shared" si="307"/>
        <v>0</v>
      </c>
      <c r="G75" s="380">
        <f t="shared" si="307"/>
        <v>0</v>
      </c>
      <c r="H75" s="380">
        <f t="shared" si="307"/>
        <v>0</v>
      </c>
      <c r="I75" s="380">
        <f t="shared" si="307"/>
        <v>0</v>
      </c>
      <c r="J75" s="380">
        <f t="shared" si="307"/>
        <v>0</v>
      </c>
      <c r="K75" s="380">
        <f t="shared" si="307"/>
        <v>0</v>
      </c>
      <c r="L75" s="380">
        <f t="shared" si="307"/>
        <v>0</v>
      </c>
      <c r="M75" s="380">
        <f t="shared" si="307"/>
        <v>0</v>
      </c>
      <c r="N75" s="380">
        <f t="shared" si="308"/>
        <v>0</v>
      </c>
      <c r="O75" s="380">
        <f t="shared" si="308"/>
        <v>0</v>
      </c>
      <c r="P75" s="380">
        <f t="shared" si="308"/>
        <v>0</v>
      </c>
      <c r="Q75" s="380">
        <f t="shared" si="308"/>
        <v>0</v>
      </c>
      <c r="R75" s="380">
        <f t="shared" si="308"/>
        <v>0</v>
      </c>
      <c r="S75" s="380">
        <f t="shared" si="308"/>
        <v>0</v>
      </c>
      <c r="T75" s="380">
        <f t="shared" si="308"/>
        <v>0</v>
      </c>
      <c r="U75" s="175"/>
      <c r="V75" s="176"/>
      <c r="W75" s="176"/>
      <c r="X75" s="87">
        <v>60</v>
      </c>
      <c r="Y75" s="377">
        <f t="shared" ca="1" si="4"/>
        <v>85.212964394200711</v>
      </c>
      <c r="Z75" s="377">
        <f t="shared" si="5"/>
        <v>0</v>
      </c>
      <c r="AA75" s="377">
        <f t="shared" si="6"/>
        <v>0</v>
      </c>
      <c r="AB75" s="377">
        <f t="shared" si="7"/>
        <v>0</v>
      </c>
      <c r="AC75" s="377">
        <f t="shared" si="8"/>
        <v>0</v>
      </c>
      <c r="AD75" s="377">
        <f t="shared" si="9"/>
        <v>0</v>
      </c>
      <c r="AE75" s="377">
        <f t="shared" si="10"/>
        <v>0</v>
      </c>
      <c r="AF75" s="377">
        <f t="shared" si="11"/>
        <v>0</v>
      </c>
      <c r="AG75" s="377">
        <f t="shared" si="12"/>
        <v>0</v>
      </c>
      <c r="AH75" s="377">
        <f t="shared" si="13"/>
        <v>0</v>
      </c>
      <c r="AI75" s="377">
        <f t="shared" si="14"/>
        <v>0</v>
      </c>
      <c r="AJ75" s="377">
        <f t="shared" si="15"/>
        <v>0</v>
      </c>
      <c r="AK75" s="377">
        <f t="shared" si="16"/>
        <v>0</v>
      </c>
      <c r="AL75" s="377">
        <f t="shared" si="17"/>
        <v>0</v>
      </c>
      <c r="AM75" s="377">
        <f t="shared" si="18"/>
        <v>0</v>
      </c>
      <c r="AN75" s="377">
        <f t="shared" si="19"/>
        <v>0</v>
      </c>
      <c r="AO75" s="377">
        <f t="shared" si="20"/>
        <v>0</v>
      </c>
      <c r="AQ75" s="138">
        <v>52</v>
      </c>
      <c r="AR75" s="258">
        <f t="shared" ca="1" si="249"/>
        <v>47736</v>
      </c>
      <c r="AS75" s="378">
        <f t="shared" ca="1" si="70"/>
        <v>85.212964394200711</v>
      </c>
      <c r="AT75" s="138"/>
      <c r="AU75" s="138">
        <v>52</v>
      </c>
      <c r="AV75" s="258">
        <f t="shared" ca="1" si="250"/>
        <v>47766</v>
      </c>
      <c r="AW75" s="378">
        <f t="shared" ca="1" si="72"/>
        <v>5.7870356057992893</v>
      </c>
      <c r="AX75" s="202">
        <f t="shared" ca="1" si="73"/>
        <v>2.17</v>
      </c>
      <c r="AY75" s="138">
        <v>52</v>
      </c>
      <c r="AZ75" s="258">
        <f t="shared" ca="1" si="251"/>
        <v>47766</v>
      </c>
      <c r="BA75" s="378">
        <f t="shared" si="75"/>
        <v>91</v>
      </c>
      <c r="BC75" s="258">
        <f t="shared" ca="1" si="61"/>
        <v>47736</v>
      </c>
      <c r="BD75" s="302">
        <f t="shared" ca="1" si="76"/>
        <v>5.7870356057992893</v>
      </c>
      <c r="BE75" s="133">
        <f t="shared" si="62"/>
        <v>52</v>
      </c>
      <c r="BF75" s="379">
        <f t="shared" ca="1" si="63"/>
        <v>47736</v>
      </c>
      <c r="BG75" s="133">
        <f t="shared" si="77"/>
        <v>91</v>
      </c>
      <c r="BH75" s="133">
        <f t="shared" si="78"/>
        <v>0</v>
      </c>
      <c r="BI75" s="133">
        <f t="shared" si="79"/>
        <v>0</v>
      </c>
      <c r="BJ75" s="133">
        <f t="shared" si="80"/>
        <v>0</v>
      </c>
      <c r="BK75" s="133">
        <f t="shared" si="81"/>
        <v>0</v>
      </c>
      <c r="BL75" s="133">
        <f t="shared" si="82"/>
        <v>0</v>
      </c>
      <c r="BM75" s="133">
        <f t="shared" si="83"/>
        <v>0</v>
      </c>
      <c r="BN75" s="133">
        <f t="shared" si="84"/>
        <v>0</v>
      </c>
      <c r="BO75" s="133">
        <f t="shared" si="85"/>
        <v>0</v>
      </c>
      <c r="BP75" s="133">
        <f t="shared" si="86"/>
        <v>0</v>
      </c>
      <c r="BQ75" s="133">
        <f t="shared" si="87"/>
        <v>0</v>
      </c>
      <c r="BR75" s="133">
        <f t="shared" si="88"/>
        <v>0</v>
      </c>
      <c r="BS75" s="133">
        <f t="shared" si="89"/>
        <v>0</v>
      </c>
      <c r="BT75" s="133">
        <f t="shared" si="90"/>
        <v>0</v>
      </c>
      <c r="BU75" s="133">
        <f t="shared" si="91"/>
        <v>0</v>
      </c>
      <c r="BV75" s="133">
        <f t="shared" si="92"/>
        <v>0</v>
      </c>
      <c r="BW75" s="133">
        <f t="shared" si="93"/>
        <v>0</v>
      </c>
      <c r="BX75" s="267"/>
      <c r="BY75" s="267"/>
      <c r="BZ75" s="267"/>
      <c r="CA75" s="267"/>
      <c r="CB75" s="267"/>
      <c r="CC75" s="267"/>
      <c r="CD75" s="267"/>
      <c r="CE75" s="267"/>
      <c r="CF75" s="267"/>
      <c r="CG75" s="267"/>
      <c r="CS75" s="138">
        <v>57</v>
      </c>
      <c r="CT75" s="259">
        <f t="shared" ca="1" si="29"/>
        <v>47917</v>
      </c>
      <c r="CU75" s="179">
        <f t="shared" ref="CU75:DC75" ca="1" si="334">(($AW80/(1+CU$18)^(($AZ80-$AZ$23)/30)))+($AS80/(1+CU$18)^(($AZ80-$AZ$23)/30))</f>
        <v>31.140167348512332</v>
      </c>
      <c r="CV75" s="179">
        <f t="shared" ca="1" si="334"/>
        <v>32.047664045333761</v>
      </c>
      <c r="CW75" s="179">
        <f t="shared" ca="1" si="334"/>
        <v>32.605028416912383</v>
      </c>
      <c r="CX75" s="179">
        <f t="shared" ca="1" si="334"/>
        <v>33.172254949229625</v>
      </c>
      <c r="CY75" s="179">
        <f t="shared" ca="1" si="334"/>
        <v>33.749521131654774</v>
      </c>
      <c r="CZ75" s="179">
        <f t="shared" ca="1" si="334"/>
        <v>34.337007701595923</v>
      </c>
      <c r="DA75" s="179">
        <f t="shared" ca="1" si="334"/>
        <v>34.734434156804276</v>
      </c>
      <c r="DB75" s="179">
        <f t="shared" ca="1" si="334"/>
        <v>35.5433815575458</v>
      </c>
      <c r="DC75" s="179">
        <f t="shared" ca="1" si="334"/>
        <v>35.955015256407918</v>
      </c>
      <c r="DD75" s="179">
        <f t="shared" ref="DD75:DI75" ca="1" si="335">(($AW80/(1+DD$18)^(($AZ80-$AZ$23)/30)))+($AS80/(1+DD$18)^(($AZ80-$AZ$23)/30))</f>
        <v>36.371498601987</v>
      </c>
      <c r="DE75" s="179">
        <f t="shared" ca="1" si="335"/>
        <v>36.79288970197338</v>
      </c>
      <c r="DF75" s="179" t="e">
        <f t="shared" ca="1" si="335"/>
        <v>#VALUE!</v>
      </c>
      <c r="DG75" s="179" t="e">
        <f t="shared" ca="1" si="335"/>
        <v>#VALUE!</v>
      </c>
      <c r="DH75" s="179" t="e">
        <f t="shared" ca="1" si="335"/>
        <v>#VALUE!</v>
      </c>
      <c r="DI75" s="179" t="e">
        <f t="shared" ca="1" si="335"/>
        <v>#VALUE!</v>
      </c>
      <c r="DJ75" s="179" t="e">
        <f t="shared" ref="DJ75:DQ75" ca="1" si="336">(($AW80/(1+DJ$18)^(($AZ80-$AZ$23)/30)))+($AS80/(1+DJ$18)^(($AZ80-$AZ$23)/30))</f>
        <v>#VALUE!</v>
      </c>
      <c r="DK75" s="179" t="e">
        <f t="shared" ca="1" si="336"/>
        <v>#VALUE!</v>
      </c>
      <c r="DL75" s="179" t="e">
        <f t="shared" ca="1" si="336"/>
        <v>#VALUE!</v>
      </c>
      <c r="DM75" s="179" t="e">
        <f t="shared" ca="1" si="336"/>
        <v>#VALUE!</v>
      </c>
      <c r="DN75" s="179" t="e">
        <f t="shared" ca="1" si="336"/>
        <v>#VALUE!</v>
      </c>
      <c r="DO75" s="179" t="e">
        <f t="shared" ca="1" si="336"/>
        <v>#VALUE!</v>
      </c>
      <c r="DP75" s="179" t="e">
        <f t="shared" ca="1" si="336"/>
        <v>#VALUE!</v>
      </c>
      <c r="DQ75" s="179" t="e">
        <f t="shared" ca="1" si="336"/>
        <v>#VALUE!</v>
      </c>
      <c r="DR75" s="180">
        <f t="shared" ca="1" si="40"/>
        <v>5.7870356057992893</v>
      </c>
      <c r="DS75" s="180">
        <f t="shared" ca="1" si="300"/>
        <v>5.7870356057992893</v>
      </c>
      <c r="DT75" s="180">
        <f t="shared" ca="1" si="300"/>
        <v>5.7870356057992893</v>
      </c>
      <c r="DU75" s="180">
        <f t="shared" ca="1" si="300"/>
        <v>5.7870356057992893</v>
      </c>
      <c r="DV75" s="180">
        <f t="shared" ca="1" si="300"/>
        <v>5.7870356057992893</v>
      </c>
      <c r="DW75" s="180">
        <f t="shared" ca="1" si="300"/>
        <v>5.7870356057992893</v>
      </c>
      <c r="DX75" s="180">
        <f t="shared" ca="1" si="300"/>
        <v>5.7870356057992893</v>
      </c>
      <c r="DY75" s="180">
        <f t="shared" ca="1" si="300"/>
        <v>5.7870356057992893</v>
      </c>
      <c r="DZ75" s="180">
        <f t="shared" ca="1" si="300"/>
        <v>5.7870356057992893</v>
      </c>
      <c r="EA75" s="180">
        <f t="shared" ca="1" si="300"/>
        <v>5.7870356057992893</v>
      </c>
      <c r="EB75" s="180">
        <f t="shared" ca="1" si="300"/>
        <v>5.7870356057992893</v>
      </c>
      <c r="EC75" s="180">
        <f t="shared" ca="1" si="300"/>
        <v>5.7870356057992893</v>
      </c>
      <c r="ED75" s="180">
        <f t="shared" ca="1" si="300"/>
        <v>5.7870356057992893</v>
      </c>
      <c r="EE75" s="180">
        <f t="shared" ca="1" si="300"/>
        <v>5.7870356057992893</v>
      </c>
      <c r="EF75" s="180">
        <f t="shared" ca="1" si="300"/>
        <v>5.7870356057992893</v>
      </c>
      <c r="EG75" s="180">
        <f t="shared" ref="EG75:EO75" ca="1" si="337">IF($AU80&gt;$BA$19,0,$BA80-$AS80)</f>
        <v>5.7870356057992893</v>
      </c>
      <c r="EH75" s="180">
        <f t="shared" ca="1" si="337"/>
        <v>5.7870356057992893</v>
      </c>
      <c r="EI75" s="180">
        <f t="shared" ca="1" si="337"/>
        <v>5.7870356057992893</v>
      </c>
      <c r="EJ75" s="180">
        <f t="shared" ca="1" si="337"/>
        <v>5.7870356057992893</v>
      </c>
      <c r="EK75" s="180">
        <f t="shared" ca="1" si="337"/>
        <v>5.7870356057992893</v>
      </c>
      <c r="EL75" s="180">
        <f t="shared" ca="1" si="337"/>
        <v>5.7870356057992893</v>
      </c>
      <c r="EM75" s="180">
        <f t="shared" ca="1" si="337"/>
        <v>5.7870356057992893</v>
      </c>
      <c r="EN75" s="180">
        <f t="shared" ca="1" si="337"/>
        <v>5.7870356057992893</v>
      </c>
      <c r="EO75" s="180">
        <f t="shared" ca="1" si="337"/>
        <v>5.7870356057992893</v>
      </c>
      <c r="EQ75" s="259">
        <f t="shared" ca="1" si="42"/>
        <v>47889</v>
      </c>
      <c r="ER75" s="87">
        <f t="shared" ca="1" si="313"/>
        <v>5.7870356057992893</v>
      </c>
      <c r="ES75" s="87">
        <f t="shared" ca="1" si="313"/>
        <v>5.7870356057992893</v>
      </c>
      <c r="ET75" s="87">
        <f t="shared" ca="1" si="313"/>
        <v>5.7870356057992893</v>
      </c>
      <c r="EU75" s="87">
        <f t="shared" ca="1" si="313"/>
        <v>5.7870356057992893</v>
      </c>
      <c r="EV75" s="87">
        <f t="shared" ca="1" si="313"/>
        <v>5.7870356057992893</v>
      </c>
      <c r="EW75" s="87">
        <f t="shared" ca="1" si="313"/>
        <v>5.7870356057992893</v>
      </c>
      <c r="EX75" s="87">
        <f t="shared" ca="1" si="313"/>
        <v>5.7870356057992893</v>
      </c>
      <c r="EY75" s="87">
        <f t="shared" ca="1" si="313"/>
        <v>5.7870356057992893</v>
      </c>
      <c r="EZ75" s="87">
        <f t="shared" ca="1" si="313"/>
        <v>5.7870356057992893</v>
      </c>
      <c r="FA75" s="87">
        <f t="shared" ca="1" si="313"/>
        <v>5.7870356057992893</v>
      </c>
      <c r="FB75" s="87">
        <f t="shared" ca="1" si="313"/>
        <v>5.7870356057992893</v>
      </c>
      <c r="FC75" s="87">
        <f t="shared" ca="1" si="313"/>
        <v>5.7870356057992893</v>
      </c>
      <c r="FD75" s="87">
        <f t="shared" ca="1" si="313"/>
        <v>5.7870356057992893</v>
      </c>
      <c r="FE75" s="87">
        <f t="shared" ca="1" si="313"/>
        <v>5.7870356057992893</v>
      </c>
      <c r="FF75" s="87">
        <f t="shared" ca="1" si="313"/>
        <v>5.7870356057992893</v>
      </c>
      <c r="FG75" s="87">
        <f t="shared" ca="1" si="302"/>
        <v>5.7870356057992893</v>
      </c>
      <c r="FH75" s="87">
        <f t="shared" ca="1" si="302"/>
        <v>5.7870356057992893</v>
      </c>
      <c r="FI75" s="87">
        <f t="shared" ca="1" si="302"/>
        <v>5.7870356057992893</v>
      </c>
      <c r="FJ75" s="87">
        <f t="shared" ca="1" si="302"/>
        <v>5.7870356057992893</v>
      </c>
      <c r="FK75" s="87">
        <f t="shared" ca="1" si="302"/>
        <v>5.7870356057992893</v>
      </c>
      <c r="FL75" s="87">
        <f t="shared" ca="1" si="302"/>
        <v>5.7870356057992893</v>
      </c>
      <c r="FM75" s="87">
        <f t="shared" ca="1" si="302"/>
        <v>5.7870356057992893</v>
      </c>
      <c r="FN75" s="87">
        <f t="shared" ca="1" si="302"/>
        <v>5.7870356057992893</v>
      </c>
      <c r="FO75" s="87">
        <f t="shared" ca="1" si="302"/>
        <v>5.7870356057992893</v>
      </c>
      <c r="FP75" s="87">
        <f t="shared" ca="1" si="302"/>
        <v>5.7870356057992893</v>
      </c>
    </row>
    <row r="76" spans="2:172" ht="12.75" hidden="1" customHeight="1" x14ac:dyDescent="0.25">
      <c r="B76" s="87">
        <v>18</v>
      </c>
      <c r="C76" s="181">
        <f t="shared" ca="1" si="256"/>
        <v>46701</v>
      </c>
      <c r="D76" s="380">
        <f t="shared" ca="1" si="307"/>
        <v>0.71939392777531552</v>
      </c>
      <c r="E76" s="380">
        <f t="shared" si="307"/>
        <v>0</v>
      </c>
      <c r="F76" s="380">
        <f t="shared" si="307"/>
        <v>0</v>
      </c>
      <c r="G76" s="380">
        <f t="shared" si="307"/>
        <v>0</v>
      </c>
      <c r="H76" s="380">
        <f t="shared" si="307"/>
        <v>0</v>
      </c>
      <c r="I76" s="380">
        <f t="shared" si="307"/>
        <v>0</v>
      </c>
      <c r="J76" s="380">
        <f t="shared" si="307"/>
        <v>0</v>
      </c>
      <c r="K76" s="380">
        <f t="shared" si="307"/>
        <v>0</v>
      </c>
      <c r="L76" s="380">
        <f t="shared" si="307"/>
        <v>0</v>
      </c>
      <c r="M76" s="380">
        <f t="shared" si="307"/>
        <v>0</v>
      </c>
      <c r="N76" s="380">
        <f t="shared" si="308"/>
        <v>0</v>
      </c>
      <c r="O76" s="380">
        <f t="shared" si="308"/>
        <v>0</v>
      </c>
      <c r="P76" s="380">
        <f t="shared" si="308"/>
        <v>0</v>
      </c>
      <c r="Q76" s="380">
        <f t="shared" si="308"/>
        <v>0</v>
      </c>
      <c r="R76" s="380">
        <f t="shared" si="308"/>
        <v>0</v>
      </c>
      <c r="S76" s="380">
        <f t="shared" si="308"/>
        <v>0</v>
      </c>
      <c r="T76" s="380">
        <f t="shared" si="308"/>
        <v>0</v>
      </c>
      <c r="U76" s="175"/>
      <c r="V76" s="176"/>
      <c r="W76" s="176"/>
      <c r="X76" s="87">
        <v>61</v>
      </c>
      <c r="Y76" s="377">
        <f t="shared" ca="1" si="4"/>
        <v>85.212964394200711</v>
      </c>
      <c r="Z76" s="377">
        <f t="shared" si="5"/>
        <v>0</v>
      </c>
      <c r="AA76" s="377">
        <f t="shared" si="6"/>
        <v>0</v>
      </c>
      <c r="AB76" s="377">
        <f t="shared" si="7"/>
        <v>0</v>
      </c>
      <c r="AC76" s="377">
        <f t="shared" si="8"/>
        <v>0</v>
      </c>
      <c r="AD76" s="377">
        <f t="shared" si="9"/>
        <v>0</v>
      </c>
      <c r="AE76" s="377">
        <f t="shared" si="10"/>
        <v>0</v>
      </c>
      <c r="AF76" s="377">
        <f t="shared" si="11"/>
        <v>0</v>
      </c>
      <c r="AG76" s="377">
        <f t="shared" si="12"/>
        <v>0</v>
      </c>
      <c r="AH76" s="377">
        <f t="shared" si="13"/>
        <v>0</v>
      </c>
      <c r="AI76" s="377">
        <f t="shared" si="14"/>
        <v>0</v>
      </c>
      <c r="AJ76" s="377">
        <f t="shared" si="15"/>
        <v>0</v>
      </c>
      <c r="AK76" s="377">
        <f t="shared" si="16"/>
        <v>0</v>
      </c>
      <c r="AL76" s="377">
        <f t="shared" si="17"/>
        <v>0</v>
      </c>
      <c r="AM76" s="377">
        <f t="shared" si="18"/>
        <v>0</v>
      </c>
      <c r="AN76" s="377">
        <f t="shared" si="19"/>
        <v>0</v>
      </c>
      <c r="AO76" s="377">
        <f t="shared" si="20"/>
        <v>0</v>
      </c>
      <c r="AQ76" s="138">
        <v>53</v>
      </c>
      <c r="AR76" s="258">
        <f t="shared" ca="1" si="249"/>
        <v>47766</v>
      </c>
      <c r="AS76" s="378">
        <f t="shared" ca="1" si="70"/>
        <v>85.212964394200711</v>
      </c>
      <c r="AT76" s="138"/>
      <c r="AU76" s="138">
        <v>53</v>
      </c>
      <c r="AV76" s="258">
        <f t="shared" ca="1" si="250"/>
        <v>47797</v>
      </c>
      <c r="AW76" s="378">
        <f t="shared" ca="1" si="72"/>
        <v>5.7870356057992893</v>
      </c>
      <c r="AX76" s="202">
        <f t="shared" ca="1" si="73"/>
        <v>2.13</v>
      </c>
      <c r="AY76" s="138">
        <v>53</v>
      </c>
      <c r="AZ76" s="258">
        <f t="shared" ca="1" si="251"/>
        <v>47797</v>
      </c>
      <c r="BA76" s="378">
        <f t="shared" si="75"/>
        <v>91</v>
      </c>
      <c r="BC76" s="258">
        <f t="shared" ca="1" si="61"/>
        <v>47766</v>
      </c>
      <c r="BD76" s="302">
        <f t="shared" ca="1" si="76"/>
        <v>5.7870356057992893</v>
      </c>
      <c r="BE76" s="133">
        <f t="shared" si="62"/>
        <v>53</v>
      </c>
      <c r="BF76" s="379">
        <f t="shared" ca="1" si="63"/>
        <v>47766</v>
      </c>
      <c r="BG76" s="133">
        <f t="shared" si="77"/>
        <v>91</v>
      </c>
      <c r="BH76" s="133">
        <f t="shared" si="78"/>
        <v>0</v>
      </c>
      <c r="BI76" s="133">
        <f t="shared" si="79"/>
        <v>0</v>
      </c>
      <c r="BJ76" s="133">
        <f t="shared" si="80"/>
        <v>0</v>
      </c>
      <c r="BK76" s="133">
        <f t="shared" si="81"/>
        <v>0</v>
      </c>
      <c r="BL76" s="133">
        <f t="shared" si="82"/>
        <v>0</v>
      </c>
      <c r="BM76" s="133">
        <f t="shared" si="83"/>
        <v>0</v>
      </c>
      <c r="BN76" s="133">
        <f t="shared" si="84"/>
        <v>0</v>
      </c>
      <c r="BO76" s="133">
        <f t="shared" si="85"/>
        <v>0</v>
      </c>
      <c r="BP76" s="133">
        <f t="shared" si="86"/>
        <v>0</v>
      </c>
      <c r="BQ76" s="133">
        <f t="shared" si="87"/>
        <v>0</v>
      </c>
      <c r="BR76" s="133">
        <f t="shared" si="88"/>
        <v>0</v>
      </c>
      <c r="BS76" s="133">
        <f t="shared" si="89"/>
        <v>0</v>
      </c>
      <c r="BT76" s="133">
        <f t="shared" si="90"/>
        <v>0</v>
      </c>
      <c r="BU76" s="133">
        <f t="shared" si="91"/>
        <v>0</v>
      </c>
      <c r="BV76" s="133">
        <f t="shared" si="92"/>
        <v>0</v>
      </c>
      <c r="BW76" s="133">
        <f t="shared" si="93"/>
        <v>0</v>
      </c>
      <c r="BX76" s="267"/>
      <c r="BY76" s="267"/>
      <c r="BZ76" s="267"/>
      <c r="CA76" s="267"/>
      <c r="CB76" s="267"/>
      <c r="CC76" s="267"/>
      <c r="CD76" s="267"/>
      <c r="CE76" s="267"/>
      <c r="CF76" s="267"/>
      <c r="CG76" s="267"/>
      <c r="CS76" s="87">
        <v>58</v>
      </c>
      <c r="CT76" s="259">
        <f t="shared" ca="1" si="29"/>
        <v>47948</v>
      </c>
      <c r="CU76" s="179">
        <f t="shared" ref="CU76:DC76" ca="1" si="338">(($AW81/(1+CU$18)^(($AZ81-$AZ$23)/30)))+($AS81/(1+CU$18)^(($AZ81-$AZ$23)/30))</f>
        <v>30.55586207685856</v>
      </c>
      <c r="CV76" s="179">
        <f t="shared" ca="1" si="338"/>
        <v>31.462290884625808</v>
      </c>
      <c r="CW76" s="179">
        <f t="shared" ca="1" si="338"/>
        <v>32.019225007034009</v>
      </c>
      <c r="CX76" s="179">
        <f t="shared" ca="1" si="338"/>
        <v>32.586186352289722</v>
      </c>
      <c r="CY76" s="179">
        <f t="shared" ca="1" si="338"/>
        <v>33.163358490669992</v>
      </c>
      <c r="CZ76" s="179">
        <f t="shared" ca="1" si="338"/>
        <v>33.750928408736712</v>
      </c>
      <c r="DA76" s="179">
        <f t="shared" ca="1" si="338"/>
        <v>34.148512144498689</v>
      </c>
      <c r="DB76" s="179">
        <f t="shared" ca="1" si="338"/>
        <v>34.958027000536681</v>
      </c>
      <c r="DC76" s="179">
        <f t="shared" ca="1" si="338"/>
        <v>35.370074873475915</v>
      </c>
      <c r="DD76" s="179">
        <f t="shared" ref="DD76:DI76" ca="1" si="339">(($AW81/(1+DD$18)^(($AZ81-$AZ$23)/30)))+($AS81/(1+DD$18)^(($AZ81-$AZ$23)/30))</f>
        <v>35.787062084348669</v>
      </c>
      <c r="DE76" s="179">
        <f t="shared" ca="1" si="339"/>
        <v>36.20904883247475</v>
      </c>
      <c r="DF76" s="179" t="e">
        <f t="shared" ca="1" si="339"/>
        <v>#VALUE!</v>
      </c>
      <c r="DG76" s="179" t="e">
        <f t="shared" ca="1" si="339"/>
        <v>#VALUE!</v>
      </c>
      <c r="DH76" s="179" t="e">
        <f t="shared" ca="1" si="339"/>
        <v>#VALUE!</v>
      </c>
      <c r="DI76" s="179" t="e">
        <f t="shared" ca="1" si="339"/>
        <v>#VALUE!</v>
      </c>
      <c r="DJ76" s="179" t="e">
        <f t="shared" ref="DJ76:DQ76" ca="1" si="340">(($AW81/(1+DJ$18)^(($AZ81-$AZ$23)/30)))+($AS81/(1+DJ$18)^(($AZ81-$AZ$23)/30))</f>
        <v>#VALUE!</v>
      </c>
      <c r="DK76" s="179" t="e">
        <f t="shared" ca="1" si="340"/>
        <v>#VALUE!</v>
      </c>
      <c r="DL76" s="179" t="e">
        <f t="shared" ca="1" si="340"/>
        <v>#VALUE!</v>
      </c>
      <c r="DM76" s="179" t="e">
        <f t="shared" ca="1" si="340"/>
        <v>#VALUE!</v>
      </c>
      <c r="DN76" s="179" t="e">
        <f t="shared" ca="1" si="340"/>
        <v>#VALUE!</v>
      </c>
      <c r="DO76" s="179" t="e">
        <f t="shared" ca="1" si="340"/>
        <v>#VALUE!</v>
      </c>
      <c r="DP76" s="179" t="e">
        <f t="shared" ca="1" si="340"/>
        <v>#VALUE!</v>
      </c>
      <c r="DQ76" s="179" t="e">
        <f t="shared" ca="1" si="340"/>
        <v>#VALUE!</v>
      </c>
      <c r="DR76" s="180">
        <f t="shared" ca="1" si="40"/>
        <v>5.7870356057992893</v>
      </c>
      <c r="DS76" s="180">
        <f t="shared" ca="1" si="300"/>
        <v>5.7870356057992893</v>
      </c>
      <c r="DT76" s="180">
        <f t="shared" ca="1" si="300"/>
        <v>5.7870356057992893</v>
      </c>
      <c r="DU76" s="180">
        <f t="shared" ca="1" si="300"/>
        <v>5.7870356057992893</v>
      </c>
      <c r="DV76" s="180">
        <f t="shared" ca="1" si="300"/>
        <v>5.7870356057992893</v>
      </c>
      <c r="DW76" s="180">
        <f t="shared" ca="1" si="300"/>
        <v>5.7870356057992893</v>
      </c>
      <c r="DX76" s="180">
        <f t="shared" ca="1" si="300"/>
        <v>5.7870356057992893</v>
      </c>
      <c r="DY76" s="180">
        <f t="shared" ca="1" si="300"/>
        <v>5.7870356057992893</v>
      </c>
      <c r="DZ76" s="180">
        <f t="shared" ca="1" si="300"/>
        <v>5.7870356057992893</v>
      </c>
      <c r="EA76" s="180">
        <f t="shared" ca="1" si="300"/>
        <v>5.7870356057992893</v>
      </c>
      <c r="EB76" s="180">
        <f t="shared" ca="1" si="300"/>
        <v>5.7870356057992893</v>
      </c>
      <c r="EC76" s="180">
        <f t="shared" ca="1" si="300"/>
        <v>5.7870356057992893</v>
      </c>
      <c r="ED76" s="180">
        <f t="shared" ca="1" si="300"/>
        <v>5.7870356057992893</v>
      </c>
      <c r="EE76" s="180">
        <f t="shared" ca="1" si="300"/>
        <v>5.7870356057992893</v>
      </c>
      <c r="EF76" s="180">
        <f t="shared" ca="1" si="300"/>
        <v>5.7870356057992893</v>
      </c>
      <c r="EG76" s="180">
        <f t="shared" ref="EG76:EO76" ca="1" si="341">IF($AU81&gt;$BA$19,0,$BA81-$AS81)</f>
        <v>5.7870356057992893</v>
      </c>
      <c r="EH76" s="180">
        <f t="shared" ca="1" si="341"/>
        <v>5.7870356057992893</v>
      </c>
      <c r="EI76" s="180">
        <f t="shared" ca="1" si="341"/>
        <v>5.7870356057992893</v>
      </c>
      <c r="EJ76" s="180">
        <f t="shared" ca="1" si="341"/>
        <v>5.7870356057992893</v>
      </c>
      <c r="EK76" s="180">
        <f t="shared" ca="1" si="341"/>
        <v>5.7870356057992893</v>
      </c>
      <c r="EL76" s="180">
        <f t="shared" ca="1" si="341"/>
        <v>5.7870356057992893</v>
      </c>
      <c r="EM76" s="180">
        <f t="shared" ca="1" si="341"/>
        <v>5.7870356057992893</v>
      </c>
      <c r="EN76" s="180">
        <f t="shared" ca="1" si="341"/>
        <v>5.7870356057992893</v>
      </c>
      <c r="EO76" s="180">
        <f t="shared" ca="1" si="341"/>
        <v>5.7870356057992893</v>
      </c>
      <c r="EQ76" s="259">
        <f t="shared" ca="1" si="42"/>
        <v>47917</v>
      </c>
      <c r="ER76" s="87">
        <f t="shared" ca="1" si="313"/>
        <v>5.7870356057992893</v>
      </c>
      <c r="ES76" s="87">
        <f t="shared" ca="1" si="313"/>
        <v>5.7870356057992893</v>
      </c>
      <c r="ET76" s="87">
        <f t="shared" ca="1" si="313"/>
        <v>5.7870356057992893</v>
      </c>
      <c r="EU76" s="87">
        <f t="shared" ca="1" si="313"/>
        <v>5.7870356057992893</v>
      </c>
      <c r="EV76" s="87">
        <f t="shared" ca="1" si="313"/>
        <v>5.7870356057992893</v>
      </c>
      <c r="EW76" s="87">
        <f t="shared" ca="1" si="313"/>
        <v>5.7870356057992893</v>
      </c>
      <c r="EX76" s="87">
        <f t="shared" ca="1" si="313"/>
        <v>5.7870356057992893</v>
      </c>
      <c r="EY76" s="87">
        <f t="shared" ca="1" si="313"/>
        <v>5.7870356057992893</v>
      </c>
      <c r="EZ76" s="87">
        <f t="shared" ca="1" si="313"/>
        <v>5.7870356057992893</v>
      </c>
      <c r="FA76" s="87">
        <f t="shared" ca="1" si="313"/>
        <v>5.7870356057992893</v>
      </c>
      <c r="FB76" s="87">
        <f t="shared" ca="1" si="313"/>
        <v>5.7870356057992893</v>
      </c>
      <c r="FC76" s="87">
        <f t="shared" ca="1" si="313"/>
        <v>5.7870356057992893</v>
      </c>
      <c r="FD76" s="87">
        <f t="shared" ca="1" si="313"/>
        <v>5.7870356057992893</v>
      </c>
      <c r="FE76" s="87">
        <f t="shared" ca="1" si="313"/>
        <v>5.7870356057992893</v>
      </c>
      <c r="FF76" s="87">
        <f t="shared" ca="1" si="313"/>
        <v>5.7870356057992893</v>
      </c>
      <c r="FG76" s="87">
        <f t="shared" ca="1" si="302"/>
        <v>5.7870356057992893</v>
      </c>
      <c r="FH76" s="87">
        <f t="shared" ca="1" si="302"/>
        <v>5.7870356057992893</v>
      </c>
      <c r="FI76" s="87">
        <f t="shared" ca="1" si="302"/>
        <v>5.7870356057992893</v>
      </c>
      <c r="FJ76" s="87">
        <f t="shared" ca="1" si="302"/>
        <v>5.7870356057992893</v>
      </c>
      <c r="FK76" s="87">
        <f t="shared" ca="1" si="302"/>
        <v>5.7870356057992893</v>
      </c>
      <c r="FL76" s="87">
        <f t="shared" ca="1" si="302"/>
        <v>5.7870356057992893</v>
      </c>
      <c r="FM76" s="87">
        <f t="shared" ca="1" si="302"/>
        <v>5.7870356057992893</v>
      </c>
      <c r="FN76" s="87">
        <f t="shared" ca="1" si="302"/>
        <v>5.7870356057992893</v>
      </c>
      <c r="FO76" s="87">
        <f t="shared" ca="1" si="302"/>
        <v>5.7870356057992893</v>
      </c>
      <c r="FP76" s="87">
        <f t="shared" ca="1" si="302"/>
        <v>5.7870356057992893</v>
      </c>
    </row>
    <row r="77" spans="2:172" ht="12.75" hidden="1" customHeight="1" x14ac:dyDescent="0.25">
      <c r="B77" s="87">
        <v>19</v>
      </c>
      <c r="C77" s="181">
        <f t="shared" ca="1" si="256"/>
        <v>46731</v>
      </c>
      <c r="D77" s="380">
        <f t="shared" ca="1" si="307"/>
        <v>0.70632688048631864</v>
      </c>
      <c r="E77" s="380">
        <f t="shared" si="307"/>
        <v>0</v>
      </c>
      <c r="F77" s="380">
        <f t="shared" si="307"/>
        <v>0</v>
      </c>
      <c r="G77" s="380">
        <f t="shared" si="307"/>
        <v>0</v>
      </c>
      <c r="H77" s="380">
        <f t="shared" si="307"/>
        <v>0</v>
      </c>
      <c r="I77" s="380">
        <f t="shared" si="307"/>
        <v>0</v>
      </c>
      <c r="J77" s="380">
        <f t="shared" si="307"/>
        <v>0</v>
      </c>
      <c r="K77" s="380">
        <f t="shared" si="307"/>
        <v>0</v>
      </c>
      <c r="L77" s="380">
        <f t="shared" si="307"/>
        <v>0</v>
      </c>
      <c r="M77" s="380">
        <f t="shared" si="307"/>
        <v>0</v>
      </c>
      <c r="N77" s="380">
        <f t="shared" si="308"/>
        <v>0</v>
      </c>
      <c r="O77" s="380">
        <f t="shared" si="308"/>
        <v>0</v>
      </c>
      <c r="P77" s="380">
        <f t="shared" si="308"/>
        <v>0</v>
      </c>
      <c r="Q77" s="380">
        <f t="shared" si="308"/>
        <v>0</v>
      </c>
      <c r="R77" s="380">
        <f t="shared" si="308"/>
        <v>0</v>
      </c>
      <c r="S77" s="380">
        <f t="shared" si="308"/>
        <v>0</v>
      </c>
      <c r="T77" s="380">
        <f t="shared" si="308"/>
        <v>0</v>
      </c>
      <c r="U77" s="175"/>
      <c r="V77" s="176"/>
      <c r="W77" s="176"/>
      <c r="X77" s="87">
        <v>62</v>
      </c>
      <c r="Y77" s="377">
        <f t="shared" ca="1" si="4"/>
        <v>85.212964394200711</v>
      </c>
      <c r="Z77" s="377">
        <f t="shared" si="5"/>
        <v>0</v>
      </c>
      <c r="AA77" s="377">
        <f t="shared" si="6"/>
        <v>0</v>
      </c>
      <c r="AB77" s="377">
        <f t="shared" si="7"/>
        <v>0</v>
      </c>
      <c r="AC77" s="377">
        <f t="shared" si="8"/>
        <v>0</v>
      </c>
      <c r="AD77" s="377">
        <f t="shared" si="9"/>
        <v>0</v>
      </c>
      <c r="AE77" s="377">
        <f t="shared" si="10"/>
        <v>0</v>
      </c>
      <c r="AF77" s="377">
        <f t="shared" si="11"/>
        <v>0</v>
      </c>
      <c r="AG77" s="377">
        <f t="shared" si="12"/>
        <v>0</v>
      </c>
      <c r="AH77" s="377">
        <f t="shared" si="13"/>
        <v>0</v>
      </c>
      <c r="AI77" s="377">
        <f t="shared" si="14"/>
        <v>0</v>
      </c>
      <c r="AJ77" s="377">
        <f t="shared" si="15"/>
        <v>0</v>
      </c>
      <c r="AK77" s="377">
        <f t="shared" si="16"/>
        <v>0</v>
      </c>
      <c r="AL77" s="377">
        <f t="shared" si="17"/>
        <v>0</v>
      </c>
      <c r="AM77" s="377">
        <f t="shared" si="18"/>
        <v>0</v>
      </c>
      <c r="AN77" s="377">
        <f t="shared" si="19"/>
        <v>0</v>
      </c>
      <c r="AO77" s="377">
        <f t="shared" si="20"/>
        <v>0</v>
      </c>
      <c r="AQ77" s="138">
        <v>54</v>
      </c>
      <c r="AR77" s="258">
        <f t="shared" ca="1" si="249"/>
        <v>47797</v>
      </c>
      <c r="AS77" s="378">
        <f t="shared" ca="1" si="70"/>
        <v>85.212964394200711</v>
      </c>
      <c r="AT77" s="138"/>
      <c r="AU77" s="138">
        <v>54</v>
      </c>
      <c r="AV77" s="258">
        <f t="shared" ca="1" si="250"/>
        <v>47827</v>
      </c>
      <c r="AW77" s="378">
        <f t="shared" ca="1" si="72"/>
        <v>5.7870356057992893</v>
      </c>
      <c r="AX77" s="202">
        <f t="shared" ca="1" si="73"/>
        <v>2.09</v>
      </c>
      <c r="AY77" s="138">
        <v>54</v>
      </c>
      <c r="AZ77" s="258">
        <f t="shared" ca="1" si="251"/>
        <v>47827</v>
      </c>
      <c r="BA77" s="378">
        <f t="shared" si="75"/>
        <v>91</v>
      </c>
      <c r="BC77" s="258">
        <f t="shared" ca="1" si="61"/>
        <v>47797</v>
      </c>
      <c r="BD77" s="302">
        <f t="shared" ca="1" si="76"/>
        <v>5.7870356057992893</v>
      </c>
      <c r="BE77" s="133">
        <f t="shared" si="62"/>
        <v>54</v>
      </c>
      <c r="BF77" s="379">
        <f t="shared" ca="1" si="63"/>
        <v>47797</v>
      </c>
      <c r="BG77" s="133">
        <f t="shared" si="77"/>
        <v>91</v>
      </c>
      <c r="BH77" s="133">
        <f t="shared" si="78"/>
        <v>0</v>
      </c>
      <c r="BI77" s="133">
        <f t="shared" si="79"/>
        <v>0</v>
      </c>
      <c r="BJ77" s="133">
        <f t="shared" si="80"/>
        <v>0</v>
      </c>
      <c r="BK77" s="133">
        <f t="shared" si="81"/>
        <v>0</v>
      </c>
      <c r="BL77" s="133">
        <f t="shared" si="82"/>
        <v>0</v>
      </c>
      <c r="BM77" s="133">
        <f t="shared" si="83"/>
        <v>0</v>
      </c>
      <c r="BN77" s="133">
        <f t="shared" si="84"/>
        <v>0</v>
      </c>
      <c r="BO77" s="133">
        <f t="shared" si="85"/>
        <v>0</v>
      </c>
      <c r="BP77" s="133">
        <f t="shared" si="86"/>
        <v>0</v>
      </c>
      <c r="BQ77" s="133">
        <f t="shared" si="87"/>
        <v>0</v>
      </c>
      <c r="BR77" s="133">
        <f t="shared" si="88"/>
        <v>0</v>
      </c>
      <c r="BS77" s="133">
        <f t="shared" si="89"/>
        <v>0</v>
      </c>
      <c r="BT77" s="133">
        <f t="shared" si="90"/>
        <v>0</v>
      </c>
      <c r="BU77" s="133">
        <f t="shared" si="91"/>
        <v>0</v>
      </c>
      <c r="BV77" s="133">
        <f t="shared" si="92"/>
        <v>0</v>
      </c>
      <c r="BW77" s="133">
        <f t="shared" si="93"/>
        <v>0</v>
      </c>
      <c r="BX77" s="267"/>
      <c r="BY77" s="267"/>
      <c r="BZ77" s="267"/>
      <c r="CA77" s="267"/>
      <c r="CB77" s="267"/>
      <c r="CC77" s="267"/>
      <c r="CD77" s="267"/>
      <c r="CE77" s="267"/>
      <c r="CF77" s="267"/>
      <c r="CG77" s="267"/>
      <c r="CS77" s="178">
        <v>59</v>
      </c>
      <c r="CT77" s="259">
        <f t="shared" ca="1" si="29"/>
        <v>47978</v>
      </c>
      <c r="CU77" s="179">
        <f t="shared" ref="CU77:DC77" ca="1" si="342">(($AW82/(1+CU$18)^(($AZ82-$AZ$23)/30)))+($AS82/(1+CU$18)^(($AZ82-$AZ$23)/30))</f>
        <v>30.000846418123285</v>
      </c>
      <c r="CV77" s="179">
        <f t="shared" ca="1" si="342"/>
        <v>30.905983187255217</v>
      </c>
      <c r="CW77" s="179">
        <f t="shared" ca="1" si="342"/>
        <v>31.462341561397267</v>
      </c>
      <c r="CX77" s="179">
        <f t="shared" ca="1" si="342"/>
        <v>32.028883774611479</v>
      </c>
      <c r="CY77" s="179">
        <f t="shared" ca="1" si="342"/>
        <v>32.605799322259365</v>
      </c>
      <c r="CZ77" s="179">
        <f t="shared" ca="1" si="342"/>
        <v>33.193281283179303</v>
      </c>
      <c r="DA77" s="179">
        <f t="shared" ca="1" si="342"/>
        <v>33.590903152172629</v>
      </c>
      <c r="DB77" s="179">
        <f t="shared" ca="1" si="342"/>
        <v>34.400735092045544</v>
      </c>
      <c r="DC77" s="179">
        <f t="shared" ca="1" si="342"/>
        <v>34.813065820350317</v>
      </c>
      <c r="DD77" s="179">
        <f t="shared" ref="DD77:DI77" ca="1" si="343">(($AW82/(1+DD$18)^(($AZ82-$AZ$23)/30)))+($AS82/(1+DD$18)^(($AZ82-$AZ$23)/30))</f>
        <v>35.230421425820701</v>
      </c>
      <c r="DE77" s="179">
        <f t="shared" ca="1" si="343"/>
        <v>35.652864151708101</v>
      </c>
      <c r="DF77" s="179" t="e">
        <f t="shared" ca="1" si="343"/>
        <v>#VALUE!</v>
      </c>
      <c r="DG77" s="179" t="e">
        <f t="shared" ca="1" si="343"/>
        <v>#VALUE!</v>
      </c>
      <c r="DH77" s="179" t="e">
        <f t="shared" ca="1" si="343"/>
        <v>#VALUE!</v>
      </c>
      <c r="DI77" s="179" t="e">
        <f t="shared" ca="1" si="343"/>
        <v>#VALUE!</v>
      </c>
      <c r="DJ77" s="179" t="e">
        <f t="shared" ref="DJ77:DQ77" ca="1" si="344">(($AW82/(1+DJ$18)^(($AZ82-$AZ$23)/30)))+($AS82/(1+DJ$18)^(($AZ82-$AZ$23)/30))</f>
        <v>#VALUE!</v>
      </c>
      <c r="DK77" s="179" t="e">
        <f t="shared" ca="1" si="344"/>
        <v>#VALUE!</v>
      </c>
      <c r="DL77" s="179" t="e">
        <f t="shared" ca="1" si="344"/>
        <v>#VALUE!</v>
      </c>
      <c r="DM77" s="179" t="e">
        <f t="shared" ca="1" si="344"/>
        <v>#VALUE!</v>
      </c>
      <c r="DN77" s="179" t="e">
        <f t="shared" ca="1" si="344"/>
        <v>#VALUE!</v>
      </c>
      <c r="DO77" s="179" t="e">
        <f t="shared" ca="1" si="344"/>
        <v>#VALUE!</v>
      </c>
      <c r="DP77" s="179" t="e">
        <f t="shared" ca="1" si="344"/>
        <v>#VALUE!</v>
      </c>
      <c r="DQ77" s="179" t="e">
        <f t="shared" ca="1" si="344"/>
        <v>#VALUE!</v>
      </c>
      <c r="DR77" s="180">
        <f t="shared" ca="1" si="40"/>
        <v>5.7870356057992893</v>
      </c>
      <c r="DS77" s="180">
        <f t="shared" ca="1" si="300"/>
        <v>5.7870356057992893</v>
      </c>
      <c r="DT77" s="180">
        <f t="shared" ca="1" si="300"/>
        <v>5.7870356057992893</v>
      </c>
      <c r="DU77" s="180">
        <f t="shared" ca="1" si="300"/>
        <v>5.7870356057992893</v>
      </c>
      <c r="DV77" s="180">
        <f t="shared" ca="1" si="300"/>
        <v>5.7870356057992893</v>
      </c>
      <c r="DW77" s="180">
        <f t="shared" ca="1" si="300"/>
        <v>5.7870356057992893</v>
      </c>
      <c r="DX77" s="180">
        <f t="shared" ca="1" si="300"/>
        <v>5.7870356057992893</v>
      </c>
      <c r="DY77" s="180">
        <f t="shared" ca="1" si="300"/>
        <v>5.7870356057992893</v>
      </c>
      <c r="DZ77" s="180">
        <f t="shared" ca="1" si="300"/>
        <v>5.7870356057992893</v>
      </c>
      <c r="EA77" s="180">
        <f t="shared" ca="1" si="300"/>
        <v>5.7870356057992893</v>
      </c>
      <c r="EB77" s="180">
        <f t="shared" ca="1" si="300"/>
        <v>5.7870356057992893</v>
      </c>
      <c r="EC77" s="180">
        <f t="shared" ca="1" si="300"/>
        <v>5.7870356057992893</v>
      </c>
      <c r="ED77" s="180">
        <f t="shared" ca="1" si="300"/>
        <v>5.7870356057992893</v>
      </c>
      <c r="EE77" s="180">
        <f t="shared" ca="1" si="300"/>
        <v>5.7870356057992893</v>
      </c>
      <c r="EF77" s="180">
        <f t="shared" ca="1" si="300"/>
        <v>5.7870356057992893</v>
      </c>
      <c r="EG77" s="180">
        <f t="shared" ref="EG77:EO77" ca="1" si="345">IF($AU82&gt;$BA$19,0,$BA82-$AS82)</f>
        <v>5.7870356057992893</v>
      </c>
      <c r="EH77" s="180">
        <f t="shared" ca="1" si="345"/>
        <v>5.7870356057992893</v>
      </c>
      <c r="EI77" s="180">
        <f t="shared" ca="1" si="345"/>
        <v>5.7870356057992893</v>
      </c>
      <c r="EJ77" s="180">
        <f t="shared" ca="1" si="345"/>
        <v>5.7870356057992893</v>
      </c>
      <c r="EK77" s="180">
        <f t="shared" ca="1" si="345"/>
        <v>5.7870356057992893</v>
      </c>
      <c r="EL77" s="180">
        <f t="shared" ca="1" si="345"/>
        <v>5.7870356057992893</v>
      </c>
      <c r="EM77" s="180">
        <f t="shared" ca="1" si="345"/>
        <v>5.7870356057992893</v>
      </c>
      <c r="EN77" s="180">
        <f t="shared" ca="1" si="345"/>
        <v>5.7870356057992893</v>
      </c>
      <c r="EO77" s="180">
        <f t="shared" ca="1" si="345"/>
        <v>5.7870356057992893</v>
      </c>
      <c r="EQ77" s="259">
        <f t="shared" ca="1" si="42"/>
        <v>47948</v>
      </c>
      <c r="ER77" s="87">
        <f t="shared" ca="1" si="313"/>
        <v>5.7870356057992893</v>
      </c>
      <c r="ES77" s="87">
        <f t="shared" ca="1" si="313"/>
        <v>5.7870356057992893</v>
      </c>
      <c r="ET77" s="87">
        <f t="shared" ca="1" si="313"/>
        <v>5.7870356057992893</v>
      </c>
      <c r="EU77" s="87">
        <f t="shared" ca="1" si="313"/>
        <v>5.7870356057992893</v>
      </c>
      <c r="EV77" s="87">
        <f t="shared" ca="1" si="313"/>
        <v>5.7870356057992893</v>
      </c>
      <c r="EW77" s="87">
        <f t="shared" ca="1" si="313"/>
        <v>5.7870356057992893</v>
      </c>
      <c r="EX77" s="87">
        <f t="shared" ca="1" si="313"/>
        <v>5.7870356057992893</v>
      </c>
      <c r="EY77" s="87">
        <f t="shared" ca="1" si="313"/>
        <v>5.7870356057992893</v>
      </c>
      <c r="EZ77" s="87">
        <f t="shared" ca="1" si="313"/>
        <v>5.7870356057992893</v>
      </c>
      <c r="FA77" s="87">
        <f t="shared" ca="1" si="313"/>
        <v>5.7870356057992893</v>
      </c>
      <c r="FB77" s="87">
        <f t="shared" ca="1" si="313"/>
        <v>5.7870356057992893</v>
      </c>
      <c r="FC77" s="87">
        <f t="shared" ca="1" si="313"/>
        <v>5.7870356057992893</v>
      </c>
      <c r="FD77" s="87">
        <f t="shared" ca="1" si="313"/>
        <v>5.7870356057992893</v>
      </c>
      <c r="FE77" s="87">
        <f t="shared" ca="1" si="313"/>
        <v>5.7870356057992893</v>
      </c>
      <c r="FF77" s="87">
        <f t="shared" ca="1" si="313"/>
        <v>5.7870356057992893</v>
      </c>
      <c r="FG77" s="87">
        <f t="shared" ca="1" si="302"/>
        <v>5.7870356057992893</v>
      </c>
      <c r="FH77" s="87">
        <f t="shared" ca="1" si="302"/>
        <v>5.7870356057992893</v>
      </c>
      <c r="FI77" s="87">
        <f t="shared" ca="1" si="302"/>
        <v>5.7870356057992893</v>
      </c>
      <c r="FJ77" s="87">
        <f t="shared" ca="1" si="302"/>
        <v>5.7870356057992893</v>
      </c>
      <c r="FK77" s="87">
        <f t="shared" ca="1" si="302"/>
        <v>5.7870356057992893</v>
      </c>
      <c r="FL77" s="87">
        <f t="shared" ca="1" si="302"/>
        <v>5.7870356057992893</v>
      </c>
      <c r="FM77" s="87">
        <f t="shared" ca="1" si="302"/>
        <v>5.7870356057992893</v>
      </c>
      <c r="FN77" s="87">
        <f t="shared" ca="1" si="302"/>
        <v>5.7870356057992893</v>
      </c>
      <c r="FO77" s="87">
        <f t="shared" ca="1" si="302"/>
        <v>5.7870356057992893</v>
      </c>
      <c r="FP77" s="87">
        <f t="shared" ca="1" si="302"/>
        <v>5.7870356057992893</v>
      </c>
    </row>
    <row r="78" spans="2:172" ht="12.75" hidden="1" customHeight="1" x14ac:dyDescent="0.25">
      <c r="B78" s="87">
        <v>20</v>
      </c>
      <c r="C78" s="181">
        <f t="shared" ca="1" si="256"/>
        <v>46762</v>
      </c>
      <c r="D78" s="380">
        <f t="shared" ca="1" si="307"/>
        <v>0.69307356314990209</v>
      </c>
      <c r="E78" s="380">
        <f t="shared" si="307"/>
        <v>0</v>
      </c>
      <c r="F78" s="380">
        <f t="shared" si="307"/>
        <v>0</v>
      </c>
      <c r="G78" s="380">
        <f t="shared" si="307"/>
        <v>0</v>
      </c>
      <c r="H78" s="380">
        <f t="shared" si="307"/>
        <v>0</v>
      </c>
      <c r="I78" s="380">
        <f t="shared" si="307"/>
        <v>0</v>
      </c>
      <c r="J78" s="380">
        <f t="shared" si="307"/>
        <v>0</v>
      </c>
      <c r="K78" s="380">
        <f t="shared" si="307"/>
        <v>0</v>
      </c>
      <c r="L78" s="380">
        <f t="shared" si="307"/>
        <v>0</v>
      </c>
      <c r="M78" s="380">
        <f t="shared" si="307"/>
        <v>0</v>
      </c>
      <c r="N78" s="380">
        <f t="shared" si="308"/>
        <v>0</v>
      </c>
      <c r="O78" s="380">
        <f t="shared" si="308"/>
        <v>0</v>
      </c>
      <c r="P78" s="380">
        <f t="shared" si="308"/>
        <v>0</v>
      </c>
      <c r="Q78" s="380">
        <f t="shared" si="308"/>
        <v>0</v>
      </c>
      <c r="R78" s="380">
        <f t="shared" si="308"/>
        <v>0</v>
      </c>
      <c r="S78" s="380">
        <f t="shared" si="308"/>
        <v>0</v>
      </c>
      <c r="T78" s="380">
        <f t="shared" si="308"/>
        <v>0</v>
      </c>
      <c r="U78" s="175"/>
      <c r="V78" s="176"/>
      <c r="W78" s="176"/>
      <c r="X78" s="87">
        <v>63</v>
      </c>
      <c r="Y78" s="377">
        <f t="shared" ca="1" si="4"/>
        <v>85.212964394200711</v>
      </c>
      <c r="Z78" s="377">
        <f t="shared" si="5"/>
        <v>0</v>
      </c>
      <c r="AA78" s="377">
        <f t="shared" si="6"/>
        <v>0</v>
      </c>
      <c r="AB78" s="377">
        <f t="shared" si="7"/>
        <v>0</v>
      </c>
      <c r="AC78" s="377">
        <f t="shared" si="8"/>
        <v>0</v>
      </c>
      <c r="AD78" s="377">
        <f t="shared" si="9"/>
        <v>0</v>
      </c>
      <c r="AE78" s="377">
        <f t="shared" si="10"/>
        <v>0</v>
      </c>
      <c r="AF78" s="377">
        <f t="shared" si="11"/>
        <v>0</v>
      </c>
      <c r="AG78" s="377">
        <f t="shared" si="12"/>
        <v>0</v>
      </c>
      <c r="AH78" s="377">
        <f t="shared" si="13"/>
        <v>0</v>
      </c>
      <c r="AI78" s="377">
        <f t="shared" si="14"/>
        <v>0</v>
      </c>
      <c r="AJ78" s="377">
        <f t="shared" si="15"/>
        <v>0</v>
      </c>
      <c r="AK78" s="377">
        <f t="shared" si="16"/>
        <v>0</v>
      </c>
      <c r="AL78" s="377">
        <f t="shared" si="17"/>
        <v>0</v>
      </c>
      <c r="AM78" s="377">
        <f t="shared" si="18"/>
        <v>0</v>
      </c>
      <c r="AN78" s="377">
        <f t="shared" si="19"/>
        <v>0</v>
      </c>
      <c r="AO78" s="377">
        <f t="shared" si="20"/>
        <v>0</v>
      </c>
      <c r="AQ78" s="138">
        <v>55</v>
      </c>
      <c r="AR78" s="258">
        <f t="shared" ca="1" si="249"/>
        <v>47827</v>
      </c>
      <c r="AS78" s="378">
        <f t="shared" ca="1" si="70"/>
        <v>85.212964394200711</v>
      </c>
      <c r="AT78" s="138"/>
      <c r="AU78" s="138">
        <v>55</v>
      </c>
      <c r="AV78" s="258">
        <f t="shared" ca="1" si="250"/>
        <v>47858</v>
      </c>
      <c r="AW78" s="378">
        <f t="shared" ca="1" si="72"/>
        <v>5.7870356057992893</v>
      </c>
      <c r="AX78" s="202">
        <f t="shared" ca="1" si="73"/>
        <v>2.0499999999999998</v>
      </c>
      <c r="AY78" s="138">
        <v>55</v>
      </c>
      <c r="AZ78" s="258">
        <f t="shared" ca="1" si="251"/>
        <v>47858</v>
      </c>
      <c r="BA78" s="378">
        <f t="shared" si="75"/>
        <v>91</v>
      </c>
      <c r="BC78" s="258">
        <f t="shared" ca="1" si="61"/>
        <v>47827</v>
      </c>
      <c r="BD78" s="302">
        <f t="shared" ca="1" si="76"/>
        <v>5.7870356057992893</v>
      </c>
      <c r="BE78" s="133">
        <f t="shared" si="62"/>
        <v>55</v>
      </c>
      <c r="BF78" s="379">
        <f t="shared" ca="1" si="63"/>
        <v>47827</v>
      </c>
      <c r="BG78" s="133">
        <f t="shared" si="77"/>
        <v>91</v>
      </c>
      <c r="BH78" s="133">
        <f t="shared" si="78"/>
        <v>0</v>
      </c>
      <c r="BI78" s="133">
        <f t="shared" si="79"/>
        <v>0</v>
      </c>
      <c r="BJ78" s="133">
        <f t="shared" si="80"/>
        <v>0</v>
      </c>
      <c r="BK78" s="133">
        <f t="shared" si="81"/>
        <v>0</v>
      </c>
      <c r="BL78" s="133">
        <f t="shared" si="82"/>
        <v>0</v>
      </c>
      <c r="BM78" s="133">
        <f t="shared" si="83"/>
        <v>0</v>
      </c>
      <c r="BN78" s="133">
        <f t="shared" si="84"/>
        <v>0</v>
      </c>
      <c r="BO78" s="133">
        <f t="shared" si="85"/>
        <v>0</v>
      </c>
      <c r="BP78" s="133">
        <f t="shared" si="86"/>
        <v>0</v>
      </c>
      <c r="BQ78" s="133">
        <f t="shared" si="87"/>
        <v>0</v>
      </c>
      <c r="BR78" s="133">
        <f t="shared" si="88"/>
        <v>0</v>
      </c>
      <c r="BS78" s="133">
        <f t="shared" si="89"/>
        <v>0</v>
      </c>
      <c r="BT78" s="133">
        <f t="shared" si="90"/>
        <v>0</v>
      </c>
      <c r="BU78" s="133">
        <f t="shared" si="91"/>
        <v>0</v>
      </c>
      <c r="BV78" s="133">
        <f t="shared" si="92"/>
        <v>0</v>
      </c>
      <c r="BW78" s="133">
        <f t="shared" si="93"/>
        <v>0</v>
      </c>
      <c r="BX78" s="267"/>
      <c r="BY78" s="267"/>
      <c r="BZ78" s="267"/>
      <c r="CA78" s="267"/>
      <c r="CB78" s="267"/>
      <c r="CC78" s="267"/>
      <c r="CD78" s="267"/>
      <c r="CE78" s="267"/>
      <c r="CF78" s="267"/>
      <c r="CG78" s="267"/>
      <c r="CS78" s="138">
        <v>60</v>
      </c>
      <c r="CT78" s="259">
        <f t="shared" ca="1" si="29"/>
        <v>48009</v>
      </c>
      <c r="CU78" s="179">
        <f t="shared" ref="CU78:DC78" ca="1" si="346">(($AW83/(1+CU$18)^(($AZ83-$AZ$23)/30)))+($AS83/(1+CU$18)^(($AZ83-$AZ$23)/30))</f>
        <v>29.437919041401194</v>
      </c>
      <c r="CV78" s="179">
        <f t="shared" ca="1" si="346"/>
        <v>30.341463631710738</v>
      </c>
      <c r="CW78" s="179">
        <f t="shared" ca="1" si="346"/>
        <v>30.897068415986819</v>
      </c>
      <c r="CX78" s="179">
        <f t="shared" ca="1" si="346"/>
        <v>31.463015611471306</v>
      </c>
      <c r="CY78" s="179">
        <f t="shared" ca="1" si="346"/>
        <v>32.039500874124364</v>
      </c>
      <c r="CZ78" s="179">
        <f t="shared" ca="1" si="346"/>
        <v>32.626723620636717</v>
      </c>
      <c r="DA78" s="179">
        <f t="shared" ca="1" si="346"/>
        <v>33.024270931211923</v>
      </c>
      <c r="DB78" s="179">
        <f t="shared" ca="1" si="346"/>
        <v>33.834198477683437</v>
      </c>
      <c r="DC78" s="179">
        <f t="shared" ca="1" si="346"/>
        <v>34.246703439281276</v>
      </c>
      <c r="DD78" s="179">
        <f t="shared" ref="DD78:DI78" ca="1" si="347">(($AW83/(1+DD$18)^(($AZ83-$AZ$23)/30)))+($AS83/(1+DD$18)^(($AZ83-$AZ$23)/30))</f>
        <v>34.664320341057788</v>
      </c>
      <c r="DE78" s="179">
        <f t="shared" ca="1" si="347"/>
        <v>35.087113557637934</v>
      </c>
      <c r="DF78" s="179" t="e">
        <f t="shared" ca="1" si="347"/>
        <v>#VALUE!</v>
      </c>
      <c r="DG78" s="179" t="e">
        <f t="shared" ca="1" si="347"/>
        <v>#VALUE!</v>
      </c>
      <c r="DH78" s="179" t="e">
        <f t="shared" ca="1" si="347"/>
        <v>#VALUE!</v>
      </c>
      <c r="DI78" s="179" t="e">
        <f t="shared" ca="1" si="347"/>
        <v>#VALUE!</v>
      </c>
      <c r="DJ78" s="179" t="e">
        <f t="shared" ref="DJ78:DQ78" ca="1" si="348">(($AW83/(1+DJ$18)^(($AZ83-$AZ$23)/30)))+($AS83/(1+DJ$18)^(($AZ83-$AZ$23)/30))</f>
        <v>#VALUE!</v>
      </c>
      <c r="DK78" s="179" t="e">
        <f t="shared" ca="1" si="348"/>
        <v>#VALUE!</v>
      </c>
      <c r="DL78" s="179" t="e">
        <f t="shared" ca="1" si="348"/>
        <v>#VALUE!</v>
      </c>
      <c r="DM78" s="179" t="e">
        <f t="shared" ca="1" si="348"/>
        <v>#VALUE!</v>
      </c>
      <c r="DN78" s="179" t="e">
        <f t="shared" ca="1" si="348"/>
        <v>#VALUE!</v>
      </c>
      <c r="DO78" s="179" t="e">
        <f t="shared" ca="1" si="348"/>
        <v>#VALUE!</v>
      </c>
      <c r="DP78" s="179" t="e">
        <f t="shared" ca="1" si="348"/>
        <v>#VALUE!</v>
      </c>
      <c r="DQ78" s="179" t="e">
        <f t="shared" ca="1" si="348"/>
        <v>#VALUE!</v>
      </c>
      <c r="DR78" s="180">
        <f t="shared" ca="1" si="40"/>
        <v>5.7870356057992893</v>
      </c>
      <c r="DS78" s="180">
        <f t="shared" ca="1" si="300"/>
        <v>5.7870356057992893</v>
      </c>
      <c r="DT78" s="180">
        <f t="shared" ca="1" si="300"/>
        <v>5.7870356057992893</v>
      </c>
      <c r="DU78" s="180">
        <f t="shared" ca="1" si="300"/>
        <v>5.7870356057992893</v>
      </c>
      <c r="DV78" s="180">
        <f t="shared" ca="1" si="300"/>
        <v>5.7870356057992893</v>
      </c>
      <c r="DW78" s="180">
        <f t="shared" ca="1" si="300"/>
        <v>5.7870356057992893</v>
      </c>
      <c r="DX78" s="180">
        <f t="shared" ca="1" si="300"/>
        <v>5.7870356057992893</v>
      </c>
      <c r="DY78" s="180">
        <f t="shared" ca="1" si="300"/>
        <v>5.7870356057992893</v>
      </c>
      <c r="DZ78" s="180">
        <f t="shared" ca="1" si="300"/>
        <v>5.7870356057992893</v>
      </c>
      <c r="EA78" s="180">
        <f t="shared" ca="1" si="300"/>
        <v>5.7870356057992893</v>
      </c>
      <c r="EB78" s="180">
        <f t="shared" ca="1" si="300"/>
        <v>5.7870356057992893</v>
      </c>
      <c r="EC78" s="180">
        <f t="shared" ca="1" si="300"/>
        <v>5.7870356057992893</v>
      </c>
      <c r="ED78" s="180">
        <f t="shared" ca="1" si="300"/>
        <v>5.7870356057992893</v>
      </c>
      <c r="EE78" s="180">
        <f t="shared" ca="1" si="300"/>
        <v>5.7870356057992893</v>
      </c>
      <c r="EF78" s="180">
        <f t="shared" ca="1" si="300"/>
        <v>5.7870356057992893</v>
      </c>
      <c r="EG78" s="180">
        <f t="shared" ref="EG78:EO78" ca="1" si="349">IF($AU83&gt;$BA$19,0,$BA83-$AS83)</f>
        <v>5.7870356057992893</v>
      </c>
      <c r="EH78" s="180">
        <f t="shared" ca="1" si="349"/>
        <v>5.7870356057992893</v>
      </c>
      <c r="EI78" s="180">
        <f t="shared" ca="1" si="349"/>
        <v>5.7870356057992893</v>
      </c>
      <c r="EJ78" s="180">
        <f t="shared" ca="1" si="349"/>
        <v>5.7870356057992893</v>
      </c>
      <c r="EK78" s="180">
        <f t="shared" ca="1" si="349"/>
        <v>5.7870356057992893</v>
      </c>
      <c r="EL78" s="180">
        <f t="shared" ca="1" si="349"/>
        <v>5.7870356057992893</v>
      </c>
      <c r="EM78" s="180">
        <f t="shared" ca="1" si="349"/>
        <v>5.7870356057992893</v>
      </c>
      <c r="EN78" s="180">
        <f t="shared" ca="1" si="349"/>
        <v>5.7870356057992893</v>
      </c>
      <c r="EO78" s="180">
        <f t="shared" ca="1" si="349"/>
        <v>5.7870356057992893</v>
      </c>
      <c r="EQ78" s="259">
        <f t="shared" ca="1" si="42"/>
        <v>47978</v>
      </c>
      <c r="ER78" s="87">
        <f t="shared" ca="1" si="313"/>
        <v>5.7870356057992893</v>
      </c>
      <c r="ES78" s="87">
        <f t="shared" ca="1" si="313"/>
        <v>5.7870356057992893</v>
      </c>
      <c r="ET78" s="87">
        <f t="shared" ca="1" si="313"/>
        <v>5.7870356057992893</v>
      </c>
      <c r="EU78" s="87">
        <f t="shared" ca="1" si="313"/>
        <v>5.7870356057992893</v>
      </c>
      <c r="EV78" s="87">
        <f t="shared" ca="1" si="313"/>
        <v>5.7870356057992893</v>
      </c>
      <c r="EW78" s="87">
        <f t="shared" ca="1" si="313"/>
        <v>5.7870356057992893</v>
      </c>
      <c r="EX78" s="87">
        <f t="shared" ca="1" si="313"/>
        <v>5.7870356057992893</v>
      </c>
      <c r="EY78" s="87">
        <f t="shared" ca="1" si="313"/>
        <v>5.7870356057992893</v>
      </c>
      <c r="EZ78" s="87">
        <f t="shared" ca="1" si="313"/>
        <v>5.7870356057992893</v>
      </c>
      <c r="FA78" s="87">
        <f t="shared" ca="1" si="313"/>
        <v>5.7870356057992893</v>
      </c>
      <c r="FB78" s="87">
        <f t="shared" ca="1" si="313"/>
        <v>5.7870356057992893</v>
      </c>
      <c r="FC78" s="87">
        <f t="shared" ca="1" si="313"/>
        <v>5.7870356057992893</v>
      </c>
      <c r="FD78" s="87">
        <f t="shared" ca="1" si="313"/>
        <v>5.7870356057992893</v>
      </c>
      <c r="FE78" s="87">
        <f t="shared" ca="1" si="313"/>
        <v>5.7870356057992893</v>
      </c>
      <c r="FF78" s="87">
        <f t="shared" ca="1" si="313"/>
        <v>5.7870356057992893</v>
      </c>
      <c r="FG78" s="87">
        <f t="shared" ca="1" si="302"/>
        <v>5.7870356057992893</v>
      </c>
      <c r="FH78" s="87">
        <f t="shared" ca="1" si="302"/>
        <v>5.7870356057992893</v>
      </c>
      <c r="FI78" s="87">
        <f t="shared" ca="1" si="302"/>
        <v>5.7870356057992893</v>
      </c>
      <c r="FJ78" s="87">
        <f t="shared" ca="1" si="302"/>
        <v>5.7870356057992893</v>
      </c>
      <c r="FK78" s="87">
        <f t="shared" ca="1" si="302"/>
        <v>5.7870356057992893</v>
      </c>
      <c r="FL78" s="87">
        <f t="shared" ca="1" si="302"/>
        <v>5.7870356057992893</v>
      </c>
      <c r="FM78" s="87">
        <f t="shared" ca="1" si="302"/>
        <v>5.7870356057992893</v>
      </c>
      <c r="FN78" s="87">
        <f t="shared" ca="1" si="302"/>
        <v>5.7870356057992893</v>
      </c>
      <c r="FO78" s="87">
        <f t="shared" ca="1" si="302"/>
        <v>5.7870356057992893</v>
      </c>
      <c r="FP78" s="87">
        <f t="shared" ca="1" si="302"/>
        <v>5.7870356057992893</v>
      </c>
    </row>
    <row r="79" spans="2:172" ht="12.75" hidden="1" customHeight="1" x14ac:dyDescent="0.25">
      <c r="B79" s="87">
        <v>21</v>
      </c>
      <c r="C79" s="181">
        <f t="shared" ca="1" si="256"/>
        <v>46793</v>
      </c>
      <c r="D79" s="380">
        <f t="shared" ref="D79:M88" ca="1" si="350">IF($B79&lt;=D$20,1/(($C$57+1)^(($C79-$C$58)/30)),0)</f>
        <v>0.68006892730257185</v>
      </c>
      <c r="E79" s="380">
        <f t="shared" si="350"/>
        <v>0</v>
      </c>
      <c r="F79" s="380">
        <f t="shared" si="350"/>
        <v>0</v>
      </c>
      <c r="G79" s="380">
        <f t="shared" si="350"/>
        <v>0</v>
      </c>
      <c r="H79" s="380">
        <f t="shared" si="350"/>
        <v>0</v>
      </c>
      <c r="I79" s="380">
        <f t="shared" si="350"/>
        <v>0</v>
      </c>
      <c r="J79" s="380">
        <f t="shared" si="350"/>
        <v>0</v>
      </c>
      <c r="K79" s="380">
        <f t="shared" si="350"/>
        <v>0</v>
      </c>
      <c r="L79" s="380">
        <f t="shared" si="350"/>
        <v>0</v>
      </c>
      <c r="M79" s="380">
        <f t="shared" si="350"/>
        <v>0</v>
      </c>
      <c r="N79" s="380">
        <f t="shared" ref="N79:T88" si="351">IF($B79&lt;=N$20,1/(($C$57+1)^(($C79-$C$58)/30)),0)</f>
        <v>0</v>
      </c>
      <c r="O79" s="380">
        <f t="shared" si="351"/>
        <v>0</v>
      </c>
      <c r="P79" s="380">
        <f t="shared" si="351"/>
        <v>0</v>
      </c>
      <c r="Q79" s="380">
        <f t="shared" si="351"/>
        <v>0</v>
      </c>
      <c r="R79" s="380">
        <f t="shared" si="351"/>
        <v>0</v>
      </c>
      <c r="S79" s="380">
        <f t="shared" si="351"/>
        <v>0</v>
      </c>
      <c r="T79" s="380">
        <f t="shared" si="351"/>
        <v>0</v>
      </c>
      <c r="U79" s="175"/>
      <c r="V79" s="176"/>
      <c r="W79" s="176"/>
      <c r="X79" s="87">
        <v>64</v>
      </c>
      <c r="Y79" s="377">
        <f t="shared" ca="1" si="4"/>
        <v>85.212964394200711</v>
      </c>
      <c r="Z79" s="377">
        <f t="shared" si="5"/>
        <v>0</v>
      </c>
      <c r="AA79" s="377">
        <f t="shared" si="6"/>
        <v>0</v>
      </c>
      <c r="AB79" s="377">
        <f t="shared" si="7"/>
        <v>0</v>
      </c>
      <c r="AC79" s="377">
        <f t="shared" si="8"/>
        <v>0</v>
      </c>
      <c r="AD79" s="377">
        <f t="shared" si="9"/>
        <v>0</v>
      </c>
      <c r="AE79" s="377">
        <f t="shared" si="10"/>
        <v>0</v>
      </c>
      <c r="AF79" s="377">
        <f t="shared" si="11"/>
        <v>0</v>
      </c>
      <c r="AG79" s="377">
        <f t="shared" si="12"/>
        <v>0</v>
      </c>
      <c r="AH79" s="377">
        <f t="shared" si="13"/>
        <v>0</v>
      </c>
      <c r="AI79" s="377">
        <f t="shared" si="14"/>
        <v>0</v>
      </c>
      <c r="AJ79" s="377">
        <f t="shared" si="15"/>
        <v>0</v>
      </c>
      <c r="AK79" s="377">
        <f t="shared" si="16"/>
        <v>0</v>
      </c>
      <c r="AL79" s="377">
        <f t="shared" si="17"/>
        <v>0</v>
      </c>
      <c r="AM79" s="377">
        <f t="shared" si="18"/>
        <v>0</v>
      </c>
      <c r="AN79" s="377">
        <f t="shared" si="19"/>
        <v>0</v>
      </c>
      <c r="AO79" s="377">
        <f t="shared" si="20"/>
        <v>0</v>
      </c>
      <c r="AQ79" s="138">
        <v>56</v>
      </c>
      <c r="AR79" s="258">
        <f t="shared" ca="1" si="249"/>
        <v>47858</v>
      </c>
      <c r="AS79" s="378">
        <f t="shared" ca="1" si="70"/>
        <v>85.212964394200711</v>
      </c>
      <c r="AT79" s="138"/>
      <c r="AU79" s="138">
        <v>56</v>
      </c>
      <c r="AV79" s="258">
        <f t="shared" ca="1" si="250"/>
        <v>47889</v>
      </c>
      <c r="AW79" s="378">
        <f t="shared" ca="1" si="72"/>
        <v>5.7870356057992893</v>
      </c>
      <c r="AX79" s="202">
        <f t="shared" ca="1" si="73"/>
        <v>2.0099999999999998</v>
      </c>
      <c r="AY79" s="138">
        <v>56</v>
      </c>
      <c r="AZ79" s="258">
        <f t="shared" ca="1" si="251"/>
        <v>47889</v>
      </c>
      <c r="BA79" s="378">
        <f t="shared" si="75"/>
        <v>91</v>
      </c>
      <c r="BC79" s="258">
        <f t="shared" ca="1" si="61"/>
        <v>47858</v>
      </c>
      <c r="BD79" s="302">
        <f t="shared" ca="1" si="76"/>
        <v>5.7870356057992893</v>
      </c>
      <c r="BE79" s="133">
        <f t="shared" si="62"/>
        <v>56</v>
      </c>
      <c r="BF79" s="379">
        <f t="shared" ca="1" si="63"/>
        <v>47858</v>
      </c>
      <c r="BG79" s="133">
        <f t="shared" si="77"/>
        <v>91</v>
      </c>
      <c r="BH79" s="133">
        <f t="shared" si="78"/>
        <v>0</v>
      </c>
      <c r="BI79" s="133">
        <f t="shared" si="79"/>
        <v>0</v>
      </c>
      <c r="BJ79" s="133">
        <f t="shared" si="80"/>
        <v>0</v>
      </c>
      <c r="BK79" s="133">
        <f t="shared" si="81"/>
        <v>0</v>
      </c>
      <c r="BL79" s="133">
        <f t="shared" si="82"/>
        <v>0</v>
      </c>
      <c r="BM79" s="133">
        <f t="shared" si="83"/>
        <v>0</v>
      </c>
      <c r="BN79" s="133">
        <f t="shared" si="84"/>
        <v>0</v>
      </c>
      <c r="BO79" s="133">
        <f t="shared" si="85"/>
        <v>0</v>
      </c>
      <c r="BP79" s="133">
        <f t="shared" si="86"/>
        <v>0</v>
      </c>
      <c r="BQ79" s="133">
        <f t="shared" si="87"/>
        <v>0</v>
      </c>
      <c r="BR79" s="133">
        <f t="shared" si="88"/>
        <v>0</v>
      </c>
      <c r="BS79" s="133">
        <f t="shared" si="89"/>
        <v>0</v>
      </c>
      <c r="BT79" s="133">
        <f t="shared" si="90"/>
        <v>0</v>
      </c>
      <c r="BU79" s="133">
        <f t="shared" si="91"/>
        <v>0</v>
      </c>
      <c r="BV79" s="133">
        <f t="shared" si="92"/>
        <v>0</v>
      </c>
      <c r="BW79" s="133">
        <f t="shared" si="93"/>
        <v>0</v>
      </c>
      <c r="BX79" s="267"/>
      <c r="BY79" s="267"/>
      <c r="BZ79" s="267"/>
      <c r="CA79" s="267"/>
      <c r="CB79" s="267"/>
      <c r="CC79" s="267"/>
      <c r="CD79" s="267"/>
      <c r="CE79" s="267"/>
      <c r="CF79" s="267"/>
      <c r="CG79" s="267"/>
      <c r="CS79" s="87">
        <v>61</v>
      </c>
      <c r="CT79" s="259">
        <f t="shared" ca="1" si="29"/>
        <v>48039</v>
      </c>
      <c r="CU79" s="179">
        <f t="shared" ref="CU79:DC79" ca="1" si="352">(($AW84/(1+CU$18)^(($AZ84-$AZ$23)/30)))+($AS84/(1+CU$18)^(($AZ84-$AZ$23)/30))</f>
        <v>28.903209662642311</v>
      </c>
      <c r="CV79" s="179">
        <f t="shared" ca="1" si="352"/>
        <v>29.804974097947682</v>
      </c>
      <c r="CW79" s="179">
        <f t="shared" ca="1" si="352"/>
        <v>30.359701695968184</v>
      </c>
      <c r="CX79" s="179">
        <f t="shared" ca="1" si="352"/>
        <v>30.924921969207102</v>
      </c>
      <c r="CY79" s="179">
        <f t="shared" ca="1" si="352"/>
        <v>31.500836568797922</v>
      </c>
      <c r="CZ79" s="179">
        <f t="shared" ca="1" si="352"/>
        <v>32.087651082451536</v>
      </c>
      <c r="DA79" s="179">
        <f t="shared" ca="1" si="352"/>
        <v>32.485019605756378</v>
      </c>
      <c r="DB79" s="179">
        <f t="shared" ca="1" si="352"/>
        <v>33.294822355523948</v>
      </c>
      <c r="DC79" s="179">
        <f t="shared" ca="1" si="352"/>
        <v>33.707385274883144</v>
      </c>
      <c r="DD79" s="179">
        <f t="shared" ref="DD79:DI79" ca="1" si="353">(($AW84/(1+DD$18)^(($AZ84-$AZ$23)/30)))+($AS84/(1+DD$18)^(($AZ84-$AZ$23)/30))</f>
        <v>34.125143080387666</v>
      </c>
      <c r="DE79" s="179">
        <f t="shared" ca="1" si="353"/>
        <v>34.54816222689832</v>
      </c>
      <c r="DF79" s="179" t="e">
        <f t="shared" ca="1" si="353"/>
        <v>#VALUE!</v>
      </c>
      <c r="DG79" s="179" t="e">
        <f t="shared" ca="1" si="353"/>
        <v>#VALUE!</v>
      </c>
      <c r="DH79" s="179" t="e">
        <f t="shared" ca="1" si="353"/>
        <v>#VALUE!</v>
      </c>
      <c r="DI79" s="179" t="e">
        <f t="shared" ca="1" si="353"/>
        <v>#VALUE!</v>
      </c>
      <c r="DJ79" s="179" t="e">
        <f t="shared" ref="DJ79:DQ79" ca="1" si="354">(($AW84/(1+DJ$18)^(($AZ84-$AZ$23)/30)))+($AS84/(1+DJ$18)^(($AZ84-$AZ$23)/30))</f>
        <v>#VALUE!</v>
      </c>
      <c r="DK79" s="179" t="e">
        <f t="shared" ca="1" si="354"/>
        <v>#VALUE!</v>
      </c>
      <c r="DL79" s="179" t="e">
        <f t="shared" ca="1" si="354"/>
        <v>#VALUE!</v>
      </c>
      <c r="DM79" s="179" t="e">
        <f t="shared" ca="1" si="354"/>
        <v>#VALUE!</v>
      </c>
      <c r="DN79" s="179" t="e">
        <f t="shared" ca="1" si="354"/>
        <v>#VALUE!</v>
      </c>
      <c r="DO79" s="179" t="e">
        <f t="shared" ca="1" si="354"/>
        <v>#VALUE!</v>
      </c>
      <c r="DP79" s="179" t="e">
        <f t="shared" ca="1" si="354"/>
        <v>#VALUE!</v>
      </c>
      <c r="DQ79" s="179" t="e">
        <f t="shared" ca="1" si="354"/>
        <v>#VALUE!</v>
      </c>
      <c r="DR79" s="180">
        <f t="shared" ca="1" si="40"/>
        <v>5.7870356057992893</v>
      </c>
      <c r="DS79" s="180">
        <f t="shared" ca="1" si="300"/>
        <v>5.7870356057992893</v>
      </c>
      <c r="DT79" s="180">
        <f t="shared" ca="1" si="300"/>
        <v>5.7870356057992893</v>
      </c>
      <c r="DU79" s="180">
        <f t="shared" ca="1" si="300"/>
        <v>5.7870356057992893</v>
      </c>
      <c r="DV79" s="180">
        <f t="shared" ca="1" si="300"/>
        <v>5.7870356057992893</v>
      </c>
      <c r="DW79" s="180">
        <f t="shared" ca="1" si="300"/>
        <v>5.7870356057992893</v>
      </c>
      <c r="DX79" s="180">
        <f t="shared" ca="1" si="300"/>
        <v>5.7870356057992893</v>
      </c>
      <c r="DY79" s="180">
        <f t="shared" ca="1" si="300"/>
        <v>5.7870356057992893</v>
      </c>
      <c r="DZ79" s="180">
        <f t="shared" ca="1" si="300"/>
        <v>5.7870356057992893</v>
      </c>
      <c r="EA79" s="180">
        <f t="shared" ca="1" si="300"/>
        <v>5.7870356057992893</v>
      </c>
      <c r="EB79" s="180">
        <f t="shared" ca="1" si="300"/>
        <v>5.7870356057992893</v>
      </c>
      <c r="EC79" s="180">
        <f t="shared" ca="1" si="300"/>
        <v>5.7870356057992893</v>
      </c>
      <c r="ED79" s="180">
        <f t="shared" ca="1" si="300"/>
        <v>5.7870356057992893</v>
      </c>
      <c r="EE79" s="180">
        <f t="shared" ca="1" si="300"/>
        <v>5.7870356057992893</v>
      </c>
      <c r="EF79" s="180">
        <f t="shared" ca="1" si="300"/>
        <v>5.7870356057992893</v>
      </c>
      <c r="EG79" s="180">
        <f t="shared" ref="EG79:EO79" ca="1" si="355">IF($AU84&gt;$BA$19,0,$BA84-$AS84)</f>
        <v>5.7870356057992893</v>
      </c>
      <c r="EH79" s="180">
        <f t="shared" ca="1" si="355"/>
        <v>5.7870356057992893</v>
      </c>
      <c r="EI79" s="180">
        <f t="shared" ca="1" si="355"/>
        <v>5.7870356057992893</v>
      </c>
      <c r="EJ79" s="180">
        <f t="shared" ca="1" si="355"/>
        <v>5.7870356057992893</v>
      </c>
      <c r="EK79" s="180">
        <f t="shared" ca="1" si="355"/>
        <v>5.7870356057992893</v>
      </c>
      <c r="EL79" s="180">
        <f t="shared" ca="1" si="355"/>
        <v>5.7870356057992893</v>
      </c>
      <c r="EM79" s="180">
        <f t="shared" ca="1" si="355"/>
        <v>5.7870356057992893</v>
      </c>
      <c r="EN79" s="180">
        <f t="shared" ca="1" si="355"/>
        <v>5.7870356057992893</v>
      </c>
      <c r="EO79" s="180">
        <f t="shared" ca="1" si="355"/>
        <v>5.7870356057992893</v>
      </c>
      <c r="EQ79" s="259">
        <f t="shared" ca="1" si="42"/>
        <v>48009</v>
      </c>
      <c r="ER79" s="87">
        <f t="shared" ref="ER79:FF88" ca="1" si="356" xml:space="preserve"> IFERROR(VLOOKUP($EQ79,$AZ$23:$BA$167,2,FALSE),0)-IFERROR(VLOOKUP($EQ79,$AR$23:$AS$167,2,FALSE),0)</f>
        <v>5.7870356057992893</v>
      </c>
      <c r="ES79" s="87">
        <f t="shared" ca="1" si="356"/>
        <v>5.7870356057992893</v>
      </c>
      <c r="ET79" s="87">
        <f t="shared" ca="1" si="356"/>
        <v>5.7870356057992893</v>
      </c>
      <c r="EU79" s="87">
        <f t="shared" ca="1" si="356"/>
        <v>5.7870356057992893</v>
      </c>
      <c r="EV79" s="87">
        <f t="shared" ca="1" si="356"/>
        <v>5.7870356057992893</v>
      </c>
      <c r="EW79" s="87">
        <f t="shared" ca="1" si="356"/>
        <v>5.7870356057992893</v>
      </c>
      <c r="EX79" s="87">
        <f t="shared" ca="1" si="356"/>
        <v>5.7870356057992893</v>
      </c>
      <c r="EY79" s="87">
        <f t="shared" ca="1" si="356"/>
        <v>5.7870356057992893</v>
      </c>
      <c r="EZ79" s="87">
        <f t="shared" ca="1" si="356"/>
        <v>5.7870356057992893</v>
      </c>
      <c r="FA79" s="87">
        <f t="shared" ca="1" si="356"/>
        <v>5.7870356057992893</v>
      </c>
      <c r="FB79" s="87">
        <f t="shared" ca="1" si="356"/>
        <v>5.7870356057992893</v>
      </c>
      <c r="FC79" s="87">
        <f t="shared" ca="1" si="356"/>
        <v>5.7870356057992893</v>
      </c>
      <c r="FD79" s="87">
        <f t="shared" ca="1" si="356"/>
        <v>5.7870356057992893</v>
      </c>
      <c r="FE79" s="87">
        <f t="shared" ca="1" si="356"/>
        <v>5.7870356057992893</v>
      </c>
      <c r="FF79" s="87">
        <f t="shared" ca="1" si="356"/>
        <v>5.7870356057992893</v>
      </c>
      <c r="FG79" s="87">
        <f t="shared" ca="1" si="302"/>
        <v>5.7870356057992893</v>
      </c>
      <c r="FH79" s="87">
        <f t="shared" ca="1" si="302"/>
        <v>5.7870356057992893</v>
      </c>
      <c r="FI79" s="87">
        <f t="shared" ca="1" si="302"/>
        <v>5.7870356057992893</v>
      </c>
      <c r="FJ79" s="87">
        <f t="shared" ca="1" si="302"/>
        <v>5.7870356057992893</v>
      </c>
      <c r="FK79" s="87">
        <f t="shared" ca="1" si="302"/>
        <v>5.7870356057992893</v>
      </c>
      <c r="FL79" s="87">
        <f t="shared" ca="1" si="302"/>
        <v>5.7870356057992893</v>
      </c>
      <c r="FM79" s="87">
        <f t="shared" ca="1" si="302"/>
        <v>5.7870356057992893</v>
      </c>
      <c r="FN79" s="87">
        <f t="shared" ca="1" si="302"/>
        <v>5.7870356057992893</v>
      </c>
      <c r="FO79" s="87">
        <f t="shared" ca="1" si="302"/>
        <v>5.7870356057992893</v>
      </c>
      <c r="FP79" s="87">
        <f t="shared" ca="1" si="302"/>
        <v>5.7870356057992893</v>
      </c>
    </row>
    <row r="80" spans="2:172" ht="12.75" hidden="1" customHeight="1" x14ac:dyDescent="0.25">
      <c r="B80" s="87">
        <v>22</v>
      </c>
      <c r="C80" s="181">
        <f t="shared" ca="1" si="256"/>
        <v>46822</v>
      </c>
      <c r="D80" s="380">
        <f t="shared" ca="1" si="350"/>
        <v>0.6681242985619279</v>
      </c>
      <c r="E80" s="380">
        <f t="shared" si="350"/>
        <v>0</v>
      </c>
      <c r="F80" s="380">
        <f t="shared" si="350"/>
        <v>0</v>
      </c>
      <c r="G80" s="380">
        <f t="shared" si="350"/>
        <v>0</v>
      </c>
      <c r="H80" s="380">
        <f t="shared" si="350"/>
        <v>0</v>
      </c>
      <c r="I80" s="380">
        <f t="shared" si="350"/>
        <v>0</v>
      </c>
      <c r="J80" s="380">
        <f t="shared" si="350"/>
        <v>0</v>
      </c>
      <c r="K80" s="380">
        <f t="shared" si="350"/>
        <v>0</v>
      </c>
      <c r="L80" s="380">
        <f t="shared" si="350"/>
        <v>0</v>
      </c>
      <c r="M80" s="380">
        <f t="shared" si="350"/>
        <v>0</v>
      </c>
      <c r="N80" s="380">
        <f t="shared" si="351"/>
        <v>0</v>
      </c>
      <c r="O80" s="380">
        <f t="shared" si="351"/>
        <v>0</v>
      </c>
      <c r="P80" s="380">
        <f t="shared" si="351"/>
        <v>0</v>
      </c>
      <c r="Q80" s="380">
        <f t="shared" si="351"/>
        <v>0</v>
      </c>
      <c r="R80" s="380">
        <f t="shared" si="351"/>
        <v>0</v>
      </c>
      <c r="S80" s="380">
        <f t="shared" si="351"/>
        <v>0</v>
      </c>
      <c r="T80" s="380">
        <f t="shared" si="351"/>
        <v>0</v>
      </c>
      <c r="U80" s="175"/>
      <c r="V80" s="176"/>
      <c r="W80" s="176"/>
      <c r="X80" s="87">
        <v>65</v>
      </c>
      <c r="Y80" s="377">
        <f t="shared" ca="1" si="4"/>
        <v>85.212964394200711</v>
      </c>
      <c r="Z80" s="377">
        <f t="shared" si="5"/>
        <v>0</v>
      </c>
      <c r="AA80" s="377">
        <f t="shared" si="6"/>
        <v>0</v>
      </c>
      <c r="AB80" s="377">
        <f t="shared" si="7"/>
        <v>0</v>
      </c>
      <c r="AC80" s="377">
        <f t="shared" si="8"/>
        <v>0</v>
      </c>
      <c r="AD80" s="377">
        <f t="shared" si="9"/>
        <v>0</v>
      </c>
      <c r="AE80" s="377">
        <f t="shared" si="10"/>
        <v>0</v>
      </c>
      <c r="AF80" s="377">
        <f t="shared" si="11"/>
        <v>0</v>
      </c>
      <c r="AG80" s="377">
        <f t="shared" si="12"/>
        <v>0</v>
      </c>
      <c r="AH80" s="377">
        <f t="shared" si="13"/>
        <v>0</v>
      </c>
      <c r="AI80" s="377">
        <f t="shared" si="14"/>
        <v>0</v>
      </c>
      <c r="AJ80" s="377">
        <f t="shared" si="15"/>
        <v>0</v>
      </c>
      <c r="AK80" s="377">
        <f t="shared" si="16"/>
        <v>0</v>
      </c>
      <c r="AL80" s="377">
        <f t="shared" si="17"/>
        <v>0</v>
      </c>
      <c r="AM80" s="377">
        <f t="shared" si="18"/>
        <v>0</v>
      </c>
      <c r="AN80" s="377">
        <f t="shared" si="19"/>
        <v>0</v>
      </c>
      <c r="AO80" s="377">
        <f t="shared" si="20"/>
        <v>0</v>
      </c>
      <c r="AQ80" s="138">
        <v>57</v>
      </c>
      <c r="AR80" s="258">
        <f t="shared" ca="1" si="249"/>
        <v>47889</v>
      </c>
      <c r="AS80" s="378">
        <f t="shared" ca="1" si="70"/>
        <v>85.212964394200711</v>
      </c>
      <c r="AT80" s="138"/>
      <c r="AU80" s="138">
        <v>57</v>
      </c>
      <c r="AV80" s="258">
        <f t="shared" ca="1" si="250"/>
        <v>47917</v>
      </c>
      <c r="AW80" s="378">
        <f t="shared" ca="1" si="72"/>
        <v>5.7870356057992893</v>
      </c>
      <c r="AX80" s="202">
        <f t="shared" ca="1" si="73"/>
        <v>1.98</v>
      </c>
      <c r="AY80" s="138">
        <v>57</v>
      </c>
      <c r="AZ80" s="258">
        <f t="shared" ca="1" si="251"/>
        <v>47917</v>
      </c>
      <c r="BA80" s="378">
        <f t="shared" si="75"/>
        <v>91</v>
      </c>
      <c r="BC80" s="258">
        <f t="shared" ca="1" si="61"/>
        <v>47889</v>
      </c>
      <c r="BD80" s="302">
        <f t="shared" ca="1" si="76"/>
        <v>5.7870356057992893</v>
      </c>
      <c r="BE80" s="133">
        <f t="shared" si="62"/>
        <v>57</v>
      </c>
      <c r="BF80" s="379">
        <f t="shared" ca="1" si="63"/>
        <v>47889</v>
      </c>
      <c r="BG80" s="133">
        <f t="shared" si="77"/>
        <v>91</v>
      </c>
      <c r="BH80" s="133">
        <f t="shared" si="78"/>
        <v>0</v>
      </c>
      <c r="BI80" s="133">
        <f t="shared" si="79"/>
        <v>0</v>
      </c>
      <c r="BJ80" s="133">
        <f t="shared" si="80"/>
        <v>0</v>
      </c>
      <c r="BK80" s="133">
        <f t="shared" si="81"/>
        <v>0</v>
      </c>
      <c r="BL80" s="133">
        <f t="shared" si="82"/>
        <v>0</v>
      </c>
      <c r="BM80" s="133">
        <f t="shared" si="83"/>
        <v>0</v>
      </c>
      <c r="BN80" s="133">
        <f t="shared" si="84"/>
        <v>0</v>
      </c>
      <c r="BO80" s="133">
        <f t="shared" si="85"/>
        <v>0</v>
      </c>
      <c r="BP80" s="133">
        <f t="shared" si="86"/>
        <v>0</v>
      </c>
      <c r="BQ80" s="133">
        <f t="shared" si="87"/>
        <v>0</v>
      </c>
      <c r="BR80" s="133">
        <f t="shared" si="88"/>
        <v>0</v>
      </c>
      <c r="BS80" s="133">
        <f t="shared" si="89"/>
        <v>0</v>
      </c>
      <c r="BT80" s="133">
        <f t="shared" si="90"/>
        <v>0</v>
      </c>
      <c r="BU80" s="133">
        <f t="shared" si="91"/>
        <v>0</v>
      </c>
      <c r="BV80" s="133">
        <f t="shared" si="92"/>
        <v>0</v>
      </c>
      <c r="BW80" s="133">
        <f t="shared" si="93"/>
        <v>0</v>
      </c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S80" s="178">
        <v>62</v>
      </c>
      <c r="CT80" s="259">
        <f t="shared" ca="1" si="29"/>
        <v>48070</v>
      </c>
      <c r="CU80" s="179">
        <f t="shared" ref="CU80:DC80" ca="1" si="357">(($AW85/(1+CU$18)^(($AZ85-$AZ$23)/30)))+($AS85/(1+CU$18)^(($AZ85-$AZ$23)/30))</f>
        <v>28.36087803081173</v>
      </c>
      <c r="CV80" s="179">
        <f t="shared" ca="1" si="357"/>
        <v>29.26056524905766</v>
      </c>
      <c r="CW80" s="179">
        <f t="shared" ca="1" si="357"/>
        <v>29.814239304432164</v>
      </c>
      <c r="CX80" s="179">
        <f t="shared" ca="1" si="357"/>
        <v>30.378557977470379</v>
      </c>
      <c r="CY80" s="179">
        <f t="shared" ca="1" si="357"/>
        <v>30.953729145129092</v>
      </c>
      <c r="CZ80" s="179">
        <f t="shared" ca="1" si="357"/>
        <v>31.539964807067605</v>
      </c>
      <c r="DA80" s="179">
        <f t="shared" ca="1" si="357"/>
        <v>31.937042115428877</v>
      </c>
      <c r="DB80" s="179">
        <f t="shared" ca="1" si="357"/>
        <v>32.746498725734781</v>
      </c>
      <c r="DC80" s="179">
        <f t="shared" ca="1" si="357"/>
        <v>33.159010848959007</v>
      </c>
      <c r="DD80" s="179">
        <f t="shared" ref="DD80:DI80" ca="1" si="358">(($AW85/(1+DD$18)^(($AZ85-$AZ$23)/30)))+($AS85/(1+DD$18)^(($AZ85-$AZ$23)/30))</f>
        <v>33.57680219391338</v>
      </c>
      <c r="DE80" s="179">
        <f t="shared" ca="1" si="358"/>
        <v>33.999941382123247</v>
      </c>
      <c r="DF80" s="179" t="e">
        <f t="shared" ca="1" si="358"/>
        <v>#VALUE!</v>
      </c>
      <c r="DG80" s="179" t="e">
        <f t="shared" ca="1" si="358"/>
        <v>#VALUE!</v>
      </c>
      <c r="DH80" s="179" t="e">
        <f t="shared" ca="1" si="358"/>
        <v>#VALUE!</v>
      </c>
      <c r="DI80" s="179" t="e">
        <f t="shared" ca="1" si="358"/>
        <v>#VALUE!</v>
      </c>
      <c r="DJ80" s="179" t="e">
        <f t="shared" ref="DJ80:DQ80" ca="1" si="359">(($AW85/(1+DJ$18)^(($AZ85-$AZ$23)/30)))+($AS85/(1+DJ$18)^(($AZ85-$AZ$23)/30))</f>
        <v>#VALUE!</v>
      </c>
      <c r="DK80" s="179" t="e">
        <f t="shared" ca="1" si="359"/>
        <v>#VALUE!</v>
      </c>
      <c r="DL80" s="179" t="e">
        <f t="shared" ca="1" si="359"/>
        <v>#VALUE!</v>
      </c>
      <c r="DM80" s="179" t="e">
        <f t="shared" ca="1" si="359"/>
        <v>#VALUE!</v>
      </c>
      <c r="DN80" s="179" t="e">
        <f t="shared" ca="1" si="359"/>
        <v>#VALUE!</v>
      </c>
      <c r="DO80" s="179" t="e">
        <f t="shared" ca="1" si="359"/>
        <v>#VALUE!</v>
      </c>
      <c r="DP80" s="179" t="e">
        <f t="shared" ca="1" si="359"/>
        <v>#VALUE!</v>
      </c>
      <c r="DQ80" s="179" t="e">
        <f t="shared" ca="1" si="359"/>
        <v>#VALUE!</v>
      </c>
      <c r="DR80" s="180">
        <f t="shared" ca="1" si="40"/>
        <v>5.7870356057992893</v>
      </c>
      <c r="DS80" s="180">
        <f t="shared" ca="1" si="300"/>
        <v>5.7870356057992893</v>
      </c>
      <c r="DT80" s="180">
        <f t="shared" ca="1" si="300"/>
        <v>5.7870356057992893</v>
      </c>
      <c r="DU80" s="180">
        <f t="shared" ca="1" si="300"/>
        <v>5.7870356057992893</v>
      </c>
      <c r="DV80" s="180">
        <f t="shared" ca="1" si="300"/>
        <v>5.7870356057992893</v>
      </c>
      <c r="DW80" s="180">
        <f t="shared" ca="1" si="300"/>
        <v>5.7870356057992893</v>
      </c>
      <c r="DX80" s="180">
        <f t="shared" ca="1" si="300"/>
        <v>5.7870356057992893</v>
      </c>
      <c r="DY80" s="180">
        <f t="shared" ca="1" si="300"/>
        <v>5.7870356057992893</v>
      </c>
      <c r="DZ80" s="180">
        <f t="shared" ca="1" si="300"/>
        <v>5.7870356057992893</v>
      </c>
      <c r="EA80" s="180">
        <f t="shared" ca="1" si="300"/>
        <v>5.7870356057992893</v>
      </c>
      <c r="EB80" s="180">
        <f t="shared" ca="1" si="300"/>
        <v>5.7870356057992893</v>
      </c>
      <c r="EC80" s="180">
        <f t="shared" ca="1" si="300"/>
        <v>5.7870356057992893</v>
      </c>
      <c r="ED80" s="180">
        <f t="shared" ca="1" si="300"/>
        <v>5.7870356057992893</v>
      </c>
      <c r="EE80" s="180">
        <f t="shared" ca="1" si="300"/>
        <v>5.7870356057992893</v>
      </c>
      <c r="EF80" s="180">
        <f t="shared" ca="1" si="300"/>
        <v>5.7870356057992893</v>
      </c>
      <c r="EG80" s="180">
        <f t="shared" ref="EG80:EO80" ca="1" si="360">IF($AU85&gt;$BA$19,0,$BA85-$AS85)</f>
        <v>5.7870356057992893</v>
      </c>
      <c r="EH80" s="180">
        <f t="shared" ca="1" si="360"/>
        <v>5.7870356057992893</v>
      </c>
      <c r="EI80" s="180">
        <f t="shared" ca="1" si="360"/>
        <v>5.7870356057992893</v>
      </c>
      <c r="EJ80" s="180">
        <f t="shared" ca="1" si="360"/>
        <v>5.7870356057992893</v>
      </c>
      <c r="EK80" s="180">
        <f t="shared" ca="1" si="360"/>
        <v>5.7870356057992893</v>
      </c>
      <c r="EL80" s="180">
        <f t="shared" ca="1" si="360"/>
        <v>5.7870356057992893</v>
      </c>
      <c r="EM80" s="180">
        <f t="shared" ca="1" si="360"/>
        <v>5.7870356057992893</v>
      </c>
      <c r="EN80" s="180">
        <f t="shared" ca="1" si="360"/>
        <v>5.7870356057992893</v>
      </c>
      <c r="EO80" s="180">
        <f t="shared" ca="1" si="360"/>
        <v>5.7870356057992893</v>
      </c>
      <c r="EQ80" s="259">
        <f t="shared" ca="1" si="42"/>
        <v>48039</v>
      </c>
      <c r="ER80" s="87">
        <f t="shared" ca="1" si="356"/>
        <v>5.7870356057992893</v>
      </c>
      <c r="ES80" s="87">
        <f t="shared" ca="1" si="356"/>
        <v>5.7870356057992893</v>
      </c>
      <c r="ET80" s="87">
        <f t="shared" ca="1" si="356"/>
        <v>5.7870356057992893</v>
      </c>
      <c r="EU80" s="87">
        <f t="shared" ca="1" si="356"/>
        <v>5.7870356057992893</v>
      </c>
      <c r="EV80" s="87">
        <f t="shared" ca="1" si="356"/>
        <v>5.7870356057992893</v>
      </c>
      <c r="EW80" s="87">
        <f t="shared" ca="1" si="356"/>
        <v>5.7870356057992893</v>
      </c>
      <c r="EX80" s="87">
        <f t="shared" ca="1" si="356"/>
        <v>5.7870356057992893</v>
      </c>
      <c r="EY80" s="87">
        <f t="shared" ca="1" si="356"/>
        <v>5.7870356057992893</v>
      </c>
      <c r="EZ80" s="87">
        <f t="shared" ca="1" si="356"/>
        <v>5.7870356057992893</v>
      </c>
      <c r="FA80" s="87">
        <f t="shared" ca="1" si="356"/>
        <v>5.7870356057992893</v>
      </c>
      <c r="FB80" s="87">
        <f t="shared" ca="1" si="356"/>
        <v>5.7870356057992893</v>
      </c>
      <c r="FC80" s="87">
        <f t="shared" ca="1" si="356"/>
        <v>5.7870356057992893</v>
      </c>
      <c r="FD80" s="87">
        <f t="shared" ca="1" si="356"/>
        <v>5.7870356057992893</v>
      </c>
      <c r="FE80" s="87">
        <f t="shared" ca="1" si="356"/>
        <v>5.7870356057992893</v>
      </c>
      <c r="FF80" s="87">
        <f t="shared" ca="1" si="356"/>
        <v>5.7870356057992893</v>
      </c>
      <c r="FG80" s="87">
        <f t="shared" ca="1" si="302"/>
        <v>5.7870356057992893</v>
      </c>
      <c r="FH80" s="87">
        <f t="shared" ca="1" si="302"/>
        <v>5.7870356057992893</v>
      </c>
      <c r="FI80" s="87">
        <f t="shared" ca="1" si="302"/>
        <v>5.7870356057992893</v>
      </c>
      <c r="FJ80" s="87">
        <f t="shared" ca="1" si="302"/>
        <v>5.7870356057992893</v>
      </c>
      <c r="FK80" s="87">
        <f t="shared" ca="1" si="302"/>
        <v>5.7870356057992893</v>
      </c>
      <c r="FL80" s="87">
        <f t="shared" ca="1" si="302"/>
        <v>5.7870356057992893</v>
      </c>
      <c r="FM80" s="87">
        <f t="shared" ca="1" si="302"/>
        <v>5.7870356057992893</v>
      </c>
      <c r="FN80" s="87">
        <f t="shared" ca="1" si="302"/>
        <v>5.7870356057992893</v>
      </c>
      <c r="FO80" s="87">
        <f t="shared" ca="1" si="302"/>
        <v>5.7870356057992893</v>
      </c>
      <c r="FP80" s="87">
        <f t="shared" ca="1" si="302"/>
        <v>5.7870356057992893</v>
      </c>
    </row>
    <row r="81" spans="2:172" ht="12.75" hidden="1" customHeight="1" x14ac:dyDescent="0.25">
      <c r="B81" s="87">
        <v>23</v>
      </c>
      <c r="C81" s="181">
        <f t="shared" ca="1" si="256"/>
        <v>46853</v>
      </c>
      <c r="D81" s="380">
        <f t="shared" ca="1" si="350"/>
        <v>0.65558780364202063</v>
      </c>
      <c r="E81" s="380">
        <f t="shared" si="350"/>
        <v>0</v>
      </c>
      <c r="F81" s="380">
        <f t="shared" si="350"/>
        <v>0</v>
      </c>
      <c r="G81" s="380">
        <f t="shared" si="350"/>
        <v>0</v>
      </c>
      <c r="H81" s="380">
        <f t="shared" si="350"/>
        <v>0</v>
      </c>
      <c r="I81" s="380">
        <f t="shared" si="350"/>
        <v>0</v>
      </c>
      <c r="J81" s="380">
        <f t="shared" si="350"/>
        <v>0</v>
      </c>
      <c r="K81" s="380">
        <f t="shared" si="350"/>
        <v>0</v>
      </c>
      <c r="L81" s="380">
        <f t="shared" si="350"/>
        <v>0</v>
      </c>
      <c r="M81" s="380">
        <f t="shared" si="350"/>
        <v>0</v>
      </c>
      <c r="N81" s="380">
        <f t="shared" si="351"/>
        <v>0</v>
      </c>
      <c r="O81" s="380">
        <f t="shared" si="351"/>
        <v>0</v>
      </c>
      <c r="P81" s="380">
        <f t="shared" si="351"/>
        <v>0</v>
      </c>
      <c r="Q81" s="380">
        <f t="shared" si="351"/>
        <v>0</v>
      </c>
      <c r="R81" s="380">
        <f t="shared" si="351"/>
        <v>0</v>
      </c>
      <c r="S81" s="380">
        <f t="shared" si="351"/>
        <v>0</v>
      </c>
      <c r="T81" s="380">
        <f t="shared" si="351"/>
        <v>0</v>
      </c>
      <c r="U81" s="175"/>
      <c r="V81" s="176"/>
      <c r="W81" s="176"/>
      <c r="X81" s="87">
        <v>66</v>
      </c>
      <c r="Y81" s="377">
        <f t="shared" ref="Y81:Y144" ca="1" si="361">IF(D$18&gt;=$E$24,IF($X81&lt;=D$20,D$22,0),0)</f>
        <v>85.212964394200711</v>
      </c>
      <c r="Z81" s="377">
        <f t="shared" ref="Z81:Z144" si="362">IF(E$18&gt;=$E$24,IF($X81&lt;=E$20,E$22,0),0)</f>
        <v>0</v>
      </c>
      <c r="AA81" s="377">
        <f t="shared" ref="AA81:AA144" si="363">IF(F$18&gt;=$E$24,IF($X81&lt;=F$20,F$22,0),0)</f>
        <v>0</v>
      </c>
      <c r="AB81" s="377">
        <f t="shared" ref="AB81:AB144" si="364">IF(G$18&gt;=$E$24,IF($X81&lt;=G$20,G$22,0),0)</f>
        <v>0</v>
      </c>
      <c r="AC81" s="377">
        <f t="shared" ref="AC81:AC144" si="365">IF(H$18&gt;=$E$24,IF($X81&lt;=H$20,H$22,0),0)</f>
        <v>0</v>
      </c>
      <c r="AD81" s="377">
        <f t="shared" ref="AD81:AD144" si="366">IF(I$18&gt;=$E$24,IF($X81&lt;=I$20,I$22,0),0)</f>
        <v>0</v>
      </c>
      <c r="AE81" s="377">
        <f t="shared" ref="AE81:AE144" si="367">IF(J$18&gt;=$E$24,IF($X81&lt;=J$20,J$22,0),0)</f>
        <v>0</v>
      </c>
      <c r="AF81" s="377">
        <f t="shared" ref="AF81:AF144" si="368">IF(K$18&gt;=$E$24,IF($X81&lt;=K$20,K$22,0),0)</f>
        <v>0</v>
      </c>
      <c r="AG81" s="377">
        <f t="shared" ref="AG81:AG144" si="369">IF(L$18&gt;=$E$24,IF($X81&lt;=L$20,L$22,0),0)</f>
        <v>0</v>
      </c>
      <c r="AH81" s="377">
        <f t="shared" ref="AH81:AH144" si="370">IF(M$18&gt;=$E$24,IF($X81&lt;=M$20,M$22,0),0)</f>
        <v>0</v>
      </c>
      <c r="AI81" s="377">
        <f t="shared" ref="AI81:AI144" si="371">IF(N$18&gt;=$E$24,IF($X81&lt;=N$20,N$22,0),0)</f>
        <v>0</v>
      </c>
      <c r="AJ81" s="377">
        <f t="shared" ref="AJ81:AJ144" si="372">IF(O$18&gt;=$E$24,IF($X81&lt;=O$20,O$22,0),0)</f>
        <v>0</v>
      </c>
      <c r="AK81" s="377">
        <f t="shared" ref="AK81:AK144" si="373">IF(P$18&gt;=$E$24,IF($X81&lt;=P$20,P$22,0),0)</f>
        <v>0</v>
      </c>
      <c r="AL81" s="377">
        <f t="shared" ref="AL81:AL144" si="374">IF(Q$18&gt;=$E$24,IF($X81&lt;=Q$20,Q$22,0),0)</f>
        <v>0</v>
      </c>
      <c r="AM81" s="377">
        <f t="shared" ref="AM81:AM144" si="375">IF(R$18&gt;=$E$24,IF($X81&lt;=R$20,R$22,0),0)</f>
        <v>0</v>
      </c>
      <c r="AN81" s="377">
        <f t="shared" ref="AN81:AN144" si="376">IF(S$18&gt;=$E$24,IF($X81&lt;=S$20,S$22,0),0)</f>
        <v>0</v>
      </c>
      <c r="AO81" s="377">
        <f t="shared" ref="AO81:AO144" si="377">IF(T$18&gt;=$E$24,IF($X81&lt;=T$20,T$22,0),0)</f>
        <v>0</v>
      </c>
      <c r="AQ81" s="138">
        <v>58</v>
      </c>
      <c r="AR81" s="258">
        <f t="shared" ca="1" si="249"/>
        <v>47917</v>
      </c>
      <c r="AS81" s="378">
        <f t="shared" ca="1" si="70"/>
        <v>85.212964394200711</v>
      </c>
      <c r="AT81" s="138"/>
      <c r="AU81" s="138">
        <v>58</v>
      </c>
      <c r="AV81" s="258">
        <f t="shared" ca="1" si="250"/>
        <v>47948</v>
      </c>
      <c r="AW81" s="378">
        <f t="shared" ca="1" si="72"/>
        <v>5.7870356057992893</v>
      </c>
      <c r="AX81" s="202">
        <f t="shared" ca="1" si="73"/>
        <v>1.94</v>
      </c>
      <c r="AY81" s="138">
        <v>58</v>
      </c>
      <c r="AZ81" s="258">
        <f t="shared" ca="1" si="251"/>
        <v>47948</v>
      </c>
      <c r="BA81" s="378">
        <f t="shared" si="75"/>
        <v>91</v>
      </c>
      <c r="BC81" s="258">
        <f t="shared" ca="1" si="61"/>
        <v>47917</v>
      </c>
      <c r="BD81" s="302">
        <f t="shared" ca="1" si="76"/>
        <v>5.7870356057992893</v>
      </c>
      <c r="BE81" s="133">
        <f t="shared" si="62"/>
        <v>58</v>
      </c>
      <c r="BF81" s="379">
        <f t="shared" ca="1" si="63"/>
        <v>47917</v>
      </c>
      <c r="BG81" s="133">
        <f t="shared" si="77"/>
        <v>91</v>
      </c>
      <c r="BH81" s="133">
        <f t="shared" si="78"/>
        <v>0</v>
      </c>
      <c r="BI81" s="133">
        <f t="shared" si="79"/>
        <v>0</v>
      </c>
      <c r="BJ81" s="133">
        <f t="shared" si="80"/>
        <v>0</v>
      </c>
      <c r="BK81" s="133">
        <f t="shared" si="81"/>
        <v>0</v>
      </c>
      <c r="BL81" s="133">
        <f t="shared" si="82"/>
        <v>0</v>
      </c>
      <c r="BM81" s="133">
        <f t="shared" si="83"/>
        <v>0</v>
      </c>
      <c r="BN81" s="133">
        <f t="shared" si="84"/>
        <v>0</v>
      </c>
      <c r="BO81" s="133">
        <f t="shared" si="85"/>
        <v>0</v>
      </c>
      <c r="BP81" s="133">
        <f t="shared" si="86"/>
        <v>0</v>
      </c>
      <c r="BQ81" s="133">
        <f t="shared" si="87"/>
        <v>0</v>
      </c>
      <c r="BR81" s="133">
        <f t="shared" si="88"/>
        <v>0</v>
      </c>
      <c r="BS81" s="133">
        <f t="shared" si="89"/>
        <v>0</v>
      </c>
      <c r="BT81" s="133">
        <f t="shared" si="90"/>
        <v>0</v>
      </c>
      <c r="BU81" s="133">
        <f t="shared" si="91"/>
        <v>0</v>
      </c>
      <c r="BV81" s="133">
        <f t="shared" si="92"/>
        <v>0</v>
      </c>
      <c r="BW81" s="133">
        <f t="shared" si="93"/>
        <v>0</v>
      </c>
      <c r="BX81" s="267"/>
      <c r="BY81" s="267"/>
      <c r="BZ81" s="267"/>
      <c r="CA81" s="267"/>
      <c r="CB81" s="267"/>
      <c r="CC81" s="267"/>
      <c r="CD81" s="267"/>
      <c r="CE81" s="267"/>
      <c r="CF81" s="267"/>
      <c r="CG81" s="267"/>
      <c r="CS81" s="138">
        <v>63</v>
      </c>
      <c r="CT81" s="259">
        <f t="shared" ca="1" si="29"/>
        <v>48101</v>
      </c>
      <c r="CU81" s="179">
        <f t="shared" ref="CU81:DC81" ca="1" si="378">(($AW86/(1+CU$18)^(($AZ86-$AZ$23)/30)))+($AS86/(1+CU$18)^(($AZ86-$AZ$23)/30))</f>
        <v>27.828722555965673</v>
      </c>
      <c r="CV81" s="179">
        <f t="shared" ca="1" si="378"/>
        <v>28.726100411317436</v>
      </c>
      <c r="CW81" s="179">
        <f t="shared" ca="1" si="378"/>
        <v>29.278577049391554</v>
      </c>
      <c r="CX81" s="179">
        <f t="shared" ca="1" si="378"/>
        <v>29.841846835036346</v>
      </c>
      <c r="CY81" s="179">
        <f t="shared" ca="1" si="378"/>
        <v>30.416123898724017</v>
      </c>
      <c r="CZ81" s="179">
        <f t="shared" ca="1" si="378"/>
        <v>31.001626684201078</v>
      </c>
      <c r="DA81" s="179">
        <f t="shared" ca="1" si="378"/>
        <v>31.398308249810547</v>
      </c>
      <c r="DB81" s="179">
        <f t="shared" ca="1" si="378"/>
        <v>32.207205292886577</v>
      </c>
      <c r="DC81" s="179">
        <f t="shared" ca="1" si="378"/>
        <v>32.619557747206258</v>
      </c>
      <c r="DD81" s="179">
        <f t="shared" ref="DD81:DI81" ca="1" si="379">(($AW86/(1+DD$18)^(($AZ86-$AZ$23)/30)))+($AS86/(1+DD$18)^(($AZ86-$AZ$23)/30))</f>
        <v>33.037272339441841</v>
      </c>
      <c r="DE81" s="179">
        <f t="shared" ca="1" si="379"/>
        <v>33.460419874021191</v>
      </c>
      <c r="DF81" s="179" t="e">
        <f t="shared" ca="1" si="379"/>
        <v>#VALUE!</v>
      </c>
      <c r="DG81" s="179" t="e">
        <f t="shared" ca="1" si="379"/>
        <v>#VALUE!</v>
      </c>
      <c r="DH81" s="179" t="e">
        <f t="shared" ca="1" si="379"/>
        <v>#VALUE!</v>
      </c>
      <c r="DI81" s="179" t="e">
        <f t="shared" ca="1" si="379"/>
        <v>#VALUE!</v>
      </c>
      <c r="DJ81" s="179" t="e">
        <f t="shared" ref="DJ81:DQ81" ca="1" si="380">(($AW86/(1+DJ$18)^(($AZ86-$AZ$23)/30)))+($AS86/(1+DJ$18)^(($AZ86-$AZ$23)/30))</f>
        <v>#VALUE!</v>
      </c>
      <c r="DK81" s="179" t="e">
        <f t="shared" ca="1" si="380"/>
        <v>#VALUE!</v>
      </c>
      <c r="DL81" s="179" t="e">
        <f t="shared" ca="1" si="380"/>
        <v>#VALUE!</v>
      </c>
      <c r="DM81" s="179" t="e">
        <f t="shared" ca="1" si="380"/>
        <v>#VALUE!</v>
      </c>
      <c r="DN81" s="179" t="e">
        <f t="shared" ca="1" si="380"/>
        <v>#VALUE!</v>
      </c>
      <c r="DO81" s="179" t="e">
        <f t="shared" ca="1" si="380"/>
        <v>#VALUE!</v>
      </c>
      <c r="DP81" s="179" t="e">
        <f t="shared" ca="1" si="380"/>
        <v>#VALUE!</v>
      </c>
      <c r="DQ81" s="179" t="e">
        <f t="shared" ca="1" si="380"/>
        <v>#VALUE!</v>
      </c>
      <c r="DR81" s="180">
        <f t="shared" ca="1" si="40"/>
        <v>5.7870356057992893</v>
      </c>
      <c r="DS81" s="180">
        <f t="shared" ca="1" si="300"/>
        <v>5.7870356057992893</v>
      </c>
      <c r="DT81" s="180">
        <f t="shared" ca="1" si="300"/>
        <v>5.7870356057992893</v>
      </c>
      <c r="DU81" s="180">
        <f t="shared" ca="1" si="300"/>
        <v>5.7870356057992893</v>
      </c>
      <c r="DV81" s="180">
        <f t="shared" ca="1" si="300"/>
        <v>5.7870356057992893</v>
      </c>
      <c r="DW81" s="180">
        <f t="shared" ca="1" si="300"/>
        <v>5.7870356057992893</v>
      </c>
      <c r="DX81" s="180">
        <f t="shared" ca="1" si="300"/>
        <v>5.7870356057992893</v>
      </c>
      <c r="DY81" s="180">
        <f t="shared" ca="1" si="300"/>
        <v>5.7870356057992893</v>
      </c>
      <c r="DZ81" s="180">
        <f t="shared" ca="1" si="300"/>
        <v>5.7870356057992893</v>
      </c>
      <c r="EA81" s="180">
        <f t="shared" ca="1" si="300"/>
        <v>5.7870356057992893</v>
      </c>
      <c r="EB81" s="180">
        <f t="shared" ca="1" si="300"/>
        <v>5.7870356057992893</v>
      </c>
      <c r="EC81" s="180">
        <f t="shared" ca="1" si="300"/>
        <v>5.7870356057992893</v>
      </c>
      <c r="ED81" s="180">
        <f t="shared" ca="1" si="300"/>
        <v>5.7870356057992893</v>
      </c>
      <c r="EE81" s="180">
        <f t="shared" ca="1" si="300"/>
        <v>5.7870356057992893</v>
      </c>
      <c r="EF81" s="180">
        <f t="shared" ca="1" si="300"/>
        <v>5.7870356057992893</v>
      </c>
      <c r="EG81" s="180">
        <f t="shared" ref="EG81:EO81" ca="1" si="381">IF($AU86&gt;$BA$19,0,$BA86-$AS86)</f>
        <v>5.7870356057992893</v>
      </c>
      <c r="EH81" s="180">
        <f t="shared" ca="1" si="381"/>
        <v>5.7870356057992893</v>
      </c>
      <c r="EI81" s="180">
        <f t="shared" ca="1" si="381"/>
        <v>5.7870356057992893</v>
      </c>
      <c r="EJ81" s="180">
        <f t="shared" ca="1" si="381"/>
        <v>5.7870356057992893</v>
      </c>
      <c r="EK81" s="180">
        <f t="shared" ca="1" si="381"/>
        <v>5.7870356057992893</v>
      </c>
      <c r="EL81" s="180">
        <f t="shared" ca="1" si="381"/>
        <v>5.7870356057992893</v>
      </c>
      <c r="EM81" s="180">
        <f t="shared" ca="1" si="381"/>
        <v>5.7870356057992893</v>
      </c>
      <c r="EN81" s="180">
        <f t="shared" ca="1" si="381"/>
        <v>5.7870356057992893</v>
      </c>
      <c r="EO81" s="180">
        <f t="shared" ca="1" si="381"/>
        <v>5.7870356057992893</v>
      </c>
      <c r="EQ81" s="259">
        <f t="shared" ca="1" si="42"/>
        <v>48070</v>
      </c>
      <c r="ER81" s="87">
        <f t="shared" ca="1" si="356"/>
        <v>5.7870356057992893</v>
      </c>
      <c r="ES81" s="87">
        <f t="shared" ca="1" si="356"/>
        <v>5.7870356057992893</v>
      </c>
      <c r="ET81" s="87">
        <f t="shared" ca="1" si="356"/>
        <v>5.7870356057992893</v>
      </c>
      <c r="EU81" s="87">
        <f t="shared" ca="1" si="356"/>
        <v>5.7870356057992893</v>
      </c>
      <c r="EV81" s="87">
        <f t="shared" ca="1" si="356"/>
        <v>5.7870356057992893</v>
      </c>
      <c r="EW81" s="87">
        <f t="shared" ca="1" si="356"/>
        <v>5.7870356057992893</v>
      </c>
      <c r="EX81" s="87">
        <f t="shared" ca="1" si="356"/>
        <v>5.7870356057992893</v>
      </c>
      <c r="EY81" s="87">
        <f t="shared" ca="1" si="356"/>
        <v>5.7870356057992893</v>
      </c>
      <c r="EZ81" s="87">
        <f t="shared" ca="1" si="356"/>
        <v>5.7870356057992893</v>
      </c>
      <c r="FA81" s="87">
        <f t="shared" ca="1" si="356"/>
        <v>5.7870356057992893</v>
      </c>
      <c r="FB81" s="87">
        <f t="shared" ca="1" si="356"/>
        <v>5.7870356057992893</v>
      </c>
      <c r="FC81" s="87">
        <f t="shared" ca="1" si="356"/>
        <v>5.7870356057992893</v>
      </c>
      <c r="FD81" s="87">
        <f t="shared" ca="1" si="356"/>
        <v>5.7870356057992893</v>
      </c>
      <c r="FE81" s="87">
        <f t="shared" ca="1" si="356"/>
        <v>5.7870356057992893</v>
      </c>
      <c r="FF81" s="87">
        <f t="shared" ca="1" si="356"/>
        <v>5.7870356057992893</v>
      </c>
      <c r="FG81" s="87">
        <f t="shared" ca="1" si="302"/>
        <v>5.7870356057992893</v>
      </c>
      <c r="FH81" s="87">
        <f t="shared" ca="1" si="302"/>
        <v>5.7870356057992893</v>
      </c>
      <c r="FI81" s="87">
        <f t="shared" ca="1" si="302"/>
        <v>5.7870356057992893</v>
      </c>
      <c r="FJ81" s="87">
        <f t="shared" ca="1" si="302"/>
        <v>5.7870356057992893</v>
      </c>
      <c r="FK81" s="87">
        <f t="shared" ca="1" si="302"/>
        <v>5.7870356057992893</v>
      </c>
      <c r="FL81" s="87">
        <f t="shared" ca="1" si="302"/>
        <v>5.7870356057992893</v>
      </c>
      <c r="FM81" s="87">
        <f t="shared" ca="1" si="302"/>
        <v>5.7870356057992893</v>
      </c>
      <c r="FN81" s="87">
        <f t="shared" ca="1" si="302"/>
        <v>5.7870356057992893</v>
      </c>
      <c r="FO81" s="87">
        <f t="shared" ca="1" si="302"/>
        <v>5.7870356057992893</v>
      </c>
      <c r="FP81" s="87">
        <f t="shared" ca="1" si="302"/>
        <v>5.7870356057992893</v>
      </c>
    </row>
    <row r="82" spans="2:172" ht="12.75" hidden="1" customHeight="1" x14ac:dyDescent="0.25">
      <c r="B82" s="87">
        <v>24</v>
      </c>
      <c r="C82" s="181">
        <f t="shared" ca="1" si="256"/>
        <v>46883</v>
      </c>
      <c r="D82" s="380">
        <f t="shared" ca="1" si="350"/>
        <v>0.64367972866177781</v>
      </c>
      <c r="E82" s="380">
        <f t="shared" si="350"/>
        <v>0</v>
      </c>
      <c r="F82" s="380">
        <f t="shared" si="350"/>
        <v>0</v>
      </c>
      <c r="G82" s="380">
        <f t="shared" si="350"/>
        <v>0</v>
      </c>
      <c r="H82" s="380">
        <f t="shared" si="350"/>
        <v>0</v>
      </c>
      <c r="I82" s="380">
        <f t="shared" si="350"/>
        <v>0</v>
      </c>
      <c r="J82" s="380">
        <f t="shared" si="350"/>
        <v>0</v>
      </c>
      <c r="K82" s="380">
        <f t="shared" si="350"/>
        <v>0</v>
      </c>
      <c r="L82" s="380">
        <f t="shared" si="350"/>
        <v>0</v>
      </c>
      <c r="M82" s="380">
        <f t="shared" si="350"/>
        <v>0</v>
      </c>
      <c r="N82" s="380">
        <f t="shared" si="351"/>
        <v>0</v>
      </c>
      <c r="O82" s="380">
        <f t="shared" si="351"/>
        <v>0</v>
      </c>
      <c r="P82" s="380">
        <f t="shared" si="351"/>
        <v>0</v>
      </c>
      <c r="Q82" s="380">
        <f t="shared" si="351"/>
        <v>0</v>
      </c>
      <c r="R82" s="380">
        <f t="shared" si="351"/>
        <v>0</v>
      </c>
      <c r="S82" s="380">
        <f t="shared" si="351"/>
        <v>0</v>
      </c>
      <c r="T82" s="380">
        <f t="shared" si="351"/>
        <v>0</v>
      </c>
      <c r="U82" s="175"/>
      <c r="V82" s="176"/>
      <c r="W82" s="176"/>
      <c r="X82" s="87">
        <v>67</v>
      </c>
      <c r="Y82" s="377">
        <f t="shared" ca="1" si="361"/>
        <v>85.212964394200711</v>
      </c>
      <c r="Z82" s="377">
        <f t="shared" si="362"/>
        <v>0</v>
      </c>
      <c r="AA82" s="377">
        <f t="shared" si="363"/>
        <v>0</v>
      </c>
      <c r="AB82" s="377">
        <f t="shared" si="364"/>
        <v>0</v>
      </c>
      <c r="AC82" s="377">
        <f t="shared" si="365"/>
        <v>0</v>
      </c>
      <c r="AD82" s="377">
        <f t="shared" si="366"/>
        <v>0</v>
      </c>
      <c r="AE82" s="377">
        <f t="shared" si="367"/>
        <v>0</v>
      </c>
      <c r="AF82" s="377">
        <f t="shared" si="368"/>
        <v>0</v>
      </c>
      <c r="AG82" s="377">
        <f t="shared" si="369"/>
        <v>0</v>
      </c>
      <c r="AH82" s="377">
        <f t="shared" si="370"/>
        <v>0</v>
      </c>
      <c r="AI82" s="377">
        <f t="shared" si="371"/>
        <v>0</v>
      </c>
      <c r="AJ82" s="377">
        <f t="shared" si="372"/>
        <v>0</v>
      </c>
      <c r="AK82" s="377">
        <f t="shared" si="373"/>
        <v>0</v>
      </c>
      <c r="AL82" s="377">
        <f t="shared" si="374"/>
        <v>0</v>
      </c>
      <c r="AM82" s="377">
        <f t="shared" si="375"/>
        <v>0</v>
      </c>
      <c r="AN82" s="377">
        <f t="shared" si="376"/>
        <v>0</v>
      </c>
      <c r="AO82" s="377">
        <f t="shared" si="377"/>
        <v>0</v>
      </c>
      <c r="AQ82" s="138">
        <v>59</v>
      </c>
      <c r="AR82" s="258">
        <f t="shared" ca="1" si="249"/>
        <v>47948</v>
      </c>
      <c r="AS82" s="378">
        <f t="shared" ca="1" si="70"/>
        <v>85.212964394200711</v>
      </c>
      <c r="AT82" s="138"/>
      <c r="AU82" s="138">
        <v>59</v>
      </c>
      <c r="AV82" s="258">
        <f t="shared" ca="1" si="250"/>
        <v>47978</v>
      </c>
      <c r="AW82" s="378">
        <f t="shared" ca="1" si="72"/>
        <v>5.7870356057992893</v>
      </c>
      <c r="AX82" s="202">
        <f t="shared" ca="1" si="73"/>
        <v>1.91</v>
      </c>
      <c r="AY82" s="138">
        <v>59</v>
      </c>
      <c r="AZ82" s="258">
        <f t="shared" ca="1" si="251"/>
        <v>47978</v>
      </c>
      <c r="BA82" s="378">
        <f t="shared" si="75"/>
        <v>91</v>
      </c>
      <c r="BC82" s="258">
        <f t="shared" ca="1" si="61"/>
        <v>47948</v>
      </c>
      <c r="BD82" s="302">
        <f t="shared" ca="1" si="76"/>
        <v>5.7870356057992893</v>
      </c>
      <c r="BE82" s="133">
        <f t="shared" si="62"/>
        <v>59</v>
      </c>
      <c r="BF82" s="379">
        <f t="shared" ca="1" si="63"/>
        <v>47948</v>
      </c>
      <c r="BG82" s="133">
        <f t="shared" si="77"/>
        <v>91</v>
      </c>
      <c r="BH82" s="133">
        <f t="shared" si="78"/>
        <v>0</v>
      </c>
      <c r="BI82" s="133">
        <f t="shared" si="79"/>
        <v>0</v>
      </c>
      <c r="BJ82" s="133">
        <f t="shared" si="80"/>
        <v>0</v>
      </c>
      <c r="BK82" s="133">
        <f t="shared" si="81"/>
        <v>0</v>
      </c>
      <c r="BL82" s="133">
        <f t="shared" si="82"/>
        <v>0</v>
      </c>
      <c r="BM82" s="133">
        <f t="shared" si="83"/>
        <v>0</v>
      </c>
      <c r="BN82" s="133">
        <f t="shared" si="84"/>
        <v>0</v>
      </c>
      <c r="BO82" s="133">
        <f t="shared" si="85"/>
        <v>0</v>
      </c>
      <c r="BP82" s="133">
        <f t="shared" si="86"/>
        <v>0</v>
      </c>
      <c r="BQ82" s="133">
        <f t="shared" si="87"/>
        <v>0</v>
      </c>
      <c r="BR82" s="133">
        <f t="shared" si="88"/>
        <v>0</v>
      </c>
      <c r="BS82" s="133">
        <f t="shared" si="89"/>
        <v>0</v>
      </c>
      <c r="BT82" s="133">
        <f t="shared" si="90"/>
        <v>0</v>
      </c>
      <c r="BU82" s="133">
        <f t="shared" si="91"/>
        <v>0</v>
      </c>
      <c r="BV82" s="133">
        <f t="shared" si="92"/>
        <v>0</v>
      </c>
      <c r="BW82" s="133">
        <f t="shared" si="93"/>
        <v>0</v>
      </c>
      <c r="BX82" s="267"/>
      <c r="BY82" s="267"/>
      <c r="BZ82" s="267"/>
      <c r="CA82" s="267"/>
      <c r="CB82" s="267"/>
      <c r="CC82" s="267"/>
      <c r="CD82" s="267"/>
      <c r="CE82" s="267"/>
      <c r="CF82" s="267"/>
      <c r="CG82" s="267"/>
      <c r="CS82" s="87">
        <v>64</v>
      </c>
      <c r="CT82" s="259">
        <f t="shared" ca="1" si="29"/>
        <v>48131</v>
      </c>
      <c r="CU82" s="179">
        <f t="shared" ref="CU82:DC82" ca="1" si="382">(($AW87/(1+CU$18)^(($AZ87-$AZ$23)/30)))+($AS87/(1+CU$18)^(($AZ87-$AZ$23)/30))</f>
        <v>27.323242568449366</v>
      </c>
      <c r="CV82" s="179">
        <f t="shared" ca="1" si="382"/>
        <v>28.218173292060349</v>
      </c>
      <c r="CW82" s="179">
        <f t="shared" ca="1" si="382"/>
        <v>28.76935938822005</v>
      </c>
      <c r="CX82" s="179">
        <f t="shared" ca="1" si="382"/>
        <v>29.331479098718638</v>
      </c>
      <c r="CY82" s="179">
        <f t="shared" ca="1" si="382"/>
        <v>29.904752628772023</v>
      </c>
      <c r="CZ82" s="179">
        <f t="shared" ca="1" si="382"/>
        <v>30.489404685484935</v>
      </c>
      <c r="DA82" s="179">
        <f t="shared" ca="1" si="382"/>
        <v>30.885607170775668</v>
      </c>
      <c r="DB82" s="179">
        <f t="shared" ca="1" si="382"/>
        <v>31.693766279164119</v>
      </c>
      <c r="DC82" s="179">
        <f t="shared" ca="1" si="382"/>
        <v>32.105863924415615</v>
      </c>
      <c r="DD82" s="179">
        <f t="shared" ref="DD82:DI82" ca="1" si="383">(($AW87/(1+DD$18)^(($AZ87-$AZ$23)/30)))+($AS87/(1+DD$18)^(($AZ87-$AZ$23)/30))</f>
        <v>32.523402578698402</v>
      </c>
      <c r="DE82" s="179">
        <f t="shared" ca="1" si="383"/>
        <v>32.946455173317439</v>
      </c>
      <c r="DF82" s="179" t="e">
        <f t="shared" ca="1" si="383"/>
        <v>#VALUE!</v>
      </c>
      <c r="DG82" s="179" t="e">
        <f t="shared" ca="1" si="383"/>
        <v>#VALUE!</v>
      </c>
      <c r="DH82" s="179" t="e">
        <f t="shared" ca="1" si="383"/>
        <v>#VALUE!</v>
      </c>
      <c r="DI82" s="179" t="e">
        <f t="shared" ca="1" si="383"/>
        <v>#VALUE!</v>
      </c>
      <c r="DJ82" s="179" t="e">
        <f t="shared" ref="DJ82:DQ82" ca="1" si="384">(($AW87/(1+DJ$18)^(($AZ87-$AZ$23)/30)))+($AS87/(1+DJ$18)^(($AZ87-$AZ$23)/30))</f>
        <v>#VALUE!</v>
      </c>
      <c r="DK82" s="179" t="e">
        <f t="shared" ca="1" si="384"/>
        <v>#VALUE!</v>
      </c>
      <c r="DL82" s="179" t="e">
        <f t="shared" ca="1" si="384"/>
        <v>#VALUE!</v>
      </c>
      <c r="DM82" s="179" t="e">
        <f t="shared" ca="1" si="384"/>
        <v>#VALUE!</v>
      </c>
      <c r="DN82" s="179" t="e">
        <f t="shared" ca="1" si="384"/>
        <v>#VALUE!</v>
      </c>
      <c r="DO82" s="179" t="e">
        <f t="shared" ca="1" si="384"/>
        <v>#VALUE!</v>
      </c>
      <c r="DP82" s="179" t="e">
        <f t="shared" ca="1" si="384"/>
        <v>#VALUE!</v>
      </c>
      <c r="DQ82" s="179" t="e">
        <f t="shared" ca="1" si="384"/>
        <v>#VALUE!</v>
      </c>
      <c r="DR82" s="180">
        <f t="shared" ca="1" si="40"/>
        <v>5.7870356057992893</v>
      </c>
      <c r="DS82" s="180">
        <f t="shared" ca="1" si="300"/>
        <v>5.7870356057992893</v>
      </c>
      <c r="DT82" s="180">
        <f t="shared" ca="1" si="300"/>
        <v>5.7870356057992893</v>
      </c>
      <c r="DU82" s="180">
        <f t="shared" ca="1" si="300"/>
        <v>5.7870356057992893</v>
      </c>
      <c r="DV82" s="180">
        <f t="shared" ca="1" si="300"/>
        <v>5.7870356057992893</v>
      </c>
      <c r="DW82" s="180">
        <f t="shared" ca="1" si="300"/>
        <v>5.7870356057992893</v>
      </c>
      <c r="DX82" s="180">
        <f t="shared" ca="1" si="300"/>
        <v>5.7870356057992893</v>
      </c>
      <c r="DY82" s="180">
        <f t="shared" ca="1" si="300"/>
        <v>5.7870356057992893</v>
      </c>
      <c r="DZ82" s="180">
        <f t="shared" ca="1" si="300"/>
        <v>5.7870356057992893</v>
      </c>
      <c r="EA82" s="180">
        <f t="shared" ca="1" si="300"/>
        <v>5.7870356057992893</v>
      </c>
      <c r="EB82" s="180">
        <f t="shared" ca="1" si="300"/>
        <v>5.7870356057992893</v>
      </c>
      <c r="EC82" s="180">
        <f t="shared" ca="1" si="300"/>
        <v>5.7870356057992893</v>
      </c>
      <c r="ED82" s="180">
        <f t="shared" ca="1" si="300"/>
        <v>5.7870356057992893</v>
      </c>
      <c r="EE82" s="180">
        <f t="shared" ca="1" si="300"/>
        <v>5.7870356057992893</v>
      </c>
      <c r="EF82" s="180">
        <f t="shared" ca="1" si="300"/>
        <v>5.7870356057992893</v>
      </c>
      <c r="EG82" s="180">
        <f t="shared" ref="EG82:EO82" ca="1" si="385">IF($AU87&gt;$BA$19,0,$BA87-$AS87)</f>
        <v>5.7870356057992893</v>
      </c>
      <c r="EH82" s="180">
        <f t="shared" ca="1" si="385"/>
        <v>5.7870356057992893</v>
      </c>
      <c r="EI82" s="180">
        <f t="shared" ca="1" si="385"/>
        <v>5.7870356057992893</v>
      </c>
      <c r="EJ82" s="180">
        <f t="shared" ca="1" si="385"/>
        <v>5.7870356057992893</v>
      </c>
      <c r="EK82" s="180">
        <f t="shared" ca="1" si="385"/>
        <v>5.7870356057992893</v>
      </c>
      <c r="EL82" s="180">
        <f t="shared" ca="1" si="385"/>
        <v>5.7870356057992893</v>
      </c>
      <c r="EM82" s="180">
        <f t="shared" ca="1" si="385"/>
        <v>5.7870356057992893</v>
      </c>
      <c r="EN82" s="180">
        <f t="shared" ca="1" si="385"/>
        <v>5.7870356057992893</v>
      </c>
      <c r="EO82" s="180">
        <f t="shared" ca="1" si="385"/>
        <v>5.7870356057992893</v>
      </c>
      <c r="EQ82" s="259">
        <f t="shared" ca="1" si="42"/>
        <v>48101</v>
      </c>
      <c r="ER82" s="87">
        <f t="shared" ca="1" si="356"/>
        <v>5.7870356057992893</v>
      </c>
      <c r="ES82" s="87">
        <f t="shared" ca="1" si="356"/>
        <v>5.7870356057992893</v>
      </c>
      <c r="ET82" s="87">
        <f t="shared" ca="1" si="356"/>
        <v>5.7870356057992893</v>
      </c>
      <c r="EU82" s="87">
        <f t="shared" ca="1" si="356"/>
        <v>5.7870356057992893</v>
      </c>
      <c r="EV82" s="87">
        <f t="shared" ca="1" si="356"/>
        <v>5.7870356057992893</v>
      </c>
      <c r="EW82" s="87">
        <f t="shared" ca="1" si="356"/>
        <v>5.7870356057992893</v>
      </c>
      <c r="EX82" s="87">
        <f t="shared" ca="1" si="356"/>
        <v>5.7870356057992893</v>
      </c>
      <c r="EY82" s="87">
        <f t="shared" ca="1" si="356"/>
        <v>5.7870356057992893</v>
      </c>
      <c r="EZ82" s="87">
        <f t="shared" ca="1" si="356"/>
        <v>5.7870356057992893</v>
      </c>
      <c r="FA82" s="87">
        <f t="shared" ca="1" si="356"/>
        <v>5.7870356057992893</v>
      </c>
      <c r="FB82" s="87">
        <f t="shared" ca="1" si="356"/>
        <v>5.7870356057992893</v>
      </c>
      <c r="FC82" s="87">
        <f t="shared" ca="1" si="356"/>
        <v>5.7870356057992893</v>
      </c>
      <c r="FD82" s="87">
        <f t="shared" ca="1" si="356"/>
        <v>5.7870356057992893</v>
      </c>
      <c r="FE82" s="87">
        <f t="shared" ca="1" si="356"/>
        <v>5.7870356057992893</v>
      </c>
      <c r="FF82" s="87">
        <f t="shared" ca="1" si="356"/>
        <v>5.7870356057992893</v>
      </c>
      <c r="FG82" s="87">
        <f t="shared" ca="1" si="302"/>
        <v>5.7870356057992893</v>
      </c>
      <c r="FH82" s="87">
        <f t="shared" ca="1" si="302"/>
        <v>5.7870356057992893</v>
      </c>
      <c r="FI82" s="87">
        <f t="shared" ca="1" si="302"/>
        <v>5.7870356057992893</v>
      </c>
      <c r="FJ82" s="87">
        <f t="shared" ca="1" si="302"/>
        <v>5.7870356057992893</v>
      </c>
      <c r="FK82" s="87">
        <f t="shared" ca="1" si="302"/>
        <v>5.7870356057992893</v>
      </c>
      <c r="FL82" s="87">
        <f t="shared" ca="1" si="302"/>
        <v>5.7870356057992893</v>
      </c>
      <c r="FM82" s="87">
        <f t="shared" ca="1" si="302"/>
        <v>5.7870356057992893</v>
      </c>
      <c r="FN82" s="87">
        <f t="shared" ca="1" si="302"/>
        <v>5.7870356057992893</v>
      </c>
      <c r="FO82" s="87">
        <f t="shared" ca="1" si="302"/>
        <v>5.7870356057992893</v>
      </c>
      <c r="FP82" s="87">
        <f t="shared" ca="1" si="302"/>
        <v>5.7870356057992893</v>
      </c>
    </row>
    <row r="83" spans="2:172" ht="12.75" hidden="1" customHeight="1" x14ac:dyDescent="0.25">
      <c r="B83" s="87">
        <v>25</v>
      </c>
      <c r="C83" s="181">
        <f t="shared" ca="1" si="256"/>
        <v>46914</v>
      </c>
      <c r="D83" s="380">
        <f t="shared" ca="1" si="350"/>
        <v>0.63160190472125499</v>
      </c>
      <c r="E83" s="380">
        <f t="shared" si="350"/>
        <v>0</v>
      </c>
      <c r="F83" s="380">
        <f t="shared" si="350"/>
        <v>0</v>
      </c>
      <c r="G83" s="380">
        <f t="shared" si="350"/>
        <v>0</v>
      </c>
      <c r="H83" s="380">
        <f t="shared" si="350"/>
        <v>0</v>
      </c>
      <c r="I83" s="380">
        <f t="shared" si="350"/>
        <v>0</v>
      </c>
      <c r="J83" s="380">
        <f t="shared" si="350"/>
        <v>0</v>
      </c>
      <c r="K83" s="380">
        <f t="shared" si="350"/>
        <v>0</v>
      </c>
      <c r="L83" s="380">
        <f t="shared" si="350"/>
        <v>0</v>
      </c>
      <c r="M83" s="380">
        <f t="shared" si="350"/>
        <v>0</v>
      </c>
      <c r="N83" s="380">
        <f t="shared" si="351"/>
        <v>0</v>
      </c>
      <c r="O83" s="380">
        <f t="shared" si="351"/>
        <v>0</v>
      </c>
      <c r="P83" s="380">
        <f t="shared" si="351"/>
        <v>0</v>
      </c>
      <c r="Q83" s="380">
        <f t="shared" si="351"/>
        <v>0</v>
      </c>
      <c r="R83" s="380">
        <f t="shared" si="351"/>
        <v>0</v>
      </c>
      <c r="S83" s="380">
        <f t="shared" si="351"/>
        <v>0</v>
      </c>
      <c r="T83" s="380">
        <f t="shared" si="351"/>
        <v>0</v>
      </c>
      <c r="U83" s="175"/>
      <c r="V83" s="176"/>
      <c r="W83" s="176"/>
      <c r="X83" s="87">
        <v>68</v>
      </c>
      <c r="Y83" s="377">
        <f t="shared" ca="1" si="361"/>
        <v>85.212964394200711</v>
      </c>
      <c r="Z83" s="377">
        <f t="shared" si="362"/>
        <v>0</v>
      </c>
      <c r="AA83" s="377">
        <f t="shared" si="363"/>
        <v>0</v>
      </c>
      <c r="AB83" s="377">
        <f t="shared" si="364"/>
        <v>0</v>
      </c>
      <c r="AC83" s="377">
        <f t="shared" si="365"/>
        <v>0</v>
      </c>
      <c r="AD83" s="377">
        <f t="shared" si="366"/>
        <v>0</v>
      </c>
      <c r="AE83" s="377">
        <f t="shared" si="367"/>
        <v>0</v>
      </c>
      <c r="AF83" s="377">
        <f t="shared" si="368"/>
        <v>0</v>
      </c>
      <c r="AG83" s="377">
        <f t="shared" si="369"/>
        <v>0</v>
      </c>
      <c r="AH83" s="377">
        <f t="shared" si="370"/>
        <v>0</v>
      </c>
      <c r="AI83" s="377">
        <f t="shared" si="371"/>
        <v>0</v>
      </c>
      <c r="AJ83" s="377">
        <f t="shared" si="372"/>
        <v>0</v>
      </c>
      <c r="AK83" s="377">
        <f t="shared" si="373"/>
        <v>0</v>
      </c>
      <c r="AL83" s="377">
        <f t="shared" si="374"/>
        <v>0</v>
      </c>
      <c r="AM83" s="377">
        <f t="shared" si="375"/>
        <v>0</v>
      </c>
      <c r="AN83" s="377">
        <f t="shared" si="376"/>
        <v>0</v>
      </c>
      <c r="AO83" s="377">
        <f t="shared" si="377"/>
        <v>0</v>
      </c>
      <c r="AQ83" s="138">
        <v>60</v>
      </c>
      <c r="AR83" s="258">
        <f t="shared" ca="1" si="249"/>
        <v>47978</v>
      </c>
      <c r="AS83" s="378">
        <f t="shared" ca="1" si="70"/>
        <v>85.212964394200711</v>
      </c>
      <c r="AT83" s="138"/>
      <c r="AU83" s="138">
        <v>60</v>
      </c>
      <c r="AV83" s="258">
        <f t="shared" ca="1" si="250"/>
        <v>48009</v>
      </c>
      <c r="AW83" s="378">
        <f t="shared" ca="1" si="72"/>
        <v>5.7870356057992893</v>
      </c>
      <c r="AX83" s="202">
        <f t="shared" ca="1" si="73"/>
        <v>1.87</v>
      </c>
      <c r="AY83" s="138">
        <v>60</v>
      </c>
      <c r="AZ83" s="258">
        <f t="shared" ca="1" si="251"/>
        <v>48009</v>
      </c>
      <c r="BA83" s="378">
        <f t="shared" si="75"/>
        <v>91</v>
      </c>
      <c r="BC83" s="258">
        <f t="shared" ca="1" si="61"/>
        <v>47978</v>
      </c>
      <c r="BD83" s="302">
        <f t="shared" ca="1" si="76"/>
        <v>5.7870356057992893</v>
      </c>
      <c r="BE83" s="133">
        <f t="shared" si="62"/>
        <v>60</v>
      </c>
      <c r="BF83" s="379">
        <f t="shared" ca="1" si="63"/>
        <v>47978</v>
      </c>
      <c r="BG83" s="133">
        <f t="shared" si="77"/>
        <v>91</v>
      </c>
      <c r="BH83" s="133">
        <f t="shared" si="78"/>
        <v>0</v>
      </c>
      <c r="BI83" s="133">
        <f t="shared" si="79"/>
        <v>0</v>
      </c>
      <c r="BJ83" s="133">
        <f t="shared" si="80"/>
        <v>0</v>
      </c>
      <c r="BK83" s="133">
        <f t="shared" si="81"/>
        <v>0</v>
      </c>
      <c r="BL83" s="133">
        <f t="shared" si="82"/>
        <v>0</v>
      </c>
      <c r="BM83" s="133">
        <f t="shared" si="83"/>
        <v>0</v>
      </c>
      <c r="BN83" s="133">
        <f t="shared" si="84"/>
        <v>0</v>
      </c>
      <c r="BO83" s="133">
        <f t="shared" si="85"/>
        <v>0</v>
      </c>
      <c r="BP83" s="133">
        <f t="shared" si="86"/>
        <v>0</v>
      </c>
      <c r="BQ83" s="133">
        <f t="shared" si="87"/>
        <v>0</v>
      </c>
      <c r="BR83" s="133">
        <f t="shared" si="88"/>
        <v>0</v>
      </c>
      <c r="BS83" s="133">
        <f t="shared" si="89"/>
        <v>0</v>
      </c>
      <c r="BT83" s="133">
        <f t="shared" si="90"/>
        <v>0</v>
      </c>
      <c r="BU83" s="133">
        <f t="shared" si="91"/>
        <v>0</v>
      </c>
      <c r="BV83" s="133">
        <f t="shared" si="92"/>
        <v>0</v>
      </c>
      <c r="BW83" s="133">
        <f t="shared" si="93"/>
        <v>0</v>
      </c>
      <c r="BX83" s="267"/>
      <c r="BY83" s="267"/>
      <c r="BZ83" s="267"/>
      <c r="CA83" s="267"/>
      <c r="CB83" s="267"/>
      <c r="CC83" s="267"/>
      <c r="CD83" s="267"/>
      <c r="CE83" s="267"/>
      <c r="CF83" s="267"/>
      <c r="CG83" s="267"/>
      <c r="CS83" s="178">
        <v>65</v>
      </c>
      <c r="CT83" s="259">
        <f t="shared" ref="CT83:CT146" ca="1" si="386">AZ88</f>
        <v>48162</v>
      </c>
      <c r="CU83" s="179">
        <f t="shared" ref="CU83:DC83" ca="1" si="387">(($AW88/(1+CU$18)^(($AZ88-$AZ$23)/30)))+($AS88/(1+CU$18)^(($AZ88-$AZ$23)/30))</f>
        <v>26.810556991241555</v>
      </c>
      <c r="CV83" s="179">
        <f t="shared" ca="1" si="387"/>
        <v>27.702748477758377</v>
      </c>
      <c r="CW83" s="179">
        <f t="shared" ca="1" si="387"/>
        <v>28.252470133773208</v>
      </c>
      <c r="CX83" s="179">
        <f t="shared" ca="1" si="387"/>
        <v>28.813267152383727</v>
      </c>
      <c r="CY83" s="179">
        <f t="shared" ca="1" si="387"/>
        <v>29.385366036277929</v>
      </c>
      <c r="CZ83" s="179">
        <f t="shared" ca="1" si="387"/>
        <v>29.968997989215456</v>
      </c>
      <c r="DA83" s="179">
        <f t="shared" ca="1" si="387"/>
        <v>30.364609562952658</v>
      </c>
      <c r="DB83" s="179">
        <f t="shared" ca="1" si="387"/>
        <v>31.171810018748825</v>
      </c>
      <c r="DC83" s="179">
        <f t="shared" ca="1" si="387"/>
        <v>31.583544125511803</v>
      </c>
      <c r="DD83" s="179">
        <f t="shared" ref="DD83:DI83" ca="1" si="388">(($AW88/(1+DD$18)^(($AZ88-$AZ$23)/30)))+($AS88/(1+DD$18)^(($AZ88-$AZ$23)/30))</f>
        <v>32.000799307580898</v>
      </c>
      <c r="DE83" s="179">
        <f t="shared" ca="1" si="388"/>
        <v>32.423650707805308</v>
      </c>
      <c r="DF83" s="179" t="e">
        <f t="shared" ca="1" si="388"/>
        <v>#VALUE!</v>
      </c>
      <c r="DG83" s="179" t="e">
        <f t="shared" ca="1" si="388"/>
        <v>#VALUE!</v>
      </c>
      <c r="DH83" s="179" t="e">
        <f t="shared" ca="1" si="388"/>
        <v>#VALUE!</v>
      </c>
      <c r="DI83" s="179" t="e">
        <f t="shared" ca="1" si="388"/>
        <v>#VALUE!</v>
      </c>
      <c r="DJ83" s="179" t="e">
        <f t="shared" ref="DJ83:DQ83" ca="1" si="389">(($AW88/(1+DJ$18)^(($AZ88-$AZ$23)/30)))+($AS88/(1+DJ$18)^(($AZ88-$AZ$23)/30))</f>
        <v>#VALUE!</v>
      </c>
      <c r="DK83" s="179" t="e">
        <f t="shared" ca="1" si="389"/>
        <v>#VALUE!</v>
      </c>
      <c r="DL83" s="179" t="e">
        <f t="shared" ca="1" si="389"/>
        <v>#VALUE!</v>
      </c>
      <c r="DM83" s="179" t="e">
        <f t="shared" ca="1" si="389"/>
        <v>#VALUE!</v>
      </c>
      <c r="DN83" s="179" t="e">
        <f t="shared" ca="1" si="389"/>
        <v>#VALUE!</v>
      </c>
      <c r="DO83" s="179" t="e">
        <f t="shared" ca="1" si="389"/>
        <v>#VALUE!</v>
      </c>
      <c r="DP83" s="179" t="e">
        <f t="shared" ca="1" si="389"/>
        <v>#VALUE!</v>
      </c>
      <c r="DQ83" s="179" t="e">
        <f t="shared" ca="1" si="389"/>
        <v>#VALUE!</v>
      </c>
      <c r="DR83" s="180">
        <f t="shared" ca="1" si="40"/>
        <v>5.7870356057992893</v>
      </c>
      <c r="DS83" s="180">
        <f t="shared" ref="DS83:EF98" ca="1" si="390">IF($AU88&gt;$BA$19,0,$BA88-$AS88)</f>
        <v>5.7870356057992893</v>
      </c>
      <c r="DT83" s="180">
        <f t="shared" ca="1" si="390"/>
        <v>5.7870356057992893</v>
      </c>
      <c r="DU83" s="180">
        <f t="shared" ca="1" si="390"/>
        <v>5.7870356057992893</v>
      </c>
      <c r="DV83" s="180">
        <f t="shared" ca="1" si="390"/>
        <v>5.7870356057992893</v>
      </c>
      <c r="DW83" s="180">
        <f t="shared" ca="1" si="390"/>
        <v>5.7870356057992893</v>
      </c>
      <c r="DX83" s="180">
        <f t="shared" ca="1" si="390"/>
        <v>5.7870356057992893</v>
      </c>
      <c r="DY83" s="180">
        <f t="shared" ca="1" si="390"/>
        <v>5.7870356057992893</v>
      </c>
      <c r="DZ83" s="180">
        <f t="shared" ca="1" si="390"/>
        <v>5.7870356057992893</v>
      </c>
      <c r="EA83" s="180">
        <f t="shared" ca="1" si="390"/>
        <v>5.7870356057992893</v>
      </c>
      <c r="EB83" s="180">
        <f t="shared" ca="1" si="390"/>
        <v>5.7870356057992893</v>
      </c>
      <c r="EC83" s="180">
        <f t="shared" ca="1" si="390"/>
        <v>5.7870356057992893</v>
      </c>
      <c r="ED83" s="180">
        <f t="shared" ca="1" si="390"/>
        <v>5.7870356057992893</v>
      </c>
      <c r="EE83" s="180">
        <f t="shared" ca="1" si="390"/>
        <v>5.7870356057992893</v>
      </c>
      <c r="EF83" s="180">
        <f t="shared" ca="1" si="390"/>
        <v>5.7870356057992893</v>
      </c>
      <c r="EG83" s="180">
        <f t="shared" ref="EG83:EO83" ca="1" si="391">IF($AU88&gt;$BA$19,0,$BA88-$AS88)</f>
        <v>5.7870356057992893</v>
      </c>
      <c r="EH83" s="180">
        <f t="shared" ca="1" si="391"/>
        <v>5.7870356057992893</v>
      </c>
      <c r="EI83" s="180">
        <f t="shared" ca="1" si="391"/>
        <v>5.7870356057992893</v>
      </c>
      <c r="EJ83" s="180">
        <f t="shared" ca="1" si="391"/>
        <v>5.7870356057992893</v>
      </c>
      <c r="EK83" s="180">
        <f t="shared" ca="1" si="391"/>
        <v>5.7870356057992893</v>
      </c>
      <c r="EL83" s="180">
        <f t="shared" ca="1" si="391"/>
        <v>5.7870356057992893</v>
      </c>
      <c r="EM83" s="180">
        <f t="shared" ca="1" si="391"/>
        <v>5.7870356057992893</v>
      </c>
      <c r="EN83" s="180">
        <f t="shared" ca="1" si="391"/>
        <v>5.7870356057992893</v>
      </c>
      <c r="EO83" s="180">
        <f t="shared" ca="1" si="391"/>
        <v>5.7870356057992893</v>
      </c>
      <c r="EQ83" s="259">
        <f t="shared" ca="1" si="42"/>
        <v>48131</v>
      </c>
      <c r="ER83" s="87">
        <f t="shared" ca="1" si="356"/>
        <v>5.7870356057992893</v>
      </c>
      <c r="ES83" s="87">
        <f t="shared" ca="1" si="356"/>
        <v>5.7870356057992893</v>
      </c>
      <c r="ET83" s="87">
        <f t="shared" ca="1" si="356"/>
        <v>5.7870356057992893</v>
      </c>
      <c r="EU83" s="87">
        <f t="shared" ca="1" si="356"/>
        <v>5.7870356057992893</v>
      </c>
      <c r="EV83" s="87">
        <f t="shared" ca="1" si="356"/>
        <v>5.7870356057992893</v>
      </c>
      <c r="EW83" s="87">
        <f t="shared" ca="1" si="356"/>
        <v>5.7870356057992893</v>
      </c>
      <c r="EX83" s="87">
        <f t="shared" ca="1" si="356"/>
        <v>5.7870356057992893</v>
      </c>
      <c r="EY83" s="87">
        <f t="shared" ca="1" si="356"/>
        <v>5.7870356057992893</v>
      </c>
      <c r="EZ83" s="87">
        <f t="shared" ca="1" si="356"/>
        <v>5.7870356057992893</v>
      </c>
      <c r="FA83" s="87">
        <f t="shared" ca="1" si="356"/>
        <v>5.7870356057992893</v>
      </c>
      <c r="FB83" s="87">
        <f t="shared" ca="1" si="356"/>
        <v>5.7870356057992893</v>
      </c>
      <c r="FC83" s="87">
        <f t="shared" ca="1" si="356"/>
        <v>5.7870356057992893</v>
      </c>
      <c r="FD83" s="87">
        <f t="shared" ca="1" si="356"/>
        <v>5.7870356057992893</v>
      </c>
      <c r="FE83" s="87">
        <f t="shared" ca="1" si="356"/>
        <v>5.7870356057992893</v>
      </c>
      <c r="FF83" s="87">
        <f t="shared" ca="1" si="356"/>
        <v>5.7870356057992893</v>
      </c>
      <c r="FG83" s="87">
        <f t="shared" ref="FG83:FP98" ca="1" si="392" xml:space="preserve"> IFERROR(VLOOKUP($EQ83,$AZ$23:$BA$167,2,FALSE),0)-IFERROR(VLOOKUP($EQ83,$AR$23:$AS$167,2,FALSE),0)</f>
        <v>5.7870356057992893</v>
      </c>
      <c r="FH83" s="87">
        <f t="shared" ca="1" si="392"/>
        <v>5.7870356057992893</v>
      </c>
      <c r="FI83" s="87">
        <f t="shared" ca="1" si="392"/>
        <v>5.7870356057992893</v>
      </c>
      <c r="FJ83" s="87">
        <f t="shared" ca="1" si="392"/>
        <v>5.7870356057992893</v>
      </c>
      <c r="FK83" s="87">
        <f t="shared" ca="1" si="392"/>
        <v>5.7870356057992893</v>
      </c>
      <c r="FL83" s="87">
        <f t="shared" ca="1" si="392"/>
        <v>5.7870356057992893</v>
      </c>
      <c r="FM83" s="87">
        <f t="shared" ca="1" si="392"/>
        <v>5.7870356057992893</v>
      </c>
      <c r="FN83" s="87">
        <f t="shared" ca="1" si="392"/>
        <v>5.7870356057992893</v>
      </c>
      <c r="FO83" s="87">
        <f t="shared" ca="1" si="392"/>
        <v>5.7870356057992893</v>
      </c>
      <c r="FP83" s="87">
        <f t="shared" ca="1" si="392"/>
        <v>5.7870356057992893</v>
      </c>
    </row>
    <row r="84" spans="2:172" ht="12.75" hidden="1" customHeight="1" x14ac:dyDescent="0.25">
      <c r="B84" s="87">
        <v>26</v>
      </c>
      <c r="C84" s="181">
        <f t="shared" ca="1" si="256"/>
        <v>46944</v>
      </c>
      <c r="D84" s="380">
        <f t="shared" ca="1" si="350"/>
        <v>0.62012950880830153</v>
      </c>
      <c r="E84" s="380">
        <f t="shared" si="350"/>
        <v>0</v>
      </c>
      <c r="F84" s="380">
        <f t="shared" si="350"/>
        <v>0</v>
      </c>
      <c r="G84" s="380">
        <f t="shared" si="350"/>
        <v>0</v>
      </c>
      <c r="H84" s="380">
        <f t="shared" si="350"/>
        <v>0</v>
      </c>
      <c r="I84" s="380">
        <f t="shared" si="350"/>
        <v>0</v>
      </c>
      <c r="J84" s="380">
        <f t="shared" si="350"/>
        <v>0</v>
      </c>
      <c r="K84" s="380">
        <f t="shared" si="350"/>
        <v>0</v>
      </c>
      <c r="L84" s="380">
        <f t="shared" si="350"/>
        <v>0</v>
      </c>
      <c r="M84" s="380">
        <f t="shared" si="350"/>
        <v>0</v>
      </c>
      <c r="N84" s="380">
        <f t="shared" si="351"/>
        <v>0</v>
      </c>
      <c r="O84" s="380">
        <f t="shared" si="351"/>
        <v>0</v>
      </c>
      <c r="P84" s="380">
        <f t="shared" si="351"/>
        <v>0</v>
      </c>
      <c r="Q84" s="380">
        <f t="shared" si="351"/>
        <v>0</v>
      </c>
      <c r="R84" s="380">
        <f t="shared" si="351"/>
        <v>0</v>
      </c>
      <c r="S84" s="380">
        <f t="shared" si="351"/>
        <v>0</v>
      </c>
      <c r="T84" s="380">
        <f t="shared" si="351"/>
        <v>0</v>
      </c>
      <c r="U84" s="175"/>
      <c r="V84" s="176"/>
      <c r="W84" s="176"/>
      <c r="X84" s="87">
        <v>69</v>
      </c>
      <c r="Y84" s="377">
        <f t="shared" ca="1" si="361"/>
        <v>85.212964394200711</v>
      </c>
      <c r="Z84" s="377">
        <f t="shared" si="362"/>
        <v>0</v>
      </c>
      <c r="AA84" s="377">
        <f t="shared" si="363"/>
        <v>0</v>
      </c>
      <c r="AB84" s="377">
        <f t="shared" si="364"/>
        <v>0</v>
      </c>
      <c r="AC84" s="377">
        <f t="shared" si="365"/>
        <v>0</v>
      </c>
      <c r="AD84" s="377">
        <f t="shared" si="366"/>
        <v>0</v>
      </c>
      <c r="AE84" s="377">
        <f t="shared" si="367"/>
        <v>0</v>
      </c>
      <c r="AF84" s="377">
        <f t="shared" si="368"/>
        <v>0</v>
      </c>
      <c r="AG84" s="377">
        <f t="shared" si="369"/>
        <v>0</v>
      </c>
      <c r="AH84" s="377">
        <f t="shared" si="370"/>
        <v>0</v>
      </c>
      <c r="AI84" s="377">
        <f t="shared" si="371"/>
        <v>0</v>
      </c>
      <c r="AJ84" s="377">
        <f t="shared" si="372"/>
        <v>0</v>
      </c>
      <c r="AK84" s="377">
        <f t="shared" si="373"/>
        <v>0</v>
      </c>
      <c r="AL84" s="377">
        <f t="shared" si="374"/>
        <v>0</v>
      </c>
      <c r="AM84" s="377">
        <f t="shared" si="375"/>
        <v>0</v>
      </c>
      <c r="AN84" s="377">
        <f t="shared" si="376"/>
        <v>0</v>
      </c>
      <c r="AO84" s="377">
        <f t="shared" si="377"/>
        <v>0</v>
      </c>
      <c r="AQ84" s="138">
        <v>61</v>
      </c>
      <c r="AR84" s="258">
        <f t="shared" ca="1" si="249"/>
        <v>48009</v>
      </c>
      <c r="AS84" s="378">
        <f t="shared" ca="1" si="70"/>
        <v>85.212964394200711</v>
      </c>
      <c r="AT84" s="138"/>
      <c r="AU84" s="138">
        <v>61</v>
      </c>
      <c r="AV84" s="258">
        <f t="shared" ca="1" si="250"/>
        <v>48039</v>
      </c>
      <c r="AW84" s="378">
        <f t="shared" ca="1" si="72"/>
        <v>5.7870356057992893</v>
      </c>
      <c r="AX84" s="202">
        <f t="shared" ca="1" si="73"/>
        <v>1.84</v>
      </c>
      <c r="AY84" s="138">
        <v>61</v>
      </c>
      <c r="AZ84" s="258">
        <f t="shared" ca="1" si="251"/>
        <v>48039</v>
      </c>
      <c r="BA84" s="378">
        <f t="shared" si="75"/>
        <v>91</v>
      </c>
      <c r="BC84" s="258">
        <f t="shared" ca="1" si="61"/>
        <v>48009</v>
      </c>
      <c r="BD84" s="302">
        <f t="shared" ca="1" si="76"/>
        <v>5.7870356057992893</v>
      </c>
      <c r="BE84" s="133">
        <f t="shared" si="62"/>
        <v>61</v>
      </c>
      <c r="BF84" s="379">
        <f t="shared" ca="1" si="63"/>
        <v>48009</v>
      </c>
      <c r="BG84" s="133">
        <f t="shared" si="77"/>
        <v>91</v>
      </c>
      <c r="BH84" s="133">
        <f t="shared" si="78"/>
        <v>0</v>
      </c>
      <c r="BI84" s="133">
        <f t="shared" si="79"/>
        <v>0</v>
      </c>
      <c r="BJ84" s="133">
        <f t="shared" si="80"/>
        <v>0</v>
      </c>
      <c r="BK84" s="133">
        <f t="shared" si="81"/>
        <v>0</v>
      </c>
      <c r="BL84" s="133">
        <f t="shared" si="82"/>
        <v>0</v>
      </c>
      <c r="BM84" s="133">
        <f t="shared" si="83"/>
        <v>0</v>
      </c>
      <c r="BN84" s="133">
        <f t="shared" si="84"/>
        <v>0</v>
      </c>
      <c r="BO84" s="133">
        <f t="shared" si="85"/>
        <v>0</v>
      </c>
      <c r="BP84" s="133">
        <f t="shared" si="86"/>
        <v>0</v>
      </c>
      <c r="BQ84" s="133">
        <f t="shared" si="87"/>
        <v>0</v>
      </c>
      <c r="BR84" s="133">
        <f t="shared" si="88"/>
        <v>0</v>
      </c>
      <c r="BS84" s="133">
        <f t="shared" si="89"/>
        <v>0</v>
      </c>
      <c r="BT84" s="133">
        <f t="shared" si="90"/>
        <v>0</v>
      </c>
      <c r="BU84" s="133">
        <f t="shared" si="91"/>
        <v>0</v>
      </c>
      <c r="BV84" s="133">
        <f t="shared" si="92"/>
        <v>0</v>
      </c>
      <c r="BW84" s="133">
        <f t="shared" si="93"/>
        <v>0</v>
      </c>
      <c r="BX84" s="267"/>
      <c r="BY84" s="267"/>
      <c r="BZ84" s="267"/>
      <c r="CA84" s="267"/>
      <c r="CB84" s="267"/>
      <c r="CC84" s="267"/>
      <c r="CD84" s="267"/>
      <c r="CE84" s="267"/>
      <c r="CF84" s="267"/>
      <c r="CG84" s="267"/>
      <c r="CS84" s="138">
        <v>66</v>
      </c>
      <c r="CT84" s="259">
        <f t="shared" ca="1" si="386"/>
        <v>48192</v>
      </c>
      <c r="CU84" s="179">
        <f t="shared" ref="CU84:DC84" ca="1" si="393">(($AW89/(1+CU$18)^(($AZ89-$AZ$23)/30)))+($AS89/(1+CU$18)^(($AZ89-$AZ$23)/30))</f>
        <v>26.323570929054057</v>
      </c>
      <c r="CV84" s="179">
        <f t="shared" ca="1" si="393"/>
        <v>27.212915989939464</v>
      </c>
      <c r="CW84" s="179">
        <f t="shared" ca="1" si="393"/>
        <v>27.761098687013067</v>
      </c>
      <c r="CX84" s="179">
        <f t="shared" ca="1" si="393"/>
        <v>28.320490615671051</v>
      </c>
      <c r="CY84" s="179">
        <f t="shared" ca="1" si="393"/>
        <v>28.891324389222234</v>
      </c>
      <c r="CZ84" s="179">
        <f t="shared" ca="1" si="393"/>
        <v>29.473837518897966</v>
      </c>
      <c r="DA84" s="179">
        <f t="shared" ca="1" si="393"/>
        <v>29.868787687342774</v>
      </c>
      <c r="DB84" s="179">
        <f t="shared" ca="1" si="393"/>
        <v>30.674877011167904</v>
      </c>
      <c r="DC84" s="179">
        <f t="shared" ca="1" si="393"/>
        <v>31.086165477865954</v>
      </c>
      <c r="DD84" s="179">
        <f t="shared" ref="DD84:DI84" ca="1" si="394">(($AW89/(1+DD$18)^(($AZ89-$AZ$23)/30)))+($AS89/(1+DD$18)^(($AZ89-$AZ$23)/30))</f>
        <v>31.503051100197773</v>
      </c>
      <c r="DE84" s="179">
        <f t="shared" ca="1" si="394"/>
        <v>31.925611173498723</v>
      </c>
      <c r="DF84" s="179" t="e">
        <f t="shared" ca="1" si="394"/>
        <v>#VALUE!</v>
      </c>
      <c r="DG84" s="179" t="e">
        <f t="shared" ca="1" si="394"/>
        <v>#VALUE!</v>
      </c>
      <c r="DH84" s="179" t="e">
        <f t="shared" ca="1" si="394"/>
        <v>#VALUE!</v>
      </c>
      <c r="DI84" s="179" t="e">
        <f t="shared" ca="1" si="394"/>
        <v>#VALUE!</v>
      </c>
      <c r="DJ84" s="179" t="e">
        <f t="shared" ref="DJ84:DQ84" ca="1" si="395">(($AW89/(1+DJ$18)^(($AZ89-$AZ$23)/30)))+($AS89/(1+DJ$18)^(($AZ89-$AZ$23)/30))</f>
        <v>#VALUE!</v>
      </c>
      <c r="DK84" s="179" t="e">
        <f t="shared" ca="1" si="395"/>
        <v>#VALUE!</v>
      </c>
      <c r="DL84" s="179" t="e">
        <f t="shared" ca="1" si="395"/>
        <v>#VALUE!</v>
      </c>
      <c r="DM84" s="179" t="e">
        <f t="shared" ca="1" si="395"/>
        <v>#VALUE!</v>
      </c>
      <c r="DN84" s="179" t="e">
        <f t="shared" ca="1" si="395"/>
        <v>#VALUE!</v>
      </c>
      <c r="DO84" s="179" t="e">
        <f t="shared" ca="1" si="395"/>
        <v>#VALUE!</v>
      </c>
      <c r="DP84" s="179" t="e">
        <f t="shared" ca="1" si="395"/>
        <v>#VALUE!</v>
      </c>
      <c r="DQ84" s="179" t="e">
        <f t="shared" ca="1" si="395"/>
        <v>#VALUE!</v>
      </c>
      <c r="DR84" s="180">
        <f t="shared" ref="DR84:DR147" ca="1" si="396">IF($AU89&gt;$BA$19,0,$BA89-$AS89)</f>
        <v>5.7870356057992893</v>
      </c>
      <c r="DS84" s="180">
        <f t="shared" ca="1" si="390"/>
        <v>5.7870356057992893</v>
      </c>
      <c r="DT84" s="180">
        <f t="shared" ca="1" si="390"/>
        <v>5.7870356057992893</v>
      </c>
      <c r="DU84" s="180">
        <f t="shared" ca="1" si="390"/>
        <v>5.7870356057992893</v>
      </c>
      <c r="DV84" s="180">
        <f t="shared" ca="1" si="390"/>
        <v>5.7870356057992893</v>
      </c>
      <c r="DW84" s="180">
        <f t="shared" ca="1" si="390"/>
        <v>5.7870356057992893</v>
      </c>
      <c r="DX84" s="180">
        <f t="shared" ca="1" si="390"/>
        <v>5.7870356057992893</v>
      </c>
      <c r="DY84" s="180">
        <f t="shared" ca="1" si="390"/>
        <v>5.7870356057992893</v>
      </c>
      <c r="DZ84" s="180">
        <f t="shared" ca="1" si="390"/>
        <v>5.7870356057992893</v>
      </c>
      <c r="EA84" s="180">
        <f t="shared" ca="1" si="390"/>
        <v>5.7870356057992893</v>
      </c>
      <c r="EB84" s="180">
        <f t="shared" ca="1" si="390"/>
        <v>5.7870356057992893</v>
      </c>
      <c r="EC84" s="180">
        <f t="shared" ca="1" si="390"/>
        <v>5.7870356057992893</v>
      </c>
      <c r="ED84" s="180">
        <f t="shared" ca="1" si="390"/>
        <v>5.7870356057992893</v>
      </c>
      <c r="EE84" s="180">
        <f t="shared" ca="1" si="390"/>
        <v>5.7870356057992893</v>
      </c>
      <c r="EF84" s="180">
        <f t="shared" ca="1" si="390"/>
        <v>5.7870356057992893</v>
      </c>
      <c r="EG84" s="180">
        <f t="shared" ref="EG84:EO84" ca="1" si="397">IF($AU89&gt;$BA$19,0,$BA89-$AS89)</f>
        <v>5.7870356057992893</v>
      </c>
      <c r="EH84" s="180">
        <f t="shared" ca="1" si="397"/>
        <v>5.7870356057992893</v>
      </c>
      <c r="EI84" s="180">
        <f t="shared" ca="1" si="397"/>
        <v>5.7870356057992893</v>
      </c>
      <c r="EJ84" s="180">
        <f t="shared" ca="1" si="397"/>
        <v>5.7870356057992893</v>
      </c>
      <c r="EK84" s="180">
        <f t="shared" ca="1" si="397"/>
        <v>5.7870356057992893</v>
      </c>
      <c r="EL84" s="180">
        <f t="shared" ca="1" si="397"/>
        <v>5.7870356057992893</v>
      </c>
      <c r="EM84" s="180">
        <f t="shared" ca="1" si="397"/>
        <v>5.7870356057992893</v>
      </c>
      <c r="EN84" s="180">
        <f t="shared" ca="1" si="397"/>
        <v>5.7870356057992893</v>
      </c>
      <c r="EO84" s="180">
        <f t="shared" ca="1" si="397"/>
        <v>5.7870356057992893</v>
      </c>
      <c r="EQ84" s="259">
        <f t="shared" ref="EQ84:EQ147" ca="1" si="398">AR89</f>
        <v>48162</v>
      </c>
      <c r="ER84" s="87">
        <f t="shared" ca="1" si="356"/>
        <v>5.7870356057992893</v>
      </c>
      <c r="ES84" s="87">
        <f t="shared" ca="1" si="356"/>
        <v>5.7870356057992893</v>
      </c>
      <c r="ET84" s="87">
        <f t="shared" ca="1" si="356"/>
        <v>5.7870356057992893</v>
      </c>
      <c r="EU84" s="87">
        <f t="shared" ca="1" si="356"/>
        <v>5.7870356057992893</v>
      </c>
      <c r="EV84" s="87">
        <f t="shared" ca="1" si="356"/>
        <v>5.7870356057992893</v>
      </c>
      <c r="EW84" s="87">
        <f t="shared" ca="1" si="356"/>
        <v>5.7870356057992893</v>
      </c>
      <c r="EX84" s="87">
        <f t="shared" ca="1" si="356"/>
        <v>5.7870356057992893</v>
      </c>
      <c r="EY84" s="87">
        <f t="shared" ca="1" si="356"/>
        <v>5.7870356057992893</v>
      </c>
      <c r="EZ84" s="87">
        <f t="shared" ca="1" si="356"/>
        <v>5.7870356057992893</v>
      </c>
      <c r="FA84" s="87">
        <f t="shared" ca="1" si="356"/>
        <v>5.7870356057992893</v>
      </c>
      <c r="FB84" s="87">
        <f t="shared" ca="1" si="356"/>
        <v>5.7870356057992893</v>
      </c>
      <c r="FC84" s="87">
        <f t="shared" ca="1" si="356"/>
        <v>5.7870356057992893</v>
      </c>
      <c r="FD84" s="87">
        <f t="shared" ca="1" si="356"/>
        <v>5.7870356057992893</v>
      </c>
      <c r="FE84" s="87">
        <f t="shared" ca="1" si="356"/>
        <v>5.7870356057992893</v>
      </c>
      <c r="FF84" s="87">
        <f t="shared" ca="1" si="356"/>
        <v>5.7870356057992893</v>
      </c>
      <c r="FG84" s="87">
        <f t="shared" ca="1" si="392"/>
        <v>5.7870356057992893</v>
      </c>
      <c r="FH84" s="87">
        <f t="shared" ca="1" si="392"/>
        <v>5.7870356057992893</v>
      </c>
      <c r="FI84" s="87">
        <f t="shared" ca="1" si="392"/>
        <v>5.7870356057992893</v>
      </c>
      <c r="FJ84" s="87">
        <f t="shared" ca="1" si="392"/>
        <v>5.7870356057992893</v>
      </c>
      <c r="FK84" s="87">
        <f t="shared" ca="1" si="392"/>
        <v>5.7870356057992893</v>
      </c>
      <c r="FL84" s="87">
        <f t="shared" ca="1" si="392"/>
        <v>5.7870356057992893</v>
      </c>
      <c r="FM84" s="87">
        <f t="shared" ca="1" si="392"/>
        <v>5.7870356057992893</v>
      </c>
      <c r="FN84" s="87">
        <f t="shared" ca="1" si="392"/>
        <v>5.7870356057992893</v>
      </c>
      <c r="FO84" s="87">
        <f t="shared" ca="1" si="392"/>
        <v>5.7870356057992893</v>
      </c>
      <c r="FP84" s="87">
        <f t="shared" ca="1" si="392"/>
        <v>5.7870356057992893</v>
      </c>
    </row>
    <row r="85" spans="2:172" ht="12.75" hidden="1" customHeight="1" x14ac:dyDescent="0.25">
      <c r="B85" s="87">
        <v>27</v>
      </c>
      <c r="C85" s="181">
        <f t="shared" ca="1" si="256"/>
        <v>46975</v>
      </c>
      <c r="D85" s="380">
        <f t="shared" ca="1" si="350"/>
        <v>0.60849357451644337</v>
      </c>
      <c r="E85" s="380">
        <f t="shared" si="350"/>
        <v>0</v>
      </c>
      <c r="F85" s="380">
        <f t="shared" si="350"/>
        <v>0</v>
      </c>
      <c r="G85" s="380">
        <f t="shared" si="350"/>
        <v>0</v>
      </c>
      <c r="H85" s="380">
        <f t="shared" si="350"/>
        <v>0</v>
      </c>
      <c r="I85" s="380">
        <f t="shared" si="350"/>
        <v>0</v>
      </c>
      <c r="J85" s="380">
        <f t="shared" si="350"/>
        <v>0</v>
      </c>
      <c r="K85" s="380">
        <f t="shared" si="350"/>
        <v>0</v>
      </c>
      <c r="L85" s="380">
        <f t="shared" si="350"/>
        <v>0</v>
      </c>
      <c r="M85" s="380">
        <f t="shared" si="350"/>
        <v>0</v>
      </c>
      <c r="N85" s="380">
        <f t="shared" si="351"/>
        <v>0</v>
      </c>
      <c r="O85" s="380">
        <f t="shared" si="351"/>
        <v>0</v>
      </c>
      <c r="P85" s="380">
        <f t="shared" si="351"/>
        <v>0</v>
      </c>
      <c r="Q85" s="380">
        <f t="shared" si="351"/>
        <v>0</v>
      </c>
      <c r="R85" s="380">
        <f t="shared" si="351"/>
        <v>0</v>
      </c>
      <c r="S85" s="380">
        <f t="shared" si="351"/>
        <v>0</v>
      </c>
      <c r="T85" s="380">
        <f t="shared" si="351"/>
        <v>0</v>
      </c>
      <c r="U85" s="175"/>
      <c r="V85" s="176"/>
      <c r="W85" s="176"/>
      <c r="X85" s="87">
        <v>70</v>
      </c>
      <c r="Y85" s="377">
        <f t="shared" si="361"/>
        <v>0</v>
      </c>
      <c r="Z85" s="377">
        <f t="shared" si="362"/>
        <v>0</v>
      </c>
      <c r="AA85" s="377">
        <f t="shared" si="363"/>
        <v>0</v>
      </c>
      <c r="AB85" s="377">
        <f t="shared" si="364"/>
        <v>0</v>
      </c>
      <c r="AC85" s="377">
        <f t="shared" si="365"/>
        <v>0</v>
      </c>
      <c r="AD85" s="377">
        <f t="shared" si="366"/>
        <v>0</v>
      </c>
      <c r="AE85" s="377">
        <f t="shared" si="367"/>
        <v>0</v>
      </c>
      <c r="AF85" s="377">
        <f t="shared" si="368"/>
        <v>0</v>
      </c>
      <c r="AG85" s="377">
        <f t="shared" si="369"/>
        <v>0</v>
      </c>
      <c r="AH85" s="377">
        <f t="shared" si="370"/>
        <v>0</v>
      </c>
      <c r="AI85" s="377">
        <f t="shared" si="371"/>
        <v>0</v>
      </c>
      <c r="AJ85" s="377">
        <f t="shared" si="372"/>
        <v>0</v>
      </c>
      <c r="AK85" s="377">
        <f t="shared" si="373"/>
        <v>0</v>
      </c>
      <c r="AL85" s="377">
        <f t="shared" si="374"/>
        <v>0</v>
      </c>
      <c r="AM85" s="377">
        <f t="shared" si="375"/>
        <v>0</v>
      </c>
      <c r="AN85" s="377">
        <f t="shared" si="376"/>
        <v>0</v>
      </c>
      <c r="AO85" s="377">
        <f t="shared" si="377"/>
        <v>0</v>
      </c>
      <c r="AQ85" s="138">
        <v>62</v>
      </c>
      <c r="AR85" s="258">
        <f t="shared" ca="1" si="249"/>
        <v>48039</v>
      </c>
      <c r="AS85" s="378">
        <f t="shared" ca="1" si="70"/>
        <v>85.212964394200711</v>
      </c>
      <c r="AT85" s="138"/>
      <c r="AU85" s="138">
        <v>62</v>
      </c>
      <c r="AV85" s="258">
        <f t="shared" ca="1" si="250"/>
        <v>48070</v>
      </c>
      <c r="AW85" s="378">
        <f t="shared" ca="1" si="72"/>
        <v>5.7870356057992893</v>
      </c>
      <c r="AX85" s="202">
        <f t="shared" ca="1" si="73"/>
        <v>1.8</v>
      </c>
      <c r="AY85" s="138">
        <v>62</v>
      </c>
      <c r="AZ85" s="258">
        <f t="shared" ca="1" si="251"/>
        <v>48070</v>
      </c>
      <c r="BA85" s="378">
        <f t="shared" si="75"/>
        <v>91</v>
      </c>
      <c r="BC85" s="258">
        <f t="shared" ca="1" si="61"/>
        <v>48039</v>
      </c>
      <c r="BD85" s="302">
        <f t="shared" ca="1" si="76"/>
        <v>5.7870356057992893</v>
      </c>
      <c r="BE85" s="133">
        <f t="shared" si="62"/>
        <v>62</v>
      </c>
      <c r="BF85" s="379">
        <f t="shared" ca="1" si="63"/>
        <v>48039</v>
      </c>
      <c r="BG85" s="133">
        <f t="shared" si="77"/>
        <v>91</v>
      </c>
      <c r="BH85" s="133">
        <f t="shared" si="78"/>
        <v>0</v>
      </c>
      <c r="BI85" s="133">
        <f t="shared" si="79"/>
        <v>0</v>
      </c>
      <c r="BJ85" s="133">
        <f t="shared" si="80"/>
        <v>0</v>
      </c>
      <c r="BK85" s="133">
        <f t="shared" si="81"/>
        <v>0</v>
      </c>
      <c r="BL85" s="133">
        <f t="shared" si="82"/>
        <v>0</v>
      </c>
      <c r="BM85" s="133">
        <f t="shared" si="83"/>
        <v>0</v>
      </c>
      <c r="BN85" s="133">
        <f t="shared" si="84"/>
        <v>0</v>
      </c>
      <c r="BO85" s="133">
        <f t="shared" si="85"/>
        <v>0</v>
      </c>
      <c r="BP85" s="133">
        <f t="shared" si="86"/>
        <v>0</v>
      </c>
      <c r="BQ85" s="133">
        <f t="shared" si="87"/>
        <v>0</v>
      </c>
      <c r="BR85" s="133">
        <f t="shared" si="88"/>
        <v>0</v>
      </c>
      <c r="BS85" s="133">
        <f t="shared" si="89"/>
        <v>0</v>
      </c>
      <c r="BT85" s="133">
        <f t="shared" si="90"/>
        <v>0</v>
      </c>
      <c r="BU85" s="133">
        <f t="shared" si="91"/>
        <v>0</v>
      </c>
      <c r="BV85" s="133">
        <f t="shared" si="92"/>
        <v>0</v>
      </c>
      <c r="BW85" s="133">
        <f t="shared" si="93"/>
        <v>0</v>
      </c>
      <c r="BX85" s="267"/>
      <c r="BY85" s="267"/>
      <c r="BZ85" s="267"/>
      <c r="CA85" s="267"/>
      <c r="CB85" s="267"/>
      <c r="CC85" s="267"/>
      <c r="CD85" s="267"/>
      <c r="CE85" s="267"/>
      <c r="CF85" s="267"/>
      <c r="CG85" s="267"/>
      <c r="CS85" s="87">
        <v>67</v>
      </c>
      <c r="CT85" s="259">
        <f t="shared" ca="1" si="386"/>
        <v>48223</v>
      </c>
      <c r="CU85" s="179">
        <f t="shared" ref="CU85:DC85" ca="1" si="399">(($AW90/(1+CU$18)^(($AZ90-$AZ$23)/30)))+($AS90/(1+CU$18)^(($AZ90-$AZ$23)/30))</f>
        <v>25.829642907073367</v>
      </c>
      <c r="CV85" s="179">
        <f t="shared" ca="1" si="399"/>
        <v>26.715852908443814</v>
      </c>
      <c r="CW85" s="179">
        <f t="shared" ca="1" si="399"/>
        <v>27.262324508230662</v>
      </c>
      <c r="CX85" s="179">
        <f t="shared" ca="1" si="399"/>
        <v>27.820140240781573</v>
      </c>
      <c r="CY85" s="179">
        <f t="shared" ca="1" si="399"/>
        <v>28.389539047158504</v>
      </c>
      <c r="CZ85" s="179">
        <f t="shared" ca="1" si="399"/>
        <v>28.970764973933015</v>
      </c>
      <c r="DA85" s="179">
        <f t="shared" ca="1" si="399"/>
        <v>29.364942422212177</v>
      </c>
      <c r="DB85" s="179">
        <f t="shared" ca="1" si="399"/>
        <v>30.169700568822073</v>
      </c>
      <c r="DC85" s="179">
        <f t="shared" ca="1" si="399"/>
        <v>30.580434819463029</v>
      </c>
      <c r="DD85" s="179">
        <f t="shared" ref="DD85:DI85" ca="1" si="400">(($AW90/(1+DD$18)^(($AZ90-$AZ$23)/30)))+($AS90/(1+DD$18)^(($AZ90-$AZ$23)/30))</f>
        <v>30.996843377456969</v>
      </c>
      <c r="DE85" s="179">
        <f t="shared" ca="1" si="400"/>
        <v>31.419005773982882</v>
      </c>
      <c r="DF85" s="179" t="e">
        <f t="shared" ca="1" si="400"/>
        <v>#VALUE!</v>
      </c>
      <c r="DG85" s="179" t="e">
        <f t="shared" ca="1" si="400"/>
        <v>#VALUE!</v>
      </c>
      <c r="DH85" s="179" t="e">
        <f t="shared" ca="1" si="400"/>
        <v>#VALUE!</v>
      </c>
      <c r="DI85" s="179" t="e">
        <f t="shared" ca="1" si="400"/>
        <v>#VALUE!</v>
      </c>
      <c r="DJ85" s="179" t="e">
        <f t="shared" ref="DJ85:DQ85" ca="1" si="401">(($AW90/(1+DJ$18)^(($AZ90-$AZ$23)/30)))+($AS90/(1+DJ$18)^(($AZ90-$AZ$23)/30))</f>
        <v>#VALUE!</v>
      </c>
      <c r="DK85" s="179" t="e">
        <f t="shared" ca="1" si="401"/>
        <v>#VALUE!</v>
      </c>
      <c r="DL85" s="179" t="e">
        <f t="shared" ca="1" si="401"/>
        <v>#VALUE!</v>
      </c>
      <c r="DM85" s="179" t="e">
        <f t="shared" ca="1" si="401"/>
        <v>#VALUE!</v>
      </c>
      <c r="DN85" s="179" t="e">
        <f t="shared" ca="1" si="401"/>
        <v>#VALUE!</v>
      </c>
      <c r="DO85" s="179" t="e">
        <f t="shared" ca="1" si="401"/>
        <v>#VALUE!</v>
      </c>
      <c r="DP85" s="179" t="e">
        <f t="shared" ca="1" si="401"/>
        <v>#VALUE!</v>
      </c>
      <c r="DQ85" s="179" t="e">
        <f t="shared" ca="1" si="401"/>
        <v>#VALUE!</v>
      </c>
      <c r="DR85" s="180">
        <f t="shared" ca="1" si="396"/>
        <v>5.7870356057992893</v>
      </c>
      <c r="DS85" s="180">
        <f t="shared" ca="1" si="390"/>
        <v>5.7870356057992893</v>
      </c>
      <c r="DT85" s="180">
        <f t="shared" ca="1" si="390"/>
        <v>5.7870356057992893</v>
      </c>
      <c r="DU85" s="180">
        <f t="shared" ca="1" si="390"/>
        <v>5.7870356057992893</v>
      </c>
      <c r="DV85" s="180">
        <f t="shared" ca="1" si="390"/>
        <v>5.7870356057992893</v>
      </c>
      <c r="DW85" s="180">
        <f t="shared" ca="1" si="390"/>
        <v>5.7870356057992893</v>
      </c>
      <c r="DX85" s="180">
        <f t="shared" ca="1" si="390"/>
        <v>5.7870356057992893</v>
      </c>
      <c r="DY85" s="180">
        <f t="shared" ca="1" si="390"/>
        <v>5.7870356057992893</v>
      </c>
      <c r="DZ85" s="180">
        <f t="shared" ca="1" si="390"/>
        <v>5.7870356057992893</v>
      </c>
      <c r="EA85" s="180">
        <f t="shared" ca="1" si="390"/>
        <v>5.7870356057992893</v>
      </c>
      <c r="EB85" s="180">
        <f t="shared" ca="1" si="390"/>
        <v>5.7870356057992893</v>
      </c>
      <c r="EC85" s="180">
        <f t="shared" ca="1" si="390"/>
        <v>5.7870356057992893</v>
      </c>
      <c r="ED85" s="180">
        <f t="shared" ca="1" si="390"/>
        <v>5.7870356057992893</v>
      </c>
      <c r="EE85" s="180">
        <f t="shared" ca="1" si="390"/>
        <v>5.7870356057992893</v>
      </c>
      <c r="EF85" s="180">
        <f t="shared" ca="1" si="390"/>
        <v>5.7870356057992893</v>
      </c>
      <c r="EG85" s="180">
        <f t="shared" ref="EG85:EO85" ca="1" si="402">IF($AU90&gt;$BA$19,0,$BA90-$AS90)</f>
        <v>5.7870356057992893</v>
      </c>
      <c r="EH85" s="180">
        <f t="shared" ca="1" si="402"/>
        <v>5.7870356057992893</v>
      </c>
      <c r="EI85" s="180">
        <f t="shared" ca="1" si="402"/>
        <v>5.7870356057992893</v>
      </c>
      <c r="EJ85" s="180">
        <f t="shared" ca="1" si="402"/>
        <v>5.7870356057992893</v>
      </c>
      <c r="EK85" s="180">
        <f t="shared" ca="1" si="402"/>
        <v>5.7870356057992893</v>
      </c>
      <c r="EL85" s="180">
        <f t="shared" ca="1" si="402"/>
        <v>5.7870356057992893</v>
      </c>
      <c r="EM85" s="180">
        <f t="shared" ca="1" si="402"/>
        <v>5.7870356057992893</v>
      </c>
      <c r="EN85" s="180">
        <f t="shared" ca="1" si="402"/>
        <v>5.7870356057992893</v>
      </c>
      <c r="EO85" s="180">
        <f t="shared" ca="1" si="402"/>
        <v>5.7870356057992893</v>
      </c>
      <c r="EQ85" s="259">
        <f t="shared" ca="1" si="398"/>
        <v>48192</v>
      </c>
      <c r="ER85" s="87">
        <f t="shared" ca="1" si="356"/>
        <v>5.7870356057992893</v>
      </c>
      <c r="ES85" s="87">
        <f t="shared" ca="1" si="356"/>
        <v>5.7870356057992893</v>
      </c>
      <c r="ET85" s="87">
        <f t="shared" ca="1" si="356"/>
        <v>5.7870356057992893</v>
      </c>
      <c r="EU85" s="87">
        <f t="shared" ca="1" si="356"/>
        <v>5.7870356057992893</v>
      </c>
      <c r="EV85" s="87">
        <f t="shared" ca="1" si="356"/>
        <v>5.7870356057992893</v>
      </c>
      <c r="EW85" s="87">
        <f t="shared" ca="1" si="356"/>
        <v>5.7870356057992893</v>
      </c>
      <c r="EX85" s="87">
        <f t="shared" ca="1" si="356"/>
        <v>5.7870356057992893</v>
      </c>
      <c r="EY85" s="87">
        <f t="shared" ca="1" si="356"/>
        <v>5.7870356057992893</v>
      </c>
      <c r="EZ85" s="87">
        <f t="shared" ca="1" si="356"/>
        <v>5.7870356057992893</v>
      </c>
      <c r="FA85" s="87">
        <f t="shared" ca="1" si="356"/>
        <v>5.7870356057992893</v>
      </c>
      <c r="FB85" s="87">
        <f t="shared" ca="1" si="356"/>
        <v>5.7870356057992893</v>
      </c>
      <c r="FC85" s="87">
        <f t="shared" ca="1" si="356"/>
        <v>5.7870356057992893</v>
      </c>
      <c r="FD85" s="87">
        <f t="shared" ca="1" si="356"/>
        <v>5.7870356057992893</v>
      </c>
      <c r="FE85" s="87">
        <f t="shared" ca="1" si="356"/>
        <v>5.7870356057992893</v>
      </c>
      <c r="FF85" s="87">
        <f t="shared" ca="1" si="356"/>
        <v>5.7870356057992893</v>
      </c>
      <c r="FG85" s="87">
        <f t="shared" ca="1" si="392"/>
        <v>5.7870356057992893</v>
      </c>
      <c r="FH85" s="87">
        <f t="shared" ca="1" si="392"/>
        <v>5.7870356057992893</v>
      </c>
      <c r="FI85" s="87">
        <f t="shared" ca="1" si="392"/>
        <v>5.7870356057992893</v>
      </c>
      <c r="FJ85" s="87">
        <f t="shared" ca="1" si="392"/>
        <v>5.7870356057992893</v>
      </c>
      <c r="FK85" s="87">
        <f t="shared" ca="1" si="392"/>
        <v>5.7870356057992893</v>
      </c>
      <c r="FL85" s="87">
        <f t="shared" ca="1" si="392"/>
        <v>5.7870356057992893</v>
      </c>
      <c r="FM85" s="87">
        <f t="shared" ca="1" si="392"/>
        <v>5.7870356057992893</v>
      </c>
      <c r="FN85" s="87">
        <f t="shared" ca="1" si="392"/>
        <v>5.7870356057992893</v>
      </c>
      <c r="FO85" s="87">
        <f t="shared" ca="1" si="392"/>
        <v>5.7870356057992893</v>
      </c>
      <c r="FP85" s="87">
        <f t="shared" ca="1" si="392"/>
        <v>5.7870356057992893</v>
      </c>
    </row>
    <row r="86" spans="2:172" ht="12.75" hidden="1" customHeight="1" x14ac:dyDescent="0.25">
      <c r="B86" s="87">
        <v>28</v>
      </c>
      <c r="C86" s="181">
        <f t="shared" ca="1" si="256"/>
        <v>47006</v>
      </c>
      <c r="D86" s="380">
        <f t="shared" ca="1" si="350"/>
        <v>0.5970759735967619</v>
      </c>
      <c r="E86" s="380">
        <f t="shared" si="350"/>
        <v>0</v>
      </c>
      <c r="F86" s="380">
        <f t="shared" si="350"/>
        <v>0</v>
      </c>
      <c r="G86" s="380">
        <f t="shared" si="350"/>
        <v>0</v>
      </c>
      <c r="H86" s="380">
        <f t="shared" si="350"/>
        <v>0</v>
      </c>
      <c r="I86" s="380">
        <f t="shared" si="350"/>
        <v>0</v>
      </c>
      <c r="J86" s="380">
        <f t="shared" si="350"/>
        <v>0</v>
      </c>
      <c r="K86" s="380">
        <f t="shared" si="350"/>
        <v>0</v>
      </c>
      <c r="L86" s="380">
        <f t="shared" si="350"/>
        <v>0</v>
      </c>
      <c r="M86" s="380">
        <f t="shared" si="350"/>
        <v>0</v>
      </c>
      <c r="N86" s="380">
        <f t="shared" si="351"/>
        <v>0</v>
      </c>
      <c r="O86" s="380">
        <f t="shared" si="351"/>
        <v>0</v>
      </c>
      <c r="P86" s="380">
        <f t="shared" si="351"/>
        <v>0</v>
      </c>
      <c r="Q86" s="380">
        <f t="shared" si="351"/>
        <v>0</v>
      </c>
      <c r="R86" s="380">
        <f t="shared" si="351"/>
        <v>0</v>
      </c>
      <c r="S86" s="380">
        <f t="shared" si="351"/>
        <v>0</v>
      </c>
      <c r="T86" s="380">
        <f t="shared" si="351"/>
        <v>0</v>
      </c>
      <c r="U86" s="175"/>
      <c r="V86" s="176"/>
      <c r="W86" s="176"/>
      <c r="X86" s="87">
        <v>71</v>
      </c>
      <c r="Y86" s="377">
        <f t="shared" si="361"/>
        <v>0</v>
      </c>
      <c r="Z86" s="377">
        <f t="shared" si="362"/>
        <v>0</v>
      </c>
      <c r="AA86" s="377">
        <f t="shared" si="363"/>
        <v>0</v>
      </c>
      <c r="AB86" s="377">
        <f t="shared" si="364"/>
        <v>0</v>
      </c>
      <c r="AC86" s="377">
        <f t="shared" si="365"/>
        <v>0</v>
      </c>
      <c r="AD86" s="377">
        <f t="shared" si="366"/>
        <v>0</v>
      </c>
      <c r="AE86" s="377">
        <f t="shared" si="367"/>
        <v>0</v>
      </c>
      <c r="AF86" s="377">
        <f t="shared" si="368"/>
        <v>0</v>
      </c>
      <c r="AG86" s="377">
        <f t="shared" si="369"/>
        <v>0</v>
      </c>
      <c r="AH86" s="377">
        <f t="shared" si="370"/>
        <v>0</v>
      </c>
      <c r="AI86" s="377">
        <f t="shared" si="371"/>
        <v>0</v>
      </c>
      <c r="AJ86" s="377">
        <f t="shared" si="372"/>
        <v>0</v>
      </c>
      <c r="AK86" s="377">
        <f t="shared" si="373"/>
        <v>0</v>
      </c>
      <c r="AL86" s="377">
        <f t="shared" si="374"/>
        <v>0</v>
      </c>
      <c r="AM86" s="377">
        <f t="shared" si="375"/>
        <v>0</v>
      </c>
      <c r="AN86" s="377">
        <f t="shared" si="376"/>
        <v>0</v>
      </c>
      <c r="AO86" s="377">
        <f t="shared" si="377"/>
        <v>0</v>
      </c>
      <c r="AQ86" s="138">
        <v>63</v>
      </c>
      <c r="AR86" s="258">
        <f t="shared" ca="1" si="249"/>
        <v>48070</v>
      </c>
      <c r="AS86" s="378">
        <f t="shared" ca="1" si="70"/>
        <v>85.212964394200711</v>
      </c>
      <c r="AT86" s="138"/>
      <c r="AU86" s="138">
        <v>63</v>
      </c>
      <c r="AV86" s="258">
        <f t="shared" ca="1" si="250"/>
        <v>48101</v>
      </c>
      <c r="AW86" s="378">
        <f t="shared" ca="1" si="72"/>
        <v>5.7870356057992893</v>
      </c>
      <c r="AX86" s="202">
        <f t="shared" ca="1" si="73"/>
        <v>1.77</v>
      </c>
      <c r="AY86" s="138">
        <v>63</v>
      </c>
      <c r="AZ86" s="258">
        <f t="shared" ca="1" si="251"/>
        <v>48101</v>
      </c>
      <c r="BA86" s="378">
        <f t="shared" si="75"/>
        <v>91</v>
      </c>
      <c r="BC86" s="258">
        <f t="shared" ca="1" si="61"/>
        <v>48070</v>
      </c>
      <c r="BD86" s="302">
        <f t="shared" ca="1" si="76"/>
        <v>5.7870356057992893</v>
      </c>
      <c r="BE86" s="133">
        <f t="shared" si="62"/>
        <v>63</v>
      </c>
      <c r="BF86" s="379">
        <f t="shared" ca="1" si="63"/>
        <v>48070</v>
      </c>
      <c r="BG86" s="133">
        <f t="shared" si="77"/>
        <v>91</v>
      </c>
      <c r="BH86" s="133">
        <f t="shared" si="78"/>
        <v>0</v>
      </c>
      <c r="BI86" s="133">
        <f t="shared" si="79"/>
        <v>0</v>
      </c>
      <c r="BJ86" s="133">
        <f t="shared" si="80"/>
        <v>0</v>
      </c>
      <c r="BK86" s="133">
        <f t="shared" si="81"/>
        <v>0</v>
      </c>
      <c r="BL86" s="133">
        <f t="shared" si="82"/>
        <v>0</v>
      </c>
      <c r="BM86" s="133">
        <f t="shared" si="83"/>
        <v>0</v>
      </c>
      <c r="BN86" s="133">
        <f t="shared" si="84"/>
        <v>0</v>
      </c>
      <c r="BO86" s="133">
        <f t="shared" si="85"/>
        <v>0</v>
      </c>
      <c r="BP86" s="133">
        <f t="shared" si="86"/>
        <v>0</v>
      </c>
      <c r="BQ86" s="133">
        <f t="shared" si="87"/>
        <v>0</v>
      </c>
      <c r="BR86" s="133">
        <f t="shared" si="88"/>
        <v>0</v>
      </c>
      <c r="BS86" s="133">
        <f t="shared" si="89"/>
        <v>0</v>
      </c>
      <c r="BT86" s="133">
        <f t="shared" si="90"/>
        <v>0</v>
      </c>
      <c r="BU86" s="133">
        <f t="shared" si="91"/>
        <v>0</v>
      </c>
      <c r="BV86" s="133">
        <f t="shared" si="92"/>
        <v>0</v>
      </c>
      <c r="BW86" s="133">
        <f t="shared" si="93"/>
        <v>0</v>
      </c>
      <c r="BX86" s="267"/>
      <c r="BY86" s="267"/>
      <c r="BZ86" s="267"/>
      <c r="CA86" s="267"/>
      <c r="CB86" s="267"/>
      <c r="CC86" s="267"/>
      <c r="CD86" s="267"/>
      <c r="CE86" s="267"/>
      <c r="CF86" s="267"/>
      <c r="CG86" s="267"/>
      <c r="CS86" s="178">
        <v>68</v>
      </c>
      <c r="CT86" s="259">
        <f t="shared" ca="1" si="386"/>
        <v>48254</v>
      </c>
      <c r="CU86" s="179">
        <f t="shared" ref="CU86:DC86" ca="1" si="403">(($AW91/(1+CU$18)^(($AZ91-$AZ$23)/30)))+($AS91/(1+CU$18)^(($AZ91-$AZ$23)/30))</f>
        <v>25.344982810464785</v>
      </c>
      <c r="CV86" s="179">
        <f t="shared" ca="1" si="403"/>
        <v>26.227869034302394</v>
      </c>
      <c r="CW86" s="179">
        <f t="shared" ca="1" si="403"/>
        <v>26.77251163477067</v>
      </c>
      <c r="CX86" s="179">
        <f t="shared" ca="1" si="403"/>
        <v>27.328629772694899</v>
      </c>
      <c r="CY86" s="179">
        <f t="shared" ca="1" si="403"/>
        <v>27.896468727158766</v>
      </c>
      <c r="CZ86" s="179">
        <f t="shared" ca="1" si="403"/>
        <v>28.476279094526468</v>
      </c>
      <c r="DA86" s="179">
        <f t="shared" ca="1" si="403"/>
        <v>28.869596332001297</v>
      </c>
      <c r="DB86" s="179">
        <f t="shared" ca="1" si="403"/>
        <v>29.672843743790708</v>
      </c>
      <c r="DC86" s="179">
        <f t="shared" ca="1" si="403"/>
        <v>30.082931727725754</v>
      </c>
      <c r="DD86" s="179">
        <f t="shared" ref="DD86:DI86" ca="1" si="404">(($AW91/(1+DD$18)^(($AZ91-$AZ$23)/30)))+($AS91/(1+DD$18)^(($AZ91-$AZ$23)/30))</f>
        <v>30.498769668712072</v>
      </c>
      <c r="DE86" s="179">
        <f t="shared" ca="1" si="404"/>
        <v>30.920439344478417</v>
      </c>
      <c r="DF86" s="179" t="e">
        <f t="shared" ca="1" si="404"/>
        <v>#VALUE!</v>
      </c>
      <c r="DG86" s="179" t="e">
        <f t="shared" ca="1" si="404"/>
        <v>#VALUE!</v>
      </c>
      <c r="DH86" s="179" t="e">
        <f t="shared" ca="1" si="404"/>
        <v>#VALUE!</v>
      </c>
      <c r="DI86" s="179" t="e">
        <f t="shared" ca="1" si="404"/>
        <v>#VALUE!</v>
      </c>
      <c r="DJ86" s="179" t="e">
        <f t="shared" ref="DJ86:DQ86" ca="1" si="405">(($AW91/(1+DJ$18)^(($AZ91-$AZ$23)/30)))+($AS91/(1+DJ$18)^(($AZ91-$AZ$23)/30))</f>
        <v>#VALUE!</v>
      </c>
      <c r="DK86" s="179" t="e">
        <f t="shared" ca="1" si="405"/>
        <v>#VALUE!</v>
      </c>
      <c r="DL86" s="179" t="e">
        <f t="shared" ca="1" si="405"/>
        <v>#VALUE!</v>
      </c>
      <c r="DM86" s="179" t="e">
        <f t="shared" ca="1" si="405"/>
        <v>#VALUE!</v>
      </c>
      <c r="DN86" s="179" t="e">
        <f t="shared" ca="1" si="405"/>
        <v>#VALUE!</v>
      </c>
      <c r="DO86" s="179" t="e">
        <f t="shared" ca="1" si="405"/>
        <v>#VALUE!</v>
      </c>
      <c r="DP86" s="179" t="e">
        <f t="shared" ca="1" si="405"/>
        <v>#VALUE!</v>
      </c>
      <c r="DQ86" s="179" t="e">
        <f t="shared" ca="1" si="405"/>
        <v>#VALUE!</v>
      </c>
      <c r="DR86" s="180">
        <f t="shared" ca="1" si="396"/>
        <v>5.7870356057992893</v>
      </c>
      <c r="DS86" s="180">
        <f t="shared" ca="1" si="390"/>
        <v>5.7870356057992893</v>
      </c>
      <c r="DT86" s="180">
        <f t="shared" ca="1" si="390"/>
        <v>5.7870356057992893</v>
      </c>
      <c r="DU86" s="180">
        <f t="shared" ca="1" si="390"/>
        <v>5.7870356057992893</v>
      </c>
      <c r="DV86" s="180">
        <f t="shared" ca="1" si="390"/>
        <v>5.7870356057992893</v>
      </c>
      <c r="DW86" s="180">
        <f t="shared" ca="1" si="390"/>
        <v>5.7870356057992893</v>
      </c>
      <c r="DX86" s="180">
        <f t="shared" ca="1" si="390"/>
        <v>5.7870356057992893</v>
      </c>
      <c r="DY86" s="180">
        <f t="shared" ca="1" si="390"/>
        <v>5.7870356057992893</v>
      </c>
      <c r="DZ86" s="180">
        <f t="shared" ca="1" si="390"/>
        <v>5.7870356057992893</v>
      </c>
      <c r="EA86" s="180">
        <f t="shared" ca="1" si="390"/>
        <v>5.7870356057992893</v>
      </c>
      <c r="EB86" s="180">
        <f t="shared" ca="1" si="390"/>
        <v>5.7870356057992893</v>
      </c>
      <c r="EC86" s="180">
        <f t="shared" ca="1" si="390"/>
        <v>5.7870356057992893</v>
      </c>
      <c r="ED86" s="180">
        <f t="shared" ca="1" si="390"/>
        <v>5.7870356057992893</v>
      </c>
      <c r="EE86" s="180">
        <f t="shared" ca="1" si="390"/>
        <v>5.7870356057992893</v>
      </c>
      <c r="EF86" s="180">
        <f t="shared" ca="1" si="390"/>
        <v>5.7870356057992893</v>
      </c>
      <c r="EG86" s="180">
        <f t="shared" ref="EG86:EO86" ca="1" si="406">IF($AU91&gt;$BA$19,0,$BA91-$AS91)</f>
        <v>5.7870356057992893</v>
      </c>
      <c r="EH86" s="180">
        <f t="shared" ca="1" si="406"/>
        <v>5.7870356057992893</v>
      </c>
      <c r="EI86" s="180">
        <f t="shared" ca="1" si="406"/>
        <v>5.7870356057992893</v>
      </c>
      <c r="EJ86" s="180">
        <f t="shared" ca="1" si="406"/>
        <v>5.7870356057992893</v>
      </c>
      <c r="EK86" s="180">
        <f t="shared" ca="1" si="406"/>
        <v>5.7870356057992893</v>
      </c>
      <c r="EL86" s="180">
        <f t="shared" ca="1" si="406"/>
        <v>5.7870356057992893</v>
      </c>
      <c r="EM86" s="180">
        <f t="shared" ca="1" si="406"/>
        <v>5.7870356057992893</v>
      </c>
      <c r="EN86" s="180">
        <f t="shared" ca="1" si="406"/>
        <v>5.7870356057992893</v>
      </c>
      <c r="EO86" s="180">
        <f t="shared" ca="1" si="406"/>
        <v>5.7870356057992893</v>
      </c>
      <c r="EQ86" s="259">
        <f t="shared" ca="1" si="398"/>
        <v>48223</v>
      </c>
      <c r="ER86" s="87">
        <f t="shared" ca="1" si="356"/>
        <v>5.7870356057992893</v>
      </c>
      <c r="ES86" s="87">
        <f t="shared" ca="1" si="356"/>
        <v>5.7870356057992893</v>
      </c>
      <c r="ET86" s="87">
        <f t="shared" ca="1" si="356"/>
        <v>5.7870356057992893</v>
      </c>
      <c r="EU86" s="87">
        <f t="shared" ca="1" si="356"/>
        <v>5.7870356057992893</v>
      </c>
      <c r="EV86" s="87">
        <f t="shared" ca="1" si="356"/>
        <v>5.7870356057992893</v>
      </c>
      <c r="EW86" s="87">
        <f t="shared" ca="1" si="356"/>
        <v>5.7870356057992893</v>
      </c>
      <c r="EX86" s="87">
        <f t="shared" ca="1" si="356"/>
        <v>5.7870356057992893</v>
      </c>
      <c r="EY86" s="87">
        <f t="shared" ca="1" si="356"/>
        <v>5.7870356057992893</v>
      </c>
      <c r="EZ86" s="87">
        <f t="shared" ca="1" si="356"/>
        <v>5.7870356057992893</v>
      </c>
      <c r="FA86" s="87">
        <f t="shared" ca="1" si="356"/>
        <v>5.7870356057992893</v>
      </c>
      <c r="FB86" s="87">
        <f t="shared" ca="1" si="356"/>
        <v>5.7870356057992893</v>
      </c>
      <c r="FC86" s="87">
        <f t="shared" ca="1" si="356"/>
        <v>5.7870356057992893</v>
      </c>
      <c r="FD86" s="87">
        <f t="shared" ca="1" si="356"/>
        <v>5.7870356057992893</v>
      </c>
      <c r="FE86" s="87">
        <f t="shared" ca="1" si="356"/>
        <v>5.7870356057992893</v>
      </c>
      <c r="FF86" s="87">
        <f t="shared" ca="1" si="356"/>
        <v>5.7870356057992893</v>
      </c>
      <c r="FG86" s="87">
        <f t="shared" ca="1" si="392"/>
        <v>5.7870356057992893</v>
      </c>
      <c r="FH86" s="87">
        <f t="shared" ca="1" si="392"/>
        <v>5.7870356057992893</v>
      </c>
      <c r="FI86" s="87">
        <f t="shared" ca="1" si="392"/>
        <v>5.7870356057992893</v>
      </c>
      <c r="FJ86" s="87">
        <f t="shared" ca="1" si="392"/>
        <v>5.7870356057992893</v>
      </c>
      <c r="FK86" s="87">
        <f t="shared" ca="1" si="392"/>
        <v>5.7870356057992893</v>
      </c>
      <c r="FL86" s="87">
        <f t="shared" ca="1" si="392"/>
        <v>5.7870356057992893</v>
      </c>
      <c r="FM86" s="87">
        <f t="shared" ca="1" si="392"/>
        <v>5.7870356057992893</v>
      </c>
      <c r="FN86" s="87">
        <f t="shared" ca="1" si="392"/>
        <v>5.7870356057992893</v>
      </c>
      <c r="FO86" s="87">
        <f t="shared" ca="1" si="392"/>
        <v>5.7870356057992893</v>
      </c>
      <c r="FP86" s="87">
        <f t="shared" ca="1" si="392"/>
        <v>5.7870356057992893</v>
      </c>
    </row>
    <row r="87" spans="2:172" ht="12.75" hidden="1" customHeight="1" x14ac:dyDescent="0.25">
      <c r="B87" s="87">
        <v>29</v>
      </c>
      <c r="C87" s="181">
        <f t="shared" ca="1" si="256"/>
        <v>47036</v>
      </c>
      <c r="D87" s="380">
        <f t="shared" ca="1" si="350"/>
        <v>0.58623070554419432</v>
      </c>
      <c r="E87" s="380">
        <f t="shared" si="350"/>
        <v>0</v>
      </c>
      <c r="F87" s="380">
        <f t="shared" si="350"/>
        <v>0</v>
      </c>
      <c r="G87" s="380">
        <f t="shared" si="350"/>
        <v>0</v>
      </c>
      <c r="H87" s="380">
        <f t="shared" si="350"/>
        <v>0</v>
      </c>
      <c r="I87" s="380">
        <f t="shared" si="350"/>
        <v>0</v>
      </c>
      <c r="J87" s="380">
        <f t="shared" si="350"/>
        <v>0</v>
      </c>
      <c r="K87" s="380">
        <f t="shared" si="350"/>
        <v>0</v>
      </c>
      <c r="L87" s="380">
        <f t="shared" si="350"/>
        <v>0</v>
      </c>
      <c r="M87" s="380">
        <f t="shared" si="350"/>
        <v>0</v>
      </c>
      <c r="N87" s="380">
        <f t="shared" si="351"/>
        <v>0</v>
      </c>
      <c r="O87" s="380">
        <f t="shared" si="351"/>
        <v>0</v>
      </c>
      <c r="P87" s="380">
        <f t="shared" si="351"/>
        <v>0</v>
      </c>
      <c r="Q87" s="380">
        <f t="shared" si="351"/>
        <v>0</v>
      </c>
      <c r="R87" s="380">
        <f t="shared" si="351"/>
        <v>0</v>
      </c>
      <c r="S87" s="380">
        <f t="shared" si="351"/>
        <v>0</v>
      </c>
      <c r="T87" s="380">
        <f t="shared" si="351"/>
        <v>0</v>
      </c>
      <c r="U87" s="175"/>
      <c r="V87" s="176"/>
      <c r="W87" s="176"/>
      <c r="X87" s="87">
        <v>72</v>
      </c>
      <c r="Y87" s="377">
        <f t="shared" si="361"/>
        <v>0</v>
      </c>
      <c r="Z87" s="377">
        <f t="shared" si="362"/>
        <v>0</v>
      </c>
      <c r="AA87" s="377">
        <f t="shared" si="363"/>
        <v>0</v>
      </c>
      <c r="AB87" s="377">
        <f t="shared" si="364"/>
        <v>0</v>
      </c>
      <c r="AC87" s="377">
        <f t="shared" si="365"/>
        <v>0</v>
      </c>
      <c r="AD87" s="377">
        <f t="shared" si="366"/>
        <v>0</v>
      </c>
      <c r="AE87" s="377">
        <f t="shared" si="367"/>
        <v>0</v>
      </c>
      <c r="AF87" s="377">
        <f t="shared" si="368"/>
        <v>0</v>
      </c>
      <c r="AG87" s="377">
        <f t="shared" si="369"/>
        <v>0</v>
      </c>
      <c r="AH87" s="377">
        <f t="shared" si="370"/>
        <v>0</v>
      </c>
      <c r="AI87" s="377">
        <f t="shared" si="371"/>
        <v>0</v>
      </c>
      <c r="AJ87" s="377">
        <f t="shared" si="372"/>
        <v>0</v>
      </c>
      <c r="AK87" s="377">
        <f t="shared" si="373"/>
        <v>0</v>
      </c>
      <c r="AL87" s="377">
        <f t="shared" si="374"/>
        <v>0</v>
      </c>
      <c r="AM87" s="377">
        <f t="shared" si="375"/>
        <v>0</v>
      </c>
      <c r="AN87" s="377">
        <f t="shared" si="376"/>
        <v>0</v>
      </c>
      <c r="AO87" s="377">
        <f t="shared" si="377"/>
        <v>0</v>
      </c>
      <c r="AQ87" s="138">
        <v>64</v>
      </c>
      <c r="AR87" s="258">
        <f t="shared" ca="1" si="249"/>
        <v>48101</v>
      </c>
      <c r="AS87" s="378">
        <f t="shared" ca="1" si="70"/>
        <v>85.212964394200711</v>
      </c>
      <c r="AT87" s="138"/>
      <c r="AU87" s="138">
        <v>64</v>
      </c>
      <c r="AV87" s="258">
        <f t="shared" ca="1" si="250"/>
        <v>48131</v>
      </c>
      <c r="AW87" s="378">
        <f t="shared" ca="1" si="72"/>
        <v>5.7870356057992893</v>
      </c>
      <c r="AX87" s="202">
        <f t="shared" ca="1" si="73"/>
        <v>1.74</v>
      </c>
      <c r="AY87" s="138">
        <v>64</v>
      </c>
      <c r="AZ87" s="258">
        <f t="shared" ca="1" si="251"/>
        <v>48131</v>
      </c>
      <c r="BA87" s="378">
        <f t="shared" si="75"/>
        <v>91</v>
      </c>
      <c r="BC87" s="258">
        <f t="shared" ca="1" si="61"/>
        <v>48101</v>
      </c>
      <c r="BD87" s="302">
        <f t="shared" ca="1" si="76"/>
        <v>5.7870356057992893</v>
      </c>
      <c r="BE87" s="133">
        <f t="shared" si="62"/>
        <v>64</v>
      </c>
      <c r="BF87" s="379">
        <f t="shared" ca="1" si="63"/>
        <v>48101</v>
      </c>
      <c r="BG87" s="133">
        <f t="shared" si="77"/>
        <v>91</v>
      </c>
      <c r="BH87" s="133">
        <f t="shared" si="78"/>
        <v>0</v>
      </c>
      <c r="BI87" s="133">
        <f t="shared" si="79"/>
        <v>0</v>
      </c>
      <c r="BJ87" s="133">
        <f t="shared" si="80"/>
        <v>0</v>
      </c>
      <c r="BK87" s="133">
        <f t="shared" si="81"/>
        <v>0</v>
      </c>
      <c r="BL87" s="133">
        <f t="shared" si="82"/>
        <v>0</v>
      </c>
      <c r="BM87" s="133">
        <f t="shared" si="83"/>
        <v>0</v>
      </c>
      <c r="BN87" s="133">
        <f t="shared" si="84"/>
        <v>0</v>
      </c>
      <c r="BO87" s="133">
        <f t="shared" si="85"/>
        <v>0</v>
      </c>
      <c r="BP87" s="133">
        <f t="shared" si="86"/>
        <v>0</v>
      </c>
      <c r="BQ87" s="133">
        <f t="shared" si="87"/>
        <v>0</v>
      </c>
      <c r="BR87" s="133">
        <f t="shared" si="88"/>
        <v>0</v>
      </c>
      <c r="BS87" s="133">
        <f t="shared" si="89"/>
        <v>0</v>
      </c>
      <c r="BT87" s="133">
        <f t="shared" si="90"/>
        <v>0</v>
      </c>
      <c r="BU87" s="133">
        <f t="shared" si="91"/>
        <v>0</v>
      </c>
      <c r="BV87" s="133">
        <f t="shared" si="92"/>
        <v>0</v>
      </c>
      <c r="BW87" s="133">
        <f t="shared" si="93"/>
        <v>0</v>
      </c>
      <c r="BX87" s="267"/>
      <c r="BY87" s="267"/>
      <c r="BZ87" s="267"/>
      <c r="CA87" s="267"/>
      <c r="CB87" s="267"/>
      <c r="CC87" s="267"/>
      <c r="CD87" s="267"/>
      <c r="CE87" s="267"/>
      <c r="CF87" s="267"/>
      <c r="CG87" s="267"/>
      <c r="CS87" s="138">
        <v>69</v>
      </c>
      <c r="CT87" s="259">
        <f t="shared" ca="1" si="386"/>
        <v>48283</v>
      </c>
      <c r="CU87" s="179">
        <f t="shared" ref="CU87:DC87" ca="1" si="407">(($AW92/(1+CU$18)^(($AZ92-$AZ$23)/30)))+($AS92/(1+CU$18)^(($AZ92-$AZ$23)/30))</f>
        <v>24.899827329961134</v>
      </c>
      <c r="CV87" s="179">
        <f t="shared" ca="1" si="407"/>
        <v>25.779440511310952</v>
      </c>
      <c r="CW87" s="179">
        <f t="shared" ca="1" si="407"/>
        <v>26.322269658459877</v>
      </c>
      <c r="CX87" s="179">
        <f t="shared" ca="1" si="407"/>
        <v>26.876694098257037</v>
      </c>
      <c r="CY87" s="179">
        <f t="shared" ca="1" si="407"/>
        <v>27.442965045203678</v>
      </c>
      <c r="CZ87" s="179">
        <f t="shared" ca="1" si="407"/>
        <v>28.021339232921754</v>
      </c>
      <c r="DA87" s="179">
        <f t="shared" ca="1" si="407"/>
        <v>28.413775379663729</v>
      </c>
      <c r="DB87" s="179">
        <f t="shared" ca="1" si="407"/>
        <v>29.215452601163722</v>
      </c>
      <c r="DC87" s="179">
        <f t="shared" ca="1" si="407"/>
        <v>29.624855481065772</v>
      </c>
      <c r="DD87" s="179">
        <f t="shared" ref="DD87:DI87" ca="1" si="408">(($AW92/(1+DD$18)^(($AZ92-$AZ$23)/30)))+($AS92/(1+DD$18)^(($AZ92-$AZ$23)/30))</f>
        <v>30.040077716610888</v>
      </c>
      <c r="DE87" s="179">
        <f t="shared" ca="1" si="408"/>
        <v>30.461203195862229</v>
      </c>
      <c r="DF87" s="179" t="e">
        <f t="shared" ca="1" si="408"/>
        <v>#VALUE!</v>
      </c>
      <c r="DG87" s="179" t="e">
        <f t="shared" ca="1" si="408"/>
        <v>#VALUE!</v>
      </c>
      <c r="DH87" s="179" t="e">
        <f t="shared" ca="1" si="408"/>
        <v>#VALUE!</v>
      </c>
      <c r="DI87" s="179" t="e">
        <f t="shared" ca="1" si="408"/>
        <v>#VALUE!</v>
      </c>
      <c r="DJ87" s="179" t="e">
        <f t="shared" ref="DJ87:DQ87" ca="1" si="409">(($AW92/(1+DJ$18)^(($AZ92-$AZ$23)/30)))+($AS92/(1+DJ$18)^(($AZ92-$AZ$23)/30))</f>
        <v>#VALUE!</v>
      </c>
      <c r="DK87" s="179" t="e">
        <f t="shared" ca="1" si="409"/>
        <v>#VALUE!</v>
      </c>
      <c r="DL87" s="179" t="e">
        <f t="shared" ca="1" si="409"/>
        <v>#VALUE!</v>
      </c>
      <c r="DM87" s="179" t="e">
        <f t="shared" ca="1" si="409"/>
        <v>#VALUE!</v>
      </c>
      <c r="DN87" s="179" t="e">
        <f t="shared" ca="1" si="409"/>
        <v>#VALUE!</v>
      </c>
      <c r="DO87" s="179" t="e">
        <f t="shared" ca="1" si="409"/>
        <v>#VALUE!</v>
      </c>
      <c r="DP87" s="179" t="e">
        <f t="shared" ca="1" si="409"/>
        <v>#VALUE!</v>
      </c>
      <c r="DQ87" s="179" t="e">
        <f t="shared" ca="1" si="409"/>
        <v>#VALUE!</v>
      </c>
      <c r="DR87" s="180">
        <f t="shared" ca="1" si="396"/>
        <v>5.7870356057992893</v>
      </c>
      <c r="DS87" s="180">
        <f t="shared" ca="1" si="390"/>
        <v>5.7870356057992893</v>
      </c>
      <c r="DT87" s="180">
        <f t="shared" ca="1" si="390"/>
        <v>5.7870356057992893</v>
      </c>
      <c r="DU87" s="180">
        <f t="shared" ca="1" si="390"/>
        <v>5.7870356057992893</v>
      </c>
      <c r="DV87" s="180">
        <f t="shared" ca="1" si="390"/>
        <v>5.7870356057992893</v>
      </c>
      <c r="DW87" s="180">
        <f t="shared" ca="1" si="390"/>
        <v>5.7870356057992893</v>
      </c>
      <c r="DX87" s="180">
        <f t="shared" ca="1" si="390"/>
        <v>5.7870356057992893</v>
      </c>
      <c r="DY87" s="180">
        <f t="shared" ca="1" si="390"/>
        <v>5.7870356057992893</v>
      </c>
      <c r="DZ87" s="180">
        <f t="shared" ca="1" si="390"/>
        <v>5.7870356057992893</v>
      </c>
      <c r="EA87" s="180">
        <f t="shared" ca="1" si="390"/>
        <v>5.7870356057992893</v>
      </c>
      <c r="EB87" s="180">
        <f t="shared" ca="1" si="390"/>
        <v>5.7870356057992893</v>
      </c>
      <c r="EC87" s="180">
        <f t="shared" ca="1" si="390"/>
        <v>5.7870356057992893</v>
      </c>
      <c r="ED87" s="180">
        <f t="shared" ca="1" si="390"/>
        <v>5.7870356057992893</v>
      </c>
      <c r="EE87" s="180">
        <f t="shared" ca="1" si="390"/>
        <v>5.7870356057992893</v>
      </c>
      <c r="EF87" s="180">
        <f t="shared" ca="1" si="390"/>
        <v>5.7870356057992893</v>
      </c>
      <c r="EG87" s="180">
        <f t="shared" ref="EG87:EO87" ca="1" si="410">IF($AU92&gt;$BA$19,0,$BA92-$AS92)</f>
        <v>5.7870356057992893</v>
      </c>
      <c r="EH87" s="180">
        <f t="shared" ca="1" si="410"/>
        <v>5.7870356057992893</v>
      </c>
      <c r="EI87" s="180">
        <f t="shared" ca="1" si="410"/>
        <v>5.7870356057992893</v>
      </c>
      <c r="EJ87" s="180">
        <f t="shared" ca="1" si="410"/>
        <v>5.7870356057992893</v>
      </c>
      <c r="EK87" s="180">
        <f t="shared" ca="1" si="410"/>
        <v>5.7870356057992893</v>
      </c>
      <c r="EL87" s="180">
        <f t="shared" ca="1" si="410"/>
        <v>5.7870356057992893</v>
      </c>
      <c r="EM87" s="180">
        <f t="shared" ca="1" si="410"/>
        <v>5.7870356057992893</v>
      </c>
      <c r="EN87" s="180">
        <f t="shared" ca="1" si="410"/>
        <v>5.7870356057992893</v>
      </c>
      <c r="EO87" s="180">
        <f t="shared" ca="1" si="410"/>
        <v>5.7870356057992893</v>
      </c>
      <c r="EQ87" s="259">
        <f t="shared" ca="1" si="398"/>
        <v>48254</v>
      </c>
      <c r="ER87" s="87">
        <f t="shared" ca="1" si="356"/>
        <v>5.7870356057992893</v>
      </c>
      <c r="ES87" s="87">
        <f t="shared" ca="1" si="356"/>
        <v>5.7870356057992893</v>
      </c>
      <c r="ET87" s="87">
        <f t="shared" ca="1" si="356"/>
        <v>5.7870356057992893</v>
      </c>
      <c r="EU87" s="87">
        <f t="shared" ca="1" si="356"/>
        <v>5.7870356057992893</v>
      </c>
      <c r="EV87" s="87">
        <f t="shared" ca="1" si="356"/>
        <v>5.7870356057992893</v>
      </c>
      <c r="EW87" s="87">
        <f t="shared" ca="1" si="356"/>
        <v>5.7870356057992893</v>
      </c>
      <c r="EX87" s="87">
        <f t="shared" ca="1" si="356"/>
        <v>5.7870356057992893</v>
      </c>
      <c r="EY87" s="87">
        <f t="shared" ca="1" si="356"/>
        <v>5.7870356057992893</v>
      </c>
      <c r="EZ87" s="87">
        <f t="shared" ca="1" si="356"/>
        <v>5.7870356057992893</v>
      </c>
      <c r="FA87" s="87">
        <f t="shared" ca="1" si="356"/>
        <v>5.7870356057992893</v>
      </c>
      <c r="FB87" s="87">
        <f t="shared" ca="1" si="356"/>
        <v>5.7870356057992893</v>
      </c>
      <c r="FC87" s="87">
        <f t="shared" ca="1" si="356"/>
        <v>5.7870356057992893</v>
      </c>
      <c r="FD87" s="87">
        <f t="shared" ca="1" si="356"/>
        <v>5.7870356057992893</v>
      </c>
      <c r="FE87" s="87">
        <f t="shared" ca="1" si="356"/>
        <v>5.7870356057992893</v>
      </c>
      <c r="FF87" s="87">
        <f t="shared" ca="1" si="356"/>
        <v>5.7870356057992893</v>
      </c>
      <c r="FG87" s="87">
        <f t="shared" ca="1" si="392"/>
        <v>5.7870356057992893</v>
      </c>
      <c r="FH87" s="87">
        <f t="shared" ca="1" si="392"/>
        <v>5.7870356057992893</v>
      </c>
      <c r="FI87" s="87">
        <f t="shared" ca="1" si="392"/>
        <v>5.7870356057992893</v>
      </c>
      <c r="FJ87" s="87">
        <f t="shared" ca="1" si="392"/>
        <v>5.7870356057992893</v>
      </c>
      <c r="FK87" s="87">
        <f t="shared" ca="1" si="392"/>
        <v>5.7870356057992893</v>
      </c>
      <c r="FL87" s="87">
        <f t="shared" ca="1" si="392"/>
        <v>5.7870356057992893</v>
      </c>
      <c r="FM87" s="87">
        <f t="shared" ca="1" si="392"/>
        <v>5.7870356057992893</v>
      </c>
      <c r="FN87" s="87">
        <f t="shared" ca="1" si="392"/>
        <v>5.7870356057992893</v>
      </c>
      <c r="FO87" s="87">
        <f t="shared" ca="1" si="392"/>
        <v>5.7870356057992893</v>
      </c>
      <c r="FP87" s="87">
        <f t="shared" ca="1" si="392"/>
        <v>5.7870356057992893</v>
      </c>
    </row>
    <row r="88" spans="2:172" ht="12.75" hidden="1" customHeight="1" x14ac:dyDescent="0.25">
      <c r="B88" s="87">
        <v>30</v>
      </c>
      <c r="C88" s="181">
        <f t="shared" ca="1" si="256"/>
        <v>47067</v>
      </c>
      <c r="D88" s="380">
        <f t="shared" ca="1" si="350"/>
        <v>0.57523083878621595</v>
      </c>
      <c r="E88" s="380">
        <f t="shared" si="350"/>
        <v>0</v>
      </c>
      <c r="F88" s="380">
        <f t="shared" si="350"/>
        <v>0</v>
      </c>
      <c r="G88" s="380">
        <f t="shared" si="350"/>
        <v>0</v>
      </c>
      <c r="H88" s="380">
        <f t="shared" si="350"/>
        <v>0</v>
      </c>
      <c r="I88" s="380">
        <f t="shared" si="350"/>
        <v>0</v>
      </c>
      <c r="J88" s="380">
        <f t="shared" si="350"/>
        <v>0</v>
      </c>
      <c r="K88" s="380">
        <f t="shared" si="350"/>
        <v>0</v>
      </c>
      <c r="L88" s="380">
        <f t="shared" si="350"/>
        <v>0</v>
      </c>
      <c r="M88" s="380">
        <f t="shared" si="350"/>
        <v>0</v>
      </c>
      <c r="N88" s="380">
        <f t="shared" si="351"/>
        <v>0</v>
      </c>
      <c r="O88" s="380">
        <f t="shared" si="351"/>
        <v>0</v>
      </c>
      <c r="P88" s="380">
        <f t="shared" si="351"/>
        <v>0</v>
      </c>
      <c r="Q88" s="380">
        <f t="shared" si="351"/>
        <v>0</v>
      </c>
      <c r="R88" s="380">
        <f t="shared" si="351"/>
        <v>0</v>
      </c>
      <c r="S88" s="380">
        <f t="shared" si="351"/>
        <v>0</v>
      </c>
      <c r="T88" s="380">
        <f t="shared" si="351"/>
        <v>0</v>
      </c>
      <c r="U88" s="175"/>
      <c r="V88" s="176"/>
      <c r="W88" s="176"/>
      <c r="X88" s="87">
        <v>73</v>
      </c>
      <c r="Y88" s="377">
        <f t="shared" si="361"/>
        <v>0</v>
      </c>
      <c r="Z88" s="377">
        <f t="shared" si="362"/>
        <v>0</v>
      </c>
      <c r="AA88" s="377">
        <f t="shared" si="363"/>
        <v>0</v>
      </c>
      <c r="AB88" s="377">
        <f t="shared" si="364"/>
        <v>0</v>
      </c>
      <c r="AC88" s="377">
        <f t="shared" si="365"/>
        <v>0</v>
      </c>
      <c r="AD88" s="377">
        <f t="shared" si="366"/>
        <v>0</v>
      </c>
      <c r="AE88" s="377">
        <f t="shared" si="367"/>
        <v>0</v>
      </c>
      <c r="AF88" s="377">
        <f t="shared" si="368"/>
        <v>0</v>
      </c>
      <c r="AG88" s="377">
        <f t="shared" si="369"/>
        <v>0</v>
      </c>
      <c r="AH88" s="377">
        <f t="shared" si="370"/>
        <v>0</v>
      </c>
      <c r="AI88" s="377">
        <f t="shared" si="371"/>
        <v>0</v>
      </c>
      <c r="AJ88" s="377">
        <f t="shared" si="372"/>
        <v>0</v>
      </c>
      <c r="AK88" s="377">
        <f t="shared" si="373"/>
        <v>0</v>
      </c>
      <c r="AL88" s="377">
        <f t="shared" si="374"/>
        <v>0</v>
      </c>
      <c r="AM88" s="377">
        <f t="shared" si="375"/>
        <v>0</v>
      </c>
      <c r="AN88" s="377">
        <f t="shared" si="376"/>
        <v>0</v>
      </c>
      <c r="AO88" s="377">
        <f t="shared" si="377"/>
        <v>0</v>
      </c>
      <c r="AQ88" s="138">
        <v>65</v>
      </c>
      <c r="AR88" s="258">
        <f t="shared" ca="1" si="249"/>
        <v>48131</v>
      </c>
      <c r="AS88" s="378">
        <f t="shared" ca="1" si="70"/>
        <v>85.212964394200711</v>
      </c>
      <c r="AT88" s="138"/>
      <c r="AU88" s="138">
        <v>65</v>
      </c>
      <c r="AV88" s="258">
        <f t="shared" ca="1" si="250"/>
        <v>48162</v>
      </c>
      <c r="AW88" s="378">
        <f t="shared" ca="1" si="72"/>
        <v>5.7870356057992893</v>
      </c>
      <c r="AX88" s="202">
        <f t="shared" ca="1" si="73"/>
        <v>1.7</v>
      </c>
      <c r="AY88" s="138">
        <v>65</v>
      </c>
      <c r="AZ88" s="258">
        <f t="shared" ca="1" si="251"/>
        <v>48162</v>
      </c>
      <c r="BA88" s="378">
        <f t="shared" si="75"/>
        <v>91</v>
      </c>
      <c r="BC88" s="258">
        <f t="shared" ref="BC88:BC119" ca="1" si="411">AR88</f>
        <v>48131</v>
      </c>
      <c r="BD88" s="302">
        <f t="shared" ca="1" si="76"/>
        <v>5.7870356057992893</v>
      </c>
      <c r="BE88" s="133">
        <f t="shared" ref="BE88:BE151" si="412">AQ88</f>
        <v>65</v>
      </c>
      <c r="BF88" s="379">
        <f t="shared" ref="BF88:BF151" ca="1" si="413">AR88</f>
        <v>48131</v>
      </c>
      <c r="BG88" s="133">
        <f t="shared" si="77"/>
        <v>91</v>
      </c>
      <c r="BH88" s="133">
        <f t="shared" si="78"/>
        <v>0</v>
      </c>
      <c r="BI88" s="133">
        <f t="shared" si="79"/>
        <v>0</v>
      </c>
      <c r="BJ88" s="133">
        <f t="shared" si="80"/>
        <v>0</v>
      </c>
      <c r="BK88" s="133">
        <f t="shared" si="81"/>
        <v>0</v>
      </c>
      <c r="BL88" s="133">
        <f t="shared" si="82"/>
        <v>0</v>
      </c>
      <c r="BM88" s="133">
        <f t="shared" si="83"/>
        <v>0</v>
      </c>
      <c r="BN88" s="133">
        <f t="shared" si="84"/>
        <v>0</v>
      </c>
      <c r="BO88" s="133">
        <f t="shared" si="85"/>
        <v>0</v>
      </c>
      <c r="BP88" s="133">
        <f t="shared" si="86"/>
        <v>0</v>
      </c>
      <c r="BQ88" s="133">
        <f t="shared" si="87"/>
        <v>0</v>
      </c>
      <c r="BR88" s="133">
        <f t="shared" si="88"/>
        <v>0</v>
      </c>
      <c r="BS88" s="133">
        <f t="shared" si="89"/>
        <v>0</v>
      </c>
      <c r="BT88" s="133">
        <f t="shared" si="90"/>
        <v>0</v>
      </c>
      <c r="BU88" s="133">
        <f t="shared" si="91"/>
        <v>0</v>
      </c>
      <c r="BV88" s="133">
        <f t="shared" si="92"/>
        <v>0</v>
      </c>
      <c r="BW88" s="133">
        <f t="shared" si="93"/>
        <v>0</v>
      </c>
      <c r="BX88" s="267"/>
      <c r="BY88" s="267"/>
      <c r="BZ88" s="267"/>
      <c r="CA88" s="267"/>
      <c r="CB88" s="267"/>
      <c r="CC88" s="267"/>
      <c r="CD88" s="267"/>
      <c r="CE88" s="267"/>
      <c r="CF88" s="267"/>
      <c r="CG88" s="267"/>
      <c r="CS88" s="87">
        <v>70</v>
      </c>
      <c r="CT88" s="259">
        <f t="shared" ca="1" si="386"/>
        <v>48314</v>
      </c>
      <c r="CU88" s="179">
        <f t="shared" ref="CU88:DC88" ca="1" si="414">(($AW93/(1+CU$18)^(($AZ93-$AZ$23)/30)))+($AS93/(1+CU$18)^(($AZ93-$AZ$23)/30))</f>
        <v>24.432614029231711</v>
      </c>
      <c r="CV88" s="179">
        <f t="shared" ca="1" si="414"/>
        <v>25.308560869286438</v>
      </c>
      <c r="CW88" s="179">
        <f t="shared" ca="1" si="414"/>
        <v>25.849346429426102</v>
      </c>
      <c r="CX88" s="179">
        <f t="shared" ca="1" si="414"/>
        <v>26.401851901829435</v>
      </c>
      <c r="CY88" s="179">
        <f t="shared" ca="1" si="414"/>
        <v>26.966334849338118</v>
      </c>
      <c r="CZ88" s="179">
        <f t="shared" ca="1" si="414"/>
        <v>27.543058573601641</v>
      </c>
      <c r="DA88" s="179">
        <f t="shared" ca="1" si="414"/>
        <v>27.934474165989275</v>
      </c>
      <c r="DB88" s="179">
        <f t="shared" ca="1" si="414"/>
        <v>28.734311033710796</v>
      </c>
      <c r="DC88" s="179">
        <f t="shared" ca="1" si="414"/>
        <v>29.142898397031122</v>
      </c>
      <c r="DD88" s="179">
        <f t="shared" ref="DD88:DI88" ca="1" si="415">(($AW93/(1+DD$18)^(($AZ93-$AZ$23)/30)))+($AS93/(1+DD$18)^(($AZ93-$AZ$23)/30))</f>
        <v>29.557377825622023</v>
      </c>
      <c r="DE88" s="179">
        <f t="shared" ca="1" si="415"/>
        <v>29.977835471720343</v>
      </c>
      <c r="DF88" s="179" t="e">
        <f t="shared" ca="1" si="415"/>
        <v>#VALUE!</v>
      </c>
      <c r="DG88" s="179" t="e">
        <f t="shared" ca="1" si="415"/>
        <v>#VALUE!</v>
      </c>
      <c r="DH88" s="179" t="e">
        <f t="shared" ca="1" si="415"/>
        <v>#VALUE!</v>
      </c>
      <c r="DI88" s="179" t="e">
        <f t="shared" ca="1" si="415"/>
        <v>#VALUE!</v>
      </c>
      <c r="DJ88" s="179" t="e">
        <f t="shared" ref="DJ88:DQ88" ca="1" si="416">(($AW93/(1+DJ$18)^(($AZ93-$AZ$23)/30)))+($AS93/(1+DJ$18)^(($AZ93-$AZ$23)/30))</f>
        <v>#VALUE!</v>
      </c>
      <c r="DK88" s="179" t="e">
        <f t="shared" ca="1" si="416"/>
        <v>#VALUE!</v>
      </c>
      <c r="DL88" s="179" t="e">
        <f t="shared" ca="1" si="416"/>
        <v>#VALUE!</v>
      </c>
      <c r="DM88" s="179" t="e">
        <f t="shared" ca="1" si="416"/>
        <v>#VALUE!</v>
      </c>
      <c r="DN88" s="179" t="e">
        <f t="shared" ca="1" si="416"/>
        <v>#VALUE!</v>
      </c>
      <c r="DO88" s="179" t="e">
        <f t="shared" ca="1" si="416"/>
        <v>#VALUE!</v>
      </c>
      <c r="DP88" s="179" t="e">
        <f t="shared" ca="1" si="416"/>
        <v>#VALUE!</v>
      </c>
      <c r="DQ88" s="179" t="e">
        <f t="shared" ca="1" si="416"/>
        <v>#VALUE!</v>
      </c>
      <c r="DR88" s="180">
        <f t="shared" si="396"/>
        <v>91</v>
      </c>
      <c r="DS88" s="180">
        <f t="shared" si="390"/>
        <v>91</v>
      </c>
      <c r="DT88" s="180">
        <f t="shared" si="390"/>
        <v>91</v>
      </c>
      <c r="DU88" s="180">
        <f t="shared" si="390"/>
        <v>91</v>
      </c>
      <c r="DV88" s="180">
        <f t="shared" si="390"/>
        <v>91</v>
      </c>
      <c r="DW88" s="180">
        <f t="shared" si="390"/>
        <v>91</v>
      </c>
      <c r="DX88" s="180">
        <f t="shared" si="390"/>
        <v>91</v>
      </c>
      <c r="DY88" s="180">
        <f t="shared" si="390"/>
        <v>91</v>
      </c>
      <c r="DZ88" s="180">
        <f t="shared" si="390"/>
        <v>91</v>
      </c>
      <c r="EA88" s="180">
        <f t="shared" si="390"/>
        <v>91</v>
      </c>
      <c r="EB88" s="180">
        <f t="shared" si="390"/>
        <v>91</v>
      </c>
      <c r="EC88" s="180">
        <f t="shared" si="390"/>
        <v>91</v>
      </c>
      <c r="ED88" s="180">
        <f t="shared" si="390"/>
        <v>91</v>
      </c>
      <c r="EE88" s="180">
        <f t="shared" si="390"/>
        <v>91</v>
      </c>
      <c r="EF88" s="180">
        <f t="shared" si="390"/>
        <v>91</v>
      </c>
      <c r="EG88" s="180">
        <f t="shared" ref="EG88:EO88" si="417">IF($AU93&gt;$BA$19,0,$BA93-$AS93)</f>
        <v>91</v>
      </c>
      <c r="EH88" s="180">
        <f t="shared" si="417"/>
        <v>91</v>
      </c>
      <c r="EI88" s="180">
        <f t="shared" si="417"/>
        <v>91</v>
      </c>
      <c r="EJ88" s="180">
        <f t="shared" si="417"/>
        <v>91</v>
      </c>
      <c r="EK88" s="180">
        <f t="shared" si="417"/>
        <v>91</v>
      </c>
      <c r="EL88" s="180">
        <f t="shared" si="417"/>
        <v>91</v>
      </c>
      <c r="EM88" s="180">
        <f t="shared" si="417"/>
        <v>91</v>
      </c>
      <c r="EN88" s="180">
        <f t="shared" si="417"/>
        <v>91</v>
      </c>
      <c r="EO88" s="180">
        <f t="shared" si="417"/>
        <v>91</v>
      </c>
      <c r="EQ88" s="259">
        <f t="shared" ca="1" si="398"/>
        <v>48283</v>
      </c>
      <c r="ER88" s="87">
        <f t="shared" ca="1" si="356"/>
        <v>91</v>
      </c>
      <c r="ES88" s="87">
        <f t="shared" ca="1" si="356"/>
        <v>91</v>
      </c>
      <c r="ET88" s="87">
        <f t="shared" ca="1" si="356"/>
        <v>91</v>
      </c>
      <c r="EU88" s="87">
        <f t="shared" ca="1" si="356"/>
        <v>91</v>
      </c>
      <c r="EV88" s="87">
        <f t="shared" ca="1" si="356"/>
        <v>91</v>
      </c>
      <c r="EW88" s="87">
        <f t="shared" ca="1" si="356"/>
        <v>91</v>
      </c>
      <c r="EX88" s="87">
        <f t="shared" ca="1" si="356"/>
        <v>91</v>
      </c>
      <c r="EY88" s="87">
        <f t="shared" ca="1" si="356"/>
        <v>91</v>
      </c>
      <c r="EZ88" s="87">
        <f t="shared" ca="1" si="356"/>
        <v>91</v>
      </c>
      <c r="FA88" s="87">
        <f t="shared" ca="1" si="356"/>
        <v>91</v>
      </c>
      <c r="FB88" s="87">
        <f t="shared" ca="1" si="356"/>
        <v>91</v>
      </c>
      <c r="FC88" s="87">
        <f t="shared" ca="1" si="356"/>
        <v>91</v>
      </c>
      <c r="FD88" s="87">
        <f t="shared" ca="1" si="356"/>
        <v>91</v>
      </c>
      <c r="FE88" s="87">
        <f t="shared" ca="1" si="356"/>
        <v>91</v>
      </c>
      <c r="FF88" s="87">
        <f t="shared" ca="1" si="356"/>
        <v>91</v>
      </c>
      <c r="FG88" s="87">
        <f t="shared" ca="1" si="392"/>
        <v>91</v>
      </c>
      <c r="FH88" s="87">
        <f t="shared" ca="1" si="392"/>
        <v>91</v>
      </c>
      <c r="FI88" s="87">
        <f t="shared" ca="1" si="392"/>
        <v>91</v>
      </c>
      <c r="FJ88" s="87">
        <f t="shared" ca="1" si="392"/>
        <v>91</v>
      </c>
      <c r="FK88" s="87">
        <f t="shared" ca="1" si="392"/>
        <v>91</v>
      </c>
      <c r="FL88" s="87">
        <f t="shared" ca="1" si="392"/>
        <v>91</v>
      </c>
      <c r="FM88" s="87">
        <f t="shared" ca="1" si="392"/>
        <v>91</v>
      </c>
      <c r="FN88" s="87">
        <f t="shared" ca="1" si="392"/>
        <v>91</v>
      </c>
      <c r="FO88" s="87">
        <f t="shared" ca="1" si="392"/>
        <v>91</v>
      </c>
      <c r="FP88" s="87">
        <f t="shared" ca="1" si="392"/>
        <v>91</v>
      </c>
    </row>
    <row r="89" spans="2:172" ht="12.75" hidden="1" customHeight="1" x14ac:dyDescent="0.25">
      <c r="B89" s="87">
        <v>31</v>
      </c>
      <c r="C89" s="181">
        <f t="shared" ca="1" si="256"/>
        <v>47097</v>
      </c>
      <c r="D89" s="380">
        <f t="shared" ref="D89:M98" ca="1" si="418">IF($B89&lt;=D$20,1/(($C$57+1)^(($C89-$C$58)/30)),0)</f>
        <v>0.56478236503310353</v>
      </c>
      <c r="E89" s="380">
        <f t="shared" si="418"/>
        <v>0</v>
      </c>
      <c r="F89" s="380">
        <f t="shared" si="418"/>
        <v>0</v>
      </c>
      <c r="G89" s="380">
        <f t="shared" si="418"/>
        <v>0</v>
      </c>
      <c r="H89" s="380">
        <f t="shared" si="418"/>
        <v>0</v>
      </c>
      <c r="I89" s="380">
        <f t="shared" si="418"/>
        <v>0</v>
      </c>
      <c r="J89" s="380">
        <f t="shared" si="418"/>
        <v>0</v>
      </c>
      <c r="K89" s="380">
        <f t="shared" si="418"/>
        <v>0</v>
      </c>
      <c r="L89" s="380">
        <f t="shared" si="418"/>
        <v>0</v>
      </c>
      <c r="M89" s="380">
        <f t="shared" si="418"/>
        <v>0</v>
      </c>
      <c r="N89" s="380">
        <f t="shared" ref="N89:T98" si="419">IF($B89&lt;=N$20,1/(($C$57+1)^(($C89-$C$58)/30)),0)</f>
        <v>0</v>
      </c>
      <c r="O89" s="380">
        <f t="shared" si="419"/>
        <v>0</v>
      </c>
      <c r="P89" s="380">
        <f t="shared" si="419"/>
        <v>0</v>
      </c>
      <c r="Q89" s="380">
        <f t="shared" si="419"/>
        <v>0</v>
      </c>
      <c r="R89" s="380">
        <f t="shared" si="419"/>
        <v>0</v>
      </c>
      <c r="S89" s="380">
        <f t="shared" si="419"/>
        <v>0</v>
      </c>
      <c r="T89" s="380">
        <f t="shared" si="419"/>
        <v>0</v>
      </c>
      <c r="U89" s="175"/>
      <c r="V89" s="176"/>
      <c r="W89" s="176"/>
      <c r="X89" s="87">
        <v>74</v>
      </c>
      <c r="Y89" s="377">
        <f t="shared" si="361"/>
        <v>0</v>
      </c>
      <c r="Z89" s="377">
        <f t="shared" si="362"/>
        <v>0</v>
      </c>
      <c r="AA89" s="377">
        <f t="shared" si="363"/>
        <v>0</v>
      </c>
      <c r="AB89" s="377">
        <f t="shared" si="364"/>
        <v>0</v>
      </c>
      <c r="AC89" s="377">
        <f t="shared" si="365"/>
        <v>0</v>
      </c>
      <c r="AD89" s="377">
        <f t="shared" si="366"/>
        <v>0</v>
      </c>
      <c r="AE89" s="377">
        <f t="shared" si="367"/>
        <v>0</v>
      </c>
      <c r="AF89" s="377">
        <f t="shared" si="368"/>
        <v>0</v>
      </c>
      <c r="AG89" s="377">
        <f t="shared" si="369"/>
        <v>0</v>
      </c>
      <c r="AH89" s="377">
        <f t="shared" si="370"/>
        <v>0</v>
      </c>
      <c r="AI89" s="377">
        <f t="shared" si="371"/>
        <v>0</v>
      </c>
      <c r="AJ89" s="377">
        <f t="shared" si="372"/>
        <v>0</v>
      </c>
      <c r="AK89" s="377">
        <f t="shared" si="373"/>
        <v>0</v>
      </c>
      <c r="AL89" s="377">
        <f t="shared" si="374"/>
        <v>0</v>
      </c>
      <c r="AM89" s="377">
        <f t="shared" si="375"/>
        <v>0</v>
      </c>
      <c r="AN89" s="377">
        <f t="shared" si="376"/>
        <v>0</v>
      </c>
      <c r="AO89" s="377">
        <f t="shared" si="377"/>
        <v>0</v>
      </c>
      <c r="AQ89" s="138">
        <v>66</v>
      </c>
      <c r="AR89" s="258">
        <f t="shared" ref="AR89:AR107" ca="1" si="420">EDATE(AR88,1)</f>
        <v>48162</v>
      </c>
      <c r="AS89" s="378">
        <f t="shared" ref="AS89:AS152" ca="1" si="421">SUM(Y81:AO81)</f>
        <v>85.212964394200711</v>
      </c>
      <c r="AT89" s="138"/>
      <c r="AU89" s="138">
        <v>66</v>
      </c>
      <c r="AV89" s="258">
        <f t="shared" ref="AV89:AV107" ca="1" si="422">EDATE(AV88,1)</f>
        <v>48192</v>
      </c>
      <c r="AW89" s="378">
        <f t="shared" ref="AW89:AW152" ca="1" si="423">IF(AU89&gt;$BA$19,0,BA89-AS89)</f>
        <v>5.7870356057992893</v>
      </c>
      <c r="AX89" s="202">
        <f t="shared" ref="AX89:AX152" ca="1" si="424">ROUND(AW89/(1+$AW$20)^((AV89-$AV$23)/30),2)</f>
        <v>1.67</v>
      </c>
      <c r="AY89" s="138">
        <v>66</v>
      </c>
      <c r="AZ89" s="258">
        <f t="shared" ref="AZ89:AZ107" ca="1" si="425">EDATE(AZ88,1)</f>
        <v>48192</v>
      </c>
      <c r="BA89" s="378">
        <f t="shared" ref="BA89:BA152" si="426">IF(AY89&gt;$BA$19,0,$BA$18)</f>
        <v>91</v>
      </c>
      <c r="BC89" s="258">
        <f t="shared" ca="1" si="411"/>
        <v>48162</v>
      </c>
      <c r="BD89" s="302">
        <f t="shared" ref="BD89:BD119" ca="1" si="427">IFERROR(VLOOKUP(BC89,$AZ$23:$BA$169,2,FALSE),0)-IFERROR(VLOOKUP(BC89,$AR$23:$AS$167,2,FALSE),0)</f>
        <v>5.7870356057992893</v>
      </c>
      <c r="BE89" s="133">
        <f t="shared" si="412"/>
        <v>66</v>
      </c>
      <c r="BF89" s="379">
        <f t="shared" ca="1" si="413"/>
        <v>48162</v>
      </c>
      <c r="BG89" s="133">
        <f t="shared" ref="BG89:BG152" si="428">IF($BE89&lt;=D$16,D$17,0)</f>
        <v>91</v>
      </c>
      <c r="BH89" s="133">
        <f t="shared" ref="BH89:BH152" si="429">IF($BE89&lt;=E$16,E$17,0)</f>
        <v>0</v>
      </c>
      <c r="BI89" s="133">
        <f t="shared" ref="BI89:BI152" si="430">IF($BE89&lt;=F$16,F$17,0)</f>
        <v>0</v>
      </c>
      <c r="BJ89" s="133">
        <f t="shared" ref="BJ89:BJ152" si="431">IF($BE89&lt;=G$16,G$17,0)</f>
        <v>0</v>
      </c>
      <c r="BK89" s="133">
        <f t="shared" ref="BK89:BK152" si="432">IF($BE89&lt;=H$16,H$17,0)</f>
        <v>0</v>
      </c>
      <c r="BL89" s="133">
        <f t="shared" ref="BL89:BL152" si="433">IF($BE89&lt;=I$16,I$17,0)</f>
        <v>0</v>
      </c>
      <c r="BM89" s="133">
        <f t="shared" ref="BM89:BM152" si="434">IF($BE89&lt;=J$16,J$17,0)</f>
        <v>0</v>
      </c>
      <c r="BN89" s="133">
        <f t="shared" ref="BN89:BN152" si="435">IF($BE89&lt;=K$16,K$17,0)</f>
        <v>0</v>
      </c>
      <c r="BO89" s="133">
        <f t="shared" ref="BO89:BO152" si="436">IF($BE89&lt;=L$16,L$17,0)</f>
        <v>0</v>
      </c>
      <c r="BP89" s="133">
        <f t="shared" ref="BP89:BP152" si="437">IF($BE89&lt;=M$16,M$17,0)</f>
        <v>0</v>
      </c>
      <c r="BQ89" s="133">
        <f t="shared" ref="BQ89:BQ152" si="438">IF($BE89&lt;=N$16,N$17,0)</f>
        <v>0</v>
      </c>
      <c r="BR89" s="133">
        <f t="shared" ref="BR89:BR152" si="439">IF($BE89&lt;=O$16,O$17,0)</f>
        <v>0</v>
      </c>
      <c r="BS89" s="133">
        <f t="shared" ref="BS89:BS152" si="440">IF($BE89&lt;=P$16,P$17,0)</f>
        <v>0</v>
      </c>
      <c r="BT89" s="133">
        <f t="shared" ref="BT89:BT152" si="441">IF($BE89&lt;=Q$16,Q$17,0)</f>
        <v>0</v>
      </c>
      <c r="BU89" s="133">
        <f t="shared" ref="BU89:BU152" si="442">IF($BE89&lt;=R$16,R$17,0)</f>
        <v>0</v>
      </c>
      <c r="BV89" s="133">
        <f t="shared" ref="BV89:BV152" si="443">IF($BE89&lt;=S$16,S$17,0)</f>
        <v>0</v>
      </c>
      <c r="BW89" s="133">
        <f t="shared" ref="BW89:BW152" si="444">IF($BE89&lt;=T$16,T$17,0)</f>
        <v>0</v>
      </c>
      <c r="BX89" s="267"/>
      <c r="BY89" s="267"/>
      <c r="BZ89" s="267"/>
      <c r="CA89" s="267"/>
      <c r="CB89" s="267"/>
      <c r="CC89" s="267"/>
      <c r="CD89" s="267"/>
      <c r="CE89" s="267"/>
      <c r="CF89" s="267"/>
      <c r="CG89" s="267"/>
      <c r="CS89" s="178">
        <v>71</v>
      </c>
      <c r="CT89" s="259">
        <f t="shared" ca="1" si="386"/>
        <v>48344</v>
      </c>
      <c r="CU89" s="179">
        <f t="shared" ref="CU89:DC89" ca="1" si="445">(($AW94/(1+CU$18)^(($AZ94-$AZ$23)/30)))+($AS94/(1+CU$18)^(($AZ94-$AZ$23)/30))</f>
        <v>23.988820843624652</v>
      </c>
      <c r="CV89" s="179">
        <f t="shared" ca="1" si="445"/>
        <v>24.861061757648756</v>
      </c>
      <c r="CW89" s="179">
        <f t="shared" ca="1" si="445"/>
        <v>25.399770491722609</v>
      </c>
      <c r="CX89" s="179">
        <f t="shared" ca="1" si="445"/>
        <v>25.950316396529811</v>
      </c>
      <c r="CY89" s="179">
        <f t="shared" ca="1" si="445"/>
        <v>26.5129631789776</v>
      </c>
      <c r="CZ89" s="179">
        <f t="shared" ca="1" si="445"/>
        <v>27.087980501181796</v>
      </c>
      <c r="DA89" s="179">
        <f t="shared" ca="1" si="445"/>
        <v>27.478333824502535</v>
      </c>
      <c r="DB89" s="179">
        <f t="shared" ca="1" si="445"/>
        <v>28.276236010343233</v>
      </c>
      <c r="DC89" s="179">
        <f t="shared" ca="1" si="445"/>
        <v>28.683955115188109</v>
      </c>
      <c r="DD89" s="179">
        <f t="shared" ref="DD89:DI89" ca="1" si="446">(($AW94/(1+DD$18)^(($AZ94-$AZ$23)/30)))+($AS94/(1+DD$18)^(($AZ94-$AZ$23)/30))</f>
        <v>29.09763518962593</v>
      </c>
      <c r="DE89" s="179">
        <f t="shared" ca="1" si="446"/>
        <v>29.517364584206714</v>
      </c>
      <c r="DF89" s="179" t="e">
        <f t="shared" ca="1" si="446"/>
        <v>#VALUE!</v>
      </c>
      <c r="DG89" s="179" t="e">
        <f t="shared" ca="1" si="446"/>
        <v>#VALUE!</v>
      </c>
      <c r="DH89" s="179" t="e">
        <f t="shared" ca="1" si="446"/>
        <v>#VALUE!</v>
      </c>
      <c r="DI89" s="179" t="e">
        <f t="shared" ca="1" si="446"/>
        <v>#VALUE!</v>
      </c>
      <c r="DJ89" s="179" t="e">
        <f t="shared" ref="DJ89:DQ89" ca="1" si="447">(($AW94/(1+DJ$18)^(($AZ94-$AZ$23)/30)))+($AS94/(1+DJ$18)^(($AZ94-$AZ$23)/30))</f>
        <v>#VALUE!</v>
      </c>
      <c r="DK89" s="179" t="e">
        <f t="shared" ca="1" si="447"/>
        <v>#VALUE!</v>
      </c>
      <c r="DL89" s="179" t="e">
        <f t="shared" ca="1" si="447"/>
        <v>#VALUE!</v>
      </c>
      <c r="DM89" s="179" t="e">
        <f t="shared" ca="1" si="447"/>
        <v>#VALUE!</v>
      </c>
      <c r="DN89" s="179" t="e">
        <f t="shared" ca="1" si="447"/>
        <v>#VALUE!</v>
      </c>
      <c r="DO89" s="179" t="e">
        <f t="shared" ca="1" si="447"/>
        <v>#VALUE!</v>
      </c>
      <c r="DP89" s="179" t="e">
        <f t="shared" ca="1" si="447"/>
        <v>#VALUE!</v>
      </c>
      <c r="DQ89" s="179" t="e">
        <f t="shared" ca="1" si="447"/>
        <v>#VALUE!</v>
      </c>
      <c r="DR89" s="180">
        <f t="shared" si="396"/>
        <v>91</v>
      </c>
      <c r="DS89" s="180">
        <f t="shared" si="390"/>
        <v>91</v>
      </c>
      <c r="DT89" s="180">
        <f t="shared" si="390"/>
        <v>91</v>
      </c>
      <c r="DU89" s="180">
        <f t="shared" si="390"/>
        <v>91</v>
      </c>
      <c r="DV89" s="180">
        <f t="shared" si="390"/>
        <v>91</v>
      </c>
      <c r="DW89" s="180">
        <f t="shared" si="390"/>
        <v>91</v>
      </c>
      <c r="DX89" s="180">
        <f t="shared" si="390"/>
        <v>91</v>
      </c>
      <c r="DY89" s="180">
        <f t="shared" si="390"/>
        <v>91</v>
      </c>
      <c r="DZ89" s="180">
        <f t="shared" si="390"/>
        <v>91</v>
      </c>
      <c r="EA89" s="180">
        <f t="shared" si="390"/>
        <v>91</v>
      </c>
      <c r="EB89" s="180">
        <f t="shared" si="390"/>
        <v>91</v>
      </c>
      <c r="EC89" s="180">
        <f t="shared" si="390"/>
        <v>91</v>
      </c>
      <c r="ED89" s="180">
        <f t="shared" si="390"/>
        <v>91</v>
      </c>
      <c r="EE89" s="180">
        <f t="shared" si="390"/>
        <v>91</v>
      </c>
      <c r="EF89" s="180">
        <f t="shared" si="390"/>
        <v>91</v>
      </c>
      <c r="EG89" s="180">
        <f t="shared" ref="EG89:EO89" si="448">IF($AU94&gt;$BA$19,0,$BA94-$AS94)</f>
        <v>91</v>
      </c>
      <c r="EH89" s="180">
        <f t="shared" si="448"/>
        <v>91</v>
      </c>
      <c r="EI89" s="180">
        <f t="shared" si="448"/>
        <v>91</v>
      </c>
      <c r="EJ89" s="180">
        <f t="shared" si="448"/>
        <v>91</v>
      </c>
      <c r="EK89" s="180">
        <f t="shared" si="448"/>
        <v>91</v>
      </c>
      <c r="EL89" s="180">
        <f t="shared" si="448"/>
        <v>91</v>
      </c>
      <c r="EM89" s="180">
        <f t="shared" si="448"/>
        <v>91</v>
      </c>
      <c r="EN89" s="180">
        <f t="shared" si="448"/>
        <v>91</v>
      </c>
      <c r="EO89" s="180">
        <f t="shared" si="448"/>
        <v>91</v>
      </c>
      <c r="EQ89" s="259">
        <f t="shared" ca="1" si="398"/>
        <v>48314</v>
      </c>
      <c r="ER89" s="87">
        <f t="shared" ref="ER89:FF98" ca="1" si="449" xml:space="preserve"> IFERROR(VLOOKUP($EQ89,$AZ$23:$BA$167,2,FALSE),0)-IFERROR(VLOOKUP($EQ89,$AR$23:$AS$167,2,FALSE),0)</f>
        <v>91</v>
      </c>
      <c r="ES89" s="87">
        <f t="shared" ca="1" si="449"/>
        <v>91</v>
      </c>
      <c r="ET89" s="87">
        <f t="shared" ca="1" si="449"/>
        <v>91</v>
      </c>
      <c r="EU89" s="87">
        <f t="shared" ca="1" si="449"/>
        <v>91</v>
      </c>
      <c r="EV89" s="87">
        <f t="shared" ca="1" si="449"/>
        <v>91</v>
      </c>
      <c r="EW89" s="87">
        <f t="shared" ca="1" si="449"/>
        <v>91</v>
      </c>
      <c r="EX89" s="87">
        <f t="shared" ca="1" si="449"/>
        <v>91</v>
      </c>
      <c r="EY89" s="87">
        <f t="shared" ca="1" si="449"/>
        <v>91</v>
      </c>
      <c r="EZ89" s="87">
        <f t="shared" ca="1" si="449"/>
        <v>91</v>
      </c>
      <c r="FA89" s="87">
        <f t="shared" ca="1" si="449"/>
        <v>91</v>
      </c>
      <c r="FB89" s="87">
        <f t="shared" ca="1" si="449"/>
        <v>91</v>
      </c>
      <c r="FC89" s="87">
        <f t="shared" ca="1" si="449"/>
        <v>91</v>
      </c>
      <c r="FD89" s="87">
        <f t="shared" ca="1" si="449"/>
        <v>91</v>
      </c>
      <c r="FE89" s="87">
        <f t="shared" ca="1" si="449"/>
        <v>91</v>
      </c>
      <c r="FF89" s="87">
        <f t="shared" ca="1" si="449"/>
        <v>91</v>
      </c>
      <c r="FG89" s="87">
        <f t="shared" ca="1" si="392"/>
        <v>91</v>
      </c>
      <c r="FH89" s="87">
        <f t="shared" ca="1" si="392"/>
        <v>91</v>
      </c>
      <c r="FI89" s="87">
        <f t="shared" ca="1" si="392"/>
        <v>91</v>
      </c>
      <c r="FJ89" s="87">
        <f t="shared" ca="1" si="392"/>
        <v>91</v>
      </c>
      <c r="FK89" s="87">
        <f t="shared" ca="1" si="392"/>
        <v>91</v>
      </c>
      <c r="FL89" s="87">
        <f t="shared" ca="1" si="392"/>
        <v>91</v>
      </c>
      <c r="FM89" s="87">
        <f t="shared" ca="1" si="392"/>
        <v>91</v>
      </c>
      <c r="FN89" s="87">
        <f t="shared" ca="1" si="392"/>
        <v>91</v>
      </c>
      <c r="FO89" s="87">
        <f t="shared" ca="1" si="392"/>
        <v>91</v>
      </c>
      <c r="FP89" s="87">
        <f t="shared" ca="1" si="392"/>
        <v>91</v>
      </c>
    </row>
    <row r="90" spans="2:172" ht="12.75" hidden="1" customHeight="1" x14ac:dyDescent="0.25">
      <c r="B90" s="87">
        <v>32</v>
      </c>
      <c r="C90" s="181">
        <f t="shared" ref="C90:C121" ca="1" si="450">AR55</f>
        <v>47128</v>
      </c>
      <c r="D90" s="380">
        <f t="shared" ca="1" si="418"/>
        <v>0.55418494885570802</v>
      </c>
      <c r="E90" s="380">
        <f t="shared" si="418"/>
        <v>0</v>
      </c>
      <c r="F90" s="380">
        <f t="shared" si="418"/>
        <v>0</v>
      </c>
      <c r="G90" s="380">
        <f t="shared" si="418"/>
        <v>0</v>
      </c>
      <c r="H90" s="380">
        <f t="shared" si="418"/>
        <v>0</v>
      </c>
      <c r="I90" s="380">
        <f t="shared" si="418"/>
        <v>0</v>
      </c>
      <c r="J90" s="380">
        <f t="shared" si="418"/>
        <v>0</v>
      </c>
      <c r="K90" s="380">
        <f t="shared" si="418"/>
        <v>0</v>
      </c>
      <c r="L90" s="380">
        <f t="shared" si="418"/>
        <v>0</v>
      </c>
      <c r="M90" s="380">
        <f t="shared" si="418"/>
        <v>0</v>
      </c>
      <c r="N90" s="380">
        <f t="shared" si="419"/>
        <v>0</v>
      </c>
      <c r="O90" s="380">
        <f t="shared" si="419"/>
        <v>0</v>
      </c>
      <c r="P90" s="380">
        <f t="shared" si="419"/>
        <v>0</v>
      </c>
      <c r="Q90" s="380">
        <f t="shared" si="419"/>
        <v>0</v>
      </c>
      <c r="R90" s="380">
        <f t="shared" si="419"/>
        <v>0</v>
      </c>
      <c r="S90" s="380">
        <f t="shared" si="419"/>
        <v>0</v>
      </c>
      <c r="T90" s="380">
        <f t="shared" si="419"/>
        <v>0</v>
      </c>
      <c r="U90" s="175"/>
      <c r="V90" s="176"/>
      <c r="W90" s="176"/>
      <c r="X90" s="87">
        <v>75</v>
      </c>
      <c r="Y90" s="377">
        <f t="shared" si="361"/>
        <v>0</v>
      </c>
      <c r="Z90" s="377">
        <f t="shared" si="362"/>
        <v>0</v>
      </c>
      <c r="AA90" s="377">
        <f t="shared" si="363"/>
        <v>0</v>
      </c>
      <c r="AB90" s="377">
        <f t="shared" si="364"/>
        <v>0</v>
      </c>
      <c r="AC90" s="377">
        <f t="shared" si="365"/>
        <v>0</v>
      </c>
      <c r="AD90" s="377">
        <f t="shared" si="366"/>
        <v>0</v>
      </c>
      <c r="AE90" s="377">
        <f t="shared" si="367"/>
        <v>0</v>
      </c>
      <c r="AF90" s="377">
        <f t="shared" si="368"/>
        <v>0</v>
      </c>
      <c r="AG90" s="377">
        <f t="shared" si="369"/>
        <v>0</v>
      </c>
      <c r="AH90" s="377">
        <f t="shared" si="370"/>
        <v>0</v>
      </c>
      <c r="AI90" s="377">
        <f t="shared" si="371"/>
        <v>0</v>
      </c>
      <c r="AJ90" s="377">
        <f t="shared" si="372"/>
        <v>0</v>
      </c>
      <c r="AK90" s="377">
        <f t="shared" si="373"/>
        <v>0</v>
      </c>
      <c r="AL90" s="377">
        <f t="shared" si="374"/>
        <v>0</v>
      </c>
      <c r="AM90" s="377">
        <f t="shared" si="375"/>
        <v>0</v>
      </c>
      <c r="AN90" s="377">
        <f t="shared" si="376"/>
        <v>0</v>
      </c>
      <c r="AO90" s="377">
        <f t="shared" si="377"/>
        <v>0</v>
      </c>
      <c r="AQ90" s="138">
        <v>67</v>
      </c>
      <c r="AR90" s="258">
        <f t="shared" ca="1" si="420"/>
        <v>48192</v>
      </c>
      <c r="AS90" s="378">
        <f t="shared" ca="1" si="421"/>
        <v>85.212964394200711</v>
      </c>
      <c r="AT90" s="138"/>
      <c r="AU90" s="138">
        <v>67</v>
      </c>
      <c r="AV90" s="258">
        <f t="shared" ca="1" si="422"/>
        <v>48223</v>
      </c>
      <c r="AW90" s="378">
        <f t="shared" ca="1" si="423"/>
        <v>5.7870356057992893</v>
      </c>
      <c r="AX90" s="202">
        <f t="shared" ca="1" si="424"/>
        <v>1.64</v>
      </c>
      <c r="AY90" s="138">
        <v>67</v>
      </c>
      <c r="AZ90" s="258">
        <f t="shared" ca="1" si="425"/>
        <v>48223</v>
      </c>
      <c r="BA90" s="378">
        <f t="shared" si="426"/>
        <v>91</v>
      </c>
      <c r="BC90" s="258">
        <f t="shared" ca="1" si="411"/>
        <v>48192</v>
      </c>
      <c r="BD90" s="302">
        <f t="shared" ca="1" si="427"/>
        <v>5.7870356057992893</v>
      </c>
      <c r="BE90" s="133">
        <f t="shared" si="412"/>
        <v>67</v>
      </c>
      <c r="BF90" s="379">
        <f t="shared" ca="1" si="413"/>
        <v>48192</v>
      </c>
      <c r="BG90" s="133">
        <f t="shared" si="428"/>
        <v>91</v>
      </c>
      <c r="BH90" s="133">
        <f t="shared" si="429"/>
        <v>0</v>
      </c>
      <c r="BI90" s="133">
        <f t="shared" si="430"/>
        <v>0</v>
      </c>
      <c r="BJ90" s="133">
        <f t="shared" si="431"/>
        <v>0</v>
      </c>
      <c r="BK90" s="133">
        <f t="shared" si="432"/>
        <v>0</v>
      </c>
      <c r="BL90" s="133">
        <f t="shared" si="433"/>
        <v>0</v>
      </c>
      <c r="BM90" s="133">
        <f t="shared" si="434"/>
        <v>0</v>
      </c>
      <c r="BN90" s="133">
        <f t="shared" si="435"/>
        <v>0</v>
      </c>
      <c r="BO90" s="133">
        <f t="shared" si="436"/>
        <v>0</v>
      </c>
      <c r="BP90" s="133">
        <f t="shared" si="437"/>
        <v>0</v>
      </c>
      <c r="BQ90" s="133">
        <f t="shared" si="438"/>
        <v>0</v>
      </c>
      <c r="BR90" s="133">
        <f t="shared" si="439"/>
        <v>0</v>
      </c>
      <c r="BS90" s="133">
        <f t="shared" si="440"/>
        <v>0</v>
      </c>
      <c r="BT90" s="133">
        <f t="shared" si="441"/>
        <v>0</v>
      </c>
      <c r="BU90" s="133">
        <f t="shared" si="442"/>
        <v>0</v>
      </c>
      <c r="BV90" s="133">
        <f t="shared" si="443"/>
        <v>0</v>
      </c>
      <c r="BW90" s="133">
        <f t="shared" si="444"/>
        <v>0</v>
      </c>
      <c r="BX90" s="267"/>
      <c r="BY90" s="267"/>
      <c r="BZ90" s="267"/>
      <c r="CA90" s="267"/>
      <c r="CB90" s="267"/>
      <c r="CC90" s="267"/>
      <c r="CD90" s="267"/>
      <c r="CE90" s="267"/>
      <c r="CF90" s="267"/>
      <c r="CG90" s="267"/>
      <c r="CS90" s="138">
        <v>72</v>
      </c>
      <c r="CT90" s="259">
        <f t="shared" ca="1" si="386"/>
        <v>48375</v>
      </c>
      <c r="CU90" s="179">
        <f t="shared" ref="CU90:DC90" ca="1" si="451">(($AW95/(1+CU$18)^(($AZ95-$AZ$23)/30)))+($AS95/(1+CU$18)^(($AZ95-$AZ$23)/30))</f>
        <v>23.538701410327597</v>
      </c>
      <c r="CV90" s="179">
        <f t="shared" ca="1" si="451"/>
        <v>24.406956950538817</v>
      </c>
      <c r="CW90" s="179">
        <f t="shared" ca="1" si="451"/>
        <v>24.943421490153835</v>
      </c>
      <c r="CX90" s="179">
        <f t="shared" ca="1" si="451"/>
        <v>25.491840916224419</v>
      </c>
      <c r="CY90" s="179">
        <f t="shared" ca="1" si="451"/>
        <v>26.052485281922483</v>
      </c>
      <c r="CZ90" s="179">
        <f t="shared" ca="1" si="451"/>
        <v>26.625630823100238</v>
      </c>
      <c r="DA90" s="179">
        <f t="shared" ca="1" si="451"/>
        <v>27.014812220074635</v>
      </c>
      <c r="DB90" s="179">
        <f t="shared" ca="1" si="451"/>
        <v>27.810562152696285</v>
      </c>
      <c r="DC90" s="179">
        <f t="shared" ca="1" si="451"/>
        <v>28.217305231453405</v>
      </c>
      <c r="DD90" s="179">
        <f t="shared" ref="DD90:DI90" ca="1" si="452">(($AW95/(1+DD$18)^(($AZ95-$AZ$23)/30)))+($AS95/(1+DD$18)^(($AZ95-$AZ$23)/30))</f>
        <v>28.630078964686483</v>
      </c>
      <c r="DE90" s="179">
        <f t="shared" ca="1" si="452"/>
        <v>29.048973980920483</v>
      </c>
      <c r="DF90" s="179" t="e">
        <f t="shared" ca="1" si="452"/>
        <v>#VALUE!</v>
      </c>
      <c r="DG90" s="179" t="e">
        <f t="shared" ca="1" si="452"/>
        <v>#VALUE!</v>
      </c>
      <c r="DH90" s="179" t="e">
        <f t="shared" ca="1" si="452"/>
        <v>#VALUE!</v>
      </c>
      <c r="DI90" s="179" t="e">
        <f t="shared" ca="1" si="452"/>
        <v>#VALUE!</v>
      </c>
      <c r="DJ90" s="179" t="e">
        <f t="shared" ref="DJ90:DQ90" ca="1" si="453">(($AW95/(1+DJ$18)^(($AZ95-$AZ$23)/30)))+($AS95/(1+DJ$18)^(($AZ95-$AZ$23)/30))</f>
        <v>#VALUE!</v>
      </c>
      <c r="DK90" s="179" t="e">
        <f t="shared" ca="1" si="453"/>
        <v>#VALUE!</v>
      </c>
      <c r="DL90" s="179" t="e">
        <f t="shared" ca="1" si="453"/>
        <v>#VALUE!</v>
      </c>
      <c r="DM90" s="179" t="e">
        <f t="shared" ca="1" si="453"/>
        <v>#VALUE!</v>
      </c>
      <c r="DN90" s="179" t="e">
        <f t="shared" ca="1" si="453"/>
        <v>#VALUE!</v>
      </c>
      <c r="DO90" s="179" t="e">
        <f t="shared" ca="1" si="453"/>
        <v>#VALUE!</v>
      </c>
      <c r="DP90" s="179" t="e">
        <f t="shared" ca="1" si="453"/>
        <v>#VALUE!</v>
      </c>
      <c r="DQ90" s="179" t="e">
        <f t="shared" ca="1" si="453"/>
        <v>#VALUE!</v>
      </c>
      <c r="DR90" s="180">
        <f t="shared" si="396"/>
        <v>91</v>
      </c>
      <c r="DS90" s="180">
        <f t="shared" si="390"/>
        <v>91</v>
      </c>
      <c r="DT90" s="180">
        <f t="shared" si="390"/>
        <v>91</v>
      </c>
      <c r="DU90" s="180">
        <f t="shared" si="390"/>
        <v>91</v>
      </c>
      <c r="DV90" s="180">
        <f t="shared" si="390"/>
        <v>91</v>
      </c>
      <c r="DW90" s="180">
        <f t="shared" si="390"/>
        <v>91</v>
      </c>
      <c r="DX90" s="180">
        <f t="shared" si="390"/>
        <v>91</v>
      </c>
      <c r="DY90" s="180">
        <f t="shared" si="390"/>
        <v>91</v>
      </c>
      <c r="DZ90" s="180">
        <f t="shared" si="390"/>
        <v>91</v>
      </c>
      <c r="EA90" s="180">
        <f t="shared" si="390"/>
        <v>91</v>
      </c>
      <c r="EB90" s="180">
        <f t="shared" si="390"/>
        <v>91</v>
      </c>
      <c r="EC90" s="180">
        <f t="shared" si="390"/>
        <v>91</v>
      </c>
      <c r="ED90" s="180">
        <f t="shared" si="390"/>
        <v>91</v>
      </c>
      <c r="EE90" s="180">
        <f t="shared" si="390"/>
        <v>91</v>
      </c>
      <c r="EF90" s="180">
        <f t="shared" si="390"/>
        <v>91</v>
      </c>
      <c r="EG90" s="180">
        <f t="shared" ref="EG90:EO90" si="454">IF($AU95&gt;$BA$19,0,$BA95-$AS95)</f>
        <v>91</v>
      </c>
      <c r="EH90" s="180">
        <f t="shared" si="454"/>
        <v>91</v>
      </c>
      <c r="EI90" s="180">
        <f t="shared" si="454"/>
        <v>91</v>
      </c>
      <c r="EJ90" s="180">
        <f t="shared" si="454"/>
        <v>91</v>
      </c>
      <c r="EK90" s="180">
        <f t="shared" si="454"/>
        <v>91</v>
      </c>
      <c r="EL90" s="180">
        <f t="shared" si="454"/>
        <v>91</v>
      </c>
      <c r="EM90" s="180">
        <f t="shared" si="454"/>
        <v>91</v>
      </c>
      <c r="EN90" s="180">
        <f t="shared" si="454"/>
        <v>91</v>
      </c>
      <c r="EO90" s="180">
        <f t="shared" si="454"/>
        <v>91</v>
      </c>
      <c r="EQ90" s="259">
        <f t="shared" ca="1" si="398"/>
        <v>48344</v>
      </c>
      <c r="ER90" s="87">
        <f t="shared" ca="1" si="449"/>
        <v>91</v>
      </c>
      <c r="ES90" s="87">
        <f t="shared" ca="1" si="449"/>
        <v>91</v>
      </c>
      <c r="ET90" s="87">
        <f t="shared" ca="1" si="449"/>
        <v>91</v>
      </c>
      <c r="EU90" s="87">
        <f t="shared" ca="1" si="449"/>
        <v>91</v>
      </c>
      <c r="EV90" s="87">
        <f t="shared" ca="1" si="449"/>
        <v>91</v>
      </c>
      <c r="EW90" s="87">
        <f t="shared" ca="1" si="449"/>
        <v>91</v>
      </c>
      <c r="EX90" s="87">
        <f t="shared" ca="1" si="449"/>
        <v>91</v>
      </c>
      <c r="EY90" s="87">
        <f t="shared" ca="1" si="449"/>
        <v>91</v>
      </c>
      <c r="EZ90" s="87">
        <f t="shared" ca="1" si="449"/>
        <v>91</v>
      </c>
      <c r="FA90" s="87">
        <f t="shared" ca="1" si="449"/>
        <v>91</v>
      </c>
      <c r="FB90" s="87">
        <f t="shared" ca="1" si="449"/>
        <v>91</v>
      </c>
      <c r="FC90" s="87">
        <f t="shared" ca="1" si="449"/>
        <v>91</v>
      </c>
      <c r="FD90" s="87">
        <f t="shared" ca="1" si="449"/>
        <v>91</v>
      </c>
      <c r="FE90" s="87">
        <f t="shared" ca="1" si="449"/>
        <v>91</v>
      </c>
      <c r="FF90" s="87">
        <f t="shared" ca="1" si="449"/>
        <v>91</v>
      </c>
      <c r="FG90" s="87">
        <f t="shared" ca="1" si="392"/>
        <v>91</v>
      </c>
      <c r="FH90" s="87">
        <f t="shared" ca="1" si="392"/>
        <v>91</v>
      </c>
      <c r="FI90" s="87">
        <f t="shared" ca="1" si="392"/>
        <v>91</v>
      </c>
      <c r="FJ90" s="87">
        <f t="shared" ca="1" si="392"/>
        <v>91</v>
      </c>
      <c r="FK90" s="87">
        <f t="shared" ca="1" si="392"/>
        <v>91</v>
      </c>
      <c r="FL90" s="87">
        <f t="shared" ca="1" si="392"/>
        <v>91</v>
      </c>
      <c r="FM90" s="87">
        <f t="shared" ca="1" si="392"/>
        <v>91</v>
      </c>
      <c r="FN90" s="87">
        <f t="shared" ca="1" si="392"/>
        <v>91</v>
      </c>
      <c r="FO90" s="87">
        <f t="shared" ca="1" si="392"/>
        <v>91</v>
      </c>
      <c r="FP90" s="87">
        <f t="shared" ca="1" si="392"/>
        <v>91</v>
      </c>
    </row>
    <row r="91" spans="2:172" ht="12.75" hidden="1" customHeight="1" x14ac:dyDescent="0.25">
      <c r="B91" s="87">
        <v>33</v>
      </c>
      <c r="C91" s="181">
        <f t="shared" ca="1" si="450"/>
        <v>47159</v>
      </c>
      <c r="D91" s="380">
        <f t="shared" ca="1" si="418"/>
        <v>0.54378637959101728</v>
      </c>
      <c r="E91" s="380">
        <f t="shared" si="418"/>
        <v>0</v>
      </c>
      <c r="F91" s="380">
        <f t="shared" si="418"/>
        <v>0</v>
      </c>
      <c r="G91" s="380">
        <f t="shared" si="418"/>
        <v>0</v>
      </c>
      <c r="H91" s="380">
        <f t="shared" si="418"/>
        <v>0</v>
      </c>
      <c r="I91" s="380">
        <f t="shared" si="418"/>
        <v>0</v>
      </c>
      <c r="J91" s="380">
        <f t="shared" si="418"/>
        <v>0</v>
      </c>
      <c r="K91" s="380">
        <f t="shared" si="418"/>
        <v>0</v>
      </c>
      <c r="L91" s="380">
        <f t="shared" si="418"/>
        <v>0</v>
      </c>
      <c r="M91" s="380">
        <f t="shared" si="418"/>
        <v>0</v>
      </c>
      <c r="N91" s="380">
        <f t="shared" si="419"/>
        <v>0</v>
      </c>
      <c r="O91" s="380">
        <f t="shared" si="419"/>
        <v>0</v>
      </c>
      <c r="P91" s="380">
        <f t="shared" si="419"/>
        <v>0</v>
      </c>
      <c r="Q91" s="380">
        <f t="shared" si="419"/>
        <v>0</v>
      </c>
      <c r="R91" s="380">
        <f t="shared" si="419"/>
        <v>0</v>
      </c>
      <c r="S91" s="380">
        <f t="shared" si="419"/>
        <v>0</v>
      </c>
      <c r="T91" s="380">
        <f t="shared" si="419"/>
        <v>0</v>
      </c>
      <c r="U91" s="175"/>
      <c r="V91" s="176"/>
      <c r="W91" s="176"/>
      <c r="X91" s="87">
        <v>76</v>
      </c>
      <c r="Y91" s="377">
        <f t="shared" si="361"/>
        <v>0</v>
      </c>
      <c r="Z91" s="377">
        <f t="shared" si="362"/>
        <v>0</v>
      </c>
      <c r="AA91" s="377">
        <f t="shared" si="363"/>
        <v>0</v>
      </c>
      <c r="AB91" s="377">
        <f t="shared" si="364"/>
        <v>0</v>
      </c>
      <c r="AC91" s="377">
        <f t="shared" si="365"/>
        <v>0</v>
      </c>
      <c r="AD91" s="377">
        <f t="shared" si="366"/>
        <v>0</v>
      </c>
      <c r="AE91" s="377">
        <f t="shared" si="367"/>
        <v>0</v>
      </c>
      <c r="AF91" s="377">
        <f t="shared" si="368"/>
        <v>0</v>
      </c>
      <c r="AG91" s="377">
        <f t="shared" si="369"/>
        <v>0</v>
      </c>
      <c r="AH91" s="377">
        <f t="shared" si="370"/>
        <v>0</v>
      </c>
      <c r="AI91" s="377">
        <f t="shared" si="371"/>
        <v>0</v>
      </c>
      <c r="AJ91" s="377">
        <f t="shared" si="372"/>
        <v>0</v>
      </c>
      <c r="AK91" s="377">
        <f t="shared" si="373"/>
        <v>0</v>
      </c>
      <c r="AL91" s="377">
        <f t="shared" si="374"/>
        <v>0</v>
      </c>
      <c r="AM91" s="377">
        <f t="shared" si="375"/>
        <v>0</v>
      </c>
      <c r="AN91" s="377">
        <f t="shared" si="376"/>
        <v>0</v>
      </c>
      <c r="AO91" s="377">
        <f t="shared" si="377"/>
        <v>0</v>
      </c>
      <c r="AQ91" s="138">
        <v>68</v>
      </c>
      <c r="AR91" s="258">
        <f t="shared" ca="1" si="420"/>
        <v>48223</v>
      </c>
      <c r="AS91" s="378">
        <f t="shared" ca="1" si="421"/>
        <v>85.212964394200711</v>
      </c>
      <c r="AT91" s="138"/>
      <c r="AU91" s="138">
        <v>68</v>
      </c>
      <c r="AV91" s="258">
        <f t="shared" ca="1" si="422"/>
        <v>48254</v>
      </c>
      <c r="AW91" s="378">
        <f t="shared" ca="1" si="423"/>
        <v>5.7870356057992893</v>
      </c>
      <c r="AX91" s="202">
        <f t="shared" ca="1" si="424"/>
        <v>1.61</v>
      </c>
      <c r="AY91" s="138">
        <v>68</v>
      </c>
      <c r="AZ91" s="258">
        <f t="shared" ca="1" si="425"/>
        <v>48254</v>
      </c>
      <c r="BA91" s="378">
        <f t="shared" si="426"/>
        <v>91</v>
      </c>
      <c r="BC91" s="258">
        <f t="shared" ca="1" si="411"/>
        <v>48223</v>
      </c>
      <c r="BD91" s="302">
        <f t="shared" ca="1" si="427"/>
        <v>5.7870356057992893</v>
      </c>
      <c r="BE91" s="133">
        <f t="shared" si="412"/>
        <v>68</v>
      </c>
      <c r="BF91" s="379">
        <f t="shared" ca="1" si="413"/>
        <v>48223</v>
      </c>
      <c r="BG91" s="133">
        <f t="shared" si="428"/>
        <v>91</v>
      </c>
      <c r="BH91" s="133">
        <f t="shared" si="429"/>
        <v>0</v>
      </c>
      <c r="BI91" s="133">
        <f t="shared" si="430"/>
        <v>0</v>
      </c>
      <c r="BJ91" s="133">
        <f t="shared" si="431"/>
        <v>0</v>
      </c>
      <c r="BK91" s="133">
        <f t="shared" si="432"/>
        <v>0</v>
      </c>
      <c r="BL91" s="133">
        <f t="shared" si="433"/>
        <v>0</v>
      </c>
      <c r="BM91" s="133">
        <f t="shared" si="434"/>
        <v>0</v>
      </c>
      <c r="BN91" s="133">
        <f t="shared" si="435"/>
        <v>0</v>
      </c>
      <c r="BO91" s="133">
        <f t="shared" si="436"/>
        <v>0</v>
      </c>
      <c r="BP91" s="133">
        <f t="shared" si="437"/>
        <v>0</v>
      </c>
      <c r="BQ91" s="133">
        <f t="shared" si="438"/>
        <v>0</v>
      </c>
      <c r="BR91" s="133">
        <f t="shared" si="439"/>
        <v>0</v>
      </c>
      <c r="BS91" s="133">
        <f t="shared" si="440"/>
        <v>0</v>
      </c>
      <c r="BT91" s="133">
        <f t="shared" si="441"/>
        <v>0</v>
      </c>
      <c r="BU91" s="133">
        <f t="shared" si="442"/>
        <v>0</v>
      </c>
      <c r="BV91" s="133">
        <f t="shared" si="443"/>
        <v>0</v>
      </c>
      <c r="BW91" s="133">
        <f t="shared" si="444"/>
        <v>0</v>
      </c>
      <c r="BX91" s="267"/>
      <c r="BY91" s="267"/>
      <c r="BZ91" s="267"/>
      <c r="CA91" s="267"/>
      <c r="CB91" s="267"/>
      <c r="CC91" s="267"/>
      <c r="CD91" s="267"/>
      <c r="CE91" s="267"/>
      <c r="CF91" s="267"/>
      <c r="CG91" s="267"/>
      <c r="CS91" s="87">
        <v>73</v>
      </c>
      <c r="CT91" s="259">
        <f t="shared" ca="1" si="386"/>
        <v>48405</v>
      </c>
      <c r="CU91" s="179">
        <f t="shared" ref="CU91:DC91" ca="1" si="455">(($AW96/(1+CU$18)^(($AZ96-$AZ$23)/30)))+($AS96/(1+CU$18)^(($AZ96-$AZ$23)/30))</f>
        <v>23.111145223689345</v>
      </c>
      <c r="CV91" s="179">
        <f t="shared" ca="1" si="455"/>
        <v>23.97539975494972</v>
      </c>
      <c r="CW91" s="179">
        <f t="shared" ca="1" si="455"/>
        <v>24.50960154284547</v>
      </c>
      <c r="CX91" s="179">
        <f t="shared" ca="1" si="455"/>
        <v>25.05586879911974</v>
      </c>
      <c r="CY91" s="179">
        <f t="shared" ca="1" si="455"/>
        <v>25.614477713029675</v>
      </c>
      <c r="CZ91" s="179">
        <f t="shared" ca="1" si="455"/>
        <v>26.185710880311017</v>
      </c>
      <c r="DA91" s="179">
        <f t="shared" ca="1" si="455"/>
        <v>26.573688982957542</v>
      </c>
      <c r="DB91" s="179">
        <f t="shared" ca="1" si="455"/>
        <v>27.367213297280347</v>
      </c>
      <c r="DC91" s="179">
        <f t="shared" ca="1" si="455"/>
        <v>27.772938219934449</v>
      </c>
      <c r="DD91" s="179">
        <f t="shared" ref="DD91:DI91" ca="1" si="456">(($AW96/(1+DD$18)^(($AZ96-$AZ$23)/30)))+($AS96/(1+DD$18)^(($AZ96-$AZ$23)/30))</f>
        <v>28.184759760471032</v>
      </c>
      <c r="DE91" s="179">
        <f t="shared" ca="1" si="456"/>
        <v>28.602770757109575</v>
      </c>
      <c r="DF91" s="179" t="e">
        <f t="shared" ca="1" si="456"/>
        <v>#VALUE!</v>
      </c>
      <c r="DG91" s="179" t="e">
        <f t="shared" ca="1" si="456"/>
        <v>#VALUE!</v>
      </c>
      <c r="DH91" s="179" t="e">
        <f t="shared" ca="1" si="456"/>
        <v>#VALUE!</v>
      </c>
      <c r="DI91" s="179" t="e">
        <f t="shared" ca="1" si="456"/>
        <v>#VALUE!</v>
      </c>
      <c r="DJ91" s="179" t="e">
        <f t="shared" ref="DJ91:DQ91" ca="1" si="457">(($AW96/(1+DJ$18)^(($AZ96-$AZ$23)/30)))+($AS96/(1+DJ$18)^(($AZ96-$AZ$23)/30))</f>
        <v>#VALUE!</v>
      </c>
      <c r="DK91" s="179" t="e">
        <f t="shared" ca="1" si="457"/>
        <v>#VALUE!</v>
      </c>
      <c r="DL91" s="179" t="e">
        <f t="shared" ca="1" si="457"/>
        <v>#VALUE!</v>
      </c>
      <c r="DM91" s="179" t="e">
        <f t="shared" ca="1" si="457"/>
        <v>#VALUE!</v>
      </c>
      <c r="DN91" s="179" t="e">
        <f t="shared" ca="1" si="457"/>
        <v>#VALUE!</v>
      </c>
      <c r="DO91" s="179" t="e">
        <f t="shared" ca="1" si="457"/>
        <v>#VALUE!</v>
      </c>
      <c r="DP91" s="179" t="e">
        <f t="shared" ca="1" si="457"/>
        <v>#VALUE!</v>
      </c>
      <c r="DQ91" s="179" t="e">
        <f t="shared" ca="1" si="457"/>
        <v>#VALUE!</v>
      </c>
      <c r="DR91" s="180">
        <f t="shared" si="396"/>
        <v>91</v>
      </c>
      <c r="DS91" s="180">
        <f t="shared" si="390"/>
        <v>91</v>
      </c>
      <c r="DT91" s="180">
        <f t="shared" si="390"/>
        <v>91</v>
      </c>
      <c r="DU91" s="180">
        <f t="shared" si="390"/>
        <v>91</v>
      </c>
      <c r="DV91" s="180">
        <f t="shared" si="390"/>
        <v>91</v>
      </c>
      <c r="DW91" s="180">
        <f t="shared" si="390"/>
        <v>91</v>
      </c>
      <c r="DX91" s="180">
        <f t="shared" si="390"/>
        <v>91</v>
      </c>
      <c r="DY91" s="180">
        <f t="shared" si="390"/>
        <v>91</v>
      </c>
      <c r="DZ91" s="180">
        <f t="shared" si="390"/>
        <v>91</v>
      </c>
      <c r="EA91" s="180">
        <f t="shared" si="390"/>
        <v>91</v>
      </c>
      <c r="EB91" s="180">
        <f t="shared" si="390"/>
        <v>91</v>
      </c>
      <c r="EC91" s="180">
        <f t="shared" si="390"/>
        <v>91</v>
      </c>
      <c r="ED91" s="180">
        <f t="shared" si="390"/>
        <v>91</v>
      </c>
      <c r="EE91" s="180">
        <f t="shared" si="390"/>
        <v>91</v>
      </c>
      <c r="EF91" s="180">
        <f t="shared" si="390"/>
        <v>91</v>
      </c>
      <c r="EG91" s="180">
        <f t="shared" ref="EG91:EO91" si="458">IF($AU96&gt;$BA$19,0,$BA96-$AS96)</f>
        <v>91</v>
      </c>
      <c r="EH91" s="180">
        <f t="shared" si="458"/>
        <v>91</v>
      </c>
      <c r="EI91" s="180">
        <f t="shared" si="458"/>
        <v>91</v>
      </c>
      <c r="EJ91" s="180">
        <f t="shared" si="458"/>
        <v>91</v>
      </c>
      <c r="EK91" s="180">
        <f t="shared" si="458"/>
        <v>91</v>
      </c>
      <c r="EL91" s="180">
        <f t="shared" si="458"/>
        <v>91</v>
      </c>
      <c r="EM91" s="180">
        <f t="shared" si="458"/>
        <v>91</v>
      </c>
      <c r="EN91" s="180">
        <f t="shared" si="458"/>
        <v>91</v>
      </c>
      <c r="EO91" s="180">
        <f t="shared" si="458"/>
        <v>91</v>
      </c>
      <c r="EQ91" s="259">
        <f t="shared" ca="1" si="398"/>
        <v>48375</v>
      </c>
      <c r="ER91" s="87">
        <f t="shared" ca="1" si="449"/>
        <v>91</v>
      </c>
      <c r="ES91" s="87">
        <f t="shared" ca="1" si="449"/>
        <v>91</v>
      </c>
      <c r="ET91" s="87">
        <f t="shared" ca="1" si="449"/>
        <v>91</v>
      </c>
      <c r="EU91" s="87">
        <f t="shared" ca="1" si="449"/>
        <v>91</v>
      </c>
      <c r="EV91" s="87">
        <f t="shared" ca="1" si="449"/>
        <v>91</v>
      </c>
      <c r="EW91" s="87">
        <f t="shared" ca="1" si="449"/>
        <v>91</v>
      </c>
      <c r="EX91" s="87">
        <f t="shared" ca="1" si="449"/>
        <v>91</v>
      </c>
      <c r="EY91" s="87">
        <f t="shared" ca="1" si="449"/>
        <v>91</v>
      </c>
      <c r="EZ91" s="87">
        <f t="shared" ca="1" si="449"/>
        <v>91</v>
      </c>
      <c r="FA91" s="87">
        <f t="shared" ca="1" si="449"/>
        <v>91</v>
      </c>
      <c r="FB91" s="87">
        <f t="shared" ca="1" si="449"/>
        <v>91</v>
      </c>
      <c r="FC91" s="87">
        <f t="shared" ca="1" si="449"/>
        <v>91</v>
      </c>
      <c r="FD91" s="87">
        <f t="shared" ca="1" si="449"/>
        <v>91</v>
      </c>
      <c r="FE91" s="87">
        <f t="shared" ca="1" si="449"/>
        <v>91</v>
      </c>
      <c r="FF91" s="87">
        <f t="shared" ca="1" si="449"/>
        <v>91</v>
      </c>
      <c r="FG91" s="87">
        <f t="shared" ca="1" si="392"/>
        <v>91</v>
      </c>
      <c r="FH91" s="87">
        <f t="shared" ca="1" si="392"/>
        <v>91</v>
      </c>
      <c r="FI91" s="87">
        <f t="shared" ca="1" si="392"/>
        <v>91</v>
      </c>
      <c r="FJ91" s="87">
        <f t="shared" ca="1" si="392"/>
        <v>91</v>
      </c>
      <c r="FK91" s="87">
        <f t="shared" ca="1" si="392"/>
        <v>91</v>
      </c>
      <c r="FL91" s="87">
        <f t="shared" ca="1" si="392"/>
        <v>91</v>
      </c>
      <c r="FM91" s="87">
        <f t="shared" ca="1" si="392"/>
        <v>91</v>
      </c>
      <c r="FN91" s="87">
        <f t="shared" ca="1" si="392"/>
        <v>91</v>
      </c>
      <c r="FO91" s="87">
        <f t="shared" ca="1" si="392"/>
        <v>91</v>
      </c>
      <c r="FP91" s="87">
        <f t="shared" ca="1" si="392"/>
        <v>91</v>
      </c>
    </row>
    <row r="92" spans="2:172" ht="12.75" hidden="1" customHeight="1" x14ac:dyDescent="0.25">
      <c r="B92" s="87">
        <v>34</v>
      </c>
      <c r="C92" s="181">
        <f t="shared" ca="1" si="450"/>
        <v>47187</v>
      </c>
      <c r="D92" s="380">
        <f t="shared" ca="1" si="418"/>
        <v>0.53456193171390387</v>
      </c>
      <c r="E92" s="380">
        <f t="shared" si="418"/>
        <v>0</v>
      </c>
      <c r="F92" s="380">
        <f t="shared" si="418"/>
        <v>0</v>
      </c>
      <c r="G92" s="380">
        <f t="shared" si="418"/>
        <v>0</v>
      </c>
      <c r="H92" s="380">
        <f t="shared" si="418"/>
        <v>0</v>
      </c>
      <c r="I92" s="380">
        <f t="shared" si="418"/>
        <v>0</v>
      </c>
      <c r="J92" s="380">
        <f t="shared" si="418"/>
        <v>0</v>
      </c>
      <c r="K92" s="380">
        <f t="shared" si="418"/>
        <v>0</v>
      </c>
      <c r="L92" s="380">
        <f t="shared" si="418"/>
        <v>0</v>
      </c>
      <c r="M92" s="380">
        <f t="shared" si="418"/>
        <v>0</v>
      </c>
      <c r="N92" s="380">
        <f t="shared" si="419"/>
        <v>0</v>
      </c>
      <c r="O92" s="380">
        <f t="shared" si="419"/>
        <v>0</v>
      </c>
      <c r="P92" s="380">
        <f t="shared" si="419"/>
        <v>0</v>
      </c>
      <c r="Q92" s="380">
        <f t="shared" si="419"/>
        <v>0</v>
      </c>
      <c r="R92" s="380">
        <f t="shared" si="419"/>
        <v>0</v>
      </c>
      <c r="S92" s="380">
        <f t="shared" si="419"/>
        <v>0</v>
      </c>
      <c r="T92" s="380">
        <f t="shared" si="419"/>
        <v>0</v>
      </c>
      <c r="U92" s="175"/>
      <c r="V92" s="176"/>
      <c r="W92" s="176"/>
      <c r="X92" s="87">
        <v>77</v>
      </c>
      <c r="Y92" s="377">
        <f t="shared" si="361"/>
        <v>0</v>
      </c>
      <c r="Z92" s="377">
        <f t="shared" si="362"/>
        <v>0</v>
      </c>
      <c r="AA92" s="377">
        <f t="shared" si="363"/>
        <v>0</v>
      </c>
      <c r="AB92" s="377">
        <f t="shared" si="364"/>
        <v>0</v>
      </c>
      <c r="AC92" s="377">
        <f t="shared" si="365"/>
        <v>0</v>
      </c>
      <c r="AD92" s="377">
        <f t="shared" si="366"/>
        <v>0</v>
      </c>
      <c r="AE92" s="377">
        <f t="shared" si="367"/>
        <v>0</v>
      </c>
      <c r="AF92" s="377">
        <f t="shared" si="368"/>
        <v>0</v>
      </c>
      <c r="AG92" s="377">
        <f t="shared" si="369"/>
        <v>0</v>
      </c>
      <c r="AH92" s="377">
        <f t="shared" si="370"/>
        <v>0</v>
      </c>
      <c r="AI92" s="377">
        <f t="shared" si="371"/>
        <v>0</v>
      </c>
      <c r="AJ92" s="377">
        <f t="shared" si="372"/>
        <v>0</v>
      </c>
      <c r="AK92" s="377">
        <f t="shared" si="373"/>
        <v>0</v>
      </c>
      <c r="AL92" s="377">
        <f t="shared" si="374"/>
        <v>0</v>
      </c>
      <c r="AM92" s="377">
        <f t="shared" si="375"/>
        <v>0</v>
      </c>
      <c r="AN92" s="377">
        <f t="shared" si="376"/>
        <v>0</v>
      </c>
      <c r="AO92" s="377">
        <f t="shared" si="377"/>
        <v>0</v>
      </c>
      <c r="AQ92" s="138">
        <v>69</v>
      </c>
      <c r="AR92" s="258">
        <f t="shared" ca="1" si="420"/>
        <v>48254</v>
      </c>
      <c r="AS92" s="378">
        <f t="shared" ca="1" si="421"/>
        <v>85.212964394200711</v>
      </c>
      <c r="AT92" s="138"/>
      <c r="AU92" s="138">
        <v>69</v>
      </c>
      <c r="AV92" s="258">
        <f t="shared" ca="1" si="422"/>
        <v>48283</v>
      </c>
      <c r="AW92" s="378">
        <f t="shared" ca="1" si="423"/>
        <v>5.7870356057992893</v>
      </c>
      <c r="AX92" s="202">
        <f t="shared" ca="1" si="424"/>
        <v>1.58</v>
      </c>
      <c r="AY92" s="138">
        <v>69</v>
      </c>
      <c r="AZ92" s="258">
        <f t="shared" ca="1" si="425"/>
        <v>48283</v>
      </c>
      <c r="BA92" s="378">
        <f t="shared" si="426"/>
        <v>91</v>
      </c>
      <c r="BC92" s="258">
        <f t="shared" ca="1" si="411"/>
        <v>48254</v>
      </c>
      <c r="BD92" s="302">
        <f t="shared" ca="1" si="427"/>
        <v>5.7870356057992893</v>
      </c>
      <c r="BE92" s="133">
        <f t="shared" si="412"/>
        <v>69</v>
      </c>
      <c r="BF92" s="379">
        <f t="shared" ca="1" si="413"/>
        <v>48254</v>
      </c>
      <c r="BG92" s="133">
        <f t="shared" si="428"/>
        <v>91</v>
      </c>
      <c r="BH92" s="133">
        <f t="shared" si="429"/>
        <v>0</v>
      </c>
      <c r="BI92" s="133">
        <f t="shared" si="430"/>
        <v>0</v>
      </c>
      <c r="BJ92" s="133">
        <f t="shared" si="431"/>
        <v>0</v>
      </c>
      <c r="BK92" s="133">
        <f t="shared" si="432"/>
        <v>0</v>
      </c>
      <c r="BL92" s="133">
        <f t="shared" si="433"/>
        <v>0</v>
      </c>
      <c r="BM92" s="133">
        <f t="shared" si="434"/>
        <v>0</v>
      </c>
      <c r="BN92" s="133">
        <f t="shared" si="435"/>
        <v>0</v>
      </c>
      <c r="BO92" s="133">
        <f t="shared" si="436"/>
        <v>0</v>
      </c>
      <c r="BP92" s="133">
        <f t="shared" si="437"/>
        <v>0</v>
      </c>
      <c r="BQ92" s="133">
        <f t="shared" si="438"/>
        <v>0</v>
      </c>
      <c r="BR92" s="133">
        <f t="shared" si="439"/>
        <v>0</v>
      </c>
      <c r="BS92" s="133">
        <f t="shared" si="440"/>
        <v>0</v>
      </c>
      <c r="BT92" s="133">
        <f t="shared" si="441"/>
        <v>0</v>
      </c>
      <c r="BU92" s="133">
        <f t="shared" si="442"/>
        <v>0</v>
      </c>
      <c r="BV92" s="133">
        <f t="shared" si="443"/>
        <v>0</v>
      </c>
      <c r="BW92" s="133">
        <f t="shared" si="444"/>
        <v>0</v>
      </c>
      <c r="BX92" s="267"/>
      <c r="BY92" s="267"/>
      <c r="BZ92" s="267"/>
      <c r="CA92" s="267"/>
      <c r="CB92" s="267"/>
      <c r="CC92" s="267"/>
      <c r="CD92" s="267"/>
      <c r="CE92" s="267"/>
      <c r="CF92" s="267"/>
      <c r="CG92" s="267"/>
      <c r="CS92" s="178">
        <v>74</v>
      </c>
      <c r="CT92" s="259">
        <f t="shared" ca="1" si="386"/>
        <v>48436</v>
      </c>
      <c r="CU92" s="179">
        <f t="shared" ref="CU92:DC92" ca="1" si="459">(($AW97/(1+CU$18)^(($AZ97-$AZ$23)/30)))+($AS97/(1+CU$18)^(($AZ97-$AZ$23)/30))</f>
        <v>22.677494246897062</v>
      </c>
      <c r="CV92" s="179">
        <f t="shared" ca="1" si="459"/>
        <v>23.537472188249733</v>
      </c>
      <c r="CW92" s="179">
        <f t="shared" ca="1" si="459"/>
        <v>24.069245902759231</v>
      </c>
      <c r="CX92" s="179">
        <f t="shared" ca="1" si="459"/>
        <v>24.613195911952879</v>
      </c>
      <c r="CY92" s="179">
        <f t="shared" ca="1" si="459"/>
        <v>25.169604737050385</v>
      </c>
      <c r="CZ92" s="179">
        <f t="shared" ca="1" si="459"/>
        <v>25.738761540720336</v>
      </c>
      <c r="DA92" s="179">
        <f t="shared" ca="1" si="459"/>
        <v>26.12542748968006</v>
      </c>
      <c r="DB92" s="179">
        <f t="shared" ca="1" si="459"/>
        <v>26.916509894446612</v>
      </c>
      <c r="DC92" s="179">
        <f t="shared" ca="1" si="459"/>
        <v>27.321109372090479</v>
      </c>
      <c r="DD92" s="179">
        <f t="shared" ref="DD92:DI92" ca="1" si="460">(($AW97/(1+DD$18)^(($AZ97-$AZ$23)/30)))+($AS97/(1+DD$18)^(($AZ97-$AZ$23)/30))</f>
        <v>27.731872101781526</v>
      </c>
      <c r="DE92" s="179">
        <f t="shared" ca="1" si="460"/>
        <v>28.148893209459239</v>
      </c>
      <c r="DF92" s="179" t="e">
        <f t="shared" ca="1" si="460"/>
        <v>#VALUE!</v>
      </c>
      <c r="DG92" s="179" t="e">
        <f t="shared" ca="1" si="460"/>
        <v>#VALUE!</v>
      </c>
      <c r="DH92" s="179" t="e">
        <f t="shared" ca="1" si="460"/>
        <v>#VALUE!</v>
      </c>
      <c r="DI92" s="179" t="e">
        <f t="shared" ca="1" si="460"/>
        <v>#VALUE!</v>
      </c>
      <c r="DJ92" s="179" t="e">
        <f t="shared" ref="DJ92:DQ92" ca="1" si="461">(($AW97/(1+DJ$18)^(($AZ97-$AZ$23)/30)))+($AS97/(1+DJ$18)^(($AZ97-$AZ$23)/30))</f>
        <v>#VALUE!</v>
      </c>
      <c r="DK92" s="179" t="e">
        <f t="shared" ca="1" si="461"/>
        <v>#VALUE!</v>
      </c>
      <c r="DL92" s="179" t="e">
        <f t="shared" ca="1" si="461"/>
        <v>#VALUE!</v>
      </c>
      <c r="DM92" s="179" t="e">
        <f t="shared" ca="1" si="461"/>
        <v>#VALUE!</v>
      </c>
      <c r="DN92" s="179" t="e">
        <f t="shared" ca="1" si="461"/>
        <v>#VALUE!</v>
      </c>
      <c r="DO92" s="179" t="e">
        <f t="shared" ca="1" si="461"/>
        <v>#VALUE!</v>
      </c>
      <c r="DP92" s="179" t="e">
        <f t="shared" ca="1" si="461"/>
        <v>#VALUE!</v>
      </c>
      <c r="DQ92" s="179" t="e">
        <f t="shared" ca="1" si="461"/>
        <v>#VALUE!</v>
      </c>
      <c r="DR92" s="180">
        <f t="shared" si="396"/>
        <v>91</v>
      </c>
      <c r="DS92" s="180">
        <f t="shared" si="390"/>
        <v>91</v>
      </c>
      <c r="DT92" s="180">
        <f t="shared" si="390"/>
        <v>91</v>
      </c>
      <c r="DU92" s="180">
        <f t="shared" si="390"/>
        <v>91</v>
      </c>
      <c r="DV92" s="180">
        <f t="shared" si="390"/>
        <v>91</v>
      </c>
      <c r="DW92" s="180">
        <f t="shared" si="390"/>
        <v>91</v>
      </c>
      <c r="DX92" s="180">
        <f t="shared" si="390"/>
        <v>91</v>
      </c>
      <c r="DY92" s="180">
        <f t="shared" si="390"/>
        <v>91</v>
      </c>
      <c r="DZ92" s="180">
        <f t="shared" si="390"/>
        <v>91</v>
      </c>
      <c r="EA92" s="180">
        <f t="shared" si="390"/>
        <v>91</v>
      </c>
      <c r="EB92" s="180">
        <f t="shared" si="390"/>
        <v>91</v>
      </c>
      <c r="EC92" s="180">
        <f t="shared" si="390"/>
        <v>91</v>
      </c>
      <c r="ED92" s="180">
        <f t="shared" si="390"/>
        <v>91</v>
      </c>
      <c r="EE92" s="180">
        <f t="shared" si="390"/>
        <v>91</v>
      </c>
      <c r="EF92" s="180">
        <f t="shared" si="390"/>
        <v>91</v>
      </c>
      <c r="EG92" s="180">
        <f t="shared" ref="EG92:EO92" si="462">IF($AU97&gt;$BA$19,0,$BA97-$AS97)</f>
        <v>91</v>
      </c>
      <c r="EH92" s="180">
        <f t="shared" si="462"/>
        <v>91</v>
      </c>
      <c r="EI92" s="180">
        <f t="shared" si="462"/>
        <v>91</v>
      </c>
      <c r="EJ92" s="180">
        <f t="shared" si="462"/>
        <v>91</v>
      </c>
      <c r="EK92" s="180">
        <f t="shared" si="462"/>
        <v>91</v>
      </c>
      <c r="EL92" s="180">
        <f t="shared" si="462"/>
        <v>91</v>
      </c>
      <c r="EM92" s="180">
        <f t="shared" si="462"/>
        <v>91</v>
      </c>
      <c r="EN92" s="180">
        <f t="shared" si="462"/>
        <v>91</v>
      </c>
      <c r="EO92" s="180">
        <f t="shared" si="462"/>
        <v>91</v>
      </c>
      <c r="EQ92" s="259">
        <f t="shared" ca="1" si="398"/>
        <v>48405</v>
      </c>
      <c r="ER92" s="87">
        <f t="shared" ca="1" si="449"/>
        <v>91</v>
      </c>
      <c r="ES92" s="87">
        <f t="shared" ca="1" si="449"/>
        <v>91</v>
      </c>
      <c r="ET92" s="87">
        <f t="shared" ca="1" si="449"/>
        <v>91</v>
      </c>
      <c r="EU92" s="87">
        <f t="shared" ca="1" si="449"/>
        <v>91</v>
      </c>
      <c r="EV92" s="87">
        <f t="shared" ca="1" si="449"/>
        <v>91</v>
      </c>
      <c r="EW92" s="87">
        <f t="shared" ca="1" si="449"/>
        <v>91</v>
      </c>
      <c r="EX92" s="87">
        <f t="shared" ca="1" si="449"/>
        <v>91</v>
      </c>
      <c r="EY92" s="87">
        <f t="shared" ca="1" si="449"/>
        <v>91</v>
      </c>
      <c r="EZ92" s="87">
        <f t="shared" ca="1" si="449"/>
        <v>91</v>
      </c>
      <c r="FA92" s="87">
        <f t="shared" ca="1" si="449"/>
        <v>91</v>
      </c>
      <c r="FB92" s="87">
        <f t="shared" ca="1" si="449"/>
        <v>91</v>
      </c>
      <c r="FC92" s="87">
        <f t="shared" ca="1" si="449"/>
        <v>91</v>
      </c>
      <c r="FD92" s="87">
        <f t="shared" ca="1" si="449"/>
        <v>91</v>
      </c>
      <c r="FE92" s="87">
        <f t="shared" ca="1" si="449"/>
        <v>91</v>
      </c>
      <c r="FF92" s="87">
        <f t="shared" ca="1" si="449"/>
        <v>91</v>
      </c>
      <c r="FG92" s="87">
        <f t="shared" ca="1" si="392"/>
        <v>91</v>
      </c>
      <c r="FH92" s="87">
        <f t="shared" ca="1" si="392"/>
        <v>91</v>
      </c>
      <c r="FI92" s="87">
        <f t="shared" ca="1" si="392"/>
        <v>91</v>
      </c>
      <c r="FJ92" s="87">
        <f t="shared" ca="1" si="392"/>
        <v>91</v>
      </c>
      <c r="FK92" s="87">
        <f t="shared" ca="1" si="392"/>
        <v>91</v>
      </c>
      <c r="FL92" s="87">
        <f t="shared" ca="1" si="392"/>
        <v>91</v>
      </c>
      <c r="FM92" s="87">
        <f t="shared" ca="1" si="392"/>
        <v>91</v>
      </c>
      <c r="FN92" s="87">
        <f t="shared" ca="1" si="392"/>
        <v>91</v>
      </c>
      <c r="FO92" s="87">
        <f t="shared" ca="1" si="392"/>
        <v>91</v>
      </c>
      <c r="FP92" s="87">
        <f t="shared" ca="1" si="392"/>
        <v>91</v>
      </c>
    </row>
    <row r="93" spans="2:172" ht="12.75" hidden="1" customHeight="1" x14ac:dyDescent="0.25">
      <c r="B93" s="87">
        <v>35</v>
      </c>
      <c r="C93" s="181">
        <f t="shared" ca="1" si="450"/>
        <v>47218</v>
      </c>
      <c r="D93" s="380">
        <f t="shared" ca="1" si="418"/>
        <v>0.5245315631795876</v>
      </c>
      <c r="E93" s="380">
        <f t="shared" si="418"/>
        <v>0</v>
      </c>
      <c r="F93" s="380">
        <f t="shared" si="418"/>
        <v>0</v>
      </c>
      <c r="G93" s="380">
        <f t="shared" si="418"/>
        <v>0</v>
      </c>
      <c r="H93" s="380">
        <f t="shared" si="418"/>
        <v>0</v>
      </c>
      <c r="I93" s="380">
        <f t="shared" si="418"/>
        <v>0</v>
      </c>
      <c r="J93" s="380">
        <f t="shared" si="418"/>
        <v>0</v>
      </c>
      <c r="K93" s="380">
        <f t="shared" si="418"/>
        <v>0</v>
      </c>
      <c r="L93" s="380">
        <f t="shared" si="418"/>
        <v>0</v>
      </c>
      <c r="M93" s="380">
        <f t="shared" si="418"/>
        <v>0</v>
      </c>
      <c r="N93" s="380">
        <f t="shared" si="419"/>
        <v>0</v>
      </c>
      <c r="O93" s="380">
        <f t="shared" si="419"/>
        <v>0</v>
      </c>
      <c r="P93" s="380">
        <f t="shared" si="419"/>
        <v>0</v>
      </c>
      <c r="Q93" s="380">
        <f t="shared" si="419"/>
        <v>0</v>
      </c>
      <c r="R93" s="380">
        <f t="shared" si="419"/>
        <v>0</v>
      </c>
      <c r="S93" s="380">
        <f t="shared" si="419"/>
        <v>0</v>
      </c>
      <c r="T93" s="380">
        <f t="shared" si="419"/>
        <v>0</v>
      </c>
      <c r="U93" s="175"/>
      <c r="V93" s="176"/>
      <c r="W93" s="176"/>
      <c r="X93" s="87">
        <v>78</v>
      </c>
      <c r="Y93" s="377">
        <f t="shared" si="361"/>
        <v>0</v>
      </c>
      <c r="Z93" s="377">
        <f t="shared" si="362"/>
        <v>0</v>
      </c>
      <c r="AA93" s="377">
        <f t="shared" si="363"/>
        <v>0</v>
      </c>
      <c r="AB93" s="377">
        <f t="shared" si="364"/>
        <v>0</v>
      </c>
      <c r="AC93" s="377">
        <f t="shared" si="365"/>
        <v>0</v>
      </c>
      <c r="AD93" s="377">
        <f t="shared" si="366"/>
        <v>0</v>
      </c>
      <c r="AE93" s="377">
        <f t="shared" si="367"/>
        <v>0</v>
      </c>
      <c r="AF93" s="377">
        <f t="shared" si="368"/>
        <v>0</v>
      </c>
      <c r="AG93" s="377">
        <f t="shared" si="369"/>
        <v>0</v>
      </c>
      <c r="AH93" s="377">
        <f t="shared" si="370"/>
        <v>0</v>
      </c>
      <c r="AI93" s="377">
        <f t="shared" si="371"/>
        <v>0</v>
      </c>
      <c r="AJ93" s="377">
        <f t="shared" si="372"/>
        <v>0</v>
      </c>
      <c r="AK93" s="377">
        <f t="shared" si="373"/>
        <v>0</v>
      </c>
      <c r="AL93" s="377">
        <f t="shared" si="374"/>
        <v>0</v>
      </c>
      <c r="AM93" s="377">
        <f t="shared" si="375"/>
        <v>0</v>
      </c>
      <c r="AN93" s="377">
        <f t="shared" si="376"/>
        <v>0</v>
      </c>
      <c r="AO93" s="377">
        <f t="shared" si="377"/>
        <v>0</v>
      </c>
      <c r="AQ93" s="138">
        <v>70</v>
      </c>
      <c r="AR93" s="258">
        <f t="shared" ca="1" si="420"/>
        <v>48283</v>
      </c>
      <c r="AS93" s="378">
        <f t="shared" si="421"/>
        <v>0</v>
      </c>
      <c r="AT93" s="138"/>
      <c r="AU93" s="138">
        <v>70</v>
      </c>
      <c r="AV93" s="258">
        <f t="shared" ca="1" si="422"/>
        <v>48314</v>
      </c>
      <c r="AW93" s="378">
        <f t="shared" si="423"/>
        <v>91</v>
      </c>
      <c r="AX93" s="202">
        <f t="shared" ca="1" si="424"/>
        <v>24.43</v>
      </c>
      <c r="AY93" s="138">
        <v>70</v>
      </c>
      <c r="AZ93" s="258">
        <f t="shared" ca="1" si="425"/>
        <v>48314</v>
      </c>
      <c r="BA93" s="378">
        <f t="shared" si="426"/>
        <v>91</v>
      </c>
      <c r="BC93" s="258">
        <f t="shared" ca="1" si="411"/>
        <v>48283</v>
      </c>
      <c r="BD93" s="302">
        <f t="shared" ca="1" si="427"/>
        <v>91</v>
      </c>
      <c r="BE93" s="133">
        <f t="shared" si="412"/>
        <v>70</v>
      </c>
      <c r="BF93" s="379">
        <f t="shared" ca="1" si="413"/>
        <v>48283</v>
      </c>
      <c r="BG93" s="133">
        <f t="shared" si="428"/>
        <v>91</v>
      </c>
      <c r="BH93" s="133">
        <f t="shared" si="429"/>
        <v>0</v>
      </c>
      <c r="BI93" s="133">
        <f t="shared" si="430"/>
        <v>0</v>
      </c>
      <c r="BJ93" s="133">
        <f t="shared" si="431"/>
        <v>0</v>
      </c>
      <c r="BK93" s="133">
        <f t="shared" si="432"/>
        <v>0</v>
      </c>
      <c r="BL93" s="133">
        <f t="shared" si="433"/>
        <v>0</v>
      </c>
      <c r="BM93" s="133">
        <f t="shared" si="434"/>
        <v>0</v>
      </c>
      <c r="BN93" s="133">
        <f t="shared" si="435"/>
        <v>0</v>
      </c>
      <c r="BO93" s="133">
        <f t="shared" si="436"/>
        <v>0</v>
      </c>
      <c r="BP93" s="133">
        <f t="shared" si="437"/>
        <v>0</v>
      </c>
      <c r="BQ93" s="133">
        <f t="shared" si="438"/>
        <v>0</v>
      </c>
      <c r="BR93" s="133">
        <f t="shared" si="439"/>
        <v>0</v>
      </c>
      <c r="BS93" s="133">
        <f t="shared" si="440"/>
        <v>0</v>
      </c>
      <c r="BT93" s="133">
        <f t="shared" si="441"/>
        <v>0</v>
      </c>
      <c r="BU93" s="133">
        <f t="shared" si="442"/>
        <v>0</v>
      </c>
      <c r="BV93" s="133">
        <f t="shared" si="443"/>
        <v>0</v>
      </c>
      <c r="BW93" s="133">
        <f t="shared" si="444"/>
        <v>0</v>
      </c>
      <c r="BX93" s="267"/>
      <c r="BY93" s="267"/>
      <c r="BZ93" s="267"/>
      <c r="CA93" s="267"/>
      <c r="CB93" s="267"/>
      <c r="CC93" s="267"/>
      <c r="CD93" s="267"/>
      <c r="CE93" s="267"/>
      <c r="CF93" s="267"/>
      <c r="CG93" s="267"/>
      <c r="CS93" s="138">
        <v>75</v>
      </c>
      <c r="CT93" s="259">
        <f t="shared" ca="1" si="386"/>
        <v>48467</v>
      </c>
      <c r="CU93" s="179">
        <f t="shared" ref="CU93:DC93" ca="1" si="463">(($AW98/(1+CU$18)^(($AZ98-$AZ$23)/30)))+($AS98/(1+CU$18)^(($AZ98-$AZ$23)/30))</f>
        <v>22.251980174089962</v>
      </c>
      <c r="CV93" s="179">
        <f t="shared" ca="1" si="463"/>
        <v>23.107543677066484</v>
      </c>
      <c r="CW93" s="179">
        <f t="shared" ca="1" si="463"/>
        <v>23.636801982062511</v>
      </c>
      <c r="CX93" s="179">
        <f t="shared" ca="1" si="463"/>
        <v>24.178343918429892</v>
      </c>
      <c r="CY93" s="179">
        <f t="shared" ca="1" si="463"/>
        <v>24.732458327545491</v>
      </c>
      <c r="CZ93" s="179">
        <f t="shared" ca="1" si="463"/>
        <v>25.299440930900388</v>
      </c>
      <c r="DA93" s="179">
        <f t="shared" ca="1" si="463"/>
        <v>25.684727549730173</v>
      </c>
      <c r="DB93" s="179">
        <f t="shared" ca="1" si="463"/>
        <v>26.473229006836458</v>
      </c>
      <c r="DC93" s="179">
        <f t="shared" ca="1" si="463"/>
        <v>26.87663117998655</v>
      </c>
      <c r="DD93" s="179">
        <f t="shared" ref="DD93:DI93" ca="1" si="464">(($AW98/(1+DD$18)^(($AZ98-$AZ$23)/30)))+($AS98/(1+DD$18)^(($AZ98-$AZ$23)/30))</f>
        <v>27.286261682037328</v>
      </c>
      <c r="DE93" s="179">
        <f t="shared" ca="1" si="464"/>
        <v>27.702217930079019</v>
      </c>
      <c r="DF93" s="179" t="e">
        <f t="shared" ca="1" si="464"/>
        <v>#VALUE!</v>
      </c>
      <c r="DG93" s="179" t="e">
        <f t="shared" ca="1" si="464"/>
        <v>#VALUE!</v>
      </c>
      <c r="DH93" s="179" t="e">
        <f t="shared" ca="1" si="464"/>
        <v>#VALUE!</v>
      </c>
      <c r="DI93" s="179" t="e">
        <f t="shared" ca="1" si="464"/>
        <v>#VALUE!</v>
      </c>
      <c r="DJ93" s="179" t="e">
        <f t="shared" ref="DJ93:DQ93" ca="1" si="465">(($AW98/(1+DJ$18)^(($AZ98-$AZ$23)/30)))+($AS98/(1+DJ$18)^(($AZ98-$AZ$23)/30))</f>
        <v>#VALUE!</v>
      </c>
      <c r="DK93" s="179" t="e">
        <f t="shared" ca="1" si="465"/>
        <v>#VALUE!</v>
      </c>
      <c r="DL93" s="179" t="e">
        <f t="shared" ca="1" si="465"/>
        <v>#VALUE!</v>
      </c>
      <c r="DM93" s="179" t="e">
        <f t="shared" ca="1" si="465"/>
        <v>#VALUE!</v>
      </c>
      <c r="DN93" s="179" t="e">
        <f t="shared" ca="1" si="465"/>
        <v>#VALUE!</v>
      </c>
      <c r="DO93" s="179" t="e">
        <f t="shared" ca="1" si="465"/>
        <v>#VALUE!</v>
      </c>
      <c r="DP93" s="179" t="e">
        <f t="shared" ca="1" si="465"/>
        <v>#VALUE!</v>
      </c>
      <c r="DQ93" s="179" t="e">
        <f t="shared" ca="1" si="465"/>
        <v>#VALUE!</v>
      </c>
      <c r="DR93" s="180">
        <f t="shared" si="396"/>
        <v>91</v>
      </c>
      <c r="DS93" s="180">
        <f t="shared" si="390"/>
        <v>91</v>
      </c>
      <c r="DT93" s="180">
        <f t="shared" si="390"/>
        <v>91</v>
      </c>
      <c r="DU93" s="180">
        <f t="shared" si="390"/>
        <v>91</v>
      </c>
      <c r="DV93" s="180">
        <f t="shared" si="390"/>
        <v>91</v>
      </c>
      <c r="DW93" s="180">
        <f t="shared" si="390"/>
        <v>91</v>
      </c>
      <c r="DX93" s="180">
        <f t="shared" si="390"/>
        <v>91</v>
      </c>
      <c r="DY93" s="180">
        <f t="shared" si="390"/>
        <v>91</v>
      </c>
      <c r="DZ93" s="180">
        <f t="shared" si="390"/>
        <v>91</v>
      </c>
      <c r="EA93" s="180">
        <f t="shared" si="390"/>
        <v>91</v>
      </c>
      <c r="EB93" s="180">
        <f t="shared" si="390"/>
        <v>91</v>
      </c>
      <c r="EC93" s="180">
        <f t="shared" si="390"/>
        <v>91</v>
      </c>
      <c r="ED93" s="180">
        <f t="shared" si="390"/>
        <v>91</v>
      </c>
      <c r="EE93" s="180">
        <f t="shared" si="390"/>
        <v>91</v>
      </c>
      <c r="EF93" s="180">
        <f t="shared" si="390"/>
        <v>91</v>
      </c>
      <c r="EG93" s="180">
        <f t="shared" ref="EG93:EO93" si="466">IF($AU98&gt;$BA$19,0,$BA98-$AS98)</f>
        <v>91</v>
      </c>
      <c r="EH93" s="180">
        <f t="shared" si="466"/>
        <v>91</v>
      </c>
      <c r="EI93" s="180">
        <f t="shared" si="466"/>
        <v>91</v>
      </c>
      <c r="EJ93" s="180">
        <f t="shared" si="466"/>
        <v>91</v>
      </c>
      <c r="EK93" s="180">
        <f t="shared" si="466"/>
        <v>91</v>
      </c>
      <c r="EL93" s="180">
        <f t="shared" si="466"/>
        <v>91</v>
      </c>
      <c r="EM93" s="180">
        <f t="shared" si="466"/>
        <v>91</v>
      </c>
      <c r="EN93" s="180">
        <f t="shared" si="466"/>
        <v>91</v>
      </c>
      <c r="EO93" s="180">
        <f t="shared" si="466"/>
        <v>91</v>
      </c>
      <c r="EQ93" s="259">
        <f t="shared" ca="1" si="398"/>
        <v>48436</v>
      </c>
      <c r="ER93" s="87">
        <f t="shared" ca="1" si="449"/>
        <v>91</v>
      </c>
      <c r="ES93" s="87">
        <f t="shared" ca="1" si="449"/>
        <v>91</v>
      </c>
      <c r="ET93" s="87">
        <f t="shared" ca="1" si="449"/>
        <v>91</v>
      </c>
      <c r="EU93" s="87">
        <f t="shared" ca="1" si="449"/>
        <v>91</v>
      </c>
      <c r="EV93" s="87">
        <f t="shared" ca="1" si="449"/>
        <v>91</v>
      </c>
      <c r="EW93" s="87">
        <f t="shared" ca="1" si="449"/>
        <v>91</v>
      </c>
      <c r="EX93" s="87">
        <f t="shared" ca="1" si="449"/>
        <v>91</v>
      </c>
      <c r="EY93" s="87">
        <f t="shared" ca="1" si="449"/>
        <v>91</v>
      </c>
      <c r="EZ93" s="87">
        <f t="shared" ca="1" si="449"/>
        <v>91</v>
      </c>
      <c r="FA93" s="87">
        <f t="shared" ca="1" si="449"/>
        <v>91</v>
      </c>
      <c r="FB93" s="87">
        <f t="shared" ca="1" si="449"/>
        <v>91</v>
      </c>
      <c r="FC93" s="87">
        <f t="shared" ca="1" si="449"/>
        <v>91</v>
      </c>
      <c r="FD93" s="87">
        <f t="shared" ca="1" si="449"/>
        <v>91</v>
      </c>
      <c r="FE93" s="87">
        <f t="shared" ca="1" si="449"/>
        <v>91</v>
      </c>
      <c r="FF93" s="87">
        <f t="shared" ca="1" si="449"/>
        <v>91</v>
      </c>
      <c r="FG93" s="87">
        <f t="shared" ca="1" si="392"/>
        <v>91</v>
      </c>
      <c r="FH93" s="87">
        <f t="shared" ca="1" si="392"/>
        <v>91</v>
      </c>
      <c r="FI93" s="87">
        <f t="shared" ca="1" si="392"/>
        <v>91</v>
      </c>
      <c r="FJ93" s="87">
        <f t="shared" ca="1" si="392"/>
        <v>91</v>
      </c>
      <c r="FK93" s="87">
        <f t="shared" ca="1" si="392"/>
        <v>91</v>
      </c>
      <c r="FL93" s="87">
        <f t="shared" ca="1" si="392"/>
        <v>91</v>
      </c>
      <c r="FM93" s="87">
        <f t="shared" ca="1" si="392"/>
        <v>91</v>
      </c>
      <c r="FN93" s="87">
        <f t="shared" ca="1" si="392"/>
        <v>91</v>
      </c>
      <c r="FO93" s="87">
        <f t="shared" ca="1" si="392"/>
        <v>91</v>
      </c>
      <c r="FP93" s="87">
        <f t="shared" ca="1" si="392"/>
        <v>91</v>
      </c>
    </row>
    <row r="94" spans="2:172" ht="12.75" hidden="1" customHeight="1" x14ac:dyDescent="0.25">
      <c r="B94" s="87">
        <v>36</v>
      </c>
      <c r="C94" s="181">
        <f t="shared" ca="1" si="450"/>
        <v>47248</v>
      </c>
      <c r="D94" s="380">
        <f t="shared" ca="1" si="418"/>
        <v>0.51500398937612923</v>
      </c>
      <c r="E94" s="380">
        <f t="shared" si="418"/>
        <v>0</v>
      </c>
      <c r="F94" s="380">
        <f t="shared" si="418"/>
        <v>0</v>
      </c>
      <c r="G94" s="380">
        <f t="shared" si="418"/>
        <v>0</v>
      </c>
      <c r="H94" s="380">
        <f t="shared" si="418"/>
        <v>0</v>
      </c>
      <c r="I94" s="380">
        <f t="shared" si="418"/>
        <v>0</v>
      </c>
      <c r="J94" s="380">
        <f t="shared" si="418"/>
        <v>0</v>
      </c>
      <c r="K94" s="380">
        <f t="shared" si="418"/>
        <v>0</v>
      </c>
      <c r="L94" s="380">
        <f t="shared" si="418"/>
        <v>0</v>
      </c>
      <c r="M94" s="380">
        <f t="shared" si="418"/>
        <v>0</v>
      </c>
      <c r="N94" s="380">
        <f t="shared" si="419"/>
        <v>0</v>
      </c>
      <c r="O94" s="380">
        <f t="shared" si="419"/>
        <v>0</v>
      </c>
      <c r="P94" s="380">
        <f t="shared" si="419"/>
        <v>0</v>
      </c>
      <c r="Q94" s="380">
        <f t="shared" si="419"/>
        <v>0</v>
      </c>
      <c r="R94" s="380">
        <f t="shared" si="419"/>
        <v>0</v>
      </c>
      <c r="S94" s="380">
        <f t="shared" si="419"/>
        <v>0</v>
      </c>
      <c r="T94" s="380">
        <f t="shared" si="419"/>
        <v>0</v>
      </c>
      <c r="U94" s="175"/>
      <c r="V94" s="176"/>
      <c r="W94" s="176"/>
      <c r="X94" s="87">
        <v>79</v>
      </c>
      <c r="Y94" s="377">
        <f t="shared" si="361"/>
        <v>0</v>
      </c>
      <c r="Z94" s="377">
        <f t="shared" si="362"/>
        <v>0</v>
      </c>
      <c r="AA94" s="377">
        <f t="shared" si="363"/>
        <v>0</v>
      </c>
      <c r="AB94" s="377">
        <f t="shared" si="364"/>
        <v>0</v>
      </c>
      <c r="AC94" s="377">
        <f t="shared" si="365"/>
        <v>0</v>
      </c>
      <c r="AD94" s="377">
        <f t="shared" si="366"/>
        <v>0</v>
      </c>
      <c r="AE94" s="377">
        <f t="shared" si="367"/>
        <v>0</v>
      </c>
      <c r="AF94" s="377">
        <f t="shared" si="368"/>
        <v>0</v>
      </c>
      <c r="AG94" s="377">
        <f t="shared" si="369"/>
        <v>0</v>
      </c>
      <c r="AH94" s="377">
        <f t="shared" si="370"/>
        <v>0</v>
      </c>
      <c r="AI94" s="377">
        <f t="shared" si="371"/>
        <v>0</v>
      </c>
      <c r="AJ94" s="377">
        <f t="shared" si="372"/>
        <v>0</v>
      </c>
      <c r="AK94" s="377">
        <f t="shared" si="373"/>
        <v>0</v>
      </c>
      <c r="AL94" s="377">
        <f t="shared" si="374"/>
        <v>0</v>
      </c>
      <c r="AM94" s="377">
        <f t="shared" si="375"/>
        <v>0</v>
      </c>
      <c r="AN94" s="377">
        <f t="shared" si="376"/>
        <v>0</v>
      </c>
      <c r="AO94" s="377">
        <f t="shared" si="377"/>
        <v>0</v>
      </c>
      <c r="AQ94" s="138">
        <v>71</v>
      </c>
      <c r="AR94" s="258">
        <f t="shared" ca="1" si="420"/>
        <v>48314</v>
      </c>
      <c r="AS94" s="378">
        <f t="shared" si="421"/>
        <v>0</v>
      </c>
      <c r="AT94" s="138"/>
      <c r="AU94" s="138">
        <v>71</v>
      </c>
      <c r="AV94" s="258">
        <f t="shared" ca="1" si="422"/>
        <v>48344</v>
      </c>
      <c r="AW94" s="378">
        <f t="shared" si="423"/>
        <v>91</v>
      </c>
      <c r="AX94" s="202">
        <f t="shared" ca="1" si="424"/>
        <v>23.99</v>
      </c>
      <c r="AY94" s="138">
        <v>71</v>
      </c>
      <c r="AZ94" s="258">
        <f t="shared" ca="1" si="425"/>
        <v>48344</v>
      </c>
      <c r="BA94" s="378">
        <f t="shared" si="426"/>
        <v>91</v>
      </c>
      <c r="BC94" s="258">
        <f t="shared" ca="1" si="411"/>
        <v>48314</v>
      </c>
      <c r="BD94" s="302">
        <f t="shared" ca="1" si="427"/>
        <v>91</v>
      </c>
      <c r="BE94" s="133">
        <f t="shared" si="412"/>
        <v>71</v>
      </c>
      <c r="BF94" s="379">
        <f t="shared" ca="1" si="413"/>
        <v>48314</v>
      </c>
      <c r="BG94" s="133">
        <f t="shared" si="428"/>
        <v>91</v>
      </c>
      <c r="BH94" s="133">
        <f t="shared" si="429"/>
        <v>0</v>
      </c>
      <c r="BI94" s="133">
        <f t="shared" si="430"/>
        <v>0</v>
      </c>
      <c r="BJ94" s="133">
        <f t="shared" si="431"/>
        <v>0</v>
      </c>
      <c r="BK94" s="133">
        <f t="shared" si="432"/>
        <v>0</v>
      </c>
      <c r="BL94" s="133">
        <f t="shared" si="433"/>
        <v>0</v>
      </c>
      <c r="BM94" s="133">
        <f t="shared" si="434"/>
        <v>0</v>
      </c>
      <c r="BN94" s="133">
        <f t="shared" si="435"/>
        <v>0</v>
      </c>
      <c r="BO94" s="133">
        <f t="shared" si="436"/>
        <v>0</v>
      </c>
      <c r="BP94" s="133">
        <f t="shared" si="437"/>
        <v>0</v>
      </c>
      <c r="BQ94" s="133">
        <f t="shared" si="438"/>
        <v>0</v>
      </c>
      <c r="BR94" s="133">
        <f t="shared" si="439"/>
        <v>0</v>
      </c>
      <c r="BS94" s="133">
        <f t="shared" si="440"/>
        <v>0</v>
      </c>
      <c r="BT94" s="133">
        <f t="shared" si="441"/>
        <v>0</v>
      </c>
      <c r="BU94" s="133">
        <f t="shared" si="442"/>
        <v>0</v>
      </c>
      <c r="BV94" s="133">
        <f t="shared" si="443"/>
        <v>0</v>
      </c>
      <c r="BW94" s="133">
        <f t="shared" si="444"/>
        <v>0</v>
      </c>
      <c r="BX94" s="267"/>
      <c r="BY94" s="267"/>
      <c r="BZ94" s="267"/>
      <c r="CA94" s="267"/>
      <c r="CB94" s="267"/>
      <c r="CC94" s="267"/>
      <c r="CD94" s="267"/>
      <c r="CE94" s="267"/>
      <c r="CF94" s="267"/>
      <c r="CG94" s="267"/>
      <c r="CS94" s="87">
        <v>76</v>
      </c>
      <c r="CT94" s="259">
        <f t="shared" ca="1" si="386"/>
        <v>48497</v>
      </c>
      <c r="CU94" s="179">
        <f t="shared" ref="CU94:DC94" ca="1" si="467">(($AW99/(1+CU$18)^(($AZ99-$AZ$23)/30)))+($AS99/(1+CU$18)^(($AZ99-$AZ$23)/30))</f>
        <v>21.847795949032857</v>
      </c>
      <c r="CV94" s="179">
        <f t="shared" ca="1" si="467"/>
        <v>22.698962354682202</v>
      </c>
      <c r="CW94" s="179">
        <f t="shared" ca="1" si="467"/>
        <v>23.225706968716228</v>
      </c>
      <c r="CX94" s="179">
        <f t="shared" ca="1" si="467"/>
        <v>23.764835775928731</v>
      </c>
      <c r="CY94" s="179">
        <f t="shared" ca="1" si="467"/>
        <v>24.316643719934611</v>
      </c>
      <c r="CZ94" s="179">
        <f t="shared" ca="1" si="467"/>
        <v>24.881432858871356</v>
      </c>
      <c r="DA94" s="179">
        <f t="shared" ca="1" si="467"/>
        <v>25.265323184861472</v>
      </c>
      <c r="DB94" s="179">
        <f t="shared" ca="1" si="467"/>
        <v>26.051199573741844</v>
      </c>
      <c r="DC94" s="179">
        <f t="shared" ca="1" si="467"/>
        <v>26.453377145656052</v>
      </c>
      <c r="DD94" s="179">
        <f t="shared" ref="DD94:DI94" ca="1" si="468">(($AW99/(1+DD$18)^(($AZ99-$AZ$23)/30)))+($AS99/(1+DD$18)^(($AZ99-$AZ$23)/30))</f>
        <v>26.861844538331688</v>
      </c>
      <c r="DE94" s="179">
        <f t="shared" ca="1" si="468"/>
        <v>27.276701388419671</v>
      </c>
      <c r="DF94" s="179" t="e">
        <f t="shared" ca="1" si="468"/>
        <v>#VALUE!</v>
      </c>
      <c r="DG94" s="179" t="e">
        <f t="shared" ca="1" si="468"/>
        <v>#VALUE!</v>
      </c>
      <c r="DH94" s="179" t="e">
        <f t="shared" ca="1" si="468"/>
        <v>#VALUE!</v>
      </c>
      <c r="DI94" s="179" t="e">
        <f t="shared" ca="1" si="468"/>
        <v>#VALUE!</v>
      </c>
      <c r="DJ94" s="179" t="e">
        <f t="shared" ref="DJ94:DQ94" ca="1" si="469">(($AW99/(1+DJ$18)^(($AZ99-$AZ$23)/30)))+($AS99/(1+DJ$18)^(($AZ99-$AZ$23)/30))</f>
        <v>#VALUE!</v>
      </c>
      <c r="DK94" s="179" t="e">
        <f t="shared" ca="1" si="469"/>
        <v>#VALUE!</v>
      </c>
      <c r="DL94" s="179" t="e">
        <f t="shared" ca="1" si="469"/>
        <v>#VALUE!</v>
      </c>
      <c r="DM94" s="179" t="e">
        <f t="shared" ca="1" si="469"/>
        <v>#VALUE!</v>
      </c>
      <c r="DN94" s="179" t="e">
        <f t="shared" ca="1" si="469"/>
        <v>#VALUE!</v>
      </c>
      <c r="DO94" s="179" t="e">
        <f t="shared" ca="1" si="469"/>
        <v>#VALUE!</v>
      </c>
      <c r="DP94" s="179" t="e">
        <f t="shared" ca="1" si="469"/>
        <v>#VALUE!</v>
      </c>
      <c r="DQ94" s="179" t="e">
        <f t="shared" ca="1" si="469"/>
        <v>#VALUE!</v>
      </c>
      <c r="DR94" s="180">
        <f t="shared" si="396"/>
        <v>91</v>
      </c>
      <c r="DS94" s="180">
        <f t="shared" si="390"/>
        <v>91</v>
      </c>
      <c r="DT94" s="180">
        <f t="shared" si="390"/>
        <v>91</v>
      </c>
      <c r="DU94" s="180">
        <f t="shared" si="390"/>
        <v>91</v>
      </c>
      <c r="DV94" s="180">
        <f t="shared" si="390"/>
        <v>91</v>
      </c>
      <c r="DW94" s="180">
        <f t="shared" si="390"/>
        <v>91</v>
      </c>
      <c r="DX94" s="180">
        <f t="shared" si="390"/>
        <v>91</v>
      </c>
      <c r="DY94" s="180">
        <f t="shared" si="390"/>
        <v>91</v>
      </c>
      <c r="DZ94" s="180">
        <f t="shared" si="390"/>
        <v>91</v>
      </c>
      <c r="EA94" s="180">
        <f t="shared" si="390"/>
        <v>91</v>
      </c>
      <c r="EB94" s="180">
        <f t="shared" si="390"/>
        <v>91</v>
      </c>
      <c r="EC94" s="180">
        <f t="shared" si="390"/>
        <v>91</v>
      </c>
      <c r="ED94" s="180">
        <f t="shared" si="390"/>
        <v>91</v>
      </c>
      <c r="EE94" s="180">
        <f t="shared" si="390"/>
        <v>91</v>
      </c>
      <c r="EF94" s="180">
        <f t="shared" si="390"/>
        <v>91</v>
      </c>
      <c r="EG94" s="180">
        <f t="shared" ref="EG94:EO94" si="470">IF($AU99&gt;$BA$19,0,$BA99-$AS99)</f>
        <v>91</v>
      </c>
      <c r="EH94" s="180">
        <f t="shared" si="470"/>
        <v>91</v>
      </c>
      <c r="EI94" s="180">
        <f t="shared" si="470"/>
        <v>91</v>
      </c>
      <c r="EJ94" s="180">
        <f t="shared" si="470"/>
        <v>91</v>
      </c>
      <c r="EK94" s="180">
        <f t="shared" si="470"/>
        <v>91</v>
      </c>
      <c r="EL94" s="180">
        <f t="shared" si="470"/>
        <v>91</v>
      </c>
      <c r="EM94" s="180">
        <f t="shared" si="470"/>
        <v>91</v>
      </c>
      <c r="EN94" s="180">
        <f t="shared" si="470"/>
        <v>91</v>
      </c>
      <c r="EO94" s="180">
        <f t="shared" si="470"/>
        <v>91</v>
      </c>
      <c r="EQ94" s="259">
        <f t="shared" ca="1" si="398"/>
        <v>48467</v>
      </c>
      <c r="ER94" s="87">
        <f t="shared" ca="1" si="449"/>
        <v>91</v>
      </c>
      <c r="ES94" s="87">
        <f t="shared" ca="1" si="449"/>
        <v>91</v>
      </c>
      <c r="ET94" s="87">
        <f t="shared" ca="1" si="449"/>
        <v>91</v>
      </c>
      <c r="EU94" s="87">
        <f t="shared" ca="1" si="449"/>
        <v>91</v>
      </c>
      <c r="EV94" s="87">
        <f t="shared" ca="1" si="449"/>
        <v>91</v>
      </c>
      <c r="EW94" s="87">
        <f t="shared" ca="1" si="449"/>
        <v>91</v>
      </c>
      <c r="EX94" s="87">
        <f t="shared" ca="1" si="449"/>
        <v>91</v>
      </c>
      <c r="EY94" s="87">
        <f t="shared" ca="1" si="449"/>
        <v>91</v>
      </c>
      <c r="EZ94" s="87">
        <f t="shared" ca="1" si="449"/>
        <v>91</v>
      </c>
      <c r="FA94" s="87">
        <f t="shared" ca="1" si="449"/>
        <v>91</v>
      </c>
      <c r="FB94" s="87">
        <f t="shared" ca="1" si="449"/>
        <v>91</v>
      </c>
      <c r="FC94" s="87">
        <f t="shared" ca="1" si="449"/>
        <v>91</v>
      </c>
      <c r="FD94" s="87">
        <f t="shared" ca="1" si="449"/>
        <v>91</v>
      </c>
      <c r="FE94" s="87">
        <f t="shared" ca="1" si="449"/>
        <v>91</v>
      </c>
      <c r="FF94" s="87">
        <f t="shared" ca="1" si="449"/>
        <v>91</v>
      </c>
      <c r="FG94" s="87">
        <f t="shared" ca="1" si="392"/>
        <v>91</v>
      </c>
      <c r="FH94" s="87">
        <f t="shared" ca="1" si="392"/>
        <v>91</v>
      </c>
      <c r="FI94" s="87">
        <f t="shared" ca="1" si="392"/>
        <v>91</v>
      </c>
      <c r="FJ94" s="87">
        <f t="shared" ca="1" si="392"/>
        <v>91</v>
      </c>
      <c r="FK94" s="87">
        <f t="shared" ca="1" si="392"/>
        <v>91</v>
      </c>
      <c r="FL94" s="87">
        <f t="shared" ca="1" si="392"/>
        <v>91</v>
      </c>
      <c r="FM94" s="87">
        <f t="shared" ca="1" si="392"/>
        <v>91</v>
      </c>
      <c r="FN94" s="87">
        <f t="shared" ca="1" si="392"/>
        <v>91</v>
      </c>
      <c r="FO94" s="87">
        <f t="shared" ca="1" si="392"/>
        <v>91</v>
      </c>
      <c r="FP94" s="87">
        <f t="shared" ca="1" si="392"/>
        <v>91</v>
      </c>
    </row>
    <row r="95" spans="2:172" ht="12.75" hidden="1" customHeight="1" x14ac:dyDescent="0.25">
      <c r="B95" s="87">
        <v>37</v>
      </c>
      <c r="C95" s="181">
        <f t="shared" ca="1" si="450"/>
        <v>47279</v>
      </c>
      <c r="D95" s="380">
        <f t="shared" ca="1" si="418"/>
        <v>0.50534060052701402</v>
      </c>
      <c r="E95" s="380">
        <f t="shared" si="418"/>
        <v>0</v>
      </c>
      <c r="F95" s="380">
        <f t="shared" si="418"/>
        <v>0</v>
      </c>
      <c r="G95" s="380">
        <f t="shared" si="418"/>
        <v>0</v>
      </c>
      <c r="H95" s="380">
        <f t="shared" si="418"/>
        <v>0</v>
      </c>
      <c r="I95" s="380">
        <f t="shared" si="418"/>
        <v>0</v>
      </c>
      <c r="J95" s="380">
        <f t="shared" si="418"/>
        <v>0</v>
      </c>
      <c r="K95" s="380">
        <f t="shared" si="418"/>
        <v>0</v>
      </c>
      <c r="L95" s="380">
        <f t="shared" si="418"/>
        <v>0</v>
      </c>
      <c r="M95" s="380">
        <f t="shared" si="418"/>
        <v>0</v>
      </c>
      <c r="N95" s="380">
        <f t="shared" si="419"/>
        <v>0</v>
      </c>
      <c r="O95" s="380">
        <f t="shared" si="419"/>
        <v>0</v>
      </c>
      <c r="P95" s="380">
        <f t="shared" si="419"/>
        <v>0</v>
      </c>
      <c r="Q95" s="380">
        <f t="shared" si="419"/>
        <v>0</v>
      </c>
      <c r="R95" s="380">
        <f t="shared" si="419"/>
        <v>0</v>
      </c>
      <c r="S95" s="380">
        <f t="shared" si="419"/>
        <v>0</v>
      </c>
      <c r="T95" s="380">
        <f t="shared" si="419"/>
        <v>0</v>
      </c>
      <c r="U95" s="175"/>
      <c r="V95" s="176"/>
      <c r="W95" s="176"/>
      <c r="X95" s="87">
        <v>80</v>
      </c>
      <c r="Y95" s="377">
        <f t="shared" si="361"/>
        <v>0</v>
      </c>
      <c r="Z95" s="377">
        <f t="shared" si="362"/>
        <v>0</v>
      </c>
      <c r="AA95" s="377">
        <f t="shared" si="363"/>
        <v>0</v>
      </c>
      <c r="AB95" s="377">
        <f t="shared" si="364"/>
        <v>0</v>
      </c>
      <c r="AC95" s="377">
        <f t="shared" si="365"/>
        <v>0</v>
      </c>
      <c r="AD95" s="377">
        <f t="shared" si="366"/>
        <v>0</v>
      </c>
      <c r="AE95" s="377">
        <f t="shared" si="367"/>
        <v>0</v>
      </c>
      <c r="AF95" s="377">
        <f t="shared" si="368"/>
        <v>0</v>
      </c>
      <c r="AG95" s="377">
        <f t="shared" si="369"/>
        <v>0</v>
      </c>
      <c r="AH95" s="377">
        <f t="shared" si="370"/>
        <v>0</v>
      </c>
      <c r="AI95" s="377">
        <f t="shared" si="371"/>
        <v>0</v>
      </c>
      <c r="AJ95" s="377">
        <f t="shared" si="372"/>
        <v>0</v>
      </c>
      <c r="AK95" s="377">
        <f t="shared" si="373"/>
        <v>0</v>
      </c>
      <c r="AL95" s="377">
        <f t="shared" si="374"/>
        <v>0</v>
      </c>
      <c r="AM95" s="377">
        <f t="shared" si="375"/>
        <v>0</v>
      </c>
      <c r="AN95" s="377">
        <f t="shared" si="376"/>
        <v>0</v>
      </c>
      <c r="AO95" s="377">
        <f t="shared" si="377"/>
        <v>0</v>
      </c>
      <c r="AQ95" s="138">
        <v>72</v>
      </c>
      <c r="AR95" s="258">
        <f t="shared" ca="1" si="420"/>
        <v>48344</v>
      </c>
      <c r="AS95" s="378">
        <f t="shared" si="421"/>
        <v>0</v>
      </c>
      <c r="AT95" s="138"/>
      <c r="AU95" s="138">
        <v>72</v>
      </c>
      <c r="AV95" s="258">
        <f t="shared" ca="1" si="422"/>
        <v>48375</v>
      </c>
      <c r="AW95" s="378">
        <f t="shared" si="423"/>
        <v>91</v>
      </c>
      <c r="AX95" s="202">
        <f t="shared" ca="1" si="424"/>
        <v>23.54</v>
      </c>
      <c r="AY95" s="138">
        <v>72</v>
      </c>
      <c r="AZ95" s="258">
        <f t="shared" ca="1" si="425"/>
        <v>48375</v>
      </c>
      <c r="BA95" s="378">
        <f t="shared" si="426"/>
        <v>91</v>
      </c>
      <c r="BC95" s="258">
        <f t="shared" ca="1" si="411"/>
        <v>48344</v>
      </c>
      <c r="BD95" s="302">
        <f t="shared" ca="1" si="427"/>
        <v>91</v>
      </c>
      <c r="BE95" s="133">
        <f t="shared" si="412"/>
        <v>72</v>
      </c>
      <c r="BF95" s="379">
        <f t="shared" ca="1" si="413"/>
        <v>48344</v>
      </c>
      <c r="BG95" s="133">
        <f t="shared" si="428"/>
        <v>91</v>
      </c>
      <c r="BH95" s="133">
        <f t="shared" si="429"/>
        <v>0</v>
      </c>
      <c r="BI95" s="133">
        <f t="shared" si="430"/>
        <v>0</v>
      </c>
      <c r="BJ95" s="133">
        <f t="shared" si="431"/>
        <v>0</v>
      </c>
      <c r="BK95" s="133">
        <f t="shared" si="432"/>
        <v>0</v>
      </c>
      <c r="BL95" s="133">
        <f t="shared" si="433"/>
        <v>0</v>
      </c>
      <c r="BM95" s="133">
        <f t="shared" si="434"/>
        <v>0</v>
      </c>
      <c r="BN95" s="133">
        <f t="shared" si="435"/>
        <v>0</v>
      </c>
      <c r="BO95" s="133">
        <f t="shared" si="436"/>
        <v>0</v>
      </c>
      <c r="BP95" s="133">
        <f t="shared" si="437"/>
        <v>0</v>
      </c>
      <c r="BQ95" s="133">
        <f t="shared" si="438"/>
        <v>0</v>
      </c>
      <c r="BR95" s="133">
        <f t="shared" si="439"/>
        <v>0</v>
      </c>
      <c r="BS95" s="133">
        <f t="shared" si="440"/>
        <v>0</v>
      </c>
      <c r="BT95" s="133">
        <f t="shared" si="441"/>
        <v>0</v>
      </c>
      <c r="BU95" s="133">
        <f t="shared" si="442"/>
        <v>0</v>
      </c>
      <c r="BV95" s="133">
        <f t="shared" si="443"/>
        <v>0</v>
      </c>
      <c r="BW95" s="133">
        <f t="shared" si="444"/>
        <v>0</v>
      </c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S95" s="178">
        <v>77</v>
      </c>
      <c r="CT95" s="259">
        <f t="shared" ca="1" si="386"/>
        <v>48528</v>
      </c>
      <c r="CU95" s="179">
        <f t="shared" ref="CU95:DC95" ca="1" si="471">(($AW100/(1+CU$18)^(($AZ100-$AZ$23)/30)))+($AS100/(1+CU$18)^(($AZ100-$AZ$23)/30))</f>
        <v>21.437850099861119</v>
      </c>
      <c r="CV95" s="179">
        <f t="shared" ca="1" si="471"/>
        <v>22.284349816321992</v>
      </c>
      <c r="CW95" s="179">
        <f t="shared" ca="1" si="471"/>
        <v>22.808418623951201</v>
      </c>
      <c r="CX95" s="179">
        <f t="shared" ca="1" si="471"/>
        <v>23.344972128400922</v>
      </c>
      <c r="CY95" s="179">
        <f t="shared" ca="1" si="471"/>
        <v>23.894311561586029</v>
      </c>
      <c r="CZ95" s="179">
        <f t="shared" ca="1" si="471"/>
        <v>24.456745515641575</v>
      </c>
      <c r="DA95" s="179">
        <f t="shared" ca="1" si="471"/>
        <v>24.839132018620024</v>
      </c>
      <c r="DB95" s="179">
        <f t="shared" ca="1" si="471"/>
        <v>25.62216925310803</v>
      </c>
      <c r="DC95" s="179">
        <f t="shared" ca="1" si="471"/>
        <v>26.023015805323514</v>
      </c>
      <c r="DD95" s="179">
        <f t="shared" ref="DD95:DI95" ca="1" si="472">(($AW100/(1+DD$18)^(($AZ100-$AZ$23)/30)))+($AS100/(1+DD$18)^(($AZ100-$AZ$23)/30))</f>
        <v>26.430214182620492</v>
      </c>
      <c r="DE95" s="179">
        <f t="shared" ca="1" si="472"/>
        <v>26.843866316625487</v>
      </c>
      <c r="DF95" s="179" t="e">
        <f t="shared" ca="1" si="472"/>
        <v>#VALUE!</v>
      </c>
      <c r="DG95" s="179" t="e">
        <f t="shared" ca="1" si="472"/>
        <v>#VALUE!</v>
      </c>
      <c r="DH95" s="179" t="e">
        <f t="shared" ca="1" si="472"/>
        <v>#VALUE!</v>
      </c>
      <c r="DI95" s="179" t="e">
        <f t="shared" ca="1" si="472"/>
        <v>#VALUE!</v>
      </c>
      <c r="DJ95" s="179" t="e">
        <f t="shared" ref="DJ95:DQ95" ca="1" si="473">(($AW100/(1+DJ$18)^(($AZ100-$AZ$23)/30)))+($AS100/(1+DJ$18)^(($AZ100-$AZ$23)/30))</f>
        <v>#VALUE!</v>
      </c>
      <c r="DK95" s="179" t="e">
        <f t="shared" ca="1" si="473"/>
        <v>#VALUE!</v>
      </c>
      <c r="DL95" s="179" t="e">
        <f t="shared" ca="1" si="473"/>
        <v>#VALUE!</v>
      </c>
      <c r="DM95" s="179" t="e">
        <f t="shared" ca="1" si="473"/>
        <v>#VALUE!</v>
      </c>
      <c r="DN95" s="179" t="e">
        <f t="shared" ca="1" si="473"/>
        <v>#VALUE!</v>
      </c>
      <c r="DO95" s="179" t="e">
        <f t="shared" ca="1" si="473"/>
        <v>#VALUE!</v>
      </c>
      <c r="DP95" s="179" t="e">
        <f t="shared" ca="1" si="473"/>
        <v>#VALUE!</v>
      </c>
      <c r="DQ95" s="179" t="e">
        <f t="shared" ca="1" si="473"/>
        <v>#VALUE!</v>
      </c>
      <c r="DR95" s="180">
        <f t="shared" si="396"/>
        <v>91</v>
      </c>
      <c r="DS95" s="180">
        <f t="shared" si="390"/>
        <v>91</v>
      </c>
      <c r="DT95" s="180">
        <f t="shared" si="390"/>
        <v>91</v>
      </c>
      <c r="DU95" s="180">
        <f t="shared" si="390"/>
        <v>91</v>
      </c>
      <c r="DV95" s="180">
        <f t="shared" si="390"/>
        <v>91</v>
      </c>
      <c r="DW95" s="180">
        <f t="shared" si="390"/>
        <v>91</v>
      </c>
      <c r="DX95" s="180">
        <f t="shared" si="390"/>
        <v>91</v>
      </c>
      <c r="DY95" s="180">
        <f t="shared" si="390"/>
        <v>91</v>
      </c>
      <c r="DZ95" s="180">
        <f t="shared" si="390"/>
        <v>91</v>
      </c>
      <c r="EA95" s="180">
        <f t="shared" si="390"/>
        <v>91</v>
      </c>
      <c r="EB95" s="180">
        <f t="shared" si="390"/>
        <v>91</v>
      </c>
      <c r="EC95" s="180">
        <f t="shared" si="390"/>
        <v>91</v>
      </c>
      <c r="ED95" s="180">
        <f t="shared" si="390"/>
        <v>91</v>
      </c>
      <c r="EE95" s="180">
        <f t="shared" si="390"/>
        <v>91</v>
      </c>
      <c r="EF95" s="180">
        <f t="shared" si="390"/>
        <v>91</v>
      </c>
      <c r="EG95" s="180">
        <f t="shared" ref="EG95:EO95" si="474">IF($AU100&gt;$BA$19,0,$BA100-$AS100)</f>
        <v>91</v>
      </c>
      <c r="EH95" s="180">
        <f t="shared" si="474"/>
        <v>91</v>
      </c>
      <c r="EI95" s="180">
        <f t="shared" si="474"/>
        <v>91</v>
      </c>
      <c r="EJ95" s="180">
        <f t="shared" si="474"/>
        <v>91</v>
      </c>
      <c r="EK95" s="180">
        <f t="shared" si="474"/>
        <v>91</v>
      </c>
      <c r="EL95" s="180">
        <f t="shared" si="474"/>
        <v>91</v>
      </c>
      <c r="EM95" s="180">
        <f t="shared" si="474"/>
        <v>91</v>
      </c>
      <c r="EN95" s="180">
        <f t="shared" si="474"/>
        <v>91</v>
      </c>
      <c r="EO95" s="180">
        <f t="shared" si="474"/>
        <v>91</v>
      </c>
      <c r="EQ95" s="259">
        <f t="shared" ca="1" si="398"/>
        <v>48497</v>
      </c>
      <c r="ER95" s="87">
        <f t="shared" ca="1" si="449"/>
        <v>91</v>
      </c>
      <c r="ES95" s="87">
        <f t="shared" ca="1" si="449"/>
        <v>91</v>
      </c>
      <c r="ET95" s="87">
        <f t="shared" ca="1" si="449"/>
        <v>91</v>
      </c>
      <c r="EU95" s="87">
        <f t="shared" ca="1" si="449"/>
        <v>91</v>
      </c>
      <c r="EV95" s="87">
        <f t="shared" ca="1" si="449"/>
        <v>91</v>
      </c>
      <c r="EW95" s="87">
        <f t="shared" ca="1" si="449"/>
        <v>91</v>
      </c>
      <c r="EX95" s="87">
        <f t="shared" ca="1" si="449"/>
        <v>91</v>
      </c>
      <c r="EY95" s="87">
        <f t="shared" ca="1" si="449"/>
        <v>91</v>
      </c>
      <c r="EZ95" s="87">
        <f t="shared" ca="1" si="449"/>
        <v>91</v>
      </c>
      <c r="FA95" s="87">
        <f t="shared" ca="1" si="449"/>
        <v>91</v>
      </c>
      <c r="FB95" s="87">
        <f t="shared" ca="1" si="449"/>
        <v>91</v>
      </c>
      <c r="FC95" s="87">
        <f t="shared" ca="1" si="449"/>
        <v>91</v>
      </c>
      <c r="FD95" s="87">
        <f t="shared" ca="1" si="449"/>
        <v>91</v>
      </c>
      <c r="FE95" s="87">
        <f t="shared" ca="1" si="449"/>
        <v>91</v>
      </c>
      <c r="FF95" s="87">
        <f t="shared" ca="1" si="449"/>
        <v>91</v>
      </c>
      <c r="FG95" s="87">
        <f t="shared" ca="1" si="392"/>
        <v>91</v>
      </c>
      <c r="FH95" s="87">
        <f t="shared" ca="1" si="392"/>
        <v>91</v>
      </c>
      <c r="FI95" s="87">
        <f t="shared" ca="1" si="392"/>
        <v>91</v>
      </c>
      <c r="FJ95" s="87">
        <f t="shared" ca="1" si="392"/>
        <v>91</v>
      </c>
      <c r="FK95" s="87">
        <f t="shared" ca="1" si="392"/>
        <v>91</v>
      </c>
      <c r="FL95" s="87">
        <f t="shared" ca="1" si="392"/>
        <v>91</v>
      </c>
      <c r="FM95" s="87">
        <f t="shared" ca="1" si="392"/>
        <v>91</v>
      </c>
      <c r="FN95" s="87">
        <f t="shared" ca="1" si="392"/>
        <v>91</v>
      </c>
      <c r="FO95" s="87">
        <f t="shared" ca="1" si="392"/>
        <v>91</v>
      </c>
      <c r="FP95" s="87">
        <f t="shared" ca="1" si="392"/>
        <v>91</v>
      </c>
    </row>
    <row r="96" spans="2:172" ht="12.75" hidden="1" customHeight="1" x14ac:dyDescent="0.25">
      <c r="B96" s="87">
        <v>38</v>
      </c>
      <c r="C96" s="181">
        <f t="shared" ca="1" si="450"/>
        <v>47309</v>
      </c>
      <c r="D96" s="380">
        <f t="shared" ca="1" si="418"/>
        <v>0.49616161072853615</v>
      </c>
      <c r="E96" s="380">
        <f t="shared" si="418"/>
        <v>0</v>
      </c>
      <c r="F96" s="380">
        <f t="shared" si="418"/>
        <v>0</v>
      </c>
      <c r="G96" s="380">
        <f t="shared" si="418"/>
        <v>0</v>
      </c>
      <c r="H96" s="380">
        <f t="shared" si="418"/>
        <v>0</v>
      </c>
      <c r="I96" s="380">
        <f t="shared" si="418"/>
        <v>0</v>
      </c>
      <c r="J96" s="380">
        <f t="shared" si="418"/>
        <v>0</v>
      </c>
      <c r="K96" s="380">
        <f t="shared" si="418"/>
        <v>0</v>
      </c>
      <c r="L96" s="380">
        <f t="shared" si="418"/>
        <v>0</v>
      </c>
      <c r="M96" s="380">
        <f t="shared" si="418"/>
        <v>0</v>
      </c>
      <c r="N96" s="380">
        <f t="shared" si="419"/>
        <v>0</v>
      </c>
      <c r="O96" s="380">
        <f t="shared" si="419"/>
        <v>0</v>
      </c>
      <c r="P96" s="380">
        <f t="shared" si="419"/>
        <v>0</v>
      </c>
      <c r="Q96" s="380">
        <f t="shared" si="419"/>
        <v>0</v>
      </c>
      <c r="R96" s="380">
        <f t="shared" si="419"/>
        <v>0</v>
      </c>
      <c r="S96" s="380">
        <f t="shared" si="419"/>
        <v>0</v>
      </c>
      <c r="T96" s="380">
        <f t="shared" si="419"/>
        <v>0</v>
      </c>
      <c r="U96" s="175"/>
      <c r="V96" s="176"/>
      <c r="W96" s="176"/>
      <c r="X96" s="87">
        <v>81</v>
      </c>
      <c r="Y96" s="377">
        <f t="shared" si="361"/>
        <v>0</v>
      </c>
      <c r="Z96" s="377">
        <f t="shared" si="362"/>
        <v>0</v>
      </c>
      <c r="AA96" s="377">
        <f t="shared" si="363"/>
        <v>0</v>
      </c>
      <c r="AB96" s="377">
        <f t="shared" si="364"/>
        <v>0</v>
      </c>
      <c r="AC96" s="377">
        <f t="shared" si="365"/>
        <v>0</v>
      </c>
      <c r="AD96" s="377">
        <f t="shared" si="366"/>
        <v>0</v>
      </c>
      <c r="AE96" s="377">
        <f t="shared" si="367"/>
        <v>0</v>
      </c>
      <c r="AF96" s="377">
        <f t="shared" si="368"/>
        <v>0</v>
      </c>
      <c r="AG96" s="377">
        <f t="shared" si="369"/>
        <v>0</v>
      </c>
      <c r="AH96" s="377">
        <f t="shared" si="370"/>
        <v>0</v>
      </c>
      <c r="AI96" s="377">
        <f t="shared" si="371"/>
        <v>0</v>
      </c>
      <c r="AJ96" s="377">
        <f t="shared" si="372"/>
        <v>0</v>
      </c>
      <c r="AK96" s="377">
        <f t="shared" si="373"/>
        <v>0</v>
      </c>
      <c r="AL96" s="377">
        <f t="shared" si="374"/>
        <v>0</v>
      </c>
      <c r="AM96" s="377">
        <f t="shared" si="375"/>
        <v>0</v>
      </c>
      <c r="AN96" s="377">
        <f t="shared" si="376"/>
        <v>0</v>
      </c>
      <c r="AO96" s="377">
        <f t="shared" si="377"/>
        <v>0</v>
      </c>
      <c r="AQ96" s="138">
        <v>73</v>
      </c>
      <c r="AR96" s="258">
        <f t="shared" ca="1" si="420"/>
        <v>48375</v>
      </c>
      <c r="AS96" s="378">
        <f t="shared" si="421"/>
        <v>0</v>
      </c>
      <c r="AT96" s="138"/>
      <c r="AU96" s="138">
        <v>73</v>
      </c>
      <c r="AV96" s="258">
        <f t="shared" ca="1" si="422"/>
        <v>48405</v>
      </c>
      <c r="AW96" s="378">
        <f t="shared" si="423"/>
        <v>91</v>
      </c>
      <c r="AX96" s="202">
        <f t="shared" ca="1" si="424"/>
        <v>23.11</v>
      </c>
      <c r="AY96" s="138">
        <v>73</v>
      </c>
      <c r="AZ96" s="258">
        <f t="shared" ca="1" si="425"/>
        <v>48405</v>
      </c>
      <c r="BA96" s="378">
        <f t="shared" si="426"/>
        <v>91</v>
      </c>
      <c r="BC96" s="258">
        <f t="shared" ca="1" si="411"/>
        <v>48375</v>
      </c>
      <c r="BD96" s="302">
        <f t="shared" ca="1" si="427"/>
        <v>91</v>
      </c>
      <c r="BE96" s="133">
        <f t="shared" si="412"/>
        <v>73</v>
      </c>
      <c r="BF96" s="379">
        <f t="shared" ca="1" si="413"/>
        <v>48375</v>
      </c>
      <c r="BG96" s="133">
        <f t="shared" si="428"/>
        <v>91</v>
      </c>
      <c r="BH96" s="133">
        <f t="shared" si="429"/>
        <v>0</v>
      </c>
      <c r="BI96" s="133">
        <f t="shared" si="430"/>
        <v>0</v>
      </c>
      <c r="BJ96" s="133">
        <f t="shared" si="431"/>
        <v>0</v>
      </c>
      <c r="BK96" s="133">
        <f t="shared" si="432"/>
        <v>0</v>
      </c>
      <c r="BL96" s="133">
        <f t="shared" si="433"/>
        <v>0</v>
      </c>
      <c r="BM96" s="133">
        <f t="shared" si="434"/>
        <v>0</v>
      </c>
      <c r="BN96" s="133">
        <f t="shared" si="435"/>
        <v>0</v>
      </c>
      <c r="BO96" s="133">
        <f t="shared" si="436"/>
        <v>0</v>
      </c>
      <c r="BP96" s="133">
        <f t="shared" si="437"/>
        <v>0</v>
      </c>
      <c r="BQ96" s="133">
        <f t="shared" si="438"/>
        <v>0</v>
      </c>
      <c r="BR96" s="133">
        <f t="shared" si="439"/>
        <v>0</v>
      </c>
      <c r="BS96" s="133">
        <f t="shared" si="440"/>
        <v>0</v>
      </c>
      <c r="BT96" s="133">
        <f t="shared" si="441"/>
        <v>0</v>
      </c>
      <c r="BU96" s="133">
        <f t="shared" si="442"/>
        <v>0</v>
      </c>
      <c r="BV96" s="133">
        <f t="shared" si="443"/>
        <v>0</v>
      </c>
      <c r="BW96" s="133">
        <f t="shared" si="444"/>
        <v>0</v>
      </c>
      <c r="BX96" s="267"/>
      <c r="BY96" s="267"/>
      <c r="BZ96" s="267"/>
      <c r="CA96" s="267"/>
      <c r="CB96" s="267"/>
      <c r="CC96" s="267"/>
      <c r="CD96" s="267"/>
      <c r="CE96" s="267"/>
      <c r="CF96" s="267"/>
      <c r="CG96" s="267"/>
      <c r="CS96" s="138">
        <v>78</v>
      </c>
      <c r="CT96" s="259">
        <f t="shared" ca="1" si="386"/>
        <v>48558</v>
      </c>
      <c r="CU96" s="179">
        <f t="shared" ref="CU96:DC96" ca="1" si="475">(($AW101/(1+CU$18)^(($AZ101-$AZ$23)/30)))+($AS101/(1+CU$18)^(($AZ101-$AZ$23)/30))</f>
        <v>21.048453706294669</v>
      </c>
      <c r="CV96" s="179">
        <f t="shared" ca="1" si="475"/>
        <v>21.890323984599203</v>
      </c>
      <c r="CW96" s="179">
        <f t="shared" ca="1" si="475"/>
        <v>22.41173098550771</v>
      </c>
      <c r="CX96" s="179">
        <f t="shared" ca="1" si="475"/>
        <v>22.945716658542288</v>
      </c>
      <c r="CY96" s="179">
        <f t="shared" ca="1" si="475"/>
        <v>23.492588301628196</v>
      </c>
      <c r="CZ96" s="179">
        <f t="shared" ca="1" si="475"/>
        <v>24.052660813966931</v>
      </c>
      <c r="DA96" s="179">
        <f t="shared" ca="1" si="475"/>
        <v>24.433535332107049</v>
      </c>
      <c r="DB96" s="179">
        <f t="shared" ca="1" si="475"/>
        <v>25.213707196524336</v>
      </c>
      <c r="DC96" s="179">
        <f t="shared" ca="1" si="475"/>
        <v>25.613204532798733</v>
      </c>
      <c r="DD96" s="179">
        <f t="shared" ref="DD96:DI96" ca="1" si="476">(($AW101/(1+DD$18)^(($AZ101-$AZ$23)/30)))+($AS101/(1+DD$18)^(($AZ101-$AZ$23)/30))</f>
        <v>26.019112209707121</v>
      </c>
      <c r="DE96" s="179">
        <f t="shared" ca="1" si="476"/>
        <v>26.431534380292916</v>
      </c>
      <c r="DF96" s="179" t="e">
        <f t="shared" ca="1" si="476"/>
        <v>#VALUE!</v>
      </c>
      <c r="DG96" s="179" t="e">
        <f t="shared" ca="1" si="476"/>
        <v>#VALUE!</v>
      </c>
      <c r="DH96" s="179" t="e">
        <f t="shared" ca="1" si="476"/>
        <v>#VALUE!</v>
      </c>
      <c r="DI96" s="179" t="e">
        <f t="shared" ca="1" si="476"/>
        <v>#VALUE!</v>
      </c>
      <c r="DJ96" s="179" t="e">
        <f t="shared" ref="DJ96:DQ96" ca="1" si="477">(($AW101/(1+DJ$18)^(($AZ101-$AZ$23)/30)))+($AS101/(1+DJ$18)^(($AZ101-$AZ$23)/30))</f>
        <v>#VALUE!</v>
      </c>
      <c r="DK96" s="179" t="e">
        <f t="shared" ca="1" si="477"/>
        <v>#VALUE!</v>
      </c>
      <c r="DL96" s="179" t="e">
        <f t="shared" ca="1" si="477"/>
        <v>#VALUE!</v>
      </c>
      <c r="DM96" s="179" t="e">
        <f t="shared" ca="1" si="477"/>
        <v>#VALUE!</v>
      </c>
      <c r="DN96" s="179" t="e">
        <f t="shared" ca="1" si="477"/>
        <v>#VALUE!</v>
      </c>
      <c r="DO96" s="179" t="e">
        <f t="shared" ca="1" si="477"/>
        <v>#VALUE!</v>
      </c>
      <c r="DP96" s="179" t="e">
        <f t="shared" ca="1" si="477"/>
        <v>#VALUE!</v>
      </c>
      <c r="DQ96" s="179" t="e">
        <f t="shared" ca="1" si="477"/>
        <v>#VALUE!</v>
      </c>
      <c r="DR96" s="180">
        <f t="shared" si="396"/>
        <v>91</v>
      </c>
      <c r="DS96" s="180">
        <f t="shared" si="390"/>
        <v>91</v>
      </c>
      <c r="DT96" s="180">
        <f t="shared" si="390"/>
        <v>91</v>
      </c>
      <c r="DU96" s="180">
        <f t="shared" si="390"/>
        <v>91</v>
      </c>
      <c r="DV96" s="180">
        <f t="shared" si="390"/>
        <v>91</v>
      </c>
      <c r="DW96" s="180">
        <f t="shared" si="390"/>
        <v>91</v>
      </c>
      <c r="DX96" s="180">
        <f t="shared" si="390"/>
        <v>91</v>
      </c>
      <c r="DY96" s="180">
        <f t="shared" si="390"/>
        <v>91</v>
      </c>
      <c r="DZ96" s="180">
        <f t="shared" si="390"/>
        <v>91</v>
      </c>
      <c r="EA96" s="180">
        <f t="shared" si="390"/>
        <v>91</v>
      </c>
      <c r="EB96" s="180">
        <f t="shared" si="390"/>
        <v>91</v>
      </c>
      <c r="EC96" s="180">
        <f t="shared" si="390"/>
        <v>91</v>
      </c>
      <c r="ED96" s="180">
        <f t="shared" si="390"/>
        <v>91</v>
      </c>
      <c r="EE96" s="180">
        <f t="shared" si="390"/>
        <v>91</v>
      </c>
      <c r="EF96" s="180">
        <f t="shared" si="390"/>
        <v>91</v>
      </c>
      <c r="EG96" s="180">
        <f t="shared" ref="EG96:EO96" si="478">IF($AU101&gt;$BA$19,0,$BA101-$AS101)</f>
        <v>91</v>
      </c>
      <c r="EH96" s="180">
        <f t="shared" si="478"/>
        <v>91</v>
      </c>
      <c r="EI96" s="180">
        <f t="shared" si="478"/>
        <v>91</v>
      </c>
      <c r="EJ96" s="180">
        <f t="shared" si="478"/>
        <v>91</v>
      </c>
      <c r="EK96" s="180">
        <f t="shared" si="478"/>
        <v>91</v>
      </c>
      <c r="EL96" s="180">
        <f t="shared" si="478"/>
        <v>91</v>
      </c>
      <c r="EM96" s="180">
        <f t="shared" si="478"/>
        <v>91</v>
      </c>
      <c r="EN96" s="180">
        <f t="shared" si="478"/>
        <v>91</v>
      </c>
      <c r="EO96" s="180">
        <f t="shared" si="478"/>
        <v>91</v>
      </c>
      <c r="EQ96" s="259">
        <f t="shared" ca="1" si="398"/>
        <v>48528</v>
      </c>
      <c r="ER96" s="87">
        <f t="shared" ca="1" si="449"/>
        <v>91</v>
      </c>
      <c r="ES96" s="87">
        <f t="shared" ca="1" si="449"/>
        <v>91</v>
      </c>
      <c r="ET96" s="87">
        <f t="shared" ca="1" si="449"/>
        <v>91</v>
      </c>
      <c r="EU96" s="87">
        <f t="shared" ca="1" si="449"/>
        <v>91</v>
      </c>
      <c r="EV96" s="87">
        <f t="shared" ca="1" si="449"/>
        <v>91</v>
      </c>
      <c r="EW96" s="87">
        <f t="shared" ca="1" si="449"/>
        <v>91</v>
      </c>
      <c r="EX96" s="87">
        <f t="shared" ca="1" si="449"/>
        <v>91</v>
      </c>
      <c r="EY96" s="87">
        <f t="shared" ca="1" si="449"/>
        <v>91</v>
      </c>
      <c r="EZ96" s="87">
        <f t="shared" ca="1" si="449"/>
        <v>91</v>
      </c>
      <c r="FA96" s="87">
        <f t="shared" ca="1" si="449"/>
        <v>91</v>
      </c>
      <c r="FB96" s="87">
        <f t="shared" ca="1" si="449"/>
        <v>91</v>
      </c>
      <c r="FC96" s="87">
        <f t="shared" ca="1" si="449"/>
        <v>91</v>
      </c>
      <c r="FD96" s="87">
        <f t="shared" ca="1" si="449"/>
        <v>91</v>
      </c>
      <c r="FE96" s="87">
        <f t="shared" ca="1" si="449"/>
        <v>91</v>
      </c>
      <c r="FF96" s="87">
        <f t="shared" ca="1" si="449"/>
        <v>91</v>
      </c>
      <c r="FG96" s="87">
        <f t="shared" ca="1" si="392"/>
        <v>91</v>
      </c>
      <c r="FH96" s="87">
        <f t="shared" ca="1" si="392"/>
        <v>91</v>
      </c>
      <c r="FI96" s="87">
        <f t="shared" ca="1" si="392"/>
        <v>91</v>
      </c>
      <c r="FJ96" s="87">
        <f t="shared" ca="1" si="392"/>
        <v>91</v>
      </c>
      <c r="FK96" s="87">
        <f t="shared" ca="1" si="392"/>
        <v>91</v>
      </c>
      <c r="FL96" s="87">
        <f t="shared" ca="1" si="392"/>
        <v>91</v>
      </c>
      <c r="FM96" s="87">
        <f t="shared" ca="1" si="392"/>
        <v>91</v>
      </c>
      <c r="FN96" s="87">
        <f t="shared" ca="1" si="392"/>
        <v>91</v>
      </c>
      <c r="FO96" s="87">
        <f t="shared" ca="1" si="392"/>
        <v>91</v>
      </c>
      <c r="FP96" s="87">
        <f t="shared" ca="1" si="392"/>
        <v>91</v>
      </c>
    </row>
    <row r="97" spans="2:172" ht="12.75" hidden="1" customHeight="1" x14ac:dyDescent="0.25">
      <c r="B97" s="87">
        <v>39</v>
      </c>
      <c r="C97" s="181">
        <f t="shared" ca="1" si="450"/>
        <v>47340</v>
      </c>
      <c r="D97" s="380">
        <f t="shared" ca="1" si="418"/>
        <v>0.48685177493040704</v>
      </c>
      <c r="E97" s="380">
        <f t="shared" si="418"/>
        <v>0</v>
      </c>
      <c r="F97" s="380">
        <f t="shared" si="418"/>
        <v>0</v>
      </c>
      <c r="G97" s="380">
        <f t="shared" si="418"/>
        <v>0</v>
      </c>
      <c r="H97" s="380">
        <f t="shared" si="418"/>
        <v>0</v>
      </c>
      <c r="I97" s="380">
        <f t="shared" si="418"/>
        <v>0</v>
      </c>
      <c r="J97" s="380">
        <f t="shared" si="418"/>
        <v>0</v>
      </c>
      <c r="K97" s="380">
        <f t="shared" si="418"/>
        <v>0</v>
      </c>
      <c r="L97" s="380">
        <f t="shared" si="418"/>
        <v>0</v>
      </c>
      <c r="M97" s="380">
        <f t="shared" si="418"/>
        <v>0</v>
      </c>
      <c r="N97" s="380">
        <f t="shared" si="419"/>
        <v>0</v>
      </c>
      <c r="O97" s="380">
        <f t="shared" si="419"/>
        <v>0</v>
      </c>
      <c r="P97" s="380">
        <f t="shared" si="419"/>
        <v>0</v>
      </c>
      <c r="Q97" s="380">
        <f t="shared" si="419"/>
        <v>0</v>
      </c>
      <c r="R97" s="380">
        <f t="shared" si="419"/>
        <v>0</v>
      </c>
      <c r="S97" s="380">
        <f t="shared" si="419"/>
        <v>0</v>
      </c>
      <c r="T97" s="380">
        <f t="shared" si="419"/>
        <v>0</v>
      </c>
      <c r="U97" s="175"/>
      <c r="V97" s="176"/>
      <c r="W97" s="176"/>
      <c r="X97" s="87">
        <v>82</v>
      </c>
      <c r="Y97" s="377">
        <f t="shared" si="361"/>
        <v>0</v>
      </c>
      <c r="Z97" s="377">
        <f t="shared" si="362"/>
        <v>0</v>
      </c>
      <c r="AA97" s="377">
        <f t="shared" si="363"/>
        <v>0</v>
      </c>
      <c r="AB97" s="377">
        <f t="shared" si="364"/>
        <v>0</v>
      </c>
      <c r="AC97" s="377">
        <f t="shared" si="365"/>
        <v>0</v>
      </c>
      <c r="AD97" s="377">
        <f t="shared" si="366"/>
        <v>0</v>
      </c>
      <c r="AE97" s="377">
        <f t="shared" si="367"/>
        <v>0</v>
      </c>
      <c r="AF97" s="377">
        <f t="shared" si="368"/>
        <v>0</v>
      </c>
      <c r="AG97" s="377">
        <f t="shared" si="369"/>
        <v>0</v>
      </c>
      <c r="AH97" s="377">
        <f t="shared" si="370"/>
        <v>0</v>
      </c>
      <c r="AI97" s="377">
        <f t="shared" si="371"/>
        <v>0</v>
      </c>
      <c r="AJ97" s="377">
        <f t="shared" si="372"/>
        <v>0</v>
      </c>
      <c r="AK97" s="377">
        <f t="shared" si="373"/>
        <v>0</v>
      </c>
      <c r="AL97" s="377">
        <f t="shared" si="374"/>
        <v>0</v>
      </c>
      <c r="AM97" s="377">
        <f t="shared" si="375"/>
        <v>0</v>
      </c>
      <c r="AN97" s="377">
        <f t="shared" si="376"/>
        <v>0</v>
      </c>
      <c r="AO97" s="377">
        <f t="shared" si="377"/>
        <v>0</v>
      </c>
      <c r="AQ97" s="138">
        <v>74</v>
      </c>
      <c r="AR97" s="258">
        <f t="shared" ca="1" si="420"/>
        <v>48405</v>
      </c>
      <c r="AS97" s="378">
        <f t="shared" si="421"/>
        <v>0</v>
      </c>
      <c r="AT97" s="138"/>
      <c r="AU97" s="138">
        <v>74</v>
      </c>
      <c r="AV97" s="258">
        <f t="shared" ca="1" si="422"/>
        <v>48436</v>
      </c>
      <c r="AW97" s="378">
        <f t="shared" si="423"/>
        <v>91</v>
      </c>
      <c r="AX97" s="202">
        <f t="shared" ca="1" si="424"/>
        <v>22.68</v>
      </c>
      <c r="AY97" s="138">
        <v>74</v>
      </c>
      <c r="AZ97" s="258">
        <f t="shared" ca="1" si="425"/>
        <v>48436</v>
      </c>
      <c r="BA97" s="378">
        <f t="shared" si="426"/>
        <v>91</v>
      </c>
      <c r="BC97" s="258">
        <f t="shared" ca="1" si="411"/>
        <v>48405</v>
      </c>
      <c r="BD97" s="302">
        <f t="shared" ca="1" si="427"/>
        <v>91</v>
      </c>
      <c r="BE97" s="133">
        <f t="shared" si="412"/>
        <v>74</v>
      </c>
      <c r="BF97" s="379">
        <f t="shared" ca="1" si="413"/>
        <v>48405</v>
      </c>
      <c r="BG97" s="133">
        <f t="shared" si="428"/>
        <v>91</v>
      </c>
      <c r="BH97" s="133">
        <f t="shared" si="429"/>
        <v>0</v>
      </c>
      <c r="BI97" s="133">
        <f t="shared" si="430"/>
        <v>0</v>
      </c>
      <c r="BJ97" s="133">
        <f t="shared" si="431"/>
        <v>0</v>
      </c>
      <c r="BK97" s="133">
        <f t="shared" si="432"/>
        <v>0</v>
      </c>
      <c r="BL97" s="133">
        <f t="shared" si="433"/>
        <v>0</v>
      </c>
      <c r="BM97" s="133">
        <f t="shared" si="434"/>
        <v>0</v>
      </c>
      <c r="BN97" s="133">
        <f t="shared" si="435"/>
        <v>0</v>
      </c>
      <c r="BO97" s="133">
        <f t="shared" si="436"/>
        <v>0</v>
      </c>
      <c r="BP97" s="133">
        <f t="shared" si="437"/>
        <v>0</v>
      </c>
      <c r="BQ97" s="133">
        <f t="shared" si="438"/>
        <v>0</v>
      </c>
      <c r="BR97" s="133">
        <f t="shared" si="439"/>
        <v>0</v>
      </c>
      <c r="BS97" s="133">
        <f t="shared" si="440"/>
        <v>0</v>
      </c>
      <c r="BT97" s="133">
        <f t="shared" si="441"/>
        <v>0</v>
      </c>
      <c r="BU97" s="133">
        <f t="shared" si="442"/>
        <v>0</v>
      </c>
      <c r="BV97" s="133">
        <f t="shared" si="443"/>
        <v>0</v>
      </c>
      <c r="BW97" s="133">
        <f t="shared" si="444"/>
        <v>0</v>
      </c>
      <c r="BX97" s="267"/>
      <c r="BY97" s="267"/>
      <c r="BZ97" s="267"/>
      <c r="CA97" s="267"/>
      <c r="CB97" s="267"/>
      <c r="CC97" s="267"/>
      <c r="CD97" s="267"/>
      <c r="CE97" s="267"/>
      <c r="CF97" s="267"/>
      <c r="CG97" s="267"/>
      <c r="CS97" s="87">
        <v>79</v>
      </c>
      <c r="CT97" s="259">
        <f t="shared" ca="1" si="386"/>
        <v>48589</v>
      </c>
      <c r="CU97" s="179">
        <f t="shared" ref="CU97:DC97" ca="1" si="479">(($AW102/(1+CU$18)^(($AZ102-$AZ$23)/30)))+($AS102/(1+CU$18)^(($AZ102-$AZ$23)/30))</f>
        <v>20.653506488346071</v>
      </c>
      <c r="CV97" s="179">
        <f t="shared" ca="1" si="479"/>
        <v>21.49048179573764</v>
      </c>
      <c r="CW97" s="179">
        <f t="shared" ca="1" si="479"/>
        <v>22.009067069233446</v>
      </c>
      <c r="CX97" s="179">
        <f t="shared" ca="1" si="479"/>
        <v>22.540324743267469</v>
      </c>
      <c r="CY97" s="179">
        <f t="shared" ca="1" si="479"/>
        <v>23.084568361175322</v>
      </c>
      <c r="CZ97" s="179">
        <f t="shared" ca="1" si="479"/>
        <v>23.64211931996898</v>
      </c>
      <c r="DA97" s="179">
        <f t="shared" ca="1" si="479"/>
        <v>24.021375280070515</v>
      </c>
      <c r="DB97" s="179">
        <f t="shared" ca="1" si="479"/>
        <v>24.798469316507653</v>
      </c>
      <c r="DC97" s="179">
        <f t="shared" ca="1" si="479"/>
        <v>25.196511685898578</v>
      </c>
      <c r="DD97" s="179">
        <f t="shared" ref="DD97:DI97" ca="1" si="480">(($AW102/(1+DD$18)^(($AZ102-$AZ$23)/30)))+($AS102/(1+DD$18)^(($AZ102-$AZ$23)/30))</f>
        <v>25.601023323728366</v>
      </c>
      <c r="DE97" s="179">
        <f t="shared" ca="1" si="480"/>
        <v>26.012110678056626</v>
      </c>
      <c r="DF97" s="179" t="e">
        <f t="shared" ca="1" si="480"/>
        <v>#VALUE!</v>
      </c>
      <c r="DG97" s="179" t="e">
        <f t="shared" ca="1" si="480"/>
        <v>#VALUE!</v>
      </c>
      <c r="DH97" s="179" t="e">
        <f t="shared" ca="1" si="480"/>
        <v>#VALUE!</v>
      </c>
      <c r="DI97" s="179" t="e">
        <f t="shared" ca="1" si="480"/>
        <v>#VALUE!</v>
      </c>
      <c r="DJ97" s="179" t="e">
        <f t="shared" ref="DJ97:DQ97" ca="1" si="481">(($AW102/(1+DJ$18)^(($AZ102-$AZ$23)/30)))+($AS102/(1+DJ$18)^(($AZ102-$AZ$23)/30))</f>
        <v>#VALUE!</v>
      </c>
      <c r="DK97" s="179" t="e">
        <f t="shared" ca="1" si="481"/>
        <v>#VALUE!</v>
      </c>
      <c r="DL97" s="179" t="e">
        <f t="shared" ca="1" si="481"/>
        <v>#VALUE!</v>
      </c>
      <c r="DM97" s="179" t="e">
        <f t="shared" ca="1" si="481"/>
        <v>#VALUE!</v>
      </c>
      <c r="DN97" s="179" t="e">
        <f t="shared" ca="1" si="481"/>
        <v>#VALUE!</v>
      </c>
      <c r="DO97" s="179" t="e">
        <f t="shared" ca="1" si="481"/>
        <v>#VALUE!</v>
      </c>
      <c r="DP97" s="179" t="e">
        <f t="shared" ca="1" si="481"/>
        <v>#VALUE!</v>
      </c>
      <c r="DQ97" s="179" t="e">
        <f t="shared" ca="1" si="481"/>
        <v>#VALUE!</v>
      </c>
      <c r="DR97" s="180">
        <f t="shared" si="396"/>
        <v>91</v>
      </c>
      <c r="DS97" s="180">
        <f t="shared" si="390"/>
        <v>91</v>
      </c>
      <c r="DT97" s="180">
        <f t="shared" si="390"/>
        <v>91</v>
      </c>
      <c r="DU97" s="180">
        <f t="shared" si="390"/>
        <v>91</v>
      </c>
      <c r="DV97" s="180">
        <f t="shared" si="390"/>
        <v>91</v>
      </c>
      <c r="DW97" s="180">
        <f t="shared" si="390"/>
        <v>91</v>
      </c>
      <c r="DX97" s="180">
        <f t="shared" si="390"/>
        <v>91</v>
      </c>
      <c r="DY97" s="180">
        <f t="shared" si="390"/>
        <v>91</v>
      </c>
      <c r="DZ97" s="180">
        <f t="shared" si="390"/>
        <v>91</v>
      </c>
      <c r="EA97" s="180">
        <f t="shared" si="390"/>
        <v>91</v>
      </c>
      <c r="EB97" s="180">
        <f t="shared" si="390"/>
        <v>91</v>
      </c>
      <c r="EC97" s="180">
        <f t="shared" si="390"/>
        <v>91</v>
      </c>
      <c r="ED97" s="180">
        <f t="shared" si="390"/>
        <v>91</v>
      </c>
      <c r="EE97" s="180">
        <f t="shared" si="390"/>
        <v>91</v>
      </c>
      <c r="EF97" s="180">
        <f t="shared" si="390"/>
        <v>91</v>
      </c>
      <c r="EG97" s="180">
        <f t="shared" ref="EG97:EO97" si="482">IF($AU102&gt;$BA$19,0,$BA102-$AS102)</f>
        <v>91</v>
      </c>
      <c r="EH97" s="180">
        <f t="shared" si="482"/>
        <v>91</v>
      </c>
      <c r="EI97" s="180">
        <f t="shared" si="482"/>
        <v>91</v>
      </c>
      <c r="EJ97" s="180">
        <f t="shared" si="482"/>
        <v>91</v>
      </c>
      <c r="EK97" s="180">
        <f t="shared" si="482"/>
        <v>91</v>
      </c>
      <c r="EL97" s="180">
        <f t="shared" si="482"/>
        <v>91</v>
      </c>
      <c r="EM97" s="180">
        <f t="shared" si="482"/>
        <v>91</v>
      </c>
      <c r="EN97" s="180">
        <f t="shared" si="482"/>
        <v>91</v>
      </c>
      <c r="EO97" s="180">
        <f t="shared" si="482"/>
        <v>91</v>
      </c>
      <c r="EQ97" s="259">
        <f t="shared" ca="1" si="398"/>
        <v>48558</v>
      </c>
      <c r="ER97" s="87">
        <f t="shared" ca="1" si="449"/>
        <v>91</v>
      </c>
      <c r="ES97" s="87">
        <f t="shared" ca="1" si="449"/>
        <v>91</v>
      </c>
      <c r="ET97" s="87">
        <f t="shared" ca="1" si="449"/>
        <v>91</v>
      </c>
      <c r="EU97" s="87">
        <f t="shared" ca="1" si="449"/>
        <v>91</v>
      </c>
      <c r="EV97" s="87">
        <f t="shared" ca="1" si="449"/>
        <v>91</v>
      </c>
      <c r="EW97" s="87">
        <f t="shared" ca="1" si="449"/>
        <v>91</v>
      </c>
      <c r="EX97" s="87">
        <f t="shared" ca="1" si="449"/>
        <v>91</v>
      </c>
      <c r="EY97" s="87">
        <f t="shared" ca="1" si="449"/>
        <v>91</v>
      </c>
      <c r="EZ97" s="87">
        <f t="shared" ca="1" si="449"/>
        <v>91</v>
      </c>
      <c r="FA97" s="87">
        <f t="shared" ca="1" si="449"/>
        <v>91</v>
      </c>
      <c r="FB97" s="87">
        <f t="shared" ca="1" si="449"/>
        <v>91</v>
      </c>
      <c r="FC97" s="87">
        <f t="shared" ca="1" si="449"/>
        <v>91</v>
      </c>
      <c r="FD97" s="87">
        <f t="shared" ca="1" si="449"/>
        <v>91</v>
      </c>
      <c r="FE97" s="87">
        <f t="shared" ca="1" si="449"/>
        <v>91</v>
      </c>
      <c r="FF97" s="87">
        <f t="shared" ca="1" si="449"/>
        <v>91</v>
      </c>
      <c r="FG97" s="87">
        <f t="shared" ca="1" si="392"/>
        <v>91</v>
      </c>
      <c r="FH97" s="87">
        <f t="shared" ca="1" si="392"/>
        <v>91</v>
      </c>
      <c r="FI97" s="87">
        <f t="shared" ca="1" si="392"/>
        <v>91</v>
      </c>
      <c r="FJ97" s="87">
        <f t="shared" ca="1" si="392"/>
        <v>91</v>
      </c>
      <c r="FK97" s="87">
        <f t="shared" ca="1" si="392"/>
        <v>91</v>
      </c>
      <c r="FL97" s="87">
        <f t="shared" ca="1" si="392"/>
        <v>91</v>
      </c>
      <c r="FM97" s="87">
        <f t="shared" ca="1" si="392"/>
        <v>91</v>
      </c>
      <c r="FN97" s="87">
        <f t="shared" ca="1" si="392"/>
        <v>91</v>
      </c>
      <c r="FO97" s="87">
        <f t="shared" ca="1" si="392"/>
        <v>91</v>
      </c>
      <c r="FP97" s="87">
        <f t="shared" ca="1" si="392"/>
        <v>91</v>
      </c>
    </row>
    <row r="98" spans="2:172" ht="12.75" hidden="1" customHeight="1" x14ac:dyDescent="0.25">
      <c r="B98" s="87">
        <v>40</v>
      </c>
      <c r="C98" s="181">
        <f t="shared" ca="1" si="450"/>
        <v>47371</v>
      </c>
      <c r="D98" s="380">
        <f t="shared" ca="1" si="418"/>
        <v>0.47771662625178496</v>
      </c>
      <c r="E98" s="380">
        <f t="shared" si="418"/>
        <v>0</v>
      </c>
      <c r="F98" s="380">
        <f t="shared" si="418"/>
        <v>0</v>
      </c>
      <c r="G98" s="380">
        <f t="shared" si="418"/>
        <v>0</v>
      </c>
      <c r="H98" s="380">
        <f t="shared" si="418"/>
        <v>0</v>
      </c>
      <c r="I98" s="380">
        <f t="shared" si="418"/>
        <v>0</v>
      </c>
      <c r="J98" s="380">
        <f t="shared" si="418"/>
        <v>0</v>
      </c>
      <c r="K98" s="380">
        <f t="shared" si="418"/>
        <v>0</v>
      </c>
      <c r="L98" s="380">
        <f t="shared" si="418"/>
        <v>0</v>
      </c>
      <c r="M98" s="380">
        <f t="shared" si="418"/>
        <v>0</v>
      </c>
      <c r="N98" s="380">
        <f t="shared" si="419"/>
        <v>0</v>
      </c>
      <c r="O98" s="380">
        <f t="shared" si="419"/>
        <v>0</v>
      </c>
      <c r="P98" s="380">
        <f t="shared" si="419"/>
        <v>0</v>
      </c>
      <c r="Q98" s="380">
        <f t="shared" si="419"/>
        <v>0</v>
      </c>
      <c r="R98" s="380">
        <f t="shared" si="419"/>
        <v>0</v>
      </c>
      <c r="S98" s="380">
        <f t="shared" si="419"/>
        <v>0</v>
      </c>
      <c r="T98" s="380">
        <f t="shared" si="419"/>
        <v>0</v>
      </c>
      <c r="U98" s="175"/>
      <c r="V98" s="176"/>
      <c r="W98" s="176"/>
      <c r="X98" s="87">
        <v>83</v>
      </c>
      <c r="Y98" s="377">
        <f t="shared" si="361"/>
        <v>0</v>
      </c>
      <c r="Z98" s="377">
        <f t="shared" si="362"/>
        <v>0</v>
      </c>
      <c r="AA98" s="377">
        <f t="shared" si="363"/>
        <v>0</v>
      </c>
      <c r="AB98" s="377">
        <f t="shared" si="364"/>
        <v>0</v>
      </c>
      <c r="AC98" s="377">
        <f t="shared" si="365"/>
        <v>0</v>
      </c>
      <c r="AD98" s="377">
        <f t="shared" si="366"/>
        <v>0</v>
      </c>
      <c r="AE98" s="377">
        <f t="shared" si="367"/>
        <v>0</v>
      </c>
      <c r="AF98" s="377">
        <f t="shared" si="368"/>
        <v>0</v>
      </c>
      <c r="AG98" s="377">
        <f t="shared" si="369"/>
        <v>0</v>
      </c>
      <c r="AH98" s="377">
        <f t="shared" si="370"/>
        <v>0</v>
      </c>
      <c r="AI98" s="377">
        <f t="shared" si="371"/>
        <v>0</v>
      </c>
      <c r="AJ98" s="377">
        <f t="shared" si="372"/>
        <v>0</v>
      </c>
      <c r="AK98" s="377">
        <f t="shared" si="373"/>
        <v>0</v>
      </c>
      <c r="AL98" s="377">
        <f t="shared" si="374"/>
        <v>0</v>
      </c>
      <c r="AM98" s="377">
        <f t="shared" si="375"/>
        <v>0</v>
      </c>
      <c r="AN98" s="377">
        <f t="shared" si="376"/>
        <v>0</v>
      </c>
      <c r="AO98" s="377">
        <f t="shared" si="377"/>
        <v>0</v>
      </c>
      <c r="AQ98" s="138">
        <v>75</v>
      </c>
      <c r="AR98" s="258">
        <f t="shared" ca="1" si="420"/>
        <v>48436</v>
      </c>
      <c r="AS98" s="378">
        <f t="shared" si="421"/>
        <v>0</v>
      </c>
      <c r="AT98" s="138"/>
      <c r="AU98" s="138">
        <v>75</v>
      </c>
      <c r="AV98" s="258">
        <f t="shared" ca="1" si="422"/>
        <v>48467</v>
      </c>
      <c r="AW98" s="378">
        <f t="shared" si="423"/>
        <v>91</v>
      </c>
      <c r="AX98" s="202">
        <f t="shared" ca="1" si="424"/>
        <v>22.25</v>
      </c>
      <c r="AY98" s="138">
        <v>75</v>
      </c>
      <c r="AZ98" s="258">
        <f t="shared" ca="1" si="425"/>
        <v>48467</v>
      </c>
      <c r="BA98" s="378">
        <f t="shared" si="426"/>
        <v>91</v>
      </c>
      <c r="BC98" s="258">
        <f t="shared" ca="1" si="411"/>
        <v>48436</v>
      </c>
      <c r="BD98" s="302">
        <f t="shared" ca="1" si="427"/>
        <v>91</v>
      </c>
      <c r="BE98" s="133">
        <f t="shared" si="412"/>
        <v>75</v>
      </c>
      <c r="BF98" s="379">
        <f t="shared" ca="1" si="413"/>
        <v>48436</v>
      </c>
      <c r="BG98" s="133">
        <f t="shared" si="428"/>
        <v>91</v>
      </c>
      <c r="BH98" s="133">
        <f t="shared" si="429"/>
        <v>0</v>
      </c>
      <c r="BI98" s="133">
        <f t="shared" si="430"/>
        <v>0</v>
      </c>
      <c r="BJ98" s="133">
        <f t="shared" si="431"/>
        <v>0</v>
      </c>
      <c r="BK98" s="133">
        <f t="shared" si="432"/>
        <v>0</v>
      </c>
      <c r="BL98" s="133">
        <f t="shared" si="433"/>
        <v>0</v>
      </c>
      <c r="BM98" s="133">
        <f t="shared" si="434"/>
        <v>0</v>
      </c>
      <c r="BN98" s="133">
        <f t="shared" si="435"/>
        <v>0</v>
      </c>
      <c r="BO98" s="133">
        <f t="shared" si="436"/>
        <v>0</v>
      </c>
      <c r="BP98" s="133">
        <f t="shared" si="437"/>
        <v>0</v>
      </c>
      <c r="BQ98" s="133">
        <f t="shared" si="438"/>
        <v>0</v>
      </c>
      <c r="BR98" s="133">
        <f t="shared" si="439"/>
        <v>0</v>
      </c>
      <c r="BS98" s="133">
        <f t="shared" si="440"/>
        <v>0</v>
      </c>
      <c r="BT98" s="133">
        <f t="shared" si="441"/>
        <v>0</v>
      </c>
      <c r="BU98" s="133">
        <f t="shared" si="442"/>
        <v>0</v>
      </c>
      <c r="BV98" s="133">
        <f t="shared" si="443"/>
        <v>0</v>
      </c>
      <c r="BW98" s="133">
        <f t="shared" si="444"/>
        <v>0</v>
      </c>
      <c r="BX98" s="267"/>
      <c r="BY98" s="267"/>
      <c r="BZ98" s="267"/>
      <c r="CA98" s="267"/>
      <c r="CB98" s="267"/>
      <c r="CC98" s="267"/>
      <c r="CD98" s="267"/>
      <c r="CE98" s="267"/>
      <c r="CF98" s="267"/>
      <c r="CG98" s="267"/>
      <c r="CS98" s="178">
        <v>80</v>
      </c>
      <c r="CT98" s="259">
        <f t="shared" ca="1" si="386"/>
        <v>48620</v>
      </c>
      <c r="CU98" s="179">
        <f t="shared" ref="CU98:DC98" ca="1" si="483">(($AW103/(1+CU$18)^(($AZ103-$AZ$23)/30)))+($AS103/(1+CU$18)^(($AZ103-$AZ$23)/30))</f>
        <v>20.265969948024541</v>
      </c>
      <c r="CV98" s="179">
        <f t="shared" ca="1" si="483"/>
        <v>21.097943006136241</v>
      </c>
      <c r="CW98" s="179">
        <f t="shared" ca="1" si="483"/>
        <v>21.613637678019931</v>
      </c>
      <c r="CX98" s="179">
        <f t="shared" ca="1" si="483"/>
        <v>22.142095062557644</v>
      </c>
      <c r="CY98" s="179">
        <f t="shared" ca="1" si="483"/>
        <v>22.683634922629768</v>
      </c>
      <c r="CZ98" s="179">
        <f t="shared" ca="1" si="483"/>
        <v>23.238585130468344</v>
      </c>
      <c r="DA98" s="179">
        <f t="shared" ca="1" si="483"/>
        <v>23.616167799824591</v>
      </c>
      <c r="DB98" s="179">
        <f t="shared" ca="1" si="483"/>
        <v>24.390069879392566</v>
      </c>
      <c r="DC98" s="179">
        <f t="shared" ca="1" si="483"/>
        <v>24.7865978786315</v>
      </c>
      <c r="DD98" s="179">
        <f t="shared" ref="DD98:DI98" ca="1" si="484">(($AW103/(1+DD$18)^(($AZ103-$AZ$23)/30)))+($AS103/(1+DD$18)^(($AZ103-$AZ$23)/30))</f>
        <v>25.189652511570518</v>
      </c>
      <c r="DE98" s="179">
        <f t="shared" ca="1" si="484"/>
        <v>25.599342519893817</v>
      </c>
      <c r="DF98" s="179" t="e">
        <f t="shared" ca="1" si="484"/>
        <v>#VALUE!</v>
      </c>
      <c r="DG98" s="179" t="e">
        <f t="shared" ca="1" si="484"/>
        <v>#VALUE!</v>
      </c>
      <c r="DH98" s="179" t="e">
        <f t="shared" ca="1" si="484"/>
        <v>#VALUE!</v>
      </c>
      <c r="DI98" s="179" t="e">
        <f t="shared" ca="1" si="484"/>
        <v>#VALUE!</v>
      </c>
      <c r="DJ98" s="179" t="e">
        <f t="shared" ref="DJ98:DQ98" ca="1" si="485">(($AW103/(1+DJ$18)^(($AZ103-$AZ$23)/30)))+($AS103/(1+DJ$18)^(($AZ103-$AZ$23)/30))</f>
        <v>#VALUE!</v>
      </c>
      <c r="DK98" s="179" t="e">
        <f t="shared" ca="1" si="485"/>
        <v>#VALUE!</v>
      </c>
      <c r="DL98" s="179" t="e">
        <f t="shared" ca="1" si="485"/>
        <v>#VALUE!</v>
      </c>
      <c r="DM98" s="179" t="e">
        <f t="shared" ca="1" si="485"/>
        <v>#VALUE!</v>
      </c>
      <c r="DN98" s="179" t="e">
        <f t="shared" ca="1" si="485"/>
        <v>#VALUE!</v>
      </c>
      <c r="DO98" s="179" t="e">
        <f t="shared" ca="1" si="485"/>
        <v>#VALUE!</v>
      </c>
      <c r="DP98" s="179" t="e">
        <f t="shared" ca="1" si="485"/>
        <v>#VALUE!</v>
      </c>
      <c r="DQ98" s="179" t="e">
        <f t="shared" ca="1" si="485"/>
        <v>#VALUE!</v>
      </c>
      <c r="DR98" s="180">
        <f t="shared" si="396"/>
        <v>91</v>
      </c>
      <c r="DS98" s="180">
        <f t="shared" si="390"/>
        <v>91</v>
      </c>
      <c r="DT98" s="180">
        <f t="shared" si="390"/>
        <v>91</v>
      </c>
      <c r="DU98" s="180">
        <f t="shared" si="390"/>
        <v>91</v>
      </c>
      <c r="DV98" s="180">
        <f t="shared" si="390"/>
        <v>91</v>
      </c>
      <c r="DW98" s="180">
        <f t="shared" si="390"/>
        <v>91</v>
      </c>
      <c r="DX98" s="180">
        <f t="shared" si="390"/>
        <v>91</v>
      </c>
      <c r="DY98" s="180">
        <f t="shared" si="390"/>
        <v>91</v>
      </c>
      <c r="DZ98" s="180">
        <f t="shared" si="390"/>
        <v>91</v>
      </c>
      <c r="EA98" s="180">
        <f t="shared" si="390"/>
        <v>91</v>
      </c>
      <c r="EB98" s="180">
        <f t="shared" si="390"/>
        <v>91</v>
      </c>
      <c r="EC98" s="180">
        <f t="shared" si="390"/>
        <v>91</v>
      </c>
      <c r="ED98" s="180">
        <f t="shared" si="390"/>
        <v>91</v>
      </c>
      <c r="EE98" s="180">
        <f t="shared" si="390"/>
        <v>91</v>
      </c>
      <c r="EF98" s="180">
        <f t="shared" si="390"/>
        <v>91</v>
      </c>
      <c r="EG98" s="180">
        <f t="shared" ref="EG98:EO98" si="486">IF($AU103&gt;$BA$19,0,$BA103-$AS103)</f>
        <v>91</v>
      </c>
      <c r="EH98" s="180">
        <f t="shared" si="486"/>
        <v>91</v>
      </c>
      <c r="EI98" s="180">
        <f t="shared" si="486"/>
        <v>91</v>
      </c>
      <c r="EJ98" s="180">
        <f t="shared" si="486"/>
        <v>91</v>
      </c>
      <c r="EK98" s="180">
        <f t="shared" si="486"/>
        <v>91</v>
      </c>
      <c r="EL98" s="180">
        <f t="shared" si="486"/>
        <v>91</v>
      </c>
      <c r="EM98" s="180">
        <f t="shared" si="486"/>
        <v>91</v>
      </c>
      <c r="EN98" s="180">
        <f t="shared" si="486"/>
        <v>91</v>
      </c>
      <c r="EO98" s="180">
        <f t="shared" si="486"/>
        <v>91</v>
      </c>
      <c r="EQ98" s="259">
        <f t="shared" ca="1" si="398"/>
        <v>48589</v>
      </c>
      <c r="ER98" s="87">
        <f t="shared" ca="1" si="449"/>
        <v>91</v>
      </c>
      <c r="ES98" s="87">
        <f t="shared" ca="1" si="449"/>
        <v>91</v>
      </c>
      <c r="ET98" s="87">
        <f t="shared" ca="1" si="449"/>
        <v>91</v>
      </c>
      <c r="EU98" s="87">
        <f t="shared" ca="1" si="449"/>
        <v>91</v>
      </c>
      <c r="EV98" s="87">
        <f t="shared" ca="1" si="449"/>
        <v>91</v>
      </c>
      <c r="EW98" s="87">
        <f t="shared" ca="1" si="449"/>
        <v>91</v>
      </c>
      <c r="EX98" s="87">
        <f t="shared" ca="1" si="449"/>
        <v>91</v>
      </c>
      <c r="EY98" s="87">
        <f t="shared" ca="1" si="449"/>
        <v>91</v>
      </c>
      <c r="EZ98" s="87">
        <f t="shared" ca="1" si="449"/>
        <v>91</v>
      </c>
      <c r="FA98" s="87">
        <f t="shared" ca="1" si="449"/>
        <v>91</v>
      </c>
      <c r="FB98" s="87">
        <f t="shared" ca="1" si="449"/>
        <v>91</v>
      </c>
      <c r="FC98" s="87">
        <f t="shared" ca="1" si="449"/>
        <v>91</v>
      </c>
      <c r="FD98" s="87">
        <f t="shared" ca="1" si="449"/>
        <v>91</v>
      </c>
      <c r="FE98" s="87">
        <f t="shared" ca="1" si="449"/>
        <v>91</v>
      </c>
      <c r="FF98" s="87">
        <f t="shared" ca="1" si="449"/>
        <v>91</v>
      </c>
      <c r="FG98" s="87">
        <f t="shared" ca="1" si="392"/>
        <v>91</v>
      </c>
      <c r="FH98" s="87">
        <f t="shared" ca="1" si="392"/>
        <v>91</v>
      </c>
      <c r="FI98" s="87">
        <f t="shared" ca="1" si="392"/>
        <v>91</v>
      </c>
      <c r="FJ98" s="87">
        <f t="shared" ca="1" si="392"/>
        <v>91</v>
      </c>
      <c r="FK98" s="87">
        <f t="shared" ca="1" si="392"/>
        <v>91</v>
      </c>
      <c r="FL98" s="87">
        <f t="shared" ca="1" si="392"/>
        <v>91</v>
      </c>
      <c r="FM98" s="87">
        <f t="shared" ca="1" si="392"/>
        <v>91</v>
      </c>
      <c r="FN98" s="87">
        <f t="shared" ca="1" si="392"/>
        <v>91</v>
      </c>
      <c r="FO98" s="87">
        <f t="shared" ca="1" si="392"/>
        <v>91</v>
      </c>
      <c r="FP98" s="87">
        <f t="shared" ca="1" si="392"/>
        <v>91</v>
      </c>
    </row>
    <row r="99" spans="2:172" ht="12.75" hidden="1" customHeight="1" x14ac:dyDescent="0.25">
      <c r="B99" s="87">
        <v>41</v>
      </c>
      <c r="C99" s="181">
        <f t="shared" ca="1" si="450"/>
        <v>47401</v>
      </c>
      <c r="D99" s="380">
        <f t="shared" ref="D99:M108" ca="1" si="487">IF($B99&lt;=D$20,1/(($C$57+1)^(($C99-$C$58)/30)),0)</f>
        <v>0.46903939739988698</v>
      </c>
      <c r="E99" s="380">
        <f t="shared" si="487"/>
        <v>0</v>
      </c>
      <c r="F99" s="380">
        <f t="shared" si="487"/>
        <v>0</v>
      </c>
      <c r="G99" s="380">
        <f t="shared" si="487"/>
        <v>0</v>
      </c>
      <c r="H99" s="380">
        <f t="shared" si="487"/>
        <v>0</v>
      </c>
      <c r="I99" s="380">
        <f t="shared" si="487"/>
        <v>0</v>
      </c>
      <c r="J99" s="380">
        <f t="shared" si="487"/>
        <v>0</v>
      </c>
      <c r="K99" s="380">
        <f t="shared" si="487"/>
        <v>0</v>
      </c>
      <c r="L99" s="380">
        <f t="shared" si="487"/>
        <v>0</v>
      </c>
      <c r="M99" s="380">
        <f t="shared" si="487"/>
        <v>0</v>
      </c>
      <c r="N99" s="380">
        <f t="shared" ref="N99:T108" si="488">IF($B99&lt;=N$20,1/(($C$57+1)^(($C99-$C$58)/30)),0)</f>
        <v>0</v>
      </c>
      <c r="O99" s="380">
        <f t="shared" si="488"/>
        <v>0</v>
      </c>
      <c r="P99" s="380">
        <f t="shared" si="488"/>
        <v>0</v>
      </c>
      <c r="Q99" s="380">
        <f t="shared" si="488"/>
        <v>0</v>
      </c>
      <c r="R99" s="380">
        <f t="shared" si="488"/>
        <v>0</v>
      </c>
      <c r="S99" s="380">
        <f t="shared" si="488"/>
        <v>0</v>
      </c>
      <c r="T99" s="380">
        <f t="shared" si="488"/>
        <v>0</v>
      </c>
      <c r="U99" s="175"/>
      <c r="V99" s="176"/>
      <c r="W99" s="176"/>
      <c r="X99" s="87">
        <v>84</v>
      </c>
      <c r="Y99" s="377">
        <f t="shared" si="361"/>
        <v>0</v>
      </c>
      <c r="Z99" s="377">
        <f t="shared" si="362"/>
        <v>0</v>
      </c>
      <c r="AA99" s="377">
        <f t="shared" si="363"/>
        <v>0</v>
      </c>
      <c r="AB99" s="377">
        <f t="shared" si="364"/>
        <v>0</v>
      </c>
      <c r="AC99" s="377">
        <f t="shared" si="365"/>
        <v>0</v>
      </c>
      <c r="AD99" s="377">
        <f t="shared" si="366"/>
        <v>0</v>
      </c>
      <c r="AE99" s="377">
        <f t="shared" si="367"/>
        <v>0</v>
      </c>
      <c r="AF99" s="377">
        <f t="shared" si="368"/>
        <v>0</v>
      </c>
      <c r="AG99" s="377">
        <f t="shared" si="369"/>
        <v>0</v>
      </c>
      <c r="AH99" s="377">
        <f t="shared" si="370"/>
        <v>0</v>
      </c>
      <c r="AI99" s="377">
        <f t="shared" si="371"/>
        <v>0</v>
      </c>
      <c r="AJ99" s="377">
        <f t="shared" si="372"/>
        <v>0</v>
      </c>
      <c r="AK99" s="377">
        <f t="shared" si="373"/>
        <v>0</v>
      </c>
      <c r="AL99" s="377">
        <f t="shared" si="374"/>
        <v>0</v>
      </c>
      <c r="AM99" s="377">
        <f t="shared" si="375"/>
        <v>0</v>
      </c>
      <c r="AN99" s="377">
        <f t="shared" si="376"/>
        <v>0</v>
      </c>
      <c r="AO99" s="377">
        <f t="shared" si="377"/>
        <v>0</v>
      </c>
      <c r="AQ99" s="138">
        <v>76</v>
      </c>
      <c r="AR99" s="258">
        <f t="shared" ca="1" si="420"/>
        <v>48467</v>
      </c>
      <c r="AS99" s="378">
        <f t="shared" si="421"/>
        <v>0</v>
      </c>
      <c r="AT99" s="138"/>
      <c r="AU99" s="138">
        <v>76</v>
      </c>
      <c r="AV99" s="258">
        <f t="shared" ca="1" si="422"/>
        <v>48497</v>
      </c>
      <c r="AW99" s="378">
        <f t="shared" si="423"/>
        <v>91</v>
      </c>
      <c r="AX99" s="202">
        <f t="shared" ca="1" si="424"/>
        <v>21.85</v>
      </c>
      <c r="AY99" s="138">
        <v>76</v>
      </c>
      <c r="AZ99" s="258">
        <f t="shared" ca="1" si="425"/>
        <v>48497</v>
      </c>
      <c r="BA99" s="378">
        <f t="shared" si="426"/>
        <v>91</v>
      </c>
      <c r="BC99" s="258">
        <f t="shared" ca="1" si="411"/>
        <v>48467</v>
      </c>
      <c r="BD99" s="302">
        <f t="shared" ca="1" si="427"/>
        <v>91</v>
      </c>
      <c r="BE99" s="133">
        <f t="shared" si="412"/>
        <v>76</v>
      </c>
      <c r="BF99" s="379">
        <f t="shared" ca="1" si="413"/>
        <v>48467</v>
      </c>
      <c r="BG99" s="133">
        <f t="shared" si="428"/>
        <v>91</v>
      </c>
      <c r="BH99" s="133">
        <f t="shared" si="429"/>
        <v>0</v>
      </c>
      <c r="BI99" s="133">
        <f t="shared" si="430"/>
        <v>0</v>
      </c>
      <c r="BJ99" s="133">
        <f t="shared" si="431"/>
        <v>0</v>
      </c>
      <c r="BK99" s="133">
        <f t="shared" si="432"/>
        <v>0</v>
      </c>
      <c r="BL99" s="133">
        <f t="shared" si="433"/>
        <v>0</v>
      </c>
      <c r="BM99" s="133">
        <f t="shared" si="434"/>
        <v>0</v>
      </c>
      <c r="BN99" s="133">
        <f t="shared" si="435"/>
        <v>0</v>
      </c>
      <c r="BO99" s="133">
        <f t="shared" si="436"/>
        <v>0</v>
      </c>
      <c r="BP99" s="133">
        <f t="shared" si="437"/>
        <v>0</v>
      </c>
      <c r="BQ99" s="133">
        <f t="shared" si="438"/>
        <v>0</v>
      </c>
      <c r="BR99" s="133">
        <f t="shared" si="439"/>
        <v>0</v>
      </c>
      <c r="BS99" s="133">
        <f t="shared" si="440"/>
        <v>0</v>
      </c>
      <c r="BT99" s="133">
        <f t="shared" si="441"/>
        <v>0</v>
      </c>
      <c r="BU99" s="133">
        <f t="shared" si="442"/>
        <v>0</v>
      </c>
      <c r="BV99" s="133">
        <f t="shared" si="443"/>
        <v>0</v>
      </c>
      <c r="BW99" s="133">
        <f t="shared" si="444"/>
        <v>0</v>
      </c>
      <c r="BX99" s="267"/>
      <c r="BY99" s="267"/>
      <c r="BZ99" s="267"/>
      <c r="CA99" s="267"/>
      <c r="CB99" s="267"/>
      <c r="CC99" s="267"/>
      <c r="CD99" s="267"/>
      <c r="CE99" s="267"/>
      <c r="CF99" s="267"/>
      <c r="CG99" s="267"/>
      <c r="CS99" s="138">
        <v>81</v>
      </c>
      <c r="CT99" s="259">
        <f t="shared" ca="1" si="386"/>
        <v>48648</v>
      </c>
      <c r="CU99" s="179">
        <f t="shared" ref="CU99:DC99" ca="1" si="489">(($AW104/(1+CU$18)^(($AZ104-$AZ$23)/30)))+($AS104/(1+CU$18)^(($AZ104-$AZ$23)/30))</f>
        <v>19.922190864029652</v>
      </c>
      <c r="CV99" s="179">
        <f t="shared" ca="1" si="489"/>
        <v>20.749558256688758</v>
      </c>
      <c r="CW99" s="179">
        <f t="shared" ca="1" si="489"/>
        <v>21.262585711786929</v>
      </c>
      <c r="CX99" s="179">
        <f t="shared" ca="1" si="489"/>
        <v>21.788454532368579</v>
      </c>
      <c r="CY99" s="179">
        <f t="shared" ca="1" si="489"/>
        <v>22.327490074525493</v>
      </c>
      <c r="CZ99" s="179">
        <f t="shared" ca="1" si="489"/>
        <v>22.880026037373334</v>
      </c>
      <c r="DA99" s="179">
        <f t="shared" ca="1" si="489"/>
        <v>23.256052237356403</v>
      </c>
      <c r="DB99" s="179">
        <f t="shared" ca="1" si="489"/>
        <v>24.026977041383244</v>
      </c>
      <c r="DC99" s="179">
        <f t="shared" ca="1" si="489"/>
        <v>24.422088107117915</v>
      </c>
      <c r="DD99" s="179">
        <f t="shared" ref="DD99:DI99" ca="1" si="490">(($AW104/(1+DD$18)^(($AZ104-$AZ$23)/30)))+($AS104/(1+DD$18)^(($AZ104-$AZ$23)/30))</f>
        <v>24.823776278840658</v>
      </c>
      <c r="DE99" s="179">
        <f t="shared" ca="1" si="490"/>
        <v>25.232152367926229</v>
      </c>
      <c r="DF99" s="179" t="e">
        <f t="shared" ca="1" si="490"/>
        <v>#VALUE!</v>
      </c>
      <c r="DG99" s="179" t="e">
        <f t="shared" ca="1" si="490"/>
        <v>#VALUE!</v>
      </c>
      <c r="DH99" s="179" t="e">
        <f t="shared" ca="1" si="490"/>
        <v>#VALUE!</v>
      </c>
      <c r="DI99" s="179" t="e">
        <f t="shared" ca="1" si="490"/>
        <v>#VALUE!</v>
      </c>
      <c r="DJ99" s="179" t="e">
        <f t="shared" ref="DJ99:DQ99" ca="1" si="491">(($AW104/(1+DJ$18)^(($AZ104-$AZ$23)/30)))+($AS104/(1+DJ$18)^(($AZ104-$AZ$23)/30))</f>
        <v>#VALUE!</v>
      </c>
      <c r="DK99" s="179" t="e">
        <f t="shared" ca="1" si="491"/>
        <v>#VALUE!</v>
      </c>
      <c r="DL99" s="179" t="e">
        <f t="shared" ca="1" si="491"/>
        <v>#VALUE!</v>
      </c>
      <c r="DM99" s="179" t="e">
        <f t="shared" ca="1" si="491"/>
        <v>#VALUE!</v>
      </c>
      <c r="DN99" s="179" t="e">
        <f t="shared" ca="1" si="491"/>
        <v>#VALUE!</v>
      </c>
      <c r="DO99" s="179" t="e">
        <f t="shared" ca="1" si="491"/>
        <v>#VALUE!</v>
      </c>
      <c r="DP99" s="179" t="e">
        <f t="shared" ca="1" si="491"/>
        <v>#VALUE!</v>
      </c>
      <c r="DQ99" s="179" t="e">
        <f t="shared" ca="1" si="491"/>
        <v>#VALUE!</v>
      </c>
      <c r="DR99" s="180">
        <f t="shared" si="396"/>
        <v>91</v>
      </c>
      <c r="DS99" s="180">
        <f t="shared" ref="DS99:EF114" si="492">IF($AU104&gt;$BA$19,0,$BA104-$AS104)</f>
        <v>91</v>
      </c>
      <c r="DT99" s="180">
        <f t="shared" si="492"/>
        <v>91</v>
      </c>
      <c r="DU99" s="180">
        <f t="shared" si="492"/>
        <v>91</v>
      </c>
      <c r="DV99" s="180">
        <f t="shared" si="492"/>
        <v>91</v>
      </c>
      <c r="DW99" s="180">
        <f t="shared" si="492"/>
        <v>91</v>
      </c>
      <c r="DX99" s="180">
        <f t="shared" si="492"/>
        <v>91</v>
      </c>
      <c r="DY99" s="180">
        <f t="shared" si="492"/>
        <v>91</v>
      </c>
      <c r="DZ99" s="180">
        <f t="shared" si="492"/>
        <v>91</v>
      </c>
      <c r="EA99" s="180">
        <f t="shared" si="492"/>
        <v>91</v>
      </c>
      <c r="EB99" s="180">
        <f t="shared" si="492"/>
        <v>91</v>
      </c>
      <c r="EC99" s="180">
        <f t="shared" si="492"/>
        <v>91</v>
      </c>
      <c r="ED99" s="180">
        <f t="shared" si="492"/>
        <v>91</v>
      </c>
      <c r="EE99" s="180">
        <f t="shared" si="492"/>
        <v>91</v>
      </c>
      <c r="EF99" s="180">
        <f t="shared" si="492"/>
        <v>91</v>
      </c>
      <c r="EG99" s="180">
        <f t="shared" ref="EG99:EO99" si="493">IF($AU104&gt;$BA$19,0,$BA104-$AS104)</f>
        <v>91</v>
      </c>
      <c r="EH99" s="180">
        <f t="shared" si="493"/>
        <v>91</v>
      </c>
      <c r="EI99" s="180">
        <f t="shared" si="493"/>
        <v>91</v>
      </c>
      <c r="EJ99" s="180">
        <f t="shared" si="493"/>
        <v>91</v>
      </c>
      <c r="EK99" s="180">
        <f t="shared" si="493"/>
        <v>91</v>
      </c>
      <c r="EL99" s="180">
        <f t="shared" si="493"/>
        <v>91</v>
      </c>
      <c r="EM99" s="180">
        <f t="shared" si="493"/>
        <v>91</v>
      </c>
      <c r="EN99" s="180">
        <f t="shared" si="493"/>
        <v>91</v>
      </c>
      <c r="EO99" s="180">
        <f t="shared" si="493"/>
        <v>91</v>
      </c>
      <c r="EQ99" s="259">
        <f t="shared" ca="1" si="398"/>
        <v>48620</v>
      </c>
      <c r="ER99" s="87">
        <f t="shared" ref="ER99:FF108" ca="1" si="494" xml:space="preserve"> IFERROR(VLOOKUP($EQ99,$AZ$23:$BA$167,2,FALSE),0)-IFERROR(VLOOKUP($EQ99,$AR$23:$AS$167,2,FALSE),0)</f>
        <v>91</v>
      </c>
      <c r="ES99" s="87">
        <f t="shared" ca="1" si="494"/>
        <v>91</v>
      </c>
      <c r="ET99" s="87">
        <f t="shared" ca="1" si="494"/>
        <v>91</v>
      </c>
      <c r="EU99" s="87">
        <f t="shared" ca="1" si="494"/>
        <v>91</v>
      </c>
      <c r="EV99" s="87">
        <f t="shared" ca="1" si="494"/>
        <v>91</v>
      </c>
      <c r="EW99" s="87">
        <f t="shared" ca="1" si="494"/>
        <v>91</v>
      </c>
      <c r="EX99" s="87">
        <f t="shared" ca="1" si="494"/>
        <v>91</v>
      </c>
      <c r="EY99" s="87">
        <f t="shared" ca="1" si="494"/>
        <v>91</v>
      </c>
      <c r="EZ99" s="87">
        <f t="shared" ca="1" si="494"/>
        <v>91</v>
      </c>
      <c r="FA99" s="87">
        <f t="shared" ca="1" si="494"/>
        <v>91</v>
      </c>
      <c r="FB99" s="87">
        <f t="shared" ca="1" si="494"/>
        <v>91</v>
      </c>
      <c r="FC99" s="87">
        <f t="shared" ca="1" si="494"/>
        <v>91</v>
      </c>
      <c r="FD99" s="87">
        <f t="shared" ca="1" si="494"/>
        <v>91</v>
      </c>
      <c r="FE99" s="87">
        <f t="shared" ca="1" si="494"/>
        <v>91</v>
      </c>
      <c r="FF99" s="87">
        <f t="shared" ca="1" si="494"/>
        <v>91</v>
      </c>
      <c r="FG99" s="87">
        <f t="shared" ref="FG99:FP114" ca="1" si="495" xml:space="preserve"> IFERROR(VLOOKUP($EQ99,$AZ$23:$BA$167,2,FALSE),0)-IFERROR(VLOOKUP($EQ99,$AR$23:$AS$167,2,FALSE),0)</f>
        <v>91</v>
      </c>
      <c r="FH99" s="87">
        <f t="shared" ca="1" si="495"/>
        <v>91</v>
      </c>
      <c r="FI99" s="87">
        <f t="shared" ca="1" si="495"/>
        <v>91</v>
      </c>
      <c r="FJ99" s="87">
        <f t="shared" ca="1" si="495"/>
        <v>91</v>
      </c>
      <c r="FK99" s="87">
        <f t="shared" ca="1" si="495"/>
        <v>91</v>
      </c>
      <c r="FL99" s="87">
        <f t="shared" ca="1" si="495"/>
        <v>91</v>
      </c>
      <c r="FM99" s="87">
        <f t="shared" ca="1" si="495"/>
        <v>91</v>
      </c>
      <c r="FN99" s="87">
        <f t="shared" ca="1" si="495"/>
        <v>91</v>
      </c>
      <c r="FO99" s="87">
        <f t="shared" ca="1" si="495"/>
        <v>91</v>
      </c>
      <c r="FP99" s="87">
        <f t="shared" ca="1" si="495"/>
        <v>91</v>
      </c>
    </row>
    <row r="100" spans="2:172" ht="12.75" hidden="1" customHeight="1" x14ac:dyDescent="0.25">
      <c r="B100" s="87">
        <v>42</v>
      </c>
      <c r="C100" s="181">
        <f t="shared" ca="1" si="450"/>
        <v>47432</v>
      </c>
      <c r="D100" s="380">
        <f t="shared" ca="1" si="487"/>
        <v>0.46023847512330329</v>
      </c>
      <c r="E100" s="380">
        <f t="shared" si="487"/>
        <v>0</v>
      </c>
      <c r="F100" s="380">
        <f t="shared" si="487"/>
        <v>0</v>
      </c>
      <c r="G100" s="380">
        <f t="shared" si="487"/>
        <v>0</v>
      </c>
      <c r="H100" s="380">
        <f t="shared" si="487"/>
        <v>0</v>
      </c>
      <c r="I100" s="380">
        <f t="shared" si="487"/>
        <v>0</v>
      </c>
      <c r="J100" s="380">
        <f t="shared" si="487"/>
        <v>0</v>
      </c>
      <c r="K100" s="380">
        <f t="shared" si="487"/>
        <v>0</v>
      </c>
      <c r="L100" s="380">
        <f t="shared" si="487"/>
        <v>0</v>
      </c>
      <c r="M100" s="380">
        <f t="shared" si="487"/>
        <v>0</v>
      </c>
      <c r="N100" s="380">
        <f t="shared" si="488"/>
        <v>0</v>
      </c>
      <c r="O100" s="380">
        <f t="shared" si="488"/>
        <v>0</v>
      </c>
      <c r="P100" s="380">
        <f t="shared" si="488"/>
        <v>0</v>
      </c>
      <c r="Q100" s="380">
        <f t="shared" si="488"/>
        <v>0</v>
      </c>
      <c r="R100" s="380">
        <f t="shared" si="488"/>
        <v>0</v>
      </c>
      <c r="S100" s="380">
        <f t="shared" si="488"/>
        <v>0</v>
      </c>
      <c r="T100" s="380">
        <f t="shared" si="488"/>
        <v>0</v>
      </c>
      <c r="U100" s="175"/>
      <c r="V100" s="176"/>
      <c r="W100" s="176"/>
      <c r="X100" s="87">
        <v>85</v>
      </c>
      <c r="Y100" s="377">
        <f t="shared" si="361"/>
        <v>0</v>
      </c>
      <c r="Z100" s="377">
        <f t="shared" si="362"/>
        <v>0</v>
      </c>
      <c r="AA100" s="377">
        <f t="shared" si="363"/>
        <v>0</v>
      </c>
      <c r="AB100" s="377">
        <f t="shared" si="364"/>
        <v>0</v>
      </c>
      <c r="AC100" s="377">
        <f t="shared" si="365"/>
        <v>0</v>
      </c>
      <c r="AD100" s="377">
        <f t="shared" si="366"/>
        <v>0</v>
      </c>
      <c r="AE100" s="377">
        <f t="shared" si="367"/>
        <v>0</v>
      </c>
      <c r="AF100" s="377">
        <f t="shared" si="368"/>
        <v>0</v>
      </c>
      <c r="AG100" s="377">
        <f t="shared" si="369"/>
        <v>0</v>
      </c>
      <c r="AH100" s="377">
        <f t="shared" si="370"/>
        <v>0</v>
      </c>
      <c r="AI100" s="377">
        <f t="shared" si="371"/>
        <v>0</v>
      </c>
      <c r="AJ100" s="377">
        <f t="shared" si="372"/>
        <v>0</v>
      </c>
      <c r="AK100" s="377">
        <f t="shared" si="373"/>
        <v>0</v>
      </c>
      <c r="AL100" s="377">
        <f t="shared" si="374"/>
        <v>0</v>
      </c>
      <c r="AM100" s="377">
        <f t="shared" si="375"/>
        <v>0</v>
      </c>
      <c r="AN100" s="377">
        <f t="shared" si="376"/>
        <v>0</v>
      </c>
      <c r="AO100" s="377">
        <f t="shared" si="377"/>
        <v>0</v>
      </c>
      <c r="AQ100" s="138">
        <v>77</v>
      </c>
      <c r="AR100" s="258">
        <f t="shared" ca="1" si="420"/>
        <v>48497</v>
      </c>
      <c r="AS100" s="378">
        <f t="shared" si="421"/>
        <v>0</v>
      </c>
      <c r="AT100" s="138"/>
      <c r="AU100" s="138">
        <v>77</v>
      </c>
      <c r="AV100" s="258">
        <f t="shared" ca="1" si="422"/>
        <v>48528</v>
      </c>
      <c r="AW100" s="378">
        <f t="shared" si="423"/>
        <v>91</v>
      </c>
      <c r="AX100" s="202">
        <f t="shared" ca="1" si="424"/>
        <v>21.44</v>
      </c>
      <c r="AY100" s="138">
        <v>77</v>
      </c>
      <c r="AZ100" s="258">
        <f t="shared" ca="1" si="425"/>
        <v>48528</v>
      </c>
      <c r="BA100" s="378">
        <f t="shared" si="426"/>
        <v>91</v>
      </c>
      <c r="BC100" s="258">
        <f t="shared" ca="1" si="411"/>
        <v>48497</v>
      </c>
      <c r="BD100" s="302">
        <f t="shared" ca="1" si="427"/>
        <v>91</v>
      </c>
      <c r="BE100" s="133">
        <f t="shared" si="412"/>
        <v>77</v>
      </c>
      <c r="BF100" s="379">
        <f t="shared" ca="1" si="413"/>
        <v>48497</v>
      </c>
      <c r="BG100" s="133">
        <f t="shared" si="428"/>
        <v>91</v>
      </c>
      <c r="BH100" s="133">
        <f t="shared" si="429"/>
        <v>0</v>
      </c>
      <c r="BI100" s="133">
        <f t="shared" si="430"/>
        <v>0</v>
      </c>
      <c r="BJ100" s="133">
        <f t="shared" si="431"/>
        <v>0</v>
      </c>
      <c r="BK100" s="133">
        <f t="shared" si="432"/>
        <v>0</v>
      </c>
      <c r="BL100" s="133">
        <f t="shared" si="433"/>
        <v>0</v>
      </c>
      <c r="BM100" s="133">
        <f t="shared" si="434"/>
        <v>0</v>
      </c>
      <c r="BN100" s="133">
        <f t="shared" si="435"/>
        <v>0</v>
      </c>
      <c r="BO100" s="133">
        <f t="shared" si="436"/>
        <v>0</v>
      </c>
      <c r="BP100" s="133">
        <f t="shared" si="437"/>
        <v>0</v>
      </c>
      <c r="BQ100" s="133">
        <f t="shared" si="438"/>
        <v>0</v>
      </c>
      <c r="BR100" s="133">
        <f t="shared" si="439"/>
        <v>0</v>
      </c>
      <c r="BS100" s="133">
        <f t="shared" si="440"/>
        <v>0</v>
      </c>
      <c r="BT100" s="133">
        <f t="shared" si="441"/>
        <v>0</v>
      </c>
      <c r="BU100" s="133">
        <f t="shared" si="442"/>
        <v>0</v>
      </c>
      <c r="BV100" s="133">
        <f t="shared" si="443"/>
        <v>0</v>
      </c>
      <c r="BW100" s="133">
        <f t="shared" si="444"/>
        <v>0</v>
      </c>
      <c r="BX100" s="267"/>
      <c r="BY100" s="267"/>
      <c r="BZ100" s="267"/>
      <c r="CA100" s="267"/>
      <c r="CB100" s="267"/>
      <c r="CC100" s="267"/>
      <c r="CD100" s="267"/>
      <c r="CE100" s="267"/>
      <c r="CF100" s="267"/>
      <c r="CG100" s="267"/>
      <c r="CS100" s="87">
        <v>82</v>
      </c>
      <c r="CT100" s="259">
        <f t="shared" ca="1" si="386"/>
        <v>48679</v>
      </c>
      <c r="CU100" s="179">
        <f t="shared" ref="CU100:DC100" ca="1" si="496">(($AW105/(1+CU$18)^(($AZ105-$AZ$23)/30)))+($AS105/(1+CU$18)^(($AZ105-$AZ$23)/30))</f>
        <v>19.548376522749258</v>
      </c>
      <c r="CV100" s="179">
        <f t="shared" ca="1" si="496"/>
        <v>20.370552957493462</v>
      </c>
      <c r="CW100" s="179">
        <f t="shared" ca="1" si="496"/>
        <v>20.880568096174745</v>
      </c>
      <c r="CX100" s="179">
        <f t="shared" ca="1" si="496"/>
        <v>21.403508468351578</v>
      </c>
      <c r="CY100" s="179">
        <f t="shared" ca="1" si="496"/>
        <v>21.93970559315191</v>
      </c>
      <c r="CZ100" s="179">
        <f t="shared" ca="1" si="496"/>
        <v>22.489499594384512</v>
      </c>
      <c r="DA100" s="179">
        <f t="shared" ca="1" si="496"/>
        <v>22.863754701611846</v>
      </c>
      <c r="DB100" s="179">
        <f t="shared" ca="1" si="496"/>
        <v>23.631283106647267</v>
      </c>
      <c r="DC100" s="179">
        <f t="shared" ca="1" si="496"/>
        <v>24.024773143753222</v>
      </c>
      <c r="DD100" s="179">
        <f t="shared" ref="DD100:DI100" ca="1" si="497">(($AW105/(1+DD$18)^(($AZ105-$AZ$23)/30)))+($AS105/(1+DD$18)^(($AZ105-$AZ$23)/30))</f>
        <v>24.424894684166794</v>
      </c>
      <c r="DE100" s="179">
        <f t="shared" ca="1" si="497"/>
        <v>24.831760827681922</v>
      </c>
      <c r="DF100" s="179" t="e">
        <f t="shared" ca="1" si="497"/>
        <v>#VALUE!</v>
      </c>
      <c r="DG100" s="179" t="e">
        <f t="shared" ca="1" si="497"/>
        <v>#VALUE!</v>
      </c>
      <c r="DH100" s="179" t="e">
        <f t="shared" ca="1" si="497"/>
        <v>#VALUE!</v>
      </c>
      <c r="DI100" s="179" t="e">
        <f t="shared" ca="1" si="497"/>
        <v>#VALUE!</v>
      </c>
      <c r="DJ100" s="179" t="e">
        <f t="shared" ref="DJ100:DQ100" ca="1" si="498">(($AW105/(1+DJ$18)^(($AZ105-$AZ$23)/30)))+($AS105/(1+DJ$18)^(($AZ105-$AZ$23)/30))</f>
        <v>#VALUE!</v>
      </c>
      <c r="DK100" s="179" t="e">
        <f t="shared" ca="1" si="498"/>
        <v>#VALUE!</v>
      </c>
      <c r="DL100" s="179" t="e">
        <f t="shared" ca="1" si="498"/>
        <v>#VALUE!</v>
      </c>
      <c r="DM100" s="179" t="e">
        <f t="shared" ca="1" si="498"/>
        <v>#VALUE!</v>
      </c>
      <c r="DN100" s="179" t="e">
        <f t="shared" ca="1" si="498"/>
        <v>#VALUE!</v>
      </c>
      <c r="DO100" s="179" t="e">
        <f t="shared" ca="1" si="498"/>
        <v>#VALUE!</v>
      </c>
      <c r="DP100" s="179" t="e">
        <f t="shared" ca="1" si="498"/>
        <v>#VALUE!</v>
      </c>
      <c r="DQ100" s="179" t="e">
        <f t="shared" ca="1" si="498"/>
        <v>#VALUE!</v>
      </c>
      <c r="DR100" s="180">
        <f t="shared" si="396"/>
        <v>91</v>
      </c>
      <c r="DS100" s="180">
        <f t="shared" si="492"/>
        <v>91</v>
      </c>
      <c r="DT100" s="180">
        <f t="shared" si="492"/>
        <v>91</v>
      </c>
      <c r="DU100" s="180">
        <f t="shared" si="492"/>
        <v>91</v>
      </c>
      <c r="DV100" s="180">
        <f t="shared" si="492"/>
        <v>91</v>
      </c>
      <c r="DW100" s="180">
        <f t="shared" si="492"/>
        <v>91</v>
      </c>
      <c r="DX100" s="180">
        <f t="shared" si="492"/>
        <v>91</v>
      </c>
      <c r="DY100" s="180">
        <f t="shared" si="492"/>
        <v>91</v>
      </c>
      <c r="DZ100" s="180">
        <f t="shared" si="492"/>
        <v>91</v>
      </c>
      <c r="EA100" s="180">
        <f t="shared" si="492"/>
        <v>91</v>
      </c>
      <c r="EB100" s="180">
        <f t="shared" si="492"/>
        <v>91</v>
      </c>
      <c r="EC100" s="180">
        <f t="shared" si="492"/>
        <v>91</v>
      </c>
      <c r="ED100" s="180">
        <f t="shared" si="492"/>
        <v>91</v>
      </c>
      <c r="EE100" s="180">
        <f t="shared" si="492"/>
        <v>91</v>
      </c>
      <c r="EF100" s="180">
        <f t="shared" si="492"/>
        <v>91</v>
      </c>
      <c r="EG100" s="180">
        <f t="shared" ref="EG100:EO100" si="499">IF($AU105&gt;$BA$19,0,$BA105-$AS105)</f>
        <v>91</v>
      </c>
      <c r="EH100" s="180">
        <f t="shared" si="499"/>
        <v>91</v>
      </c>
      <c r="EI100" s="180">
        <f t="shared" si="499"/>
        <v>91</v>
      </c>
      <c r="EJ100" s="180">
        <f t="shared" si="499"/>
        <v>91</v>
      </c>
      <c r="EK100" s="180">
        <f t="shared" si="499"/>
        <v>91</v>
      </c>
      <c r="EL100" s="180">
        <f t="shared" si="499"/>
        <v>91</v>
      </c>
      <c r="EM100" s="180">
        <f t="shared" si="499"/>
        <v>91</v>
      </c>
      <c r="EN100" s="180">
        <f t="shared" si="499"/>
        <v>91</v>
      </c>
      <c r="EO100" s="180">
        <f t="shared" si="499"/>
        <v>91</v>
      </c>
      <c r="EQ100" s="259">
        <f t="shared" ca="1" si="398"/>
        <v>48648</v>
      </c>
      <c r="ER100" s="87">
        <f t="shared" ca="1" si="494"/>
        <v>91</v>
      </c>
      <c r="ES100" s="87">
        <f t="shared" ca="1" si="494"/>
        <v>91</v>
      </c>
      <c r="ET100" s="87">
        <f t="shared" ca="1" si="494"/>
        <v>91</v>
      </c>
      <c r="EU100" s="87">
        <f t="shared" ca="1" si="494"/>
        <v>91</v>
      </c>
      <c r="EV100" s="87">
        <f t="shared" ca="1" si="494"/>
        <v>91</v>
      </c>
      <c r="EW100" s="87">
        <f t="shared" ca="1" si="494"/>
        <v>91</v>
      </c>
      <c r="EX100" s="87">
        <f t="shared" ca="1" si="494"/>
        <v>91</v>
      </c>
      <c r="EY100" s="87">
        <f t="shared" ca="1" si="494"/>
        <v>91</v>
      </c>
      <c r="EZ100" s="87">
        <f t="shared" ca="1" si="494"/>
        <v>91</v>
      </c>
      <c r="FA100" s="87">
        <f t="shared" ca="1" si="494"/>
        <v>91</v>
      </c>
      <c r="FB100" s="87">
        <f t="shared" ca="1" si="494"/>
        <v>91</v>
      </c>
      <c r="FC100" s="87">
        <f t="shared" ca="1" si="494"/>
        <v>91</v>
      </c>
      <c r="FD100" s="87">
        <f t="shared" ca="1" si="494"/>
        <v>91</v>
      </c>
      <c r="FE100" s="87">
        <f t="shared" ca="1" si="494"/>
        <v>91</v>
      </c>
      <c r="FF100" s="87">
        <f t="shared" ca="1" si="494"/>
        <v>91</v>
      </c>
      <c r="FG100" s="87">
        <f t="shared" ca="1" si="495"/>
        <v>91</v>
      </c>
      <c r="FH100" s="87">
        <f t="shared" ca="1" si="495"/>
        <v>91</v>
      </c>
      <c r="FI100" s="87">
        <f t="shared" ca="1" si="495"/>
        <v>91</v>
      </c>
      <c r="FJ100" s="87">
        <f t="shared" ca="1" si="495"/>
        <v>91</v>
      </c>
      <c r="FK100" s="87">
        <f t="shared" ca="1" si="495"/>
        <v>91</v>
      </c>
      <c r="FL100" s="87">
        <f t="shared" ca="1" si="495"/>
        <v>91</v>
      </c>
      <c r="FM100" s="87">
        <f t="shared" ca="1" si="495"/>
        <v>91</v>
      </c>
      <c r="FN100" s="87">
        <f t="shared" ca="1" si="495"/>
        <v>91</v>
      </c>
      <c r="FO100" s="87">
        <f t="shared" ca="1" si="495"/>
        <v>91</v>
      </c>
      <c r="FP100" s="87">
        <f t="shared" ca="1" si="495"/>
        <v>91</v>
      </c>
    </row>
    <row r="101" spans="2:172" ht="12.75" hidden="1" customHeight="1" x14ac:dyDescent="0.25">
      <c r="B101" s="87">
        <v>43</v>
      </c>
      <c r="C101" s="181">
        <f t="shared" ca="1" si="450"/>
        <v>47462</v>
      </c>
      <c r="D101" s="380">
        <f t="shared" ca="1" si="487"/>
        <v>0.45187871882504005</v>
      </c>
      <c r="E101" s="380">
        <f t="shared" si="487"/>
        <v>0</v>
      </c>
      <c r="F101" s="380">
        <f t="shared" si="487"/>
        <v>0</v>
      </c>
      <c r="G101" s="380">
        <f t="shared" si="487"/>
        <v>0</v>
      </c>
      <c r="H101" s="380">
        <f t="shared" si="487"/>
        <v>0</v>
      </c>
      <c r="I101" s="380">
        <f t="shared" si="487"/>
        <v>0</v>
      </c>
      <c r="J101" s="380">
        <f t="shared" si="487"/>
        <v>0</v>
      </c>
      <c r="K101" s="380">
        <f t="shared" si="487"/>
        <v>0</v>
      </c>
      <c r="L101" s="380">
        <f t="shared" si="487"/>
        <v>0</v>
      </c>
      <c r="M101" s="380">
        <f t="shared" si="487"/>
        <v>0</v>
      </c>
      <c r="N101" s="380">
        <f t="shared" si="488"/>
        <v>0</v>
      </c>
      <c r="O101" s="380">
        <f t="shared" si="488"/>
        <v>0</v>
      </c>
      <c r="P101" s="380">
        <f t="shared" si="488"/>
        <v>0</v>
      </c>
      <c r="Q101" s="380">
        <f t="shared" si="488"/>
        <v>0</v>
      </c>
      <c r="R101" s="380">
        <f t="shared" si="488"/>
        <v>0</v>
      </c>
      <c r="S101" s="380">
        <f t="shared" si="488"/>
        <v>0</v>
      </c>
      <c r="T101" s="380">
        <f t="shared" si="488"/>
        <v>0</v>
      </c>
      <c r="U101" s="175"/>
      <c r="X101" s="87">
        <v>86</v>
      </c>
      <c r="Y101" s="377">
        <f t="shared" si="361"/>
        <v>0</v>
      </c>
      <c r="Z101" s="377">
        <f t="shared" si="362"/>
        <v>0</v>
      </c>
      <c r="AA101" s="377">
        <f t="shared" si="363"/>
        <v>0</v>
      </c>
      <c r="AB101" s="377">
        <f t="shared" si="364"/>
        <v>0</v>
      </c>
      <c r="AC101" s="377">
        <f t="shared" si="365"/>
        <v>0</v>
      </c>
      <c r="AD101" s="377">
        <f t="shared" si="366"/>
        <v>0</v>
      </c>
      <c r="AE101" s="377">
        <f t="shared" si="367"/>
        <v>0</v>
      </c>
      <c r="AF101" s="377">
        <f t="shared" si="368"/>
        <v>0</v>
      </c>
      <c r="AG101" s="377">
        <f t="shared" si="369"/>
        <v>0</v>
      </c>
      <c r="AH101" s="377">
        <f t="shared" si="370"/>
        <v>0</v>
      </c>
      <c r="AI101" s="377">
        <f t="shared" si="371"/>
        <v>0</v>
      </c>
      <c r="AJ101" s="377">
        <f t="shared" si="372"/>
        <v>0</v>
      </c>
      <c r="AK101" s="377">
        <f t="shared" si="373"/>
        <v>0</v>
      </c>
      <c r="AL101" s="377">
        <f t="shared" si="374"/>
        <v>0</v>
      </c>
      <c r="AM101" s="377">
        <f t="shared" si="375"/>
        <v>0</v>
      </c>
      <c r="AN101" s="377">
        <f t="shared" si="376"/>
        <v>0</v>
      </c>
      <c r="AO101" s="377">
        <f t="shared" si="377"/>
        <v>0</v>
      </c>
      <c r="AQ101" s="138">
        <v>78</v>
      </c>
      <c r="AR101" s="258">
        <f t="shared" ca="1" si="420"/>
        <v>48528</v>
      </c>
      <c r="AS101" s="378">
        <f t="shared" si="421"/>
        <v>0</v>
      </c>
      <c r="AT101" s="138"/>
      <c r="AU101" s="138">
        <v>78</v>
      </c>
      <c r="AV101" s="258">
        <f t="shared" ca="1" si="422"/>
        <v>48558</v>
      </c>
      <c r="AW101" s="378">
        <f t="shared" si="423"/>
        <v>91</v>
      </c>
      <c r="AX101" s="202">
        <f t="shared" ca="1" si="424"/>
        <v>21.05</v>
      </c>
      <c r="AY101" s="138">
        <v>78</v>
      </c>
      <c r="AZ101" s="258">
        <f t="shared" ca="1" si="425"/>
        <v>48558</v>
      </c>
      <c r="BA101" s="378">
        <f t="shared" si="426"/>
        <v>91</v>
      </c>
      <c r="BC101" s="258">
        <f t="shared" ca="1" si="411"/>
        <v>48528</v>
      </c>
      <c r="BD101" s="302">
        <f t="shared" ca="1" si="427"/>
        <v>91</v>
      </c>
      <c r="BE101" s="133">
        <f t="shared" si="412"/>
        <v>78</v>
      </c>
      <c r="BF101" s="379">
        <f t="shared" ca="1" si="413"/>
        <v>48528</v>
      </c>
      <c r="BG101" s="133">
        <f t="shared" si="428"/>
        <v>91</v>
      </c>
      <c r="BH101" s="133">
        <f t="shared" si="429"/>
        <v>0</v>
      </c>
      <c r="BI101" s="133">
        <f t="shared" si="430"/>
        <v>0</v>
      </c>
      <c r="BJ101" s="133">
        <f t="shared" si="431"/>
        <v>0</v>
      </c>
      <c r="BK101" s="133">
        <f t="shared" si="432"/>
        <v>0</v>
      </c>
      <c r="BL101" s="133">
        <f t="shared" si="433"/>
        <v>0</v>
      </c>
      <c r="BM101" s="133">
        <f t="shared" si="434"/>
        <v>0</v>
      </c>
      <c r="BN101" s="133">
        <f t="shared" si="435"/>
        <v>0</v>
      </c>
      <c r="BO101" s="133">
        <f t="shared" si="436"/>
        <v>0</v>
      </c>
      <c r="BP101" s="133">
        <f t="shared" si="437"/>
        <v>0</v>
      </c>
      <c r="BQ101" s="133">
        <f t="shared" si="438"/>
        <v>0</v>
      </c>
      <c r="BR101" s="133">
        <f t="shared" si="439"/>
        <v>0</v>
      </c>
      <c r="BS101" s="133">
        <f t="shared" si="440"/>
        <v>0</v>
      </c>
      <c r="BT101" s="133">
        <f t="shared" si="441"/>
        <v>0</v>
      </c>
      <c r="BU101" s="133">
        <f t="shared" si="442"/>
        <v>0</v>
      </c>
      <c r="BV101" s="133">
        <f t="shared" si="443"/>
        <v>0</v>
      </c>
      <c r="BW101" s="133">
        <f t="shared" si="444"/>
        <v>0</v>
      </c>
      <c r="BX101" s="267"/>
      <c r="BY101" s="267"/>
      <c r="BZ101" s="267"/>
      <c r="CA101" s="267"/>
      <c r="CB101" s="267"/>
      <c r="CC101" s="267"/>
      <c r="CD101" s="267"/>
      <c r="CE101" s="267"/>
      <c r="CF101" s="267"/>
      <c r="CG101" s="267"/>
      <c r="CS101" s="178">
        <v>83</v>
      </c>
      <c r="CT101" s="259">
        <f t="shared" ca="1" si="386"/>
        <v>48709</v>
      </c>
      <c r="CU101" s="179">
        <f t="shared" ref="CU101:DC101" ca="1" si="500">(($AW106/(1+CU$18)^(($AZ106-$AZ$23)/30)))+($AS106/(1+CU$18)^(($AZ106-$AZ$23)/30))</f>
        <v>19.19330046416226</v>
      </c>
      <c r="CV101" s="179">
        <f t="shared" ca="1" si="500"/>
        <v>20.010366362960184</v>
      </c>
      <c r="CW101" s="179">
        <f t="shared" ca="1" si="500"/>
        <v>20.517409940232628</v>
      </c>
      <c r="CX101" s="179">
        <f t="shared" ca="1" si="500"/>
        <v>21.037456721399231</v>
      </c>
      <c r="CY101" s="179">
        <f t="shared" ca="1" si="500"/>
        <v>21.570844158049272</v>
      </c>
      <c r="CZ101" s="179">
        <f t="shared" ca="1" si="500"/>
        <v>22.117918562533937</v>
      </c>
      <c r="DA101" s="179">
        <f t="shared" ca="1" si="500"/>
        <v>22.490413832000637</v>
      </c>
      <c r="DB101" s="179">
        <f t="shared" ca="1" si="500"/>
        <v>23.254559246848324</v>
      </c>
      <c r="DC101" s="179">
        <f t="shared" ca="1" si="500"/>
        <v>23.646430259599626</v>
      </c>
      <c r="DD101" s="179">
        <f t="shared" ref="DD101:DI101" ca="1" si="501">(($AW106/(1+DD$18)^(($AZ106-$AZ$23)/30)))+($AS106/(1+DD$18)^(($AZ106-$AZ$23)/30))</f>
        <v>24.044983937947226</v>
      </c>
      <c r="DE101" s="179">
        <f t="shared" ca="1" si="501"/>
        <v>24.450335592439853</v>
      </c>
      <c r="DF101" s="179" t="e">
        <f t="shared" ca="1" si="501"/>
        <v>#VALUE!</v>
      </c>
      <c r="DG101" s="179" t="e">
        <f t="shared" ca="1" si="501"/>
        <v>#VALUE!</v>
      </c>
      <c r="DH101" s="179" t="e">
        <f t="shared" ca="1" si="501"/>
        <v>#VALUE!</v>
      </c>
      <c r="DI101" s="179" t="e">
        <f t="shared" ca="1" si="501"/>
        <v>#VALUE!</v>
      </c>
      <c r="DJ101" s="179" t="e">
        <f t="shared" ref="DJ101:DQ101" ca="1" si="502">(($AW106/(1+DJ$18)^(($AZ106-$AZ$23)/30)))+($AS106/(1+DJ$18)^(($AZ106-$AZ$23)/30))</f>
        <v>#VALUE!</v>
      </c>
      <c r="DK101" s="179" t="e">
        <f t="shared" ca="1" si="502"/>
        <v>#VALUE!</v>
      </c>
      <c r="DL101" s="179" t="e">
        <f t="shared" ca="1" si="502"/>
        <v>#VALUE!</v>
      </c>
      <c r="DM101" s="179" t="e">
        <f t="shared" ca="1" si="502"/>
        <v>#VALUE!</v>
      </c>
      <c r="DN101" s="179" t="e">
        <f t="shared" ca="1" si="502"/>
        <v>#VALUE!</v>
      </c>
      <c r="DO101" s="179" t="e">
        <f t="shared" ca="1" si="502"/>
        <v>#VALUE!</v>
      </c>
      <c r="DP101" s="179" t="e">
        <f t="shared" ca="1" si="502"/>
        <v>#VALUE!</v>
      </c>
      <c r="DQ101" s="179" t="e">
        <f t="shared" ca="1" si="502"/>
        <v>#VALUE!</v>
      </c>
      <c r="DR101" s="180">
        <f t="shared" si="396"/>
        <v>91</v>
      </c>
      <c r="DS101" s="180">
        <f t="shared" si="492"/>
        <v>91</v>
      </c>
      <c r="DT101" s="180">
        <f t="shared" si="492"/>
        <v>91</v>
      </c>
      <c r="DU101" s="180">
        <f t="shared" si="492"/>
        <v>91</v>
      </c>
      <c r="DV101" s="180">
        <f t="shared" si="492"/>
        <v>91</v>
      </c>
      <c r="DW101" s="180">
        <f t="shared" si="492"/>
        <v>91</v>
      </c>
      <c r="DX101" s="180">
        <f t="shared" si="492"/>
        <v>91</v>
      </c>
      <c r="DY101" s="180">
        <f t="shared" si="492"/>
        <v>91</v>
      </c>
      <c r="DZ101" s="180">
        <f t="shared" si="492"/>
        <v>91</v>
      </c>
      <c r="EA101" s="180">
        <f t="shared" si="492"/>
        <v>91</v>
      </c>
      <c r="EB101" s="180">
        <f t="shared" si="492"/>
        <v>91</v>
      </c>
      <c r="EC101" s="180">
        <f t="shared" si="492"/>
        <v>91</v>
      </c>
      <c r="ED101" s="180">
        <f t="shared" si="492"/>
        <v>91</v>
      </c>
      <c r="EE101" s="180">
        <f t="shared" si="492"/>
        <v>91</v>
      </c>
      <c r="EF101" s="180">
        <f t="shared" si="492"/>
        <v>91</v>
      </c>
      <c r="EG101" s="180">
        <f t="shared" ref="EG101:EO101" si="503">IF($AU106&gt;$BA$19,0,$BA106-$AS106)</f>
        <v>91</v>
      </c>
      <c r="EH101" s="180">
        <f t="shared" si="503"/>
        <v>91</v>
      </c>
      <c r="EI101" s="180">
        <f t="shared" si="503"/>
        <v>91</v>
      </c>
      <c r="EJ101" s="180">
        <f t="shared" si="503"/>
        <v>91</v>
      </c>
      <c r="EK101" s="180">
        <f t="shared" si="503"/>
        <v>91</v>
      </c>
      <c r="EL101" s="180">
        <f t="shared" si="503"/>
        <v>91</v>
      </c>
      <c r="EM101" s="180">
        <f t="shared" si="503"/>
        <v>91</v>
      </c>
      <c r="EN101" s="180">
        <f t="shared" si="503"/>
        <v>91</v>
      </c>
      <c r="EO101" s="180">
        <f t="shared" si="503"/>
        <v>91</v>
      </c>
      <c r="EQ101" s="259">
        <f t="shared" ca="1" si="398"/>
        <v>48679</v>
      </c>
      <c r="ER101" s="87">
        <f t="shared" ca="1" si="494"/>
        <v>91</v>
      </c>
      <c r="ES101" s="87">
        <f t="shared" ca="1" si="494"/>
        <v>91</v>
      </c>
      <c r="ET101" s="87">
        <f t="shared" ca="1" si="494"/>
        <v>91</v>
      </c>
      <c r="EU101" s="87">
        <f t="shared" ca="1" si="494"/>
        <v>91</v>
      </c>
      <c r="EV101" s="87">
        <f t="shared" ca="1" si="494"/>
        <v>91</v>
      </c>
      <c r="EW101" s="87">
        <f t="shared" ca="1" si="494"/>
        <v>91</v>
      </c>
      <c r="EX101" s="87">
        <f t="shared" ca="1" si="494"/>
        <v>91</v>
      </c>
      <c r="EY101" s="87">
        <f t="shared" ca="1" si="494"/>
        <v>91</v>
      </c>
      <c r="EZ101" s="87">
        <f t="shared" ca="1" si="494"/>
        <v>91</v>
      </c>
      <c r="FA101" s="87">
        <f t="shared" ca="1" si="494"/>
        <v>91</v>
      </c>
      <c r="FB101" s="87">
        <f t="shared" ca="1" si="494"/>
        <v>91</v>
      </c>
      <c r="FC101" s="87">
        <f t="shared" ca="1" si="494"/>
        <v>91</v>
      </c>
      <c r="FD101" s="87">
        <f t="shared" ca="1" si="494"/>
        <v>91</v>
      </c>
      <c r="FE101" s="87">
        <f t="shared" ca="1" si="494"/>
        <v>91</v>
      </c>
      <c r="FF101" s="87">
        <f t="shared" ca="1" si="494"/>
        <v>91</v>
      </c>
      <c r="FG101" s="87">
        <f t="shared" ca="1" si="495"/>
        <v>91</v>
      </c>
      <c r="FH101" s="87">
        <f t="shared" ca="1" si="495"/>
        <v>91</v>
      </c>
      <c r="FI101" s="87">
        <f t="shared" ca="1" si="495"/>
        <v>91</v>
      </c>
      <c r="FJ101" s="87">
        <f t="shared" ca="1" si="495"/>
        <v>91</v>
      </c>
      <c r="FK101" s="87">
        <f t="shared" ca="1" si="495"/>
        <v>91</v>
      </c>
      <c r="FL101" s="87">
        <f t="shared" ca="1" si="495"/>
        <v>91</v>
      </c>
      <c r="FM101" s="87">
        <f t="shared" ca="1" si="495"/>
        <v>91</v>
      </c>
      <c r="FN101" s="87">
        <f t="shared" ca="1" si="495"/>
        <v>91</v>
      </c>
      <c r="FO101" s="87">
        <f t="shared" ca="1" si="495"/>
        <v>91</v>
      </c>
      <c r="FP101" s="87">
        <f t="shared" ca="1" si="495"/>
        <v>91</v>
      </c>
    </row>
    <row r="102" spans="2:172" ht="12.75" hidden="1" customHeight="1" x14ac:dyDescent="0.25">
      <c r="B102" s="87">
        <v>44</v>
      </c>
      <c r="C102" s="181">
        <f t="shared" ca="1" si="450"/>
        <v>47493</v>
      </c>
      <c r="D102" s="380">
        <f t="shared" ca="1" si="487"/>
        <v>0.44339979465605234</v>
      </c>
      <c r="E102" s="380">
        <f t="shared" si="487"/>
        <v>0</v>
      </c>
      <c r="F102" s="380">
        <f t="shared" si="487"/>
        <v>0</v>
      </c>
      <c r="G102" s="380">
        <f t="shared" si="487"/>
        <v>0</v>
      </c>
      <c r="H102" s="380">
        <f t="shared" si="487"/>
        <v>0</v>
      </c>
      <c r="I102" s="380">
        <f t="shared" si="487"/>
        <v>0</v>
      </c>
      <c r="J102" s="380">
        <f t="shared" si="487"/>
        <v>0</v>
      </c>
      <c r="K102" s="380">
        <f t="shared" si="487"/>
        <v>0</v>
      </c>
      <c r="L102" s="380">
        <f t="shared" si="487"/>
        <v>0</v>
      </c>
      <c r="M102" s="380">
        <f t="shared" si="487"/>
        <v>0</v>
      </c>
      <c r="N102" s="380">
        <f t="shared" si="488"/>
        <v>0</v>
      </c>
      <c r="O102" s="380">
        <f t="shared" si="488"/>
        <v>0</v>
      </c>
      <c r="P102" s="380">
        <f t="shared" si="488"/>
        <v>0</v>
      </c>
      <c r="Q102" s="380">
        <f t="shared" si="488"/>
        <v>0</v>
      </c>
      <c r="R102" s="380">
        <f t="shared" si="488"/>
        <v>0</v>
      </c>
      <c r="S102" s="380">
        <f t="shared" si="488"/>
        <v>0</v>
      </c>
      <c r="T102" s="380">
        <f t="shared" si="488"/>
        <v>0</v>
      </c>
      <c r="U102" s="175"/>
      <c r="X102" s="87">
        <v>87</v>
      </c>
      <c r="Y102" s="377">
        <f t="shared" si="361"/>
        <v>0</v>
      </c>
      <c r="Z102" s="377">
        <f t="shared" si="362"/>
        <v>0</v>
      </c>
      <c r="AA102" s="377">
        <f t="shared" si="363"/>
        <v>0</v>
      </c>
      <c r="AB102" s="377">
        <f t="shared" si="364"/>
        <v>0</v>
      </c>
      <c r="AC102" s="377">
        <f t="shared" si="365"/>
        <v>0</v>
      </c>
      <c r="AD102" s="377">
        <f t="shared" si="366"/>
        <v>0</v>
      </c>
      <c r="AE102" s="377">
        <f t="shared" si="367"/>
        <v>0</v>
      </c>
      <c r="AF102" s="377">
        <f t="shared" si="368"/>
        <v>0</v>
      </c>
      <c r="AG102" s="377">
        <f t="shared" si="369"/>
        <v>0</v>
      </c>
      <c r="AH102" s="377">
        <f t="shared" si="370"/>
        <v>0</v>
      </c>
      <c r="AI102" s="377">
        <f t="shared" si="371"/>
        <v>0</v>
      </c>
      <c r="AJ102" s="377">
        <f t="shared" si="372"/>
        <v>0</v>
      </c>
      <c r="AK102" s="377">
        <f t="shared" si="373"/>
        <v>0</v>
      </c>
      <c r="AL102" s="377">
        <f t="shared" si="374"/>
        <v>0</v>
      </c>
      <c r="AM102" s="377">
        <f t="shared" si="375"/>
        <v>0</v>
      </c>
      <c r="AN102" s="377">
        <f t="shared" si="376"/>
        <v>0</v>
      </c>
      <c r="AO102" s="377">
        <f t="shared" si="377"/>
        <v>0</v>
      </c>
      <c r="AQ102" s="138">
        <v>79</v>
      </c>
      <c r="AR102" s="258">
        <f t="shared" ca="1" si="420"/>
        <v>48558</v>
      </c>
      <c r="AS102" s="378">
        <f t="shared" si="421"/>
        <v>0</v>
      </c>
      <c r="AT102" s="138"/>
      <c r="AU102" s="138">
        <v>79</v>
      </c>
      <c r="AV102" s="258">
        <f t="shared" ca="1" si="422"/>
        <v>48589</v>
      </c>
      <c r="AW102" s="378">
        <f t="shared" si="423"/>
        <v>91</v>
      </c>
      <c r="AX102" s="202">
        <f t="shared" ca="1" si="424"/>
        <v>20.65</v>
      </c>
      <c r="AY102" s="138">
        <v>79</v>
      </c>
      <c r="AZ102" s="258">
        <f t="shared" ca="1" si="425"/>
        <v>48589</v>
      </c>
      <c r="BA102" s="378">
        <f t="shared" si="426"/>
        <v>91</v>
      </c>
      <c r="BC102" s="258">
        <f t="shared" ca="1" si="411"/>
        <v>48558</v>
      </c>
      <c r="BD102" s="302">
        <f t="shared" ca="1" si="427"/>
        <v>91</v>
      </c>
      <c r="BE102" s="133">
        <f t="shared" si="412"/>
        <v>79</v>
      </c>
      <c r="BF102" s="379">
        <f t="shared" ca="1" si="413"/>
        <v>48558</v>
      </c>
      <c r="BG102" s="133">
        <f t="shared" si="428"/>
        <v>91</v>
      </c>
      <c r="BH102" s="133">
        <f t="shared" si="429"/>
        <v>0</v>
      </c>
      <c r="BI102" s="133">
        <f t="shared" si="430"/>
        <v>0</v>
      </c>
      <c r="BJ102" s="133">
        <f t="shared" si="431"/>
        <v>0</v>
      </c>
      <c r="BK102" s="133">
        <f t="shared" si="432"/>
        <v>0</v>
      </c>
      <c r="BL102" s="133">
        <f t="shared" si="433"/>
        <v>0</v>
      </c>
      <c r="BM102" s="133">
        <f t="shared" si="434"/>
        <v>0</v>
      </c>
      <c r="BN102" s="133">
        <f t="shared" si="435"/>
        <v>0</v>
      </c>
      <c r="BO102" s="133">
        <f t="shared" si="436"/>
        <v>0</v>
      </c>
      <c r="BP102" s="133">
        <f t="shared" si="437"/>
        <v>0</v>
      </c>
      <c r="BQ102" s="133">
        <f t="shared" si="438"/>
        <v>0</v>
      </c>
      <c r="BR102" s="133">
        <f t="shared" si="439"/>
        <v>0</v>
      </c>
      <c r="BS102" s="133">
        <f t="shared" si="440"/>
        <v>0</v>
      </c>
      <c r="BT102" s="133">
        <f t="shared" si="441"/>
        <v>0</v>
      </c>
      <c r="BU102" s="133">
        <f t="shared" si="442"/>
        <v>0</v>
      </c>
      <c r="BV102" s="133">
        <f t="shared" si="443"/>
        <v>0</v>
      </c>
      <c r="BW102" s="133">
        <f t="shared" si="444"/>
        <v>0</v>
      </c>
      <c r="BX102" s="267"/>
      <c r="BY102" s="267"/>
      <c r="BZ102" s="267"/>
      <c r="CA102" s="267"/>
      <c r="CB102" s="267"/>
      <c r="CC102" s="267"/>
      <c r="CD102" s="267"/>
      <c r="CE102" s="267"/>
      <c r="CF102" s="267"/>
      <c r="CG102" s="267"/>
      <c r="CS102" s="138">
        <v>84</v>
      </c>
      <c r="CT102" s="259">
        <f t="shared" ca="1" si="386"/>
        <v>48740</v>
      </c>
      <c r="CU102" s="179">
        <f t="shared" ref="CU102:DC102" ca="1" si="504">(($AW107/(1+CU$18)^(($AZ107-$AZ$23)/30)))+($AS107/(1+CU$18)^(($AZ107-$AZ$23)/30))</f>
        <v>18.833162815699026</v>
      </c>
      <c r="CV102" s="179">
        <f t="shared" ca="1" si="504"/>
        <v>19.644862924449324</v>
      </c>
      <c r="CW102" s="179">
        <f t="shared" ca="1" si="504"/>
        <v>20.148780643205956</v>
      </c>
      <c r="CX102" s="179">
        <f t="shared" ca="1" si="504"/>
        <v>20.665778861007627</v>
      </c>
      <c r="CY102" s="179">
        <f t="shared" ca="1" si="504"/>
        <v>21.196201124430225</v>
      </c>
      <c r="CZ102" s="179">
        <f t="shared" ca="1" si="504"/>
        <v>21.740400108296441</v>
      </c>
      <c r="DA102" s="179">
        <f t="shared" ca="1" si="504"/>
        <v>22.111031560490396</v>
      </c>
      <c r="DB102" s="179">
        <f t="shared" ca="1" si="504"/>
        <v>22.871586056626043</v>
      </c>
      <c r="DC102" s="179">
        <f t="shared" ca="1" si="504"/>
        <v>23.261734220051718</v>
      </c>
      <c r="DD102" s="179">
        <f t="shared" ref="DD102:DI102" ca="1" si="505">(($AW107/(1+DD$18)^(($AZ107-$AZ$23)/30)))+($AS107/(1+DD$18)^(($AZ107-$AZ$23)/30))</f>
        <v>23.658616391392627</v>
      </c>
      <c r="DE102" s="179">
        <f t="shared" ca="1" si="505"/>
        <v>24.062350160812894</v>
      </c>
      <c r="DF102" s="179" t="e">
        <f t="shared" ca="1" si="505"/>
        <v>#VALUE!</v>
      </c>
      <c r="DG102" s="179" t="e">
        <f t="shared" ca="1" si="505"/>
        <v>#VALUE!</v>
      </c>
      <c r="DH102" s="179" t="e">
        <f t="shared" ca="1" si="505"/>
        <v>#VALUE!</v>
      </c>
      <c r="DI102" s="179" t="e">
        <f t="shared" ca="1" si="505"/>
        <v>#VALUE!</v>
      </c>
      <c r="DJ102" s="179" t="e">
        <f t="shared" ref="DJ102:DQ102" ca="1" si="506">(($AW107/(1+DJ$18)^(($AZ107-$AZ$23)/30)))+($AS107/(1+DJ$18)^(($AZ107-$AZ$23)/30))</f>
        <v>#VALUE!</v>
      </c>
      <c r="DK102" s="179" t="e">
        <f t="shared" ca="1" si="506"/>
        <v>#VALUE!</v>
      </c>
      <c r="DL102" s="179" t="e">
        <f t="shared" ca="1" si="506"/>
        <v>#VALUE!</v>
      </c>
      <c r="DM102" s="179" t="e">
        <f t="shared" ca="1" si="506"/>
        <v>#VALUE!</v>
      </c>
      <c r="DN102" s="179" t="e">
        <f t="shared" ca="1" si="506"/>
        <v>#VALUE!</v>
      </c>
      <c r="DO102" s="179" t="e">
        <f t="shared" ca="1" si="506"/>
        <v>#VALUE!</v>
      </c>
      <c r="DP102" s="179" t="e">
        <f t="shared" ca="1" si="506"/>
        <v>#VALUE!</v>
      </c>
      <c r="DQ102" s="179" t="e">
        <f t="shared" ca="1" si="506"/>
        <v>#VALUE!</v>
      </c>
      <c r="DR102" s="180">
        <f t="shared" si="396"/>
        <v>91</v>
      </c>
      <c r="DS102" s="180">
        <f t="shared" si="492"/>
        <v>91</v>
      </c>
      <c r="DT102" s="180">
        <f t="shared" si="492"/>
        <v>91</v>
      </c>
      <c r="DU102" s="180">
        <f t="shared" si="492"/>
        <v>91</v>
      </c>
      <c r="DV102" s="180">
        <f t="shared" si="492"/>
        <v>91</v>
      </c>
      <c r="DW102" s="180">
        <f t="shared" si="492"/>
        <v>91</v>
      </c>
      <c r="DX102" s="180">
        <f t="shared" si="492"/>
        <v>91</v>
      </c>
      <c r="DY102" s="180">
        <f t="shared" si="492"/>
        <v>91</v>
      </c>
      <c r="DZ102" s="180">
        <f t="shared" si="492"/>
        <v>91</v>
      </c>
      <c r="EA102" s="180">
        <f t="shared" si="492"/>
        <v>91</v>
      </c>
      <c r="EB102" s="180">
        <f t="shared" si="492"/>
        <v>91</v>
      </c>
      <c r="EC102" s="180">
        <f t="shared" si="492"/>
        <v>91</v>
      </c>
      <c r="ED102" s="180">
        <f t="shared" si="492"/>
        <v>91</v>
      </c>
      <c r="EE102" s="180">
        <f t="shared" si="492"/>
        <v>91</v>
      </c>
      <c r="EF102" s="180">
        <f t="shared" si="492"/>
        <v>91</v>
      </c>
      <c r="EG102" s="180">
        <f t="shared" ref="EG102:EO102" si="507">IF($AU107&gt;$BA$19,0,$BA107-$AS107)</f>
        <v>91</v>
      </c>
      <c r="EH102" s="180">
        <f t="shared" si="507"/>
        <v>91</v>
      </c>
      <c r="EI102" s="180">
        <f t="shared" si="507"/>
        <v>91</v>
      </c>
      <c r="EJ102" s="180">
        <f t="shared" si="507"/>
        <v>91</v>
      </c>
      <c r="EK102" s="180">
        <f t="shared" si="507"/>
        <v>91</v>
      </c>
      <c r="EL102" s="180">
        <f t="shared" si="507"/>
        <v>91</v>
      </c>
      <c r="EM102" s="180">
        <f t="shared" si="507"/>
        <v>91</v>
      </c>
      <c r="EN102" s="180">
        <f t="shared" si="507"/>
        <v>91</v>
      </c>
      <c r="EO102" s="180">
        <f t="shared" si="507"/>
        <v>91</v>
      </c>
      <c r="EQ102" s="259">
        <f t="shared" ca="1" si="398"/>
        <v>48709</v>
      </c>
      <c r="ER102" s="87">
        <f t="shared" ca="1" si="494"/>
        <v>91</v>
      </c>
      <c r="ES102" s="87">
        <f t="shared" ca="1" si="494"/>
        <v>91</v>
      </c>
      <c r="ET102" s="87">
        <f t="shared" ca="1" si="494"/>
        <v>91</v>
      </c>
      <c r="EU102" s="87">
        <f t="shared" ca="1" si="494"/>
        <v>91</v>
      </c>
      <c r="EV102" s="87">
        <f t="shared" ca="1" si="494"/>
        <v>91</v>
      </c>
      <c r="EW102" s="87">
        <f t="shared" ca="1" si="494"/>
        <v>91</v>
      </c>
      <c r="EX102" s="87">
        <f t="shared" ca="1" si="494"/>
        <v>91</v>
      </c>
      <c r="EY102" s="87">
        <f t="shared" ca="1" si="494"/>
        <v>91</v>
      </c>
      <c r="EZ102" s="87">
        <f t="shared" ca="1" si="494"/>
        <v>91</v>
      </c>
      <c r="FA102" s="87">
        <f t="shared" ca="1" si="494"/>
        <v>91</v>
      </c>
      <c r="FB102" s="87">
        <f t="shared" ca="1" si="494"/>
        <v>91</v>
      </c>
      <c r="FC102" s="87">
        <f t="shared" ca="1" si="494"/>
        <v>91</v>
      </c>
      <c r="FD102" s="87">
        <f t="shared" ca="1" si="494"/>
        <v>91</v>
      </c>
      <c r="FE102" s="87">
        <f t="shared" ca="1" si="494"/>
        <v>91</v>
      </c>
      <c r="FF102" s="87">
        <f t="shared" ca="1" si="494"/>
        <v>91</v>
      </c>
      <c r="FG102" s="87">
        <f t="shared" ca="1" si="495"/>
        <v>91</v>
      </c>
      <c r="FH102" s="87">
        <f t="shared" ca="1" si="495"/>
        <v>91</v>
      </c>
      <c r="FI102" s="87">
        <f t="shared" ca="1" si="495"/>
        <v>91</v>
      </c>
      <c r="FJ102" s="87">
        <f t="shared" ca="1" si="495"/>
        <v>91</v>
      </c>
      <c r="FK102" s="87">
        <f t="shared" ca="1" si="495"/>
        <v>91</v>
      </c>
      <c r="FL102" s="87">
        <f t="shared" ca="1" si="495"/>
        <v>91</v>
      </c>
      <c r="FM102" s="87">
        <f t="shared" ca="1" si="495"/>
        <v>91</v>
      </c>
      <c r="FN102" s="87">
        <f t="shared" ca="1" si="495"/>
        <v>91</v>
      </c>
      <c r="FO102" s="87">
        <f t="shared" ca="1" si="495"/>
        <v>91</v>
      </c>
      <c r="FP102" s="87">
        <f t="shared" ca="1" si="495"/>
        <v>91</v>
      </c>
    </row>
    <row r="103" spans="2:172" ht="12.75" hidden="1" customHeight="1" x14ac:dyDescent="0.25">
      <c r="B103" s="87">
        <v>45</v>
      </c>
      <c r="C103" s="181">
        <f t="shared" ca="1" si="450"/>
        <v>47524</v>
      </c>
      <c r="D103" s="380">
        <f t="shared" ca="1" si="487"/>
        <v>0.43507996661633214</v>
      </c>
      <c r="E103" s="380">
        <f t="shared" si="487"/>
        <v>0</v>
      </c>
      <c r="F103" s="380">
        <f t="shared" si="487"/>
        <v>0</v>
      </c>
      <c r="G103" s="380">
        <f t="shared" si="487"/>
        <v>0</v>
      </c>
      <c r="H103" s="380">
        <f t="shared" si="487"/>
        <v>0</v>
      </c>
      <c r="I103" s="380">
        <f t="shared" si="487"/>
        <v>0</v>
      </c>
      <c r="J103" s="380">
        <f t="shared" si="487"/>
        <v>0</v>
      </c>
      <c r="K103" s="380">
        <f t="shared" si="487"/>
        <v>0</v>
      </c>
      <c r="L103" s="380">
        <f t="shared" si="487"/>
        <v>0</v>
      </c>
      <c r="M103" s="380">
        <f t="shared" si="487"/>
        <v>0</v>
      </c>
      <c r="N103" s="380">
        <f t="shared" si="488"/>
        <v>0</v>
      </c>
      <c r="O103" s="380">
        <f t="shared" si="488"/>
        <v>0</v>
      </c>
      <c r="P103" s="380">
        <f t="shared" si="488"/>
        <v>0</v>
      </c>
      <c r="Q103" s="380">
        <f t="shared" si="488"/>
        <v>0</v>
      </c>
      <c r="R103" s="380">
        <f t="shared" si="488"/>
        <v>0</v>
      </c>
      <c r="S103" s="380">
        <f t="shared" si="488"/>
        <v>0</v>
      </c>
      <c r="T103" s="380">
        <f t="shared" si="488"/>
        <v>0</v>
      </c>
      <c r="U103" s="175"/>
      <c r="X103" s="87">
        <v>88</v>
      </c>
      <c r="Y103" s="377">
        <f t="shared" si="361"/>
        <v>0</v>
      </c>
      <c r="Z103" s="377">
        <f t="shared" si="362"/>
        <v>0</v>
      </c>
      <c r="AA103" s="377">
        <f t="shared" si="363"/>
        <v>0</v>
      </c>
      <c r="AB103" s="377">
        <f t="shared" si="364"/>
        <v>0</v>
      </c>
      <c r="AC103" s="377">
        <f t="shared" si="365"/>
        <v>0</v>
      </c>
      <c r="AD103" s="377">
        <f t="shared" si="366"/>
        <v>0</v>
      </c>
      <c r="AE103" s="377">
        <f t="shared" si="367"/>
        <v>0</v>
      </c>
      <c r="AF103" s="377">
        <f t="shared" si="368"/>
        <v>0</v>
      </c>
      <c r="AG103" s="377">
        <f t="shared" si="369"/>
        <v>0</v>
      </c>
      <c r="AH103" s="377">
        <f t="shared" si="370"/>
        <v>0</v>
      </c>
      <c r="AI103" s="377">
        <f t="shared" si="371"/>
        <v>0</v>
      </c>
      <c r="AJ103" s="377">
        <f t="shared" si="372"/>
        <v>0</v>
      </c>
      <c r="AK103" s="377">
        <f t="shared" si="373"/>
        <v>0</v>
      </c>
      <c r="AL103" s="377">
        <f t="shared" si="374"/>
        <v>0</v>
      </c>
      <c r="AM103" s="377">
        <f t="shared" si="375"/>
        <v>0</v>
      </c>
      <c r="AN103" s="377">
        <f t="shared" si="376"/>
        <v>0</v>
      </c>
      <c r="AO103" s="377">
        <f t="shared" si="377"/>
        <v>0</v>
      </c>
      <c r="AQ103" s="138">
        <v>80</v>
      </c>
      <c r="AR103" s="258">
        <f t="shared" ca="1" si="420"/>
        <v>48589</v>
      </c>
      <c r="AS103" s="378">
        <f t="shared" si="421"/>
        <v>0</v>
      </c>
      <c r="AT103" s="138"/>
      <c r="AU103" s="138">
        <v>80</v>
      </c>
      <c r="AV103" s="258">
        <f t="shared" ca="1" si="422"/>
        <v>48620</v>
      </c>
      <c r="AW103" s="378">
        <f t="shared" si="423"/>
        <v>91</v>
      </c>
      <c r="AX103" s="202">
        <f t="shared" ca="1" si="424"/>
        <v>20.27</v>
      </c>
      <c r="AY103" s="138">
        <v>80</v>
      </c>
      <c r="AZ103" s="258">
        <f t="shared" ca="1" si="425"/>
        <v>48620</v>
      </c>
      <c r="BA103" s="378">
        <f t="shared" si="426"/>
        <v>91</v>
      </c>
      <c r="BC103" s="258">
        <f t="shared" ca="1" si="411"/>
        <v>48589</v>
      </c>
      <c r="BD103" s="302">
        <f t="shared" ca="1" si="427"/>
        <v>91</v>
      </c>
      <c r="BE103" s="133">
        <f t="shared" si="412"/>
        <v>80</v>
      </c>
      <c r="BF103" s="379">
        <f t="shared" ca="1" si="413"/>
        <v>48589</v>
      </c>
      <c r="BG103" s="133">
        <f t="shared" si="428"/>
        <v>91</v>
      </c>
      <c r="BH103" s="133">
        <f t="shared" si="429"/>
        <v>0</v>
      </c>
      <c r="BI103" s="133">
        <f t="shared" si="430"/>
        <v>0</v>
      </c>
      <c r="BJ103" s="133">
        <f t="shared" si="431"/>
        <v>0</v>
      </c>
      <c r="BK103" s="133">
        <f t="shared" si="432"/>
        <v>0</v>
      </c>
      <c r="BL103" s="133">
        <f t="shared" si="433"/>
        <v>0</v>
      </c>
      <c r="BM103" s="133">
        <f t="shared" si="434"/>
        <v>0</v>
      </c>
      <c r="BN103" s="133">
        <f t="shared" si="435"/>
        <v>0</v>
      </c>
      <c r="BO103" s="133">
        <f t="shared" si="436"/>
        <v>0</v>
      </c>
      <c r="BP103" s="133">
        <f t="shared" si="437"/>
        <v>0</v>
      </c>
      <c r="BQ103" s="133">
        <f t="shared" si="438"/>
        <v>0</v>
      </c>
      <c r="BR103" s="133">
        <f t="shared" si="439"/>
        <v>0</v>
      </c>
      <c r="BS103" s="133">
        <f t="shared" si="440"/>
        <v>0</v>
      </c>
      <c r="BT103" s="133">
        <f t="shared" si="441"/>
        <v>0</v>
      </c>
      <c r="BU103" s="133">
        <f t="shared" si="442"/>
        <v>0</v>
      </c>
      <c r="BV103" s="133">
        <f t="shared" si="443"/>
        <v>0</v>
      </c>
      <c r="BW103" s="133">
        <f t="shared" si="444"/>
        <v>0</v>
      </c>
      <c r="BX103" s="267"/>
      <c r="BY103" s="267"/>
      <c r="BZ103" s="267"/>
      <c r="CA103" s="267"/>
      <c r="CB103" s="267"/>
      <c r="CC103" s="267"/>
      <c r="CD103" s="267"/>
      <c r="CE103" s="267"/>
      <c r="CF103" s="267"/>
      <c r="CG103" s="267"/>
      <c r="CS103" s="87">
        <v>85</v>
      </c>
      <c r="CT103" s="259">
        <f t="shared" ca="1" si="386"/>
        <v>48770</v>
      </c>
      <c r="CU103" s="179">
        <f t="shared" ref="CU103:DC103" ca="1" si="508">(($AW108/(1+CU$18)^(($AZ108-$AZ$23)/30)))+($AS108/(1+CU$18)^(($AZ108-$AZ$23)/30))</f>
        <v>18.491077875011314</v>
      </c>
      <c r="CV103" s="179">
        <f t="shared" ca="1" si="508"/>
        <v>19.297507784331366</v>
      </c>
      <c r="CW103" s="179">
        <f t="shared" ca="1" si="508"/>
        <v>19.798349850845984</v>
      </c>
      <c r="CX103" s="179">
        <f t="shared" ca="1" si="508"/>
        <v>20.312344074117973</v>
      </c>
      <c r="CY103" s="179">
        <f t="shared" ca="1" si="508"/>
        <v>20.839839862776746</v>
      </c>
      <c r="CZ103" s="179">
        <f t="shared" ca="1" si="508"/>
        <v>21.381196015240405</v>
      </c>
      <c r="DA103" s="179">
        <f t="shared" ca="1" si="508"/>
        <v>21.749981861588033</v>
      </c>
      <c r="DB103" s="179">
        <f t="shared" ca="1" si="508"/>
        <v>22.506973092527105</v>
      </c>
      <c r="DC103" s="179">
        <f t="shared" ca="1" si="508"/>
        <v>22.895407696901291</v>
      </c>
      <c r="DD103" s="179">
        <f t="shared" ref="DD103:DI103" ca="1" si="509">(($AW108/(1+DD$18)^(($AZ108-$AZ$23)/30)))+($AS108/(1+DD$18)^(($AZ108-$AZ$23)/30))</f>
        <v>23.290624523914776</v>
      </c>
      <c r="DE103" s="179">
        <f t="shared" ca="1" si="509"/>
        <v>23.692743364329356</v>
      </c>
      <c r="DF103" s="179" t="e">
        <f t="shared" ca="1" si="509"/>
        <v>#VALUE!</v>
      </c>
      <c r="DG103" s="179" t="e">
        <f t="shared" ca="1" si="509"/>
        <v>#VALUE!</v>
      </c>
      <c r="DH103" s="179" t="e">
        <f t="shared" ca="1" si="509"/>
        <v>#VALUE!</v>
      </c>
      <c r="DI103" s="179" t="e">
        <f t="shared" ca="1" si="509"/>
        <v>#VALUE!</v>
      </c>
      <c r="DJ103" s="179" t="e">
        <f t="shared" ref="DJ103:DQ103" ca="1" si="510">(($AW108/(1+DJ$18)^(($AZ108-$AZ$23)/30)))+($AS108/(1+DJ$18)^(($AZ108-$AZ$23)/30))</f>
        <v>#VALUE!</v>
      </c>
      <c r="DK103" s="179" t="e">
        <f t="shared" ca="1" si="510"/>
        <v>#VALUE!</v>
      </c>
      <c r="DL103" s="179" t="e">
        <f t="shared" ca="1" si="510"/>
        <v>#VALUE!</v>
      </c>
      <c r="DM103" s="179" t="e">
        <f t="shared" ca="1" si="510"/>
        <v>#VALUE!</v>
      </c>
      <c r="DN103" s="179" t="e">
        <f t="shared" ca="1" si="510"/>
        <v>#VALUE!</v>
      </c>
      <c r="DO103" s="179" t="e">
        <f t="shared" ca="1" si="510"/>
        <v>#VALUE!</v>
      </c>
      <c r="DP103" s="179" t="e">
        <f t="shared" ca="1" si="510"/>
        <v>#VALUE!</v>
      </c>
      <c r="DQ103" s="179" t="e">
        <f t="shared" ca="1" si="510"/>
        <v>#VALUE!</v>
      </c>
      <c r="DR103" s="180">
        <f t="shared" si="396"/>
        <v>91</v>
      </c>
      <c r="DS103" s="180">
        <f t="shared" si="492"/>
        <v>91</v>
      </c>
      <c r="DT103" s="180">
        <f t="shared" si="492"/>
        <v>91</v>
      </c>
      <c r="DU103" s="180">
        <f t="shared" si="492"/>
        <v>91</v>
      </c>
      <c r="DV103" s="180">
        <f t="shared" si="492"/>
        <v>91</v>
      </c>
      <c r="DW103" s="180">
        <f t="shared" si="492"/>
        <v>91</v>
      </c>
      <c r="DX103" s="180">
        <f t="shared" si="492"/>
        <v>91</v>
      </c>
      <c r="DY103" s="180">
        <f t="shared" si="492"/>
        <v>91</v>
      </c>
      <c r="DZ103" s="180">
        <f t="shared" si="492"/>
        <v>91</v>
      </c>
      <c r="EA103" s="180">
        <f t="shared" si="492"/>
        <v>91</v>
      </c>
      <c r="EB103" s="180">
        <f t="shared" si="492"/>
        <v>91</v>
      </c>
      <c r="EC103" s="180">
        <f t="shared" si="492"/>
        <v>91</v>
      </c>
      <c r="ED103" s="180">
        <f t="shared" si="492"/>
        <v>91</v>
      </c>
      <c r="EE103" s="180">
        <f t="shared" si="492"/>
        <v>91</v>
      </c>
      <c r="EF103" s="180">
        <f t="shared" si="492"/>
        <v>91</v>
      </c>
      <c r="EG103" s="180">
        <f t="shared" ref="EG103:EO103" si="511">IF($AU108&gt;$BA$19,0,$BA108-$AS108)</f>
        <v>91</v>
      </c>
      <c r="EH103" s="180">
        <f t="shared" si="511"/>
        <v>91</v>
      </c>
      <c r="EI103" s="180">
        <f t="shared" si="511"/>
        <v>91</v>
      </c>
      <c r="EJ103" s="180">
        <f t="shared" si="511"/>
        <v>91</v>
      </c>
      <c r="EK103" s="180">
        <f t="shared" si="511"/>
        <v>91</v>
      </c>
      <c r="EL103" s="180">
        <f t="shared" si="511"/>
        <v>91</v>
      </c>
      <c r="EM103" s="180">
        <f t="shared" si="511"/>
        <v>91</v>
      </c>
      <c r="EN103" s="180">
        <f t="shared" si="511"/>
        <v>91</v>
      </c>
      <c r="EO103" s="180">
        <f t="shared" si="511"/>
        <v>91</v>
      </c>
      <c r="EQ103" s="259">
        <f t="shared" ca="1" si="398"/>
        <v>48740</v>
      </c>
      <c r="ER103" s="87">
        <f t="shared" ca="1" si="494"/>
        <v>91</v>
      </c>
      <c r="ES103" s="87">
        <f t="shared" ca="1" si="494"/>
        <v>91</v>
      </c>
      <c r="ET103" s="87">
        <f t="shared" ca="1" si="494"/>
        <v>91</v>
      </c>
      <c r="EU103" s="87">
        <f t="shared" ca="1" si="494"/>
        <v>91</v>
      </c>
      <c r="EV103" s="87">
        <f t="shared" ca="1" si="494"/>
        <v>91</v>
      </c>
      <c r="EW103" s="87">
        <f t="shared" ca="1" si="494"/>
        <v>91</v>
      </c>
      <c r="EX103" s="87">
        <f t="shared" ca="1" si="494"/>
        <v>91</v>
      </c>
      <c r="EY103" s="87">
        <f t="shared" ca="1" si="494"/>
        <v>91</v>
      </c>
      <c r="EZ103" s="87">
        <f t="shared" ca="1" si="494"/>
        <v>91</v>
      </c>
      <c r="FA103" s="87">
        <f t="shared" ca="1" si="494"/>
        <v>91</v>
      </c>
      <c r="FB103" s="87">
        <f t="shared" ca="1" si="494"/>
        <v>91</v>
      </c>
      <c r="FC103" s="87">
        <f t="shared" ca="1" si="494"/>
        <v>91</v>
      </c>
      <c r="FD103" s="87">
        <f t="shared" ca="1" si="494"/>
        <v>91</v>
      </c>
      <c r="FE103" s="87">
        <f t="shared" ca="1" si="494"/>
        <v>91</v>
      </c>
      <c r="FF103" s="87">
        <f t="shared" ca="1" si="494"/>
        <v>91</v>
      </c>
      <c r="FG103" s="87">
        <f t="shared" ca="1" si="495"/>
        <v>91</v>
      </c>
      <c r="FH103" s="87">
        <f t="shared" ca="1" si="495"/>
        <v>91</v>
      </c>
      <c r="FI103" s="87">
        <f t="shared" ca="1" si="495"/>
        <v>91</v>
      </c>
      <c r="FJ103" s="87">
        <f t="shared" ca="1" si="495"/>
        <v>91</v>
      </c>
      <c r="FK103" s="87">
        <f t="shared" ca="1" si="495"/>
        <v>91</v>
      </c>
      <c r="FL103" s="87">
        <f t="shared" ca="1" si="495"/>
        <v>91</v>
      </c>
      <c r="FM103" s="87">
        <f t="shared" ca="1" si="495"/>
        <v>91</v>
      </c>
      <c r="FN103" s="87">
        <f t="shared" ca="1" si="495"/>
        <v>91</v>
      </c>
      <c r="FO103" s="87">
        <f t="shared" ca="1" si="495"/>
        <v>91</v>
      </c>
      <c r="FP103" s="87">
        <f t="shared" ca="1" si="495"/>
        <v>91</v>
      </c>
    </row>
    <row r="104" spans="2:172" ht="12.75" hidden="1" customHeight="1" x14ac:dyDescent="0.25">
      <c r="B104" s="87">
        <v>46</v>
      </c>
      <c r="C104" s="181">
        <f t="shared" ca="1" si="450"/>
        <v>47552</v>
      </c>
      <c r="D104" s="380">
        <f t="shared" ca="1" si="487"/>
        <v>0.42769954550786848</v>
      </c>
      <c r="E104" s="380">
        <f t="shared" si="487"/>
        <v>0</v>
      </c>
      <c r="F104" s="380">
        <f t="shared" si="487"/>
        <v>0</v>
      </c>
      <c r="G104" s="380">
        <f t="shared" si="487"/>
        <v>0</v>
      </c>
      <c r="H104" s="380">
        <f t="shared" si="487"/>
        <v>0</v>
      </c>
      <c r="I104" s="380">
        <f t="shared" si="487"/>
        <v>0</v>
      </c>
      <c r="J104" s="380">
        <f t="shared" si="487"/>
        <v>0</v>
      </c>
      <c r="K104" s="380">
        <f t="shared" si="487"/>
        <v>0</v>
      </c>
      <c r="L104" s="380">
        <f t="shared" si="487"/>
        <v>0</v>
      </c>
      <c r="M104" s="380">
        <f t="shared" si="487"/>
        <v>0</v>
      </c>
      <c r="N104" s="380">
        <f t="shared" si="488"/>
        <v>0</v>
      </c>
      <c r="O104" s="380">
        <f t="shared" si="488"/>
        <v>0</v>
      </c>
      <c r="P104" s="380">
        <f t="shared" si="488"/>
        <v>0</v>
      </c>
      <c r="Q104" s="380">
        <f t="shared" si="488"/>
        <v>0</v>
      </c>
      <c r="R104" s="380">
        <f t="shared" si="488"/>
        <v>0</v>
      </c>
      <c r="S104" s="380">
        <f t="shared" si="488"/>
        <v>0</v>
      </c>
      <c r="T104" s="380">
        <f t="shared" si="488"/>
        <v>0</v>
      </c>
      <c r="U104" s="175"/>
      <c r="X104" s="87">
        <v>89</v>
      </c>
      <c r="Y104" s="377">
        <f t="shared" si="361"/>
        <v>0</v>
      </c>
      <c r="Z104" s="377">
        <f t="shared" si="362"/>
        <v>0</v>
      </c>
      <c r="AA104" s="377">
        <f t="shared" si="363"/>
        <v>0</v>
      </c>
      <c r="AB104" s="377">
        <f t="shared" si="364"/>
        <v>0</v>
      </c>
      <c r="AC104" s="377">
        <f t="shared" si="365"/>
        <v>0</v>
      </c>
      <c r="AD104" s="377">
        <f t="shared" si="366"/>
        <v>0</v>
      </c>
      <c r="AE104" s="377">
        <f t="shared" si="367"/>
        <v>0</v>
      </c>
      <c r="AF104" s="377">
        <f t="shared" si="368"/>
        <v>0</v>
      </c>
      <c r="AG104" s="377">
        <f t="shared" si="369"/>
        <v>0</v>
      </c>
      <c r="AH104" s="377">
        <f t="shared" si="370"/>
        <v>0</v>
      </c>
      <c r="AI104" s="377">
        <f t="shared" si="371"/>
        <v>0</v>
      </c>
      <c r="AJ104" s="377">
        <f t="shared" si="372"/>
        <v>0</v>
      </c>
      <c r="AK104" s="377">
        <f t="shared" si="373"/>
        <v>0</v>
      </c>
      <c r="AL104" s="377">
        <f t="shared" si="374"/>
        <v>0</v>
      </c>
      <c r="AM104" s="377">
        <f t="shared" si="375"/>
        <v>0</v>
      </c>
      <c r="AN104" s="377">
        <f t="shared" si="376"/>
        <v>0</v>
      </c>
      <c r="AO104" s="377">
        <f t="shared" si="377"/>
        <v>0</v>
      </c>
      <c r="AQ104" s="138">
        <v>81</v>
      </c>
      <c r="AR104" s="258">
        <f t="shared" ca="1" si="420"/>
        <v>48620</v>
      </c>
      <c r="AS104" s="378">
        <f t="shared" si="421"/>
        <v>0</v>
      </c>
      <c r="AT104" s="138"/>
      <c r="AU104" s="138">
        <v>81</v>
      </c>
      <c r="AV104" s="258">
        <f t="shared" ca="1" si="422"/>
        <v>48648</v>
      </c>
      <c r="AW104" s="378">
        <f t="shared" si="423"/>
        <v>91</v>
      </c>
      <c r="AX104" s="202">
        <f t="shared" ca="1" si="424"/>
        <v>19.920000000000002</v>
      </c>
      <c r="AY104" s="138">
        <v>81</v>
      </c>
      <c r="AZ104" s="258">
        <f t="shared" ca="1" si="425"/>
        <v>48648</v>
      </c>
      <c r="BA104" s="378">
        <f t="shared" si="426"/>
        <v>91</v>
      </c>
      <c r="BC104" s="258">
        <f t="shared" ca="1" si="411"/>
        <v>48620</v>
      </c>
      <c r="BD104" s="302">
        <f t="shared" ca="1" si="427"/>
        <v>91</v>
      </c>
      <c r="BE104" s="133">
        <f t="shared" si="412"/>
        <v>81</v>
      </c>
      <c r="BF104" s="379">
        <f t="shared" ca="1" si="413"/>
        <v>48620</v>
      </c>
      <c r="BG104" s="133">
        <f t="shared" si="428"/>
        <v>91</v>
      </c>
      <c r="BH104" s="133">
        <f t="shared" si="429"/>
        <v>0</v>
      </c>
      <c r="BI104" s="133">
        <f t="shared" si="430"/>
        <v>0</v>
      </c>
      <c r="BJ104" s="133">
        <f t="shared" si="431"/>
        <v>0</v>
      </c>
      <c r="BK104" s="133">
        <f t="shared" si="432"/>
        <v>0</v>
      </c>
      <c r="BL104" s="133">
        <f t="shared" si="433"/>
        <v>0</v>
      </c>
      <c r="BM104" s="133">
        <f t="shared" si="434"/>
        <v>0</v>
      </c>
      <c r="BN104" s="133">
        <f t="shared" si="435"/>
        <v>0</v>
      </c>
      <c r="BO104" s="133">
        <f t="shared" si="436"/>
        <v>0</v>
      </c>
      <c r="BP104" s="133">
        <f t="shared" si="437"/>
        <v>0</v>
      </c>
      <c r="BQ104" s="133">
        <f t="shared" si="438"/>
        <v>0</v>
      </c>
      <c r="BR104" s="133">
        <f t="shared" si="439"/>
        <v>0</v>
      </c>
      <c r="BS104" s="133">
        <f t="shared" si="440"/>
        <v>0</v>
      </c>
      <c r="BT104" s="133">
        <f t="shared" si="441"/>
        <v>0</v>
      </c>
      <c r="BU104" s="133">
        <f t="shared" si="442"/>
        <v>0</v>
      </c>
      <c r="BV104" s="133">
        <f t="shared" si="443"/>
        <v>0</v>
      </c>
      <c r="BW104" s="133">
        <f t="shared" si="444"/>
        <v>0</v>
      </c>
      <c r="BX104" s="267"/>
      <c r="BY104" s="267"/>
      <c r="BZ104" s="267"/>
      <c r="CA104" s="267"/>
      <c r="CB104" s="267"/>
      <c r="CC104" s="267"/>
      <c r="CD104" s="267"/>
      <c r="CE104" s="267"/>
      <c r="CF104" s="267"/>
      <c r="CG104" s="267"/>
      <c r="CS104" s="178">
        <v>86</v>
      </c>
      <c r="CT104" s="259">
        <f t="shared" ca="1" si="386"/>
        <v>48801</v>
      </c>
      <c r="CU104" s="179">
        <f t="shared" ref="CU104:DC104" ca="1" si="512">(($AW109/(1+CU$18)^(($AZ109-$AZ$23)/30)))+($AS109/(1+CU$18)^(($AZ109-$AZ$23)/30))</f>
        <v>18.14411653212548</v>
      </c>
      <c r="CV104" s="179">
        <f t="shared" ca="1" si="512"/>
        <v>18.945025209953364</v>
      </c>
      <c r="CW104" s="179">
        <f t="shared" ca="1" si="512"/>
        <v>19.442639660862682</v>
      </c>
      <c r="CX104" s="179">
        <f t="shared" ca="1" si="512"/>
        <v>19.953477092952575</v>
      </c>
      <c r="CY104" s="179">
        <f t="shared" ca="1" si="512"/>
        <v>20.477892932507334</v>
      </c>
      <c r="CZ104" s="179">
        <f t="shared" ca="1" si="512"/>
        <v>21.016252268540136</v>
      </c>
      <c r="DA104" s="179">
        <f t="shared" ca="1" si="512"/>
        <v>21.383089656509309</v>
      </c>
      <c r="DB104" s="179">
        <f t="shared" ca="1" si="512"/>
        <v>22.136311701098649</v>
      </c>
      <c r="DC104" s="179">
        <f t="shared" ca="1" si="512"/>
        <v>22.522929797779202</v>
      </c>
      <c r="DD104" s="179">
        <f t="shared" ref="DD104:DI104" ca="1" si="513">(($AW109/(1+DD$18)^(($AZ109-$AZ$23)/30)))+($AS109/(1+DD$18)^(($AZ109-$AZ$23)/30))</f>
        <v>22.916378424260387</v>
      </c>
      <c r="DE104" s="179">
        <f t="shared" ca="1" si="513"/>
        <v>23.316779638764853</v>
      </c>
      <c r="DF104" s="179" t="e">
        <f t="shared" ca="1" si="513"/>
        <v>#VALUE!</v>
      </c>
      <c r="DG104" s="179" t="e">
        <f t="shared" ca="1" si="513"/>
        <v>#VALUE!</v>
      </c>
      <c r="DH104" s="179" t="e">
        <f t="shared" ca="1" si="513"/>
        <v>#VALUE!</v>
      </c>
      <c r="DI104" s="179" t="e">
        <f t="shared" ca="1" si="513"/>
        <v>#VALUE!</v>
      </c>
      <c r="DJ104" s="179" t="e">
        <f t="shared" ref="DJ104:DQ104" ca="1" si="514">(($AW109/(1+DJ$18)^(($AZ109-$AZ$23)/30)))+($AS109/(1+DJ$18)^(($AZ109-$AZ$23)/30))</f>
        <v>#VALUE!</v>
      </c>
      <c r="DK104" s="179" t="e">
        <f t="shared" ca="1" si="514"/>
        <v>#VALUE!</v>
      </c>
      <c r="DL104" s="179" t="e">
        <f t="shared" ca="1" si="514"/>
        <v>#VALUE!</v>
      </c>
      <c r="DM104" s="179" t="e">
        <f t="shared" ca="1" si="514"/>
        <v>#VALUE!</v>
      </c>
      <c r="DN104" s="179" t="e">
        <f t="shared" ca="1" si="514"/>
        <v>#VALUE!</v>
      </c>
      <c r="DO104" s="179" t="e">
        <f t="shared" ca="1" si="514"/>
        <v>#VALUE!</v>
      </c>
      <c r="DP104" s="179" t="e">
        <f t="shared" ca="1" si="514"/>
        <v>#VALUE!</v>
      </c>
      <c r="DQ104" s="179" t="e">
        <f t="shared" ca="1" si="514"/>
        <v>#VALUE!</v>
      </c>
      <c r="DR104" s="180">
        <f t="shared" si="396"/>
        <v>91</v>
      </c>
      <c r="DS104" s="180">
        <f t="shared" si="492"/>
        <v>91</v>
      </c>
      <c r="DT104" s="180">
        <f t="shared" si="492"/>
        <v>91</v>
      </c>
      <c r="DU104" s="180">
        <f t="shared" si="492"/>
        <v>91</v>
      </c>
      <c r="DV104" s="180">
        <f t="shared" si="492"/>
        <v>91</v>
      </c>
      <c r="DW104" s="180">
        <f t="shared" si="492"/>
        <v>91</v>
      </c>
      <c r="DX104" s="180">
        <f t="shared" si="492"/>
        <v>91</v>
      </c>
      <c r="DY104" s="180">
        <f t="shared" si="492"/>
        <v>91</v>
      </c>
      <c r="DZ104" s="180">
        <f t="shared" si="492"/>
        <v>91</v>
      </c>
      <c r="EA104" s="180">
        <f t="shared" si="492"/>
        <v>91</v>
      </c>
      <c r="EB104" s="180">
        <f t="shared" si="492"/>
        <v>91</v>
      </c>
      <c r="EC104" s="180">
        <f t="shared" si="492"/>
        <v>91</v>
      </c>
      <c r="ED104" s="180">
        <f t="shared" si="492"/>
        <v>91</v>
      </c>
      <c r="EE104" s="180">
        <f t="shared" si="492"/>
        <v>91</v>
      </c>
      <c r="EF104" s="180">
        <f t="shared" si="492"/>
        <v>91</v>
      </c>
      <c r="EG104" s="180">
        <f t="shared" ref="EG104:EO104" si="515">IF($AU109&gt;$BA$19,0,$BA109-$AS109)</f>
        <v>91</v>
      </c>
      <c r="EH104" s="180">
        <f t="shared" si="515"/>
        <v>91</v>
      </c>
      <c r="EI104" s="180">
        <f t="shared" si="515"/>
        <v>91</v>
      </c>
      <c r="EJ104" s="180">
        <f t="shared" si="515"/>
        <v>91</v>
      </c>
      <c r="EK104" s="180">
        <f t="shared" si="515"/>
        <v>91</v>
      </c>
      <c r="EL104" s="180">
        <f t="shared" si="515"/>
        <v>91</v>
      </c>
      <c r="EM104" s="180">
        <f t="shared" si="515"/>
        <v>91</v>
      </c>
      <c r="EN104" s="180">
        <f t="shared" si="515"/>
        <v>91</v>
      </c>
      <c r="EO104" s="180">
        <f t="shared" si="515"/>
        <v>91</v>
      </c>
      <c r="EQ104" s="259">
        <f t="shared" ca="1" si="398"/>
        <v>48770</v>
      </c>
      <c r="ER104" s="87">
        <f t="shared" ca="1" si="494"/>
        <v>91</v>
      </c>
      <c r="ES104" s="87">
        <f t="shared" ca="1" si="494"/>
        <v>91</v>
      </c>
      <c r="ET104" s="87">
        <f t="shared" ca="1" si="494"/>
        <v>91</v>
      </c>
      <c r="EU104" s="87">
        <f t="shared" ca="1" si="494"/>
        <v>91</v>
      </c>
      <c r="EV104" s="87">
        <f t="shared" ca="1" si="494"/>
        <v>91</v>
      </c>
      <c r="EW104" s="87">
        <f t="shared" ca="1" si="494"/>
        <v>91</v>
      </c>
      <c r="EX104" s="87">
        <f t="shared" ca="1" si="494"/>
        <v>91</v>
      </c>
      <c r="EY104" s="87">
        <f t="shared" ca="1" si="494"/>
        <v>91</v>
      </c>
      <c r="EZ104" s="87">
        <f t="shared" ca="1" si="494"/>
        <v>91</v>
      </c>
      <c r="FA104" s="87">
        <f t="shared" ca="1" si="494"/>
        <v>91</v>
      </c>
      <c r="FB104" s="87">
        <f t="shared" ca="1" si="494"/>
        <v>91</v>
      </c>
      <c r="FC104" s="87">
        <f t="shared" ca="1" si="494"/>
        <v>91</v>
      </c>
      <c r="FD104" s="87">
        <f t="shared" ca="1" si="494"/>
        <v>91</v>
      </c>
      <c r="FE104" s="87">
        <f t="shared" ca="1" si="494"/>
        <v>91</v>
      </c>
      <c r="FF104" s="87">
        <f t="shared" ca="1" si="494"/>
        <v>91</v>
      </c>
      <c r="FG104" s="87">
        <f t="shared" ca="1" si="495"/>
        <v>91</v>
      </c>
      <c r="FH104" s="87">
        <f t="shared" ca="1" si="495"/>
        <v>91</v>
      </c>
      <c r="FI104" s="87">
        <f t="shared" ca="1" si="495"/>
        <v>91</v>
      </c>
      <c r="FJ104" s="87">
        <f t="shared" ca="1" si="495"/>
        <v>91</v>
      </c>
      <c r="FK104" s="87">
        <f t="shared" ca="1" si="495"/>
        <v>91</v>
      </c>
      <c r="FL104" s="87">
        <f t="shared" ca="1" si="495"/>
        <v>91</v>
      </c>
      <c r="FM104" s="87">
        <f t="shared" ca="1" si="495"/>
        <v>91</v>
      </c>
      <c r="FN104" s="87">
        <f t="shared" ca="1" si="495"/>
        <v>91</v>
      </c>
      <c r="FO104" s="87">
        <f t="shared" ca="1" si="495"/>
        <v>91</v>
      </c>
      <c r="FP104" s="87">
        <f t="shared" ca="1" si="495"/>
        <v>91</v>
      </c>
    </row>
    <row r="105" spans="2:172" ht="12.75" hidden="1" customHeight="1" x14ac:dyDescent="0.25">
      <c r="B105" s="87">
        <v>47</v>
      </c>
      <c r="C105" s="181">
        <f t="shared" ca="1" si="450"/>
        <v>47583</v>
      </c>
      <c r="D105" s="380">
        <f t="shared" ca="1" si="487"/>
        <v>0.41967431249202497</v>
      </c>
      <c r="E105" s="380">
        <f t="shared" si="487"/>
        <v>0</v>
      </c>
      <c r="F105" s="380">
        <f t="shared" si="487"/>
        <v>0</v>
      </c>
      <c r="G105" s="380">
        <f t="shared" si="487"/>
        <v>0</v>
      </c>
      <c r="H105" s="380">
        <f t="shared" si="487"/>
        <v>0</v>
      </c>
      <c r="I105" s="380">
        <f t="shared" si="487"/>
        <v>0</v>
      </c>
      <c r="J105" s="380">
        <f t="shared" si="487"/>
        <v>0</v>
      </c>
      <c r="K105" s="380">
        <f t="shared" si="487"/>
        <v>0</v>
      </c>
      <c r="L105" s="380">
        <f t="shared" si="487"/>
        <v>0</v>
      </c>
      <c r="M105" s="380">
        <f t="shared" si="487"/>
        <v>0</v>
      </c>
      <c r="N105" s="380">
        <f t="shared" si="488"/>
        <v>0</v>
      </c>
      <c r="O105" s="380">
        <f t="shared" si="488"/>
        <v>0</v>
      </c>
      <c r="P105" s="380">
        <f t="shared" si="488"/>
        <v>0</v>
      </c>
      <c r="Q105" s="380">
        <f t="shared" si="488"/>
        <v>0</v>
      </c>
      <c r="R105" s="380">
        <f t="shared" si="488"/>
        <v>0</v>
      </c>
      <c r="S105" s="380">
        <f t="shared" si="488"/>
        <v>0</v>
      </c>
      <c r="T105" s="380">
        <f t="shared" si="488"/>
        <v>0</v>
      </c>
      <c r="U105" s="175"/>
      <c r="X105" s="87">
        <v>90</v>
      </c>
      <c r="Y105" s="377">
        <f t="shared" si="361"/>
        <v>0</v>
      </c>
      <c r="Z105" s="377">
        <f t="shared" si="362"/>
        <v>0</v>
      </c>
      <c r="AA105" s="377">
        <f t="shared" si="363"/>
        <v>0</v>
      </c>
      <c r="AB105" s="377">
        <f t="shared" si="364"/>
        <v>0</v>
      </c>
      <c r="AC105" s="377">
        <f t="shared" si="365"/>
        <v>0</v>
      </c>
      <c r="AD105" s="377">
        <f t="shared" si="366"/>
        <v>0</v>
      </c>
      <c r="AE105" s="377">
        <f t="shared" si="367"/>
        <v>0</v>
      </c>
      <c r="AF105" s="377">
        <f t="shared" si="368"/>
        <v>0</v>
      </c>
      <c r="AG105" s="377">
        <f t="shared" si="369"/>
        <v>0</v>
      </c>
      <c r="AH105" s="377">
        <f t="shared" si="370"/>
        <v>0</v>
      </c>
      <c r="AI105" s="377">
        <f t="shared" si="371"/>
        <v>0</v>
      </c>
      <c r="AJ105" s="377">
        <f t="shared" si="372"/>
        <v>0</v>
      </c>
      <c r="AK105" s="377">
        <f t="shared" si="373"/>
        <v>0</v>
      </c>
      <c r="AL105" s="377">
        <f t="shared" si="374"/>
        <v>0</v>
      </c>
      <c r="AM105" s="377">
        <f t="shared" si="375"/>
        <v>0</v>
      </c>
      <c r="AN105" s="377">
        <f t="shared" si="376"/>
        <v>0</v>
      </c>
      <c r="AO105" s="377">
        <f t="shared" si="377"/>
        <v>0</v>
      </c>
      <c r="AQ105" s="138">
        <v>82</v>
      </c>
      <c r="AR105" s="258">
        <f t="shared" ca="1" si="420"/>
        <v>48648</v>
      </c>
      <c r="AS105" s="378">
        <f t="shared" si="421"/>
        <v>0</v>
      </c>
      <c r="AT105" s="138"/>
      <c r="AU105" s="138">
        <v>82</v>
      </c>
      <c r="AV105" s="258">
        <f t="shared" ca="1" si="422"/>
        <v>48679</v>
      </c>
      <c r="AW105" s="378">
        <f t="shared" si="423"/>
        <v>91</v>
      </c>
      <c r="AX105" s="202">
        <f t="shared" ca="1" si="424"/>
        <v>19.55</v>
      </c>
      <c r="AY105" s="138">
        <v>82</v>
      </c>
      <c r="AZ105" s="258">
        <f t="shared" ca="1" si="425"/>
        <v>48679</v>
      </c>
      <c r="BA105" s="378">
        <f t="shared" si="426"/>
        <v>91</v>
      </c>
      <c r="BC105" s="258">
        <f t="shared" ca="1" si="411"/>
        <v>48648</v>
      </c>
      <c r="BD105" s="302">
        <f t="shared" ca="1" si="427"/>
        <v>91</v>
      </c>
      <c r="BE105" s="133">
        <f t="shared" si="412"/>
        <v>82</v>
      </c>
      <c r="BF105" s="379">
        <f t="shared" ca="1" si="413"/>
        <v>48648</v>
      </c>
      <c r="BG105" s="133">
        <f t="shared" si="428"/>
        <v>91</v>
      </c>
      <c r="BH105" s="133">
        <f t="shared" si="429"/>
        <v>0</v>
      </c>
      <c r="BI105" s="133">
        <f t="shared" si="430"/>
        <v>0</v>
      </c>
      <c r="BJ105" s="133">
        <f t="shared" si="431"/>
        <v>0</v>
      </c>
      <c r="BK105" s="133">
        <f t="shared" si="432"/>
        <v>0</v>
      </c>
      <c r="BL105" s="133">
        <f t="shared" si="433"/>
        <v>0</v>
      </c>
      <c r="BM105" s="133">
        <f t="shared" si="434"/>
        <v>0</v>
      </c>
      <c r="BN105" s="133">
        <f t="shared" si="435"/>
        <v>0</v>
      </c>
      <c r="BO105" s="133">
        <f t="shared" si="436"/>
        <v>0</v>
      </c>
      <c r="BP105" s="133">
        <f t="shared" si="437"/>
        <v>0</v>
      </c>
      <c r="BQ105" s="133">
        <f t="shared" si="438"/>
        <v>0</v>
      </c>
      <c r="BR105" s="133">
        <f t="shared" si="439"/>
        <v>0</v>
      </c>
      <c r="BS105" s="133">
        <f t="shared" si="440"/>
        <v>0</v>
      </c>
      <c r="BT105" s="133">
        <f t="shared" si="441"/>
        <v>0</v>
      </c>
      <c r="BU105" s="133">
        <f t="shared" si="442"/>
        <v>0</v>
      </c>
      <c r="BV105" s="133">
        <f t="shared" si="443"/>
        <v>0</v>
      </c>
      <c r="BW105" s="133">
        <f t="shared" si="444"/>
        <v>0</v>
      </c>
      <c r="BX105" s="267"/>
      <c r="BY105" s="267"/>
      <c r="BZ105" s="267"/>
      <c r="CA105" s="267"/>
      <c r="CB105" s="267"/>
      <c r="CC105" s="267"/>
      <c r="CD105" s="267"/>
      <c r="CE105" s="267"/>
      <c r="CF105" s="267"/>
      <c r="CG105" s="267"/>
      <c r="CS105" s="138">
        <v>87</v>
      </c>
      <c r="CT105" s="259">
        <f t="shared" ca="1" si="386"/>
        <v>48832</v>
      </c>
      <c r="CU105" s="179">
        <f t="shared" ref="CU105:DC105" ca="1" si="516">(($AW110/(1+CU$18)^(($AZ110-$AZ$23)/30)))+($AS110/(1+CU$18)^(($AZ110-$AZ$23)/30))</f>
        <v>17.803665473511256</v>
      </c>
      <c r="CV105" s="179">
        <f t="shared" ca="1" si="516"/>
        <v>18.598980978113104</v>
      </c>
      <c r="CW105" s="179">
        <f t="shared" ca="1" si="516"/>
        <v>19.093320394376061</v>
      </c>
      <c r="CX105" s="179">
        <f t="shared" ca="1" si="516"/>
        <v>19.600950370188688</v>
      </c>
      <c r="CY105" s="179">
        <f t="shared" ca="1" si="516"/>
        <v>20.122232306796651</v>
      </c>
      <c r="CZ105" s="179">
        <f t="shared" ca="1" si="516"/>
        <v>20.657537543741196</v>
      </c>
      <c r="DA105" s="179">
        <f t="shared" ca="1" si="516"/>
        <v>21.022386417058467</v>
      </c>
      <c r="DB105" s="179">
        <f t="shared" ca="1" si="516"/>
        <v>21.771754634162516</v>
      </c>
      <c r="DC105" s="179">
        <f t="shared" ca="1" si="516"/>
        <v>22.156511619766739</v>
      </c>
      <c r="DD105" s="179">
        <f t="shared" ref="DD105:DI105" ca="1" si="517">(($AW110/(1+DD$18)^(($AZ110-$AZ$23)/30)))+($AS110/(1+DD$18)^(($AZ110-$AZ$23)/30))</f>
        <v>22.548145909298078</v>
      </c>
      <c r="DE105" s="179">
        <f t="shared" ca="1" si="517"/>
        <v>22.946781821021414</v>
      </c>
      <c r="DF105" s="179" t="e">
        <f t="shared" ca="1" si="517"/>
        <v>#VALUE!</v>
      </c>
      <c r="DG105" s="179" t="e">
        <f t="shared" ca="1" si="517"/>
        <v>#VALUE!</v>
      </c>
      <c r="DH105" s="179" t="e">
        <f t="shared" ca="1" si="517"/>
        <v>#VALUE!</v>
      </c>
      <c r="DI105" s="179" t="e">
        <f t="shared" ca="1" si="517"/>
        <v>#VALUE!</v>
      </c>
      <c r="DJ105" s="179" t="e">
        <f t="shared" ref="DJ105:DQ105" ca="1" si="518">(($AW110/(1+DJ$18)^(($AZ110-$AZ$23)/30)))+($AS110/(1+DJ$18)^(($AZ110-$AZ$23)/30))</f>
        <v>#VALUE!</v>
      </c>
      <c r="DK105" s="179" t="e">
        <f t="shared" ca="1" si="518"/>
        <v>#VALUE!</v>
      </c>
      <c r="DL105" s="179" t="e">
        <f t="shared" ca="1" si="518"/>
        <v>#VALUE!</v>
      </c>
      <c r="DM105" s="179" t="e">
        <f t="shared" ca="1" si="518"/>
        <v>#VALUE!</v>
      </c>
      <c r="DN105" s="179" t="e">
        <f t="shared" ca="1" si="518"/>
        <v>#VALUE!</v>
      </c>
      <c r="DO105" s="179" t="e">
        <f t="shared" ca="1" si="518"/>
        <v>#VALUE!</v>
      </c>
      <c r="DP105" s="179" t="e">
        <f t="shared" ca="1" si="518"/>
        <v>#VALUE!</v>
      </c>
      <c r="DQ105" s="179" t="e">
        <f t="shared" ca="1" si="518"/>
        <v>#VALUE!</v>
      </c>
      <c r="DR105" s="180">
        <f t="shared" si="396"/>
        <v>91</v>
      </c>
      <c r="DS105" s="180">
        <f t="shared" si="492"/>
        <v>91</v>
      </c>
      <c r="DT105" s="180">
        <f t="shared" si="492"/>
        <v>91</v>
      </c>
      <c r="DU105" s="180">
        <f t="shared" si="492"/>
        <v>91</v>
      </c>
      <c r="DV105" s="180">
        <f t="shared" si="492"/>
        <v>91</v>
      </c>
      <c r="DW105" s="180">
        <f t="shared" si="492"/>
        <v>91</v>
      </c>
      <c r="DX105" s="180">
        <f t="shared" si="492"/>
        <v>91</v>
      </c>
      <c r="DY105" s="180">
        <f t="shared" si="492"/>
        <v>91</v>
      </c>
      <c r="DZ105" s="180">
        <f t="shared" si="492"/>
        <v>91</v>
      </c>
      <c r="EA105" s="180">
        <f t="shared" si="492"/>
        <v>91</v>
      </c>
      <c r="EB105" s="180">
        <f t="shared" si="492"/>
        <v>91</v>
      </c>
      <c r="EC105" s="180">
        <f t="shared" si="492"/>
        <v>91</v>
      </c>
      <c r="ED105" s="180">
        <f t="shared" si="492"/>
        <v>91</v>
      </c>
      <c r="EE105" s="180">
        <f t="shared" si="492"/>
        <v>91</v>
      </c>
      <c r="EF105" s="180">
        <f t="shared" si="492"/>
        <v>91</v>
      </c>
      <c r="EG105" s="180">
        <f t="shared" ref="EG105:EO105" si="519">IF($AU110&gt;$BA$19,0,$BA110-$AS110)</f>
        <v>91</v>
      </c>
      <c r="EH105" s="180">
        <f t="shared" si="519"/>
        <v>91</v>
      </c>
      <c r="EI105" s="180">
        <f t="shared" si="519"/>
        <v>91</v>
      </c>
      <c r="EJ105" s="180">
        <f t="shared" si="519"/>
        <v>91</v>
      </c>
      <c r="EK105" s="180">
        <f t="shared" si="519"/>
        <v>91</v>
      </c>
      <c r="EL105" s="180">
        <f t="shared" si="519"/>
        <v>91</v>
      </c>
      <c r="EM105" s="180">
        <f t="shared" si="519"/>
        <v>91</v>
      </c>
      <c r="EN105" s="180">
        <f t="shared" si="519"/>
        <v>91</v>
      </c>
      <c r="EO105" s="180">
        <f t="shared" si="519"/>
        <v>91</v>
      </c>
      <c r="EQ105" s="259">
        <f t="shared" ca="1" si="398"/>
        <v>48801</v>
      </c>
      <c r="ER105" s="87">
        <f t="shared" ca="1" si="494"/>
        <v>91</v>
      </c>
      <c r="ES105" s="87">
        <f t="shared" ca="1" si="494"/>
        <v>91</v>
      </c>
      <c r="ET105" s="87">
        <f t="shared" ca="1" si="494"/>
        <v>91</v>
      </c>
      <c r="EU105" s="87">
        <f t="shared" ca="1" si="494"/>
        <v>91</v>
      </c>
      <c r="EV105" s="87">
        <f t="shared" ca="1" si="494"/>
        <v>91</v>
      </c>
      <c r="EW105" s="87">
        <f t="shared" ca="1" si="494"/>
        <v>91</v>
      </c>
      <c r="EX105" s="87">
        <f t="shared" ca="1" si="494"/>
        <v>91</v>
      </c>
      <c r="EY105" s="87">
        <f t="shared" ca="1" si="494"/>
        <v>91</v>
      </c>
      <c r="EZ105" s="87">
        <f t="shared" ca="1" si="494"/>
        <v>91</v>
      </c>
      <c r="FA105" s="87">
        <f t="shared" ca="1" si="494"/>
        <v>91</v>
      </c>
      <c r="FB105" s="87">
        <f t="shared" ca="1" si="494"/>
        <v>91</v>
      </c>
      <c r="FC105" s="87">
        <f t="shared" ca="1" si="494"/>
        <v>91</v>
      </c>
      <c r="FD105" s="87">
        <f t="shared" ca="1" si="494"/>
        <v>91</v>
      </c>
      <c r="FE105" s="87">
        <f t="shared" ca="1" si="494"/>
        <v>91</v>
      </c>
      <c r="FF105" s="87">
        <f t="shared" ca="1" si="494"/>
        <v>91</v>
      </c>
      <c r="FG105" s="87">
        <f t="shared" ca="1" si="495"/>
        <v>91</v>
      </c>
      <c r="FH105" s="87">
        <f t="shared" ca="1" si="495"/>
        <v>91</v>
      </c>
      <c r="FI105" s="87">
        <f t="shared" ca="1" si="495"/>
        <v>91</v>
      </c>
      <c r="FJ105" s="87">
        <f t="shared" ca="1" si="495"/>
        <v>91</v>
      </c>
      <c r="FK105" s="87">
        <f t="shared" ca="1" si="495"/>
        <v>91</v>
      </c>
      <c r="FL105" s="87">
        <f t="shared" ca="1" si="495"/>
        <v>91</v>
      </c>
      <c r="FM105" s="87">
        <f t="shared" ca="1" si="495"/>
        <v>91</v>
      </c>
      <c r="FN105" s="87">
        <f t="shared" ca="1" si="495"/>
        <v>91</v>
      </c>
      <c r="FO105" s="87">
        <f t="shared" ca="1" si="495"/>
        <v>91</v>
      </c>
      <c r="FP105" s="87">
        <f t="shared" ca="1" si="495"/>
        <v>91</v>
      </c>
    </row>
    <row r="106" spans="2:172" ht="12.75" hidden="1" customHeight="1" x14ac:dyDescent="0.25">
      <c r="B106" s="87">
        <v>48</v>
      </c>
      <c r="C106" s="181">
        <f t="shared" ca="1" si="450"/>
        <v>47613</v>
      </c>
      <c r="D106" s="380">
        <f t="shared" ca="1" si="487"/>
        <v>0.41205136228966616</v>
      </c>
      <c r="E106" s="380">
        <f t="shared" si="487"/>
        <v>0</v>
      </c>
      <c r="F106" s="380">
        <f t="shared" si="487"/>
        <v>0</v>
      </c>
      <c r="G106" s="380">
        <f t="shared" si="487"/>
        <v>0</v>
      </c>
      <c r="H106" s="380">
        <f t="shared" si="487"/>
        <v>0</v>
      </c>
      <c r="I106" s="380">
        <f t="shared" si="487"/>
        <v>0</v>
      </c>
      <c r="J106" s="380">
        <f t="shared" si="487"/>
        <v>0</v>
      </c>
      <c r="K106" s="380">
        <f t="shared" si="487"/>
        <v>0</v>
      </c>
      <c r="L106" s="380">
        <f t="shared" si="487"/>
        <v>0</v>
      </c>
      <c r="M106" s="380">
        <f t="shared" si="487"/>
        <v>0</v>
      </c>
      <c r="N106" s="380">
        <f t="shared" si="488"/>
        <v>0</v>
      </c>
      <c r="O106" s="380">
        <f t="shared" si="488"/>
        <v>0</v>
      </c>
      <c r="P106" s="380">
        <f t="shared" si="488"/>
        <v>0</v>
      </c>
      <c r="Q106" s="380">
        <f t="shared" si="488"/>
        <v>0</v>
      </c>
      <c r="R106" s="380">
        <f t="shared" si="488"/>
        <v>0</v>
      </c>
      <c r="S106" s="380">
        <f t="shared" si="488"/>
        <v>0</v>
      </c>
      <c r="T106" s="380">
        <f t="shared" si="488"/>
        <v>0</v>
      </c>
      <c r="U106" s="175"/>
      <c r="X106" s="87">
        <v>91</v>
      </c>
      <c r="Y106" s="377">
        <f t="shared" si="361"/>
        <v>0</v>
      </c>
      <c r="Z106" s="377">
        <f t="shared" si="362"/>
        <v>0</v>
      </c>
      <c r="AA106" s="377">
        <f t="shared" si="363"/>
        <v>0</v>
      </c>
      <c r="AB106" s="377">
        <f t="shared" si="364"/>
        <v>0</v>
      </c>
      <c r="AC106" s="377">
        <f t="shared" si="365"/>
        <v>0</v>
      </c>
      <c r="AD106" s="377">
        <f t="shared" si="366"/>
        <v>0</v>
      </c>
      <c r="AE106" s="377">
        <f t="shared" si="367"/>
        <v>0</v>
      </c>
      <c r="AF106" s="377">
        <f t="shared" si="368"/>
        <v>0</v>
      </c>
      <c r="AG106" s="377">
        <f t="shared" si="369"/>
        <v>0</v>
      </c>
      <c r="AH106" s="377">
        <f t="shared" si="370"/>
        <v>0</v>
      </c>
      <c r="AI106" s="377">
        <f t="shared" si="371"/>
        <v>0</v>
      </c>
      <c r="AJ106" s="377">
        <f t="shared" si="372"/>
        <v>0</v>
      </c>
      <c r="AK106" s="377">
        <f t="shared" si="373"/>
        <v>0</v>
      </c>
      <c r="AL106" s="377">
        <f t="shared" si="374"/>
        <v>0</v>
      </c>
      <c r="AM106" s="377">
        <f t="shared" si="375"/>
        <v>0</v>
      </c>
      <c r="AN106" s="377">
        <f t="shared" si="376"/>
        <v>0</v>
      </c>
      <c r="AO106" s="377">
        <f t="shared" si="377"/>
        <v>0</v>
      </c>
      <c r="AQ106" s="138">
        <v>83</v>
      </c>
      <c r="AR106" s="258">
        <f t="shared" ca="1" si="420"/>
        <v>48679</v>
      </c>
      <c r="AS106" s="378">
        <f t="shared" si="421"/>
        <v>0</v>
      </c>
      <c r="AT106" s="138"/>
      <c r="AU106" s="138">
        <v>83</v>
      </c>
      <c r="AV106" s="258">
        <f t="shared" ca="1" si="422"/>
        <v>48709</v>
      </c>
      <c r="AW106" s="378">
        <f t="shared" si="423"/>
        <v>91</v>
      </c>
      <c r="AX106" s="202">
        <f t="shared" ca="1" si="424"/>
        <v>19.190000000000001</v>
      </c>
      <c r="AY106" s="138">
        <v>83</v>
      </c>
      <c r="AZ106" s="258">
        <f t="shared" ca="1" si="425"/>
        <v>48709</v>
      </c>
      <c r="BA106" s="378">
        <f t="shared" si="426"/>
        <v>91</v>
      </c>
      <c r="BC106" s="258">
        <f t="shared" ca="1" si="411"/>
        <v>48679</v>
      </c>
      <c r="BD106" s="302">
        <f t="shared" ca="1" si="427"/>
        <v>91</v>
      </c>
      <c r="BE106" s="133">
        <f t="shared" si="412"/>
        <v>83</v>
      </c>
      <c r="BF106" s="379">
        <f t="shared" ca="1" si="413"/>
        <v>48679</v>
      </c>
      <c r="BG106" s="133">
        <f t="shared" si="428"/>
        <v>91</v>
      </c>
      <c r="BH106" s="133">
        <f t="shared" si="429"/>
        <v>0</v>
      </c>
      <c r="BI106" s="133">
        <f t="shared" si="430"/>
        <v>0</v>
      </c>
      <c r="BJ106" s="133">
        <f t="shared" si="431"/>
        <v>0</v>
      </c>
      <c r="BK106" s="133">
        <f t="shared" si="432"/>
        <v>0</v>
      </c>
      <c r="BL106" s="133">
        <f t="shared" si="433"/>
        <v>0</v>
      </c>
      <c r="BM106" s="133">
        <f t="shared" si="434"/>
        <v>0</v>
      </c>
      <c r="BN106" s="133">
        <f t="shared" si="435"/>
        <v>0</v>
      </c>
      <c r="BO106" s="133">
        <f t="shared" si="436"/>
        <v>0</v>
      </c>
      <c r="BP106" s="133">
        <f t="shared" si="437"/>
        <v>0</v>
      </c>
      <c r="BQ106" s="133">
        <f t="shared" si="438"/>
        <v>0</v>
      </c>
      <c r="BR106" s="133">
        <f t="shared" si="439"/>
        <v>0</v>
      </c>
      <c r="BS106" s="133">
        <f t="shared" si="440"/>
        <v>0</v>
      </c>
      <c r="BT106" s="133">
        <f t="shared" si="441"/>
        <v>0</v>
      </c>
      <c r="BU106" s="133">
        <f t="shared" si="442"/>
        <v>0</v>
      </c>
      <c r="BV106" s="133">
        <f t="shared" si="443"/>
        <v>0</v>
      </c>
      <c r="BW106" s="133">
        <f t="shared" si="444"/>
        <v>0</v>
      </c>
      <c r="BX106" s="267"/>
      <c r="BY106" s="267"/>
      <c r="BZ106" s="267"/>
      <c r="CA106" s="267"/>
      <c r="CB106" s="267"/>
      <c r="CC106" s="267"/>
      <c r="CD106" s="267"/>
      <c r="CE106" s="267"/>
      <c r="CF106" s="267"/>
      <c r="CG106" s="267"/>
      <c r="CS106" s="87">
        <v>88</v>
      </c>
      <c r="CT106" s="259">
        <f t="shared" ca="1" si="386"/>
        <v>48862</v>
      </c>
      <c r="CU106" s="179">
        <f t="shared" ref="CU106:DC106" ca="1" si="520">(($AW111/(1+CU$18)^(($AZ111-$AZ$23)/30)))+($AS111/(1+CU$18)^(($AZ111-$AZ$23)/30))</f>
        <v>17.48028028817993</v>
      </c>
      <c r="CV106" s="179">
        <f t="shared" ca="1" si="520"/>
        <v>18.270118839010905</v>
      </c>
      <c r="CW106" s="179">
        <f t="shared" ca="1" si="520"/>
        <v>18.761246334259667</v>
      </c>
      <c r="CX106" s="179">
        <f t="shared" ca="1" si="520"/>
        <v>19.265726725170712</v>
      </c>
      <c r="CY106" s="179">
        <f t="shared" ca="1" si="520"/>
        <v>19.783927152489088</v>
      </c>
      <c r="CZ106" s="179">
        <f t="shared" ca="1" si="520"/>
        <v>20.316224964340279</v>
      </c>
      <c r="DA106" s="179">
        <f t="shared" ca="1" si="520"/>
        <v>20.679113138951866</v>
      </c>
      <c r="DB106" s="179">
        <f t="shared" ca="1" si="520"/>
        <v>21.424674900770039</v>
      </c>
      <c r="DC106" s="179">
        <f t="shared" ca="1" si="520"/>
        <v>21.807590176935769</v>
      </c>
      <c r="DD106" s="179">
        <f t="shared" ref="DD106:DI106" ca="1" si="521">(($AW111/(1+DD$18)^(($AZ111-$AZ$23)/30)))+($AS111/(1+DD$18)^(($AZ111-$AZ$23)/30))</f>
        <v>22.197426569499978</v>
      </c>
      <c r="DE106" s="179">
        <f t="shared" ca="1" si="521"/>
        <v>22.594310576035262</v>
      </c>
      <c r="DF106" s="179" t="e">
        <f t="shared" ca="1" si="521"/>
        <v>#VALUE!</v>
      </c>
      <c r="DG106" s="179" t="e">
        <f t="shared" ca="1" si="521"/>
        <v>#VALUE!</v>
      </c>
      <c r="DH106" s="179" t="e">
        <f t="shared" ca="1" si="521"/>
        <v>#VALUE!</v>
      </c>
      <c r="DI106" s="179" t="e">
        <f t="shared" ca="1" si="521"/>
        <v>#VALUE!</v>
      </c>
      <c r="DJ106" s="179" t="e">
        <f t="shared" ref="DJ106:DQ106" ca="1" si="522">(($AW111/(1+DJ$18)^(($AZ111-$AZ$23)/30)))+($AS111/(1+DJ$18)^(($AZ111-$AZ$23)/30))</f>
        <v>#VALUE!</v>
      </c>
      <c r="DK106" s="179" t="e">
        <f t="shared" ca="1" si="522"/>
        <v>#VALUE!</v>
      </c>
      <c r="DL106" s="179" t="e">
        <f t="shared" ca="1" si="522"/>
        <v>#VALUE!</v>
      </c>
      <c r="DM106" s="179" t="e">
        <f t="shared" ca="1" si="522"/>
        <v>#VALUE!</v>
      </c>
      <c r="DN106" s="179" t="e">
        <f t="shared" ca="1" si="522"/>
        <v>#VALUE!</v>
      </c>
      <c r="DO106" s="179" t="e">
        <f t="shared" ca="1" si="522"/>
        <v>#VALUE!</v>
      </c>
      <c r="DP106" s="179" t="e">
        <f t="shared" ca="1" si="522"/>
        <v>#VALUE!</v>
      </c>
      <c r="DQ106" s="179" t="e">
        <f t="shared" ca="1" si="522"/>
        <v>#VALUE!</v>
      </c>
      <c r="DR106" s="180">
        <f t="shared" si="396"/>
        <v>91</v>
      </c>
      <c r="DS106" s="180">
        <f t="shared" si="492"/>
        <v>91</v>
      </c>
      <c r="DT106" s="180">
        <f t="shared" si="492"/>
        <v>91</v>
      </c>
      <c r="DU106" s="180">
        <f t="shared" si="492"/>
        <v>91</v>
      </c>
      <c r="DV106" s="180">
        <f t="shared" si="492"/>
        <v>91</v>
      </c>
      <c r="DW106" s="180">
        <f t="shared" si="492"/>
        <v>91</v>
      </c>
      <c r="DX106" s="180">
        <f t="shared" si="492"/>
        <v>91</v>
      </c>
      <c r="DY106" s="180">
        <f t="shared" si="492"/>
        <v>91</v>
      </c>
      <c r="DZ106" s="180">
        <f t="shared" si="492"/>
        <v>91</v>
      </c>
      <c r="EA106" s="180">
        <f t="shared" si="492"/>
        <v>91</v>
      </c>
      <c r="EB106" s="180">
        <f t="shared" si="492"/>
        <v>91</v>
      </c>
      <c r="EC106" s="180">
        <f t="shared" si="492"/>
        <v>91</v>
      </c>
      <c r="ED106" s="180">
        <f t="shared" si="492"/>
        <v>91</v>
      </c>
      <c r="EE106" s="180">
        <f t="shared" si="492"/>
        <v>91</v>
      </c>
      <c r="EF106" s="180">
        <f t="shared" si="492"/>
        <v>91</v>
      </c>
      <c r="EG106" s="180">
        <f t="shared" ref="EG106:EO106" si="523">IF($AU111&gt;$BA$19,0,$BA111-$AS111)</f>
        <v>91</v>
      </c>
      <c r="EH106" s="180">
        <f t="shared" si="523"/>
        <v>91</v>
      </c>
      <c r="EI106" s="180">
        <f t="shared" si="523"/>
        <v>91</v>
      </c>
      <c r="EJ106" s="180">
        <f t="shared" si="523"/>
        <v>91</v>
      </c>
      <c r="EK106" s="180">
        <f t="shared" si="523"/>
        <v>91</v>
      </c>
      <c r="EL106" s="180">
        <f t="shared" si="523"/>
        <v>91</v>
      </c>
      <c r="EM106" s="180">
        <f t="shared" si="523"/>
        <v>91</v>
      </c>
      <c r="EN106" s="180">
        <f t="shared" si="523"/>
        <v>91</v>
      </c>
      <c r="EO106" s="180">
        <f t="shared" si="523"/>
        <v>91</v>
      </c>
      <c r="EQ106" s="259">
        <f t="shared" ca="1" si="398"/>
        <v>48832</v>
      </c>
      <c r="ER106" s="87">
        <f t="shared" ca="1" si="494"/>
        <v>91</v>
      </c>
      <c r="ES106" s="87">
        <f t="shared" ca="1" si="494"/>
        <v>91</v>
      </c>
      <c r="ET106" s="87">
        <f t="shared" ca="1" si="494"/>
        <v>91</v>
      </c>
      <c r="EU106" s="87">
        <f t="shared" ca="1" si="494"/>
        <v>91</v>
      </c>
      <c r="EV106" s="87">
        <f t="shared" ca="1" si="494"/>
        <v>91</v>
      </c>
      <c r="EW106" s="87">
        <f t="shared" ca="1" si="494"/>
        <v>91</v>
      </c>
      <c r="EX106" s="87">
        <f t="shared" ca="1" si="494"/>
        <v>91</v>
      </c>
      <c r="EY106" s="87">
        <f t="shared" ca="1" si="494"/>
        <v>91</v>
      </c>
      <c r="EZ106" s="87">
        <f t="shared" ca="1" si="494"/>
        <v>91</v>
      </c>
      <c r="FA106" s="87">
        <f t="shared" ca="1" si="494"/>
        <v>91</v>
      </c>
      <c r="FB106" s="87">
        <f t="shared" ca="1" si="494"/>
        <v>91</v>
      </c>
      <c r="FC106" s="87">
        <f t="shared" ca="1" si="494"/>
        <v>91</v>
      </c>
      <c r="FD106" s="87">
        <f t="shared" ca="1" si="494"/>
        <v>91</v>
      </c>
      <c r="FE106" s="87">
        <f t="shared" ca="1" si="494"/>
        <v>91</v>
      </c>
      <c r="FF106" s="87">
        <f t="shared" ca="1" si="494"/>
        <v>91</v>
      </c>
      <c r="FG106" s="87">
        <f t="shared" ca="1" si="495"/>
        <v>91</v>
      </c>
      <c r="FH106" s="87">
        <f t="shared" ca="1" si="495"/>
        <v>91</v>
      </c>
      <c r="FI106" s="87">
        <f t="shared" ca="1" si="495"/>
        <v>91</v>
      </c>
      <c r="FJ106" s="87">
        <f t="shared" ca="1" si="495"/>
        <v>91</v>
      </c>
      <c r="FK106" s="87">
        <f t="shared" ca="1" si="495"/>
        <v>91</v>
      </c>
      <c r="FL106" s="87">
        <f t="shared" ca="1" si="495"/>
        <v>91</v>
      </c>
      <c r="FM106" s="87">
        <f t="shared" ca="1" si="495"/>
        <v>91</v>
      </c>
      <c r="FN106" s="87">
        <f t="shared" ca="1" si="495"/>
        <v>91</v>
      </c>
      <c r="FO106" s="87">
        <f t="shared" ca="1" si="495"/>
        <v>91</v>
      </c>
      <c r="FP106" s="87">
        <f t="shared" ca="1" si="495"/>
        <v>91</v>
      </c>
    </row>
    <row r="107" spans="2:172" ht="12.75" hidden="1" customHeight="1" x14ac:dyDescent="0.25">
      <c r="B107" s="87">
        <v>49</v>
      </c>
      <c r="C107" s="181">
        <f t="shared" ca="1" si="450"/>
        <v>47644</v>
      </c>
      <c r="D107" s="380">
        <f t="shared" ca="1" si="487"/>
        <v>0.40431974734735049</v>
      </c>
      <c r="E107" s="380">
        <f t="shared" si="487"/>
        <v>0</v>
      </c>
      <c r="F107" s="380">
        <f t="shared" si="487"/>
        <v>0</v>
      </c>
      <c r="G107" s="380">
        <f t="shared" si="487"/>
        <v>0</v>
      </c>
      <c r="H107" s="380">
        <f t="shared" si="487"/>
        <v>0</v>
      </c>
      <c r="I107" s="380">
        <f t="shared" si="487"/>
        <v>0</v>
      </c>
      <c r="J107" s="380">
        <f t="shared" si="487"/>
        <v>0</v>
      </c>
      <c r="K107" s="380">
        <f t="shared" si="487"/>
        <v>0</v>
      </c>
      <c r="L107" s="380">
        <f t="shared" si="487"/>
        <v>0</v>
      </c>
      <c r="M107" s="380">
        <f t="shared" si="487"/>
        <v>0</v>
      </c>
      <c r="N107" s="380">
        <f t="shared" si="488"/>
        <v>0</v>
      </c>
      <c r="O107" s="380">
        <f t="shared" si="488"/>
        <v>0</v>
      </c>
      <c r="P107" s="380">
        <f t="shared" si="488"/>
        <v>0</v>
      </c>
      <c r="Q107" s="380">
        <f t="shared" si="488"/>
        <v>0</v>
      </c>
      <c r="R107" s="380">
        <f t="shared" si="488"/>
        <v>0</v>
      </c>
      <c r="S107" s="380">
        <f t="shared" si="488"/>
        <v>0</v>
      </c>
      <c r="T107" s="380">
        <f t="shared" si="488"/>
        <v>0</v>
      </c>
      <c r="U107" s="175"/>
      <c r="X107" s="87">
        <v>92</v>
      </c>
      <c r="Y107" s="377">
        <f t="shared" si="361"/>
        <v>0</v>
      </c>
      <c r="Z107" s="377">
        <f t="shared" si="362"/>
        <v>0</v>
      </c>
      <c r="AA107" s="377">
        <f t="shared" si="363"/>
        <v>0</v>
      </c>
      <c r="AB107" s="377">
        <f t="shared" si="364"/>
        <v>0</v>
      </c>
      <c r="AC107" s="377">
        <f t="shared" si="365"/>
        <v>0</v>
      </c>
      <c r="AD107" s="377">
        <f t="shared" si="366"/>
        <v>0</v>
      </c>
      <c r="AE107" s="377">
        <f t="shared" si="367"/>
        <v>0</v>
      </c>
      <c r="AF107" s="377">
        <f t="shared" si="368"/>
        <v>0</v>
      </c>
      <c r="AG107" s="377">
        <f t="shared" si="369"/>
        <v>0</v>
      </c>
      <c r="AH107" s="377">
        <f t="shared" si="370"/>
        <v>0</v>
      </c>
      <c r="AI107" s="377">
        <f t="shared" si="371"/>
        <v>0</v>
      </c>
      <c r="AJ107" s="377">
        <f t="shared" si="372"/>
        <v>0</v>
      </c>
      <c r="AK107" s="377">
        <f t="shared" si="373"/>
        <v>0</v>
      </c>
      <c r="AL107" s="377">
        <f t="shared" si="374"/>
        <v>0</v>
      </c>
      <c r="AM107" s="377">
        <f t="shared" si="375"/>
        <v>0</v>
      </c>
      <c r="AN107" s="377">
        <f t="shared" si="376"/>
        <v>0</v>
      </c>
      <c r="AO107" s="377">
        <f t="shared" si="377"/>
        <v>0</v>
      </c>
      <c r="AQ107" s="138">
        <v>84</v>
      </c>
      <c r="AR107" s="258">
        <f t="shared" ca="1" si="420"/>
        <v>48709</v>
      </c>
      <c r="AS107" s="378">
        <f t="shared" si="421"/>
        <v>0</v>
      </c>
      <c r="AT107" s="138"/>
      <c r="AU107" s="138">
        <v>84</v>
      </c>
      <c r="AV107" s="258">
        <f t="shared" ca="1" si="422"/>
        <v>48740</v>
      </c>
      <c r="AW107" s="378">
        <f t="shared" si="423"/>
        <v>91</v>
      </c>
      <c r="AX107" s="202">
        <f t="shared" ca="1" si="424"/>
        <v>18.829999999999998</v>
      </c>
      <c r="AY107" s="138">
        <v>84</v>
      </c>
      <c r="AZ107" s="258">
        <f t="shared" ca="1" si="425"/>
        <v>48740</v>
      </c>
      <c r="BA107" s="378">
        <f t="shared" si="426"/>
        <v>91</v>
      </c>
      <c r="BC107" s="258">
        <f t="shared" ca="1" si="411"/>
        <v>48709</v>
      </c>
      <c r="BD107" s="302">
        <f t="shared" ca="1" si="427"/>
        <v>91</v>
      </c>
      <c r="BE107" s="133">
        <f t="shared" si="412"/>
        <v>84</v>
      </c>
      <c r="BF107" s="379">
        <f t="shared" ca="1" si="413"/>
        <v>48709</v>
      </c>
      <c r="BG107" s="133">
        <f t="shared" si="428"/>
        <v>91</v>
      </c>
      <c r="BH107" s="133">
        <f t="shared" si="429"/>
        <v>0</v>
      </c>
      <c r="BI107" s="133">
        <f t="shared" si="430"/>
        <v>0</v>
      </c>
      <c r="BJ107" s="133">
        <f t="shared" si="431"/>
        <v>0</v>
      </c>
      <c r="BK107" s="133">
        <f t="shared" si="432"/>
        <v>0</v>
      </c>
      <c r="BL107" s="133">
        <f t="shared" si="433"/>
        <v>0</v>
      </c>
      <c r="BM107" s="133">
        <f t="shared" si="434"/>
        <v>0</v>
      </c>
      <c r="BN107" s="133">
        <f t="shared" si="435"/>
        <v>0</v>
      </c>
      <c r="BO107" s="133">
        <f t="shared" si="436"/>
        <v>0</v>
      </c>
      <c r="BP107" s="133">
        <f t="shared" si="437"/>
        <v>0</v>
      </c>
      <c r="BQ107" s="133">
        <f t="shared" si="438"/>
        <v>0</v>
      </c>
      <c r="BR107" s="133">
        <f t="shared" si="439"/>
        <v>0</v>
      </c>
      <c r="BS107" s="133">
        <f t="shared" si="440"/>
        <v>0</v>
      </c>
      <c r="BT107" s="133">
        <f t="shared" si="441"/>
        <v>0</v>
      </c>
      <c r="BU107" s="133">
        <f t="shared" si="442"/>
        <v>0</v>
      </c>
      <c r="BV107" s="133">
        <f t="shared" si="443"/>
        <v>0</v>
      </c>
      <c r="BW107" s="133">
        <f t="shared" si="444"/>
        <v>0</v>
      </c>
      <c r="BX107" s="267"/>
      <c r="BY107" s="267"/>
      <c r="BZ107" s="267"/>
      <c r="CA107" s="267"/>
      <c r="CB107" s="267"/>
      <c r="CC107" s="267"/>
      <c r="CD107" s="267"/>
      <c r="CE107" s="267"/>
      <c r="CF107" s="267"/>
      <c r="CG107" s="267"/>
      <c r="CS107" s="178">
        <v>89</v>
      </c>
      <c r="CT107" s="259">
        <f t="shared" ca="1" si="386"/>
        <v>48893</v>
      </c>
      <c r="CU107" s="179">
        <f t="shared" ref="CU107:DC107" ca="1" si="524">(($AW112/(1+CU$18)^(($AZ112-$AZ$23)/30)))+($AS112/(1+CU$18)^(($AZ112-$AZ$23)/30))</f>
        <v>17.152285264644725</v>
      </c>
      <c r="CV107" s="179">
        <f t="shared" ca="1" si="524"/>
        <v>17.936402247493561</v>
      </c>
      <c r="CW107" s="179">
        <f t="shared" ca="1" si="524"/>
        <v>18.424169428953984</v>
      </c>
      <c r="CX107" s="179">
        <f t="shared" ca="1" si="524"/>
        <v>18.925350786057479</v>
      </c>
      <c r="CY107" s="179">
        <f t="shared" ca="1" si="524"/>
        <v>19.440319344143674</v>
      </c>
      <c r="CZ107" s="179">
        <f t="shared" ca="1" si="524"/>
        <v>19.969458616377018</v>
      </c>
      <c r="DA107" s="179">
        <f t="shared" ca="1" si="524"/>
        <v>20.330285012707652</v>
      </c>
      <c r="DB107" s="179">
        <f t="shared" ca="1" si="524"/>
        <v>21.071837592217904</v>
      </c>
      <c r="DC107" s="179">
        <f t="shared" ca="1" si="524"/>
        <v>21.452809625239361</v>
      </c>
      <c r="DD107" s="179">
        <f t="shared" ref="DD107:DI107" ca="1" si="525">(($AW112/(1+DD$18)^(($AZ112-$AZ$23)/30)))+($AS112/(1+DD$18)^(($AZ112-$AZ$23)/30))</f>
        <v>21.840746554008355</v>
      </c>
      <c r="DE107" s="179">
        <f t="shared" ca="1" si="525"/>
        <v>22.235777119182973</v>
      </c>
      <c r="DF107" s="179" t="e">
        <f t="shared" ca="1" si="525"/>
        <v>#VALUE!</v>
      </c>
      <c r="DG107" s="179" t="e">
        <f t="shared" ca="1" si="525"/>
        <v>#VALUE!</v>
      </c>
      <c r="DH107" s="179" t="e">
        <f t="shared" ca="1" si="525"/>
        <v>#VALUE!</v>
      </c>
      <c r="DI107" s="179" t="e">
        <f t="shared" ca="1" si="525"/>
        <v>#VALUE!</v>
      </c>
      <c r="DJ107" s="179" t="e">
        <f t="shared" ref="DJ107:DQ107" ca="1" si="526">(($AW112/(1+DJ$18)^(($AZ112-$AZ$23)/30)))+($AS112/(1+DJ$18)^(($AZ112-$AZ$23)/30))</f>
        <v>#VALUE!</v>
      </c>
      <c r="DK107" s="179" t="e">
        <f t="shared" ca="1" si="526"/>
        <v>#VALUE!</v>
      </c>
      <c r="DL107" s="179" t="e">
        <f t="shared" ca="1" si="526"/>
        <v>#VALUE!</v>
      </c>
      <c r="DM107" s="179" t="e">
        <f t="shared" ca="1" si="526"/>
        <v>#VALUE!</v>
      </c>
      <c r="DN107" s="179" t="e">
        <f t="shared" ca="1" si="526"/>
        <v>#VALUE!</v>
      </c>
      <c r="DO107" s="179" t="e">
        <f t="shared" ca="1" si="526"/>
        <v>#VALUE!</v>
      </c>
      <c r="DP107" s="179" t="e">
        <f t="shared" ca="1" si="526"/>
        <v>#VALUE!</v>
      </c>
      <c r="DQ107" s="179" t="e">
        <f t="shared" ca="1" si="526"/>
        <v>#VALUE!</v>
      </c>
      <c r="DR107" s="180">
        <f t="shared" si="396"/>
        <v>91</v>
      </c>
      <c r="DS107" s="180">
        <f t="shared" si="492"/>
        <v>91</v>
      </c>
      <c r="DT107" s="180">
        <f t="shared" si="492"/>
        <v>91</v>
      </c>
      <c r="DU107" s="180">
        <f t="shared" si="492"/>
        <v>91</v>
      </c>
      <c r="DV107" s="180">
        <f t="shared" si="492"/>
        <v>91</v>
      </c>
      <c r="DW107" s="180">
        <f t="shared" si="492"/>
        <v>91</v>
      </c>
      <c r="DX107" s="180">
        <f t="shared" si="492"/>
        <v>91</v>
      </c>
      <c r="DY107" s="180">
        <f t="shared" si="492"/>
        <v>91</v>
      </c>
      <c r="DZ107" s="180">
        <f t="shared" si="492"/>
        <v>91</v>
      </c>
      <c r="EA107" s="180">
        <f t="shared" si="492"/>
        <v>91</v>
      </c>
      <c r="EB107" s="180">
        <f t="shared" si="492"/>
        <v>91</v>
      </c>
      <c r="EC107" s="180">
        <f t="shared" si="492"/>
        <v>91</v>
      </c>
      <c r="ED107" s="180">
        <f t="shared" si="492"/>
        <v>91</v>
      </c>
      <c r="EE107" s="180">
        <f t="shared" si="492"/>
        <v>91</v>
      </c>
      <c r="EF107" s="180">
        <f t="shared" si="492"/>
        <v>91</v>
      </c>
      <c r="EG107" s="180">
        <f t="shared" ref="EG107:EO107" si="527">IF($AU112&gt;$BA$19,0,$BA112-$AS112)</f>
        <v>91</v>
      </c>
      <c r="EH107" s="180">
        <f t="shared" si="527"/>
        <v>91</v>
      </c>
      <c r="EI107" s="180">
        <f t="shared" si="527"/>
        <v>91</v>
      </c>
      <c r="EJ107" s="180">
        <f t="shared" si="527"/>
        <v>91</v>
      </c>
      <c r="EK107" s="180">
        <f t="shared" si="527"/>
        <v>91</v>
      </c>
      <c r="EL107" s="180">
        <f t="shared" si="527"/>
        <v>91</v>
      </c>
      <c r="EM107" s="180">
        <f t="shared" si="527"/>
        <v>91</v>
      </c>
      <c r="EN107" s="180">
        <f t="shared" si="527"/>
        <v>91</v>
      </c>
      <c r="EO107" s="180">
        <f t="shared" si="527"/>
        <v>91</v>
      </c>
      <c r="EQ107" s="259">
        <f t="shared" ca="1" si="398"/>
        <v>48862</v>
      </c>
      <c r="ER107" s="87">
        <f t="shared" ca="1" si="494"/>
        <v>91</v>
      </c>
      <c r="ES107" s="87">
        <f t="shared" ca="1" si="494"/>
        <v>91</v>
      </c>
      <c r="ET107" s="87">
        <f t="shared" ca="1" si="494"/>
        <v>91</v>
      </c>
      <c r="EU107" s="87">
        <f t="shared" ca="1" si="494"/>
        <v>91</v>
      </c>
      <c r="EV107" s="87">
        <f t="shared" ca="1" si="494"/>
        <v>91</v>
      </c>
      <c r="EW107" s="87">
        <f t="shared" ca="1" si="494"/>
        <v>91</v>
      </c>
      <c r="EX107" s="87">
        <f t="shared" ca="1" si="494"/>
        <v>91</v>
      </c>
      <c r="EY107" s="87">
        <f t="shared" ca="1" si="494"/>
        <v>91</v>
      </c>
      <c r="EZ107" s="87">
        <f t="shared" ca="1" si="494"/>
        <v>91</v>
      </c>
      <c r="FA107" s="87">
        <f t="shared" ca="1" si="494"/>
        <v>91</v>
      </c>
      <c r="FB107" s="87">
        <f t="shared" ca="1" si="494"/>
        <v>91</v>
      </c>
      <c r="FC107" s="87">
        <f t="shared" ca="1" si="494"/>
        <v>91</v>
      </c>
      <c r="FD107" s="87">
        <f t="shared" ca="1" si="494"/>
        <v>91</v>
      </c>
      <c r="FE107" s="87">
        <f t="shared" ca="1" si="494"/>
        <v>91</v>
      </c>
      <c r="FF107" s="87">
        <f t="shared" ca="1" si="494"/>
        <v>91</v>
      </c>
      <c r="FG107" s="87">
        <f t="shared" ca="1" si="495"/>
        <v>91</v>
      </c>
      <c r="FH107" s="87">
        <f t="shared" ca="1" si="495"/>
        <v>91</v>
      </c>
      <c r="FI107" s="87">
        <f t="shared" ca="1" si="495"/>
        <v>91</v>
      </c>
      <c r="FJ107" s="87">
        <f t="shared" ca="1" si="495"/>
        <v>91</v>
      </c>
      <c r="FK107" s="87">
        <f t="shared" ca="1" si="495"/>
        <v>91</v>
      </c>
      <c r="FL107" s="87">
        <f t="shared" ca="1" si="495"/>
        <v>91</v>
      </c>
      <c r="FM107" s="87">
        <f t="shared" ca="1" si="495"/>
        <v>91</v>
      </c>
      <c r="FN107" s="87">
        <f t="shared" ca="1" si="495"/>
        <v>91</v>
      </c>
      <c r="FO107" s="87">
        <f t="shared" ca="1" si="495"/>
        <v>91</v>
      </c>
      <c r="FP107" s="87">
        <f t="shared" ca="1" si="495"/>
        <v>91</v>
      </c>
    </row>
    <row r="108" spans="2:172" ht="12.75" hidden="1" customHeight="1" x14ac:dyDescent="0.25">
      <c r="B108" s="87">
        <v>50</v>
      </c>
      <c r="C108" s="181">
        <f t="shared" ca="1" si="450"/>
        <v>47674</v>
      </c>
      <c r="D108" s="380">
        <f t="shared" ca="1" si="487"/>
        <v>0.39697569695370688</v>
      </c>
      <c r="E108" s="380">
        <f t="shared" si="487"/>
        <v>0</v>
      </c>
      <c r="F108" s="380">
        <f t="shared" si="487"/>
        <v>0</v>
      </c>
      <c r="G108" s="380">
        <f t="shared" si="487"/>
        <v>0</v>
      </c>
      <c r="H108" s="380">
        <f t="shared" si="487"/>
        <v>0</v>
      </c>
      <c r="I108" s="380">
        <f t="shared" si="487"/>
        <v>0</v>
      </c>
      <c r="J108" s="380">
        <f t="shared" si="487"/>
        <v>0</v>
      </c>
      <c r="K108" s="380">
        <f t="shared" si="487"/>
        <v>0</v>
      </c>
      <c r="L108" s="380">
        <f t="shared" si="487"/>
        <v>0</v>
      </c>
      <c r="M108" s="380">
        <f t="shared" si="487"/>
        <v>0</v>
      </c>
      <c r="N108" s="380">
        <f t="shared" si="488"/>
        <v>0</v>
      </c>
      <c r="O108" s="380">
        <f t="shared" si="488"/>
        <v>0</v>
      </c>
      <c r="P108" s="380">
        <f t="shared" si="488"/>
        <v>0</v>
      </c>
      <c r="Q108" s="380">
        <f t="shared" si="488"/>
        <v>0</v>
      </c>
      <c r="R108" s="380">
        <f t="shared" si="488"/>
        <v>0</v>
      </c>
      <c r="S108" s="380">
        <f t="shared" si="488"/>
        <v>0</v>
      </c>
      <c r="T108" s="380">
        <f t="shared" si="488"/>
        <v>0</v>
      </c>
      <c r="U108" s="175"/>
      <c r="X108" s="87">
        <v>93</v>
      </c>
      <c r="Y108" s="377">
        <f t="shared" si="361"/>
        <v>0</v>
      </c>
      <c r="Z108" s="377">
        <f t="shared" si="362"/>
        <v>0</v>
      </c>
      <c r="AA108" s="377">
        <f t="shared" si="363"/>
        <v>0</v>
      </c>
      <c r="AB108" s="377">
        <f t="shared" si="364"/>
        <v>0</v>
      </c>
      <c r="AC108" s="377">
        <f t="shared" si="365"/>
        <v>0</v>
      </c>
      <c r="AD108" s="377">
        <f t="shared" si="366"/>
        <v>0</v>
      </c>
      <c r="AE108" s="377">
        <f t="shared" si="367"/>
        <v>0</v>
      </c>
      <c r="AF108" s="377">
        <f t="shared" si="368"/>
        <v>0</v>
      </c>
      <c r="AG108" s="377">
        <f t="shared" si="369"/>
        <v>0</v>
      </c>
      <c r="AH108" s="377">
        <f t="shared" si="370"/>
        <v>0</v>
      </c>
      <c r="AI108" s="377">
        <f t="shared" si="371"/>
        <v>0</v>
      </c>
      <c r="AJ108" s="377">
        <f t="shared" si="372"/>
        <v>0</v>
      </c>
      <c r="AK108" s="377">
        <f t="shared" si="373"/>
        <v>0</v>
      </c>
      <c r="AL108" s="377">
        <f t="shared" si="374"/>
        <v>0</v>
      </c>
      <c r="AM108" s="377">
        <f t="shared" si="375"/>
        <v>0</v>
      </c>
      <c r="AN108" s="377">
        <f t="shared" si="376"/>
        <v>0</v>
      </c>
      <c r="AO108" s="377">
        <f t="shared" si="377"/>
        <v>0</v>
      </c>
      <c r="AQ108" s="138">
        <v>85</v>
      </c>
      <c r="AR108" s="258">
        <f t="shared" ref="AR108:AR171" ca="1" si="528">EDATE(AR107,1)</f>
        <v>48740</v>
      </c>
      <c r="AS108" s="378">
        <f t="shared" si="421"/>
        <v>0</v>
      </c>
      <c r="AT108" s="138"/>
      <c r="AU108" s="138">
        <v>85</v>
      </c>
      <c r="AV108" s="258">
        <f t="shared" ref="AV108:AV167" ca="1" si="529">EDATE(AV107,1)</f>
        <v>48770</v>
      </c>
      <c r="AW108" s="378">
        <f t="shared" si="423"/>
        <v>91</v>
      </c>
      <c r="AX108" s="202">
        <f t="shared" ca="1" si="424"/>
        <v>18.489999999999998</v>
      </c>
      <c r="AY108" s="138">
        <v>85</v>
      </c>
      <c r="AZ108" s="258">
        <f t="shared" ref="AZ108:AZ171" ca="1" si="530">EDATE(AZ107,1)</f>
        <v>48770</v>
      </c>
      <c r="BA108" s="378">
        <f t="shared" si="426"/>
        <v>91</v>
      </c>
      <c r="BC108" s="258">
        <f t="shared" ca="1" si="411"/>
        <v>48740</v>
      </c>
      <c r="BD108" s="302">
        <f t="shared" ca="1" si="427"/>
        <v>91</v>
      </c>
      <c r="BE108" s="133">
        <f t="shared" si="412"/>
        <v>85</v>
      </c>
      <c r="BF108" s="379">
        <f t="shared" ca="1" si="413"/>
        <v>48740</v>
      </c>
      <c r="BG108" s="133">
        <f t="shared" si="428"/>
        <v>0</v>
      </c>
      <c r="BH108" s="133">
        <f t="shared" si="429"/>
        <v>0</v>
      </c>
      <c r="BI108" s="133">
        <f t="shared" si="430"/>
        <v>0</v>
      </c>
      <c r="BJ108" s="133">
        <f t="shared" si="431"/>
        <v>0</v>
      </c>
      <c r="BK108" s="133">
        <f t="shared" si="432"/>
        <v>0</v>
      </c>
      <c r="BL108" s="133">
        <f t="shared" si="433"/>
        <v>0</v>
      </c>
      <c r="BM108" s="133">
        <f t="shared" si="434"/>
        <v>0</v>
      </c>
      <c r="BN108" s="133">
        <f t="shared" si="435"/>
        <v>0</v>
      </c>
      <c r="BO108" s="133">
        <f t="shared" si="436"/>
        <v>0</v>
      </c>
      <c r="BP108" s="133">
        <f t="shared" si="437"/>
        <v>0</v>
      </c>
      <c r="BQ108" s="133">
        <f t="shared" si="438"/>
        <v>0</v>
      </c>
      <c r="BR108" s="133">
        <f t="shared" si="439"/>
        <v>0</v>
      </c>
      <c r="BS108" s="133">
        <f t="shared" si="440"/>
        <v>0</v>
      </c>
      <c r="BT108" s="133">
        <f t="shared" si="441"/>
        <v>0</v>
      </c>
      <c r="BU108" s="133">
        <f t="shared" si="442"/>
        <v>0</v>
      </c>
      <c r="BV108" s="133">
        <f t="shared" si="443"/>
        <v>0</v>
      </c>
      <c r="BW108" s="133">
        <f t="shared" si="444"/>
        <v>0</v>
      </c>
      <c r="BX108" s="267"/>
      <c r="BY108" s="267"/>
      <c r="BZ108" s="267"/>
      <c r="CA108" s="267"/>
      <c r="CB108" s="267"/>
      <c r="CC108" s="267"/>
      <c r="CD108" s="267"/>
      <c r="CE108" s="267"/>
      <c r="CF108" s="267"/>
      <c r="CG108" s="267"/>
      <c r="CS108" s="138">
        <v>90</v>
      </c>
      <c r="CT108" s="259">
        <f t="shared" ca="1" si="386"/>
        <v>48923</v>
      </c>
      <c r="CU108" s="179">
        <f t="shared" ref="CU108:DC108" ca="1" si="531">(($AW113/(1+CU$18)^(($AZ113-$AZ$23)/30)))+($AS113/(1+CU$18)^(($AZ113-$AZ$23)/30))</f>
        <v>16.840731727682595</v>
      </c>
      <c r="CV108" s="179">
        <f t="shared" ca="1" si="531"/>
        <v>17.619255645867934</v>
      </c>
      <c r="CW108" s="179">
        <f t="shared" ca="1" si="531"/>
        <v>18.103733348682304</v>
      </c>
      <c r="CX108" s="179">
        <f t="shared" ca="1" si="531"/>
        <v>18.601681527479336</v>
      </c>
      <c r="CY108" s="179">
        <f t="shared" ca="1" si="531"/>
        <v>19.113478855711016</v>
      </c>
      <c r="CZ108" s="179">
        <f t="shared" ca="1" si="531"/>
        <v>19.639514768270082</v>
      </c>
      <c r="DA108" s="179">
        <f t="shared" ca="1" si="531"/>
        <v>19.99831301663157</v>
      </c>
      <c r="DB108" s="179">
        <f t="shared" ca="1" si="531"/>
        <v>20.735915756955229</v>
      </c>
      <c r="DC108" s="179">
        <f t="shared" ca="1" si="531"/>
        <v>21.114970103582046</v>
      </c>
      <c r="DD108" s="179">
        <f t="shared" ref="DD108:DI108" ca="1" si="532">(($AW113/(1+DD$18)^(($AZ113-$AZ$23)/30)))+($AS113/(1+DD$18)^(($AZ113-$AZ$23)/30))</f>
        <v>21.501030275653029</v>
      </c>
      <c r="DE108" s="179">
        <f t="shared" ca="1" si="532"/>
        <v>21.894227175249085</v>
      </c>
      <c r="DF108" s="179" t="e">
        <f t="shared" ca="1" si="532"/>
        <v>#VALUE!</v>
      </c>
      <c r="DG108" s="179" t="e">
        <f t="shared" ca="1" si="532"/>
        <v>#VALUE!</v>
      </c>
      <c r="DH108" s="179" t="e">
        <f t="shared" ca="1" si="532"/>
        <v>#VALUE!</v>
      </c>
      <c r="DI108" s="179" t="e">
        <f t="shared" ca="1" si="532"/>
        <v>#VALUE!</v>
      </c>
      <c r="DJ108" s="179" t="e">
        <f t="shared" ref="DJ108:DQ108" ca="1" si="533">(($AW113/(1+DJ$18)^(($AZ113-$AZ$23)/30)))+($AS113/(1+DJ$18)^(($AZ113-$AZ$23)/30))</f>
        <v>#VALUE!</v>
      </c>
      <c r="DK108" s="179" t="e">
        <f t="shared" ca="1" si="533"/>
        <v>#VALUE!</v>
      </c>
      <c r="DL108" s="179" t="e">
        <f t="shared" ca="1" si="533"/>
        <v>#VALUE!</v>
      </c>
      <c r="DM108" s="179" t="e">
        <f t="shared" ca="1" si="533"/>
        <v>#VALUE!</v>
      </c>
      <c r="DN108" s="179" t="e">
        <f t="shared" ca="1" si="533"/>
        <v>#VALUE!</v>
      </c>
      <c r="DO108" s="179" t="e">
        <f t="shared" ca="1" si="533"/>
        <v>#VALUE!</v>
      </c>
      <c r="DP108" s="179" t="e">
        <f t="shared" ca="1" si="533"/>
        <v>#VALUE!</v>
      </c>
      <c r="DQ108" s="179" t="e">
        <f t="shared" ca="1" si="533"/>
        <v>#VALUE!</v>
      </c>
      <c r="DR108" s="180">
        <f t="shared" si="396"/>
        <v>91</v>
      </c>
      <c r="DS108" s="180">
        <f t="shared" si="492"/>
        <v>91</v>
      </c>
      <c r="DT108" s="180">
        <f t="shared" si="492"/>
        <v>91</v>
      </c>
      <c r="DU108" s="180">
        <f t="shared" si="492"/>
        <v>91</v>
      </c>
      <c r="DV108" s="180">
        <f t="shared" si="492"/>
        <v>91</v>
      </c>
      <c r="DW108" s="180">
        <f t="shared" si="492"/>
        <v>91</v>
      </c>
      <c r="DX108" s="180">
        <f t="shared" si="492"/>
        <v>91</v>
      </c>
      <c r="DY108" s="180">
        <f t="shared" si="492"/>
        <v>91</v>
      </c>
      <c r="DZ108" s="180">
        <f t="shared" si="492"/>
        <v>91</v>
      </c>
      <c r="EA108" s="180">
        <f t="shared" si="492"/>
        <v>91</v>
      </c>
      <c r="EB108" s="180">
        <f t="shared" si="492"/>
        <v>91</v>
      </c>
      <c r="EC108" s="180">
        <f t="shared" si="492"/>
        <v>91</v>
      </c>
      <c r="ED108" s="180">
        <f t="shared" si="492"/>
        <v>91</v>
      </c>
      <c r="EE108" s="180">
        <f t="shared" si="492"/>
        <v>91</v>
      </c>
      <c r="EF108" s="180">
        <f t="shared" si="492"/>
        <v>91</v>
      </c>
      <c r="EG108" s="180">
        <f t="shared" ref="EG108:EO108" si="534">IF($AU113&gt;$BA$19,0,$BA113-$AS113)</f>
        <v>91</v>
      </c>
      <c r="EH108" s="180">
        <f t="shared" si="534"/>
        <v>91</v>
      </c>
      <c r="EI108" s="180">
        <f t="shared" si="534"/>
        <v>91</v>
      </c>
      <c r="EJ108" s="180">
        <f t="shared" si="534"/>
        <v>91</v>
      </c>
      <c r="EK108" s="180">
        <f t="shared" si="534"/>
        <v>91</v>
      </c>
      <c r="EL108" s="180">
        <f t="shared" si="534"/>
        <v>91</v>
      </c>
      <c r="EM108" s="180">
        <f t="shared" si="534"/>
        <v>91</v>
      </c>
      <c r="EN108" s="180">
        <f t="shared" si="534"/>
        <v>91</v>
      </c>
      <c r="EO108" s="180">
        <f t="shared" si="534"/>
        <v>91</v>
      </c>
      <c r="EQ108" s="259">
        <f t="shared" ca="1" si="398"/>
        <v>48893</v>
      </c>
      <c r="ER108" s="87">
        <f t="shared" ca="1" si="494"/>
        <v>91</v>
      </c>
      <c r="ES108" s="87">
        <f t="shared" ca="1" si="494"/>
        <v>91</v>
      </c>
      <c r="ET108" s="87">
        <f t="shared" ca="1" si="494"/>
        <v>91</v>
      </c>
      <c r="EU108" s="87">
        <f t="shared" ca="1" si="494"/>
        <v>91</v>
      </c>
      <c r="EV108" s="87">
        <f t="shared" ca="1" si="494"/>
        <v>91</v>
      </c>
      <c r="EW108" s="87">
        <f t="shared" ca="1" si="494"/>
        <v>91</v>
      </c>
      <c r="EX108" s="87">
        <f t="shared" ca="1" si="494"/>
        <v>91</v>
      </c>
      <c r="EY108" s="87">
        <f t="shared" ca="1" si="494"/>
        <v>91</v>
      </c>
      <c r="EZ108" s="87">
        <f t="shared" ca="1" si="494"/>
        <v>91</v>
      </c>
      <c r="FA108" s="87">
        <f t="shared" ca="1" si="494"/>
        <v>91</v>
      </c>
      <c r="FB108" s="87">
        <f t="shared" ca="1" si="494"/>
        <v>91</v>
      </c>
      <c r="FC108" s="87">
        <f t="shared" ca="1" si="494"/>
        <v>91</v>
      </c>
      <c r="FD108" s="87">
        <f t="shared" ca="1" si="494"/>
        <v>91</v>
      </c>
      <c r="FE108" s="87">
        <f t="shared" ca="1" si="494"/>
        <v>91</v>
      </c>
      <c r="FF108" s="87">
        <f t="shared" ca="1" si="494"/>
        <v>91</v>
      </c>
      <c r="FG108" s="87">
        <f t="shared" ca="1" si="495"/>
        <v>91</v>
      </c>
      <c r="FH108" s="87">
        <f t="shared" ca="1" si="495"/>
        <v>91</v>
      </c>
      <c r="FI108" s="87">
        <f t="shared" ca="1" si="495"/>
        <v>91</v>
      </c>
      <c r="FJ108" s="87">
        <f t="shared" ca="1" si="495"/>
        <v>91</v>
      </c>
      <c r="FK108" s="87">
        <f t="shared" ca="1" si="495"/>
        <v>91</v>
      </c>
      <c r="FL108" s="87">
        <f t="shared" ca="1" si="495"/>
        <v>91</v>
      </c>
      <c r="FM108" s="87">
        <f t="shared" ca="1" si="495"/>
        <v>91</v>
      </c>
      <c r="FN108" s="87">
        <f t="shared" ca="1" si="495"/>
        <v>91</v>
      </c>
      <c r="FO108" s="87">
        <f t="shared" ca="1" si="495"/>
        <v>91</v>
      </c>
      <c r="FP108" s="87">
        <f t="shared" ca="1" si="495"/>
        <v>91</v>
      </c>
    </row>
    <row r="109" spans="2:172" ht="12.75" hidden="1" customHeight="1" x14ac:dyDescent="0.25">
      <c r="B109" s="87">
        <v>51</v>
      </c>
      <c r="C109" s="181">
        <f t="shared" ca="1" si="450"/>
        <v>47705</v>
      </c>
      <c r="D109" s="380">
        <f t="shared" ref="D109:M118" ca="1" si="535">IF($B109&lt;=D$20,1/(($C$57+1)^(($C109-$C$58)/30)),0)</f>
        <v>0.38952695752168959</v>
      </c>
      <c r="E109" s="380">
        <f t="shared" si="535"/>
        <v>0</v>
      </c>
      <c r="F109" s="380">
        <f t="shared" si="535"/>
        <v>0</v>
      </c>
      <c r="G109" s="380">
        <f t="shared" si="535"/>
        <v>0</v>
      </c>
      <c r="H109" s="380">
        <f t="shared" si="535"/>
        <v>0</v>
      </c>
      <c r="I109" s="380">
        <f t="shared" si="535"/>
        <v>0</v>
      </c>
      <c r="J109" s="380">
        <f t="shared" si="535"/>
        <v>0</v>
      </c>
      <c r="K109" s="380">
        <f t="shared" si="535"/>
        <v>0</v>
      </c>
      <c r="L109" s="380">
        <f t="shared" si="535"/>
        <v>0</v>
      </c>
      <c r="M109" s="380">
        <f t="shared" si="535"/>
        <v>0</v>
      </c>
      <c r="N109" s="380">
        <f t="shared" ref="N109:T118" si="536">IF($B109&lt;=N$20,1/(($C$57+1)^(($C109-$C$58)/30)),0)</f>
        <v>0</v>
      </c>
      <c r="O109" s="380">
        <f t="shared" si="536"/>
        <v>0</v>
      </c>
      <c r="P109" s="380">
        <f t="shared" si="536"/>
        <v>0</v>
      </c>
      <c r="Q109" s="380">
        <f t="shared" si="536"/>
        <v>0</v>
      </c>
      <c r="R109" s="380">
        <f t="shared" si="536"/>
        <v>0</v>
      </c>
      <c r="S109" s="380">
        <f t="shared" si="536"/>
        <v>0</v>
      </c>
      <c r="T109" s="380">
        <f t="shared" si="536"/>
        <v>0</v>
      </c>
      <c r="U109" s="175"/>
      <c r="X109" s="87">
        <v>94</v>
      </c>
      <c r="Y109" s="377">
        <f t="shared" si="361"/>
        <v>0</v>
      </c>
      <c r="Z109" s="377">
        <f t="shared" si="362"/>
        <v>0</v>
      </c>
      <c r="AA109" s="377">
        <f t="shared" si="363"/>
        <v>0</v>
      </c>
      <c r="AB109" s="377">
        <f t="shared" si="364"/>
        <v>0</v>
      </c>
      <c r="AC109" s="377">
        <f t="shared" si="365"/>
        <v>0</v>
      </c>
      <c r="AD109" s="377">
        <f t="shared" si="366"/>
        <v>0</v>
      </c>
      <c r="AE109" s="377">
        <f t="shared" si="367"/>
        <v>0</v>
      </c>
      <c r="AF109" s="377">
        <f t="shared" si="368"/>
        <v>0</v>
      </c>
      <c r="AG109" s="377">
        <f t="shared" si="369"/>
        <v>0</v>
      </c>
      <c r="AH109" s="377">
        <f t="shared" si="370"/>
        <v>0</v>
      </c>
      <c r="AI109" s="377">
        <f t="shared" si="371"/>
        <v>0</v>
      </c>
      <c r="AJ109" s="377">
        <f t="shared" si="372"/>
        <v>0</v>
      </c>
      <c r="AK109" s="377">
        <f t="shared" si="373"/>
        <v>0</v>
      </c>
      <c r="AL109" s="377">
        <f t="shared" si="374"/>
        <v>0</v>
      </c>
      <c r="AM109" s="377">
        <f t="shared" si="375"/>
        <v>0</v>
      </c>
      <c r="AN109" s="377">
        <f t="shared" si="376"/>
        <v>0</v>
      </c>
      <c r="AO109" s="377">
        <f t="shared" si="377"/>
        <v>0</v>
      </c>
      <c r="AQ109" s="138">
        <v>86</v>
      </c>
      <c r="AR109" s="258">
        <f t="shared" ca="1" si="528"/>
        <v>48770</v>
      </c>
      <c r="AS109" s="378">
        <f t="shared" si="421"/>
        <v>0</v>
      </c>
      <c r="AT109" s="138"/>
      <c r="AU109" s="138">
        <v>86</v>
      </c>
      <c r="AV109" s="258">
        <f t="shared" ca="1" si="529"/>
        <v>48801</v>
      </c>
      <c r="AW109" s="378">
        <f t="shared" si="423"/>
        <v>91</v>
      </c>
      <c r="AX109" s="202">
        <f t="shared" ca="1" si="424"/>
        <v>18.14</v>
      </c>
      <c r="AY109" s="138">
        <v>86</v>
      </c>
      <c r="AZ109" s="258">
        <f t="shared" ca="1" si="530"/>
        <v>48801</v>
      </c>
      <c r="BA109" s="378">
        <f t="shared" si="426"/>
        <v>91</v>
      </c>
      <c r="BC109" s="258">
        <f t="shared" ca="1" si="411"/>
        <v>48770</v>
      </c>
      <c r="BD109" s="302">
        <f t="shared" ca="1" si="427"/>
        <v>91</v>
      </c>
      <c r="BE109" s="133">
        <f t="shared" si="412"/>
        <v>86</v>
      </c>
      <c r="BF109" s="379">
        <f t="shared" ca="1" si="413"/>
        <v>48770</v>
      </c>
      <c r="BG109" s="133">
        <f t="shared" si="428"/>
        <v>0</v>
      </c>
      <c r="BH109" s="133">
        <f t="shared" si="429"/>
        <v>0</v>
      </c>
      <c r="BI109" s="133">
        <f t="shared" si="430"/>
        <v>0</v>
      </c>
      <c r="BJ109" s="133">
        <f t="shared" si="431"/>
        <v>0</v>
      </c>
      <c r="BK109" s="133">
        <f t="shared" si="432"/>
        <v>0</v>
      </c>
      <c r="BL109" s="133">
        <f t="shared" si="433"/>
        <v>0</v>
      </c>
      <c r="BM109" s="133">
        <f t="shared" si="434"/>
        <v>0</v>
      </c>
      <c r="BN109" s="133">
        <f t="shared" si="435"/>
        <v>0</v>
      </c>
      <c r="BO109" s="133">
        <f t="shared" si="436"/>
        <v>0</v>
      </c>
      <c r="BP109" s="133">
        <f t="shared" si="437"/>
        <v>0</v>
      </c>
      <c r="BQ109" s="133">
        <f t="shared" si="438"/>
        <v>0</v>
      </c>
      <c r="BR109" s="133">
        <f t="shared" si="439"/>
        <v>0</v>
      </c>
      <c r="BS109" s="133">
        <f t="shared" si="440"/>
        <v>0</v>
      </c>
      <c r="BT109" s="133">
        <f t="shared" si="441"/>
        <v>0</v>
      </c>
      <c r="BU109" s="133">
        <f t="shared" si="442"/>
        <v>0</v>
      </c>
      <c r="BV109" s="133">
        <f t="shared" si="443"/>
        <v>0</v>
      </c>
      <c r="BW109" s="133">
        <f t="shared" si="444"/>
        <v>0</v>
      </c>
      <c r="BX109" s="267"/>
      <c r="BY109" s="267"/>
      <c r="BZ109" s="267"/>
      <c r="CA109" s="267"/>
      <c r="CB109" s="267"/>
      <c r="CC109" s="267"/>
      <c r="CD109" s="267"/>
      <c r="CE109" s="267"/>
      <c r="CF109" s="267"/>
      <c r="CG109" s="267"/>
      <c r="CS109" s="87">
        <v>91</v>
      </c>
      <c r="CT109" s="259">
        <f t="shared" ca="1" si="386"/>
        <v>48954</v>
      </c>
      <c r="CU109" s="179">
        <f t="shared" ref="CU109:DC109" ca="1" si="537">(($AW114/(1+CU$18)^(($AZ114-$AZ$23)/30)))+($AS114/(1+CU$18)^(($AZ114-$AZ$23)/30))</f>
        <v>16.524737012019582</v>
      </c>
      <c r="CV109" s="179">
        <f t="shared" ca="1" si="537"/>
        <v>17.297427529093074</v>
      </c>
      <c r="CW109" s="179">
        <f t="shared" ca="1" si="537"/>
        <v>17.778469754626176</v>
      </c>
      <c r="CX109" s="179">
        <f t="shared" ca="1" si="537"/>
        <v>18.273037562508662</v>
      </c>
      <c r="CY109" s="179">
        <f t="shared" ca="1" si="537"/>
        <v>18.781515412414571</v>
      </c>
      <c r="CZ109" s="179">
        <f t="shared" ca="1" si="537"/>
        <v>19.304298810388268</v>
      </c>
      <c r="DA109" s="179">
        <f t="shared" ca="1" si="537"/>
        <v>19.66096904976213</v>
      </c>
      <c r="DB109" s="179">
        <f t="shared" ca="1" si="537"/>
        <v>20.394421440708495</v>
      </c>
      <c r="DC109" s="179">
        <f t="shared" ca="1" si="537"/>
        <v>20.771457561314783</v>
      </c>
      <c r="DD109" s="179">
        <f t="shared" ref="DD109:DI109" ca="1" si="538">(($AW114/(1+DD$18)^(($AZ114-$AZ$23)/30)))+($AS114/(1+DD$18)^(($AZ114-$AZ$23)/30))</f>
        <v>21.155540324924072</v>
      </c>
      <c r="DE109" s="179">
        <f t="shared" ca="1" si="538"/>
        <v>21.546802856731578</v>
      </c>
      <c r="DF109" s="179" t="e">
        <f t="shared" ca="1" si="538"/>
        <v>#VALUE!</v>
      </c>
      <c r="DG109" s="179" t="e">
        <f t="shared" ca="1" si="538"/>
        <v>#VALUE!</v>
      </c>
      <c r="DH109" s="179" t="e">
        <f t="shared" ca="1" si="538"/>
        <v>#VALUE!</v>
      </c>
      <c r="DI109" s="179" t="e">
        <f t="shared" ca="1" si="538"/>
        <v>#VALUE!</v>
      </c>
      <c r="DJ109" s="179" t="e">
        <f t="shared" ref="DJ109:DQ109" ca="1" si="539">(($AW114/(1+DJ$18)^(($AZ114-$AZ$23)/30)))+($AS114/(1+DJ$18)^(($AZ114-$AZ$23)/30))</f>
        <v>#VALUE!</v>
      </c>
      <c r="DK109" s="179" t="e">
        <f t="shared" ca="1" si="539"/>
        <v>#VALUE!</v>
      </c>
      <c r="DL109" s="179" t="e">
        <f t="shared" ca="1" si="539"/>
        <v>#VALUE!</v>
      </c>
      <c r="DM109" s="179" t="e">
        <f t="shared" ca="1" si="539"/>
        <v>#VALUE!</v>
      </c>
      <c r="DN109" s="179" t="e">
        <f t="shared" ca="1" si="539"/>
        <v>#VALUE!</v>
      </c>
      <c r="DO109" s="179" t="e">
        <f t="shared" ca="1" si="539"/>
        <v>#VALUE!</v>
      </c>
      <c r="DP109" s="179" t="e">
        <f t="shared" ca="1" si="539"/>
        <v>#VALUE!</v>
      </c>
      <c r="DQ109" s="179" t="e">
        <f t="shared" ca="1" si="539"/>
        <v>#VALUE!</v>
      </c>
      <c r="DR109" s="180">
        <f t="shared" si="396"/>
        <v>91</v>
      </c>
      <c r="DS109" s="180">
        <f t="shared" si="492"/>
        <v>91</v>
      </c>
      <c r="DT109" s="180">
        <f t="shared" si="492"/>
        <v>91</v>
      </c>
      <c r="DU109" s="180">
        <f t="shared" si="492"/>
        <v>91</v>
      </c>
      <c r="DV109" s="180">
        <f t="shared" si="492"/>
        <v>91</v>
      </c>
      <c r="DW109" s="180">
        <f t="shared" si="492"/>
        <v>91</v>
      </c>
      <c r="DX109" s="180">
        <f t="shared" si="492"/>
        <v>91</v>
      </c>
      <c r="DY109" s="180">
        <f t="shared" si="492"/>
        <v>91</v>
      </c>
      <c r="DZ109" s="180">
        <f t="shared" si="492"/>
        <v>91</v>
      </c>
      <c r="EA109" s="180">
        <f t="shared" si="492"/>
        <v>91</v>
      </c>
      <c r="EB109" s="180">
        <f t="shared" si="492"/>
        <v>91</v>
      </c>
      <c r="EC109" s="180">
        <f t="shared" si="492"/>
        <v>91</v>
      </c>
      <c r="ED109" s="180">
        <f t="shared" si="492"/>
        <v>91</v>
      </c>
      <c r="EE109" s="180">
        <f t="shared" si="492"/>
        <v>91</v>
      </c>
      <c r="EF109" s="180">
        <f t="shared" si="492"/>
        <v>91</v>
      </c>
      <c r="EG109" s="180">
        <f t="shared" ref="EG109:EO109" si="540">IF($AU114&gt;$BA$19,0,$BA114-$AS114)</f>
        <v>91</v>
      </c>
      <c r="EH109" s="180">
        <f t="shared" si="540"/>
        <v>91</v>
      </c>
      <c r="EI109" s="180">
        <f t="shared" si="540"/>
        <v>91</v>
      </c>
      <c r="EJ109" s="180">
        <f t="shared" si="540"/>
        <v>91</v>
      </c>
      <c r="EK109" s="180">
        <f t="shared" si="540"/>
        <v>91</v>
      </c>
      <c r="EL109" s="180">
        <f t="shared" si="540"/>
        <v>91</v>
      </c>
      <c r="EM109" s="180">
        <f t="shared" si="540"/>
        <v>91</v>
      </c>
      <c r="EN109" s="180">
        <f t="shared" si="540"/>
        <v>91</v>
      </c>
      <c r="EO109" s="180">
        <f t="shared" si="540"/>
        <v>91</v>
      </c>
      <c r="EQ109" s="259">
        <f t="shared" ca="1" si="398"/>
        <v>48923</v>
      </c>
      <c r="ER109" s="87">
        <f t="shared" ref="ER109:FF118" ca="1" si="541" xml:space="preserve"> IFERROR(VLOOKUP($EQ109,$AZ$23:$BA$167,2,FALSE),0)-IFERROR(VLOOKUP($EQ109,$AR$23:$AS$167,2,FALSE),0)</f>
        <v>91</v>
      </c>
      <c r="ES109" s="87">
        <f t="shared" ca="1" si="541"/>
        <v>91</v>
      </c>
      <c r="ET109" s="87">
        <f t="shared" ca="1" si="541"/>
        <v>91</v>
      </c>
      <c r="EU109" s="87">
        <f t="shared" ca="1" si="541"/>
        <v>91</v>
      </c>
      <c r="EV109" s="87">
        <f t="shared" ca="1" si="541"/>
        <v>91</v>
      </c>
      <c r="EW109" s="87">
        <f t="shared" ca="1" si="541"/>
        <v>91</v>
      </c>
      <c r="EX109" s="87">
        <f t="shared" ca="1" si="541"/>
        <v>91</v>
      </c>
      <c r="EY109" s="87">
        <f t="shared" ca="1" si="541"/>
        <v>91</v>
      </c>
      <c r="EZ109" s="87">
        <f t="shared" ca="1" si="541"/>
        <v>91</v>
      </c>
      <c r="FA109" s="87">
        <f t="shared" ca="1" si="541"/>
        <v>91</v>
      </c>
      <c r="FB109" s="87">
        <f t="shared" ca="1" si="541"/>
        <v>91</v>
      </c>
      <c r="FC109" s="87">
        <f t="shared" ca="1" si="541"/>
        <v>91</v>
      </c>
      <c r="FD109" s="87">
        <f t="shared" ca="1" si="541"/>
        <v>91</v>
      </c>
      <c r="FE109" s="87">
        <f t="shared" ca="1" si="541"/>
        <v>91</v>
      </c>
      <c r="FF109" s="87">
        <f t="shared" ca="1" si="541"/>
        <v>91</v>
      </c>
      <c r="FG109" s="87">
        <f t="shared" ca="1" si="495"/>
        <v>91</v>
      </c>
      <c r="FH109" s="87">
        <f t="shared" ca="1" si="495"/>
        <v>91</v>
      </c>
      <c r="FI109" s="87">
        <f t="shared" ca="1" si="495"/>
        <v>91</v>
      </c>
      <c r="FJ109" s="87">
        <f t="shared" ca="1" si="495"/>
        <v>91</v>
      </c>
      <c r="FK109" s="87">
        <f t="shared" ca="1" si="495"/>
        <v>91</v>
      </c>
      <c r="FL109" s="87">
        <f t="shared" ca="1" si="495"/>
        <v>91</v>
      </c>
      <c r="FM109" s="87">
        <f t="shared" ca="1" si="495"/>
        <v>91</v>
      </c>
      <c r="FN109" s="87">
        <f t="shared" ca="1" si="495"/>
        <v>91</v>
      </c>
      <c r="FO109" s="87">
        <f t="shared" ca="1" si="495"/>
        <v>91</v>
      </c>
      <c r="FP109" s="87">
        <f t="shared" ca="1" si="495"/>
        <v>91</v>
      </c>
    </row>
    <row r="110" spans="2:172" ht="12.75" hidden="1" customHeight="1" x14ac:dyDescent="0.25">
      <c r="B110" s="87">
        <v>52</v>
      </c>
      <c r="C110" s="181">
        <f t="shared" ca="1" si="450"/>
        <v>47736</v>
      </c>
      <c r="D110" s="380">
        <f t="shared" ca="1" si="535"/>
        <v>0.3822179841246004</v>
      </c>
      <c r="E110" s="380">
        <f t="shared" si="535"/>
        <v>0</v>
      </c>
      <c r="F110" s="380">
        <f t="shared" si="535"/>
        <v>0</v>
      </c>
      <c r="G110" s="380">
        <f t="shared" si="535"/>
        <v>0</v>
      </c>
      <c r="H110" s="380">
        <f t="shared" si="535"/>
        <v>0</v>
      </c>
      <c r="I110" s="380">
        <f t="shared" si="535"/>
        <v>0</v>
      </c>
      <c r="J110" s="380">
        <f t="shared" si="535"/>
        <v>0</v>
      </c>
      <c r="K110" s="380">
        <f t="shared" si="535"/>
        <v>0</v>
      </c>
      <c r="L110" s="380">
        <f t="shared" si="535"/>
        <v>0</v>
      </c>
      <c r="M110" s="380">
        <f t="shared" si="535"/>
        <v>0</v>
      </c>
      <c r="N110" s="380">
        <f t="shared" si="536"/>
        <v>0</v>
      </c>
      <c r="O110" s="380">
        <f t="shared" si="536"/>
        <v>0</v>
      </c>
      <c r="P110" s="380">
        <f t="shared" si="536"/>
        <v>0</v>
      </c>
      <c r="Q110" s="380">
        <f t="shared" si="536"/>
        <v>0</v>
      </c>
      <c r="R110" s="380">
        <f t="shared" si="536"/>
        <v>0</v>
      </c>
      <c r="S110" s="380">
        <f t="shared" si="536"/>
        <v>0</v>
      </c>
      <c r="T110" s="380">
        <f t="shared" si="536"/>
        <v>0</v>
      </c>
      <c r="U110" s="175"/>
      <c r="X110" s="87">
        <v>95</v>
      </c>
      <c r="Y110" s="377">
        <f t="shared" si="361"/>
        <v>0</v>
      </c>
      <c r="Z110" s="377">
        <f t="shared" si="362"/>
        <v>0</v>
      </c>
      <c r="AA110" s="377">
        <f t="shared" si="363"/>
        <v>0</v>
      </c>
      <c r="AB110" s="377">
        <f t="shared" si="364"/>
        <v>0</v>
      </c>
      <c r="AC110" s="377">
        <f t="shared" si="365"/>
        <v>0</v>
      </c>
      <c r="AD110" s="377">
        <f t="shared" si="366"/>
        <v>0</v>
      </c>
      <c r="AE110" s="377">
        <f t="shared" si="367"/>
        <v>0</v>
      </c>
      <c r="AF110" s="377">
        <f t="shared" si="368"/>
        <v>0</v>
      </c>
      <c r="AG110" s="377">
        <f t="shared" si="369"/>
        <v>0</v>
      </c>
      <c r="AH110" s="377">
        <f t="shared" si="370"/>
        <v>0</v>
      </c>
      <c r="AI110" s="377">
        <f t="shared" si="371"/>
        <v>0</v>
      </c>
      <c r="AJ110" s="377">
        <f t="shared" si="372"/>
        <v>0</v>
      </c>
      <c r="AK110" s="377">
        <f t="shared" si="373"/>
        <v>0</v>
      </c>
      <c r="AL110" s="377">
        <f t="shared" si="374"/>
        <v>0</v>
      </c>
      <c r="AM110" s="377">
        <f t="shared" si="375"/>
        <v>0</v>
      </c>
      <c r="AN110" s="377">
        <f t="shared" si="376"/>
        <v>0</v>
      </c>
      <c r="AO110" s="377">
        <f t="shared" si="377"/>
        <v>0</v>
      </c>
      <c r="AQ110" s="138">
        <v>87</v>
      </c>
      <c r="AR110" s="258">
        <f t="shared" ca="1" si="528"/>
        <v>48801</v>
      </c>
      <c r="AS110" s="378">
        <f t="shared" si="421"/>
        <v>0</v>
      </c>
      <c r="AT110" s="138"/>
      <c r="AU110" s="138">
        <v>87</v>
      </c>
      <c r="AV110" s="258">
        <f t="shared" ca="1" si="529"/>
        <v>48832</v>
      </c>
      <c r="AW110" s="378">
        <f t="shared" si="423"/>
        <v>91</v>
      </c>
      <c r="AX110" s="202">
        <f t="shared" ca="1" si="424"/>
        <v>17.8</v>
      </c>
      <c r="AY110" s="138">
        <v>87</v>
      </c>
      <c r="AZ110" s="258">
        <f t="shared" ca="1" si="530"/>
        <v>48832</v>
      </c>
      <c r="BA110" s="378">
        <f t="shared" si="426"/>
        <v>91</v>
      </c>
      <c r="BC110" s="258">
        <f t="shared" ca="1" si="411"/>
        <v>48801</v>
      </c>
      <c r="BD110" s="302">
        <f t="shared" ca="1" si="427"/>
        <v>91</v>
      </c>
      <c r="BE110" s="133">
        <f t="shared" si="412"/>
        <v>87</v>
      </c>
      <c r="BF110" s="379">
        <f t="shared" ca="1" si="413"/>
        <v>48801</v>
      </c>
      <c r="BG110" s="133">
        <f t="shared" si="428"/>
        <v>0</v>
      </c>
      <c r="BH110" s="133">
        <f t="shared" si="429"/>
        <v>0</v>
      </c>
      <c r="BI110" s="133">
        <f t="shared" si="430"/>
        <v>0</v>
      </c>
      <c r="BJ110" s="133">
        <f t="shared" si="431"/>
        <v>0</v>
      </c>
      <c r="BK110" s="133">
        <f t="shared" si="432"/>
        <v>0</v>
      </c>
      <c r="BL110" s="133">
        <f t="shared" si="433"/>
        <v>0</v>
      </c>
      <c r="BM110" s="133">
        <f t="shared" si="434"/>
        <v>0</v>
      </c>
      <c r="BN110" s="133">
        <f t="shared" si="435"/>
        <v>0</v>
      </c>
      <c r="BO110" s="133">
        <f t="shared" si="436"/>
        <v>0</v>
      </c>
      <c r="BP110" s="133">
        <f t="shared" si="437"/>
        <v>0</v>
      </c>
      <c r="BQ110" s="133">
        <f t="shared" si="438"/>
        <v>0</v>
      </c>
      <c r="BR110" s="133">
        <f t="shared" si="439"/>
        <v>0</v>
      </c>
      <c r="BS110" s="133">
        <f t="shared" si="440"/>
        <v>0</v>
      </c>
      <c r="BT110" s="133">
        <f t="shared" si="441"/>
        <v>0</v>
      </c>
      <c r="BU110" s="133">
        <f t="shared" si="442"/>
        <v>0</v>
      </c>
      <c r="BV110" s="133">
        <f t="shared" si="443"/>
        <v>0</v>
      </c>
      <c r="BW110" s="133">
        <f t="shared" si="444"/>
        <v>0</v>
      </c>
      <c r="BX110" s="267"/>
      <c r="BY110" s="267"/>
      <c r="BZ110" s="267"/>
      <c r="CA110" s="267"/>
      <c r="CB110" s="267"/>
      <c r="CC110" s="267"/>
      <c r="CD110" s="267"/>
      <c r="CE110" s="267"/>
      <c r="CF110" s="267"/>
      <c r="CG110" s="267"/>
      <c r="CS110" s="178">
        <v>92</v>
      </c>
      <c r="CT110" s="259">
        <f t="shared" ca="1" si="386"/>
        <v>48985</v>
      </c>
      <c r="CU110" s="179">
        <f t="shared" ref="CU110:DC110" ca="1" si="542">(($AW115/(1+CU$18)^(($AZ115-$AZ$23)/30)))+($AS115/(1+CU$18)^(($AZ115-$AZ$23)/30))</f>
        <v>16.214671531614364</v>
      </c>
      <c r="CV110" s="179">
        <f t="shared" ca="1" si="542"/>
        <v>16.981477829592396</v>
      </c>
      <c r="CW110" s="179">
        <f t="shared" ca="1" si="542"/>
        <v>17.459050060476248</v>
      </c>
      <c r="CX110" s="179">
        <f t="shared" ca="1" si="542"/>
        <v>17.950199892821136</v>
      </c>
      <c r="CY110" s="179">
        <f t="shared" ca="1" si="542"/>
        <v>18.455317519623982</v>
      </c>
      <c r="CZ110" s="179">
        <f t="shared" ca="1" si="542"/>
        <v>18.974804467309283</v>
      </c>
      <c r="DA110" s="179">
        <f t="shared" ca="1" si="542"/>
        <v>19.329315610483114</v>
      </c>
      <c r="DB110" s="179">
        <f t="shared" ca="1" si="542"/>
        <v>20.058551104101518</v>
      </c>
      <c r="DC110" s="179">
        <f t="shared" ca="1" si="542"/>
        <v>20.433533512240555</v>
      </c>
      <c r="DD110" s="179">
        <f t="shared" ref="DD110:DI110" ca="1" si="543">(($AW115/(1+DD$18)^(($AZ115-$AZ$23)/30)))+($AS115/(1+DD$18)^(($AZ115-$AZ$23)/30))</f>
        <v>20.815601889844562</v>
      </c>
      <c r="DE110" s="179">
        <f t="shared" ca="1" si="543"/>
        <v>21.204891573962318</v>
      </c>
      <c r="DF110" s="179" t="e">
        <f t="shared" ca="1" si="543"/>
        <v>#VALUE!</v>
      </c>
      <c r="DG110" s="179" t="e">
        <f t="shared" ca="1" si="543"/>
        <v>#VALUE!</v>
      </c>
      <c r="DH110" s="179" t="e">
        <f t="shared" ca="1" si="543"/>
        <v>#VALUE!</v>
      </c>
      <c r="DI110" s="179" t="e">
        <f t="shared" ca="1" si="543"/>
        <v>#VALUE!</v>
      </c>
      <c r="DJ110" s="179" t="e">
        <f t="shared" ref="DJ110:DQ110" ca="1" si="544">(($AW115/(1+DJ$18)^(($AZ115-$AZ$23)/30)))+($AS115/(1+DJ$18)^(($AZ115-$AZ$23)/30))</f>
        <v>#VALUE!</v>
      </c>
      <c r="DK110" s="179" t="e">
        <f t="shared" ca="1" si="544"/>
        <v>#VALUE!</v>
      </c>
      <c r="DL110" s="179" t="e">
        <f t="shared" ca="1" si="544"/>
        <v>#VALUE!</v>
      </c>
      <c r="DM110" s="179" t="e">
        <f t="shared" ca="1" si="544"/>
        <v>#VALUE!</v>
      </c>
      <c r="DN110" s="179" t="e">
        <f t="shared" ca="1" si="544"/>
        <v>#VALUE!</v>
      </c>
      <c r="DO110" s="179" t="e">
        <f t="shared" ca="1" si="544"/>
        <v>#VALUE!</v>
      </c>
      <c r="DP110" s="179" t="e">
        <f t="shared" ca="1" si="544"/>
        <v>#VALUE!</v>
      </c>
      <c r="DQ110" s="179" t="e">
        <f t="shared" ca="1" si="544"/>
        <v>#VALUE!</v>
      </c>
      <c r="DR110" s="180">
        <f t="shared" si="396"/>
        <v>91</v>
      </c>
      <c r="DS110" s="180">
        <f t="shared" si="492"/>
        <v>91</v>
      </c>
      <c r="DT110" s="180">
        <f t="shared" si="492"/>
        <v>91</v>
      </c>
      <c r="DU110" s="180">
        <f t="shared" si="492"/>
        <v>91</v>
      </c>
      <c r="DV110" s="180">
        <f t="shared" si="492"/>
        <v>91</v>
      </c>
      <c r="DW110" s="180">
        <f t="shared" si="492"/>
        <v>91</v>
      </c>
      <c r="DX110" s="180">
        <f t="shared" si="492"/>
        <v>91</v>
      </c>
      <c r="DY110" s="180">
        <f t="shared" si="492"/>
        <v>91</v>
      </c>
      <c r="DZ110" s="180">
        <f t="shared" si="492"/>
        <v>91</v>
      </c>
      <c r="EA110" s="180">
        <f t="shared" si="492"/>
        <v>91</v>
      </c>
      <c r="EB110" s="180">
        <f t="shared" si="492"/>
        <v>91</v>
      </c>
      <c r="EC110" s="180">
        <f t="shared" si="492"/>
        <v>91</v>
      </c>
      <c r="ED110" s="180">
        <f t="shared" si="492"/>
        <v>91</v>
      </c>
      <c r="EE110" s="180">
        <f t="shared" si="492"/>
        <v>91</v>
      </c>
      <c r="EF110" s="180">
        <f t="shared" si="492"/>
        <v>91</v>
      </c>
      <c r="EG110" s="180">
        <f t="shared" ref="EG110:EO110" si="545">IF($AU115&gt;$BA$19,0,$BA115-$AS115)</f>
        <v>91</v>
      </c>
      <c r="EH110" s="180">
        <f t="shared" si="545"/>
        <v>91</v>
      </c>
      <c r="EI110" s="180">
        <f t="shared" si="545"/>
        <v>91</v>
      </c>
      <c r="EJ110" s="180">
        <f t="shared" si="545"/>
        <v>91</v>
      </c>
      <c r="EK110" s="180">
        <f t="shared" si="545"/>
        <v>91</v>
      </c>
      <c r="EL110" s="180">
        <f t="shared" si="545"/>
        <v>91</v>
      </c>
      <c r="EM110" s="180">
        <f t="shared" si="545"/>
        <v>91</v>
      </c>
      <c r="EN110" s="180">
        <f t="shared" si="545"/>
        <v>91</v>
      </c>
      <c r="EO110" s="180">
        <f t="shared" si="545"/>
        <v>91</v>
      </c>
      <c r="EQ110" s="259">
        <f t="shared" ca="1" si="398"/>
        <v>48954</v>
      </c>
      <c r="ER110" s="87">
        <f t="shared" ca="1" si="541"/>
        <v>91</v>
      </c>
      <c r="ES110" s="87">
        <f t="shared" ca="1" si="541"/>
        <v>91</v>
      </c>
      <c r="ET110" s="87">
        <f t="shared" ca="1" si="541"/>
        <v>91</v>
      </c>
      <c r="EU110" s="87">
        <f t="shared" ca="1" si="541"/>
        <v>91</v>
      </c>
      <c r="EV110" s="87">
        <f t="shared" ca="1" si="541"/>
        <v>91</v>
      </c>
      <c r="EW110" s="87">
        <f t="shared" ca="1" si="541"/>
        <v>91</v>
      </c>
      <c r="EX110" s="87">
        <f t="shared" ca="1" si="541"/>
        <v>91</v>
      </c>
      <c r="EY110" s="87">
        <f t="shared" ca="1" si="541"/>
        <v>91</v>
      </c>
      <c r="EZ110" s="87">
        <f t="shared" ca="1" si="541"/>
        <v>91</v>
      </c>
      <c r="FA110" s="87">
        <f t="shared" ca="1" si="541"/>
        <v>91</v>
      </c>
      <c r="FB110" s="87">
        <f t="shared" ca="1" si="541"/>
        <v>91</v>
      </c>
      <c r="FC110" s="87">
        <f t="shared" ca="1" si="541"/>
        <v>91</v>
      </c>
      <c r="FD110" s="87">
        <f t="shared" ca="1" si="541"/>
        <v>91</v>
      </c>
      <c r="FE110" s="87">
        <f t="shared" ca="1" si="541"/>
        <v>91</v>
      </c>
      <c r="FF110" s="87">
        <f t="shared" ca="1" si="541"/>
        <v>91</v>
      </c>
      <c r="FG110" s="87">
        <f t="shared" ca="1" si="495"/>
        <v>91</v>
      </c>
      <c r="FH110" s="87">
        <f t="shared" ca="1" si="495"/>
        <v>91</v>
      </c>
      <c r="FI110" s="87">
        <f t="shared" ca="1" si="495"/>
        <v>91</v>
      </c>
      <c r="FJ110" s="87">
        <f t="shared" ca="1" si="495"/>
        <v>91</v>
      </c>
      <c r="FK110" s="87">
        <f t="shared" ca="1" si="495"/>
        <v>91</v>
      </c>
      <c r="FL110" s="87">
        <f t="shared" ca="1" si="495"/>
        <v>91</v>
      </c>
      <c r="FM110" s="87">
        <f t="shared" ca="1" si="495"/>
        <v>91</v>
      </c>
      <c r="FN110" s="87">
        <f t="shared" ca="1" si="495"/>
        <v>91</v>
      </c>
      <c r="FO110" s="87">
        <f t="shared" ca="1" si="495"/>
        <v>91</v>
      </c>
      <c r="FP110" s="87">
        <f t="shared" ca="1" si="495"/>
        <v>91</v>
      </c>
    </row>
    <row r="111" spans="2:172" ht="12.75" hidden="1" customHeight="1" x14ac:dyDescent="0.25">
      <c r="B111" s="87">
        <v>53</v>
      </c>
      <c r="C111" s="181">
        <f t="shared" ca="1" si="450"/>
        <v>47766</v>
      </c>
      <c r="D111" s="380">
        <f t="shared" ca="1" si="535"/>
        <v>0.3752753894203244</v>
      </c>
      <c r="E111" s="380">
        <f t="shared" si="535"/>
        <v>0</v>
      </c>
      <c r="F111" s="380">
        <f t="shared" si="535"/>
        <v>0</v>
      </c>
      <c r="G111" s="380">
        <f t="shared" si="535"/>
        <v>0</v>
      </c>
      <c r="H111" s="380">
        <f t="shared" si="535"/>
        <v>0</v>
      </c>
      <c r="I111" s="380">
        <f t="shared" si="535"/>
        <v>0</v>
      </c>
      <c r="J111" s="380">
        <f t="shared" si="535"/>
        <v>0</v>
      </c>
      <c r="K111" s="380">
        <f t="shared" si="535"/>
        <v>0</v>
      </c>
      <c r="L111" s="380">
        <f t="shared" si="535"/>
        <v>0</v>
      </c>
      <c r="M111" s="380">
        <f t="shared" si="535"/>
        <v>0</v>
      </c>
      <c r="N111" s="380">
        <f t="shared" si="536"/>
        <v>0</v>
      </c>
      <c r="O111" s="380">
        <f t="shared" si="536"/>
        <v>0</v>
      </c>
      <c r="P111" s="380">
        <f t="shared" si="536"/>
        <v>0</v>
      </c>
      <c r="Q111" s="380">
        <f t="shared" si="536"/>
        <v>0</v>
      </c>
      <c r="R111" s="380">
        <f t="shared" si="536"/>
        <v>0</v>
      </c>
      <c r="S111" s="380">
        <f t="shared" si="536"/>
        <v>0</v>
      </c>
      <c r="T111" s="380">
        <f t="shared" si="536"/>
        <v>0</v>
      </c>
      <c r="U111" s="175"/>
      <c r="X111" s="87">
        <v>96</v>
      </c>
      <c r="Y111" s="377">
        <f t="shared" si="361"/>
        <v>0</v>
      </c>
      <c r="Z111" s="377">
        <f t="shared" si="362"/>
        <v>0</v>
      </c>
      <c r="AA111" s="377">
        <f t="shared" si="363"/>
        <v>0</v>
      </c>
      <c r="AB111" s="377">
        <f t="shared" si="364"/>
        <v>0</v>
      </c>
      <c r="AC111" s="377">
        <f t="shared" si="365"/>
        <v>0</v>
      </c>
      <c r="AD111" s="377">
        <f t="shared" si="366"/>
        <v>0</v>
      </c>
      <c r="AE111" s="377">
        <f t="shared" si="367"/>
        <v>0</v>
      </c>
      <c r="AF111" s="377">
        <f t="shared" si="368"/>
        <v>0</v>
      </c>
      <c r="AG111" s="377">
        <f t="shared" si="369"/>
        <v>0</v>
      </c>
      <c r="AH111" s="377">
        <f t="shared" si="370"/>
        <v>0</v>
      </c>
      <c r="AI111" s="377">
        <f t="shared" si="371"/>
        <v>0</v>
      </c>
      <c r="AJ111" s="377">
        <f t="shared" si="372"/>
        <v>0</v>
      </c>
      <c r="AK111" s="377">
        <f t="shared" si="373"/>
        <v>0</v>
      </c>
      <c r="AL111" s="377">
        <f t="shared" si="374"/>
        <v>0</v>
      </c>
      <c r="AM111" s="377">
        <f t="shared" si="375"/>
        <v>0</v>
      </c>
      <c r="AN111" s="377">
        <f t="shared" si="376"/>
        <v>0</v>
      </c>
      <c r="AO111" s="377">
        <f t="shared" si="377"/>
        <v>0</v>
      </c>
      <c r="AQ111" s="138">
        <v>88</v>
      </c>
      <c r="AR111" s="258">
        <f t="shared" ca="1" si="528"/>
        <v>48832</v>
      </c>
      <c r="AS111" s="378">
        <f t="shared" si="421"/>
        <v>0</v>
      </c>
      <c r="AT111" s="138"/>
      <c r="AU111" s="138">
        <v>88</v>
      </c>
      <c r="AV111" s="258">
        <f t="shared" ca="1" si="529"/>
        <v>48862</v>
      </c>
      <c r="AW111" s="378">
        <f t="shared" si="423"/>
        <v>91</v>
      </c>
      <c r="AX111" s="202">
        <f t="shared" ca="1" si="424"/>
        <v>17.48</v>
      </c>
      <c r="AY111" s="138">
        <v>88</v>
      </c>
      <c r="AZ111" s="258">
        <f t="shared" ca="1" si="530"/>
        <v>48862</v>
      </c>
      <c r="BA111" s="378">
        <f t="shared" si="426"/>
        <v>91</v>
      </c>
      <c r="BC111" s="258">
        <f t="shared" ca="1" si="411"/>
        <v>48832</v>
      </c>
      <c r="BD111" s="302">
        <f t="shared" ca="1" si="427"/>
        <v>91</v>
      </c>
      <c r="BE111" s="133">
        <f t="shared" si="412"/>
        <v>88</v>
      </c>
      <c r="BF111" s="379">
        <f t="shared" ca="1" si="413"/>
        <v>48832</v>
      </c>
      <c r="BG111" s="133">
        <f t="shared" si="428"/>
        <v>0</v>
      </c>
      <c r="BH111" s="133">
        <f t="shared" si="429"/>
        <v>0</v>
      </c>
      <c r="BI111" s="133">
        <f t="shared" si="430"/>
        <v>0</v>
      </c>
      <c r="BJ111" s="133">
        <f t="shared" si="431"/>
        <v>0</v>
      </c>
      <c r="BK111" s="133">
        <f t="shared" si="432"/>
        <v>0</v>
      </c>
      <c r="BL111" s="133">
        <f t="shared" si="433"/>
        <v>0</v>
      </c>
      <c r="BM111" s="133">
        <f t="shared" si="434"/>
        <v>0</v>
      </c>
      <c r="BN111" s="133">
        <f t="shared" si="435"/>
        <v>0</v>
      </c>
      <c r="BO111" s="133">
        <f t="shared" si="436"/>
        <v>0</v>
      </c>
      <c r="BP111" s="133">
        <f t="shared" si="437"/>
        <v>0</v>
      </c>
      <c r="BQ111" s="133">
        <f t="shared" si="438"/>
        <v>0</v>
      </c>
      <c r="BR111" s="133">
        <f t="shared" si="439"/>
        <v>0</v>
      </c>
      <c r="BS111" s="133">
        <f t="shared" si="440"/>
        <v>0</v>
      </c>
      <c r="BT111" s="133">
        <f t="shared" si="441"/>
        <v>0</v>
      </c>
      <c r="BU111" s="133">
        <f t="shared" si="442"/>
        <v>0</v>
      </c>
      <c r="BV111" s="133">
        <f t="shared" si="443"/>
        <v>0</v>
      </c>
      <c r="BW111" s="133">
        <f t="shared" si="444"/>
        <v>0</v>
      </c>
      <c r="BX111" s="267"/>
      <c r="BY111" s="267"/>
      <c r="BZ111" s="267"/>
      <c r="CA111" s="267"/>
      <c r="CB111" s="267"/>
      <c r="CC111" s="267"/>
      <c r="CD111" s="267"/>
      <c r="CE111" s="267"/>
      <c r="CF111" s="267"/>
      <c r="CG111" s="267"/>
      <c r="CS111" s="138">
        <v>93</v>
      </c>
      <c r="CT111" s="259">
        <f t="shared" ca="1" si="386"/>
        <v>49013</v>
      </c>
      <c r="CU111" s="179">
        <f t="shared" ref="CU111:DC111" ca="1" si="546">(($AW116/(1+CU$18)^(($AZ116-$AZ$23)/30)))+($AS116/(1+CU$18)^(($AZ116-$AZ$23)/30))</f>
        <v>15.939616109114846</v>
      </c>
      <c r="CV111" s="179">
        <f t="shared" ca="1" si="546"/>
        <v>16.701067180213446</v>
      </c>
      <c r="CW111" s="179">
        <f t="shared" ca="1" si="546"/>
        <v>17.175477533556194</v>
      </c>
      <c r="CX111" s="179">
        <f t="shared" ca="1" si="546"/>
        <v>17.663509848850033</v>
      </c>
      <c r="CY111" s="179">
        <f t="shared" ca="1" si="546"/>
        <v>18.165559450550777</v>
      </c>
      <c r="CZ111" s="179">
        <f t="shared" ca="1" si="546"/>
        <v>18.682033257562384</v>
      </c>
      <c r="DA111" s="179">
        <f t="shared" ca="1" si="546"/>
        <v>19.034568917361888</v>
      </c>
      <c r="DB111" s="179">
        <f t="shared" ca="1" si="546"/>
        <v>19.759941207419875</v>
      </c>
      <c r="DC111" s="179">
        <f t="shared" ca="1" si="546"/>
        <v>20.133039565139278</v>
      </c>
      <c r="DD111" s="179">
        <f t="shared" ref="DD111:DI111" ca="1" si="547">(($AW116/(1+DD$18)^(($AZ116-$AZ$23)/30)))+($AS116/(1+DD$18)^(($AZ116-$AZ$23)/30))</f>
        <v>20.513258139847906</v>
      </c>
      <c r="DE111" s="179">
        <f t="shared" ca="1" si="547"/>
        <v>20.900734256115243</v>
      </c>
      <c r="DF111" s="179" t="e">
        <f t="shared" ca="1" si="547"/>
        <v>#VALUE!</v>
      </c>
      <c r="DG111" s="179" t="e">
        <f t="shared" ca="1" si="547"/>
        <v>#VALUE!</v>
      </c>
      <c r="DH111" s="179" t="e">
        <f t="shared" ca="1" si="547"/>
        <v>#VALUE!</v>
      </c>
      <c r="DI111" s="179" t="e">
        <f t="shared" ca="1" si="547"/>
        <v>#VALUE!</v>
      </c>
      <c r="DJ111" s="179" t="e">
        <f t="shared" ref="DJ111:DQ111" ca="1" si="548">(($AW116/(1+DJ$18)^(($AZ116-$AZ$23)/30)))+($AS116/(1+DJ$18)^(($AZ116-$AZ$23)/30))</f>
        <v>#VALUE!</v>
      </c>
      <c r="DK111" s="179" t="e">
        <f t="shared" ca="1" si="548"/>
        <v>#VALUE!</v>
      </c>
      <c r="DL111" s="179" t="e">
        <f t="shared" ca="1" si="548"/>
        <v>#VALUE!</v>
      </c>
      <c r="DM111" s="179" t="e">
        <f t="shared" ca="1" si="548"/>
        <v>#VALUE!</v>
      </c>
      <c r="DN111" s="179" t="e">
        <f t="shared" ca="1" si="548"/>
        <v>#VALUE!</v>
      </c>
      <c r="DO111" s="179" t="e">
        <f t="shared" ca="1" si="548"/>
        <v>#VALUE!</v>
      </c>
      <c r="DP111" s="179" t="e">
        <f t="shared" ca="1" si="548"/>
        <v>#VALUE!</v>
      </c>
      <c r="DQ111" s="179" t="e">
        <f t="shared" ca="1" si="548"/>
        <v>#VALUE!</v>
      </c>
      <c r="DR111" s="180">
        <f t="shared" si="396"/>
        <v>91</v>
      </c>
      <c r="DS111" s="180">
        <f t="shared" si="492"/>
        <v>91</v>
      </c>
      <c r="DT111" s="180">
        <f t="shared" si="492"/>
        <v>91</v>
      </c>
      <c r="DU111" s="180">
        <f t="shared" si="492"/>
        <v>91</v>
      </c>
      <c r="DV111" s="180">
        <f t="shared" si="492"/>
        <v>91</v>
      </c>
      <c r="DW111" s="180">
        <f t="shared" si="492"/>
        <v>91</v>
      </c>
      <c r="DX111" s="180">
        <f t="shared" si="492"/>
        <v>91</v>
      </c>
      <c r="DY111" s="180">
        <f t="shared" si="492"/>
        <v>91</v>
      </c>
      <c r="DZ111" s="180">
        <f t="shared" si="492"/>
        <v>91</v>
      </c>
      <c r="EA111" s="180">
        <f t="shared" si="492"/>
        <v>91</v>
      </c>
      <c r="EB111" s="180">
        <f t="shared" si="492"/>
        <v>91</v>
      </c>
      <c r="EC111" s="180">
        <f t="shared" si="492"/>
        <v>91</v>
      </c>
      <c r="ED111" s="180">
        <f t="shared" si="492"/>
        <v>91</v>
      </c>
      <c r="EE111" s="180">
        <f t="shared" si="492"/>
        <v>91</v>
      </c>
      <c r="EF111" s="180">
        <f t="shared" si="492"/>
        <v>91</v>
      </c>
      <c r="EG111" s="180">
        <f t="shared" ref="EG111:EO111" si="549">IF($AU116&gt;$BA$19,0,$BA116-$AS116)</f>
        <v>91</v>
      </c>
      <c r="EH111" s="180">
        <f t="shared" si="549"/>
        <v>91</v>
      </c>
      <c r="EI111" s="180">
        <f t="shared" si="549"/>
        <v>91</v>
      </c>
      <c r="EJ111" s="180">
        <f t="shared" si="549"/>
        <v>91</v>
      </c>
      <c r="EK111" s="180">
        <f t="shared" si="549"/>
        <v>91</v>
      </c>
      <c r="EL111" s="180">
        <f t="shared" si="549"/>
        <v>91</v>
      </c>
      <c r="EM111" s="180">
        <f t="shared" si="549"/>
        <v>91</v>
      </c>
      <c r="EN111" s="180">
        <f t="shared" si="549"/>
        <v>91</v>
      </c>
      <c r="EO111" s="180">
        <f t="shared" si="549"/>
        <v>91</v>
      </c>
      <c r="EQ111" s="259">
        <f t="shared" ca="1" si="398"/>
        <v>48985</v>
      </c>
      <c r="ER111" s="87">
        <f t="shared" ca="1" si="541"/>
        <v>91</v>
      </c>
      <c r="ES111" s="87">
        <f t="shared" ca="1" si="541"/>
        <v>91</v>
      </c>
      <c r="ET111" s="87">
        <f t="shared" ca="1" si="541"/>
        <v>91</v>
      </c>
      <c r="EU111" s="87">
        <f t="shared" ca="1" si="541"/>
        <v>91</v>
      </c>
      <c r="EV111" s="87">
        <f t="shared" ca="1" si="541"/>
        <v>91</v>
      </c>
      <c r="EW111" s="87">
        <f t="shared" ca="1" si="541"/>
        <v>91</v>
      </c>
      <c r="EX111" s="87">
        <f t="shared" ca="1" si="541"/>
        <v>91</v>
      </c>
      <c r="EY111" s="87">
        <f t="shared" ca="1" si="541"/>
        <v>91</v>
      </c>
      <c r="EZ111" s="87">
        <f t="shared" ca="1" si="541"/>
        <v>91</v>
      </c>
      <c r="FA111" s="87">
        <f t="shared" ca="1" si="541"/>
        <v>91</v>
      </c>
      <c r="FB111" s="87">
        <f t="shared" ca="1" si="541"/>
        <v>91</v>
      </c>
      <c r="FC111" s="87">
        <f t="shared" ca="1" si="541"/>
        <v>91</v>
      </c>
      <c r="FD111" s="87">
        <f t="shared" ca="1" si="541"/>
        <v>91</v>
      </c>
      <c r="FE111" s="87">
        <f t="shared" ca="1" si="541"/>
        <v>91</v>
      </c>
      <c r="FF111" s="87">
        <f t="shared" ca="1" si="541"/>
        <v>91</v>
      </c>
      <c r="FG111" s="87">
        <f t="shared" ca="1" si="495"/>
        <v>91</v>
      </c>
      <c r="FH111" s="87">
        <f t="shared" ca="1" si="495"/>
        <v>91</v>
      </c>
      <c r="FI111" s="87">
        <f t="shared" ca="1" si="495"/>
        <v>91</v>
      </c>
      <c r="FJ111" s="87">
        <f t="shared" ca="1" si="495"/>
        <v>91</v>
      </c>
      <c r="FK111" s="87">
        <f t="shared" ca="1" si="495"/>
        <v>91</v>
      </c>
      <c r="FL111" s="87">
        <f t="shared" ca="1" si="495"/>
        <v>91</v>
      </c>
      <c r="FM111" s="87">
        <f t="shared" ca="1" si="495"/>
        <v>91</v>
      </c>
      <c r="FN111" s="87">
        <f t="shared" ca="1" si="495"/>
        <v>91</v>
      </c>
      <c r="FO111" s="87">
        <f t="shared" ca="1" si="495"/>
        <v>91</v>
      </c>
      <c r="FP111" s="87">
        <f t="shared" ca="1" si="495"/>
        <v>91</v>
      </c>
    </row>
    <row r="112" spans="2:172" ht="12.75" hidden="1" customHeight="1" x14ac:dyDescent="0.25">
      <c r="B112" s="87">
        <v>54</v>
      </c>
      <c r="C112" s="181">
        <f t="shared" ca="1" si="450"/>
        <v>47797</v>
      </c>
      <c r="D112" s="380">
        <f t="shared" ca="1" si="535"/>
        <v>0.36823382840666169</v>
      </c>
      <c r="E112" s="380">
        <f t="shared" si="535"/>
        <v>0</v>
      </c>
      <c r="F112" s="380">
        <f t="shared" si="535"/>
        <v>0</v>
      </c>
      <c r="G112" s="380">
        <f t="shared" si="535"/>
        <v>0</v>
      </c>
      <c r="H112" s="380">
        <f t="shared" si="535"/>
        <v>0</v>
      </c>
      <c r="I112" s="380">
        <f t="shared" si="535"/>
        <v>0</v>
      </c>
      <c r="J112" s="380">
        <f t="shared" si="535"/>
        <v>0</v>
      </c>
      <c r="K112" s="380">
        <f t="shared" si="535"/>
        <v>0</v>
      </c>
      <c r="L112" s="380">
        <f t="shared" si="535"/>
        <v>0</v>
      </c>
      <c r="M112" s="380">
        <f t="shared" si="535"/>
        <v>0</v>
      </c>
      <c r="N112" s="380">
        <f t="shared" si="536"/>
        <v>0</v>
      </c>
      <c r="O112" s="380">
        <f t="shared" si="536"/>
        <v>0</v>
      </c>
      <c r="P112" s="380">
        <f t="shared" si="536"/>
        <v>0</v>
      </c>
      <c r="Q112" s="380">
        <f t="shared" si="536"/>
        <v>0</v>
      </c>
      <c r="R112" s="380">
        <f t="shared" si="536"/>
        <v>0</v>
      </c>
      <c r="S112" s="380">
        <f t="shared" si="536"/>
        <v>0</v>
      </c>
      <c r="T112" s="380">
        <f t="shared" si="536"/>
        <v>0</v>
      </c>
      <c r="U112" s="175"/>
      <c r="X112" s="87">
        <v>97</v>
      </c>
      <c r="Y112" s="377">
        <f t="shared" si="361"/>
        <v>0</v>
      </c>
      <c r="Z112" s="377">
        <f t="shared" si="362"/>
        <v>0</v>
      </c>
      <c r="AA112" s="377">
        <f t="shared" si="363"/>
        <v>0</v>
      </c>
      <c r="AB112" s="377">
        <f t="shared" si="364"/>
        <v>0</v>
      </c>
      <c r="AC112" s="377">
        <f t="shared" si="365"/>
        <v>0</v>
      </c>
      <c r="AD112" s="377">
        <f t="shared" si="366"/>
        <v>0</v>
      </c>
      <c r="AE112" s="377">
        <f t="shared" si="367"/>
        <v>0</v>
      </c>
      <c r="AF112" s="377">
        <f t="shared" si="368"/>
        <v>0</v>
      </c>
      <c r="AG112" s="377">
        <f t="shared" si="369"/>
        <v>0</v>
      </c>
      <c r="AH112" s="377">
        <f t="shared" si="370"/>
        <v>0</v>
      </c>
      <c r="AI112" s="377">
        <f t="shared" si="371"/>
        <v>0</v>
      </c>
      <c r="AJ112" s="377">
        <f t="shared" si="372"/>
        <v>0</v>
      </c>
      <c r="AK112" s="377">
        <f t="shared" si="373"/>
        <v>0</v>
      </c>
      <c r="AL112" s="377">
        <f t="shared" si="374"/>
        <v>0</v>
      </c>
      <c r="AM112" s="377">
        <f t="shared" si="375"/>
        <v>0</v>
      </c>
      <c r="AN112" s="377">
        <f t="shared" si="376"/>
        <v>0</v>
      </c>
      <c r="AO112" s="377">
        <f t="shared" si="377"/>
        <v>0</v>
      </c>
      <c r="AQ112" s="138">
        <v>89</v>
      </c>
      <c r="AR112" s="258">
        <f t="shared" ca="1" si="528"/>
        <v>48862</v>
      </c>
      <c r="AS112" s="378">
        <f t="shared" si="421"/>
        <v>0</v>
      </c>
      <c r="AT112" s="138"/>
      <c r="AU112" s="138">
        <v>89</v>
      </c>
      <c r="AV112" s="258">
        <f t="shared" ca="1" si="529"/>
        <v>48893</v>
      </c>
      <c r="AW112" s="378">
        <f t="shared" si="423"/>
        <v>91</v>
      </c>
      <c r="AX112" s="202">
        <f t="shared" ca="1" si="424"/>
        <v>17.149999999999999</v>
      </c>
      <c r="AY112" s="138">
        <v>89</v>
      </c>
      <c r="AZ112" s="258">
        <f t="shared" ca="1" si="530"/>
        <v>48893</v>
      </c>
      <c r="BA112" s="378">
        <f t="shared" si="426"/>
        <v>91</v>
      </c>
      <c r="BC112" s="258">
        <f t="shared" ca="1" si="411"/>
        <v>48862</v>
      </c>
      <c r="BD112" s="302">
        <f t="shared" ca="1" si="427"/>
        <v>91</v>
      </c>
      <c r="BE112" s="133">
        <f t="shared" si="412"/>
        <v>89</v>
      </c>
      <c r="BF112" s="379">
        <f t="shared" ca="1" si="413"/>
        <v>48862</v>
      </c>
      <c r="BG112" s="133">
        <f t="shared" si="428"/>
        <v>0</v>
      </c>
      <c r="BH112" s="133">
        <f t="shared" si="429"/>
        <v>0</v>
      </c>
      <c r="BI112" s="133">
        <f t="shared" si="430"/>
        <v>0</v>
      </c>
      <c r="BJ112" s="133">
        <f t="shared" si="431"/>
        <v>0</v>
      </c>
      <c r="BK112" s="133">
        <f t="shared" si="432"/>
        <v>0</v>
      </c>
      <c r="BL112" s="133">
        <f t="shared" si="433"/>
        <v>0</v>
      </c>
      <c r="BM112" s="133">
        <f t="shared" si="434"/>
        <v>0</v>
      </c>
      <c r="BN112" s="133">
        <f t="shared" si="435"/>
        <v>0</v>
      </c>
      <c r="BO112" s="133">
        <f t="shared" si="436"/>
        <v>0</v>
      </c>
      <c r="BP112" s="133">
        <f t="shared" si="437"/>
        <v>0</v>
      </c>
      <c r="BQ112" s="133">
        <f t="shared" si="438"/>
        <v>0</v>
      </c>
      <c r="BR112" s="133">
        <f t="shared" si="439"/>
        <v>0</v>
      </c>
      <c r="BS112" s="133">
        <f t="shared" si="440"/>
        <v>0</v>
      </c>
      <c r="BT112" s="133">
        <f t="shared" si="441"/>
        <v>0</v>
      </c>
      <c r="BU112" s="133">
        <f t="shared" si="442"/>
        <v>0</v>
      </c>
      <c r="BV112" s="133">
        <f t="shared" si="443"/>
        <v>0</v>
      </c>
      <c r="BW112" s="133">
        <f t="shared" si="444"/>
        <v>0</v>
      </c>
      <c r="BX112" s="267"/>
      <c r="BY112" s="267"/>
      <c r="BZ112" s="267"/>
      <c r="CA112" s="267"/>
      <c r="CB112" s="267"/>
      <c r="CC112" s="267"/>
      <c r="CD112" s="267"/>
      <c r="CE112" s="267"/>
      <c r="CF112" s="267"/>
      <c r="CG112" s="267"/>
      <c r="CS112" s="87">
        <v>94</v>
      </c>
      <c r="CT112" s="259">
        <f t="shared" ca="1" si="386"/>
        <v>49044</v>
      </c>
      <c r="CU112" s="179">
        <f t="shared" ref="CU112:DC112" ca="1" si="550">(($AW117/(1+CU$18)^(($AZ117-$AZ$23)/30)))+($AS117/(1+CU$18)^(($AZ117-$AZ$23)/30))</f>
        <v>15.640529671445519</v>
      </c>
      <c r="CV112" s="179">
        <f t="shared" ca="1" si="550"/>
        <v>16.396010422608647</v>
      </c>
      <c r="CW112" s="179">
        <f t="shared" ca="1" si="550"/>
        <v>16.866891594700583</v>
      </c>
      <c r="CX112" s="179">
        <f t="shared" ca="1" si="550"/>
        <v>17.351440969300135</v>
      </c>
      <c r="CY112" s="179">
        <f t="shared" ca="1" si="550"/>
        <v>17.850059498389562</v>
      </c>
      <c r="CZ112" s="179">
        <f t="shared" ca="1" si="550"/>
        <v>18.363160019220892</v>
      </c>
      <c r="DA112" s="179">
        <f t="shared" ca="1" si="550"/>
        <v>18.713481984634491</v>
      </c>
      <c r="DB112" s="179">
        <f t="shared" ca="1" si="550"/>
        <v>19.43451995808633</v>
      </c>
      <c r="DC112" s="179">
        <f t="shared" ca="1" si="550"/>
        <v>19.805501729629146</v>
      </c>
      <c r="DD112" s="179">
        <f t="shared" ref="DD112:DI112" ca="1" si="551">(($AW117/(1+DD$18)^(($AZ117-$AZ$23)/30)))+($AS117/(1+DD$18)^(($AZ117-$AZ$23)/30))</f>
        <v>20.183640235349078</v>
      </c>
      <c r="DE112" s="179">
        <f t="shared" ca="1" si="551"/>
        <v>20.569074988248726</v>
      </c>
      <c r="DF112" s="179" t="e">
        <f t="shared" ca="1" si="551"/>
        <v>#VALUE!</v>
      </c>
      <c r="DG112" s="179" t="e">
        <f t="shared" ca="1" si="551"/>
        <v>#VALUE!</v>
      </c>
      <c r="DH112" s="179" t="e">
        <f t="shared" ca="1" si="551"/>
        <v>#VALUE!</v>
      </c>
      <c r="DI112" s="179" t="e">
        <f t="shared" ca="1" si="551"/>
        <v>#VALUE!</v>
      </c>
      <c r="DJ112" s="179" t="e">
        <f t="shared" ref="DJ112:DQ112" ca="1" si="552">(($AW117/(1+DJ$18)^(($AZ117-$AZ$23)/30)))+($AS117/(1+DJ$18)^(($AZ117-$AZ$23)/30))</f>
        <v>#VALUE!</v>
      </c>
      <c r="DK112" s="179" t="e">
        <f t="shared" ca="1" si="552"/>
        <v>#VALUE!</v>
      </c>
      <c r="DL112" s="179" t="e">
        <f t="shared" ca="1" si="552"/>
        <v>#VALUE!</v>
      </c>
      <c r="DM112" s="179" t="e">
        <f t="shared" ca="1" si="552"/>
        <v>#VALUE!</v>
      </c>
      <c r="DN112" s="179" t="e">
        <f t="shared" ca="1" si="552"/>
        <v>#VALUE!</v>
      </c>
      <c r="DO112" s="179" t="e">
        <f t="shared" ca="1" si="552"/>
        <v>#VALUE!</v>
      </c>
      <c r="DP112" s="179" t="e">
        <f t="shared" ca="1" si="552"/>
        <v>#VALUE!</v>
      </c>
      <c r="DQ112" s="179" t="e">
        <f t="shared" ca="1" si="552"/>
        <v>#VALUE!</v>
      </c>
      <c r="DR112" s="180">
        <f t="shared" si="396"/>
        <v>91</v>
      </c>
      <c r="DS112" s="180">
        <f t="shared" si="492"/>
        <v>91</v>
      </c>
      <c r="DT112" s="180">
        <f t="shared" si="492"/>
        <v>91</v>
      </c>
      <c r="DU112" s="180">
        <f t="shared" si="492"/>
        <v>91</v>
      </c>
      <c r="DV112" s="180">
        <f t="shared" si="492"/>
        <v>91</v>
      </c>
      <c r="DW112" s="180">
        <f t="shared" si="492"/>
        <v>91</v>
      </c>
      <c r="DX112" s="180">
        <f t="shared" si="492"/>
        <v>91</v>
      </c>
      <c r="DY112" s="180">
        <f t="shared" si="492"/>
        <v>91</v>
      </c>
      <c r="DZ112" s="180">
        <f t="shared" si="492"/>
        <v>91</v>
      </c>
      <c r="EA112" s="180">
        <f t="shared" si="492"/>
        <v>91</v>
      </c>
      <c r="EB112" s="180">
        <f t="shared" si="492"/>
        <v>91</v>
      </c>
      <c r="EC112" s="180">
        <f t="shared" si="492"/>
        <v>91</v>
      </c>
      <c r="ED112" s="180">
        <f t="shared" si="492"/>
        <v>91</v>
      </c>
      <c r="EE112" s="180">
        <f t="shared" si="492"/>
        <v>91</v>
      </c>
      <c r="EF112" s="180">
        <f t="shared" si="492"/>
        <v>91</v>
      </c>
      <c r="EG112" s="180">
        <f t="shared" ref="EG112:EO112" si="553">IF($AU117&gt;$BA$19,0,$BA117-$AS117)</f>
        <v>91</v>
      </c>
      <c r="EH112" s="180">
        <f t="shared" si="553"/>
        <v>91</v>
      </c>
      <c r="EI112" s="180">
        <f t="shared" si="553"/>
        <v>91</v>
      </c>
      <c r="EJ112" s="180">
        <f t="shared" si="553"/>
        <v>91</v>
      </c>
      <c r="EK112" s="180">
        <f t="shared" si="553"/>
        <v>91</v>
      </c>
      <c r="EL112" s="180">
        <f t="shared" si="553"/>
        <v>91</v>
      </c>
      <c r="EM112" s="180">
        <f t="shared" si="553"/>
        <v>91</v>
      </c>
      <c r="EN112" s="180">
        <f t="shared" si="553"/>
        <v>91</v>
      </c>
      <c r="EO112" s="180">
        <f t="shared" si="553"/>
        <v>91</v>
      </c>
      <c r="EQ112" s="259">
        <f t="shared" ca="1" si="398"/>
        <v>49013</v>
      </c>
      <c r="ER112" s="87">
        <f t="shared" ca="1" si="541"/>
        <v>91</v>
      </c>
      <c r="ES112" s="87">
        <f t="shared" ca="1" si="541"/>
        <v>91</v>
      </c>
      <c r="ET112" s="87">
        <f t="shared" ca="1" si="541"/>
        <v>91</v>
      </c>
      <c r="EU112" s="87">
        <f t="shared" ca="1" si="541"/>
        <v>91</v>
      </c>
      <c r="EV112" s="87">
        <f t="shared" ca="1" si="541"/>
        <v>91</v>
      </c>
      <c r="EW112" s="87">
        <f t="shared" ca="1" si="541"/>
        <v>91</v>
      </c>
      <c r="EX112" s="87">
        <f t="shared" ca="1" si="541"/>
        <v>91</v>
      </c>
      <c r="EY112" s="87">
        <f t="shared" ca="1" si="541"/>
        <v>91</v>
      </c>
      <c r="EZ112" s="87">
        <f t="shared" ca="1" si="541"/>
        <v>91</v>
      </c>
      <c r="FA112" s="87">
        <f t="shared" ca="1" si="541"/>
        <v>91</v>
      </c>
      <c r="FB112" s="87">
        <f t="shared" ca="1" si="541"/>
        <v>91</v>
      </c>
      <c r="FC112" s="87">
        <f t="shared" ca="1" si="541"/>
        <v>91</v>
      </c>
      <c r="FD112" s="87">
        <f t="shared" ca="1" si="541"/>
        <v>91</v>
      </c>
      <c r="FE112" s="87">
        <f t="shared" ca="1" si="541"/>
        <v>91</v>
      </c>
      <c r="FF112" s="87">
        <f t="shared" ca="1" si="541"/>
        <v>91</v>
      </c>
      <c r="FG112" s="87">
        <f t="shared" ca="1" si="495"/>
        <v>91</v>
      </c>
      <c r="FH112" s="87">
        <f t="shared" ca="1" si="495"/>
        <v>91</v>
      </c>
      <c r="FI112" s="87">
        <f t="shared" ca="1" si="495"/>
        <v>91</v>
      </c>
      <c r="FJ112" s="87">
        <f t="shared" ca="1" si="495"/>
        <v>91</v>
      </c>
      <c r="FK112" s="87">
        <f t="shared" ca="1" si="495"/>
        <v>91</v>
      </c>
      <c r="FL112" s="87">
        <f t="shared" ca="1" si="495"/>
        <v>91</v>
      </c>
      <c r="FM112" s="87">
        <f t="shared" ca="1" si="495"/>
        <v>91</v>
      </c>
      <c r="FN112" s="87">
        <f t="shared" ca="1" si="495"/>
        <v>91</v>
      </c>
      <c r="FO112" s="87">
        <f t="shared" ca="1" si="495"/>
        <v>91</v>
      </c>
      <c r="FP112" s="87">
        <f t="shared" ca="1" si="495"/>
        <v>91</v>
      </c>
    </row>
    <row r="113" spans="2:172" ht="12.75" hidden="1" customHeight="1" x14ac:dyDescent="0.25">
      <c r="B113" s="87">
        <v>55</v>
      </c>
      <c r="C113" s="181">
        <f t="shared" ca="1" si="450"/>
        <v>47827</v>
      </c>
      <c r="D113" s="380">
        <f t="shared" ca="1" si="535"/>
        <v>0.36154524144002126</v>
      </c>
      <c r="E113" s="380">
        <f t="shared" si="535"/>
        <v>0</v>
      </c>
      <c r="F113" s="380">
        <f t="shared" si="535"/>
        <v>0</v>
      </c>
      <c r="G113" s="380">
        <f t="shared" si="535"/>
        <v>0</v>
      </c>
      <c r="H113" s="380">
        <f t="shared" si="535"/>
        <v>0</v>
      </c>
      <c r="I113" s="380">
        <f t="shared" si="535"/>
        <v>0</v>
      </c>
      <c r="J113" s="380">
        <f t="shared" si="535"/>
        <v>0</v>
      </c>
      <c r="K113" s="380">
        <f t="shared" si="535"/>
        <v>0</v>
      </c>
      <c r="L113" s="380">
        <f t="shared" si="535"/>
        <v>0</v>
      </c>
      <c r="M113" s="380">
        <f t="shared" si="535"/>
        <v>0</v>
      </c>
      <c r="N113" s="380">
        <f t="shared" si="536"/>
        <v>0</v>
      </c>
      <c r="O113" s="380">
        <f t="shared" si="536"/>
        <v>0</v>
      </c>
      <c r="P113" s="380">
        <f t="shared" si="536"/>
        <v>0</v>
      </c>
      <c r="Q113" s="380">
        <f t="shared" si="536"/>
        <v>0</v>
      </c>
      <c r="R113" s="380">
        <f t="shared" si="536"/>
        <v>0</v>
      </c>
      <c r="S113" s="380">
        <f t="shared" si="536"/>
        <v>0</v>
      </c>
      <c r="T113" s="380">
        <f t="shared" si="536"/>
        <v>0</v>
      </c>
      <c r="U113" s="175"/>
      <c r="X113" s="87">
        <v>98</v>
      </c>
      <c r="Y113" s="377">
        <f t="shared" si="361"/>
        <v>0</v>
      </c>
      <c r="Z113" s="377">
        <f t="shared" si="362"/>
        <v>0</v>
      </c>
      <c r="AA113" s="377">
        <f t="shared" si="363"/>
        <v>0</v>
      </c>
      <c r="AB113" s="377">
        <f t="shared" si="364"/>
        <v>0</v>
      </c>
      <c r="AC113" s="377">
        <f t="shared" si="365"/>
        <v>0</v>
      </c>
      <c r="AD113" s="377">
        <f t="shared" si="366"/>
        <v>0</v>
      </c>
      <c r="AE113" s="377">
        <f t="shared" si="367"/>
        <v>0</v>
      </c>
      <c r="AF113" s="377">
        <f t="shared" si="368"/>
        <v>0</v>
      </c>
      <c r="AG113" s="377">
        <f t="shared" si="369"/>
        <v>0</v>
      </c>
      <c r="AH113" s="377">
        <f t="shared" si="370"/>
        <v>0</v>
      </c>
      <c r="AI113" s="377">
        <f t="shared" si="371"/>
        <v>0</v>
      </c>
      <c r="AJ113" s="377">
        <f t="shared" si="372"/>
        <v>0</v>
      </c>
      <c r="AK113" s="377">
        <f t="shared" si="373"/>
        <v>0</v>
      </c>
      <c r="AL113" s="377">
        <f t="shared" si="374"/>
        <v>0</v>
      </c>
      <c r="AM113" s="377">
        <f t="shared" si="375"/>
        <v>0</v>
      </c>
      <c r="AN113" s="377">
        <f t="shared" si="376"/>
        <v>0</v>
      </c>
      <c r="AO113" s="377">
        <f t="shared" si="377"/>
        <v>0</v>
      </c>
      <c r="AQ113" s="138">
        <v>90</v>
      </c>
      <c r="AR113" s="258">
        <f t="shared" ca="1" si="528"/>
        <v>48893</v>
      </c>
      <c r="AS113" s="378">
        <f t="shared" si="421"/>
        <v>0</v>
      </c>
      <c r="AT113" s="138"/>
      <c r="AU113" s="138">
        <v>90</v>
      </c>
      <c r="AV113" s="258">
        <f t="shared" ca="1" si="529"/>
        <v>48923</v>
      </c>
      <c r="AW113" s="378">
        <f t="shared" si="423"/>
        <v>91</v>
      </c>
      <c r="AX113" s="202">
        <f t="shared" ca="1" si="424"/>
        <v>16.84</v>
      </c>
      <c r="AY113" s="138">
        <v>90</v>
      </c>
      <c r="AZ113" s="258">
        <f t="shared" ca="1" si="530"/>
        <v>48923</v>
      </c>
      <c r="BA113" s="378">
        <f t="shared" si="426"/>
        <v>91</v>
      </c>
      <c r="BC113" s="258">
        <f t="shared" ca="1" si="411"/>
        <v>48893</v>
      </c>
      <c r="BD113" s="302">
        <f t="shared" ca="1" si="427"/>
        <v>91</v>
      </c>
      <c r="BE113" s="133">
        <f t="shared" si="412"/>
        <v>90</v>
      </c>
      <c r="BF113" s="379">
        <f t="shared" ca="1" si="413"/>
        <v>48893</v>
      </c>
      <c r="BG113" s="133">
        <f t="shared" si="428"/>
        <v>0</v>
      </c>
      <c r="BH113" s="133">
        <f t="shared" si="429"/>
        <v>0</v>
      </c>
      <c r="BI113" s="133">
        <f t="shared" si="430"/>
        <v>0</v>
      </c>
      <c r="BJ113" s="133">
        <f t="shared" si="431"/>
        <v>0</v>
      </c>
      <c r="BK113" s="133">
        <f t="shared" si="432"/>
        <v>0</v>
      </c>
      <c r="BL113" s="133">
        <f t="shared" si="433"/>
        <v>0</v>
      </c>
      <c r="BM113" s="133">
        <f t="shared" si="434"/>
        <v>0</v>
      </c>
      <c r="BN113" s="133">
        <f t="shared" si="435"/>
        <v>0</v>
      </c>
      <c r="BO113" s="133">
        <f t="shared" si="436"/>
        <v>0</v>
      </c>
      <c r="BP113" s="133">
        <f t="shared" si="437"/>
        <v>0</v>
      </c>
      <c r="BQ113" s="133">
        <f t="shared" si="438"/>
        <v>0</v>
      </c>
      <c r="BR113" s="133">
        <f t="shared" si="439"/>
        <v>0</v>
      </c>
      <c r="BS113" s="133">
        <f t="shared" si="440"/>
        <v>0</v>
      </c>
      <c r="BT113" s="133">
        <f t="shared" si="441"/>
        <v>0</v>
      </c>
      <c r="BU113" s="133">
        <f t="shared" si="442"/>
        <v>0</v>
      </c>
      <c r="BV113" s="133">
        <f t="shared" si="443"/>
        <v>0</v>
      </c>
      <c r="BW113" s="133">
        <f t="shared" si="444"/>
        <v>0</v>
      </c>
      <c r="BX113" s="267"/>
      <c r="BY113" s="267"/>
      <c r="BZ113" s="267"/>
      <c r="CA113" s="267"/>
      <c r="CB113" s="267"/>
      <c r="CC113" s="267"/>
      <c r="CD113" s="267"/>
      <c r="CE113" s="267"/>
      <c r="CF113" s="267"/>
      <c r="CG113" s="267"/>
      <c r="CS113" s="178">
        <v>95</v>
      </c>
      <c r="CT113" s="259">
        <f t="shared" ca="1" si="386"/>
        <v>49074</v>
      </c>
      <c r="CU113" s="179">
        <f t="shared" ref="CU113:DC113" ca="1" si="554">(($AW118/(1+CU$18)^(($AZ118-$AZ$23)/30)))+($AS118/(1+CU$18)^(($AZ118-$AZ$23)/30))</f>
        <v>15.356435612612195</v>
      </c>
      <c r="CV113" s="179">
        <f t="shared" ca="1" si="554"/>
        <v>16.10610061159985</v>
      </c>
      <c r="CW113" s="179">
        <f t="shared" ca="1" si="554"/>
        <v>16.573539937801492</v>
      </c>
      <c r="CX113" s="179">
        <f t="shared" ca="1" si="554"/>
        <v>17.054689374189238</v>
      </c>
      <c r="CY113" s="179">
        <f t="shared" ca="1" si="554"/>
        <v>17.549955263385673</v>
      </c>
      <c r="CZ113" s="179">
        <f t="shared" ca="1" si="554"/>
        <v>18.059756116464296</v>
      </c>
      <c r="DA113" s="179">
        <f t="shared" ca="1" si="554"/>
        <v>18.407910667553107</v>
      </c>
      <c r="DB113" s="179">
        <f t="shared" ca="1" si="554"/>
        <v>19.124699820986347</v>
      </c>
      <c r="DC113" s="179">
        <f t="shared" ca="1" si="554"/>
        <v>19.493604064595619</v>
      </c>
      <c r="DD113" s="179">
        <f t="shared" ref="DD113:DI113" ca="1" si="555">(($AW118/(1+DD$18)^(($AZ118-$AZ$23)/30)))+($AS118/(1+DD$18)^(($AZ118-$AZ$23)/30))</f>
        <v>19.869698991286754</v>
      </c>
      <c r="DE113" s="179">
        <f t="shared" ca="1" si="555"/>
        <v>20.253126219228754</v>
      </c>
      <c r="DF113" s="179" t="e">
        <f t="shared" ca="1" si="555"/>
        <v>#VALUE!</v>
      </c>
      <c r="DG113" s="179" t="e">
        <f t="shared" ca="1" si="555"/>
        <v>#VALUE!</v>
      </c>
      <c r="DH113" s="179" t="e">
        <f t="shared" ca="1" si="555"/>
        <v>#VALUE!</v>
      </c>
      <c r="DI113" s="179" t="e">
        <f t="shared" ca="1" si="555"/>
        <v>#VALUE!</v>
      </c>
      <c r="DJ113" s="179" t="e">
        <f t="shared" ref="DJ113:DQ113" ca="1" si="556">(($AW118/(1+DJ$18)^(($AZ118-$AZ$23)/30)))+($AS118/(1+DJ$18)^(($AZ118-$AZ$23)/30))</f>
        <v>#VALUE!</v>
      </c>
      <c r="DK113" s="179" t="e">
        <f t="shared" ca="1" si="556"/>
        <v>#VALUE!</v>
      </c>
      <c r="DL113" s="179" t="e">
        <f t="shared" ca="1" si="556"/>
        <v>#VALUE!</v>
      </c>
      <c r="DM113" s="179" t="e">
        <f t="shared" ca="1" si="556"/>
        <v>#VALUE!</v>
      </c>
      <c r="DN113" s="179" t="e">
        <f t="shared" ca="1" si="556"/>
        <v>#VALUE!</v>
      </c>
      <c r="DO113" s="179" t="e">
        <f t="shared" ca="1" si="556"/>
        <v>#VALUE!</v>
      </c>
      <c r="DP113" s="179" t="e">
        <f t="shared" ca="1" si="556"/>
        <v>#VALUE!</v>
      </c>
      <c r="DQ113" s="179" t="e">
        <f t="shared" ca="1" si="556"/>
        <v>#VALUE!</v>
      </c>
      <c r="DR113" s="180">
        <f t="shared" si="396"/>
        <v>91</v>
      </c>
      <c r="DS113" s="180">
        <f t="shared" si="492"/>
        <v>91</v>
      </c>
      <c r="DT113" s="180">
        <f t="shared" si="492"/>
        <v>91</v>
      </c>
      <c r="DU113" s="180">
        <f t="shared" si="492"/>
        <v>91</v>
      </c>
      <c r="DV113" s="180">
        <f t="shared" si="492"/>
        <v>91</v>
      </c>
      <c r="DW113" s="180">
        <f t="shared" si="492"/>
        <v>91</v>
      </c>
      <c r="DX113" s="180">
        <f t="shared" si="492"/>
        <v>91</v>
      </c>
      <c r="DY113" s="180">
        <f t="shared" si="492"/>
        <v>91</v>
      </c>
      <c r="DZ113" s="180">
        <f t="shared" si="492"/>
        <v>91</v>
      </c>
      <c r="EA113" s="180">
        <f t="shared" si="492"/>
        <v>91</v>
      </c>
      <c r="EB113" s="180">
        <f t="shared" si="492"/>
        <v>91</v>
      </c>
      <c r="EC113" s="180">
        <f t="shared" si="492"/>
        <v>91</v>
      </c>
      <c r="ED113" s="180">
        <f t="shared" si="492"/>
        <v>91</v>
      </c>
      <c r="EE113" s="180">
        <f t="shared" si="492"/>
        <v>91</v>
      </c>
      <c r="EF113" s="180">
        <f t="shared" si="492"/>
        <v>91</v>
      </c>
      <c r="EG113" s="180">
        <f t="shared" ref="EG113:EO113" si="557">IF($AU118&gt;$BA$19,0,$BA118-$AS118)</f>
        <v>91</v>
      </c>
      <c r="EH113" s="180">
        <f t="shared" si="557"/>
        <v>91</v>
      </c>
      <c r="EI113" s="180">
        <f t="shared" si="557"/>
        <v>91</v>
      </c>
      <c r="EJ113" s="180">
        <f t="shared" si="557"/>
        <v>91</v>
      </c>
      <c r="EK113" s="180">
        <f t="shared" si="557"/>
        <v>91</v>
      </c>
      <c r="EL113" s="180">
        <f t="shared" si="557"/>
        <v>91</v>
      </c>
      <c r="EM113" s="180">
        <f t="shared" si="557"/>
        <v>91</v>
      </c>
      <c r="EN113" s="180">
        <f t="shared" si="557"/>
        <v>91</v>
      </c>
      <c r="EO113" s="180">
        <f t="shared" si="557"/>
        <v>91</v>
      </c>
      <c r="EQ113" s="259">
        <f t="shared" ca="1" si="398"/>
        <v>49044</v>
      </c>
      <c r="ER113" s="87">
        <f t="shared" ca="1" si="541"/>
        <v>91</v>
      </c>
      <c r="ES113" s="87">
        <f t="shared" ca="1" si="541"/>
        <v>91</v>
      </c>
      <c r="ET113" s="87">
        <f t="shared" ca="1" si="541"/>
        <v>91</v>
      </c>
      <c r="EU113" s="87">
        <f t="shared" ca="1" si="541"/>
        <v>91</v>
      </c>
      <c r="EV113" s="87">
        <f t="shared" ca="1" si="541"/>
        <v>91</v>
      </c>
      <c r="EW113" s="87">
        <f t="shared" ca="1" si="541"/>
        <v>91</v>
      </c>
      <c r="EX113" s="87">
        <f t="shared" ca="1" si="541"/>
        <v>91</v>
      </c>
      <c r="EY113" s="87">
        <f t="shared" ca="1" si="541"/>
        <v>91</v>
      </c>
      <c r="EZ113" s="87">
        <f t="shared" ca="1" si="541"/>
        <v>91</v>
      </c>
      <c r="FA113" s="87">
        <f t="shared" ca="1" si="541"/>
        <v>91</v>
      </c>
      <c r="FB113" s="87">
        <f t="shared" ca="1" si="541"/>
        <v>91</v>
      </c>
      <c r="FC113" s="87">
        <f t="shared" ca="1" si="541"/>
        <v>91</v>
      </c>
      <c r="FD113" s="87">
        <f t="shared" ca="1" si="541"/>
        <v>91</v>
      </c>
      <c r="FE113" s="87">
        <f t="shared" ca="1" si="541"/>
        <v>91</v>
      </c>
      <c r="FF113" s="87">
        <f t="shared" ca="1" si="541"/>
        <v>91</v>
      </c>
      <c r="FG113" s="87">
        <f t="shared" ca="1" si="495"/>
        <v>91</v>
      </c>
      <c r="FH113" s="87">
        <f t="shared" ca="1" si="495"/>
        <v>91</v>
      </c>
      <c r="FI113" s="87">
        <f t="shared" ca="1" si="495"/>
        <v>91</v>
      </c>
      <c r="FJ113" s="87">
        <f t="shared" ca="1" si="495"/>
        <v>91</v>
      </c>
      <c r="FK113" s="87">
        <f t="shared" ca="1" si="495"/>
        <v>91</v>
      </c>
      <c r="FL113" s="87">
        <f t="shared" ca="1" si="495"/>
        <v>91</v>
      </c>
      <c r="FM113" s="87">
        <f t="shared" ca="1" si="495"/>
        <v>91</v>
      </c>
      <c r="FN113" s="87">
        <f t="shared" ca="1" si="495"/>
        <v>91</v>
      </c>
      <c r="FO113" s="87">
        <f t="shared" ca="1" si="495"/>
        <v>91</v>
      </c>
      <c r="FP113" s="87">
        <f t="shared" ca="1" si="495"/>
        <v>91</v>
      </c>
    </row>
    <row r="114" spans="2:172" ht="12.75" hidden="1" customHeight="1" x14ac:dyDescent="0.25">
      <c r="B114" s="87">
        <v>56</v>
      </c>
      <c r="C114" s="181">
        <f t="shared" ca="1" si="450"/>
        <v>47858</v>
      </c>
      <c r="D114" s="380">
        <f t="shared" ca="1" si="535"/>
        <v>0.35476130903045983</v>
      </c>
      <c r="E114" s="380">
        <f t="shared" si="535"/>
        <v>0</v>
      </c>
      <c r="F114" s="380">
        <f t="shared" si="535"/>
        <v>0</v>
      </c>
      <c r="G114" s="380">
        <f t="shared" si="535"/>
        <v>0</v>
      </c>
      <c r="H114" s="380">
        <f t="shared" si="535"/>
        <v>0</v>
      </c>
      <c r="I114" s="380">
        <f t="shared" si="535"/>
        <v>0</v>
      </c>
      <c r="J114" s="380">
        <f t="shared" si="535"/>
        <v>0</v>
      </c>
      <c r="K114" s="380">
        <f t="shared" si="535"/>
        <v>0</v>
      </c>
      <c r="L114" s="380">
        <f t="shared" si="535"/>
        <v>0</v>
      </c>
      <c r="M114" s="380">
        <f t="shared" si="535"/>
        <v>0</v>
      </c>
      <c r="N114" s="380">
        <f t="shared" si="536"/>
        <v>0</v>
      </c>
      <c r="O114" s="380">
        <f t="shared" si="536"/>
        <v>0</v>
      </c>
      <c r="P114" s="380">
        <f t="shared" si="536"/>
        <v>0</v>
      </c>
      <c r="Q114" s="380">
        <f t="shared" si="536"/>
        <v>0</v>
      </c>
      <c r="R114" s="380">
        <f t="shared" si="536"/>
        <v>0</v>
      </c>
      <c r="S114" s="380">
        <f t="shared" si="536"/>
        <v>0</v>
      </c>
      <c r="T114" s="380">
        <f t="shared" si="536"/>
        <v>0</v>
      </c>
      <c r="U114" s="175"/>
      <c r="X114" s="87">
        <v>99</v>
      </c>
      <c r="Y114" s="377">
        <f t="shared" si="361"/>
        <v>0</v>
      </c>
      <c r="Z114" s="377">
        <f t="shared" si="362"/>
        <v>0</v>
      </c>
      <c r="AA114" s="377">
        <f t="shared" si="363"/>
        <v>0</v>
      </c>
      <c r="AB114" s="377">
        <f t="shared" si="364"/>
        <v>0</v>
      </c>
      <c r="AC114" s="377">
        <f t="shared" si="365"/>
        <v>0</v>
      </c>
      <c r="AD114" s="377">
        <f t="shared" si="366"/>
        <v>0</v>
      </c>
      <c r="AE114" s="377">
        <f t="shared" si="367"/>
        <v>0</v>
      </c>
      <c r="AF114" s="377">
        <f t="shared" si="368"/>
        <v>0</v>
      </c>
      <c r="AG114" s="377">
        <f t="shared" si="369"/>
        <v>0</v>
      </c>
      <c r="AH114" s="377">
        <f t="shared" si="370"/>
        <v>0</v>
      </c>
      <c r="AI114" s="377">
        <f t="shared" si="371"/>
        <v>0</v>
      </c>
      <c r="AJ114" s="377">
        <f t="shared" si="372"/>
        <v>0</v>
      </c>
      <c r="AK114" s="377">
        <f t="shared" si="373"/>
        <v>0</v>
      </c>
      <c r="AL114" s="377">
        <f t="shared" si="374"/>
        <v>0</v>
      </c>
      <c r="AM114" s="377">
        <f t="shared" si="375"/>
        <v>0</v>
      </c>
      <c r="AN114" s="377">
        <f t="shared" si="376"/>
        <v>0</v>
      </c>
      <c r="AO114" s="377">
        <f t="shared" si="377"/>
        <v>0</v>
      </c>
      <c r="AQ114" s="138">
        <v>91</v>
      </c>
      <c r="AR114" s="258">
        <f t="shared" ca="1" si="528"/>
        <v>48923</v>
      </c>
      <c r="AS114" s="378">
        <f t="shared" si="421"/>
        <v>0</v>
      </c>
      <c r="AU114" s="138">
        <v>91</v>
      </c>
      <c r="AV114" s="258">
        <f t="shared" ca="1" si="529"/>
        <v>48954</v>
      </c>
      <c r="AW114" s="378">
        <f t="shared" si="423"/>
        <v>91</v>
      </c>
      <c r="AX114" s="202">
        <f t="shared" ca="1" si="424"/>
        <v>16.52</v>
      </c>
      <c r="AY114" s="138">
        <v>91</v>
      </c>
      <c r="AZ114" s="258">
        <f t="shared" ca="1" si="530"/>
        <v>48954</v>
      </c>
      <c r="BA114" s="378">
        <f t="shared" si="426"/>
        <v>91</v>
      </c>
      <c r="BC114" s="258">
        <f t="shared" ca="1" si="411"/>
        <v>48923</v>
      </c>
      <c r="BD114" s="302">
        <f t="shared" ca="1" si="427"/>
        <v>91</v>
      </c>
      <c r="BE114" s="133">
        <f t="shared" si="412"/>
        <v>91</v>
      </c>
      <c r="BF114" s="379">
        <f t="shared" ca="1" si="413"/>
        <v>48923</v>
      </c>
      <c r="BG114" s="133">
        <f t="shared" si="428"/>
        <v>0</v>
      </c>
      <c r="BH114" s="133">
        <f t="shared" si="429"/>
        <v>0</v>
      </c>
      <c r="BI114" s="133">
        <f t="shared" si="430"/>
        <v>0</v>
      </c>
      <c r="BJ114" s="133">
        <f t="shared" si="431"/>
        <v>0</v>
      </c>
      <c r="BK114" s="133">
        <f t="shared" si="432"/>
        <v>0</v>
      </c>
      <c r="BL114" s="133">
        <f t="shared" si="433"/>
        <v>0</v>
      </c>
      <c r="BM114" s="133">
        <f t="shared" si="434"/>
        <v>0</v>
      </c>
      <c r="BN114" s="133">
        <f t="shared" si="435"/>
        <v>0</v>
      </c>
      <c r="BO114" s="133">
        <f t="shared" si="436"/>
        <v>0</v>
      </c>
      <c r="BP114" s="133">
        <f t="shared" si="437"/>
        <v>0</v>
      </c>
      <c r="BQ114" s="133">
        <f t="shared" si="438"/>
        <v>0</v>
      </c>
      <c r="BR114" s="133">
        <f t="shared" si="439"/>
        <v>0</v>
      </c>
      <c r="BS114" s="133">
        <f t="shared" si="440"/>
        <v>0</v>
      </c>
      <c r="BT114" s="133">
        <f t="shared" si="441"/>
        <v>0</v>
      </c>
      <c r="BU114" s="133">
        <f t="shared" si="442"/>
        <v>0</v>
      </c>
      <c r="BV114" s="133">
        <f t="shared" si="443"/>
        <v>0</v>
      </c>
      <c r="BW114" s="133">
        <f t="shared" si="444"/>
        <v>0</v>
      </c>
      <c r="BX114" s="267"/>
      <c r="BY114" s="267"/>
      <c r="BZ114" s="267"/>
      <c r="CA114" s="267"/>
      <c r="CB114" s="267"/>
      <c r="CC114" s="267"/>
      <c r="CD114" s="267"/>
      <c r="CE114" s="267"/>
      <c r="CF114" s="267"/>
      <c r="CG114" s="267"/>
      <c r="CS114" s="138">
        <v>96</v>
      </c>
      <c r="CT114" s="259">
        <f t="shared" ca="1" si="386"/>
        <v>49105</v>
      </c>
      <c r="CU114" s="179">
        <f t="shared" ref="CU114:DC114" ca="1" si="558">(($AW119/(1+CU$18)^(($AZ119-$AZ$23)/30)))+($AS119/(1+CU$18)^(($AZ119-$AZ$23)/30))</f>
        <v>15.068291808443147</v>
      </c>
      <c r="CV114" s="179">
        <f t="shared" ca="1" si="558"/>
        <v>15.811911337512484</v>
      </c>
      <c r="CW114" s="179">
        <f t="shared" ca="1" si="558"/>
        <v>16.275768806147347</v>
      </c>
      <c r="CX114" s="179">
        <f t="shared" ca="1" si="558"/>
        <v>16.753376789679237</v>
      </c>
      <c r="CY114" s="179">
        <f t="shared" ca="1" si="558"/>
        <v>17.24514714222089</v>
      </c>
      <c r="CZ114" s="179">
        <f t="shared" ca="1" si="558"/>
        <v>17.751504180654081</v>
      </c>
      <c r="DA114" s="179">
        <f t="shared" ca="1" si="558"/>
        <v>18.097394595462109</v>
      </c>
      <c r="DB114" s="179">
        <f t="shared" ca="1" si="558"/>
        <v>18.809740194156216</v>
      </c>
      <c r="DC114" s="179">
        <f t="shared" ca="1" si="558"/>
        <v>19.176468996095341</v>
      </c>
      <c r="DD114" s="179">
        <f t="shared" ref="DD114:DI114" ca="1" si="559">(($AW119/(1+DD$18)^(($AZ119-$AZ$23)/30)))+($AS119/(1+DD$18)^(($AZ119-$AZ$23)/30))</f>
        <v>19.550422136294717</v>
      </c>
      <c r="DE114" s="179">
        <f t="shared" ca="1" si="559"/>
        <v>19.931743394512335</v>
      </c>
      <c r="DF114" s="179" t="e">
        <f t="shared" ca="1" si="559"/>
        <v>#VALUE!</v>
      </c>
      <c r="DG114" s="179" t="e">
        <f t="shared" ca="1" si="559"/>
        <v>#VALUE!</v>
      </c>
      <c r="DH114" s="179" t="e">
        <f t="shared" ca="1" si="559"/>
        <v>#VALUE!</v>
      </c>
      <c r="DI114" s="179" t="e">
        <f t="shared" ca="1" si="559"/>
        <v>#VALUE!</v>
      </c>
      <c r="DJ114" s="179" t="e">
        <f t="shared" ref="DJ114:DQ114" ca="1" si="560">(($AW119/(1+DJ$18)^(($AZ119-$AZ$23)/30)))+($AS119/(1+DJ$18)^(($AZ119-$AZ$23)/30))</f>
        <v>#VALUE!</v>
      </c>
      <c r="DK114" s="179" t="e">
        <f t="shared" ca="1" si="560"/>
        <v>#VALUE!</v>
      </c>
      <c r="DL114" s="179" t="e">
        <f t="shared" ca="1" si="560"/>
        <v>#VALUE!</v>
      </c>
      <c r="DM114" s="179" t="e">
        <f t="shared" ca="1" si="560"/>
        <v>#VALUE!</v>
      </c>
      <c r="DN114" s="179" t="e">
        <f t="shared" ca="1" si="560"/>
        <v>#VALUE!</v>
      </c>
      <c r="DO114" s="179" t="e">
        <f t="shared" ca="1" si="560"/>
        <v>#VALUE!</v>
      </c>
      <c r="DP114" s="179" t="e">
        <f t="shared" ca="1" si="560"/>
        <v>#VALUE!</v>
      </c>
      <c r="DQ114" s="179" t="e">
        <f t="shared" ca="1" si="560"/>
        <v>#VALUE!</v>
      </c>
      <c r="DR114" s="180">
        <f t="shared" si="396"/>
        <v>91</v>
      </c>
      <c r="DS114" s="180">
        <f t="shared" si="492"/>
        <v>91</v>
      </c>
      <c r="DT114" s="180">
        <f t="shared" si="492"/>
        <v>91</v>
      </c>
      <c r="DU114" s="180">
        <f t="shared" si="492"/>
        <v>91</v>
      </c>
      <c r="DV114" s="180">
        <f t="shared" si="492"/>
        <v>91</v>
      </c>
      <c r="DW114" s="180">
        <f t="shared" si="492"/>
        <v>91</v>
      </c>
      <c r="DX114" s="180">
        <f t="shared" si="492"/>
        <v>91</v>
      </c>
      <c r="DY114" s="180">
        <f t="shared" si="492"/>
        <v>91</v>
      </c>
      <c r="DZ114" s="180">
        <f t="shared" si="492"/>
        <v>91</v>
      </c>
      <c r="EA114" s="180">
        <f t="shared" si="492"/>
        <v>91</v>
      </c>
      <c r="EB114" s="180">
        <f t="shared" si="492"/>
        <v>91</v>
      </c>
      <c r="EC114" s="180">
        <f t="shared" si="492"/>
        <v>91</v>
      </c>
      <c r="ED114" s="180">
        <f t="shared" si="492"/>
        <v>91</v>
      </c>
      <c r="EE114" s="180">
        <f t="shared" si="492"/>
        <v>91</v>
      </c>
      <c r="EF114" s="180">
        <f t="shared" si="492"/>
        <v>91</v>
      </c>
      <c r="EG114" s="180">
        <f t="shared" ref="EG114:EO114" si="561">IF($AU119&gt;$BA$19,0,$BA119-$AS119)</f>
        <v>91</v>
      </c>
      <c r="EH114" s="180">
        <f t="shared" si="561"/>
        <v>91</v>
      </c>
      <c r="EI114" s="180">
        <f t="shared" si="561"/>
        <v>91</v>
      </c>
      <c r="EJ114" s="180">
        <f t="shared" si="561"/>
        <v>91</v>
      </c>
      <c r="EK114" s="180">
        <f t="shared" si="561"/>
        <v>91</v>
      </c>
      <c r="EL114" s="180">
        <f t="shared" si="561"/>
        <v>91</v>
      </c>
      <c r="EM114" s="180">
        <f t="shared" si="561"/>
        <v>91</v>
      </c>
      <c r="EN114" s="180">
        <f t="shared" si="561"/>
        <v>91</v>
      </c>
      <c r="EO114" s="180">
        <f t="shared" si="561"/>
        <v>91</v>
      </c>
      <c r="EQ114" s="259">
        <f t="shared" ca="1" si="398"/>
        <v>49074</v>
      </c>
      <c r="ER114" s="87">
        <f t="shared" ca="1" si="541"/>
        <v>91</v>
      </c>
      <c r="ES114" s="87">
        <f t="shared" ca="1" si="541"/>
        <v>91</v>
      </c>
      <c r="ET114" s="87">
        <f t="shared" ca="1" si="541"/>
        <v>91</v>
      </c>
      <c r="EU114" s="87">
        <f t="shared" ca="1" si="541"/>
        <v>91</v>
      </c>
      <c r="EV114" s="87">
        <f t="shared" ca="1" si="541"/>
        <v>91</v>
      </c>
      <c r="EW114" s="87">
        <f t="shared" ca="1" si="541"/>
        <v>91</v>
      </c>
      <c r="EX114" s="87">
        <f t="shared" ca="1" si="541"/>
        <v>91</v>
      </c>
      <c r="EY114" s="87">
        <f t="shared" ca="1" si="541"/>
        <v>91</v>
      </c>
      <c r="EZ114" s="87">
        <f t="shared" ca="1" si="541"/>
        <v>91</v>
      </c>
      <c r="FA114" s="87">
        <f t="shared" ca="1" si="541"/>
        <v>91</v>
      </c>
      <c r="FB114" s="87">
        <f t="shared" ca="1" si="541"/>
        <v>91</v>
      </c>
      <c r="FC114" s="87">
        <f t="shared" ca="1" si="541"/>
        <v>91</v>
      </c>
      <c r="FD114" s="87">
        <f t="shared" ca="1" si="541"/>
        <v>91</v>
      </c>
      <c r="FE114" s="87">
        <f t="shared" ca="1" si="541"/>
        <v>91</v>
      </c>
      <c r="FF114" s="87">
        <f t="shared" ca="1" si="541"/>
        <v>91</v>
      </c>
      <c r="FG114" s="87">
        <f t="shared" ca="1" si="495"/>
        <v>91</v>
      </c>
      <c r="FH114" s="87">
        <f t="shared" ca="1" si="495"/>
        <v>91</v>
      </c>
      <c r="FI114" s="87">
        <f t="shared" ca="1" si="495"/>
        <v>91</v>
      </c>
      <c r="FJ114" s="87">
        <f t="shared" ca="1" si="495"/>
        <v>91</v>
      </c>
      <c r="FK114" s="87">
        <f t="shared" ca="1" si="495"/>
        <v>91</v>
      </c>
      <c r="FL114" s="87">
        <f t="shared" ca="1" si="495"/>
        <v>91</v>
      </c>
      <c r="FM114" s="87">
        <f t="shared" ca="1" si="495"/>
        <v>91</v>
      </c>
      <c r="FN114" s="87">
        <f t="shared" ca="1" si="495"/>
        <v>91</v>
      </c>
      <c r="FO114" s="87">
        <f t="shared" ca="1" si="495"/>
        <v>91</v>
      </c>
      <c r="FP114" s="87">
        <f t="shared" ca="1" si="495"/>
        <v>91</v>
      </c>
    </row>
    <row r="115" spans="2:172" ht="12.75" hidden="1" customHeight="1" x14ac:dyDescent="0.25">
      <c r="B115" s="87">
        <v>57</v>
      </c>
      <c r="C115" s="181">
        <f t="shared" ca="1" si="450"/>
        <v>47889</v>
      </c>
      <c r="D115" s="380">
        <f t="shared" ca="1" si="535"/>
        <v>0.34810466840533494</v>
      </c>
      <c r="E115" s="380">
        <f t="shared" si="535"/>
        <v>0</v>
      </c>
      <c r="F115" s="380">
        <f t="shared" si="535"/>
        <v>0</v>
      </c>
      <c r="G115" s="380">
        <f t="shared" si="535"/>
        <v>0</v>
      </c>
      <c r="H115" s="380">
        <f t="shared" si="535"/>
        <v>0</v>
      </c>
      <c r="I115" s="380">
        <f t="shared" si="535"/>
        <v>0</v>
      </c>
      <c r="J115" s="380">
        <f t="shared" si="535"/>
        <v>0</v>
      </c>
      <c r="K115" s="380">
        <f t="shared" si="535"/>
        <v>0</v>
      </c>
      <c r="L115" s="380">
        <f t="shared" si="535"/>
        <v>0</v>
      </c>
      <c r="M115" s="380">
        <f t="shared" si="535"/>
        <v>0</v>
      </c>
      <c r="N115" s="380">
        <f t="shared" si="536"/>
        <v>0</v>
      </c>
      <c r="O115" s="380">
        <f t="shared" si="536"/>
        <v>0</v>
      </c>
      <c r="P115" s="380">
        <f t="shared" si="536"/>
        <v>0</v>
      </c>
      <c r="Q115" s="380">
        <f t="shared" si="536"/>
        <v>0</v>
      </c>
      <c r="R115" s="380">
        <f t="shared" si="536"/>
        <v>0</v>
      </c>
      <c r="S115" s="380">
        <f t="shared" si="536"/>
        <v>0</v>
      </c>
      <c r="T115" s="380">
        <f t="shared" si="536"/>
        <v>0</v>
      </c>
      <c r="U115" s="175"/>
      <c r="X115" s="87">
        <v>100</v>
      </c>
      <c r="Y115" s="377">
        <f t="shared" si="361"/>
        <v>0</v>
      </c>
      <c r="Z115" s="377">
        <f t="shared" si="362"/>
        <v>0</v>
      </c>
      <c r="AA115" s="377">
        <f t="shared" si="363"/>
        <v>0</v>
      </c>
      <c r="AB115" s="377">
        <f t="shared" si="364"/>
        <v>0</v>
      </c>
      <c r="AC115" s="377">
        <f t="shared" si="365"/>
        <v>0</v>
      </c>
      <c r="AD115" s="377">
        <f t="shared" si="366"/>
        <v>0</v>
      </c>
      <c r="AE115" s="377">
        <f t="shared" si="367"/>
        <v>0</v>
      </c>
      <c r="AF115" s="377">
        <f t="shared" si="368"/>
        <v>0</v>
      </c>
      <c r="AG115" s="377">
        <f t="shared" si="369"/>
        <v>0</v>
      </c>
      <c r="AH115" s="377">
        <f t="shared" si="370"/>
        <v>0</v>
      </c>
      <c r="AI115" s="377">
        <f t="shared" si="371"/>
        <v>0</v>
      </c>
      <c r="AJ115" s="377">
        <f t="shared" si="372"/>
        <v>0</v>
      </c>
      <c r="AK115" s="377">
        <f t="shared" si="373"/>
        <v>0</v>
      </c>
      <c r="AL115" s="377">
        <f t="shared" si="374"/>
        <v>0</v>
      </c>
      <c r="AM115" s="377">
        <f t="shared" si="375"/>
        <v>0</v>
      </c>
      <c r="AN115" s="377">
        <f t="shared" si="376"/>
        <v>0</v>
      </c>
      <c r="AO115" s="377">
        <f t="shared" si="377"/>
        <v>0</v>
      </c>
      <c r="AQ115" s="138">
        <v>92</v>
      </c>
      <c r="AR115" s="258">
        <f t="shared" ca="1" si="528"/>
        <v>48954</v>
      </c>
      <c r="AS115" s="378">
        <f t="shared" si="421"/>
        <v>0</v>
      </c>
      <c r="AU115" s="138">
        <v>92</v>
      </c>
      <c r="AV115" s="258">
        <f t="shared" ca="1" si="529"/>
        <v>48985</v>
      </c>
      <c r="AW115" s="378">
        <f t="shared" si="423"/>
        <v>91</v>
      </c>
      <c r="AX115" s="202">
        <f t="shared" ca="1" si="424"/>
        <v>16.21</v>
      </c>
      <c r="AY115" s="138">
        <v>92</v>
      </c>
      <c r="AZ115" s="258">
        <f t="shared" ca="1" si="530"/>
        <v>48985</v>
      </c>
      <c r="BA115" s="378">
        <f t="shared" si="426"/>
        <v>91</v>
      </c>
      <c r="BC115" s="258">
        <f t="shared" ca="1" si="411"/>
        <v>48954</v>
      </c>
      <c r="BD115" s="302">
        <f t="shared" ca="1" si="427"/>
        <v>91</v>
      </c>
      <c r="BE115" s="133">
        <f t="shared" si="412"/>
        <v>92</v>
      </c>
      <c r="BF115" s="379">
        <f t="shared" ca="1" si="413"/>
        <v>48954</v>
      </c>
      <c r="BG115" s="133">
        <f t="shared" si="428"/>
        <v>0</v>
      </c>
      <c r="BH115" s="133">
        <f t="shared" si="429"/>
        <v>0</v>
      </c>
      <c r="BI115" s="133">
        <f t="shared" si="430"/>
        <v>0</v>
      </c>
      <c r="BJ115" s="133">
        <f t="shared" si="431"/>
        <v>0</v>
      </c>
      <c r="BK115" s="133">
        <f t="shared" si="432"/>
        <v>0</v>
      </c>
      <c r="BL115" s="133">
        <f t="shared" si="433"/>
        <v>0</v>
      </c>
      <c r="BM115" s="133">
        <f t="shared" si="434"/>
        <v>0</v>
      </c>
      <c r="BN115" s="133">
        <f t="shared" si="435"/>
        <v>0</v>
      </c>
      <c r="BO115" s="133">
        <f t="shared" si="436"/>
        <v>0</v>
      </c>
      <c r="BP115" s="133">
        <f t="shared" si="437"/>
        <v>0</v>
      </c>
      <c r="BQ115" s="133">
        <f t="shared" si="438"/>
        <v>0</v>
      </c>
      <c r="BR115" s="133">
        <f t="shared" si="439"/>
        <v>0</v>
      </c>
      <c r="BS115" s="133">
        <f t="shared" si="440"/>
        <v>0</v>
      </c>
      <c r="BT115" s="133">
        <f t="shared" si="441"/>
        <v>0</v>
      </c>
      <c r="BU115" s="133">
        <f t="shared" si="442"/>
        <v>0</v>
      </c>
      <c r="BV115" s="133">
        <f t="shared" si="443"/>
        <v>0</v>
      </c>
      <c r="BW115" s="133">
        <f t="shared" si="444"/>
        <v>0</v>
      </c>
      <c r="BX115" s="267"/>
      <c r="BY115" s="267"/>
      <c r="BZ115" s="267"/>
      <c r="CA115" s="267"/>
      <c r="CB115" s="267"/>
      <c r="CC115" s="267"/>
      <c r="CD115" s="267"/>
      <c r="CE115" s="267"/>
      <c r="CF115" s="267"/>
      <c r="CG115" s="267"/>
      <c r="CS115" s="87">
        <v>97</v>
      </c>
      <c r="CT115" s="259">
        <f t="shared" ca="1" si="386"/>
        <v>49135</v>
      </c>
      <c r="CU115" s="179">
        <f t="shared" ref="CU115:DC115" ca="1" si="562">(($AW120/(1+CU$18)^(($AZ120-$AZ$23)/30)))+($AS120/(1+CU$18)^(($AZ120-$AZ$23)/30))</f>
        <v>0</v>
      </c>
      <c r="CV115" s="179">
        <f t="shared" ca="1" si="562"/>
        <v>0</v>
      </c>
      <c r="CW115" s="179">
        <f t="shared" ca="1" si="562"/>
        <v>0</v>
      </c>
      <c r="CX115" s="179">
        <f t="shared" ca="1" si="562"/>
        <v>0</v>
      </c>
      <c r="CY115" s="179">
        <f t="shared" ca="1" si="562"/>
        <v>0</v>
      </c>
      <c r="CZ115" s="179">
        <f t="shared" ca="1" si="562"/>
        <v>0</v>
      </c>
      <c r="DA115" s="179">
        <f t="shared" ca="1" si="562"/>
        <v>0</v>
      </c>
      <c r="DB115" s="179">
        <f t="shared" ca="1" si="562"/>
        <v>0</v>
      </c>
      <c r="DC115" s="179">
        <f t="shared" ca="1" si="562"/>
        <v>0</v>
      </c>
      <c r="DD115" s="179">
        <f t="shared" ref="DD115:DI115" ca="1" si="563">(($AW120/(1+DD$18)^(($AZ120-$AZ$23)/30)))+($AS120/(1+DD$18)^(($AZ120-$AZ$23)/30))</f>
        <v>0</v>
      </c>
      <c r="DE115" s="179">
        <f t="shared" ca="1" si="563"/>
        <v>0</v>
      </c>
      <c r="DF115" s="179" t="e">
        <f t="shared" ca="1" si="563"/>
        <v>#VALUE!</v>
      </c>
      <c r="DG115" s="179" t="e">
        <f t="shared" ca="1" si="563"/>
        <v>#VALUE!</v>
      </c>
      <c r="DH115" s="179" t="e">
        <f t="shared" ca="1" si="563"/>
        <v>#VALUE!</v>
      </c>
      <c r="DI115" s="179" t="e">
        <f t="shared" ca="1" si="563"/>
        <v>#VALUE!</v>
      </c>
      <c r="DJ115" s="179" t="e">
        <f t="shared" ref="DJ115:DQ115" ca="1" si="564">(($AW120/(1+DJ$18)^(($AZ120-$AZ$23)/30)))+($AS120/(1+DJ$18)^(($AZ120-$AZ$23)/30))</f>
        <v>#VALUE!</v>
      </c>
      <c r="DK115" s="179" t="e">
        <f t="shared" ca="1" si="564"/>
        <v>#VALUE!</v>
      </c>
      <c r="DL115" s="179" t="e">
        <f t="shared" ca="1" si="564"/>
        <v>#VALUE!</v>
      </c>
      <c r="DM115" s="179" t="e">
        <f t="shared" ca="1" si="564"/>
        <v>#VALUE!</v>
      </c>
      <c r="DN115" s="179" t="e">
        <f t="shared" ca="1" si="564"/>
        <v>#VALUE!</v>
      </c>
      <c r="DO115" s="179" t="e">
        <f t="shared" ca="1" si="564"/>
        <v>#VALUE!</v>
      </c>
      <c r="DP115" s="179" t="e">
        <f t="shared" ca="1" si="564"/>
        <v>#VALUE!</v>
      </c>
      <c r="DQ115" s="179" t="e">
        <f t="shared" ca="1" si="564"/>
        <v>#VALUE!</v>
      </c>
      <c r="DR115" s="180">
        <f t="shared" si="396"/>
        <v>0</v>
      </c>
      <c r="DS115" s="180">
        <f t="shared" ref="DS115:EF130" si="565">IF($AU120&gt;$BA$19,0,$BA120-$AS120)</f>
        <v>0</v>
      </c>
      <c r="DT115" s="180">
        <f t="shared" si="565"/>
        <v>0</v>
      </c>
      <c r="DU115" s="180">
        <f t="shared" si="565"/>
        <v>0</v>
      </c>
      <c r="DV115" s="180">
        <f t="shared" si="565"/>
        <v>0</v>
      </c>
      <c r="DW115" s="180">
        <f t="shared" si="565"/>
        <v>0</v>
      </c>
      <c r="DX115" s="180">
        <f t="shared" si="565"/>
        <v>0</v>
      </c>
      <c r="DY115" s="180">
        <f t="shared" si="565"/>
        <v>0</v>
      </c>
      <c r="DZ115" s="180">
        <f t="shared" si="565"/>
        <v>0</v>
      </c>
      <c r="EA115" s="180">
        <f t="shared" si="565"/>
        <v>0</v>
      </c>
      <c r="EB115" s="180">
        <f t="shared" si="565"/>
        <v>0</v>
      </c>
      <c r="EC115" s="180">
        <f t="shared" si="565"/>
        <v>0</v>
      </c>
      <c r="ED115" s="180">
        <f t="shared" si="565"/>
        <v>0</v>
      </c>
      <c r="EE115" s="180">
        <f t="shared" si="565"/>
        <v>0</v>
      </c>
      <c r="EF115" s="180">
        <f t="shared" si="565"/>
        <v>0</v>
      </c>
      <c r="EG115" s="180">
        <f t="shared" ref="EG115:EO115" si="566">IF($AU120&gt;$BA$19,0,$BA120-$AS120)</f>
        <v>0</v>
      </c>
      <c r="EH115" s="180">
        <f t="shared" si="566"/>
        <v>0</v>
      </c>
      <c r="EI115" s="180">
        <f t="shared" si="566"/>
        <v>0</v>
      </c>
      <c r="EJ115" s="180">
        <f t="shared" si="566"/>
        <v>0</v>
      </c>
      <c r="EK115" s="180">
        <f t="shared" si="566"/>
        <v>0</v>
      </c>
      <c r="EL115" s="180">
        <f t="shared" si="566"/>
        <v>0</v>
      </c>
      <c r="EM115" s="180">
        <f t="shared" si="566"/>
        <v>0</v>
      </c>
      <c r="EN115" s="180">
        <f t="shared" si="566"/>
        <v>0</v>
      </c>
      <c r="EO115" s="180">
        <f t="shared" si="566"/>
        <v>0</v>
      </c>
      <c r="EQ115" s="259">
        <f t="shared" ca="1" si="398"/>
        <v>49105</v>
      </c>
      <c r="ER115" s="87">
        <f t="shared" ca="1" si="541"/>
        <v>91</v>
      </c>
      <c r="ES115" s="87">
        <f t="shared" ca="1" si="541"/>
        <v>91</v>
      </c>
      <c r="ET115" s="87">
        <f t="shared" ca="1" si="541"/>
        <v>91</v>
      </c>
      <c r="EU115" s="87">
        <f t="shared" ca="1" si="541"/>
        <v>91</v>
      </c>
      <c r="EV115" s="87">
        <f t="shared" ca="1" si="541"/>
        <v>91</v>
      </c>
      <c r="EW115" s="87">
        <f t="shared" ca="1" si="541"/>
        <v>91</v>
      </c>
      <c r="EX115" s="87">
        <f t="shared" ca="1" si="541"/>
        <v>91</v>
      </c>
      <c r="EY115" s="87">
        <f t="shared" ca="1" si="541"/>
        <v>91</v>
      </c>
      <c r="EZ115" s="87">
        <f t="shared" ca="1" si="541"/>
        <v>91</v>
      </c>
      <c r="FA115" s="87">
        <f t="shared" ca="1" si="541"/>
        <v>91</v>
      </c>
      <c r="FB115" s="87">
        <f t="shared" ca="1" si="541"/>
        <v>91</v>
      </c>
      <c r="FC115" s="87">
        <f t="shared" ca="1" si="541"/>
        <v>91</v>
      </c>
      <c r="FD115" s="87">
        <f t="shared" ca="1" si="541"/>
        <v>91</v>
      </c>
      <c r="FE115" s="87">
        <f t="shared" ca="1" si="541"/>
        <v>91</v>
      </c>
      <c r="FF115" s="87">
        <f t="shared" ca="1" si="541"/>
        <v>91</v>
      </c>
      <c r="FG115" s="87">
        <f t="shared" ref="FG115:FP130" ca="1" si="567" xml:space="preserve"> IFERROR(VLOOKUP($EQ115,$AZ$23:$BA$167,2,FALSE),0)-IFERROR(VLOOKUP($EQ115,$AR$23:$AS$167,2,FALSE),0)</f>
        <v>91</v>
      </c>
      <c r="FH115" s="87">
        <f t="shared" ca="1" si="567"/>
        <v>91</v>
      </c>
      <c r="FI115" s="87">
        <f t="shared" ca="1" si="567"/>
        <v>91</v>
      </c>
      <c r="FJ115" s="87">
        <f t="shared" ca="1" si="567"/>
        <v>91</v>
      </c>
      <c r="FK115" s="87">
        <f t="shared" ca="1" si="567"/>
        <v>91</v>
      </c>
      <c r="FL115" s="87">
        <f t="shared" ca="1" si="567"/>
        <v>91</v>
      </c>
      <c r="FM115" s="87">
        <f t="shared" ca="1" si="567"/>
        <v>91</v>
      </c>
      <c r="FN115" s="87">
        <f t="shared" ca="1" si="567"/>
        <v>91</v>
      </c>
      <c r="FO115" s="87">
        <f t="shared" ca="1" si="567"/>
        <v>91</v>
      </c>
      <c r="FP115" s="87">
        <f t="shared" ca="1" si="567"/>
        <v>91</v>
      </c>
    </row>
    <row r="116" spans="2:172" ht="12.75" hidden="1" customHeight="1" x14ac:dyDescent="0.25">
      <c r="B116" s="87">
        <v>58</v>
      </c>
      <c r="C116" s="181">
        <f t="shared" ca="1" si="450"/>
        <v>47917</v>
      </c>
      <c r="D116" s="380">
        <f t="shared" ca="1" si="535"/>
        <v>0.34219964119244323</v>
      </c>
      <c r="E116" s="380">
        <f t="shared" si="535"/>
        <v>0</v>
      </c>
      <c r="F116" s="380">
        <f t="shared" si="535"/>
        <v>0</v>
      </c>
      <c r="G116" s="380">
        <f t="shared" si="535"/>
        <v>0</v>
      </c>
      <c r="H116" s="380">
        <f t="shared" si="535"/>
        <v>0</v>
      </c>
      <c r="I116" s="380">
        <f t="shared" si="535"/>
        <v>0</v>
      </c>
      <c r="J116" s="380">
        <f t="shared" si="535"/>
        <v>0</v>
      </c>
      <c r="K116" s="380">
        <f t="shared" si="535"/>
        <v>0</v>
      </c>
      <c r="L116" s="380">
        <f t="shared" si="535"/>
        <v>0</v>
      </c>
      <c r="M116" s="380">
        <f t="shared" si="535"/>
        <v>0</v>
      </c>
      <c r="N116" s="380">
        <f t="shared" si="536"/>
        <v>0</v>
      </c>
      <c r="O116" s="380">
        <f t="shared" si="536"/>
        <v>0</v>
      </c>
      <c r="P116" s="380">
        <f t="shared" si="536"/>
        <v>0</v>
      </c>
      <c r="Q116" s="380">
        <f t="shared" si="536"/>
        <v>0</v>
      </c>
      <c r="R116" s="380">
        <f t="shared" si="536"/>
        <v>0</v>
      </c>
      <c r="S116" s="380">
        <f t="shared" si="536"/>
        <v>0</v>
      </c>
      <c r="T116" s="380">
        <f t="shared" si="536"/>
        <v>0</v>
      </c>
      <c r="U116" s="175"/>
      <c r="X116" s="87">
        <v>101</v>
      </c>
      <c r="Y116" s="377">
        <f t="shared" si="361"/>
        <v>0</v>
      </c>
      <c r="Z116" s="377">
        <f t="shared" si="362"/>
        <v>0</v>
      </c>
      <c r="AA116" s="377">
        <f t="shared" si="363"/>
        <v>0</v>
      </c>
      <c r="AB116" s="377">
        <f t="shared" si="364"/>
        <v>0</v>
      </c>
      <c r="AC116" s="377">
        <f t="shared" si="365"/>
        <v>0</v>
      </c>
      <c r="AD116" s="377">
        <f t="shared" si="366"/>
        <v>0</v>
      </c>
      <c r="AE116" s="377">
        <f t="shared" si="367"/>
        <v>0</v>
      </c>
      <c r="AF116" s="377">
        <f t="shared" si="368"/>
        <v>0</v>
      </c>
      <c r="AG116" s="377">
        <f t="shared" si="369"/>
        <v>0</v>
      </c>
      <c r="AH116" s="377">
        <f t="shared" si="370"/>
        <v>0</v>
      </c>
      <c r="AI116" s="377">
        <f t="shared" si="371"/>
        <v>0</v>
      </c>
      <c r="AJ116" s="377">
        <f t="shared" si="372"/>
        <v>0</v>
      </c>
      <c r="AK116" s="377">
        <f t="shared" si="373"/>
        <v>0</v>
      </c>
      <c r="AL116" s="377">
        <f t="shared" si="374"/>
        <v>0</v>
      </c>
      <c r="AM116" s="377">
        <f t="shared" si="375"/>
        <v>0</v>
      </c>
      <c r="AN116" s="377">
        <f t="shared" si="376"/>
        <v>0</v>
      </c>
      <c r="AO116" s="377">
        <f t="shared" si="377"/>
        <v>0</v>
      </c>
      <c r="AQ116" s="138">
        <v>93</v>
      </c>
      <c r="AR116" s="258">
        <f t="shared" ca="1" si="528"/>
        <v>48985</v>
      </c>
      <c r="AS116" s="378">
        <f t="shared" si="421"/>
        <v>0</v>
      </c>
      <c r="AU116" s="138">
        <v>93</v>
      </c>
      <c r="AV116" s="258">
        <f t="shared" ca="1" si="529"/>
        <v>49013</v>
      </c>
      <c r="AW116" s="378">
        <f t="shared" si="423"/>
        <v>91</v>
      </c>
      <c r="AX116" s="202">
        <f t="shared" ca="1" si="424"/>
        <v>15.94</v>
      </c>
      <c r="AY116" s="138">
        <v>93</v>
      </c>
      <c r="AZ116" s="258">
        <f t="shared" ca="1" si="530"/>
        <v>49013</v>
      </c>
      <c r="BA116" s="378">
        <f t="shared" si="426"/>
        <v>91</v>
      </c>
      <c r="BC116" s="258">
        <f t="shared" ca="1" si="411"/>
        <v>48985</v>
      </c>
      <c r="BD116" s="302">
        <f t="shared" ca="1" si="427"/>
        <v>91</v>
      </c>
      <c r="BE116" s="133">
        <f t="shared" si="412"/>
        <v>93</v>
      </c>
      <c r="BF116" s="379">
        <f t="shared" ca="1" si="413"/>
        <v>48985</v>
      </c>
      <c r="BG116" s="133">
        <f t="shared" si="428"/>
        <v>0</v>
      </c>
      <c r="BH116" s="133">
        <f t="shared" si="429"/>
        <v>0</v>
      </c>
      <c r="BI116" s="133">
        <f t="shared" si="430"/>
        <v>0</v>
      </c>
      <c r="BJ116" s="133">
        <f t="shared" si="431"/>
        <v>0</v>
      </c>
      <c r="BK116" s="133">
        <f t="shared" si="432"/>
        <v>0</v>
      </c>
      <c r="BL116" s="133">
        <f t="shared" si="433"/>
        <v>0</v>
      </c>
      <c r="BM116" s="133">
        <f t="shared" si="434"/>
        <v>0</v>
      </c>
      <c r="BN116" s="133">
        <f t="shared" si="435"/>
        <v>0</v>
      </c>
      <c r="BO116" s="133">
        <f t="shared" si="436"/>
        <v>0</v>
      </c>
      <c r="BP116" s="133">
        <f t="shared" si="437"/>
        <v>0</v>
      </c>
      <c r="BQ116" s="133">
        <f t="shared" si="438"/>
        <v>0</v>
      </c>
      <c r="BR116" s="133">
        <f t="shared" si="439"/>
        <v>0</v>
      </c>
      <c r="BS116" s="133">
        <f t="shared" si="440"/>
        <v>0</v>
      </c>
      <c r="BT116" s="133">
        <f t="shared" si="441"/>
        <v>0</v>
      </c>
      <c r="BU116" s="133">
        <f t="shared" si="442"/>
        <v>0</v>
      </c>
      <c r="BV116" s="133">
        <f t="shared" si="443"/>
        <v>0</v>
      </c>
      <c r="BW116" s="133">
        <f t="shared" si="444"/>
        <v>0</v>
      </c>
      <c r="BX116" s="267"/>
      <c r="BY116" s="267"/>
      <c r="BZ116" s="267"/>
      <c r="CA116" s="267"/>
      <c r="CB116" s="267"/>
      <c r="CC116" s="267"/>
      <c r="CD116" s="267"/>
      <c r="CE116" s="267"/>
      <c r="CF116" s="267"/>
      <c r="CG116" s="267"/>
      <c r="CS116" s="178">
        <v>98</v>
      </c>
      <c r="CT116" s="259">
        <f t="shared" ca="1" si="386"/>
        <v>49166</v>
      </c>
      <c r="CU116" s="179">
        <f t="shared" ref="CU116:DC116" ca="1" si="568">(($AW121/(1+CU$18)^(($AZ121-$AZ$23)/30)))+($AS121/(1+CU$18)^(($AZ121-$AZ$23)/30))</f>
        <v>0</v>
      </c>
      <c r="CV116" s="179">
        <f t="shared" ca="1" si="568"/>
        <v>0</v>
      </c>
      <c r="CW116" s="179">
        <f t="shared" ca="1" si="568"/>
        <v>0</v>
      </c>
      <c r="CX116" s="179">
        <f t="shared" ca="1" si="568"/>
        <v>0</v>
      </c>
      <c r="CY116" s="179">
        <f t="shared" ca="1" si="568"/>
        <v>0</v>
      </c>
      <c r="CZ116" s="179">
        <f t="shared" ca="1" si="568"/>
        <v>0</v>
      </c>
      <c r="DA116" s="179">
        <f t="shared" ca="1" si="568"/>
        <v>0</v>
      </c>
      <c r="DB116" s="179">
        <f t="shared" ca="1" si="568"/>
        <v>0</v>
      </c>
      <c r="DC116" s="179">
        <f t="shared" ca="1" si="568"/>
        <v>0</v>
      </c>
      <c r="DD116" s="179">
        <f t="shared" ref="DD116:DI116" ca="1" si="569">(($AW121/(1+DD$18)^(($AZ121-$AZ$23)/30)))+($AS121/(1+DD$18)^(($AZ121-$AZ$23)/30))</f>
        <v>0</v>
      </c>
      <c r="DE116" s="179">
        <f t="shared" ca="1" si="569"/>
        <v>0</v>
      </c>
      <c r="DF116" s="179" t="e">
        <f t="shared" ca="1" si="569"/>
        <v>#VALUE!</v>
      </c>
      <c r="DG116" s="179" t="e">
        <f t="shared" ca="1" si="569"/>
        <v>#VALUE!</v>
      </c>
      <c r="DH116" s="179" t="e">
        <f t="shared" ca="1" si="569"/>
        <v>#VALUE!</v>
      </c>
      <c r="DI116" s="179" t="e">
        <f t="shared" ca="1" si="569"/>
        <v>#VALUE!</v>
      </c>
      <c r="DJ116" s="179" t="e">
        <f t="shared" ref="DJ116:DQ116" ca="1" si="570">(($AW121/(1+DJ$18)^(($AZ121-$AZ$23)/30)))+($AS121/(1+DJ$18)^(($AZ121-$AZ$23)/30))</f>
        <v>#VALUE!</v>
      </c>
      <c r="DK116" s="179" t="e">
        <f t="shared" ca="1" si="570"/>
        <v>#VALUE!</v>
      </c>
      <c r="DL116" s="179" t="e">
        <f t="shared" ca="1" si="570"/>
        <v>#VALUE!</v>
      </c>
      <c r="DM116" s="179" t="e">
        <f t="shared" ca="1" si="570"/>
        <v>#VALUE!</v>
      </c>
      <c r="DN116" s="179" t="e">
        <f t="shared" ca="1" si="570"/>
        <v>#VALUE!</v>
      </c>
      <c r="DO116" s="179" t="e">
        <f t="shared" ca="1" si="570"/>
        <v>#VALUE!</v>
      </c>
      <c r="DP116" s="179" t="e">
        <f t="shared" ca="1" si="570"/>
        <v>#VALUE!</v>
      </c>
      <c r="DQ116" s="179" t="e">
        <f t="shared" ca="1" si="570"/>
        <v>#VALUE!</v>
      </c>
      <c r="DR116" s="180">
        <f t="shared" si="396"/>
        <v>0</v>
      </c>
      <c r="DS116" s="180">
        <f t="shared" si="565"/>
        <v>0</v>
      </c>
      <c r="DT116" s="180">
        <f t="shared" si="565"/>
        <v>0</v>
      </c>
      <c r="DU116" s="180">
        <f t="shared" si="565"/>
        <v>0</v>
      </c>
      <c r="DV116" s="180">
        <f t="shared" si="565"/>
        <v>0</v>
      </c>
      <c r="DW116" s="180">
        <f t="shared" si="565"/>
        <v>0</v>
      </c>
      <c r="DX116" s="180">
        <f t="shared" si="565"/>
        <v>0</v>
      </c>
      <c r="DY116" s="180">
        <f t="shared" si="565"/>
        <v>0</v>
      </c>
      <c r="DZ116" s="180">
        <f t="shared" si="565"/>
        <v>0</v>
      </c>
      <c r="EA116" s="180">
        <f t="shared" si="565"/>
        <v>0</v>
      </c>
      <c r="EB116" s="180">
        <f t="shared" si="565"/>
        <v>0</v>
      </c>
      <c r="EC116" s="180">
        <f t="shared" si="565"/>
        <v>0</v>
      </c>
      <c r="ED116" s="180">
        <f t="shared" si="565"/>
        <v>0</v>
      </c>
      <c r="EE116" s="180">
        <f t="shared" si="565"/>
        <v>0</v>
      </c>
      <c r="EF116" s="180">
        <f t="shared" si="565"/>
        <v>0</v>
      </c>
      <c r="EG116" s="180">
        <f t="shared" ref="EG116:EO116" si="571">IF($AU121&gt;$BA$19,0,$BA121-$AS121)</f>
        <v>0</v>
      </c>
      <c r="EH116" s="180">
        <f t="shared" si="571"/>
        <v>0</v>
      </c>
      <c r="EI116" s="180">
        <f t="shared" si="571"/>
        <v>0</v>
      </c>
      <c r="EJ116" s="180">
        <f t="shared" si="571"/>
        <v>0</v>
      </c>
      <c r="EK116" s="180">
        <f t="shared" si="571"/>
        <v>0</v>
      </c>
      <c r="EL116" s="180">
        <f t="shared" si="571"/>
        <v>0</v>
      </c>
      <c r="EM116" s="180">
        <f t="shared" si="571"/>
        <v>0</v>
      </c>
      <c r="EN116" s="180">
        <f t="shared" si="571"/>
        <v>0</v>
      </c>
      <c r="EO116" s="180">
        <f t="shared" si="571"/>
        <v>0</v>
      </c>
      <c r="EQ116" s="259">
        <f t="shared" ca="1" si="398"/>
        <v>49135</v>
      </c>
      <c r="ER116" s="87">
        <f t="shared" ca="1" si="541"/>
        <v>0</v>
      </c>
      <c r="ES116" s="87">
        <f t="shared" ca="1" si="541"/>
        <v>0</v>
      </c>
      <c r="ET116" s="87">
        <f t="shared" ca="1" si="541"/>
        <v>0</v>
      </c>
      <c r="EU116" s="87">
        <f t="shared" ca="1" si="541"/>
        <v>0</v>
      </c>
      <c r="EV116" s="87">
        <f t="shared" ca="1" si="541"/>
        <v>0</v>
      </c>
      <c r="EW116" s="87">
        <f t="shared" ca="1" si="541"/>
        <v>0</v>
      </c>
      <c r="EX116" s="87">
        <f t="shared" ca="1" si="541"/>
        <v>0</v>
      </c>
      <c r="EY116" s="87">
        <f t="shared" ca="1" si="541"/>
        <v>0</v>
      </c>
      <c r="EZ116" s="87">
        <f t="shared" ca="1" si="541"/>
        <v>0</v>
      </c>
      <c r="FA116" s="87">
        <f t="shared" ca="1" si="541"/>
        <v>0</v>
      </c>
      <c r="FB116" s="87">
        <f t="shared" ca="1" si="541"/>
        <v>0</v>
      </c>
      <c r="FC116" s="87">
        <f t="shared" ca="1" si="541"/>
        <v>0</v>
      </c>
      <c r="FD116" s="87">
        <f t="shared" ca="1" si="541"/>
        <v>0</v>
      </c>
      <c r="FE116" s="87">
        <f t="shared" ca="1" si="541"/>
        <v>0</v>
      </c>
      <c r="FF116" s="87">
        <f t="shared" ca="1" si="541"/>
        <v>0</v>
      </c>
      <c r="FG116" s="87">
        <f t="shared" ca="1" si="567"/>
        <v>0</v>
      </c>
      <c r="FH116" s="87">
        <f t="shared" ca="1" si="567"/>
        <v>0</v>
      </c>
      <c r="FI116" s="87">
        <f t="shared" ca="1" si="567"/>
        <v>0</v>
      </c>
      <c r="FJ116" s="87">
        <f t="shared" ca="1" si="567"/>
        <v>0</v>
      </c>
      <c r="FK116" s="87">
        <f t="shared" ca="1" si="567"/>
        <v>0</v>
      </c>
      <c r="FL116" s="87">
        <f t="shared" ca="1" si="567"/>
        <v>0</v>
      </c>
      <c r="FM116" s="87">
        <f t="shared" ca="1" si="567"/>
        <v>0</v>
      </c>
      <c r="FN116" s="87">
        <f t="shared" ca="1" si="567"/>
        <v>0</v>
      </c>
      <c r="FO116" s="87">
        <f t="shared" ca="1" si="567"/>
        <v>0</v>
      </c>
      <c r="FP116" s="87">
        <f t="shared" ca="1" si="567"/>
        <v>0</v>
      </c>
    </row>
    <row r="117" spans="2:172" ht="12.75" hidden="1" customHeight="1" x14ac:dyDescent="0.25">
      <c r="B117" s="87">
        <v>59</v>
      </c>
      <c r="C117" s="181">
        <f t="shared" ca="1" si="450"/>
        <v>47948</v>
      </c>
      <c r="D117" s="380">
        <f t="shared" ca="1" si="535"/>
        <v>0.3357787041413029</v>
      </c>
      <c r="E117" s="380">
        <f t="shared" si="535"/>
        <v>0</v>
      </c>
      <c r="F117" s="380">
        <f t="shared" si="535"/>
        <v>0</v>
      </c>
      <c r="G117" s="380">
        <f t="shared" si="535"/>
        <v>0</v>
      </c>
      <c r="H117" s="380">
        <f t="shared" si="535"/>
        <v>0</v>
      </c>
      <c r="I117" s="380">
        <f t="shared" si="535"/>
        <v>0</v>
      </c>
      <c r="J117" s="380">
        <f t="shared" si="535"/>
        <v>0</v>
      </c>
      <c r="K117" s="380">
        <f t="shared" si="535"/>
        <v>0</v>
      </c>
      <c r="L117" s="380">
        <f t="shared" si="535"/>
        <v>0</v>
      </c>
      <c r="M117" s="380">
        <f t="shared" si="535"/>
        <v>0</v>
      </c>
      <c r="N117" s="380">
        <f t="shared" si="536"/>
        <v>0</v>
      </c>
      <c r="O117" s="380">
        <f t="shared" si="536"/>
        <v>0</v>
      </c>
      <c r="P117" s="380">
        <f t="shared" si="536"/>
        <v>0</v>
      </c>
      <c r="Q117" s="380">
        <f t="shared" si="536"/>
        <v>0</v>
      </c>
      <c r="R117" s="380">
        <f t="shared" si="536"/>
        <v>0</v>
      </c>
      <c r="S117" s="380">
        <f t="shared" si="536"/>
        <v>0</v>
      </c>
      <c r="T117" s="380">
        <f t="shared" si="536"/>
        <v>0</v>
      </c>
      <c r="U117" s="175"/>
      <c r="X117" s="87">
        <v>102</v>
      </c>
      <c r="Y117" s="377">
        <f t="shared" si="361"/>
        <v>0</v>
      </c>
      <c r="Z117" s="377">
        <f t="shared" si="362"/>
        <v>0</v>
      </c>
      <c r="AA117" s="377">
        <f t="shared" si="363"/>
        <v>0</v>
      </c>
      <c r="AB117" s="377">
        <f t="shared" si="364"/>
        <v>0</v>
      </c>
      <c r="AC117" s="377">
        <f t="shared" si="365"/>
        <v>0</v>
      </c>
      <c r="AD117" s="377">
        <f t="shared" si="366"/>
        <v>0</v>
      </c>
      <c r="AE117" s="377">
        <f t="shared" si="367"/>
        <v>0</v>
      </c>
      <c r="AF117" s="377">
        <f t="shared" si="368"/>
        <v>0</v>
      </c>
      <c r="AG117" s="377">
        <f t="shared" si="369"/>
        <v>0</v>
      </c>
      <c r="AH117" s="377">
        <f t="shared" si="370"/>
        <v>0</v>
      </c>
      <c r="AI117" s="377">
        <f t="shared" si="371"/>
        <v>0</v>
      </c>
      <c r="AJ117" s="377">
        <f t="shared" si="372"/>
        <v>0</v>
      </c>
      <c r="AK117" s="377">
        <f t="shared" si="373"/>
        <v>0</v>
      </c>
      <c r="AL117" s="377">
        <f t="shared" si="374"/>
        <v>0</v>
      </c>
      <c r="AM117" s="377">
        <f t="shared" si="375"/>
        <v>0</v>
      </c>
      <c r="AN117" s="377">
        <f t="shared" si="376"/>
        <v>0</v>
      </c>
      <c r="AO117" s="377">
        <f t="shared" si="377"/>
        <v>0</v>
      </c>
      <c r="AQ117" s="138">
        <v>94</v>
      </c>
      <c r="AR117" s="258">
        <f t="shared" ca="1" si="528"/>
        <v>49013</v>
      </c>
      <c r="AS117" s="378">
        <f t="shared" si="421"/>
        <v>0</v>
      </c>
      <c r="AU117" s="138">
        <v>94</v>
      </c>
      <c r="AV117" s="258">
        <f t="shared" ca="1" si="529"/>
        <v>49044</v>
      </c>
      <c r="AW117" s="378">
        <f t="shared" si="423"/>
        <v>91</v>
      </c>
      <c r="AX117" s="202">
        <f t="shared" ca="1" si="424"/>
        <v>15.64</v>
      </c>
      <c r="AY117" s="138">
        <v>94</v>
      </c>
      <c r="AZ117" s="258">
        <f t="shared" ca="1" si="530"/>
        <v>49044</v>
      </c>
      <c r="BA117" s="378">
        <f t="shared" si="426"/>
        <v>91</v>
      </c>
      <c r="BC117" s="258">
        <f t="shared" ca="1" si="411"/>
        <v>49013</v>
      </c>
      <c r="BD117" s="302">
        <f t="shared" ca="1" si="427"/>
        <v>91</v>
      </c>
      <c r="BE117" s="133">
        <f t="shared" si="412"/>
        <v>94</v>
      </c>
      <c r="BF117" s="379">
        <f t="shared" ca="1" si="413"/>
        <v>49013</v>
      </c>
      <c r="BG117" s="133">
        <f t="shared" si="428"/>
        <v>0</v>
      </c>
      <c r="BH117" s="133">
        <f t="shared" si="429"/>
        <v>0</v>
      </c>
      <c r="BI117" s="133">
        <f t="shared" si="430"/>
        <v>0</v>
      </c>
      <c r="BJ117" s="133">
        <f t="shared" si="431"/>
        <v>0</v>
      </c>
      <c r="BK117" s="133">
        <f t="shared" si="432"/>
        <v>0</v>
      </c>
      <c r="BL117" s="133">
        <f t="shared" si="433"/>
        <v>0</v>
      </c>
      <c r="BM117" s="133">
        <f t="shared" si="434"/>
        <v>0</v>
      </c>
      <c r="BN117" s="133">
        <f t="shared" si="435"/>
        <v>0</v>
      </c>
      <c r="BO117" s="133">
        <f t="shared" si="436"/>
        <v>0</v>
      </c>
      <c r="BP117" s="133">
        <f t="shared" si="437"/>
        <v>0</v>
      </c>
      <c r="BQ117" s="133">
        <f t="shared" si="438"/>
        <v>0</v>
      </c>
      <c r="BR117" s="133">
        <f t="shared" si="439"/>
        <v>0</v>
      </c>
      <c r="BS117" s="133">
        <f t="shared" si="440"/>
        <v>0</v>
      </c>
      <c r="BT117" s="133">
        <f t="shared" si="441"/>
        <v>0</v>
      </c>
      <c r="BU117" s="133">
        <f t="shared" si="442"/>
        <v>0</v>
      </c>
      <c r="BV117" s="133">
        <f t="shared" si="443"/>
        <v>0</v>
      </c>
      <c r="BW117" s="133">
        <f t="shared" si="444"/>
        <v>0</v>
      </c>
      <c r="BX117" s="267"/>
      <c r="BY117" s="267"/>
      <c r="BZ117" s="267"/>
      <c r="CA117" s="267"/>
      <c r="CB117" s="267"/>
      <c r="CC117" s="267"/>
      <c r="CD117" s="267"/>
      <c r="CE117" s="267"/>
      <c r="CF117" s="267"/>
      <c r="CG117" s="267"/>
      <c r="CS117" s="138">
        <v>99</v>
      </c>
      <c r="CT117" s="259">
        <f t="shared" ca="1" si="386"/>
        <v>49197</v>
      </c>
      <c r="CU117" s="179">
        <f t="shared" ref="CU117:DC117" ca="1" si="572">(($AW122/(1+CU$18)^(($AZ122-$AZ$23)/30)))+($AS122/(1+CU$18)^(($AZ122-$AZ$23)/30))</f>
        <v>0</v>
      </c>
      <c r="CV117" s="179">
        <f t="shared" ca="1" si="572"/>
        <v>0</v>
      </c>
      <c r="CW117" s="179">
        <f t="shared" ca="1" si="572"/>
        <v>0</v>
      </c>
      <c r="CX117" s="179">
        <f t="shared" ca="1" si="572"/>
        <v>0</v>
      </c>
      <c r="CY117" s="179">
        <f t="shared" ca="1" si="572"/>
        <v>0</v>
      </c>
      <c r="CZ117" s="179">
        <f t="shared" ca="1" si="572"/>
        <v>0</v>
      </c>
      <c r="DA117" s="179">
        <f t="shared" ca="1" si="572"/>
        <v>0</v>
      </c>
      <c r="DB117" s="179">
        <f t="shared" ca="1" si="572"/>
        <v>0</v>
      </c>
      <c r="DC117" s="179">
        <f t="shared" ca="1" si="572"/>
        <v>0</v>
      </c>
      <c r="DD117" s="179">
        <f t="shared" ref="DD117:DI117" ca="1" si="573">(($AW122/(1+DD$18)^(($AZ122-$AZ$23)/30)))+($AS122/(1+DD$18)^(($AZ122-$AZ$23)/30))</f>
        <v>0</v>
      </c>
      <c r="DE117" s="179">
        <f t="shared" ca="1" si="573"/>
        <v>0</v>
      </c>
      <c r="DF117" s="179" t="e">
        <f t="shared" ca="1" si="573"/>
        <v>#VALUE!</v>
      </c>
      <c r="DG117" s="179" t="e">
        <f t="shared" ca="1" si="573"/>
        <v>#VALUE!</v>
      </c>
      <c r="DH117" s="179" t="e">
        <f t="shared" ca="1" si="573"/>
        <v>#VALUE!</v>
      </c>
      <c r="DI117" s="179" t="e">
        <f t="shared" ca="1" si="573"/>
        <v>#VALUE!</v>
      </c>
      <c r="DJ117" s="179" t="e">
        <f t="shared" ref="DJ117:DQ117" ca="1" si="574">(($AW122/(1+DJ$18)^(($AZ122-$AZ$23)/30)))+($AS122/(1+DJ$18)^(($AZ122-$AZ$23)/30))</f>
        <v>#VALUE!</v>
      </c>
      <c r="DK117" s="179" t="e">
        <f t="shared" ca="1" si="574"/>
        <v>#VALUE!</v>
      </c>
      <c r="DL117" s="179" t="e">
        <f t="shared" ca="1" si="574"/>
        <v>#VALUE!</v>
      </c>
      <c r="DM117" s="179" t="e">
        <f t="shared" ca="1" si="574"/>
        <v>#VALUE!</v>
      </c>
      <c r="DN117" s="179" t="e">
        <f t="shared" ca="1" si="574"/>
        <v>#VALUE!</v>
      </c>
      <c r="DO117" s="179" t="e">
        <f t="shared" ca="1" si="574"/>
        <v>#VALUE!</v>
      </c>
      <c r="DP117" s="179" t="e">
        <f t="shared" ca="1" si="574"/>
        <v>#VALUE!</v>
      </c>
      <c r="DQ117" s="179" t="e">
        <f t="shared" ca="1" si="574"/>
        <v>#VALUE!</v>
      </c>
      <c r="DR117" s="180">
        <f t="shared" si="396"/>
        <v>0</v>
      </c>
      <c r="DS117" s="180">
        <f t="shared" si="565"/>
        <v>0</v>
      </c>
      <c r="DT117" s="180">
        <f t="shared" si="565"/>
        <v>0</v>
      </c>
      <c r="DU117" s="180">
        <f t="shared" si="565"/>
        <v>0</v>
      </c>
      <c r="DV117" s="180">
        <f t="shared" si="565"/>
        <v>0</v>
      </c>
      <c r="DW117" s="180">
        <f t="shared" si="565"/>
        <v>0</v>
      </c>
      <c r="DX117" s="180">
        <f t="shared" si="565"/>
        <v>0</v>
      </c>
      <c r="DY117" s="180">
        <f t="shared" si="565"/>
        <v>0</v>
      </c>
      <c r="DZ117" s="180">
        <f t="shared" si="565"/>
        <v>0</v>
      </c>
      <c r="EA117" s="180">
        <f t="shared" si="565"/>
        <v>0</v>
      </c>
      <c r="EB117" s="180">
        <f t="shared" si="565"/>
        <v>0</v>
      </c>
      <c r="EC117" s="180">
        <f t="shared" si="565"/>
        <v>0</v>
      </c>
      <c r="ED117" s="180">
        <f t="shared" si="565"/>
        <v>0</v>
      </c>
      <c r="EE117" s="180">
        <f t="shared" si="565"/>
        <v>0</v>
      </c>
      <c r="EF117" s="180">
        <f t="shared" si="565"/>
        <v>0</v>
      </c>
      <c r="EG117" s="180">
        <f t="shared" ref="EG117:EO117" si="575">IF($AU122&gt;$BA$19,0,$BA122-$AS122)</f>
        <v>0</v>
      </c>
      <c r="EH117" s="180">
        <f t="shared" si="575"/>
        <v>0</v>
      </c>
      <c r="EI117" s="180">
        <f t="shared" si="575"/>
        <v>0</v>
      </c>
      <c r="EJ117" s="180">
        <f t="shared" si="575"/>
        <v>0</v>
      </c>
      <c r="EK117" s="180">
        <f t="shared" si="575"/>
        <v>0</v>
      </c>
      <c r="EL117" s="180">
        <f t="shared" si="575"/>
        <v>0</v>
      </c>
      <c r="EM117" s="180">
        <f t="shared" si="575"/>
        <v>0</v>
      </c>
      <c r="EN117" s="180">
        <f t="shared" si="575"/>
        <v>0</v>
      </c>
      <c r="EO117" s="180">
        <f t="shared" si="575"/>
        <v>0</v>
      </c>
      <c r="EQ117" s="259">
        <f t="shared" ca="1" si="398"/>
        <v>49166</v>
      </c>
      <c r="ER117" s="87">
        <f t="shared" ca="1" si="541"/>
        <v>0</v>
      </c>
      <c r="ES117" s="87">
        <f t="shared" ca="1" si="541"/>
        <v>0</v>
      </c>
      <c r="ET117" s="87">
        <f t="shared" ca="1" si="541"/>
        <v>0</v>
      </c>
      <c r="EU117" s="87">
        <f t="shared" ca="1" si="541"/>
        <v>0</v>
      </c>
      <c r="EV117" s="87">
        <f t="shared" ca="1" si="541"/>
        <v>0</v>
      </c>
      <c r="EW117" s="87">
        <f t="shared" ca="1" si="541"/>
        <v>0</v>
      </c>
      <c r="EX117" s="87">
        <f t="shared" ca="1" si="541"/>
        <v>0</v>
      </c>
      <c r="EY117" s="87">
        <f t="shared" ca="1" si="541"/>
        <v>0</v>
      </c>
      <c r="EZ117" s="87">
        <f t="shared" ca="1" si="541"/>
        <v>0</v>
      </c>
      <c r="FA117" s="87">
        <f t="shared" ca="1" si="541"/>
        <v>0</v>
      </c>
      <c r="FB117" s="87">
        <f t="shared" ca="1" si="541"/>
        <v>0</v>
      </c>
      <c r="FC117" s="87">
        <f t="shared" ca="1" si="541"/>
        <v>0</v>
      </c>
      <c r="FD117" s="87">
        <f t="shared" ca="1" si="541"/>
        <v>0</v>
      </c>
      <c r="FE117" s="87">
        <f t="shared" ca="1" si="541"/>
        <v>0</v>
      </c>
      <c r="FF117" s="87">
        <f t="shared" ca="1" si="541"/>
        <v>0</v>
      </c>
      <c r="FG117" s="87">
        <f t="shared" ca="1" si="567"/>
        <v>0</v>
      </c>
      <c r="FH117" s="87">
        <f t="shared" ca="1" si="567"/>
        <v>0</v>
      </c>
      <c r="FI117" s="87">
        <f t="shared" ca="1" si="567"/>
        <v>0</v>
      </c>
      <c r="FJ117" s="87">
        <f t="shared" ca="1" si="567"/>
        <v>0</v>
      </c>
      <c r="FK117" s="87">
        <f t="shared" ca="1" si="567"/>
        <v>0</v>
      </c>
      <c r="FL117" s="87">
        <f t="shared" ca="1" si="567"/>
        <v>0</v>
      </c>
      <c r="FM117" s="87">
        <f t="shared" ca="1" si="567"/>
        <v>0</v>
      </c>
      <c r="FN117" s="87">
        <f t="shared" ca="1" si="567"/>
        <v>0</v>
      </c>
      <c r="FO117" s="87">
        <f t="shared" ca="1" si="567"/>
        <v>0</v>
      </c>
      <c r="FP117" s="87">
        <f t="shared" ca="1" si="567"/>
        <v>0</v>
      </c>
    </row>
    <row r="118" spans="2:172" ht="12.75" hidden="1" customHeight="1" x14ac:dyDescent="0.25">
      <c r="B118" s="87">
        <v>60</v>
      </c>
      <c r="C118" s="181">
        <f t="shared" ca="1" si="450"/>
        <v>47978</v>
      </c>
      <c r="D118" s="380">
        <f t="shared" ca="1" si="535"/>
        <v>0.3296796309683877</v>
      </c>
      <c r="E118" s="380">
        <f t="shared" si="535"/>
        <v>0</v>
      </c>
      <c r="F118" s="380">
        <f t="shared" si="535"/>
        <v>0</v>
      </c>
      <c r="G118" s="380">
        <f t="shared" si="535"/>
        <v>0</v>
      </c>
      <c r="H118" s="380">
        <f t="shared" si="535"/>
        <v>0</v>
      </c>
      <c r="I118" s="380">
        <f t="shared" si="535"/>
        <v>0</v>
      </c>
      <c r="J118" s="380">
        <f t="shared" si="535"/>
        <v>0</v>
      </c>
      <c r="K118" s="380">
        <f t="shared" si="535"/>
        <v>0</v>
      </c>
      <c r="L118" s="380">
        <f t="shared" si="535"/>
        <v>0</v>
      </c>
      <c r="M118" s="380">
        <f t="shared" si="535"/>
        <v>0</v>
      </c>
      <c r="N118" s="380">
        <f t="shared" si="536"/>
        <v>0</v>
      </c>
      <c r="O118" s="380">
        <f t="shared" si="536"/>
        <v>0</v>
      </c>
      <c r="P118" s="380">
        <f t="shared" si="536"/>
        <v>0</v>
      </c>
      <c r="Q118" s="380">
        <f t="shared" si="536"/>
        <v>0</v>
      </c>
      <c r="R118" s="380">
        <f t="shared" si="536"/>
        <v>0</v>
      </c>
      <c r="S118" s="380">
        <f t="shared" si="536"/>
        <v>0</v>
      </c>
      <c r="T118" s="380">
        <f t="shared" si="536"/>
        <v>0</v>
      </c>
      <c r="U118" s="175"/>
      <c r="X118" s="87">
        <v>103</v>
      </c>
      <c r="Y118" s="377">
        <f t="shared" si="361"/>
        <v>0</v>
      </c>
      <c r="Z118" s="377">
        <f t="shared" si="362"/>
        <v>0</v>
      </c>
      <c r="AA118" s="377">
        <f t="shared" si="363"/>
        <v>0</v>
      </c>
      <c r="AB118" s="377">
        <f t="shared" si="364"/>
        <v>0</v>
      </c>
      <c r="AC118" s="377">
        <f t="shared" si="365"/>
        <v>0</v>
      </c>
      <c r="AD118" s="377">
        <f t="shared" si="366"/>
        <v>0</v>
      </c>
      <c r="AE118" s="377">
        <f t="shared" si="367"/>
        <v>0</v>
      </c>
      <c r="AF118" s="377">
        <f t="shared" si="368"/>
        <v>0</v>
      </c>
      <c r="AG118" s="377">
        <f t="shared" si="369"/>
        <v>0</v>
      </c>
      <c r="AH118" s="377">
        <f t="shared" si="370"/>
        <v>0</v>
      </c>
      <c r="AI118" s="377">
        <f t="shared" si="371"/>
        <v>0</v>
      </c>
      <c r="AJ118" s="377">
        <f t="shared" si="372"/>
        <v>0</v>
      </c>
      <c r="AK118" s="377">
        <f t="shared" si="373"/>
        <v>0</v>
      </c>
      <c r="AL118" s="377">
        <f t="shared" si="374"/>
        <v>0</v>
      </c>
      <c r="AM118" s="377">
        <f t="shared" si="375"/>
        <v>0</v>
      </c>
      <c r="AN118" s="377">
        <f t="shared" si="376"/>
        <v>0</v>
      </c>
      <c r="AO118" s="377">
        <f t="shared" si="377"/>
        <v>0</v>
      </c>
      <c r="AQ118" s="138">
        <v>95</v>
      </c>
      <c r="AR118" s="258">
        <f t="shared" ca="1" si="528"/>
        <v>49044</v>
      </c>
      <c r="AS118" s="378">
        <f t="shared" si="421"/>
        <v>0</v>
      </c>
      <c r="AU118" s="138">
        <v>95</v>
      </c>
      <c r="AV118" s="258">
        <f t="shared" ca="1" si="529"/>
        <v>49074</v>
      </c>
      <c r="AW118" s="378">
        <f t="shared" si="423"/>
        <v>91</v>
      </c>
      <c r="AX118" s="202">
        <f t="shared" ca="1" si="424"/>
        <v>15.36</v>
      </c>
      <c r="AY118" s="138">
        <v>95</v>
      </c>
      <c r="AZ118" s="258">
        <f t="shared" ca="1" si="530"/>
        <v>49074</v>
      </c>
      <c r="BA118" s="378">
        <f t="shared" si="426"/>
        <v>91</v>
      </c>
      <c r="BC118" s="258">
        <f t="shared" ca="1" si="411"/>
        <v>49044</v>
      </c>
      <c r="BD118" s="302">
        <f t="shared" ca="1" si="427"/>
        <v>91</v>
      </c>
      <c r="BE118" s="133">
        <f t="shared" si="412"/>
        <v>95</v>
      </c>
      <c r="BF118" s="379">
        <f t="shared" ca="1" si="413"/>
        <v>49044</v>
      </c>
      <c r="BG118" s="133">
        <f t="shared" si="428"/>
        <v>0</v>
      </c>
      <c r="BH118" s="133">
        <f t="shared" si="429"/>
        <v>0</v>
      </c>
      <c r="BI118" s="133">
        <f t="shared" si="430"/>
        <v>0</v>
      </c>
      <c r="BJ118" s="133">
        <f t="shared" si="431"/>
        <v>0</v>
      </c>
      <c r="BK118" s="133">
        <f t="shared" si="432"/>
        <v>0</v>
      </c>
      <c r="BL118" s="133">
        <f t="shared" si="433"/>
        <v>0</v>
      </c>
      <c r="BM118" s="133">
        <f t="shared" si="434"/>
        <v>0</v>
      </c>
      <c r="BN118" s="133">
        <f t="shared" si="435"/>
        <v>0</v>
      </c>
      <c r="BO118" s="133">
        <f t="shared" si="436"/>
        <v>0</v>
      </c>
      <c r="BP118" s="133">
        <f t="shared" si="437"/>
        <v>0</v>
      </c>
      <c r="BQ118" s="133">
        <f t="shared" si="438"/>
        <v>0</v>
      </c>
      <c r="BR118" s="133">
        <f t="shared" si="439"/>
        <v>0</v>
      </c>
      <c r="BS118" s="133">
        <f t="shared" si="440"/>
        <v>0</v>
      </c>
      <c r="BT118" s="133">
        <f t="shared" si="441"/>
        <v>0</v>
      </c>
      <c r="BU118" s="133">
        <f t="shared" si="442"/>
        <v>0</v>
      </c>
      <c r="BV118" s="133">
        <f t="shared" si="443"/>
        <v>0</v>
      </c>
      <c r="BW118" s="133">
        <f t="shared" si="444"/>
        <v>0</v>
      </c>
      <c r="BX118" s="267"/>
      <c r="BY118" s="267"/>
      <c r="BZ118" s="267"/>
      <c r="CA118" s="267"/>
      <c r="CB118" s="267"/>
      <c r="CC118" s="267"/>
      <c r="CD118" s="267"/>
      <c r="CE118" s="267"/>
      <c r="CF118" s="267"/>
      <c r="CG118" s="267"/>
      <c r="CS118" s="87">
        <v>100</v>
      </c>
      <c r="CT118" s="259">
        <f t="shared" ca="1" si="386"/>
        <v>49227</v>
      </c>
      <c r="CU118" s="179">
        <f t="shared" ref="CU118:DC118" ca="1" si="576">(($AW123/(1+CU$18)^(($AZ123-$AZ$23)/30)))+($AS123/(1+CU$18)^(($AZ123-$AZ$23)/30))</f>
        <v>0</v>
      </c>
      <c r="CV118" s="179">
        <f t="shared" ca="1" si="576"/>
        <v>0</v>
      </c>
      <c r="CW118" s="179">
        <f t="shared" ca="1" si="576"/>
        <v>0</v>
      </c>
      <c r="CX118" s="179">
        <f t="shared" ca="1" si="576"/>
        <v>0</v>
      </c>
      <c r="CY118" s="179">
        <f t="shared" ca="1" si="576"/>
        <v>0</v>
      </c>
      <c r="CZ118" s="179">
        <f t="shared" ca="1" si="576"/>
        <v>0</v>
      </c>
      <c r="DA118" s="179">
        <f t="shared" ca="1" si="576"/>
        <v>0</v>
      </c>
      <c r="DB118" s="179">
        <f t="shared" ca="1" si="576"/>
        <v>0</v>
      </c>
      <c r="DC118" s="179">
        <f t="shared" ca="1" si="576"/>
        <v>0</v>
      </c>
      <c r="DD118" s="179">
        <f t="shared" ref="DD118:DI118" ca="1" si="577">(($AW123/(1+DD$18)^(($AZ123-$AZ$23)/30)))+($AS123/(1+DD$18)^(($AZ123-$AZ$23)/30))</f>
        <v>0</v>
      </c>
      <c r="DE118" s="179">
        <f t="shared" ca="1" si="577"/>
        <v>0</v>
      </c>
      <c r="DF118" s="179" t="e">
        <f t="shared" ca="1" si="577"/>
        <v>#VALUE!</v>
      </c>
      <c r="DG118" s="179" t="e">
        <f t="shared" ca="1" si="577"/>
        <v>#VALUE!</v>
      </c>
      <c r="DH118" s="179" t="e">
        <f t="shared" ca="1" si="577"/>
        <v>#VALUE!</v>
      </c>
      <c r="DI118" s="179" t="e">
        <f t="shared" ca="1" si="577"/>
        <v>#VALUE!</v>
      </c>
      <c r="DJ118" s="179" t="e">
        <f t="shared" ref="DJ118:DQ118" ca="1" si="578">(($AW123/(1+DJ$18)^(($AZ123-$AZ$23)/30)))+($AS123/(1+DJ$18)^(($AZ123-$AZ$23)/30))</f>
        <v>#VALUE!</v>
      </c>
      <c r="DK118" s="179" t="e">
        <f t="shared" ca="1" si="578"/>
        <v>#VALUE!</v>
      </c>
      <c r="DL118" s="179" t="e">
        <f t="shared" ca="1" si="578"/>
        <v>#VALUE!</v>
      </c>
      <c r="DM118" s="179" t="e">
        <f t="shared" ca="1" si="578"/>
        <v>#VALUE!</v>
      </c>
      <c r="DN118" s="179" t="e">
        <f t="shared" ca="1" si="578"/>
        <v>#VALUE!</v>
      </c>
      <c r="DO118" s="179" t="e">
        <f t="shared" ca="1" si="578"/>
        <v>#VALUE!</v>
      </c>
      <c r="DP118" s="179" t="e">
        <f t="shared" ca="1" si="578"/>
        <v>#VALUE!</v>
      </c>
      <c r="DQ118" s="179" t="e">
        <f t="shared" ca="1" si="578"/>
        <v>#VALUE!</v>
      </c>
      <c r="DR118" s="180">
        <f t="shared" si="396"/>
        <v>0</v>
      </c>
      <c r="DS118" s="180">
        <f t="shared" si="565"/>
        <v>0</v>
      </c>
      <c r="DT118" s="180">
        <f t="shared" si="565"/>
        <v>0</v>
      </c>
      <c r="DU118" s="180">
        <f t="shared" si="565"/>
        <v>0</v>
      </c>
      <c r="DV118" s="180">
        <f t="shared" si="565"/>
        <v>0</v>
      </c>
      <c r="DW118" s="180">
        <f t="shared" si="565"/>
        <v>0</v>
      </c>
      <c r="DX118" s="180">
        <f t="shared" si="565"/>
        <v>0</v>
      </c>
      <c r="DY118" s="180">
        <f t="shared" si="565"/>
        <v>0</v>
      </c>
      <c r="DZ118" s="180">
        <f t="shared" si="565"/>
        <v>0</v>
      </c>
      <c r="EA118" s="180">
        <f t="shared" si="565"/>
        <v>0</v>
      </c>
      <c r="EB118" s="180">
        <f t="shared" si="565"/>
        <v>0</v>
      </c>
      <c r="EC118" s="180">
        <f t="shared" si="565"/>
        <v>0</v>
      </c>
      <c r="ED118" s="180">
        <f t="shared" si="565"/>
        <v>0</v>
      </c>
      <c r="EE118" s="180">
        <f t="shared" si="565"/>
        <v>0</v>
      </c>
      <c r="EF118" s="180">
        <f t="shared" si="565"/>
        <v>0</v>
      </c>
      <c r="EG118" s="180">
        <f t="shared" ref="EG118:EO118" si="579">IF($AU123&gt;$BA$19,0,$BA123-$AS123)</f>
        <v>0</v>
      </c>
      <c r="EH118" s="180">
        <f t="shared" si="579"/>
        <v>0</v>
      </c>
      <c r="EI118" s="180">
        <f t="shared" si="579"/>
        <v>0</v>
      </c>
      <c r="EJ118" s="180">
        <f t="shared" si="579"/>
        <v>0</v>
      </c>
      <c r="EK118" s="180">
        <f t="shared" si="579"/>
        <v>0</v>
      </c>
      <c r="EL118" s="180">
        <f t="shared" si="579"/>
        <v>0</v>
      </c>
      <c r="EM118" s="180">
        <f t="shared" si="579"/>
        <v>0</v>
      </c>
      <c r="EN118" s="180">
        <f t="shared" si="579"/>
        <v>0</v>
      </c>
      <c r="EO118" s="180">
        <f t="shared" si="579"/>
        <v>0</v>
      </c>
      <c r="EQ118" s="259">
        <f t="shared" ca="1" si="398"/>
        <v>49197</v>
      </c>
      <c r="ER118" s="87">
        <f t="shared" ca="1" si="541"/>
        <v>0</v>
      </c>
      <c r="ES118" s="87">
        <f t="shared" ca="1" si="541"/>
        <v>0</v>
      </c>
      <c r="ET118" s="87">
        <f t="shared" ca="1" si="541"/>
        <v>0</v>
      </c>
      <c r="EU118" s="87">
        <f t="shared" ca="1" si="541"/>
        <v>0</v>
      </c>
      <c r="EV118" s="87">
        <f t="shared" ca="1" si="541"/>
        <v>0</v>
      </c>
      <c r="EW118" s="87">
        <f t="shared" ca="1" si="541"/>
        <v>0</v>
      </c>
      <c r="EX118" s="87">
        <f t="shared" ca="1" si="541"/>
        <v>0</v>
      </c>
      <c r="EY118" s="87">
        <f t="shared" ca="1" si="541"/>
        <v>0</v>
      </c>
      <c r="EZ118" s="87">
        <f t="shared" ca="1" si="541"/>
        <v>0</v>
      </c>
      <c r="FA118" s="87">
        <f t="shared" ca="1" si="541"/>
        <v>0</v>
      </c>
      <c r="FB118" s="87">
        <f t="shared" ca="1" si="541"/>
        <v>0</v>
      </c>
      <c r="FC118" s="87">
        <f t="shared" ca="1" si="541"/>
        <v>0</v>
      </c>
      <c r="FD118" s="87">
        <f t="shared" ca="1" si="541"/>
        <v>0</v>
      </c>
      <c r="FE118" s="87">
        <f t="shared" ca="1" si="541"/>
        <v>0</v>
      </c>
      <c r="FF118" s="87">
        <f t="shared" ca="1" si="541"/>
        <v>0</v>
      </c>
      <c r="FG118" s="87">
        <f t="shared" ca="1" si="567"/>
        <v>0</v>
      </c>
      <c r="FH118" s="87">
        <f t="shared" ca="1" si="567"/>
        <v>0</v>
      </c>
      <c r="FI118" s="87">
        <f t="shared" ca="1" si="567"/>
        <v>0</v>
      </c>
      <c r="FJ118" s="87">
        <f t="shared" ca="1" si="567"/>
        <v>0</v>
      </c>
      <c r="FK118" s="87">
        <f t="shared" ca="1" si="567"/>
        <v>0</v>
      </c>
      <c r="FL118" s="87">
        <f t="shared" ca="1" si="567"/>
        <v>0</v>
      </c>
      <c r="FM118" s="87">
        <f t="shared" ca="1" si="567"/>
        <v>0</v>
      </c>
      <c r="FN118" s="87">
        <f t="shared" ca="1" si="567"/>
        <v>0</v>
      </c>
      <c r="FO118" s="87">
        <f t="shared" ca="1" si="567"/>
        <v>0</v>
      </c>
      <c r="FP118" s="87">
        <f t="shared" ca="1" si="567"/>
        <v>0</v>
      </c>
    </row>
    <row r="119" spans="2:172" ht="12.75" hidden="1" customHeight="1" x14ac:dyDescent="0.25">
      <c r="B119" s="87">
        <v>61</v>
      </c>
      <c r="C119" s="181">
        <f t="shared" ca="1" si="450"/>
        <v>48009</v>
      </c>
      <c r="D119" s="380">
        <f t="shared" ref="D119:M128" ca="1" si="580">IF($B119&lt;=D$20,1/(($C$57+1)^(($C119-$C$58)/30)),0)</f>
        <v>0.32349361583957359</v>
      </c>
      <c r="E119" s="380">
        <f t="shared" si="580"/>
        <v>0</v>
      </c>
      <c r="F119" s="380">
        <f t="shared" si="580"/>
        <v>0</v>
      </c>
      <c r="G119" s="380">
        <f t="shared" si="580"/>
        <v>0</v>
      </c>
      <c r="H119" s="380">
        <f t="shared" si="580"/>
        <v>0</v>
      </c>
      <c r="I119" s="380">
        <f t="shared" si="580"/>
        <v>0</v>
      </c>
      <c r="J119" s="380">
        <f t="shared" si="580"/>
        <v>0</v>
      </c>
      <c r="K119" s="380">
        <f t="shared" si="580"/>
        <v>0</v>
      </c>
      <c r="L119" s="380">
        <f t="shared" si="580"/>
        <v>0</v>
      </c>
      <c r="M119" s="380">
        <f t="shared" si="580"/>
        <v>0</v>
      </c>
      <c r="N119" s="380">
        <f t="shared" ref="N119:T128" si="581">IF($B119&lt;=N$20,1/(($C$57+1)^(($C119-$C$58)/30)),0)</f>
        <v>0</v>
      </c>
      <c r="O119" s="380">
        <f t="shared" si="581"/>
        <v>0</v>
      </c>
      <c r="P119" s="380">
        <f t="shared" si="581"/>
        <v>0</v>
      </c>
      <c r="Q119" s="380">
        <f t="shared" si="581"/>
        <v>0</v>
      </c>
      <c r="R119" s="380">
        <f t="shared" si="581"/>
        <v>0</v>
      </c>
      <c r="S119" s="380">
        <f t="shared" si="581"/>
        <v>0</v>
      </c>
      <c r="T119" s="380">
        <f t="shared" si="581"/>
        <v>0</v>
      </c>
      <c r="U119" s="175"/>
      <c r="X119" s="87">
        <v>104</v>
      </c>
      <c r="Y119" s="377">
        <f t="shared" si="361"/>
        <v>0</v>
      </c>
      <c r="Z119" s="377">
        <f t="shared" si="362"/>
        <v>0</v>
      </c>
      <c r="AA119" s="377">
        <f t="shared" si="363"/>
        <v>0</v>
      </c>
      <c r="AB119" s="377">
        <f t="shared" si="364"/>
        <v>0</v>
      </c>
      <c r="AC119" s="377">
        <f t="shared" si="365"/>
        <v>0</v>
      </c>
      <c r="AD119" s="377">
        <f t="shared" si="366"/>
        <v>0</v>
      </c>
      <c r="AE119" s="377">
        <f t="shared" si="367"/>
        <v>0</v>
      </c>
      <c r="AF119" s="377">
        <f t="shared" si="368"/>
        <v>0</v>
      </c>
      <c r="AG119" s="377">
        <f t="shared" si="369"/>
        <v>0</v>
      </c>
      <c r="AH119" s="377">
        <f t="shared" si="370"/>
        <v>0</v>
      </c>
      <c r="AI119" s="377">
        <f t="shared" si="371"/>
        <v>0</v>
      </c>
      <c r="AJ119" s="377">
        <f t="shared" si="372"/>
        <v>0</v>
      </c>
      <c r="AK119" s="377">
        <f t="shared" si="373"/>
        <v>0</v>
      </c>
      <c r="AL119" s="377">
        <f t="shared" si="374"/>
        <v>0</v>
      </c>
      <c r="AM119" s="377">
        <f t="shared" si="375"/>
        <v>0</v>
      </c>
      <c r="AN119" s="377">
        <f t="shared" si="376"/>
        <v>0</v>
      </c>
      <c r="AO119" s="377">
        <f t="shared" si="377"/>
        <v>0</v>
      </c>
      <c r="AQ119" s="138">
        <v>96</v>
      </c>
      <c r="AR119" s="258">
        <f t="shared" ca="1" si="528"/>
        <v>49074</v>
      </c>
      <c r="AS119" s="378">
        <f t="shared" si="421"/>
        <v>0</v>
      </c>
      <c r="AU119" s="138">
        <v>96</v>
      </c>
      <c r="AV119" s="258">
        <f t="shared" ca="1" si="529"/>
        <v>49105</v>
      </c>
      <c r="AW119" s="378">
        <f t="shared" si="423"/>
        <v>91</v>
      </c>
      <c r="AX119" s="202">
        <f t="shared" ca="1" si="424"/>
        <v>15.07</v>
      </c>
      <c r="AY119" s="138">
        <v>96</v>
      </c>
      <c r="AZ119" s="258">
        <f t="shared" ca="1" si="530"/>
        <v>49105</v>
      </c>
      <c r="BA119" s="378">
        <f t="shared" si="426"/>
        <v>91</v>
      </c>
      <c r="BC119" s="258">
        <f t="shared" ca="1" si="411"/>
        <v>49074</v>
      </c>
      <c r="BD119" s="302">
        <f t="shared" ca="1" si="427"/>
        <v>91</v>
      </c>
      <c r="BE119" s="133">
        <f t="shared" si="412"/>
        <v>96</v>
      </c>
      <c r="BF119" s="379">
        <f t="shared" ca="1" si="413"/>
        <v>49074</v>
      </c>
      <c r="BG119" s="133">
        <f t="shared" si="428"/>
        <v>0</v>
      </c>
      <c r="BH119" s="133">
        <f t="shared" si="429"/>
        <v>0</v>
      </c>
      <c r="BI119" s="133">
        <f t="shared" si="430"/>
        <v>0</v>
      </c>
      <c r="BJ119" s="133">
        <f t="shared" si="431"/>
        <v>0</v>
      </c>
      <c r="BK119" s="133">
        <f t="shared" si="432"/>
        <v>0</v>
      </c>
      <c r="BL119" s="133">
        <f t="shared" si="433"/>
        <v>0</v>
      </c>
      <c r="BM119" s="133">
        <f t="shared" si="434"/>
        <v>0</v>
      </c>
      <c r="BN119" s="133">
        <f t="shared" si="435"/>
        <v>0</v>
      </c>
      <c r="BO119" s="133">
        <f t="shared" si="436"/>
        <v>0</v>
      </c>
      <c r="BP119" s="133">
        <f t="shared" si="437"/>
        <v>0</v>
      </c>
      <c r="BQ119" s="133">
        <f t="shared" si="438"/>
        <v>0</v>
      </c>
      <c r="BR119" s="133">
        <f t="shared" si="439"/>
        <v>0</v>
      </c>
      <c r="BS119" s="133">
        <f t="shared" si="440"/>
        <v>0</v>
      </c>
      <c r="BT119" s="133">
        <f t="shared" si="441"/>
        <v>0</v>
      </c>
      <c r="BU119" s="133">
        <f t="shared" si="442"/>
        <v>0</v>
      </c>
      <c r="BV119" s="133">
        <f t="shared" si="443"/>
        <v>0</v>
      </c>
      <c r="BW119" s="133">
        <f t="shared" si="444"/>
        <v>0</v>
      </c>
      <c r="BX119" s="267"/>
      <c r="BY119" s="267"/>
      <c r="BZ119" s="267"/>
      <c r="CA119" s="267"/>
      <c r="CB119" s="267"/>
      <c r="CC119" s="267"/>
      <c r="CD119" s="267"/>
      <c r="CE119" s="267"/>
      <c r="CF119" s="267"/>
      <c r="CG119" s="267"/>
      <c r="CS119" s="178">
        <v>101</v>
      </c>
      <c r="CT119" s="259">
        <f t="shared" ca="1" si="386"/>
        <v>49258</v>
      </c>
      <c r="CU119" s="179">
        <f t="shared" ref="CU119:DC119" ca="1" si="582">(($AW124/(1+CU$18)^(($AZ124-$AZ$23)/30)))+($AS124/(1+CU$18)^(($AZ124-$AZ$23)/30))</f>
        <v>0</v>
      </c>
      <c r="CV119" s="179">
        <f t="shared" ca="1" si="582"/>
        <v>0</v>
      </c>
      <c r="CW119" s="179">
        <f t="shared" ca="1" si="582"/>
        <v>0</v>
      </c>
      <c r="CX119" s="179">
        <f t="shared" ca="1" si="582"/>
        <v>0</v>
      </c>
      <c r="CY119" s="179">
        <f t="shared" ca="1" si="582"/>
        <v>0</v>
      </c>
      <c r="CZ119" s="179">
        <f t="shared" ca="1" si="582"/>
        <v>0</v>
      </c>
      <c r="DA119" s="179">
        <f t="shared" ca="1" si="582"/>
        <v>0</v>
      </c>
      <c r="DB119" s="179">
        <f t="shared" ca="1" si="582"/>
        <v>0</v>
      </c>
      <c r="DC119" s="179">
        <f t="shared" ca="1" si="582"/>
        <v>0</v>
      </c>
      <c r="DD119" s="179">
        <f t="shared" ref="DD119:DI119" ca="1" si="583">(($AW124/(1+DD$18)^(($AZ124-$AZ$23)/30)))+($AS124/(1+DD$18)^(($AZ124-$AZ$23)/30))</f>
        <v>0</v>
      </c>
      <c r="DE119" s="179">
        <f t="shared" ca="1" si="583"/>
        <v>0</v>
      </c>
      <c r="DF119" s="179" t="e">
        <f t="shared" ca="1" si="583"/>
        <v>#VALUE!</v>
      </c>
      <c r="DG119" s="179" t="e">
        <f t="shared" ca="1" si="583"/>
        <v>#VALUE!</v>
      </c>
      <c r="DH119" s="179" t="e">
        <f t="shared" ca="1" si="583"/>
        <v>#VALUE!</v>
      </c>
      <c r="DI119" s="179" t="e">
        <f t="shared" ca="1" si="583"/>
        <v>#VALUE!</v>
      </c>
      <c r="DJ119" s="179" t="e">
        <f t="shared" ref="DJ119:DQ119" ca="1" si="584">(($AW124/(1+DJ$18)^(($AZ124-$AZ$23)/30)))+($AS124/(1+DJ$18)^(($AZ124-$AZ$23)/30))</f>
        <v>#VALUE!</v>
      </c>
      <c r="DK119" s="179" t="e">
        <f t="shared" ca="1" si="584"/>
        <v>#VALUE!</v>
      </c>
      <c r="DL119" s="179" t="e">
        <f t="shared" ca="1" si="584"/>
        <v>#VALUE!</v>
      </c>
      <c r="DM119" s="179" t="e">
        <f t="shared" ca="1" si="584"/>
        <v>#VALUE!</v>
      </c>
      <c r="DN119" s="179" t="e">
        <f t="shared" ca="1" si="584"/>
        <v>#VALUE!</v>
      </c>
      <c r="DO119" s="179" t="e">
        <f t="shared" ca="1" si="584"/>
        <v>#VALUE!</v>
      </c>
      <c r="DP119" s="179" t="e">
        <f t="shared" ca="1" si="584"/>
        <v>#VALUE!</v>
      </c>
      <c r="DQ119" s="179" t="e">
        <f t="shared" ca="1" si="584"/>
        <v>#VALUE!</v>
      </c>
      <c r="DR119" s="180">
        <f t="shared" si="396"/>
        <v>0</v>
      </c>
      <c r="DS119" s="180">
        <f t="shared" si="565"/>
        <v>0</v>
      </c>
      <c r="DT119" s="180">
        <f t="shared" si="565"/>
        <v>0</v>
      </c>
      <c r="DU119" s="180">
        <f t="shared" si="565"/>
        <v>0</v>
      </c>
      <c r="DV119" s="180">
        <f t="shared" si="565"/>
        <v>0</v>
      </c>
      <c r="DW119" s="180">
        <f t="shared" si="565"/>
        <v>0</v>
      </c>
      <c r="DX119" s="180">
        <f t="shared" si="565"/>
        <v>0</v>
      </c>
      <c r="DY119" s="180">
        <f t="shared" si="565"/>
        <v>0</v>
      </c>
      <c r="DZ119" s="180">
        <f t="shared" si="565"/>
        <v>0</v>
      </c>
      <c r="EA119" s="180">
        <f t="shared" si="565"/>
        <v>0</v>
      </c>
      <c r="EB119" s="180">
        <f t="shared" si="565"/>
        <v>0</v>
      </c>
      <c r="EC119" s="180">
        <f t="shared" si="565"/>
        <v>0</v>
      </c>
      <c r="ED119" s="180">
        <f t="shared" si="565"/>
        <v>0</v>
      </c>
      <c r="EE119" s="180">
        <f t="shared" si="565"/>
        <v>0</v>
      </c>
      <c r="EF119" s="180">
        <f t="shared" si="565"/>
        <v>0</v>
      </c>
      <c r="EG119" s="180">
        <f t="shared" ref="EG119:EO119" si="585">IF($AU124&gt;$BA$19,0,$BA124-$AS124)</f>
        <v>0</v>
      </c>
      <c r="EH119" s="180">
        <f t="shared" si="585"/>
        <v>0</v>
      </c>
      <c r="EI119" s="180">
        <f t="shared" si="585"/>
        <v>0</v>
      </c>
      <c r="EJ119" s="180">
        <f t="shared" si="585"/>
        <v>0</v>
      </c>
      <c r="EK119" s="180">
        <f t="shared" si="585"/>
        <v>0</v>
      </c>
      <c r="EL119" s="180">
        <f t="shared" si="585"/>
        <v>0</v>
      </c>
      <c r="EM119" s="180">
        <f t="shared" si="585"/>
        <v>0</v>
      </c>
      <c r="EN119" s="180">
        <f t="shared" si="585"/>
        <v>0</v>
      </c>
      <c r="EO119" s="180">
        <f t="shared" si="585"/>
        <v>0</v>
      </c>
      <c r="EQ119" s="259">
        <f t="shared" ca="1" si="398"/>
        <v>49227</v>
      </c>
      <c r="ER119" s="87">
        <f t="shared" ref="ER119:FF128" ca="1" si="586" xml:space="preserve"> IFERROR(VLOOKUP($EQ119,$AZ$23:$BA$167,2,FALSE),0)-IFERROR(VLOOKUP($EQ119,$AR$23:$AS$167,2,FALSE),0)</f>
        <v>0</v>
      </c>
      <c r="ES119" s="87">
        <f t="shared" ca="1" si="586"/>
        <v>0</v>
      </c>
      <c r="ET119" s="87">
        <f t="shared" ca="1" si="586"/>
        <v>0</v>
      </c>
      <c r="EU119" s="87">
        <f t="shared" ca="1" si="586"/>
        <v>0</v>
      </c>
      <c r="EV119" s="87">
        <f t="shared" ca="1" si="586"/>
        <v>0</v>
      </c>
      <c r="EW119" s="87">
        <f t="shared" ca="1" si="586"/>
        <v>0</v>
      </c>
      <c r="EX119" s="87">
        <f t="shared" ca="1" si="586"/>
        <v>0</v>
      </c>
      <c r="EY119" s="87">
        <f t="shared" ca="1" si="586"/>
        <v>0</v>
      </c>
      <c r="EZ119" s="87">
        <f t="shared" ca="1" si="586"/>
        <v>0</v>
      </c>
      <c r="FA119" s="87">
        <f t="shared" ca="1" si="586"/>
        <v>0</v>
      </c>
      <c r="FB119" s="87">
        <f t="shared" ca="1" si="586"/>
        <v>0</v>
      </c>
      <c r="FC119" s="87">
        <f t="shared" ca="1" si="586"/>
        <v>0</v>
      </c>
      <c r="FD119" s="87">
        <f t="shared" ca="1" si="586"/>
        <v>0</v>
      </c>
      <c r="FE119" s="87">
        <f t="shared" ca="1" si="586"/>
        <v>0</v>
      </c>
      <c r="FF119" s="87">
        <f t="shared" ca="1" si="586"/>
        <v>0</v>
      </c>
      <c r="FG119" s="87">
        <f t="shared" ca="1" si="567"/>
        <v>0</v>
      </c>
      <c r="FH119" s="87">
        <f t="shared" ca="1" si="567"/>
        <v>0</v>
      </c>
      <c r="FI119" s="87">
        <f t="shared" ca="1" si="567"/>
        <v>0</v>
      </c>
      <c r="FJ119" s="87">
        <f t="shared" ca="1" si="567"/>
        <v>0</v>
      </c>
      <c r="FK119" s="87">
        <f t="shared" ca="1" si="567"/>
        <v>0</v>
      </c>
      <c r="FL119" s="87">
        <f t="shared" ca="1" si="567"/>
        <v>0</v>
      </c>
      <c r="FM119" s="87">
        <f t="shared" ca="1" si="567"/>
        <v>0</v>
      </c>
      <c r="FN119" s="87">
        <f t="shared" ca="1" si="567"/>
        <v>0</v>
      </c>
      <c r="FO119" s="87">
        <f t="shared" ca="1" si="567"/>
        <v>0</v>
      </c>
      <c r="FP119" s="87">
        <f t="shared" ca="1" si="567"/>
        <v>0</v>
      </c>
    </row>
    <row r="120" spans="2:172" ht="12.75" hidden="1" customHeight="1" x14ac:dyDescent="0.25">
      <c r="B120" s="87">
        <v>62</v>
      </c>
      <c r="C120" s="181">
        <f t="shared" ca="1" si="450"/>
        <v>48039</v>
      </c>
      <c r="D120" s="380">
        <f t="shared" ca="1" si="580"/>
        <v>0.31761768860046496</v>
      </c>
      <c r="E120" s="380">
        <f t="shared" si="580"/>
        <v>0</v>
      </c>
      <c r="F120" s="380">
        <f t="shared" si="580"/>
        <v>0</v>
      </c>
      <c r="G120" s="380">
        <f t="shared" si="580"/>
        <v>0</v>
      </c>
      <c r="H120" s="380">
        <f t="shared" si="580"/>
        <v>0</v>
      </c>
      <c r="I120" s="380">
        <f t="shared" si="580"/>
        <v>0</v>
      </c>
      <c r="J120" s="380">
        <f t="shared" si="580"/>
        <v>0</v>
      </c>
      <c r="K120" s="380">
        <f t="shared" si="580"/>
        <v>0</v>
      </c>
      <c r="L120" s="380">
        <f t="shared" si="580"/>
        <v>0</v>
      </c>
      <c r="M120" s="380">
        <f t="shared" si="580"/>
        <v>0</v>
      </c>
      <c r="N120" s="380">
        <f t="shared" si="581"/>
        <v>0</v>
      </c>
      <c r="O120" s="380">
        <f t="shared" si="581"/>
        <v>0</v>
      </c>
      <c r="P120" s="380">
        <f t="shared" si="581"/>
        <v>0</v>
      </c>
      <c r="Q120" s="380">
        <f t="shared" si="581"/>
        <v>0</v>
      </c>
      <c r="R120" s="380">
        <f t="shared" si="581"/>
        <v>0</v>
      </c>
      <c r="S120" s="380">
        <f t="shared" si="581"/>
        <v>0</v>
      </c>
      <c r="T120" s="380">
        <f t="shared" si="581"/>
        <v>0</v>
      </c>
      <c r="U120" s="175"/>
      <c r="X120" s="87">
        <v>105</v>
      </c>
      <c r="Y120" s="377">
        <f t="shared" si="361"/>
        <v>0</v>
      </c>
      <c r="Z120" s="377">
        <f t="shared" si="362"/>
        <v>0</v>
      </c>
      <c r="AA120" s="377">
        <f t="shared" si="363"/>
        <v>0</v>
      </c>
      <c r="AB120" s="377">
        <f t="shared" si="364"/>
        <v>0</v>
      </c>
      <c r="AC120" s="377">
        <f t="shared" si="365"/>
        <v>0</v>
      </c>
      <c r="AD120" s="377">
        <f t="shared" si="366"/>
        <v>0</v>
      </c>
      <c r="AE120" s="377">
        <f t="shared" si="367"/>
        <v>0</v>
      </c>
      <c r="AF120" s="377">
        <f t="shared" si="368"/>
        <v>0</v>
      </c>
      <c r="AG120" s="377">
        <f t="shared" si="369"/>
        <v>0</v>
      </c>
      <c r="AH120" s="377">
        <f t="shared" si="370"/>
        <v>0</v>
      </c>
      <c r="AI120" s="377">
        <f t="shared" si="371"/>
        <v>0</v>
      </c>
      <c r="AJ120" s="377">
        <f t="shared" si="372"/>
        <v>0</v>
      </c>
      <c r="AK120" s="377">
        <f t="shared" si="373"/>
        <v>0</v>
      </c>
      <c r="AL120" s="377">
        <f t="shared" si="374"/>
        <v>0</v>
      </c>
      <c r="AM120" s="377">
        <f t="shared" si="375"/>
        <v>0</v>
      </c>
      <c r="AN120" s="377">
        <f t="shared" si="376"/>
        <v>0</v>
      </c>
      <c r="AO120" s="377">
        <f t="shared" si="377"/>
        <v>0</v>
      </c>
      <c r="AQ120" s="138">
        <v>97</v>
      </c>
      <c r="AR120" s="258">
        <f t="shared" ca="1" si="528"/>
        <v>49105</v>
      </c>
      <c r="AS120" s="378">
        <f t="shared" si="421"/>
        <v>0</v>
      </c>
      <c r="AU120" s="138">
        <v>97</v>
      </c>
      <c r="AV120" s="258">
        <f t="shared" ca="1" si="529"/>
        <v>49135</v>
      </c>
      <c r="AW120" s="378">
        <f t="shared" si="423"/>
        <v>0</v>
      </c>
      <c r="AX120" s="202">
        <f t="shared" ca="1" si="424"/>
        <v>0</v>
      </c>
      <c r="AY120" s="138">
        <v>97</v>
      </c>
      <c r="AZ120" s="258">
        <f t="shared" ca="1" si="530"/>
        <v>49135</v>
      </c>
      <c r="BA120" s="378">
        <f t="shared" si="426"/>
        <v>0</v>
      </c>
      <c r="BC120" s="258">
        <f ca="1">AR120</f>
        <v>49105</v>
      </c>
      <c r="BD120" s="302">
        <f ca="1">IFERROR(VLOOKUP(BC120,$AZ$23:$BA$169,2,FALSE),0)-IFERROR(VLOOKUP(BC120,$AR$23:$AS$167,2,FALSE),0)</f>
        <v>91</v>
      </c>
      <c r="BE120" s="133">
        <f t="shared" si="412"/>
        <v>97</v>
      </c>
      <c r="BF120" s="379">
        <f t="shared" ca="1" si="413"/>
        <v>49105</v>
      </c>
      <c r="BG120" s="133">
        <f t="shared" si="428"/>
        <v>0</v>
      </c>
      <c r="BH120" s="133">
        <f t="shared" si="429"/>
        <v>0</v>
      </c>
      <c r="BI120" s="133">
        <f t="shared" si="430"/>
        <v>0</v>
      </c>
      <c r="BJ120" s="133">
        <f t="shared" si="431"/>
        <v>0</v>
      </c>
      <c r="BK120" s="133">
        <f t="shared" si="432"/>
        <v>0</v>
      </c>
      <c r="BL120" s="133">
        <f t="shared" si="433"/>
        <v>0</v>
      </c>
      <c r="BM120" s="133">
        <f t="shared" si="434"/>
        <v>0</v>
      </c>
      <c r="BN120" s="133">
        <f t="shared" si="435"/>
        <v>0</v>
      </c>
      <c r="BO120" s="133">
        <f t="shared" si="436"/>
        <v>0</v>
      </c>
      <c r="BP120" s="133">
        <f t="shared" si="437"/>
        <v>0</v>
      </c>
      <c r="BQ120" s="133">
        <f t="shared" si="438"/>
        <v>0</v>
      </c>
      <c r="BR120" s="133">
        <f t="shared" si="439"/>
        <v>0</v>
      </c>
      <c r="BS120" s="133">
        <f t="shared" si="440"/>
        <v>0</v>
      </c>
      <c r="BT120" s="133">
        <f t="shared" si="441"/>
        <v>0</v>
      </c>
      <c r="BU120" s="133">
        <f t="shared" si="442"/>
        <v>0</v>
      </c>
      <c r="BV120" s="133">
        <f t="shared" si="443"/>
        <v>0</v>
      </c>
      <c r="BW120" s="133">
        <f t="shared" si="444"/>
        <v>0</v>
      </c>
      <c r="BX120" s="267"/>
      <c r="BY120" s="267"/>
      <c r="BZ120" s="267"/>
      <c r="CA120" s="267"/>
      <c r="CB120" s="267"/>
      <c r="CC120" s="267"/>
      <c r="CD120" s="267"/>
      <c r="CE120" s="267"/>
      <c r="CF120" s="267"/>
      <c r="CG120" s="267"/>
      <c r="CS120" s="138">
        <v>102</v>
      </c>
      <c r="CT120" s="259">
        <f t="shared" ca="1" si="386"/>
        <v>49288</v>
      </c>
      <c r="CU120" s="179">
        <f t="shared" ref="CU120:DC120" ca="1" si="587">(($AW125/(1+CU$18)^(($AZ125-$AZ$23)/30)))+($AS125/(1+CU$18)^(($AZ125-$AZ$23)/30))</f>
        <v>0</v>
      </c>
      <c r="CV120" s="179">
        <f t="shared" ca="1" si="587"/>
        <v>0</v>
      </c>
      <c r="CW120" s="179">
        <f t="shared" ca="1" si="587"/>
        <v>0</v>
      </c>
      <c r="CX120" s="179">
        <f t="shared" ca="1" si="587"/>
        <v>0</v>
      </c>
      <c r="CY120" s="179">
        <f t="shared" ca="1" si="587"/>
        <v>0</v>
      </c>
      <c r="CZ120" s="179">
        <f t="shared" ca="1" si="587"/>
        <v>0</v>
      </c>
      <c r="DA120" s="179">
        <f t="shared" ca="1" si="587"/>
        <v>0</v>
      </c>
      <c r="DB120" s="179">
        <f t="shared" ca="1" si="587"/>
        <v>0</v>
      </c>
      <c r="DC120" s="179">
        <f t="shared" ca="1" si="587"/>
        <v>0</v>
      </c>
      <c r="DD120" s="179">
        <f t="shared" ref="DD120:DI120" ca="1" si="588">(($AW125/(1+DD$18)^(($AZ125-$AZ$23)/30)))+($AS125/(1+DD$18)^(($AZ125-$AZ$23)/30))</f>
        <v>0</v>
      </c>
      <c r="DE120" s="179">
        <f t="shared" ca="1" si="588"/>
        <v>0</v>
      </c>
      <c r="DF120" s="179" t="e">
        <f t="shared" ca="1" si="588"/>
        <v>#VALUE!</v>
      </c>
      <c r="DG120" s="179" t="e">
        <f t="shared" ca="1" si="588"/>
        <v>#VALUE!</v>
      </c>
      <c r="DH120" s="179" t="e">
        <f t="shared" ca="1" si="588"/>
        <v>#VALUE!</v>
      </c>
      <c r="DI120" s="179" t="e">
        <f t="shared" ca="1" si="588"/>
        <v>#VALUE!</v>
      </c>
      <c r="DJ120" s="179" t="e">
        <f t="shared" ref="DJ120:DQ120" ca="1" si="589">(($AW125/(1+DJ$18)^(($AZ125-$AZ$23)/30)))+($AS125/(1+DJ$18)^(($AZ125-$AZ$23)/30))</f>
        <v>#VALUE!</v>
      </c>
      <c r="DK120" s="179" t="e">
        <f t="shared" ca="1" si="589"/>
        <v>#VALUE!</v>
      </c>
      <c r="DL120" s="179" t="e">
        <f t="shared" ca="1" si="589"/>
        <v>#VALUE!</v>
      </c>
      <c r="DM120" s="179" t="e">
        <f t="shared" ca="1" si="589"/>
        <v>#VALUE!</v>
      </c>
      <c r="DN120" s="179" t="e">
        <f t="shared" ca="1" si="589"/>
        <v>#VALUE!</v>
      </c>
      <c r="DO120" s="179" t="e">
        <f t="shared" ca="1" si="589"/>
        <v>#VALUE!</v>
      </c>
      <c r="DP120" s="179" t="e">
        <f t="shared" ca="1" si="589"/>
        <v>#VALUE!</v>
      </c>
      <c r="DQ120" s="179" t="e">
        <f t="shared" ca="1" si="589"/>
        <v>#VALUE!</v>
      </c>
      <c r="DR120" s="180">
        <f t="shared" si="396"/>
        <v>0</v>
      </c>
      <c r="DS120" s="180">
        <f t="shared" si="565"/>
        <v>0</v>
      </c>
      <c r="DT120" s="180">
        <f t="shared" si="565"/>
        <v>0</v>
      </c>
      <c r="DU120" s="180">
        <f t="shared" si="565"/>
        <v>0</v>
      </c>
      <c r="DV120" s="180">
        <f t="shared" si="565"/>
        <v>0</v>
      </c>
      <c r="DW120" s="180">
        <f t="shared" si="565"/>
        <v>0</v>
      </c>
      <c r="DX120" s="180">
        <f t="shared" si="565"/>
        <v>0</v>
      </c>
      <c r="DY120" s="180">
        <f t="shared" si="565"/>
        <v>0</v>
      </c>
      <c r="DZ120" s="180">
        <f t="shared" si="565"/>
        <v>0</v>
      </c>
      <c r="EA120" s="180">
        <f t="shared" si="565"/>
        <v>0</v>
      </c>
      <c r="EB120" s="180">
        <f t="shared" si="565"/>
        <v>0</v>
      </c>
      <c r="EC120" s="180">
        <f t="shared" si="565"/>
        <v>0</v>
      </c>
      <c r="ED120" s="180">
        <f t="shared" si="565"/>
        <v>0</v>
      </c>
      <c r="EE120" s="180">
        <f t="shared" si="565"/>
        <v>0</v>
      </c>
      <c r="EF120" s="180">
        <f t="shared" si="565"/>
        <v>0</v>
      </c>
      <c r="EG120" s="180">
        <f t="shared" ref="EG120:EO120" si="590">IF($AU125&gt;$BA$19,0,$BA125-$AS125)</f>
        <v>0</v>
      </c>
      <c r="EH120" s="180">
        <f t="shared" si="590"/>
        <v>0</v>
      </c>
      <c r="EI120" s="180">
        <f t="shared" si="590"/>
        <v>0</v>
      </c>
      <c r="EJ120" s="180">
        <f t="shared" si="590"/>
        <v>0</v>
      </c>
      <c r="EK120" s="180">
        <f t="shared" si="590"/>
        <v>0</v>
      </c>
      <c r="EL120" s="180">
        <f t="shared" si="590"/>
        <v>0</v>
      </c>
      <c r="EM120" s="180">
        <f t="shared" si="590"/>
        <v>0</v>
      </c>
      <c r="EN120" s="180">
        <f t="shared" si="590"/>
        <v>0</v>
      </c>
      <c r="EO120" s="180">
        <f t="shared" si="590"/>
        <v>0</v>
      </c>
      <c r="EQ120" s="259">
        <f t="shared" ca="1" si="398"/>
        <v>49258</v>
      </c>
      <c r="ER120" s="87">
        <f t="shared" ca="1" si="586"/>
        <v>0</v>
      </c>
      <c r="ES120" s="87">
        <f t="shared" ca="1" si="586"/>
        <v>0</v>
      </c>
      <c r="ET120" s="87">
        <f t="shared" ca="1" si="586"/>
        <v>0</v>
      </c>
      <c r="EU120" s="87">
        <f t="shared" ca="1" si="586"/>
        <v>0</v>
      </c>
      <c r="EV120" s="87">
        <f t="shared" ca="1" si="586"/>
        <v>0</v>
      </c>
      <c r="EW120" s="87">
        <f t="shared" ca="1" si="586"/>
        <v>0</v>
      </c>
      <c r="EX120" s="87">
        <f t="shared" ca="1" si="586"/>
        <v>0</v>
      </c>
      <c r="EY120" s="87">
        <f t="shared" ca="1" si="586"/>
        <v>0</v>
      </c>
      <c r="EZ120" s="87">
        <f t="shared" ca="1" si="586"/>
        <v>0</v>
      </c>
      <c r="FA120" s="87">
        <f t="shared" ca="1" si="586"/>
        <v>0</v>
      </c>
      <c r="FB120" s="87">
        <f t="shared" ca="1" si="586"/>
        <v>0</v>
      </c>
      <c r="FC120" s="87">
        <f t="shared" ca="1" si="586"/>
        <v>0</v>
      </c>
      <c r="FD120" s="87">
        <f t="shared" ca="1" si="586"/>
        <v>0</v>
      </c>
      <c r="FE120" s="87">
        <f t="shared" ca="1" si="586"/>
        <v>0</v>
      </c>
      <c r="FF120" s="87">
        <f t="shared" ca="1" si="586"/>
        <v>0</v>
      </c>
      <c r="FG120" s="87">
        <f t="shared" ca="1" si="567"/>
        <v>0</v>
      </c>
      <c r="FH120" s="87">
        <f t="shared" ca="1" si="567"/>
        <v>0</v>
      </c>
      <c r="FI120" s="87">
        <f t="shared" ca="1" si="567"/>
        <v>0</v>
      </c>
      <c r="FJ120" s="87">
        <f t="shared" ca="1" si="567"/>
        <v>0</v>
      </c>
      <c r="FK120" s="87">
        <f t="shared" ca="1" si="567"/>
        <v>0</v>
      </c>
      <c r="FL120" s="87">
        <f t="shared" ca="1" si="567"/>
        <v>0</v>
      </c>
      <c r="FM120" s="87">
        <f t="shared" ca="1" si="567"/>
        <v>0</v>
      </c>
      <c r="FN120" s="87">
        <f t="shared" ca="1" si="567"/>
        <v>0</v>
      </c>
      <c r="FO120" s="87">
        <f t="shared" ca="1" si="567"/>
        <v>0</v>
      </c>
      <c r="FP120" s="87">
        <f t="shared" ca="1" si="567"/>
        <v>0</v>
      </c>
    </row>
    <row r="121" spans="2:172" ht="12.75" hidden="1" customHeight="1" x14ac:dyDescent="0.25">
      <c r="B121" s="87">
        <v>63</v>
      </c>
      <c r="C121" s="181">
        <f t="shared" ca="1" si="450"/>
        <v>48070</v>
      </c>
      <c r="D121" s="380">
        <f t="shared" ca="1" si="580"/>
        <v>0.31165800033859042</v>
      </c>
      <c r="E121" s="380">
        <f t="shared" si="580"/>
        <v>0</v>
      </c>
      <c r="F121" s="380">
        <f t="shared" si="580"/>
        <v>0</v>
      </c>
      <c r="G121" s="380">
        <f t="shared" si="580"/>
        <v>0</v>
      </c>
      <c r="H121" s="380">
        <f t="shared" si="580"/>
        <v>0</v>
      </c>
      <c r="I121" s="380">
        <f t="shared" si="580"/>
        <v>0</v>
      </c>
      <c r="J121" s="380">
        <f t="shared" si="580"/>
        <v>0</v>
      </c>
      <c r="K121" s="380">
        <f t="shared" si="580"/>
        <v>0</v>
      </c>
      <c r="L121" s="380">
        <f t="shared" si="580"/>
        <v>0</v>
      </c>
      <c r="M121" s="380">
        <f t="shared" si="580"/>
        <v>0</v>
      </c>
      <c r="N121" s="380">
        <f t="shared" si="581"/>
        <v>0</v>
      </c>
      <c r="O121" s="380">
        <f t="shared" si="581"/>
        <v>0</v>
      </c>
      <c r="P121" s="380">
        <f t="shared" si="581"/>
        <v>0</v>
      </c>
      <c r="Q121" s="380">
        <f t="shared" si="581"/>
        <v>0</v>
      </c>
      <c r="R121" s="380">
        <f t="shared" si="581"/>
        <v>0</v>
      </c>
      <c r="S121" s="380">
        <f t="shared" si="581"/>
        <v>0</v>
      </c>
      <c r="T121" s="380">
        <f t="shared" si="581"/>
        <v>0</v>
      </c>
      <c r="U121" s="175"/>
      <c r="X121" s="87">
        <v>106</v>
      </c>
      <c r="Y121" s="377">
        <f t="shared" si="361"/>
        <v>0</v>
      </c>
      <c r="Z121" s="377">
        <f t="shared" si="362"/>
        <v>0</v>
      </c>
      <c r="AA121" s="377">
        <f t="shared" si="363"/>
        <v>0</v>
      </c>
      <c r="AB121" s="377">
        <f t="shared" si="364"/>
        <v>0</v>
      </c>
      <c r="AC121" s="377">
        <f t="shared" si="365"/>
        <v>0</v>
      </c>
      <c r="AD121" s="377">
        <f t="shared" si="366"/>
        <v>0</v>
      </c>
      <c r="AE121" s="377">
        <f t="shared" si="367"/>
        <v>0</v>
      </c>
      <c r="AF121" s="377">
        <f t="shared" si="368"/>
        <v>0</v>
      </c>
      <c r="AG121" s="377">
        <f t="shared" si="369"/>
        <v>0</v>
      </c>
      <c r="AH121" s="377">
        <f t="shared" si="370"/>
        <v>0</v>
      </c>
      <c r="AI121" s="377">
        <f t="shared" si="371"/>
        <v>0</v>
      </c>
      <c r="AJ121" s="377">
        <f t="shared" si="372"/>
        <v>0</v>
      </c>
      <c r="AK121" s="377">
        <f t="shared" si="373"/>
        <v>0</v>
      </c>
      <c r="AL121" s="377">
        <f t="shared" si="374"/>
        <v>0</v>
      </c>
      <c r="AM121" s="377">
        <f t="shared" si="375"/>
        <v>0</v>
      </c>
      <c r="AN121" s="377">
        <f t="shared" si="376"/>
        <v>0</v>
      </c>
      <c r="AO121" s="377">
        <f t="shared" si="377"/>
        <v>0</v>
      </c>
      <c r="AQ121" s="138">
        <v>98</v>
      </c>
      <c r="AR121" s="258">
        <f t="shared" ca="1" si="528"/>
        <v>49135</v>
      </c>
      <c r="AS121" s="378">
        <f t="shared" si="421"/>
        <v>0</v>
      </c>
      <c r="AU121" s="138">
        <v>98</v>
      </c>
      <c r="AV121" s="258">
        <f t="shared" ca="1" si="529"/>
        <v>49166</v>
      </c>
      <c r="AW121" s="378">
        <f t="shared" si="423"/>
        <v>0</v>
      </c>
      <c r="AX121" s="202">
        <f t="shared" ca="1" si="424"/>
        <v>0</v>
      </c>
      <c r="AY121" s="138">
        <v>98</v>
      </c>
      <c r="AZ121" s="258">
        <f t="shared" ca="1" si="530"/>
        <v>49166</v>
      </c>
      <c r="BA121" s="378">
        <f t="shared" si="426"/>
        <v>0</v>
      </c>
      <c r="BC121" s="258">
        <f t="shared" ref="BC121:BC170" ca="1" si="591">AR121</f>
        <v>49135</v>
      </c>
      <c r="BD121" s="302">
        <f t="shared" ref="BD121:BD170" ca="1" si="592">IFERROR(VLOOKUP(BC121,$AZ$23:$BA$169,2,FALSE),0)-IFERROR(VLOOKUP(BC121,$AR$23:$AS$167,2,FALSE),0)</f>
        <v>0</v>
      </c>
      <c r="BE121" s="133">
        <f t="shared" si="412"/>
        <v>98</v>
      </c>
      <c r="BF121" s="379">
        <f t="shared" ca="1" si="413"/>
        <v>49135</v>
      </c>
      <c r="BG121" s="133">
        <f t="shared" si="428"/>
        <v>0</v>
      </c>
      <c r="BH121" s="133">
        <f t="shared" si="429"/>
        <v>0</v>
      </c>
      <c r="BI121" s="133">
        <f t="shared" si="430"/>
        <v>0</v>
      </c>
      <c r="BJ121" s="133">
        <f t="shared" si="431"/>
        <v>0</v>
      </c>
      <c r="BK121" s="133">
        <f t="shared" si="432"/>
        <v>0</v>
      </c>
      <c r="BL121" s="133">
        <f t="shared" si="433"/>
        <v>0</v>
      </c>
      <c r="BM121" s="133">
        <f t="shared" si="434"/>
        <v>0</v>
      </c>
      <c r="BN121" s="133">
        <f t="shared" si="435"/>
        <v>0</v>
      </c>
      <c r="BO121" s="133">
        <f t="shared" si="436"/>
        <v>0</v>
      </c>
      <c r="BP121" s="133">
        <f t="shared" si="437"/>
        <v>0</v>
      </c>
      <c r="BQ121" s="133">
        <f t="shared" si="438"/>
        <v>0</v>
      </c>
      <c r="BR121" s="133">
        <f t="shared" si="439"/>
        <v>0</v>
      </c>
      <c r="BS121" s="133">
        <f t="shared" si="440"/>
        <v>0</v>
      </c>
      <c r="BT121" s="133">
        <f t="shared" si="441"/>
        <v>0</v>
      </c>
      <c r="BU121" s="133">
        <f t="shared" si="442"/>
        <v>0</v>
      </c>
      <c r="BV121" s="133">
        <f t="shared" si="443"/>
        <v>0</v>
      </c>
      <c r="BW121" s="133">
        <f t="shared" si="444"/>
        <v>0</v>
      </c>
      <c r="BX121" s="267"/>
      <c r="BY121" s="267"/>
      <c r="BZ121" s="267"/>
      <c r="CA121" s="267"/>
      <c r="CB121" s="267"/>
      <c r="CC121" s="267"/>
      <c r="CD121" s="267"/>
      <c r="CE121" s="267"/>
      <c r="CF121" s="267"/>
      <c r="CG121" s="267"/>
      <c r="CS121" s="87">
        <v>103</v>
      </c>
      <c r="CT121" s="259">
        <f t="shared" ca="1" si="386"/>
        <v>49319</v>
      </c>
      <c r="CU121" s="179">
        <f t="shared" ref="CU121:DC121" ca="1" si="593">(($AW126/(1+CU$18)^(($AZ126-$AZ$23)/30)))+($AS126/(1+CU$18)^(($AZ126-$AZ$23)/30))</f>
        <v>0</v>
      </c>
      <c r="CV121" s="179">
        <f t="shared" ca="1" si="593"/>
        <v>0</v>
      </c>
      <c r="CW121" s="179">
        <f t="shared" ca="1" si="593"/>
        <v>0</v>
      </c>
      <c r="CX121" s="179">
        <f t="shared" ca="1" si="593"/>
        <v>0</v>
      </c>
      <c r="CY121" s="179">
        <f t="shared" ca="1" si="593"/>
        <v>0</v>
      </c>
      <c r="CZ121" s="179">
        <f t="shared" ca="1" si="593"/>
        <v>0</v>
      </c>
      <c r="DA121" s="179">
        <f t="shared" ca="1" si="593"/>
        <v>0</v>
      </c>
      <c r="DB121" s="179">
        <f t="shared" ca="1" si="593"/>
        <v>0</v>
      </c>
      <c r="DC121" s="179">
        <f t="shared" ca="1" si="593"/>
        <v>0</v>
      </c>
      <c r="DD121" s="179">
        <f t="shared" ref="DD121:DI121" ca="1" si="594">(($AW126/(1+DD$18)^(($AZ126-$AZ$23)/30)))+($AS126/(1+DD$18)^(($AZ126-$AZ$23)/30))</f>
        <v>0</v>
      </c>
      <c r="DE121" s="179">
        <f t="shared" ca="1" si="594"/>
        <v>0</v>
      </c>
      <c r="DF121" s="179" t="e">
        <f t="shared" ca="1" si="594"/>
        <v>#VALUE!</v>
      </c>
      <c r="DG121" s="179" t="e">
        <f t="shared" ca="1" si="594"/>
        <v>#VALUE!</v>
      </c>
      <c r="DH121" s="179" t="e">
        <f t="shared" ca="1" si="594"/>
        <v>#VALUE!</v>
      </c>
      <c r="DI121" s="179" t="e">
        <f t="shared" ca="1" si="594"/>
        <v>#VALUE!</v>
      </c>
      <c r="DJ121" s="179" t="e">
        <f t="shared" ref="DJ121:DQ121" ca="1" si="595">(($AW126/(1+DJ$18)^(($AZ126-$AZ$23)/30)))+($AS126/(1+DJ$18)^(($AZ126-$AZ$23)/30))</f>
        <v>#VALUE!</v>
      </c>
      <c r="DK121" s="179" t="e">
        <f t="shared" ca="1" si="595"/>
        <v>#VALUE!</v>
      </c>
      <c r="DL121" s="179" t="e">
        <f t="shared" ca="1" si="595"/>
        <v>#VALUE!</v>
      </c>
      <c r="DM121" s="179" t="e">
        <f t="shared" ca="1" si="595"/>
        <v>#VALUE!</v>
      </c>
      <c r="DN121" s="179" t="e">
        <f t="shared" ca="1" si="595"/>
        <v>#VALUE!</v>
      </c>
      <c r="DO121" s="179" t="e">
        <f t="shared" ca="1" si="595"/>
        <v>#VALUE!</v>
      </c>
      <c r="DP121" s="179" t="e">
        <f t="shared" ca="1" si="595"/>
        <v>#VALUE!</v>
      </c>
      <c r="DQ121" s="179" t="e">
        <f t="shared" ca="1" si="595"/>
        <v>#VALUE!</v>
      </c>
      <c r="DR121" s="180">
        <f t="shared" si="396"/>
        <v>0</v>
      </c>
      <c r="DS121" s="180">
        <f t="shared" si="565"/>
        <v>0</v>
      </c>
      <c r="DT121" s="180">
        <f t="shared" si="565"/>
        <v>0</v>
      </c>
      <c r="DU121" s="180">
        <f t="shared" si="565"/>
        <v>0</v>
      </c>
      <c r="DV121" s="180">
        <f t="shared" si="565"/>
        <v>0</v>
      </c>
      <c r="DW121" s="180">
        <f t="shared" si="565"/>
        <v>0</v>
      </c>
      <c r="DX121" s="180">
        <f t="shared" si="565"/>
        <v>0</v>
      </c>
      <c r="DY121" s="180">
        <f t="shared" si="565"/>
        <v>0</v>
      </c>
      <c r="DZ121" s="180">
        <f t="shared" si="565"/>
        <v>0</v>
      </c>
      <c r="EA121" s="180">
        <f t="shared" si="565"/>
        <v>0</v>
      </c>
      <c r="EB121" s="180">
        <f t="shared" si="565"/>
        <v>0</v>
      </c>
      <c r="EC121" s="180">
        <f t="shared" si="565"/>
        <v>0</v>
      </c>
      <c r="ED121" s="180">
        <f t="shared" si="565"/>
        <v>0</v>
      </c>
      <c r="EE121" s="180">
        <f t="shared" si="565"/>
        <v>0</v>
      </c>
      <c r="EF121" s="180">
        <f t="shared" si="565"/>
        <v>0</v>
      </c>
      <c r="EG121" s="180">
        <f t="shared" ref="EG121:EO121" si="596">IF($AU126&gt;$BA$19,0,$BA126-$AS126)</f>
        <v>0</v>
      </c>
      <c r="EH121" s="180">
        <f t="shared" si="596"/>
        <v>0</v>
      </c>
      <c r="EI121" s="180">
        <f t="shared" si="596"/>
        <v>0</v>
      </c>
      <c r="EJ121" s="180">
        <f t="shared" si="596"/>
        <v>0</v>
      </c>
      <c r="EK121" s="180">
        <f t="shared" si="596"/>
        <v>0</v>
      </c>
      <c r="EL121" s="180">
        <f t="shared" si="596"/>
        <v>0</v>
      </c>
      <c r="EM121" s="180">
        <f t="shared" si="596"/>
        <v>0</v>
      </c>
      <c r="EN121" s="180">
        <f t="shared" si="596"/>
        <v>0</v>
      </c>
      <c r="EO121" s="180">
        <f t="shared" si="596"/>
        <v>0</v>
      </c>
      <c r="EQ121" s="259">
        <f t="shared" ca="1" si="398"/>
        <v>49288</v>
      </c>
      <c r="ER121" s="87">
        <f t="shared" ca="1" si="586"/>
        <v>0</v>
      </c>
      <c r="ES121" s="87">
        <f t="shared" ca="1" si="586"/>
        <v>0</v>
      </c>
      <c r="ET121" s="87">
        <f t="shared" ca="1" si="586"/>
        <v>0</v>
      </c>
      <c r="EU121" s="87">
        <f t="shared" ca="1" si="586"/>
        <v>0</v>
      </c>
      <c r="EV121" s="87">
        <f t="shared" ca="1" si="586"/>
        <v>0</v>
      </c>
      <c r="EW121" s="87">
        <f t="shared" ca="1" si="586"/>
        <v>0</v>
      </c>
      <c r="EX121" s="87">
        <f t="shared" ca="1" si="586"/>
        <v>0</v>
      </c>
      <c r="EY121" s="87">
        <f t="shared" ca="1" si="586"/>
        <v>0</v>
      </c>
      <c r="EZ121" s="87">
        <f t="shared" ca="1" si="586"/>
        <v>0</v>
      </c>
      <c r="FA121" s="87">
        <f t="shared" ca="1" si="586"/>
        <v>0</v>
      </c>
      <c r="FB121" s="87">
        <f t="shared" ca="1" si="586"/>
        <v>0</v>
      </c>
      <c r="FC121" s="87">
        <f t="shared" ca="1" si="586"/>
        <v>0</v>
      </c>
      <c r="FD121" s="87">
        <f t="shared" ca="1" si="586"/>
        <v>0</v>
      </c>
      <c r="FE121" s="87">
        <f t="shared" ca="1" si="586"/>
        <v>0</v>
      </c>
      <c r="FF121" s="87">
        <f t="shared" ca="1" si="586"/>
        <v>0</v>
      </c>
      <c r="FG121" s="87">
        <f t="shared" ca="1" si="567"/>
        <v>0</v>
      </c>
      <c r="FH121" s="87">
        <f t="shared" ca="1" si="567"/>
        <v>0</v>
      </c>
      <c r="FI121" s="87">
        <f t="shared" ca="1" si="567"/>
        <v>0</v>
      </c>
      <c r="FJ121" s="87">
        <f t="shared" ca="1" si="567"/>
        <v>0</v>
      </c>
      <c r="FK121" s="87">
        <f t="shared" ca="1" si="567"/>
        <v>0</v>
      </c>
      <c r="FL121" s="87">
        <f t="shared" ca="1" si="567"/>
        <v>0</v>
      </c>
      <c r="FM121" s="87">
        <f t="shared" ca="1" si="567"/>
        <v>0</v>
      </c>
      <c r="FN121" s="87">
        <f t="shared" ca="1" si="567"/>
        <v>0</v>
      </c>
      <c r="FO121" s="87">
        <f t="shared" ca="1" si="567"/>
        <v>0</v>
      </c>
      <c r="FP121" s="87">
        <f t="shared" ca="1" si="567"/>
        <v>0</v>
      </c>
    </row>
    <row r="122" spans="2:172" ht="12.75" hidden="1" customHeight="1" x14ac:dyDescent="0.25">
      <c r="B122" s="87">
        <v>64</v>
      </c>
      <c r="C122" s="181">
        <f t="shared" ref="C122:C153" ca="1" si="597">AR87</f>
        <v>48101</v>
      </c>
      <c r="D122" s="380">
        <f t="shared" ca="1" si="580"/>
        <v>0.30581013797764478</v>
      </c>
      <c r="E122" s="380">
        <f t="shared" si="580"/>
        <v>0</v>
      </c>
      <c r="F122" s="380">
        <f t="shared" si="580"/>
        <v>0</v>
      </c>
      <c r="G122" s="380">
        <f t="shared" si="580"/>
        <v>0</v>
      </c>
      <c r="H122" s="380">
        <f t="shared" si="580"/>
        <v>0</v>
      </c>
      <c r="I122" s="380">
        <f t="shared" si="580"/>
        <v>0</v>
      </c>
      <c r="J122" s="380">
        <f t="shared" si="580"/>
        <v>0</v>
      </c>
      <c r="K122" s="380">
        <f t="shared" si="580"/>
        <v>0</v>
      </c>
      <c r="L122" s="380">
        <f t="shared" si="580"/>
        <v>0</v>
      </c>
      <c r="M122" s="380">
        <f t="shared" si="580"/>
        <v>0</v>
      </c>
      <c r="N122" s="380">
        <f t="shared" si="581"/>
        <v>0</v>
      </c>
      <c r="O122" s="380">
        <f t="shared" si="581"/>
        <v>0</v>
      </c>
      <c r="P122" s="380">
        <f t="shared" si="581"/>
        <v>0</v>
      </c>
      <c r="Q122" s="380">
        <f t="shared" si="581"/>
        <v>0</v>
      </c>
      <c r="R122" s="380">
        <f t="shared" si="581"/>
        <v>0</v>
      </c>
      <c r="S122" s="380">
        <f t="shared" si="581"/>
        <v>0</v>
      </c>
      <c r="T122" s="380">
        <f t="shared" si="581"/>
        <v>0</v>
      </c>
      <c r="U122" s="175"/>
      <c r="X122" s="87">
        <v>107</v>
      </c>
      <c r="Y122" s="377">
        <f t="shared" si="361"/>
        <v>0</v>
      </c>
      <c r="Z122" s="377">
        <f t="shared" si="362"/>
        <v>0</v>
      </c>
      <c r="AA122" s="377">
        <f t="shared" si="363"/>
        <v>0</v>
      </c>
      <c r="AB122" s="377">
        <f t="shared" si="364"/>
        <v>0</v>
      </c>
      <c r="AC122" s="377">
        <f t="shared" si="365"/>
        <v>0</v>
      </c>
      <c r="AD122" s="377">
        <f t="shared" si="366"/>
        <v>0</v>
      </c>
      <c r="AE122" s="377">
        <f t="shared" si="367"/>
        <v>0</v>
      </c>
      <c r="AF122" s="377">
        <f t="shared" si="368"/>
        <v>0</v>
      </c>
      <c r="AG122" s="377">
        <f t="shared" si="369"/>
        <v>0</v>
      </c>
      <c r="AH122" s="377">
        <f t="shared" si="370"/>
        <v>0</v>
      </c>
      <c r="AI122" s="377">
        <f t="shared" si="371"/>
        <v>0</v>
      </c>
      <c r="AJ122" s="377">
        <f t="shared" si="372"/>
        <v>0</v>
      </c>
      <c r="AK122" s="377">
        <f t="shared" si="373"/>
        <v>0</v>
      </c>
      <c r="AL122" s="377">
        <f t="shared" si="374"/>
        <v>0</v>
      </c>
      <c r="AM122" s="377">
        <f t="shared" si="375"/>
        <v>0</v>
      </c>
      <c r="AN122" s="377">
        <f t="shared" si="376"/>
        <v>0</v>
      </c>
      <c r="AO122" s="377">
        <f t="shared" si="377"/>
        <v>0</v>
      </c>
      <c r="AQ122" s="138">
        <v>99</v>
      </c>
      <c r="AR122" s="258">
        <f t="shared" ca="1" si="528"/>
        <v>49166</v>
      </c>
      <c r="AS122" s="378">
        <f t="shared" si="421"/>
        <v>0</v>
      </c>
      <c r="AU122" s="138">
        <v>99</v>
      </c>
      <c r="AV122" s="258">
        <f t="shared" ca="1" si="529"/>
        <v>49197</v>
      </c>
      <c r="AW122" s="378">
        <f t="shared" si="423"/>
        <v>0</v>
      </c>
      <c r="AX122" s="202">
        <f t="shared" ca="1" si="424"/>
        <v>0</v>
      </c>
      <c r="AY122" s="138">
        <v>99</v>
      </c>
      <c r="AZ122" s="258">
        <f t="shared" ca="1" si="530"/>
        <v>49197</v>
      </c>
      <c r="BA122" s="378">
        <f t="shared" si="426"/>
        <v>0</v>
      </c>
      <c r="BC122" s="258">
        <f t="shared" ca="1" si="591"/>
        <v>49166</v>
      </c>
      <c r="BD122" s="302">
        <f t="shared" ca="1" si="592"/>
        <v>0</v>
      </c>
      <c r="BE122" s="133">
        <f t="shared" si="412"/>
        <v>99</v>
      </c>
      <c r="BF122" s="379">
        <f t="shared" ca="1" si="413"/>
        <v>49166</v>
      </c>
      <c r="BG122" s="133">
        <f t="shared" si="428"/>
        <v>0</v>
      </c>
      <c r="BH122" s="133">
        <f t="shared" si="429"/>
        <v>0</v>
      </c>
      <c r="BI122" s="133">
        <f t="shared" si="430"/>
        <v>0</v>
      </c>
      <c r="BJ122" s="133">
        <f t="shared" si="431"/>
        <v>0</v>
      </c>
      <c r="BK122" s="133">
        <f t="shared" si="432"/>
        <v>0</v>
      </c>
      <c r="BL122" s="133">
        <f t="shared" si="433"/>
        <v>0</v>
      </c>
      <c r="BM122" s="133">
        <f t="shared" si="434"/>
        <v>0</v>
      </c>
      <c r="BN122" s="133">
        <f t="shared" si="435"/>
        <v>0</v>
      </c>
      <c r="BO122" s="133">
        <f t="shared" si="436"/>
        <v>0</v>
      </c>
      <c r="BP122" s="133">
        <f t="shared" si="437"/>
        <v>0</v>
      </c>
      <c r="BQ122" s="133">
        <f t="shared" si="438"/>
        <v>0</v>
      </c>
      <c r="BR122" s="133">
        <f t="shared" si="439"/>
        <v>0</v>
      </c>
      <c r="BS122" s="133">
        <f t="shared" si="440"/>
        <v>0</v>
      </c>
      <c r="BT122" s="133">
        <f t="shared" si="441"/>
        <v>0</v>
      </c>
      <c r="BU122" s="133">
        <f t="shared" si="442"/>
        <v>0</v>
      </c>
      <c r="BV122" s="133">
        <f t="shared" si="443"/>
        <v>0</v>
      </c>
      <c r="BW122" s="133">
        <f t="shared" si="444"/>
        <v>0</v>
      </c>
      <c r="BX122" s="267"/>
      <c r="BY122" s="267"/>
      <c r="BZ122" s="267"/>
      <c r="CA122" s="267"/>
      <c r="CB122" s="267"/>
      <c r="CC122" s="267"/>
      <c r="CD122" s="267"/>
      <c r="CE122" s="267"/>
      <c r="CF122" s="267"/>
      <c r="CG122" s="267"/>
      <c r="CS122" s="178">
        <v>104</v>
      </c>
      <c r="CT122" s="259">
        <f t="shared" ca="1" si="386"/>
        <v>49350</v>
      </c>
      <c r="CU122" s="179">
        <f t="shared" ref="CU122:DC122" ca="1" si="598">(($AW127/(1+CU$18)^(($AZ127-$AZ$23)/30)))+($AS127/(1+CU$18)^(($AZ127-$AZ$23)/30))</f>
        <v>0</v>
      </c>
      <c r="CV122" s="179">
        <f t="shared" ca="1" si="598"/>
        <v>0</v>
      </c>
      <c r="CW122" s="179">
        <f t="shared" ca="1" si="598"/>
        <v>0</v>
      </c>
      <c r="CX122" s="179">
        <f t="shared" ca="1" si="598"/>
        <v>0</v>
      </c>
      <c r="CY122" s="179">
        <f t="shared" ca="1" si="598"/>
        <v>0</v>
      </c>
      <c r="CZ122" s="179">
        <f t="shared" ca="1" si="598"/>
        <v>0</v>
      </c>
      <c r="DA122" s="179">
        <f t="shared" ca="1" si="598"/>
        <v>0</v>
      </c>
      <c r="DB122" s="179">
        <f t="shared" ca="1" si="598"/>
        <v>0</v>
      </c>
      <c r="DC122" s="179">
        <f t="shared" ca="1" si="598"/>
        <v>0</v>
      </c>
      <c r="DD122" s="179">
        <f t="shared" ref="DD122:DI122" ca="1" si="599">(($AW127/(1+DD$18)^(($AZ127-$AZ$23)/30)))+($AS127/(1+DD$18)^(($AZ127-$AZ$23)/30))</f>
        <v>0</v>
      </c>
      <c r="DE122" s="179">
        <f t="shared" ca="1" si="599"/>
        <v>0</v>
      </c>
      <c r="DF122" s="179" t="e">
        <f t="shared" ca="1" si="599"/>
        <v>#VALUE!</v>
      </c>
      <c r="DG122" s="179" t="e">
        <f t="shared" ca="1" si="599"/>
        <v>#VALUE!</v>
      </c>
      <c r="DH122" s="179" t="e">
        <f t="shared" ca="1" si="599"/>
        <v>#VALUE!</v>
      </c>
      <c r="DI122" s="179" t="e">
        <f t="shared" ca="1" si="599"/>
        <v>#VALUE!</v>
      </c>
      <c r="DJ122" s="179" t="e">
        <f t="shared" ref="DJ122:DQ122" ca="1" si="600">(($AW127/(1+DJ$18)^(($AZ127-$AZ$23)/30)))+($AS127/(1+DJ$18)^(($AZ127-$AZ$23)/30))</f>
        <v>#VALUE!</v>
      </c>
      <c r="DK122" s="179" t="e">
        <f t="shared" ca="1" si="600"/>
        <v>#VALUE!</v>
      </c>
      <c r="DL122" s="179" t="e">
        <f t="shared" ca="1" si="600"/>
        <v>#VALUE!</v>
      </c>
      <c r="DM122" s="179" t="e">
        <f t="shared" ca="1" si="600"/>
        <v>#VALUE!</v>
      </c>
      <c r="DN122" s="179" t="e">
        <f t="shared" ca="1" si="600"/>
        <v>#VALUE!</v>
      </c>
      <c r="DO122" s="179" t="e">
        <f t="shared" ca="1" si="600"/>
        <v>#VALUE!</v>
      </c>
      <c r="DP122" s="179" t="e">
        <f t="shared" ca="1" si="600"/>
        <v>#VALUE!</v>
      </c>
      <c r="DQ122" s="179" t="e">
        <f t="shared" ca="1" si="600"/>
        <v>#VALUE!</v>
      </c>
      <c r="DR122" s="180">
        <f t="shared" si="396"/>
        <v>0</v>
      </c>
      <c r="DS122" s="180">
        <f t="shared" si="565"/>
        <v>0</v>
      </c>
      <c r="DT122" s="180">
        <f t="shared" si="565"/>
        <v>0</v>
      </c>
      <c r="DU122" s="180">
        <f t="shared" si="565"/>
        <v>0</v>
      </c>
      <c r="DV122" s="180">
        <f t="shared" si="565"/>
        <v>0</v>
      </c>
      <c r="DW122" s="180">
        <f t="shared" si="565"/>
        <v>0</v>
      </c>
      <c r="DX122" s="180">
        <f t="shared" si="565"/>
        <v>0</v>
      </c>
      <c r="DY122" s="180">
        <f t="shared" si="565"/>
        <v>0</v>
      </c>
      <c r="DZ122" s="180">
        <f t="shared" si="565"/>
        <v>0</v>
      </c>
      <c r="EA122" s="180">
        <f t="shared" si="565"/>
        <v>0</v>
      </c>
      <c r="EB122" s="180">
        <f t="shared" si="565"/>
        <v>0</v>
      </c>
      <c r="EC122" s="180">
        <f t="shared" si="565"/>
        <v>0</v>
      </c>
      <c r="ED122" s="180">
        <f t="shared" si="565"/>
        <v>0</v>
      </c>
      <c r="EE122" s="180">
        <f t="shared" si="565"/>
        <v>0</v>
      </c>
      <c r="EF122" s="180">
        <f t="shared" si="565"/>
        <v>0</v>
      </c>
      <c r="EG122" s="180">
        <f t="shared" ref="EG122:EO122" si="601">IF($AU127&gt;$BA$19,0,$BA127-$AS127)</f>
        <v>0</v>
      </c>
      <c r="EH122" s="180">
        <f t="shared" si="601"/>
        <v>0</v>
      </c>
      <c r="EI122" s="180">
        <f t="shared" si="601"/>
        <v>0</v>
      </c>
      <c r="EJ122" s="180">
        <f t="shared" si="601"/>
        <v>0</v>
      </c>
      <c r="EK122" s="180">
        <f t="shared" si="601"/>
        <v>0</v>
      </c>
      <c r="EL122" s="180">
        <f t="shared" si="601"/>
        <v>0</v>
      </c>
      <c r="EM122" s="180">
        <f t="shared" si="601"/>
        <v>0</v>
      </c>
      <c r="EN122" s="180">
        <f t="shared" si="601"/>
        <v>0</v>
      </c>
      <c r="EO122" s="180">
        <f t="shared" si="601"/>
        <v>0</v>
      </c>
      <c r="EQ122" s="259">
        <f t="shared" ca="1" si="398"/>
        <v>49319</v>
      </c>
      <c r="ER122" s="87">
        <f t="shared" ca="1" si="586"/>
        <v>0</v>
      </c>
      <c r="ES122" s="87">
        <f t="shared" ca="1" si="586"/>
        <v>0</v>
      </c>
      <c r="ET122" s="87">
        <f t="shared" ca="1" si="586"/>
        <v>0</v>
      </c>
      <c r="EU122" s="87">
        <f t="shared" ca="1" si="586"/>
        <v>0</v>
      </c>
      <c r="EV122" s="87">
        <f t="shared" ca="1" si="586"/>
        <v>0</v>
      </c>
      <c r="EW122" s="87">
        <f t="shared" ca="1" si="586"/>
        <v>0</v>
      </c>
      <c r="EX122" s="87">
        <f t="shared" ca="1" si="586"/>
        <v>0</v>
      </c>
      <c r="EY122" s="87">
        <f t="shared" ca="1" si="586"/>
        <v>0</v>
      </c>
      <c r="EZ122" s="87">
        <f t="shared" ca="1" si="586"/>
        <v>0</v>
      </c>
      <c r="FA122" s="87">
        <f t="shared" ca="1" si="586"/>
        <v>0</v>
      </c>
      <c r="FB122" s="87">
        <f t="shared" ca="1" si="586"/>
        <v>0</v>
      </c>
      <c r="FC122" s="87">
        <f t="shared" ca="1" si="586"/>
        <v>0</v>
      </c>
      <c r="FD122" s="87">
        <f t="shared" ca="1" si="586"/>
        <v>0</v>
      </c>
      <c r="FE122" s="87">
        <f t="shared" ca="1" si="586"/>
        <v>0</v>
      </c>
      <c r="FF122" s="87">
        <f t="shared" ca="1" si="586"/>
        <v>0</v>
      </c>
      <c r="FG122" s="87">
        <f t="shared" ca="1" si="567"/>
        <v>0</v>
      </c>
      <c r="FH122" s="87">
        <f t="shared" ca="1" si="567"/>
        <v>0</v>
      </c>
      <c r="FI122" s="87">
        <f t="shared" ca="1" si="567"/>
        <v>0</v>
      </c>
      <c r="FJ122" s="87">
        <f t="shared" ca="1" si="567"/>
        <v>0</v>
      </c>
      <c r="FK122" s="87">
        <f t="shared" ca="1" si="567"/>
        <v>0</v>
      </c>
      <c r="FL122" s="87">
        <f t="shared" ca="1" si="567"/>
        <v>0</v>
      </c>
      <c r="FM122" s="87">
        <f t="shared" ca="1" si="567"/>
        <v>0</v>
      </c>
      <c r="FN122" s="87">
        <f t="shared" ca="1" si="567"/>
        <v>0</v>
      </c>
      <c r="FO122" s="87">
        <f t="shared" ca="1" si="567"/>
        <v>0</v>
      </c>
      <c r="FP122" s="87">
        <f t="shared" ca="1" si="567"/>
        <v>0</v>
      </c>
    </row>
    <row r="123" spans="2:172" ht="12.75" hidden="1" customHeight="1" x14ac:dyDescent="0.25">
      <c r="B123" s="87">
        <v>65</v>
      </c>
      <c r="C123" s="181">
        <f t="shared" ca="1" si="597"/>
        <v>48131</v>
      </c>
      <c r="D123" s="380">
        <f t="shared" ca="1" si="580"/>
        <v>0.30025541284010293</v>
      </c>
      <c r="E123" s="380">
        <f t="shared" si="580"/>
        <v>0</v>
      </c>
      <c r="F123" s="380">
        <f t="shared" si="580"/>
        <v>0</v>
      </c>
      <c r="G123" s="380">
        <f t="shared" si="580"/>
        <v>0</v>
      </c>
      <c r="H123" s="380">
        <f t="shared" si="580"/>
        <v>0</v>
      </c>
      <c r="I123" s="380">
        <f t="shared" si="580"/>
        <v>0</v>
      </c>
      <c r="J123" s="380">
        <f t="shared" si="580"/>
        <v>0</v>
      </c>
      <c r="K123" s="380">
        <f t="shared" si="580"/>
        <v>0</v>
      </c>
      <c r="L123" s="380">
        <f t="shared" si="580"/>
        <v>0</v>
      </c>
      <c r="M123" s="380">
        <f t="shared" si="580"/>
        <v>0</v>
      </c>
      <c r="N123" s="380">
        <f t="shared" si="581"/>
        <v>0</v>
      </c>
      <c r="O123" s="380">
        <f t="shared" si="581"/>
        <v>0</v>
      </c>
      <c r="P123" s="380">
        <f t="shared" si="581"/>
        <v>0</v>
      </c>
      <c r="Q123" s="380">
        <f t="shared" si="581"/>
        <v>0</v>
      </c>
      <c r="R123" s="380">
        <f t="shared" si="581"/>
        <v>0</v>
      </c>
      <c r="S123" s="380">
        <f t="shared" si="581"/>
        <v>0</v>
      </c>
      <c r="T123" s="380">
        <f t="shared" si="581"/>
        <v>0</v>
      </c>
      <c r="U123" s="175"/>
      <c r="X123" s="87">
        <v>108</v>
      </c>
      <c r="Y123" s="377">
        <f t="shared" si="361"/>
        <v>0</v>
      </c>
      <c r="Z123" s="377">
        <f t="shared" si="362"/>
        <v>0</v>
      </c>
      <c r="AA123" s="377">
        <f t="shared" si="363"/>
        <v>0</v>
      </c>
      <c r="AB123" s="377">
        <f t="shared" si="364"/>
        <v>0</v>
      </c>
      <c r="AC123" s="377">
        <f t="shared" si="365"/>
        <v>0</v>
      </c>
      <c r="AD123" s="377">
        <f t="shared" si="366"/>
        <v>0</v>
      </c>
      <c r="AE123" s="377">
        <f t="shared" si="367"/>
        <v>0</v>
      </c>
      <c r="AF123" s="377">
        <f t="shared" si="368"/>
        <v>0</v>
      </c>
      <c r="AG123" s="377">
        <f t="shared" si="369"/>
        <v>0</v>
      </c>
      <c r="AH123" s="377">
        <f t="shared" si="370"/>
        <v>0</v>
      </c>
      <c r="AI123" s="377">
        <f t="shared" si="371"/>
        <v>0</v>
      </c>
      <c r="AJ123" s="377">
        <f t="shared" si="372"/>
        <v>0</v>
      </c>
      <c r="AK123" s="377">
        <f t="shared" si="373"/>
        <v>0</v>
      </c>
      <c r="AL123" s="377">
        <f t="shared" si="374"/>
        <v>0</v>
      </c>
      <c r="AM123" s="377">
        <f t="shared" si="375"/>
        <v>0</v>
      </c>
      <c r="AN123" s="377">
        <f t="shared" si="376"/>
        <v>0</v>
      </c>
      <c r="AO123" s="377">
        <f t="shared" si="377"/>
        <v>0</v>
      </c>
      <c r="AQ123" s="138">
        <v>100</v>
      </c>
      <c r="AR123" s="258">
        <f t="shared" ca="1" si="528"/>
        <v>49197</v>
      </c>
      <c r="AS123" s="378">
        <f t="shared" si="421"/>
        <v>0</v>
      </c>
      <c r="AU123" s="138">
        <v>100</v>
      </c>
      <c r="AV123" s="258">
        <f t="shared" ca="1" si="529"/>
        <v>49227</v>
      </c>
      <c r="AW123" s="378">
        <f t="shared" si="423"/>
        <v>0</v>
      </c>
      <c r="AX123" s="202">
        <f t="shared" ca="1" si="424"/>
        <v>0</v>
      </c>
      <c r="AY123" s="138">
        <v>100</v>
      </c>
      <c r="AZ123" s="258">
        <f t="shared" ca="1" si="530"/>
        <v>49227</v>
      </c>
      <c r="BA123" s="378">
        <f t="shared" si="426"/>
        <v>0</v>
      </c>
      <c r="BC123" s="258">
        <f t="shared" ca="1" si="591"/>
        <v>49197</v>
      </c>
      <c r="BD123" s="302">
        <f t="shared" ca="1" si="592"/>
        <v>0</v>
      </c>
      <c r="BE123" s="133">
        <f t="shared" si="412"/>
        <v>100</v>
      </c>
      <c r="BF123" s="379">
        <f t="shared" ca="1" si="413"/>
        <v>49197</v>
      </c>
      <c r="BG123" s="133">
        <f t="shared" si="428"/>
        <v>0</v>
      </c>
      <c r="BH123" s="133">
        <f t="shared" si="429"/>
        <v>0</v>
      </c>
      <c r="BI123" s="133">
        <f t="shared" si="430"/>
        <v>0</v>
      </c>
      <c r="BJ123" s="133">
        <f t="shared" si="431"/>
        <v>0</v>
      </c>
      <c r="BK123" s="133">
        <f t="shared" si="432"/>
        <v>0</v>
      </c>
      <c r="BL123" s="133">
        <f t="shared" si="433"/>
        <v>0</v>
      </c>
      <c r="BM123" s="133">
        <f t="shared" si="434"/>
        <v>0</v>
      </c>
      <c r="BN123" s="133">
        <f t="shared" si="435"/>
        <v>0</v>
      </c>
      <c r="BO123" s="133">
        <f t="shared" si="436"/>
        <v>0</v>
      </c>
      <c r="BP123" s="133">
        <f t="shared" si="437"/>
        <v>0</v>
      </c>
      <c r="BQ123" s="133">
        <f t="shared" si="438"/>
        <v>0</v>
      </c>
      <c r="BR123" s="133">
        <f t="shared" si="439"/>
        <v>0</v>
      </c>
      <c r="BS123" s="133">
        <f t="shared" si="440"/>
        <v>0</v>
      </c>
      <c r="BT123" s="133">
        <f t="shared" si="441"/>
        <v>0</v>
      </c>
      <c r="BU123" s="133">
        <f t="shared" si="442"/>
        <v>0</v>
      </c>
      <c r="BV123" s="133">
        <f t="shared" si="443"/>
        <v>0</v>
      </c>
      <c r="BW123" s="133">
        <f t="shared" si="444"/>
        <v>0</v>
      </c>
      <c r="BX123" s="267"/>
      <c r="BY123" s="267"/>
      <c r="BZ123" s="267"/>
      <c r="CA123" s="267"/>
      <c r="CB123" s="267"/>
      <c r="CC123" s="267"/>
      <c r="CD123" s="267"/>
      <c r="CE123" s="267"/>
      <c r="CF123" s="267"/>
      <c r="CG123" s="267"/>
      <c r="CS123" s="138">
        <v>105</v>
      </c>
      <c r="CT123" s="259">
        <f t="shared" ca="1" si="386"/>
        <v>49378</v>
      </c>
      <c r="CU123" s="179">
        <f t="shared" ref="CU123:DC123" ca="1" si="602">(($AW128/(1+CU$18)^(($AZ128-$AZ$23)/30)))+($AS128/(1+CU$18)^(($AZ128-$AZ$23)/30))</f>
        <v>0</v>
      </c>
      <c r="CV123" s="179">
        <f t="shared" ca="1" si="602"/>
        <v>0</v>
      </c>
      <c r="CW123" s="179">
        <f t="shared" ca="1" si="602"/>
        <v>0</v>
      </c>
      <c r="CX123" s="179">
        <f t="shared" ca="1" si="602"/>
        <v>0</v>
      </c>
      <c r="CY123" s="179">
        <f t="shared" ca="1" si="602"/>
        <v>0</v>
      </c>
      <c r="CZ123" s="179">
        <f t="shared" ca="1" si="602"/>
        <v>0</v>
      </c>
      <c r="DA123" s="179">
        <f t="shared" ca="1" si="602"/>
        <v>0</v>
      </c>
      <c r="DB123" s="179">
        <f t="shared" ca="1" si="602"/>
        <v>0</v>
      </c>
      <c r="DC123" s="179">
        <f t="shared" ca="1" si="602"/>
        <v>0</v>
      </c>
      <c r="DD123" s="179">
        <f t="shared" ref="DD123:DI123" ca="1" si="603">(($AW128/(1+DD$18)^(($AZ128-$AZ$23)/30)))+($AS128/(1+DD$18)^(($AZ128-$AZ$23)/30))</f>
        <v>0</v>
      </c>
      <c r="DE123" s="179">
        <f t="shared" ca="1" si="603"/>
        <v>0</v>
      </c>
      <c r="DF123" s="179" t="e">
        <f t="shared" ca="1" si="603"/>
        <v>#VALUE!</v>
      </c>
      <c r="DG123" s="179" t="e">
        <f t="shared" ca="1" si="603"/>
        <v>#VALUE!</v>
      </c>
      <c r="DH123" s="179" t="e">
        <f t="shared" ca="1" si="603"/>
        <v>#VALUE!</v>
      </c>
      <c r="DI123" s="179" t="e">
        <f t="shared" ca="1" si="603"/>
        <v>#VALUE!</v>
      </c>
      <c r="DJ123" s="179" t="e">
        <f t="shared" ref="DJ123:DQ123" ca="1" si="604">(($AW128/(1+DJ$18)^(($AZ128-$AZ$23)/30)))+($AS128/(1+DJ$18)^(($AZ128-$AZ$23)/30))</f>
        <v>#VALUE!</v>
      </c>
      <c r="DK123" s="179" t="e">
        <f t="shared" ca="1" si="604"/>
        <v>#VALUE!</v>
      </c>
      <c r="DL123" s="179" t="e">
        <f t="shared" ca="1" si="604"/>
        <v>#VALUE!</v>
      </c>
      <c r="DM123" s="179" t="e">
        <f t="shared" ca="1" si="604"/>
        <v>#VALUE!</v>
      </c>
      <c r="DN123" s="179" t="e">
        <f t="shared" ca="1" si="604"/>
        <v>#VALUE!</v>
      </c>
      <c r="DO123" s="179" t="e">
        <f t="shared" ca="1" si="604"/>
        <v>#VALUE!</v>
      </c>
      <c r="DP123" s="179" t="e">
        <f t="shared" ca="1" si="604"/>
        <v>#VALUE!</v>
      </c>
      <c r="DQ123" s="179" t="e">
        <f t="shared" ca="1" si="604"/>
        <v>#VALUE!</v>
      </c>
      <c r="DR123" s="180">
        <f t="shared" si="396"/>
        <v>0</v>
      </c>
      <c r="DS123" s="180">
        <f t="shared" si="565"/>
        <v>0</v>
      </c>
      <c r="DT123" s="180">
        <f t="shared" si="565"/>
        <v>0</v>
      </c>
      <c r="DU123" s="180">
        <f t="shared" si="565"/>
        <v>0</v>
      </c>
      <c r="DV123" s="180">
        <f t="shared" si="565"/>
        <v>0</v>
      </c>
      <c r="DW123" s="180">
        <f t="shared" si="565"/>
        <v>0</v>
      </c>
      <c r="DX123" s="180">
        <f t="shared" si="565"/>
        <v>0</v>
      </c>
      <c r="DY123" s="180">
        <f t="shared" si="565"/>
        <v>0</v>
      </c>
      <c r="DZ123" s="180">
        <f t="shared" si="565"/>
        <v>0</v>
      </c>
      <c r="EA123" s="180">
        <f t="shared" si="565"/>
        <v>0</v>
      </c>
      <c r="EB123" s="180">
        <f t="shared" si="565"/>
        <v>0</v>
      </c>
      <c r="EC123" s="180">
        <f t="shared" si="565"/>
        <v>0</v>
      </c>
      <c r="ED123" s="180">
        <f t="shared" si="565"/>
        <v>0</v>
      </c>
      <c r="EE123" s="180">
        <f t="shared" si="565"/>
        <v>0</v>
      </c>
      <c r="EF123" s="180">
        <f t="shared" si="565"/>
        <v>0</v>
      </c>
      <c r="EG123" s="180">
        <f t="shared" ref="EG123:EO123" si="605">IF($AU128&gt;$BA$19,0,$BA128-$AS128)</f>
        <v>0</v>
      </c>
      <c r="EH123" s="180">
        <f t="shared" si="605"/>
        <v>0</v>
      </c>
      <c r="EI123" s="180">
        <f t="shared" si="605"/>
        <v>0</v>
      </c>
      <c r="EJ123" s="180">
        <f t="shared" si="605"/>
        <v>0</v>
      </c>
      <c r="EK123" s="180">
        <f t="shared" si="605"/>
        <v>0</v>
      </c>
      <c r="EL123" s="180">
        <f t="shared" si="605"/>
        <v>0</v>
      </c>
      <c r="EM123" s="180">
        <f t="shared" si="605"/>
        <v>0</v>
      </c>
      <c r="EN123" s="180">
        <f t="shared" si="605"/>
        <v>0</v>
      </c>
      <c r="EO123" s="180">
        <f t="shared" si="605"/>
        <v>0</v>
      </c>
      <c r="EQ123" s="259">
        <f t="shared" ca="1" si="398"/>
        <v>49350</v>
      </c>
      <c r="ER123" s="87">
        <f t="shared" ca="1" si="586"/>
        <v>0</v>
      </c>
      <c r="ES123" s="87">
        <f t="shared" ca="1" si="586"/>
        <v>0</v>
      </c>
      <c r="ET123" s="87">
        <f t="shared" ca="1" si="586"/>
        <v>0</v>
      </c>
      <c r="EU123" s="87">
        <f t="shared" ca="1" si="586"/>
        <v>0</v>
      </c>
      <c r="EV123" s="87">
        <f t="shared" ca="1" si="586"/>
        <v>0</v>
      </c>
      <c r="EW123" s="87">
        <f t="shared" ca="1" si="586"/>
        <v>0</v>
      </c>
      <c r="EX123" s="87">
        <f t="shared" ca="1" si="586"/>
        <v>0</v>
      </c>
      <c r="EY123" s="87">
        <f t="shared" ca="1" si="586"/>
        <v>0</v>
      </c>
      <c r="EZ123" s="87">
        <f t="shared" ca="1" si="586"/>
        <v>0</v>
      </c>
      <c r="FA123" s="87">
        <f t="shared" ca="1" si="586"/>
        <v>0</v>
      </c>
      <c r="FB123" s="87">
        <f t="shared" ca="1" si="586"/>
        <v>0</v>
      </c>
      <c r="FC123" s="87">
        <f t="shared" ca="1" si="586"/>
        <v>0</v>
      </c>
      <c r="FD123" s="87">
        <f t="shared" ca="1" si="586"/>
        <v>0</v>
      </c>
      <c r="FE123" s="87">
        <f t="shared" ca="1" si="586"/>
        <v>0</v>
      </c>
      <c r="FF123" s="87">
        <f t="shared" ca="1" si="586"/>
        <v>0</v>
      </c>
      <c r="FG123" s="87">
        <f t="shared" ca="1" si="567"/>
        <v>0</v>
      </c>
      <c r="FH123" s="87">
        <f t="shared" ca="1" si="567"/>
        <v>0</v>
      </c>
      <c r="FI123" s="87">
        <f t="shared" ca="1" si="567"/>
        <v>0</v>
      </c>
      <c r="FJ123" s="87">
        <f t="shared" ca="1" si="567"/>
        <v>0</v>
      </c>
      <c r="FK123" s="87">
        <f t="shared" ca="1" si="567"/>
        <v>0</v>
      </c>
      <c r="FL123" s="87">
        <f t="shared" ca="1" si="567"/>
        <v>0</v>
      </c>
      <c r="FM123" s="87">
        <f t="shared" ca="1" si="567"/>
        <v>0</v>
      </c>
      <c r="FN123" s="87">
        <f t="shared" ca="1" si="567"/>
        <v>0</v>
      </c>
      <c r="FO123" s="87">
        <f t="shared" ca="1" si="567"/>
        <v>0</v>
      </c>
      <c r="FP123" s="87">
        <f t="shared" ca="1" si="567"/>
        <v>0</v>
      </c>
    </row>
    <row r="124" spans="2:172" ht="12.75" hidden="1" customHeight="1" x14ac:dyDescent="0.25">
      <c r="B124" s="87">
        <v>66</v>
      </c>
      <c r="C124" s="181">
        <f t="shared" ca="1" si="597"/>
        <v>48162</v>
      </c>
      <c r="D124" s="380">
        <f t="shared" ca="1" si="580"/>
        <v>0.29462150539825888</v>
      </c>
      <c r="E124" s="380">
        <f t="shared" si="580"/>
        <v>0</v>
      </c>
      <c r="F124" s="380">
        <f t="shared" si="580"/>
        <v>0</v>
      </c>
      <c r="G124" s="380">
        <f t="shared" si="580"/>
        <v>0</v>
      </c>
      <c r="H124" s="380">
        <f t="shared" si="580"/>
        <v>0</v>
      </c>
      <c r="I124" s="380">
        <f t="shared" si="580"/>
        <v>0</v>
      </c>
      <c r="J124" s="380">
        <f t="shared" si="580"/>
        <v>0</v>
      </c>
      <c r="K124" s="380">
        <f t="shared" si="580"/>
        <v>0</v>
      </c>
      <c r="L124" s="380">
        <f t="shared" si="580"/>
        <v>0</v>
      </c>
      <c r="M124" s="380">
        <f t="shared" si="580"/>
        <v>0</v>
      </c>
      <c r="N124" s="380">
        <f t="shared" si="581"/>
        <v>0</v>
      </c>
      <c r="O124" s="380">
        <f t="shared" si="581"/>
        <v>0</v>
      </c>
      <c r="P124" s="380">
        <f t="shared" si="581"/>
        <v>0</v>
      </c>
      <c r="Q124" s="380">
        <f t="shared" si="581"/>
        <v>0</v>
      </c>
      <c r="R124" s="380">
        <f t="shared" si="581"/>
        <v>0</v>
      </c>
      <c r="S124" s="380">
        <f t="shared" si="581"/>
        <v>0</v>
      </c>
      <c r="T124" s="380">
        <f t="shared" si="581"/>
        <v>0</v>
      </c>
      <c r="U124" s="175"/>
      <c r="X124" s="87">
        <v>109</v>
      </c>
      <c r="Y124" s="377">
        <f t="shared" si="361"/>
        <v>0</v>
      </c>
      <c r="Z124" s="377">
        <f t="shared" si="362"/>
        <v>0</v>
      </c>
      <c r="AA124" s="377">
        <f t="shared" si="363"/>
        <v>0</v>
      </c>
      <c r="AB124" s="377">
        <f t="shared" si="364"/>
        <v>0</v>
      </c>
      <c r="AC124" s="377">
        <f t="shared" si="365"/>
        <v>0</v>
      </c>
      <c r="AD124" s="377">
        <f t="shared" si="366"/>
        <v>0</v>
      </c>
      <c r="AE124" s="377">
        <f t="shared" si="367"/>
        <v>0</v>
      </c>
      <c r="AF124" s="377">
        <f t="shared" si="368"/>
        <v>0</v>
      </c>
      <c r="AG124" s="377">
        <f t="shared" si="369"/>
        <v>0</v>
      </c>
      <c r="AH124" s="377">
        <f t="shared" si="370"/>
        <v>0</v>
      </c>
      <c r="AI124" s="377">
        <f t="shared" si="371"/>
        <v>0</v>
      </c>
      <c r="AJ124" s="377">
        <f t="shared" si="372"/>
        <v>0</v>
      </c>
      <c r="AK124" s="377">
        <f t="shared" si="373"/>
        <v>0</v>
      </c>
      <c r="AL124" s="377">
        <f t="shared" si="374"/>
        <v>0</v>
      </c>
      <c r="AM124" s="377">
        <f t="shared" si="375"/>
        <v>0</v>
      </c>
      <c r="AN124" s="377">
        <f t="shared" si="376"/>
        <v>0</v>
      </c>
      <c r="AO124" s="377">
        <f t="shared" si="377"/>
        <v>0</v>
      </c>
      <c r="AQ124" s="138">
        <v>101</v>
      </c>
      <c r="AR124" s="258">
        <f t="shared" ca="1" si="528"/>
        <v>49227</v>
      </c>
      <c r="AS124" s="378">
        <f t="shared" si="421"/>
        <v>0</v>
      </c>
      <c r="AU124" s="138">
        <v>101</v>
      </c>
      <c r="AV124" s="258">
        <f t="shared" ca="1" si="529"/>
        <v>49258</v>
      </c>
      <c r="AW124" s="378">
        <f t="shared" si="423"/>
        <v>0</v>
      </c>
      <c r="AX124" s="202">
        <f t="shared" ca="1" si="424"/>
        <v>0</v>
      </c>
      <c r="AY124" s="138">
        <v>101</v>
      </c>
      <c r="AZ124" s="258">
        <f t="shared" ca="1" si="530"/>
        <v>49258</v>
      </c>
      <c r="BA124" s="378">
        <f t="shared" si="426"/>
        <v>0</v>
      </c>
      <c r="BC124" s="258">
        <f t="shared" ca="1" si="591"/>
        <v>49227</v>
      </c>
      <c r="BD124" s="302">
        <f t="shared" ca="1" si="592"/>
        <v>0</v>
      </c>
      <c r="BE124" s="133">
        <f t="shared" si="412"/>
        <v>101</v>
      </c>
      <c r="BF124" s="379">
        <f t="shared" ca="1" si="413"/>
        <v>49227</v>
      </c>
      <c r="BG124" s="133">
        <f t="shared" si="428"/>
        <v>0</v>
      </c>
      <c r="BH124" s="133">
        <f t="shared" si="429"/>
        <v>0</v>
      </c>
      <c r="BI124" s="133">
        <f t="shared" si="430"/>
        <v>0</v>
      </c>
      <c r="BJ124" s="133">
        <f t="shared" si="431"/>
        <v>0</v>
      </c>
      <c r="BK124" s="133">
        <f t="shared" si="432"/>
        <v>0</v>
      </c>
      <c r="BL124" s="133">
        <f t="shared" si="433"/>
        <v>0</v>
      </c>
      <c r="BM124" s="133">
        <f t="shared" si="434"/>
        <v>0</v>
      </c>
      <c r="BN124" s="133">
        <f t="shared" si="435"/>
        <v>0</v>
      </c>
      <c r="BO124" s="133">
        <f t="shared" si="436"/>
        <v>0</v>
      </c>
      <c r="BP124" s="133">
        <f t="shared" si="437"/>
        <v>0</v>
      </c>
      <c r="BQ124" s="133">
        <f t="shared" si="438"/>
        <v>0</v>
      </c>
      <c r="BR124" s="133">
        <f t="shared" si="439"/>
        <v>0</v>
      </c>
      <c r="BS124" s="133">
        <f t="shared" si="440"/>
        <v>0</v>
      </c>
      <c r="BT124" s="133">
        <f t="shared" si="441"/>
        <v>0</v>
      </c>
      <c r="BU124" s="133">
        <f t="shared" si="442"/>
        <v>0</v>
      </c>
      <c r="BV124" s="133">
        <f t="shared" si="443"/>
        <v>0</v>
      </c>
      <c r="BW124" s="133">
        <f t="shared" si="444"/>
        <v>0</v>
      </c>
      <c r="BX124" s="267"/>
      <c r="BY124" s="267"/>
      <c r="BZ124" s="267"/>
      <c r="CA124" s="267"/>
      <c r="CB124" s="267"/>
      <c r="CC124" s="267"/>
      <c r="CD124" s="267"/>
      <c r="CE124" s="267"/>
      <c r="CF124" s="267"/>
      <c r="CG124" s="267"/>
      <c r="CS124" s="87">
        <v>106</v>
      </c>
      <c r="CT124" s="259">
        <f t="shared" ca="1" si="386"/>
        <v>49409</v>
      </c>
      <c r="CU124" s="179">
        <f t="shared" ref="CU124:DC124" ca="1" si="606">(($AW129/(1+CU$18)^(($AZ129-$AZ$23)/30)))+($AS129/(1+CU$18)^(($AZ129-$AZ$23)/30))</f>
        <v>0</v>
      </c>
      <c r="CV124" s="179">
        <f t="shared" ca="1" si="606"/>
        <v>0</v>
      </c>
      <c r="CW124" s="179">
        <f t="shared" ca="1" si="606"/>
        <v>0</v>
      </c>
      <c r="CX124" s="179">
        <f t="shared" ca="1" si="606"/>
        <v>0</v>
      </c>
      <c r="CY124" s="179">
        <f t="shared" ca="1" si="606"/>
        <v>0</v>
      </c>
      <c r="CZ124" s="179">
        <f t="shared" ca="1" si="606"/>
        <v>0</v>
      </c>
      <c r="DA124" s="179">
        <f t="shared" ca="1" si="606"/>
        <v>0</v>
      </c>
      <c r="DB124" s="179">
        <f t="shared" ca="1" si="606"/>
        <v>0</v>
      </c>
      <c r="DC124" s="179">
        <f t="shared" ca="1" si="606"/>
        <v>0</v>
      </c>
      <c r="DD124" s="179">
        <f t="shared" ref="DD124:DI124" ca="1" si="607">(($AW129/(1+DD$18)^(($AZ129-$AZ$23)/30)))+($AS129/(1+DD$18)^(($AZ129-$AZ$23)/30))</f>
        <v>0</v>
      </c>
      <c r="DE124" s="179">
        <f t="shared" ca="1" si="607"/>
        <v>0</v>
      </c>
      <c r="DF124" s="179" t="e">
        <f t="shared" ca="1" si="607"/>
        <v>#VALUE!</v>
      </c>
      <c r="DG124" s="179" t="e">
        <f t="shared" ca="1" si="607"/>
        <v>#VALUE!</v>
      </c>
      <c r="DH124" s="179" t="e">
        <f t="shared" ca="1" si="607"/>
        <v>#VALUE!</v>
      </c>
      <c r="DI124" s="179" t="e">
        <f t="shared" ca="1" si="607"/>
        <v>#VALUE!</v>
      </c>
      <c r="DJ124" s="179" t="e">
        <f t="shared" ref="DJ124:DQ124" ca="1" si="608">(($AW129/(1+DJ$18)^(($AZ129-$AZ$23)/30)))+($AS129/(1+DJ$18)^(($AZ129-$AZ$23)/30))</f>
        <v>#VALUE!</v>
      </c>
      <c r="DK124" s="179" t="e">
        <f t="shared" ca="1" si="608"/>
        <v>#VALUE!</v>
      </c>
      <c r="DL124" s="179" t="e">
        <f t="shared" ca="1" si="608"/>
        <v>#VALUE!</v>
      </c>
      <c r="DM124" s="179" t="e">
        <f t="shared" ca="1" si="608"/>
        <v>#VALUE!</v>
      </c>
      <c r="DN124" s="179" t="e">
        <f t="shared" ca="1" si="608"/>
        <v>#VALUE!</v>
      </c>
      <c r="DO124" s="179" t="e">
        <f t="shared" ca="1" si="608"/>
        <v>#VALUE!</v>
      </c>
      <c r="DP124" s="179" t="e">
        <f t="shared" ca="1" si="608"/>
        <v>#VALUE!</v>
      </c>
      <c r="DQ124" s="179" t="e">
        <f t="shared" ca="1" si="608"/>
        <v>#VALUE!</v>
      </c>
      <c r="DR124" s="180">
        <f t="shared" si="396"/>
        <v>0</v>
      </c>
      <c r="DS124" s="180">
        <f t="shared" si="565"/>
        <v>0</v>
      </c>
      <c r="DT124" s="180">
        <f t="shared" si="565"/>
        <v>0</v>
      </c>
      <c r="DU124" s="180">
        <f t="shared" si="565"/>
        <v>0</v>
      </c>
      <c r="DV124" s="180">
        <f t="shared" si="565"/>
        <v>0</v>
      </c>
      <c r="DW124" s="180">
        <f t="shared" si="565"/>
        <v>0</v>
      </c>
      <c r="DX124" s="180">
        <f t="shared" si="565"/>
        <v>0</v>
      </c>
      <c r="DY124" s="180">
        <f t="shared" si="565"/>
        <v>0</v>
      </c>
      <c r="DZ124" s="180">
        <f t="shared" si="565"/>
        <v>0</v>
      </c>
      <c r="EA124" s="180">
        <f t="shared" si="565"/>
        <v>0</v>
      </c>
      <c r="EB124" s="180">
        <f t="shared" si="565"/>
        <v>0</v>
      </c>
      <c r="EC124" s="180">
        <f t="shared" si="565"/>
        <v>0</v>
      </c>
      <c r="ED124" s="180">
        <f t="shared" si="565"/>
        <v>0</v>
      </c>
      <c r="EE124" s="180">
        <f t="shared" si="565"/>
        <v>0</v>
      </c>
      <c r="EF124" s="180">
        <f t="shared" si="565"/>
        <v>0</v>
      </c>
      <c r="EG124" s="180">
        <f t="shared" ref="EG124:EO124" si="609">IF($AU129&gt;$BA$19,0,$BA129-$AS129)</f>
        <v>0</v>
      </c>
      <c r="EH124" s="180">
        <f t="shared" si="609"/>
        <v>0</v>
      </c>
      <c r="EI124" s="180">
        <f t="shared" si="609"/>
        <v>0</v>
      </c>
      <c r="EJ124" s="180">
        <f t="shared" si="609"/>
        <v>0</v>
      </c>
      <c r="EK124" s="180">
        <f t="shared" si="609"/>
        <v>0</v>
      </c>
      <c r="EL124" s="180">
        <f t="shared" si="609"/>
        <v>0</v>
      </c>
      <c r="EM124" s="180">
        <f t="shared" si="609"/>
        <v>0</v>
      </c>
      <c r="EN124" s="180">
        <f t="shared" si="609"/>
        <v>0</v>
      </c>
      <c r="EO124" s="180">
        <f t="shared" si="609"/>
        <v>0</v>
      </c>
      <c r="EQ124" s="259">
        <f t="shared" ca="1" si="398"/>
        <v>49378</v>
      </c>
      <c r="ER124" s="87">
        <f t="shared" ca="1" si="586"/>
        <v>0</v>
      </c>
      <c r="ES124" s="87">
        <f t="shared" ca="1" si="586"/>
        <v>0</v>
      </c>
      <c r="ET124" s="87">
        <f t="shared" ca="1" si="586"/>
        <v>0</v>
      </c>
      <c r="EU124" s="87">
        <f t="shared" ca="1" si="586"/>
        <v>0</v>
      </c>
      <c r="EV124" s="87">
        <f t="shared" ca="1" si="586"/>
        <v>0</v>
      </c>
      <c r="EW124" s="87">
        <f t="shared" ca="1" si="586"/>
        <v>0</v>
      </c>
      <c r="EX124" s="87">
        <f t="shared" ca="1" si="586"/>
        <v>0</v>
      </c>
      <c r="EY124" s="87">
        <f t="shared" ca="1" si="586"/>
        <v>0</v>
      </c>
      <c r="EZ124" s="87">
        <f t="shared" ca="1" si="586"/>
        <v>0</v>
      </c>
      <c r="FA124" s="87">
        <f t="shared" ca="1" si="586"/>
        <v>0</v>
      </c>
      <c r="FB124" s="87">
        <f t="shared" ca="1" si="586"/>
        <v>0</v>
      </c>
      <c r="FC124" s="87">
        <f t="shared" ca="1" si="586"/>
        <v>0</v>
      </c>
      <c r="FD124" s="87">
        <f t="shared" ca="1" si="586"/>
        <v>0</v>
      </c>
      <c r="FE124" s="87">
        <f t="shared" ca="1" si="586"/>
        <v>0</v>
      </c>
      <c r="FF124" s="87">
        <f t="shared" ca="1" si="586"/>
        <v>0</v>
      </c>
      <c r="FG124" s="87">
        <f t="shared" ca="1" si="567"/>
        <v>0</v>
      </c>
      <c r="FH124" s="87">
        <f t="shared" ca="1" si="567"/>
        <v>0</v>
      </c>
      <c r="FI124" s="87">
        <f t="shared" ca="1" si="567"/>
        <v>0</v>
      </c>
      <c r="FJ124" s="87">
        <f t="shared" ca="1" si="567"/>
        <v>0</v>
      </c>
      <c r="FK124" s="87">
        <f t="shared" ca="1" si="567"/>
        <v>0</v>
      </c>
      <c r="FL124" s="87">
        <f t="shared" ca="1" si="567"/>
        <v>0</v>
      </c>
      <c r="FM124" s="87">
        <f t="shared" ca="1" si="567"/>
        <v>0</v>
      </c>
      <c r="FN124" s="87">
        <f t="shared" ca="1" si="567"/>
        <v>0</v>
      </c>
      <c r="FO124" s="87">
        <f t="shared" ca="1" si="567"/>
        <v>0</v>
      </c>
      <c r="FP124" s="87">
        <f t="shared" ca="1" si="567"/>
        <v>0</v>
      </c>
    </row>
    <row r="125" spans="2:172" ht="12.75" hidden="1" customHeight="1" x14ac:dyDescent="0.25">
      <c r="B125" s="87">
        <v>67</v>
      </c>
      <c r="C125" s="181">
        <f t="shared" ca="1" si="597"/>
        <v>48192</v>
      </c>
      <c r="D125" s="380">
        <f t="shared" ca="1" si="580"/>
        <v>0.28927001020938525</v>
      </c>
      <c r="E125" s="380">
        <f t="shared" si="580"/>
        <v>0</v>
      </c>
      <c r="F125" s="380">
        <f t="shared" si="580"/>
        <v>0</v>
      </c>
      <c r="G125" s="380">
        <f t="shared" si="580"/>
        <v>0</v>
      </c>
      <c r="H125" s="380">
        <f t="shared" si="580"/>
        <v>0</v>
      </c>
      <c r="I125" s="380">
        <f t="shared" si="580"/>
        <v>0</v>
      </c>
      <c r="J125" s="380">
        <f t="shared" si="580"/>
        <v>0</v>
      </c>
      <c r="K125" s="380">
        <f t="shared" si="580"/>
        <v>0</v>
      </c>
      <c r="L125" s="380">
        <f t="shared" si="580"/>
        <v>0</v>
      </c>
      <c r="M125" s="380">
        <f t="shared" si="580"/>
        <v>0</v>
      </c>
      <c r="N125" s="380">
        <f t="shared" si="581"/>
        <v>0</v>
      </c>
      <c r="O125" s="380">
        <f t="shared" si="581"/>
        <v>0</v>
      </c>
      <c r="P125" s="380">
        <f t="shared" si="581"/>
        <v>0</v>
      </c>
      <c r="Q125" s="380">
        <f t="shared" si="581"/>
        <v>0</v>
      </c>
      <c r="R125" s="380">
        <f t="shared" si="581"/>
        <v>0</v>
      </c>
      <c r="S125" s="380">
        <f t="shared" si="581"/>
        <v>0</v>
      </c>
      <c r="T125" s="380">
        <f t="shared" si="581"/>
        <v>0</v>
      </c>
      <c r="U125" s="175"/>
      <c r="X125" s="87">
        <v>110</v>
      </c>
      <c r="Y125" s="377">
        <f t="shared" si="361"/>
        <v>0</v>
      </c>
      <c r="Z125" s="377">
        <f t="shared" si="362"/>
        <v>0</v>
      </c>
      <c r="AA125" s="377">
        <f t="shared" si="363"/>
        <v>0</v>
      </c>
      <c r="AB125" s="377">
        <f t="shared" si="364"/>
        <v>0</v>
      </c>
      <c r="AC125" s="377">
        <f t="shared" si="365"/>
        <v>0</v>
      </c>
      <c r="AD125" s="377">
        <f t="shared" si="366"/>
        <v>0</v>
      </c>
      <c r="AE125" s="377">
        <f t="shared" si="367"/>
        <v>0</v>
      </c>
      <c r="AF125" s="377">
        <f t="shared" si="368"/>
        <v>0</v>
      </c>
      <c r="AG125" s="377">
        <f t="shared" si="369"/>
        <v>0</v>
      </c>
      <c r="AH125" s="377">
        <f t="shared" si="370"/>
        <v>0</v>
      </c>
      <c r="AI125" s="377">
        <f t="shared" si="371"/>
        <v>0</v>
      </c>
      <c r="AJ125" s="377">
        <f t="shared" si="372"/>
        <v>0</v>
      </c>
      <c r="AK125" s="377">
        <f t="shared" si="373"/>
        <v>0</v>
      </c>
      <c r="AL125" s="377">
        <f t="shared" si="374"/>
        <v>0</v>
      </c>
      <c r="AM125" s="377">
        <f t="shared" si="375"/>
        <v>0</v>
      </c>
      <c r="AN125" s="377">
        <f t="shared" si="376"/>
        <v>0</v>
      </c>
      <c r="AO125" s="377">
        <f t="shared" si="377"/>
        <v>0</v>
      </c>
      <c r="AQ125" s="138">
        <v>102</v>
      </c>
      <c r="AR125" s="258">
        <f t="shared" ca="1" si="528"/>
        <v>49258</v>
      </c>
      <c r="AS125" s="378">
        <f t="shared" si="421"/>
        <v>0</v>
      </c>
      <c r="AU125" s="138">
        <v>102</v>
      </c>
      <c r="AV125" s="258">
        <f t="shared" ca="1" si="529"/>
        <v>49288</v>
      </c>
      <c r="AW125" s="378">
        <f t="shared" si="423"/>
        <v>0</v>
      </c>
      <c r="AX125" s="202">
        <f t="shared" ca="1" si="424"/>
        <v>0</v>
      </c>
      <c r="AY125" s="138">
        <v>102</v>
      </c>
      <c r="AZ125" s="258">
        <f t="shared" ca="1" si="530"/>
        <v>49288</v>
      </c>
      <c r="BA125" s="378">
        <f t="shared" si="426"/>
        <v>0</v>
      </c>
      <c r="BC125" s="258">
        <f t="shared" ca="1" si="591"/>
        <v>49258</v>
      </c>
      <c r="BD125" s="302">
        <f t="shared" ca="1" si="592"/>
        <v>0</v>
      </c>
      <c r="BE125" s="133">
        <f t="shared" si="412"/>
        <v>102</v>
      </c>
      <c r="BF125" s="379">
        <f t="shared" ca="1" si="413"/>
        <v>49258</v>
      </c>
      <c r="BG125" s="133">
        <f t="shared" si="428"/>
        <v>0</v>
      </c>
      <c r="BH125" s="133">
        <f t="shared" si="429"/>
        <v>0</v>
      </c>
      <c r="BI125" s="133">
        <f t="shared" si="430"/>
        <v>0</v>
      </c>
      <c r="BJ125" s="133">
        <f t="shared" si="431"/>
        <v>0</v>
      </c>
      <c r="BK125" s="133">
        <f t="shared" si="432"/>
        <v>0</v>
      </c>
      <c r="BL125" s="133">
        <f t="shared" si="433"/>
        <v>0</v>
      </c>
      <c r="BM125" s="133">
        <f t="shared" si="434"/>
        <v>0</v>
      </c>
      <c r="BN125" s="133">
        <f t="shared" si="435"/>
        <v>0</v>
      </c>
      <c r="BO125" s="133">
        <f t="shared" si="436"/>
        <v>0</v>
      </c>
      <c r="BP125" s="133">
        <f t="shared" si="437"/>
        <v>0</v>
      </c>
      <c r="BQ125" s="133">
        <f t="shared" si="438"/>
        <v>0</v>
      </c>
      <c r="BR125" s="133">
        <f t="shared" si="439"/>
        <v>0</v>
      </c>
      <c r="BS125" s="133">
        <f t="shared" si="440"/>
        <v>0</v>
      </c>
      <c r="BT125" s="133">
        <f t="shared" si="441"/>
        <v>0</v>
      </c>
      <c r="BU125" s="133">
        <f t="shared" si="442"/>
        <v>0</v>
      </c>
      <c r="BV125" s="133">
        <f t="shared" si="443"/>
        <v>0</v>
      </c>
      <c r="BW125" s="133">
        <f t="shared" si="444"/>
        <v>0</v>
      </c>
      <c r="BX125" s="267"/>
      <c r="BY125" s="267"/>
      <c r="BZ125" s="267"/>
      <c r="CA125" s="267"/>
      <c r="CB125" s="267"/>
      <c r="CC125" s="267"/>
      <c r="CD125" s="267"/>
      <c r="CE125" s="267"/>
      <c r="CF125" s="267"/>
      <c r="CG125" s="267"/>
      <c r="CS125" s="178">
        <v>107</v>
      </c>
      <c r="CT125" s="259">
        <f t="shared" ca="1" si="386"/>
        <v>49439</v>
      </c>
      <c r="CU125" s="179">
        <f t="shared" ref="CU125:DC125" ca="1" si="610">(($AW130/(1+CU$18)^(($AZ130-$AZ$23)/30)))+($AS130/(1+CU$18)^(($AZ130-$AZ$23)/30))</f>
        <v>0</v>
      </c>
      <c r="CV125" s="179">
        <f t="shared" ca="1" si="610"/>
        <v>0</v>
      </c>
      <c r="CW125" s="179">
        <f t="shared" ca="1" si="610"/>
        <v>0</v>
      </c>
      <c r="CX125" s="179">
        <f t="shared" ca="1" si="610"/>
        <v>0</v>
      </c>
      <c r="CY125" s="179">
        <f t="shared" ca="1" si="610"/>
        <v>0</v>
      </c>
      <c r="CZ125" s="179">
        <f t="shared" ca="1" si="610"/>
        <v>0</v>
      </c>
      <c r="DA125" s="179">
        <f t="shared" ca="1" si="610"/>
        <v>0</v>
      </c>
      <c r="DB125" s="179">
        <f t="shared" ca="1" si="610"/>
        <v>0</v>
      </c>
      <c r="DC125" s="179">
        <f t="shared" ca="1" si="610"/>
        <v>0</v>
      </c>
      <c r="DD125" s="179">
        <f t="shared" ref="DD125:DI125" ca="1" si="611">(($AW130/(1+DD$18)^(($AZ130-$AZ$23)/30)))+($AS130/(1+DD$18)^(($AZ130-$AZ$23)/30))</f>
        <v>0</v>
      </c>
      <c r="DE125" s="179">
        <f t="shared" ca="1" si="611"/>
        <v>0</v>
      </c>
      <c r="DF125" s="179" t="e">
        <f t="shared" ca="1" si="611"/>
        <v>#VALUE!</v>
      </c>
      <c r="DG125" s="179" t="e">
        <f t="shared" ca="1" si="611"/>
        <v>#VALUE!</v>
      </c>
      <c r="DH125" s="179" t="e">
        <f t="shared" ca="1" si="611"/>
        <v>#VALUE!</v>
      </c>
      <c r="DI125" s="179" t="e">
        <f t="shared" ca="1" si="611"/>
        <v>#VALUE!</v>
      </c>
      <c r="DJ125" s="179" t="e">
        <f t="shared" ref="DJ125:DQ125" ca="1" si="612">(($AW130/(1+DJ$18)^(($AZ130-$AZ$23)/30)))+($AS130/(1+DJ$18)^(($AZ130-$AZ$23)/30))</f>
        <v>#VALUE!</v>
      </c>
      <c r="DK125" s="179" t="e">
        <f t="shared" ca="1" si="612"/>
        <v>#VALUE!</v>
      </c>
      <c r="DL125" s="179" t="e">
        <f t="shared" ca="1" si="612"/>
        <v>#VALUE!</v>
      </c>
      <c r="DM125" s="179" t="e">
        <f t="shared" ca="1" si="612"/>
        <v>#VALUE!</v>
      </c>
      <c r="DN125" s="179" t="e">
        <f t="shared" ca="1" si="612"/>
        <v>#VALUE!</v>
      </c>
      <c r="DO125" s="179" t="e">
        <f t="shared" ca="1" si="612"/>
        <v>#VALUE!</v>
      </c>
      <c r="DP125" s="179" t="e">
        <f t="shared" ca="1" si="612"/>
        <v>#VALUE!</v>
      </c>
      <c r="DQ125" s="179" t="e">
        <f t="shared" ca="1" si="612"/>
        <v>#VALUE!</v>
      </c>
      <c r="DR125" s="180">
        <f t="shared" si="396"/>
        <v>0</v>
      </c>
      <c r="DS125" s="180">
        <f t="shared" si="565"/>
        <v>0</v>
      </c>
      <c r="DT125" s="180">
        <f t="shared" si="565"/>
        <v>0</v>
      </c>
      <c r="DU125" s="180">
        <f t="shared" si="565"/>
        <v>0</v>
      </c>
      <c r="DV125" s="180">
        <f t="shared" si="565"/>
        <v>0</v>
      </c>
      <c r="DW125" s="180">
        <f t="shared" si="565"/>
        <v>0</v>
      </c>
      <c r="DX125" s="180">
        <f t="shared" si="565"/>
        <v>0</v>
      </c>
      <c r="DY125" s="180">
        <f t="shared" si="565"/>
        <v>0</v>
      </c>
      <c r="DZ125" s="180">
        <f t="shared" si="565"/>
        <v>0</v>
      </c>
      <c r="EA125" s="180">
        <f t="shared" si="565"/>
        <v>0</v>
      </c>
      <c r="EB125" s="180">
        <f t="shared" si="565"/>
        <v>0</v>
      </c>
      <c r="EC125" s="180">
        <f t="shared" si="565"/>
        <v>0</v>
      </c>
      <c r="ED125" s="180">
        <f t="shared" si="565"/>
        <v>0</v>
      </c>
      <c r="EE125" s="180">
        <f t="shared" si="565"/>
        <v>0</v>
      </c>
      <c r="EF125" s="180">
        <f t="shared" si="565"/>
        <v>0</v>
      </c>
      <c r="EG125" s="180">
        <f t="shared" ref="EG125:EO125" si="613">IF($AU130&gt;$BA$19,0,$BA130-$AS130)</f>
        <v>0</v>
      </c>
      <c r="EH125" s="180">
        <f t="shared" si="613"/>
        <v>0</v>
      </c>
      <c r="EI125" s="180">
        <f t="shared" si="613"/>
        <v>0</v>
      </c>
      <c r="EJ125" s="180">
        <f t="shared" si="613"/>
        <v>0</v>
      </c>
      <c r="EK125" s="180">
        <f t="shared" si="613"/>
        <v>0</v>
      </c>
      <c r="EL125" s="180">
        <f t="shared" si="613"/>
        <v>0</v>
      </c>
      <c r="EM125" s="180">
        <f t="shared" si="613"/>
        <v>0</v>
      </c>
      <c r="EN125" s="180">
        <f t="shared" si="613"/>
        <v>0</v>
      </c>
      <c r="EO125" s="180">
        <f t="shared" si="613"/>
        <v>0</v>
      </c>
      <c r="EQ125" s="259">
        <f t="shared" ca="1" si="398"/>
        <v>49409</v>
      </c>
      <c r="ER125" s="87">
        <f t="shared" ca="1" si="586"/>
        <v>0</v>
      </c>
      <c r="ES125" s="87">
        <f t="shared" ca="1" si="586"/>
        <v>0</v>
      </c>
      <c r="ET125" s="87">
        <f t="shared" ca="1" si="586"/>
        <v>0</v>
      </c>
      <c r="EU125" s="87">
        <f t="shared" ca="1" si="586"/>
        <v>0</v>
      </c>
      <c r="EV125" s="87">
        <f t="shared" ca="1" si="586"/>
        <v>0</v>
      </c>
      <c r="EW125" s="87">
        <f t="shared" ca="1" si="586"/>
        <v>0</v>
      </c>
      <c r="EX125" s="87">
        <f t="shared" ca="1" si="586"/>
        <v>0</v>
      </c>
      <c r="EY125" s="87">
        <f t="shared" ca="1" si="586"/>
        <v>0</v>
      </c>
      <c r="EZ125" s="87">
        <f t="shared" ca="1" si="586"/>
        <v>0</v>
      </c>
      <c r="FA125" s="87">
        <f t="shared" ca="1" si="586"/>
        <v>0</v>
      </c>
      <c r="FB125" s="87">
        <f t="shared" ca="1" si="586"/>
        <v>0</v>
      </c>
      <c r="FC125" s="87">
        <f t="shared" ca="1" si="586"/>
        <v>0</v>
      </c>
      <c r="FD125" s="87">
        <f t="shared" ca="1" si="586"/>
        <v>0</v>
      </c>
      <c r="FE125" s="87">
        <f t="shared" ca="1" si="586"/>
        <v>0</v>
      </c>
      <c r="FF125" s="87">
        <f t="shared" ca="1" si="586"/>
        <v>0</v>
      </c>
      <c r="FG125" s="87">
        <f t="shared" ca="1" si="567"/>
        <v>0</v>
      </c>
      <c r="FH125" s="87">
        <f t="shared" ca="1" si="567"/>
        <v>0</v>
      </c>
      <c r="FI125" s="87">
        <f t="shared" ca="1" si="567"/>
        <v>0</v>
      </c>
      <c r="FJ125" s="87">
        <f t="shared" ca="1" si="567"/>
        <v>0</v>
      </c>
      <c r="FK125" s="87">
        <f t="shared" ca="1" si="567"/>
        <v>0</v>
      </c>
      <c r="FL125" s="87">
        <f t="shared" ca="1" si="567"/>
        <v>0</v>
      </c>
      <c r="FM125" s="87">
        <f t="shared" ca="1" si="567"/>
        <v>0</v>
      </c>
      <c r="FN125" s="87">
        <f t="shared" ca="1" si="567"/>
        <v>0</v>
      </c>
      <c r="FO125" s="87">
        <f t="shared" ca="1" si="567"/>
        <v>0</v>
      </c>
      <c r="FP125" s="87">
        <f t="shared" ca="1" si="567"/>
        <v>0</v>
      </c>
    </row>
    <row r="126" spans="2:172" ht="12.75" hidden="1" customHeight="1" x14ac:dyDescent="0.25">
      <c r="B126" s="87">
        <v>68</v>
      </c>
      <c r="C126" s="181">
        <f t="shared" ca="1" si="597"/>
        <v>48223</v>
      </c>
      <c r="D126" s="380">
        <f t="shared" ca="1" si="580"/>
        <v>0.28384222974805901</v>
      </c>
      <c r="E126" s="380">
        <f t="shared" si="580"/>
        <v>0</v>
      </c>
      <c r="F126" s="380">
        <f t="shared" si="580"/>
        <v>0</v>
      </c>
      <c r="G126" s="380">
        <f t="shared" si="580"/>
        <v>0</v>
      </c>
      <c r="H126" s="380">
        <f t="shared" si="580"/>
        <v>0</v>
      </c>
      <c r="I126" s="380">
        <f t="shared" si="580"/>
        <v>0</v>
      </c>
      <c r="J126" s="380">
        <f t="shared" si="580"/>
        <v>0</v>
      </c>
      <c r="K126" s="380">
        <f t="shared" si="580"/>
        <v>0</v>
      </c>
      <c r="L126" s="380">
        <f t="shared" si="580"/>
        <v>0</v>
      </c>
      <c r="M126" s="380">
        <f t="shared" si="580"/>
        <v>0</v>
      </c>
      <c r="N126" s="380">
        <f t="shared" si="581"/>
        <v>0</v>
      </c>
      <c r="O126" s="380">
        <f t="shared" si="581"/>
        <v>0</v>
      </c>
      <c r="P126" s="380">
        <f t="shared" si="581"/>
        <v>0</v>
      </c>
      <c r="Q126" s="380">
        <f t="shared" si="581"/>
        <v>0</v>
      </c>
      <c r="R126" s="380">
        <f t="shared" si="581"/>
        <v>0</v>
      </c>
      <c r="S126" s="380">
        <f t="shared" si="581"/>
        <v>0</v>
      </c>
      <c r="T126" s="380">
        <f t="shared" si="581"/>
        <v>0</v>
      </c>
      <c r="U126" s="175"/>
      <c r="X126" s="87">
        <v>111</v>
      </c>
      <c r="Y126" s="377">
        <f t="shared" si="361"/>
        <v>0</v>
      </c>
      <c r="Z126" s="377">
        <f t="shared" si="362"/>
        <v>0</v>
      </c>
      <c r="AA126" s="377">
        <f t="shared" si="363"/>
        <v>0</v>
      </c>
      <c r="AB126" s="377">
        <f t="shared" si="364"/>
        <v>0</v>
      </c>
      <c r="AC126" s="377">
        <f t="shared" si="365"/>
        <v>0</v>
      </c>
      <c r="AD126" s="377">
        <f t="shared" si="366"/>
        <v>0</v>
      </c>
      <c r="AE126" s="377">
        <f t="shared" si="367"/>
        <v>0</v>
      </c>
      <c r="AF126" s="377">
        <f t="shared" si="368"/>
        <v>0</v>
      </c>
      <c r="AG126" s="377">
        <f t="shared" si="369"/>
        <v>0</v>
      </c>
      <c r="AH126" s="377">
        <f t="shared" si="370"/>
        <v>0</v>
      </c>
      <c r="AI126" s="377">
        <f t="shared" si="371"/>
        <v>0</v>
      </c>
      <c r="AJ126" s="377">
        <f t="shared" si="372"/>
        <v>0</v>
      </c>
      <c r="AK126" s="377">
        <f t="shared" si="373"/>
        <v>0</v>
      </c>
      <c r="AL126" s="377">
        <f t="shared" si="374"/>
        <v>0</v>
      </c>
      <c r="AM126" s="377">
        <f t="shared" si="375"/>
        <v>0</v>
      </c>
      <c r="AN126" s="377">
        <f t="shared" si="376"/>
        <v>0</v>
      </c>
      <c r="AO126" s="377">
        <f t="shared" si="377"/>
        <v>0</v>
      </c>
      <c r="AQ126" s="138">
        <v>103</v>
      </c>
      <c r="AR126" s="258">
        <f t="shared" ca="1" si="528"/>
        <v>49288</v>
      </c>
      <c r="AS126" s="378">
        <f t="shared" si="421"/>
        <v>0</v>
      </c>
      <c r="AU126" s="138">
        <v>103</v>
      </c>
      <c r="AV126" s="258">
        <f t="shared" ca="1" si="529"/>
        <v>49319</v>
      </c>
      <c r="AW126" s="378">
        <f t="shared" si="423"/>
        <v>0</v>
      </c>
      <c r="AX126" s="202">
        <f t="shared" ca="1" si="424"/>
        <v>0</v>
      </c>
      <c r="AY126" s="138">
        <v>103</v>
      </c>
      <c r="AZ126" s="258">
        <f t="shared" ca="1" si="530"/>
        <v>49319</v>
      </c>
      <c r="BA126" s="378">
        <f t="shared" si="426"/>
        <v>0</v>
      </c>
      <c r="BC126" s="258">
        <f t="shared" ca="1" si="591"/>
        <v>49288</v>
      </c>
      <c r="BD126" s="302">
        <f t="shared" ca="1" si="592"/>
        <v>0</v>
      </c>
      <c r="BE126" s="133">
        <f t="shared" si="412"/>
        <v>103</v>
      </c>
      <c r="BF126" s="379">
        <f t="shared" ca="1" si="413"/>
        <v>49288</v>
      </c>
      <c r="BG126" s="133">
        <f t="shared" si="428"/>
        <v>0</v>
      </c>
      <c r="BH126" s="133">
        <f t="shared" si="429"/>
        <v>0</v>
      </c>
      <c r="BI126" s="133">
        <f t="shared" si="430"/>
        <v>0</v>
      </c>
      <c r="BJ126" s="133">
        <f t="shared" si="431"/>
        <v>0</v>
      </c>
      <c r="BK126" s="133">
        <f t="shared" si="432"/>
        <v>0</v>
      </c>
      <c r="BL126" s="133">
        <f t="shared" si="433"/>
        <v>0</v>
      </c>
      <c r="BM126" s="133">
        <f t="shared" si="434"/>
        <v>0</v>
      </c>
      <c r="BN126" s="133">
        <f t="shared" si="435"/>
        <v>0</v>
      </c>
      <c r="BO126" s="133">
        <f t="shared" si="436"/>
        <v>0</v>
      </c>
      <c r="BP126" s="133">
        <f t="shared" si="437"/>
        <v>0</v>
      </c>
      <c r="BQ126" s="133">
        <f t="shared" si="438"/>
        <v>0</v>
      </c>
      <c r="BR126" s="133">
        <f t="shared" si="439"/>
        <v>0</v>
      </c>
      <c r="BS126" s="133">
        <f t="shared" si="440"/>
        <v>0</v>
      </c>
      <c r="BT126" s="133">
        <f t="shared" si="441"/>
        <v>0</v>
      </c>
      <c r="BU126" s="133">
        <f t="shared" si="442"/>
        <v>0</v>
      </c>
      <c r="BV126" s="133">
        <f t="shared" si="443"/>
        <v>0</v>
      </c>
      <c r="BW126" s="133">
        <f t="shared" si="444"/>
        <v>0</v>
      </c>
      <c r="BX126" s="267"/>
      <c r="BY126" s="267"/>
      <c r="BZ126" s="267"/>
      <c r="CA126" s="267"/>
      <c r="CB126" s="267"/>
      <c r="CC126" s="267"/>
      <c r="CD126" s="267"/>
      <c r="CE126" s="267"/>
      <c r="CF126" s="267"/>
      <c r="CG126" s="267"/>
      <c r="CS126" s="138">
        <v>108</v>
      </c>
      <c r="CT126" s="259">
        <f t="shared" ca="1" si="386"/>
        <v>49470</v>
      </c>
      <c r="CU126" s="179">
        <f t="shared" ref="CU126:DC126" ca="1" si="614">(($AW131/(1+CU$18)^(($AZ131-$AZ$23)/30)))+($AS131/(1+CU$18)^(($AZ131-$AZ$23)/30))</f>
        <v>0</v>
      </c>
      <c r="CV126" s="179">
        <f t="shared" ca="1" si="614"/>
        <v>0</v>
      </c>
      <c r="CW126" s="179">
        <f t="shared" ca="1" si="614"/>
        <v>0</v>
      </c>
      <c r="CX126" s="179">
        <f t="shared" ca="1" si="614"/>
        <v>0</v>
      </c>
      <c r="CY126" s="179">
        <f t="shared" ca="1" si="614"/>
        <v>0</v>
      </c>
      <c r="CZ126" s="179">
        <f t="shared" ca="1" si="614"/>
        <v>0</v>
      </c>
      <c r="DA126" s="179">
        <f t="shared" ca="1" si="614"/>
        <v>0</v>
      </c>
      <c r="DB126" s="179">
        <f t="shared" ca="1" si="614"/>
        <v>0</v>
      </c>
      <c r="DC126" s="179">
        <f t="shared" ca="1" si="614"/>
        <v>0</v>
      </c>
      <c r="DD126" s="179">
        <f t="shared" ref="DD126:DI126" ca="1" si="615">(($AW131/(1+DD$18)^(($AZ131-$AZ$23)/30)))+($AS131/(1+DD$18)^(($AZ131-$AZ$23)/30))</f>
        <v>0</v>
      </c>
      <c r="DE126" s="179">
        <f t="shared" ca="1" si="615"/>
        <v>0</v>
      </c>
      <c r="DF126" s="179" t="e">
        <f t="shared" ca="1" si="615"/>
        <v>#VALUE!</v>
      </c>
      <c r="DG126" s="179" t="e">
        <f t="shared" ca="1" si="615"/>
        <v>#VALUE!</v>
      </c>
      <c r="DH126" s="179" t="e">
        <f t="shared" ca="1" si="615"/>
        <v>#VALUE!</v>
      </c>
      <c r="DI126" s="179" t="e">
        <f t="shared" ca="1" si="615"/>
        <v>#VALUE!</v>
      </c>
      <c r="DJ126" s="179" t="e">
        <f t="shared" ref="DJ126:DQ126" ca="1" si="616">(($AW131/(1+DJ$18)^(($AZ131-$AZ$23)/30)))+($AS131/(1+DJ$18)^(($AZ131-$AZ$23)/30))</f>
        <v>#VALUE!</v>
      </c>
      <c r="DK126" s="179" t="e">
        <f t="shared" ca="1" si="616"/>
        <v>#VALUE!</v>
      </c>
      <c r="DL126" s="179" t="e">
        <f t="shared" ca="1" si="616"/>
        <v>#VALUE!</v>
      </c>
      <c r="DM126" s="179" t="e">
        <f t="shared" ca="1" si="616"/>
        <v>#VALUE!</v>
      </c>
      <c r="DN126" s="179" t="e">
        <f t="shared" ca="1" si="616"/>
        <v>#VALUE!</v>
      </c>
      <c r="DO126" s="179" t="e">
        <f t="shared" ca="1" si="616"/>
        <v>#VALUE!</v>
      </c>
      <c r="DP126" s="179" t="e">
        <f t="shared" ca="1" si="616"/>
        <v>#VALUE!</v>
      </c>
      <c r="DQ126" s="179" t="e">
        <f t="shared" ca="1" si="616"/>
        <v>#VALUE!</v>
      </c>
      <c r="DR126" s="180">
        <f t="shared" si="396"/>
        <v>0</v>
      </c>
      <c r="DS126" s="180">
        <f t="shared" si="565"/>
        <v>0</v>
      </c>
      <c r="DT126" s="180">
        <f t="shared" si="565"/>
        <v>0</v>
      </c>
      <c r="DU126" s="180">
        <f t="shared" si="565"/>
        <v>0</v>
      </c>
      <c r="DV126" s="180">
        <f t="shared" si="565"/>
        <v>0</v>
      </c>
      <c r="DW126" s="180">
        <f t="shared" si="565"/>
        <v>0</v>
      </c>
      <c r="DX126" s="180">
        <f t="shared" si="565"/>
        <v>0</v>
      </c>
      <c r="DY126" s="180">
        <f t="shared" si="565"/>
        <v>0</v>
      </c>
      <c r="DZ126" s="180">
        <f t="shared" si="565"/>
        <v>0</v>
      </c>
      <c r="EA126" s="180">
        <f t="shared" si="565"/>
        <v>0</v>
      </c>
      <c r="EB126" s="180">
        <f t="shared" si="565"/>
        <v>0</v>
      </c>
      <c r="EC126" s="180">
        <f t="shared" si="565"/>
        <v>0</v>
      </c>
      <c r="ED126" s="180">
        <f t="shared" si="565"/>
        <v>0</v>
      </c>
      <c r="EE126" s="180">
        <f t="shared" si="565"/>
        <v>0</v>
      </c>
      <c r="EF126" s="180">
        <f t="shared" si="565"/>
        <v>0</v>
      </c>
      <c r="EG126" s="180">
        <f t="shared" ref="EG126:EO126" si="617">IF($AU131&gt;$BA$19,0,$BA131-$AS131)</f>
        <v>0</v>
      </c>
      <c r="EH126" s="180">
        <f t="shared" si="617"/>
        <v>0</v>
      </c>
      <c r="EI126" s="180">
        <f t="shared" si="617"/>
        <v>0</v>
      </c>
      <c r="EJ126" s="180">
        <f t="shared" si="617"/>
        <v>0</v>
      </c>
      <c r="EK126" s="180">
        <f t="shared" si="617"/>
        <v>0</v>
      </c>
      <c r="EL126" s="180">
        <f t="shared" si="617"/>
        <v>0</v>
      </c>
      <c r="EM126" s="180">
        <f t="shared" si="617"/>
        <v>0</v>
      </c>
      <c r="EN126" s="180">
        <f t="shared" si="617"/>
        <v>0</v>
      </c>
      <c r="EO126" s="180">
        <f t="shared" si="617"/>
        <v>0</v>
      </c>
      <c r="EQ126" s="259">
        <f t="shared" ca="1" si="398"/>
        <v>49439</v>
      </c>
      <c r="ER126" s="87">
        <f t="shared" ca="1" si="586"/>
        <v>0</v>
      </c>
      <c r="ES126" s="87">
        <f t="shared" ca="1" si="586"/>
        <v>0</v>
      </c>
      <c r="ET126" s="87">
        <f t="shared" ca="1" si="586"/>
        <v>0</v>
      </c>
      <c r="EU126" s="87">
        <f t="shared" ca="1" si="586"/>
        <v>0</v>
      </c>
      <c r="EV126" s="87">
        <f t="shared" ca="1" si="586"/>
        <v>0</v>
      </c>
      <c r="EW126" s="87">
        <f t="shared" ca="1" si="586"/>
        <v>0</v>
      </c>
      <c r="EX126" s="87">
        <f t="shared" ca="1" si="586"/>
        <v>0</v>
      </c>
      <c r="EY126" s="87">
        <f t="shared" ca="1" si="586"/>
        <v>0</v>
      </c>
      <c r="EZ126" s="87">
        <f t="shared" ca="1" si="586"/>
        <v>0</v>
      </c>
      <c r="FA126" s="87">
        <f t="shared" ca="1" si="586"/>
        <v>0</v>
      </c>
      <c r="FB126" s="87">
        <f t="shared" ca="1" si="586"/>
        <v>0</v>
      </c>
      <c r="FC126" s="87">
        <f t="shared" ca="1" si="586"/>
        <v>0</v>
      </c>
      <c r="FD126" s="87">
        <f t="shared" ca="1" si="586"/>
        <v>0</v>
      </c>
      <c r="FE126" s="87">
        <f t="shared" ca="1" si="586"/>
        <v>0</v>
      </c>
      <c r="FF126" s="87">
        <f t="shared" ca="1" si="586"/>
        <v>0</v>
      </c>
      <c r="FG126" s="87">
        <f t="shared" ca="1" si="567"/>
        <v>0</v>
      </c>
      <c r="FH126" s="87">
        <f t="shared" ca="1" si="567"/>
        <v>0</v>
      </c>
      <c r="FI126" s="87">
        <f t="shared" ca="1" si="567"/>
        <v>0</v>
      </c>
      <c r="FJ126" s="87">
        <f t="shared" ca="1" si="567"/>
        <v>0</v>
      </c>
      <c r="FK126" s="87">
        <f t="shared" ca="1" si="567"/>
        <v>0</v>
      </c>
      <c r="FL126" s="87">
        <f t="shared" ca="1" si="567"/>
        <v>0</v>
      </c>
      <c r="FM126" s="87">
        <f t="shared" ca="1" si="567"/>
        <v>0</v>
      </c>
      <c r="FN126" s="87">
        <f t="shared" ca="1" si="567"/>
        <v>0</v>
      </c>
      <c r="FO126" s="87">
        <f t="shared" ca="1" si="567"/>
        <v>0</v>
      </c>
      <c r="FP126" s="87">
        <f t="shared" ca="1" si="567"/>
        <v>0</v>
      </c>
    </row>
    <row r="127" spans="2:172" ht="12.75" hidden="1" customHeight="1" x14ac:dyDescent="0.25">
      <c r="B127" s="87">
        <v>69</v>
      </c>
      <c r="C127" s="181">
        <f t="shared" ca="1" si="597"/>
        <v>48254</v>
      </c>
      <c r="D127" s="380">
        <f t="shared" ca="1" si="580"/>
        <v>0.27851629462049216</v>
      </c>
      <c r="E127" s="380">
        <f t="shared" si="580"/>
        <v>0</v>
      </c>
      <c r="F127" s="380">
        <f t="shared" si="580"/>
        <v>0</v>
      </c>
      <c r="G127" s="380">
        <f t="shared" si="580"/>
        <v>0</v>
      </c>
      <c r="H127" s="380">
        <f t="shared" si="580"/>
        <v>0</v>
      </c>
      <c r="I127" s="380">
        <f t="shared" si="580"/>
        <v>0</v>
      </c>
      <c r="J127" s="380">
        <f t="shared" si="580"/>
        <v>0</v>
      </c>
      <c r="K127" s="380">
        <f t="shared" si="580"/>
        <v>0</v>
      </c>
      <c r="L127" s="380">
        <f t="shared" si="580"/>
        <v>0</v>
      </c>
      <c r="M127" s="380">
        <f t="shared" si="580"/>
        <v>0</v>
      </c>
      <c r="N127" s="380">
        <f t="shared" si="581"/>
        <v>0</v>
      </c>
      <c r="O127" s="380">
        <f t="shared" si="581"/>
        <v>0</v>
      </c>
      <c r="P127" s="380">
        <f t="shared" si="581"/>
        <v>0</v>
      </c>
      <c r="Q127" s="380">
        <f t="shared" si="581"/>
        <v>0</v>
      </c>
      <c r="R127" s="380">
        <f t="shared" si="581"/>
        <v>0</v>
      </c>
      <c r="S127" s="380">
        <f t="shared" si="581"/>
        <v>0</v>
      </c>
      <c r="T127" s="380">
        <f t="shared" si="581"/>
        <v>0</v>
      </c>
      <c r="U127" s="175"/>
      <c r="X127" s="87">
        <v>112</v>
      </c>
      <c r="Y127" s="377">
        <f t="shared" si="361"/>
        <v>0</v>
      </c>
      <c r="Z127" s="377">
        <f t="shared" si="362"/>
        <v>0</v>
      </c>
      <c r="AA127" s="377">
        <f t="shared" si="363"/>
        <v>0</v>
      </c>
      <c r="AB127" s="377">
        <f t="shared" si="364"/>
        <v>0</v>
      </c>
      <c r="AC127" s="377">
        <f t="shared" si="365"/>
        <v>0</v>
      </c>
      <c r="AD127" s="377">
        <f t="shared" si="366"/>
        <v>0</v>
      </c>
      <c r="AE127" s="377">
        <f t="shared" si="367"/>
        <v>0</v>
      </c>
      <c r="AF127" s="377">
        <f t="shared" si="368"/>
        <v>0</v>
      </c>
      <c r="AG127" s="377">
        <f t="shared" si="369"/>
        <v>0</v>
      </c>
      <c r="AH127" s="377">
        <f t="shared" si="370"/>
        <v>0</v>
      </c>
      <c r="AI127" s="377">
        <f t="shared" si="371"/>
        <v>0</v>
      </c>
      <c r="AJ127" s="377">
        <f t="shared" si="372"/>
        <v>0</v>
      </c>
      <c r="AK127" s="377">
        <f t="shared" si="373"/>
        <v>0</v>
      </c>
      <c r="AL127" s="377">
        <f t="shared" si="374"/>
        <v>0</v>
      </c>
      <c r="AM127" s="377">
        <f t="shared" si="375"/>
        <v>0</v>
      </c>
      <c r="AN127" s="377">
        <f t="shared" si="376"/>
        <v>0</v>
      </c>
      <c r="AO127" s="377">
        <f t="shared" si="377"/>
        <v>0</v>
      </c>
      <c r="AQ127" s="138">
        <v>104</v>
      </c>
      <c r="AR127" s="258">
        <f t="shared" ca="1" si="528"/>
        <v>49319</v>
      </c>
      <c r="AS127" s="378">
        <f t="shared" si="421"/>
        <v>0</v>
      </c>
      <c r="AU127" s="138">
        <v>104</v>
      </c>
      <c r="AV127" s="258">
        <f t="shared" ca="1" si="529"/>
        <v>49350</v>
      </c>
      <c r="AW127" s="378">
        <f t="shared" si="423"/>
        <v>0</v>
      </c>
      <c r="AX127" s="202">
        <f t="shared" ca="1" si="424"/>
        <v>0</v>
      </c>
      <c r="AY127" s="138">
        <v>104</v>
      </c>
      <c r="AZ127" s="258">
        <f t="shared" ca="1" si="530"/>
        <v>49350</v>
      </c>
      <c r="BA127" s="378">
        <f t="shared" si="426"/>
        <v>0</v>
      </c>
      <c r="BC127" s="258">
        <f t="shared" ca="1" si="591"/>
        <v>49319</v>
      </c>
      <c r="BD127" s="302">
        <f t="shared" ca="1" si="592"/>
        <v>0</v>
      </c>
      <c r="BE127" s="133">
        <f t="shared" si="412"/>
        <v>104</v>
      </c>
      <c r="BF127" s="379">
        <f t="shared" ca="1" si="413"/>
        <v>49319</v>
      </c>
      <c r="BG127" s="133">
        <f t="shared" si="428"/>
        <v>0</v>
      </c>
      <c r="BH127" s="133">
        <f t="shared" si="429"/>
        <v>0</v>
      </c>
      <c r="BI127" s="133">
        <f t="shared" si="430"/>
        <v>0</v>
      </c>
      <c r="BJ127" s="133">
        <f t="shared" si="431"/>
        <v>0</v>
      </c>
      <c r="BK127" s="133">
        <f t="shared" si="432"/>
        <v>0</v>
      </c>
      <c r="BL127" s="133">
        <f t="shared" si="433"/>
        <v>0</v>
      </c>
      <c r="BM127" s="133">
        <f t="shared" si="434"/>
        <v>0</v>
      </c>
      <c r="BN127" s="133">
        <f t="shared" si="435"/>
        <v>0</v>
      </c>
      <c r="BO127" s="133">
        <f t="shared" si="436"/>
        <v>0</v>
      </c>
      <c r="BP127" s="133">
        <f t="shared" si="437"/>
        <v>0</v>
      </c>
      <c r="BQ127" s="133">
        <f t="shared" si="438"/>
        <v>0</v>
      </c>
      <c r="BR127" s="133">
        <f t="shared" si="439"/>
        <v>0</v>
      </c>
      <c r="BS127" s="133">
        <f t="shared" si="440"/>
        <v>0</v>
      </c>
      <c r="BT127" s="133">
        <f t="shared" si="441"/>
        <v>0</v>
      </c>
      <c r="BU127" s="133">
        <f t="shared" si="442"/>
        <v>0</v>
      </c>
      <c r="BV127" s="133">
        <f t="shared" si="443"/>
        <v>0</v>
      </c>
      <c r="BW127" s="133">
        <f t="shared" si="444"/>
        <v>0</v>
      </c>
      <c r="BX127" s="267"/>
      <c r="BY127" s="267"/>
      <c r="BZ127" s="267"/>
      <c r="CA127" s="267"/>
      <c r="CB127" s="267"/>
      <c r="CC127" s="267"/>
      <c r="CD127" s="267"/>
      <c r="CE127" s="267"/>
      <c r="CF127" s="267"/>
      <c r="CG127" s="267"/>
      <c r="CS127" s="87">
        <v>109</v>
      </c>
      <c r="CT127" s="259">
        <f t="shared" ca="1" si="386"/>
        <v>49500</v>
      </c>
      <c r="CU127" s="179">
        <f t="shared" ref="CU127:DC127" ca="1" si="618">(($AW132/(1+CU$18)^(($AZ132-$AZ$23)/30)))+($AS132/(1+CU$18)^(($AZ132-$AZ$23)/30))</f>
        <v>0</v>
      </c>
      <c r="CV127" s="179">
        <f t="shared" ca="1" si="618"/>
        <v>0</v>
      </c>
      <c r="CW127" s="179">
        <f t="shared" ca="1" si="618"/>
        <v>0</v>
      </c>
      <c r="CX127" s="179">
        <f t="shared" ca="1" si="618"/>
        <v>0</v>
      </c>
      <c r="CY127" s="179">
        <f t="shared" ca="1" si="618"/>
        <v>0</v>
      </c>
      <c r="CZ127" s="179">
        <f t="shared" ca="1" si="618"/>
        <v>0</v>
      </c>
      <c r="DA127" s="179">
        <f t="shared" ca="1" si="618"/>
        <v>0</v>
      </c>
      <c r="DB127" s="179">
        <f t="shared" ca="1" si="618"/>
        <v>0</v>
      </c>
      <c r="DC127" s="179">
        <f t="shared" ca="1" si="618"/>
        <v>0</v>
      </c>
      <c r="DD127" s="179">
        <f t="shared" ref="DD127:DI127" ca="1" si="619">(($AW132/(1+DD$18)^(($AZ132-$AZ$23)/30)))+($AS132/(1+DD$18)^(($AZ132-$AZ$23)/30))</f>
        <v>0</v>
      </c>
      <c r="DE127" s="179">
        <f t="shared" ca="1" si="619"/>
        <v>0</v>
      </c>
      <c r="DF127" s="179" t="e">
        <f t="shared" ca="1" si="619"/>
        <v>#VALUE!</v>
      </c>
      <c r="DG127" s="179" t="e">
        <f t="shared" ca="1" si="619"/>
        <v>#VALUE!</v>
      </c>
      <c r="DH127" s="179" t="e">
        <f t="shared" ca="1" si="619"/>
        <v>#VALUE!</v>
      </c>
      <c r="DI127" s="179" t="e">
        <f t="shared" ca="1" si="619"/>
        <v>#VALUE!</v>
      </c>
      <c r="DJ127" s="179" t="e">
        <f t="shared" ref="DJ127:DQ127" ca="1" si="620">(($AW132/(1+DJ$18)^(($AZ132-$AZ$23)/30)))+($AS132/(1+DJ$18)^(($AZ132-$AZ$23)/30))</f>
        <v>#VALUE!</v>
      </c>
      <c r="DK127" s="179" t="e">
        <f t="shared" ca="1" si="620"/>
        <v>#VALUE!</v>
      </c>
      <c r="DL127" s="179" t="e">
        <f t="shared" ca="1" si="620"/>
        <v>#VALUE!</v>
      </c>
      <c r="DM127" s="179" t="e">
        <f t="shared" ca="1" si="620"/>
        <v>#VALUE!</v>
      </c>
      <c r="DN127" s="179" t="e">
        <f t="shared" ca="1" si="620"/>
        <v>#VALUE!</v>
      </c>
      <c r="DO127" s="179" t="e">
        <f t="shared" ca="1" si="620"/>
        <v>#VALUE!</v>
      </c>
      <c r="DP127" s="179" t="e">
        <f t="shared" ca="1" si="620"/>
        <v>#VALUE!</v>
      </c>
      <c r="DQ127" s="179" t="e">
        <f t="shared" ca="1" si="620"/>
        <v>#VALUE!</v>
      </c>
      <c r="DR127" s="180">
        <f t="shared" si="396"/>
        <v>0</v>
      </c>
      <c r="DS127" s="180">
        <f t="shared" si="565"/>
        <v>0</v>
      </c>
      <c r="DT127" s="180">
        <f t="shared" si="565"/>
        <v>0</v>
      </c>
      <c r="DU127" s="180">
        <f t="shared" si="565"/>
        <v>0</v>
      </c>
      <c r="DV127" s="180">
        <f t="shared" si="565"/>
        <v>0</v>
      </c>
      <c r="DW127" s="180">
        <f t="shared" si="565"/>
        <v>0</v>
      </c>
      <c r="DX127" s="180">
        <f t="shared" si="565"/>
        <v>0</v>
      </c>
      <c r="DY127" s="180">
        <f t="shared" si="565"/>
        <v>0</v>
      </c>
      <c r="DZ127" s="180">
        <f t="shared" si="565"/>
        <v>0</v>
      </c>
      <c r="EA127" s="180">
        <f t="shared" si="565"/>
        <v>0</v>
      </c>
      <c r="EB127" s="180">
        <f t="shared" si="565"/>
        <v>0</v>
      </c>
      <c r="EC127" s="180">
        <f t="shared" si="565"/>
        <v>0</v>
      </c>
      <c r="ED127" s="180">
        <f t="shared" si="565"/>
        <v>0</v>
      </c>
      <c r="EE127" s="180">
        <f t="shared" si="565"/>
        <v>0</v>
      </c>
      <c r="EF127" s="180">
        <f t="shared" si="565"/>
        <v>0</v>
      </c>
      <c r="EG127" s="180">
        <f t="shared" ref="EG127:EO127" si="621">IF($AU132&gt;$BA$19,0,$BA132-$AS132)</f>
        <v>0</v>
      </c>
      <c r="EH127" s="180">
        <f t="shared" si="621"/>
        <v>0</v>
      </c>
      <c r="EI127" s="180">
        <f t="shared" si="621"/>
        <v>0</v>
      </c>
      <c r="EJ127" s="180">
        <f t="shared" si="621"/>
        <v>0</v>
      </c>
      <c r="EK127" s="180">
        <f t="shared" si="621"/>
        <v>0</v>
      </c>
      <c r="EL127" s="180">
        <f t="shared" si="621"/>
        <v>0</v>
      </c>
      <c r="EM127" s="180">
        <f t="shared" si="621"/>
        <v>0</v>
      </c>
      <c r="EN127" s="180">
        <f t="shared" si="621"/>
        <v>0</v>
      </c>
      <c r="EO127" s="180">
        <f t="shared" si="621"/>
        <v>0</v>
      </c>
      <c r="EQ127" s="259">
        <f t="shared" ca="1" si="398"/>
        <v>49470</v>
      </c>
      <c r="ER127" s="87">
        <f t="shared" ca="1" si="586"/>
        <v>0</v>
      </c>
      <c r="ES127" s="87">
        <f t="shared" ca="1" si="586"/>
        <v>0</v>
      </c>
      <c r="ET127" s="87">
        <f t="shared" ca="1" si="586"/>
        <v>0</v>
      </c>
      <c r="EU127" s="87">
        <f t="shared" ca="1" si="586"/>
        <v>0</v>
      </c>
      <c r="EV127" s="87">
        <f t="shared" ca="1" si="586"/>
        <v>0</v>
      </c>
      <c r="EW127" s="87">
        <f t="shared" ca="1" si="586"/>
        <v>0</v>
      </c>
      <c r="EX127" s="87">
        <f t="shared" ca="1" si="586"/>
        <v>0</v>
      </c>
      <c r="EY127" s="87">
        <f t="shared" ca="1" si="586"/>
        <v>0</v>
      </c>
      <c r="EZ127" s="87">
        <f t="shared" ca="1" si="586"/>
        <v>0</v>
      </c>
      <c r="FA127" s="87">
        <f t="shared" ca="1" si="586"/>
        <v>0</v>
      </c>
      <c r="FB127" s="87">
        <f t="shared" ca="1" si="586"/>
        <v>0</v>
      </c>
      <c r="FC127" s="87">
        <f t="shared" ca="1" si="586"/>
        <v>0</v>
      </c>
      <c r="FD127" s="87">
        <f t="shared" ca="1" si="586"/>
        <v>0</v>
      </c>
      <c r="FE127" s="87">
        <f t="shared" ca="1" si="586"/>
        <v>0</v>
      </c>
      <c r="FF127" s="87">
        <f t="shared" ca="1" si="586"/>
        <v>0</v>
      </c>
      <c r="FG127" s="87">
        <f t="shared" ca="1" si="567"/>
        <v>0</v>
      </c>
      <c r="FH127" s="87">
        <f t="shared" ca="1" si="567"/>
        <v>0</v>
      </c>
      <c r="FI127" s="87">
        <f t="shared" ca="1" si="567"/>
        <v>0</v>
      </c>
      <c r="FJ127" s="87">
        <f t="shared" ca="1" si="567"/>
        <v>0</v>
      </c>
      <c r="FK127" s="87">
        <f t="shared" ca="1" si="567"/>
        <v>0</v>
      </c>
      <c r="FL127" s="87">
        <f t="shared" ca="1" si="567"/>
        <v>0</v>
      </c>
      <c r="FM127" s="87">
        <f t="shared" ca="1" si="567"/>
        <v>0</v>
      </c>
      <c r="FN127" s="87">
        <f t="shared" ca="1" si="567"/>
        <v>0</v>
      </c>
      <c r="FO127" s="87">
        <f t="shared" ca="1" si="567"/>
        <v>0</v>
      </c>
      <c r="FP127" s="87">
        <f t="shared" ca="1" si="567"/>
        <v>0</v>
      </c>
    </row>
    <row r="128" spans="2:172" ht="12.75" hidden="1" customHeight="1" x14ac:dyDescent="0.25">
      <c r="B128" s="87">
        <v>70</v>
      </c>
      <c r="C128" s="181">
        <f t="shared" ca="1" si="597"/>
        <v>48283</v>
      </c>
      <c r="D128" s="380">
        <f t="shared" si="580"/>
        <v>0</v>
      </c>
      <c r="E128" s="380">
        <f t="shared" si="580"/>
        <v>0</v>
      </c>
      <c r="F128" s="380">
        <f t="shared" si="580"/>
        <v>0</v>
      </c>
      <c r="G128" s="380">
        <f t="shared" si="580"/>
        <v>0</v>
      </c>
      <c r="H128" s="380">
        <f t="shared" si="580"/>
        <v>0</v>
      </c>
      <c r="I128" s="380">
        <f t="shared" si="580"/>
        <v>0</v>
      </c>
      <c r="J128" s="380">
        <f t="shared" si="580"/>
        <v>0</v>
      </c>
      <c r="K128" s="380">
        <f t="shared" si="580"/>
        <v>0</v>
      </c>
      <c r="L128" s="380">
        <f t="shared" si="580"/>
        <v>0</v>
      </c>
      <c r="M128" s="380">
        <f t="shared" si="580"/>
        <v>0</v>
      </c>
      <c r="N128" s="380">
        <f t="shared" si="581"/>
        <v>0</v>
      </c>
      <c r="O128" s="380">
        <f t="shared" si="581"/>
        <v>0</v>
      </c>
      <c r="P128" s="380">
        <f t="shared" si="581"/>
        <v>0</v>
      </c>
      <c r="Q128" s="380">
        <f t="shared" si="581"/>
        <v>0</v>
      </c>
      <c r="R128" s="380">
        <f t="shared" si="581"/>
        <v>0</v>
      </c>
      <c r="S128" s="380">
        <f t="shared" si="581"/>
        <v>0</v>
      </c>
      <c r="T128" s="380">
        <f t="shared" si="581"/>
        <v>0</v>
      </c>
      <c r="U128" s="175"/>
      <c r="X128" s="87">
        <v>113</v>
      </c>
      <c r="Y128" s="377">
        <f t="shared" si="361"/>
        <v>0</v>
      </c>
      <c r="Z128" s="377">
        <f t="shared" si="362"/>
        <v>0</v>
      </c>
      <c r="AA128" s="377">
        <f t="shared" si="363"/>
        <v>0</v>
      </c>
      <c r="AB128" s="377">
        <f t="shared" si="364"/>
        <v>0</v>
      </c>
      <c r="AC128" s="377">
        <f t="shared" si="365"/>
        <v>0</v>
      </c>
      <c r="AD128" s="377">
        <f t="shared" si="366"/>
        <v>0</v>
      </c>
      <c r="AE128" s="377">
        <f t="shared" si="367"/>
        <v>0</v>
      </c>
      <c r="AF128" s="377">
        <f t="shared" si="368"/>
        <v>0</v>
      </c>
      <c r="AG128" s="377">
        <f t="shared" si="369"/>
        <v>0</v>
      </c>
      <c r="AH128" s="377">
        <f t="shared" si="370"/>
        <v>0</v>
      </c>
      <c r="AI128" s="377">
        <f t="shared" si="371"/>
        <v>0</v>
      </c>
      <c r="AJ128" s="377">
        <f t="shared" si="372"/>
        <v>0</v>
      </c>
      <c r="AK128" s="377">
        <f t="shared" si="373"/>
        <v>0</v>
      </c>
      <c r="AL128" s="377">
        <f t="shared" si="374"/>
        <v>0</v>
      </c>
      <c r="AM128" s="377">
        <f t="shared" si="375"/>
        <v>0</v>
      </c>
      <c r="AN128" s="377">
        <f t="shared" si="376"/>
        <v>0</v>
      </c>
      <c r="AO128" s="377">
        <f t="shared" si="377"/>
        <v>0</v>
      </c>
      <c r="AQ128" s="138">
        <v>105</v>
      </c>
      <c r="AR128" s="258">
        <f t="shared" ca="1" si="528"/>
        <v>49350</v>
      </c>
      <c r="AS128" s="378">
        <f t="shared" si="421"/>
        <v>0</v>
      </c>
      <c r="AU128" s="138">
        <v>105</v>
      </c>
      <c r="AV128" s="258">
        <f t="shared" ca="1" si="529"/>
        <v>49378</v>
      </c>
      <c r="AW128" s="378">
        <f t="shared" si="423"/>
        <v>0</v>
      </c>
      <c r="AX128" s="202">
        <f t="shared" ca="1" si="424"/>
        <v>0</v>
      </c>
      <c r="AY128" s="138">
        <v>105</v>
      </c>
      <c r="AZ128" s="258">
        <f t="shared" ca="1" si="530"/>
        <v>49378</v>
      </c>
      <c r="BA128" s="378">
        <f t="shared" si="426"/>
        <v>0</v>
      </c>
      <c r="BC128" s="258">
        <f t="shared" ca="1" si="591"/>
        <v>49350</v>
      </c>
      <c r="BD128" s="302">
        <f t="shared" ca="1" si="592"/>
        <v>0</v>
      </c>
      <c r="BE128" s="133">
        <f t="shared" si="412"/>
        <v>105</v>
      </c>
      <c r="BF128" s="379">
        <f t="shared" ca="1" si="413"/>
        <v>49350</v>
      </c>
      <c r="BG128" s="133">
        <f t="shared" si="428"/>
        <v>0</v>
      </c>
      <c r="BH128" s="133">
        <f t="shared" si="429"/>
        <v>0</v>
      </c>
      <c r="BI128" s="133">
        <f t="shared" si="430"/>
        <v>0</v>
      </c>
      <c r="BJ128" s="133">
        <f t="shared" si="431"/>
        <v>0</v>
      </c>
      <c r="BK128" s="133">
        <f t="shared" si="432"/>
        <v>0</v>
      </c>
      <c r="BL128" s="133">
        <f t="shared" si="433"/>
        <v>0</v>
      </c>
      <c r="BM128" s="133">
        <f t="shared" si="434"/>
        <v>0</v>
      </c>
      <c r="BN128" s="133">
        <f t="shared" si="435"/>
        <v>0</v>
      </c>
      <c r="BO128" s="133">
        <f t="shared" si="436"/>
        <v>0</v>
      </c>
      <c r="BP128" s="133">
        <f t="shared" si="437"/>
        <v>0</v>
      </c>
      <c r="BQ128" s="133">
        <f t="shared" si="438"/>
        <v>0</v>
      </c>
      <c r="BR128" s="133">
        <f t="shared" si="439"/>
        <v>0</v>
      </c>
      <c r="BS128" s="133">
        <f t="shared" si="440"/>
        <v>0</v>
      </c>
      <c r="BT128" s="133">
        <f t="shared" si="441"/>
        <v>0</v>
      </c>
      <c r="BU128" s="133">
        <f t="shared" si="442"/>
        <v>0</v>
      </c>
      <c r="BV128" s="133">
        <f t="shared" si="443"/>
        <v>0</v>
      </c>
      <c r="BW128" s="133">
        <f t="shared" si="444"/>
        <v>0</v>
      </c>
      <c r="BX128" s="267"/>
      <c r="BY128" s="267"/>
      <c r="BZ128" s="267"/>
      <c r="CA128" s="267"/>
      <c r="CB128" s="267"/>
      <c r="CC128" s="267"/>
      <c r="CD128" s="267"/>
      <c r="CE128" s="267"/>
      <c r="CF128" s="267"/>
      <c r="CG128" s="267"/>
      <c r="CS128" s="178">
        <v>110</v>
      </c>
      <c r="CT128" s="259">
        <f t="shared" ca="1" si="386"/>
        <v>49531</v>
      </c>
      <c r="CU128" s="179">
        <f t="shared" ref="CU128:DC128" ca="1" si="622">(($AW133/(1+CU$18)^(($AZ133-$AZ$23)/30)))+($AS133/(1+CU$18)^(($AZ133-$AZ$23)/30))</f>
        <v>0</v>
      </c>
      <c r="CV128" s="179">
        <f t="shared" ca="1" si="622"/>
        <v>0</v>
      </c>
      <c r="CW128" s="179">
        <f t="shared" ca="1" si="622"/>
        <v>0</v>
      </c>
      <c r="CX128" s="179">
        <f t="shared" ca="1" si="622"/>
        <v>0</v>
      </c>
      <c r="CY128" s="179">
        <f t="shared" ca="1" si="622"/>
        <v>0</v>
      </c>
      <c r="CZ128" s="179">
        <f t="shared" ca="1" si="622"/>
        <v>0</v>
      </c>
      <c r="DA128" s="179">
        <f t="shared" ca="1" si="622"/>
        <v>0</v>
      </c>
      <c r="DB128" s="179">
        <f t="shared" ca="1" si="622"/>
        <v>0</v>
      </c>
      <c r="DC128" s="179">
        <f t="shared" ca="1" si="622"/>
        <v>0</v>
      </c>
      <c r="DD128" s="179">
        <f t="shared" ref="DD128:DI128" ca="1" si="623">(($AW133/(1+DD$18)^(($AZ133-$AZ$23)/30)))+($AS133/(1+DD$18)^(($AZ133-$AZ$23)/30))</f>
        <v>0</v>
      </c>
      <c r="DE128" s="179">
        <f t="shared" ca="1" si="623"/>
        <v>0</v>
      </c>
      <c r="DF128" s="179" t="e">
        <f t="shared" ca="1" si="623"/>
        <v>#VALUE!</v>
      </c>
      <c r="DG128" s="179" t="e">
        <f t="shared" ca="1" si="623"/>
        <v>#VALUE!</v>
      </c>
      <c r="DH128" s="179" t="e">
        <f t="shared" ca="1" si="623"/>
        <v>#VALUE!</v>
      </c>
      <c r="DI128" s="179" t="e">
        <f t="shared" ca="1" si="623"/>
        <v>#VALUE!</v>
      </c>
      <c r="DJ128" s="179" t="e">
        <f t="shared" ref="DJ128:DQ128" ca="1" si="624">(($AW133/(1+DJ$18)^(($AZ133-$AZ$23)/30)))+($AS133/(1+DJ$18)^(($AZ133-$AZ$23)/30))</f>
        <v>#VALUE!</v>
      </c>
      <c r="DK128" s="179" t="e">
        <f t="shared" ca="1" si="624"/>
        <v>#VALUE!</v>
      </c>
      <c r="DL128" s="179" t="e">
        <f t="shared" ca="1" si="624"/>
        <v>#VALUE!</v>
      </c>
      <c r="DM128" s="179" t="e">
        <f t="shared" ca="1" si="624"/>
        <v>#VALUE!</v>
      </c>
      <c r="DN128" s="179" t="e">
        <f t="shared" ca="1" si="624"/>
        <v>#VALUE!</v>
      </c>
      <c r="DO128" s="179" t="e">
        <f t="shared" ca="1" si="624"/>
        <v>#VALUE!</v>
      </c>
      <c r="DP128" s="179" t="e">
        <f t="shared" ca="1" si="624"/>
        <v>#VALUE!</v>
      </c>
      <c r="DQ128" s="179" t="e">
        <f t="shared" ca="1" si="624"/>
        <v>#VALUE!</v>
      </c>
      <c r="DR128" s="180">
        <f t="shared" si="396"/>
        <v>0</v>
      </c>
      <c r="DS128" s="180">
        <f t="shared" si="565"/>
        <v>0</v>
      </c>
      <c r="DT128" s="180">
        <f t="shared" si="565"/>
        <v>0</v>
      </c>
      <c r="DU128" s="180">
        <f t="shared" si="565"/>
        <v>0</v>
      </c>
      <c r="DV128" s="180">
        <f t="shared" si="565"/>
        <v>0</v>
      </c>
      <c r="DW128" s="180">
        <f t="shared" si="565"/>
        <v>0</v>
      </c>
      <c r="DX128" s="180">
        <f t="shared" si="565"/>
        <v>0</v>
      </c>
      <c r="DY128" s="180">
        <f t="shared" si="565"/>
        <v>0</v>
      </c>
      <c r="DZ128" s="180">
        <f t="shared" si="565"/>
        <v>0</v>
      </c>
      <c r="EA128" s="180">
        <f t="shared" si="565"/>
        <v>0</v>
      </c>
      <c r="EB128" s="180">
        <f t="shared" si="565"/>
        <v>0</v>
      </c>
      <c r="EC128" s="180">
        <f t="shared" si="565"/>
        <v>0</v>
      </c>
      <c r="ED128" s="180">
        <f t="shared" si="565"/>
        <v>0</v>
      </c>
      <c r="EE128" s="180">
        <f t="shared" si="565"/>
        <v>0</v>
      </c>
      <c r="EF128" s="180">
        <f t="shared" si="565"/>
        <v>0</v>
      </c>
      <c r="EG128" s="180">
        <f t="shared" ref="EG128:EO128" si="625">IF($AU133&gt;$BA$19,0,$BA133-$AS133)</f>
        <v>0</v>
      </c>
      <c r="EH128" s="180">
        <f t="shared" si="625"/>
        <v>0</v>
      </c>
      <c r="EI128" s="180">
        <f t="shared" si="625"/>
        <v>0</v>
      </c>
      <c r="EJ128" s="180">
        <f t="shared" si="625"/>
        <v>0</v>
      </c>
      <c r="EK128" s="180">
        <f t="shared" si="625"/>
        <v>0</v>
      </c>
      <c r="EL128" s="180">
        <f t="shared" si="625"/>
        <v>0</v>
      </c>
      <c r="EM128" s="180">
        <f t="shared" si="625"/>
        <v>0</v>
      </c>
      <c r="EN128" s="180">
        <f t="shared" si="625"/>
        <v>0</v>
      </c>
      <c r="EO128" s="180">
        <f t="shared" si="625"/>
        <v>0</v>
      </c>
      <c r="EQ128" s="259">
        <f t="shared" ca="1" si="398"/>
        <v>49500</v>
      </c>
      <c r="ER128" s="87">
        <f t="shared" ca="1" si="586"/>
        <v>0</v>
      </c>
      <c r="ES128" s="87">
        <f t="shared" ca="1" si="586"/>
        <v>0</v>
      </c>
      <c r="ET128" s="87">
        <f t="shared" ca="1" si="586"/>
        <v>0</v>
      </c>
      <c r="EU128" s="87">
        <f t="shared" ca="1" si="586"/>
        <v>0</v>
      </c>
      <c r="EV128" s="87">
        <f t="shared" ca="1" si="586"/>
        <v>0</v>
      </c>
      <c r="EW128" s="87">
        <f t="shared" ca="1" si="586"/>
        <v>0</v>
      </c>
      <c r="EX128" s="87">
        <f t="shared" ca="1" si="586"/>
        <v>0</v>
      </c>
      <c r="EY128" s="87">
        <f t="shared" ca="1" si="586"/>
        <v>0</v>
      </c>
      <c r="EZ128" s="87">
        <f t="shared" ca="1" si="586"/>
        <v>0</v>
      </c>
      <c r="FA128" s="87">
        <f t="shared" ca="1" si="586"/>
        <v>0</v>
      </c>
      <c r="FB128" s="87">
        <f t="shared" ca="1" si="586"/>
        <v>0</v>
      </c>
      <c r="FC128" s="87">
        <f t="shared" ca="1" si="586"/>
        <v>0</v>
      </c>
      <c r="FD128" s="87">
        <f t="shared" ca="1" si="586"/>
        <v>0</v>
      </c>
      <c r="FE128" s="87">
        <f t="shared" ca="1" si="586"/>
        <v>0</v>
      </c>
      <c r="FF128" s="87">
        <f t="shared" ca="1" si="586"/>
        <v>0</v>
      </c>
      <c r="FG128" s="87">
        <f t="shared" ca="1" si="567"/>
        <v>0</v>
      </c>
      <c r="FH128" s="87">
        <f t="shared" ca="1" si="567"/>
        <v>0</v>
      </c>
      <c r="FI128" s="87">
        <f t="shared" ca="1" si="567"/>
        <v>0</v>
      </c>
      <c r="FJ128" s="87">
        <f t="shared" ca="1" si="567"/>
        <v>0</v>
      </c>
      <c r="FK128" s="87">
        <f t="shared" ca="1" si="567"/>
        <v>0</v>
      </c>
      <c r="FL128" s="87">
        <f t="shared" ca="1" si="567"/>
        <v>0</v>
      </c>
      <c r="FM128" s="87">
        <f t="shared" ca="1" si="567"/>
        <v>0</v>
      </c>
      <c r="FN128" s="87">
        <f t="shared" ca="1" si="567"/>
        <v>0</v>
      </c>
      <c r="FO128" s="87">
        <f t="shared" ca="1" si="567"/>
        <v>0</v>
      </c>
      <c r="FP128" s="87">
        <f t="shared" ca="1" si="567"/>
        <v>0</v>
      </c>
    </row>
    <row r="129" spans="2:172" ht="12.75" hidden="1" customHeight="1" x14ac:dyDescent="0.25">
      <c r="B129" s="87">
        <v>71</v>
      </c>
      <c r="C129" s="181">
        <f t="shared" ca="1" si="597"/>
        <v>48314</v>
      </c>
      <c r="D129" s="380">
        <f t="shared" ref="D129:M138" si="626">IF($B129&lt;=D$20,1/(($C$57+1)^(($C129-$C$58)/30)),0)</f>
        <v>0</v>
      </c>
      <c r="E129" s="380">
        <f t="shared" si="626"/>
        <v>0</v>
      </c>
      <c r="F129" s="380">
        <f t="shared" si="626"/>
        <v>0</v>
      </c>
      <c r="G129" s="380">
        <f t="shared" si="626"/>
        <v>0</v>
      </c>
      <c r="H129" s="380">
        <f t="shared" si="626"/>
        <v>0</v>
      </c>
      <c r="I129" s="380">
        <f t="shared" si="626"/>
        <v>0</v>
      </c>
      <c r="J129" s="380">
        <f t="shared" si="626"/>
        <v>0</v>
      </c>
      <c r="K129" s="380">
        <f t="shared" si="626"/>
        <v>0</v>
      </c>
      <c r="L129" s="380">
        <f t="shared" si="626"/>
        <v>0</v>
      </c>
      <c r="M129" s="380">
        <f t="shared" si="626"/>
        <v>0</v>
      </c>
      <c r="N129" s="380">
        <f t="shared" ref="N129:T138" si="627">IF($B129&lt;=N$20,1/(($C$57+1)^(($C129-$C$58)/30)),0)</f>
        <v>0</v>
      </c>
      <c r="O129" s="380">
        <f t="shared" si="627"/>
        <v>0</v>
      </c>
      <c r="P129" s="380">
        <f t="shared" si="627"/>
        <v>0</v>
      </c>
      <c r="Q129" s="380">
        <f t="shared" si="627"/>
        <v>0</v>
      </c>
      <c r="R129" s="380">
        <f t="shared" si="627"/>
        <v>0</v>
      </c>
      <c r="S129" s="380">
        <f t="shared" si="627"/>
        <v>0</v>
      </c>
      <c r="T129" s="380">
        <f t="shared" si="627"/>
        <v>0</v>
      </c>
      <c r="U129" s="175"/>
      <c r="X129" s="87">
        <v>114</v>
      </c>
      <c r="Y129" s="377">
        <f t="shared" si="361"/>
        <v>0</v>
      </c>
      <c r="Z129" s="377">
        <f t="shared" si="362"/>
        <v>0</v>
      </c>
      <c r="AA129" s="377">
        <f t="shared" si="363"/>
        <v>0</v>
      </c>
      <c r="AB129" s="377">
        <f t="shared" si="364"/>
        <v>0</v>
      </c>
      <c r="AC129" s="377">
        <f t="shared" si="365"/>
        <v>0</v>
      </c>
      <c r="AD129" s="377">
        <f t="shared" si="366"/>
        <v>0</v>
      </c>
      <c r="AE129" s="377">
        <f t="shared" si="367"/>
        <v>0</v>
      </c>
      <c r="AF129" s="377">
        <f t="shared" si="368"/>
        <v>0</v>
      </c>
      <c r="AG129" s="377">
        <f t="shared" si="369"/>
        <v>0</v>
      </c>
      <c r="AH129" s="377">
        <f t="shared" si="370"/>
        <v>0</v>
      </c>
      <c r="AI129" s="377">
        <f t="shared" si="371"/>
        <v>0</v>
      </c>
      <c r="AJ129" s="377">
        <f t="shared" si="372"/>
        <v>0</v>
      </c>
      <c r="AK129" s="377">
        <f t="shared" si="373"/>
        <v>0</v>
      </c>
      <c r="AL129" s="377">
        <f t="shared" si="374"/>
        <v>0</v>
      </c>
      <c r="AM129" s="377">
        <f t="shared" si="375"/>
        <v>0</v>
      </c>
      <c r="AN129" s="377">
        <f t="shared" si="376"/>
        <v>0</v>
      </c>
      <c r="AO129" s="377">
        <f t="shared" si="377"/>
        <v>0</v>
      </c>
      <c r="AQ129" s="138">
        <v>106</v>
      </c>
      <c r="AR129" s="258">
        <f t="shared" ca="1" si="528"/>
        <v>49378</v>
      </c>
      <c r="AS129" s="378">
        <f t="shared" si="421"/>
        <v>0</v>
      </c>
      <c r="AU129" s="138">
        <v>106</v>
      </c>
      <c r="AV129" s="258">
        <f t="shared" ca="1" si="529"/>
        <v>49409</v>
      </c>
      <c r="AW129" s="378">
        <f t="shared" si="423"/>
        <v>0</v>
      </c>
      <c r="AX129" s="202">
        <f t="shared" ca="1" si="424"/>
        <v>0</v>
      </c>
      <c r="AY129" s="138">
        <v>106</v>
      </c>
      <c r="AZ129" s="258">
        <f t="shared" ca="1" si="530"/>
        <v>49409</v>
      </c>
      <c r="BA129" s="378">
        <f t="shared" si="426"/>
        <v>0</v>
      </c>
      <c r="BC129" s="258">
        <f t="shared" ca="1" si="591"/>
        <v>49378</v>
      </c>
      <c r="BD129" s="302">
        <f t="shared" ca="1" si="592"/>
        <v>0</v>
      </c>
      <c r="BE129" s="133">
        <f t="shared" si="412"/>
        <v>106</v>
      </c>
      <c r="BF129" s="379">
        <f t="shared" ca="1" si="413"/>
        <v>49378</v>
      </c>
      <c r="BG129" s="133">
        <f t="shared" si="428"/>
        <v>0</v>
      </c>
      <c r="BH129" s="133">
        <f t="shared" si="429"/>
        <v>0</v>
      </c>
      <c r="BI129" s="133">
        <f t="shared" si="430"/>
        <v>0</v>
      </c>
      <c r="BJ129" s="133">
        <f t="shared" si="431"/>
        <v>0</v>
      </c>
      <c r="BK129" s="133">
        <f t="shared" si="432"/>
        <v>0</v>
      </c>
      <c r="BL129" s="133">
        <f t="shared" si="433"/>
        <v>0</v>
      </c>
      <c r="BM129" s="133">
        <f t="shared" si="434"/>
        <v>0</v>
      </c>
      <c r="BN129" s="133">
        <f t="shared" si="435"/>
        <v>0</v>
      </c>
      <c r="BO129" s="133">
        <f t="shared" si="436"/>
        <v>0</v>
      </c>
      <c r="BP129" s="133">
        <f t="shared" si="437"/>
        <v>0</v>
      </c>
      <c r="BQ129" s="133">
        <f t="shared" si="438"/>
        <v>0</v>
      </c>
      <c r="BR129" s="133">
        <f t="shared" si="439"/>
        <v>0</v>
      </c>
      <c r="BS129" s="133">
        <f t="shared" si="440"/>
        <v>0</v>
      </c>
      <c r="BT129" s="133">
        <f t="shared" si="441"/>
        <v>0</v>
      </c>
      <c r="BU129" s="133">
        <f t="shared" si="442"/>
        <v>0</v>
      </c>
      <c r="BV129" s="133">
        <f t="shared" si="443"/>
        <v>0</v>
      </c>
      <c r="BW129" s="133">
        <f t="shared" si="444"/>
        <v>0</v>
      </c>
      <c r="BX129" s="267"/>
      <c r="BY129" s="267"/>
      <c r="BZ129" s="267"/>
      <c r="CA129" s="267"/>
      <c r="CB129" s="267"/>
      <c r="CC129" s="267"/>
      <c r="CD129" s="267"/>
      <c r="CE129" s="267"/>
      <c r="CF129" s="267"/>
      <c r="CG129" s="267"/>
      <c r="CS129" s="138">
        <v>111</v>
      </c>
      <c r="CT129" s="259">
        <f t="shared" ca="1" si="386"/>
        <v>49562</v>
      </c>
      <c r="CU129" s="179">
        <f t="shared" ref="CU129:DC129" ca="1" si="628">(($AW134/(1+CU$18)^(($AZ134-$AZ$23)/30)))+($AS134/(1+CU$18)^(($AZ134-$AZ$23)/30))</f>
        <v>0</v>
      </c>
      <c r="CV129" s="179">
        <f t="shared" ca="1" si="628"/>
        <v>0</v>
      </c>
      <c r="CW129" s="179">
        <f t="shared" ca="1" si="628"/>
        <v>0</v>
      </c>
      <c r="CX129" s="179">
        <f t="shared" ca="1" si="628"/>
        <v>0</v>
      </c>
      <c r="CY129" s="179">
        <f t="shared" ca="1" si="628"/>
        <v>0</v>
      </c>
      <c r="CZ129" s="179">
        <f t="shared" ca="1" si="628"/>
        <v>0</v>
      </c>
      <c r="DA129" s="179">
        <f t="shared" ca="1" si="628"/>
        <v>0</v>
      </c>
      <c r="DB129" s="179">
        <f t="shared" ca="1" si="628"/>
        <v>0</v>
      </c>
      <c r="DC129" s="179">
        <f t="shared" ca="1" si="628"/>
        <v>0</v>
      </c>
      <c r="DD129" s="179">
        <f t="shared" ref="DD129:DI129" ca="1" si="629">(($AW134/(1+DD$18)^(($AZ134-$AZ$23)/30)))+($AS134/(1+DD$18)^(($AZ134-$AZ$23)/30))</f>
        <v>0</v>
      </c>
      <c r="DE129" s="179">
        <f t="shared" ca="1" si="629"/>
        <v>0</v>
      </c>
      <c r="DF129" s="179" t="e">
        <f t="shared" ca="1" si="629"/>
        <v>#VALUE!</v>
      </c>
      <c r="DG129" s="179" t="e">
        <f t="shared" ca="1" si="629"/>
        <v>#VALUE!</v>
      </c>
      <c r="DH129" s="179" t="e">
        <f t="shared" ca="1" si="629"/>
        <v>#VALUE!</v>
      </c>
      <c r="DI129" s="179" t="e">
        <f t="shared" ca="1" si="629"/>
        <v>#VALUE!</v>
      </c>
      <c r="DJ129" s="179" t="e">
        <f t="shared" ref="DJ129:DQ129" ca="1" si="630">(($AW134/(1+DJ$18)^(($AZ134-$AZ$23)/30)))+($AS134/(1+DJ$18)^(($AZ134-$AZ$23)/30))</f>
        <v>#VALUE!</v>
      </c>
      <c r="DK129" s="179" t="e">
        <f t="shared" ca="1" si="630"/>
        <v>#VALUE!</v>
      </c>
      <c r="DL129" s="179" t="e">
        <f t="shared" ca="1" si="630"/>
        <v>#VALUE!</v>
      </c>
      <c r="DM129" s="179" t="e">
        <f t="shared" ca="1" si="630"/>
        <v>#VALUE!</v>
      </c>
      <c r="DN129" s="179" t="e">
        <f t="shared" ca="1" si="630"/>
        <v>#VALUE!</v>
      </c>
      <c r="DO129" s="179" t="e">
        <f t="shared" ca="1" si="630"/>
        <v>#VALUE!</v>
      </c>
      <c r="DP129" s="179" t="e">
        <f t="shared" ca="1" si="630"/>
        <v>#VALUE!</v>
      </c>
      <c r="DQ129" s="179" t="e">
        <f t="shared" ca="1" si="630"/>
        <v>#VALUE!</v>
      </c>
      <c r="DR129" s="180">
        <f t="shared" si="396"/>
        <v>0</v>
      </c>
      <c r="DS129" s="180">
        <f t="shared" si="565"/>
        <v>0</v>
      </c>
      <c r="DT129" s="180">
        <f t="shared" si="565"/>
        <v>0</v>
      </c>
      <c r="DU129" s="180">
        <f t="shared" si="565"/>
        <v>0</v>
      </c>
      <c r="DV129" s="180">
        <f t="shared" si="565"/>
        <v>0</v>
      </c>
      <c r="DW129" s="180">
        <f t="shared" si="565"/>
        <v>0</v>
      </c>
      <c r="DX129" s="180">
        <f t="shared" si="565"/>
        <v>0</v>
      </c>
      <c r="DY129" s="180">
        <f t="shared" si="565"/>
        <v>0</v>
      </c>
      <c r="DZ129" s="180">
        <f t="shared" si="565"/>
        <v>0</v>
      </c>
      <c r="EA129" s="180">
        <f t="shared" si="565"/>
        <v>0</v>
      </c>
      <c r="EB129" s="180">
        <f t="shared" si="565"/>
        <v>0</v>
      </c>
      <c r="EC129" s="180">
        <f t="shared" si="565"/>
        <v>0</v>
      </c>
      <c r="ED129" s="180">
        <f t="shared" si="565"/>
        <v>0</v>
      </c>
      <c r="EE129" s="180">
        <f t="shared" si="565"/>
        <v>0</v>
      </c>
      <c r="EF129" s="180">
        <f t="shared" si="565"/>
        <v>0</v>
      </c>
      <c r="EG129" s="180">
        <f t="shared" ref="EG129:EO129" si="631">IF($AU134&gt;$BA$19,0,$BA134-$AS134)</f>
        <v>0</v>
      </c>
      <c r="EH129" s="180">
        <f t="shared" si="631"/>
        <v>0</v>
      </c>
      <c r="EI129" s="180">
        <f t="shared" si="631"/>
        <v>0</v>
      </c>
      <c r="EJ129" s="180">
        <f t="shared" si="631"/>
        <v>0</v>
      </c>
      <c r="EK129" s="180">
        <f t="shared" si="631"/>
        <v>0</v>
      </c>
      <c r="EL129" s="180">
        <f t="shared" si="631"/>
        <v>0</v>
      </c>
      <c r="EM129" s="180">
        <f t="shared" si="631"/>
        <v>0</v>
      </c>
      <c r="EN129" s="180">
        <f t="shared" si="631"/>
        <v>0</v>
      </c>
      <c r="EO129" s="180">
        <f t="shared" si="631"/>
        <v>0</v>
      </c>
      <c r="EQ129" s="259">
        <f t="shared" ca="1" si="398"/>
        <v>49531</v>
      </c>
      <c r="ER129" s="87">
        <f t="shared" ref="ER129:FF138" ca="1" si="632" xml:space="preserve"> IFERROR(VLOOKUP($EQ129,$AZ$23:$BA$167,2,FALSE),0)-IFERROR(VLOOKUP($EQ129,$AR$23:$AS$167,2,FALSE),0)</f>
        <v>0</v>
      </c>
      <c r="ES129" s="87">
        <f t="shared" ca="1" si="632"/>
        <v>0</v>
      </c>
      <c r="ET129" s="87">
        <f t="shared" ca="1" si="632"/>
        <v>0</v>
      </c>
      <c r="EU129" s="87">
        <f t="shared" ca="1" si="632"/>
        <v>0</v>
      </c>
      <c r="EV129" s="87">
        <f t="shared" ca="1" si="632"/>
        <v>0</v>
      </c>
      <c r="EW129" s="87">
        <f t="shared" ca="1" si="632"/>
        <v>0</v>
      </c>
      <c r="EX129" s="87">
        <f t="shared" ca="1" si="632"/>
        <v>0</v>
      </c>
      <c r="EY129" s="87">
        <f t="shared" ca="1" si="632"/>
        <v>0</v>
      </c>
      <c r="EZ129" s="87">
        <f t="shared" ca="1" si="632"/>
        <v>0</v>
      </c>
      <c r="FA129" s="87">
        <f t="shared" ca="1" si="632"/>
        <v>0</v>
      </c>
      <c r="FB129" s="87">
        <f t="shared" ca="1" si="632"/>
        <v>0</v>
      </c>
      <c r="FC129" s="87">
        <f t="shared" ca="1" si="632"/>
        <v>0</v>
      </c>
      <c r="FD129" s="87">
        <f t="shared" ca="1" si="632"/>
        <v>0</v>
      </c>
      <c r="FE129" s="87">
        <f t="shared" ca="1" si="632"/>
        <v>0</v>
      </c>
      <c r="FF129" s="87">
        <f t="shared" ca="1" si="632"/>
        <v>0</v>
      </c>
      <c r="FG129" s="87">
        <f t="shared" ca="1" si="567"/>
        <v>0</v>
      </c>
      <c r="FH129" s="87">
        <f t="shared" ca="1" si="567"/>
        <v>0</v>
      </c>
      <c r="FI129" s="87">
        <f t="shared" ca="1" si="567"/>
        <v>0</v>
      </c>
      <c r="FJ129" s="87">
        <f t="shared" ca="1" si="567"/>
        <v>0</v>
      </c>
      <c r="FK129" s="87">
        <f t="shared" ca="1" si="567"/>
        <v>0</v>
      </c>
      <c r="FL129" s="87">
        <f t="shared" ca="1" si="567"/>
        <v>0</v>
      </c>
      <c r="FM129" s="87">
        <f t="shared" ca="1" si="567"/>
        <v>0</v>
      </c>
      <c r="FN129" s="87">
        <f t="shared" ca="1" si="567"/>
        <v>0</v>
      </c>
      <c r="FO129" s="87">
        <f t="shared" ca="1" si="567"/>
        <v>0</v>
      </c>
      <c r="FP129" s="87">
        <f t="shared" ca="1" si="567"/>
        <v>0</v>
      </c>
    </row>
    <row r="130" spans="2:172" ht="12.75" hidden="1" customHeight="1" x14ac:dyDescent="0.25">
      <c r="B130" s="87">
        <v>72</v>
      </c>
      <c r="C130" s="181">
        <f t="shared" ca="1" si="597"/>
        <v>48344</v>
      </c>
      <c r="D130" s="380">
        <f t="shared" si="626"/>
        <v>0</v>
      </c>
      <c r="E130" s="380">
        <f t="shared" si="626"/>
        <v>0</v>
      </c>
      <c r="F130" s="380">
        <f t="shared" si="626"/>
        <v>0</v>
      </c>
      <c r="G130" s="380">
        <f t="shared" si="626"/>
        <v>0</v>
      </c>
      <c r="H130" s="380">
        <f t="shared" si="626"/>
        <v>0</v>
      </c>
      <c r="I130" s="380">
        <f t="shared" si="626"/>
        <v>0</v>
      </c>
      <c r="J130" s="380">
        <f t="shared" si="626"/>
        <v>0</v>
      </c>
      <c r="K130" s="380">
        <f t="shared" si="626"/>
        <v>0</v>
      </c>
      <c r="L130" s="380">
        <f t="shared" si="626"/>
        <v>0</v>
      </c>
      <c r="M130" s="380">
        <f t="shared" si="626"/>
        <v>0</v>
      </c>
      <c r="N130" s="380">
        <f t="shared" si="627"/>
        <v>0</v>
      </c>
      <c r="O130" s="380">
        <f t="shared" si="627"/>
        <v>0</v>
      </c>
      <c r="P130" s="380">
        <f t="shared" si="627"/>
        <v>0</v>
      </c>
      <c r="Q130" s="380">
        <f t="shared" si="627"/>
        <v>0</v>
      </c>
      <c r="R130" s="380">
        <f t="shared" si="627"/>
        <v>0</v>
      </c>
      <c r="S130" s="380">
        <f t="shared" si="627"/>
        <v>0</v>
      </c>
      <c r="T130" s="380">
        <f t="shared" si="627"/>
        <v>0</v>
      </c>
      <c r="U130" s="175"/>
      <c r="X130" s="87">
        <v>115</v>
      </c>
      <c r="Y130" s="377">
        <f t="shared" si="361"/>
        <v>0</v>
      </c>
      <c r="Z130" s="377">
        <f t="shared" si="362"/>
        <v>0</v>
      </c>
      <c r="AA130" s="377">
        <f t="shared" si="363"/>
        <v>0</v>
      </c>
      <c r="AB130" s="377">
        <f t="shared" si="364"/>
        <v>0</v>
      </c>
      <c r="AC130" s="377">
        <f t="shared" si="365"/>
        <v>0</v>
      </c>
      <c r="AD130" s="377">
        <f t="shared" si="366"/>
        <v>0</v>
      </c>
      <c r="AE130" s="377">
        <f t="shared" si="367"/>
        <v>0</v>
      </c>
      <c r="AF130" s="377">
        <f t="shared" si="368"/>
        <v>0</v>
      </c>
      <c r="AG130" s="377">
        <f t="shared" si="369"/>
        <v>0</v>
      </c>
      <c r="AH130" s="377">
        <f t="shared" si="370"/>
        <v>0</v>
      </c>
      <c r="AI130" s="377">
        <f t="shared" si="371"/>
        <v>0</v>
      </c>
      <c r="AJ130" s="377">
        <f t="shared" si="372"/>
        <v>0</v>
      </c>
      <c r="AK130" s="377">
        <f t="shared" si="373"/>
        <v>0</v>
      </c>
      <c r="AL130" s="377">
        <f t="shared" si="374"/>
        <v>0</v>
      </c>
      <c r="AM130" s="377">
        <f t="shared" si="375"/>
        <v>0</v>
      </c>
      <c r="AN130" s="377">
        <f t="shared" si="376"/>
        <v>0</v>
      </c>
      <c r="AO130" s="377">
        <f t="shared" si="377"/>
        <v>0</v>
      </c>
      <c r="AQ130" s="138">
        <v>107</v>
      </c>
      <c r="AR130" s="258">
        <f t="shared" ca="1" si="528"/>
        <v>49409</v>
      </c>
      <c r="AS130" s="378">
        <f t="shared" si="421"/>
        <v>0</v>
      </c>
      <c r="AU130" s="138">
        <v>107</v>
      </c>
      <c r="AV130" s="258">
        <f t="shared" ca="1" si="529"/>
        <v>49439</v>
      </c>
      <c r="AW130" s="378">
        <f t="shared" si="423"/>
        <v>0</v>
      </c>
      <c r="AX130" s="202">
        <f t="shared" ca="1" si="424"/>
        <v>0</v>
      </c>
      <c r="AY130" s="138">
        <v>107</v>
      </c>
      <c r="AZ130" s="258">
        <f t="shared" ca="1" si="530"/>
        <v>49439</v>
      </c>
      <c r="BA130" s="378">
        <f t="shared" si="426"/>
        <v>0</v>
      </c>
      <c r="BC130" s="258">
        <f t="shared" ca="1" si="591"/>
        <v>49409</v>
      </c>
      <c r="BD130" s="302">
        <f t="shared" ca="1" si="592"/>
        <v>0</v>
      </c>
      <c r="BE130" s="133">
        <f t="shared" si="412"/>
        <v>107</v>
      </c>
      <c r="BF130" s="379">
        <f t="shared" ca="1" si="413"/>
        <v>49409</v>
      </c>
      <c r="BG130" s="133">
        <f t="shared" si="428"/>
        <v>0</v>
      </c>
      <c r="BH130" s="133">
        <f t="shared" si="429"/>
        <v>0</v>
      </c>
      <c r="BI130" s="133">
        <f t="shared" si="430"/>
        <v>0</v>
      </c>
      <c r="BJ130" s="133">
        <f t="shared" si="431"/>
        <v>0</v>
      </c>
      <c r="BK130" s="133">
        <f t="shared" si="432"/>
        <v>0</v>
      </c>
      <c r="BL130" s="133">
        <f t="shared" si="433"/>
        <v>0</v>
      </c>
      <c r="BM130" s="133">
        <f t="shared" si="434"/>
        <v>0</v>
      </c>
      <c r="BN130" s="133">
        <f t="shared" si="435"/>
        <v>0</v>
      </c>
      <c r="BO130" s="133">
        <f t="shared" si="436"/>
        <v>0</v>
      </c>
      <c r="BP130" s="133">
        <f t="shared" si="437"/>
        <v>0</v>
      </c>
      <c r="BQ130" s="133">
        <f t="shared" si="438"/>
        <v>0</v>
      </c>
      <c r="BR130" s="133">
        <f t="shared" si="439"/>
        <v>0</v>
      </c>
      <c r="BS130" s="133">
        <f t="shared" si="440"/>
        <v>0</v>
      </c>
      <c r="BT130" s="133">
        <f t="shared" si="441"/>
        <v>0</v>
      </c>
      <c r="BU130" s="133">
        <f t="shared" si="442"/>
        <v>0</v>
      </c>
      <c r="BV130" s="133">
        <f t="shared" si="443"/>
        <v>0</v>
      </c>
      <c r="BW130" s="133">
        <f t="shared" si="444"/>
        <v>0</v>
      </c>
      <c r="BX130" s="267"/>
      <c r="BY130" s="267"/>
      <c r="BZ130" s="267"/>
      <c r="CA130" s="267"/>
      <c r="CB130" s="267"/>
      <c r="CC130" s="267"/>
      <c r="CD130" s="267"/>
      <c r="CE130" s="267"/>
      <c r="CF130" s="267"/>
      <c r="CG130" s="267"/>
      <c r="CS130" s="87">
        <v>112</v>
      </c>
      <c r="CT130" s="259">
        <f t="shared" ca="1" si="386"/>
        <v>49592</v>
      </c>
      <c r="CU130" s="179">
        <f t="shared" ref="CU130:DC130" ca="1" si="633">(($AW135/(1+CU$18)^(($AZ135-$AZ$23)/30)))+($AS135/(1+CU$18)^(($AZ135-$AZ$23)/30))</f>
        <v>0</v>
      </c>
      <c r="CV130" s="179">
        <f t="shared" ca="1" si="633"/>
        <v>0</v>
      </c>
      <c r="CW130" s="179">
        <f t="shared" ca="1" si="633"/>
        <v>0</v>
      </c>
      <c r="CX130" s="179">
        <f t="shared" ca="1" si="633"/>
        <v>0</v>
      </c>
      <c r="CY130" s="179">
        <f t="shared" ca="1" si="633"/>
        <v>0</v>
      </c>
      <c r="CZ130" s="179">
        <f t="shared" ca="1" si="633"/>
        <v>0</v>
      </c>
      <c r="DA130" s="179">
        <f t="shared" ca="1" si="633"/>
        <v>0</v>
      </c>
      <c r="DB130" s="179">
        <f t="shared" ca="1" si="633"/>
        <v>0</v>
      </c>
      <c r="DC130" s="179">
        <f t="shared" ca="1" si="633"/>
        <v>0</v>
      </c>
      <c r="DD130" s="179">
        <f t="shared" ref="DD130:DI130" ca="1" si="634">(($AW135/(1+DD$18)^(($AZ135-$AZ$23)/30)))+($AS135/(1+DD$18)^(($AZ135-$AZ$23)/30))</f>
        <v>0</v>
      </c>
      <c r="DE130" s="179">
        <f t="shared" ca="1" si="634"/>
        <v>0</v>
      </c>
      <c r="DF130" s="179" t="e">
        <f t="shared" ca="1" si="634"/>
        <v>#VALUE!</v>
      </c>
      <c r="DG130" s="179" t="e">
        <f t="shared" ca="1" si="634"/>
        <v>#VALUE!</v>
      </c>
      <c r="DH130" s="179" t="e">
        <f t="shared" ca="1" si="634"/>
        <v>#VALUE!</v>
      </c>
      <c r="DI130" s="179" t="e">
        <f t="shared" ca="1" si="634"/>
        <v>#VALUE!</v>
      </c>
      <c r="DJ130" s="179" t="e">
        <f t="shared" ref="DJ130:DQ130" ca="1" si="635">(($AW135/(1+DJ$18)^(($AZ135-$AZ$23)/30)))+($AS135/(1+DJ$18)^(($AZ135-$AZ$23)/30))</f>
        <v>#VALUE!</v>
      </c>
      <c r="DK130" s="179" t="e">
        <f t="shared" ca="1" si="635"/>
        <v>#VALUE!</v>
      </c>
      <c r="DL130" s="179" t="e">
        <f t="shared" ca="1" si="635"/>
        <v>#VALUE!</v>
      </c>
      <c r="DM130" s="179" t="e">
        <f t="shared" ca="1" si="635"/>
        <v>#VALUE!</v>
      </c>
      <c r="DN130" s="179" t="e">
        <f t="shared" ca="1" si="635"/>
        <v>#VALUE!</v>
      </c>
      <c r="DO130" s="179" t="e">
        <f t="shared" ca="1" si="635"/>
        <v>#VALUE!</v>
      </c>
      <c r="DP130" s="179" t="e">
        <f t="shared" ca="1" si="635"/>
        <v>#VALUE!</v>
      </c>
      <c r="DQ130" s="179" t="e">
        <f t="shared" ca="1" si="635"/>
        <v>#VALUE!</v>
      </c>
      <c r="DR130" s="180">
        <f t="shared" si="396"/>
        <v>0</v>
      </c>
      <c r="DS130" s="180">
        <f t="shared" si="565"/>
        <v>0</v>
      </c>
      <c r="DT130" s="180">
        <f t="shared" si="565"/>
        <v>0</v>
      </c>
      <c r="DU130" s="180">
        <f t="shared" si="565"/>
        <v>0</v>
      </c>
      <c r="DV130" s="180">
        <f t="shared" si="565"/>
        <v>0</v>
      </c>
      <c r="DW130" s="180">
        <f t="shared" si="565"/>
        <v>0</v>
      </c>
      <c r="DX130" s="180">
        <f t="shared" si="565"/>
        <v>0</v>
      </c>
      <c r="DY130" s="180">
        <f t="shared" si="565"/>
        <v>0</v>
      </c>
      <c r="DZ130" s="180">
        <f t="shared" si="565"/>
        <v>0</v>
      </c>
      <c r="EA130" s="180">
        <f t="shared" si="565"/>
        <v>0</v>
      </c>
      <c r="EB130" s="180">
        <f t="shared" si="565"/>
        <v>0</v>
      </c>
      <c r="EC130" s="180">
        <f t="shared" si="565"/>
        <v>0</v>
      </c>
      <c r="ED130" s="180">
        <f t="shared" si="565"/>
        <v>0</v>
      </c>
      <c r="EE130" s="180">
        <f t="shared" si="565"/>
        <v>0</v>
      </c>
      <c r="EF130" s="180">
        <f t="shared" si="565"/>
        <v>0</v>
      </c>
      <c r="EG130" s="180">
        <f t="shared" ref="EG130:EO130" si="636">IF($AU135&gt;$BA$19,0,$BA135-$AS135)</f>
        <v>0</v>
      </c>
      <c r="EH130" s="180">
        <f t="shared" si="636"/>
        <v>0</v>
      </c>
      <c r="EI130" s="180">
        <f t="shared" si="636"/>
        <v>0</v>
      </c>
      <c r="EJ130" s="180">
        <f t="shared" si="636"/>
        <v>0</v>
      </c>
      <c r="EK130" s="180">
        <f t="shared" si="636"/>
        <v>0</v>
      </c>
      <c r="EL130" s="180">
        <f t="shared" si="636"/>
        <v>0</v>
      </c>
      <c r="EM130" s="180">
        <f t="shared" si="636"/>
        <v>0</v>
      </c>
      <c r="EN130" s="180">
        <f t="shared" si="636"/>
        <v>0</v>
      </c>
      <c r="EO130" s="180">
        <f t="shared" si="636"/>
        <v>0</v>
      </c>
      <c r="EQ130" s="259">
        <f t="shared" ca="1" si="398"/>
        <v>49562</v>
      </c>
      <c r="ER130" s="87">
        <f t="shared" ca="1" si="632"/>
        <v>0</v>
      </c>
      <c r="ES130" s="87">
        <f t="shared" ca="1" si="632"/>
        <v>0</v>
      </c>
      <c r="ET130" s="87">
        <f t="shared" ca="1" si="632"/>
        <v>0</v>
      </c>
      <c r="EU130" s="87">
        <f t="shared" ca="1" si="632"/>
        <v>0</v>
      </c>
      <c r="EV130" s="87">
        <f t="shared" ca="1" si="632"/>
        <v>0</v>
      </c>
      <c r="EW130" s="87">
        <f t="shared" ca="1" si="632"/>
        <v>0</v>
      </c>
      <c r="EX130" s="87">
        <f t="shared" ca="1" si="632"/>
        <v>0</v>
      </c>
      <c r="EY130" s="87">
        <f t="shared" ca="1" si="632"/>
        <v>0</v>
      </c>
      <c r="EZ130" s="87">
        <f t="shared" ca="1" si="632"/>
        <v>0</v>
      </c>
      <c r="FA130" s="87">
        <f t="shared" ca="1" si="632"/>
        <v>0</v>
      </c>
      <c r="FB130" s="87">
        <f t="shared" ca="1" si="632"/>
        <v>0</v>
      </c>
      <c r="FC130" s="87">
        <f t="shared" ca="1" si="632"/>
        <v>0</v>
      </c>
      <c r="FD130" s="87">
        <f t="shared" ca="1" si="632"/>
        <v>0</v>
      </c>
      <c r="FE130" s="87">
        <f t="shared" ca="1" si="632"/>
        <v>0</v>
      </c>
      <c r="FF130" s="87">
        <f t="shared" ca="1" si="632"/>
        <v>0</v>
      </c>
      <c r="FG130" s="87">
        <f t="shared" ca="1" si="567"/>
        <v>0</v>
      </c>
      <c r="FH130" s="87">
        <f t="shared" ca="1" si="567"/>
        <v>0</v>
      </c>
      <c r="FI130" s="87">
        <f t="shared" ca="1" si="567"/>
        <v>0</v>
      </c>
      <c r="FJ130" s="87">
        <f t="shared" ca="1" si="567"/>
        <v>0</v>
      </c>
      <c r="FK130" s="87">
        <f t="shared" ca="1" si="567"/>
        <v>0</v>
      </c>
      <c r="FL130" s="87">
        <f t="shared" ca="1" si="567"/>
        <v>0</v>
      </c>
      <c r="FM130" s="87">
        <f t="shared" ca="1" si="567"/>
        <v>0</v>
      </c>
      <c r="FN130" s="87">
        <f t="shared" ca="1" si="567"/>
        <v>0</v>
      </c>
      <c r="FO130" s="87">
        <f t="shared" ca="1" si="567"/>
        <v>0</v>
      </c>
      <c r="FP130" s="87">
        <f t="shared" ca="1" si="567"/>
        <v>0</v>
      </c>
    </row>
    <row r="131" spans="2:172" ht="12.75" hidden="1" customHeight="1" x14ac:dyDescent="0.25">
      <c r="B131" s="87">
        <v>73</v>
      </c>
      <c r="C131" s="181">
        <f t="shared" ca="1" si="597"/>
        <v>48375</v>
      </c>
      <c r="D131" s="380">
        <f t="shared" si="626"/>
        <v>0</v>
      </c>
      <c r="E131" s="380">
        <f t="shared" si="626"/>
        <v>0</v>
      </c>
      <c r="F131" s="380">
        <f t="shared" si="626"/>
        <v>0</v>
      </c>
      <c r="G131" s="380">
        <f t="shared" si="626"/>
        <v>0</v>
      </c>
      <c r="H131" s="380">
        <f t="shared" si="626"/>
        <v>0</v>
      </c>
      <c r="I131" s="380">
        <f t="shared" si="626"/>
        <v>0</v>
      </c>
      <c r="J131" s="380">
        <f t="shared" si="626"/>
        <v>0</v>
      </c>
      <c r="K131" s="380">
        <f t="shared" si="626"/>
        <v>0</v>
      </c>
      <c r="L131" s="380">
        <f t="shared" si="626"/>
        <v>0</v>
      </c>
      <c r="M131" s="380">
        <f t="shared" si="626"/>
        <v>0</v>
      </c>
      <c r="N131" s="380">
        <f t="shared" si="627"/>
        <v>0</v>
      </c>
      <c r="O131" s="380">
        <f t="shared" si="627"/>
        <v>0</v>
      </c>
      <c r="P131" s="380">
        <f t="shared" si="627"/>
        <v>0</v>
      </c>
      <c r="Q131" s="380">
        <f t="shared" si="627"/>
        <v>0</v>
      </c>
      <c r="R131" s="380">
        <f t="shared" si="627"/>
        <v>0</v>
      </c>
      <c r="S131" s="380">
        <f t="shared" si="627"/>
        <v>0</v>
      </c>
      <c r="T131" s="380">
        <f t="shared" si="627"/>
        <v>0</v>
      </c>
      <c r="U131" s="175"/>
      <c r="X131" s="87">
        <v>116</v>
      </c>
      <c r="Y131" s="377">
        <f t="shared" si="361"/>
        <v>0</v>
      </c>
      <c r="Z131" s="377">
        <f t="shared" si="362"/>
        <v>0</v>
      </c>
      <c r="AA131" s="377">
        <f t="shared" si="363"/>
        <v>0</v>
      </c>
      <c r="AB131" s="377">
        <f t="shared" si="364"/>
        <v>0</v>
      </c>
      <c r="AC131" s="377">
        <f t="shared" si="365"/>
        <v>0</v>
      </c>
      <c r="AD131" s="377">
        <f t="shared" si="366"/>
        <v>0</v>
      </c>
      <c r="AE131" s="377">
        <f t="shared" si="367"/>
        <v>0</v>
      </c>
      <c r="AF131" s="377">
        <f t="shared" si="368"/>
        <v>0</v>
      </c>
      <c r="AG131" s="377">
        <f t="shared" si="369"/>
        <v>0</v>
      </c>
      <c r="AH131" s="377">
        <f t="shared" si="370"/>
        <v>0</v>
      </c>
      <c r="AI131" s="377">
        <f t="shared" si="371"/>
        <v>0</v>
      </c>
      <c r="AJ131" s="377">
        <f t="shared" si="372"/>
        <v>0</v>
      </c>
      <c r="AK131" s="377">
        <f t="shared" si="373"/>
        <v>0</v>
      </c>
      <c r="AL131" s="377">
        <f t="shared" si="374"/>
        <v>0</v>
      </c>
      <c r="AM131" s="377">
        <f t="shared" si="375"/>
        <v>0</v>
      </c>
      <c r="AN131" s="377">
        <f t="shared" si="376"/>
        <v>0</v>
      </c>
      <c r="AO131" s="377">
        <f t="shared" si="377"/>
        <v>0</v>
      </c>
      <c r="AQ131" s="138">
        <v>108</v>
      </c>
      <c r="AR131" s="258">
        <f t="shared" ca="1" si="528"/>
        <v>49439</v>
      </c>
      <c r="AS131" s="378">
        <f t="shared" si="421"/>
        <v>0</v>
      </c>
      <c r="AU131" s="138">
        <v>108</v>
      </c>
      <c r="AV131" s="258">
        <f t="shared" ca="1" si="529"/>
        <v>49470</v>
      </c>
      <c r="AW131" s="378">
        <f t="shared" si="423"/>
        <v>0</v>
      </c>
      <c r="AX131" s="202">
        <f t="shared" ca="1" si="424"/>
        <v>0</v>
      </c>
      <c r="AY131" s="138">
        <v>108</v>
      </c>
      <c r="AZ131" s="258">
        <f t="shared" ca="1" si="530"/>
        <v>49470</v>
      </c>
      <c r="BA131" s="378">
        <f t="shared" si="426"/>
        <v>0</v>
      </c>
      <c r="BC131" s="258">
        <f t="shared" ca="1" si="591"/>
        <v>49439</v>
      </c>
      <c r="BD131" s="302">
        <f t="shared" ca="1" si="592"/>
        <v>0</v>
      </c>
      <c r="BE131" s="133">
        <f t="shared" si="412"/>
        <v>108</v>
      </c>
      <c r="BF131" s="379">
        <f t="shared" ca="1" si="413"/>
        <v>49439</v>
      </c>
      <c r="BG131" s="133">
        <f t="shared" si="428"/>
        <v>0</v>
      </c>
      <c r="BH131" s="133">
        <f t="shared" si="429"/>
        <v>0</v>
      </c>
      <c r="BI131" s="133">
        <f t="shared" si="430"/>
        <v>0</v>
      </c>
      <c r="BJ131" s="133">
        <f t="shared" si="431"/>
        <v>0</v>
      </c>
      <c r="BK131" s="133">
        <f t="shared" si="432"/>
        <v>0</v>
      </c>
      <c r="BL131" s="133">
        <f t="shared" si="433"/>
        <v>0</v>
      </c>
      <c r="BM131" s="133">
        <f t="shared" si="434"/>
        <v>0</v>
      </c>
      <c r="BN131" s="133">
        <f t="shared" si="435"/>
        <v>0</v>
      </c>
      <c r="BO131" s="133">
        <f t="shared" si="436"/>
        <v>0</v>
      </c>
      <c r="BP131" s="133">
        <f t="shared" si="437"/>
        <v>0</v>
      </c>
      <c r="BQ131" s="133">
        <f t="shared" si="438"/>
        <v>0</v>
      </c>
      <c r="BR131" s="133">
        <f t="shared" si="439"/>
        <v>0</v>
      </c>
      <c r="BS131" s="133">
        <f t="shared" si="440"/>
        <v>0</v>
      </c>
      <c r="BT131" s="133">
        <f t="shared" si="441"/>
        <v>0</v>
      </c>
      <c r="BU131" s="133">
        <f t="shared" si="442"/>
        <v>0</v>
      </c>
      <c r="BV131" s="133">
        <f t="shared" si="443"/>
        <v>0</v>
      </c>
      <c r="BW131" s="133">
        <f t="shared" si="444"/>
        <v>0</v>
      </c>
      <c r="BX131" s="267"/>
      <c r="BY131" s="267"/>
      <c r="BZ131" s="267"/>
      <c r="CA131" s="267"/>
      <c r="CB131" s="267"/>
      <c r="CC131" s="267"/>
      <c r="CD131" s="267"/>
      <c r="CE131" s="267"/>
      <c r="CF131" s="267"/>
      <c r="CG131" s="267"/>
      <c r="CS131" s="178">
        <v>113</v>
      </c>
      <c r="CT131" s="259">
        <f t="shared" ca="1" si="386"/>
        <v>49623</v>
      </c>
      <c r="CU131" s="179">
        <f t="shared" ref="CU131:DC131" ca="1" si="637">(($AW136/(1+CU$18)^(($AZ136-$AZ$23)/30)))+($AS136/(1+CU$18)^(($AZ136-$AZ$23)/30))</f>
        <v>0</v>
      </c>
      <c r="CV131" s="179">
        <f t="shared" ca="1" si="637"/>
        <v>0</v>
      </c>
      <c r="CW131" s="179">
        <f t="shared" ca="1" si="637"/>
        <v>0</v>
      </c>
      <c r="CX131" s="179">
        <f t="shared" ca="1" si="637"/>
        <v>0</v>
      </c>
      <c r="CY131" s="179">
        <f t="shared" ca="1" si="637"/>
        <v>0</v>
      </c>
      <c r="CZ131" s="179">
        <f t="shared" ca="1" si="637"/>
        <v>0</v>
      </c>
      <c r="DA131" s="179">
        <f t="shared" ca="1" si="637"/>
        <v>0</v>
      </c>
      <c r="DB131" s="179">
        <f t="shared" ca="1" si="637"/>
        <v>0</v>
      </c>
      <c r="DC131" s="179">
        <f t="shared" ca="1" si="637"/>
        <v>0</v>
      </c>
      <c r="DD131" s="179">
        <f t="shared" ref="DD131:DI131" ca="1" si="638">(($AW136/(1+DD$18)^(($AZ136-$AZ$23)/30)))+($AS136/(1+DD$18)^(($AZ136-$AZ$23)/30))</f>
        <v>0</v>
      </c>
      <c r="DE131" s="179">
        <f t="shared" ca="1" si="638"/>
        <v>0</v>
      </c>
      <c r="DF131" s="179" t="e">
        <f t="shared" ca="1" si="638"/>
        <v>#VALUE!</v>
      </c>
      <c r="DG131" s="179" t="e">
        <f t="shared" ca="1" si="638"/>
        <v>#VALUE!</v>
      </c>
      <c r="DH131" s="179" t="e">
        <f t="shared" ca="1" si="638"/>
        <v>#VALUE!</v>
      </c>
      <c r="DI131" s="179" t="e">
        <f t="shared" ca="1" si="638"/>
        <v>#VALUE!</v>
      </c>
      <c r="DJ131" s="179" t="e">
        <f t="shared" ref="DJ131:DQ131" ca="1" si="639">(($AW136/(1+DJ$18)^(($AZ136-$AZ$23)/30)))+($AS136/(1+DJ$18)^(($AZ136-$AZ$23)/30))</f>
        <v>#VALUE!</v>
      </c>
      <c r="DK131" s="179" t="e">
        <f t="shared" ca="1" si="639"/>
        <v>#VALUE!</v>
      </c>
      <c r="DL131" s="179" t="e">
        <f t="shared" ca="1" si="639"/>
        <v>#VALUE!</v>
      </c>
      <c r="DM131" s="179" t="e">
        <f t="shared" ca="1" si="639"/>
        <v>#VALUE!</v>
      </c>
      <c r="DN131" s="179" t="e">
        <f t="shared" ca="1" si="639"/>
        <v>#VALUE!</v>
      </c>
      <c r="DO131" s="179" t="e">
        <f t="shared" ca="1" si="639"/>
        <v>#VALUE!</v>
      </c>
      <c r="DP131" s="179" t="e">
        <f t="shared" ca="1" si="639"/>
        <v>#VALUE!</v>
      </c>
      <c r="DQ131" s="179" t="e">
        <f t="shared" ca="1" si="639"/>
        <v>#VALUE!</v>
      </c>
      <c r="DR131" s="180">
        <f t="shared" si="396"/>
        <v>0</v>
      </c>
      <c r="DS131" s="180">
        <f t="shared" ref="DS131:EF146" si="640">IF($AU136&gt;$BA$19,0,$BA136-$AS136)</f>
        <v>0</v>
      </c>
      <c r="DT131" s="180">
        <f t="shared" si="640"/>
        <v>0</v>
      </c>
      <c r="DU131" s="180">
        <f t="shared" si="640"/>
        <v>0</v>
      </c>
      <c r="DV131" s="180">
        <f t="shared" si="640"/>
        <v>0</v>
      </c>
      <c r="DW131" s="180">
        <f t="shared" si="640"/>
        <v>0</v>
      </c>
      <c r="DX131" s="180">
        <f t="shared" si="640"/>
        <v>0</v>
      </c>
      <c r="DY131" s="180">
        <f t="shared" si="640"/>
        <v>0</v>
      </c>
      <c r="DZ131" s="180">
        <f t="shared" si="640"/>
        <v>0</v>
      </c>
      <c r="EA131" s="180">
        <f t="shared" si="640"/>
        <v>0</v>
      </c>
      <c r="EB131" s="180">
        <f t="shared" si="640"/>
        <v>0</v>
      </c>
      <c r="EC131" s="180">
        <f t="shared" si="640"/>
        <v>0</v>
      </c>
      <c r="ED131" s="180">
        <f t="shared" si="640"/>
        <v>0</v>
      </c>
      <c r="EE131" s="180">
        <f t="shared" si="640"/>
        <v>0</v>
      </c>
      <c r="EF131" s="180">
        <f t="shared" si="640"/>
        <v>0</v>
      </c>
      <c r="EG131" s="180">
        <f t="shared" ref="EG131:EO131" si="641">IF($AU136&gt;$BA$19,0,$BA136-$AS136)</f>
        <v>0</v>
      </c>
      <c r="EH131" s="180">
        <f t="shared" si="641"/>
        <v>0</v>
      </c>
      <c r="EI131" s="180">
        <f t="shared" si="641"/>
        <v>0</v>
      </c>
      <c r="EJ131" s="180">
        <f t="shared" si="641"/>
        <v>0</v>
      </c>
      <c r="EK131" s="180">
        <f t="shared" si="641"/>
        <v>0</v>
      </c>
      <c r="EL131" s="180">
        <f t="shared" si="641"/>
        <v>0</v>
      </c>
      <c r="EM131" s="180">
        <f t="shared" si="641"/>
        <v>0</v>
      </c>
      <c r="EN131" s="180">
        <f t="shared" si="641"/>
        <v>0</v>
      </c>
      <c r="EO131" s="180">
        <f t="shared" si="641"/>
        <v>0</v>
      </c>
      <c r="EQ131" s="259">
        <f t="shared" ca="1" si="398"/>
        <v>49592</v>
      </c>
      <c r="ER131" s="87">
        <f t="shared" ca="1" si="632"/>
        <v>0</v>
      </c>
      <c r="ES131" s="87">
        <f t="shared" ca="1" si="632"/>
        <v>0</v>
      </c>
      <c r="ET131" s="87">
        <f t="shared" ca="1" si="632"/>
        <v>0</v>
      </c>
      <c r="EU131" s="87">
        <f t="shared" ca="1" si="632"/>
        <v>0</v>
      </c>
      <c r="EV131" s="87">
        <f t="shared" ca="1" si="632"/>
        <v>0</v>
      </c>
      <c r="EW131" s="87">
        <f t="shared" ca="1" si="632"/>
        <v>0</v>
      </c>
      <c r="EX131" s="87">
        <f t="shared" ca="1" si="632"/>
        <v>0</v>
      </c>
      <c r="EY131" s="87">
        <f t="shared" ca="1" si="632"/>
        <v>0</v>
      </c>
      <c r="EZ131" s="87">
        <f t="shared" ca="1" si="632"/>
        <v>0</v>
      </c>
      <c r="FA131" s="87">
        <f t="shared" ca="1" si="632"/>
        <v>0</v>
      </c>
      <c r="FB131" s="87">
        <f t="shared" ca="1" si="632"/>
        <v>0</v>
      </c>
      <c r="FC131" s="87">
        <f t="shared" ca="1" si="632"/>
        <v>0</v>
      </c>
      <c r="FD131" s="87">
        <f t="shared" ca="1" si="632"/>
        <v>0</v>
      </c>
      <c r="FE131" s="87">
        <f t="shared" ca="1" si="632"/>
        <v>0</v>
      </c>
      <c r="FF131" s="87">
        <f t="shared" ca="1" si="632"/>
        <v>0</v>
      </c>
      <c r="FG131" s="87">
        <f t="shared" ref="FG131:FP146" ca="1" si="642" xml:space="preserve"> IFERROR(VLOOKUP($EQ131,$AZ$23:$BA$167,2,FALSE),0)-IFERROR(VLOOKUP($EQ131,$AR$23:$AS$167,2,FALSE),0)</f>
        <v>0</v>
      </c>
      <c r="FH131" s="87">
        <f t="shared" ca="1" si="642"/>
        <v>0</v>
      </c>
      <c r="FI131" s="87">
        <f t="shared" ca="1" si="642"/>
        <v>0</v>
      </c>
      <c r="FJ131" s="87">
        <f t="shared" ca="1" si="642"/>
        <v>0</v>
      </c>
      <c r="FK131" s="87">
        <f t="shared" ca="1" si="642"/>
        <v>0</v>
      </c>
      <c r="FL131" s="87">
        <f t="shared" ca="1" si="642"/>
        <v>0</v>
      </c>
      <c r="FM131" s="87">
        <f t="shared" ca="1" si="642"/>
        <v>0</v>
      </c>
      <c r="FN131" s="87">
        <f t="shared" ca="1" si="642"/>
        <v>0</v>
      </c>
      <c r="FO131" s="87">
        <f t="shared" ca="1" si="642"/>
        <v>0</v>
      </c>
      <c r="FP131" s="87">
        <f t="shared" ca="1" si="642"/>
        <v>0</v>
      </c>
    </row>
    <row r="132" spans="2:172" ht="12.75" hidden="1" customHeight="1" x14ac:dyDescent="0.25">
      <c r="B132" s="87">
        <v>74</v>
      </c>
      <c r="C132" s="181">
        <f t="shared" ca="1" si="597"/>
        <v>48405</v>
      </c>
      <c r="D132" s="380">
        <f t="shared" si="626"/>
        <v>0</v>
      </c>
      <c r="E132" s="380">
        <f t="shared" si="626"/>
        <v>0</v>
      </c>
      <c r="F132" s="380">
        <f t="shared" si="626"/>
        <v>0</v>
      </c>
      <c r="G132" s="380">
        <f t="shared" si="626"/>
        <v>0</v>
      </c>
      <c r="H132" s="380">
        <f t="shared" si="626"/>
        <v>0</v>
      </c>
      <c r="I132" s="380">
        <f t="shared" si="626"/>
        <v>0</v>
      </c>
      <c r="J132" s="380">
        <f t="shared" si="626"/>
        <v>0</v>
      </c>
      <c r="K132" s="380">
        <f t="shared" si="626"/>
        <v>0</v>
      </c>
      <c r="L132" s="380">
        <f t="shared" si="626"/>
        <v>0</v>
      </c>
      <c r="M132" s="380">
        <f t="shared" si="626"/>
        <v>0</v>
      </c>
      <c r="N132" s="380">
        <f t="shared" si="627"/>
        <v>0</v>
      </c>
      <c r="O132" s="380">
        <f t="shared" si="627"/>
        <v>0</v>
      </c>
      <c r="P132" s="380">
        <f t="shared" si="627"/>
        <v>0</v>
      </c>
      <c r="Q132" s="380">
        <f t="shared" si="627"/>
        <v>0</v>
      </c>
      <c r="R132" s="380">
        <f t="shared" si="627"/>
        <v>0</v>
      </c>
      <c r="S132" s="380">
        <f t="shared" si="627"/>
        <v>0</v>
      </c>
      <c r="T132" s="380">
        <f t="shared" si="627"/>
        <v>0</v>
      </c>
      <c r="U132" s="175"/>
      <c r="X132" s="87">
        <v>117</v>
      </c>
      <c r="Y132" s="377">
        <f t="shared" si="361"/>
        <v>0</v>
      </c>
      <c r="Z132" s="377">
        <f t="shared" si="362"/>
        <v>0</v>
      </c>
      <c r="AA132" s="377">
        <f t="shared" si="363"/>
        <v>0</v>
      </c>
      <c r="AB132" s="377">
        <f t="shared" si="364"/>
        <v>0</v>
      </c>
      <c r="AC132" s="377">
        <f t="shared" si="365"/>
        <v>0</v>
      </c>
      <c r="AD132" s="377">
        <f t="shared" si="366"/>
        <v>0</v>
      </c>
      <c r="AE132" s="377">
        <f t="shared" si="367"/>
        <v>0</v>
      </c>
      <c r="AF132" s="377">
        <f t="shared" si="368"/>
        <v>0</v>
      </c>
      <c r="AG132" s="377">
        <f t="shared" si="369"/>
        <v>0</v>
      </c>
      <c r="AH132" s="377">
        <f t="shared" si="370"/>
        <v>0</v>
      </c>
      <c r="AI132" s="377">
        <f t="shared" si="371"/>
        <v>0</v>
      </c>
      <c r="AJ132" s="377">
        <f t="shared" si="372"/>
        <v>0</v>
      </c>
      <c r="AK132" s="377">
        <f t="shared" si="373"/>
        <v>0</v>
      </c>
      <c r="AL132" s="377">
        <f t="shared" si="374"/>
        <v>0</v>
      </c>
      <c r="AM132" s="377">
        <f t="shared" si="375"/>
        <v>0</v>
      </c>
      <c r="AN132" s="377">
        <f t="shared" si="376"/>
        <v>0</v>
      </c>
      <c r="AO132" s="377">
        <f t="shared" si="377"/>
        <v>0</v>
      </c>
      <c r="AQ132" s="138">
        <v>109</v>
      </c>
      <c r="AR132" s="258">
        <f t="shared" ca="1" si="528"/>
        <v>49470</v>
      </c>
      <c r="AS132" s="378">
        <f t="shared" si="421"/>
        <v>0</v>
      </c>
      <c r="AU132" s="138">
        <v>109</v>
      </c>
      <c r="AV132" s="258">
        <f t="shared" ca="1" si="529"/>
        <v>49500</v>
      </c>
      <c r="AW132" s="378">
        <f t="shared" si="423"/>
        <v>0</v>
      </c>
      <c r="AX132" s="202">
        <f t="shared" ca="1" si="424"/>
        <v>0</v>
      </c>
      <c r="AY132" s="138">
        <v>109</v>
      </c>
      <c r="AZ132" s="258">
        <f t="shared" ca="1" si="530"/>
        <v>49500</v>
      </c>
      <c r="BA132" s="378">
        <f t="shared" si="426"/>
        <v>0</v>
      </c>
      <c r="BC132" s="258">
        <f t="shared" ca="1" si="591"/>
        <v>49470</v>
      </c>
      <c r="BD132" s="302">
        <f t="shared" ca="1" si="592"/>
        <v>0</v>
      </c>
      <c r="BE132" s="133">
        <f t="shared" si="412"/>
        <v>109</v>
      </c>
      <c r="BF132" s="379">
        <f t="shared" ca="1" si="413"/>
        <v>49470</v>
      </c>
      <c r="BG132" s="133">
        <f t="shared" si="428"/>
        <v>0</v>
      </c>
      <c r="BH132" s="133">
        <f t="shared" si="429"/>
        <v>0</v>
      </c>
      <c r="BI132" s="133">
        <f t="shared" si="430"/>
        <v>0</v>
      </c>
      <c r="BJ132" s="133">
        <f t="shared" si="431"/>
        <v>0</v>
      </c>
      <c r="BK132" s="133">
        <f t="shared" si="432"/>
        <v>0</v>
      </c>
      <c r="BL132" s="133">
        <f t="shared" si="433"/>
        <v>0</v>
      </c>
      <c r="BM132" s="133">
        <f t="shared" si="434"/>
        <v>0</v>
      </c>
      <c r="BN132" s="133">
        <f t="shared" si="435"/>
        <v>0</v>
      </c>
      <c r="BO132" s="133">
        <f t="shared" si="436"/>
        <v>0</v>
      </c>
      <c r="BP132" s="133">
        <f t="shared" si="437"/>
        <v>0</v>
      </c>
      <c r="BQ132" s="133">
        <f t="shared" si="438"/>
        <v>0</v>
      </c>
      <c r="BR132" s="133">
        <f t="shared" si="439"/>
        <v>0</v>
      </c>
      <c r="BS132" s="133">
        <f t="shared" si="440"/>
        <v>0</v>
      </c>
      <c r="BT132" s="133">
        <f t="shared" si="441"/>
        <v>0</v>
      </c>
      <c r="BU132" s="133">
        <f t="shared" si="442"/>
        <v>0</v>
      </c>
      <c r="BV132" s="133">
        <f t="shared" si="443"/>
        <v>0</v>
      </c>
      <c r="BW132" s="133">
        <f t="shared" si="444"/>
        <v>0</v>
      </c>
      <c r="BX132" s="267"/>
      <c r="BY132" s="267"/>
      <c r="BZ132" s="267"/>
      <c r="CA132" s="267"/>
      <c r="CB132" s="267"/>
      <c r="CC132" s="267"/>
      <c r="CD132" s="267"/>
      <c r="CE132" s="267"/>
      <c r="CF132" s="267"/>
      <c r="CG132" s="267"/>
      <c r="CS132" s="138">
        <v>114</v>
      </c>
      <c r="CT132" s="259">
        <f t="shared" ca="1" si="386"/>
        <v>49653</v>
      </c>
      <c r="CU132" s="179">
        <f t="shared" ref="CU132:DC132" ca="1" si="643">(($AW137/(1+CU$18)^(($AZ137-$AZ$23)/30)))+($AS137/(1+CU$18)^(($AZ137-$AZ$23)/30))</f>
        <v>0</v>
      </c>
      <c r="CV132" s="179">
        <f t="shared" ca="1" si="643"/>
        <v>0</v>
      </c>
      <c r="CW132" s="179">
        <f t="shared" ca="1" si="643"/>
        <v>0</v>
      </c>
      <c r="CX132" s="179">
        <f t="shared" ca="1" si="643"/>
        <v>0</v>
      </c>
      <c r="CY132" s="179">
        <f t="shared" ca="1" si="643"/>
        <v>0</v>
      </c>
      <c r="CZ132" s="179">
        <f t="shared" ca="1" si="643"/>
        <v>0</v>
      </c>
      <c r="DA132" s="179">
        <f t="shared" ca="1" si="643"/>
        <v>0</v>
      </c>
      <c r="DB132" s="179">
        <f t="shared" ca="1" si="643"/>
        <v>0</v>
      </c>
      <c r="DC132" s="179">
        <f t="shared" ca="1" si="643"/>
        <v>0</v>
      </c>
      <c r="DD132" s="179">
        <f t="shared" ref="DD132:DI132" ca="1" si="644">(($AW137/(1+DD$18)^(($AZ137-$AZ$23)/30)))+($AS137/(1+DD$18)^(($AZ137-$AZ$23)/30))</f>
        <v>0</v>
      </c>
      <c r="DE132" s="179">
        <f t="shared" ca="1" si="644"/>
        <v>0</v>
      </c>
      <c r="DF132" s="179" t="e">
        <f t="shared" ca="1" si="644"/>
        <v>#VALUE!</v>
      </c>
      <c r="DG132" s="179" t="e">
        <f t="shared" ca="1" si="644"/>
        <v>#VALUE!</v>
      </c>
      <c r="DH132" s="179" t="e">
        <f t="shared" ca="1" si="644"/>
        <v>#VALUE!</v>
      </c>
      <c r="DI132" s="179" t="e">
        <f t="shared" ca="1" si="644"/>
        <v>#VALUE!</v>
      </c>
      <c r="DJ132" s="179" t="e">
        <f t="shared" ref="DJ132:DQ132" ca="1" si="645">(($AW137/(1+DJ$18)^(($AZ137-$AZ$23)/30)))+($AS137/(1+DJ$18)^(($AZ137-$AZ$23)/30))</f>
        <v>#VALUE!</v>
      </c>
      <c r="DK132" s="179" t="e">
        <f t="shared" ca="1" si="645"/>
        <v>#VALUE!</v>
      </c>
      <c r="DL132" s="179" t="e">
        <f t="shared" ca="1" si="645"/>
        <v>#VALUE!</v>
      </c>
      <c r="DM132" s="179" t="e">
        <f t="shared" ca="1" si="645"/>
        <v>#VALUE!</v>
      </c>
      <c r="DN132" s="179" t="e">
        <f t="shared" ca="1" si="645"/>
        <v>#VALUE!</v>
      </c>
      <c r="DO132" s="179" t="e">
        <f t="shared" ca="1" si="645"/>
        <v>#VALUE!</v>
      </c>
      <c r="DP132" s="179" t="e">
        <f t="shared" ca="1" si="645"/>
        <v>#VALUE!</v>
      </c>
      <c r="DQ132" s="179" t="e">
        <f t="shared" ca="1" si="645"/>
        <v>#VALUE!</v>
      </c>
      <c r="DR132" s="180">
        <f t="shared" si="396"/>
        <v>0</v>
      </c>
      <c r="DS132" s="180">
        <f t="shared" si="640"/>
        <v>0</v>
      </c>
      <c r="DT132" s="180">
        <f t="shared" si="640"/>
        <v>0</v>
      </c>
      <c r="DU132" s="180">
        <f t="shared" si="640"/>
        <v>0</v>
      </c>
      <c r="DV132" s="180">
        <f t="shared" si="640"/>
        <v>0</v>
      </c>
      <c r="DW132" s="180">
        <f t="shared" si="640"/>
        <v>0</v>
      </c>
      <c r="DX132" s="180">
        <f t="shared" si="640"/>
        <v>0</v>
      </c>
      <c r="DY132" s="180">
        <f t="shared" si="640"/>
        <v>0</v>
      </c>
      <c r="DZ132" s="180">
        <f t="shared" si="640"/>
        <v>0</v>
      </c>
      <c r="EA132" s="180">
        <f t="shared" si="640"/>
        <v>0</v>
      </c>
      <c r="EB132" s="180">
        <f t="shared" si="640"/>
        <v>0</v>
      </c>
      <c r="EC132" s="180">
        <f t="shared" si="640"/>
        <v>0</v>
      </c>
      <c r="ED132" s="180">
        <f t="shared" si="640"/>
        <v>0</v>
      </c>
      <c r="EE132" s="180">
        <f t="shared" si="640"/>
        <v>0</v>
      </c>
      <c r="EF132" s="180">
        <f t="shared" si="640"/>
        <v>0</v>
      </c>
      <c r="EG132" s="180">
        <f t="shared" ref="EG132:EO132" si="646">IF($AU137&gt;$BA$19,0,$BA137-$AS137)</f>
        <v>0</v>
      </c>
      <c r="EH132" s="180">
        <f t="shared" si="646"/>
        <v>0</v>
      </c>
      <c r="EI132" s="180">
        <f t="shared" si="646"/>
        <v>0</v>
      </c>
      <c r="EJ132" s="180">
        <f t="shared" si="646"/>
        <v>0</v>
      </c>
      <c r="EK132" s="180">
        <f t="shared" si="646"/>
        <v>0</v>
      </c>
      <c r="EL132" s="180">
        <f t="shared" si="646"/>
        <v>0</v>
      </c>
      <c r="EM132" s="180">
        <f t="shared" si="646"/>
        <v>0</v>
      </c>
      <c r="EN132" s="180">
        <f t="shared" si="646"/>
        <v>0</v>
      </c>
      <c r="EO132" s="180">
        <f t="shared" si="646"/>
        <v>0</v>
      </c>
      <c r="EQ132" s="259">
        <f t="shared" ca="1" si="398"/>
        <v>49623</v>
      </c>
      <c r="ER132" s="87">
        <f t="shared" ca="1" si="632"/>
        <v>0</v>
      </c>
      <c r="ES132" s="87">
        <f t="shared" ca="1" si="632"/>
        <v>0</v>
      </c>
      <c r="ET132" s="87">
        <f t="shared" ca="1" si="632"/>
        <v>0</v>
      </c>
      <c r="EU132" s="87">
        <f t="shared" ca="1" si="632"/>
        <v>0</v>
      </c>
      <c r="EV132" s="87">
        <f t="shared" ca="1" si="632"/>
        <v>0</v>
      </c>
      <c r="EW132" s="87">
        <f t="shared" ca="1" si="632"/>
        <v>0</v>
      </c>
      <c r="EX132" s="87">
        <f t="shared" ca="1" si="632"/>
        <v>0</v>
      </c>
      <c r="EY132" s="87">
        <f t="shared" ca="1" si="632"/>
        <v>0</v>
      </c>
      <c r="EZ132" s="87">
        <f t="shared" ca="1" si="632"/>
        <v>0</v>
      </c>
      <c r="FA132" s="87">
        <f t="shared" ca="1" si="632"/>
        <v>0</v>
      </c>
      <c r="FB132" s="87">
        <f t="shared" ca="1" si="632"/>
        <v>0</v>
      </c>
      <c r="FC132" s="87">
        <f t="shared" ca="1" si="632"/>
        <v>0</v>
      </c>
      <c r="FD132" s="87">
        <f t="shared" ca="1" si="632"/>
        <v>0</v>
      </c>
      <c r="FE132" s="87">
        <f t="shared" ca="1" si="632"/>
        <v>0</v>
      </c>
      <c r="FF132" s="87">
        <f t="shared" ca="1" si="632"/>
        <v>0</v>
      </c>
      <c r="FG132" s="87">
        <f t="shared" ca="1" si="642"/>
        <v>0</v>
      </c>
      <c r="FH132" s="87">
        <f t="shared" ca="1" si="642"/>
        <v>0</v>
      </c>
      <c r="FI132" s="87">
        <f t="shared" ca="1" si="642"/>
        <v>0</v>
      </c>
      <c r="FJ132" s="87">
        <f t="shared" ca="1" si="642"/>
        <v>0</v>
      </c>
      <c r="FK132" s="87">
        <f t="shared" ca="1" si="642"/>
        <v>0</v>
      </c>
      <c r="FL132" s="87">
        <f t="shared" ca="1" si="642"/>
        <v>0</v>
      </c>
      <c r="FM132" s="87">
        <f t="shared" ca="1" si="642"/>
        <v>0</v>
      </c>
      <c r="FN132" s="87">
        <f t="shared" ca="1" si="642"/>
        <v>0</v>
      </c>
      <c r="FO132" s="87">
        <f t="shared" ca="1" si="642"/>
        <v>0</v>
      </c>
      <c r="FP132" s="87">
        <f t="shared" ca="1" si="642"/>
        <v>0</v>
      </c>
    </row>
    <row r="133" spans="2:172" ht="12.75" hidden="1" customHeight="1" x14ac:dyDescent="0.25">
      <c r="B133" s="87">
        <v>75</v>
      </c>
      <c r="C133" s="181">
        <f t="shared" ca="1" si="597"/>
        <v>48436</v>
      </c>
      <c r="D133" s="380">
        <f t="shared" si="626"/>
        <v>0</v>
      </c>
      <c r="E133" s="380">
        <f t="shared" si="626"/>
        <v>0</v>
      </c>
      <c r="F133" s="380">
        <f t="shared" si="626"/>
        <v>0</v>
      </c>
      <c r="G133" s="380">
        <f t="shared" si="626"/>
        <v>0</v>
      </c>
      <c r="H133" s="380">
        <f t="shared" si="626"/>
        <v>0</v>
      </c>
      <c r="I133" s="380">
        <f t="shared" si="626"/>
        <v>0</v>
      </c>
      <c r="J133" s="380">
        <f t="shared" si="626"/>
        <v>0</v>
      </c>
      <c r="K133" s="380">
        <f t="shared" si="626"/>
        <v>0</v>
      </c>
      <c r="L133" s="380">
        <f t="shared" si="626"/>
        <v>0</v>
      </c>
      <c r="M133" s="380">
        <f t="shared" si="626"/>
        <v>0</v>
      </c>
      <c r="N133" s="380">
        <f t="shared" si="627"/>
        <v>0</v>
      </c>
      <c r="O133" s="380">
        <f t="shared" si="627"/>
        <v>0</v>
      </c>
      <c r="P133" s="380">
        <f t="shared" si="627"/>
        <v>0</v>
      </c>
      <c r="Q133" s="380">
        <f t="shared" si="627"/>
        <v>0</v>
      </c>
      <c r="R133" s="380">
        <f t="shared" si="627"/>
        <v>0</v>
      </c>
      <c r="S133" s="380">
        <f t="shared" si="627"/>
        <v>0</v>
      </c>
      <c r="T133" s="380">
        <f t="shared" si="627"/>
        <v>0</v>
      </c>
      <c r="U133" s="175"/>
      <c r="X133" s="87">
        <v>118</v>
      </c>
      <c r="Y133" s="377">
        <f t="shared" si="361"/>
        <v>0</v>
      </c>
      <c r="Z133" s="377">
        <f t="shared" si="362"/>
        <v>0</v>
      </c>
      <c r="AA133" s="377">
        <f t="shared" si="363"/>
        <v>0</v>
      </c>
      <c r="AB133" s="377">
        <f t="shared" si="364"/>
        <v>0</v>
      </c>
      <c r="AC133" s="377">
        <f t="shared" si="365"/>
        <v>0</v>
      </c>
      <c r="AD133" s="377">
        <f t="shared" si="366"/>
        <v>0</v>
      </c>
      <c r="AE133" s="377">
        <f t="shared" si="367"/>
        <v>0</v>
      </c>
      <c r="AF133" s="377">
        <f t="shared" si="368"/>
        <v>0</v>
      </c>
      <c r="AG133" s="377">
        <f t="shared" si="369"/>
        <v>0</v>
      </c>
      <c r="AH133" s="377">
        <f t="shared" si="370"/>
        <v>0</v>
      </c>
      <c r="AI133" s="377">
        <f t="shared" si="371"/>
        <v>0</v>
      </c>
      <c r="AJ133" s="377">
        <f t="shared" si="372"/>
        <v>0</v>
      </c>
      <c r="AK133" s="377">
        <f t="shared" si="373"/>
        <v>0</v>
      </c>
      <c r="AL133" s="377">
        <f t="shared" si="374"/>
        <v>0</v>
      </c>
      <c r="AM133" s="377">
        <f t="shared" si="375"/>
        <v>0</v>
      </c>
      <c r="AN133" s="377">
        <f t="shared" si="376"/>
        <v>0</v>
      </c>
      <c r="AO133" s="377">
        <f t="shared" si="377"/>
        <v>0</v>
      </c>
      <c r="AQ133" s="138">
        <v>110</v>
      </c>
      <c r="AR133" s="258">
        <f t="shared" ca="1" si="528"/>
        <v>49500</v>
      </c>
      <c r="AS133" s="378">
        <f t="shared" si="421"/>
        <v>0</v>
      </c>
      <c r="AU133" s="138">
        <v>110</v>
      </c>
      <c r="AV133" s="258">
        <f t="shared" ca="1" si="529"/>
        <v>49531</v>
      </c>
      <c r="AW133" s="378">
        <f t="shared" si="423"/>
        <v>0</v>
      </c>
      <c r="AX133" s="202">
        <f t="shared" ca="1" si="424"/>
        <v>0</v>
      </c>
      <c r="AY133" s="138">
        <v>110</v>
      </c>
      <c r="AZ133" s="258">
        <f t="shared" ca="1" si="530"/>
        <v>49531</v>
      </c>
      <c r="BA133" s="378">
        <f t="shared" si="426"/>
        <v>0</v>
      </c>
      <c r="BC133" s="258">
        <f t="shared" ca="1" si="591"/>
        <v>49500</v>
      </c>
      <c r="BD133" s="302">
        <f t="shared" ca="1" si="592"/>
        <v>0</v>
      </c>
      <c r="BE133" s="133">
        <f t="shared" si="412"/>
        <v>110</v>
      </c>
      <c r="BF133" s="379">
        <f t="shared" ca="1" si="413"/>
        <v>49500</v>
      </c>
      <c r="BG133" s="133">
        <f t="shared" si="428"/>
        <v>0</v>
      </c>
      <c r="BH133" s="133">
        <f t="shared" si="429"/>
        <v>0</v>
      </c>
      <c r="BI133" s="133">
        <f t="shared" si="430"/>
        <v>0</v>
      </c>
      <c r="BJ133" s="133">
        <f t="shared" si="431"/>
        <v>0</v>
      </c>
      <c r="BK133" s="133">
        <f t="shared" si="432"/>
        <v>0</v>
      </c>
      <c r="BL133" s="133">
        <f t="shared" si="433"/>
        <v>0</v>
      </c>
      <c r="BM133" s="133">
        <f t="shared" si="434"/>
        <v>0</v>
      </c>
      <c r="BN133" s="133">
        <f t="shared" si="435"/>
        <v>0</v>
      </c>
      <c r="BO133" s="133">
        <f t="shared" si="436"/>
        <v>0</v>
      </c>
      <c r="BP133" s="133">
        <f t="shared" si="437"/>
        <v>0</v>
      </c>
      <c r="BQ133" s="133">
        <f t="shared" si="438"/>
        <v>0</v>
      </c>
      <c r="BR133" s="133">
        <f t="shared" si="439"/>
        <v>0</v>
      </c>
      <c r="BS133" s="133">
        <f t="shared" si="440"/>
        <v>0</v>
      </c>
      <c r="BT133" s="133">
        <f t="shared" si="441"/>
        <v>0</v>
      </c>
      <c r="BU133" s="133">
        <f t="shared" si="442"/>
        <v>0</v>
      </c>
      <c r="BV133" s="133">
        <f t="shared" si="443"/>
        <v>0</v>
      </c>
      <c r="BW133" s="133">
        <f t="shared" si="444"/>
        <v>0</v>
      </c>
      <c r="BX133" s="267"/>
      <c r="BY133" s="267"/>
      <c r="BZ133" s="267"/>
      <c r="CA133" s="267"/>
      <c r="CB133" s="267"/>
      <c r="CC133" s="267"/>
      <c r="CD133" s="267"/>
      <c r="CE133" s="267"/>
      <c r="CF133" s="267"/>
      <c r="CG133" s="267"/>
      <c r="CS133" s="87">
        <v>115</v>
      </c>
      <c r="CT133" s="259">
        <f t="shared" ca="1" si="386"/>
        <v>49684</v>
      </c>
      <c r="CU133" s="179">
        <f t="shared" ref="CU133:DC133" ca="1" si="647">(($AW138/(1+CU$18)^(($AZ138-$AZ$23)/30)))+($AS138/(1+CU$18)^(($AZ138-$AZ$23)/30))</f>
        <v>0</v>
      </c>
      <c r="CV133" s="179">
        <f t="shared" ca="1" si="647"/>
        <v>0</v>
      </c>
      <c r="CW133" s="179">
        <f t="shared" ca="1" si="647"/>
        <v>0</v>
      </c>
      <c r="CX133" s="179">
        <f t="shared" ca="1" si="647"/>
        <v>0</v>
      </c>
      <c r="CY133" s="179">
        <f t="shared" ca="1" si="647"/>
        <v>0</v>
      </c>
      <c r="CZ133" s="179">
        <f t="shared" ca="1" si="647"/>
        <v>0</v>
      </c>
      <c r="DA133" s="179">
        <f t="shared" ca="1" si="647"/>
        <v>0</v>
      </c>
      <c r="DB133" s="179">
        <f t="shared" ca="1" si="647"/>
        <v>0</v>
      </c>
      <c r="DC133" s="179">
        <f t="shared" ca="1" si="647"/>
        <v>0</v>
      </c>
      <c r="DD133" s="179">
        <f t="shared" ref="DD133:DI133" ca="1" si="648">(($AW138/(1+DD$18)^(($AZ138-$AZ$23)/30)))+($AS138/(1+DD$18)^(($AZ138-$AZ$23)/30))</f>
        <v>0</v>
      </c>
      <c r="DE133" s="179">
        <f t="shared" ca="1" si="648"/>
        <v>0</v>
      </c>
      <c r="DF133" s="179" t="e">
        <f t="shared" ca="1" si="648"/>
        <v>#VALUE!</v>
      </c>
      <c r="DG133" s="179" t="e">
        <f t="shared" ca="1" si="648"/>
        <v>#VALUE!</v>
      </c>
      <c r="DH133" s="179" t="e">
        <f t="shared" ca="1" si="648"/>
        <v>#VALUE!</v>
      </c>
      <c r="DI133" s="179" t="e">
        <f t="shared" ca="1" si="648"/>
        <v>#VALUE!</v>
      </c>
      <c r="DJ133" s="179" t="e">
        <f t="shared" ref="DJ133:DQ133" ca="1" si="649">(($AW138/(1+DJ$18)^(($AZ138-$AZ$23)/30)))+($AS138/(1+DJ$18)^(($AZ138-$AZ$23)/30))</f>
        <v>#VALUE!</v>
      </c>
      <c r="DK133" s="179" t="e">
        <f t="shared" ca="1" si="649"/>
        <v>#VALUE!</v>
      </c>
      <c r="DL133" s="179" t="e">
        <f t="shared" ca="1" si="649"/>
        <v>#VALUE!</v>
      </c>
      <c r="DM133" s="179" t="e">
        <f t="shared" ca="1" si="649"/>
        <v>#VALUE!</v>
      </c>
      <c r="DN133" s="179" t="e">
        <f t="shared" ca="1" si="649"/>
        <v>#VALUE!</v>
      </c>
      <c r="DO133" s="179" t="e">
        <f t="shared" ca="1" si="649"/>
        <v>#VALUE!</v>
      </c>
      <c r="DP133" s="179" t="e">
        <f t="shared" ca="1" si="649"/>
        <v>#VALUE!</v>
      </c>
      <c r="DQ133" s="179" t="e">
        <f t="shared" ca="1" si="649"/>
        <v>#VALUE!</v>
      </c>
      <c r="DR133" s="180">
        <f t="shared" si="396"/>
        <v>0</v>
      </c>
      <c r="DS133" s="180">
        <f t="shared" si="640"/>
        <v>0</v>
      </c>
      <c r="DT133" s="180">
        <f t="shared" si="640"/>
        <v>0</v>
      </c>
      <c r="DU133" s="180">
        <f t="shared" si="640"/>
        <v>0</v>
      </c>
      <c r="DV133" s="180">
        <f t="shared" si="640"/>
        <v>0</v>
      </c>
      <c r="DW133" s="180">
        <f t="shared" si="640"/>
        <v>0</v>
      </c>
      <c r="DX133" s="180">
        <f t="shared" si="640"/>
        <v>0</v>
      </c>
      <c r="DY133" s="180">
        <f t="shared" si="640"/>
        <v>0</v>
      </c>
      <c r="DZ133" s="180">
        <f t="shared" si="640"/>
        <v>0</v>
      </c>
      <c r="EA133" s="180">
        <f t="shared" si="640"/>
        <v>0</v>
      </c>
      <c r="EB133" s="180">
        <f t="shared" si="640"/>
        <v>0</v>
      </c>
      <c r="EC133" s="180">
        <f t="shared" si="640"/>
        <v>0</v>
      </c>
      <c r="ED133" s="180">
        <f t="shared" si="640"/>
        <v>0</v>
      </c>
      <c r="EE133" s="180">
        <f t="shared" si="640"/>
        <v>0</v>
      </c>
      <c r="EF133" s="180">
        <f t="shared" si="640"/>
        <v>0</v>
      </c>
      <c r="EG133" s="180">
        <f t="shared" ref="EG133:EO133" si="650">IF($AU138&gt;$BA$19,0,$BA138-$AS138)</f>
        <v>0</v>
      </c>
      <c r="EH133" s="180">
        <f t="shared" si="650"/>
        <v>0</v>
      </c>
      <c r="EI133" s="180">
        <f t="shared" si="650"/>
        <v>0</v>
      </c>
      <c r="EJ133" s="180">
        <f t="shared" si="650"/>
        <v>0</v>
      </c>
      <c r="EK133" s="180">
        <f t="shared" si="650"/>
        <v>0</v>
      </c>
      <c r="EL133" s="180">
        <f t="shared" si="650"/>
        <v>0</v>
      </c>
      <c r="EM133" s="180">
        <f t="shared" si="650"/>
        <v>0</v>
      </c>
      <c r="EN133" s="180">
        <f t="shared" si="650"/>
        <v>0</v>
      </c>
      <c r="EO133" s="180">
        <f t="shared" si="650"/>
        <v>0</v>
      </c>
      <c r="EQ133" s="259">
        <f t="shared" ca="1" si="398"/>
        <v>49653</v>
      </c>
      <c r="ER133" s="87">
        <f t="shared" ca="1" si="632"/>
        <v>0</v>
      </c>
      <c r="ES133" s="87">
        <f t="shared" ca="1" si="632"/>
        <v>0</v>
      </c>
      <c r="ET133" s="87">
        <f t="shared" ca="1" si="632"/>
        <v>0</v>
      </c>
      <c r="EU133" s="87">
        <f t="shared" ca="1" si="632"/>
        <v>0</v>
      </c>
      <c r="EV133" s="87">
        <f t="shared" ca="1" si="632"/>
        <v>0</v>
      </c>
      <c r="EW133" s="87">
        <f t="shared" ca="1" si="632"/>
        <v>0</v>
      </c>
      <c r="EX133" s="87">
        <f t="shared" ca="1" si="632"/>
        <v>0</v>
      </c>
      <c r="EY133" s="87">
        <f t="shared" ca="1" si="632"/>
        <v>0</v>
      </c>
      <c r="EZ133" s="87">
        <f t="shared" ca="1" si="632"/>
        <v>0</v>
      </c>
      <c r="FA133" s="87">
        <f t="shared" ca="1" si="632"/>
        <v>0</v>
      </c>
      <c r="FB133" s="87">
        <f t="shared" ca="1" si="632"/>
        <v>0</v>
      </c>
      <c r="FC133" s="87">
        <f t="shared" ca="1" si="632"/>
        <v>0</v>
      </c>
      <c r="FD133" s="87">
        <f t="shared" ca="1" si="632"/>
        <v>0</v>
      </c>
      <c r="FE133" s="87">
        <f t="shared" ca="1" si="632"/>
        <v>0</v>
      </c>
      <c r="FF133" s="87">
        <f t="shared" ca="1" si="632"/>
        <v>0</v>
      </c>
      <c r="FG133" s="87">
        <f t="shared" ca="1" si="642"/>
        <v>0</v>
      </c>
      <c r="FH133" s="87">
        <f t="shared" ca="1" si="642"/>
        <v>0</v>
      </c>
      <c r="FI133" s="87">
        <f t="shared" ca="1" si="642"/>
        <v>0</v>
      </c>
      <c r="FJ133" s="87">
        <f t="shared" ca="1" si="642"/>
        <v>0</v>
      </c>
      <c r="FK133" s="87">
        <f t="shared" ca="1" si="642"/>
        <v>0</v>
      </c>
      <c r="FL133" s="87">
        <f t="shared" ca="1" si="642"/>
        <v>0</v>
      </c>
      <c r="FM133" s="87">
        <f t="shared" ca="1" si="642"/>
        <v>0</v>
      </c>
      <c r="FN133" s="87">
        <f t="shared" ca="1" si="642"/>
        <v>0</v>
      </c>
      <c r="FO133" s="87">
        <f t="shared" ca="1" si="642"/>
        <v>0</v>
      </c>
      <c r="FP133" s="87">
        <f t="shared" ca="1" si="642"/>
        <v>0</v>
      </c>
    </row>
    <row r="134" spans="2:172" ht="12.75" hidden="1" customHeight="1" x14ac:dyDescent="0.25">
      <c r="B134" s="87">
        <v>76</v>
      </c>
      <c r="C134" s="181">
        <f t="shared" ca="1" si="597"/>
        <v>48467</v>
      </c>
      <c r="D134" s="380">
        <f t="shared" si="626"/>
        <v>0</v>
      </c>
      <c r="E134" s="380">
        <f t="shared" si="626"/>
        <v>0</v>
      </c>
      <c r="F134" s="380">
        <f t="shared" si="626"/>
        <v>0</v>
      </c>
      <c r="G134" s="380">
        <f t="shared" si="626"/>
        <v>0</v>
      </c>
      <c r="H134" s="380">
        <f t="shared" si="626"/>
        <v>0</v>
      </c>
      <c r="I134" s="380">
        <f t="shared" si="626"/>
        <v>0</v>
      </c>
      <c r="J134" s="380">
        <f t="shared" si="626"/>
        <v>0</v>
      </c>
      <c r="K134" s="380">
        <f t="shared" si="626"/>
        <v>0</v>
      </c>
      <c r="L134" s="380">
        <f t="shared" si="626"/>
        <v>0</v>
      </c>
      <c r="M134" s="380">
        <f t="shared" si="626"/>
        <v>0</v>
      </c>
      <c r="N134" s="380">
        <f t="shared" si="627"/>
        <v>0</v>
      </c>
      <c r="O134" s="380">
        <f t="shared" si="627"/>
        <v>0</v>
      </c>
      <c r="P134" s="380">
        <f t="shared" si="627"/>
        <v>0</v>
      </c>
      <c r="Q134" s="380">
        <f t="shared" si="627"/>
        <v>0</v>
      </c>
      <c r="R134" s="380">
        <f t="shared" si="627"/>
        <v>0</v>
      </c>
      <c r="S134" s="380">
        <f t="shared" si="627"/>
        <v>0</v>
      </c>
      <c r="T134" s="380">
        <f t="shared" si="627"/>
        <v>0</v>
      </c>
      <c r="U134" s="175"/>
      <c r="X134" s="87">
        <v>119</v>
      </c>
      <c r="Y134" s="377">
        <f t="shared" si="361"/>
        <v>0</v>
      </c>
      <c r="Z134" s="377">
        <f t="shared" si="362"/>
        <v>0</v>
      </c>
      <c r="AA134" s="377">
        <f t="shared" si="363"/>
        <v>0</v>
      </c>
      <c r="AB134" s="377">
        <f t="shared" si="364"/>
        <v>0</v>
      </c>
      <c r="AC134" s="377">
        <f t="shared" si="365"/>
        <v>0</v>
      </c>
      <c r="AD134" s="377">
        <f t="shared" si="366"/>
        <v>0</v>
      </c>
      <c r="AE134" s="377">
        <f t="shared" si="367"/>
        <v>0</v>
      </c>
      <c r="AF134" s="377">
        <f t="shared" si="368"/>
        <v>0</v>
      </c>
      <c r="AG134" s="377">
        <f t="shared" si="369"/>
        <v>0</v>
      </c>
      <c r="AH134" s="377">
        <f t="shared" si="370"/>
        <v>0</v>
      </c>
      <c r="AI134" s="377">
        <f t="shared" si="371"/>
        <v>0</v>
      </c>
      <c r="AJ134" s="377">
        <f t="shared" si="372"/>
        <v>0</v>
      </c>
      <c r="AK134" s="377">
        <f t="shared" si="373"/>
        <v>0</v>
      </c>
      <c r="AL134" s="377">
        <f t="shared" si="374"/>
        <v>0</v>
      </c>
      <c r="AM134" s="377">
        <f t="shared" si="375"/>
        <v>0</v>
      </c>
      <c r="AN134" s="377">
        <f t="shared" si="376"/>
        <v>0</v>
      </c>
      <c r="AO134" s="377">
        <f t="shared" si="377"/>
        <v>0</v>
      </c>
      <c r="AQ134" s="138">
        <v>111</v>
      </c>
      <c r="AR134" s="258">
        <f t="shared" ca="1" si="528"/>
        <v>49531</v>
      </c>
      <c r="AS134" s="378">
        <f t="shared" si="421"/>
        <v>0</v>
      </c>
      <c r="AU134" s="138">
        <v>111</v>
      </c>
      <c r="AV134" s="258">
        <f t="shared" ca="1" si="529"/>
        <v>49562</v>
      </c>
      <c r="AW134" s="378">
        <f t="shared" si="423"/>
        <v>0</v>
      </c>
      <c r="AX134" s="202">
        <f t="shared" ca="1" si="424"/>
        <v>0</v>
      </c>
      <c r="AY134" s="138">
        <v>111</v>
      </c>
      <c r="AZ134" s="258">
        <f t="shared" ca="1" si="530"/>
        <v>49562</v>
      </c>
      <c r="BA134" s="378">
        <f t="shared" si="426"/>
        <v>0</v>
      </c>
      <c r="BC134" s="258">
        <f t="shared" ca="1" si="591"/>
        <v>49531</v>
      </c>
      <c r="BD134" s="302">
        <f t="shared" ca="1" si="592"/>
        <v>0</v>
      </c>
      <c r="BE134" s="133">
        <f t="shared" si="412"/>
        <v>111</v>
      </c>
      <c r="BF134" s="379">
        <f t="shared" ca="1" si="413"/>
        <v>49531</v>
      </c>
      <c r="BG134" s="133">
        <f t="shared" si="428"/>
        <v>0</v>
      </c>
      <c r="BH134" s="133">
        <f t="shared" si="429"/>
        <v>0</v>
      </c>
      <c r="BI134" s="133">
        <f t="shared" si="430"/>
        <v>0</v>
      </c>
      <c r="BJ134" s="133">
        <f t="shared" si="431"/>
        <v>0</v>
      </c>
      <c r="BK134" s="133">
        <f t="shared" si="432"/>
        <v>0</v>
      </c>
      <c r="BL134" s="133">
        <f t="shared" si="433"/>
        <v>0</v>
      </c>
      <c r="BM134" s="133">
        <f t="shared" si="434"/>
        <v>0</v>
      </c>
      <c r="BN134" s="133">
        <f t="shared" si="435"/>
        <v>0</v>
      </c>
      <c r="BO134" s="133">
        <f t="shared" si="436"/>
        <v>0</v>
      </c>
      <c r="BP134" s="133">
        <f t="shared" si="437"/>
        <v>0</v>
      </c>
      <c r="BQ134" s="133">
        <f t="shared" si="438"/>
        <v>0</v>
      </c>
      <c r="BR134" s="133">
        <f t="shared" si="439"/>
        <v>0</v>
      </c>
      <c r="BS134" s="133">
        <f t="shared" si="440"/>
        <v>0</v>
      </c>
      <c r="BT134" s="133">
        <f t="shared" si="441"/>
        <v>0</v>
      </c>
      <c r="BU134" s="133">
        <f t="shared" si="442"/>
        <v>0</v>
      </c>
      <c r="BV134" s="133">
        <f t="shared" si="443"/>
        <v>0</v>
      </c>
      <c r="BW134" s="133">
        <f t="shared" si="444"/>
        <v>0</v>
      </c>
      <c r="BX134" s="267"/>
      <c r="BY134" s="267"/>
      <c r="BZ134" s="267"/>
      <c r="CA134" s="267"/>
      <c r="CB134" s="267"/>
      <c r="CC134" s="267"/>
      <c r="CD134" s="267"/>
      <c r="CE134" s="267"/>
      <c r="CF134" s="267"/>
      <c r="CG134" s="267"/>
      <c r="CS134" s="178">
        <v>116</v>
      </c>
      <c r="CT134" s="259">
        <f t="shared" ca="1" si="386"/>
        <v>49715</v>
      </c>
      <c r="CU134" s="179">
        <f t="shared" ref="CU134:DC134" ca="1" si="651">(($AW139/(1+CU$18)^(($AZ139-$AZ$23)/30)))+($AS139/(1+CU$18)^(($AZ139-$AZ$23)/30))</f>
        <v>0</v>
      </c>
      <c r="CV134" s="179">
        <f t="shared" ca="1" si="651"/>
        <v>0</v>
      </c>
      <c r="CW134" s="179">
        <f t="shared" ca="1" si="651"/>
        <v>0</v>
      </c>
      <c r="CX134" s="179">
        <f t="shared" ca="1" si="651"/>
        <v>0</v>
      </c>
      <c r="CY134" s="179">
        <f t="shared" ca="1" si="651"/>
        <v>0</v>
      </c>
      <c r="CZ134" s="179">
        <f t="shared" ca="1" si="651"/>
        <v>0</v>
      </c>
      <c r="DA134" s="179">
        <f t="shared" ca="1" si="651"/>
        <v>0</v>
      </c>
      <c r="DB134" s="179">
        <f t="shared" ca="1" si="651"/>
        <v>0</v>
      </c>
      <c r="DC134" s="179">
        <f t="shared" ca="1" si="651"/>
        <v>0</v>
      </c>
      <c r="DD134" s="179">
        <f t="shared" ref="DD134:DI134" ca="1" si="652">(($AW139/(1+DD$18)^(($AZ139-$AZ$23)/30)))+($AS139/(1+DD$18)^(($AZ139-$AZ$23)/30))</f>
        <v>0</v>
      </c>
      <c r="DE134" s="179">
        <f t="shared" ca="1" si="652"/>
        <v>0</v>
      </c>
      <c r="DF134" s="179" t="e">
        <f t="shared" ca="1" si="652"/>
        <v>#VALUE!</v>
      </c>
      <c r="DG134" s="179" t="e">
        <f t="shared" ca="1" si="652"/>
        <v>#VALUE!</v>
      </c>
      <c r="DH134" s="179" t="e">
        <f t="shared" ca="1" si="652"/>
        <v>#VALUE!</v>
      </c>
      <c r="DI134" s="179" t="e">
        <f t="shared" ca="1" si="652"/>
        <v>#VALUE!</v>
      </c>
      <c r="DJ134" s="179" t="e">
        <f t="shared" ref="DJ134:DQ134" ca="1" si="653">(($AW139/(1+DJ$18)^(($AZ139-$AZ$23)/30)))+($AS139/(1+DJ$18)^(($AZ139-$AZ$23)/30))</f>
        <v>#VALUE!</v>
      </c>
      <c r="DK134" s="179" t="e">
        <f t="shared" ca="1" si="653"/>
        <v>#VALUE!</v>
      </c>
      <c r="DL134" s="179" t="e">
        <f t="shared" ca="1" si="653"/>
        <v>#VALUE!</v>
      </c>
      <c r="DM134" s="179" t="e">
        <f t="shared" ca="1" si="653"/>
        <v>#VALUE!</v>
      </c>
      <c r="DN134" s="179" t="e">
        <f t="shared" ca="1" si="653"/>
        <v>#VALUE!</v>
      </c>
      <c r="DO134" s="179" t="e">
        <f t="shared" ca="1" si="653"/>
        <v>#VALUE!</v>
      </c>
      <c r="DP134" s="179" t="e">
        <f t="shared" ca="1" si="653"/>
        <v>#VALUE!</v>
      </c>
      <c r="DQ134" s="179" t="e">
        <f t="shared" ca="1" si="653"/>
        <v>#VALUE!</v>
      </c>
      <c r="DR134" s="180">
        <f t="shared" si="396"/>
        <v>0</v>
      </c>
      <c r="DS134" s="180">
        <f t="shared" si="640"/>
        <v>0</v>
      </c>
      <c r="DT134" s="180">
        <f t="shared" si="640"/>
        <v>0</v>
      </c>
      <c r="DU134" s="180">
        <f t="shared" si="640"/>
        <v>0</v>
      </c>
      <c r="DV134" s="180">
        <f t="shared" si="640"/>
        <v>0</v>
      </c>
      <c r="DW134" s="180">
        <f t="shared" si="640"/>
        <v>0</v>
      </c>
      <c r="DX134" s="180">
        <f t="shared" si="640"/>
        <v>0</v>
      </c>
      <c r="DY134" s="180">
        <f t="shared" si="640"/>
        <v>0</v>
      </c>
      <c r="DZ134" s="180">
        <f t="shared" si="640"/>
        <v>0</v>
      </c>
      <c r="EA134" s="180">
        <f t="shared" si="640"/>
        <v>0</v>
      </c>
      <c r="EB134" s="180">
        <f t="shared" si="640"/>
        <v>0</v>
      </c>
      <c r="EC134" s="180">
        <f t="shared" si="640"/>
        <v>0</v>
      </c>
      <c r="ED134" s="180">
        <f t="shared" si="640"/>
        <v>0</v>
      </c>
      <c r="EE134" s="180">
        <f t="shared" si="640"/>
        <v>0</v>
      </c>
      <c r="EF134" s="180">
        <f t="shared" si="640"/>
        <v>0</v>
      </c>
      <c r="EG134" s="180">
        <f t="shared" ref="EG134:EO134" si="654">IF($AU139&gt;$BA$19,0,$BA139-$AS139)</f>
        <v>0</v>
      </c>
      <c r="EH134" s="180">
        <f t="shared" si="654"/>
        <v>0</v>
      </c>
      <c r="EI134" s="180">
        <f t="shared" si="654"/>
        <v>0</v>
      </c>
      <c r="EJ134" s="180">
        <f t="shared" si="654"/>
        <v>0</v>
      </c>
      <c r="EK134" s="180">
        <f t="shared" si="654"/>
        <v>0</v>
      </c>
      <c r="EL134" s="180">
        <f t="shared" si="654"/>
        <v>0</v>
      </c>
      <c r="EM134" s="180">
        <f t="shared" si="654"/>
        <v>0</v>
      </c>
      <c r="EN134" s="180">
        <f t="shared" si="654"/>
        <v>0</v>
      </c>
      <c r="EO134" s="180">
        <f t="shared" si="654"/>
        <v>0</v>
      </c>
      <c r="EQ134" s="259">
        <f t="shared" ca="1" si="398"/>
        <v>49684</v>
      </c>
      <c r="ER134" s="87">
        <f t="shared" ca="1" si="632"/>
        <v>0</v>
      </c>
      <c r="ES134" s="87">
        <f t="shared" ca="1" si="632"/>
        <v>0</v>
      </c>
      <c r="ET134" s="87">
        <f t="shared" ca="1" si="632"/>
        <v>0</v>
      </c>
      <c r="EU134" s="87">
        <f t="shared" ca="1" si="632"/>
        <v>0</v>
      </c>
      <c r="EV134" s="87">
        <f t="shared" ca="1" si="632"/>
        <v>0</v>
      </c>
      <c r="EW134" s="87">
        <f t="shared" ca="1" si="632"/>
        <v>0</v>
      </c>
      <c r="EX134" s="87">
        <f t="shared" ca="1" si="632"/>
        <v>0</v>
      </c>
      <c r="EY134" s="87">
        <f t="shared" ca="1" si="632"/>
        <v>0</v>
      </c>
      <c r="EZ134" s="87">
        <f t="shared" ca="1" si="632"/>
        <v>0</v>
      </c>
      <c r="FA134" s="87">
        <f t="shared" ca="1" si="632"/>
        <v>0</v>
      </c>
      <c r="FB134" s="87">
        <f t="shared" ca="1" si="632"/>
        <v>0</v>
      </c>
      <c r="FC134" s="87">
        <f t="shared" ca="1" si="632"/>
        <v>0</v>
      </c>
      <c r="FD134" s="87">
        <f t="shared" ca="1" si="632"/>
        <v>0</v>
      </c>
      <c r="FE134" s="87">
        <f t="shared" ca="1" si="632"/>
        <v>0</v>
      </c>
      <c r="FF134" s="87">
        <f t="shared" ca="1" si="632"/>
        <v>0</v>
      </c>
      <c r="FG134" s="87">
        <f t="shared" ca="1" si="642"/>
        <v>0</v>
      </c>
      <c r="FH134" s="87">
        <f t="shared" ca="1" si="642"/>
        <v>0</v>
      </c>
      <c r="FI134" s="87">
        <f t="shared" ca="1" si="642"/>
        <v>0</v>
      </c>
      <c r="FJ134" s="87">
        <f t="shared" ca="1" si="642"/>
        <v>0</v>
      </c>
      <c r="FK134" s="87">
        <f t="shared" ca="1" si="642"/>
        <v>0</v>
      </c>
      <c r="FL134" s="87">
        <f t="shared" ca="1" si="642"/>
        <v>0</v>
      </c>
      <c r="FM134" s="87">
        <f t="shared" ca="1" si="642"/>
        <v>0</v>
      </c>
      <c r="FN134" s="87">
        <f t="shared" ca="1" si="642"/>
        <v>0</v>
      </c>
      <c r="FO134" s="87">
        <f t="shared" ca="1" si="642"/>
        <v>0</v>
      </c>
      <c r="FP134" s="87">
        <f t="shared" ca="1" si="642"/>
        <v>0</v>
      </c>
    </row>
    <row r="135" spans="2:172" ht="12.75" hidden="1" customHeight="1" x14ac:dyDescent="0.25">
      <c r="B135" s="87">
        <v>77</v>
      </c>
      <c r="C135" s="181">
        <f t="shared" ca="1" si="597"/>
        <v>48497</v>
      </c>
      <c r="D135" s="380">
        <f t="shared" si="626"/>
        <v>0</v>
      </c>
      <c r="E135" s="380">
        <f t="shared" si="626"/>
        <v>0</v>
      </c>
      <c r="F135" s="380">
        <f t="shared" si="626"/>
        <v>0</v>
      </c>
      <c r="G135" s="380">
        <f t="shared" si="626"/>
        <v>0</v>
      </c>
      <c r="H135" s="380">
        <f t="shared" si="626"/>
        <v>0</v>
      </c>
      <c r="I135" s="380">
        <f t="shared" si="626"/>
        <v>0</v>
      </c>
      <c r="J135" s="380">
        <f t="shared" si="626"/>
        <v>0</v>
      </c>
      <c r="K135" s="380">
        <f t="shared" si="626"/>
        <v>0</v>
      </c>
      <c r="L135" s="380">
        <f t="shared" si="626"/>
        <v>0</v>
      </c>
      <c r="M135" s="380">
        <f t="shared" si="626"/>
        <v>0</v>
      </c>
      <c r="N135" s="380">
        <f t="shared" si="627"/>
        <v>0</v>
      </c>
      <c r="O135" s="380">
        <f t="shared" si="627"/>
        <v>0</v>
      </c>
      <c r="P135" s="380">
        <f t="shared" si="627"/>
        <v>0</v>
      </c>
      <c r="Q135" s="380">
        <f t="shared" si="627"/>
        <v>0</v>
      </c>
      <c r="R135" s="380">
        <f t="shared" si="627"/>
        <v>0</v>
      </c>
      <c r="S135" s="380">
        <f t="shared" si="627"/>
        <v>0</v>
      </c>
      <c r="T135" s="380">
        <f t="shared" si="627"/>
        <v>0</v>
      </c>
      <c r="U135" s="175"/>
      <c r="X135" s="87">
        <v>120</v>
      </c>
      <c r="Y135" s="377">
        <f t="shared" si="361"/>
        <v>0</v>
      </c>
      <c r="Z135" s="377">
        <f t="shared" si="362"/>
        <v>0</v>
      </c>
      <c r="AA135" s="377">
        <f t="shared" si="363"/>
        <v>0</v>
      </c>
      <c r="AB135" s="377">
        <f t="shared" si="364"/>
        <v>0</v>
      </c>
      <c r="AC135" s="377">
        <f t="shared" si="365"/>
        <v>0</v>
      </c>
      <c r="AD135" s="377">
        <f t="shared" si="366"/>
        <v>0</v>
      </c>
      <c r="AE135" s="377">
        <f t="shared" si="367"/>
        <v>0</v>
      </c>
      <c r="AF135" s="377">
        <f t="shared" si="368"/>
        <v>0</v>
      </c>
      <c r="AG135" s="377">
        <f t="shared" si="369"/>
        <v>0</v>
      </c>
      <c r="AH135" s="377">
        <f t="shared" si="370"/>
        <v>0</v>
      </c>
      <c r="AI135" s="377">
        <f t="shared" si="371"/>
        <v>0</v>
      </c>
      <c r="AJ135" s="377">
        <f t="shared" si="372"/>
        <v>0</v>
      </c>
      <c r="AK135" s="377">
        <f t="shared" si="373"/>
        <v>0</v>
      </c>
      <c r="AL135" s="377">
        <f t="shared" si="374"/>
        <v>0</v>
      </c>
      <c r="AM135" s="377">
        <f t="shared" si="375"/>
        <v>0</v>
      </c>
      <c r="AN135" s="377">
        <f t="shared" si="376"/>
        <v>0</v>
      </c>
      <c r="AO135" s="377">
        <f t="shared" si="377"/>
        <v>0</v>
      </c>
      <c r="AQ135" s="138">
        <v>112</v>
      </c>
      <c r="AR135" s="258">
        <f t="shared" ca="1" si="528"/>
        <v>49562</v>
      </c>
      <c r="AS135" s="378">
        <f t="shared" si="421"/>
        <v>0</v>
      </c>
      <c r="AU135" s="138">
        <v>112</v>
      </c>
      <c r="AV135" s="258">
        <f t="shared" ca="1" si="529"/>
        <v>49592</v>
      </c>
      <c r="AW135" s="378">
        <f t="shared" si="423"/>
        <v>0</v>
      </c>
      <c r="AX135" s="202">
        <f t="shared" ca="1" si="424"/>
        <v>0</v>
      </c>
      <c r="AY135" s="138">
        <v>112</v>
      </c>
      <c r="AZ135" s="258">
        <f t="shared" ca="1" si="530"/>
        <v>49592</v>
      </c>
      <c r="BA135" s="378">
        <f t="shared" si="426"/>
        <v>0</v>
      </c>
      <c r="BC135" s="258">
        <f t="shared" ca="1" si="591"/>
        <v>49562</v>
      </c>
      <c r="BD135" s="302">
        <f t="shared" ca="1" si="592"/>
        <v>0</v>
      </c>
      <c r="BE135" s="133">
        <f t="shared" si="412"/>
        <v>112</v>
      </c>
      <c r="BF135" s="379">
        <f t="shared" ca="1" si="413"/>
        <v>49562</v>
      </c>
      <c r="BG135" s="133">
        <f t="shared" si="428"/>
        <v>0</v>
      </c>
      <c r="BH135" s="133">
        <f t="shared" si="429"/>
        <v>0</v>
      </c>
      <c r="BI135" s="133">
        <f t="shared" si="430"/>
        <v>0</v>
      </c>
      <c r="BJ135" s="133">
        <f t="shared" si="431"/>
        <v>0</v>
      </c>
      <c r="BK135" s="133">
        <f t="shared" si="432"/>
        <v>0</v>
      </c>
      <c r="BL135" s="133">
        <f t="shared" si="433"/>
        <v>0</v>
      </c>
      <c r="BM135" s="133">
        <f t="shared" si="434"/>
        <v>0</v>
      </c>
      <c r="BN135" s="133">
        <f t="shared" si="435"/>
        <v>0</v>
      </c>
      <c r="BO135" s="133">
        <f t="shared" si="436"/>
        <v>0</v>
      </c>
      <c r="BP135" s="133">
        <f t="shared" si="437"/>
        <v>0</v>
      </c>
      <c r="BQ135" s="133">
        <f t="shared" si="438"/>
        <v>0</v>
      </c>
      <c r="BR135" s="133">
        <f t="shared" si="439"/>
        <v>0</v>
      </c>
      <c r="BS135" s="133">
        <f t="shared" si="440"/>
        <v>0</v>
      </c>
      <c r="BT135" s="133">
        <f t="shared" si="441"/>
        <v>0</v>
      </c>
      <c r="BU135" s="133">
        <f t="shared" si="442"/>
        <v>0</v>
      </c>
      <c r="BV135" s="133">
        <f t="shared" si="443"/>
        <v>0</v>
      </c>
      <c r="BW135" s="133">
        <f t="shared" si="444"/>
        <v>0</v>
      </c>
      <c r="BX135" s="267"/>
      <c r="BY135" s="267"/>
      <c r="BZ135" s="267"/>
      <c r="CA135" s="267"/>
      <c r="CB135" s="267"/>
      <c r="CC135" s="267"/>
      <c r="CD135" s="267"/>
      <c r="CE135" s="267"/>
      <c r="CF135" s="267"/>
      <c r="CG135" s="267"/>
      <c r="CS135" s="138">
        <v>117</v>
      </c>
      <c r="CT135" s="259">
        <f t="shared" ca="1" si="386"/>
        <v>49744</v>
      </c>
      <c r="CU135" s="179">
        <f t="shared" ref="CU135:DC135" ca="1" si="655">(($AW140/(1+CU$18)^(($AZ140-$AZ$23)/30)))+($AS140/(1+CU$18)^(($AZ140-$AZ$23)/30))</f>
        <v>0</v>
      </c>
      <c r="CV135" s="179">
        <f t="shared" ca="1" si="655"/>
        <v>0</v>
      </c>
      <c r="CW135" s="179">
        <f t="shared" ca="1" si="655"/>
        <v>0</v>
      </c>
      <c r="CX135" s="179">
        <f t="shared" ca="1" si="655"/>
        <v>0</v>
      </c>
      <c r="CY135" s="179">
        <f t="shared" ca="1" si="655"/>
        <v>0</v>
      </c>
      <c r="CZ135" s="179">
        <f t="shared" ca="1" si="655"/>
        <v>0</v>
      </c>
      <c r="DA135" s="179">
        <f t="shared" ca="1" si="655"/>
        <v>0</v>
      </c>
      <c r="DB135" s="179">
        <f t="shared" ca="1" si="655"/>
        <v>0</v>
      </c>
      <c r="DC135" s="179">
        <f t="shared" ca="1" si="655"/>
        <v>0</v>
      </c>
      <c r="DD135" s="179">
        <f t="shared" ref="DD135:DI135" ca="1" si="656">(($AW140/(1+DD$18)^(($AZ140-$AZ$23)/30)))+($AS140/(1+DD$18)^(($AZ140-$AZ$23)/30))</f>
        <v>0</v>
      </c>
      <c r="DE135" s="179">
        <f t="shared" ca="1" si="656"/>
        <v>0</v>
      </c>
      <c r="DF135" s="179" t="e">
        <f t="shared" ca="1" si="656"/>
        <v>#VALUE!</v>
      </c>
      <c r="DG135" s="179" t="e">
        <f t="shared" ca="1" si="656"/>
        <v>#VALUE!</v>
      </c>
      <c r="DH135" s="179" t="e">
        <f t="shared" ca="1" si="656"/>
        <v>#VALUE!</v>
      </c>
      <c r="DI135" s="179" t="e">
        <f t="shared" ca="1" si="656"/>
        <v>#VALUE!</v>
      </c>
      <c r="DJ135" s="179" t="e">
        <f t="shared" ref="DJ135:DQ135" ca="1" si="657">(($AW140/(1+DJ$18)^(($AZ140-$AZ$23)/30)))+($AS140/(1+DJ$18)^(($AZ140-$AZ$23)/30))</f>
        <v>#VALUE!</v>
      </c>
      <c r="DK135" s="179" t="e">
        <f t="shared" ca="1" si="657"/>
        <v>#VALUE!</v>
      </c>
      <c r="DL135" s="179" t="e">
        <f t="shared" ca="1" si="657"/>
        <v>#VALUE!</v>
      </c>
      <c r="DM135" s="179" t="e">
        <f t="shared" ca="1" si="657"/>
        <v>#VALUE!</v>
      </c>
      <c r="DN135" s="179" t="e">
        <f t="shared" ca="1" si="657"/>
        <v>#VALUE!</v>
      </c>
      <c r="DO135" s="179" t="e">
        <f t="shared" ca="1" si="657"/>
        <v>#VALUE!</v>
      </c>
      <c r="DP135" s="179" t="e">
        <f t="shared" ca="1" si="657"/>
        <v>#VALUE!</v>
      </c>
      <c r="DQ135" s="179" t="e">
        <f t="shared" ca="1" si="657"/>
        <v>#VALUE!</v>
      </c>
      <c r="DR135" s="180">
        <f t="shared" si="396"/>
        <v>0</v>
      </c>
      <c r="DS135" s="180">
        <f t="shared" si="640"/>
        <v>0</v>
      </c>
      <c r="DT135" s="180">
        <f t="shared" si="640"/>
        <v>0</v>
      </c>
      <c r="DU135" s="180">
        <f t="shared" si="640"/>
        <v>0</v>
      </c>
      <c r="DV135" s="180">
        <f t="shared" si="640"/>
        <v>0</v>
      </c>
      <c r="DW135" s="180">
        <f t="shared" si="640"/>
        <v>0</v>
      </c>
      <c r="DX135" s="180">
        <f t="shared" si="640"/>
        <v>0</v>
      </c>
      <c r="DY135" s="180">
        <f t="shared" si="640"/>
        <v>0</v>
      </c>
      <c r="DZ135" s="180">
        <f t="shared" si="640"/>
        <v>0</v>
      </c>
      <c r="EA135" s="180">
        <f t="shared" si="640"/>
        <v>0</v>
      </c>
      <c r="EB135" s="180">
        <f t="shared" si="640"/>
        <v>0</v>
      </c>
      <c r="EC135" s="180">
        <f t="shared" si="640"/>
        <v>0</v>
      </c>
      <c r="ED135" s="180">
        <f t="shared" si="640"/>
        <v>0</v>
      </c>
      <c r="EE135" s="180">
        <f t="shared" si="640"/>
        <v>0</v>
      </c>
      <c r="EF135" s="180">
        <f t="shared" si="640"/>
        <v>0</v>
      </c>
      <c r="EG135" s="180">
        <f t="shared" ref="EG135:EO135" si="658">IF($AU140&gt;$BA$19,0,$BA140-$AS140)</f>
        <v>0</v>
      </c>
      <c r="EH135" s="180">
        <f t="shared" si="658"/>
        <v>0</v>
      </c>
      <c r="EI135" s="180">
        <f t="shared" si="658"/>
        <v>0</v>
      </c>
      <c r="EJ135" s="180">
        <f t="shared" si="658"/>
        <v>0</v>
      </c>
      <c r="EK135" s="180">
        <f t="shared" si="658"/>
        <v>0</v>
      </c>
      <c r="EL135" s="180">
        <f t="shared" si="658"/>
        <v>0</v>
      </c>
      <c r="EM135" s="180">
        <f t="shared" si="658"/>
        <v>0</v>
      </c>
      <c r="EN135" s="180">
        <f t="shared" si="658"/>
        <v>0</v>
      </c>
      <c r="EO135" s="180">
        <f t="shared" si="658"/>
        <v>0</v>
      </c>
      <c r="EQ135" s="259">
        <f t="shared" ca="1" si="398"/>
        <v>49715</v>
      </c>
      <c r="ER135" s="87">
        <f t="shared" ca="1" si="632"/>
        <v>0</v>
      </c>
      <c r="ES135" s="87">
        <f t="shared" ca="1" si="632"/>
        <v>0</v>
      </c>
      <c r="ET135" s="87">
        <f t="shared" ca="1" si="632"/>
        <v>0</v>
      </c>
      <c r="EU135" s="87">
        <f t="shared" ca="1" si="632"/>
        <v>0</v>
      </c>
      <c r="EV135" s="87">
        <f t="shared" ca="1" si="632"/>
        <v>0</v>
      </c>
      <c r="EW135" s="87">
        <f t="shared" ca="1" si="632"/>
        <v>0</v>
      </c>
      <c r="EX135" s="87">
        <f t="shared" ca="1" si="632"/>
        <v>0</v>
      </c>
      <c r="EY135" s="87">
        <f t="shared" ca="1" si="632"/>
        <v>0</v>
      </c>
      <c r="EZ135" s="87">
        <f t="shared" ca="1" si="632"/>
        <v>0</v>
      </c>
      <c r="FA135" s="87">
        <f t="shared" ca="1" si="632"/>
        <v>0</v>
      </c>
      <c r="FB135" s="87">
        <f t="shared" ca="1" si="632"/>
        <v>0</v>
      </c>
      <c r="FC135" s="87">
        <f t="shared" ca="1" si="632"/>
        <v>0</v>
      </c>
      <c r="FD135" s="87">
        <f t="shared" ca="1" si="632"/>
        <v>0</v>
      </c>
      <c r="FE135" s="87">
        <f t="shared" ca="1" si="632"/>
        <v>0</v>
      </c>
      <c r="FF135" s="87">
        <f t="shared" ca="1" si="632"/>
        <v>0</v>
      </c>
      <c r="FG135" s="87">
        <f t="shared" ca="1" si="642"/>
        <v>0</v>
      </c>
      <c r="FH135" s="87">
        <f t="shared" ca="1" si="642"/>
        <v>0</v>
      </c>
      <c r="FI135" s="87">
        <f t="shared" ca="1" si="642"/>
        <v>0</v>
      </c>
      <c r="FJ135" s="87">
        <f t="shared" ca="1" si="642"/>
        <v>0</v>
      </c>
      <c r="FK135" s="87">
        <f t="shared" ca="1" si="642"/>
        <v>0</v>
      </c>
      <c r="FL135" s="87">
        <f t="shared" ca="1" si="642"/>
        <v>0</v>
      </c>
      <c r="FM135" s="87">
        <f t="shared" ca="1" si="642"/>
        <v>0</v>
      </c>
      <c r="FN135" s="87">
        <f t="shared" ca="1" si="642"/>
        <v>0</v>
      </c>
      <c r="FO135" s="87">
        <f t="shared" ca="1" si="642"/>
        <v>0</v>
      </c>
      <c r="FP135" s="87">
        <f t="shared" ca="1" si="642"/>
        <v>0</v>
      </c>
    </row>
    <row r="136" spans="2:172" ht="12.75" hidden="1" customHeight="1" x14ac:dyDescent="0.25">
      <c r="B136" s="87">
        <v>78</v>
      </c>
      <c r="C136" s="181">
        <f t="shared" ca="1" si="597"/>
        <v>48528</v>
      </c>
      <c r="D136" s="380">
        <f t="shared" si="626"/>
        <v>0</v>
      </c>
      <c r="E136" s="380">
        <f t="shared" si="626"/>
        <v>0</v>
      </c>
      <c r="F136" s="380">
        <f t="shared" si="626"/>
        <v>0</v>
      </c>
      <c r="G136" s="380">
        <f t="shared" si="626"/>
        <v>0</v>
      </c>
      <c r="H136" s="380">
        <f t="shared" si="626"/>
        <v>0</v>
      </c>
      <c r="I136" s="380">
        <f t="shared" si="626"/>
        <v>0</v>
      </c>
      <c r="J136" s="380">
        <f t="shared" si="626"/>
        <v>0</v>
      </c>
      <c r="K136" s="380">
        <f t="shared" si="626"/>
        <v>0</v>
      </c>
      <c r="L136" s="380">
        <f t="shared" si="626"/>
        <v>0</v>
      </c>
      <c r="M136" s="380">
        <f t="shared" si="626"/>
        <v>0</v>
      </c>
      <c r="N136" s="380">
        <f t="shared" si="627"/>
        <v>0</v>
      </c>
      <c r="O136" s="380">
        <f t="shared" si="627"/>
        <v>0</v>
      </c>
      <c r="P136" s="380">
        <f t="shared" si="627"/>
        <v>0</v>
      </c>
      <c r="Q136" s="380">
        <f t="shared" si="627"/>
        <v>0</v>
      </c>
      <c r="R136" s="380">
        <f t="shared" si="627"/>
        <v>0</v>
      </c>
      <c r="S136" s="380">
        <f t="shared" si="627"/>
        <v>0</v>
      </c>
      <c r="T136" s="380">
        <f t="shared" si="627"/>
        <v>0</v>
      </c>
      <c r="U136" s="175"/>
      <c r="X136" s="87">
        <v>121</v>
      </c>
      <c r="Y136" s="377">
        <f t="shared" si="361"/>
        <v>0</v>
      </c>
      <c r="Z136" s="377">
        <f t="shared" si="362"/>
        <v>0</v>
      </c>
      <c r="AA136" s="377">
        <f t="shared" si="363"/>
        <v>0</v>
      </c>
      <c r="AB136" s="377">
        <f t="shared" si="364"/>
        <v>0</v>
      </c>
      <c r="AC136" s="377">
        <f t="shared" si="365"/>
        <v>0</v>
      </c>
      <c r="AD136" s="377">
        <f t="shared" si="366"/>
        <v>0</v>
      </c>
      <c r="AE136" s="377">
        <f t="shared" si="367"/>
        <v>0</v>
      </c>
      <c r="AF136" s="377">
        <f t="shared" si="368"/>
        <v>0</v>
      </c>
      <c r="AG136" s="377">
        <f t="shared" si="369"/>
        <v>0</v>
      </c>
      <c r="AH136" s="377">
        <f t="shared" si="370"/>
        <v>0</v>
      </c>
      <c r="AI136" s="377">
        <f t="shared" si="371"/>
        <v>0</v>
      </c>
      <c r="AJ136" s="377">
        <f t="shared" si="372"/>
        <v>0</v>
      </c>
      <c r="AK136" s="377">
        <f t="shared" si="373"/>
        <v>0</v>
      </c>
      <c r="AL136" s="377">
        <f t="shared" si="374"/>
        <v>0</v>
      </c>
      <c r="AM136" s="377">
        <f t="shared" si="375"/>
        <v>0</v>
      </c>
      <c r="AN136" s="377">
        <f t="shared" si="376"/>
        <v>0</v>
      </c>
      <c r="AO136" s="377">
        <f t="shared" si="377"/>
        <v>0</v>
      </c>
      <c r="AQ136" s="138">
        <v>113</v>
      </c>
      <c r="AR136" s="258">
        <f t="shared" ca="1" si="528"/>
        <v>49592</v>
      </c>
      <c r="AS136" s="378">
        <f t="shared" si="421"/>
        <v>0</v>
      </c>
      <c r="AU136" s="138">
        <v>113</v>
      </c>
      <c r="AV136" s="258">
        <f t="shared" ca="1" si="529"/>
        <v>49623</v>
      </c>
      <c r="AW136" s="378">
        <f t="shared" si="423"/>
        <v>0</v>
      </c>
      <c r="AX136" s="202">
        <f t="shared" ca="1" si="424"/>
        <v>0</v>
      </c>
      <c r="AY136" s="138">
        <v>113</v>
      </c>
      <c r="AZ136" s="258">
        <f t="shared" ca="1" si="530"/>
        <v>49623</v>
      </c>
      <c r="BA136" s="378">
        <f t="shared" si="426"/>
        <v>0</v>
      </c>
      <c r="BC136" s="258">
        <f t="shared" ca="1" si="591"/>
        <v>49592</v>
      </c>
      <c r="BD136" s="302">
        <f t="shared" ca="1" si="592"/>
        <v>0</v>
      </c>
      <c r="BE136" s="133">
        <f t="shared" si="412"/>
        <v>113</v>
      </c>
      <c r="BF136" s="379">
        <f t="shared" ca="1" si="413"/>
        <v>49592</v>
      </c>
      <c r="BG136" s="133">
        <f t="shared" si="428"/>
        <v>0</v>
      </c>
      <c r="BH136" s="133">
        <f t="shared" si="429"/>
        <v>0</v>
      </c>
      <c r="BI136" s="133">
        <f t="shared" si="430"/>
        <v>0</v>
      </c>
      <c r="BJ136" s="133">
        <f t="shared" si="431"/>
        <v>0</v>
      </c>
      <c r="BK136" s="133">
        <f t="shared" si="432"/>
        <v>0</v>
      </c>
      <c r="BL136" s="133">
        <f t="shared" si="433"/>
        <v>0</v>
      </c>
      <c r="BM136" s="133">
        <f t="shared" si="434"/>
        <v>0</v>
      </c>
      <c r="BN136" s="133">
        <f t="shared" si="435"/>
        <v>0</v>
      </c>
      <c r="BO136" s="133">
        <f t="shared" si="436"/>
        <v>0</v>
      </c>
      <c r="BP136" s="133">
        <f t="shared" si="437"/>
        <v>0</v>
      </c>
      <c r="BQ136" s="133">
        <f t="shared" si="438"/>
        <v>0</v>
      </c>
      <c r="BR136" s="133">
        <f t="shared" si="439"/>
        <v>0</v>
      </c>
      <c r="BS136" s="133">
        <f t="shared" si="440"/>
        <v>0</v>
      </c>
      <c r="BT136" s="133">
        <f t="shared" si="441"/>
        <v>0</v>
      </c>
      <c r="BU136" s="133">
        <f t="shared" si="442"/>
        <v>0</v>
      </c>
      <c r="BV136" s="133">
        <f t="shared" si="443"/>
        <v>0</v>
      </c>
      <c r="BW136" s="133">
        <f t="shared" si="444"/>
        <v>0</v>
      </c>
      <c r="BX136" s="267"/>
      <c r="BY136" s="267"/>
      <c r="BZ136" s="267"/>
      <c r="CA136" s="267"/>
      <c r="CB136" s="267"/>
      <c r="CC136" s="267"/>
      <c r="CD136" s="267"/>
      <c r="CE136" s="267"/>
      <c r="CF136" s="267"/>
      <c r="CG136" s="267"/>
      <c r="CS136" s="87">
        <v>118</v>
      </c>
      <c r="CT136" s="259">
        <f t="shared" ca="1" si="386"/>
        <v>49775</v>
      </c>
      <c r="CU136" s="179">
        <f t="shared" ref="CU136:DC136" ca="1" si="659">(($AW141/(1+CU$18)^(($AZ141-$AZ$23)/30)))+($AS141/(1+CU$18)^(($AZ141-$AZ$23)/30))</f>
        <v>0</v>
      </c>
      <c r="CV136" s="179">
        <f t="shared" ca="1" si="659"/>
        <v>0</v>
      </c>
      <c r="CW136" s="179">
        <f t="shared" ca="1" si="659"/>
        <v>0</v>
      </c>
      <c r="CX136" s="179">
        <f t="shared" ca="1" si="659"/>
        <v>0</v>
      </c>
      <c r="CY136" s="179">
        <f t="shared" ca="1" si="659"/>
        <v>0</v>
      </c>
      <c r="CZ136" s="179">
        <f t="shared" ca="1" si="659"/>
        <v>0</v>
      </c>
      <c r="DA136" s="179">
        <f t="shared" ca="1" si="659"/>
        <v>0</v>
      </c>
      <c r="DB136" s="179">
        <f t="shared" ca="1" si="659"/>
        <v>0</v>
      </c>
      <c r="DC136" s="179">
        <f t="shared" ca="1" si="659"/>
        <v>0</v>
      </c>
      <c r="DD136" s="179">
        <f t="shared" ref="DD136:DI136" ca="1" si="660">(($AW141/(1+DD$18)^(($AZ141-$AZ$23)/30)))+($AS141/(1+DD$18)^(($AZ141-$AZ$23)/30))</f>
        <v>0</v>
      </c>
      <c r="DE136" s="179">
        <f t="shared" ca="1" si="660"/>
        <v>0</v>
      </c>
      <c r="DF136" s="179" t="e">
        <f t="shared" ca="1" si="660"/>
        <v>#VALUE!</v>
      </c>
      <c r="DG136" s="179" t="e">
        <f t="shared" ca="1" si="660"/>
        <v>#VALUE!</v>
      </c>
      <c r="DH136" s="179" t="e">
        <f t="shared" ca="1" si="660"/>
        <v>#VALUE!</v>
      </c>
      <c r="DI136" s="179" t="e">
        <f t="shared" ca="1" si="660"/>
        <v>#VALUE!</v>
      </c>
      <c r="DJ136" s="179" t="e">
        <f t="shared" ref="DJ136:DQ136" ca="1" si="661">(($AW141/(1+DJ$18)^(($AZ141-$AZ$23)/30)))+($AS141/(1+DJ$18)^(($AZ141-$AZ$23)/30))</f>
        <v>#VALUE!</v>
      </c>
      <c r="DK136" s="179" t="e">
        <f t="shared" ca="1" si="661"/>
        <v>#VALUE!</v>
      </c>
      <c r="DL136" s="179" t="e">
        <f t="shared" ca="1" si="661"/>
        <v>#VALUE!</v>
      </c>
      <c r="DM136" s="179" t="e">
        <f t="shared" ca="1" si="661"/>
        <v>#VALUE!</v>
      </c>
      <c r="DN136" s="179" t="e">
        <f t="shared" ca="1" si="661"/>
        <v>#VALUE!</v>
      </c>
      <c r="DO136" s="179" t="e">
        <f t="shared" ca="1" si="661"/>
        <v>#VALUE!</v>
      </c>
      <c r="DP136" s="179" t="e">
        <f t="shared" ca="1" si="661"/>
        <v>#VALUE!</v>
      </c>
      <c r="DQ136" s="179" t="e">
        <f t="shared" ca="1" si="661"/>
        <v>#VALUE!</v>
      </c>
      <c r="DR136" s="180">
        <f t="shared" si="396"/>
        <v>0</v>
      </c>
      <c r="DS136" s="180">
        <f t="shared" si="640"/>
        <v>0</v>
      </c>
      <c r="DT136" s="180">
        <f t="shared" si="640"/>
        <v>0</v>
      </c>
      <c r="DU136" s="180">
        <f t="shared" si="640"/>
        <v>0</v>
      </c>
      <c r="DV136" s="180">
        <f t="shared" si="640"/>
        <v>0</v>
      </c>
      <c r="DW136" s="180">
        <f t="shared" si="640"/>
        <v>0</v>
      </c>
      <c r="DX136" s="180">
        <f t="shared" si="640"/>
        <v>0</v>
      </c>
      <c r="DY136" s="180">
        <f t="shared" si="640"/>
        <v>0</v>
      </c>
      <c r="DZ136" s="180">
        <f t="shared" si="640"/>
        <v>0</v>
      </c>
      <c r="EA136" s="180">
        <f t="shared" si="640"/>
        <v>0</v>
      </c>
      <c r="EB136" s="180">
        <f t="shared" si="640"/>
        <v>0</v>
      </c>
      <c r="EC136" s="180">
        <f t="shared" si="640"/>
        <v>0</v>
      </c>
      <c r="ED136" s="180">
        <f t="shared" si="640"/>
        <v>0</v>
      </c>
      <c r="EE136" s="180">
        <f t="shared" si="640"/>
        <v>0</v>
      </c>
      <c r="EF136" s="180">
        <f t="shared" si="640"/>
        <v>0</v>
      </c>
      <c r="EG136" s="180">
        <f t="shared" ref="EG136:EO136" si="662">IF($AU141&gt;$BA$19,0,$BA141-$AS141)</f>
        <v>0</v>
      </c>
      <c r="EH136" s="180">
        <f t="shared" si="662"/>
        <v>0</v>
      </c>
      <c r="EI136" s="180">
        <f t="shared" si="662"/>
        <v>0</v>
      </c>
      <c r="EJ136" s="180">
        <f t="shared" si="662"/>
        <v>0</v>
      </c>
      <c r="EK136" s="180">
        <f t="shared" si="662"/>
        <v>0</v>
      </c>
      <c r="EL136" s="180">
        <f t="shared" si="662"/>
        <v>0</v>
      </c>
      <c r="EM136" s="180">
        <f t="shared" si="662"/>
        <v>0</v>
      </c>
      <c r="EN136" s="180">
        <f t="shared" si="662"/>
        <v>0</v>
      </c>
      <c r="EO136" s="180">
        <f t="shared" si="662"/>
        <v>0</v>
      </c>
      <c r="EQ136" s="259">
        <f t="shared" ca="1" si="398"/>
        <v>49744</v>
      </c>
      <c r="ER136" s="87">
        <f t="shared" ca="1" si="632"/>
        <v>0</v>
      </c>
      <c r="ES136" s="87">
        <f t="shared" ca="1" si="632"/>
        <v>0</v>
      </c>
      <c r="ET136" s="87">
        <f t="shared" ca="1" si="632"/>
        <v>0</v>
      </c>
      <c r="EU136" s="87">
        <f t="shared" ca="1" si="632"/>
        <v>0</v>
      </c>
      <c r="EV136" s="87">
        <f t="shared" ca="1" si="632"/>
        <v>0</v>
      </c>
      <c r="EW136" s="87">
        <f t="shared" ca="1" si="632"/>
        <v>0</v>
      </c>
      <c r="EX136" s="87">
        <f t="shared" ca="1" si="632"/>
        <v>0</v>
      </c>
      <c r="EY136" s="87">
        <f t="shared" ca="1" si="632"/>
        <v>0</v>
      </c>
      <c r="EZ136" s="87">
        <f t="shared" ca="1" si="632"/>
        <v>0</v>
      </c>
      <c r="FA136" s="87">
        <f t="shared" ca="1" si="632"/>
        <v>0</v>
      </c>
      <c r="FB136" s="87">
        <f t="shared" ca="1" si="632"/>
        <v>0</v>
      </c>
      <c r="FC136" s="87">
        <f t="shared" ca="1" si="632"/>
        <v>0</v>
      </c>
      <c r="FD136" s="87">
        <f t="shared" ca="1" si="632"/>
        <v>0</v>
      </c>
      <c r="FE136" s="87">
        <f t="shared" ca="1" si="632"/>
        <v>0</v>
      </c>
      <c r="FF136" s="87">
        <f t="shared" ca="1" si="632"/>
        <v>0</v>
      </c>
      <c r="FG136" s="87">
        <f t="shared" ca="1" si="642"/>
        <v>0</v>
      </c>
      <c r="FH136" s="87">
        <f t="shared" ca="1" si="642"/>
        <v>0</v>
      </c>
      <c r="FI136" s="87">
        <f t="shared" ca="1" si="642"/>
        <v>0</v>
      </c>
      <c r="FJ136" s="87">
        <f t="shared" ca="1" si="642"/>
        <v>0</v>
      </c>
      <c r="FK136" s="87">
        <f t="shared" ca="1" si="642"/>
        <v>0</v>
      </c>
      <c r="FL136" s="87">
        <f t="shared" ca="1" si="642"/>
        <v>0</v>
      </c>
      <c r="FM136" s="87">
        <f t="shared" ca="1" si="642"/>
        <v>0</v>
      </c>
      <c r="FN136" s="87">
        <f t="shared" ca="1" si="642"/>
        <v>0</v>
      </c>
      <c r="FO136" s="87">
        <f t="shared" ca="1" si="642"/>
        <v>0</v>
      </c>
      <c r="FP136" s="87">
        <f t="shared" ca="1" si="642"/>
        <v>0</v>
      </c>
    </row>
    <row r="137" spans="2:172" ht="12.75" hidden="1" customHeight="1" x14ac:dyDescent="0.25">
      <c r="B137" s="87">
        <v>79</v>
      </c>
      <c r="C137" s="181">
        <f t="shared" ca="1" si="597"/>
        <v>48558</v>
      </c>
      <c r="D137" s="380">
        <f t="shared" si="626"/>
        <v>0</v>
      </c>
      <c r="E137" s="380">
        <f t="shared" si="626"/>
        <v>0</v>
      </c>
      <c r="F137" s="380">
        <f t="shared" si="626"/>
        <v>0</v>
      </c>
      <c r="G137" s="380">
        <f t="shared" si="626"/>
        <v>0</v>
      </c>
      <c r="H137" s="380">
        <f t="shared" si="626"/>
        <v>0</v>
      </c>
      <c r="I137" s="380">
        <f t="shared" si="626"/>
        <v>0</v>
      </c>
      <c r="J137" s="380">
        <f t="shared" si="626"/>
        <v>0</v>
      </c>
      <c r="K137" s="380">
        <f t="shared" si="626"/>
        <v>0</v>
      </c>
      <c r="L137" s="380">
        <f t="shared" si="626"/>
        <v>0</v>
      </c>
      <c r="M137" s="380">
        <f t="shared" si="626"/>
        <v>0</v>
      </c>
      <c r="N137" s="380">
        <f t="shared" si="627"/>
        <v>0</v>
      </c>
      <c r="O137" s="380">
        <f t="shared" si="627"/>
        <v>0</v>
      </c>
      <c r="P137" s="380">
        <f t="shared" si="627"/>
        <v>0</v>
      </c>
      <c r="Q137" s="380">
        <f t="shared" si="627"/>
        <v>0</v>
      </c>
      <c r="R137" s="380">
        <f t="shared" si="627"/>
        <v>0</v>
      </c>
      <c r="S137" s="380">
        <f t="shared" si="627"/>
        <v>0</v>
      </c>
      <c r="T137" s="380">
        <f t="shared" si="627"/>
        <v>0</v>
      </c>
      <c r="U137" s="175"/>
      <c r="X137" s="87">
        <v>122</v>
      </c>
      <c r="Y137" s="377">
        <f t="shared" si="361"/>
        <v>0</v>
      </c>
      <c r="Z137" s="377">
        <f t="shared" si="362"/>
        <v>0</v>
      </c>
      <c r="AA137" s="377">
        <f t="shared" si="363"/>
        <v>0</v>
      </c>
      <c r="AB137" s="377">
        <f t="shared" si="364"/>
        <v>0</v>
      </c>
      <c r="AC137" s="377">
        <f t="shared" si="365"/>
        <v>0</v>
      </c>
      <c r="AD137" s="377">
        <f t="shared" si="366"/>
        <v>0</v>
      </c>
      <c r="AE137" s="377">
        <f t="shared" si="367"/>
        <v>0</v>
      </c>
      <c r="AF137" s="377">
        <f t="shared" si="368"/>
        <v>0</v>
      </c>
      <c r="AG137" s="377">
        <f t="shared" si="369"/>
        <v>0</v>
      </c>
      <c r="AH137" s="377">
        <f t="shared" si="370"/>
        <v>0</v>
      </c>
      <c r="AI137" s="377">
        <f t="shared" si="371"/>
        <v>0</v>
      </c>
      <c r="AJ137" s="377">
        <f t="shared" si="372"/>
        <v>0</v>
      </c>
      <c r="AK137" s="377">
        <f t="shared" si="373"/>
        <v>0</v>
      </c>
      <c r="AL137" s="377">
        <f t="shared" si="374"/>
        <v>0</v>
      </c>
      <c r="AM137" s="377">
        <f t="shared" si="375"/>
        <v>0</v>
      </c>
      <c r="AN137" s="377">
        <f t="shared" si="376"/>
        <v>0</v>
      </c>
      <c r="AO137" s="377">
        <f t="shared" si="377"/>
        <v>0</v>
      </c>
      <c r="AQ137" s="138">
        <v>114</v>
      </c>
      <c r="AR137" s="258">
        <f t="shared" ca="1" si="528"/>
        <v>49623</v>
      </c>
      <c r="AS137" s="378">
        <f t="shared" si="421"/>
        <v>0</v>
      </c>
      <c r="AU137" s="138">
        <v>114</v>
      </c>
      <c r="AV137" s="258">
        <f t="shared" ca="1" si="529"/>
        <v>49653</v>
      </c>
      <c r="AW137" s="378">
        <f t="shared" si="423"/>
        <v>0</v>
      </c>
      <c r="AX137" s="202">
        <f t="shared" ca="1" si="424"/>
        <v>0</v>
      </c>
      <c r="AY137" s="138">
        <v>114</v>
      </c>
      <c r="AZ137" s="258">
        <f t="shared" ca="1" si="530"/>
        <v>49653</v>
      </c>
      <c r="BA137" s="378">
        <f t="shared" si="426"/>
        <v>0</v>
      </c>
      <c r="BC137" s="258">
        <f t="shared" ca="1" si="591"/>
        <v>49623</v>
      </c>
      <c r="BD137" s="302">
        <f t="shared" ca="1" si="592"/>
        <v>0</v>
      </c>
      <c r="BE137" s="133">
        <f t="shared" si="412"/>
        <v>114</v>
      </c>
      <c r="BF137" s="379">
        <f t="shared" ca="1" si="413"/>
        <v>49623</v>
      </c>
      <c r="BG137" s="133">
        <f t="shared" si="428"/>
        <v>0</v>
      </c>
      <c r="BH137" s="133">
        <f t="shared" si="429"/>
        <v>0</v>
      </c>
      <c r="BI137" s="133">
        <f t="shared" si="430"/>
        <v>0</v>
      </c>
      <c r="BJ137" s="133">
        <f t="shared" si="431"/>
        <v>0</v>
      </c>
      <c r="BK137" s="133">
        <f t="shared" si="432"/>
        <v>0</v>
      </c>
      <c r="BL137" s="133">
        <f t="shared" si="433"/>
        <v>0</v>
      </c>
      <c r="BM137" s="133">
        <f t="shared" si="434"/>
        <v>0</v>
      </c>
      <c r="BN137" s="133">
        <f t="shared" si="435"/>
        <v>0</v>
      </c>
      <c r="BO137" s="133">
        <f t="shared" si="436"/>
        <v>0</v>
      </c>
      <c r="BP137" s="133">
        <f t="shared" si="437"/>
        <v>0</v>
      </c>
      <c r="BQ137" s="133">
        <f t="shared" si="438"/>
        <v>0</v>
      </c>
      <c r="BR137" s="133">
        <f t="shared" si="439"/>
        <v>0</v>
      </c>
      <c r="BS137" s="133">
        <f t="shared" si="440"/>
        <v>0</v>
      </c>
      <c r="BT137" s="133">
        <f t="shared" si="441"/>
        <v>0</v>
      </c>
      <c r="BU137" s="133">
        <f t="shared" si="442"/>
        <v>0</v>
      </c>
      <c r="BV137" s="133">
        <f t="shared" si="443"/>
        <v>0</v>
      </c>
      <c r="BW137" s="133">
        <f t="shared" si="444"/>
        <v>0</v>
      </c>
      <c r="BX137" s="267"/>
      <c r="BY137" s="267"/>
      <c r="BZ137" s="267"/>
      <c r="CA137" s="267"/>
      <c r="CB137" s="267"/>
      <c r="CC137" s="267"/>
      <c r="CD137" s="267"/>
      <c r="CE137" s="267"/>
      <c r="CF137" s="267"/>
      <c r="CG137" s="267"/>
      <c r="CS137" s="178">
        <v>119</v>
      </c>
      <c r="CT137" s="259">
        <f t="shared" ca="1" si="386"/>
        <v>49805</v>
      </c>
      <c r="CU137" s="179">
        <f t="shared" ref="CU137:DC137" ca="1" si="663">(($AW142/(1+CU$18)^(($AZ142-$AZ$23)/30)))+($AS142/(1+CU$18)^(($AZ142-$AZ$23)/30))</f>
        <v>0</v>
      </c>
      <c r="CV137" s="179">
        <f t="shared" ca="1" si="663"/>
        <v>0</v>
      </c>
      <c r="CW137" s="179">
        <f t="shared" ca="1" si="663"/>
        <v>0</v>
      </c>
      <c r="CX137" s="179">
        <f t="shared" ca="1" si="663"/>
        <v>0</v>
      </c>
      <c r="CY137" s="179">
        <f t="shared" ca="1" si="663"/>
        <v>0</v>
      </c>
      <c r="CZ137" s="179">
        <f t="shared" ca="1" si="663"/>
        <v>0</v>
      </c>
      <c r="DA137" s="179">
        <f t="shared" ca="1" si="663"/>
        <v>0</v>
      </c>
      <c r="DB137" s="179">
        <f t="shared" ca="1" si="663"/>
        <v>0</v>
      </c>
      <c r="DC137" s="179">
        <f t="shared" ca="1" si="663"/>
        <v>0</v>
      </c>
      <c r="DD137" s="179">
        <f t="shared" ref="DD137:DI137" ca="1" si="664">(($AW142/(1+DD$18)^(($AZ142-$AZ$23)/30)))+($AS142/(1+DD$18)^(($AZ142-$AZ$23)/30))</f>
        <v>0</v>
      </c>
      <c r="DE137" s="179">
        <f t="shared" ca="1" si="664"/>
        <v>0</v>
      </c>
      <c r="DF137" s="179" t="e">
        <f t="shared" ca="1" si="664"/>
        <v>#VALUE!</v>
      </c>
      <c r="DG137" s="179" t="e">
        <f t="shared" ca="1" si="664"/>
        <v>#VALUE!</v>
      </c>
      <c r="DH137" s="179" t="e">
        <f t="shared" ca="1" si="664"/>
        <v>#VALUE!</v>
      </c>
      <c r="DI137" s="179" t="e">
        <f t="shared" ca="1" si="664"/>
        <v>#VALUE!</v>
      </c>
      <c r="DJ137" s="179" t="e">
        <f t="shared" ref="DJ137:DQ137" ca="1" si="665">(($AW142/(1+DJ$18)^(($AZ142-$AZ$23)/30)))+($AS142/(1+DJ$18)^(($AZ142-$AZ$23)/30))</f>
        <v>#VALUE!</v>
      </c>
      <c r="DK137" s="179" t="e">
        <f t="shared" ca="1" si="665"/>
        <v>#VALUE!</v>
      </c>
      <c r="DL137" s="179" t="e">
        <f t="shared" ca="1" si="665"/>
        <v>#VALUE!</v>
      </c>
      <c r="DM137" s="179" t="e">
        <f t="shared" ca="1" si="665"/>
        <v>#VALUE!</v>
      </c>
      <c r="DN137" s="179" t="e">
        <f t="shared" ca="1" si="665"/>
        <v>#VALUE!</v>
      </c>
      <c r="DO137" s="179" t="e">
        <f t="shared" ca="1" si="665"/>
        <v>#VALUE!</v>
      </c>
      <c r="DP137" s="179" t="e">
        <f t="shared" ca="1" si="665"/>
        <v>#VALUE!</v>
      </c>
      <c r="DQ137" s="179" t="e">
        <f t="shared" ca="1" si="665"/>
        <v>#VALUE!</v>
      </c>
      <c r="DR137" s="180">
        <f t="shared" si="396"/>
        <v>0</v>
      </c>
      <c r="DS137" s="180">
        <f t="shared" si="640"/>
        <v>0</v>
      </c>
      <c r="DT137" s="180">
        <f t="shared" si="640"/>
        <v>0</v>
      </c>
      <c r="DU137" s="180">
        <f t="shared" si="640"/>
        <v>0</v>
      </c>
      <c r="DV137" s="180">
        <f t="shared" si="640"/>
        <v>0</v>
      </c>
      <c r="DW137" s="180">
        <f t="shared" si="640"/>
        <v>0</v>
      </c>
      <c r="DX137" s="180">
        <f t="shared" si="640"/>
        <v>0</v>
      </c>
      <c r="DY137" s="180">
        <f t="shared" si="640"/>
        <v>0</v>
      </c>
      <c r="DZ137" s="180">
        <f t="shared" si="640"/>
        <v>0</v>
      </c>
      <c r="EA137" s="180">
        <f t="shared" si="640"/>
        <v>0</v>
      </c>
      <c r="EB137" s="180">
        <f t="shared" si="640"/>
        <v>0</v>
      </c>
      <c r="EC137" s="180">
        <f t="shared" si="640"/>
        <v>0</v>
      </c>
      <c r="ED137" s="180">
        <f t="shared" si="640"/>
        <v>0</v>
      </c>
      <c r="EE137" s="180">
        <f t="shared" si="640"/>
        <v>0</v>
      </c>
      <c r="EF137" s="180">
        <f t="shared" si="640"/>
        <v>0</v>
      </c>
      <c r="EG137" s="180">
        <f t="shared" ref="EG137:EO137" si="666">IF($AU142&gt;$BA$19,0,$BA142-$AS142)</f>
        <v>0</v>
      </c>
      <c r="EH137" s="180">
        <f t="shared" si="666"/>
        <v>0</v>
      </c>
      <c r="EI137" s="180">
        <f t="shared" si="666"/>
        <v>0</v>
      </c>
      <c r="EJ137" s="180">
        <f t="shared" si="666"/>
        <v>0</v>
      </c>
      <c r="EK137" s="180">
        <f t="shared" si="666"/>
        <v>0</v>
      </c>
      <c r="EL137" s="180">
        <f t="shared" si="666"/>
        <v>0</v>
      </c>
      <c r="EM137" s="180">
        <f t="shared" si="666"/>
        <v>0</v>
      </c>
      <c r="EN137" s="180">
        <f t="shared" si="666"/>
        <v>0</v>
      </c>
      <c r="EO137" s="180">
        <f t="shared" si="666"/>
        <v>0</v>
      </c>
      <c r="EQ137" s="259">
        <f t="shared" ca="1" si="398"/>
        <v>49775</v>
      </c>
      <c r="ER137" s="87">
        <f t="shared" ca="1" si="632"/>
        <v>0</v>
      </c>
      <c r="ES137" s="87">
        <f t="shared" ca="1" si="632"/>
        <v>0</v>
      </c>
      <c r="ET137" s="87">
        <f t="shared" ca="1" si="632"/>
        <v>0</v>
      </c>
      <c r="EU137" s="87">
        <f t="shared" ca="1" si="632"/>
        <v>0</v>
      </c>
      <c r="EV137" s="87">
        <f t="shared" ca="1" si="632"/>
        <v>0</v>
      </c>
      <c r="EW137" s="87">
        <f t="shared" ca="1" si="632"/>
        <v>0</v>
      </c>
      <c r="EX137" s="87">
        <f t="shared" ca="1" si="632"/>
        <v>0</v>
      </c>
      <c r="EY137" s="87">
        <f t="shared" ca="1" si="632"/>
        <v>0</v>
      </c>
      <c r="EZ137" s="87">
        <f t="shared" ca="1" si="632"/>
        <v>0</v>
      </c>
      <c r="FA137" s="87">
        <f t="shared" ca="1" si="632"/>
        <v>0</v>
      </c>
      <c r="FB137" s="87">
        <f t="shared" ca="1" si="632"/>
        <v>0</v>
      </c>
      <c r="FC137" s="87">
        <f t="shared" ca="1" si="632"/>
        <v>0</v>
      </c>
      <c r="FD137" s="87">
        <f t="shared" ca="1" si="632"/>
        <v>0</v>
      </c>
      <c r="FE137" s="87">
        <f t="shared" ca="1" si="632"/>
        <v>0</v>
      </c>
      <c r="FF137" s="87">
        <f t="shared" ca="1" si="632"/>
        <v>0</v>
      </c>
      <c r="FG137" s="87">
        <f t="shared" ca="1" si="642"/>
        <v>0</v>
      </c>
      <c r="FH137" s="87">
        <f t="shared" ca="1" si="642"/>
        <v>0</v>
      </c>
      <c r="FI137" s="87">
        <f t="shared" ca="1" si="642"/>
        <v>0</v>
      </c>
      <c r="FJ137" s="87">
        <f t="shared" ca="1" si="642"/>
        <v>0</v>
      </c>
      <c r="FK137" s="87">
        <f t="shared" ca="1" si="642"/>
        <v>0</v>
      </c>
      <c r="FL137" s="87">
        <f t="shared" ca="1" si="642"/>
        <v>0</v>
      </c>
      <c r="FM137" s="87">
        <f t="shared" ca="1" si="642"/>
        <v>0</v>
      </c>
      <c r="FN137" s="87">
        <f t="shared" ca="1" si="642"/>
        <v>0</v>
      </c>
      <c r="FO137" s="87">
        <f t="shared" ca="1" si="642"/>
        <v>0</v>
      </c>
      <c r="FP137" s="87">
        <f t="shared" ca="1" si="642"/>
        <v>0</v>
      </c>
    </row>
    <row r="138" spans="2:172" ht="12.75" hidden="1" customHeight="1" x14ac:dyDescent="0.25">
      <c r="B138" s="87">
        <v>80</v>
      </c>
      <c r="C138" s="181">
        <f t="shared" ca="1" si="597"/>
        <v>48589</v>
      </c>
      <c r="D138" s="380">
        <f t="shared" si="626"/>
        <v>0</v>
      </c>
      <c r="E138" s="380">
        <f t="shared" si="626"/>
        <v>0</v>
      </c>
      <c r="F138" s="380">
        <f t="shared" si="626"/>
        <v>0</v>
      </c>
      <c r="G138" s="380">
        <f t="shared" si="626"/>
        <v>0</v>
      </c>
      <c r="H138" s="380">
        <f t="shared" si="626"/>
        <v>0</v>
      </c>
      <c r="I138" s="380">
        <f t="shared" si="626"/>
        <v>0</v>
      </c>
      <c r="J138" s="380">
        <f t="shared" si="626"/>
        <v>0</v>
      </c>
      <c r="K138" s="380">
        <f t="shared" si="626"/>
        <v>0</v>
      </c>
      <c r="L138" s="380">
        <f t="shared" si="626"/>
        <v>0</v>
      </c>
      <c r="M138" s="380">
        <f t="shared" si="626"/>
        <v>0</v>
      </c>
      <c r="N138" s="380">
        <f t="shared" si="627"/>
        <v>0</v>
      </c>
      <c r="O138" s="380">
        <f t="shared" si="627"/>
        <v>0</v>
      </c>
      <c r="P138" s="380">
        <f t="shared" si="627"/>
        <v>0</v>
      </c>
      <c r="Q138" s="380">
        <f t="shared" si="627"/>
        <v>0</v>
      </c>
      <c r="R138" s="380">
        <f t="shared" si="627"/>
        <v>0</v>
      </c>
      <c r="S138" s="380">
        <f t="shared" si="627"/>
        <v>0</v>
      </c>
      <c r="T138" s="380">
        <f t="shared" si="627"/>
        <v>0</v>
      </c>
      <c r="U138" s="175"/>
      <c r="X138" s="87">
        <v>123</v>
      </c>
      <c r="Y138" s="377">
        <f t="shared" si="361"/>
        <v>0</v>
      </c>
      <c r="Z138" s="377">
        <f t="shared" si="362"/>
        <v>0</v>
      </c>
      <c r="AA138" s="377">
        <f t="shared" si="363"/>
        <v>0</v>
      </c>
      <c r="AB138" s="377">
        <f t="shared" si="364"/>
        <v>0</v>
      </c>
      <c r="AC138" s="377">
        <f t="shared" si="365"/>
        <v>0</v>
      </c>
      <c r="AD138" s="377">
        <f t="shared" si="366"/>
        <v>0</v>
      </c>
      <c r="AE138" s="377">
        <f t="shared" si="367"/>
        <v>0</v>
      </c>
      <c r="AF138" s="377">
        <f t="shared" si="368"/>
        <v>0</v>
      </c>
      <c r="AG138" s="377">
        <f t="shared" si="369"/>
        <v>0</v>
      </c>
      <c r="AH138" s="377">
        <f t="shared" si="370"/>
        <v>0</v>
      </c>
      <c r="AI138" s="377">
        <f t="shared" si="371"/>
        <v>0</v>
      </c>
      <c r="AJ138" s="377">
        <f t="shared" si="372"/>
        <v>0</v>
      </c>
      <c r="AK138" s="377">
        <f t="shared" si="373"/>
        <v>0</v>
      </c>
      <c r="AL138" s="377">
        <f t="shared" si="374"/>
        <v>0</v>
      </c>
      <c r="AM138" s="377">
        <f t="shared" si="375"/>
        <v>0</v>
      </c>
      <c r="AN138" s="377">
        <f t="shared" si="376"/>
        <v>0</v>
      </c>
      <c r="AO138" s="377">
        <f t="shared" si="377"/>
        <v>0</v>
      </c>
      <c r="AQ138" s="138">
        <v>115</v>
      </c>
      <c r="AR138" s="258">
        <f t="shared" ca="1" si="528"/>
        <v>49653</v>
      </c>
      <c r="AS138" s="378">
        <f t="shared" si="421"/>
        <v>0</v>
      </c>
      <c r="AU138" s="138">
        <v>115</v>
      </c>
      <c r="AV138" s="258">
        <f t="shared" ca="1" si="529"/>
        <v>49684</v>
      </c>
      <c r="AW138" s="378">
        <f t="shared" si="423"/>
        <v>0</v>
      </c>
      <c r="AX138" s="202">
        <f t="shared" ca="1" si="424"/>
        <v>0</v>
      </c>
      <c r="AY138" s="138">
        <v>115</v>
      </c>
      <c r="AZ138" s="258">
        <f t="shared" ca="1" si="530"/>
        <v>49684</v>
      </c>
      <c r="BA138" s="378">
        <f t="shared" si="426"/>
        <v>0</v>
      </c>
      <c r="BC138" s="258">
        <f t="shared" ca="1" si="591"/>
        <v>49653</v>
      </c>
      <c r="BD138" s="302">
        <f t="shared" ca="1" si="592"/>
        <v>0</v>
      </c>
      <c r="BE138" s="133">
        <f t="shared" si="412"/>
        <v>115</v>
      </c>
      <c r="BF138" s="379">
        <f t="shared" ca="1" si="413"/>
        <v>49653</v>
      </c>
      <c r="BG138" s="133">
        <f t="shared" si="428"/>
        <v>0</v>
      </c>
      <c r="BH138" s="133">
        <f t="shared" si="429"/>
        <v>0</v>
      </c>
      <c r="BI138" s="133">
        <f t="shared" si="430"/>
        <v>0</v>
      </c>
      <c r="BJ138" s="133">
        <f t="shared" si="431"/>
        <v>0</v>
      </c>
      <c r="BK138" s="133">
        <f t="shared" si="432"/>
        <v>0</v>
      </c>
      <c r="BL138" s="133">
        <f t="shared" si="433"/>
        <v>0</v>
      </c>
      <c r="BM138" s="133">
        <f t="shared" si="434"/>
        <v>0</v>
      </c>
      <c r="BN138" s="133">
        <f t="shared" si="435"/>
        <v>0</v>
      </c>
      <c r="BO138" s="133">
        <f t="shared" si="436"/>
        <v>0</v>
      </c>
      <c r="BP138" s="133">
        <f t="shared" si="437"/>
        <v>0</v>
      </c>
      <c r="BQ138" s="133">
        <f t="shared" si="438"/>
        <v>0</v>
      </c>
      <c r="BR138" s="133">
        <f t="shared" si="439"/>
        <v>0</v>
      </c>
      <c r="BS138" s="133">
        <f t="shared" si="440"/>
        <v>0</v>
      </c>
      <c r="BT138" s="133">
        <f t="shared" si="441"/>
        <v>0</v>
      </c>
      <c r="BU138" s="133">
        <f t="shared" si="442"/>
        <v>0</v>
      </c>
      <c r="BV138" s="133">
        <f t="shared" si="443"/>
        <v>0</v>
      </c>
      <c r="BW138" s="133">
        <f t="shared" si="444"/>
        <v>0</v>
      </c>
      <c r="BX138" s="267"/>
      <c r="BY138" s="267"/>
      <c r="BZ138" s="267"/>
      <c r="CA138" s="267"/>
      <c r="CB138" s="267"/>
      <c r="CC138" s="267"/>
      <c r="CD138" s="267"/>
      <c r="CE138" s="267"/>
      <c r="CF138" s="267"/>
      <c r="CG138" s="267"/>
      <c r="CS138" s="138">
        <v>120</v>
      </c>
      <c r="CT138" s="259">
        <f t="shared" ca="1" si="386"/>
        <v>49836</v>
      </c>
      <c r="CU138" s="179">
        <f t="shared" ref="CU138:DC138" ca="1" si="667">(($AW143/(1+CU$18)^(($AZ143-$AZ$23)/30)))+($AS143/(1+CU$18)^(($AZ143-$AZ$23)/30))</f>
        <v>0</v>
      </c>
      <c r="CV138" s="179">
        <f t="shared" ca="1" si="667"/>
        <v>0</v>
      </c>
      <c r="CW138" s="179">
        <f t="shared" ca="1" si="667"/>
        <v>0</v>
      </c>
      <c r="CX138" s="179">
        <f t="shared" ca="1" si="667"/>
        <v>0</v>
      </c>
      <c r="CY138" s="179">
        <f t="shared" ca="1" si="667"/>
        <v>0</v>
      </c>
      <c r="CZ138" s="179">
        <f t="shared" ca="1" si="667"/>
        <v>0</v>
      </c>
      <c r="DA138" s="179">
        <f t="shared" ca="1" si="667"/>
        <v>0</v>
      </c>
      <c r="DB138" s="179">
        <f t="shared" ca="1" si="667"/>
        <v>0</v>
      </c>
      <c r="DC138" s="179">
        <f t="shared" ca="1" si="667"/>
        <v>0</v>
      </c>
      <c r="DD138" s="179">
        <f t="shared" ref="DD138:DI138" ca="1" si="668">(($AW143/(1+DD$18)^(($AZ143-$AZ$23)/30)))+($AS143/(1+DD$18)^(($AZ143-$AZ$23)/30))</f>
        <v>0</v>
      </c>
      <c r="DE138" s="179">
        <f t="shared" ca="1" si="668"/>
        <v>0</v>
      </c>
      <c r="DF138" s="179" t="e">
        <f t="shared" ca="1" si="668"/>
        <v>#VALUE!</v>
      </c>
      <c r="DG138" s="179" t="e">
        <f t="shared" ca="1" si="668"/>
        <v>#VALUE!</v>
      </c>
      <c r="DH138" s="179" t="e">
        <f t="shared" ca="1" si="668"/>
        <v>#VALUE!</v>
      </c>
      <c r="DI138" s="179" t="e">
        <f t="shared" ca="1" si="668"/>
        <v>#VALUE!</v>
      </c>
      <c r="DJ138" s="179" t="e">
        <f t="shared" ref="DJ138:DQ138" ca="1" si="669">(($AW143/(1+DJ$18)^(($AZ143-$AZ$23)/30)))+($AS143/(1+DJ$18)^(($AZ143-$AZ$23)/30))</f>
        <v>#VALUE!</v>
      </c>
      <c r="DK138" s="179" t="e">
        <f t="shared" ca="1" si="669"/>
        <v>#VALUE!</v>
      </c>
      <c r="DL138" s="179" t="e">
        <f t="shared" ca="1" si="669"/>
        <v>#VALUE!</v>
      </c>
      <c r="DM138" s="179" t="e">
        <f t="shared" ca="1" si="669"/>
        <v>#VALUE!</v>
      </c>
      <c r="DN138" s="179" t="e">
        <f t="shared" ca="1" si="669"/>
        <v>#VALUE!</v>
      </c>
      <c r="DO138" s="179" t="e">
        <f t="shared" ca="1" si="669"/>
        <v>#VALUE!</v>
      </c>
      <c r="DP138" s="179" t="e">
        <f t="shared" ca="1" si="669"/>
        <v>#VALUE!</v>
      </c>
      <c r="DQ138" s="179" t="e">
        <f t="shared" ca="1" si="669"/>
        <v>#VALUE!</v>
      </c>
      <c r="DR138" s="180">
        <f t="shared" si="396"/>
        <v>0</v>
      </c>
      <c r="DS138" s="180">
        <f t="shared" si="640"/>
        <v>0</v>
      </c>
      <c r="DT138" s="180">
        <f t="shared" si="640"/>
        <v>0</v>
      </c>
      <c r="DU138" s="180">
        <f t="shared" si="640"/>
        <v>0</v>
      </c>
      <c r="DV138" s="180">
        <f t="shared" si="640"/>
        <v>0</v>
      </c>
      <c r="DW138" s="180">
        <f t="shared" si="640"/>
        <v>0</v>
      </c>
      <c r="DX138" s="180">
        <f t="shared" si="640"/>
        <v>0</v>
      </c>
      <c r="DY138" s="180">
        <f t="shared" si="640"/>
        <v>0</v>
      </c>
      <c r="DZ138" s="180">
        <f t="shared" si="640"/>
        <v>0</v>
      </c>
      <c r="EA138" s="180">
        <f t="shared" si="640"/>
        <v>0</v>
      </c>
      <c r="EB138" s="180">
        <f t="shared" si="640"/>
        <v>0</v>
      </c>
      <c r="EC138" s="180">
        <f t="shared" si="640"/>
        <v>0</v>
      </c>
      <c r="ED138" s="180">
        <f t="shared" si="640"/>
        <v>0</v>
      </c>
      <c r="EE138" s="180">
        <f t="shared" si="640"/>
        <v>0</v>
      </c>
      <c r="EF138" s="180">
        <f t="shared" si="640"/>
        <v>0</v>
      </c>
      <c r="EG138" s="180">
        <f t="shared" ref="EG138:EO138" si="670">IF($AU143&gt;$BA$19,0,$BA143-$AS143)</f>
        <v>0</v>
      </c>
      <c r="EH138" s="180">
        <f t="shared" si="670"/>
        <v>0</v>
      </c>
      <c r="EI138" s="180">
        <f t="shared" si="670"/>
        <v>0</v>
      </c>
      <c r="EJ138" s="180">
        <f t="shared" si="670"/>
        <v>0</v>
      </c>
      <c r="EK138" s="180">
        <f t="shared" si="670"/>
        <v>0</v>
      </c>
      <c r="EL138" s="180">
        <f t="shared" si="670"/>
        <v>0</v>
      </c>
      <c r="EM138" s="180">
        <f t="shared" si="670"/>
        <v>0</v>
      </c>
      <c r="EN138" s="180">
        <f t="shared" si="670"/>
        <v>0</v>
      </c>
      <c r="EO138" s="180">
        <f t="shared" si="670"/>
        <v>0</v>
      </c>
      <c r="EQ138" s="259">
        <f t="shared" ca="1" si="398"/>
        <v>49805</v>
      </c>
      <c r="ER138" s="87">
        <f t="shared" ca="1" si="632"/>
        <v>0</v>
      </c>
      <c r="ES138" s="87">
        <f t="shared" ca="1" si="632"/>
        <v>0</v>
      </c>
      <c r="ET138" s="87">
        <f t="shared" ca="1" si="632"/>
        <v>0</v>
      </c>
      <c r="EU138" s="87">
        <f t="shared" ca="1" si="632"/>
        <v>0</v>
      </c>
      <c r="EV138" s="87">
        <f t="shared" ca="1" si="632"/>
        <v>0</v>
      </c>
      <c r="EW138" s="87">
        <f t="shared" ca="1" si="632"/>
        <v>0</v>
      </c>
      <c r="EX138" s="87">
        <f t="shared" ca="1" si="632"/>
        <v>0</v>
      </c>
      <c r="EY138" s="87">
        <f t="shared" ca="1" si="632"/>
        <v>0</v>
      </c>
      <c r="EZ138" s="87">
        <f t="shared" ca="1" si="632"/>
        <v>0</v>
      </c>
      <c r="FA138" s="87">
        <f t="shared" ca="1" si="632"/>
        <v>0</v>
      </c>
      <c r="FB138" s="87">
        <f t="shared" ca="1" si="632"/>
        <v>0</v>
      </c>
      <c r="FC138" s="87">
        <f t="shared" ca="1" si="632"/>
        <v>0</v>
      </c>
      <c r="FD138" s="87">
        <f t="shared" ca="1" si="632"/>
        <v>0</v>
      </c>
      <c r="FE138" s="87">
        <f t="shared" ca="1" si="632"/>
        <v>0</v>
      </c>
      <c r="FF138" s="87">
        <f t="shared" ca="1" si="632"/>
        <v>0</v>
      </c>
      <c r="FG138" s="87">
        <f t="shared" ca="1" si="642"/>
        <v>0</v>
      </c>
      <c r="FH138" s="87">
        <f t="shared" ca="1" si="642"/>
        <v>0</v>
      </c>
      <c r="FI138" s="87">
        <f t="shared" ca="1" si="642"/>
        <v>0</v>
      </c>
      <c r="FJ138" s="87">
        <f t="shared" ca="1" si="642"/>
        <v>0</v>
      </c>
      <c r="FK138" s="87">
        <f t="shared" ca="1" si="642"/>
        <v>0</v>
      </c>
      <c r="FL138" s="87">
        <f t="shared" ca="1" si="642"/>
        <v>0</v>
      </c>
      <c r="FM138" s="87">
        <f t="shared" ca="1" si="642"/>
        <v>0</v>
      </c>
      <c r="FN138" s="87">
        <f t="shared" ca="1" si="642"/>
        <v>0</v>
      </c>
      <c r="FO138" s="87">
        <f t="shared" ca="1" si="642"/>
        <v>0</v>
      </c>
      <c r="FP138" s="87">
        <f t="shared" ca="1" si="642"/>
        <v>0</v>
      </c>
    </row>
    <row r="139" spans="2:172" ht="12.75" hidden="1" customHeight="1" x14ac:dyDescent="0.25">
      <c r="B139" s="87">
        <v>81</v>
      </c>
      <c r="C139" s="181">
        <f t="shared" ca="1" si="597"/>
        <v>48620</v>
      </c>
      <c r="D139" s="380">
        <f t="shared" ref="D139:M148" si="671">IF($B139&lt;=D$20,1/(($C$57+1)^(($C139-$C$58)/30)),0)</f>
        <v>0</v>
      </c>
      <c r="E139" s="380">
        <f t="shared" si="671"/>
        <v>0</v>
      </c>
      <c r="F139" s="380">
        <f t="shared" si="671"/>
        <v>0</v>
      </c>
      <c r="G139" s="380">
        <f t="shared" si="671"/>
        <v>0</v>
      </c>
      <c r="H139" s="380">
        <f t="shared" si="671"/>
        <v>0</v>
      </c>
      <c r="I139" s="380">
        <f t="shared" si="671"/>
        <v>0</v>
      </c>
      <c r="J139" s="380">
        <f t="shared" si="671"/>
        <v>0</v>
      </c>
      <c r="K139" s="380">
        <f t="shared" si="671"/>
        <v>0</v>
      </c>
      <c r="L139" s="380">
        <f t="shared" si="671"/>
        <v>0</v>
      </c>
      <c r="M139" s="380">
        <f t="shared" si="671"/>
        <v>0</v>
      </c>
      <c r="N139" s="380">
        <f t="shared" ref="N139:T148" si="672">IF($B139&lt;=N$20,1/(($C$57+1)^(($C139-$C$58)/30)),0)</f>
        <v>0</v>
      </c>
      <c r="O139" s="380">
        <f t="shared" si="672"/>
        <v>0</v>
      </c>
      <c r="P139" s="380">
        <f t="shared" si="672"/>
        <v>0</v>
      </c>
      <c r="Q139" s="380">
        <f t="shared" si="672"/>
        <v>0</v>
      </c>
      <c r="R139" s="380">
        <f t="shared" si="672"/>
        <v>0</v>
      </c>
      <c r="S139" s="380">
        <f t="shared" si="672"/>
        <v>0</v>
      </c>
      <c r="T139" s="380">
        <f t="shared" si="672"/>
        <v>0</v>
      </c>
      <c r="U139" s="175"/>
      <c r="X139" s="87">
        <v>124</v>
      </c>
      <c r="Y139" s="377">
        <f t="shared" si="361"/>
        <v>0</v>
      </c>
      <c r="Z139" s="377">
        <f t="shared" si="362"/>
        <v>0</v>
      </c>
      <c r="AA139" s="377">
        <f t="shared" si="363"/>
        <v>0</v>
      </c>
      <c r="AB139" s="377">
        <f t="shared" si="364"/>
        <v>0</v>
      </c>
      <c r="AC139" s="377">
        <f t="shared" si="365"/>
        <v>0</v>
      </c>
      <c r="AD139" s="377">
        <f t="shared" si="366"/>
        <v>0</v>
      </c>
      <c r="AE139" s="377">
        <f t="shared" si="367"/>
        <v>0</v>
      </c>
      <c r="AF139" s="377">
        <f t="shared" si="368"/>
        <v>0</v>
      </c>
      <c r="AG139" s="377">
        <f t="shared" si="369"/>
        <v>0</v>
      </c>
      <c r="AH139" s="377">
        <f t="shared" si="370"/>
        <v>0</v>
      </c>
      <c r="AI139" s="377">
        <f t="shared" si="371"/>
        <v>0</v>
      </c>
      <c r="AJ139" s="377">
        <f t="shared" si="372"/>
        <v>0</v>
      </c>
      <c r="AK139" s="377">
        <f t="shared" si="373"/>
        <v>0</v>
      </c>
      <c r="AL139" s="377">
        <f t="shared" si="374"/>
        <v>0</v>
      </c>
      <c r="AM139" s="377">
        <f t="shared" si="375"/>
        <v>0</v>
      </c>
      <c r="AN139" s="377">
        <f t="shared" si="376"/>
        <v>0</v>
      </c>
      <c r="AO139" s="377">
        <f t="shared" si="377"/>
        <v>0</v>
      </c>
      <c r="AQ139" s="138">
        <v>116</v>
      </c>
      <c r="AR139" s="258">
        <f t="shared" ca="1" si="528"/>
        <v>49684</v>
      </c>
      <c r="AS139" s="378">
        <f t="shared" si="421"/>
        <v>0</v>
      </c>
      <c r="AU139" s="138">
        <v>116</v>
      </c>
      <c r="AV139" s="258">
        <f t="shared" ca="1" si="529"/>
        <v>49715</v>
      </c>
      <c r="AW139" s="378">
        <f t="shared" si="423"/>
        <v>0</v>
      </c>
      <c r="AX139" s="202">
        <f t="shared" ca="1" si="424"/>
        <v>0</v>
      </c>
      <c r="AY139" s="138">
        <v>116</v>
      </c>
      <c r="AZ139" s="258">
        <f t="shared" ca="1" si="530"/>
        <v>49715</v>
      </c>
      <c r="BA139" s="378">
        <f t="shared" si="426"/>
        <v>0</v>
      </c>
      <c r="BC139" s="258">
        <f t="shared" ca="1" si="591"/>
        <v>49684</v>
      </c>
      <c r="BD139" s="302">
        <f t="shared" ca="1" si="592"/>
        <v>0</v>
      </c>
      <c r="BE139" s="133">
        <f t="shared" si="412"/>
        <v>116</v>
      </c>
      <c r="BF139" s="379">
        <f t="shared" ca="1" si="413"/>
        <v>49684</v>
      </c>
      <c r="BG139" s="133">
        <f t="shared" si="428"/>
        <v>0</v>
      </c>
      <c r="BH139" s="133">
        <f t="shared" si="429"/>
        <v>0</v>
      </c>
      <c r="BI139" s="133">
        <f t="shared" si="430"/>
        <v>0</v>
      </c>
      <c r="BJ139" s="133">
        <f t="shared" si="431"/>
        <v>0</v>
      </c>
      <c r="BK139" s="133">
        <f t="shared" si="432"/>
        <v>0</v>
      </c>
      <c r="BL139" s="133">
        <f t="shared" si="433"/>
        <v>0</v>
      </c>
      <c r="BM139" s="133">
        <f t="shared" si="434"/>
        <v>0</v>
      </c>
      <c r="BN139" s="133">
        <f t="shared" si="435"/>
        <v>0</v>
      </c>
      <c r="BO139" s="133">
        <f t="shared" si="436"/>
        <v>0</v>
      </c>
      <c r="BP139" s="133">
        <f t="shared" si="437"/>
        <v>0</v>
      </c>
      <c r="BQ139" s="133">
        <f t="shared" si="438"/>
        <v>0</v>
      </c>
      <c r="BR139" s="133">
        <f t="shared" si="439"/>
        <v>0</v>
      </c>
      <c r="BS139" s="133">
        <f t="shared" si="440"/>
        <v>0</v>
      </c>
      <c r="BT139" s="133">
        <f t="shared" si="441"/>
        <v>0</v>
      </c>
      <c r="BU139" s="133">
        <f t="shared" si="442"/>
        <v>0</v>
      </c>
      <c r="BV139" s="133">
        <f t="shared" si="443"/>
        <v>0</v>
      </c>
      <c r="BW139" s="133">
        <f t="shared" si="444"/>
        <v>0</v>
      </c>
      <c r="BX139" s="267"/>
      <c r="BY139" s="267"/>
      <c r="BZ139" s="267"/>
      <c r="CA139" s="267"/>
      <c r="CB139" s="267"/>
      <c r="CC139" s="267"/>
      <c r="CD139" s="267"/>
      <c r="CE139" s="267"/>
      <c r="CF139" s="267"/>
      <c r="CG139" s="267"/>
      <c r="CS139" s="87">
        <v>121</v>
      </c>
      <c r="CT139" s="259">
        <f t="shared" ca="1" si="386"/>
        <v>49866</v>
      </c>
      <c r="CU139" s="179">
        <f t="shared" ref="CU139:DC139" ca="1" si="673">(($AW144/(1+CU$18)^(($AZ144-$AZ$23)/30)))+($AS144/(1+CU$18)^(($AZ144-$AZ$23)/30))</f>
        <v>0</v>
      </c>
      <c r="CV139" s="179">
        <f t="shared" ca="1" si="673"/>
        <v>0</v>
      </c>
      <c r="CW139" s="179">
        <f t="shared" ca="1" si="673"/>
        <v>0</v>
      </c>
      <c r="CX139" s="179">
        <f t="shared" ca="1" si="673"/>
        <v>0</v>
      </c>
      <c r="CY139" s="179">
        <f t="shared" ca="1" si="673"/>
        <v>0</v>
      </c>
      <c r="CZ139" s="179">
        <f t="shared" ca="1" si="673"/>
        <v>0</v>
      </c>
      <c r="DA139" s="179">
        <f t="shared" ca="1" si="673"/>
        <v>0</v>
      </c>
      <c r="DB139" s="179">
        <f t="shared" ca="1" si="673"/>
        <v>0</v>
      </c>
      <c r="DC139" s="179">
        <f t="shared" ca="1" si="673"/>
        <v>0</v>
      </c>
      <c r="DD139" s="179">
        <f t="shared" ref="DD139:DI139" ca="1" si="674">(($AW144/(1+DD$18)^(($AZ144-$AZ$23)/30)))+($AS144/(1+DD$18)^(($AZ144-$AZ$23)/30))</f>
        <v>0</v>
      </c>
      <c r="DE139" s="179">
        <f t="shared" ca="1" si="674"/>
        <v>0</v>
      </c>
      <c r="DF139" s="179" t="e">
        <f t="shared" ca="1" si="674"/>
        <v>#VALUE!</v>
      </c>
      <c r="DG139" s="179" t="e">
        <f t="shared" ca="1" si="674"/>
        <v>#VALUE!</v>
      </c>
      <c r="DH139" s="179" t="e">
        <f t="shared" ca="1" si="674"/>
        <v>#VALUE!</v>
      </c>
      <c r="DI139" s="179" t="e">
        <f t="shared" ca="1" si="674"/>
        <v>#VALUE!</v>
      </c>
      <c r="DJ139" s="179" t="e">
        <f t="shared" ref="DJ139:DQ139" ca="1" si="675">(($AW144/(1+DJ$18)^(($AZ144-$AZ$23)/30)))+($AS144/(1+DJ$18)^(($AZ144-$AZ$23)/30))</f>
        <v>#VALUE!</v>
      </c>
      <c r="DK139" s="179" t="e">
        <f t="shared" ca="1" si="675"/>
        <v>#VALUE!</v>
      </c>
      <c r="DL139" s="179" t="e">
        <f t="shared" ca="1" si="675"/>
        <v>#VALUE!</v>
      </c>
      <c r="DM139" s="179" t="e">
        <f t="shared" ca="1" si="675"/>
        <v>#VALUE!</v>
      </c>
      <c r="DN139" s="179" t="e">
        <f t="shared" ca="1" si="675"/>
        <v>#VALUE!</v>
      </c>
      <c r="DO139" s="179" t="e">
        <f t="shared" ca="1" si="675"/>
        <v>#VALUE!</v>
      </c>
      <c r="DP139" s="179" t="e">
        <f t="shared" ca="1" si="675"/>
        <v>#VALUE!</v>
      </c>
      <c r="DQ139" s="179" t="e">
        <f t="shared" ca="1" si="675"/>
        <v>#VALUE!</v>
      </c>
      <c r="DR139" s="180">
        <f t="shared" si="396"/>
        <v>0</v>
      </c>
      <c r="DS139" s="180">
        <f t="shared" si="640"/>
        <v>0</v>
      </c>
      <c r="DT139" s="180">
        <f t="shared" si="640"/>
        <v>0</v>
      </c>
      <c r="DU139" s="180">
        <f t="shared" si="640"/>
        <v>0</v>
      </c>
      <c r="DV139" s="180">
        <f t="shared" si="640"/>
        <v>0</v>
      </c>
      <c r="DW139" s="180">
        <f t="shared" si="640"/>
        <v>0</v>
      </c>
      <c r="DX139" s="180">
        <f t="shared" si="640"/>
        <v>0</v>
      </c>
      <c r="DY139" s="180">
        <f t="shared" si="640"/>
        <v>0</v>
      </c>
      <c r="DZ139" s="180">
        <f t="shared" si="640"/>
        <v>0</v>
      </c>
      <c r="EA139" s="180">
        <f t="shared" si="640"/>
        <v>0</v>
      </c>
      <c r="EB139" s="180">
        <f t="shared" si="640"/>
        <v>0</v>
      </c>
      <c r="EC139" s="180">
        <f t="shared" si="640"/>
        <v>0</v>
      </c>
      <c r="ED139" s="180">
        <f t="shared" si="640"/>
        <v>0</v>
      </c>
      <c r="EE139" s="180">
        <f t="shared" si="640"/>
        <v>0</v>
      </c>
      <c r="EF139" s="180">
        <f t="shared" si="640"/>
        <v>0</v>
      </c>
      <c r="EG139" s="180">
        <f t="shared" ref="EG139:EO139" si="676">IF($AU144&gt;$BA$19,0,$BA144-$AS144)</f>
        <v>0</v>
      </c>
      <c r="EH139" s="180">
        <f t="shared" si="676"/>
        <v>0</v>
      </c>
      <c r="EI139" s="180">
        <f t="shared" si="676"/>
        <v>0</v>
      </c>
      <c r="EJ139" s="180">
        <f t="shared" si="676"/>
        <v>0</v>
      </c>
      <c r="EK139" s="180">
        <f t="shared" si="676"/>
        <v>0</v>
      </c>
      <c r="EL139" s="180">
        <f t="shared" si="676"/>
        <v>0</v>
      </c>
      <c r="EM139" s="180">
        <f t="shared" si="676"/>
        <v>0</v>
      </c>
      <c r="EN139" s="180">
        <f t="shared" si="676"/>
        <v>0</v>
      </c>
      <c r="EO139" s="180">
        <f t="shared" si="676"/>
        <v>0</v>
      </c>
      <c r="EQ139" s="259">
        <f t="shared" ca="1" si="398"/>
        <v>49836</v>
      </c>
      <c r="ER139" s="87">
        <f t="shared" ref="ER139:FF148" ca="1" si="677" xml:space="preserve"> IFERROR(VLOOKUP($EQ139,$AZ$23:$BA$167,2,FALSE),0)-IFERROR(VLOOKUP($EQ139,$AR$23:$AS$167,2,FALSE),0)</f>
        <v>0</v>
      </c>
      <c r="ES139" s="87">
        <f t="shared" ca="1" si="677"/>
        <v>0</v>
      </c>
      <c r="ET139" s="87">
        <f t="shared" ca="1" si="677"/>
        <v>0</v>
      </c>
      <c r="EU139" s="87">
        <f t="shared" ca="1" si="677"/>
        <v>0</v>
      </c>
      <c r="EV139" s="87">
        <f t="shared" ca="1" si="677"/>
        <v>0</v>
      </c>
      <c r="EW139" s="87">
        <f t="shared" ca="1" si="677"/>
        <v>0</v>
      </c>
      <c r="EX139" s="87">
        <f t="shared" ca="1" si="677"/>
        <v>0</v>
      </c>
      <c r="EY139" s="87">
        <f t="shared" ca="1" si="677"/>
        <v>0</v>
      </c>
      <c r="EZ139" s="87">
        <f t="shared" ca="1" si="677"/>
        <v>0</v>
      </c>
      <c r="FA139" s="87">
        <f t="shared" ca="1" si="677"/>
        <v>0</v>
      </c>
      <c r="FB139" s="87">
        <f t="shared" ca="1" si="677"/>
        <v>0</v>
      </c>
      <c r="FC139" s="87">
        <f t="shared" ca="1" si="677"/>
        <v>0</v>
      </c>
      <c r="FD139" s="87">
        <f t="shared" ca="1" si="677"/>
        <v>0</v>
      </c>
      <c r="FE139" s="87">
        <f t="shared" ca="1" si="677"/>
        <v>0</v>
      </c>
      <c r="FF139" s="87">
        <f t="shared" ca="1" si="677"/>
        <v>0</v>
      </c>
      <c r="FG139" s="87">
        <f t="shared" ca="1" si="642"/>
        <v>0</v>
      </c>
      <c r="FH139" s="87">
        <f t="shared" ca="1" si="642"/>
        <v>0</v>
      </c>
      <c r="FI139" s="87">
        <f t="shared" ca="1" si="642"/>
        <v>0</v>
      </c>
      <c r="FJ139" s="87">
        <f t="shared" ca="1" si="642"/>
        <v>0</v>
      </c>
      <c r="FK139" s="87">
        <f t="shared" ca="1" si="642"/>
        <v>0</v>
      </c>
      <c r="FL139" s="87">
        <f t="shared" ca="1" si="642"/>
        <v>0</v>
      </c>
      <c r="FM139" s="87">
        <f t="shared" ca="1" si="642"/>
        <v>0</v>
      </c>
      <c r="FN139" s="87">
        <f t="shared" ca="1" si="642"/>
        <v>0</v>
      </c>
      <c r="FO139" s="87">
        <f t="shared" ca="1" si="642"/>
        <v>0</v>
      </c>
      <c r="FP139" s="87">
        <f t="shared" ca="1" si="642"/>
        <v>0</v>
      </c>
    </row>
    <row r="140" spans="2:172" ht="12.75" hidden="1" customHeight="1" x14ac:dyDescent="0.25">
      <c r="B140" s="87">
        <v>82</v>
      </c>
      <c r="C140" s="181">
        <f t="shared" ca="1" si="597"/>
        <v>48648</v>
      </c>
      <c r="D140" s="380">
        <f t="shared" si="671"/>
        <v>0</v>
      </c>
      <c r="E140" s="380">
        <f t="shared" si="671"/>
        <v>0</v>
      </c>
      <c r="F140" s="380">
        <f t="shared" si="671"/>
        <v>0</v>
      </c>
      <c r="G140" s="380">
        <f t="shared" si="671"/>
        <v>0</v>
      </c>
      <c r="H140" s="380">
        <f t="shared" si="671"/>
        <v>0</v>
      </c>
      <c r="I140" s="380">
        <f t="shared" si="671"/>
        <v>0</v>
      </c>
      <c r="J140" s="380">
        <f t="shared" si="671"/>
        <v>0</v>
      </c>
      <c r="K140" s="380">
        <f t="shared" si="671"/>
        <v>0</v>
      </c>
      <c r="L140" s="380">
        <f t="shared" si="671"/>
        <v>0</v>
      </c>
      <c r="M140" s="380">
        <f t="shared" si="671"/>
        <v>0</v>
      </c>
      <c r="N140" s="380">
        <f t="shared" si="672"/>
        <v>0</v>
      </c>
      <c r="O140" s="380">
        <f t="shared" si="672"/>
        <v>0</v>
      </c>
      <c r="P140" s="380">
        <f t="shared" si="672"/>
        <v>0</v>
      </c>
      <c r="Q140" s="380">
        <f t="shared" si="672"/>
        <v>0</v>
      </c>
      <c r="R140" s="380">
        <f t="shared" si="672"/>
        <v>0</v>
      </c>
      <c r="S140" s="380">
        <f t="shared" si="672"/>
        <v>0</v>
      </c>
      <c r="T140" s="380">
        <f t="shared" si="672"/>
        <v>0</v>
      </c>
      <c r="U140" s="175"/>
      <c r="X140" s="87">
        <v>125</v>
      </c>
      <c r="Y140" s="377">
        <f t="shared" si="361"/>
        <v>0</v>
      </c>
      <c r="Z140" s="377">
        <f t="shared" si="362"/>
        <v>0</v>
      </c>
      <c r="AA140" s="377">
        <f t="shared" si="363"/>
        <v>0</v>
      </c>
      <c r="AB140" s="377">
        <f t="shared" si="364"/>
        <v>0</v>
      </c>
      <c r="AC140" s="377">
        <f t="shared" si="365"/>
        <v>0</v>
      </c>
      <c r="AD140" s="377">
        <f t="shared" si="366"/>
        <v>0</v>
      </c>
      <c r="AE140" s="377">
        <f t="shared" si="367"/>
        <v>0</v>
      </c>
      <c r="AF140" s="377">
        <f t="shared" si="368"/>
        <v>0</v>
      </c>
      <c r="AG140" s="377">
        <f t="shared" si="369"/>
        <v>0</v>
      </c>
      <c r="AH140" s="377">
        <f t="shared" si="370"/>
        <v>0</v>
      </c>
      <c r="AI140" s="377">
        <f t="shared" si="371"/>
        <v>0</v>
      </c>
      <c r="AJ140" s="377">
        <f t="shared" si="372"/>
        <v>0</v>
      </c>
      <c r="AK140" s="377">
        <f t="shared" si="373"/>
        <v>0</v>
      </c>
      <c r="AL140" s="377">
        <f t="shared" si="374"/>
        <v>0</v>
      </c>
      <c r="AM140" s="377">
        <f t="shared" si="375"/>
        <v>0</v>
      </c>
      <c r="AN140" s="377">
        <f t="shared" si="376"/>
        <v>0</v>
      </c>
      <c r="AO140" s="377">
        <f t="shared" si="377"/>
        <v>0</v>
      </c>
      <c r="AQ140" s="138">
        <v>117</v>
      </c>
      <c r="AR140" s="258">
        <f t="shared" ca="1" si="528"/>
        <v>49715</v>
      </c>
      <c r="AS140" s="378">
        <f t="shared" si="421"/>
        <v>0</v>
      </c>
      <c r="AU140" s="138">
        <v>117</v>
      </c>
      <c r="AV140" s="258">
        <f t="shared" ca="1" si="529"/>
        <v>49744</v>
      </c>
      <c r="AW140" s="378">
        <f t="shared" si="423"/>
        <v>0</v>
      </c>
      <c r="AX140" s="202">
        <f t="shared" ca="1" si="424"/>
        <v>0</v>
      </c>
      <c r="AY140" s="138">
        <v>117</v>
      </c>
      <c r="AZ140" s="258">
        <f t="shared" ca="1" si="530"/>
        <v>49744</v>
      </c>
      <c r="BA140" s="378">
        <f t="shared" si="426"/>
        <v>0</v>
      </c>
      <c r="BC140" s="258">
        <f t="shared" ca="1" si="591"/>
        <v>49715</v>
      </c>
      <c r="BD140" s="302">
        <f t="shared" ca="1" si="592"/>
        <v>0</v>
      </c>
      <c r="BE140" s="133">
        <f t="shared" si="412"/>
        <v>117</v>
      </c>
      <c r="BF140" s="379">
        <f t="shared" ca="1" si="413"/>
        <v>49715</v>
      </c>
      <c r="BG140" s="133">
        <f t="shared" si="428"/>
        <v>0</v>
      </c>
      <c r="BH140" s="133">
        <f t="shared" si="429"/>
        <v>0</v>
      </c>
      <c r="BI140" s="133">
        <f t="shared" si="430"/>
        <v>0</v>
      </c>
      <c r="BJ140" s="133">
        <f t="shared" si="431"/>
        <v>0</v>
      </c>
      <c r="BK140" s="133">
        <f t="shared" si="432"/>
        <v>0</v>
      </c>
      <c r="BL140" s="133">
        <f t="shared" si="433"/>
        <v>0</v>
      </c>
      <c r="BM140" s="133">
        <f t="shared" si="434"/>
        <v>0</v>
      </c>
      <c r="BN140" s="133">
        <f t="shared" si="435"/>
        <v>0</v>
      </c>
      <c r="BO140" s="133">
        <f t="shared" si="436"/>
        <v>0</v>
      </c>
      <c r="BP140" s="133">
        <f t="shared" si="437"/>
        <v>0</v>
      </c>
      <c r="BQ140" s="133">
        <f t="shared" si="438"/>
        <v>0</v>
      </c>
      <c r="BR140" s="133">
        <f t="shared" si="439"/>
        <v>0</v>
      </c>
      <c r="BS140" s="133">
        <f t="shared" si="440"/>
        <v>0</v>
      </c>
      <c r="BT140" s="133">
        <f t="shared" si="441"/>
        <v>0</v>
      </c>
      <c r="BU140" s="133">
        <f t="shared" si="442"/>
        <v>0</v>
      </c>
      <c r="BV140" s="133">
        <f t="shared" si="443"/>
        <v>0</v>
      </c>
      <c r="BW140" s="133">
        <f t="shared" si="444"/>
        <v>0</v>
      </c>
      <c r="BX140" s="267"/>
      <c r="BY140" s="267"/>
      <c r="BZ140" s="267"/>
      <c r="CA140" s="267"/>
      <c r="CB140" s="267"/>
      <c r="CC140" s="267"/>
      <c r="CD140" s="267"/>
      <c r="CE140" s="267"/>
      <c r="CF140" s="267"/>
      <c r="CG140" s="267"/>
      <c r="CS140" s="178">
        <v>122</v>
      </c>
      <c r="CT140" s="259">
        <f t="shared" ca="1" si="386"/>
        <v>49897</v>
      </c>
      <c r="CU140" s="179">
        <f t="shared" ref="CU140:DC140" ca="1" si="678">(($AW145/(1+CU$18)^(($AZ145-$AZ$23)/30)))+($AS145/(1+CU$18)^(($AZ145-$AZ$23)/30))</f>
        <v>0</v>
      </c>
      <c r="CV140" s="179">
        <f t="shared" ca="1" si="678"/>
        <v>0</v>
      </c>
      <c r="CW140" s="179">
        <f t="shared" ca="1" si="678"/>
        <v>0</v>
      </c>
      <c r="CX140" s="179">
        <f t="shared" ca="1" si="678"/>
        <v>0</v>
      </c>
      <c r="CY140" s="179">
        <f t="shared" ca="1" si="678"/>
        <v>0</v>
      </c>
      <c r="CZ140" s="179">
        <f t="shared" ca="1" si="678"/>
        <v>0</v>
      </c>
      <c r="DA140" s="179">
        <f t="shared" ca="1" si="678"/>
        <v>0</v>
      </c>
      <c r="DB140" s="179">
        <f t="shared" ca="1" si="678"/>
        <v>0</v>
      </c>
      <c r="DC140" s="179">
        <f t="shared" ca="1" si="678"/>
        <v>0</v>
      </c>
      <c r="DD140" s="179">
        <f t="shared" ref="DD140:DI140" ca="1" si="679">(($AW145/(1+DD$18)^(($AZ145-$AZ$23)/30)))+($AS145/(1+DD$18)^(($AZ145-$AZ$23)/30))</f>
        <v>0</v>
      </c>
      <c r="DE140" s="179">
        <f t="shared" ca="1" si="679"/>
        <v>0</v>
      </c>
      <c r="DF140" s="179" t="e">
        <f t="shared" ca="1" si="679"/>
        <v>#VALUE!</v>
      </c>
      <c r="DG140" s="179" t="e">
        <f t="shared" ca="1" si="679"/>
        <v>#VALUE!</v>
      </c>
      <c r="DH140" s="179" t="e">
        <f t="shared" ca="1" si="679"/>
        <v>#VALUE!</v>
      </c>
      <c r="DI140" s="179" t="e">
        <f t="shared" ca="1" si="679"/>
        <v>#VALUE!</v>
      </c>
      <c r="DJ140" s="179" t="e">
        <f t="shared" ref="DJ140:DQ140" ca="1" si="680">(($AW145/(1+DJ$18)^(($AZ145-$AZ$23)/30)))+($AS145/(1+DJ$18)^(($AZ145-$AZ$23)/30))</f>
        <v>#VALUE!</v>
      </c>
      <c r="DK140" s="179" t="e">
        <f t="shared" ca="1" si="680"/>
        <v>#VALUE!</v>
      </c>
      <c r="DL140" s="179" t="e">
        <f t="shared" ca="1" si="680"/>
        <v>#VALUE!</v>
      </c>
      <c r="DM140" s="179" t="e">
        <f t="shared" ca="1" si="680"/>
        <v>#VALUE!</v>
      </c>
      <c r="DN140" s="179" t="e">
        <f t="shared" ca="1" si="680"/>
        <v>#VALUE!</v>
      </c>
      <c r="DO140" s="179" t="e">
        <f t="shared" ca="1" si="680"/>
        <v>#VALUE!</v>
      </c>
      <c r="DP140" s="179" t="e">
        <f t="shared" ca="1" si="680"/>
        <v>#VALUE!</v>
      </c>
      <c r="DQ140" s="179" t="e">
        <f t="shared" ca="1" si="680"/>
        <v>#VALUE!</v>
      </c>
      <c r="DR140" s="180">
        <f t="shared" si="396"/>
        <v>0</v>
      </c>
      <c r="DS140" s="180">
        <f t="shared" si="640"/>
        <v>0</v>
      </c>
      <c r="DT140" s="180">
        <f t="shared" si="640"/>
        <v>0</v>
      </c>
      <c r="DU140" s="180">
        <f t="shared" si="640"/>
        <v>0</v>
      </c>
      <c r="DV140" s="180">
        <f t="shared" si="640"/>
        <v>0</v>
      </c>
      <c r="DW140" s="180">
        <f t="shared" si="640"/>
        <v>0</v>
      </c>
      <c r="DX140" s="180">
        <f t="shared" si="640"/>
        <v>0</v>
      </c>
      <c r="DY140" s="180">
        <f t="shared" si="640"/>
        <v>0</v>
      </c>
      <c r="DZ140" s="180">
        <f t="shared" si="640"/>
        <v>0</v>
      </c>
      <c r="EA140" s="180">
        <f t="shared" si="640"/>
        <v>0</v>
      </c>
      <c r="EB140" s="180">
        <f t="shared" si="640"/>
        <v>0</v>
      </c>
      <c r="EC140" s="180">
        <f t="shared" si="640"/>
        <v>0</v>
      </c>
      <c r="ED140" s="180">
        <f t="shared" si="640"/>
        <v>0</v>
      </c>
      <c r="EE140" s="180">
        <f t="shared" si="640"/>
        <v>0</v>
      </c>
      <c r="EF140" s="180">
        <f t="shared" si="640"/>
        <v>0</v>
      </c>
      <c r="EG140" s="180">
        <f t="shared" ref="EG140:EO140" si="681">IF($AU145&gt;$BA$19,0,$BA145-$AS145)</f>
        <v>0</v>
      </c>
      <c r="EH140" s="180">
        <f t="shared" si="681"/>
        <v>0</v>
      </c>
      <c r="EI140" s="180">
        <f t="shared" si="681"/>
        <v>0</v>
      </c>
      <c r="EJ140" s="180">
        <f t="shared" si="681"/>
        <v>0</v>
      </c>
      <c r="EK140" s="180">
        <f t="shared" si="681"/>
        <v>0</v>
      </c>
      <c r="EL140" s="180">
        <f t="shared" si="681"/>
        <v>0</v>
      </c>
      <c r="EM140" s="180">
        <f t="shared" si="681"/>
        <v>0</v>
      </c>
      <c r="EN140" s="180">
        <f t="shared" si="681"/>
        <v>0</v>
      </c>
      <c r="EO140" s="180">
        <f t="shared" si="681"/>
        <v>0</v>
      </c>
      <c r="EQ140" s="259">
        <f t="shared" ca="1" si="398"/>
        <v>49866</v>
      </c>
      <c r="ER140" s="87">
        <f t="shared" ca="1" si="677"/>
        <v>0</v>
      </c>
      <c r="ES140" s="87">
        <f t="shared" ca="1" si="677"/>
        <v>0</v>
      </c>
      <c r="ET140" s="87">
        <f t="shared" ca="1" si="677"/>
        <v>0</v>
      </c>
      <c r="EU140" s="87">
        <f t="shared" ca="1" si="677"/>
        <v>0</v>
      </c>
      <c r="EV140" s="87">
        <f t="shared" ca="1" si="677"/>
        <v>0</v>
      </c>
      <c r="EW140" s="87">
        <f t="shared" ca="1" si="677"/>
        <v>0</v>
      </c>
      <c r="EX140" s="87">
        <f t="shared" ca="1" si="677"/>
        <v>0</v>
      </c>
      <c r="EY140" s="87">
        <f t="shared" ca="1" si="677"/>
        <v>0</v>
      </c>
      <c r="EZ140" s="87">
        <f t="shared" ca="1" si="677"/>
        <v>0</v>
      </c>
      <c r="FA140" s="87">
        <f t="shared" ca="1" si="677"/>
        <v>0</v>
      </c>
      <c r="FB140" s="87">
        <f t="shared" ca="1" si="677"/>
        <v>0</v>
      </c>
      <c r="FC140" s="87">
        <f t="shared" ca="1" si="677"/>
        <v>0</v>
      </c>
      <c r="FD140" s="87">
        <f t="shared" ca="1" si="677"/>
        <v>0</v>
      </c>
      <c r="FE140" s="87">
        <f t="shared" ca="1" si="677"/>
        <v>0</v>
      </c>
      <c r="FF140" s="87">
        <f t="shared" ca="1" si="677"/>
        <v>0</v>
      </c>
      <c r="FG140" s="87">
        <f t="shared" ca="1" si="642"/>
        <v>0</v>
      </c>
      <c r="FH140" s="87">
        <f t="shared" ca="1" si="642"/>
        <v>0</v>
      </c>
      <c r="FI140" s="87">
        <f t="shared" ca="1" si="642"/>
        <v>0</v>
      </c>
      <c r="FJ140" s="87">
        <f t="shared" ca="1" si="642"/>
        <v>0</v>
      </c>
      <c r="FK140" s="87">
        <f t="shared" ca="1" si="642"/>
        <v>0</v>
      </c>
      <c r="FL140" s="87">
        <f t="shared" ca="1" si="642"/>
        <v>0</v>
      </c>
      <c r="FM140" s="87">
        <f t="shared" ca="1" si="642"/>
        <v>0</v>
      </c>
      <c r="FN140" s="87">
        <f t="shared" ca="1" si="642"/>
        <v>0</v>
      </c>
      <c r="FO140" s="87">
        <f t="shared" ca="1" si="642"/>
        <v>0</v>
      </c>
      <c r="FP140" s="87">
        <f t="shared" ca="1" si="642"/>
        <v>0</v>
      </c>
    </row>
    <row r="141" spans="2:172" ht="12.75" hidden="1" customHeight="1" x14ac:dyDescent="0.25">
      <c r="B141" s="87">
        <v>83</v>
      </c>
      <c r="C141" s="181">
        <f t="shared" ca="1" si="597"/>
        <v>48679</v>
      </c>
      <c r="D141" s="380">
        <f t="shared" si="671"/>
        <v>0</v>
      </c>
      <c r="E141" s="380">
        <f t="shared" si="671"/>
        <v>0</v>
      </c>
      <c r="F141" s="380">
        <f t="shared" si="671"/>
        <v>0</v>
      </c>
      <c r="G141" s="380">
        <f t="shared" si="671"/>
        <v>0</v>
      </c>
      <c r="H141" s="380">
        <f t="shared" si="671"/>
        <v>0</v>
      </c>
      <c r="I141" s="380">
        <f t="shared" si="671"/>
        <v>0</v>
      </c>
      <c r="J141" s="380">
        <f t="shared" si="671"/>
        <v>0</v>
      </c>
      <c r="K141" s="380">
        <f t="shared" si="671"/>
        <v>0</v>
      </c>
      <c r="L141" s="380">
        <f t="shared" si="671"/>
        <v>0</v>
      </c>
      <c r="M141" s="380">
        <f t="shared" si="671"/>
        <v>0</v>
      </c>
      <c r="N141" s="380">
        <f t="shared" si="672"/>
        <v>0</v>
      </c>
      <c r="O141" s="380">
        <f t="shared" si="672"/>
        <v>0</v>
      </c>
      <c r="P141" s="380">
        <f t="shared" si="672"/>
        <v>0</v>
      </c>
      <c r="Q141" s="380">
        <f t="shared" si="672"/>
        <v>0</v>
      </c>
      <c r="R141" s="380">
        <f t="shared" si="672"/>
        <v>0</v>
      </c>
      <c r="S141" s="380">
        <f t="shared" si="672"/>
        <v>0</v>
      </c>
      <c r="T141" s="380">
        <f t="shared" si="672"/>
        <v>0</v>
      </c>
      <c r="U141" s="175"/>
      <c r="X141" s="87">
        <v>126</v>
      </c>
      <c r="Y141" s="377">
        <f t="shared" si="361"/>
        <v>0</v>
      </c>
      <c r="Z141" s="377">
        <f t="shared" si="362"/>
        <v>0</v>
      </c>
      <c r="AA141" s="377">
        <f t="shared" si="363"/>
        <v>0</v>
      </c>
      <c r="AB141" s="377">
        <f t="shared" si="364"/>
        <v>0</v>
      </c>
      <c r="AC141" s="377">
        <f t="shared" si="365"/>
        <v>0</v>
      </c>
      <c r="AD141" s="377">
        <f t="shared" si="366"/>
        <v>0</v>
      </c>
      <c r="AE141" s="377">
        <f t="shared" si="367"/>
        <v>0</v>
      </c>
      <c r="AF141" s="377">
        <f t="shared" si="368"/>
        <v>0</v>
      </c>
      <c r="AG141" s="377">
        <f t="shared" si="369"/>
        <v>0</v>
      </c>
      <c r="AH141" s="377">
        <f t="shared" si="370"/>
        <v>0</v>
      </c>
      <c r="AI141" s="377">
        <f t="shared" si="371"/>
        <v>0</v>
      </c>
      <c r="AJ141" s="377">
        <f t="shared" si="372"/>
        <v>0</v>
      </c>
      <c r="AK141" s="377">
        <f t="shared" si="373"/>
        <v>0</v>
      </c>
      <c r="AL141" s="377">
        <f t="shared" si="374"/>
        <v>0</v>
      </c>
      <c r="AM141" s="377">
        <f t="shared" si="375"/>
        <v>0</v>
      </c>
      <c r="AN141" s="377">
        <f t="shared" si="376"/>
        <v>0</v>
      </c>
      <c r="AO141" s="377">
        <f t="shared" si="377"/>
        <v>0</v>
      </c>
      <c r="AQ141" s="138">
        <v>118</v>
      </c>
      <c r="AR141" s="258">
        <f t="shared" ca="1" si="528"/>
        <v>49744</v>
      </c>
      <c r="AS141" s="378">
        <f t="shared" si="421"/>
        <v>0</v>
      </c>
      <c r="AU141" s="138">
        <v>118</v>
      </c>
      <c r="AV141" s="258">
        <f t="shared" ca="1" si="529"/>
        <v>49775</v>
      </c>
      <c r="AW141" s="378">
        <f t="shared" si="423"/>
        <v>0</v>
      </c>
      <c r="AX141" s="202">
        <f t="shared" ca="1" si="424"/>
        <v>0</v>
      </c>
      <c r="AY141" s="138">
        <v>118</v>
      </c>
      <c r="AZ141" s="258">
        <f t="shared" ca="1" si="530"/>
        <v>49775</v>
      </c>
      <c r="BA141" s="378">
        <f t="shared" si="426"/>
        <v>0</v>
      </c>
      <c r="BC141" s="258">
        <f t="shared" ca="1" si="591"/>
        <v>49744</v>
      </c>
      <c r="BD141" s="302">
        <f t="shared" ca="1" si="592"/>
        <v>0</v>
      </c>
      <c r="BE141" s="133">
        <f t="shared" si="412"/>
        <v>118</v>
      </c>
      <c r="BF141" s="379">
        <f t="shared" ca="1" si="413"/>
        <v>49744</v>
      </c>
      <c r="BG141" s="133">
        <f t="shared" si="428"/>
        <v>0</v>
      </c>
      <c r="BH141" s="133">
        <f t="shared" si="429"/>
        <v>0</v>
      </c>
      <c r="BI141" s="133">
        <f t="shared" si="430"/>
        <v>0</v>
      </c>
      <c r="BJ141" s="133">
        <f t="shared" si="431"/>
        <v>0</v>
      </c>
      <c r="BK141" s="133">
        <f t="shared" si="432"/>
        <v>0</v>
      </c>
      <c r="BL141" s="133">
        <f t="shared" si="433"/>
        <v>0</v>
      </c>
      <c r="BM141" s="133">
        <f t="shared" si="434"/>
        <v>0</v>
      </c>
      <c r="BN141" s="133">
        <f t="shared" si="435"/>
        <v>0</v>
      </c>
      <c r="BO141" s="133">
        <f t="shared" si="436"/>
        <v>0</v>
      </c>
      <c r="BP141" s="133">
        <f t="shared" si="437"/>
        <v>0</v>
      </c>
      <c r="BQ141" s="133">
        <f t="shared" si="438"/>
        <v>0</v>
      </c>
      <c r="BR141" s="133">
        <f t="shared" si="439"/>
        <v>0</v>
      </c>
      <c r="BS141" s="133">
        <f t="shared" si="440"/>
        <v>0</v>
      </c>
      <c r="BT141" s="133">
        <f t="shared" si="441"/>
        <v>0</v>
      </c>
      <c r="BU141" s="133">
        <f t="shared" si="442"/>
        <v>0</v>
      </c>
      <c r="BV141" s="133">
        <f t="shared" si="443"/>
        <v>0</v>
      </c>
      <c r="BW141" s="133">
        <f t="shared" si="444"/>
        <v>0</v>
      </c>
      <c r="BX141" s="267"/>
      <c r="BY141" s="267"/>
      <c r="BZ141" s="267"/>
      <c r="CA141" s="267"/>
      <c r="CB141" s="267"/>
      <c r="CC141" s="267"/>
      <c r="CD141" s="267"/>
      <c r="CE141" s="267"/>
      <c r="CF141" s="267"/>
      <c r="CG141" s="267"/>
      <c r="CS141" s="138">
        <v>123</v>
      </c>
      <c r="CT141" s="259">
        <f t="shared" ca="1" si="386"/>
        <v>49928</v>
      </c>
      <c r="CU141" s="179">
        <f t="shared" ref="CU141:DC141" ca="1" si="682">(($AW146/(1+CU$18)^(($AZ146-$AZ$23)/30)))+($AS146/(1+CU$18)^(($AZ146-$AZ$23)/30))</f>
        <v>0</v>
      </c>
      <c r="CV141" s="179">
        <f t="shared" ca="1" si="682"/>
        <v>0</v>
      </c>
      <c r="CW141" s="179">
        <f t="shared" ca="1" si="682"/>
        <v>0</v>
      </c>
      <c r="CX141" s="179">
        <f t="shared" ca="1" si="682"/>
        <v>0</v>
      </c>
      <c r="CY141" s="179">
        <f t="shared" ca="1" si="682"/>
        <v>0</v>
      </c>
      <c r="CZ141" s="179">
        <f t="shared" ca="1" si="682"/>
        <v>0</v>
      </c>
      <c r="DA141" s="179">
        <f t="shared" ca="1" si="682"/>
        <v>0</v>
      </c>
      <c r="DB141" s="179">
        <f t="shared" ca="1" si="682"/>
        <v>0</v>
      </c>
      <c r="DC141" s="179">
        <f t="shared" ca="1" si="682"/>
        <v>0</v>
      </c>
      <c r="DD141" s="179">
        <f t="shared" ref="DD141:DI141" ca="1" si="683">(($AW146/(1+DD$18)^(($AZ146-$AZ$23)/30)))+($AS146/(1+DD$18)^(($AZ146-$AZ$23)/30))</f>
        <v>0</v>
      </c>
      <c r="DE141" s="179">
        <f t="shared" ca="1" si="683"/>
        <v>0</v>
      </c>
      <c r="DF141" s="179" t="e">
        <f t="shared" ca="1" si="683"/>
        <v>#VALUE!</v>
      </c>
      <c r="DG141" s="179" t="e">
        <f t="shared" ca="1" si="683"/>
        <v>#VALUE!</v>
      </c>
      <c r="DH141" s="179" t="e">
        <f t="shared" ca="1" si="683"/>
        <v>#VALUE!</v>
      </c>
      <c r="DI141" s="179" t="e">
        <f t="shared" ca="1" si="683"/>
        <v>#VALUE!</v>
      </c>
      <c r="DJ141" s="179" t="e">
        <f t="shared" ref="DJ141:DQ141" ca="1" si="684">(($AW146/(1+DJ$18)^(($AZ146-$AZ$23)/30)))+($AS146/(1+DJ$18)^(($AZ146-$AZ$23)/30))</f>
        <v>#VALUE!</v>
      </c>
      <c r="DK141" s="179" t="e">
        <f t="shared" ca="1" si="684"/>
        <v>#VALUE!</v>
      </c>
      <c r="DL141" s="179" t="e">
        <f t="shared" ca="1" si="684"/>
        <v>#VALUE!</v>
      </c>
      <c r="DM141" s="179" t="e">
        <f t="shared" ca="1" si="684"/>
        <v>#VALUE!</v>
      </c>
      <c r="DN141" s="179" t="e">
        <f t="shared" ca="1" si="684"/>
        <v>#VALUE!</v>
      </c>
      <c r="DO141" s="179" t="e">
        <f t="shared" ca="1" si="684"/>
        <v>#VALUE!</v>
      </c>
      <c r="DP141" s="179" t="e">
        <f t="shared" ca="1" si="684"/>
        <v>#VALUE!</v>
      </c>
      <c r="DQ141" s="179" t="e">
        <f t="shared" ca="1" si="684"/>
        <v>#VALUE!</v>
      </c>
      <c r="DR141" s="180">
        <f t="shared" si="396"/>
        <v>0</v>
      </c>
      <c r="DS141" s="180">
        <f t="shared" si="640"/>
        <v>0</v>
      </c>
      <c r="DT141" s="180">
        <f t="shared" si="640"/>
        <v>0</v>
      </c>
      <c r="DU141" s="180">
        <f t="shared" si="640"/>
        <v>0</v>
      </c>
      <c r="DV141" s="180">
        <f t="shared" si="640"/>
        <v>0</v>
      </c>
      <c r="DW141" s="180">
        <f t="shared" si="640"/>
        <v>0</v>
      </c>
      <c r="DX141" s="180">
        <f t="shared" si="640"/>
        <v>0</v>
      </c>
      <c r="DY141" s="180">
        <f t="shared" si="640"/>
        <v>0</v>
      </c>
      <c r="DZ141" s="180">
        <f t="shared" si="640"/>
        <v>0</v>
      </c>
      <c r="EA141" s="180">
        <f t="shared" si="640"/>
        <v>0</v>
      </c>
      <c r="EB141" s="180">
        <f t="shared" si="640"/>
        <v>0</v>
      </c>
      <c r="EC141" s="180">
        <f t="shared" si="640"/>
        <v>0</v>
      </c>
      <c r="ED141" s="180">
        <f t="shared" si="640"/>
        <v>0</v>
      </c>
      <c r="EE141" s="180">
        <f t="shared" si="640"/>
        <v>0</v>
      </c>
      <c r="EF141" s="180">
        <f t="shared" si="640"/>
        <v>0</v>
      </c>
      <c r="EG141" s="180">
        <f t="shared" ref="EG141:EO141" si="685">IF($AU146&gt;$BA$19,0,$BA146-$AS146)</f>
        <v>0</v>
      </c>
      <c r="EH141" s="180">
        <f t="shared" si="685"/>
        <v>0</v>
      </c>
      <c r="EI141" s="180">
        <f t="shared" si="685"/>
        <v>0</v>
      </c>
      <c r="EJ141" s="180">
        <f t="shared" si="685"/>
        <v>0</v>
      </c>
      <c r="EK141" s="180">
        <f t="shared" si="685"/>
        <v>0</v>
      </c>
      <c r="EL141" s="180">
        <f t="shared" si="685"/>
        <v>0</v>
      </c>
      <c r="EM141" s="180">
        <f t="shared" si="685"/>
        <v>0</v>
      </c>
      <c r="EN141" s="180">
        <f t="shared" si="685"/>
        <v>0</v>
      </c>
      <c r="EO141" s="180">
        <f t="shared" si="685"/>
        <v>0</v>
      </c>
      <c r="EQ141" s="259">
        <f t="shared" ca="1" si="398"/>
        <v>49897</v>
      </c>
      <c r="ER141" s="87">
        <f t="shared" ca="1" si="677"/>
        <v>0</v>
      </c>
      <c r="ES141" s="87">
        <f t="shared" ca="1" si="677"/>
        <v>0</v>
      </c>
      <c r="ET141" s="87">
        <f t="shared" ca="1" si="677"/>
        <v>0</v>
      </c>
      <c r="EU141" s="87">
        <f t="shared" ca="1" si="677"/>
        <v>0</v>
      </c>
      <c r="EV141" s="87">
        <f t="shared" ca="1" si="677"/>
        <v>0</v>
      </c>
      <c r="EW141" s="87">
        <f t="shared" ca="1" si="677"/>
        <v>0</v>
      </c>
      <c r="EX141" s="87">
        <f t="shared" ca="1" si="677"/>
        <v>0</v>
      </c>
      <c r="EY141" s="87">
        <f t="shared" ca="1" si="677"/>
        <v>0</v>
      </c>
      <c r="EZ141" s="87">
        <f t="shared" ca="1" si="677"/>
        <v>0</v>
      </c>
      <c r="FA141" s="87">
        <f t="shared" ca="1" si="677"/>
        <v>0</v>
      </c>
      <c r="FB141" s="87">
        <f t="shared" ca="1" si="677"/>
        <v>0</v>
      </c>
      <c r="FC141" s="87">
        <f t="shared" ca="1" si="677"/>
        <v>0</v>
      </c>
      <c r="FD141" s="87">
        <f t="shared" ca="1" si="677"/>
        <v>0</v>
      </c>
      <c r="FE141" s="87">
        <f t="shared" ca="1" si="677"/>
        <v>0</v>
      </c>
      <c r="FF141" s="87">
        <f t="shared" ca="1" si="677"/>
        <v>0</v>
      </c>
      <c r="FG141" s="87">
        <f t="shared" ca="1" si="642"/>
        <v>0</v>
      </c>
      <c r="FH141" s="87">
        <f t="shared" ca="1" si="642"/>
        <v>0</v>
      </c>
      <c r="FI141" s="87">
        <f t="shared" ca="1" si="642"/>
        <v>0</v>
      </c>
      <c r="FJ141" s="87">
        <f t="shared" ca="1" si="642"/>
        <v>0</v>
      </c>
      <c r="FK141" s="87">
        <f t="shared" ca="1" si="642"/>
        <v>0</v>
      </c>
      <c r="FL141" s="87">
        <f t="shared" ca="1" si="642"/>
        <v>0</v>
      </c>
      <c r="FM141" s="87">
        <f t="shared" ca="1" si="642"/>
        <v>0</v>
      </c>
      <c r="FN141" s="87">
        <f t="shared" ca="1" si="642"/>
        <v>0</v>
      </c>
      <c r="FO141" s="87">
        <f t="shared" ca="1" si="642"/>
        <v>0</v>
      </c>
      <c r="FP141" s="87">
        <f t="shared" ca="1" si="642"/>
        <v>0</v>
      </c>
    </row>
    <row r="142" spans="2:172" ht="12.75" hidden="1" customHeight="1" x14ac:dyDescent="0.25">
      <c r="B142" s="87">
        <v>84</v>
      </c>
      <c r="C142" s="181">
        <f t="shared" ca="1" si="597"/>
        <v>48709</v>
      </c>
      <c r="D142" s="380">
        <f t="shared" si="671"/>
        <v>0</v>
      </c>
      <c r="E142" s="380">
        <f t="shared" si="671"/>
        <v>0</v>
      </c>
      <c r="F142" s="380">
        <f t="shared" si="671"/>
        <v>0</v>
      </c>
      <c r="G142" s="380">
        <f t="shared" si="671"/>
        <v>0</v>
      </c>
      <c r="H142" s="380">
        <f t="shared" si="671"/>
        <v>0</v>
      </c>
      <c r="I142" s="380">
        <f t="shared" si="671"/>
        <v>0</v>
      </c>
      <c r="J142" s="380">
        <f t="shared" si="671"/>
        <v>0</v>
      </c>
      <c r="K142" s="380">
        <f t="shared" si="671"/>
        <v>0</v>
      </c>
      <c r="L142" s="380">
        <f t="shared" si="671"/>
        <v>0</v>
      </c>
      <c r="M142" s="380">
        <f t="shared" si="671"/>
        <v>0</v>
      </c>
      <c r="N142" s="380">
        <f t="shared" si="672"/>
        <v>0</v>
      </c>
      <c r="O142" s="380">
        <f t="shared" si="672"/>
        <v>0</v>
      </c>
      <c r="P142" s="380">
        <f t="shared" si="672"/>
        <v>0</v>
      </c>
      <c r="Q142" s="380">
        <f t="shared" si="672"/>
        <v>0</v>
      </c>
      <c r="R142" s="380">
        <f t="shared" si="672"/>
        <v>0</v>
      </c>
      <c r="S142" s="380">
        <f t="shared" si="672"/>
        <v>0</v>
      </c>
      <c r="T142" s="380">
        <f t="shared" si="672"/>
        <v>0</v>
      </c>
      <c r="U142" s="175"/>
      <c r="X142" s="87">
        <v>127</v>
      </c>
      <c r="Y142" s="377">
        <f t="shared" si="361"/>
        <v>0</v>
      </c>
      <c r="Z142" s="377">
        <f t="shared" si="362"/>
        <v>0</v>
      </c>
      <c r="AA142" s="377">
        <f t="shared" si="363"/>
        <v>0</v>
      </c>
      <c r="AB142" s="377">
        <f t="shared" si="364"/>
        <v>0</v>
      </c>
      <c r="AC142" s="377">
        <f t="shared" si="365"/>
        <v>0</v>
      </c>
      <c r="AD142" s="377">
        <f t="shared" si="366"/>
        <v>0</v>
      </c>
      <c r="AE142" s="377">
        <f t="shared" si="367"/>
        <v>0</v>
      </c>
      <c r="AF142" s="377">
        <f t="shared" si="368"/>
        <v>0</v>
      </c>
      <c r="AG142" s="377">
        <f t="shared" si="369"/>
        <v>0</v>
      </c>
      <c r="AH142" s="377">
        <f t="shared" si="370"/>
        <v>0</v>
      </c>
      <c r="AI142" s="377">
        <f t="shared" si="371"/>
        <v>0</v>
      </c>
      <c r="AJ142" s="377">
        <f t="shared" si="372"/>
        <v>0</v>
      </c>
      <c r="AK142" s="377">
        <f t="shared" si="373"/>
        <v>0</v>
      </c>
      <c r="AL142" s="377">
        <f t="shared" si="374"/>
        <v>0</v>
      </c>
      <c r="AM142" s="377">
        <f t="shared" si="375"/>
        <v>0</v>
      </c>
      <c r="AN142" s="377">
        <f t="shared" si="376"/>
        <v>0</v>
      </c>
      <c r="AO142" s="377">
        <f t="shared" si="377"/>
        <v>0</v>
      </c>
      <c r="AQ142" s="138">
        <v>119</v>
      </c>
      <c r="AR142" s="258">
        <f t="shared" ca="1" si="528"/>
        <v>49775</v>
      </c>
      <c r="AS142" s="378">
        <f t="shared" si="421"/>
        <v>0</v>
      </c>
      <c r="AU142" s="138">
        <v>119</v>
      </c>
      <c r="AV142" s="258">
        <f t="shared" ca="1" si="529"/>
        <v>49805</v>
      </c>
      <c r="AW142" s="378">
        <f t="shared" si="423"/>
        <v>0</v>
      </c>
      <c r="AX142" s="202">
        <f t="shared" ca="1" si="424"/>
        <v>0</v>
      </c>
      <c r="AY142" s="138">
        <v>119</v>
      </c>
      <c r="AZ142" s="258">
        <f t="shared" ca="1" si="530"/>
        <v>49805</v>
      </c>
      <c r="BA142" s="378">
        <f t="shared" si="426"/>
        <v>0</v>
      </c>
      <c r="BC142" s="258">
        <f t="shared" ca="1" si="591"/>
        <v>49775</v>
      </c>
      <c r="BD142" s="302">
        <f t="shared" ca="1" si="592"/>
        <v>0</v>
      </c>
      <c r="BE142" s="133">
        <f t="shared" si="412"/>
        <v>119</v>
      </c>
      <c r="BF142" s="379">
        <f t="shared" ca="1" si="413"/>
        <v>49775</v>
      </c>
      <c r="BG142" s="133">
        <f t="shared" si="428"/>
        <v>0</v>
      </c>
      <c r="BH142" s="133">
        <f t="shared" si="429"/>
        <v>0</v>
      </c>
      <c r="BI142" s="133">
        <f t="shared" si="430"/>
        <v>0</v>
      </c>
      <c r="BJ142" s="133">
        <f t="shared" si="431"/>
        <v>0</v>
      </c>
      <c r="BK142" s="133">
        <f t="shared" si="432"/>
        <v>0</v>
      </c>
      <c r="BL142" s="133">
        <f t="shared" si="433"/>
        <v>0</v>
      </c>
      <c r="BM142" s="133">
        <f t="shared" si="434"/>
        <v>0</v>
      </c>
      <c r="BN142" s="133">
        <f t="shared" si="435"/>
        <v>0</v>
      </c>
      <c r="BO142" s="133">
        <f t="shared" si="436"/>
        <v>0</v>
      </c>
      <c r="BP142" s="133">
        <f t="shared" si="437"/>
        <v>0</v>
      </c>
      <c r="BQ142" s="133">
        <f t="shared" si="438"/>
        <v>0</v>
      </c>
      <c r="BR142" s="133">
        <f t="shared" si="439"/>
        <v>0</v>
      </c>
      <c r="BS142" s="133">
        <f t="shared" si="440"/>
        <v>0</v>
      </c>
      <c r="BT142" s="133">
        <f t="shared" si="441"/>
        <v>0</v>
      </c>
      <c r="BU142" s="133">
        <f t="shared" si="442"/>
        <v>0</v>
      </c>
      <c r="BV142" s="133">
        <f t="shared" si="443"/>
        <v>0</v>
      </c>
      <c r="BW142" s="133">
        <f t="shared" si="444"/>
        <v>0</v>
      </c>
      <c r="BX142" s="267"/>
      <c r="BY142" s="267"/>
      <c r="BZ142" s="267"/>
      <c r="CA142" s="267"/>
      <c r="CB142" s="267"/>
      <c r="CC142" s="267"/>
      <c r="CD142" s="267"/>
      <c r="CE142" s="267"/>
      <c r="CF142" s="267"/>
      <c r="CG142" s="267"/>
      <c r="CS142" s="87">
        <v>124</v>
      </c>
      <c r="CT142" s="259">
        <f t="shared" ca="1" si="386"/>
        <v>49958</v>
      </c>
      <c r="CU142" s="179">
        <f t="shared" ref="CU142:DC142" ca="1" si="686">(($AW147/(1+CU$18)^(($AZ147-$AZ$23)/30)))+($AS147/(1+CU$18)^(($AZ147-$AZ$23)/30))</f>
        <v>0</v>
      </c>
      <c r="CV142" s="179">
        <f t="shared" ca="1" si="686"/>
        <v>0</v>
      </c>
      <c r="CW142" s="179">
        <f t="shared" ca="1" si="686"/>
        <v>0</v>
      </c>
      <c r="CX142" s="179">
        <f t="shared" ca="1" si="686"/>
        <v>0</v>
      </c>
      <c r="CY142" s="179">
        <f t="shared" ca="1" si="686"/>
        <v>0</v>
      </c>
      <c r="CZ142" s="179">
        <f t="shared" ca="1" si="686"/>
        <v>0</v>
      </c>
      <c r="DA142" s="179">
        <f t="shared" ca="1" si="686"/>
        <v>0</v>
      </c>
      <c r="DB142" s="179">
        <f t="shared" ca="1" si="686"/>
        <v>0</v>
      </c>
      <c r="DC142" s="179">
        <f t="shared" ca="1" si="686"/>
        <v>0</v>
      </c>
      <c r="DD142" s="179">
        <f t="shared" ref="DD142:DI142" ca="1" si="687">(($AW147/(1+DD$18)^(($AZ147-$AZ$23)/30)))+($AS147/(1+DD$18)^(($AZ147-$AZ$23)/30))</f>
        <v>0</v>
      </c>
      <c r="DE142" s="179">
        <f t="shared" ca="1" si="687"/>
        <v>0</v>
      </c>
      <c r="DF142" s="179" t="e">
        <f t="shared" ca="1" si="687"/>
        <v>#VALUE!</v>
      </c>
      <c r="DG142" s="179" t="e">
        <f t="shared" ca="1" si="687"/>
        <v>#VALUE!</v>
      </c>
      <c r="DH142" s="179" t="e">
        <f t="shared" ca="1" si="687"/>
        <v>#VALUE!</v>
      </c>
      <c r="DI142" s="179" t="e">
        <f t="shared" ca="1" si="687"/>
        <v>#VALUE!</v>
      </c>
      <c r="DJ142" s="179" t="e">
        <f t="shared" ref="DJ142:DQ142" ca="1" si="688">(($AW147/(1+DJ$18)^(($AZ147-$AZ$23)/30)))+($AS147/(1+DJ$18)^(($AZ147-$AZ$23)/30))</f>
        <v>#VALUE!</v>
      </c>
      <c r="DK142" s="179" t="e">
        <f t="shared" ca="1" si="688"/>
        <v>#VALUE!</v>
      </c>
      <c r="DL142" s="179" t="e">
        <f t="shared" ca="1" si="688"/>
        <v>#VALUE!</v>
      </c>
      <c r="DM142" s="179" t="e">
        <f t="shared" ca="1" si="688"/>
        <v>#VALUE!</v>
      </c>
      <c r="DN142" s="179" t="e">
        <f t="shared" ca="1" si="688"/>
        <v>#VALUE!</v>
      </c>
      <c r="DO142" s="179" t="e">
        <f t="shared" ca="1" si="688"/>
        <v>#VALUE!</v>
      </c>
      <c r="DP142" s="179" t="e">
        <f t="shared" ca="1" si="688"/>
        <v>#VALUE!</v>
      </c>
      <c r="DQ142" s="179" t="e">
        <f t="shared" ca="1" si="688"/>
        <v>#VALUE!</v>
      </c>
      <c r="DR142" s="180">
        <f t="shared" si="396"/>
        <v>0</v>
      </c>
      <c r="DS142" s="180">
        <f t="shared" si="640"/>
        <v>0</v>
      </c>
      <c r="DT142" s="180">
        <f t="shared" si="640"/>
        <v>0</v>
      </c>
      <c r="DU142" s="180">
        <f t="shared" si="640"/>
        <v>0</v>
      </c>
      <c r="DV142" s="180">
        <f t="shared" si="640"/>
        <v>0</v>
      </c>
      <c r="DW142" s="180">
        <f t="shared" si="640"/>
        <v>0</v>
      </c>
      <c r="DX142" s="180">
        <f t="shared" si="640"/>
        <v>0</v>
      </c>
      <c r="DY142" s="180">
        <f t="shared" si="640"/>
        <v>0</v>
      </c>
      <c r="DZ142" s="180">
        <f t="shared" si="640"/>
        <v>0</v>
      </c>
      <c r="EA142" s="180">
        <f t="shared" si="640"/>
        <v>0</v>
      </c>
      <c r="EB142" s="180">
        <f t="shared" si="640"/>
        <v>0</v>
      </c>
      <c r="EC142" s="180">
        <f t="shared" si="640"/>
        <v>0</v>
      </c>
      <c r="ED142" s="180">
        <f t="shared" si="640"/>
        <v>0</v>
      </c>
      <c r="EE142" s="180">
        <f t="shared" si="640"/>
        <v>0</v>
      </c>
      <c r="EF142" s="180">
        <f t="shared" si="640"/>
        <v>0</v>
      </c>
      <c r="EG142" s="180">
        <f t="shared" ref="EG142:EO142" si="689">IF($AU147&gt;$BA$19,0,$BA147-$AS147)</f>
        <v>0</v>
      </c>
      <c r="EH142" s="180">
        <f t="shared" si="689"/>
        <v>0</v>
      </c>
      <c r="EI142" s="180">
        <f t="shared" si="689"/>
        <v>0</v>
      </c>
      <c r="EJ142" s="180">
        <f t="shared" si="689"/>
        <v>0</v>
      </c>
      <c r="EK142" s="180">
        <f t="shared" si="689"/>
        <v>0</v>
      </c>
      <c r="EL142" s="180">
        <f t="shared" si="689"/>
        <v>0</v>
      </c>
      <c r="EM142" s="180">
        <f t="shared" si="689"/>
        <v>0</v>
      </c>
      <c r="EN142" s="180">
        <f t="shared" si="689"/>
        <v>0</v>
      </c>
      <c r="EO142" s="180">
        <f t="shared" si="689"/>
        <v>0</v>
      </c>
      <c r="EQ142" s="259">
        <f t="shared" ca="1" si="398"/>
        <v>49928</v>
      </c>
      <c r="ER142" s="87">
        <f t="shared" ca="1" si="677"/>
        <v>0</v>
      </c>
      <c r="ES142" s="87">
        <f t="shared" ca="1" si="677"/>
        <v>0</v>
      </c>
      <c r="ET142" s="87">
        <f t="shared" ca="1" si="677"/>
        <v>0</v>
      </c>
      <c r="EU142" s="87">
        <f t="shared" ca="1" si="677"/>
        <v>0</v>
      </c>
      <c r="EV142" s="87">
        <f t="shared" ca="1" si="677"/>
        <v>0</v>
      </c>
      <c r="EW142" s="87">
        <f t="shared" ca="1" si="677"/>
        <v>0</v>
      </c>
      <c r="EX142" s="87">
        <f t="shared" ca="1" si="677"/>
        <v>0</v>
      </c>
      <c r="EY142" s="87">
        <f t="shared" ca="1" si="677"/>
        <v>0</v>
      </c>
      <c r="EZ142" s="87">
        <f t="shared" ca="1" si="677"/>
        <v>0</v>
      </c>
      <c r="FA142" s="87">
        <f t="shared" ca="1" si="677"/>
        <v>0</v>
      </c>
      <c r="FB142" s="87">
        <f t="shared" ca="1" si="677"/>
        <v>0</v>
      </c>
      <c r="FC142" s="87">
        <f t="shared" ca="1" si="677"/>
        <v>0</v>
      </c>
      <c r="FD142" s="87">
        <f t="shared" ca="1" si="677"/>
        <v>0</v>
      </c>
      <c r="FE142" s="87">
        <f t="shared" ca="1" si="677"/>
        <v>0</v>
      </c>
      <c r="FF142" s="87">
        <f t="shared" ca="1" si="677"/>
        <v>0</v>
      </c>
      <c r="FG142" s="87">
        <f t="shared" ca="1" si="642"/>
        <v>0</v>
      </c>
      <c r="FH142" s="87">
        <f t="shared" ca="1" si="642"/>
        <v>0</v>
      </c>
      <c r="FI142" s="87">
        <f t="shared" ca="1" si="642"/>
        <v>0</v>
      </c>
      <c r="FJ142" s="87">
        <f t="shared" ca="1" si="642"/>
        <v>0</v>
      </c>
      <c r="FK142" s="87">
        <f t="shared" ca="1" si="642"/>
        <v>0</v>
      </c>
      <c r="FL142" s="87">
        <f t="shared" ca="1" si="642"/>
        <v>0</v>
      </c>
      <c r="FM142" s="87">
        <f t="shared" ca="1" si="642"/>
        <v>0</v>
      </c>
      <c r="FN142" s="87">
        <f t="shared" ca="1" si="642"/>
        <v>0</v>
      </c>
      <c r="FO142" s="87">
        <f t="shared" ca="1" si="642"/>
        <v>0</v>
      </c>
      <c r="FP142" s="87">
        <f t="shared" ca="1" si="642"/>
        <v>0</v>
      </c>
    </row>
    <row r="143" spans="2:172" ht="12.75" hidden="1" customHeight="1" x14ac:dyDescent="0.25">
      <c r="B143" s="87">
        <v>85</v>
      </c>
      <c r="C143" s="181">
        <f t="shared" ca="1" si="597"/>
        <v>48740</v>
      </c>
      <c r="D143" s="380">
        <f t="shared" si="671"/>
        <v>0</v>
      </c>
      <c r="E143" s="380">
        <f t="shared" si="671"/>
        <v>0</v>
      </c>
      <c r="F143" s="380">
        <f t="shared" si="671"/>
        <v>0</v>
      </c>
      <c r="G143" s="380">
        <f t="shared" si="671"/>
        <v>0</v>
      </c>
      <c r="H143" s="380">
        <f t="shared" si="671"/>
        <v>0</v>
      </c>
      <c r="I143" s="380">
        <f t="shared" si="671"/>
        <v>0</v>
      </c>
      <c r="J143" s="380">
        <f t="shared" si="671"/>
        <v>0</v>
      </c>
      <c r="K143" s="380">
        <f t="shared" si="671"/>
        <v>0</v>
      </c>
      <c r="L143" s="380">
        <f t="shared" si="671"/>
        <v>0</v>
      </c>
      <c r="M143" s="380">
        <f t="shared" si="671"/>
        <v>0</v>
      </c>
      <c r="N143" s="380">
        <f t="shared" si="672"/>
        <v>0</v>
      </c>
      <c r="O143" s="380">
        <f t="shared" si="672"/>
        <v>0</v>
      </c>
      <c r="P143" s="380">
        <f t="shared" si="672"/>
        <v>0</v>
      </c>
      <c r="Q143" s="380">
        <f t="shared" si="672"/>
        <v>0</v>
      </c>
      <c r="R143" s="380">
        <f t="shared" si="672"/>
        <v>0</v>
      </c>
      <c r="S143" s="380">
        <f t="shared" si="672"/>
        <v>0</v>
      </c>
      <c r="T143" s="380">
        <f t="shared" si="672"/>
        <v>0</v>
      </c>
      <c r="U143" s="175"/>
      <c r="X143" s="87">
        <v>128</v>
      </c>
      <c r="Y143" s="377">
        <f t="shared" si="361"/>
        <v>0</v>
      </c>
      <c r="Z143" s="377">
        <f t="shared" si="362"/>
        <v>0</v>
      </c>
      <c r="AA143" s="377">
        <f t="shared" si="363"/>
        <v>0</v>
      </c>
      <c r="AB143" s="377">
        <f t="shared" si="364"/>
        <v>0</v>
      </c>
      <c r="AC143" s="377">
        <f t="shared" si="365"/>
        <v>0</v>
      </c>
      <c r="AD143" s="377">
        <f t="shared" si="366"/>
        <v>0</v>
      </c>
      <c r="AE143" s="377">
        <f t="shared" si="367"/>
        <v>0</v>
      </c>
      <c r="AF143" s="377">
        <f t="shared" si="368"/>
        <v>0</v>
      </c>
      <c r="AG143" s="377">
        <f t="shared" si="369"/>
        <v>0</v>
      </c>
      <c r="AH143" s="377">
        <f t="shared" si="370"/>
        <v>0</v>
      </c>
      <c r="AI143" s="377">
        <f t="shared" si="371"/>
        <v>0</v>
      </c>
      <c r="AJ143" s="377">
        <f t="shared" si="372"/>
        <v>0</v>
      </c>
      <c r="AK143" s="377">
        <f t="shared" si="373"/>
        <v>0</v>
      </c>
      <c r="AL143" s="377">
        <f t="shared" si="374"/>
        <v>0</v>
      </c>
      <c r="AM143" s="377">
        <f t="shared" si="375"/>
        <v>0</v>
      </c>
      <c r="AN143" s="377">
        <f t="shared" si="376"/>
        <v>0</v>
      </c>
      <c r="AO143" s="377">
        <f t="shared" si="377"/>
        <v>0</v>
      </c>
      <c r="AQ143" s="138">
        <v>120</v>
      </c>
      <c r="AR143" s="258">
        <f t="shared" ca="1" si="528"/>
        <v>49805</v>
      </c>
      <c r="AS143" s="378">
        <f t="shared" si="421"/>
        <v>0</v>
      </c>
      <c r="AU143" s="138">
        <v>120</v>
      </c>
      <c r="AV143" s="258">
        <f t="shared" ca="1" si="529"/>
        <v>49836</v>
      </c>
      <c r="AW143" s="378">
        <f t="shared" si="423"/>
        <v>0</v>
      </c>
      <c r="AX143" s="202">
        <f t="shared" ca="1" si="424"/>
        <v>0</v>
      </c>
      <c r="AY143" s="138">
        <v>120</v>
      </c>
      <c r="AZ143" s="258">
        <f t="shared" ca="1" si="530"/>
        <v>49836</v>
      </c>
      <c r="BA143" s="378">
        <f t="shared" si="426"/>
        <v>0</v>
      </c>
      <c r="BC143" s="258">
        <f t="shared" ca="1" si="591"/>
        <v>49805</v>
      </c>
      <c r="BD143" s="302">
        <f t="shared" ca="1" si="592"/>
        <v>0</v>
      </c>
      <c r="BE143" s="133">
        <f t="shared" si="412"/>
        <v>120</v>
      </c>
      <c r="BF143" s="379">
        <f t="shared" ca="1" si="413"/>
        <v>49805</v>
      </c>
      <c r="BG143" s="133">
        <f t="shared" si="428"/>
        <v>0</v>
      </c>
      <c r="BH143" s="133">
        <f t="shared" si="429"/>
        <v>0</v>
      </c>
      <c r="BI143" s="133">
        <f t="shared" si="430"/>
        <v>0</v>
      </c>
      <c r="BJ143" s="133">
        <f t="shared" si="431"/>
        <v>0</v>
      </c>
      <c r="BK143" s="133">
        <f t="shared" si="432"/>
        <v>0</v>
      </c>
      <c r="BL143" s="133">
        <f t="shared" si="433"/>
        <v>0</v>
      </c>
      <c r="BM143" s="133">
        <f t="shared" si="434"/>
        <v>0</v>
      </c>
      <c r="BN143" s="133">
        <f t="shared" si="435"/>
        <v>0</v>
      </c>
      <c r="BO143" s="133">
        <f t="shared" si="436"/>
        <v>0</v>
      </c>
      <c r="BP143" s="133">
        <f t="shared" si="437"/>
        <v>0</v>
      </c>
      <c r="BQ143" s="133">
        <f t="shared" si="438"/>
        <v>0</v>
      </c>
      <c r="BR143" s="133">
        <f t="shared" si="439"/>
        <v>0</v>
      </c>
      <c r="BS143" s="133">
        <f t="shared" si="440"/>
        <v>0</v>
      </c>
      <c r="BT143" s="133">
        <f t="shared" si="441"/>
        <v>0</v>
      </c>
      <c r="BU143" s="133">
        <f t="shared" si="442"/>
        <v>0</v>
      </c>
      <c r="BV143" s="133">
        <f t="shared" si="443"/>
        <v>0</v>
      </c>
      <c r="BW143" s="133">
        <f t="shared" si="444"/>
        <v>0</v>
      </c>
      <c r="BX143" s="267"/>
      <c r="BY143" s="267"/>
      <c r="BZ143" s="267"/>
      <c r="CA143" s="267"/>
      <c r="CB143" s="267"/>
      <c r="CC143" s="267"/>
      <c r="CD143" s="267"/>
      <c r="CE143" s="267"/>
      <c r="CF143" s="267"/>
      <c r="CG143" s="267"/>
      <c r="CS143" s="178">
        <v>125</v>
      </c>
      <c r="CT143" s="259">
        <f t="shared" ca="1" si="386"/>
        <v>49989</v>
      </c>
      <c r="CU143" s="179">
        <f t="shared" ref="CU143:DC143" ca="1" si="690">(($AW148/(1+CU$18)^(($AZ148-$AZ$23)/30)))+($AS148/(1+CU$18)^(($AZ148-$AZ$23)/30))</f>
        <v>0</v>
      </c>
      <c r="CV143" s="179">
        <f t="shared" ca="1" si="690"/>
        <v>0</v>
      </c>
      <c r="CW143" s="179">
        <f t="shared" ca="1" si="690"/>
        <v>0</v>
      </c>
      <c r="CX143" s="179">
        <f t="shared" ca="1" si="690"/>
        <v>0</v>
      </c>
      <c r="CY143" s="179">
        <f t="shared" ca="1" si="690"/>
        <v>0</v>
      </c>
      <c r="CZ143" s="179">
        <f t="shared" ca="1" si="690"/>
        <v>0</v>
      </c>
      <c r="DA143" s="179">
        <f t="shared" ca="1" si="690"/>
        <v>0</v>
      </c>
      <c r="DB143" s="179">
        <f t="shared" ca="1" si="690"/>
        <v>0</v>
      </c>
      <c r="DC143" s="179">
        <f t="shared" ca="1" si="690"/>
        <v>0</v>
      </c>
      <c r="DD143" s="179">
        <f t="shared" ref="DD143:DI143" ca="1" si="691">(($AW148/(1+DD$18)^(($AZ148-$AZ$23)/30)))+($AS148/(1+DD$18)^(($AZ148-$AZ$23)/30))</f>
        <v>0</v>
      </c>
      <c r="DE143" s="179">
        <f t="shared" ca="1" si="691"/>
        <v>0</v>
      </c>
      <c r="DF143" s="179" t="e">
        <f t="shared" ca="1" si="691"/>
        <v>#VALUE!</v>
      </c>
      <c r="DG143" s="179" t="e">
        <f t="shared" ca="1" si="691"/>
        <v>#VALUE!</v>
      </c>
      <c r="DH143" s="179" t="e">
        <f t="shared" ca="1" si="691"/>
        <v>#VALUE!</v>
      </c>
      <c r="DI143" s="179" t="e">
        <f t="shared" ca="1" si="691"/>
        <v>#VALUE!</v>
      </c>
      <c r="DJ143" s="179" t="e">
        <f t="shared" ref="DJ143:DQ143" ca="1" si="692">(($AW148/(1+DJ$18)^(($AZ148-$AZ$23)/30)))+($AS148/(1+DJ$18)^(($AZ148-$AZ$23)/30))</f>
        <v>#VALUE!</v>
      </c>
      <c r="DK143" s="179" t="e">
        <f t="shared" ca="1" si="692"/>
        <v>#VALUE!</v>
      </c>
      <c r="DL143" s="179" t="e">
        <f t="shared" ca="1" si="692"/>
        <v>#VALUE!</v>
      </c>
      <c r="DM143" s="179" t="e">
        <f t="shared" ca="1" si="692"/>
        <v>#VALUE!</v>
      </c>
      <c r="DN143" s="179" t="e">
        <f t="shared" ca="1" si="692"/>
        <v>#VALUE!</v>
      </c>
      <c r="DO143" s="179" t="e">
        <f t="shared" ca="1" si="692"/>
        <v>#VALUE!</v>
      </c>
      <c r="DP143" s="179" t="e">
        <f t="shared" ca="1" si="692"/>
        <v>#VALUE!</v>
      </c>
      <c r="DQ143" s="179" t="e">
        <f t="shared" ca="1" si="692"/>
        <v>#VALUE!</v>
      </c>
      <c r="DR143" s="180">
        <f t="shared" si="396"/>
        <v>0</v>
      </c>
      <c r="DS143" s="180">
        <f t="shared" si="640"/>
        <v>0</v>
      </c>
      <c r="DT143" s="180">
        <f t="shared" si="640"/>
        <v>0</v>
      </c>
      <c r="DU143" s="180">
        <f t="shared" si="640"/>
        <v>0</v>
      </c>
      <c r="DV143" s="180">
        <f t="shared" si="640"/>
        <v>0</v>
      </c>
      <c r="DW143" s="180">
        <f t="shared" si="640"/>
        <v>0</v>
      </c>
      <c r="DX143" s="180">
        <f t="shared" si="640"/>
        <v>0</v>
      </c>
      <c r="DY143" s="180">
        <f t="shared" si="640"/>
        <v>0</v>
      </c>
      <c r="DZ143" s="180">
        <f t="shared" si="640"/>
        <v>0</v>
      </c>
      <c r="EA143" s="180">
        <f t="shared" si="640"/>
        <v>0</v>
      </c>
      <c r="EB143" s="180">
        <f t="shared" si="640"/>
        <v>0</v>
      </c>
      <c r="EC143" s="180">
        <f t="shared" si="640"/>
        <v>0</v>
      </c>
      <c r="ED143" s="180">
        <f t="shared" si="640"/>
        <v>0</v>
      </c>
      <c r="EE143" s="180">
        <f t="shared" si="640"/>
        <v>0</v>
      </c>
      <c r="EF143" s="180">
        <f t="shared" si="640"/>
        <v>0</v>
      </c>
      <c r="EG143" s="180">
        <f t="shared" ref="EG143:EO143" si="693">IF($AU148&gt;$BA$19,0,$BA148-$AS148)</f>
        <v>0</v>
      </c>
      <c r="EH143" s="180">
        <f t="shared" si="693"/>
        <v>0</v>
      </c>
      <c r="EI143" s="180">
        <f t="shared" si="693"/>
        <v>0</v>
      </c>
      <c r="EJ143" s="180">
        <f t="shared" si="693"/>
        <v>0</v>
      </c>
      <c r="EK143" s="180">
        <f t="shared" si="693"/>
        <v>0</v>
      </c>
      <c r="EL143" s="180">
        <f t="shared" si="693"/>
        <v>0</v>
      </c>
      <c r="EM143" s="180">
        <f t="shared" si="693"/>
        <v>0</v>
      </c>
      <c r="EN143" s="180">
        <f t="shared" si="693"/>
        <v>0</v>
      </c>
      <c r="EO143" s="180">
        <f t="shared" si="693"/>
        <v>0</v>
      </c>
      <c r="EQ143" s="259">
        <f t="shared" ca="1" si="398"/>
        <v>49958</v>
      </c>
      <c r="ER143" s="87">
        <f t="shared" ca="1" si="677"/>
        <v>0</v>
      </c>
      <c r="ES143" s="87">
        <f t="shared" ca="1" si="677"/>
        <v>0</v>
      </c>
      <c r="ET143" s="87">
        <f t="shared" ca="1" si="677"/>
        <v>0</v>
      </c>
      <c r="EU143" s="87">
        <f t="shared" ca="1" si="677"/>
        <v>0</v>
      </c>
      <c r="EV143" s="87">
        <f t="shared" ca="1" si="677"/>
        <v>0</v>
      </c>
      <c r="EW143" s="87">
        <f t="shared" ca="1" si="677"/>
        <v>0</v>
      </c>
      <c r="EX143" s="87">
        <f t="shared" ca="1" si="677"/>
        <v>0</v>
      </c>
      <c r="EY143" s="87">
        <f t="shared" ca="1" si="677"/>
        <v>0</v>
      </c>
      <c r="EZ143" s="87">
        <f t="shared" ca="1" si="677"/>
        <v>0</v>
      </c>
      <c r="FA143" s="87">
        <f t="shared" ca="1" si="677"/>
        <v>0</v>
      </c>
      <c r="FB143" s="87">
        <f t="shared" ca="1" si="677"/>
        <v>0</v>
      </c>
      <c r="FC143" s="87">
        <f t="shared" ca="1" si="677"/>
        <v>0</v>
      </c>
      <c r="FD143" s="87">
        <f t="shared" ca="1" si="677"/>
        <v>0</v>
      </c>
      <c r="FE143" s="87">
        <f t="shared" ca="1" si="677"/>
        <v>0</v>
      </c>
      <c r="FF143" s="87">
        <f t="shared" ca="1" si="677"/>
        <v>0</v>
      </c>
      <c r="FG143" s="87">
        <f t="shared" ca="1" si="642"/>
        <v>0</v>
      </c>
      <c r="FH143" s="87">
        <f t="shared" ca="1" si="642"/>
        <v>0</v>
      </c>
      <c r="FI143" s="87">
        <f t="shared" ca="1" si="642"/>
        <v>0</v>
      </c>
      <c r="FJ143" s="87">
        <f t="shared" ca="1" si="642"/>
        <v>0</v>
      </c>
      <c r="FK143" s="87">
        <f t="shared" ca="1" si="642"/>
        <v>0</v>
      </c>
      <c r="FL143" s="87">
        <f t="shared" ca="1" si="642"/>
        <v>0</v>
      </c>
      <c r="FM143" s="87">
        <f t="shared" ca="1" si="642"/>
        <v>0</v>
      </c>
      <c r="FN143" s="87">
        <f t="shared" ca="1" si="642"/>
        <v>0</v>
      </c>
      <c r="FO143" s="87">
        <f t="shared" ca="1" si="642"/>
        <v>0</v>
      </c>
      <c r="FP143" s="87">
        <f t="shared" ca="1" si="642"/>
        <v>0</v>
      </c>
    </row>
    <row r="144" spans="2:172" ht="12.75" hidden="1" customHeight="1" x14ac:dyDescent="0.25">
      <c r="B144" s="87">
        <v>86</v>
      </c>
      <c r="C144" s="181">
        <f t="shared" ca="1" si="597"/>
        <v>48770</v>
      </c>
      <c r="D144" s="380">
        <f t="shared" si="671"/>
        <v>0</v>
      </c>
      <c r="E144" s="380">
        <f t="shared" si="671"/>
        <v>0</v>
      </c>
      <c r="F144" s="380">
        <f t="shared" si="671"/>
        <v>0</v>
      </c>
      <c r="G144" s="380">
        <f t="shared" si="671"/>
        <v>0</v>
      </c>
      <c r="H144" s="380">
        <f t="shared" si="671"/>
        <v>0</v>
      </c>
      <c r="I144" s="380">
        <f t="shared" si="671"/>
        <v>0</v>
      </c>
      <c r="J144" s="380">
        <f t="shared" si="671"/>
        <v>0</v>
      </c>
      <c r="K144" s="380">
        <f t="shared" si="671"/>
        <v>0</v>
      </c>
      <c r="L144" s="380">
        <f t="shared" si="671"/>
        <v>0</v>
      </c>
      <c r="M144" s="380">
        <f t="shared" si="671"/>
        <v>0</v>
      </c>
      <c r="N144" s="380">
        <f t="shared" si="672"/>
        <v>0</v>
      </c>
      <c r="O144" s="380">
        <f t="shared" si="672"/>
        <v>0</v>
      </c>
      <c r="P144" s="380">
        <f t="shared" si="672"/>
        <v>0</v>
      </c>
      <c r="Q144" s="380">
        <f t="shared" si="672"/>
        <v>0</v>
      </c>
      <c r="R144" s="380">
        <f t="shared" si="672"/>
        <v>0</v>
      </c>
      <c r="S144" s="380">
        <f t="shared" si="672"/>
        <v>0</v>
      </c>
      <c r="T144" s="380">
        <f t="shared" si="672"/>
        <v>0</v>
      </c>
      <c r="U144" s="175"/>
      <c r="X144" s="87">
        <v>129</v>
      </c>
      <c r="Y144" s="377">
        <f t="shared" si="361"/>
        <v>0</v>
      </c>
      <c r="Z144" s="377">
        <f t="shared" si="362"/>
        <v>0</v>
      </c>
      <c r="AA144" s="377">
        <f t="shared" si="363"/>
        <v>0</v>
      </c>
      <c r="AB144" s="377">
        <f t="shared" si="364"/>
        <v>0</v>
      </c>
      <c r="AC144" s="377">
        <f t="shared" si="365"/>
        <v>0</v>
      </c>
      <c r="AD144" s="377">
        <f t="shared" si="366"/>
        <v>0</v>
      </c>
      <c r="AE144" s="377">
        <f t="shared" si="367"/>
        <v>0</v>
      </c>
      <c r="AF144" s="377">
        <f t="shared" si="368"/>
        <v>0</v>
      </c>
      <c r="AG144" s="377">
        <f t="shared" si="369"/>
        <v>0</v>
      </c>
      <c r="AH144" s="377">
        <f t="shared" si="370"/>
        <v>0</v>
      </c>
      <c r="AI144" s="377">
        <f t="shared" si="371"/>
        <v>0</v>
      </c>
      <c r="AJ144" s="377">
        <f t="shared" si="372"/>
        <v>0</v>
      </c>
      <c r="AK144" s="377">
        <f t="shared" si="373"/>
        <v>0</v>
      </c>
      <c r="AL144" s="377">
        <f t="shared" si="374"/>
        <v>0</v>
      </c>
      <c r="AM144" s="377">
        <f t="shared" si="375"/>
        <v>0</v>
      </c>
      <c r="AN144" s="377">
        <f t="shared" si="376"/>
        <v>0</v>
      </c>
      <c r="AO144" s="377">
        <f t="shared" si="377"/>
        <v>0</v>
      </c>
      <c r="AQ144" s="138">
        <v>121</v>
      </c>
      <c r="AR144" s="258">
        <f t="shared" ca="1" si="528"/>
        <v>49836</v>
      </c>
      <c r="AS144" s="378">
        <f t="shared" si="421"/>
        <v>0</v>
      </c>
      <c r="AU144" s="138">
        <v>121</v>
      </c>
      <c r="AV144" s="258">
        <f t="shared" ca="1" si="529"/>
        <v>49866</v>
      </c>
      <c r="AW144" s="378">
        <f t="shared" si="423"/>
        <v>0</v>
      </c>
      <c r="AX144" s="202">
        <f t="shared" ca="1" si="424"/>
        <v>0</v>
      </c>
      <c r="AY144" s="138">
        <v>121</v>
      </c>
      <c r="AZ144" s="258">
        <f t="shared" ca="1" si="530"/>
        <v>49866</v>
      </c>
      <c r="BA144" s="378">
        <f t="shared" si="426"/>
        <v>0</v>
      </c>
      <c r="BC144" s="258">
        <f t="shared" ca="1" si="591"/>
        <v>49836</v>
      </c>
      <c r="BD144" s="302">
        <f t="shared" ca="1" si="592"/>
        <v>0</v>
      </c>
      <c r="BE144" s="133">
        <f t="shared" si="412"/>
        <v>121</v>
      </c>
      <c r="BF144" s="379">
        <f t="shared" ca="1" si="413"/>
        <v>49836</v>
      </c>
      <c r="BG144" s="133">
        <f t="shared" si="428"/>
        <v>0</v>
      </c>
      <c r="BH144" s="133">
        <f t="shared" si="429"/>
        <v>0</v>
      </c>
      <c r="BI144" s="133">
        <f t="shared" si="430"/>
        <v>0</v>
      </c>
      <c r="BJ144" s="133">
        <f t="shared" si="431"/>
        <v>0</v>
      </c>
      <c r="BK144" s="133">
        <f t="shared" si="432"/>
        <v>0</v>
      </c>
      <c r="BL144" s="133">
        <f t="shared" si="433"/>
        <v>0</v>
      </c>
      <c r="BM144" s="133">
        <f t="shared" si="434"/>
        <v>0</v>
      </c>
      <c r="BN144" s="133">
        <f t="shared" si="435"/>
        <v>0</v>
      </c>
      <c r="BO144" s="133">
        <f t="shared" si="436"/>
        <v>0</v>
      </c>
      <c r="BP144" s="133">
        <f t="shared" si="437"/>
        <v>0</v>
      </c>
      <c r="BQ144" s="133">
        <f t="shared" si="438"/>
        <v>0</v>
      </c>
      <c r="BR144" s="133">
        <f t="shared" si="439"/>
        <v>0</v>
      </c>
      <c r="BS144" s="133">
        <f t="shared" si="440"/>
        <v>0</v>
      </c>
      <c r="BT144" s="133">
        <f t="shared" si="441"/>
        <v>0</v>
      </c>
      <c r="BU144" s="133">
        <f t="shared" si="442"/>
        <v>0</v>
      </c>
      <c r="BV144" s="133">
        <f t="shared" si="443"/>
        <v>0</v>
      </c>
      <c r="BW144" s="133">
        <f t="shared" si="444"/>
        <v>0</v>
      </c>
      <c r="BX144" s="267"/>
      <c r="BY144" s="267"/>
      <c r="BZ144" s="267"/>
      <c r="CA144" s="267"/>
      <c r="CB144" s="267"/>
      <c r="CC144" s="267"/>
      <c r="CD144" s="267"/>
      <c r="CE144" s="267"/>
      <c r="CF144" s="267"/>
      <c r="CG144" s="267"/>
      <c r="CS144" s="138">
        <v>126</v>
      </c>
      <c r="CT144" s="259">
        <f t="shared" ca="1" si="386"/>
        <v>50019</v>
      </c>
      <c r="CU144" s="179">
        <f t="shared" ref="CU144:DC144" ca="1" si="694">(($AW149/(1+CU$18)^(($AZ149-$AZ$23)/30)))+($AS149/(1+CU$18)^(($AZ149-$AZ$23)/30))</f>
        <v>0</v>
      </c>
      <c r="CV144" s="179">
        <f t="shared" ca="1" si="694"/>
        <v>0</v>
      </c>
      <c r="CW144" s="179">
        <f t="shared" ca="1" si="694"/>
        <v>0</v>
      </c>
      <c r="CX144" s="179">
        <f t="shared" ca="1" si="694"/>
        <v>0</v>
      </c>
      <c r="CY144" s="179">
        <f t="shared" ca="1" si="694"/>
        <v>0</v>
      </c>
      <c r="CZ144" s="179">
        <f t="shared" ca="1" si="694"/>
        <v>0</v>
      </c>
      <c r="DA144" s="179">
        <f t="shared" ca="1" si="694"/>
        <v>0</v>
      </c>
      <c r="DB144" s="179">
        <f t="shared" ca="1" si="694"/>
        <v>0</v>
      </c>
      <c r="DC144" s="179">
        <f t="shared" ca="1" si="694"/>
        <v>0</v>
      </c>
      <c r="DD144" s="179">
        <f t="shared" ref="DD144:DI144" ca="1" si="695">(($AW149/(1+DD$18)^(($AZ149-$AZ$23)/30)))+($AS149/(1+DD$18)^(($AZ149-$AZ$23)/30))</f>
        <v>0</v>
      </c>
      <c r="DE144" s="179">
        <f t="shared" ca="1" si="695"/>
        <v>0</v>
      </c>
      <c r="DF144" s="179" t="e">
        <f t="shared" ca="1" si="695"/>
        <v>#VALUE!</v>
      </c>
      <c r="DG144" s="179" t="e">
        <f t="shared" ca="1" si="695"/>
        <v>#VALUE!</v>
      </c>
      <c r="DH144" s="179" t="e">
        <f t="shared" ca="1" si="695"/>
        <v>#VALUE!</v>
      </c>
      <c r="DI144" s="179" t="e">
        <f t="shared" ca="1" si="695"/>
        <v>#VALUE!</v>
      </c>
      <c r="DJ144" s="179" t="e">
        <f t="shared" ref="DJ144:DQ144" ca="1" si="696">(($AW149/(1+DJ$18)^(($AZ149-$AZ$23)/30)))+($AS149/(1+DJ$18)^(($AZ149-$AZ$23)/30))</f>
        <v>#VALUE!</v>
      </c>
      <c r="DK144" s="179" t="e">
        <f t="shared" ca="1" si="696"/>
        <v>#VALUE!</v>
      </c>
      <c r="DL144" s="179" t="e">
        <f t="shared" ca="1" si="696"/>
        <v>#VALUE!</v>
      </c>
      <c r="DM144" s="179" t="e">
        <f t="shared" ca="1" si="696"/>
        <v>#VALUE!</v>
      </c>
      <c r="DN144" s="179" t="e">
        <f t="shared" ca="1" si="696"/>
        <v>#VALUE!</v>
      </c>
      <c r="DO144" s="179" t="e">
        <f t="shared" ca="1" si="696"/>
        <v>#VALUE!</v>
      </c>
      <c r="DP144" s="179" t="e">
        <f t="shared" ca="1" si="696"/>
        <v>#VALUE!</v>
      </c>
      <c r="DQ144" s="179" t="e">
        <f t="shared" ca="1" si="696"/>
        <v>#VALUE!</v>
      </c>
      <c r="DR144" s="180">
        <f t="shared" si="396"/>
        <v>0</v>
      </c>
      <c r="DS144" s="180">
        <f t="shared" si="640"/>
        <v>0</v>
      </c>
      <c r="DT144" s="180">
        <f t="shared" si="640"/>
        <v>0</v>
      </c>
      <c r="DU144" s="180">
        <f t="shared" si="640"/>
        <v>0</v>
      </c>
      <c r="DV144" s="180">
        <f t="shared" si="640"/>
        <v>0</v>
      </c>
      <c r="DW144" s="180">
        <f t="shared" si="640"/>
        <v>0</v>
      </c>
      <c r="DX144" s="180">
        <f t="shared" si="640"/>
        <v>0</v>
      </c>
      <c r="DY144" s="180">
        <f t="shared" si="640"/>
        <v>0</v>
      </c>
      <c r="DZ144" s="180">
        <f t="shared" si="640"/>
        <v>0</v>
      </c>
      <c r="EA144" s="180">
        <f t="shared" si="640"/>
        <v>0</v>
      </c>
      <c r="EB144" s="180">
        <f t="shared" si="640"/>
        <v>0</v>
      </c>
      <c r="EC144" s="180">
        <f t="shared" si="640"/>
        <v>0</v>
      </c>
      <c r="ED144" s="180">
        <f t="shared" si="640"/>
        <v>0</v>
      </c>
      <c r="EE144" s="180">
        <f t="shared" si="640"/>
        <v>0</v>
      </c>
      <c r="EF144" s="180">
        <f t="shared" si="640"/>
        <v>0</v>
      </c>
      <c r="EG144" s="180">
        <f t="shared" ref="EG144:EO144" si="697">IF($AU149&gt;$BA$19,0,$BA149-$AS149)</f>
        <v>0</v>
      </c>
      <c r="EH144" s="180">
        <f t="shared" si="697"/>
        <v>0</v>
      </c>
      <c r="EI144" s="180">
        <f t="shared" si="697"/>
        <v>0</v>
      </c>
      <c r="EJ144" s="180">
        <f t="shared" si="697"/>
        <v>0</v>
      </c>
      <c r="EK144" s="180">
        <f t="shared" si="697"/>
        <v>0</v>
      </c>
      <c r="EL144" s="180">
        <f t="shared" si="697"/>
        <v>0</v>
      </c>
      <c r="EM144" s="180">
        <f t="shared" si="697"/>
        <v>0</v>
      </c>
      <c r="EN144" s="180">
        <f t="shared" si="697"/>
        <v>0</v>
      </c>
      <c r="EO144" s="180">
        <f t="shared" si="697"/>
        <v>0</v>
      </c>
      <c r="EQ144" s="259">
        <f t="shared" ca="1" si="398"/>
        <v>49989</v>
      </c>
      <c r="ER144" s="87">
        <f t="shared" ca="1" si="677"/>
        <v>0</v>
      </c>
      <c r="ES144" s="87">
        <f t="shared" ca="1" si="677"/>
        <v>0</v>
      </c>
      <c r="ET144" s="87">
        <f t="shared" ca="1" si="677"/>
        <v>0</v>
      </c>
      <c r="EU144" s="87">
        <f t="shared" ca="1" si="677"/>
        <v>0</v>
      </c>
      <c r="EV144" s="87">
        <f t="shared" ca="1" si="677"/>
        <v>0</v>
      </c>
      <c r="EW144" s="87">
        <f t="shared" ca="1" si="677"/>
        <v>0</v>
      </c>
      <c r="EX144" s="87">
        <f t="shared" ca="1" si="677"/>
        <v>0</v>
      </c>
      <c r="EY144" s="87">
        <f t="shared" ca="1" si="677"/>
        <v>0</v>
      </c>
      <c r="EZ144" s="87">
        <f t="shared" ca="1" si="677"/>
        <v>0</v>
      </c>
      <c r="FA144" s="87">
        <f t="shared" ca="1" si="677"/>
        <v>0</v>
      </c>
      <c r="FB144" s="87">
        <f t="shared" ca="1" si="677"/>
        <v>0</v>
      </c>
      <c r="FC144" s="87">
        <f t="shared" ca="1" si="677"/>
        <v>0</v>
      </c>
      <c r="FD144" s="87">
        <f t="shared" ca="1" si="677"/>
        <v>0</v>
      </c>
      <c r="FE144" s="87">
        <f t="shared" ca="1" si="677"/>
        <v>0</v>
      </c>
      <c r="FF144" s="87">
        <f t="shared" ca="1" si="677"/>
        <v>0</v>
      </c>
      <c r="FG144" s="87">
        <f t="shared" ca="1" si="642"/>
        <v>0</v>
      </c>
      <c r="FH144" s="87">
        <f t="shared" ca="1" si="642"/>
        <v>0</v>
      </c>
      <c r="FI144" s="87">
        <f t="shared" ca="1" si="642"/>
        <v>0</v>
      </c>
      <c r="FJ144" s="87">
        <f t="shared" ca="1" si="642"/>
        <v>0</v>
      </c>
      <c r="FK144" s="87">
        <f t="shared" ca="1" si="642"/>
        <v>0</v>
      </c>
      <c r="FL144" s="87">
        <f t="shared" ca="1" si="642"/>
        <v>0</v>
      </c>
      <c r="FM144" s="87">
        <f t="shared" ca="1" si="642"/>
        <v>0</v>
      </c>
      <c r="FN144" s="87">
        <f t="shared" ca="1" si="642"/>
        <v>0</v>
      </c>
      <c r="FO144" s="87">
        <f t="shared" ca="1" si="642"/>
        <v>0</v>
      </c>
      <c r="FP144" s="87">
        <f t="shared" ca="1" si="642"/>
        <v>0</v>
      </c>
    </row>
    <row r="145" spans="2:172" ht="12.75" hidden="1" customHeight="1" x14ac:dyDescent="0.25">
      <c r="B145" s="87">
        <v>87</v>
      </c>
      <c r="C145" s="181">
        <f t="shared" ca="1" si="597"/>
        <v>48801</v>
      </c>
      <c r="D145" s="380">
        <f t="shared" si="671"/>
        <v>0</v>
      </c>
      <c r="E145" s="380">
        <f t="shared" si="671"/>
        <v>0</v>
      </c>
      <c r="F145" s="380">
        <f t="shared" si="671"/>
        <v>0</v>
      </c>
      <c r="G145" s="380">
        <f t="shared" si="671"/>
        <v>0</v>
      </c>
      <c r="H145" s="380">
        <f t="shared" si="671"/>
        <v>0</v>
      </c>
      <c r="I145" s="380">
        <f t="shared" si="671"/>
        <v>0</v>
      </c>
      <c r="J145" s="380">
        <f t="shared" si="671"/>
        <v>0</v>
      </c>
      <c r="K145" s="380">
        <f t="shared" si="671"/>
        <v>0</v>
      </c>
      <c r="L145" s="380">
        <f t="shared" si="671"/>
        <v>0</v>
      </c>
      <c r="M145" s="380">
        <f t="shared" si="671"/>
        <v>0</v>
      </c>
      <c r="N145" s="380">
        <f t="shared" si="672"/>
        <v>0</v>
      </c>
      <c r="O145" s="380">
        <f t="shared" si="672"/>
        <v>0</v>
      </c>
      <c r="P145" s="380">
        <f t="shared" si="672"/>
        <v>0</v>
      </c>
      <c r="Q145" s="380">
        <f t="shared" si="672"/>
        <v>0</v>
      </c>
      <c r="R145" s="380">
        <f t="shared" si="672"/>
        <v>0</v>
      </c>
      <c r="S145" s="380">
        <f t="shared" si="672"/>
        <v>0</v>
      </c>
      <c r="T145" s="380">
        <f t="shared" si="672"/>
        <v>0</v>
      </c>
      <c r="U145" s="175"/>
      <c r="X145" s="87">
        <v>130</v>
      </c>
      <c r="Y145" s="377">
        <f t="shared" ref="Y145:Y161" si="698">IF(D$18&gt;=$E$24,IF($X145&lt;=D$20,D$22,0),0)</f>
        <v>0</v>
      </c>
      <c r="Z145" s="377">
        <f t="shared" ref="Z145:Z161" si="699">IF(E$18&gt;=$E$24,IF($X145&lt;=E$20,E$22,0),0)</f>
        <v>0</v>
      </c>
      <c r="AA145" s="377">
        <f t="shared" ref="AA145:AA161" si="700">IF(F$18&gt;=$E$24,IF($X145&lt;=F$20,F$22,0),0)</f>
        <v>0</v>
      </c>
      <c r="AB145" s="377">
        <f t="shared" ref="AB145:AB161" si="701">IF(G$18&gt;=$E$24,IF($X145&lt;=G$20,G$22,0),0)</f>
        <v>0</v>
      </c>
      <c r="AC145" s="377">
        <f t="shared" ref="AC145:AC161" si="702">IF(H$18&gt;=$E$24,IF($X145&lt;=H$20,H$22,0),0)</f>
        <v>0</v>
      </c>
      <c r="AD145" s="377">
        <f t="shared" ref="AD145:AD161" si="703">IF(I$18&gt;=$E$24,IF($X145&lt;=I$20,I$22,0),0)</f>
        <v>0</v>
      </c>
      <c r="AE145" s="377">
        <f t="shared" ref="AE145:AE161" si="704">IF(J$18&gt;=$E$24,IF($X145&lt;=J$20,J$22,0),0)</f>
        <v>0</v>
      </c>
      <c r="AF145" s="377">
        <f t="shared" ref="AF145:AF161" si="705">IF(K$18&gt;=$E$24,IF($X145&lt;=K$20,K$22,0),0)</f>
        <v>0</v>
      </c>
      <c r="AG145" s="377">
        <f t="shared" ref="AG145:AG161" si="706">IF(L$18&gt;=$E$24,IF($X145&lt;=L$20,L$22,0),0)</f>
        <v>0</v>
      </c>
      <c r="AH145" s="377">
        <f t="shared" ref="AH145:AH161" si="707">IF(M$18&gt;=$E$24,IF($X145&lt;=M$20,M$22,0),0)</f>
        <v>0</v>
      </c>
      <c r="AI145" s="377">
        <f t="shared" ref="AI145:AI161" si="708">IF(N$18&gt;=$E$24,IF($X145&lt;=N$20,N$22,0),0)</f>
        <v>0</v>
      </c>
      <c r="AJ145" s="377">
        <f t="shared" ref="AJ145:AJ161" si="709">IF(O$18&gt;=$E$24,IF($X145&lt;=O$20,O$22,0),0)</f>
        <v>0</v>
      </c>
      <c r="AK145" s="377">
        <f t="shared" ref="AK145:AK161" si="710">IF(P$18&gt;=$E$24,IF($X145&lt;=P$20,P$22,0),0)</f>
        <v>0</v>
      </c>
      <c r="AL145" s="377">
        <f t="shared" ref="AL145:AL161" si="711">IF(Q$18&gt;=$E$24,IF($X145&lt;=Q$20,Q$22,0),0)</f>
        <v>0</v>
      </c>
      <c r="AM145" s="377">
        <f t="shared" ref="AM145:AM161" si="712">IF(R$18&gt;=$E$24,IF($X145&lt;=R$20,R$22,0),0)</f>
        <v>0</v>
      </c>
      <c r="AN145" s="377">
        <f t="shared" ref="AN145:AN161" si="713">IF(S$18&gt;=$E$24,IF($X145&lt;=S$20,S$22,0),0)</f>
        <v>0</v>
      </c>
      <c r="AO145" s="377">
        <f t="shared" ref="AO145:AO161" si="714">IF(T$18&gt;=$E$24,IF($X145&lt;=T$20,T$22,0),0)</f>
        <v>0</v>
      </c>
      <c r="AQ145" s="138">
        <v>122</v>
      </c>
      <c r="AR145" s="258">
        <f t="shared" ca="1" si="528"/>
        <v>49866</v>
      </c>
      <c r="AS145" s="378">
        <f t="shared" si="421"/>
        <v>0</v>
      </c>
      <c r="AU145" s="138">
        <v>122</v>
      </c>
      <c r="AV145" s="258">
        <f t="shared" ca="1" si="529"/>
        <v>49897</v>
      </c>
      <c r="AW145" s="378">
        <f t="shared" si="423"/>
        <v>0</v>
      </c>
      <c r="AX145" s="202">
        <f t="shared" ca="1" si="424"/>
        <v>0</v>
      </c>
      <c r="AY145" s="138">
        <v>122</v>
      </c>
      <c r="AZ145" s="258">
        <f t="shared" ca="1" si="530"/>
        <v>49897</v>
      </c>
      <c r="BA145" s="378">
        <f t="shared" si="426"/>
        <v>0</v>
      </c>
      <c r="BC145" s="258">
        <f t="shared" ca="1" si="591"/>
        <v>49866</v>
      </c>
      <c r="BD145" s="302">
        <f t="shared" ca="1" si="592"/>
        <v>0</v>
      </c>
      <c r="BE145" s="133">
        <f t="shared" si="412"/>
        <v>122</v>
      </c>
      <c r="BF145" s="379">
        <f t="shared" ca="1" si="413"/>
        <v>49866</v>
      </c>
      <c r="BG145" s="133">
        <f t="shared" si="428"/>
        <v>0</v>
      </c>
      <c r="BH145" s="133">
        <f t="shared" si="429"/>
        <v>0</v>
      </c>
      <c r="BI145" s="133">
        <f t="shared" si="430"/>
        <v>0</v>
      </c>
      <c r="BJ145" s="133">
        <f t="shared" si="431"/>
        <v>0</v>
      </c>
      <c r="BK145" s="133">
        <f t="shared" si="432"/>
        <v>0</v>
      </c>
      <c r="BL145" s="133">
        <f t="shared" si="433"/>
        <v>0</v>
      </c>
      <c r="BM145" s="133">
        <f t="shared" si="434"/>
        <v>0</v>
      </c>
      <c r="BN145" s="133">
        <f t="shared" si="435"/>
        <v>0</v>
      </c>
      <c r="BO145" s="133">
        <f t="shared" si="436"/>
        <v>0</v>
      </c>
      <c r="BP145" s="133">
        <f t="shared" si="437"/>
        <v>0</v>
      </c>
      <c r="BQ145" s="133">
        <f t="shared" si="438"/>
        <v>0</v>
      </c>
      <c r="BR145" s="133">
        <f t="shared" si="439"/>
        <v>0</v>
      </c>
      <c r="BS145" s="133">
        <f t="shared" si="440"/>
        <v>0</v>
      </c>
      <c r="BT145" s="133">
        <f t="shared" si="441"/>
        <v>0</v>
      </c>
      <c r="BU145" s="133">
        <f t="shared" si="442"/>
        <v>0</v>
      </c>
      <c r="BV145" s="133">
        <f t="shared" si="443"/>
        <v>0</v>
      </c>
      <c r="BW145" s="133">
        <f t="shared" si="444"/>
        <v>0</v>
      </c>
      <c r="BX145" s="267"/>
      <c r="BY145" s="267"/>
      <c r="BZ145" s="267"/>
      <c r="CA145" s="267"/>
      <c r="CB145" s="267"/>
      <c r="CC145" s="267"/>
      <c r="CD145" s="267"/>
      <c r="CE145" s="267"/>
      <c r="CF145" s="267"/>
      <c r="CG145" s="267"/>
      <c r="CS145" s="87">
        <v>127</v>
      </c>
      <c r="CT145" s="259">
        <f t="shared" ca="1" si="386"/>
        <v>50050</v>
      </c>
      <c r="CU145" s="179">
        <f t="shared" ref="CU145:DC145" ca="1" si="715">(($AW150/(1+CU$18)^(($AZ150-$AZ$23)/30)))+($AS150/(1+CU$18)^(($AZ150-$AZ$23)/30))</f>
        <v>0</v>
      </c>
      <c r="CV145" s="179">
        <f t="shared" ca="1" si="715"/>
        <v>0</v>
      </c>
      <c r="CW145" s="179">
        <f t="shared" ca="1" si="715"/>
        <v>0</v>
      </c>
      <c r="CX145" s="179">
        <f t="shared" ca="1" si="715"/>
        <v>0</v>
      </c>
      <c r="CY145" s="179">
        <f t="shared" ca="1" si="715"/>
        <v>0</v>
      </c>
      <c r="CZ145" s="179">
        <f t="shared" ca="1" si="715"/>
        <v>0</v>
      </c>
      <c r="DA145" s="179">
        <f t="shared" ca="1" si="715"/>
        <v>0</v>
      </c>
      <c r="DB145" s="179">
        <f t="shared" ca="1" si="715"/>
        <v>0</v>
      </c>
      <c r="DC145" s="179">
        <f t="shared" ca="1" si="715"/>
        <v>0</v>
      </c>
      <c r="DD145" s="179">
        <f t="shared" ref="DD145:DI145" ca="1" si="716">(($AW150/(1+DD$18)^(($AZ150-$AZ$23)/30)))+($AS150/(1+DD$18)^(($AZ150-$AZ$23)/30))</f>
        <v>0</v>
      </c>
      <c r="DE145" s="179">
        <f t="shared" ca="1" si="716"/>
        <v>0</v>
      </c>
      <c r="DF145" s="179" t="e">
        <f t="shared" ca="1" si="716"/>
        <v>#VALUE!</v>
      </c>
      <c r="DG145" s="179" t="e">
        <f t="shared" ca="1" si="716"/>
        <v>#VALUE!</v>
      </c>
      <c r="DH145" s="179" t="e">
        <f t="shared" ca="1" si="716"/>
        <v>#VALUE!</v>
      </c>
      <c r="DI145" s="179" t="e">
        <f t="shared" ca="1" si="716"/>
        <v>#VALUE!</v>
      </c>
      <c r="DJ145" s="179" t="e">
        <f t="shared" ref="DJ145:DQ145" ca="1" si="717">(($AW150/(1+DJ$18)^(($AZ150-$AZ$23)/30)))+($AS150/(1+DJ$18)^(($AZ150-$AZ$23)/30))</f>
        <v>#VALUE!</v>
      </c>
      <c r="DK145" s="179" t="e">
        <f t="shared" ca="1" si="717"/>
        <v>#VALUE!</v>
      </c>
      <c r="DL145" s="179" t="e">
        <f t="shared" ca="1" si="717"/>
        <v>#VALUE!</v>
      </c>
      <c r="DM145" s="179" t="e">
        <f t="shared" ca="1" si="717"/>
        <v>#VALUE!</v>
      </c>
      <c r="DN145" s="179" t="e">
        <f t="shared" ca="1" si="717"/>
        <v>#VALUE!</v>
      </c>
      <c r="DO145" s="179" t="e">
        <f t="shared" ca="1" si="717"/>
        <v>#VALUE!</v>
      </c>
      <c r="DP145" s="179" t="e">
        <f t="shared" ca="1" si="717"/>
        <v>#VALUE!</v>
      </c>
      <c r="DQ145" s="179" t="e">
        <f t="shared" ca="1" si="717"/>
        <v>#VALUE!</v>
      </c>
      <c r="DR145" s="180">
        <f t="shared" si="396"/>
        <v>0</v>
      </c>
      <c r="DS145" s="180">
        <f t="shared" si="640"/>
        <v>0</v>
      </c>
      <c r="DT145" s="180">
        <f t="shared" si="640"/>
        <v>0</v>
      </c>
      <c r="DU145" s="180">
        <f t="shared" si="640"/>
        <v>0</v>
      </c>
      <c r="DV145" s="180">
        <f t="shared" si="640"/>
        <v>0</v>
      </c>
      <c r="DW145" s="180">
        <f t="shared" si="640"/>
        <v>0</v>
      </c>
      <c r="DX145" s="180">
        <f t="shared" si="640"/>
        <v>0</v>
      </c>
      <c r="DY145" s="180">
        <f t="shared" si="640"/>
        <v>0</v>
      </c>
      <c r="DZ145" s="180">
        <f t="shared" si="640"/>
        <v>0</v>
      </c>
      <c r="EA145" s="180">
        <f t="shared" si="640"/>
        <v>0</v>
      </c>
      <c r="EB145" s="180">
        <f t="shared" si="640"/>
        <v>0</v>
      </c>
      <c r="EC145" s="180">
        <f t="shared" si="640"/>
        <v>0</v>
      </c>
      <c r="ED145" s="180">
        <f t="shared" si="640"/>
        <v>0</v>
      </c>
      <c r="EE145" s="180">
        <f t="shared" si="640"/>
        <v>0</v>
      </c>
      <c r="EF145" s="180">
        <f t="shared" si="640"/>
        <v>0</v>
      </c>
      <c r="EG145" s="180">
        <f t="shared" ref="EG145:EO145" si="718">IF($AU150&gt;$BA$19,0,$BA150-$AS150)</f>
        <v>0</v>
      </c>
      <c r="EH145" s="180">
        <f t="shared" si="718"/>
        <v>0</v>
      </c>
      <c r="EI145" s="180">
        <f t="shared" si="718"/>
        <v>0</v>
      </c>
      <c r="EJ145" s="180">
        <f t="shared" si="718"/>
        <v>0</v>
      </c>
      <c r="EK145" s="180">
        <f t="shared" si="718"/>
        <v>0</v>
      </c>
      <c r="EL145" s="180">
        <f t="shared" si="718"/>
        <v>0</v>
      </c>
      <c r="EM145" s="180">
        <f t="shared" si="718"/>
        <v>0</v>
      </c>
      <c r="EN145" s="180">
        <f t="shared" si="718"/>
        <v>0</v>
      </c>
      <c r="EO145" s="180">
        <f t="shared" si="718"/>
        <v>0</v>
      </c>
      <c r="EQ145" s="259">
        <f t="shared" ca="1" si="398"/>
        <v>50019</v>
      </c>
      <c r="ER145" s="87">
        <f t="shared" ca="1" si="677"/>
        <v>0</v>
      </c>
      <c r="ES145" s="87">
        <f t="shared" ca="1" si="677"/>
        <v>0</v>
      </c>
      <c r="ET145" s="87">
        <f t="shared" ca="1" si="677"/>
        <v>0</v>
      </c>
      <c r="EU145" s="87">
        <f t="shared" ca="1" si="677"/>
        <v>0</v>
      </c>
      <c r="EV145" s="87">
        <f t="shared" ca="1" si="677"/>
        <v>0</v>
      </c>
      <c r="EW145" s="87">
        <f t="shared" ca="1" si="677"/>
        <v>0</v>
      </c>
      <c r="EX145" s="87">
        <f t="shared" ca="1" si="677"/>
        <v>0</v>
      </c>
      <c r="EY145" s="87">
        <f t="shared" ca="1" si="677"/>
        <v>0</v>
      </c>
      <c r="EZ145" s="87">
        <f t="shared" ca="1" si="677"/>
        <v>0</v>
      </c>
      <c r="FA145" s="87">
        <f t="shared" ca="1" si="677"/>
        <v>0</v>
      </c>
      <c r="FB145" s="87">
        <f t="shared" ca="1" si="677"/>
        <v>0</v>
      </c>
      <c r="FC145" s="87">
        <f t="shared" ca="1" si="677"/>
        <v>0</v>
      </c>
      <c r="FD145" s="87">
        <f t="shared" ca="1" si="677"/>
        <v>0</v>
      </c>
      <c r="FE145" s="87">
        <f t="shared" ca="1" si="677"/>
        <v>0</v>
      </c>
      <c r="FF145" s="87">
        <f t="shared" ca="1" si="677"/>
        <v>0</v>
      </c>
      <c r="FG145" s="87">
        <f t="shared" ca="1" si="642"/>
        <v>0</v>
      </c>
      <c r="FH145" s="87">
        <f t="shared" ca="1" si="642"/>
        <v>0</v>
      </c>
      <c r="FI145" s="87">
        <f t="shared" ca="1" si="642"/>
        <v>0</v>
      </c>
      <c r="FJ145" s="87">
        <f t="shared" ca="1" si="642"/>
        <v>0</v>
      </c>
      <c r="FK145" s="87">
        <f t="shared" ca="1" si="642"/>
        <v>0</v>
      </c>
      <c r="FL145" s="87">
        <f t="shared" ca="1" si="642"/>
        <v>0</v>
      </c>
      <c r="FM145" s="87">
        <f t="shared" ca="1" si="642"/>
        <v>0</v>
      </c>
      <c r="FN145" s="87">
        <f t="shared" ca="1" si="642"/>
        <v>0</v>
      </c>
      <c r="FO145" s="87">
        <f t="shared" ca="1" si="642"/>
        <v>0</v>
      </c>
      <c r="FP145" s="87">
        <f t="shared" ca="1" si="642"/>
        <v>0</v>
      </c>
    </row>
    <row r="146" spans="2:172" ht="12.75" hidden="1" customHeight="1" x14ac:dyDescent="0.25">
      <c r="B146" s="87">
        <v>88</v>
      </c>
      <c r="C146" s="181">
        <f t="shared" ca="1" si="597"/>
        <v>48832</v>
      </c>
      <c r="D146" s="380">
        <f t="shared" si="671"/>
        <v>0</v>
      </c>
      <c r="E146" s="380">
        <f t="shared" si="671"/>
        <v>0</v>
      </c>
      <c r="F146" s="380">
        <f t="shared" si="671"/>
        <v>0</v>
      </c>
      <c r="G146" s="380">
        <f t="shared" si="671"/>
        <v>0</v>
      </c>
      <c r="H146" s="380">
        <f t="shared" si="671"/>
        <v>0</v>
      </c>
      <c r="I146" s="380">
        <f t="shared" si="671"/>
        <v>0</v>
      </c>
      <c r="J146" s="380">
        <f t="shared" si="671"/>
        <v>0</v>
      </c>
      <c r="K146" s="380">
        <f t="shared" si="671"/>
        <v>0</v>
      </c>
      <c r="L146" s="380">
        <f t="shared" si="671"/>
        <v>0</v>
      </c>
      <c r="M146" s="380">
        <f t="shared" si="671"/>
        <v>0</v>
      </c>
      <c r="N146" s="380">
        <f t="shared" si="672"/>
        <v>0</v>
      </c>
      <c r="O146" s="380">
        <f t="shared" si="672"/>
        <v>0</v>
      </c>
      <c r="P146" s="380">
        <f t="shared" si="672"/>
        <v>0</v>
      </c>
      <c r="Q146" s="380">
        <f t="shared" si="672"/>
        <v>0</v>
      </c>
      <c r="R146" s="380">
        <f t="shared" si="672"/>
        <v>0</v>
      </c>
      <c r="S146" s="380">
        <f t="shared" si="672"/>
        <v>0</v>
      </c>
      <c r="T146" s="380">
        <f t="shared" si="672"/>
        <v>0</v>
      </c>
      <c r="U146" s="175"/>
      <c r="X146" s="87">
        <v>131</v>
      </c>
      <c r="Y146" s="377">
        <f t="shared" si="698"/>
        <v>0</v>
      </c>
      <c r="Z146" s="377">
        <f t="shared" si="699"/>
        <v>0</v>
      </c>
      <c r="AA146" s="377">
        <f t="shared" si="700"/>
        <v>0</v>
      </c>
      <c r="AB146" s="377">
        <f t="shared" si="701"/>
        <v>0</v>
      </c>
      <c r="AC146" s="377">
        <f t="shared" si="702"/>
        <v>0</v>
      </c>
      <c r="AD146" s="377">
        <f t="shared" si="703"/>
        <v>0</v>
      </c>
      <c r="AE146" s="377">
        <f t="shared" si="704"/>
        <v>0</v>
      </c>
      <c r="AF146" s="377">
        <f t="shared" si="705"/>
        <v>0</v>
      </c>
      <c r="AG146" s="377">
        <f t="shared" si="706"/>
        <v>0</v>
      </c>
      <c r="AH146" s="377">
        <f t="shared" si="707"/>
        <v>0</v>
      </c>
      <c r="AI146" s="377">
        <f t="shared" si="708"/>
        <v>0</v>
      </c>
      <c r="AJ146" s="377">
        <f t="shared" si="709"/>
        <v>0</v>
      </c>
      <c r="AK146" s="377">
        <f t="shared" si="710"/>
        <v>0</v>
      </c>
      <c r="AL146" s="377">
        <f t="shared" si="711"/>
        <v>0</v>
      </c>
      <c r="AM146" s="377">
        <f t="shared" si="712"/>
        <v>0</v>
      </c>
      <c r="AN146" s="377">
        <f t="shared" si="713"/>
        <v>0</v>
      </c>
      <c r="AO146" s="377">
        <f t="shared" si="714"/>
        <v>0</v>
      </c>
      <c r="AQ146" s="138">
        <v>123</v>
      </c>
      <c r="AR146" s="258">
        <f t="shared" ca="1" si="528"/>
        <v>49897</v>
      </c>
      <c r="AS146" s="378">
        <f t="shared" si="421"/>
        <v>0</v>
      </c>
      <c r="AU146" s="138">
        <v>123</v>
      </c>
      <c r="AV146" s="258">
        <f t="shared" ca="1" si="529"/>
        <v>49928</v>
      </c>
      <c r="AW146" s="378">
        <f t="shared" si="423"/>
        <v>0</v>
      </c>
      <c r="AX146" s="202">
        <f t="shared" ca="1" si="424"/>
        <v>0</v>
      </c>
      <c r="AY146" s="138">
        <v>123</v>
      </c>
      <c r="AZ146" s="258">
        <f t="shared" ca="1" si="530"/>
        <v>49928</v>
      </c>
      <c r="BA146" s="378">
        <f t="shared" si="426"/>
        <v>0</v>
      </c>
      <c r="BC146" s="258">
        <f t="shared" ca="1" si="591"/>
        <v>49897</v>
      </c>
      <c r="BD146" s="302">
        <f t="shared" ca="1" si="592"/>
        <v>0</v>
      </c>
      <c r="BE146" s="133">
        <f t="shared" si="412"/>
        <v>123</v>
      </c>
      <c r="BF146" s="379">
        <f t="shared" ca="1" si="413"/>
        <v>49897</v>
      </c>
      <c r="BG146" s="133">
        <f t="shared" si="428"/>
        <v>0</v>
      </c>
      <c r="BH146" s="133">
        <f t="shared" si="429"/>
        <v>0</v>
      </c>
      <c r="BI146" s="133">
        <f t="shared" si="430"/>
        <v>0</v>
      </c>
      <c r="BJ146" s="133">
        <f t="shared" si="431"/>
        <v>0</v>
      </c>
      <c r="BK146" s="133">
        <f t="shared" si="432"/>
        <v>0</v>
      </c>
      <c r="BL146" s="133">
        <f t="shared" si="433"/>
        <v>0</v>
      </c>
      <c r="BM146" s="133">
        <f t="shared" si="434"/>
        <v>0</v>
      </c>
      <c r="BN146" s="133">
        <f t="shared" si="435"/>
        <v>0</v>
      </c>
      <c r="BO146" s="133">
        <f t="shared" si="436"/>
        <v>0</v>
      </c>
      <c r="BP146" s="133">
        <f t="shared" si="437"/>
        <v>0</v>
      </c>
      <c r="BQ146" s="133">
        <f t="shared" si="438"/>
        <v>0</v>
      </c>
      <c r="BR146" s="133">
        <f t="shared" si="439"/>
        <v>0</v>
      </c>
      <c r="BS146" s="133">
        <f t="shared" si="440"/>
        <v>0</v>
      </c>
      <c r="BT146" s="133">
        <f t="shared" si="441"/>
        <v>0</v>
      </c>
      <c r="BU146" s="133">
        <f t="shared" si="442"/>
        <v>0</v>
      </c>
      <c r="BV146" s="133">
        <f t="shared" si="443"/>
        <v>0</v>
      </c>
      <c r="BW146" s="133">
        <f t="shared" si="444"/>
        <v>0</v>
      </c>
      <c r="BX146" s="267"/>
      <c r="BY146" s="267"/>
      <c r="BZ146" s="267"/>
      <c r="CA146" s="267"/>
      <c r="CB146" s="267"/>
      <c r="CC146" s="267"/>
      <c r="CD146" s="267"/>
      <c r="CE146" s="267"/>
      <c r="CF146" s="267"/>
      <c r="CG146" s="267"/>
      <c r="CS146" s="178">
        <v>128</v>
      </c>
      <c r="CT146" s="259">
        <f t="shared" ca="1" si="386"/>
        <v>50081</v>
      </c>
      <c r="CU146" s="179">
        <f t="shared" ref="CU146:DC146" ca="1" si="719">(($AW151/(1+CU$18)^(($AZ151-$AZ$23)/30)))+($AS151/(1+CU$18)^(($AZ151-$AZ$23)/30))</f>
        <v>0</v>
      </c>
      <c r="CV146" s="179">
        <f t="shared" ca="1" si="719"/>
        <v>0</v>
      </c>
      <c r="CW146" s="179">
        <f t="shared" ca="1" si="719"/>
        <v>0</v>
      </c>
      <c r="CX146" s="179">
        <f t="shared" ca="1" si="719"/>
        <v>0</v>
      </c>
      <c r="CY146" s="179">
        <f t="shared" ca="1" si="719"/>
        <v>0</v>
      </c>
      <c r="CZ146" s="179">
        <f t="shared" ca="1" si="719"/>
        <v>0</v>
      </c>
      <c r="DA146" s="179">
        <f t="shared" ca="1" si="719"/>
        <v>0</v>
      </c>
      <c r="DB146" s="179">
        <f t="shared" ca="1" si="719"/>
        <v>0</v>
      </c>
      <c r="DC146" s="179">
        <f t="shared" ca="1" si="719"/>
        <v>0</v>
      </c>
      <c r="DD146" s="179">
        <f t="shared" ref="DD146:DI146" ca="1" si="720">(($AW151/(1+DD$18)^(($AZ151-$AZ$23)/30)))+($AS151/(1+DD$18)^(($AZ151-$AZ$23)/30))</f>
        <v>0</v>
      </c>
      <c r="DE146" s="179">
        <f t="shared" ca="1" si="720"/>
        <v>0</v>
      </c>
      <c r="DF146" s="179" t="e">
        <f t="shared" ca="1" si="720"/>
        <v>#VALUE!</v>
      </c>
      <c r="DG146" s="179" t="e">
        <f t="shared" ca="1" si="720"/>
        <v>#VALUE!</v>
      </c>
      <c r="DH146" s="179" t="e">
        <f t="shared" ca="1" si="720"/>
        <v>#VALUE!</v>
      </c>
      <c r="DI146" s="179" t="e">
        <f t="shared" ca="1" si="720"/>
        <v>#VALUE!</v>
      </c>
      <c r="DJ146" s="179" t="e">
        <f t="shared" ref="DJ146:DQ146" ca="1" si="721">(($AW151/(1+DJ$18)^(($AZ151-$AZ$23)/30)))+($AS151/(1+DJ$18)^(($AZ151-$AZ$23)/30))</f>
        <v>#VALUE!</v>
      </c>
      <c r="DK146" s="179" t="e">
        <f t="shared" ca="1" si="721"/>
        <v>#VALUE!</v>
      </c>
      <c r="DL146" s="179" t="e">
        <f t="shared" ca="1" si="721"/>
        <v>#VALUE!</v>
      </c>
      <c r="DM146" s="179" t="e">
        <f t="shared" ca="1" si="721"/>
        <v>#VALUE!</v>
      </c>
      <c r="DN146" s="179" t="e">
        <f t="shared" ca="1" si="721"/>
        <v>#VALUE!</v>
      </c>
      <c r="DO146" s="179" t="e">
        <f t="shared" ca="1" si="721"/>
        <v>#VALUE!</v>
      </c>
      <c r="DP146" s="179" t="e">
        <f t="shared" ca="1" si="721"/>
        <v>#VALUE!</v>
      </c>
      <c r="DQ146" s="179" t="e">
        <f t="shared" ca="1" si="721"/>
        <v>#VALUE!</v>
      </c>
      <c r="DR146" s="180">
        <f t="shared" si="396"/>
        <v>0</v>
      </c>
      <c r="DS146" s="180">
        <f t="shared" si="640"/>
        <v>0</v>
      </c>
      <c r="DT146" s="180">
        <f t="shared" si="640"/>
        <v>0</v>
      </c>
      <c r="DU146" s="180">
        <f t="shared" si="640"/>
        <v>0</v>
      </c>
      <c r="DV146" s="180">
        <f t="shared" si="640"/>
        <v>0</v>
      </c>
      <c r="DW146" s="180">
        <f t="shared" si="640"/>
        <v>0</v>
      </c>
      <c r="DX146" s="180">
        <f t="shared" si="640"/>
        <v>0</v>
      </c>
      <c r="DY146" s="180">
        <f t="shared" si="640"/>
        <v>0</v>
      </c>
      <c r="DZ146" s="180">
        <f t="shared" si="640"/>
        <v>0</v>
      </c>
      <c r="EA146" s="180">
        <f t="shared" si="640"/>
        <v>0</v>
      </c>
      <c r="EB146" s="180">
        <f t="shared" si="640"/>
        <v>0</v>
      </c>
      <c r="EC146" s="180">
        <f t="shared" si="640"/>
        <v>0</v>
      </c>
      <c r="ED146" s="180">
        <f t="shared" si="640"/>
        <v>0</v>
      </c>
      <c r="EE146" s="180">
        <f t="shared" si="640"/>
        <v>0</v>
      </c>
      <c r="EF146" s="180">
        <f t="shared" si="640"/>
        <v>0</v>
      </c>
      <c r="EG146" s="180">
        <f t="shared" ref="EG146:EO146" si="722">IF($AU151&gt;$BA$19,0,$BA151-$AS151)</f>
        <v>0</v>
      </c>
      <c r="EH146" s="180">
        <f t="shared" si="722"/>
        <v>0</v>
      </c>
      <c r="EI146" s="180">
        <f t="shared" si="722"/>
        <v>0</v>
      </c>
      <c r="EJ146" s="180">
        <f t="shared" si="722"/>
        <v>0</v>
      </c>
      <c r="EK146" s="180">
        <f t="shared" si="722"/>
        <v>0</v>
      </c>
      <c r="EL146" s="180">
        <f t="shared" si="722"/>
        <v>0</v>
      </c>
      <c r="EM146" s="180">
        <f t="shared" si="722"/>
        <v>0</v>
      </c>
      <c r="EN146" s="180">
        <f t="shared" si="722"/>
        <v>0</v>
      </c>
      <c r="EO146" s="180">
        <f t="shared" si="722"/>
        <v>0</v>
      </c>
      <c r="EQ146" s="259">
        <f t="shared" ca="1" si="398"/>
        <v>50050</v>
      </c>
      <c r="ER146" s="87">
        <f t="shared" ca="1" si="677"/>
        <v>0</v>
      </c>
      <c r="ES146" s="87">
        <f t="shared" ca="1" si="677"/>
        <v>0</v>
      </c>
      <c r="ET146" s="87">
        <f t="shared" ca="1" si="677"/>
        <v>0</v>
      </c>
      <c r="EU146" s="87">
        <f t="shared" ca="1" si="677"/>
        <v>0</v>
      </c>
      <c r="EV146" s="87">
        <f t="shared" ca="1" si="677"/>
        <v>0</v>
      </c>
      <c r="EW146" s="87">
        <f t="shared" ca="1" si="677"/>
        <v>0</v>
      </c>
      <c r="EX146" s="87">
        <f t="shared" ca="1" si="677"/>
        <v>0</v>
      </c>
      <c r="EY146" s="87">
        <f t="shared" ca="1" si="677"/>
        <v>0</v>
      </c>
      <c r="EZ146" s="87">
        <f t="shared" ca="1" si="677"/>
        <v>0</v>
      </c>
      <c r="FA146" s="87">
        <f t="shared" ca="1" si="677"/>
        <v>0</v>
      </c>
      <c r="FB146" s="87">
        <f t="shared" ca="1" si="677"/>
        <v>0</v>
      </c>
      <c r="FC146" s="87">
        <f t="shared" ca="1" si="677"/>
        <v>0</v>
      </c>
      <c r="FD146" s="87">
        <f t="shared" ca="1" si="677"/>
        <v>0</v>
      </c>
      <c r="FE146" s="87">
        <f t="shared" ca="1" si="677"/>
        <v>0</v>
      </c>
      <c r="FF146" s="87">
        <f t="shared" ca="1" si="677"/>
        <v>0</v>
      </c>
      <c r="FG146" s="87">
        <f t="shared" ca="1" si="642"/>
        <v>0</v>
      </c>
      <c r="FH146" s="87">
        <f t="shared" ca="1" si="642"/>
        <v>0</v>
      </c>
      <c r="FI146" s="87">
        <f t="shared" ca="1" si="642"/>
        <v>0</v>
      </c>
      <c r="FJ146" s="87">
        <f t="shared" ca="1" si="642"/>
        <v>0</v>
      </c>
      <c r="FK146" s="87">
        <f t="shared" ca="1" si="642"/>
        <v>0</v>
      </c>
      <c r="FL146" s="87">
        <f t="shared" ca="1" si="642"/>
        <v>0</v>
      </c>
      <c r="FM146" s="87">
        <f t="shared" ca="1" si="642"/>
        <v>0</v>
      </c>
      <c r="FN146" s="87">
        <f t="shared" ca="1" si="642"/>
        <v>0</v>
      </c>
      <c r="FO146" s="87">
        <f t="shared" ca="1" si="642"/>
        <v>0</v>
      </c>
      <c r="FP146" s="87">
        <f t="shared" ca="1" si="642"/>
        <v>0</v>
      </c>
    </row>
    <row r="147" spans="2:172" ht="12.75" hidden="1" customHeight="1" x14ac:dyDescent="0.25">
      <c r="B147" s="87">
        <v>89</v>
      </c>
      <c r="C147" s="181">
        <f t="shared" ca="1" si="597"/>
        <v>48862</v>
      </c>
      <c r="D147" s="380">
        <f t="shared" si="671"/>
        <v>0</v>
      </c>
      <c r="E147" s="380">
        <f t="shared" si="671"/>
        <v>0</v>
      </c>
      <c r="F147" s="380">
        <f t="shared" si="671"/>
        <v>0</v>
      </c>
      <c r="G147" s="380">
        <f t="shared" si="671"/>
        <v>0</v>
      </c>
      <c r="H147" s="380">
        <f t="shared" si="671"/>
        <v>0</v>
      </c>
      <c r="I147" s="380">
        <f t="shared" si="671"/>
        <v>0</v>
      </c>
      <c r="J147" s="380">
        <f t="shared" si="671"/>
        <v>0</v>
      </c>
      <c r="K147" s="380">
        <f t="shared" si="671"/>
        <v>0</v>
      </c>
      <c r="L147" s="380">
        <f t="shared" si="671"/>
        <v>0</v>
      </c>
      <c r="M147" s="380">
        <f t="shared" si="671"/>
        <v>0</v>
      </c>
      <c r="N147" s="380">
        <f t="shared" si="672"/>
        <v>0</v>
      </c>
      <c r="O147" s="380">
        <f t="shared" si="672"/>
        <v>0</v>
      </c>
      <c r="P147" s="380">
        <f t="shared" si="672"/>
        <v>0</v>
      </c>
      <c r="Q147" s="380">
        <f t="shared" si="672"/>
        <v>0</v>
      </c>
      <c r="R147" s="380">
        <f t="shared" si="672"/>
        <v>0</v>
      </c>
      <c r="S147" s="380">
        <f t="shared" si="672"/>
        <v>0</v>
      </c>
      <c r="T147" s="380">
        <f t="shared" si="672"/>
        <v>0</v>
      </c>
      <c r="U147" s="175"/>
      <c r="X147" s="87">
        <v>132</v>
      </c>
      <c r="Y147" s="377">
        <f t="shared" si="698"/>
        <v>0</v>
      </c>
      <c r="Z147" s="377">
        <f t="shared" si="699"/>
        <v>0</v>
      </c>
      <c r="AA147" s="377">
        <f t="shared" si="700"/>
        <v>0</v>
      </c>
      <c r="AB147" s="377">
        <f t="shared" si="701"/>
        <v>0</v>
      </c>
      <c r="AC147" s="377">
        <f t="shared" si="702"/>
        <v>0</v>
      </c>
      <c r="AD147" s="377">
        <f t="shared" si="703"/>
        <v>0</v>
      </c>
      <c r="AE147" s="377">
        <f t="shared" si="704"/>
        <v>0</v>
      </c>
      <c r="AF147" s="377">
        <f t="shared" si="705"/>
        <v>0</v>
      </c>
      <c r="AG147" s="377">
        <f t="shared" si="706"/>
        <v>0</v>
      </c>
      <c r="AH147" s="377">
        <f t="shared" si="707"/>
        <v>0</v>
      </c>
      <c r="AI147" s="377">
        <f t="shared" si="708"/>
        <v>0</v>
      </c>
      <c r="AJ147" s="377">
        <f t="shared" si="709"/>
        <v>0</v>
      </c>
      <c r="AK147" s="377">
        <f t="shared" si="710"/>
        <v>0</v>
      </c>
      <c r="AL147" s="377">
        <f t="shared" si="711"/>
        <v>0</v>
      </c>
      <c r="AM147" s="377">
        <f t="shared" si="712"/>
        <v>0</v>
      </c>
      <c r="AN147" s="377">
        <f t="shared" si="713"/>
        <v>0</v>
      </c>
      <c r="AO147" s="377">
        <f t="shared" si="714"/>
        <v>0</v>
      </c>
      <c r="AQ147" s="138">
        <v>124</v>
      </c>
      <c r="AR147" s="258">
        <f t="shared" ca="1" si="528"/>
        <v>49928</v>
      </c>
      <c r="AS147" s="378">
        <f t="shared" si="421"/>
        <v>0</v>
      </c>
      <c r="AU147" s="138">
        <v>124</v>
      </c>
      <c r="AV147" s="258">
        <f t="shared" ca="1" si="529"/>
        <v>49958</v>
      </c>
      <c r="AW147" s="378">
        <f t="shared" si="423"/>
        <v>0</v>
      </c>
      <c r="AX147" s="202">
        <f t="shared" ca="1" si="424"/>
        <v>0</v>
      </c>
      <c r="AY147" s="138">
        <v>124</v>
      </c>
      <c r="AZ147" s="258">
        <f t="shared" ca="1" si="530"/>
        <v>49958</v>
      </c>
      <c r="BA147" s="378">
        <f t="shared" si="426"/>
        <v>0</v>
      </c>
      <c r="BC147" s="258">
        <f t="shared" ca="1" si="591"/>
        <v>49928</v>
      </c>
      <c r="BD147" s="302">
        <f t="shared" ca="1" si="592"/>
        <v>0</v>
      </c>
      <c r="BE147" s="133">
        <f t="shared" si="412"/>
        <v>124</v>
      </c>
      <c r="BF147" s="379">
        <f t="shared" ca="1" si="413"/>
        <v>49928</v>
      </c>
      <c r="BG147" s="133">
        <f t="shared" si="428"/>
        <v>0</v>
      </c>
      <c r="BH147" s="133">
        <f t="shared" si="429"/>
        <v>0</v>
      </c>
      <c r="BI147" s="133">
        <f t="shared" si="430"/>
        <v>0</v>
      </c>
      <c r="BJ147" s="133">
        <f t="shared" si="431"/>
        <v>0</v>
      </c>
      <c r="BK147" s="133">
        <f t="shared" si="432"/>
        <v>0</v>
      </c>
      <c r="BL147" s="133">
        <f t="shared" si="433"/>
        <v>0</v>
      </c>
      <c r="BM147" s="133">
        <f t="shared" si="434"/>
        <v>0</v>
      </c>
      <c r="BN147" s="133">
        <f t="shared" si="435"/>
        <v>0</v>
      </c>
      <c r="BO147" s="133">
        <f t="shared" si="436"/>
        <v>0</v>
      </c>
      <c r="BP147" s="133">
        <f t="shared" si="437"/>
        <v>0</v>
      </c>
      <c r="BQ147" s="133">
        <f t="shared" si="438"/>
        <v>0</v>
      </c>
      <c r="BR147" s="133">
        <f t="shared" si="439"/>
        <v>0</v>
      </c>
      <c r="BS147" s="133">
        <f t="shared" si="440"/>
        <v>0</v>
      </c>
      <c r="BT147" s="133">
        <f t="shared" si="441"/>
        <v>0</v>
      </c>
      <c r="BU147" s="133">
        <f t="shared" si="442"/>
        <v>0</v>
      </c>
      <c r="BV147" s="133">
        <f t="shared" si="443"/>
        <v>0</v>
      </c>
      <c r="BW147" s="133">
        <f t="shared" si="444"/>
        <v>0</v>
      </c>
      <c r="BX147" s="267"/>
      <c r="BY147" s="267"/>
      <c r="BZ147" s="267"/>
      <c r="CA147" s="267"/>
      <c r="CB147" s="267"/>
      <c r="CC147" s="267"/>
      <c r="CD147" s="267"/>
      <c r="CE147" s="267"/>
      <c r="CF147" s="267"/>
      <c r="CG147" s="267"/>
      <c r="CS147" s="138">
        <v>129</v>
      </c>
      <c r="CT147" s="259">
        <f t="shared" ref="CT147:CT162" ca="1" si="723">AZ152</f>
        <v>50109</v>
      </c>
      <c r="CU147" s="179">
        <f t="shared" ref="CU147:DC147" ca="1" si="724">(($AW152/(1+CU$18)^(($AZ152-$AZ$23)/30)))+($AS152/(1+CU$18)^(($AZ152-$AZ$23)/30))</f>
        <v>0</v>
      </c>
      <c r="CV147" s="179">
        <f t="shared" ca="1" si="724"/>
        <v>0</v>
      </c>
      <c r="CW147" s="179">
        <f t="shared" ca="1" si="724"/>
        <v>0</v>
      </c>
      <c r="CX147" s="179">
        <f t="shared" ca="1" si="724"/>
        <v>0</v>
      </c>
      <c r="CY147" s="179">
        <f t="shared" ca="1" si="724"/>
        <v>0</v>
      </c>
      <c r="CZ147" s="179">
        <f t="shared" ca="1" si="724"/>
        <v>0</v>
      </c>
      <c r="DA147" s="179">
        <f t="shared" ca="1" si="724"/>
        <v>0</v>
      </c>
      <c r="DB147" s="179">
        <f t="shared" ca="1" si="724"/>
        <v>0</v>
      </c>
      <c r="DC147" s="179">
        <f t="shared" ca="1" si="724"/>
        <v>0</v>
      </c>
      <c r="DD147" s="179">
        <f t="shared" ref="DD147:DI147" ca="1" si="725">(($AW152/(1+DD$18)^(($AZ152-$AZ$23)/30)))+($AS152/(1+DD$18)^(($AZ152-$AZ$23)/30))</f>
        <v>0</v>
      </c>
      <c r="DE147" s="179">
        <f t="shared" ca="1" si="725"/>
        <v>0</v>
      </c>
      <c r="DF147" s="179" t="e">
        <f t="shared" ca="1" si="725"/>
        <v>#VALUE!</v>
      </c>
      <c r="DG147" s="179" t="e">
        <f t="shared" ca="1" si="725"/>
        <v>#VALUE!</v>
      </c>
      <c r="DH147" s="179" t="e">
        <f t="shared" ca="1" si="725"/>
        <v>#VALUE!</v>
      </c>
      <c r="DI147" s="179" t="e">
        <f t="shared" ca="1" si="725"/>
        <v>#VALUE!</v>
      </c>
      <c r="DJ147" s="179" t="e">
        <f t="shared" ref="DJ147:DQ147" ca="1" si="726">(($AW152/(1+DJ$18)^(($AZ152-$AZ$23)/30)))+($AS152/(1+DJ$18)^(($AZ152-$AZ$23)/30))</f>
        <v>#VALUE!</v>
      </c>
      <c r="DK147" s="179" t="e">
        <f t="shared" ca="1" si="726"/>
        <v>#VALUE!</v>
      </c>
      <c r="DL147" s="179" t="e">
        <f t="shared" ca="1" si="726"/>
        <v>#VALUE!</v>
      </c>
      <c r="DM147" s="179" t="e">
        <f t="shared" ca="1" si="726"/>
        <v>#VALUE!</v>
      </c>
      <c r="DN147" s="179" t="e">
        <f t="shared" ca="1" si="726"/>
        <v>#VALUE!</v>
      </c>
      <c r="DO147" s="179" t="e">
        <f t="shared" ca="1" si="726"/>
        <v>#VALUE!</v>
      </c>
      <c r="DP147" s="179" t="e">
        <f t="shared" ca="1" si="726"/>
        <v>#VALUE!</v>
      </c>
      <c r="DQ147" s="179" t="e">
        <f t="shared" ca="1" si="726"/>
        <v>#VALUE!</v>
      </c>
      <c r="DR147" s="180">
        <f t="shared" si="396"/>
        <v>0</v>
      </c>
      <c r="DS147" s="180">
        <f t="shared" ref="DS147:EF147" si="727">IF($AU152&gt;$BA$19,0,$BA152-$AS152)</f>
        <v>0</v>
      </c>
      <c r="DT147" s="180">
        <f t="shared" si="727"/>
        <v>0</v>
      </c>
      <c r="DU147" s="180">
        <f t="shared" si="727"/>
        <v>0</v>
      </c>
      <c r="DV147" s="180">
        <f t="shared" si="727"/>
        <v>0</v>
      </c>
      <c r="DW147" s="180">
        <f t="shared" si="727"/>
        <v>0</v>
      </c>
      <c r="DX147" s="180">
        <f t="shared" si="727"/>
        <v>0</v>
      </c>
      <c r="DY147" s="180">
        <f t="shared" si="727"/>
        <v>0</v>
      </c>
      <c r="DZ147" s="180">
        <f t="shared" si="727"/>
        <v>0</v>
      </c>
      <c r="EA147" s="180">
        <f t="shared" si="727"/>
        <v>0</v>
      </c>
      <c r="EB147" s="180">
        <f t="shared" si="727"/>
        <v>0</v>
      </c>
      <c r="EC147" s="180">
        <f t="shared" si="727"/>
        <v>0</v>
      </c>
      <c r="ED147" s="180">
        <f t="shared" si="727"/>
        <v>0</v>
      </c>
      <c r="EE147" s="180">
        <f t="shared" si="727"/>
        <v>0</v>
      </c>
      <c r="EF147" s="180">
        <f t="shared" si="727"/>
        <v>0</v>
      </c>
      <c r="EG147" s="180">
        <f t="shared" ref="EG147:EO147" si="728">IF($AU152&gt;$BA$19,0,$BA152-$AS152)</f>
        <v>0</v>
      </c>
      <c r="EH147" s="180">
        <f t="shared" si="728"/>
        <v>0</v>
      </c>
      <c r="EI147" s="180">
        <f t="shared" si="728"/>
        <v>0</v>
      </c>
      <c r="EJ147" s="180">
        <f t="shared" si="728"/>
        <v>0</v>
      </c>
      <c r="EK147" s="180">
        <f t="shared" si="728"/>
        <v>0</v>
      </c>
      <c r="EL147" s="180">
        <f t="shared" si="728"/>
        <v>0</v>
      </c>
      <c r="EM147" s="180">
        <f t="shared" si="728"/>
        <v>0</v>
      </c>
      <c r="EN147" s="180">
        <f t="shared" si="728"/>
        <v>0</v>
      </c>
      <c r="EO147" s="180">
        <f t="shared" si="728"/>
        <v>0</v>
      </c>
      <c r="EQ147" s="259">
        <f t="shared" ca="1" si="398"/>
        <v>50081</v>
      </c>
      <c r="ER147" s="87">
        <f t="shared" ca="1" si="677"/>
        <v>0</v>
      </c>
      <c r="ES147" s="87">
        <f t="shared" ca="1" si="677"/>
        <v>0</v>
      </c>
      <c r="ET147" s="87">
        <f t="shared" ca="1" si="677"/>
        <v>0</v>
      </c>
      <c r="EU147" s="87">
        <f t="shared" ca="1" si="677"/>
        <v>0</v>
      </c>
      <c r="EV147" s="87">
        <f t="shared" ca="1" si="677"/>
        <v>0</v>
      </c>
      <c r="EW147" s="87">
        <f t="shared" ca="1" si="677"/>
        <v>0</v>
      </c>
      <c r="EX147" s="87">
        <f t="shared" ca="1" si="677"/>
        <v>0</v>
      </c>
      <c r="EY147" s="87">
        <f t="shared" ca="1" si="677"/>
        <v>0</v>
      </c>
      <c r="EZ147" s="87">
        <f t="shared" ca="1" si="677"/>
        <v>0</v>
      </c>
      <c r="FA147" s="87">
        <f t="shared" ca="1" si="677"/>
        <v>0</v>
      </c>
      <c r="FB147" s="87">
        <f t="shared" ca="1" si="677"/>
        <v>0</v>
      </c>
      <c r="FC147" s="87">
        <f t="shared" ca="1" si="677"/>
        <v>0</v>
      </c>
      <c r="FD147" s="87">
        <f t="shared" ca="1" si="677"/>
        <v>0</v>
      </c>
      <c r="FE147" s="87">
        <f t="shared" ca="1" si="677"/>
        <v>0</v>
      </c>
      <c r="FF147" s="87">
        <f t="shared" ca="1" si="677"/>
        <v>0</v>
      </c>
      <c r="FG147" s="87">
        <f t="shared" ref="FG147:FP162" ca="1" si="729" xml:space="preserve"> IFERROR(VLOOKUP($EQ147,$AZ$23:$BA$167,2,FALSE),0)-IFERROR(VLOOKUP($EQ147,$AR$23:$AS$167,2,FALSE),0)</f>
        <v>0</v>
      </c>
      <c r="FH147" s="87">
        <f t="shared" ca="1" si="729"/>
        <v>0</v>
      </c>
      <c r="FI147" s="87">
        <f t="shared" ca="1" si="729"/>
        <v>0</v>
      </c>
      <c r="FJ147" s="87">
        <f t="shared" ca="1" si="729"/>
        <v>0</v>
      </c>
      <c r="FK147" s="87">
        <f t="shared" ca="1" si="729"/>
        <v>0</v>
      </c>
      <c r="FL147" s="87">
        <f t="shared" ca="1" si="729"/>
        <v>0</v>
      </c>
      <c r="FM147" s="87">
        <f t="shared" ca="1" si="729"/>
        <v>0</v>
      </c>
      <c r="FN147" s="87">
        <f t="shared" ca="1" si="729"/>
        <v>0</v>
      </c>
      <c r="FO147" s="87">
        <f t="shared" ca="1" si="729"/>
        <v>0</v>
      </c>
      <c r="FP147" s="87">
        <f t="shared" ca="1" si="729"/>
        <v>0</v>
      </c>
    </row>
    <row r="148" spans="2:172" ht="12.75" hidden="1" customHeight="1" x14ac:dyDescent="0.25">
      <c r="B148" s="87">
        <v>90</v>
      </c>
      <c r="C148" s="181">
        <f t="shared" ca="1" si="597"/>
        <v>48893</v>
      </c>
      <c r="D148" s="380">
        <f t="shared" si="671"/>
        <v>0</v>
      </c>
      <c r="E148" s="380">
        <f t="shared" si="671"/>
        <v>0</v>
      </c>
      <c r="F148" s="380">
        <f t="shared" si="671"/>
        <v>0</v>
      </c>
      <c r="G148" s="380">
        <f t="shared" si="671"/>
        <v>0</v>
      </c>
      <c r="H148" s="380">
        <f t="shared" si="671"/>
        <v>0</v>
      </c>
      <c r="I148" s="380">
        <f t="shared" si="671"/>
        <v>0</v>
      </c>
      <c r="J148" s="380">
        <f t="shared" si="671"/>
        <v>0</v>
      </c>
      <c r="K148" s="380">
        <f t="shared" si="671"/>
        <v>0</v>
      </c>
      <c r="L148" s="380">
        <f t="shared" si="671"/>
        <v>0</v>
      </c>
      <c r="M148" s="380">
        <f t="shared" si="671"/>
        <v>0</v>
      </c>
      <c r="N148" s="380">
        <f t="shared" si="672"/>
        <v>0</v>
      </c>
      <c r="O148" s="380">
        <f t="shared" si="672"/>
        <v>0</v>
      </c>
      <c r="P148" s="380">
        <f t="shared" si="672"/>
        <v>0</v>
      </c>
      <c r="Q148" s="380">
        <f t="shared" si="672"/>
        <v>0</v>
      </c>
      <c r="R148" s="380">
        <f t="shared" si="672"/>
        <v>0</v>
      </c>
      <c r="S148" s="380">
        <f t="shared" si="672"/>
        <v>0</v>
      </c>
      <c r="T148" s="380">
        <f t="shared" si="672"/>
        <v>0</v>
      </c>
      <c r="U148" s="175"/>
      <c r="X148" s="87">
        <v>133</v>
      </c>
      <c r="Y148" s="377">
        <f t="shared" si="698"/>
        <v>0</v>
      </c>
      <c r="Z148" s="377">
        <f t="shared" si="699"/>
        <v>0</v>
      </c>
      <c r="AA148" s="377">
        <f t="shared" si="700"/>
        <v>0</v>
      </c>
      <c r="AB148" s="377">
        <f t="shared" si="701"/>
        <v>0</v>
      </c>
      <c r="AC148" s="377">
        <f t="shared" si="702"/>
        <v>0</v>
      </c>
      <c r="AD148" s="377">
        <f t="shared" si="703"/>
        <v>0</v>
      </c>
      <c r="AE148" s="377">
        <f t="shared" si="704"/>
        <v>0</v>
      </c>
      <c r="AF148" s="377">
        <f t="shared" si="705"/>
        <v>0</v>
      </c>
      <c r="AG148" s="377">
        <f t="shared" si="706"/>
        <v>0</v>
      </c>
      <c r="AH148" s="377">
        <f t="shared" si="707"/>
        <v>0</v>
      </c>
      <c r="AI148" s="377">
        <f t="shared" si="708"/>
        <v>0</v>
      </c>
      <c r="AJ148" s="377">
        <f t="shared" si="709"/>
        <v>0</v>
      </c>
      <c r="AK148" s="377">
        <f t="shared" si="710"/>
        <v>0</v>
      </c>
      <c r="AL148" s="377">
        <f t="shared" si="711"/>
        <v>0</v>
      </c>
      <c r="AM148" s="377">
        <f t="shared" si="712"/>
        <v>0</v>
      </c>
      <c r="AN148" s="377">
        <f t="shared" si="713"/>
        <v>0</v>
      </c>
      <c r="AO148" s="377">
        <f t="shared" si="714"/>
        <v>0</v>
      </c>
      <c r="AQ148" s="138">
        <v>125</v>
      </c>
      <c r="AR148" s="258">
        <f t="shared" ca="1" si="528"/>
        <v>49958</v>
      </c>
      <c r="AS148" s="378">
        <f t="shared" si="421"/>
        <v>0</v>
      </c>
      <c r="AU148" s="138">
        <v>125</v>
      </c>
      <c r="AV148" s="258">
        <f t="shared" ca="1" si="529"/>
        <v>49989</v>
      </c>
      <c r="AW148" s="378">
        <f t="shared" si="423"/>
        <v>0</v>
      </c>
      <c r="AX148" s="202">
        <f t="shared" ca="1" si="424"/>
        <v>0</v>
      </c>
      <c r="AY148" s="138">
        <v>125</v>
      </c>
      <c r="AZ148" s="258">
        <f t="shared" ca="1" si="530"/>
        <v>49989</v>
      </c>
      <c r="BA148" s="378">
        <f t="shared" si="426"/>
        <v>0</v>
      </c>
      <c r="BC148" s="258">
        <f t="shared" ca="1" si="591"/>
        <v>49958</v>
      </c>
      <c r="BD148" s="302">
        <f t="shared" ca="1" si="592"/>
        <v>0</v>
      </c>
      <c r="BE148" s="133">
        <f t="shared" si="412"/>
        <v>125</v>
      </c>
      <c r="BF148" s="379">
        <f t="shared" ca="1" si="413"/>
        <v>49958</v>
      </c>
      <c r="BG148" s="133">
        <f t="shared" si="428"/>
        <v>0</v>
      </c>
      <c r="BH148" s="133">
        <f t="shared" si="429"/>
        <v>0</v>
      </c>
      <c r="BI148" s="133">
        <f t="shared" si="430"/>
        <v>0</v>
      </c>
      <c r="BJ148" s="133">
        <f t="shared" si="431"/>
        <v>0</v>
      </c>
      <c r="BK148" s="133">
        <f t="shared" si="432"/>
        <v>0</v>
      </c>
      <c r="BL148" s="133">
        <f t="shared" si="433"/>
        <v>0</v>
      </c>
      <c r="BM148" s="133">
        <f t="shared" si="434"/>
        <v>0</v>
      </c>
      <c r="BN148" s="133">
        <f t="shared" si="435"/>
        <v>0</v>
      </c>
      <c r="BO148" s="133">
        <f t="shared" si="436"/>
        <v>0</v>
      </c>
      <c r="BP148" s="133">
        <f t="shared" si="437"/>
        <v>0</v>
      </c>
      <c r="BQ148" s="133">
        <f t="shared" si="438"/>
        <v>0</v>
      </c>
      <c r="BR148" s="133">
        <f t="shared" si="439"/>
        <v>0</v>
      </c>
      <c r="BS148" s="133">
        <f t="shared" si="440"/>
        <v>0</v>
      </c>
      <c r="BT148" s="133">
        <f t="shared" si="441"/>
        <v>0</v>
      </c>
      <c r="BU148" s="133">
        <f t="shared" si="442"/>
        <v>0</v>
      </c>
      <c r="BV148" s="133">
        <f t="shared" si="443"/>
        <v>0</v>
      </c>
      <c r="BW148" s="133">
        <f t="shared" si="444"/>
        <v>0</v>
      </c>
      <c r="BX148" s="267"/>
      <c r="BY148" s="267"/>
      <c r="BZ148" s="267"/>
      <c r="CA148" s="267"/>
      <c r="CB148" s="267"/>
      <c r="CC148" s="267"/>
      <c r="CD148" s="267"/>
      <c r="CE148" s="267"/>
      <c r="CF148" s="267"/>
      <c r="CG148" s="267"/>
      <c r="CS148" s="87">
        <v>130</v>
      </c>
      <c r="CT148" s="259">
        <f t="shared" ca="1" si="723"/>
        <v>50140</v>
      </c>
      <c r="CU148" s="179">
        <f t="shared" ref="CU148:DC148" ca="1" si="730">(($AW153/(1+CU$18)^(($AZ153-$AZ$23)/30)))+($AS153/(1+CU$18)^(($AZ153-$AZ$23)/30))</f>
        <v>0</v>
      </c>
      <c r="CV148" s="179">
        <f t="shared" ca="1" si="730"/>
        <v>0</v>
      </c>
      <c r="CW148" s="179">
        <f t="shared" ca="1" si="730"/>
        <v>0</v>
      </c>
      <c r="CX148" s="179">
        <f t="shared" ca="1" si="730"/>
        <v>0</v>
      </c>
      <c r="CY148" s="179">
        <f t="shared" ca="1" si="730"/>
        <v>0</v>
      </c>
      <c r="CZ148" s="179">
        <f t="shared" ca="1" si="730"/>
        <v>0</v>
      </c>
      <c r="DA148" s="179">
        <f t="shared" ca="1" si="730"/>
        <v>0</v>
      </c>
      <c r="DB148" s="179">
        <f t="shared" ca="1" si="730"/>
        <v>0</v>
      </c>
      <c r="DC148" s="179">
        <f t="shared" ca="1" si="730"/>
        <v>0</v>
      </c>
      <c r="DD148" s="179">
        <f t="shared" ref="DD148:DI148" ca="1" si="731">(($AW153/(1+DD$18)^(($AZ153-$AZ$23)/30)))+($AS153/(1+DD$18)^(($AZ153-$AZ$23)/30))</f>
        <v>0</v>
      </c>
      <c r="DE148" s="179">
        <f t="shared" ca="1" si="731"/>
        <v>0</v>
      </c>
      <c r="DF148" s="179" t="e">
        <f t="shared" ca="1" si="731"/>
        <v>#VALUE!</v>
      </c>
      <c r="DG148" s="179" t="e">
        <f t="shared" ca="1" si="731"/>
        <v>#VALUE!</v>
      </c>
      <c r="DH148" s="179" t="e">
        <f t="shared" ca="1" si="731"/>
        <v>#VALUE!</v>
      </c>
      <c r="DI148" s="179" t="e">
        <f t="shared" ca="1" si="731"/>
        <v>#VALUE!</v>
      </c>
      <c r="DJ148" s="179" t="e">
        <f t="shared" ref="DJ148:DQ148" ca="1" si="732">(($AW153/(1+DJ$18)^(($AZ153-$AZ$23)/30)))+($AS153/(1+DJ$18)^(($AZ153-$AZ$23)/30))</f>
        <v>#VALUE!</v>
      </c>
      <c r="DK148" s="179" t="e">
        <f t="shared" ca="1" si="732"/>
        <v>#VALUE!</v>
      </c>
      <c r="DL148" s="179" t="e">
        <f t="shared" ca="1" si="732"/>
        <v>#VALUE!</v>
      </c>
      <c r="DM148" s="179" t="e">
        <f t="shared" ca="1" si="732"/>
        <v>#VALUE!</v>
      </c>
      <c r="DN148" s="179" t="e">
        <f t="shared" ca="1" si="732"/>
        <v>#VALUE!</v>
      </c>
      <c r="DO148" s="179" t="e">
        <f t="shared" ca="1" si="732"/>
        <v>#VALUE!</v>
      </c>
      <c r="DP148" s="179" t="e">
        <f t="shared" ca="1" si="732"/>
        <v>#VALUE!</v>
      </c>
      <c r="DQ148" s="179" t="e">
        <f t="shared" ca="1" si="732"/>
        <v>#VALUE!</v>
      </c>
      <c r="DR148" s="180">
        <f t="shared" ref="DR148:DR162" si="733">IF($AU153&gt;$BA$19,0,$BA153-$AS153)</f>
        <v>0</v>
      </c>
      <c r="DS148" s="180">
        <f t="shared" ref="DS148:EF148" si="734">IF($AU153&gt;$BA$19,0,$BA153-$AS153)</f>
        <v>0</v>
      </c>
      <c r="DT148" s="180">
        <f t="shared" si="734"/>
        <v>0</v>
      </c>
      <c r="DU148" s="180">
        <f t="shared" si="734"/>
        <v>0</v>
      </c>
      <c r="DV148" s="180">
        <f t="shared" si="734"/>
        <v>0</v>
      </c>
      <c r="DW148" s="180">
        <f t="shared" si="734"/>
        <v>0</v>
      </c>
      <c r="DX148" s="180">
        <f t="shared" si="734"/>
        <v>0</v>
      </c>
      <c r="DY148" s="180">
        <f t="shared" si="734"/>
        <v>0</v>
      </c>
      <c r="DZ148" s="180">
        <f t="shared" si="734"/>
        <v>0</v>
      </c>
      <c r="EA148" s="180">
        <f t="shared" si="734"/>
        <v>0</v>
      </c>
      <c r="EB148" s="180">
        <f t="shared" si="734"/>
        <v>0</v>
      </c>
      <c r="EC148" s="180">
        <f t="shared" si="734"/>
        <v>0</v>
      </c>
      <c r="ED148" s="180">
        <f t="shared" si="734"/>
        <v>0</v>
      </c>
      <c r="EE148" s="180">
        <f t="shared" si="734"/>
        <v>0</v>
      </c>
      <c r="EF148" s="180">
        <f t="shared" si="734"/>
        <v>0</v>
      </c>
      <c r="EG148" s="180">
        <f t="shared" ref="EG148:EO148" si="735">IF($AU153&gt;$BA$19,0,$BA153-$AS153)</f>
        <v>0</v>
      </c>
      <c r="EH148" s="180">
        <f t="shared" si="735"/>
        <v>0</v>
      </c>
      <c r="EI148" s="180">
        <f t="shared" si="735"/>
        <v>0</v>
      </c>
      <c r="EJ148" s="180">
        <f t="shared" si="735"/>
        <v>0</v>
      </c>
      <c r="EK148" s="180">
        <f t="shared" si="735"/>
        <v>0</v>
      </c>
      <c r="EL148" s="180">
        <f t="shared" si="735"/>
        <v>0</v>
      </c>
      <c r="EM148" s="180">
        <f t="shared" si="735"/>
        <v>0</v>
      </c>
      <c r="EN148" s="180">
        <f t="shared" si="735"/>
        <v>0</v>
      </c>
      <c r="EO148" s="180">
        <f t="shared" si="735"/>
        <v>0</v>
      </c>
      <c r="EQ148" s="259">
        <f t="shared" ref="EQ148:EQ165" ca="1" si="736">AR153</f>
        <v>50109</v>
      </c>
      <c r="ER148" s="87">
        <f t="shared" ca="1" si="677"/>
        <v>0</v>
      </c>
      <c r="ES148" s="87">
        <f t="shared" ca="1" si="677"/>
        <v>0</v>
      </c>
      <c r="ET148" s="87">
        <f t="shared" ca="1" si="677"/>
        <v>0</v>
      </c>
      <c r="EU148" s="87">
        <f t="shared" ca="1" si="677"/>
        <v>0</v>
      </c>
      <c r="EV148" s="87">
        <f t="shared" ca="1" si="677"/>
        <v>0</v>
      </c>
      <c r="EW148" s="87">
        <f t="shared" ca="1" si="677"/>
        <v>0</v>
      </c>
      <c r="EX148" s="87">
        <f t="shared" ca="1" si="677"/>
        <v>0</v>
      </c>
      <c r="EY148" s="87">
        <f t="shared" ca="1" si="677"/>
        <v>0</v>
      </c>
      <c r="EZ148" s="87">
        <f t="shared" ca="1" si="677"/>
        <v>0</v>
      </c>
      <c r="FA148" s="87">
        <f t="shared" ca="1" si="677"/>
        <v>0</v>
      </c>
      <c r="FB148" s="87">
        <f t="shared" ca="1" si="677"/>
        <v>0</v>
      </c>
      <c r="FC148" s="87">
        <f t="shared" ca="1" si="677"/>
        <v>0</v>
      </c>
      <c r="FD148" s="87">
        <f t="shared" ca="1" si="677"/>
        <v>0</v>
      </c>
      <c r="FE148" s="87">
        <f t="shared" ca="1" si="677"/>
        <v>0</v>
      </c>
      <c r="FF148" s="87">
        <f t="shared" ca="1" si="677"/>
        <v>0</v>
      </c>
      <c r="FG148" s="87">
        <f t="shared" ca="1" si="729"/>
        <v>0</v>
      </c>
      <c r="FH148" s="87">
        <f t="shared" ca="1" si="729"/>
        <v>0</v>
      </c>
      <c r="FI148" s="87">
        <f t="shared" ca="1" si="729"/>
        <v>0</v>
      </c>
      <c r="FJ148" s="87">
        <f t="shared" ca="1" si="729"/>
        <v>0</v>
      </c>
      <c r="FK148" s="87">
        <f t="shared" ca="1" si="729"/>
        <v>0</v>
      </c>
      <c r="FL148" s="87">
        <f t="shared" ca="1" si="729"/>
        <v>0</v>
      </c>
      <c r="FM148" s="87">
        <f t="shared" ca="1" si="729"/>
        <v>0</v>
      </c>
      <c r="FN148" s="87">
        <f t="shared" ca="1" si="729"/>
        <v>0</v>
      </c>
      <c r="FO148" s="87">
        <f t="shared" ca="1" si="729"/>
        <v>0</v>
      </c>
      <c r="FP148" s="87">
        <f t="shared" ca="1" si="729"/>
        <v>0</v>
      </c>
    </row>
    <row r="149" spans="2:172" ht="12.75" hidden="1" customHeight="1" x14ac:dyDescent="0.25">
      <c r="B149" s="87">
        <v>91</v>
      </c>
      <c r="C149" s="181">
        <f t="shared" ca="1" si="597"/>
        <v>48923</v>
      </c>
      <c r="D149" s="380">
        <f t="shared" ref="D149:M158" si="737">IF($B149&lt;=D$20,1/(($C$57+1)^(($C149-$C$58)/30)),0)</f>
        <v>0</v>
      </c>
      <c r="E149" s="380">
        <f t="shared" si="737"/>
        <v>0</v>
      </c>
      <c r="F149" s="380">
        <f t="shared" si="737"/>
        <v>0</v>
      </c>
      <c r="G149" s="380">
        <f t="shared" si="737"/>
        <v>0</v>
      </c>
      <c r="H149" s="380">
        <f t="shared" si="737"/>
        <v>0</v>
      </c>
      <c r="I149" s="380">
        <f t="shared" si="737"/>
        <v>0</v>
      </c>
      <c r="J149" s="380">
        <f t="shared" si="737"/>
        <v>0</v>
      </c>
      <c r="K149" s="380">
        <f t="shared" si="737"/>
        <v>0</v>
      </c>
      <c r="L149" s="380">
        <f t="shared" si="737"/>
        <v>0</v>
      </c>
      <c r="M149" s="380">
        <f t="shared" si="737"/>
        <v>0</v>
      </c>
      <c r="N149" s="380">
        <f t="shared" ref="N149:T158" si="738">IF($B149&lt;=N$20,1/(($C$57+1)^(($C149-$C$58)/30)),0)</f>
        <v>0</v>
      </c>
      <c r="O149" s="380">
        <f t="shared" si="738"/>
        <v>0</v>
      </c>
      <c r="P149" s="380">
        <f t="shared" si="738"/>
        <v>0</v>
      </c>
      <c r="Q149" s="380">
        <f t="shared" si="738"/>
        <v>0</v>
      </c>
      <c r="R149" s="380">
        <f t="shared" si="738"/>
        <v>0</v>
      </c>
      <c r="S149" s="380">
        <f t="shared" si="738"/>
        <v>0</v>
      </c>
      <c r="T149" s="380">
        <f t="shared" si="738"/>
        <v>0</v>
      </c>
      <c r="U149" s="175"/>
      <c r="X149" s="87">
        <v>134</v>
      </c>
      <c r="Y149" s="377">
        <f t="shared" si="698"/>
        <v>0</v>
      </c>
      <c r="Z149" s="377">
        <f t="shared" si="699"/>
        <v>0</v>
      </c>
      <c r="AA149" s="377">
        <f t="shared" si="700"/>
        <v>0</v>
      </c>
      <c r="AB149" s="377">
        <f t="shared" si="701"/>
        <v>0</v>
      </c>
      <c r="AC149" s="377">
        <f t="shared" si="702"/>
        <v>0</v>
      </c>
      <c r="AD149" s="377">
        <f t="shared" si="703"/>
        <v>0</v>
      </c>
      <c r="AE149" s="377">
        <f t="shared" si="704"/>
        <v>0</v>
      </c>
      <c r="AF149" s="377">
        <f t="shared" si="705"/>
        <v>0</v>
      </c>
      <c r="AG149" s="377">
        <f t="shared" si="706"/>
        <v>0</v>
      </c>
      <c r="AH149" s="377">
        <f t="shared" si="707"/>
        <v>0</v>
      </c>
      <c r="AI149" s="377">
        <f t="shared" si="708"/>
        <v>0</v>
      </c>
      <c r="AJ149" s="377">
        <f t="shared" si="709"/>
        <v>0</v>
      </c>
      <c r="AK149" s="377">
        <f t="shared" si="710"/>
        <v>0</v>
      </c>
      <c r="AL149" s="377">
        <f t="shared" si="711"/>
        <v>0</v>
      </c>
      <c r="AM149" s="377">
        <f t="shared" si="712"/>
        <v>0</v>
      </c>
      <c r="AN149" s="377">
        <f t="shared" si="713"/>
        <v>0</v>
      </c>
      <c r="AO149" s="377">
        <f t="shared" si="714"/>
        <v>0</v>
      </c>
      <c r="AQ149" s="138">
        <v>126</v>
      </c>
      <c r="AR149" s="258">
        <f t="shared" ca="1" si="528"/>
        <v>49989</v>
      </c>
      <c r="AS149" s="378">
        <f t="shared" si="421"/>
        <v>0</v>
      </c>
      <c r="AU149" s="138">
        <v>126</v>
      </c>
      <c r="AV149" s="258">
        <f t="shared" ca="1" si="529"/>
        <v>50019</v>
      </c>
      <c r="AW149" s="378">
        <f t="shared" si="423"/>
        <v>0</v>
      </c>
      <c r="AX149" s="202">
        <f t="shared" ca="1" si="424"/>
        <v>0</v>
      </c>
      <c r="AY149" s="138">
        <v>126</v>
      </c>
      <c r="AZ149" s="258">
        <f t="shared" ca="1" si="530"/>
        <v>50019</v>
      </c>
      <c r="BA149" s="378">
        <f t="shared" si="426"/>
        <v>0</v>
      </c>
      <c r="BC149" s="258">
        <f t="shared" ca="1" si="591"/>
        <v>49989</v>
      </c>
      <c r="BD149" s="302">
        <f t="shared" ca="1" si="592"/>
        <v>0</v>
      </c>
      <c r="BE149" s="133">
        <f t="shared" si="412"/>
        <v>126</v>
      </c>
      <c r="BF149" s="379">
        <f t="shared" ca="1" si="413"/>
        <v>49989</v>
      </c>
      <c r="BG149" s="133">
        <f t="shared" si="428"/>
        <v>0</v>
      </c>
      <c r="BH149" s="133">
        <f t="shared" si="429"/>
        <v>0</v>
      </c>
      <c r="BI149" s="133">
        <f t="shared" si="430"/>
        <v>0</v>
      </c>
      <c r="BJ149" s="133">
        <f t="shared" si="431"/>
        <v>0</v>
      </c>
      <c r="BK149" s="133">
        <f t="shared" si="432"/>
        <v>0</v>
      </c>
      <c r="BL149" s="133">
        <f t="shared" si="433"/>
        <v>0</v>
      </c>
      <c r="BM149" s="133">
        <f t="shared" si="434"/>
        <v>0</v>
      </c>
      <c r="BN149" s="133">
        <f t="shared" si="435"/>
        <v>0</v>
      </c>
      <c r="BO149" s="133">
        <f t="shared" si="436"/>
        <v>0</v>
      </c>
      <c r="BP149" s="133">
        <f t="shared" si="437"/>
        <v>0</v>
      </c>
      <c r="BQ149" s="133">
        <f t="shared" si="438"/>
        <v>0</v>
      </c>
      <c r="BR149" s="133">
        <f t="shared" si="439"/>
        <v>0</v>
      </c>
      <c r="BS149" s="133">
        <f t="shared" si="440"/>
        <v>0</v>
      </c>
      <c r="BT149" s="133">
        <f t="shared" si="441"/>
        <v>0</v>
      </c>
      <c r="BU149" s="133">
        <f t="shared" si="442"/>
        <v>0</v>
      </c>
      <c r="BV149" s="133">
        <f t="shared" si="443"/>
        <v>0</v>
      </c>
      <c r="BW149" s="133">
        <f t="shared" si="444"/>
        <v>0</v>
      </c>
      <c r="BX149" s="267"/>
      <c r="BY149" s="267"/>
      <c r="BZ149" s="267"/>
      <c r="CA149" s="267"/>
      <c r="CB149" s="267"/>
      <c r="CC149" s="267"/>
      <c r="CD149" s="267"/>
      <c r="CE149" s="267"/>
      <c r="CF149" s="267"/>
      <c r="CG149" s="267"/>
      <c r="CS149" s="178">
        <v>131</v>
      </c>
      <c r="CT149" s="259">
        <f t="shared" ca="1" si="723"/>
        <v>50170</v>
      </c>
      <c r="CU149" s="179">
        <f t="shared" ref="CU149:DC149" ca="1" si="739">(($AW154/(1+CU$18)^(($AZ154-$AZ$23)/30)))+($AS154/(1+CU$18)^(($AZ154-$AZ$23)/30))</f>
        <v>0</v>
      </c>
      <c r="CV149" s="179">
        <f t="shared" ca="1" si="739"/>
        <v>0</v>
      </c>
      <c r="CW149" s="179">
        <f t="shared" ca="1" si="739"/>
        <v>0</v>
      </c>
      <c r="CX149" s="179">
        <f t="shared" ca="1" si="739"/>
        <v>0</v>
      </c>
      <c r="CY149" s="179">
        <f t="shared" ca="1" si="739"/>
        <v>0</v>
      </c>
      <c r="CZ149" s="179">
        <f t="shared" ca="1" si="739"/>
        <v>0</v>
      </c>
      <c r="DA149" s="179">
        <f t="shared" ca="1" si="739"/>
        <v>0</v>
      </c>
      <c r="DB149" s="179">
        <f t="shared" ca="1" si="739"/>
        <v>0</v>
      </c>
      <c r="DC149" s="179">
        <f t="shared" ca="1" si="739"/>
        <v>0</v>
      </c>
      <c r="DD149" s="179">
        <f t="shared" ref="DD149:DI149" ca="1" si="740">(($AW154/(1+DD$18)^(($AZ154-$AZ$23)/30)))+($AS154/(1+DD$18)^(($AZ154-$AZ$23)/30))</f>
        <v>0</v>
      </c>
      <c r="DE149" s="179">
        <f t="shared" ca="1" si="740"/>
        <v>0</v>
      </c>
      <c r="DF149" s="179" t="e">
        <f t="shared" ca="1" si="740"/>
        <v>#VALUE!</v>
      </c>
      <c r="DG149" s="179" t="e">
        <f t="shared" ca="1" si="740"/>
        <v>#VALUE!</v>
      </c>
      <c r="DH149" s="179" t="e">
        <f t="shared" ca="1" si="740"/>
        <v>#VALUE!</v>
      </c>
      <c r="DI149" s="179" t="e">
        <f t="shared" ca="1" si="740"/>
        <v>#VALUE!</v>
      </c>
      <c r="DJ149" s="179" t="e">
        <f t="shared" ref="DJ149:DQ149" ca="1" si="741">(($AW154/(1+DJ$18)^(($AZ154-$AZ$23)/30)))+($AS154/(1+DJ$18)^(($AZ154-$AZ$23)/30))</f>
        <v>#VALUE!</v>
      </c>
      <c r="DK149" s="179" t="e">
        <f t="shared" ca="1" si="741"/>
        <v>#VALUE!</v>
      </c>
      <c r="DL149" s="179" t="e">
        <f t="shared" ca="1" si="741"/>
        <v>#VALUE!</v>
      </c>
      <c r="DM149" s="179" t="e">
        <f t="shared" ca="1" si="741"/>
        <v>#VALUE!</v>
      </c>
      <c r="DN149" s="179" t="e">
        <f t="shared" ca="1" si="741"/>
        <v>#VALUE!</v>
      </c>
      <c r="DO149" s="179" t="e">
        <f t="shared" ca="1" si="741"/>
        <v>#VALUE!</v>
      </c>
      <c r="DP149" s="179" t="e">
        <f t="shared" ca="1" si="741"/>
        <v>#VALUE!</v>
      </c>
      <c r="DQ149" s="179" t="e">
        <f t="shared" ca="1" si="741"/>
        <v>#VALUE!</v>
      </c>
      <c r="DR149" s="180">
        <f t="shared" si="733"/>
        <v>0</v>
      </c>
      <c r="DS149" s="180">
        <f t="shared" ref="DS149:EF149" si="742">IF($AU154&gt;$BA$19,0,$BA154-$AS154)</f>
        <v>0</v>
      </c>
      <c r="DT149" s="180">
        <f t="shared" si="742"/>
        <v>0</v>
      </c>
      <c r="DU149" s="180">
        <f t="shared" si="742"/>
        <v>0</v>
      </c>
      <c r="DV149" s="180">
        <f t="shared" si="742"/>
        <v>0</v>
      </c>
      <c r="DW149" s="180">
        <f t="shared" si="742"/>
        <v>0</v>
      </c>
      <c r="DX149" s="180">
        <f t="shared" si="742"/>
        <v>0</v>
      </c>
      <c r="DY149" s="180">
        <f t="shared" si="742"/>
        <v>0</v>
      </c>
      <c r="DZ149" s="180">
        <f t="shared" si="742"/>
        <v>0</v>
      </c>
      <c r="EA149" s="180">
        <f t="shared" si="742"/>
        <v>0</v>
      </c>
      <c r="EB149" s="180">
        <f t="shared" si="742"/>
        <v>0</v>
      </c>
      <c r="EC149" s="180">
        <f t="shared" si="742"/>
        <v>0</v>
      </c>
      <c r="ED149" s="180">
        <f t="shared" si="742"/>
        <v>0</v>
      </c>
      <c r="EE149" s="180">
        <f t="shared" si="742"/>
        <v>0</v>
      </c>
      <c r="EF149" s="180">
        <f t="shared" si="742"/>
        <v>0</v>
      </c>
      <c r="EG149" s="180">
        <f t="shared" ref="EG149:EO149" si="743">IF($AU154&gt;$BA$19,0,$BA154-$AS154)</f>
        <v>0</v>
      </c>
      <c r="EH149" s="180">
        <f t="shared" si="743"/>
        <v>0</v>
      </c>
      <c r="EI149" s="180">
        <f t="shared" si="743"/>
        <v>0</v>
      </c>
      <c r="EJ149" s="180">
        <f t="shared" si="743"/>
        <v>0</v>
      </c>
      <c r="EK149" s="180">
        <f t="shared" si="743"/>
        <v>0</v>
      </c>
      <c r="EL149" s="180">
        <f t="shared" si="743"/>
        <v>0</v>
      </c>
      <c r="EM149" s="180">
        <f t="shared" si="743"/>
        <v>0</v>
      </c>
      <c r="EN149" s="180">
        <f t="shared" si="743"/>
        <v>0</v>
      </c>
      <c r="EO149" s="180">
        <f t="shared" si="743"/>
        <v>0</v>
      </c>
      <c r="EQ149" s="259">
        <f t="shared" ca="1" si="736"/>
        <v>50140</v>
      </c>
      <c r="ER149" s="87">
        <f t="shared" ref="ER149:FF158" ca="1" si="744" xml:space="preserve"> IFERROR(VLOOKUP($EQ149,$AZ$23:$BA$167,2,FALSE),0)-IFERROR(VLOOKUP($EQ149,$AR$23:$AS$167,2,FALSE),0)</f>
        <v>0</v>
      </c>
      <c r="ES149" s="87">
        <f t="shared" ca="1" si="744"/>
        <v>0</v>
      </c>
      <c r="ET149" s="87">
        <f t="shared" ca="1" si="744"/>
        <v>0</v>
      </c>
      <c r="EU149" s="87">
        <f t="shared" ca="1" si="744"/>
        <v>0</v>
      </c>
      <c r="EV149" s="87">
        <f t="shared" ca="1" si="744"/>
        <v>0</v>
      </c>
      <c r="EW149" s="87">
        <f t="shared" ca="1" si="744"/>
        <v>0</v>
      </c>
      <c r="EX149" s="87">
        <f t="shared" ca="1" si="744"/>
        <v>0</v>
      </c>
      <c r="EY149" s="87">
        <f t="shared" ca="1" si="744"/>
        <v>0</v>
      </c>
      <c r="EZ149" s="87">
        <f t="shared" ca="1" si="744"/>
        <v>0</v>
      </c>
      <c r="FA149" s="87">
        <f t="shared" ca="1" si="744"/>
        <v>0</v>
      </c>
      <c r="FB149" s="87">
        <f t="shared" ca="1" si="744"/>
        <v>0</v>
      </c>
      <c r="FC149" s="87">
        <f t="shared" ca="1" si="744"/>
        <v>0</v>
      </c>
      <c r="FD149" s="87">
        <f t="shared" ca="1" si="744"/>
        <v>0</v>
      </c>
      <c r="FE149" s="87">
        <f t="shared" ca="1" si="744"/>
        <v>0</v>
      </c>
      <c r="FF149" s="87">
        <f t="shared" ca="1" si="744"/>
        <v>0</v>
      </c>
      <c r="FG149" s="87">
        <f t="shared" ca="1" si="729"/>
        <v>0</v>
      </c>
      <c r="FH149" s="87">
        <f t="shared" ca="1" si="729"/>
        <v>0</v>
      </c>
      <c r="FI149" s="87">
        <f t="shared" ca="1" si="729"/>
        <v>0</v>
      </c>
      <c r="FJ149" s="87">
        <f t="shared" ca="1" si="729"/>
        <v>0</v>
      </c>
      <c r="FK149" s="87">
        <f t="shared" ca="1" si="729"/>
        <v>0</v>
      </c>
      <c r="FL149" s="87">
        <f t="shared" ca="1" si="729"/>
        <v>0</v>
      </c>
      <c r="FM149" s="87">
        <f t="shared" ca="1" si="729"/>
        <v>0</v>
      </c>
      <c r="FN149" s="87">
        <f t="shared" ca="1" si="729"/>
        <v>0</v>
      </c>
      <c r="FO149" s="87">
        <f t="shared" ca="1" si="729"/>
        <v>0</v>
      </c>
      <c r="FP149" s="87">
        <f t="shared" ca="1" si="729"/>
        <v>0</v>
      </c>
    </row>
    <row r="150" spans="2:172" ht="12.75" hidden="1" customHeight="1" x14ac:dyDescent="0.25">
      <c r="B150" s="87">
        <v>92</v>
      </c>
      <c r="C150" s="181">
        <f t="shared" ca="1" si="597"/>
        <v>48954</v>
      </c>
      <c r="D150" s="380">
        <f t="shared" si="737"/>
        <v>0</v>
      </c>
      <c r="E150" s="380">
        <f t="shared" si="737"/>
        <v>0</v>
      </c>
      <c r="F150" s="380">
        <f t="shared" si="737"/>
        <v>0</v>
      </c>
      <c r="G150" s="380">
        <f t="shared" si="737"/>
        <v>0</v>
      </c>
      <c r="H150" s="380">
        <f t="shared" si="737"/>
        <v>0</v>
      </c>
      <c r="I150" s="380">
        <f t="shared" si="737"/>
        <v>0</v>
      </c>
      <c r="J150" s="380">
        <f t="shared" si="737"/>
        <v>0</v>
      </c>
      <c r="K150" s="380">
        <f t="shared" si="737"/>
        <v>0</v>
      </c>
      <c r="L150" s="380">
        <f t="shared" si="737"/>
        <v>0</v>
      </c>
      <c r="M150" s="380">
        <f t="shared" si="737"/>
        <v>0</v>
      </c>
      <c r="N150" s="380">
        <f t="shared" si="738"/>
        <v>0</v>
      </c>
      <c r="O150" s="380">
        <f t="shared" si="738"/>
        <v>0</v>
      </c>
      <c r="P150" s="380">
        <f t="shared" si="738"/>
        <v>0</v>
      </c>
      <c r="Q150" s="380">
        <f t="shared" si="738"/>
        <v>0</v>
      </c>
      <c r="R150" s="380">
        <f t="shared" si="738"/>
        <v>0</v>
      </c>
      <c r="S150" s="380">
        <f t="shared" si="738"/>
        <v>0</v>
      </c>
      <c r="T150" s="380">
        <f t="shared" si="738"/>
        <v>0</v>
      </c>
      <c r="U150" s="175"/>
      <c r="X150" s="87">
        <v>135</v>
      </c>
      <c r="Y150" s="377">
        <f t="shared" si="698"/>
        <v>0</v>
      </c>
      <c r="Z150" s="377">
        <f t="shared" si="699"/>
        <v>0</v>
      </c>
      <c r="AA150" s="377">
        <f t="shared" si="700"/>
        <v>0</v>
      </c>
      <c r="AB150" s="377">
        <f t="shared" si="701"/>
        <v>0</v>
      </c>
      <c r="AC150" s="377">
        <f t="shared" si="702"/>
        <v>0</v>
      </c>
      <c r="AD150" s="377">
        <f t="shared" si="703"/>
        <v>0</v>
      </c>
      <c r="AE150" s="377">
        <f t="shared" si="704"/>
        <v>0</v>
      </c>
      <c r="AF150" s="377">
        <f t="shared" si="705"/>
        <v>0</v>
      </c>
      <c r="AG150" s="377">
        <f t="shared" si="706"/>
        <v>0</v>
      </c>
      <c r="AH150" s="377">
        <f t="shared" si="707"/>
        <v>0</v>
      </c>
      <c r="AI150" s="377">
        <f t="shared" si="708"/>
        <v>0</v>
      </c>
      <c r="AJ150" s="377">
        <f t="shared" si="709"/>
        <v>0</v>
      </c>
      <c r="AK150" s="377">
        <f t="shared" si="710"/>
        <v>0</v>
      </c>
      <c r="AL150" s="377">
        <f t="shared" si="711"/>
        <v>0</v>
      </c>
      <c r="AM150" s="377">
        <f t="shared" si="712"/>
        <v>0</v>
      </c>
      <c r="AN150" s="377">
        <f t="shared" si="713"/>
        <v>0</v>
      </c>
      <c r="AO150" s="377">
        <f t="shared" si="714"/>
        <v>0</v>
      </c>
      <c r="AQ150" s="138">
        <v>127</v>
      </c>
      <c r="AR150" s="258">
        <f t="shared" ca="1" si="528"/>
        <v>50019</v>
      </c>
      <c r="AS150" s="378">
        <f t="shared" si="421"/>
        <v>0</v>
      </c>
      <c r="AU150" s="138">
        <v>127</v>
      </c>
      <c r="AV150" s="258">
        <f t="shared" ca="1" si="529"/>
        <v>50050</v>
      </c>
      <c r="AW150" s="378">
        <f t="shared" si="423"/>
        <v>0</v>
      </c>
      <c r="AX150" s="202">
        <f t="shared" ca="1" si="424"/>
        <v>0</v>
      </c>
      <c r="AY150" s="138">
        <v>127</v>
      </c>
      <c r="AZ150" s="258">
        <f t="shared" ca="1" si="530"/>
        <v>50050</v>
      </c>
      <c r="BA150" s="378">
        <f t="shared" si="426"/>
        <v>0</v>
      </c>
      <c r="BC150" s="258">
        <f t="shared" ca="1" si="591"/>
        <v>50019</v>
      </c>
      <c r="BD150" s="302">
        <f t="shared" ca="1" si="592"/>
        <v>0</v>
      </c>
      <c r="BE150" s="133">
        <f t="shared" si="412"/>
        <v>127</v>
      </c>
      <c r="BF150" s="379">
        <f t="shared" ca="1" si="413"/>
        <v>50019</v>
      </c>
      <c r="BG150" s="133">
        <f t="shared" si="428"/>
        <v>0</v>
      </c>
      <c r="BH150" s="133">
        <f t="shared" si="429"/>
        <v>0</v>
      </c>
      <c r="BI150" s="133">
        <f t="shared" si="430"/>
        <v>0</v>
      </c>
      <c r="BJ150" s="133">
        <f t="shared" si="431"/>
        <v>0</v>
      </c>
      <c r="BK150" s="133">
        <f t="shared" si="432"/>
        <v>0</v>
      </c>
      <c r="BL150" s="133">
        <f t="shared" si="433"/>
        <v>0</v>
      </c>
      <c r="BM150" s="133">
        <f t="shared" si="434"/>
        <v>0</v>
      </c>
      <c r="BN150" s="133">
        <f t="shared" si="435"/>
        <v>0</v>
      </c>
      <c r="BO150" s="133">
        <f t="shared" si="436"/>
        <v>0</v>
      </c>
      <c r="BP150" s="133">
        <f t="shared" si="437"/>
        <v>0</v>
      </c>
      <c r="BQ150" s="133">
        <f t="shared" si="438"/>
        <v>0</v>
      </c>
      <c r="BR150" s="133">
        <f t="shared" si="439"/>
        <v>0</v>
      </c>
      <c r="BS150" s="133">
        <f t="shared" si="440"/>
        <v>0</v>
      </c>
      <c r="BT150" s="133">
        <f t="shared" si="441"/>
        <v>0</v>
      </c>
      <c r="BU150" s="133">
        <f t="shared" si="442"/>
        <v>0</v>
      </c>
      <c r="BV150" s="133">
        <f t="shared" si="443"/>
        <v>0</v>
      </c>
      <c r="BW150" s="133">
        <f t="shared" si="444"/>
        <v>0</v>
      </c>
      <c r="BX150" s="267"/>
      <c r="BY150" s="267"/>
      <c r="BZ150" s="267"/>
      <c r="CA150" s="267"/>
      <c r="CB150" s="267"/>
      <c r="CC150" s="267"/>
      <c r="CD150" s="267"/>
      <c r="CE150" s="267"/>
      <c r="CF150" s="267"/>
      <c r="CG150" s="267"/>
      <c r="CS150" s="138">
        <v>132</v>
      </c>
      <c r="CT150" s="259">
        <f t="shared" ca="1" si="723"/>
        <v>50201</v>
      </c>
      <c r="CU150" s="179">
        <f t="shared" ref="CU150:DC150" ca="1" si="745">(($AW155/(1+CU$18)^(($AZ155-$AZ$23)/30)))+($AS155/(1+CU$18)^(($AZ155-$AZ$23)/30))</f>
        <v>0</v>
      </c>
      <c r="CV150" s="179">
        <f t="shared" ca="1" si="745"/>
        <v>0</v>
      </c>
      <c r="CW150" s="179">
        <f t="shared" ca="1" si="745"/>
        <v>0</v>
      </c>
      <c r="CX150" s="179">
        <f t="shared" ca="1" si="745"/>
        <v>0</v>
      </c>
      <c r="CY150" s="179">
        <f t="shared" ca="1" si="745"/>
        <v>0</v>
      </c>
      <c r="CZ150" s="179">
        <f t="shared" ca="1" si="745"/>
        <v>0</v>
      </c>
      <c r="DA150" s="179">
        <f t="shared" ca="1" si="745"/>
        <v>0</v>
      </c>
      <c r="DB150" s="179">
        <f t="shared" ca="1" si="745"/>
        <v>0</v>
      </c>
      <c r="DC150" s="179">
        <f t="shared" ca="1" si="745"/>
        <v>0</v>
      </c>
      <c r="DD150" s="179">
        <f t="shared" ref="DD150:DI150" ca="1" si="746">(($AW155/(1+DD$18)^(($AZ155-$AZ$23)/30)))+($AS155/(1+DD$18)^(($AZ155-$AZ$23)/30))</f>
        <v>0</v>
      </c>
      <c r="DE150" s="179">
        <f t="shared" ca="1" si="746"/>
        <v>0</v>
      </c>
      <c r="DF150" s="179" t="e">
        <f t="shared" ca="1" si="746"/>
        <v>#VALUE!</v>
      </c>
      <c r="DG150" s="179" t="e">
        <f t="shared" ca="1" si="746"/>
        <v>#VALUE!</v>
      </c>
      <c r="DH150" s="179" t="e">
        <f t="shared" ca="1" si="746"/>
        <v>#VALUE!</v>
      </c>
      <c r="DI150" s="179" t="e">
        <f t="shared" ca="1" si="746"/>
        <v>#VALUE!</v>
      </c>
      <c r="DJ150" s="179" t="e">
        <f t="shared" ref="DJ150:DQ150" ca="1" si="747">(($AW155/(1+DJ$18)^(($AZ155-$AZ$23)/30)))+($AS155/(1+DJ$18)^(($AZ155-$AZ$23)/30))</f>
        <v>#VALUE!</v>
      </c>
      <c r="DK150" s="179" t="e">
        <f t="shared" ca="1" si="747"/>
        <v>#VALUE!</v>
      </c>
      <c r="DL150" s="179" t="e">
        <f t="shared" ca="1" si="747"/>
        <v>#VALUE!</v>
      </c>
      <c r="DM150" s="179" t="e">
        <f t="shared" ca="1" si="747"/>
        <v>#VALUE!</v>
      </c>
      <c r="DN150" s="179" t="e">
        <f t="shared" ca="1" si="747"/>
        <v>#VALUE!</v>
      </c>
      <c r="DO150" s="179" t="e">
        <f t="shared" ca="1" si="747"/>
        <v>#VALUE!</v>
      </c>
      <c r="DP150" s="179" t="e">
        <f t="shared" ca="1" si="747"/>
        <v>#VALUE!</v>
      </c>
      <c r="DQ150" s="179" t="e">
        <f t="shared" ca="1" si="747"/>
        <v>#VALUE!</v>
      </c>
      <c r="DR150" s="180">
        <f t="shared" si="733"/>
        <v>0</v>
      </c>
      <c r="DS150" s="180">
        <f t="shared" ref="DS150:EF150" si="748">IF($AU155&gt;$BA$19,0,$BA155-$AS155)</f>
        <v>0</v>
      </c>
      <c r="DT150" s="180">
        <f t="shared" si="748"/>
        <v>0</v>
      </c>
      <c r="DU150" s="180">
        <f t="shared" si="748"/>
        <v>0</v>
      </c>
      <c r="DV150" s="180">
        <f t="shared" si="748"/>
        <v>0</v>
      </c>
      <c r="DW150" s="180">
        <f t="shared" si="748"/>
        <v>0</v>
      </c>
      <c r="DX150" s="180">
        <f t="shared" si="748"/>
        <v>0</v>
      </c>
      <c r="DY150" s="180">
        <f t="shared" si="748"/>
        <v>0</v>
      </c>
      <c r="DZ150" s="180">
        <f t="shared" si="748"/>
        <v>0</v>
      </c>
      <c r="EA150" s="180">
        <f t="shared" si="748"/>
        <v>0</v>
      </c>
      <c r="EB150" s="180">
        <f t="shared" si="748"/>
        <v>0</v>
      </c>
      <c r="EC150" s="180">
        <f t="shared" si="748"/>
        <v>0</v>
      </c>
      <c r="ED150" s="180">
        <f t="shared" si="748"/>
        <v>0</v>
      </c>
      <c r="EE150" s="180">
        <f t="shared" si="748"/>
        <v>0</v>
      </c>
      <c r="EF150" s="180">
        <f t="shared" si="748"/>
        <v>0</v>
      </c>
      <c r="EG150" s="180">
        <f t="shared" ref="EG150:EO150" si="749">IF($AU155&gt;$BA$19,0,$BA155-$AS155)</f>
        <v>0</v>
      </c>
      <c r="EH150" s="180">
        <f t="shared" si="749"/>
        <v>0</v>
      </c>
      <c r="EI150" s="180">
        <f t="shared" si="749"/>
        <v>0</v>
      </c>
      <c r="EJ150" s="180">
        <f t="shared" si="749"/>
        <v>0</v>
      </c>
      <c r="EK150" s="180">
        <f t="shared" si="749"/>
        <v>0</v>
      </c>
      <c r="EL150" s="180">
        <f t="shared" si="749"/>
        <v>0</v>
      </c>
      <c r="EM150" s="180">
        <f t="shared" si="749"/>
        <v>0</v>
      </c>
      <c r="EN150" s="180">
        <f t="shared" si="749"/>
        <v>0</v>
      </c>
      <c r="EO150" s="180">
        <f t="shared" si="749"/>
        <v>0</v>
      </c>
      <c r="EQ150" s="259">
        <f t="shared" ca="1" si="736"/>
        <v>50170</v>
      </c>
      <c r="ER150" s="87">
        <f t="shared" ca="1" si="744"/>
        <v>0</v>
      </c>
      <c r="ES150" s="87">
        <f t="shared" ca="1" si="744"/>
        <v>0</v>
      </c>
      <c r="ET150" s="87">
        <f t="shared" ca="1" si="744"/>
        <v>0</v>
      </c>
      <c r="EU150" s="87">
        <f t="shared" ca="1" si="744"/>
        <v>0</v>
      </c>
      <c r="EV150" s="87">
        <f t="shared" ca="1" si="744"/>
        <v>0</v>
      </c>
      <c r="EW150" s="87">
        <f t="shared" ca="1" si="744"/>
        <v>0</v>
      </c>
      <c r="EX150" s="87">
        <f t="shared" ca="1" si="744"/>
        <v>0</v>
      </c>
      <c r="EY150" s="87">
        <f t="shared" ca="1" si="744"/>
        <v>0</v>
      </c>
      <c r="EZ150" s="87">
        <f t="shared" ca="1" si="744"/>
        <v>0</v>
      </c>
      <c r="FA150" s="87">
        <f t="shared" ca="1" si="744"/>
        <v>0</v>
      </c>
      <c r="FB150" s="87">
        <f t="shared" ca="1" si="744"/>
        <v>0</v>
      </c>
      <c r="FC150" s="87">
        <f t="shared" ca="1" si="744"/>
        <v>0</v>
      </c>
      <c r="FD150" s="87">
        <f t="shared" ca="1" si="744"/>
        <v>0</v>
      </c>
      <c r="FE150" s="87">
        <f t="shared" ca="1" si="744"/>
        <v>0</v>
      </c>
      <c r="FF150" s="87">
        <f t="shared" ca="1" si="744"/>
        <v>0</v>
      </c>
      <c r="FG150" s="87">
        <f t="shared" ca="1" si="729"/>
        <v>0</v>
      </c>
      <c r="FH150" s="87">
        <f t="shared" ca="1" si="729"/>
        <v>0</v>
      </c>
      <c r="FI150" s="87">
        <f t="shared" ca="1" si="729"/>
        <v>0</v>
      </c>
      <c r="FJ150" s="87">
        <f t="shared" ca="1" si="729"/>
        <v>0</v>
      </c>
      <c r="FK150" s="87">
        <f t="shared" ca="1" si="729"/>
        <v>0</v>
      </c>
      <c r="FL150" s="87">
        <f t="shared" ca="1" si="729"/>
        <v>0</v>
      </c>
      <c r="FM150" s="87">
        <f t="shared" ca="1" si="729"/>
        <v>0</v>
      </c>
      <c r="FN150" s="87">
        <f t="shared" ca="1" si="729"/>
        <v>0</v>
      </c>
      <c r="FO150" s="87">
        <f t="shared" ca="1" si="729"/>
        <v>0</v>
      </c>
      <c r="FP150" s="87">
        <f t="shared" ca="1" si="729"/>
        <v>0</v>
      </c>
    </row>
    <row r="151" spans="2:172" ht="12.75" hidden="1" customHeight="1" x14ac:dyDescent="0.25">
      <c r="B151" s="87">
        <v>93</v>
      </c>
      <c r="C151" s="181">
        <f t="shared" ca="1" si="597"/>
        <v>48985</v>
      </c>
      <c r="D151" s="380">
        <f t="shared" si="737"/>
        <v>0</v>
      </c>
      <c r="E151" s="380">
        <f t="shared" si="737"/>
        <v>0</v>
      </c>
      <c r="F151" s="380">
        <f t="shared" si="737"/>
        <v>0</v>
      </c>
      <c r="G151" s="380">
        <f t="shared" si="737"/>
        <v>0</v>
      </c>
      <c r="H151" s="380">
        <f t="shared" si="737"/>
        <v>0</v>
      </c>
      <c r="I151" s="380">
        <f t="shared" si="737"/>
        <v>0</v>
      </c>
      <c r="J151" s="380">
        <f t="shared" si="737"/>
        <v>0</v>
      </c>
      <c r="K151" s="380">
        <f t="shared" si="737"/>
        <v>0</v>
      </c>
      <c r="L151" s="380">
        <f t="shared" si="737"/>
        <v>0</v>
      </c>
      <c r="M151" s="380">
        <f t="shared" si="737"/>
        <v>0</v>
      </c>
      <c r="N151" s="380">
        <f t="shared" si="738"/>
        <v>0</v>
      </c>
      <c r="O151" s="380">
        <f t="shared" si="738"/>
        <v>0</v>
      </c>
      <c r="P151" s="380">
        <f t="shared" si="738"/>
        <v>0</v>
      </c>
      <c r="Q151" s="380">
        <f t="shared" si="738"/>
        <v>0</v>
      </c>
      <c r="R151" s="380">
        <f t="shared" si="738"/>
        <v>0</v>
      </c>
      <c r="S151" s="380">
        <f t="shared" si="738"/>
        <v>0</v>
      </c>
      <c r="T151" s="380">
        <f t="shared" si="738"/>
        <v>0</v>
      </c>
      <c r="U151" s="175"/>
      <c r="X151" s="87">
        <v>136</v>
      </c>
      <c r="Y151" s="377">
        <f t="shared" si="698"/>
        <v>0</v>
      </c>
      <c r="Z151" s="377">
        <f t="shared" si="699"/>
        <v>0</v>
      </c>
      <c r="AA151" s="377">
        <f t="shared" si="700"/>
        <v>0</v>
      </c>
      <c r="AB151" s="377">
        <f t="shared" si="701"/>
        <v>0</v>
      </c>
      <c r="AC151" s="377">
        <f t="shared" si="702"/>
        <v>0</v>
      </c>
      <c r="AD151" s="377">
        <f t="shared" si="703"/>
        <v>0</v>
      </c>
      <c r="AE151" s="377">
        <f t="shared" si="704"/>
        <v>0</v>
      </c>
      <c r="AF151" s="377">
        <f t="shared" si="705"/>
        <v>0</v>
      </c>
      <c r="AG151" s="377">
        <f t="shared" si="706"/>
        <v>0</v>
      </c>
      <c r="AH151" s="377">
        <f t="shared" si="707"/>
        <v>0</v>
      </c>
      <c r="AI151" s="377">
        <f t="shared" si="708"/>
        <v>0</v>
      </c>
      <c r="AJ151" s="377">
        <f t="shared" si="709"/>
        <v>0</v>
      </c>
      <c r="AK151" s="377">
        <f t="shared" si="710"/>
        <v>0</v>
      </c>
      <c r="AL151" s="377">
        <f t="shared" si="711"/>
        <v>0</v>
      </c>
      <c r="AM151" s="377">
        <f t="shared" si="712"/>
        <v>0</v>
      </c>
      <c r="AN151" s="377">
        <f t="shared" si="713"/>
        <v>0</v>
      </c>
      <c r="AO151" s="377">
        <f t="shared" si="714"/>
        <v>0</v>
      </c>
      <c r="AQ151" s="138">
        <v>128</v>
      </c>
      <c r="AR151" s="258">
        <f t="shared" ca="1" si="528"/>
        <v>50050</v>
      </c>
      <c r="AS151" s="378">
        <f t="shared" si="421"/>
        <v>0</v>
      </c>
      <c r="AU151" s="138">
        <v>128</v>
      </c>
      <c r="AV151" s="258">
        <f t="shared" ca="1" si="529"/>
        <v>50081</v>
      </c>
      <c r="AW151" s="378">
        <f t="shared" si="423"/>
        <v>0</v>
      </c>
      <c r="AX151" s="202">
        <f t="shared" ca="1" si="424"/>
        <v>0</v>
      </c>
      <c r="AY151" s="138">
        <v>128</v>
      </c>
      <c r="AZ151" s="258">
        <f t="shared" ca="1" si="530"/>
        <v>50081</v>
      </c>
      <c r="BA151" s="378">
        <f t="shared" si="426"/>
        <v>0</v>
      </c>
      <c r="BC151" s="258">
        <f t="shared" ca="1" si="591"/>
        <v>50050</v>
      </c>
      <c r="BD151" s="302">
        <f t="shared" ca="1" si="592"/>
        <v>0</v>
      </c>
      <c r="BE151" s="133">
        <f t="shared" si="412"/>
        <v>128</v>
      </c>
      <c r="BF151" s="379">
        <f t="shared" ca="1" si="413"/>
        <v>50050</v>
      </c>
      <c r="BG151" s="133">
        <f t="shared" si="428"/>
        <v>0</v>
      </c>
      <c r="BH151" s="133">
        <f t="shared" si="429"/>
        <v>0</v>
      </c>
      <c r="BI151" s="133">
        <f t="shared" si="430"/>
        <v>0</v>
      </c>
      <c r="BJ151" s="133">
        <f t="shared" si="431"/>
        <v>0</v>
      </c>
      <c r="BK151" s="133">
        <f t="shared" si="432"/>
        <v>0</v>
      </c>
      <c r="BL151" s="133">
        <f t="shared" si="433"/>
        <v>0</v>
      </c>
      <c r="BM151" s="133">
        <f t="shared" si="434"/>
        <v>0</v>
      </c>
      <c r="BN151" s="133">
        <f t="shared" si="435"/>
        <v>0</v>
      </c>
      <c r="BO151" s="133">
        <f t="shared" si="436"/>
        <v>0</v>
      </c>
      <c r="BP151" s="133">
        <f t="shared" si="437"/>
        <v>0</v>
      </c>
      <c r="BQ151" s="133">
        <f t="shared" si="438"/>
        <v>0</v>
      </c>
      <c r="BR151" s="133">
        <f t="shared" si="439"/>
        <v>0</v>
      </c>
      <c r="BS151" s="133">
        <f t="shared" si="440"/>
        <v>0</v>
      </c>
      <c r="BT151" s="133">
        <f t="shared" si="441"/>
        <v>0</v>
      </c>
      <c r="BU151" s="133">
        <f t="shared" si="442"/>
        <v>0</v>
      </c>
      <c r="BV151" s="133">
        <f t="shared" si="443"/>
        <v>0</v>
      </c>
      <c r="BW151" s="133">
        <f t="shared" si="444"/>
        <v>0</v>
      </c>
      <c r="BX151" s="267"/>
      <c r="BY151" s="267"/>
      <c r="BZ151" s="267"/>
      <c r="CA151" s="267"/>
      <c r="CB151" s="267"/>
      <c r="CC151" s="267"/>
      <c r="CD151" s="267"/>
      <c r="CE151" s="267"/>
      <c r="CF151" s="267"/>
      <c r="CG151" s="267"/>
      <c r="CS151" s="87">
        <v>133</v>
      </c>
      <c r="CT151" s="259">
        <f t="shared" ca="1" si="723"/>
        <v>50231</v>
      </c>
      <c r="CU151" s="179">
        <f t="shared" ref="CU151:DC151" ca="1" si="750">(($AW156/(1+CU$18)^(($AZ156-$AZ$23)/30)))+($AS156/(1+CU$18)^(($AZ156-$AZ$23)/30))</f>
        <v>0</v>
      </c>
      <c r="CV151" s="179">
        <f t="shared" ca="1" si="750"/>
        <v>0</v>
      </c>
      <c r="CW151" s="179">
        <f t="shared" ca="1" si="750"/>
        <v>0</v>
      </c>
      <c r="CX151" s="179">
        <f t="shared" ca="1" si="750"/>
        <v>0</v>
      </c>
      <c r="CY151" s="179">
        <f t="shared" ca="1" si="750"/>
        <v>0</v>
      </c>
      <c r="CZ151" s="179">
        <f t="shared" ca="1" si="750"/>
        <v>0</v>
      </c>
      <c r="DA151" s="179">
        <f t="shared" ca="1" si="750"/>
        <v>0</v>
      </c>
      <c r="DB151" s="179">
        <f t="shared" ca="1" si="750"/>
        <v>0</v>
      </c>
      <c r="DC151" s="179">
        <f t="shared" ca="1" si="750"/>
        <v>0</v>
      </c>
      <c r="DD151" s="179">
        <f t="shared" ref="DD151:DI151" ca="1" si="751">(($AW156/(1+DD$18)^(($AZ156-$AZ$23)/30)))+($AS156/(1+DD$18)^(($AZ156-$AZ$23)/30))</f>
        <v>0</v>
      </c>
      <c r="DE151" s="179">
        <f t="shared" ca="1" si="751"/>
        <v>0</v>
      </c>
      <c r="DF151" s="179" t="e">
        <f t="shared" ca="1" si="751"/>
        <v>#VALUE!</v>
      </c>
      <c r="DG151" s="179" t="e">
        <f t="shared" ca="1" si="751"/>
        <v>#VALUE!</v>
      </c>
      <c r="DH151" s="179" t="e">
        <f t="shared" ca="1" si="751"/>
        <v>#VALUE!</v>
      </c>
      <c r="DI151" s="179" t="e">
        <f t="shared" ca="1" si="751"/>
        <v>#VALUE!</v>
      </c>
      <c r="DJ151" s="179" t="e">
        <f t="shared" ref="DJ151:DQ151" ca="1" si="752">(($AW156/(1+DJ$18)^(($AZ156-$AZ$23)/30)))+($AS156/(1+DJ$18)^(($AZ156-$AZ$23)/30))</f>
        <v>#VALUE!</v>
      </c>
      <c r="DK151" s="179" t="e">
        <f t="shared" ca="1" si="752"/>
        <v>#VALUE!</v>
      </c>
      <c r="DL151" s="179" t="e">
        <f t="shared" ca="1" si="752"/>
        <v>#VALUE!</v>
      </c>
      <c r="DM151" s="179" t="e">
        <f t="shared" ca="1" si="752"/>
        <v>#VALUE!</v>
      </c>
      <c r="DN151" s="179" t="e">
        <f t="shared" ca="1" si="752"/>
        <v>#VALUE!</v>
      </c>
      <c r="DO151" s="179" t="e">
        <f t="shared" ca="1" si="752"/>
        <v>#VALUE!</v>
      </c>
      <c r="DP151" s="179" t="e">
        <f t="shared" ca="1" si="752"/>
        <v>#VALUE!</v>
      </c>
      <c r="DQ151" s="179" t="e">
        <f t="shared" ca="1" si="752"/>
        <v>#VALUE!</v>
      </c>
      <c r="DR151" s="180">
        <f t="shared" si="733"/>
        <v>0</v>
      </c>
      <c r="DS151" s="180">
        <f t="shared" ref="DS151:EF151" si="753">IF($AU156&gt;$BA$19,0,$BA156-$AS156)</f>
        <v>0</v>
      </c>
      <c r="DT151" s="180">
        <f t="shared" si="753"/>
        <v>0</v>
      </c>
      <c r="DU151" s="180">
        <f t="shared" si="753"/>
        <v>0</v>
      </c>
      <c r="DV151" s="180">
        <f t="shared" si="753"/>
        <v>0</v>
      </c>
      <c r="DW151" s="180">
        <f t="shared" si="753"/>
        <v>0</v>
      </c>
      <c r="DX151" s="180">
        <f t="shared" si="753"/>
        <v>0</v>
      </c>
      <c r="DY151" s="180">
        <f t="shared" si="753"/>
        <v>0</v>
      </c>
      <c r="DZ151" s="180">
        <f t="shared" si="753"/>
        <v>0</v>
      </c>
      <c r="EA151" s="180">
        <f t="shared" si="753"/>
        <v>0</v>
      </c>
      <c r="EB151" s="180">
        <f t="shared" si="753"/>
        <v>0</v>
      </c>
      <c r="EC151" s="180">
        <f t="shared" si="753"/>
        <v>0</v>
      </c>
      <c r="ED151" s="180">
        <f t="shared" si="753"/>
        <v>0</v>
      </c>
      <c r="EE151" s="180">
        <f t="shared" si="753"/>
        <v>0</v>
      </c>
      <c r="EF151" s="180">
        <f t="shared" si="753"/>
        <v>0</v>
      </c>
      <c r="EG151" s="180">
        <f t="shared" ref="EG151:EO151" si="754">IF($AU156&gt;$BA$19,0,$BA156-$AS156)</f>
        <v>0</v>
      </c>
      <c r="EH151" s="180">
        <f t="shared" si="754"/>
        <v>0</v>
      </c>
      <c r="EI151" s="180">
        <f t="shared" si="754"/>
        <v>0</v>
      </c>
      <c r="EJ151" s="180">
        <f t="shared" si="754"/>
        <v>0</v>
      </c>
      <c r="EK151" s="180">
        <f t="shared" si="754"/>
        <v>0</v>
      </c>
      <c r="EL151" s="180">
        <f t="shared" si="754"/>
        <v>0</v>
      </c>
      <c r="EM151" s="180">
        <f t="shared" si="754"/>
        <v>0</v>
      </c>
      <c r="EN151" s="180">
        <f t="shared" si="754"/>
        <v>0</v>
      </c>
      <c r="EO151" s="180">
        <f t="shared" si="754"/>
        <v>0</v>
      </c>
      <c r="EQ151" s="259">
        <f t="shared" ca="1" si="736"/>
        <v>50201</v>
      </c>
      <c r="ER151" s="87">
        <f t="shared" ca="1" si="744"/>
        <v>0</v>
      </c>
      <c r="ES151" s="87">
        <f t="shared" ca="1" si="744"/>
        <v>0</v>
      </c>
      <c r="ET151" s="87">
        <f t="shared" ca="1" si="744"/>
        <v>0</v>
      </c>
      <c r="EU151" s="87">
        <f t="shared" ca="1" si="744"/>
        <v>0</v>
      </c>
      <c r="EV151" s="87">
        <f t="shared" ca="1" si="744"/>
        <v>0</v>
      </c>
      <c r="EW151" s="87">
        <f t="shared" ca="1" si="744"/>
        <v>0</v>
      </c>
      <c r="EX151" s="87">
        <f t="shared" ca="1" si="744"/>
        <v>0</v>
      </c>
      <c r="EY151" s="87">
        <f t="shared" ca="1" si="744"/>
        <v>0</v>
      </c>
      <c r="EZ151" s="87">
        <f t="shared" ca="1" si="744"/>
        <v>0</v>
      </c>
      <c r="FA151" s="87">
        <f t="shared" ca="1" si="744"/>
        <v>0</v>
      </c>
      <c r="FB151" s="87">
        <f t="shared" ca="1" si="744"/>
        <v>0</v>
      </c>
      <c r="FC151" s="87">
        <f t="shared" ca="1" si="744"/>
        <v>0</v>
      </c>
      <c r="FD151" s="87">
        <f t="shared" ca="1" si="744"/>
        <v>0</v>
      </c>
      <c r="FE151" s="87">
        <f t="shared" ca="1" si="744"/>
        <v>0</v>
      </c>
      <c r="FF151" s="87">
        <f t="shared" ca="1" si="744"/>
        <v>0</v>
      </c>
      <c r="FG151" s="87">
        <f t="shared" ca="1" si="729"/>
        <v>0</v>
      </c>
      <c r="FH151" s="87">
        <f t="shared" ca="1" si="729"/>
        <v>0</v>
      </c>
      <c r="FI151" s="87">
        <f t="shared" ca="1" si="729"/>
        <v>0</v>
      </c>
      <c r="FJ151" s="87">
        <f t="shared" ca="1" si="729"/>
        <v>0</v>
      </c>
      <c r="FK151" s="87">
        <f t="shared" ca="1" si="729"/>
        <v>0</v>
      </c>
      <c r="FL151" s="87">
        <f t="shared" ca="1" si="729"/>
        <v>0</v>
      </c>
      <c r="FM151" s="87">
        <f t="shared" ca="1" si="729"/>
        <v>0</v>
      </c>
      <c r="FN151" s="87">
        <f t="shared" ca="1" si="729"/>
        <v>0</v>
      </c>
      <c r="FO151" s="87">
        <f t="shared" ca="1" si="729"/>
        <v>0</v>
      </c>
      <c r="FP151" s="87">
        <f t="shared" ca="1" si="729"/>
        <v>0</v>
      </c>
    </row>
    <row r="152" spans="2:172" ht="12.75" hidden="1" customHeight="1" x14ac:dyDescent="0.25">
      <c r="B152" s="87">
        <v>94</v>
      </c>
      <c r="C152" s="181">
        <f t="shared" ca="1" si="597"/>
        <v>49013</v>
      </c>
      <c r="D152" s="380">
        <f t="shared" si="737"/>
        <v>0</v>
      </c>
      <c r="E152" s="380">
        <f t="shared" si="737"/>
        <v>0</v>
      </c>
      <c r="F152" s="380">
        <f t="shared" si="737"/>
        <v>0</v>
      </c>
      <c r="G152" s="380">
        <f t="shared" si="737"/>
        <v>0</v>
      </c>
      <c r="H152" s="380">
        <f t="shared" si="737"/>
        <v>0</v>
      </c>
      <c r="I152" s="380">
        <f t="shared" si="737"/>
        <v>0</v>
      </c>
      <c r="J152" s="380">
        <f t="shared" si="737"/>
        <v>0</v>
      </c>
      <c r="K152" s="380">
        <f t="shared" si="737"/>
        <v>0</v>
      </c>
      <c r="L152" s="380">
        <f t="shared" si="737"/>
        <v>0</v>
      </c>
      <c r="M152" s="380">
        <f t="shared" si="737"/>
        <v>0</v>
      </c>
      <c r="N152" s="380">
        <f t="shared" si="738"/>
        <v>0</v>
      </c>
      <c r="O152" s="380">
        <f t="shared" si="738"/>
        <v>0</v>
      </c>
      <c r="P152" s="380">
        <f t="shared" si="738"/>
        <v>0</v>
      </c>
      <c r="Q152" s="380">
        <f t="shared" si="738"/>
        <v>0</v>
      </c>
      <c r="R152" s="380">
        <f t="shared" si="738"/>
        <v>0</v>
      </c>
      <c r="S152" s="380">
        <f t="shared" si="738"/>
        <v>0</v>
      </c>
      <c r="T152" s="380">
        <f t="shared" si="738"/>
        <v>0</v>
      </c>
      <c r="U152" s="175"/>
      <c r="X152" s="87">
        <v>137</v>
      </c>
      <c r="Y152" s="377">
        <f t="shared" si="698"/>
        <v>0</v>
      </c>
      <c r="Z152" s="377">
        <f t="shared" si="699"/>
        <v>0</v>
      </c>
      <c r="AA152" s="377">
        <f t="shared" si="700"/>
        <v>0</v>
      </c>
      <c r="AB152" s="377">
        <f t="shared" si="701"/>
        <v>0</v>
      </c>
      <c r="AC152" s="377">
        <f t="shared" si="702"/>
        <v>0</v>
      </c>
      <c r="AD152" s="377">
        <f t="shared" si="703"/>
        <v>0</v>
      </c>
      <c r="AE152" s="377">
        <f t="shared" si="704"/>
        <v>0</v>
      </c>
      <c r="AF152" s="377">
        <f t="shared" si="705"/>
        <v>0</v>
      </c>
      <c r="AG152" s="377">
        <f t="shared" si="706"/>
        <v>0</v>
      </c>
      <c r="AH152" s="377">
        <f t="shared" si="707"/>
        <v>0</v>
      </c>
      <c r="AI152" s="377">
        <f t="shared" si="708"/>
        <v>0</v>
      </c>
      <c r="AJ152" s="377">
        <f t="shared" si="709"/>
        <v>0</v>
      </c>
      <c r="AK152" s="377">
        <f t="shared" si="710"/>
        <v>0</v>
      </c>
      <c r="AL152" s="377">
        <f t="shared" si="711"/>
        <v>0</v>
      </c>
      <c r="AM152" s="377">
        <f t="shared" si="712"/>
        <v>0</v>
      </c>
      <c r="AN152" s="377">
        <f t="shared" si="713"/>
        <v>0</v>
      </c>
      <c r="AO152" s="377">
        <f t="shared" si="714"/>
        <v>0</v>
      </c>
      <c r="AQ152" s="138">
        <v>129</v>
      </c>
      <c r="AR152" s="258">
        <f t="shared" ca="1" si="528"/>
        <v>50081</v>
      </c>
      <c r="AS152" s="378">
        <f t="shared" si="421"/>
        <v>0</v>
      </c>
      <c r="AU152" s="138">
        <v>129</v>
      </c>
      <c r="AV152" s="258">
        <f t="shared" ca="1" si="529"/>
        <v>50109</v>
      </c>
      <c r="AW152" s="378">
        <f t="shared" si="423"/>
        <v>0</v>
      </c>
      <c r="AX152" s="202">
        <f t="shared" ca="1" si="424"/>
        <v>0</v>
      </c>
      <c r="AY152" s="138">
        <v>129</v>
      </c>
      <c r="AZ152" s="258">
        <f t="shared" ca="1" si="530"/>
        <v>50109</v>
      </c>
      <c r="BA152" s="378">
        <f t="shared" si="426"/>
        <v>0</v>
      </c>
      <c r="BC152" s="258">
        <f t="shared" ca="1" si="591"/>
        <v>50081</v>
      </c>
      <c r="BD152" s="302">
        <f t="shared" ca="1" si="592"/>
        <v>0</v>
      </c>
      <c r="BE152" s="133">
        <f t="shared" ref="BE152:BE171" si="755">AQ152</f>
        <v>129</v>
      </c>
      <c r="BF152" s="379">
        <f t="shared" ref="BF152:BF171" ca="1" si="756">AR152</f>
        <v>50081</v>
      </c>
      <c r="BG152" s="133">
        <f t="shared" si="428"/>
        <v>0</v>
      </c>
      <c r="BH152" s="133">
        <f t="shared" si="429"/>
        <v>0</v>
      </c>
      <c r="BI152" s="133">
        <f t="shared" si="430"/>
        <v>0</v>
      </c>
      <c r="BJ152" s="133">
        <f t="shared" si="431"/>
        <v>0</v>
      </c>
      <c r="BK152" s="133">
        <f t="shared" si="432"/>
        <v>0</v>
      </c>
      <c r="BL152" s="133">
        <f t="shared" si="433"/>
        <v>0</v>
      </c>
      <c r="BM152" s="133">
        <f t="shared" si="434"/>
        <v>0</v>
      </c>
      <c r="BN152" s="133">
        <f t="shared" si="435"/>
        <v>0</v>
      </c>
      <c r="BO152" s="133">
        <f t="shared" si="436"/>
        <v>0</v>
      </c>
      <c r="BP152" s="133">
        <f t="shared" si="437"/>
        <v>0</v>
      </c>
      <c r="BQ152" s="133">
        <f t="shared" si="438"/>
        <v>0</v>
      </c>
      <c r="BR152" s="133">
        <f t="shared" si="439"/>
        <v>0</v>
      </c>
      <c r="BS152" s="133">
        <f t="shared" si="440"/>
        <v>0</v>
      </c>
      <c r="BT152" s="133">
        <f t="shared" si="441"/>
        <v>0</v>
      </c>
      <c r="BU152" s="133">
        <f t="shared" si="442"/>
        <v>0</v>
      </c>
      <c r="BV152" s="133">
        <f t="shared" si="443"/>
        <v>0</v>
      </c>
      <c r="BW152" s="133">
        <f t="shared" si="444"/>
        <v>0</v>
      </c>
      <c r="BX152" s="267"/>
      <c r="BY152" s="267"/>
      <c r="BZ152" s="267"/>
      <c r="CA152" s="267"/>
      <c r="CB152" s="267"/>
      <c r="CC152" s="267"/>
      <c r="CD152" s="267"/>
      <c r="CE152" s="267"/>
      <c r="CF152" s="267"/>
      <c r="CG152" s="267"/>
      <c r="CS152" s="178">
        <v>134</v>
      </c>
      <c r="CT152" s="259">
        <f t="shared" ca="1" si="723"/>
        <v>50262</v>
      </c>
      <c r="CU152" s="179">
        <f t="shared" ref="CU152:DC152" ca="1" si="757">(($AW157/(1+CU$18)^(($AZ157-$AZ$23)/30)))+($AS157/(1+CU$18)^(($AZ157-$AZ$23)/30))</f>
        <v>0</v>
      </c>
      <c r="CV152" s="179">
        <f t="shared" ca="1" si="757"/>
        <v>0</v>
      </c>
      <c r="CW152" s="179">
        <f t="shared" ca="1" si="757"/>
        <v>0</v>
      </c>
      <c r="CX152" s="179">
        <f t="shared" ca="1" si="757"/>
        <v>0</v>
      </c>
      <c r="CY152" s="179">
        <f t="shared" ca="1" si="757"/>
        <v>0</v>
      </c>
      <c r="CZ152" s="179">
        <f t="shared" ca="1" si="757"/>
        <v>0</v>
      </c>
      <c r="DA152" s="179">
        <f t="shared" ca="1" si="757"/>
        <v>0</v>
      </c>
      <c r="DB152" s="179">
        <f t="shared" ca="1" si="757"/>
        <v>0</v>
      </c>
      <c r="DC152" s="179">
        <f t="shared" ca="1" si="757"/>
        <v>0</v>
      </c>
      <c r="DD152" s="179">
        <f t="shared" ref="DD152:DI152" ca="1" si="758">(($AW157/(1+DD$18)^(($AZ157-$AZ$23)/30)))+($AS157/(1+DD$18)^(($AZ157-$AZ$23)/30))</f>
        <v>0</v>
      </c>
      <c r="DE152" s="179">
        <f t="shared" ca="1" si="758"/>
        <v>0</v>
      </c>
      <c r="DF152" s="179" t="e">
        <f t="shared" ca="1" si="758"/>
        <v>#VALUE!</v>
      </c>
      <c r="DG152" s="179" t="e">
        <f t="shared" ca="1" si="758"/>
        <v>#VALUE!</v>
      </c>
      <c r="DH152" s="179" t="e">
        <f t="shared" ca="1" si="758"/>
        <v>#VALUE!</v>
      </c>
      <c r="DI152" s="179" t="e">
        <f t="shared" ca="1" si="758"/>
        <v>#VALUE!</v>
      </c>
      <c r="DJ152" s="179" t="e">
        <f t="shared" ref="DJ152:DQ152" ca="1" si="759">(($AW157/(1+DJ$18)^(($AZ157-$AZ$23)/30)))+($AS157/(1+DJ$18)^(($AZ157-$AZ$23)/30))</f>
        <v>#VALUE!</v>
      </c>
      <c r="DK152" s="179" t="e">
        <f t="shared" ca="1" si="759"/>
        <v>#VALUE!</v>
      </c>
      <c r="DL152" s="179" t="e">
        <f t="shared" ca="1" si="759"/>
        <v>#VALUE!</v>
      </c>
      <c r="DM152" s="179" t="e">
        <f t="shared" ca="1" si="759"/>
        <v>#VALUE!</v>
      </c>
      <c r="DN152" s="179" t="e">
        <f t="shared" ca="1" si="759"/>
        <v>#VALUE!</v>
      </c>
      <c r="DO152" s="179" t="e">
        <f t="shared" ca="1" si="759"/>
        <v>#VALUE!</v>
      </c>
      <c r="DP152" s="179" t="e">
        <f t="shared" ca="1" si="759"/>
        <v>#VALUE!</v>
      </c>
      <c r="DQ152" s="179" t="e">
        <f t="shared" ca="1" si="759"/>
        <v>#VALUE!</v>
      </c>
      <c r="DR152" s="180">
        <f t="shared" si="733"/>
        <v>0</v>
      </c>
      <c r="DS152" s="180">
        <f t="shared" ref="DS152:EF152" si="760">IF($AU157&gt;$BA$19,0,$BA157-$AS157)</f>
        <v>0</v>
      </c>
      <c r="DT152" s="180">
        <f t="shared" si="760"/>
        <v>0</v>
      </c>
      <c r="DU152" s="180">
        <f t="shared" si="760"/>
        <v>0</v>
      </c>
      <c r="DV152" s="180">
        <f t="shared" si="760"/>
        <v>0</v>
      </c>
      <c r="DW152" s="180">
        <f t="shared" si="760"/>
        <v>0</v>
      </c>
      <c r="DX152" s="180">
        <f t="shared" si="760"/>
        <v>0</v>
      </c>
      <c r="DY152" s="180">
        <f t="shared" si="760"/>
        <v>0</v>
      </c>
      <c r="DZ152" s="180">
        <f t="shared" si="760"/>
        <v>0</v>
      </c>
      <c r="EA152" s="180">
        <f t="shared" si="760"/>
        <v>0</v>
      </c>
      <c r="EB152" s="180">
        <f t="shared" si="760"/>
        <v>0</v>
      </c>
      <c r="EC152" s="180">
        <f t="shared" si="760"/>
        <v>0</v>
      </c>
      <c r="ED152" s="180">
        <f t="shared" si="760"/>
        <v>0</v>
      </c>
      <c r="EE152" s="180">
        <f t="shared" si="760"/>
        <v>0</v>
      </c>
      <c r="EF152" s="180">
        <f t="shared" si="760"/>
        <v>0</v>
      </c>
      <c r="EG152" s="180">
        <f t="shared" ref="EG152:EO152" si="761">IF($AU157&gt;$BA$19,0,$BA157-$AS157)</f>
        <v>0</v>
      </c>
      <c r="EH152" s="180">
        <f t="shared" si="761"/>
        <v>0</v>
      </c>
      <c r="EI152" s="180">
        <f t="shared" si="761"/>
        <v>0</v>
      </c>
      <c r="EJ152" s="180">
        <f t="shared" si="761"/>
        <v>0</v>
      </c>
      <c r="EK152" s="180">
        <f t="shared" si="761"/>
        <v>0</v>
      </c>
      <c r="EL152" s="180">
        <f t="shared" si="761"/>
        <v>0</v>
      </c>
      <c r="EM152" s="180">
        <f t="shared" si="761"/>
        <v>0</v>
      </c>
      <c r="EN152" s="180">
        <f t="shared" si="761"/>
        <v>0</v>
      </c>
      <c r="EO152" s="180">
        <f t="shared" si="761"/>
        <v>0</v>
      </c>
      <c r="EQ152" s="259">
        <f t="shared" ca="1" si="736"/>
        <v>50231</v>
      </c>
      <c r="ER152" s="87">
        <f t="shared" ca="1" si="744"/>
        <v>0</v>
      </c>
      <c r="ES152" s="87">
        <f t="shared" ca="1" si="744"/>
        <v>0</v>
      </c>
      <c r="ET152" s="87">
        <f t="shared" ca="1" si="744"/>
        <v>0</v>
      </c>
      <c r="EU152" s="87">
        <f t="shared" ca="1" si="744"/>
        <v>0</v>
      </c>
      <c r="EV152" s="87">
        <f t="shared" ca="1" si="744"/>
        <v>0</v>
      </c>
      <c r="EW152" s="87">
        <f t="shared" ca="1" si="744"/>
        <v>0</v>
      </c>
      <c r="EX152" s="87">
        <f t="shared" ca="1" si="744"/>
        <v>0</v>
      </c>
      <c r="EY152" s="87">
        <f t="shared" ca="1" si="744"/>
        <v>0</v>
      </c>
      <c r="EZ152" s="87">
        <f t="shared" ca="1" si="744"/>
        <v>0</v>
      </c>
      <c r="FA152" s="87">
        <f t="shared" ca="1" si="744"/>
        <v>0</v>
      </c>
      <c r="FB152" s="87">
        <f t="shared" ca="1" si="744"/>
        <v>0</v>
      </c>
      <c r="FC152" s="87">
        <f t="shared" ca="1" si="744"/>
        <v>0</v>
      </c>
      <c r="FD152" s="87">
        <f t="shared" ca="1" si="744"/>
        <v>0</v>
      </c>
      <c r="FE152" s="87">
        <f t="shared" ca="1" si="744"/>
        <v>0</v>
      </c>
      <c r="FF152" s="87">
        <f t="shared" ca="1" si="744"/>
        <v>0</v>
      </c>
      <c r="FG152" s="87">
        <f t="shared" ca="1" si="729"/>
        <v>0</v>
      </c>
      <c r="FH152" s="87">
        <f t="shared" ca="1" si="729"/>
        <v>0</v>
      </c>
      <c r="FI152" s="87">
        <f t="shared" ca="1" si="729"/>
        <v>0</v>
      </c>
      <c r="FJ152" s="87">
        <f t="shared" ca="1" si="729"/>
        <v>0</v>
      </c>
      <c r="FK152" s="87">
        <f t="shared" ca="1" si="729"/>
        <v>0</v>
      </c>
      <c r="FL152" s="87">
        <f t="shared" ca="1" si="729"/>
        <v>0</v>
      </c>
      <c r="FM152" s="87">
        <f t="shared" ca="1" si="729"/>
        <v>0</v>
      </c>
      <c r="FN152" s="87">
        <f t="shared" ca="1" si="729"/>
        <v>0</v>
      </c>
      <c r="FO152" s="87">
        <f t="shared" ca="1" si="729"/>
        <v>0</v>
      </c>
      <c r="FP152" s="87">
        <f t="shared" ca="1" si="729"/>
        <v>0</v>
      </c>
    </row>
    <row r="153" spans="2:172" ht="12.75" hidden="1" customHeight="1" x14ac:dyDescent="0.25">
      <c r="B153" s="87">
        <v>95</v>
      </c>
      <c r="C153" s="181">
        <f t="shared" ca="1" si="597"/>
        <v>49044</v>
      </c>
      <c r="D153" s="380">
        <f t="shared" si="737"/>
        <v>0</v>
      </c>
      <c r="E153" s="380">
        <f t="shared" si="737"/>
        <v>0</v>
      </c>
      <c r="F153" s="380">
        <f t="shared" si="737"/>
        <v>0</v>
      </c>
      <c r="G153" s="380">
        <f t="shared" si="737"/>
        <v>0</v>
      </c>
      <c r="H153" s="380">
        <f t="shared" si="737"/>
        <v>0</v>
      </c>
      <c r="I153" s="380">
        <f t="shared" si="737"/>
        <v>0</v>
      </c>
      <c r="J153" s="380">
        <f t="shared" si="737"/>
        <v>0</v>
      </c>
      <c r="K153" s="380">
        <f t="shared" si="737"/>
        <v>0</v>
      </c>
      <c r="L153" s="380">
        <f t="shared" si="737"/>
        <v>0</v>
      </c>
      <c r="M153" s="380">
        <f t="shared" si="737"/>
        <v>0</v>
      </c>
      <c r="N153" s="380">
        <f t="shared" si="738"/>
        <v>0</v>
      </c>
      <c r="O153" s="380">
        <f t="shared" si="738"/>
        <v>0</v>
      </c>
      <c r="P153" s="380">
        <f t="shared" si="738"/>
        <v>0</v>
      </c>
      <c r="Q153" s="380">
        <f t="shared" si="738"/>
        <v>0</v>
      </c>
      <c r="R153" s="380">
        <f t="shared" si="738"/>
        <v>0</v>
      </c>
      <c r="S153" s="380">
        <f t="shared" si="738"/>
        <v>0</v>
      </c>
      <c r="T153" s="380">
        <f t="shared" si="738"/>
        <v>0</v>
      </c>
      <c r="U153" s="175"/>
      <c r="X153" s="87">
        <v>138</v>
      </c>
      <c r="Y153" s="377">
        <f t="shared" si="698"/>
        <v>0</v>
      </c>
      <c r="Z153" s="377">
        <f t="shared" si="699"/>
        <v>0</v>
      </c>
      <c r="AA153" s="377">
        <f t="shared" si="700"/>
        <v>0</v>
      </c>
      <c r="AB153" s="377">
        <f t="shared" si="701"/>
        <v>0</v>
      </c>
      <c r="AC153" s="377">
        <f t="shared" si="702"/>
        <v>0</v>
      </c>
      <c r="AD153" s="377">
        <f t="shared" si="703"/>
        <v>0</v>
      </c>
      <c r="AE153" s="377">
        <f t="shared" si="704"/>
        <v>0</v>
      </c>
      <c r="AF153" s="377">
        <f t="shared" si="705"/>
        <v>0</v>
      </c>
      <c r="AG153" s="377">
        <f t="shared" si="706"/>
        <v>0</v>
      </c>
      <c r="AH153" s="377">
        <f t="shared" si="707"/>
        <v>0</v>
      </c>
      <c r="AI153" s="377">
        <f t="shared" si="708"/>
        <v>0</v>
      </c>
      <c r="AJ153" s="377">
        <f t="shared" si="709"/>
        <v>0</v>
      </c>
      <c r="AK153" s="377">
        <f t="shared" si="710"/>
        <v>0</v>
      </c>
      <c r="AL153" s="377">
        <f t="shared" si="711"/>
        <v>0</v>
      </c>
      <c r="AM153" s="377">
        <f t="shared" si="712"/>
        <v>0</v>
      </c>
      <c r="AN153" s="377">
        <f t="shared" si="713"/>
        <v>0</v>
      </c>
      <c r="AO153" s="377">
        <f t="shared" si="714"/>
        <v>0</v>
      </c>
      <c r="AQ153" s="138">
        <v>130</v>
      </c>
      <c r="AR153" s="258">
        <f t="shared" ca="1" si="528"/>
        <v>50109</v>
      </c>
      <c r="AS153" s="378">
        <f t="shared" ref="AS153:AS167" si="762">SUM(Y145:AO145)</f>
        <v>0</v>
      </c>
      <c r="AU153" s="138">
        <v>130</v>
      </c>
      <c r="AV153" s="258">
        <f t="shared" ca="1" si="529"/>
        <v>50140</v>
      </c>
      <c r="AW153" s="378">
        <f t="shared" ref="AW153:AW166" si="763">IF(AU153&gt;$BA$19,0,BA153-AS153)</f>
        <v>0</v>
      </c>
      <c r="AX153" s="202">
        <f t="shared" ref="AX153:AX168" ca="1" si="764">ROUND(AW153/(1+$AW$20)^((AV153-$AV$23)/30),2)</f>
        <v>0</v>
      </c>
      <c r="AY153" s="138">
        <v>130</v>
      </c>
      <c r="AZ153" s="258">
        <f t="shared" ca="1" si="530"/>
        <v>50140</v>
      </c>
      <c r="BA153" s="378">
        <f t="shared" ref="BA153:BA167" si="765">IF(AY153&gt;$BA$19,0,$BA$18)</f>
        <v>0</v>
      </c>
      <c r="BC153" s="258">
        <f t="shared" ca="1" si="591"/>
        <v>50109</v>
      </c>
      <c r="BD153" s="302">
        <f t="shared" ca="1" si="592"/>
        <v>0</v>
      </c>
      <c r="BE153" s="133">
        <f t="shared" si="755"/>
        <v>130</v>
      </c>
      <c r="BF153" s="379">
        <f t="shared" ca="1" si="756"/>
        <v>50109</v>
      </c>
      <c r="BG153" s="133">
        <f t="shared" ref="BG153:BG171" si="766">IF($BE153&lt;=D$16,D$17,0)</f>
        <v>0</v>
      </c>
      <c r="BH153" s="133">
        <f t="shared" ref="BH153:BH171" si="767">IF($BE153&lt;=E$16,E$17,0)</f>
        <v>0</v>
      </c>
      <c r="BI153" s="133">
        <f t="shared" ref="BI153:BI171" si="768">IF($BE153&lt;=F$16,F$17,0)</f>
        <v>0</v>
      </c>
      <c r="BJ153" s="133">
        <f t="shared" ref="BJ153:BJ171" si="769">IF($BE153&lt;=G$16,G$17,0)</f>
        <v>0</v>
      </c>
      <c r="BK153" s="133">
        <f t="shared" ref="BK153:BK171" si="770">IF($BE153&lt;=H$16,H$17,0)</f>
        <v>0</v>
      </c>
      <c r="BL153" s="133">
        <f t="shared" ref="BL153:BL171" si="771">IF($BE153&lt;=I$16,I$17,0)</f>
        <v>0</v>
      </c>
      <c r="BM153" s="133">
        <f t="shared" ref="BM153:BM171" si="772">IF($BE153&lt;=J$16,J$17,0)</f>
        <v>0</v>
      </c>
      <c r="BN153" s="133">
        <f t="shared" ref="BN153:BN171" si="773">IF($BE153&lt;=K$16,K$17,0)</f>
        <v>0</v>
      </c>
      <c r="BO153" s="133">
        <f t="shared" ref="BO153:BO171" si="774">IF($BE153&lt;=L$16,L$17,0)</f>
        <v>0</v>
      </c>
      <c r="BP153" s="133">
        <f t="shared" ref="BP153:BP171" si="775">IF($BE153&lt;=M$16,M$17,0)</f>
        <v>0</v>
      </c>
      <c r="BQ153" s="133">
        <f t="shared" ref="BQ153:BQ171" si="776">IF($BE153&lt;=N$16,N$17,0)</f>
        <v>0</v>
      </c>
      <c r="BR153" s="133">
        <f t="shared" ref="BR153:BR171" si="777">IF($BE153&lt;=O$16,O$17,0)</f>
        <v>0</v>
      </c>
      <c r="BS153" s="133">
        <f t="shared" ref="BS153:BS171" si="778">IF($BE153&lt;=P$16,P$17,0)</f>
        <v>0</v>
      </c>
      <c r="BT153" s="133">
        <f t="shared" ref="BT153:BT171" si="779">IF($BE153&lt;=Q$16,Q$17,0)</f>
        <v>0</v>
      </c>
      <c r="BU153" s="133">
        <f t="shared" ref="BU153:BU171" si="780">IF($BE153&lt;=R$16,R$17,0)</f>
        <v>0</v>
      </c>
      <c r="BV153" s="133">
        <f t="shared" ref="BV153:BV171" si="781">IF($BE153&lt;=S$16,S$17,0)</f>
        <v>0</v>
      </c>
      <c r="BW153" s="133">
        <f t="shared" ref="BW153:BW171" si="782">IF($BE153&lt;=T$16,T$17,0)</f>
        <v>0</v>
      </c>
      <c r="BX153" s="267"/>
      <c r="BY153" s="267"/>
      <c r="BZ153" s="267"/>
      <c r="CA153" s="267"/>
      <c r="CB153" s="267"/>
      <c r="CC153" s="267"/>
      <c r="CD153" s="267"/>
      <c r="CE153" s="267"/>
      <c r="CF153" s="267"/>
      <c r="CG153" s="267"/>
      <c r="CS153" s="138">
        <v>135</v>
      </c>
      <c r="CT153" s="259">
        <f t="shared" ca="1" si="723"/>
        <v>50293</v>
      </c>
      <c r="CU153" s="179">
        <f t="shared" ref="CU153:DC153" ca="1" si="783">(($AW158/(1+CU$18)^(($AZ158-$AZ$23)/30)))+($AS158/(1+CU$18)^(($AZ158-$AZ$23)/30))</f>
        <v>0</v>
      </c>
      <c r="CV153" s="179">
        <f t="shared" ca="1" si="783"/>
        <v>0</v>
      </c>
      <c r="CW153" s="179">
        <f t="shared" ca="1" si="783"/>
        <v>0</v>
      </c>
      <c r="CX153" s="179">
        <f t="shared" ca="1" si="783"/>
        <v>0</v>
      </c>
      <c r="CY153" s="179">
        <f t="shared" ca="1" si="783"/>
        <v>0</v>
      </c>
      <c r="CZ153" s="179">
        <f t="shared" ca="1" si="783"/>
        <v>0</v>
      </c>
      <c r="DA153" s="179">
        <f t="shared" ca="1" si="783"/>
        <v>0</v>
      </c>
      <c r="DB153" s="179">
        <f t="shared" ca="1" si="783"/>
        <v>0</v>
      </c>
      <c r="DC153" s="179">
        <f t="shared" ca="1" si="783"/>
        <v>0</v>
      </c>
      <c r="DD153" s="179">
        <f t="shared" ref="DD153:DI153" ca="1" si="784">(($AW158/(1+DD$18)^(($AZ158-$AZ$23)/30)))+($AS158/(1+DD$18)^(($AZ158-$AZ$23)/30))</f>
        <v>0</v>
      </c>
      <c r="DE153" s="179">
        <f t="shared" ca="1" si="784"/>
        <v>0</v>
      </c>
      <c r="DF153" s="179" t="e">
        <f t="shared" ca="1" si="784"/>
        <v>#VALUE!</v>
      </c>
      <c r="DG153" s="179" t="e">
        <f t="shared" ca="1" si="784"/>
        <v>#VALUE!</v>
      </c>
      <c r="DH153" s="179" t="e">
        <f t="shared" ca="1" si="784"/>
        <v>#VALUE!</v>
      </c>
      <c r="DI153" s="179" t="e">
        <f t="shared" ca="1" si="784"/>
        <v>#VALUE!</v>
      </c>
      <c r="DJ153" s="179" t="e">
        <f t="shared" ref="DJ153:DQ153" ca="1" si="785">(($AW158/(1+DJ$18)^(($AZ158-$AZ$23)/30)))+($AS158/(1+DJ$18)^(($AZ158-$AZ$23)/30))</f>
        <v>#VALUE!</v>
      </c>
      <c r="DK153" s="179" t="e">
        <f t="shared" ca="1" si="785"/>
        <v>#VALUE!</v>
      </c>
      <c r="DL153" s="179" t="e">
        <f t="shared" ca="1" si="785"/>
        <v>#VALUE!</v>
      </c>
      <c r="DM153" s="179" t="e">
        <f t="shared" ca="1" si="785"/>
        <v>#VALUE!</v>
      </c>
      <c r="DN153" s="179" t="e">
        <f t="shared" ca="1" si="785"/>
        <v>#VALUE!</v>
      </c>
      <c r="DO153" s="179" t="e">
        <f t="shared" ca="1" si="785"/>
        <v>#VALUE!</v>
      </c>
      <c r="DP153" s="179" t="e">
        <f t="shared" ca="1" si="785"/>
        <v>#VALUE!</v>
      </c>
      <c r="DQ153" s="179" t="e">
        <f t="shared" ca="1" si="785"/>
        <v>#VALUE!</v>
      </c>
      <c r="DR153" s="180">
        <f t="shared" si="733"/>
        <v>0</v>
      </c>
      <c r="DS153" s="180">
        <f t="shared" ref="DS153:EF153" si="786">IF($AU158&gt;$BA$19,0,$BA158-$AS158)</f>
        <v>0</v>
      </c>
      <c r="DT153" s="180">
        <f t="shared" si="786"/>
        <v>0</v>
      </c>
      <c r="DU153" s="180">
        <f t="shared" si="786"/>
        <v>0</v>
      </c>
      <c r="DV153" s="180">
        <f t="shared" si="786"/>
        <v>0</v>
      </c>
      <c r="DW153" s="180">
        <f t="shared" si="786"/>
        <v>0</v>
      </c>
      <c r="DX153" s="180">
        <f t="shared" si="786"/>
        <v>0</v>
      </c>
      <c r="DY153" s="180">
        <f t="shared" si="786"/>
        <v>0</v>
      </c>
      <c r="DZ153" s="180">
        <f t="shared" si="786"/>
        <v>0</v>
      </c>
      <c r="EA153" s="180">
        <f t="shared" si="786"/>
        <v>0</v>
      </c>
      <c r="EB153" s="180">
        <f t="shared" si="786"/>
        <v>0</v>
      </c>
      <c r="EC153" s="180">
        <f t="shared" si="786"/>
        <v>0</v>
      </c>
      <c r="ED153" s="180">
        <f t="shared" si="786"/>
        <v>0</v>
      </c>
      <c r="EE153" s="180">
        <f t="shared" si="786"/>
        <v>0</v>
      </c>
      <c r="EF153" s="180">
        <f t="shared" si="786"/>
        <v>0</v>
      </c>
      <c r="EG153" s="180">
        <f t="shared" ref="EG153:EO153" si="787">IF($AU158&gt;$BA$19,0,$BA158-$AS158)</f>
        <v>0</v>
      </c>
      <c r="EH153" s="180">
        <f t="shared" si="787"/>
        <v>0</v>
      </c>
      <c r="EI153" s="180">
        <f t="shared" si="787"/>
        <v>0</v>
      </c>
      <c r="EJ153" s="180">
        <f t="shared" si="787"/>
        <v>0</v>
      </c>
      <c r="EK153" s="180">
        <f t="shared" si="787"/>
        <v>0</v>
      </c>
      <c r="EL153" s="180">
        <f t="shared" si="787"/>
        <v>0</v>
      </c>
      <c r="EM153" s="180">
        <f t="shared" si="787"/>
        <v>0</v>
      </c>
      <c r="EN153" s="180">
        <f t="shared" si="787"/>
        <v>0</v>
      </c>
      <c r="EO153" s="180">
        <f t="shared" si="787"/>
        <v>0</v>
      </c>
      <c r="EQ153" s="259">
        <f t="shared" ca="1" si="736"/>
        <v>50262</v>
      </c>
      <c r="ER153" s="87">
        <f t="shared" ca="1" si="744"/>
        <v>0</v>
      </c>
      <c r="ES153" s="87">
        <f t="shared" ca="1" si="744"/>
        <v>0</v>
      </c>
      <c r="ET153" s="87">
        <f t="shared" ca="1" si="744"/>
        <v>0</v>
      </c>
      <c r="EU153" s="87">
        <f t="shared" ca="1" si="744"/>
        <v>0</v>
      </c>
      <c r="EV153" s="87">
        <f t="shared" ca="1" si="744"/>
        <v>0</v>
      </c>
      <c r="EW153" s="87">
        <f t="shared" ca="1" si="744"/>
        <v>0</v>
      </c>
      <c r="EX153" s="87">
        <f t="shared" ca="1" si="744"/>
        <v>0</v>
      </c>
      <c r="EY153" s="87">
        <f t="shared" ca="1" si="744"/>
        <v>0</v>
      </c>
      <c r="EZ153" s="87">
        <f t="shared" ca="1" si="744"/>
        <v>0</v>
      </c>
      <c r="FA153" s="87">
        <f t="shared" ca="1" si="744"/>
        <v>0</v>
      </c>
      <c r="FB153" s="87">
        <f t="shared" ca="1" si="744"/>
        <v>0</v>
      </c>
      <c r="FC153" s="87">
        <f t="shared" ca="1" si="744"/>
        <v>0</v>
      </c>
      <c r="FD153" s="87">
        <f t="shared" ca="1" si="744"/>
        <v>0</v>
      </c>
      <c r="FE153" s="87">
        <f t="shared" ca="1" si="744"/>
        <v>0</v>
      </c>
      <c r="FF153" s="87">
        <f t="shared" ca="1" si="744"/>
        <v>0</v>
      </c>
      <c r="FG153" s="87">
        <f t="shared" ca="1" si="729"/>
        <v>0</v>
      </c>
      <c r="FH153" s="87">
        <f t="shared" ca="1" si="729"/>
        <v>0</v>
      </c>
      <c r="FI153" s="87">
        <f t="shared" ca="1" si="729"/>
        <v>0</v>
      </c>
      <c r="FJ153" s="87">
        <f t="shared" ca="1" si="729"/>
        <v>0</v>
      </c>
      <c r="FK153" s="87">
        <f t="shared" ca="1" si="729"/>
        <v>0</v>
      </c>
      <c r="FL153" s="87">
        <f t="shared" ca="1" si="729"/>
        <v>0</v>
      </c>
      <c r="FM153" s="87">
        <f t="shared" ca="1" si="729"/>
        <v>0</v>
      </c>
      <c r="FN153" s="87">
        <f t="shared" ca="1" si="729"/>
        <v>0</v>
      </c>
      <c r="FO153" s="87">
        <f t="shared" ca="1" si="729"/>
        <v>0</v>
      </c>
      <c r="FP153" s="87">
        <f t="shared" ca="1" si="729"/>
        <v>0</v>
      </c>
    </row>
    <row r="154" spans="2:172" ht="12.75" hidden="1" customHeight="1" x14ac:dyDescent="0.25">
      <c r="B154" s="87">
        <v>96</v>
      </c>
      <c r="C154" s="181">
        <f t="shared" ref="C154:C185" ca="1" si="788">AR119</f>
        <v>49074</v>
      </c>
      <c r="D154" s="380">
        <f t="shared" si="737"/>
        <v>0</v>
      </c>
      <c r="E154" s="380">
        <f t="shared" si="737"/>
        <v>0</v>
      </c>
      <c r="F154" s="380">
        <f t="shared" si="737"/>
        <v>0</v>
      </c>
      <c r="G154" s="380">
        <f t="shared" si="737"/>
        <v>0</v>
      </c>
      <c r="H154" s="380">
        <f t="shared" si="737"/>
        <v>0</v>
      </c>
      <c r="I154" s="380">
        <f t="shared" si="737"/>
        <v>0</v>
      </c>
      <c r="J154" s="380">
        <f t="shared" si="737"/>
        <v>0</v>
      </c>
      <c r="K154" s="380">
        <f t="shared" si="737"/>
        <v>0</v>
      </c>
      <c r="L154" s="380">
        <f t="shared" si="737"/>
        <v>0</v>
      </c>
      <c r="M154" s="380">
        <f t="shared" si="737"/>
        <v>0</v>
      </c>
      <c r="N154" s="380">
        <f t="shared" si="738"/>
        <v>0</v>
      </c>
      <c r="O154" s="380">
        <f t="shared" si="738"/>
        <v>0</v>
      </c>
      <c r="P154" s="380">
        <f t="shared" si="738"/>
        <v>0</v>
      </c>
      <c r="Q154" s="380">
        <f t="shared" si="738"/>
        <v>0</v>
      </c>
      <c r="R154" s="380">
        <f t="shared" si="738"/>
        <v>0</v>
      </c>
      <c r="S154" s="380">
        <f t="shared" si="738"/>
        <v>0</v>
      </c>
      <c r="T154" s="380">
        <f t="shared" si="738"/>
        <v>0</v>
      </c>
      <c r="U154" s="175"/>
      <c r="X154" s="87">
        <v>139</v>
      </c>
      <c r="Y154" s="377">
        <f t="shared" si="698"/>
        <v>0</v>
      </c>
      <c r="Z154" s="377">
        <f t="shared" si="699"/>
        <v>0</v>
      </c>
      <c r="AA154" s="377">
        <f t="shared" si="700"/>
        <v>0</v>
      </c>
      <c r="AB154" s="377">
        <f t="shared" si="701"/>
        <v>0</v>
      </c>
      <c r="AC154" s="377">
        <f t="shared" si="702"/>
        <v>0</v>
      </c>
      <c r="AD154" s="377">
        <f t="shared" si="703"/>
        <v>0</v>
      </c>
      <c r="AE154" s="377">
        <f t="shared" si="704"/>
        <v>0</v>
      </c>
      <c r="AF154" s="377">
        <f t="shared" si="705"/>
        <v>0</v>
      </c>
      <c r="AG154" s="377">
        <f t="shared" si="706"/>
        <v>0</v>
      </c>
      <c r="AH154" s="377">
        <f t="shared" si="707"/>
        <v>0</v>
      </c>
      <c r="AI154" s="377">
        <f t="shared" si="708"/>
        <v>0</v>
      </c>
      <c r="AJ154" s="377">
        <f t="shared" si="709"/>
        <v>0</v>
      </c>
      <c r="AK154" s="377">
        <f t="shared" si="710"/>
        <v>0</v>
      </c>
      <c r="AL154" s="377">
        <f t="shared" si="711"/>
        <v>0</v>
      </c>
      <c r="AM154" s="377">
        <f t="shared" si="712"/>
        <v>0</v>
      </c>
      <c r="AN154" s="377">
        <f t="shared" si="713"/>
        <v>0</v>
      </c>
      <c r="AO154" s="377">
        <f t="shared" si="714"/>
        <v>0</v>
      </c>
      <c r="AQ154" s="138">
        <v>131</v>
      </c>
      <c r="AR154" s="258">
        <f t="shared" ca="1" si="528"/>
        <v>50140</v>
      </c>
      <c r="AS154" s="378">
        <f t="shared" si="762"/>
        <v>0</v>
      </c>
      <c r="AU154" s="138">
        <v>131</v>
      </c>
      <c r="AV154" s="258">
        <f t="shared" ca="1" si="529"/>
        <v>50170</v>
      </c>
      <c r="AW154" s="378">
        <f t="shared" si="763"/>
        <v>0</v>
      </c>
      <c r="AX154" s="202">
        <f t="shared" ca="1" si="764"/>
        <v>0</v>
      </c>
      <c r="AY154" s="138">
        <v>131</v>
      </c>
      <c r="AZ154" s="258">
        <f t="shared" ca="1" si="530"/>
        <v>50170</v>
      </c>
      <c r="BA154" s="378">
        <f t="shared" si="765"/>
        <v>0</v>
      </c>
      <c r="BC154" s="258">
        <f t="shared" ca="1" si="591"/>
        <v>50140</v>
      </c>
      <c r="BD154" s="302">
        <f t="shared" ca="1" si="592"/>
        <v>0</v>
      </c>
      <c r="BE154" s="133">
        <f t="shared" si="755"/>
        <v>131</v>
      </c>
      <c r="BF154" s="379">
        <f t="shared" ca="1" si="756"/>
        <v>50140</v>
      </c>
      <c r="BG154" s="133">
        <f t="shared" si="766"/>
        <v>0</v>
      </c>
      <c r="BH154" s="133">
        <f t="shared" si="767"/>
        <v>0</v>
      </c>
      <c r="BI154" s="133">
        <f t="shared" si="768"/>
        <v>0</v>
      </c>
      <c r="BJ154" s="133">
        <f t="shared" si="769"/>
        <v>0</v>
      </c>
      <c r="BK154" s="133">
        <f t="shared" si="770"/>
        <v>0</v>
      </c>
      <c r="BL154" s="133">
        <f t="shared" si="771"/>
        <v>0</v>
      </c>
      <c r="BM154" s="133">
        <f t="shared" si="772"/>
        <v>0</v>
      </c>
      <c r="BN154" s="133">
        <f t="shared" si="773"/>
        <v>0</v>
      </c>
      <c r="BO154" s="133">
        <f t="shared" si="774"/>
        <v>0</v>
      </c>
      <c r="BP154" s="133">
        <f t="shared" si="775"/>
        <v>0</v>
      </c>
      <c r="BQ154" s="133">
        <f t="shared" si="776"/>
        <v>0</v>
      </c>
      <c r="BR154" s="133">
        <f t="shared" si="777"/>
        <v>0</v>
      </c>
      <c r="BS154" s="133">
        <f t="shared" si="778"/>
        <v>0</v>
      </c>
      <c r="BT154" s="133">
        <f t="shared" si="779"/>
        <v>0</v>
      </c>
      <c r="BU154" s="133">
        <f t="shared" si="780"/>
        <v>0</v>
      </c>
      <c r="BV154" s="133">
        <f t="shared" si="781"/>
        <v>0</v>
      </c>
      <c r="BW154" s="133">
        <f t="shared" si="782"/>
        <v>0</v>
      </c>
      <c r="BX154" s="267"/>
      <c r="BY154" s="267"/>
      <c r="BZ154" s="267"/>
      <c r="CA154" s="267"/>
      <c r="CB154" s="267"/>
      <c r="CC154" s="267"/>
      <c r="CD154" s="267"/>
      <c r="CE154" s="267"/>
      <c r="CF154" s="267"/>
      <c r="CG154" s="267"/>
      <c r="CS154" s="87">
        <v>136</v>
      </c>
      <c r="CT154" s="259">
        <f t="shared" ca="1" si="723"/>
        <v>50323</v>
      </c>
      <c r="CU154" s="179">
        <f t="shared" ref="CU154:DC154" ca="1" si="789">(($AW159/(1+CU$18)^(($AZ159-$AZ$23)/30)))+($AS159/(1+CU$18)^(($AZ159-$AZ$23)/30))</f>
        <v>0</v>
      </c>
      <c r="CV154" s="179">
        <f t="shared" ca="1" si="789"/>
        <v>0</v>
      </c>
      <c r="CW154" s="179">
        <f t="shared" ca="1" si="789"/>
        <v>0</v>
      </c>
      <c r="CX154" s="179">
        <f t="shared" ca="1" si="789"/>
        <v>0</v>
      </c>
      <c r="CY154" s="179">
        <f t="shared" ca="1" si="789"/>
        <v>0</v>
      </c>
      <c r="CZ154" s="179">
        <f t="shared" ca="1" si="789"/>
        <v>0</v>
      </c>
      <c r="DA154" s="179">
        <f t="shared" ca="1" si="789"/>
        <v>0</v>
      </c>
      <c r="DB154" s="179">
        <f t="shared" ca="1" si="789"/>
        <v>0</v>
      </c>
      <c r="DC154" s="179">
        <f t="shared" ca="1" si="789"/>
        <v>0</v>
      </c>
      <c r="DD154" s="179">
        <f t="shared" ref="DD154:DI154" ca="1" si="790">(($AW159/(1+DD$18)^(($AZ159-$AZ$23)/30)))+($AS159/(1+DD$18)^(($AZ159-$AZ$23)/30))</f>
        <v>0</v>
      </c>
      <c r="DE154" s="179">
        <f t="shared" ca="1" si="790"/>
        <v>0</v>
      </c>
      <c r="DF154" s="179" t="e">
        <f t="shared" ca="1" si="790"/>
        <v>#VALUE!</v>
      </c>
      <c r="DG154" s="179" t="e">
        <f t="shared" ca="1" si="790"/>
        <v>#VALUE!</v>
      </c>
      <c r="DH154" s="179" t="e">
        <f t="shared" ca="1" si="790"/>
        <v>#VALUE!</v>
      </c>
      <c r="DI154" s="179" t="e">
        <f t="shared" ca="1" si="790"/>
        <v>#VALUE!</v>
      </c>
      <c r="DJ154" s="179" t="e">
        <f t="shared" ref="DJ154:DQ154" ca="1" si="791">(($AW159/(1+DJ$18)^(($AZ159-$AZ$23)/30)))+($AS159/(1+DJ$18)^(($AZ159-$AZ$23)/30))</f>
        <v>#VALUE!</v>
      </c>
      <c r="DK154" s="179" t="e">
        <f t="shared" ca="1" si="791"/>
        <v>#VALUE!</v>
      </c>
      <c r="DL154" s="179" t="e">
        <f t="shared" ca="1" si="791"/>
        <v>#VALUE!</v>
      </c>
      <c r="DM154" s="179" t="e">
        <f t="shared" ca="1" si="791"/>
        <v>#VALUE!</v>
      </c>
      <c r="DN154" s="179" t="e">
        <f t="shared" ca="1" si="791"/>
        <v>#VALUE!</v>
      </c>
      <c r="DO154" s="179" t="e">
        <f t="shared" ca="1" si="791"/>
        <v>#VALUE!</v>
      </c>
      <c r="DP154" s="179" t="e">
        <f t="shared" ca="1" si="791"/>
        <v>#VALUE!</v>
      </c>
      <c r="DQ154" s="179" t="e">
        <f t="shared" ca="1" si="791"/>
        <v>#VALUE!</v>
      </c>
      <c r="DR154" s="180">
        <f t="shared" si="733"/>
        <v>0</v>
      </c>
      <c r="DS154" s="180">
        <f t="shared" ref="DS154:EF154" si="792">IF($AU159&gt;$BA$19,0,$BA159-$AS159)</f>
        <v>0</v>
      </c>
      <c r="DT154" s="180">
        <f t="shared" si="792"/>
        <v>0</v>
      </c>
      <c r="DU154" s="180">
        <f t="shared" si="792"/>
        <v>0</v>
      </c>
      <c r="DV154" s="180">
        <f t="shared" si="792"/>
        <v>0</v>
      </c>
      <c r="DW154" s="180">
        <f t="shared" si="792"/>
        <v>0</v>
      </c>
      <c r="DX154" s="180">
        <f t="shared" si="792"/>
        <v>0</v>
      </c>
      <c r="DY154" s="180">
        <f t="shared" si="792"/>
        <v>0</v>
      </c>
      <c r="DZ154" s="180">
        <f t="shared" si="792"/>
        <v>0</v>
      </c>
      <c r="EA154" s="180">
        <f t="shared" si="792"/>
        <v>0</v>
      </c>
      <c r="EB154" s="180">
        <f t="shared" si="792"/>
        <v>0</v>
      </c>
      <c r="EC154" s="180">
        <f t="shared" si="792"/>
        <v>0</v>
      </c>
      <c r="ED154" s="180">
        <f t="shared" si="792"/>
        <v>0</v>
      </c>
      <c r="EE154" s="180">
        <f t="shared" si="792"/>
        <v>0</v>
      </c>
      <c r="EF154" s="180">
        <f t="shared" si="792"/>
        <v>0</v>
      </c>
      <c r="EG154" s="180">
        <f t="shared" ref="EG154:EO154" si="793">IF($AU159&gt;$BA$19,0,$BA159-$AS159)</f>
        <v>0</v>
      </c>
      <c r="EH154" s="180">
        <f t="shared" si="793"/>
        <v>0</v>
      </c>
      <c r="EI154" s="180">
        <f t="shared" si="793"/>
        <v>0</v>
      </c>
      <c r="EJ154" s="180">
        <f t="shared" si="793"/>
        <v>0</v>
      </c>
      <c r="EK154" s="180">
        <f t="shared" si="793"/>
        <v>0</v>
      </c>
      <c r="EL154" s="180">
        <f t="shared" si="793"/>
        <v>0</v>
      </c>
      <c r="EM154" s="180">
        <f t="shared" si="793"/>
        <v>0</v>
      </c>
      <c r="EN154" s="180">
        <f t="shared" si="793"/>
        <v>0</v>
      </c>
      <c r="EO154" s="180">
        <f t="shared" si="793"/>
        <v>0</v>
      </c>
      <c r="EQ154" s="259">
        <f t="shared" ca="1" si="736"/>
        <v>50293</v>
      </c>
      <c r="ER154" s="87">
        <f t="shared" ca="1" si="744"/>
        <v>0</v>
      </c>
      <c r="ES154" s="87">
        <f t="shared" ca="1" si="744"/>
        <v>0</v>
      </c>
      <c r="ET154" s="87">
        <f t="shared" ca="1" si="744"/>
        <v>0</v>
      </c>
      <c r="EU154" s="87">
        <f t="shared" ca="1" si="744"/>
        <v>0</v>
      </c>
      <c r="EV154" s="87">
        <f t="shared" ca="1" si="744"/>
        <v>0</v>
      </c>
      <c r="EW154" s="87">
        <f t="shared" ca="1" si="744"/>
        <v>0</v>
      </c>
      <c r="EX154" s="87">
        <f t="shared" ca="1" si="744"/>
        <v>0</v>
      </c>
      <c r="EY154" s="87">
        <f t="shared" ca="1" si="744"/>
        <v>0</v>
      </c>
      <c r="EZ154" s="87">
        <f t="shared" ca="1" si="744"/>
        <v>0</v>
      </c>
      <c r="FA154" s="87">
        <f t="shared" ca="1" si="744"/>
        <v>0</v>
      </c>
      <c r="FB154" s="87">
        <f t="shared" ca="1" si="744"/>
        <v>0</v>
      </c>
      <c r="FC154" s="87">
        <f t="shared" ca="1" si="744"/>
        <v>0</v>
      </c>
      <c r="FD154" s="87">
        <f t="shared" ca="1" si="744"/>
        <v>0</v>
      </c>
      <c r="FE154" s="87">
        <f t="shared" ca="1" si="744"/>
        <v>0</v>
      </c>
      <c r="FF154" s="87">
        <f t="shared" ca="1" si="744"/>
        <v>0</v>
      </c>
      <c r="FG154" s="87">
        <f t="shared" ca="1" si="729"/>
        <v>0</v>
      </c>
      <c r="FH154" s="87">
        <f t="shared" ca="1" si="729"/>
        <v>0</v>
      </c>
      <c r="FI154" s="87">
        <f t="shared" ca="1" si="729"/>
        <v>0</v>
      </c>
      <c r="FJ154" s="87">
        <f t="shared" ca="1" si="729"/>
        <v>0</v>
      </c>
      <c r="FK154" s="87">
        <f t="shared" ca="1" si="729"/>
        <v>0</v>
      </c>
      <c r="FL154" s="87">
        <f t="shared" ca="1" si="729"/>
        <v>0</v>
      </c>
      <c r="FM154" s="87">
        <f t="shared" ca="1" si="729"/>
        <v>0</v>
      </c>
      <c r="FN154" s="87">
        <f t="shared" ca="1" si="729"/>
        <v>0</v>
      </c>
      <c r="FO154" s="87">
        <f t="shared" ca="1" si="729"/>
        <v>0</v>
      </c>
      <c r="FP154" s="87">
        <f t="shared" ca="1" si="729"/>
        <v>0</v>
      </c>
    </row>
    <row r="155" spans="2:172" ht="12.75" hidden="1" customHeight="1" x14ac:dyDescent="0.25">
      <c r="B155" s="87">
        <v>97</v>
      </c>
      <c r="C155" s="181">
        <f t="shared" ca="1" si="788"/>
        <v>49105</v>
      </c>
      <c r="D155" s="380">
        <f t="shared" si="737"/>
        <v>0</v>
      </c>
      <c r="E155" s="380">
        <f t="shared" si="737"/>
        <v>0</v>
      </c>
      <c r="F155" s="380">
        <f t="shared" si="737"/>
        <v>0</v>
      </c>
      <c r="G155" s="380">
        <f t="shared" si="737"/>
        <v>0</v>
      </c>
      <c r="H155" s="380">
        <f t="shared" si="737"/>
        <v>0</v>
      </c>
      <c r="I155" s="380">
        <f t="shared" si="737"/>
        <v>0</v>
      </c>
      <c r="J155" s="380">
        <f t="shared" si="737"/>
        <v>0</v>
      </c>
      <c r="K155" s="380">
        <f t="shared" si="737"/>
        <v>0</v>
      </c>
      <c r="L155" s="380">
        <f t="shared" si="737"/>
        <v>0</v>
      </c>
      <c r="M155" s="380">
        <f t="shared" si="737"/>
        <v>0</v>
      </c>
      <c r="N155" s="380">
        <f t="shared" si="738"/>
        <v>0</v>
      </c>
      <c r="O155" s="380">
        <f t="shared" si="738"/>
        <v>0</v>
      </c>
      <c r="P155" s="380">
        <f t="shared" si="738"/>
        <v>0</v>
      </c>
      <c r="Q155" s="380">
        <f t="shared" si="738"/>
        <v>0</v>
      </c>
      <c r="R155" s="380">
        <f t="shared" si="738"/>
        <v>0</v>
      </c>
      <c r="S155" s="380">
        <f t="shared" si="738"/>
        <v>0</v>
      </c>
      <c r="T155" s="380">
        <f t="shared" si="738"/>
        <v>0</v>
      </c>
      <c r="U155" s="175"/>
      <c r="X155" s="87">
        <v>140</v>
      </c>
      <c r="Y155" s="377">
        <f t="shared" si="698"/>
        <v>0</v>
      </c>
      <c r="Z155" s="377">
        <f t="shared" si="699"/>
        <v>0</v>
      </c>
      <c r="AA155" s="377">
        <f t="shared" si="700"/>
        <v>0</v>
      </c>
      <c r="AB155" s="377">
        <f t="shared" si="701"/>
        <v>0</v>
      </c>
      <c r="AC155" s="377">
        <f t="shared" si="702"/>
        <v>0</v>
      </c>
      <c r="AD155" s="377">
        <f t="shared" si="703"/>
        <v>0</v>
      </c>
      <c r="AE155" s="377">
        <f t="shared" si="704"/>
        <v>0</v>
      </c>
      <c r="AF155" s="377">
        <f t="shared" si="705"/>
        <v>0</v>
      </c>
      <c r="AG155" s="377">
        <f t="shared" si="706"/>
        <v>0</v>
      </c>
      <c r="AH155" s="377">
        <f t="shared" si="707"/>
        <v>0</v>
      </c>
      <c r="AI155" s="377">
        <f t="shared" si="708"/>
        <v>0</v>
      </c>
      <c r="AJ155" s="377">
        <f t="shared" si="709"/>
        <v>0</v>
      </c>
      <c r="AK155" s="377">
        <f t="shared" si="710"/>
        <v>0</v>
      </c>
      <c r="AL155" s="377">
        <f t="shared" si="711"/>
        <v>0</v>
      </c>
      <c r="AM155" s="377">
        <f t="shared" si="712"/>
        <v>0</v>
      </c>
      <c r="AN155" s="377">
        <f t="shared" si="713"/>
        <v>0</v>
      </c>
      <c r="AO155" s="377">
        <f t="shared" si="714"/>
        <v>0</v>
      </c>
      <c r="AQ155" s="138">
        <v>132</v>
      </c>
      <c r="AR155" s="258">
        <f t="shared" ca="1" si="528"/>
        <v>50170</v>
      </c>
      <c r="AS155" s="378">
        <f t="shared" si="762"/>
        <v>0</v>
      </c>
      <c r="AU155" s="138">
        <v>132</v>
      </c>
      <c r="AV155" s="258">
        <f t="shared" ca="1" si="529"/>
        <v>50201</v>
      </c>
      <c r="AW155" s="378">
        <f t="shared" si="763"/>
        <v>0</v>
      </c>
      <c r="AX155" s="202">
        <f t="shared" ca="1" si="764"/>
        <v>0</v>
      </c>
      <c r="AY155" s="138">
        <v>132</v>
      </c>
      <c r="AZ155" s="258">
        <f t="shared" ca="1" si="530"/>
        <v>50201</v>
      </c>
      <c r="BA155" s="378">
        <f t="shared" si="765"/>
        <v>0</v>
      </c>
      <c r="BC155" s="258">
        <f t="shared" ca="1" si="591"/>
        <v>50170</v>
      </c>
      <c r="BD155" s="302">
        <f t="shared" ca="1" si="592"/>
        <v>0</v>
      </c>
      <c r="BE155" s="133">
        <f t="shared" si="755"/>
        <v>132</v>
      </c>
      <c r="BF155" s="379">
        <f t="shared" ca="1" si="756"/>
        <v>50170</v>
      </c>
      <c r="BG155" s="133">
        <f t="shared" si="766"/>
        <v>0</v>
      </c>
      <c r="BH155" s="133">
        <f t="shared" si="767"/>
        <v>0</v>
      </c>
      <c r="BI155" s="133">
        <f t="shared" si="768"/>
        <v>0</v>
      </c>
      <c r="BJ155" s="133">
        <f t="shared" si="769"/>
        <v>0</v>
      </c>
      <c r="BK155" s="133">
        <f t="shared" si="770"/>
        <v>0</v>
      </c>
      <c r="BL155" s="133">
        <f t="shared" si="771"/>
        <v>0</v>
      </c>
      <c r="BM155" s="133">
        <f t="shared" si="772"/>
        <v>0</v>
      </c>
      <c r="BN155" s="133">
        <f t="shared" si="773"/>
        <v>0</v>
      </c>
      <c r="BO155" s="133">
        <f t="shared" si="774"/>
        <v>0</v>
      </c>
      <c r="BP155" s="133">
        <f t="shared" si="775"/>
        <v>0</v>
      </c>
      <c r="BQ155" s="133">
        <f t="shared" si="776"/>
        <v>0</v>
      </c>
      <c r="BR155" s="133">
        <f t="shared" si="777"/>
        <v>0</v>
      </c>
      <c r="BS155" s="133">
        <f t="shared" si="778"/>
        <v>0</v>
      </c>
      <c r="BT155" s="133">
        <f t="shared" si="779"/>
        <v>0</v>
      </c>
      <c r="BU155" s="133">
        <f t="shared" si="780"/>
        <v>0</v>
      </c>
      <c r="BV155" s="133">
        <f t="shared" si="781"/>
        <v>0</v>
      </c>
      <c r="BW155" s="133">
        <f t="shared" si="782"/>
        <v>0</v>
      </c>
      <c r="BX155" s="267"/>
      <c r="BY155" s="267"/>
      <c r="BZ155" s="267"/>
      <c r="CA155" s="267"/>
      <c r="CB155" s="267"/>
      <c r="CC155" s="267"/>
      <c r="CD155" s="267"/>
      <c r="CE155" s="267"/>
      <c r="CF155" s="267"/>
      <c r="CG155" s="267"/>
      <c r="CS155" s="178">
        <v>137</v>
      </c>
      <c r="CT155" s="259">
        <f t="shared" ca="1" si="723"/>
        <v>50354</v>
      </c>
      <c r="CU155" s="179">
        <f t="shared" ref="CU155:DC155" ca="1" si="794">(($AW160/(1+CU$18)^(($AZ160-$AZ$23)/30)))+($AS160/(1+CU$18)^(($AZ160-$AZ$23)/30))</f>
        <v>0</v>
      </c>
      <c r="CV155" s="179">
        <f t="shared" ca="1" si="794"/>
        <v>0</v>
      </c>
      <c r="CW155" s="179">
        <f t="shared" ca="1" si="794"/>
        <v>0</v>
      </c>
      <c r="CX155" s="179">
        <f t="shared" ca="1" si="794"/>
        <v>0</v>
      </c>
      <c r="CY155" s="179">
        <f t="shared" ca="1" si="794"/>
        <v>0</v>
      </c>
      <c r="CZ155" s="179">
        <f t="shared" ca="1" si="794"/>
        <v>0</v>
      </c>
      <c r="DA155" s="179">
        <f t="shared" ca="1" si="794"/>
        <v>0</v>
      </c>
      <c r="DB155" s="179">
        <f t="shared" ca="1" si="794"/>
        <v>0</v>
      </c>
      <c r="DC155" s="179">
        <f t="shared" ca="1" si="794"/>
        <v>0</v>
      </c>
      <c r="DD155" s="179">
        <f t="shared" ref="DD155:DI155" ca="1" si="795">(($AW160/(1+DD$18)^(($AZ160-$AZ$23)/30)))+($AS160/(1+DD$18)^(($AZ160-$AZ$23)/30))</f>
        <v>0</v>
      </c>
      <c r="DE155" s="179">
        <f t="shared" ca="1" si="795"/>
        <v>0</v>
      </c>
      <c r="DF155" s="179" t="e">
        <f t="shared" ca="1" si="795"/>
        <v>#VALUE!</v>
      </c>
      <c r="DG155" s="179" t="e">
        <f t="shared" ca="1" si="795"/>
        <v>#VALUE!</v>
      </c>
      <c r="DH155" s="179" t="e">
        <f t="shared" ca="1" si="795"/>
        <v>#VALUE!</v>
      </c>
      <c r="DI155" s="179" t="e">
        <f t="shared" ca="1" si="795"/>
        <v>#VALUE!</v>
      </c>
      <c r="DJ155" s="179" t="e">
        <f t="shared" ref="DJ155:DQ155" ca="1" si="796">(($AW160/(1+DJ$18)^(($AZ160-$AZ$23)/30)))+($AS160/(1+DJ$18)^(($AZ160-$AZ$23)/30))</f>
        <v>#VALUE!</v>
      </c>
      <c r="DK155" s="179" t="e">
        <f t="shared" ca="1" si="796"/>
        <v>#VALUE!</v>
      </c>
      <c r="DL155" s="179" t="e">
        <f t="shared" ca="1" si="796"/>
        <v>#VALUE!</v>
      </c>
      <c r="DM155" s="179" t="e">
        <f t="shared" ca="1" si="796"/>
        <v>#VALUE!</v>
      </c>
      <c r="DN155" s="179" t="e">
        <f t="shared" ca="1" si="796"/>
        <v>#VALUE!</v>
      </c>
      <c r="DO155" s="179" t="e">
        <f t="shared" ca="1" si="796"/>
        <v>#VALUE!</v>
      </c>
      <c r="DP155" s="179" t="e">
        <f t="shared" ca="1" si="796"/>
        <v>#VALUE!</v>
      </c>
      <c r="DQ155" s="179" t="e">
        <f t="shared" ca="1" si="796"/>
        <v>#VALUE!</v>
      </c>
      <c r="DR155" s="180">
        <f t="shared" si="733"/>
        <v>0</v>
      </c>
      <c r="DS155" s="180">
        <f t="shared" ref="DS155:EF155" si="797">IF($AU160&gt;$BA$19,0,$BA160-$AS160)</f>
        <v>0</v>
      </c>
      <c r="DT155" s="180">
        <f t="shared" si="797"/>
        <v>0</v>
      </c>
      <c r="DU155" s="180">
        <f t="shared" si="797"/>
        <v>0</v>
      </c>
      <c r="DV155" s="180">
        <f t="shared" si="797"/>
        <v>0</v>
      </c>
      <c r="DW155" s="180">
        <f t="shared" si="797"/>
        <v>0</v>
      </c>
      <c r="DX155" s="180">
        <f t="shared" si="797"/>
        <v>0</v>
      </c>
      <c r="DY155" s="180">
        <f t="shared" si="797"/>
        <v>0</v>
      </c>
      <c r="DZ155" s="180">
        <f t="shared" si="797"/>
        <v>0</v>
      </c>
      <c r="EA155" s="180">
        <f t="shared" si="797"/>
        <v>0</v>
      </c>
      <c r="EB155" s="180">
        <f t="shared" si="797"/>
        <v>0</v>
      </c>
      <c r="EC155" s="180">
        <f t="shared" si="797"/>
        <v>0</v>
      </c>
      <c r="ED155" s="180">
        <f t="shared" si="797"/>
        <v>0</v>
      </c>
      <c r="EE155" s="180">
        <f t="shared" si="797"/>
        <v>0</v>
      </c>
      <c r="EF155" s="180">
        <f t="shared" si="797"/>
        <v>0</v>
      </c>
      <c r="EG155" s="180">
        <f t="shared" ref="EG155:EO155" si="798">IF($AU160&gt;$BA$19,0,$BA160-$AS160)</f>
        <v>0</v>
      </c>
      <c r="EH155" s="180">
        <f t="shared" si="798"/>
        <v>0</v>
      </c>
      <c r="EI155" s="180">
        <f t="shared" si="798"/>
        <v>0</v>
      </c>
      <c r="EJ155" s="180">
        <f t="shared" si="798"/>
        <v>0</v>
      </c>
      <c r="EK155" s="180">
        <f t="shared" si="798"/>
        <v>0</v>
      </c>
      <c r="EL155" s="180">
        <f t="shared" si="798"/>
        <v>0</v>
      </c>
      <c r="EM155" s="180">
        <f t="shared" si="798"/>
        <v>0</v>
      </c>
      <c r="EN155" s="180">
        <f t="shared" si="798"/>
        <v>0</v>
      </c>
      <c r="EO155" s="180">
        <f t="shared" si="798"/>
        <v>0</v>
      </c>
      <c r="EQ155" s="259">
        <f t="shared" ca="1" si="736"/>
        <v>50323</v>
      </c>
      <c r="ER155" s="87">
        <f t="shared" ca="1" si="744"/>
        <v>0</v>
      </c>
      <c r="ES155" s="87">
        <f t="shared" ca="1" si="744"/>
        <v>0</v>
      </c>
      <c r="ET155" s="87">
        <f t="shared" ca="1" si="744"/>
        <v>0</v>
      </c>
      <c r="EU155" s="87">
        <f t="shared" ca="1" si="744"/>
        <v>0</v>
      </c>
      <c r="EV155" s="87">
        <f t="shared" ca="1" si="744"/>
        <v>0</v>
      </c>
      <c r="EW155" s="87">
        <f t="shared" ca="1" si="744"/>
        <v>0</v>
      </c>
      <c r="EX155" s="87">
        <f t="shared" ca="1" si="744"/>
        <v>0</v>
      </c>
      <c r="EY155" s="87">
        <f t="shared" ca="1" si="744"/>
        <v>0</v>
      </c>
      <c r="EZ155" s="87">
        <f t="shared" ca="1" si="744"/>
        <v>0</v>
      </c>
      <c r="FA155" s="87">
        <f t="shared" ca="1" si="744"/>
        <v>0</v>
      </c>
      <c r="FB155" s="87">
        <f t="shared" ca="1" si="744"/>
        <v>0</v>
      </c>
      <c r="FC155" s="87">
        <f t="shared" ca="1" si="744"/>
        <v>0</v>
      </c>
      <c r="FD155" s="87">
        <f t="shared" ca="1" si="744"/>
        <v>0</v>
      </c>
      <c r="FE155" s="87">
        <f t="shared" ca="1" si="744"/>
        <v>0</v>
      </c>
      <c r="FF155" s="87">
        <f t="shared" ca="1" si="744"/>
        <v>0</v>
      </c>
      <c r="FG155" s="87">
        <f t="shared" ca="1" si="729"/>
        <v>0</v>
      </c>
      <c r="FH155" s="87">
        <f t="shared" ca="1" si="729"/>
        <v>0</v>
      </c>
      <c r="FI155" s="87">
        <f t="shared" ca="1" si="729"/>
        <v>0</v>
      </c>
      <c r="FJ155" s="87">
        <f t="shared" ca="1" si="729"/>
        <v>0</v>
      </c>
      <c r="FK155" s="87">
        <f t="shared" ca="1" si="729"/>
        <v>0</v>
      </c>
      <c r="FL155" s="87">
        <f t="shared" ca="1" si="729"/>
        <v>0</v>
      </c>
      <c r="FM155" s="87">
        <f t="shared" ca="1" si="729"/>
        <v>0</v>
      </c>
      <c r="FN155" s="87">
        <f t="shared" ca="1" si="729"/>
        <v>0</v>
      </c>
      <c r="FO155" s="87">
        <f t="shared" ca="1" si="729"/>
        <v>0</v>
      </c>
      <c r="FP155" s="87">
        <f t="shared" ca="1" si="729"/>
        <v>0</v>
      </c>
    </row>
    <row r="156" spans="2:172" ht="12.75" hidden="1" customHeight="1" x14ac:dyDescent="0.25">
      <c r="B156" s="87">
        <v>98</v>
      </c>
      <c r="C156" s="181">
        <f t="shared" ca="1" si="788"/>
        <v>49135</v>
      </c>
      <c r="D156" s="380">
        <f t="shared" si="737"/>
        <v>0</v>
      </c>
      <c r="E156" s="380">
        <f t="shared" si="737"/>
        <v>0</v>
      </c>
      <c r="F156" s="380">
        <f t="shared" si="737"/>
        <v>0</v>
      </c>
      <c r="G156" s="380">
        <f t="shared" si="737"/>
        <v>0</v>
      </c>
      <c r="H156" s="380">
        <f t="shared" si="737"/>
        <v>0</v>
      </c>
      <c r="I156" s="380">
        <f t="shared" si="737"/>
        <v>0</v>
      </c>
      <c r="J156" s="380">
        <f t="shared" si="737"/>
        <v>0</v>
      </c>
      <c r="K156" s="380">
        <f t="shared" si="737"/>
        <v>0</v>
      </c>
      <c r="L156" s="380">
        <f t="shared" si="737"/>
        <v>0</v>
      </c>
      <c r="M156" s="380">
        <f t="shared" si="737"/>
        <v>0</v>
      </c>
      <c r="N156" s="380">
        <f t="shared" si="738"/>
        <v>0</v>
      </c>
      <c r="O156" s="380">
        <f t="shared" si="738"/>
        <v>0</v>
      </c>
      <c r="P156" s="380">
        <f t="shared" si="738"/>
        <v>0</v>
      </c>
      <c r="Q156" s="380">
        <f t="shared" si="738"/>
        <v>0</v>
      </c>
      <c r="R156" s="380">
        <f t="shared" si="738"/>
        <v>0</v>
      </c>
      <c r="S156" s="380">
        <f t="shared" si="738"/>
        <v>0</v>
      </c>
      <c r="T156" s="380">
        <f t="shared" si="738"/>
        <v>0</v>
      </c>
      <c r="U156" s="175"/>
      <c r="X156" s="87">
        <v>141</v>
      </c>
      <c r="Y156" s="377">
        <f t="shared" si="698"/>
        <v>0</v>
      </c>
      <c r="Z156" s="377">
        <f t="shared" si="699"/>
        <v>0</v>
      </c>
      <c r="AA156" s="377">
        <f t="shared" si="700"/>
        <v>0</v>
      </c>
      <c r="AB156" s="377">
        <f t="shared" si="701"/>
        <v>0</v>
      </c>
      <c r="AC156" s="377">
        <f t="shared" si="702"/>
        <v>0</v>
      </c>
      <c r="AD156" s="377">
        <f t="shared" si="703"/>
        <v>0</v>
      </c>
      <c r="AE156" s="377">
        <f t="shared" si="704"/>
        <v>0</v>
      </c>
      <c r="AF156" s="377">
        <f t="shared" si="705"/>
        <v>0</v>
      </c>
      <c r="AG156" s="377">
        <f t="shared" si="706"/>
        <v>0</v>
      </c>
      <c r="AH156" s="377">
        <f t="shared" si="707"/>
        <v>0</v>
      </c>
      <c r="AI156" s="377">
        <f t="shared" si="708"/>
        <v>0</v>
      </c>
      <c r="AJ156" s="377">
        <f t="shared" si="709"/>
        <v>0</v>
      </c>
      <c r="AK156" s="377">
        <f t="shared" si="710"/>
        <v>0</v>
      </c>
      <c r="AL156" s="377">
        <f t="shared" si="711"/>
        <v>0</v>
      </c>
      <c r="AM156" s="377">
        <f t="shared" si="712"/>
        <v>0</v>
      </c>
      <c r="AN156" s="377">
        <f t="shared" si="713"/>
        <v>0</v>
      </c>
      <c r="AO156" s="377">
        <f t="shared" si="714"/>
        <v>0</v>
      </c>
      <c r="AQ156" s="138">
        <v>133</v>
      </c>
      <c r="AR156" s="258">
        <f t="shared" ca="1" si="528"/>
        <v>50201</v>
      </c>
      <c r="AS156" s="378">
        <f t="shared" si="762"/>
        <v>0</v>
      </c>
      <c r="AU156" s="138">
        <v>133</v>
      </c>
      <c r="AV156" s="258">
        <f t="shared" ca="1" si="529"/>
        <v>50231</v>
      </c>
      <c r="AW156" s="378">
        <f t="shared" si="763"/>
        <v>0</v>
      </c>
      <c r="AX156" s="202">
        <f t="shared" ca="1" si="764"/>
        <v>0</v>
      </c>
      <c r="AY156" s="138">
        <v>133</v>
      </c>
      <c r="AZ156" s="258">
        <f t="shared" ca="1" si="530"/>
        <v>50231</v>
      </c>
      <c r="BA156" s="378">
        <f t="shared" si="765"/>
        <v>0</v>
      </c>
      <c r="BC156" s="258">
        <f t="shared" ca="1" si="591"/>
        <v>50201</v>
      </c>
      <c r="BD156" s="302">
        <f t="shared" ca="1" si="592"/>
        <v>0</v>
      </c>
      <c r="BE156" s="133">
        <f t="shared" si="755"/>
        <v>133</v>
      </c>
      <c r="BF156" s="379">
        <f t="shared" ca="1" si="756"/>
        <v>50201</v>
      </c>
      <c r="BG156" s="133">
        <f t="shared" si="766"/>
        <v>0</v>
      </c>
      <c r="BH156" s="133">
        <f t="shared" si="767"/>
        <v>0</v>
      </c>
      <c r="BI156" s="133">
        <f t="shared" si="768"/>
        <v>0</v>
      </c>
      <c r="BJ156" s="133">
        <f t="shared" si="769"/>
        <v>0</v>
      </c>
      <c r="BK156" s="133">
        <f t="shared" si="770"/>
        <v>0</v>
      </c>
      <c r="BL156" s="133">
        <f t="shared" si="771"/>
        <v>0</v>
      </c>
      <c r="BM156" s="133">
        <f t="shared" si="772"/>
        <v>0</v>
      </c>
      <c r="BN156" s="133">
        <f t="shared" si="773"/>
        <v>0</v>
      </c>
      <c r="BO156" s="133">
        <f t="shared" si="774"/>
        <v>0</v>
      </c>
      <c r="BP156" s="133">
        <f t="shared" si="775"/>
        <v>0</v>
      </c>
      <c r="BQ156" s="133">
        <f t="shared" si="776"/>
        <v>0</v>
      </c>
      <c r="BR156" s="133">
        <f t="shared" si="777"/>
        <v>0</v>
      </c>
      <c r="BS156" s="133">
        <f t="shared" si="778"/>
        <v>0</v>
      </c>
      <c r="BT156" s="133">
        <f t="shared" si="779"/>
        <v>0</v>
      </c>
      <c r="BU156" s="133">
        <f t="shared" si="780"/>
        <v>0</v>
      </c>
      <c r="BV156" s="133">
        <f t="shared" si="781"/>
        <v>0</v>
      </c>
      <c r="BW156" s="133">
        <f t="shared" si="782"/>
        <v>0</v>
      </c>
      <c r="BX156" s="267"/>
      <c r="BY156" s="267"/>
      <c r="BZ156" s="267"/>
      <c r="CA156" s="267"/>
      <c r="CB156" s="267"/>
      <c r="CC156" s="267"/>
      <c r="CD156" s="267"/>
      <c r="CE156" s="267"/>
      <c r="CF156" s="267"/>
      <c r="CG156" s="267"/>
      <c r="CS156" s="138">
        <v>138</v>
      </c>
      <c r="CT156" s="259">
        <f t="shared" ca="1" si="723"/>
        <v>50384</v>
      </c>
      <c r="CU156" s="179">
        <f t="shared" ref="CU156:DC156" ca="1" si="799">(($AW161/(1+CU$18)^(($AZ161-$AZ$23)/30)))+($AS161/(1+CU$18)^(($AZ161-$AZ$23)/30))</f>
        <v>0</v>
      </c>
      <c r="CV156" s="179">
        <f t="shared" ca="1" si="799"/>
        <v>0</v>
      </c>
      <c r="CW156" s="179">
        <f t="shared" ca="1" si="799"/>
        <v>0</v>
      </c>
      <c r="CX156" s="179">
        <f t="shared" ca="1" si="799"/>
        <v>0</v>
      </c>
      <c r="CY156" s="179">
        <f t="shared" ca="1" si="799"/>
        <v>0</v>
      </c>
      <c r="CZ156" s="179">
        <f t="shared" ca="1" si="799"/>
        <v>0</v>
      </c>
      <c r="DA156" s="179">
        <f t="shared" ca="1" si="799"/>
        <v>0</v>
      </c>
      <c r="DB156" s="179">
        <f t="shared" ca="1" si="799"/>
        <v>0</v>
      </c>
      <c r="DC156" s="179">
        <f t="shared" ca="1" si="799"/>
        <v>0</v>
      </c>
      <c r="DD156" s="179">
        <f t="shared" ref="DD156:DI156" ca="1" si="800">(($AW161/(1+DD$18)^(($AZ161-$AZ$23)/30)))+($AS161/(1+DD$18)^(($AZ161-$AZ$23)/30))</f>
        <v>0</v>
      </c>
      <c r="DE156" s="179">
        <f t="shared" ca="1" si="800"/>
        <v>0</v>
      </c>
      <c r="DF156" s="179" t="e">
        <f t="shared" ca="1" si="800"/>
        <v>#VALUE!</v>
      </c>
      <c r="DG156" s="179" t="e">
        <f t="shared" ca="1" si="800"/>
        <v>#VALUE!</v>
      </c>
      <c r="DH156" s="179" t="e">
        <f t="shared" ca="1" si="800"/>
        <v>#VALUE!</v>
      </c>
      <c r="DI156" s="179" t="e">
        <f t="shared" ca="1" si="800"/>
        <v>#VALUE!</v>
      </c>
      <c r="DJ156" s="179" t="e">
        <f t="shared" ref="DJ156:DQ156" ca="1" si="801">(($AW161/(1+DJ$18)^(($AZ161-$AZ$23)/30)))+($AS161/(1+DJ$18)^(($AZ161-$AZ$23)/30))</f>
        <v>#VALUE!</v>
      </c>
      <c r="DK156" s="179" t="e">
        <f t="shared" ca="1" si="801"/>
        <v>#VALUE!</v>
      </c>
      <c r="DL156" s="179" t="e">
        <f t="shared" ca="1" si="801"/>
        <v>#VALUE!</v>
      </c>
      <c r="DM156" s="179" t="e">
        <f t="shared" ca="1" si="801"/>
        <v>#VALUE!</v>
      </c>
      <c r="DN156" s="179" t="e">
        <f t="shared" ca="1" si="801"/>
        <v>#VALUE!</v>
      </c>
      <c r="DO156" s="179" t="e">
        <f t="shared" ca="1" si="801"/>
        <v>#VALUE!</v>
      </c>
      <c r="DP156" s="179" t="e">
        <f t="shared" ca="1" si="801"/>
        <v>#VALUE!</v>
      </c>
      <c r="DQ156" s="179" t="e">
        <f t="shared" ca="1" si="801"/>
        <v>#VALUE!</v>
      </c>
      <c r="DR156" s="180">
        <f t="shared" si="733"/>
        <v>0</v>
      </c>
      <c r="DS156" s="180">
        <f t="shared" ref="DS156:EF156" si="802">IF($AU161&gt;$BA$19,0,$BA161-$AS161)</f>
        <v>0</v>
      </c>
      <c r="DT156" s="180">
        <f t="shared" si="802"/>
        <v>0</v>
      </c>
      <c r="DU156" s="180">
        <f t="shared" si="802"/>
        <v>0</v>
      </c>
      <c r="DV156" s="180">
        <f t="shared" si="802"/>
        <v>0</v>
      </c>
      <c r="DW156" s="180">
        <f t="shared" si="802"/>
        <v>0</v>
      </c>
      <c r="DX156" s="180">
        <f t="shared" si="802"/>
        <v>0</v>
      </c>
      <c r="DY156" s="180">
        <f t="shared" si="802"/>
        <v>0</v>
      </c>
      <c r="DZ156" s="180">
        <f t="shared" si="802"/>
        <v>0</v>
      </c>
      <c r="EA156" s="180">
        <f t="shared" si="802"/>
        <v>0</v>
      </c>
      <c r="EB156" s="180">
        <f t="shared" si="802"/>
        <v>0</v>
      </c>
      <c r="EC156" s="180">
        <f t="shared" si="802"/>
        <v>0</v>
      </c>
      <c r="ED156" s="180">
        <f t="shared" si="802"/>
        <v>0</v>
      </c>
      <c r="EE156" s="180">
        <f t="shared" si="802"/>
        <v>0</v>
      </c>
      <c r="EF156" s="180">
        <f t="shared" si="802"/>
        <v>0</v>
      </c>
      <c r="EG156" s="180">
        <f t="shared" ref="EG156:EO156" si="803">IF($AU161&gt;$BA$19,0,$BA161-$AS161)</f>
        <v>0</v>
      </c>
      <c r="EH156" s="180">
        <f t="shared" si="803"/>
        <v>0</v>
      </c>
      <c r="EI156" s="180">
        <f t="shared" si="803"/>
        <v>0</v>
      </c>
      <c r="EJ156" s="180">
        <f t="shared" si="803"/>
        <v>0</v>
      </c>
      <c r="EK156" s="180">
        <f t="shared" si="803"/>
        <v>0</v>
      </c>
      <c r="EL156" s="180">
        <f t="shared" si="803"/>
        <v>0</v>
      </c>
      <c r="EM156" s="180">
        <f t="shared" si="803"/>
        <v>0</v>
      </c>
      <c r="EN156" s="180">
        <f t="shared" si="803"/>
        <v>0</v>
      </c>
      <c r="EO156" s="180">
        <f t="shared" si="803"/>
        <v>0</v>
      </c>
      <c r="EQ156" s="259">
        <f t="shared" ca="1" si="736"/>
        <v>50354</v>
      </c>
      <c r="ER156" s="87">
        <f t="shared" ca="1" si="744"/>
        <v>0</v>
      </c>
      <c r="ES156" s="87">
        <f t="shared" ca="1" si="744"/>
        <v>0</v>
      </c>
      <c r="ET156" s="87">
        <f t="shared" ca="1" si="744"/>
        <v>0</v>
      </c>
      <c r="EU156" s="87">
        <f t="shared" ca="1" si="744"/>
        <v>0</v>
      </c>
      <c r="EV156" s="87">
        <f t="shared" ca="1" si="744"/>
        <v>0</v>
      </c>
      <c r="EW156" s="87">
        <f t="shared" ca="1" si="744"/>
        <v>0</v>
      </c>
      <c r="EX156" s="87">
        <f t="shared" ca="1" si="744"/>
        <v>0</v>
      </c>
      <c r="EY156" s="87">
        <f t="shared" ca="1" si="744"/>
        <v>0</v>
      </c>
      <c r="EZ156" s="87">
        <f t="shared" ca="1" si="744"/>
        <v>0</v>
      </c>
      <c r="FA156" s="87">
        <f t="shared" ca="1" si="744"/>
        <v>0</v>
      </c>
      <c r="FB156" s="87">
        <f t="shared" ca="1" si="744"/>
        <v>0</v>
      </c>
      <c r="FC156" s="87">
        <f t="shared" ca="1" si="744"/>
        <v>0</v>
      </c>
      <c r="FD156" s="87">
        <f t="shared" ca="1" si="744"/>
        <v>0</v>
      </c>
      <c r="FE156" s="87">
        <f t="shared" ca="1" si="744"/>
        <v>0</v>
      </c>
      <c r="FF156" s="87">
        <f t="shared" ca="1" si="744"/>
        <v>0</v>
      </c>
      <c r="FG156" s="87">
        <f t="shared" ca="1" si="729"/>
        <v>0</v>
      </c>
      <c r="FH156" s="87">
        <f t="shared" ca="1" si="729"/>
        <v>0</v>
      </c>
      <c r="FI156" s="87">
        <f t="shared" ca="1" si="729"/>
        <v>0</v>
      </c>
      <c r="FJ156" s="87">
        <f t="shared" ca="1" si="729"/>
        <v>0</v>
      </c>
      <c r="FK156" s="87">
        <f t="shared" ca="1" si="729"/>
        <v>0</v>
      </c>
      <c r="FL156" s="87">
        <f t="shared" ca="1" si="729"/>
        <v>0</v>
      </c>
      <c r="FM156" s="87">
        <f t="shared" ca="1" si="729"/>
        <v>0</v>
      </c>
      <c r="FN156" s="87">
        <f t="shared" ca="1" si="729"/>
        <v>0</v>
      </c>
      <c r="FO156" s="87">
        <f t="shared" ca="1" si="729"/>
        <v>0</v>
      </c>
      <c r="FP156" s="87">
        <f t="shared" ca="1" si="729"/>
        <v>0</v>
      </c>
    </row>
    <row r="157" spans="2:172" ht="12.75" hidden="1" customHeight="1" x14ac:dyDescent="0.25">
      <c r="B157" s="87">
        <v>99</v>
      </c>
      <c r="C157" s="181">
        <f t="shared" ca="1" si="788"/>
        <v>49166</v>
      </c>
      <c r="D157" s="380">
        <f t="shared" si="737"/>
        <v>0</v>
      </c>
      <c r="E157" s="380">
        <f t="shared" si="737"/>
        <v>0</v>
      </c>
      <c r="F157" s="380">
        <f t="shared" si="737"/>
        <v>0</v>
      </c>
      <c r="G157" s="380">
        <f t="shared" si="737"/>
        <v>0</v>
      </c>
      <c r="H157" s="380">
        <f t="shared" si="737"/>
        <v>0</v>
      </c>
      <c r="I157" s="380">
        <f t="shared" si="737"/>
        <v>0</v>
      </c>
      <c r="J157" s="380">
        <f t="shared" si="737"/>
        <v>0</v>
      </c>
      <c r="K157" s="380">
        <f t="shared" si="737"/>
        <v>0</v>
      </c>
      <c r="L157" s="380">
        <f t="shared" si="737"/>
        <v>0</v>
      </c>
      <c r="M157" s="380">
        <f t="shared" si="737"/>
        <v>0</v>
      </c>
      <c r="N157" s="380">
        <f t="shared" si="738"/>
        <v>0</v>
      </c>
      <c r="O157" s="380">
        <f t="shared" si="738"/>
        <v>0</v>
      </c>
      <c r="P157" s="380">
        <f t="shared" si="738"/>
        <v>0</v>
      </c>
      <c r="Q157" s="380">
        <f t="shared" si="738"/>
        <v>0</v>
      </c>
      <c r="R157" s="380">
        <f t="shared" si="738"/>
        <v>0</v>
      </c>
      <c r="S157" s="380">
        <f t="shared" si="738"/>
        <v>0</v>
      </c>
      <c r="T157" s="380">
        <f t="shared" si="738"/>
        <v>0</v>
      </c>
      <c r="U157" s="175"/>
      <c r="X157" s="87">
        <v>142</v>
      </c>
      <c r="Y157" s="377">
        <f t="shared" si="698"/>
        <v>0</v>
      </c>
      <c r="Z157" s="377">
        <f t="shared" si="699"/>
        <v>0</v>
      </c>
      <c r="AA157" s="377">
        <f t="shared" si="700"/>
        <v>0</v>
      </c>
      <c r="AB157" s="377">
        <f t="shared" si="701"/>
        <v>0</v>
      </c>
      <c r="AC157" s="377">
        <f t="shared" si="702"/>
        <v>0</v>
      </c>
      <c r="AD157" s="377">
        <f t="shared" si="703"/>
        <v>0</v>
      </c>
      <c r="AE157" s="377">
        <f t="shared" si="704"/>
        <v>0</v>
      </c>
      <c r="AF157" s="377">
        <f t="shared" si="705"/>
        <v>0</v>
      </c>
      <c r="AG157" s="377">
        <f t="shared" si="706"/>
        <v>0</v>
      </c>
      <c r="AH157" s="377">
        <f t="shared" si="707"/>
        <v>0</v>
      </c>
      <c r="AI157" s="377">
        <f t="shared" si="708"/>
        <v>0</v>
      </c>
      <c r="AJ157" s="377">
        <f t="shared" si="709"/>
        <v>0</v>
      </c>
      <c r="AK157" s="377">
        <f t="shared" si="710"/>
        <v>0</v>
      </c>
      <c r="AL157" s="377">
        <f t="shared" si="711"/>
        <v>0</v>
      </c>
      <c r="AM157" s="377">
        <f t="shared" si="712"/>
        <v>0</v>
      </c>
      <c r="AN157" s="377">
        <f t="shared" si="713"/>
        <v>0</v>
      </c>
      <c r="AO157" s="377">
        <f t="shared" si="714"/>
        <v>0</v>
      </c>
      <c r="AQ157" s="138">
        <v>134</v>
      </c>
      <c r="AR157" s="258">
        <f t="shared" ca="1" si="528"/>
        <v>50231</v>
      </c>
      <c r="AS157" s="378">
        <f t="shared" si="762"/>
        <v>0</v>
      </c>
      <c r="AU157" s="138">
        <v>134</v>
      </c>
      <c r="AV157" s="258">
        <f t="shared" ca="1" si="529"/>
        <v>50262</v>
      </c>
      <c r="AW157" s="378">
        <f t="shared" si="763"/>
        <v>0</v>
      </c>
      <c r="AX157" s="202">
        <f t="shared" ca="1" si="764"/>
        <v>0</v>
      </c>
      <c r="AY157" s="138">
        <v>134</v>
      </c>
      <c r="AZ157" s="258">
        <f t="shared" ca="1" si="530"/>
        <v>50262</v>
      </c>
      <c r="BA157" s="378">
        <f t="shared" si="765"/>
        <v>0</v>
      </c>
      <c r="BC157" s="258">
        <f t="shared" ca="1" si="591"/>
        <v>50231</v>
      </c>
      <c r="BD157" s="302">
        <f t="shared" ca="1" si="592"/>
        <v>0</v>
      </c>
      <c r="BE157" s="133">
        <f t="shared" si="755"/>
        <v>134</v>
      </c>
      <c r="BF157" s="379">
        <f t="shared" ca="1" si="756"/>
        <v>50231</v>
      </c>
      <c r="BG157" s="133">
        <f t="shared" si="766"/>
        <v>0</v>
      </c>
      <c r="BH157" s="133">
        <f t="shared" si="767"/>
        <v>0</v>
      </c>
      <c r="BI157" s="133">
        <f t="shared" si="768"/>
        <v>0</v>
      </c>
      <c r="BJ157" s="133">
        <f t="shared" si="769"/>
        <v>0</v>
      </c>
      <c r="BK157" s="133">
        <f t="shared" si="770"/>
        <v>0</v>
      </c>
      <c r="BL157" s="133">
        <f t="shared" si="771"/>
        <v>0</v>
      </c>
      <c r="BM157" s="133">
        <f t="shared" si="772"/>
        <v>0</v>
      </c>
      <c r="BN157" s="133">
        <f t="shared" si="773"/>
        <v>0</v>
      </c>
      <c r="BO157" s="133">
        <f t="shared" si="774"/>
        <v>0</v>
      </c>
      <c r="BP157" s="133">
        <f t="shared" si="775"/>
        <v>0</v>
      </c>
      <c r="BQ157" s="133">
        <f t="shared" si="776"/>
        <v>0</v>
      </c>
      <c r="BR157" s="133">
        <f t="shared" si="777"/>
        <v>0</v>
      </c>
      <c r="BS157" s="133">
        <f t="shared" si="778"/>
        <v>0</v>
      </c>
      <c r="BT157" s="133">
        <f t="shared" si="779"/>
        <v>0</v>
      </c>
      <c r="BU157" s="133">
        <f t="shared" si="780"/>
        <v>0</v>
      </c>
      <c r="BV157" s="133">
        <f t="shared" si="781"/>
        <v>0</v>
      </c>
      <c r="BW157" s="133">
        <f t="shared" si="782"/>
        <v>0</v>
      </c>
      <c r="BX157" s="267"/>
      <c r="BY157" s="267"/>
      <c r="BZ157" s="267"/>
      <c r="CA157" s="267"/>
      <c r="CB157" s="267"/>
      <c r="CC157" s="267"/>
      <c r="CD157" s="267"/>
      <c r="CE157" s="267"/>
      <c r="CF157" s="267"/>
      <c r="CG157" s="267"/>
      <c r="CS157" s="87">
        <v>139</v>
      </c>
      <c r="CT157" s="259">
        <f t="shared" ca="1" si="723"/>
        <v>50415</v>
      </c>
      <c r="CU157" s="179">
        <f t="shared" ref="CU157:DC157" ca="1" si="804">(($AW162/(1+CU$18)^(($AZ162-$AZ$23)/30)))+($AS162/(1+CU$18)^(($AZ162-$AZ$23)/30))</f>
        <v>0</v>
      </c>
      <c r="CV157" s="179">
        <f t="shared" ca="1" si="804"/>
        <v>0</v>
      </c>
      <c r="CW157" s="179">
        <f t="shared" ca="1" si="804"/>
        <v>0</v>
      </c>
      <c r="CX157" s="179">
        <f t="shared" ca="1" si="804"/>
        <v>0</v>
      </c>
      <c r="CY157" s="179">
        <f t="shared" ca="1" si="804"/>
        <v>0</v>
      </c>
      <c r="CZ157" s="179">
        <f t="shared" ca="1" si="804"/>
        <v>0</v>
      </c>
      <c r="DA157" s="179">
        <f t="shared" ca="1" si="804"/>
        <v>0</v>
      </c>
      <c r="DB157" s="179">
        <f t="shared" ca="1" si="804"/>
        <v>0</v>
      </c>
      <c r="DC157" s="179">
        <f t="shared" ca="1" si="804"/>
        <v>0</v>
      </c>
      <c r="DD157" s="179">
        <f t="shared" ref="DD157:DI157" ca="1" si="805">(($AW162/(1+DD$18)^(($AZ162-$AZ$23)/30)))+($AS162/(1+DD$18)^(($AZ162-$AZ$23)/30))</f>
        <v>0</v>
      </c>
      <c r="DE157" s="179">
        <f t="shared" ca="1" si="805"/>
        <v>0</v>
      </c>
      <c r="DF157" s="179" t="e">
        <f t="shared" ca="1" si="805"/>
        <v>#VALUE!</v>
      </c>
      <c r="DG157" s="179" t="e">
        <f t="shared" ca="1" si="805"/>
        <v>#VALUE!</v>
      </c>
      <c r="DH157" s="179" t="e">
        <f t="shared" ca="1" si="805"/>
        <v>#VALUE!</v>
      </c>
      <c r="DI157" s="179" t="e">
        <f t="shared" ca="1" si="805"/>
        <v>#VALUE!</v>
      </c>
      <c r="DJ157" s="179" t="e">
        <f t="shared" ref="DJ157:DQ157" ca="1" si="806">(($AW162/(1+DJ$18)^(($AZ162-$AZ$23)/30)))+($AS162/(1+DJ$18)^(($AZ162-$AZ$23)/30))</f>
        <v>#VALUE!</v>
      </c>
      <c r="DK157" s="179" t="e">
        <f t="shared" ca="1" si="806"/>
        <v>#VALUE!</v>
      </c>
      <c r="DL157" s="179" t="e">
        <f t="shared" ca="1" si="806"/>
        <v>#VALUE!</v>
      </c>
      <c r="DM157" s="179" t="e">
        <f t="shared" ca="1" si="806"/>
        <v>#VALUE!</v>
      </c>
      <c r="DN157" s="179" t="e">
        <f t="shared" ca="1" si="806"/>
        <v>#VALUE!</v>
      </c>
      <c r="DO157" s="179" t="e">
        <f t="shared" ca="1" si="806"/>
        <v>#VALUE!</v>
      </c>
      <c r="DP157" s="179" t="e">
        <f t="shared" ca="1" si="806"/>
        <v>#VALUE!</v>
      </c>
      <c r="DQ157" s="179" t="e">
        <f t="shared" ca="1" si="806"/>
        <v>#VALUE!</v>
      </c>
      <c r="DR157" s="180">
        <f t="shared" si="733"/>
        <v>0</v>
      </c>
      <c r="DS157" s="180">
        <f t="shared" ref="DS157:EF157" si="807">IF($AU162&gt;$BA$19,0,$BA162-$AS162)</f>
        <v>0</v>
      </c>
      <c r="DT157" s="180">
        <f t="shared" si="807"/>
        <v>0</v>
      </c>
      <c r="DU157" s="180">
        <f t="shared" si="807"/>
        <v>0</v>
      </c>
      <c r="DV157" s="180">
        <f t="shared" si="807"/>
        <v>0</v>
      </c>
      <c r="DW157" s="180">
        <f t="shared" si="807"/>
        <v>0</v>
      </c>
      <c r="DX157" s="180">
        <f t="shared" si="807"/>
        <v>0</v>
      </c>
      <c r="DY157" s="180">
        <f t="shared" si="807"/>
        <v>0</v>
      </c>
      <c r="DZ157" s="180">
        <f t="shared" si="807"/>
        <v>0</v>
      </c>
      <c r="EA157" s="180">
        <f t="shared" si="807"/>
        <v>0</v>
      </c>
      <c r="EB157" s="180">
        <f t="shared" si="807"/>
        <v>0</v>
      </c>
      <c r="EC157" s="180">
        <f t="shared" si="807"/>
        <v>0</v>
      </c>
      <c r="ED157" s="180">
        <f t="shared" si="807"/>
        <v>0</v>
      </c>
      <c r="EE157" s="180">
        <f t="shared" si="807"/>
        <v>0</v>
      </c>
      <c r="EF157" s="180">
        <f t="shared" si="807"/>
        <v>0</v>
      </c>
      <c r="EG157" s="180">
        <f t="shared" ref="EG157:EO157" si="808">IF($AU162&gt;$BA$19,0,$BA162-$AS162)</f>
        <v>0</v>
      </c>
      <c r="EH157" s="180">
        <f t="shared" si="808"/>
        <v>0</v>
      </c>
      <c r="EI157" s="180">
        <f t="shared" si="808"/>
        <v>0</v>
      </c>
      <c r="EJ157" s="180">
        <f t="shared" si="808"/>
        <v>0</v>
      </c>
      <c r="EK157" s="180">
        <f t="shared" si="808"/>
        <v>0</v>
      </c>
      <c r="EL157" s="180">
        <f t="shared" si="808"/>
        <v>0</v>
      </c>
      <c r="EM157" s="180">
        <f t="shared" si="808"/>
        <v>0</v>
      </c>
      <c r="EN157" s="180">
        <f t="shared" si="808"/>
        <v>0</v>
      </c>
      <c r="EO157" s="180">
        <f t="shared" si="808"/>
        <v>0</v>
      </c>
      <c r="EQ157" s="259">
        <f t="shared" ca="1" si="736"/>
        <v>50384</v>
      </c>
      <c r="ER157" s="87">
        <f t="shared" ca="1" si="744"/>
        <v>0</v>
      </c>
      <c r="ES157" s="87">
        <f t="shared" ca="1" si="744"/>
        <v>0</v>
      </c>
      <c r="ET157" s="87">
        <f t="shared" ca="1" si="744"/>
        <v>0</v>
      </c>
      <c r="EU157" s="87">
        <f t="shared" ca="1" si="744"/>
        <v>0</v>
      </c>
      <c r="EV157" s="87">
        <f t="shared" ca="1" si="744"/>
        <v>0</v>
      </c>
      <c r="EW157" s="87">
        <f t="shared" ca="1" si="744"/>
        <v>0</v>
      </c>
      <c r="EX157" s="87">
        <f t="shared" ca="1" si="744"/>
        <v>0</v>
      </c>
      <c r="EY157" s="87">
        <f t="shared" ca="1" si="744"/>
        <v>0</v>
      </c>
      <c r="EZ157" s="87">
        <f t="shared" ca="1" si="744"/>
        <v>0</v>
      </c>
      <c r="FA157" s="87">
        <f t="shared" ca="1" si="744"/>
        <v>0</v>
      </c>
      <c r="FB157" s="87">
        <f t="shared" ca="1" si="744"/>
        <v>0</v>
      </c>
      <c r="FC157" s="87">
        <f t="shared" ca="1" si="744"/>
        <v>0</v>
      </c>
      <c r="FD157" s="87">
        <f t="shared" ca="1" si="744"/>
        <v>0</v>
      </c>
      <c r="FE157" s="87">
        <f t="shared" ca="1" si="744"/>
        <v>0</v>
      </c>
      <c r="FF157" s="87">
        <f t="shared" ca="1" si="744"/>
        <v>0</v>
      </c>
      <c r="FG157" s="87">
        <f t="shared" ca="1" si="729"/>
        <v>0</v>
      </c>
      <c r="FH157" s="87">
        <f t="shared" ca="1" si="729"/>
        <v>0</v>
      </c>
      <c r="FI157" s="87">
        <f t="shared" ca="1" si="729"/>
        <v>0</v>
      </c>
      <c r="FJ157" s="87">
        <f t="shared" ca="1" si="729"/>
        <v>0</v>
      </c>
      <c r="FK157" s="87">
        <f t="shared" ca="1" si="729"/>
        <v>0</v>
      </c>
      <c r="FL157" s="87">
        <f t="shared" ca="1" si="729"/>
        <v>0</v>
      </c>
      <c r="FM157" s="87">
        <f t="shared" ca="1" si="729"/>
        <v>0</v>
      </c>
      <c r="FN157" s="87">
        <f t="shared" ca="1" si="729"/>
        <v>0</v>
      </c>
      <c r="FO157" s="87">
        <f t="shared" ca="1" si="729"/>
        <v>0</v>
      </c>
      <c r="FP157" s="87">
        <f t="shared" ca="1" si="729"/>
        <v>0</v>
      </c>
    </row>
    <row r="158" spans="2:172" ht="12.75" hidden="1" customHeight="1" x14ac:dyDescent="0.25">
      <c r="B158" s="87">
        <v>100</v>
      </c>
      <c r="C158" s="181">
        <f t="shared" ca="1" si="788"/>
        <v>49197</v>
      </c>
      <c r="D158" s="380">
        <f t="shared" si="737"/>
        <v>0</v>
      </c>
      <c r="E158" s="380">
        <f t="shared" si="737"/>
        <v>0</v>
      </c>
      <c r="F158" s="380">
        <f t="shared" si="737"/>
        <v>0</v>
      </c>
      <c r="G158" s="380">
        <f t="shared" si="737"/>
        <v>0</v>
      </c>
      <c r="H158" s="380">
        <f t="shared" si="737"/>
        <v>0</v>
      </c>
      <c r="I158" s="380">
        <f t="shared" si="737"/>
        <v>0</v>
      </c>
      <c r="J158" s="380">
        <f t="shared" si="737"/>
        <v>0</v>
      </c>
      <c r="K158" s="380">
        <f t="shared" si="737"/>
        <v>0</v>
      </c>
      <c r="L158" s="380">
        <f t="shared" si="737"/>
        <v>0</v>
      </c>
      <c r="M158" s="380">
        <f t="shared" si="737"/>
        <v>0</v>
      </c>
      <c r="N158" s="380">
        <f t="shared" si="738"/>
        <v>0</v>
      </c>
      <c r="O158" s="380">
        <f t="shared" si="738"/>
        <v>0</v>
      </c>
      <c r="P158" s="380">
        <f t="shared" si="738"/>
        <v>0</v>
      </c>
      <c r="Q158" s="380">
        <f t="shared" si="738"/>
        <v>0</v>
      </c>
      <c r="R158" s="380">
        <f t="shared" si="738"/>
        <v>0</v>
      </c>
      <c r="S158" s="380">
        <f t="shared" si="738"/>
        <v>0</v>
      </c>
      <c r="T158" s="380">
        <f t="shared" si="738"/>
        <v>0</v>
      </c>
      <c r="U158" s="175"/>
      <c r="X158" s="87">
        <v>143</v>
      </c>
      <c r="Y158" s="377">
        <f t="shared" si="698"/>
        <v>0</v>
      </c>
      <c r="Z158" s="377">
        <f t="shared" si="699"/>
        <v>0</v>
      </c>
      <c r="AA158" s="377">
        <f t="shared" si="700"/>
        <v>0</v>
      </c>
      <c r="AB158" s="377">
        <f t="shared" si="701"/>
        <v>0</v>
      </c>
      <c r="AC158" s="377">
        <f t="shared" si="702"/>
        <v>0</v>
      </c>
      <c r="AD158" s="377">
        <f t="shared" si="703"/>
        <v>0</v>
      </c>
      <c r="AE158" s="377">
        <f t="shared" si="704"/>
        <v>0</v>
      </c>
      <c r="AF158" s="377">
        <f t="shared" si="705"/>
        <v>0</v>
      </c>
      <c r="AG158" s="377">
        <f t="shared" si="706"/>
        <v>0</v>
      </c>
      <c r="AH158" s="377">
        <f t="shared" si="707"/>
        <v>0</v>
      </c>
      <c r="AI158" s="377">
        <f t="shared" si="708"/>
        <v>0</v>
      </c>
      <c r="AJ158" s="377">
        <f t="shared" si="709"/>
        <v>0</v>
      </c>
      <c r="AK158" s="377">
        <f t="shared" si="710"/>
        <v>0</v>
      </c>
      <c r="AL158" s="377">
        <f t="shared" si="711"/>
        <v>0</v>
      </c>
      <c r="AM158" s="377">
        <f t="shared" si="712"/>
        <v>0</v>
      </c>
      <c r="AN158" s="377">
        <f t="shared" si="713"/>
        <v>0</v>
      </c>
      <c r="AO158" s="377">
        <f t="shared" si="714"/>
        <v>0</v>
      </c>
      <c r="AQ158" s="138">
        <v>135</v>
      </c>
      <c r="AR158" s="258">
        <f t="shared" ca="1" si="528"/>
        <v>50262</v>
      </c>
      <c r="AS158" s="378">
        <f t="shared" si="762"/>
        <v>0</v>
      </c>
      <c r="AU158" s="138">
        <v>135</v>
      </c>
      <c r="AV158" s="258">
        <f t="shared" ca="1" si="529"/>
        <v>50293</v>
      </c>
      <c r="AW158" s="378">
        <f t="shared" si="763"/>
        <v>0</v>
      </c>
      <c r="AX158" s="202">
        <f t="shared" ca="1" si="764"/>
        <v>0</v>
      </c>
      <c r="AY158" s="138">
        <v>135</v>
      </c>
      <c r="AZ158" s="258">
        <f t="shared" ca="1" si="530"/>
        <v>50293</v>
      </c>
      <c r="BA158" s="378">
        <f t="shared" si="765"/>
        <v>0</v>
      </c>
      <c r="BC158" s="258">
        <f t="shared" ca="1" si="591"/>
        <v>50262</v>
      </c>
      <c r="BD158" s="302">
        <f t="shared" ca="1" si="592"/>
        <v>0</v>
      </c>
      <c r="BE158" s="133">
        <f t="shared" si="755"/>
        <v>135</v>
      </c>
      <c r="BF158" s="379">
        <f t="shared" ca="1" si="756"/>
        <v>50262</v>
      </c>
      <c r="BG158" s="133">
        <f t="shared" si="766"/>
        <v>0</v>
      </c>
      <c r="BH158" s="133">
        <f t="shared" si="767"/>
        <v>0</v>
      </c>
      <c r="BI158" s="133">
        <f t="shared" si="768"/>
        <v>0</v>
      </c>
      <c r="BJ158" s="133">
        <f t="shared" si="769"/>
        <v>0</v>
      </c>
      <c r="BK158" s="133">
        <f t="shared" si="770"/>
        <v>0</v>
      </c>
      <c r="BL158" s="133">
        <f t="shared" si="771"/>
        <v>0</v>
      </c>
      <c r="BM158" s="133">
        <f t="shared" si="772"/>
        <v>0</v>
      </c>
      <c r="BN158" s="133">
        <f t="shared" si="773"/>
        <v>0</v>
      </c>
      <c r="BO158" s="133">
        <f t="shared" si="774"/>
        <v>0</v>
      </c>
      <c r="BP158" s="133">
        <f t="shared" si="775"/>
        <v>0</v>
      </c>
      <c r="BQ158" s="133">
        <f t="shared" si="776"/>
        <v>0</v>
      </c>
      <c r="BR158" s="133">
        <f t="shared" si="777"/>
        <v>0</v>
      </c>
      <c r="BS158" s="133">
        <f t="shared" si="778"/>
        <v>0</v>
      </c>
      <c r="BT158" s="133">
        <f t="shared" si="779"/>
        <v>0</v>
      </c>
      <c r="BU158" s="133">
        <f t="shared" si="780"/>
        <v>0</v>
      </c>
      <c r="BV158" s="133">
        <f t="shared" si="781"/>
        <v>0</v>
      </c>
      <c r="BW158" s="133">
        <f t="shared" si="782"/>
        <v>0</v>
      </c>
      <c r="BX158" s="267"/>
      <c r="BY158" s="267"/>
      <c r="BZ158" s="267"/>
      <c r="CA158" s="267"/>
      <c r="CB158" s="267"/>
      <c r="CC158" s="267"/>
      <c r="CD158" s="267"/>
      <c r="CE158" s="267"/>
      <c r="CF158" s="267"/>
      <c r="CG158" s="267"/>
      <c r="CS158" s="178">
        <v>140</v>
      </c>
      <c r="CT158" s="259">
        <f t="shared" ca="1" si="723"/>
        <v>50446</v>
      </c>
      <c r="CU158" s="179">
        <f t="shared" ref="CU158:DC158" ca="1" si="809">(($AW163/(1+CU$18)^(($AZ163-$AZ$23)/30)))+($AS163/(1+CU$18)^(($AZ163-$AZ$23)/30))</f>
        <v>0</v>
      </c>
      <c r="CV158" s="179">
        <f t="shared" ca="1" si="809"/>
        <v>0</v>
      </c>
      <c r="CW158" s="179">
        <f t="shared" ca="1" si="809"/>
        <v>0</v>
      </c>
      <c r="CX158" s="179">
        <f t="shared" ca="1" si="809"/>
        <v>0</v>
      </c>
      <c r="CY158" s="179">
        <f t="shared" ca="1" si="809"/>
        <v>0</v>
      </c>
      <c r="CZ158" s="179">
        <f t="shared" ca="1" si="809"/>
        <v>0</v>
      </c>
      <c r="DA158" s="179">
        <f t="shared" ca="1" si="809"/>
        <v>0</v>
      </c>
      <c r="DB158" s="179">
        <f t="shared" ca="1" si="809"/>
        <v>0</v>
      </c>
      <c r="DC158" s="179">
        <f t="shared" ca="1" si="809"/>
        <v>0</v>
      </c>
      <c r="DD158" s="179">
        <f t="shared" ref="DD158:DI158" ca="1" si="810">(($AW163/(1+DD$18)^(($AZ163-$AZ$23)/30)))+($AS163/(1+DD$18)^(($AZ163-$AZ$23)/30))</f>
        <v>0</v>
      </c>
      <c r="DE158" s="179">
        <f t="shared" ca="1" si="810"/>
        <v>0</v>
      </c>
      <c r="DF158" s="179" t="e">
        <f t="shared" ca="1" si="810"/>
        <v>#VALUE!</v>
      </c>
      <c r="DG158" s="179" t="e">
        <f t="shared" ca="1" si="810"/>
        <v>#VALUE!</v>
      </c>
      <c r="DH158" s="179" t="e">
        <f t="shared" ca="1" si="810"/>
        <v>#VALUE!</v>
      </c>
      <c r="DI158" s="179" t="e">
        <f t="shared" ca="1" si="810"/>
        <v>#VALUE!</v>
      </c>
      <c r="DJ158" s="179" t="e">
        <f t="shared" ref="DJ158:DQ158" ca="1" si="811">(($AW163/(1+DJ$18)^(($AZ163-$AZ$23)/30)))+($AS163/(1+DJ$18)^(($AZ163-$AZ$23)/30))</f>
        <v>#VALUE!</v>
      </c>
      <c r="DK158" s="179" t="e">
        <f t="shared" ca="1" si="811"/>
        <v>#VALUE!</v>
      </c>
      <c r="DL158" s="179" t="e">
        <f t="shared" ca="1" si="811"/>
        <v>#VALUE!</v>
      </c>
      <c r="DM158" s="179" t="e">
        <f t="shared" ca="1" si="811"/>
        <v>#VALUE!</v>
      </c>
      <c r="DN158" s="179" t="e">
        <f t="shared" ca="1" si="811"/>
        <v>#VALUE!</v>
      </c>
      <c r="DO158" s="179" t="e">
        <f t="shared" ca="1" si="811"/>
        <v>#VALUE!</v>
      </c>
      <c r="DP158" s="179" t="e">
        <f t="shared" ca="1" si="811"/>
        <v>#VALUE!</v>
      </c>
      <c r="DQ158" s="179" t="e">
        <f t="shared" ca="1" si="811"/>
        <v>#VALUE!</v>
      </c>
      <c r="DR158" s="180">
        <f t="shared" si="733"/>
        <v>0</v>
      </c>
      <c r="DS158" s="180">
        <f t="shared" ref="DS158:EF158" si="812">IF($AU163&gt;$BA$19,0,$BA163-$AS163)</f>
        <v>0</v>
      </c>
      <c r="DT158" s="180">
        <f t="shared" si="812"/>
        <v>0</v>
      </c>
      <c r="DU158" s="180">
        <f t="shared" si="812"/>
        <v>0</v>
      </c>
      <c r="DV158" s="180">
        <f t="shared" si="812"/>
        <v>0</v>
      </c>
      <c r="DW158" s="180">
        <f t="shared" si="812"/>
        <v>0</v>
      </c>
      <c r="DX158" s="180">
        <f t="shared" si="812"/>
        <v>0</v>
      </c>
      <c r="DY158" s="180">
        <f t="shared" si="812"/>
        <v>0</v>
      </c>
      <c r="DZ158" s="180">
        <f t="shared" si="812"/>
        <v>0</v>
      </c>
      <c r="EA158" s="180">
        <f t="shared" si="812"/>
        <v>0</v>
      </c>
      <c r="EB158" s="180">
        <f t="shared" si="812"/>
        <v>0</v>
      </c>
      <c r="EC158" s="180">
        <f t="shared" si="812"/>
        <v>0</v>
      </c>
      <c r="ED158" s="180">
        <f t="shared" si="812"/>
        <v>0</v>
      </c>
      <c r="EE158" s="180">
        <f t="shared" si="812"/>
        <v>0</v>
      </c>
      <c r="EF158" s="180">
        <f t="shared" si="812"/>
        <v>0</v>
      </c>
      <c r="EG158" s="180">
        <f t="shared" ref="EG158:EO158" si="813">IF($AU163&gt;$BA$19,0,$BA163-$AS163)</f>
        <v>0</v>
      </c>
      <c r="EH158" s="180">
        <f t="shared" si="813"/>
        <v>0</v>
      </c>
      <c r="EI158" s="180">
        <f t="shared" si="813"/>
        <v>0</v>
      </c>
      <c r="EJ158" s="180">
        <f t="shared" si="813"/>
        <v>0</v>
      </c>
      <c r="EK158" s="180">
        <f t="shared" si="813"/>
        <v>0</v>
      </c>
      <c r="EL158" s="180">
        <f t="shared" si="813"/>
        <v>0</v>
      </c>
      <c r="EM158" s="180">
        <f t="shared" si="813"/>
        <v>0</v>
      </c>
      <c r="EN158" s="180">
        <f t="shared" si="813"/>
        <v>0</v>
      </c>
      <c r="EO158" s="180">
        <f t="shared" si="813"/>
        <v>0</v>
      </c>
      <c r="EQ158" s="259">
        <f t="shared" ca="1" si="736"/>
        <v>50415</v>
      </c>
      <c r="ER158" s="87">
        <f t="shared" ca="1" si="744"/>
        <v>0</v>
      </c>
      <c r="ES158" s="87">
        <f t="shared" ca="1" si="744"/>
        <v>0</v>
      </c>
      <c r="ET158" s="87">
        <f t="shared" ca="1" si="744"/>
        <v>0</v>
      </c>
      <c r="EU158" s="87">
        <f t="shared" ca="1" si="744"/>
        <v>0</v>
      </c>
      <c r="EV158" s="87">
        <f t="shared" ca="1" si="744"/>
        <v>0</v>
      </c>
      <c r="EW158" s="87">
        <f t="shared" ca="1" si="744"/>
        <v>0</v>
      </c>
      <c r="EX158" s="87">
        <f t="shared" ca="1" si="744"/>
        <v>0</v>
      </c>
      <c r="EY158" s="87">
        <f t="shared" ca="1" si="744"/>
        <v>0</v>
      </c>
      <c r="EZ158" s="87">
        <f t="shared" ca="1" si="744"/>
        <v>0</v>
      </c>
      <c r="FA158" s="87">
        <f t="shared" ca="1" si="744"/>
        <v>0</v>
      </c>
      <c r="FB158" s="87">
        <f t="shared" ca="1" si="744"/>
        <v>0</v>
      </c>
      <c r="FC158" s="87">
        <f t="shared" ca="1" si="744"/>
        <v>0</v>
      </c>
      <c r="FD158" s="87">
        <f t="shared" ca="1" si="744"/>
        <v>0</v>
      </c>
      <c r="FE158" s="87">
        <f t="shared" ca="1" si="744"/>
        <v>0</v>
      </c>
      <c r="FF158" s="87">
        <f t="shared" ca="1" si="744"/>
        <v>0</v>
      </c>
      <c r="FG158" s="87">
        <f t="shared" ca="1" si="729"/>
        <v>0</v>
      </c>
      <c r="FH158" s="87">
        <f t="shared" ca="1" si="729"/>
        <v>0</v>
      </c>
      <c r="FI158" s="87">
        <f t="shared" ca="1" si="729"/>
        <v>0</v>
      </c>
      <c r="FJ158" s="87">
        <f t="shared" ca="1" si="729"/>
        <v>0</v>
      </c>
      <c r="FK158" s="87">
        <f t="shared" ca="1" si="729"/>
        <v>0</v>
      </c>
      <c r="FL158" s="87">
        <f t="shared" ca="1" si="729"/>
        <v>0</v>
      </c>
      <c r="FM158" s="87">
        <f t="shared" ca="1" si="729"/>
        <v>0</v>
      </c>
      <c r="FN158" s="87">
        <f t="shared" ca="1" si="729"/>
        <v>0</v>
      </c>
      <c r="FO158" s="87">
        <f t="shared" ca="1" si="729"/>
        <v>0</v>
      </c>
      <c r="FP158" s="87">
        <f t="shared" ca="1" si="729"/>
        <v>0</v>
      </c>
    </row>
    <row r="159" spans="2:172" ht="12.75" hidden="1" customHeight="1" x14ac:dyDescent="0.25">
      <c r="B159" s="87">
        <v>101</v>
      </c>
      <c r="C159" s="181">
        <f t="shared" ca="1" si="788"/>
        <v>49227</v>
      </c>
      <c r="D159" s="380">
        <f t="shared" ref="D159:M168" si="814">IF($B159&lt;=D$20,1/(($C$57+1)^(($C159-$C$58)/30)),0)</f>
        <v>0</v>
      </c>
      <c r="E159" s="380">
        <f t="shared" si="814"/>
        <v>0</v>
      </c>
      <c r="F159" s="380">
        <f t="shared" si="814"/>
        <v>0</v>
      </c>
      <c r="G159" s="380">
        <f t="shared" si="814"/>
        <v>0</v>
      </c>
      <c r="H159" s="380">
        <f t="shared" si="814"/>
        <v>0</v>
      </c>
      <c r="I159" s="380">
        <f t="shared" si="814"/>
        <v>0</v>
      </c>
      <c r="J159" s="380">
        <f t="shared" si="814"/>
        <v>0</v>
      </c>
      <c r="K159" s="380">
        <f t="shared" si="814"/>
        <v>0</v>
      </c>
      <c r="L159" s="380">
        <f t="shared" si="814"/>
        <v>0</v>
      </c>
      <c r="M159" s="380">
        <f t="shared" si="814"/>
        <v>0</v>
      </c>
      <c r="N159" s="380">
        <f t="shared" ref="N159:T168" si="815">IF($B159&lt;=N$20,1/(($C$57+1)^(($C159-$C$58)/30)),0)</f>
        <v>0</v>
      </c>
      <c r="O159" s="380">
        <f t="shared" si="815"/>
        <v>0</v>
      </c>
      <c r="P159" s="380">
        <f t="shared" si="815"/>
        <v>0</v>
      </c>
      <c r="Q159" s="380">
        <f t="shared" si="815"/>
        <v>0</v>
      </c>
      <c r="R159" s="380">
        <f t="shared" si="815"/>
        <v>0</v>
      </c>
      <c r="S159" s="380">
        <f t="shared" si="815"/>
        <v>0</v>
      </c>
      <c r="T159" s="380">
        <f t="shared" si="815"/>
        <v>0</v>
      </c>
      <c r="U159" s="175"/>
      <c r="X159" s="87">
        <v>144</v>
      </c>
      <c r="Y159" s="377">
        <f t="shared" si="698"/>
        <v>0</v>
      </c>
      <c r="Z159" s="377">
        <f t="shared" si="699"/>
        <v>0</v>
      </c>
      <c r="AA159" s="377">
        <f t="shared" si="700"/>
        <v>0</v>
      </c>
      <c r="AB159" s="377">
        <f t="shared" si="701"/>
        <v>0</v>
      </c>
      <c r="AC159" s="377">
        <f t="shared" si="702"/>
        <v>0</v>
      </c>
      <c r="AD159" s="377">
        <f t="shared" si="703"/>
        <v>0</v>
      </c>
      <c r="AE159" s="377">
        <f t="shared" si="704"/>
        <v>0</v>
      </c>
      <c r="AF159" s="377">
        <f t="shared" si="705"/>
        <v>0</v>
      </c>
      <c r="AG159" s="377">
        <f t="shared" si="706"/>
        <v>0</v>
      </c>
      <c r="AH159" s="377">
        <f t="shared" si="707"/>
        <v>0</v>
      </c>
      <c r="AI159" s="377">
        <f t="shared" si="708"/>
        <v>0</v>
      </c>
      <c r="AJ159" s="377">
        <f t="shared" si="709"/>
        <v>0</v>
      </c>
      <c r="AK159" s="377">
        <f t="shared" si="710"/>
        <v>0</v>
      </c>
      <c r="AL159" s="377">
        <f t="shared" si="711"/>
        <v>0</v>
      </c>
      <c r="AM159" s="377">
        <f t="shared" si="712"/>
        <v>0</v>
      </c>
      <c r="AN159" s="377">
        <f t="shared" si="713"/>
        <v>0</v>
      </c>
      <c r="AO159" s="377">
        <f t="shared" si="714"/>
        <v>0</v>
      </c>
      <c r="AQ159" s="138">
        <v>136</v>
      </c>
      <c r="AR159" s="258">
        <f t="shared" ca="1" si="528"/>
        <v>50293</v>
      </c>
      <c r="AS159" s="378">
        <f t="shared" si="762"/>
        <v>0</v>
      </c>
      <c r="AU159" s="138">
        <v>136</v>
      </c>
      <c r="AV159" s="258">
        <f t="shared" ca="1" si="529"/>
        <v>50323</v>
      </c>
      <c r="AW159" s="378">
        <f t="shared" si="763"/>
        <v>0</v>
      </c>
      <c r="AX159" s="202">
        <f t="shared" ca="1" si="764"/>
        <v>0</v>
      </c>
      <c r="AY159" s="138">
        <v>136</v>
      </c>
      <c r="AZ159" s="258">
        <f t="shared" ca="1" si="530"/>
        <v>50323</v>
      </c>
      <c r="BA159" s="378">
        <f t="shared" si="765"/>
        <v>0</v>
      </c>
      <c r="BC159" s="258">
        <f t="shared" ca="1" si="591"/>
        <v>50293</v>
      </c>
      <c r="BD159" s="302">
        <f t="shared" ca="1" si="592"/>
        <v>0</v>
      </c>
      <c r="BE159" s="133">
        <f t="shared" si="755"/>
        <v>136</v>
      </c>
      <c r="BF159" s="379">
        <f t="shared" ca="1" si="756"/>
        <v>50293</v>
      </c>
      <c r="BG159" s="133">
        <f t="shared" si="766"/>
        <v>0</v>
      </c>
      <c r="BH159" s="133">
        <f t="shared" si="767"/>
        <v>0</v>
      </c>
      <c r="BI159" s="133">
        <f t="shared" si="768"/>
        <v>0</v>
      </c>
      <c r="BJ159" s="133">
        <f t="shared" si="769"/>
        <v>0</v>
      </c>
      <c r="BK159" s="133">
        <f t="shared" si="770"/>
        <v>0</v>
      </c>
      <c r="BL159" s="133">
        <f t="shared" si="771"/>
        <v>0</v>
      </c>
      <c r="BM159" s="133">
        <f t="shared" si="772"/>
        <v>0</v>
      </c>
      <c r="BN159" s="133">
        <f t="shared" si="773"/>
        <v>0</v>
      </c>
      <c r="BO159" s="133">
        <f t="shared" si="774"/>
        <v>0</v>
      </c>
      <c r="BP159" s="133">
        <f t="shared" si="775"/>
        <v>0</v>
      </c>
      <c r="BQ159" s="133">
        <f t="shared" si="776"/>
        <v>0</v>
      </c>
      <c r="BR159" s="133">
        <f t="shared" si="777"/>
        <v>0</v>
      </c>
      <c r="BS159" s="133">
        <f t="shared" si="778"/>
        <v>0</v>
      </c>
      <c r="BT159" s="133">
        <f t="shared" si="779"/>
        <v>0</v>
      </c>
      <c r="BU159" s="133">
        <f t="shared" si="780"/>
        <v>0</v>
      </c>
      <c r="BV159" s="133">
        <f t="shared" si="781"/>
        <v>0</v>
      </c>
      <c r="BW159" s="133">
        <f t="shared" si="782"/>
        <v>0</v>
      </c>
      <c r="BX159" s="267"/>
      <c r="BY159" s="267"/>
      <c r="BZ159" s="267"/>
      <c r="CA159" s="267"/>
      <c r="CB159" s="267"/>
      <c r="CC159" s="267"/>
      <c r="CD159" s="267"/>
      <c r="CE159" s="267"/>
      <c r="CF159" s="267"/>
      <c r="CG159" s="267"/>
      <c r="CS159" s="138">
        <v>141</v>
      </c>
      <c r="CT159" s="259">
        <f t="shared" ca="1" si="723"/>
        <v>50474</v>
      </c>
      <c r="CU159" s="179">
        <f t="shared" ref="CU159:DC159" ca="1" si="816">(($AW164/(1+CU$18)^(($AZ164-$AZ$23)/30)))+($AS164/(1+CU$18)^(($AZ164-$AZ$23)/30))</f>
        <v>0</v>
      </c>
      <c r="CV159" s="179">
        <f t="shared" ca="1" si="816"/>
        <v>0</v>
      </c>
      <c r="CW159" s="179">
        <f t="shared" ca="1" si="816"/>
        <v>0</v>
      </c>
      <c r="CX159" s="179">
        <f t="shared" ca="1" si="816"/>
        <v>0</v>
      </c>
      <c r="CY159" s="179">
        <f t="shared" ca="1" si="816"/>
        <v>0</v>
      </c>
      <c r="CZ159" s="179">
        <f t="shared" ca="1" si="816"/>
        <v>0</v>
      </c>
      <c r="DA159" s="179">
        <f t="shared" ca="1" si="816"/>
        <v>0</v>
      </c>
      <c r="DB159" s="179">
        <f t="shared" ca="1" si="816"/>
        <v>0</v>
      </c>
      <c r="DC159" s="179">
        <f t="shared" ca="1" si="816"/>
        <v>0</v>
      </c>
      <c r="DD159" s="179">
        <f t="shared" ref="DD159:DI159" ca="1" si="817">(($AW164/(1+DD$18)^(($AZ164-$AZ$23)/30)))+($AS164/(1+DD$18)^(($AZ164-$AZ$23)/30))</f>
        <v>0</v>
      </c>
      <c r="DE159" s="179">
        <f t="shared" ca="1" si="817"/>
        <v>0</v>
      </c>
      <c r="DF159" s="179" t="e">
        <f t="shared" ca="1" si="817"/>
        <v>#VALUE!</v>
      </c>
      <c r="DG159" s="179" t="e">
        <f t="shared" ca="1" si="817"/>
        <v>#VALUE!</v>
      </c>
      <c r="DH159" s="179" t="e">
        <f t="shared" ca="1" si="817"/>
        <v>#VALUE!</v>
      </c>
      <c r="DI159" s="179" t="e">
        <f t="shared" ca="1" si="817"/>
        <v>#VALUE!</v>
      </c>
      <c r="DJ159" s="179" t="e">
        <f t="shared" ref="DJ159:DQ159" ca="1" si="818">(($AW164/(1+DJ$18)^(($AZ164-$AZ$23)/30)))+($AS164/(1+DJ$18)^(($AZ164-$AZ$23)/30))</f>
        <v>#VALUE!</v>
      </c>
      <c r="DK159" s="179" t="e">
        <f t="shared" ca="1" si="818"/>
        <v>#VALUE!</v>
      </c>
      <c r="DL159" s="179" t="e">
        <f t="shared" ca="1" si="818"/>
        <v>#VALUE!</v>
      </c>
      <c r="DM159" s="179" t="e">
        <f t="shared" ca="1" si="818"/>
        <v>#VALUE!</v>
      </c>
      <c r="DN159" s="179" t="e">
        <f t="shared" ca="1" si="818"/>
        <v>#VALUE!</v>
      </c>
      <c r="DO159" s="179" t="e">
        <f t="shared" ca="1" si="818"/>
        <v>#VALUE!</v>
      </c>
      <c r="DP159" s="179" t="e">
        <f t="shared" ca="1" si="818"/>
        <v>#VALUE!</v>
      </c>
      <c r="DQ159" s="179" t="e">
        <f t="shared" ca="1" si="818"/>
        <v>#VALUE!</v>
      </c>
      <c r="DR159" s="180">
        <f t="shared" si="733"/>
        <v>0</v>
      </c>
      <c r="DS159" s="180">
        <f t="shared" ref="DS159:EF159" si="819">IF($AU164&gt;$BA$19,0,$BA164-$AS164)</f>
        <v>0</v>
      </c>
      <c r="DT159" s="180">
        <f t="shared" si="819"/>
        <v>0</v>
      </c>
      <c r="DU159" s="180">
        <f t="shared" si="819"/>
        <v>0</v>
      </c>
      <c r="DV159" s="180">
        <f t="shared" si="819"/>
        <v>0</v>
      </c>
      <c r="DW159" s="180">
        <f t="shared" si="819"/>
        <v>0</v>
      </c>
      <c r="DX159" s="180">
        <f t="shared" si="819"/>
        <v>0</v>
      </c>
      <c r="DY159" s="180">
        <f t="shared" si="819"/>
        <v>0</v>
      </c>
      <c r="DZ159" s="180">
        <f t="shared" si="819"/>
        <v>0</v>
      </c>
      <c r="EA159" s="180">
        <f t="shared" si="819"/>
        <v>0</v>
      </c>
      <c r="EB159" s="180">
        <f t="shared" si="819"/>
        <v>0</v>
      </c>
      <c r="EC159" s="180">
        <f t="shared" si="819"/>
        <v>0</v>
      </c>
      <c r="ED159" s="180">
        <f t="shared" si="819"/>
        <v>0</v>
      </c>
      <c r="EE159" s="180">
        <f t="shared" si="819"/>
        <v>0</v>
      </c>
      <c r="EF159" s="180">
        <f t="shared" si="819"/>
        <v>0</v>
      </c>
      <c r="EG159" s="180">
        <f t="shared" ref="EG159:EO159" si="820">IF($AU164&gt;$BA$19,0,$BA164-$AS164)</f>
        <v>0</v>
      </c>
      <c r="EH159" s="180">
        <f t="shared" si="820"/>
        <v>0</v>
      </c>
      <c r="EI159" s="180">
        <f t="shared" si="820"/>
        <v>0</v>
      </c>
      <c r="EJ159" s="180">
        <f t="shared" si="820"/>
        <v>0</v>
      </c>
      <c r="EK159" s="180">
        <f t="shared" si="820"/>
        <v>0</v>
      </c>
      <c r="EL159" s="180">
        <f t="shared" si="820"/>
        <v>0</v>
      </c>
      <c r="EM159" s="180">
        <f t="shared" si="820"/>
        <v>0</v>
      </c>
      <c r="EN159" s="180">
        <f t="shared" si="820"/>
        <v>0</v>
      </c>
      <c r="EO159" s="180">
        <f t="shared" si="820"/>
        <v>0</v>
      </c>
      <c r="EQ159" s="259">
        <f t="shared" ca="1" si="736"/>
        <v>50446</v>
      </c>
      <c r="ER159" s="87">
        <f t="shared" ref="ER159:FF165" ca="1" si="821" xml:space="preserve"> IFERROR(VLOOKUP($EQ159,$AZ$23:$BA$167,2,FALSE),0)-IFERROR(VLOOKUP($EQ159,$AR$23:$AS$167,2,FALSE),0)</f>
        <v>0</v>
      </c>
      <c r="ES159" s="87">
        <f t="shared" ca="1" si="821"/>
        <v>0</v>
      </c>
      <c r="ET159" s="87">
        <f t="shared" ca="1" si="821"/>
        <v>0</v>
      </c>
      <c r="EU159" s="87">
        <f t="shared" ca="1" si="821"/>
        <v>0</v>
      </c>
      <c r="EV159" s="87">
        <f t="shared" ca="1" si="821"/>
        <v>0</v>
      </c>
      <c r="EW159" s="87">
        <f t="shared" ca="1" si="821"/>
        <v>0</v>
      </c>
      <c r="EX159" s="87">
        <f t="shared" ca="1" si="821"/>
        <v>0</v>
      </c>
      <c r="EY159" s="87">
        <f t="shared" ca="1" si="821"/>
        <v>0</v>
      </c>
      <c r="EZ159" s="87">
        <f t="shared" ca="1" si="821"/>
        <v>0</v>
      </c>
      <c r="FA159" s="87">
        <f t="shared" ca="1" si="821"/>
        <v>0</v>
      </c>
      <c r="FB159" s="87">
        <f t="shared" ca="1" si="821"/>
        <v>0</v>
      </c>
      <c r="FC159" s="87">
        <f t="shared" ca="1" si="821"/>
        <v>0</v>
      </c>
      <c r="FD159" s="87">
        <f t="shared" ca="1" si="821"/>
        <v>0</v>
      </c>
      <c r="FE159" s="87">
        <f t="shared" ca="1" si="821"/>
        <v>0</v>
      </c>
      <c r="FF159" s="87">
        <f t="shared" ca="1" si="821"/>
        <v>0</v>
      </c>
      <c r="FG159" s="87">
        <f t="shared" ca="1" si="729"/>
        <v>0</v>
      </c>
      <c r="FH159" s="87">
        <f t="shared" ca="1" si="729"/>
        <v>0</v>
      </c>
      <c r="FI159" s="87">
        <f t="shared" ca="1" si="729"/>
        <v>0</v>
      </c>
      <c r="FJ159" s="87">
        <f t="shared" ca="1" si="729"/>
        <v>0</v>
      </c>
      <c r="FK159" s="87">
        <f t="shared" ca="1" si="729"/>
        <v>0</v>
      </c>
      <c r="FL159" s="87">
        <f t="shared" ca="1" si="729"/>
        <v>0</v>
      </c>
      <c r="FM159" s="87">
        <f t="shared" ca="1" si="729"/>
        <v>0</v>
      </c>
      <c r="FN159" s="87">
        <f t="shared" ca="1" si="729"/>
        <v>0</v>
      </c>
      <c r="FO159" s="87">
        <f t="shared" ca="1" si="729"/>
        <v>0</v>
      </c>
      <c r="FP159" s="87">
        <f t="shared" ca="1" si="729"/>
        <v>0</v>
      </c>
    </row>
    <row r="160" spans="2:172" ht="12.75" hidden="1" customHeight="1" x14ac:dyDescent="0.25">
      <c r="B160" s="87">
        <v>102</v>
      </c>
      <c r="C160" s="181">
        <f t="shared" ca="1" si="788"/>
        <v>49258</v>
      </c>
      <c r="D160" s="380">
        <f t="shared" si="814"/>
        <v>0</v>
      </c>
      <c r="E160" s="380">
        <f t="shared" si="814"/>
        <v>0</v>
      </c>
      <c r="F160" s="380">
        <f t="shared" si="814"/>
        <v>0</v>
      </c>
      <c r="G160" s="380">
        <f t="shared" si="814"/>
        <v>0</v>
      </c>
      <c r="H160" s="380">
        <f t="shared" si="814"/>
        <v>0</v>
      </c>
      <c r="I160" s="380">
        <f t="shared" si="814"/>
        <v>0</v>
      </c>
      <c r="J160" s="380">
        <f t="shared" si="814"/>
        <v>0</v>
      </c>
      <c r="K160" s="380">
        <f t="shared" si="814"/>
        <v>0</v>
      </c>
      <c r="L160" s="380">
        <f t="shared" si="814"/>
        <v>0</v>
      </c>
      <c r="M160" s="380">
        <f t="shared" si="814"/>
        <v>0</v>
      </c>
      <c r="N160" s="380">
        <f t="shared" si="815"/>
        <v>0</v>
      </c>
      <c r="O160" s="380">
        <f t="shared" si="815"/>
        <v>0</v>
      </c>
      <c r="P160" s="380">
        <f t="shared" si="815"/>
        <v>0</v>
      </c>
      <c r="Q160" s="380">
        <f t="shared" si="815"/>
        <v>0</v>
      </c>
      <c r="R160" s="380">
        <f t="shared" si="815"/>
        <v>0</v>
      </c>
      <c r="S160" s="380">
        <f t="shared" si="815"/>
        <v>0</v>
      </c>
      <c r="T160" s="380">
        <f t="shared" si="815"/>
        <v>0</v>
      </c>
      <c r="U160" s="175"/>
      <c r="Y160" s="377">
        <f t="shared" ca="1" si="698"/>
        <v>85.212964394200711</v>
      </c>
      <c r="Z160" s="377" t="str">
        <f t="shared" si="699"/>
        <v/>
      </c>
      <c r="AA160" s="377" t="str">
        <f t="shared" si="700"/>
        <v/>
      </c>
      <c r="AB160" s="377" t="str">
        <f t="shared" si="701"/>
        <v/>
      </c>
      <c r="AC160" s="377" t="str">
        <f t="shared" si="702"/>
        <v/>
      </c>
      <c r="AD160" s="377" t="str">
        <f t="shared" si="703"/>
        <v/>
      </c>
      <c r="AE160" s="377" t="str">
        <f t="shared" si="704"/>
        <v/>
      </c>
      <c r="AF160" s="377" t="str">
        <f t="shared" si="705"/>
        <v/>
      </c>
      <c r="AG160" s="377" t="str">
        <f t="shared" si="706"/>
        <v/>
      </c>
      <c r="AH160" s="377" t="str">
        <f t="shared" si="707"/>
        <v/>
      </c>
      <c r="AI160" s="377" t="str">
        <f t="shared" si="708"/>
        <v/>
      </c>
      <c r="AJ160" s="377" t="str">
        <f t="shared" si="709"/>
        <v/>
      </c>
      <c r="AK160" s="377" t="str">
        <f t="shared" si="710"/>
        <v/>
      </c>
      <c r="AL160" s="377" t="str">
        <f t="shared" si="711"/>
        <v/>
      </c>
      <c r="AM160" s="377" t="str">
        <f t="shared" si="712"/>
        <v/>
      </c>
      <c r="AN160" s="377" t="str">
        <f t="shared" si="713"/>
        <v/>
      </c>
      <c r="AO160" s="377" t="str">
        <f t="shared" si="714"/>
        <v/>
      </c>
      <c r="AQ160" s="138">
        <v>137</v>
      </c>
      <c r="AR160" s="258">
        <f t="shared" ca="1" si="528"/>
        <v>50323</v>
      </c>
      <c r="AS160" s="378">
        <f t="shared" si="762"/>
        <v>0</v>
      </c>
      <c r="AU160" s="138">
        <v>137</v>
      </c>
      <c r="AV160" s="258">
        <f t="shared" ca="1" si="529"/>
        <v>50354</v>
      </c>
      <c r="AW160" s="378">
        <f t="shared" si="763"/>
        <v>0</v>
      </c>
      <c r="AX160" s="202">
        <f t="shared" ca="1" si="764"/>
        <v>0</v>
      </c>
      <c r="AY160" s="138">
        <v>137</v>
      </c>
      <c r="AZ160" s="258">
        <f t="shared" ca="1" si="530"/>
        <v>50354</v>
      </c>
      <c r="BA160" s="378">
        <f t="shared" si="765"/>
        <v>0</v>
      </c>
      <c r="BC160" s="258">
        <f t="shared" ca="1" si="591"/>
        <v>50323</v>
      </c>
      <c r="BD160" s="302">
        <f t="shared" ca="1" si="592"/>
        <v>0</v>
      </c>
      <c r="BE160" s="133">
        <f t="shared" si="755"/>
        <v>137</v>
      </c>
      <c r="BF160" s="379">
        <f t="shared" ca="1" si="756"/>
        <v>50323</v>
      </c>
      <c r="BG160" s="133">
        <f t="shared" si="766"/>
        <v>0</v>
      </c>
      <c r="BH160" s="133">
        <f t="shared" si="767"/>
        <v>0</v>
      </c>
      <c r="BI160" s="133">
        <f t="shared" si="768"/>
        <v>0</v>
      </c>
      <c r="BJ160" s="133">
        <f t="shared" si="769"/>
        <v>0</v>
      </c>
      <c r="BK160" s="133">
        <f t="shared" si="770"/>
        <v>0</v>
      </c>
      <c r="BL160" s="133">
        <f t="shared" si="771"/>
        <v>0</v>
      </c>
      <c r="BM160" s="133">
        <f t="shared" si="772"/>
        <v>0</v>
      </c>
      <c r="BN160" s="133">
        <f t="shared" si="773"/>
        <v>0</v>
      </c>
      <c r="BO160" s="133">
        <f t="shared" si="774"/>
        <v>0</v>
      </c>
      <c r="BP160" s="133">
        <f t="shared" si="775"/>
        <v>0</v>
      </c>
      <c r="BQ160" s="133">
        <f t="shared" si="776"/>
        <v>0</v>
      </c>
      <c r="BR160" s="133">
        <f t="shared" si="777"/>
        <v>0</v>
      </c>
      <c r="BS160" s="133">
        <f t="shared" si="778"/>
        <v>0</v>
      </c>
      <c r="BT160" s="133">
        <f t="shared" si="779"/>
        <v>0</v>
      </c>
      <c r="BU160" s="133">
        <f t="shared" si="780"/>
        <v>0</v>
      </c>
      <c r="BV160" s="133">
        <f t="shared" si="781"/>
        <v>0</v>
      </c>
      <c r="BW160" s="133">
        <f t="shared" si="782"/>
        <v>0</v>
      </c>
      <c r="BX160" s="267"/>
      <c r="BY160" s="267"/>
      <c r="BZ160" s="267"/>
      <c r="CA160" s="267"/>
      <c r="CB160" s="267"/>
      <c r="CC160" s="267"/>
      <c r="CD160" s="267"/>
      <c r="CE160" s="267"/>
      <c r="CF160" s="267"/>
      <c r="CG160" s="267"/>
      <c r="CS160" s="87">
        <v>142</v>
      </c>
      <c r="CT160" s="259">
        <f t="shared" ca="1" si="723"/>
        <v>50505</v>
      </c>
      <c r="CU160" s="179">
        <f t="shared" ref="CU160:DC160" ca="1" si="822">(($AW165/(1+CU$18)^(($AZ165-$AZ$23)/30)))+($AS165/(1+CU$18)^(($AZ165-$AZ$23)/30))</f>
        <v>0</v>
      </c>
      <c r="CV160" s="179">
        <f t="shared" ca="1" si="822"/>
        <v>0</v>
      </c>
      <c r="CW160" s="179">
        <f t="shared" ca="1" si="822"/>
        <v>0</v>
      </c>
      <c r="CX160" s="179">
        <f t="shared" ca="1" si="822"/>
        <v>0</v>
      </c>
      <c r="CY160" s="179">
        <f t="shared" ca="1" si="822"/>
        <v>0</v>
      </c>
      <c r="CZ160" s="179">
        <f t="shared" ca="1" si="822"/>
        <v>0</v>
      </c>
      <c r="DA160" s="179">
        <f t="shared" ca="1" si="822"/>
        <v>0</v>
      </c>
      <c r="DB160" s="179">
        <f t="shared" ca="1" si="822"/>
        <v>0</v>
      </c>
      <c r="DC160" s="179">
        <f t="shared" ca="1" si="822"/>
        <v>0</v>
      </c>
      <c r="DD160" s="179">
        <f t="shared" ref="DD160:DI160" ca="1" si="823">(($AW165/(1+DD$18)^(($AZ165-$AZ$23)/30)))+($AS165/(1+DD$18)^(($AZ165-$AZ$23)/30))</f>
        <v>0</v>
      </c>
      <c r="DE160" s="179">
        <f t="shared" ca="1" si="823"/>
        <v>0</v>
      </c>
      <c r="DF160" s="179" t="e">
        <f t="shared" ca="1" si="823"/>
        <v>#VALUE!</v>
      </c>
      <c r="DG160" s="179" t="e">
        <f t="shared" ca="1" si="823"/>
        <v>#VALUE!</v>
      </c>
      <c r="DH160" s="179" t="e">
        <f t="shared" ca="1" si="823"/>
        <v>#VALUE!</v>
      </c>
      <c r="DI160" s="179" t="e">
        <f t="shared" ca="1" si="823"/>
        <v>#VALUE!</v>
      </c>
      <c r="DJ160" s="179" t="e">
        <f t="shared" ref="DJ160:DQ160" ca="1" si="824">(($AW165/(1+DJ$18)^(($AZ165-$AZ$23)/30)))+($AS165/(1+DJ$18)^(($AZ165-$AZ$23)/30))</f>
        <v>#VALUE!</v>
      </c>
      <c r="DK160" s="179" t="e">
        <f t="shared" ca="1" si="824"/>
        <v>#VALUE!</v>
      </c>
      <c r="DL160" s="179" t="e">
        <f t="shared" ca="1" si="824"/>
        <v>#VALUE!</v>
      </c>
      <c r="DM160" s="179" t="e">
        <f t="shared" ca="1" si="824"/>
        <v>#VALUE!</v>
      </c>
      <c r="DN160" s="179" t="e">
        <f t="shared" ca="1" si="824"/>
        <v>#VALUE!</v>
      </c>
      <c r="DO160" s="179" t="e">
        <f t="shared" ca="1" si="824"/>
        <v>#VALUE!</v>
      </c>
      <c r="DP160" s="179" t="e">
        <f t="shared" ca="1" si="824"/>
        <v>#VALUE!</v>
      </c>
      <c r="DQ160" s="179" t="e">
        <f t="shared" ca="1" si="824"/>
        <v>#VALUE!</v>
      </c>
      <c r="DR160" s="180">
        <f t="shared" si="733"/>
        <v>0</v>
      </c>
      <c r="DS160" s="180">
        <f t="shared" ref="DS160:EF160" si="825">IF($AU165&gt;$BA$19,0,$BA165-$AS165)</f>
        <v>0</v>
      </c>
      <c r="DT160" s="180">
        <f t="shared" si="825"/>
        <v>0</v>
      </c>
      <c r="DU160" s="180">
        <f t="shared" si="825"/>
        <v>0</v>
      </c>
      <c r="DV160" s="180">
        <f t="shared" si="825"/>
        <v>0</v>
      </c>
      <c r="DW160" s="180">
        <f t="shared" si="825"/>
        <v>0</v>
      </c>
      <c r="DX160" s="180">
        <f t="shared" si="825"/>
        <v>0</v>
      </c>
      <c r="DY160" s="180">
        <f t="shared" si="825"/>
        <v>0</v>
      </c>
      <c r="DZ160" s="180">
        <f t="shared" si="825"/>
        <v>0</v>
      </c>
      <c r="EA160" s="180">
        <f t="shared" si="825"/>
        <v>0</v>
      </c>
      <c r="EB160" s="180">
        <f t="shared" si="825"/>
        <v>0</v>
      </c>
      <c r="EC160" s="180">
        <f t="shared" si="825"/>
        <v>0</v>
      </c>
      <c r="ED160" s="180">
        <f t="shared" si="825"/>
        <v>0</v>
      </c>
      <c r="EE160" s="180">
        <f t="shared" si="825"/>
        <v>0</v>
      </c>
      <c r="EF160" s="180">
        <f t="shared" si="825"/>
        <v>0</v>
      </c>
      <c r="EG160" s="180">
        <f t="shared" ref="EG160:EO160" si="826">IF($AU165&gt;$BA$19,0,$BA165-$AS165)</f>
        <v>0</v>
      </c>
      <c r="EH160" s="180">
        <f t="shared" si="826"/>
        <v>0</v>
      </c>
      <c r="EI160" s="180">
        <f t="shared" si="826"/>
        <v>0</v>
      </c>
      <c r="EJ160" s="180">
        <f t="shared" si="826"/>
        <v>0</v>
      </c>
      <c r="EK160" s="180">
        <f t="shared" si="826"/>
        <v>0</v>
      </c>
      <c r="EL160" s="180">
        <f t="shared" si="826"/>
        <v>0</v>
      </c>
      <c r="EM160" s="180">
        <f t="shared" si="826"/>
        <v>0</v>
      </c>
      <c r="EN160" s="180">
        <f t="shared" si="826"/>
        <v>0</v>
      </c>
      <c r="EO160" s="180">
        <f t="shared" si="826"/>
        <v>0</v>
      </c>
      <c r="EQ160" s="259">
        <f t="shared" ca="1" si="736"/>
        <v>50474</v>
      </c>
      <c r="ER160" s="87">
        <f t="shared" ca="1" si="821"/>
        <v>0</v>
      </c>
      <c r="ES160" s="87">
        <f t="shared" ca="1" si="821"/>
        <v>0</v>
      </c>
      <c r="ET160" s="87">
        <f t="shared" ca="1" si="821"/>
        <v>0</v>
      </c>
      <c r="EU160" s="87">
        <f t="shared" ca="1" si="821"/>
        <v>0</v>
      </c>
      <c r="EV160" s="87">
        <f t="shared" ca="1" si="821"/>
        <v>0</v>
      </c>
      <c r="EW160" s="87">
        <f t="shared" ca="1" si="821"/>
        <v>0</v>
      </c>
      <c r="EX160" s="87">
        <f t="shared" ca="1" si="821"/>
        <v>0</v>
      </c>
      <c r="EY160" s="87">
        <f t="shared" ca="1" si="821"/>
        <v>0</v>
      </c>
      <c r="EZ160" s="87">
        <f t="shared" ca="1" si="821"/>
        <v>0</v>
      </c>
      <c r="FA160" s="87">
        <f t="shared" ca="1" si="821"/>
        <v>0</v>
      </c>
      <c r="FB160" s="87">
        <f t="shared" ca="1" si="821"/>
        <v>0</v>
      </c>
      <c r="FC160" s="87">
        <f t="shared" ca="1" si="821"/>
        <v>0</v>
      </c>
      <c r="FD160" s="87">
        <f t="shared" ca="1" si="821"/>
        <v>0</v>
      </c>
      <c r="FE160" s="87">
        <f t="shared" ca="1" si="821"/>
        <v>0</v>
      </c>
      <c r="FF160" s="87">
        <f t="shared" ca="1" si="821"/>
        <v>0</v>
      </c>
      <c r="FG160" s="87">
        <f t="shared" ca="1" si="729"/>
        <v>0</v>
      </c>
      <c r="FH160" s="87">
        <f t="shared" ca="1" si="729"/>
        <v>0</v>
      </c>
      <c r="FI160" s="87">
        <f t="shared" ca="1" si="729"/>
        <v>0</v>
      </c>
      <c r="FJ160" s="87">
        <f t="shared" ca="1" si="729"/>
        <v>0</v>
      </c>
      <c r="FK160" s="87">
        <f t="shared" ca="1" si="729"/>
        <v>0</v>
      </c>
      <c r="FL160" s="87">
        <f t="shared" ca="1" si="729"/>
        <v>0</v>
      </c>
      <c r="FM160" s="87">
        <f t="shared" ca="1" si="729"/>
        <v>0</v>
      </c>
      <c r="FN160" s="87">
        <f t="shared" ca="1" si="729"/>
        <v>0</v>
      </c>
      <c r="FO160" s="87">
        <f t="shared" ca="1" si="729"/>
        <v>0</v>
      </c>
      <c r="FP160" s="87">
        <f t="shared" ca="1" si="729"/>
        <v>0</v>
      </c>
    </row>
    <row r="161" spans="2:172" ht="12.75" hidden="1" customHeight="1" x14ac:dyDescent="0.25">
      <c r="B161" s="87">
        <v>103</v>
      </c>
      <c r="C161" s="181">
        <f t="shared" ca="1" si="788"/>
        <v>49288</v>
      </c>
      <c r="D161" s="380">
        <f t="shared" si="814"/>
        <v>0</v>
      </c>
      <c r="E161" s="380">
        <f t="shared" si="814"/>
        <v>0</v>
      </c>
      <c r="F161" s="380">
        <f t="shared" si="814"/>
        <v>0</v>
      </c>
      <c r="G161" s="380">
        <f t="shared" si="814"/>
        <v>0</v>
      </c>
      <c r="H161" s="380">
        <f t="shared" si="814"/>
        <v>0</v>
      </c>
      <c r="I161" s="380">
        <f t="shared" si="814"/>
        <v>0</v>
      </c>
      <c r="J161" s="380">
        <f t="shared" si="814"/>
        <v>0</v>
      </c>
      <c r="K161" s="380">
        <f t="shared" si="814"/>
        <v>0</v>
      </c>
      <c r="L161" s="380">
        <f t="shared" si="814"/>
        <v>0</v>
      </c>
      <c r="M161" s="380">
        <f t="shared" si="814"/>
        <v>0</v>
      </c>
      <c r="N161" s="380">
        <f t="shared" si="815"/>
        <v>0</v>
      </c>
      <c r="O161" s="380">
        <f t="shared" si="815"/>
        <v>0</v>
      </c>
      <c r="P161" s="380">
        <f t="shared" si="815"/>
        <v>0</v>
      </c>
      <c r="Q161" s="380">
        <f t="shared" si="815"/>
        <v>0</v>
      </c>
      <c r="R161" s="380">
        <f t="shared" si="815"/>
        <v>0</v>
      </c>
      <c r="S161" s="380">
        <f t="shared" si="815"/>
        <v>0</v>
      </c>
      <c r="T161" s="380">
        <f t="shared" si="815"/>
        <v>0</v>
      </c>
      <c r="U161" s="175"/>
      <c r="Y161" s="377">
        <f t="shared" ca="1" si="698"/>
        <v>85.212964394200711</v>
      </c>
      <c r="Z161" s="377" t="str">
        <f t="shared" si="699"/>
        <v/>
      </c>
      <c r="AA161" s="377" t="str">
        <f t="shared" si="700"/>
        <v/>
      </c>
      <c r="AB161" s="377" t="str">
        <f t="shared" si="701"/>
        <v/>
      </c>
      <c r="AC161" s="377" t="str">
        <f t="shared" si="702"/>
        <v/>
      </c>
      <c r="AD161" s="377" t="str">
        <f t="shared" si="703"/>
        <v/>
      </c>
      <c r="AE161" s="377" t="str">
        <f t="shared" si="704"/>
        <v/>
      </c>
      <c r="AF161" s="377" t="str">
        <f t="shared" si="705"/>
        <v/>
      </c>
      <c r="AG161" s="377" t="str">
        <f t="shared" si="706"/>
        <v/>
      </c>
      <c r="AH161" s="377" t="str">
        <f t="shared" si="707"/>
        <v/>
      </c>
      <c r="AI161" s="377" t="str">
        <f t="shared" si="708"/>
        <v/>
      </c>
      <c r="AJ161" s="377" t="str">
        <f t="shared" si="709"/>
        <v/>
      </c>
      <c r="AK161" s="377" t="str">
        <f t="shared" si="710"/>
        <v/>
      </c>
      <c r="AL161" s="377" t="str">
        <f t="shared" si="711"/>
        <v/>
      </c>
      <c r="AM161" s="377" t="str">
        <f t="shared" si="712"/>
        <v/>
      </c>
      <c r="AN161" s="377" t="str">
        <f t="shared" si="713"/>
        <v/>
      </c>
      <c r="AO161" s="377" t="str">
        <f t="shared" si="714"/>
        <v/>
      </c>
      <c r="AQ161" s="138">
        <v>138</v>
      </c>
      <c r="AR161" s="258">
        <f t="shared" ca="1" si="528"/>
        <v>50354</v>
      </c>
      <c r="AS161" s="378">
        <f t="shared" si="762"/>
        <v>0</v>
      </c>
      <c r="AU161" s="138">
        <v>138</v>
      </c>
      <c r="AV161" s="258">
        <f t="shared" ca="1" si="529"/>
        <v>50384</v>
      </c>
      <c r="AW161" s="378">
        <f t="shared" si="763"/>
        <v>0</v>
      </c>
      <c r="AX161" s="202">
        <f t="shared" ca="1" si="764"/>
        <v>0</v>
      </c>
      <c r="AY161" s="138">
        <v>138</v>
      </c>
      <c r="AZ161" s="258">
        <f t="shared" ca="1" si="530"/>
        <v>50384</v>
      </c>
      <c r="BA161" s="378">
        <f t="shared" si="765"/>
        <v>0</v>
      </c>
      <c r="BC161" s="258">
        <f t="shared" ca="1" si="591"/>
        <v>50354</v>
      </c>
      <c r="BD161" s="302">
        <f t="shared" ca="1" si="592"/>
        <v>0</v>
      </c>
      <c r="BE161" s="133">
        <f t="shared" si="755"/>
        <v>138</v>
      </c>
      <c r="BF161" s="379">
        <f t="shared" ca="1" si="756"/>
        <v>50354</v>
      </c>
      <c r="BG161" s="133">
        <f t="shared" si="766"/>
        <v>0</v>
      </c>
      <c r="BH161" s="133">
        <f t="shared" si="767"/>
        <v>0</v>
      </c>
      <c r="BI161" s="133">
        <f t="shared" si="768"/>
        <v>0</v>
      </c>
      <c r="BJ161" s="133">
        <f t="shared" si="769"/>
        <v>0</v>
      </c>
      <c r="BK161" s="133">
        <f t="shared" si="770"/>
        <v>0</v>
      </c>
      <c r="BL161" s="133">
        <f t="shared" si="771"/>
        <v>0</v>
      </c>
      <c r="BM161" s="133">
        <f t="shared" si="772"/>
        <v>0</v>
      </c>
      <c r="BN161" s="133">
        <f t="shared" si="773"/>
        <v>0</v>
      </c>
      <c r="BO161" s="133">
        <f t="shared" si="774"/>
        <v>0</v>
      </c>
      <c r="BP161" s="133">
        <f t="shared" si="775"/>
        <v>0</v>
      </c>
      <c r="BQ161" s="133">
        <f t="shared" si="776"/>
        <v>0</v>
      </c>
      <c r="BR161" s="133">
        <f t="shared" si="777"/>
        <v>0</v>
      </c>
      <c r="BS161" s="133">
        <f t="shared" si="778"/>
        <v>0</v>
      </c>
      <c r="BT161" s="133">
        <f t="shared" si="779"/>
        <v>0</v>
      </c>
      <c r="BU161" s="133">
        <f t="shared" si="780"/>
        <v>0</v>
      </c>
      <c r="BV161" s="133">
        <f t="shared" si="781"/>
        <v>0</v>
      </c>
      <c r="BW161" s="133">
        <f t="shared" si="782"/>
        <v>0</v>
      </c>
      <c r="BX161" s="267"/>
      <c r="BY161" s="267"/>
      <c r="BZ161" s="267"/>
      <c r="CA161" s="267"/>
      <c r="CB161" s="267"/>
      <c r="CC161" s="267"/>
      <c r="CD161" s="267"/>
      <c r="CE161" s="267"/>
      <c r="CF161" s="267"/>
      <c r="CG161" s="267"/>
      <c r="CS161" s="178">
        <v>143</v>
      </c>
      <c r="CT161" s="259">
        <f t="shared" ca="1" si="723"/>
        <v>50535</v>
      </c>
      <c r="CU161" s="179">
        <f t="shared" ref="CU161:DC161" ca="1" si="827">(($AW166/(1+CU$18)^(($AZ166-$AZ$23)/30)))+($AS166/(1+CU$18)^(($AZ166-$AZ$23)/30))</f>
        <v>0</v>
      </c>
      <c r="CV161" s="179">
        <f t="shared" ca="1" si="827"/>
        <v>0</v>
      </c>
      <c r="CW161" s="179">
        <f t="shared" ca="1" si="827"/>
        <v>0</v>
      </c>
      <c r="CX161" s="179">
        <f t="shared" ca="1" si="827"/>
        <v>0</v>
      </c>
      <c r="CY161" s="179">
        <f t="shared" ca="1" si="827"/>
        <v>0</v>
      </c>
      <c r="CZ161" s="179">
        <f t="shared" ca="1" si="827"/>
        <v>0</v>
      </c>
      <c r="DA161" s="179">
        <f t="shared" ca="1" si="827"/>
        <v>0</v>
      </c>
      <c r="DB161" s="179">
        <f t="shared" ca="1" si="827"/>
        <v>0</v>
      </c>
      <c r="DC161" s="179">
        <f t="shared" ca="1" si="827"/>
        <v>0</v>
      </c>
      <c r="DD161" s="179">
        <f t="shared" ref="DD161:DI161" ca="1" si="828">(($AW166/(1+DD$18)^(($AZ166-$AZ$23)/30)))+($AS166/(1+DD$18)^(($AZ166-$AZ$23)/30))</f>
        <v>0</v>
      </c>
      <c r="DE161" s="179">
        <f t="shared" ca="1" si="828"/>
        <v>0</v>
      </c>
      <c r="DF161" s="179" t="e">
        <f t="shared" ca="1" si="828"/>
        <v>#VALUE!</v>
      </c>
      <c r="DG161" s="179" t="e">
        <f t="shared" ca="1" si="828"/>
        <v>#VALUE!</v>
      </c>
      <c r="DH161" s="179" t="e">
        <f t="shared" ca="1" si="828"/>
        <v>#VALUE!</v>
      </c>
      <c r="DI161" s="179" t="e">
        <f t="shared" ca="1" si="828"/>
        <v>#VALUE!</v>
      </c>
      <c r="DJ161" s="179" t="e">
        <f t="shared" ref="DJ161:DQ161" ca="1" si="829">(($AW166/(1+DJ$18)^(($AZ166-$AZ$23)/30)))+($AS166/(1+DJ$18)^(($AZ166-$AZ$23)/30))</f>
        <v>#VALUE!</v>
      </c>
      <c r="DK161" s="179" t="e">
        <f t="shared" ca="1" si="829"/>
        <v>#VALUE!</v>
      </c>
      <c r="DL161" s="179" t="e">
        <f t="shared" ca="1" si="829"/>
        <v>#VALUE!</v>
      </c>
      <c r="DM161" s="179" t="e">
        <f t="shared" ca="1" si="829"/>
        <v>#VALUE!</v>
      </c>
      <c r="DN161" s="179" t="e">
        <f t="shared" ca="1" si="829"/>
        <v>#VALUE!</v>
      </c>
      <c r="DO161" s="179" t="e">
        <f t="shared" ca="1" si="829"/>
        <v>#VALUE!</v>
      </c>
      <c r="DP161" s="179" t="e">
        <f t="shared" ca="1" si="829"/>
        <v>#VALUE!</v>
      </c>
      <c r="DQ161" s="179" t="e">
        <f t="shared" ca="1" si="829"/>
        <v>#VALUE!</v>
      </c>
      <c r="DR161" s="180">
        <f t="shared" si="733"/>
        <v>0</v>
      </c>
      <c r="DS161" s="180">
        <f t="shared" ref="DS161:EF161" si="830">IF($AU166&gt;$BA$19,0,$BA166-$AS166)</f>
        <v>0</v>
      </c>
      <c r="DT161" s="180">
        <f t="shared" si="830"/>
        <v>0</v>
      </c>
      <c r="DU161" s="180">
        <f t="shared" si="830"/>
        <v>0</v>
      </c>
      <c r="DV161" s="180">
        <f t="shared" si="830"/>
        <v>0</v>
      </c>
      <c r="DW161" s="180">
        <f t="shared" si="830"/>
        <v>0</v>
      </c>
      <c r="DX161" s="180">
        <f t="shared" si="830"/>
        <v>0</v>
      </c>
      <c r="DY161" s="180">
        <f t="shared" si="830"/>
        <v>0</v>
      </c>
      <c r="DZ161" s="180">
        <f t="shared" si="830"/>
        <v>0</v>
      </c>
      <c r="EA161" s="180">
        <f t="shared" si="830"/>
        <v>0</v>
      </c>
      <c r="EB161" s="180">
        <f t="shared" si="830"/>
        <v>0</v>
      </c>
      <c r="EC161" s="180">
        <f t="shared" si="830"/>
        <v>0</v>
      </c>
      <c r="ED161" s="180">
        <f t="shared" si="830"/>
        <v>0</v>
      </c>
      <c r="EE161" s="180">
        <f t="shared" si="830"/>
        <v>0</v>
      </c>
      <c r="EF161" s="180">
        <f t="shared" si="830"/>
        <v>0</v>
      </c>
      <c r="EG161" s="180">
        <f t="shared" ref="EG161:EO161" si="831">IF($AU166&gt;$BA$19,0,$BA166-$AS166)</f>
        <v>0</v>
      </c>
      <c r="EH161" s="180">
        <f t="shared" si="831"/>
        <v>0</v>
      </c>
      <c r="EI161" s="180">
        <f t="shared" si="831"/>
        <v>0</v>
      </c>
      <c r="EJ161" s="180">
        <f t="shared" si="831"/>
        <v>0</v>
      </c>
      <c r="EK161" s="180">
        <f t="shared" si="831"/>
        <v>0</v>
      </c>
      <c r="EL161" s="180">
        <f t="shared" si="831"/>
        <v>0</v>
      </c>
      <c r="EM161" s="180">
        <f t="shared" si="831"/>
        <v>0</v>
      </c>
      <c r="EN161" s="180">
        <f t="shared" si="831"/>
        <v>0</v>
      </c>
      <c r="EO161" s="180">
        <f t="shared" si="831"/>
        <v>0</v>
      </c>
      <c r="EQ161" s="259">
        <f t="shared" ca="1" si="736"/>
        <v>50505</v>
      </c>
      <c r="ER161" s="87">
        <f t="shared" ca="1" si="821"/>
        <v>0</v>
      </c>
      <c r="ES161" s="87">
        <f t="shared" ca="1" si="821"/>
        <v>0</v>
      </c>
      <c r="ET161" s="87">
        <f t="shared" ca="1" si="821"/>
        <v>0</v>
      </c>
      <c r="EU161" s="87">
        <f t="shared" ca="1" si="821"/>
        <v>0</v>
      </c>
      <c r="EV161" s="87">
        <f t="shared" ca="1" si="821"/>
        <v>0</v>
      </c>
      <c r="EW161" s="87">
        <f t="shared" ca="1" si="821"/>
        <v>0</v>
      </c>
      <c r="EX161" s="87">
        <f t="shared" ca="1" si="821"/>
        <v>0</v>
      </c>
      <c r="EY161" s="87">
        <f t="shared" ca="1" si="821"/>
        <v>0</v>
      </c>
      <c r="EZ161" s="87">
        <f t="shared" ca="1" si="821"/>
        <v>0</v>
      </c>
      <c r="FA161" s="87">
        <f t="shared" ca="1" si="821"/>
        <v>0</v>
      </c>
      <c r="FB161" s="87">
        <f t="shared" ca="1" si="821"/>
        <v>0</v>
      </c>
      <c r="FC161" s="87">
        <f t="shared" ca="1" si="821"/>
        <v>0</v>
      </c>
      <c r="FD161" s="87">
        <f t="shared" ca="1" si="821"/>
        <v>0</v>
      </c>
      <c r="FE161" s="87">
        <f t="shared" ca="1" si="821"/>
        <v>0</v>
      </c>
      <c r="FF161" s="87">
        <f t="shared" ca="1" si="821"/>
        <v>0</v>
      </c>
      <c r="FG161" s="87">
        <f t="shared" ca="1" si="729"/>
        <v>0</v>
      </c>
      <c r="FH161" s="87">
        <f t="shared" ca="1" si="729"/>
        <v>0</v>
      </c>
      <c r="FI161" s="87">
        <f t="shared" ca="1" si="729"/>
        <v>0</v>
      </c>
      <c r="FJ161" s="87">
        <f t="shared" ca="1" si="729"/>
        <v>0</v>
      </c>
      <c r="FK161" s="87">
        <f t="shared" ca="1" si="729"/>
        <v>0</v>
      </c>
      <c r="FL161" s="87">
        <f t="shared" ca="1" si="729"/>
        <v>0</v>
      </c>
      <c r="FM161" s="87">
        <f t="shared" ca="1" si="729"/>
        <v>0</v>
      </c>
      <c r="FN161" s="87">
        <f t="shared" ca="1" si="729"/>
        <v>0</v>
      </c>
      <c r="FO161" s="87">
        <f t="shared" ca="1" si="729"/>
        <v>0</v>
      </c>
      <c r="FP161" s="87">
        <f t="shared" ca="1" si="729"/>
        <v>0</v>
      </c>
    </row>
    <row r="162" spans="2:172" ht="12.75" hidden="1" customHeight="1" x14ac:dyDescent="0.25">
      <c r="B162" s="87">
        <v>104</v>
      </c>
      <c r="C162" s="181">
        <f t="shared" ca="1" si="788"/>
        <v>49319</v>
      </c>
      <c r="D162" s="380">
        <f t="shared" si="814"/>
        <v>0</v>
      </c>
      <c r="E162" s="380">
        <f t="shared" si="814"/>
        <v>0</v>
      </c>
      <c r="F162" s="380">
        <f t="shared" si="814"/>
        <v>0</v>
      </c>
      <c r="G162" s="380">
        <f t="shared" si="814"/>
        <v>0</v>
      </c>
      <c r="H162" s="380">
        <f t="shared" si="814"/>
        <v>0</v>
      </c>
      <c r="I162" s="380">
        <f t="shared" si="814"/>
        <v>0</v>
      </c>
      <c r="J162" s="380">
        <f t="shared" si="814"/>
        <v>0</v>
      </c>
      <c r="K162" s="380">
        <f t="shared" si="814"/>
        <v>0</v>
      </c>
      <c r="L162" s="380">
        <f t="shared" si="814"/>
        <v>0</v>
      </c>
      <c r="M162" s="380">
        <f t="shared" si="814"/>
        <v>0</v>
      </c>
      <c r="N162" s="380">
        <f t="shared" si="815"/>
        <v>0</v>
      </c>
      <c r="O162" s="380">
        <f t="shared" si="815"/>
        <v>0</v>
      </c>
      <c r="P162" s="380">
        <f t="shared" si="815"/>
        <v>0</v>
      </c>
      <c r="Q162" s="380">
        <f t="shared" si="815"/>
        <v>0</v>
      </c>
      <c r="R162" s="380">
        <f t="shared" si="815"/>
        <v>0</v>
      </c>
      <c r="S162" s="380">
        <f t="shared" si="815"/>
        <v>0</v>
      </c>
      <c r="T162" s="380">
        <f t="shared" si="815"/>
        <v>0</v>
      </c>
      <c r="U162" s="175"/>
      <c r="AQ162" s="138">
        <v>139</v>
      </c>
      <c r="AR162" s="258">
        <f t="shared" ca="1" si="528"/>
        <v>50384</v>
      </c>
      <c r="AS162" s="378">
        <f t="shared" si="762"/>
        <v>0</v>
      </c>
      <c r="AU162" s="138">
        <v>139</v>
      </c>
      <c r="AV162" s="258">
        <f t="shared" ca="1" si="529"/>
        <v>50415</v>
      </c>
      <c r="AW162" s="378">
        <f t="shared" si="763"/>
        <v>0</v>
      </c>
      <c r="AX162" s="202">
        <f t="shared" ca="1" si="764"/>
        <v>0</v>
      </c>
      <c r="AY162" s="138">
        <v>139</v>
      </c>
      <c r="AZ162" s="258">
        <f t="shared" ca="1" si="530"/>
        <v>50415</v>
      </c>
      <c r="BA162" s="378">
        <f t="shared" si="765"/>
        <v>0</v>
      </c>
      <c r="BC162" s="258">
        <f t="shared" ca="1" si="591"/>
        <v>50384</v>
      </c>
      <c r="BD162" s="302">
        <f t="shared" ca="1" si="592"/>
        <v>0</v>
      </c>
      <c r="BE162" s="133">
        <f t="shared" si="755"/>
        <v>139</v>
      </c>
      <c r="BF162" s="379">
        <f t="shared" ca="1" si="756"/>
        <v>50384</v>
      </c>
      <c r="BG162" s="133">
        <f t="shared" si="766"/>
        <v>0</v>
      </c>
      <c r="BH162" s="133">
        <f t="shared" si="767"/>
        <v>0</v>
      </c>
      <c r="BI162" s="133">
        <f t="shared" si="768"/>
        <v>0</v>
      </c>
      <c r="BJ162" s="133">
        <f t="shared" si="769"/>
        <v>0</v>
      </c>
      <c r="BK162" s="133">
        <f t="shared" si="770"/>
        <v>0</v>
      </c>
      <c r="BL162" s="133">
        <f t="shared" si="771"/>
        <v>0</v>
      </c>
      <c r="BM162" s="133">
        <f t="shared" si="772"/>
        <v>0</v>
      </c>
      <c r="BN162" s="133">
        <f t="shared" si="773"/>
        <v>0</v>
      </c>
      <c r="BO162" s="133">
        <f t="shared" si="774"/>
        <v>0</v>
      </c>
      <c r="BP162" s="133">
        <f t="shared" si="775"/>
        <v>0</v>
      </c>
      <c r="BQ162" s="133">
        <f t="shared" si="776"/>
        <v>0</v>
      </c>
      <c r="BR162" s="133">
        <f t="shared" si="777"/>
        <v>0</v>
      </c>
      <c r="BS162" s="133">
        <f t="shared" si="778"/>
        <v>0</v>
      </c>
      <c r="BT162" s="133">
        <f t="shared" si="779"/>
        <v>0</v>
      </c>
      <c r="BU162" s="133">
        <f t="shared" si="780"/>
        <v>0</v>
      </c>
      <c r="BV162" s="133">
        <f t="shared" si="781"/>
        <v>0</v>
      </c>
      <c r="BW162" s="133">
        <f t="shared" si="782"/>
        <v>0</v>
      </c>
      <c r="BX162" s="267"/>
      <c r="BY162" s="267"/>
      <c r="BZ162" s="267"/>
      <c r="CA162" s="267"/>
      <c r="CB162" s="267"/>
      <c r="CC162" s="267"/>
      <c r="CD162" s="267"/>
      <c r="CE162" s="267"/>
      <c r="CF162" s="267"/>
      <c r="CG162" s="267"/>
      <c r="CS162" s="138">
        <v>144</v>
      </c>
      <c r="CT162" s="259">
        <f t="shared" ca="1" si="723"/>
        <v>50566</v>
      </c>
      <c r="CU162" s="179">
        <f t="shared" ref="CU162:DC162" ca="1" si="832">(($AW167/(1+CU$18)^(($AZ167-$AZ$23)/30)))+($AS167/(1+CU$18)^(($AZ167-$AZ$23)/30))</f>
        <v>0</v>
      </c>
      <c r="CV162" s="179">
        <f t="shared" ca="1" si="832"/>
        <v>0</v>
      </c>
      <c r="CW162" s="179">
        <f t="shared" ca="1" si="832"/>
        <v>0</v>
      </c>
      <c r="CX162" s="179">
        <f t="shared" ca="1" si="832"/>
        <v>0</v>
      </c>
      <c r="CY162" s="179">
        <f t="shared" ca="1" si="832"/>
        <v>0</v>
      </c>
      <c r="CZ162" s="179">
        <f t="shared" ca="1" si="832"/>
        <v>0</v>
      </c>
      <c r="DA162" s="179">
        <f t="shared" ca="1" si="832"/>
        <v>0</v>
      </c>
      <c r="DB162" s="179">
        <f t="shared" ca="1" si="832"/>
        <v>0</v>
      </c>
      <c r="DC162" s="179">
        <f t="shared" ca="1" si="832"/>
        <v>0</v>
      </c>
      <c r="DD162" s="179">
        <f t="shared" ref="DD162:DI162" ca="1" si="833">(($AW167/(1+DD$18)^(($AZ167-$AZ$23)/30)))+($AS167/(1+DD$18)^(($AZ167-$AZ$23)/30))</f>
        <v>0</v>
      </c>
      <c r="DE162" s="179">
        <f t="shared" ca="1" si="833"/>
        <v>0</v>
      </c>
      <c r="DF162" s="179" t="e">
        <f t="shared" ca="1" si="833"/>
        <v>#VALUE!</v>
      </c>
      <c r="DG162" s="179" t="e">
        <f t="shared" ca="1" si="833"/>
        <v>#VALUE!</v>
      </c>
      <c r="DH162" s="179" t="e">
        <f t="shared" ca="1" si="833"/>
        <v>#VALUE!</v>
      </c>
      <c r="DI162" s="179" t="e">
        <f t="shared" ca="1" si="833"/>
        <v>#VALUE!</v>
      </c>
      <c r="DJ162" s="179" t="e">
        <f t="shared" ref="DJ162:DQ162" ca="1" si="834">(($AW167/(1+DJ$18)^(($AZ167-$AZ$23)/30)))+($AS167/(1+DJ$18)^(($AZ167-$AZ$23)/30))</f>
        <v>#VALUE!</v>
      </c>
      <c r="DK162" s="179" t="e">
        <f t="shared" ca="1" si="834"/>
        <v>#VALUE!</v>
      </c>
      <c r="DL162" s="179" t="e">
        <f t="shared" ca="1" si="834"/>
        <v>#VALUE!</v>
      </c>
      <c r="DM162" s="179" t="e">
        <f t="shared" ca="1" si="834"/>
        <v>#VALUE!</v>
      </c>
      <c r="DN162" s="179" t="e">
        <f t="shared" ca="1" si="834"/>
        <v>#VALUE!</v>
      </c>
      <c r="DO162" s="179" t="e">
        <f t="shared" ca="1" si="834"/>
        <v>#VALUE!</v>
      </c>
      <c r="DP162" s="179" t="e">
        <f t="shared" ca="1" si="834"/>
        <v>#VALUE!</v>
      </c>
      <c r="DQ162" s="179" t="e">
        <f t="shared" ca="1" si="834"/>
        <v>#VALUE!</v>
      </c>
      <c r="DR162" s="180">
        <f t="shared" si="733"/>
        <v>0</v>
      </c>
      <c r="DS162" s="180">
        <f t="shared" ref="DS162:EF162" si="835">IF($AU167&gt;$BA$19,0,$BA167-$AS167)</f>
        <v>0</v>
      </c>
      <c r="DT162" s="180">
        <f t="shared" si="835"/>
        <v>0</v>
      </c>
      <c r="DU162" s="180">
        <f t="shared" si="835"/>
        <v>0</v>
      </c>
      <c r="DV162" s="180">
        <f t="shared" si="835"/>
        <v>0</v>
      </c>
      <c r="DW162" s="180">
        <f t="shared" si="835"/>
        <v>0</v>
      </c>
      <c r="DX162" s="180">
        <f t="shared" si="835"/>
        <v>0</v>
      </c>
      <c r="DY162" s="180">
        <f t="shared" si="835"/>
        <v>0</v>
      </c>
      <c r="DZ162" s="180">
        <f t="shared" si="835"/>
        <v>0</v>
      </c>
      <c r="EA162" s="180">
        <f t="shared" si="835"/>
        <v>0</v>
      </c>
      <c r="EB162" s="180">
        <f t="shared" si="835"/>
        <v>0</v>
      </c>
      <c r="EC162" s="180">
        <f t="shared" si="835"/>
        <v>0</v>
      </c>
      <c r="ED162" s="180">
        <f t="shared" si="835"/>
        <v>0</v>
      </c>
      <c r="EE162" s="180">
        <f t="shared" si="835"/>
        <v>0</v>
      </c>
      <c r="EF162" s="180">
        <f t="shared" si="835"/>
        <v>0</v>
      </c>
      <c r="EG162" s="180">
        <f t="shared" ref="EG162:EO162" si="836">IF($AU167&gt;$BA$19,0,$BA167-$AS167)</f>
        <v>0</v>
      </c>
      <c r="EH162" s="180">
        <f t="shared" si="836"/>
        <v>0</v>
      </c>
      <c r="EI162" s="180">
        <f t="shared" si="836"/>
        <v>0</v>
      </c>
      <c r="EJ162" s="180">
        <f t="shared" si="836"/>
        <v>0</v>
      </c>
      <c r="EK162" s="180">
        <f t="shared" si="836"/>
        <v>0</v>
      </c>
      <c r="EL162" s="180">
        <f t="shared" si="836"/>
        <v>0</v>
      </c>
      <c r="EM162" s="180">
        <f t="shared" si="836"/>
        <v>0</v>
      </c>
      <c r="EN162" s="180">
        <f t="shared" si="836"/>
        <v>0</v>
      </c>
      <c r="EO162" s="180">
        <f t="shared" si="836"/>
        <v>0</v>
      </c>
      <c r="EQ162" s="259">
        <f t="shared" ca="1" si="736"/>
        <v>50535</v>
      </c>
      <c r="ER162" s="87">
        <f t="shared" ca="1" si="821"/>
        <v>0</v>
      </c>
      <c r="ES162" s="87">
        <f t="shared" ca="1" si="821"/>
        <v>0</v>
      </c>
      <c r="ET162" s="87">
        <f t="shared" ca="1" si="821"/>
        <v>0</v>
      </c>
      <c r="EU162" s="87">
        <f t="shared" ca="1" si="821"/>
        <v>0</v>
      </c>
      <c r="EV162" s="87">
        <f t="shared" ca="1" si="821"/>
        <v>0</v>
      </c>
      <c r="EW162" s="87">
        <f t="shared" ca="1" si="821"/>
        <v>0</v>
      </c>
      <c r="EX162" s="87">
        <f t="shared" ca="1" si="821"/>
        <v>0</v>
      </c>
      <c r="EY162" s="87">
        <f t="shared" ca="1" si="821"/>
        <v>0</v>
      </c>
      <c r="EZ162" s="87">
        <f t="shared" ca="1" si="821"/>
        <v>0</v>
      </c>
      <c r="FA162" s="87">
        <f t="shared" ca="1" si="821"/>
        <v>0</v>
      </c>
      <c r="FB162" s="87">
        <f t="shared" ca="1" si="821"/>
        <v>0</v>
      </c>
      <c r="FC162" s="87">
        <f t="shared" ca="1" si="821"/>
        <v>0</v>
      </c>
      <c r="FD162" s="87">
        <f t="shared" ca="1" si="821"/>
        <v>0</v>
      </c>
      <c r="FE162" s="87">
        <f t="shared" ca="1" si="821"/>
        <v>0</v>
      </c>
      <c r="FF162" s="87">
        <f t="shared" ca="1" si="821"/>
        <v>0</v>
      </c>
      <c r="FG162" s="87">
        <f t="shared" ca="1" si="729"/>
        <v>0</v>
      </c>
      <c r="FH162" s="87">
        <f t="shared" ca="1" si="729"/>
        <v>0</v>
      </c>
      <c r="FI162" s="87">
        <f t="shared" ca="1" si="729"/>
        <v>0</v>
      </c>
      <c r="FJ162" s="87">
        <f t="shared" ca="1" si="729"/>
        <v>0</v>
      </c>
      <c r="FK162" s="87">
        <f t="shared" ca="1" si="729"/>
        <v>0</v>
      </c>
      <c r="FL162" s="87">
        <f t="shared" ca="1" si="729"/>
        <v>0</v>
      </c>
      <c r="FM162" s="87">
        <f t="shared" ca="1" si="729"/>
        <v>0</v>
      </c>
      <c r="FN162" s="87">
        <f t="shared" ca="1" si="729"/>
        <v>0</v>
      </c>
      <c r="FO162" s="87">
        <f t="shared" ca="1" si="729"/>
        <v>0</v>
      </c>
      <c r="FP162" s="87">
        <f t="shared" ca="1" si="729"/>
        <v>0</v>
      </c>
    </row>
    <row r="163" spans="2:172" ht="12.75" hidden="1" customHeight="1" x14ac:dyDescent="0.25">
      <c r="B163" s="87">
        <v>105</v>
      </c>
      <c r="C163" s="181">
        <f t="shared" ca="1" si="788"/>
        <v>49350</v>
      </c>
      <c r="D163" s="380">
        <f t="shared" si="814"/>
        <v>0</v>
      </c>
      <c r="E163" s="380">
        <f t="shared" si="814"/>
        <v>0</v>
      </c>
      <c r="F163" s="380">
        <f t="shared" si="814"/>
        <v>0</v>
      </c>
      <c r="G163" s="380">
        <f t="shared" si="814"/>
        <v>0</v>
      </c>
      <c r="H163" s="380">
        <f t="shared" si="814"/>
        <v>0</v>
      </c>
      <c r="I163" s="380">
        <f t="shared" si="814"/>
        <v>0</v>
      </c>
      <c r="J163" s="380">
        <f t="shared" si="814"/>
        <v>0</v>
      </c>
      <c r="K163" s="380">
        <f t="shared" si="814"/>
        <v>0</v>
      </c>
      <c r="L163" s="380">
        <f t="shared" si="814"/>
        <v>0</v>
      </c>
      <c r="M163" s="380">
        <f t="shared" si="814"/>
        <v>0</v>
      </c>
      <c r="N163" s="380">
        <f t="shared" si="815"/>
        <v>0</v>
      </c>
      <c r="O163" s="380">
        <f t="shared" si="815"/>
        <v>0</v>
      </c>
      <c r="P163" s="380">
        <f t="shared" si="815"/>
        <v>0</v>
      </c>
      <c r="Q163" s="380">
        <f t="shared" si="815"/>
        <v>0</v>
      </c>
      <c r="R163" s="380">
        <f t="shared" si="815"/>
        <v>0</v>
      </c>
      <c r="S163" s="380">
        <f t="shared" si="815"/>
        <v>0</v>
      </c>
      <c r="T163" s="380">
        <f t="shared" si="815"/>
        <v>0</v>
      </c>
      <c r="U163" s="175"/>
      <c r="AQ163" s="138">
        <v>140</v>
      </c>
      <c r="AR163" s="258">
        <f t="shared" ca="1" si="528"/>
        <v>50415</v>
      </c>
      <c r="AS163" s="378">
        <f t="shared" si="762"/>
        <v>0</v>
      </c>
      <c r="AU163" s="138">
        <v>140</v>
      </c>
      <c r="AV163" s="258">
        <f t="shared" ca="1" si="529"/>
        <v>50446</v>
      </c>
      <c r="AW163" s="378">
        <f t="shared" si="763"/>
        <v>0</v>
      </c>
      <c r="AX163" s="202">
        <f t="shared" ca="1" si="764"/>
        <v>0</v>
      </c>
      <c r="AY163" s="138">
        <v>140</v>
      </c>
      <c r="AZ163" s="258">
        <f t="shared" ca="1" si="530"/>
        <v>50446</v>
      </c>
      <c r="BA163" s="378">
        <f t="shared" si="765"/>
        <v>0</v>
      </c>
      <c r="BC163" s="258">
        <f t="shared" ca="1" si="591"/>
        <v>50415</v>
      </c>
      <c r="BD163" s="302">
        <f t="shared" ca="1" si="592"/>
        <v>0</v>
      </c>
      <c r="BE163" s="133">
        <f t="shared" si="755"/>
        <v>140</v>
      </c>
      <c r="BF163" s="379">
        <f t="shared" ca="1" si="756"/>
        <v>50415</v>
      </c>
      <c r="BG163" s="133">
        <f t="shared" si="766"/>
        <v>0</v>
      </c>
      <c r="BH163" s="133">
        <f t="shared" si="767"/>
        <v>0</v>
      </c>
      <c r="BI163" s="133">
        <f t="shared" si="768"/>
        <v>0</v>
      </c>
      <c r="BJ163" s="133">
        <f t="shared" si="769"/>
        <v>0</v>
      </c>
      <c r="BK163" s="133">
        <f t="shared" si="770"/>
        <v>0</v>
      </c>
      <c r="BL163" s="133">
        <f t="shared" si="771"/>
        <v>0</v>
      </c>
      <c r="BM163" s="133">
        <f t="shared" si="772"/>
        <v>0</v>
      </c>
      <c r="BN163" s="133">
        <f t="shared" si="773"/>
        <v>0</v>
      </c>
      <c r="BO163" s="133">
        <f t="shared" si="774"/>
        <v>0</v>
      </c>
      <c r="BP163" s="133">
        <f t="shared" si="775"/>
        <v>0</v>
      </c>
      <c r="BQ163" s="133">
        <f t="shared" si="776"/>
        <v>0</v>
      </c>
      <c r="BR163" s="133">
        <f t="shared" si="777"/>
        <v>0</v>
      </c>
      <c r="BS163" s="133">
        <f t="shared" si="778"/>
        <v>0</v>
      </c>
      <c r="BT163" s="133">
        <f t="shared" si="779"/>
        <v>0</v>
      </c>
      <c r="BU163" s="133">
        <f t="shared" si="780"/>
        <v>0</v>
      </c>
      <c r="BV163" s="133">
        <f t="shared" si="781"/>
        <v>0</v>
      </c>
      <c r="BW163" s="133">
        <f t="shared" si="782"/>
        <v>0</v>
      </c>
      <c r="BX163" s="267"/>
      <c r="BY163" s="267"/>
      <c r="BZ163" s="267"/>
      <c r="CA163" s="267"/>
      <c r="CB163" s="267"/>
      <c r="CC163" s="267"/>
      <c r="CD163" s="267"/>
      <c r="CE163" s="267"/>
      <c r="CF163" s="267"/>
      <c r="CG163" s="267"/>
      <c r="CT163" s="261"/>
      <c r="CU163" s="183">
        <f t="shared" ref="CU163:DC163" ca="1" si="837">SUM(CU19:CU162)</f>
        <v>3982.255149392382</v>
      </c>
      <c r="CV163" s="183">
        <f t="shared" ca="1" si="837"/>
        <v>4053.894397767353</v>
      </c>
      <c r="CW163" s="183">
        <f t="shared" ca="1" si="837"/>
        <v>4097.8366155040594</v>
      </c>
      <c r="CX163" s="183">
        <f t="shared" ca="1" si="837"/>
        <v>4142.5157419769203</v>
      </c>
      <c r="CY163" s="183">
        <f t="shared" ca="1" si="837"/>
        <v>4187.9468176992368</v>
      </c>
      <c r="CZ163" s="183">
        <f t="shared" ca="1" si="837"/>
        <v>4234.1452260023689</v>
      </c>
      <c r="DA163" s="183">
        <f t="shared" ca="1" si="837"/>
        <v>4265.3782161823465</v>
      </c>
      <c r="DB163" s="183">
        <f t="shared" ca="1" si="837"/>
        <v>4328.9073383412078</v>
      </c>
      <c r="DC163" s="183">
        <f t="shared" ca="1" si="837"/>
        <v>4361.213189326807</v>
      </c>
      <c r="DD163" s="183">
        <f t="shared" ref="DD163:DH163" ca="1" si="838">SUM(DD19:DD162)</f>
        <v>4393.8865031309606</v>
      </c>
      <c r="DE163" s="183">
        <f t="shared" ca="1" si="838"/>
        <v>4426.9323263894566</v>
      </c>
      <c r="DF163" s="183" t="e">
        <f t="shared" ca="1" si="838"/>
        <v>#VALUE!</v>
      </c>
      <c r="DG163" s="183" t="e">
        <f t="shared" ca="1" si="838"/>
        <v>#VALUE!</v>
      </c>
      <c r="DH163" s="183" t="e">
        <f t="shared" ca="1" si="838"/>
        <v>#VALUE!</v>
      </c>
      <c r="DI163" s="183" t="e">
        <f t="shared" ref="DI163:DQ163" ca="1" si="839">SUM(DI19:DI162)</f>
        <v>#VALUE!</v>
      </c>
      <c r="DJ163" s="183" t="e">
        <f t="shared" ca="1" si="839"/>
        <v>#VALUE!</v>
      </c>
      <c r="DK163" s="183" t="e">
        <f t="shared" ca="1" si="839"/>
        <v>#VALUE!</v>
      </c>
      <c r="DL163" s="183" t="e">
        <f t="shared" ca="1" si="839"/>
        <v>#VALUE!</v>
      </c>
      <c r="DM163" s="183" t="e">
        <f t="shared" ca="1" si="839"/>
        <v>#VALUE!</v>
      </c>
      <c r="DN163" s="183" t="e">
        <f t="shared" ca="1" si="839"/>
        <v>#VALUE!</v>
      </c>
      <c r="DO163" s="183" t="e">
        <f t="shared" ca="1" si="839"/>
        <v>#VALUE!</v>
      </c>
      <c r="DP163" s="183" t="e">
        <f t="shared" ca="1" si="839"/>
        <v>#VALUE!</v>
      </c>
      <c r="DQ163" s="183" t="e">
        <f t="shared" ca="1" si="839"/>
        <v>#VALUE!</v>
      </c>
      <c r="DR163" s="262">
        <f ca="1">ROUNDDOWN(XIRR(DR18:DR162,$CT$18:$CT$162,0),3)</f>
        <v>0.27100000000000002</v>
      </c>
      <c r="DS163" s="262">
        <f t="shared" ref="DS163:EO163" ca="1" si="840">ROUNDDOWN(XIRR(DS18:DS162,$CT$18:$CT$162,0),3)</f>
        <v>0.248</v>
      </c>
      <c r="DT163" s="262">
        <f t="shared" ca="1" si="840"/>
        <v>0.23499999999999999</v>
      </c>
      <c r="DU163" s="262">
        <f t="shared" ca="1" si="840"/>
        <v>0.223</v>
      </c>
      <c r="DV163" s="262">
        <f t="shared" ca="1" si="840"/>
        <v>0.21199999999999999</v>
      </c>
      <c r="DW163" s="262">
        <f t="shared" ca="1" si="840"/>
        <v>0.20100000000000001</v>
      </c>
      <c r="DX163" s="262">
        <f t="shared" ca="1" si="840"/>
        <v>0.19400000000000001</v>
      </c>
      <c r="DY163" s="262">
        <f t="shared" ca="1" si="840"/>
        <v>0.18099999999999999</v>
      </c>
      <c r="DZ163" s="262">
        <f t="shared" ca="1" si="840"/>
        <v>0.17499999999999999</v>
      </c>
      <c r="EA163" s="262">
        <f t="shared" ca="1" si="840"/>
        <v>0.16900000000000001</v>
      </c>
      <c r="EB163" s="262">
        <f t="shared" ca="1" si="840"/>
        <v>0.16300000000000001</v>
      </c>
      <c r="EC163" s="262" t="e">
        <f t="shared" ca="1" si="840"/>
        <v>#VALUE!</v>
      </c>
      <c r="ED163" s="262" t="e">
        <f t="shared" ca="1" si="840"/>
        <v>#VALUE!</v>
      </c>
      <c r="EE163" s="262" t="e">
        <f t="shared" ca="1" si="840"/>
        <v>#VALUE!</v>
      </c>
      <c r="EF163" s="262" t="e">
        <f t="shared" ca="1" si="840"/>
        <v>#VALUE!</v>
      </c>
      <c r="EG163" s="262" t="e">
        <f t="shared" ca="1" si="840"/>
        <v>#VALUE!</v>
      </c>
      <c r="EH163" s="262" t="e">
        <f t="shared" ca="1" si="840"/>
        <v>#VALUE!</v>
      </c>
      <c r="EI163" s="262" t="e">
        <f t="shared" ca="1" si="840"/>
        <v>#VALUE!</v>
      </c>
      <c r="EJ163" s="262" t="e">
        <f t="shared" ca="1" si="840"/>
        <v>#VALUE!</v>
      </c>
      <c r="EK163" s="262" t="e">
        <f t="shared" ca="1" si="840"/>
        <v>#VALUE!</v>
      </c>
      <c r="EL163" s="262" t="e">
        <f t="shared" ca="1" si="840"/>
        <v>#VALUE!</v>
      </c>
      <c r="EM163" s="262" t="e">
        <f t="shared" ca="1" si="840"/>
        <v>#VALUE!</v>
      </c>
      <c r="EN163" s="262" t="e">
        <f t="shared" ca="1" si="840"/>
        <v>#VALUE!</v>
      </c>
      <c r="EO163" s="262" t="e">
        <f t="shared" ca="1" si="840"/>
        <v>#NUM!</v>
      </c>
      <c r="EQ163" s="259">
        <f t="shared" ca="1" si="736"/>
        <v>50566</v>
      </c>
      <c r="ER163" s="87">
        <f t="shared" ca="1" si="821"/>
        <v>0</v>
      </c>
      <c r="ES163" s="87">
        <f t="shared" ca="1" si="821"/>
        <v>0</v>
      </c>
      <c r="ET163" s="87">
        <f t="shared" ca="1" si="821"/>
        <v>0</v>
      </c>
      <c r="EU163" s="87">
        <f t="shared" ca="1" si="821"/>
        <v>0</v>
      </c>
      <c r="EV163" s="87">
        <f t="shared" ca="1" si="821"/>
        <v>0</v>
      </c>
      <c r="EW163" s="87">
        <f t="shared" ca="1" si="821"/>
        <v>0</v>
      </c>
      <c r="EX163" s="87">
        <f t="shared" ca="1" si="821"/>
        <v>0</v>
      </c>
      <c r="EY163" s="87">
        <f t="shared" ca="1" si="821"/>
        <v>0</v>
      </c>
      <c r="EZ163" s="87">
        <f t="shared" ca="1" si="821"/>
        <v>0</v>
      </c>
      <c r="FA163" s="87">
        <f t="shared" ca="1" si="821"/>
        <v>0</v>
      </c>
      <c r="FB163" s="87">
        <f t="shared" ca="1" si="821"/>
        <v>0</v>
      </c>
      <c r="FC163" s="87">
        <f t="shared" ca="1" si="821"/>
        <v>0</v>
      </c>
      <c r="FD163" s="87">
        <f t="shared" ca="1" si="821"/>
        <v>0</v>
      </c>
      <c r="FE163" s="87">
        <f t="shared" ca="1" si="821"/>
        <v>0</v>
      </c>
      <c r="FF163" s="87">
        <f t="shared" ca="1" si="821"/>
        <v>0</v>
      </c>
      <c r="FG163" s="87">
        <f t="shared" ref="FG163:FP165" ca="1" si="841" xml:space="preserve"> IFERROR(VLOOKUP($EQ163,$AZ$23:$BA$167,2,FALSE),0)-IFERROR(VLOOKUP($EQ163,$AR$23:$AS$167,2,FALSE),0)</f>
        <v>0</v>
      </c>
      <c r="FH163" s="87">
        <f t="shared" ca="1" si="841"/>
        <v>0</v>
      </c>
      <c r="FI163" s="87">
        <f t="shared" ca="1" si="841"/>
        <v>0</v>
      </c>
      <c r="FJ163" s="87">
        <f t="shared" ca="1" si="841"/>
        <v>0</v>
      </c>
      <c r="FK163" s="87">
        <f t="shared" ca="1" si="841"/>
        <v>0</v>
      </c>
      <c r="FL163" s="87">
        <f t="shared" ca="1" si="841"/>
        <v>0</v>
      </c>
      <c r="FM163" s="87">
        <f t="shared" ca="1" si="841"/>
        <v>0</v>
      </c>
      <c r="FN163" s="87">
        <f t="shared" ca="1" si="841"/>
        <v>0</v>
      </c>
      <c r="FO163" s="87">
        <f t="shared" ca="1" si="841"/>
        <v>0</v>
      </c>
      <c r="FP163" s="87">
        <f t="shared" ca="1" si="841"/>
        <v>0</v>
      </c>
    </row>
    <row r="164" spans="2:172" ht="12.75" hidden="1" customHeight="1" x14ac:dyDescent="0.25">
      <c r="B164" s="87">
        <v>106</v>
      </c>
      <c r="C164" s="181">
        <f t="shared" ca="1" si="788"/>
        <v>49378</v>
      </c>
      <c r="D164" s="380">
        <f t="shared" si="814"/>
        <v>0</v>
      </c>
      <c r="E164" s="380">
        <f t="shared" si="814"/>
        <v>0</v>
      </c>
      <c r="F164" s="380">
        <f t="shared" si="814"/>
        <v>0</v>
      </c>
      <c r="G164" s="380">
        <f t="shared" si="814"/>
        <v>0</v>
      </c>
      <c r="H164" s="380">
        <f t="shared" si="814"/>
        <v>0</v>
      </c>
      <c r="I164" s="380">
        <f t="shared" si="814"/>
        <v>0</v>
      </c>
      <c r="J164" s="380">
        <f t="shared" si="814"/>
        <v>0</v>
      </c>
      <c r="K164" s="380">
        <f t="shared" si="814"/>
        <v>0</v>
      </c>
      <c r="L164" s="380">
        <f t="shared" si="814"/>
        <v>0</v>
      </c>
      <c r="M164" s="380">
        <f t="shared" si="814"/>
        <v>0</v>
      </c>
      <c r="N164" s="380">
        <f t="shared" si="815"/>
        <v>0</v>
      </c>
      <c r="O164" s="380">
        <f t="shared" si="815"/>
        <v>0</v>
      </c>
      <c r="P164" s="380">
        <f t="shared" si="815"/>
        <v>0</v>
      </c>
      <c r="Q164" s="380">
        <f t="shared" si="815"/>
        <v>0</v>
      </c>
      <c r="R164" s="380">
        <f t="shared" si="815"/>
        <v>0</v>
      </c>
      <c r="S164" s="380">
        <f t="shared" si="815"/>
        <v>0</v>
      </c>
      <c r="T164" s="380">
        <f t="shared" si="815"/>
        <v>0</v>
      </c>
      <c r="U164" s="175"/>
      <c r="AQ164" s="138">
        <v>141</v>
      </c>
      <c r="AR164" s="258">
        <f t="shared" ca="1" si="528"/>
        <v>50446</v>
      </c>
      <c r="AS164" s="378">
        <f t="shared" si="762"/>
        <v>0</v>
      </c>
      <c r="AU164" s="138">
        <v>141</v>
      </c>
      <c r="AV164" s="258">
        <f t="shared" ca="1" si="529"/>
        <v>50474</v>
      </c>
      <c r="AW164" s="378">
        <f t="shared" si="763"/>
        <v>0</v>
      </c>
      <c r="AX164" s="202">
        <f t="shared" ca="1" si="764"/>
        <v>0</v>
      </c>
      <c r="AY164" s="138">
        <v>141</v>
      </c>
      <c r="AZ164" s="258">
        <f t="shared" ca="1" si="530"/>
        <v>50474</v>
      </c>
      <c r="BA164" s="378">
        <f t="shared" si="765"/>
        <v>0</v>
      </c>
      <c r="BC164" s="258">
        <f t="shared" ca="1" si="591"/>
        <v>50446</v>
      </c>
      <c r="BD164" s="302">
        <f t="shared" ca="1" si="592"/>
        <v>0</v>
      </c>
      <c r="BE164" s="133">
        <f t="shared" si="755"/>
        <v>141</v>
      </c>
      <c r="BF164" s="379">
        <f t="shared" ca="1" si="756"/>
        <v>50446</v>
      </c>
      <c r="BG164" s="133">
        <f t="shared" si="766"/>
        <v>0</v>
      </c>
      <c r="BH164" s="133">
        <f t="shared" si="767"/>
        <v>0</v>
      </c>
      <c r="BI164" s="133">
        <f t="shared" si="768"/>
        <v>0</v>
      </c>
      <c r="BJ164" s="133">
        <f t="shared" si="769"/>
        <v>0</v>
      </c>
      <c r="BK164" s="133">
        <f t="shared" si="770"/>
        <v>0</v>
      </c>
      <c r="BL164" s="133">
        <f t="shared" si="771"/>
        <v>0</v>
      </c>
      <c r="BM164" s="133">
        <f t="shared" si="772"/>
        <v>0</v>
      </c>
      <c r="BN164" s="133">
        <f t="shared" si="773"/>
        <v>0</v>
      </c>
      <c r="BO164" s="133">
        <f t="shared" si="774"/>
        <v>0</v>
      </c>
      <c r="BP164" s="133">
        <f t="shared" si="775"/>
        <v>0</v>
      </c>
      <c r="BQ164" s="133">
        <f t="shared" si="776"/>
        <v>0</v>
      </c>
      <c r="BR164" s="133">
        <f t="shared" si="777"/>
        <v>0</v>
      </c>
      <c r="BS164" s="133">
        <f t="shared" si="778"/>
        <v>0</v>
      </c>
      <c r="BT164" s="133">
        <f t="shared" si="779"/>
        <v>0</v>
      </c>
      <c r="BU164" s="133">
        <f t="shared" si="780"/>
        <v>0</v>
      </c>
      <c r="BV164" s="133">
        <f t="shared" si="781"/>
        <v>0</v>
      </c>
      <c r="BW164" s="133">
        <f t="shared" si="782"/>
        <v>0</v>
      </c>
      <c r="BX164" s="267"/>
      <c r="BY164" s="267"/>
      <c r="BZ164" s="267"/>
      <c r="CA164" s="267"/>
      <c r="CB164" s="267"/>
      <c r="CC164" s="267"/>
      <c r="CD164" s="267"/>
      <c r="CE164" s="267"/>
      <c r="CF164" s="267"/>
      <c r="CG164" s="267"/>
      <c r="CS164" s="178"/>
      <c r="CT164" s="261"/>
      <c r="CU164" s="261"/>
      <c r="CV164" s="261"/>
      <c r="CW164" s="261"/>
      <c r="CX164" s="261"/>
      <c r="CY164" s="261"/>
      <c r="CZ164" s="261"/>
      <c r="DA164" s="261"/>
      <c r="DB164" s="261"/>
      <c r="DC164" s="261"/>
      <c r="DD164" s="261"/>
      <c r="DE164" s="261"/>
      <c r="DF164" s="261"/>
      <c r="DG164" s="261"/>
      <c r="DH164" s="261"/>
      <c r="DI164" s="261"/>
      <c r="DJ164" s="261"/>
      <c r="DK164" s="261"/>
      <c r="DL164" s="261"/>
      <c r="DM164" s="261"/>
      <c r="DN164" s="261"/>
      <c r="DO164" s="261"/>
      <c r="DP164" s="261"/>
      <c r="DQ164" s="261"/>
      <c r="DR164" s="263">
        <f ca="1">IFERROR(ROUNDUP(IFERROR((DR163+1)^(30/365)-1,""),4),"IRR NEGATIVO")</f>
        <v>0.02</v>
      </c>
      <c r="DS164" s="263">
        <f t="shared" ref="DS164:EO164" ca="1" si="842">IFERROR(ROUNDUP(IFERROR((DS163+1)^(30/365)-1,""),4),"IRR NEGATIVO")</f>
        <v>1.84E-2</v>
      </c>
      <c r="DT164" s="263">
        <f t="shared" ca="1" si="842"/>
        <v>1.7499999999999998E-2</v>
      </c>
      <c r="DU164" s="263">
        <f t="shared" ca="1" si="842"/>
        <v>1.67E-2</v>
      </c>
      <c r="DV164" s="263">
        <f t="shared" ca="1" si="842"/>
        <v>1.6E-2</v>
      </c>
      <c r="DW164" s="263">
        <f t="shared" ca="1" si="842"/>
        <v>1.52E-2</v>
      </c>
      <c r="DX164" s="263">
        <f t="shared" ca="1" si="842"/>
        <v>1.47E-2</v>
      </c>
      <c r="DY164" s="263">
        <f t="shared" ca="1" si="842"/>
        <v>1.38E-2</v>
      </c>
      <c r="DZ164" s="263">
        <f t="shared" ca="1" si="842"/>
        <v>1.3399999999999999E-2</v>
      </c>
      <c r="EA164" s="263">
        <f t="shared" ca="1" si="842"/>
        <v>1.2999999999999999E-2</v>
      </c>
      <c r="EB164" s="263">
        <f t="shared" ca="1" si="842"/>
        <v>1.2499999999999999E-2</v>
      </c>
      <c r="EC164" s="263" t="str">
        <f t="shared" ca="1" si="842"/>
        <v>IRR NEGATIVO</v>
      </c>
      <c r="ED164" s="263" t="str">
        <f t="shared" ca="1" si="842"/>
        <v>IRR NEGATIVO</v>
      </c>
      <c r="EE164" s="263" t="str">
        <f t="shared" ca="1" si="842"/>
        <v>IRR NEGATIVO</v>
      </c>
      <c r="EF164" s="263" t="str">
        <f t="shared" ca="1" si="842"/>
        <v>IRR NEGATIVO</v>
      </c>
      <c r="EG164" s="263" t="str">
        <f t="shared" ca="1" si="842"/>
        <v>IRR NEGATIVO</v>
      </c>
      <c r="EH164" s="263" t="str">
        <f t="shared" ca="1" si="842"/>
        <v>IRR NEGATIVO</v>
      </c>
      <c r="EI164" s="263" t="str">
        <f t="shared" ca="1" si="842"/>
        <v>IRR NEGATIVO</v>
      </c>
      <c r="EJ164" s="263" t="str">
        <f t="shared" ca="1" si="842"/>
        <v>IRR NEGATIVO</v>
      </c>
      <c r="EK164" s="263" t="str">
        <f t="shared" ca="1" si="842"/>
        <v>IRR NEGATIVO</v>
      </c>
      <c r="EL164" s="263" t="str">
        <f t="shared" ca="1" si="842"/>
        <v>IRR NEGATIVO</v>
      </c>
      <c r="EM164" s="263" t="str">
        <f t="shared" ca="1" si="842"/>
        <v>IRR NEGATIVO</v>
      </c>
      <c r="EN164" s="263" t="str">
        <f t="shared" ca="1" si="842"/>
        <v>IRR NEGATIVO</v>
      </c>
      <c r="EO164" s="263" t="str">
        <f t="shared" ca="1" si="842"/>
        <v>IRR NEGATIVO</v>
      </c>
      <c r="EQ164" s="259">
        <f t="shared" ca="1" si="736"/>
        <v>50596</v>
      </c>
      <c r="ER164" s="87">
        <f t="shared" ca="1" si="821"/>
        <v>0</v>
      </c>
      <c r="ES164" s="87">
        <f t="shared" ca="1" si="821"/>
        <v>0</v>
      </c>
      <c r="ET164" s="87">
        <f t="shared" ca="1" si="821"/>
        <v>0</v>
      </c>
      <c r="EU164" s="87">
        <f t="shared" ca="1" si="821"/>
        <v>0</v>
      </c>
      <c r="EV164" s="87">
        <f t="shared" ca="1" si="821"/>
        <v>0</v>
      </c>
      <c r="EW164" s="87">
        <f t="shared" ca="1" si="821"/>
        <v>0</v>
      </c>
      <c r="EX164" s="87">
        <f t="shared" ca="1" si="821"/>
        <v>0</v>
      </c>
      <c r="EY164" s="87">
        <f t="shared" ca="1" si="821"/>
        <v>0</v>
      </c>
      <c r="EZ164" s="87">
        <f t="shared" ca="1" si="821"/>
        <v>0</v>
      </c>
      <c r="FA164" s="87">
        <f t="shared" ca="1" si="821"/>
        <v>0</v>
      </c>
      <c r="FB164" s="87">
        <f t="shared" ca="1" si="821"/>
        <v>0</v>
      </c>
      <c r="FC164" s="87">
        <f t="shared" ca="1" si="821"/>
        <v>0</v>
      </c>
      <c r="FD164" s="87">
        <f t="shared" ca="1" si="821"/>
        <v>0</v>
      </c>
      <c r="FE164" s="87">
        <f t="shared" ca="1" si="821"/>
        <v>0</v>
      </c>
      <c r="FF164" s="87">
        <f t="shared" ca="1" si="821"/>
        <v>0</v>
      </c>
      <c r="FG164" s="87">
        <f t="shared" ca="1" si="841"/>
        <v>0</v>
      </c>
      <c r="FH164" s="87">
        <f t="shared" ca="1" si="841"/>
        <v>0</v>
      </c>
      <c r="FI164" s="87">
        <f t="shared" ca="1" si="841"/>
        <v>0</v>
      </c>
      <c r="FJ164" s="87">
        <f t="shared" ca="1" si="841"/>
        <v>0</v>
      </c>
      <c r="FK164" s="87">
        <f t="shared" ca="1" si="841"/>
        <v>0</v>
      </c>
      <c r="FL164" s="87">
        <f t="shared" ca="1" si="841"/>
        <v>0</v>
      </c>
      <c r="FM164" s="87">
        <f t="shared" ca="1" si="841"/>
        <v>0</v>
      </c>
      <c r="FN164" s="87">
        <f t="shared" ca="1" si="841"/>
        <v>0</v>
      </c>
      <c r="FO164" s="87">
        <f t="shared" ca="1" si="841"/>
        <v>0</v>
      </c>
      <c r="FP164" s="87">
        <f t="shared" ca="1" si="841"/>
        <v>0</v>
      </c>
    </row>
    <row r="165" spans="2:172" ht="12.75" hidden="1" customHeight="1" x14ac:dyDescent="0.25">
      <c r="B165" s="87">
        <v>107</v>
      </c>
      <c r="C165" s="181">
        <f t="shared" ca="1" si="788"/>
        <v>49409</v>
      </c>
      <c r="D165" s="380">
        <f t="shared" si="814"/>
        <v>0</v>
      </c>
      <c r="E165" s="380">
        <f t="shared" si="814"/>
        <v>0</v>
      </c>
      <c r="F165" s="380">
        <f t="shared" si="814"/>
        <v>0</v>
      </c>
      <c r="G165" s="380">
        <f t="shared" si="814"/>
        <v>0</v>
      </c>
      <c r="H165" s="380">
        <f t="shared" si="814"/>
        <v>0</v>
      </c>
      <c r="I165" s="380">
        <f t="shared" si="814"/>
        <v>0</v>
      </c>
      <c r="J165" s="380">
        <f t="shared" si="814"/>
        <v>0</v>
      </c>
      <c r="K165" s="380">
        <f t="shared" si="814"/>
        <v>0</v>
      </c>
      <c r="L165" s="380">
        <f t="shared" si="814"/>
        <v>0</v>
      </c>
      <c r="M165" s="380">
        <f t="shared" si="814"/>
        <v>0</v>
      </c>
      <c r="N165" s="380">
        <f t="shared" si="815"/>
        <v>0</v>
      </c>
      <c r="O165" s="380">
        <f t="shared" si="815"/>
        <v>0</v>
      </c>
      <c r="P165" s="380">
        <f t="shared" si="815"/>
        <v>0</v>
      </c>
      <c r="Q165" s="380">
        <f t="shared" si="815"/>
        <v>0</v>
      </c>
      <c r="R165" s="380">
        <f t="shared" si="815"/>
        <v>0</v>
      </c>
      <c r="S165" s="380">
        <f t="shared" si="815"/>
        <v>0</v>
      </c>
      <c r="T165" s="380">
        <f t="shared" si="815"/>
        <v>0</v>
      </c>
      <c r="U165" s="175"/>
      <c r="AQ165" s="138">
        <v>142</v>
      </c>
      <c r="AR165" s="258">
        <f t="shared" ca="1" si="528"/>
        <v>50474</v>
      </c>
      <c r="AS165" s="378">
        <f t="shared" si="762"/>
        <v>0</v>
      </c>
      <c r="AU165" s="138">
        <v>142</v>
      </c>
      <c r="AV165" s="258">
        <f t="shared" ca="1" si="529"/>
        <v>50505</v>
      </c>
      <c r="AW165" s="378">
        <f t="shared" si="763"/>
        <v>0</v>
      </c>
      <c r="AX165" s="202">
        <f t="shared" ca="1" si="764"/>
        <v>0</v>
      </c>
      <c r="AY165" s="138">
        <v>142</v>
      </c>
      <c r="AZ165" s="258">
        <f t="shared" ca="1" si="530"/>
        <v>50505</v>
      </c>
      <c r="BA165" s="378">
        <f t="shared" si="765"/>
        <v>0</v>
      </c>
      <c r="BC165" s="258">
        <f t="shared" ca="1" si="591"/>
        <v>50474</v>
      </c>
      <c r="BD165" s="302">
        <f t="shared" ca="1" si="592"/>
        <v>0</v>
      </c>
      <c r="BE165" s="133">
        <f t="shared" si="755"/>
        <v>142</v>
      </c>
      <c r="BF165" s="379">
        <f t="shared" ca="1" si="756"/>
        <v>50474</v>
      </c>
      <c r="BG165" s="133">
        <f t="shared" si="766"/>
        <v>0</v>
      </c>
      <c r="BH165" s="133">
        <f t="shared" si="767"/>
        <v>0</v>
      </c>
      <c r="BI165" s="133">
        <f t="shared" si="768"/>
        <v>0</v>
      </c>
      <c r="BJ165" s="133">
        <f t="shared" si="769"/>
        <v>0</v>
      </c>
      <c r="BK165" s="133">
        <f t="shared" si="770"/>
        <v>0</v>
      </c>
      <c r="BL165" s="133">
        <f t="shared" si="771"/>
        <v>0</v>
      </c>
      <c r="BM165" s="133">
        <f t="shared" si="772"/>
        <v>0</v>
      </c>
      <c r="BN165" s="133">
        <f t="shared" si="773"/>
        <v>0</v>
      </c>
      <c r="BO165" s="133">
        <f t="shared" si="774"/>
        <v>0</v>
      </c>
      <c r="BP165" s="133">
        <f t="shared" si="775"/>
        <v>0</v>
      </c>
      <c r="BQ165" s="133">
        <f t="shared" si="776"/>
        <v>0</v>
      </c>
      <c r="BR165" s="133">
        <f t="shared" si="777"/>
        <v>0</v>
      </c>
      <c r="BS165" s="133">
        <f t="shared" si="778"/>
        <v>0</v>
      </c>
      <c r="BT165" s="133">
        <f t="shared" si="779"/>
        <v>0</v>
      </c>
      <c r="BU165" s="133">
        <f t="shared" si="780"/>
        <v>0</v>
      </c>
      <c r="BV165" s="133">
        <f t="shared" si="781"/>
        <v>0</v>
      </c>
      <c r="BW165" s="133">
        <f t="shared" si="782"/>
        <v>0</v>
      </c>
      <c r="BX165" s="267"/>
      <c r="BY165" s="267"/>
      <c r="BZ165" s="267"/>
      <c r="CA165" s="267"/>
      <c r="CB165" s="267"/>
      <c r="CC165" s="267"/>
      <c r="CD165" s="267"/>
      <c r="CE165" s="267"/>
      <c r="CF165" s="267"/>
      <c r="CG165" s="267"/>
      <c r="EQ165" s="259">
        <f t="shared" ca="1" si="736"/>
        <v>50627</v>
      </c>
      <c r="ER165" s="87">
        <f t="shared" ca="1" si="821"/>
        <v>0</v>
      </c>
      <c r="ES165" s="87">
        <f t="shared" ca="1" si="821"/>
        <v>0</v>
      </c>
      <c r="ET165" s="87">
        <f t="shared" ca="1" si="821"/>
        <v>0</v>
      </c>
      <c r="EU165" s="87">
        <f t="shared" ca="1" si="821"/>
        <v>0</v>
      </c>
      <c r="EV165" s="87">
        <f t="shared" ca="1" si="821"/>
        <v>0</v>
      </c>
      <c r="EW165" s="87">
        <f t="shared" ca="1" si="821"/>
        <v>0</v>
      </c>
      <c r="EX165" s="87">
        <f t="shared" ca="1" si="821"/>
        <v>0</v>
      </c>
      <c r="EY165" s="87">
        <f t="shared" ca="1" si="821"/>
        <v>0</v>
      </c>
      <c r="EZ165" s="87">
        <f t="shared" ca="1" si="821"/>
        <v>0</v>
      </c>
      <c r="FA165" s="87">
        <f t="shared" ca="1" si="821"/>
        <v>0</v>
      </c>
      <c r="FB165" s="87">
        <f t="shared" ca="1" si="821"/>
        <v>0</v>
      </c>
      <c r="FC165" s="87">
        <f t="shared" ca="1" si="821"/>
        <v>0</v>
      </c>
      <c r="FD165" s="87">
        <f t="shared" ca="1" si="821"/>
        <v>0</v>
      </c>
      <c r="FE165" s="87">
        <f t="shared" ca="1" si="821"/>
        <v>0</v>
      </c>
      <c r="FF165" s="87">
        <f t="shared" ca="1" si="821"/>
        <v>0</v>
      </c>
      <c r="FG165" s="87">
        <f t="shared" ca="1" si="841"/>
        <v>0</v>
      </c>
      <c r="FH165" s="87">
        <f t="shared" ca="1" si="841"/>
        <v>0</v>
      </c>
      <c r="FI165" s="87">
        <f t="shared" ca="1" si="841"/>
        <v>0</v>
      </c>
      <c r="FJ165" s="87">
        <f t="shared" ca="1" si="841"/>
        <v>0</v>
      </c>
      <c r="FK165" s="87">
        <f t="shared" ca="1" si="841"/>
        <v>0</v>
      </c>
      <c r="FL165" s="87">
        <f t="shared" ca="1" si="841"/>
        <v>0</v>
      </c>
      <c r="FM165" s="87">
        <f t="shared" ca="1" si="841"/>
        <v>0</v>
      </c>
      <c r="FN165" s="87">
        <f t="shared" ca="1" si="841"/>
        <v>0</v>
      </c>
      <c r="FO165" s="87">
        <f t="shared" ca="1" si="841"/>
        <v>0</v>
      </c>
      <c r="FP165" s="87">
        <f t="shared" ca="1" si="841"/>
        <v>0</v>
      </c>
    </row>
    <row r="166" spans="2:172" ht="12.75" hidden="1" customHeight="1" x14ac:dyDescent="0.25">
      <c r="B166" s="87">
        <v>108</v>
      </c>
      <c r="C166" s="181">
        <f t="shared" ca="1" si="788"/>
        <v>49439</v>
      </c>
      <c r="D166" s="380">
        <f t="shared" si="814"/>
        <v>0</v>
      </c>
      <c r="E166" s="380">
        <f t="shared" si="814"/>
        <v>0</v>
      </c>
      <c r="F166" s="380">
        <f t="shared" si="814"/>
        <v>0</v>
      </c>
      <c r="G166" s="380">
        <f t="shared" si="814"/>
        <v>0</v>
      </c>
      <c r="H166" s="380">
        <f t="shared" si="814"/>
        <v>0</v>
      </c>
      <c r="I166" s="380">
        <f t="shared" si="814"/>
        <v>0</v>
      </c>
      <c r="J166" s="380">
        <f t="shared" si="814"/>
        <v>0</v>
      </c>
      <c r="K166" s="380">
        <f t="shared" si="814"/>
        <v>0</v>
      </c>
      <c r="L166" s="380">
        <f t="shared" si="814"/>
        <v>0</v>
      </c>
      <c r="M166" s="380">
        <f t="shared" si="814"/>
        <v>0</v>
      </c>
      <c r="N166" s="380">
        <f t="shared" si="815"/>
        <v>0</v>
      </c>
      <c r="O166" s="380">
        <f t="shared" si="815"/>
        <v>0</v>
      </c>
      <c r="P166" s="380">
        <f t="shared" si="815"/>
        <v>0</v>
      </c>
      <c r="Q166" s="380">
        <f t="shared" si="815"/>
        <v>0</v>
      </c>
      <c r="R166" s="380">
        <f t="shared" si="815"/>
        <v>0</v>
      </c>
      <c r="S166" s="380">
        <f t="shared" si="815"/>
        <v>0</v>
      </c>
      <c r="T166" s="380">
        <f t="shared" si="815"/>
        <v>0</v>
      </c>
      <c r="U166" s="175"/>
      <c r="AQ166" s="138">
        <v>143</v>
      </c>
      <c r="AR166" s="258">
        <f t="shared" ca="1" si="528"/>
        <v>50505</v>
      </c>
      <c r="AS166" s="378">
        <f t="shared" si="762"/>
        <v>0</v>
      </c>
      <c r="AU166" s="138">
        <v>143</v>
      </c>
      <c r="AV166" s="258">
        <f t="shared" ca="1" si="529"/>
        <v>50535</v>
      </c>
      <c r="AW166" s="378">
        <f t="shared" si="763"/>
        <v>0</v>
      </c>
      <c r="AX166" s="202">
        <f t="shared" ca="1" si="764"/>
        <v>0</v>
      </c>
      <c r="AY166" s="138">
        <v>143</v>
      </c>
      <c r="AZ166" s="258">
        <f t="shared" ca="1" si="530"/>
        <v>50535</v>
      </c>
      <c r="BA166" s="378">
        <f t="shared" si="765"/>
        <v>0</v>
      </c>
      <c r="BC166" s="258">
        <f t="shared" ca="1" si="591"/>
        <v>50505</v>
      </c>
      <c r="BD166" s="302">
        <f t="shared" ca="1" si="592"/>
        <v>0</v>
      </c>
      <c r="BE166" s="133">
        <f t="shared" si="755"/>
        <v>143</v>
      </c>
      <c r="BF166" s="379">
        <f t="shared" ca="1" si="756"/>
        <v>50505</v>
      </c>
      <c r="BG166" s="133">
        <f t="shared" si="766"/>
        <v>0</v>
      </c>
      <c r="BH166" s="133">
        <f t="shared" si="767"/>
        <v>0</v>
      </c>
      <c r="BI166" s="133">
        <f t="shared" si="768"/>
        <v>0</v>
      </c>
      <c r="BJ166" s="133">
        <f t="shared" si="769"/>
        <v>0</v>
      </c>
      <c r="BK166" s="133">
        <f t="shared" si="770"/>
        <v>0</v>
      </c>
      <c r="BL166" s="133">
        <f t="shared" si="771"/>
        <v>0</v>
      </c>
      <c r="BM166" s="133">
        <f t="shared" si="772"/>
        <v>0</v>
      </c>
      <c r="BN166" s="133">
        <f t="shared" si="773"/>
        <v>0</v>
      </c>
      <c r="BO166" s="133">
        <f t="shared" si="774"/>
        <v>0</v>
      </c>
      <c r="BP166" s="133">
        <f t="shared" si="775"/>
        <v>0</v>
      </c>
      <c r="BQ166" s="133">
        <f t="shared" si="776"/>
        <v>0</v>
      </c>
      <c r="BR166" s="133">
        <f t="shared" si="777"/>
        <v>0</v>
      </c>
      <c r="BS166" s="133">
        <f t="shared" si="778"/>
        <v>0</v>
      </c>
      <c r="BT166" s="133">
        <f t="shared" si="779"/>
        <v>0</v>
      </c>
      <c r="BU166" s="133">
        <f t="shared" si="780"/>
        <v>0</v>
      </c>
      <c r="BV166" s="133">
        <f t="shared" si="781"/>
        <v>0</v>
      </c>
      <c r="BW166" s="133">
        <f t="shared" si="782"/>
        <v>0</v>
      </c>
      <c r="BX166" s="267"/>
      <c r="BY166" s="267"/>
      <c r="BZ166" s="267"/>
      <c r="CA166" s="267"/>
      <c r="CB166" s="267"/>
      <c r="CC166" s="267"/>
      <c r="CD166" s="267"/>
      <c r="CE166" s="267"/>
      <c r="CF166" s="267"/>
      <c r="CG166" s="267"/>
    </row>
    <row r="167" spans="2:172" ht="12.75" hidden="1" customHeight="1" x14ac:dyDescent="0.25">
      <c r="B167" s="87">
        <v>109</v>
      </c>
      <c r="C167" s="181">
        <f t="shared" ca="1" si="788"/>
        <v>49470</v>
      </c>
      <c r="D167" s="380">
        <f t="shared" si="814"/>
        <v>0</v>
      </c>
      <c r="E167" s="380">
        <f t="shared" si="814"/>
        <v>0</v>
      </c>
      <c r="F167" s="380">
        <f t="shared" si="814"/>
        <v>0</v>
      </c>
      <c r="G167" s="380">
        <f t="shared" si="814"/>
        <v>0</v>
      </c>
      <c r="H167" s="380">
        <f t="shared" si="814"/>
        <v>0</v>
      </c>
      <c r="I167" s="380">
        <f t="shared" si="814"/>
        <v>0</v>
      </c>
      <c r="J167" s="380">
        <f t="shared" si="814"/>
        <v>0</v>
      </c>
      <c r="K167" s="380">
        <f t="shared" si="814"/>
        <v>0</v>
      </c>
      <c r="L167" s="380">
        <f t="shared" si="814"/>
        <v>0</v>
      </c>
      <c r="M167" s="380">
        <f t="shared" si="814"/>
        <v>0</v>
      </c>
      <c r="N167" s="380">
        <f t="shared" si="815"/>
        <v>0</v>
      </c>
      <c r="O167" s="380">
        <f t="shared" si="815"/>
        <v>0</v>
      </c>
      <c r="P167" s="380">
        <f t="shared" si="815"/>
        <v>0</v>
      </c>
      <c r="Q167" s="380">
        <f t="shared" si="815"/>
        <v>0</v>
      </c>
      <c r="R167" s="380">
        <f t="shared" si="815"/>
        <v>0</v>
      </c>
      <c r="S167" s="380">
        <f t="shared" si="815"/>
        <v>0</v>
      </c>
      <c r="T167" s="380">
        <f t="shared" si="815"/>
        <v>0</v>
      </c>
      <c r="U167" s="175"/>
      <c r="AQ167" s="138">
        <v>144</v>
      </c>
      <c r="AR167" s="258">
        <f t="shared" ca="1" si="528"/>
        <v>50535</v>
      </c>
      <c r="AS167" s="378">
        <f t="shared" si="762"/>
        <v>0</v>
      </c>
      <c r="AU167" s="138">
        <v>144</v>
      </c>
      <c r="AV167" s="258">
        <f t="shared" ca="1" si="529"/>
        <v>50566</v>
      </c>
      <c r="AW167" s="378">
        <f>IF(AU167&gt;$BA$19,0,BA167-AS167)</f>
        <v>0</v>
      </c>
      <c r="AX167" s="202">
        <f t="shared" ca="1" si="764"/>
        <v>0</v>
      </c>
      <c r="AY167" s="138">
        <v>144</v>
      </c>
      <c r="AZ167" s="258">
        <f t="shared" ca="1" si="530"/>
        <v>50566</v>
      </c>
      <c r="BA167" s="378">
        <f t="shared" si="765"/>
        <v>0</v>
      </c>
      <c r="BC167" s="258">
        <f t="shared" ca="1" si="591"/>
        <v>50535</v>
      </c>
      <c r="BD167" s="302">
        <f t="shared" ca="1" si="592"/>
        <v>0</v>
      </c>
      <c r="BE167" s="133">
        <f t="shared" si="755"/>
        <v>144</v>
      </c>
      <c r="BF167" s="379">
        <f t="shared" ca="1" si="756"/>
        <v>50535</v>
      </c>
      <c r="BG167" s="133">
        <f t="shared" si="766"/>
        <v>0</v>
      </c>
      <c r="BH167" s="133">
        <f t="shared" si="767"/>
        <v>0</v>
      </c>
      <c r="BI167" s="133">
        <f t="shared" si="768"/>
        <v>0</v>
      </c>
      <c r="BJ167" s="133">
        <f t="shared" si="769"/>
        <v>0</v>
      </c>
      <c r="BK167" s="133">
        <f t="shared" si="770"/>
        <v>0</v>
      </c>
      <c r="BL167" s="133">
        <f t="shared" si="771"/>
        <v>0</v>
      </c>
      <c r="BM167" s="133">
        <f t="shared" si="772"/>
        <v>0</v>
      </c>
      <c r="BN167" s="133">
        <f t="shared" si="773"/>
        <v>0</v>
      </c>
      <c r="BO167" s="133">
        <f t="shared" si="774"/>
        <v>0</v>
      </c>
      <c r="BP167" s="133">
        <f t="shared" si="775"/>
        <v>0</v>
      </c>
      <c r="BQ167" s="133">
        <f t="shared" si="776"/>
        <v>0</v>
      </c>
      <c r="BR167" s="133">
        <f t="shared" si="777"/>
        <v>0</v>
      </c>
      <c r="BS167" s="133">
        <f t="shared" si="778"/>
        <v>0</v>
      </c>
      <c r="BT167" s="133">
        <f t="shared" si="779"/>
        <v>0</v>
      </c>
      <c r="BU167" s="133">
        <f t="shared" si="780"/>
        <v>0</v>
      </c>
      <c r="BV167" s="133">
        <f t="shared" si="781"/>
        <v>0</v>
      </c>
      <c r="BW167" s="133">
        <f t="shared" si="782"/>
        <v>0</v>
      </c>
      <c r="BX167" s="267"/>
      <c r="BY167" s="267"/>
      <c r="BZ167" s="267"/>
      <c r="CA167" s="267"/>
      <c r="CB167" s="267"/>
      <c r="CC167" s="267"/>
      <c r="CD167" s="267"/>
      <c r="CE167" s="267"/>
      <c r="CF167" s="267"/>
      <c r="CG167" s="267"/>
      <c r="ER167" s="262">
        <f ca="1">(XIRR(ER18:ER165,$EQ$18:$EQ$165,0))</f>
        <v>0.25131517089843747</v>
      </c>
      <c r="ES167" s="262">
        <f t="shared" ref="ES167:FA167" ca="1" si="843">(XIRR(ES18:ES165,$EQ$18:$EQ$165,0))</f>
        <v>0.2313532373046876</v>
      </c>
      <c r="ET167" s="262">
        <f t="shared" ca="1" si="843"/>
        <v>0.2202102685546875</v>
      </c>
      <c r="EU167" s="262">
        <f t="shared" ca="1" si="843"/>
        <v>0.20961545410156252</v>
      </c>
      <c r="EV167" s="262">
        <f t="shared" ca="1" si="843"/>
        <v>0.19951576660156251</v>
      </c>
      <c r="EW167" s="262">
        <f t="shared" ca="1" si="843"/>
        <v>0.18986524902343754</v>
      </c>
      <c r="EX167" s="262">
        <f t="shared" ca="1" si="843"/>
        <v>0.18366114746093759</v>
      </c>
      <c r="EY167" s="262">
        <f t="shared" ca="1" si="843"/>
        <v>0.1717566455078125</v>
      </c>
      <c r="EZ167" s="262">
        <f t="shared" ca="1" si="843"/>
        <v>0.16603755371093754</v>
      </c>
      <c r="FA167" s="262">
        <f t="shared" ca="1" si="843"/>
        <v>0.16046267089843752</v>
      </c>
      <c r="FB167" s="262">
        <f ca="1">(XIRR(FB18:FB165,$EQ$18:$EQ$165,0))</f>
        <v>0.1550243701171875</v>
      </c>
      <c r="FC167" s="262" t="e">
        <f t="shared" ref="FC167:FD167" ca="1" si="844">(XIRR(FC18:FC165,$EQ$18:$EQ$165,0))</f>
        <v>#VALUE!</v>
      </c>
      <c r="FD167" s="262" t="e">
        <f t="shared" ca="1" si="844"/>
        <v>#VALUE!</v>
      </c>
      <c r="FE167" s="262" t="e">
        <f ca="1">(XIRR(FE18:FE165,$EQ$18:$EQ$165,0))</f>
        <v>#VALUE!</v>
      </c>
      <c r="FF167" s="262" t="e">
        <f t="shared" ref="FF167:FP167" ca="1" si="845">(XIRR(FF18:FF165,$EQ$18:$EQ$165,0))</f>
        <v>#VALUE!</v>
      </c>
      <c r="FG167" s="262" t="e">
        <f t="shared" ca="1" si="845"/>
        <v>#VALUE!</v>
      </c>
      <c r="FH167" s="262" t="e">
        <f t="shared" ca="1" si="845"/>
        <v>#VALUE!</v>
      </c>
      <c r="FI167" s="262" t="e">
        <f t="shared" ca="1" si="845"/>
        <v>#VALUE!</v>
      </c>
      <c r="FJ167" s="262" t="e">
        <f t="shared" ca="1" si="845"/>
        <v>#VALUE!</v>
      </c>
      <c r="FK167" s="262" t="e">
        <f t="shared" ca="1" si="845"/>
        <v>#VALUE!</v>
      </c>
      <c r="FL167" s="262" t="e">
        <f t="shared" ca="1" si="845"/>
        <v>#VALUE!</v>
      </c>
      <c r="FM167" s="262" t="e">
        <f t="shared" ca="1" si="845"/>
        <v>#VALUE!</v>
      </c>
      <c r="FN167" s="262" t="e">
        <f t="shared" ca="1" si="845"/>
        <v>#VALUE!</v>
      </c>
      <c r="FO167" s="262" t="e">
        <f t="shared" ca="1" si="845"/>
        <v>#NUM!</v>
      </c>
      <c r="FP167" s="262">
        <f t="shared" ca="1" si="845"/>
        <v>4.8828125000000004E-9</v>
      </c>
    </row>
    <row r="168" spans="2:172" ht="12.75" hidden="1" customHeight="1" x14ac:dyDescent="0.25">
      <c r="B168" s="87">
        <v>110</v>
      </c>
      <c r="C168" s="181">
        <f t="shared" ca="1" si="788"/>
        <v>49500</v>
      </c>
      <c r="D168" s="380">
        <f t="shared" si="814"/>
        <v>0</v>
      </c>
      <c r="E168" s="380">
        <f t="shared" si="814"/>
        <v>0</v>
      </c>
      <c r="F168" s="380">
        <f t="shared" si="814"/>
        <v>0</v>
      </c>
      <c r="G168" s="380">
        <f t="shared" si="814"/>
        <v>0</v>
      </c>
      <c r="H168" s="380">
        <f t="shared" si="814"/>
        <v>0</v>
      </c>
      <c r="I168" s="380">
        <f t="shared" si="814"/>
        <v>0</v>
      </c>
      <c r="J168" s="380">
        <f t="shared" si="814"/>
        <v>0</v>
      </c>
      <c r="K168" s="380">
        <f t="shared" si="814"/>
        <v>0</v>
      </c>
      <c r="L168" s="380">
        <f t="shared" si="814"/>
        <v>0</v>
      </c>
      <c r="M168" s="380">
        <f t="shared" si="814"/>
        <v>0</v>
      </c>
      <c r="N168" s="380">
        <f t="shared" si="815"/>
        <v>0</v>
      </c>
      <c r="O168" s="380">
        <f t="shared" si="815"/>
        <v>0</v>
      </c>
      <c r="P168" s="380">
        <f t="shared" si="815"/>
        <v>0</v>
      </c>
      <c r="Q168" s="380">
        <f t="shared" si="815"/>
        <v>0</v>
      </c>
      <c r="R168" s="380">
        <f t="shared" si="815"/>
        <v>0</v>
      </c>
      <c r="S168" s="380">
        <f t="shared" si="815"/>
        <v>0</v>
      </c>
      <c r="T168" s="380">
        <f t="shared" si="815"/>
        <v>0</v>
      </c>
      <c r="U168" s="175"/>
      <c r="AQ168" s="138">
        <v>145</v>
      </c>
      <c r="AR168" s="258">
        <f t="shared" ca="1" si="528"/>
        <v>50566</v>
      </c>
      <c r="AS168" s="378"/>
      <c r="AW168" s="137">
        <f ca="1">XIRR(AW23:AW167,AV23:AV167,0)</f>
        <v>0.24987174316406247</v>
      </c>
      <c r="AX168" s="202">
        <f t="shared" ca="1" si="764"/>
        <v>444247005136.5</v>
      </c>
      <c r="AY168" s="138">
        <v>145</v>
      </c>
      <c r="AZ168" s="258">
        <f t="shared" ca="1" si="530"/>
        <v>50596</v>
      </c>
      <c r="BC168" s="258">
        <f t="shared" ca="1" si="591"/>
        <v>50566</v>
      </c>
      <c r="BD168" s="302">
        <f t="shared" ca="1" si="592"/>
        <v>0</v>
      </c>
      <c r="BE168" s="133">
        <f t="shared" si="755"/>
        <v>145</v>
      </c>
      <c r="BF168" s="379">
        <f t="shared" ca="1" si="756"/>
        <v>50566</v>
      </c>
      <c r="BG168" s="133">
        <f t="shared" si="766"/>
        <v>0</v>
      </c>
      <c r="BH168" s="133">
        <f t="shared" si="767"/>
        <v>0</v>
      </c>
      <c r="BI168" s="133">
        <f t="shared" si="768"/>
        <v>0</v>
      </c>
      <c r="BJ168" s="133">
        <f t="shared" si="769"/>
        <v>0</v>
      </c>
      <c r="BK168" s="133">
        <f t="shared" si="770"/>
        <v>0</v>
      </c>
      <c r="BL168" s="133">
        <f t="shared" si="771"/>
        <v>0</v>
      </c>
      <c r="BM168" s="133">
        <f t="shared" si="772"/>
        <v>0</v>
      </c>
      <c r="BN168" s="133">
        <f t="shared" si="773"/>
        <v>0</v>
      </c>
      <c r="BO168" s="133">
        <f t="shared" si="774"/>
        <v>0</v>
      </c>
      <c r="BP168" s="133">
        <f t="shared" si="775"/>
        <v>0</v>
      </c>
      <c r="BQ168" s="133">
        <f t="shared" si="776"/>
        <v>0</v>
      </c>
      <c r="BR168" s="133">
        <f t="shared" si="777"/>
        <v>0</v>
      </c>
      <c r="BS168" s="133">
        <f t="shared" si="778"/>
        <v>0</v>
      </c>
      <c r="BT168" s="133">
        <f t="shared" si="779"/>
        <v>0</v>
      </c>
      <c r="BU168" s="133">
        <f t="shared" si="780"/>
        <v>0</v>
      </c>
      <c r="BV168" s="133">
        <f t="shared" si="781"/>
        <v>0</v>
      </c>
      <c r="BW168" s="133">
        <f t="shared" si="782"/>
        <v>0</v>
      </c>
      <c r="BX168" s="267"/>
      <c r="BY168" s="267"/>
      <c r="BZ168" s="267"/>
      <c r="CA168" s="267"/>
      <c r="CB168" s="267"/>
      <c r="CC168" s="267"/>
      <c r="CD168" s="267"/>
      <c r="CE168" s="267"/>
      <c r="CF168" s="267"/>
      <c r="CG168" s="267"/>
      <c r="ER168" s="263">
        <f ca="1">IFERROR((IFERROR((ER167+1)^(30/365)-1,"")),"IRR NEGATIVO")</f>
        <v>1.8597822156823929E-2</v>
      </c>
      <c r="ES168" s="263">
        <f t="shared" ref="ES168:FA168" ca="1" si="846">IFERROR((IFERROR((ES167+1)^(30/365)-1,"")),"IRR NEGATIVO")</f>
        <v>1.7252372684076533E-2</v>
      </c>
      <c r="ET168" s="263">
        <f t="shared" ca="1" si="846"/>
        <v>1.6492596602848852E-2</v>
      </c>
      <c r="EU168" s="263">
        <f t="shared" ca="1" si="846"/>
        <v>1.576426701527911E-2</v>
      </c>
      <c r="EV168" s="263">
        <f t="shared" ca="1" si="846"/>
        <v>1.5064502839731819E-2</v>
      </c>
      <c r="EW168" s="263">
        <f t="shared" ca="1" si="846"/>
        <v>1.439078907334479E-2</v>
      </c>
      <c r="EX168" s="381">
        <f t="shared" ca="1" si="846"/>
        <v>1.3955020201168677E-2</v>
      </c>
      <c r="EY168" s="381">
        <f t="shared" ca="1" si="846"/>
        <v>1.3112959003038549E-2</v>
      </c>
      <c r="EZ168" s="381">
        <f t="shared" ca="1" si="846"/>
        <v>1.2705625068288207E-2</v>
      </c>
      <c r="FA168" s="381">
        <f t="shared" ca="1" si="846"/>
        <v>1.2306793477565581E-2</v>
      </c>
      <c r="FB168" s="263">
        <f ca="1">IFERROR((IFERROR((FB167+1)^(30/365)-1,"")),"IRR NEGATIVO")</f>
        <v>1.1916035034158057E-2</v>
      </c>
      <c r="FC168" s="263" t="str">
        <f t="shared" ref="FC168:FP168" ca="1" si="847">IFERROR((IFERROR((FC167+1)^(30/365)-1,"")),"IRR NEGATIVO")</f>
        <v/>
      </c>
      <c r="FD168" s="263" t="str">
        <f t="shared" ca="1" si="847"/>
        <v/>
      </c>
      <c r="FE168" s="263" t="str">
        <f t="shared" ca="1" si="847"/>
        <v/>
      </c>
      <c r="FF168" s="263" t="str">
        <f t="shared" ca="1" si="847"/>
        <v/>
      </c>
      <c r="FG168" s="263" t="str">
        <f t="shared" ca="1" si="847"/>
        <v/>
      </c>
      <c r="FH168" s="263" t="str">
        <f t="shared" ca="1" si="847"/>
        <v/>
      </c>
      <c r="FI168" s="263" t="str">
        <f t="shared" ca="1" si="847"/>
        <v/>
      </c>
      <c r="FJ168" s="263" t="str">
        <f ca="1">IFERROR((IFERROR((FJ167+1)^(30/365)-1,"")),"IRR NEGATIVO")</f>
        <v/>
      </c>
      <c r="FK168" s="263" t="str">
        <f t="shared" ca="1" si="847"/>
        <v/>
      </c>
      <c r="FL168" s="263" t="str">
        <f t="shared" ca="1" si="847"/>
        <v/>
      </c>
      <c r="FM168" s="263" t="str">
        <f t="shared" ca="1" si="847"/>
        <v/>
      </c>
      <c r="FN168" s="263" t="str">
        <f t="shared" ca="1" si="847"/>
        <v/>
      </c>
      <c r="FO168" s="263" t="str">
        <f t="shared" ca="1" si="847"/>
        <v/>
      </c>
      <c r="FP168" s="263">
        <f t="shared" ca="1" si="847"/>
        <v>4.0132697165518039E-10</v>
      </c>
    </row>
    <row r="169" spans="2:172" ht="12.75" hidden="1" customHeight="1" x14ac:dyDescent="0.25">
      <c r="B169" s="87">
        <v>111</v>
      </c>
      <c r="C169" s="181">
        <f t="shared" ca="1" si="788"/>
        <v>49531</v>
      </c>
      <c r="D169" s="380">
        <f t="shared" ref="D169:M178" si="848">IF($B169&lt;=D$20,1/(($C$57+1)^(($C169-$C$58)/30)),0)</f>
        <v>0</v>
      </c>
      <c r="E169" s="380">
        <f t="shared" si="848"/>
        <v>0</v>
      </c>
      <c r="F169" s="380">
        <f t="shared" si="848"/>
        <v>0</v>
      </c>
      <c r="G169" s="380">
        <f t="shared" si="848"/>
        <v>0</v>
      </c>
      <c r="H169" s="380">
        <f t="shared" si="848"/>
        <v>0</v>
      </c>
      <c r="I169" s="380">
        <f t="shared" si="848"/>
        <v>0</v>
      </c>
      <c r="J169" s="380">
        <f t="shared" si="848"/>
        <v>0</v>
      </c>
      <c r="K169" s="380">
        <f t="shared" si="848"/>
        <v>0</v>
      </c>
      <c r="L169" s="380">
        <f t="shared" si="848"/>
        <v>0</v>
      </c>
      <c r="M169" s="380">
        <f t="shared" si="848"/>
        <v>0</v>
      </c>
      <c r="N169" s="380">
        <f t="shared" ref="N169:T178" si="849">IF($B169&lt;=N$20,1/(($C$57+1)^(($C169-$C$58)/30)),0)</f>
        <v>0</v>
      </c>
      <c r="O169" s="380">
        <f t="shared" si="849"/>
        <v>0</v>
      </c>
      <c r="P169" s="380">
        <f t="shared" si="849"/>
        <v>0</v>
      </c>
      <c r="Q169" s="380">
        <f t="shared" si="849"/>
        <v>0</v>
      </c>
      <c r="R169" s="380">
        <f t="shared" si="849"/>
        <v>0</v>
      </c>
      <c r="S169" s="380">
        <f t="shared" si="849"/>
        <v>0</v>
      </c>
      <c r="T169" s="380">
        <f t="shared" si="849"/>
        <v>0</v>
      </c>
      <c r="U169" s="175"/>
      <c r="AQ169" s="138">
        <v>146</v>
      </c>
      <c r="AR169" s="258">
        <f t="shared" ca="1" si="528"/>
        <v>50596</v>
      </c>
      <c r="AS169" s="378"/>
      <c r="AW169" s="263">
        <f ca="1">(AW168+1)^(30/365)-1</f>
        <v>1.8501197163771188E-2</v>
      </c>
      <c r="AY169" s="138">
        <v>146</v>
      </c>
      <c r="AZ169" s="258">
        <f t="shared" ca="1" si="530"/>
        <v>50627</v>
      </c>
      <c r="BC169" s="258">
        <f t="shared" ca="1" si="591"/>
        <v>50596</v>
      </c>
      <c r="BD169" s="302">
        <f t="shared" ca="1" si="592"/>
        <v>0</v>
      </c>
      <c r="BE169" s="133">
        <f t="shared" si="755"/>
        <v>146</v>
      </c>
      <c r="BF169" s="379">
        <f t="shared" ca="1" si="756"/>
        <v>50596</v>
      </c>
      <c r="BG169" s="133">
        <f t="shared" si="766"/>
        <v>0</v>
      </c>
      <c r="BH169" s="133">
        <f t="shared" si="767"/>
        <v>0</v>
      </c>
      <c r="BI169" s="133">
        <f t="shared" si="768"/>
        <v>0</v>
      </c>
      <c r="BJ169" s="133">
        <f t="shared" si="769"/>
        <v>0</v>
      </c>
      <c r="BK169" s="133">
        <f t="shared" si="770"/>
        <v>0</v>
      </c>
      <c r="BL169" s="133">
        <f t="shared" si="771"/>
        <v>0</v>
      </c>
      <c r="BM169" s="133">
        <f t="shared" si="772"/>
        <v>0</v>
      </c>
      <c r="BN169" s="133">
        <f t="shared" si="773"/>
        <v>0</v>
      </c>
      <c r="BO169" s="133">
        <f t="shared" si="774"/>
        <v>0</v>
      </c>
      <c r="BP169" s="133">
        <f t="shared" si="775"/>
        <v>0</v>
      </c>
      <c r="BQ169" s="133">
        <f t="shared" si="776"/>
        <v>0</v>
      </c>
      <c r="BR169" s="133">
        <f t="shared" si="777"/>
        <v>0</v>
      </c>
      <c r="BS169" s="133">
        <f t="shared" si="778"/>
        <v>0</v>
      </c>
      <c r="BT169" s="133">
        <f t="shared" si="779"/>
        <v>0</v>
      </c>
      <c r="BU169" s="133">
        <f t="shared" si="780"/>
        <v>0</v>
      </c>
      <c r="BV169" s="133">
        <f t="shared" si="781"/>
        <v>0</v>
      </c>
      <c r="BW169" s="133">
        <f t="shared" si="782"/>
        <v>0</v>
      </c>
      <c r="BX169" s="267"/>
      <c r="BY169" s="267"/>
      <c r="BZ169" s="267"/>
      <c r="CA169" s="267"/>
      <c r="CB169" s="267"/>
      <c r="CC169" s="267"/>
      <c r="CD169" s="267"/>
      <c r="CE169" s="267"/>
      <c r="CF169" s="267"/>
      <c r="CG169" s="267"/>
    </row>
    <row r="170" spans="2:172" ht="12.75" hidden="1" customHeight="1" x14ac:dyDescent="0.25">
      <c r="B170" s="87">
        <v>112</v>
      </c>
      <c r="C170" s="181">
        <f t="shared" ca="1" si="788"/>
        <v>49562</v>
      </c>
      <c r="D170" s="380">
        <f t="shared" si="848"/>
        <v>0</v>
      </c>
      <c r="E170" s="380">
        <f t="shared" si="848"/>
        <v>0</v>
      </c>
      <c r="F170" s="380">
        <f t="shared" si="848"/>
        <v>0</v>
      </c>
      <c r="G170" s="380">
        <f t="shared" si="848"/>
        <v>0</v>
      </c>
      <c r="H170" s="380">
        <f t="shared" si="848"/>
        <v>0</v>
      </c>
      <c r="I170" s="380">
        <f t="shared" si="848"/>
        <v>0</v>
      </c>
      <c r="J170" s="380">
        <f t="shared" si="848"/>
        <v>0</v>
      </c>
      <c r="K170" s="380">
        <f t="shared" si="848"/>
        <v>0</v>
      </c>
      <c r="L170" s="380">
        <f t="shared" si="848"/>
        <v>0</v>
      </c>
      <c r="M170" s="380">
        <f t="shared" si="848"/>
        <v>0</v>
      </c>
      <c r="N170" s="380">
        <f t="shared" si="849"/>
        <v>0</v>
      </c>
      <c r="O170" s="380">
        <f t="shared" si="849"/>
        <v>0</v>
      </c>
      <c r="P170" s="380">
        <f t="shared" si="849"/>
        <v>0</v>
      </c>
      <c r="Q170" s="380">
        <f t="shared" si="849"/>
        <v>0</v>
      </c>
      <c r="R170" s="380">
        <f t="shared" si="849"/>
        <v>0</v>
      </c>
      <c r="S170" s="380">
        <f t="shared" si="849"/>
        <v>0</v>
      </c>
      <c r="T170" s="380">
        <f t="shared" si="849"/>
        <v>0</v>
      </c>
      <c r="U170" s="175"/>
      <c r="AQ170" s="138">
        <v>147</v>
      </c>
      <c r="AR170" s="258">
        <f t="shared" ca="1" si="528"/>
        <v>50627</v>
      </c>
      <c r="AS170" s="378"/>
      <c r="AY170" s="138">
        <v>147</v>
      </c>
      <c r="AZ170" s="258">
        <f t="shared" ca="1" si="530"/>
        <v>50658</v>
      </c>
      <c r="BC170" s="258">
        <f t="shared" ca="1" si="591"/>
        <v>50627</v>
      </c>
      <c r="BD170" s="302">
        <f t="shared" ca="1" si="592"/>
        <v>0</v>
      </c>
      <c r="BE170" s="133">
        <f t="shared" si="755"/>
        <v>147</v>
      </c>
      <c r="BF170" s="379">
        <f t="shared" ca="1" si="756"/>
        <v>50627</v>
      </c>
      <c r="BG170" s="133">
        <f t="shared" si="766"/>
        <v>0</v>
      </c>
      <c r="BH170" s="133">
        <f t="shared" si="767"/>
        <v>0</v>
      </c>
      <c r="BI170" s="133">
        <f t="shared" si="768"/>
        <v>0</v>
      </c>
      <c r="BJ170" s="133">
        <f t="shared" si="769"/>
        <v>0</v>
      </c>
      <c r="BK170" s="133">
        <f t="shared" si="770"/>
        <v>0</v>
      </c>
      <c r="BL170" s="133">
        <f t="shared" si="771"/>
        <v>0</v>
      </c>
      <c r="BM170" s="133">
        <f t="shared" si="772"/>
        <v>0</v>
      </c>
      <c r="BN170" s="133">
        <f t="shared" si="773"/>
        <v>0</v>
      </c>
      <c r="BO170" s="133">
        <f t="shared" si="774"/>
        <v>0</v>
      </c>
      <c r="BP170" s="133">
        <f t="shared" si="775"/>
        <v>0</v>
      </c>
      <c r="BQ170" s="133">
        <f t="shared" si="776"/>
        <v>0</v>
      </c>
      <c r="BR170" s="133">
        <f t="shared" si="777"/>
        <v>0</v>
      </c>
      <c r="BS170" s="133">
        <f t="shared" si="778"/>
        <v>0</v>
      </c>
      <c r="BT170" s="133">
        <f t="shared" si="779"/>
        <v>0</v>
      </c>
      <c r="BU170" s="133">
        <f t="shared" si="780"/>
        <v>0</v>
      </c>
      <c r="BV170" s="133">
        <f t="shared" si="781"/>
        <v>0</v>
      </c>
      <c r="BW170" s="133">
        <f t="shared" si="782"/>
        <v>0</v>
      </c>
      <c r="BX170" s="267"/>
      <c r="BY170" s="267"/>
      <c r="BZ170" s="267"/>
      <c r="CA170" s="267"/>
      <c r="CB170" s="267"/>
      <c r="CC170" s="267"/>
      <c r="CD170" s="267"/>
      <c r="CE170" s="267"/>
      <c r="CF170" s="267"/>
      <c r="CG170" s="267"/>
    </row>
    <row r="171" spans="2:172" ht="12.75" hidden="1" customHeight="1" x14ac:dyDescent="0.25">
      <c r="B171" s="87">
        <v>113</v>
      </c>
      <c r="C171" s="181">
        <f t="shared" ca="1" si="788"/>
        <v>49592</v>
      </c>
      <c r="D171" s="380">
        <f t="shared" si="848"/>
        <v>0</v>
      </c>
      <c r="E171" s="380">
        <f t="shared" si="848"/>
        <v>0</v>
      </c>
      <c r="F171" s="380">
        <f t="shared" si="848"/>
        <v>0</v>
      </c>
      <c r="G171" s="380">
        <f t="shared" si="848"/>
        <v>0</v>
      </c>
      <c r="H171" s="380">
        <f t="shared" si="848"/>
        <v>0</v>
      </c>
      <c r="I171" s="380">
        <f t="shared" si="848"/>
        <v>0</v>
      </c>
      <c r="J171" s="380">
        <f t="shared" si="848"/>
        <v>0</v>
      </c>
      <c r="K171" s="380">
        <f t="shared" si="848"/>
        <v>0</v>
      </c>
      <c r="L171" s="380">
        <f t="shared" si="848"/>
        <v>0</v>
      </c>
      <c r="M171" s="380">
        <f t="shared" si="848"/>
        <v>0</v>
      </c>
      <c r="N171" s="380">
        <f t="shared" si="849"/>
        <v>0</v>
      </c>
      <c r="O171" s="380">
        <f t="shared" si="849"/>
        <v>0</v>
      </c>
      <c r="P171" s="380">
        <f t="shared" si="849"/>
        <v>0</v>
      </c>
      <c r="Q171" s="380">
        <f t="shared" si="849"/>
        <v>0</v>
      </c>
      <c r="R171" s="380">
        <f t="shared" si="849"/>
        <v>0</v>
      </c>
      <c r="S171" s="380">
        <f t="shared" si="849"/>
        <v>0</v>
      </c>
      <c r="T171" s="380">
        <f t="shared" si="849"/>
        <v>0</v>
      </c>
      <c r="U171" s="175"/>
      <c r="AQ171" s="138">
        <v>148</v>
      </c>
      <c r="AR171" s="258">
        <f t="shared" ca="1" si="528"/>
        <v>50658</v>
      </c>
      <c r="AS171" s="378"/>
      <c r="AY171" s="138">
        <v>148</v>
      </c>
      <c r="AZ171" s="258">
        <f t="shared" ca="1" si="530"/>
        <v>50688</v>
      </c>
      <c r="BE171" s="133">
        <f t="shared" si="755"/>
        <v>148</v>
      </c>
      <c r="BF171" s="379">
        <f t="shared" ca="1" si="756"/>
        <v>50658</v>
      </c>
      <c r="BG171" s="133">
        <f t="shared" si="766"/>
        <v>0</v>
      </c>
      <c r="BH171" s="133">
        <f t="shared" si="767"/>
        <v>0</v>
      </c>
      <c r="BI171" s="133">
        <f t="shared" si="768"/>
        <v>0</v>
      </c>
      <c r="BJ171" s="133">
        <f t="shared" si="769"/>
        <v>0</v>
      </c>
      <c r="BK171" s="133">
        <f t="shared" si="770"/>
        <v>0</v>
      </c>
      <c r="BL171" s="133">
        <f t="shared" si="771"/>
        <v>0</v>
      </c>
      <c r="BM171" s="133">
        <f t="shared" si="772"/>
        <v>0</v>
      </c>
      <c r="BN171" s="133">
        <f t="shared" si="773"/>
        <v>0</v>
      </c>
      <c r="BO171" s="133">
        <f t="shared" si="774"/>
        <v>0</v>
      </c>
      <c r="BP171" s="133">
        <f t="shared" si="775"/>
        <v>0</v>
      </c>
      <c r="BQ171" s="133">
        <f t="shared" si="776"/>
        <v>0</v>
      </c>
      <c r="BR171" s="133">
        <f t="shared" si="777"/>
        <v>0</v>
      </c>
      <c r="BS171" s="133">
        <f t="shared" si="778"/>
        <v>0</v>
      </c>
      <c r="BT171" s="133">
        <f t="shared" si="779"/>
        <v>0</v>
      </c>
      <c r="BU171" s="133">
        <f t="shared" si="780"/>
        <v>0</v>
      </c>
      <c r="BV171" s="133">
        <f t="shared" si="781"/>
        <v>0</v>
      </c>
      <c r="BW171" s="133">
        <f t="shared" si="782"/>
        <v>0</v>
      </c>
      <c r="BX171" s="267"/>
      <c r="BY171" s="267"/>
      <c r="BZ171" s="267"/>
      <c r="CA171" s="267"/>
      <c r="CB171" s="267"/>
      <c r="CC171" s="267"/>
      <c r="CD171" s="267"/>
      <c r="CE171" s="267"/>
      <c r="CF171" s="267"/>
      <c r="CG171" s="267"/>
    </row>
    <row r="172" spans="2:172" ht="12.75" hidden="1" customHeight="1" x14ac:dyDescent="0.25">
      <c r="B172" s="87">
        <v>114</v>
      </c>
      <c r="C172" s="181">
        <f t="shared" ca="1" si="788"/>
        <v>49623</v>
      </c>
      <c r="D172" s="380">
        <f t="shared" si="848"/>
        <v>0</v>
      </c>
      <c r="E172" s="380">
        <f t="shared" si="848"/>
        <v>0</v>
      </c>
      <c r="F172" s="380">
        <f t="shared" si="848"/>
        <v>0</v>
      </c>
      <c r="G172" s="380">
        <f t="shared" si="848"/>
        <v>0</v>
      </c>
      <c r="H172" s="380">
        <f t="shared" si="848"/>
        <v>0</v>
      </c>
      <c r="I172" s="380">
        <f t="shared" si="848"/>
        <v>0</v>
      </c>
      <c r="J172" s="380">
        <f t="shared" si="848"/>
        <v>0</v>
      </c>
      <c r="K172" s="380">
        <f t="shared" si="848"/>
        <v>0</v>
      </c>
      <c r="L172" s="380">
        <f t="shared" si="848"/>
        <v>0</v>
      </c>
      <c r="M172" s="380">
        <f t="shared" si="848"/>
        <v>0</v>
      </c>
      <c r="N172" s="380">
        <f t="shared" si="849"/>
        <v>0</v>
      </c>
      <c r="O172" s="380">
        <f t="shared" si="849"/>
        <v>0</v>
      </c>
      <c r="P172" s="380">
        <f t="shared" si="849"/>
        <v>0</v>
      </c>
      <c r="Q172" s="380">
        <f t="shared" si="849"/>
        <v>0</v>
      </c>
      <c r="R172" s="380">
        <f t="shared" si="849"/>
        <v>0</v>
      </c>
      <c r="S172" s="380">
        <f t="shared" si="849"/>
        <v>0</v>
      </c>
      <c r="T172" s="380">
        <f t="shared" si="849"/>
        <v>0</v>
      </c>
      <c r="U172" s="175"/>
      <c r="AS172" s="137">
        <f ca="1">XIRR(AS23:AS170,AR23:AR170,0)</f>
        <v>0.24903680175781251</v>
      </c>
      <c r="BA172" s="137">
        <f ca="1">ROUNDUP(XIRR(BA23:BA171,AZ23:AZ171,0),4)</f>
        <v>0.24309999999999998</v>
      </c>
      <c r="BR172" s="177"/>
      <c r="BS172" s="177"/>
      <c r="BT172" s="267"/>
      <c r="BU172" s="267"/>
      <c r="BV172" s="267"/>
      <c r="BW172" s="267"/>
      <c r="BX172" s="267"/>
      <c r="BY172" s="267"/>
      <c r="BZ172" s="267"/>
      <c r="CA172" s="267"/>
      <c r="CB172" s="267"/>
      <c r="CC172" s="267"/>
      <c r="CD172" s="267"/>
      <c r="CE172" s="267"/>
      <c r="CF172" s="267"/>
      <c r="CG172" s="267"/>
    </row>
    <row r="173" spans="2:172" ht="12.75" hidden="1" customHeight="1" x14ac:dyDescent="0.25">
      <c r="B173" s="87">
        <v>115</v>
      </c>
      <c r="C173" s="181">
        <f t="shared" ca="1" si="788"/>
        <v>49653</v>
      </c>
      <c r="D173" s="380">
        <f t="shared" si="848"/>
        <v>0</v>
      </c>
      <c r="E173" s="380">
        <f t="shared" si="848"/>
        <v>0</v>
      </c>
      <c r="F173" s="380">
        <f t="shared" si="848"/>
        <v>0</v>
      </c>
      <c r="G173" s="380">
        <f t="shared" si="848"/>
        <v>0</v>
      </c>
      <c r="H173" s="380">
        <f t="shared" si="848"/>
        <v>0</v>
      </c>
      <c r="I173" s="380">
        <f t="shared" si="848"/>
        <v>0</v>
      </c>
      <c r="J173" s="380">
        <f t="shared" si="848"/>
        <v>0</v>
      </c>
      <c r="K173" s="380">
        <f t="shared" si="848"/>
        <v>0</v>
      </c>
      <c r="L173" s="380">
        <f t="shared" si="848"/>
        <v>0</v>
      </c>
      <c r="M173" s="380">
        <f t="shared" si="848"/>
        <v>0</v>
      </c>
      <c r="N173" s="380">
        <f t="shared" si="849"/>
        <v>0</v>
      </c>
      <c r="O173" s="380">
        <f t="shared" si="849"/>
        <v>0</v>
      </c>
      <c r="P173" s="380">
        <f t="shared" si="849"/>
        <v>0</v>
      </c>
      <c r="Q173" s="380">
        <f t="shared" si="849"/>
        <v>0</v>
      </c>
      <c r="R173" s="380">
        <f t="shared" si="849"/>
        <v>0</v>
      </c>
      <c r="S173" s="380">
        <f t="shared" si="849"/>
        <v>0</v>
      </c>
      <c r="T173" s="380">
        <f t="shared" si="849"/>
        <v>0</v>
      </c>
      <c r="U173" s="175"/>
      <c r="AS173" s="263">
        <f ca="1">(AS172+1)^(30/365)-1</f>
        <v>1.8445258298004141E-2</v>
      </c>
      <c r="BA173" s="263">
        <f ca="1">(BA172+1)^(30/365)-1</f>
        <v>1.8046515790978601E-2</v>
      </c>
      <c r="BD173" s="137">
        <f ca="1">ROUNDUP(XIRR(BA23:BA170,BC23:BC170,0),4)</f>
        <v>0.25090000000000001</v>
      </c>
      <c r="BG173" s="307">
        <f ca="1">ROUNDDOWN(XIRR(BG23:BG171,$BF$23:$BF$171,0),4)</f>
        <v>0.28999999999999998</v>
      </c>
      <c r="BH173" s="307" t="e">
        <f t="shared" ref="BH173:BW173" ca="1" si="850">XIRR(BH23:BH171,$BF$23:$BF$171,0)</f>
        <v>#NUM!</v>
      </c>
      <c r="BI173" s="307" t="e">
        <f t="shared" ca="1" si="850"/>
        <v>#NUM!</v>
      </c>
      <c r="BJ173" s="307" t="e">
        <f t="shared" ca="1" si="850"/>
        <v>#NUM!</v>
      </c>
      <c r="BK173" s="307" t="e">
        <f t="shared" ca="1" si="850"/>
        <v>#NUM!</v>
      </c>
      <c r="BL173" s="307" t="e">
        <f t="shared" ca="1" si="850"/>
        <v>#NUM!</v>
      </c>
      <c r="BM173" s="307" t="e">
        <f t="shared" ca="1" si="850"/>
        <v>#NUM!</v>
      </c>
      <c r="BN173" s="307" t="e">
        <f t="shared" ca="1" si="850"/>
        <v>#NUM!</v>
      </c>
      <c r="BO173" s="307" t="e">
        <f t="shared" ca="1" si="850"/>
        <v>#NUM!</v>
      </c>
      <c r="BP173" s="307" t="e">
        <f t="shared" ca="1" si="850"/>
        <v>#NUM!</v>
      </c>
      <c r="BQ173" s="307" t="e">
        <f t="shared" ca="1" si="850"/>
        <v>#NUM!</v>
      </c>
      <c r="BR173" s="307" t="e">
        <f t="shared" ca="1" si="850"/>
        <v>#NUM!</v>
      </c>
      <c r="BS173" s="307" t="e">
        <f t="shared" ca="1" si="850"/>
        <v>#NUM!</v>
      </c>
      <c r="BT173" s="307" t="e">
        <f t="shared" ca="1" si="850"/>
        <v>#NUM!</v>
      </c>
      <c r="BU173" s="307" t="e">
        <f t="shared" ca="1" si="850"/>
        <v>#NUM!</v>
      </c>
      <c r="BV173" s="307" t="e">
        <f t="shared" ca="1" si="850"/>
        <v>#NUM!</v>
      </c>
      <c r="BW173" s="307" t="e">
        <f t="shared" ca="1" si="850"/>
        <v>#NUM!</v>
      </c>
      <c r="BX173" s="267"/>
      <c r="BY173" s="267"/>
      <c r="BZ173" s="267"/>
      <c r="CA173" s="267"/>
      <c r="CB173" s="267"/>
      <c r="CC173" s="267"/>
      <c r="CD173" s="267"/>
      <c r="CE173" s="267"/>
      <c r="CF173" s="267"/>
      <c r="CG173" s="267"/>
    </row>
    <row r="174" spans="2:172" ht="12.75" hidden="1" customHeight="1" x14ac:dyDescent="0.25">
      <c r="B174" s="87">
        <v>116</v>
      </c>
      <c r="C174" s="181">
        <f t="shared" ca="1" si="788"/>
        <v>49684</v>
      </c>
      <c r="D174" s="380">
        <f t="shared" si="848"/>
        <v>0</v>
      </c>
      <c r="E174" s="380">
        <f t="shared" si="848"/>
        <v>0</v>
      </c>
      <c r="F174" s="380">
        <f t="shared" si="848"/>
        <v>0</v>
      </c>
      <c r="G174" s="380">
        <f t="shared" si="848"/>
        <v>0</v>
      </c>
      <c r="H174" s="380">
        <f t="shared" si="848"/>
        <v>0</v>
      </c>
      <c r="I174" s="380">
        <f t="shared" si="848"/>
        <v>0</v>
      </c>
      <c r="J174" s="380">
        <f t="shared" si="848"/>
        <v>0</v>
      </c>
      <c r="K174" s="380">
        <f t="shared" si="848"/>
        <v>0</v>
      </c>
      <c r="L174" s="380">
        <f t="shared" si="848"/>
        <v>0</v>
      </c>
      <c r="M174" s="380">
        <f t="shared" si="848"/>
        <v>0</v>
      </c>
      <c r="N174" s="380">
        <f t="shared" si="849"/>
        <v>0</v>
      </c>
      <c r="O174" s="380">
        <f t="shared" si="849"/>
        <v>0</v>
      </c>
      <c r="P174" s="380">
        <f t="shared" si="849"/>
        <v>0</v>
      </c>
      <c r="Q174" s="380">
        <f t="shared" si="849"/>
        <v>0</v>
      </c>
      <c r="R174" s="380">
        <f t="shared" si="849"/>
        <v>0</v>
      </c>
      <c r="S174" s="380">
        <f t="shared" si="849"/>
        <v>0</v>
      </c>
      <c r="T174" s="380">
        <f t="shared" si="849"/>
        <v>0</v>
      </c>
      <c r="U174" s="175"/>
      <c r="BD174" s="263">
        <f ca="1">(BD173+1)^(30/365)-1</f>
        <v>1.857004054354916E-2</v>
      </c>
      <c r="BG174" s="263">
        <f ca="1">ROUND((BG173+1)^(30/365)-1,5)</f>
        <v>2.1149999999999999E-2</v>
      </c>
      <c r="BH174" s="263" t="e">
        <f t="shared" ref="BH174:BW174" ca="1" si="851">ROUND((BH173+1)^(30/365)-1,5)</f>
        <v>#NUM!</v>
      </c>
      <c r="BI174" s="263" t="e">
        <f t="shared" ca="1" si="851"/>
        <v>#NUM!</v>
      </c>
      <c r="BJ174" s="263" t="e">
        <f t="shared" ca="1" si="851"/>
        <v>#NUM!</v>
      </c>
      <c r="BK174" s="263" t="e">
        <f t="shared" ca="1" si="851"/>
        <v>#NUM!</v>
      </c>
      <c r="BL174" s="263" t="e">
        <f t="shared" ca="1" si="851"/>
        <v>#NUM!</v>
      </c>
      <c r="BM174" s="263" t="e">
        <f t="shared" ca="1" si="851"/>
        <v>#NUM!</v>
      </c>
      <c r="BN174" s="263" t="e">
        <f t="shared" ca="1" si="851"/>
        <v>#NUM!</v>
      </c>
      <c r="BO174" s="263" t="e">
        <f t="shared" ca="1" si="851"/>
        <v>#NUM!</v>
      </c>
      <c r="BP174" s="263" t="e">
        <f t="shared" ca="1" si="851"/>
        <v>#NUM!</v>
      </c>
      <c r="BQ174" s="263" t="e">
        <f t="shared" ca="1" si="851"/>
        <v>#NUM!</v>
      </c>
      <c r="BR174" s="263" t="e">
        <f t="shared" ca="1" si="851"/>
        <v>#NUM!</v>
      </c>
      <c r="BS174" s="263" t="e">
        <f t="shared" ca="1" si="851"/>
        <v>#NUM!</v>
      </c>
      <c r="BT174" s="263" t="e">
        <f t="shared" ca="1" si="851"/>
        <v>#NUM!</v>
      </c>
      <c r="BU174" s="263" t="e">
        <f t="shared" ca="1" si="851"/>
        <v>#NUM!</v>
      </c>
      <c r="BV174" s="263" t="e">
        <f t="shared" ca="1" si="851"/>
        <v>#NUM!</v>
      </c>
      <c r="BW174" s="263" t="e">
        <f t="shared" ca="1" si="851"/>
        <v>#NUM!</v>
      </c>
      <c r="BX174" s="267"/>
      <c r="BY174" s="267"/>
      <c r="BZ174" s="267"/>
      <c r="CA174" s="267"/>
      <c r="CB174" s="267"/>
      <c r="CC174" s="267"/>
      <c r="CD174" s="267"/>
      <c r="CE174" s="267"/>
      <c r="CF174" s="267"/>
      <c r="CG174" s="267"/>
    </row>
    <row r="175" spans="2:172" ht="12.75" hidden="1" customHeight="1" x14ac:dyDescent="0.25">
      <c r="B175" s="87">
        <v>117</v>
      </c>
      <c r="C175" s="181">
        <f t="shared" ca="1" si="788"/>
        <v>49715</v>
      </c>
      <c r="D175" s="380">
        <f t="shared" si="848"/>
        <v>0</v>
      </c>
      <c r="E175" s="380">
        <f t="shared" si="848"/>
        <v>0</v>
      </c>
      <c r="F175" s="380">
        <f t="shared" si="848"/>
        <v>0</v>
      </c>
      <c r="G175" s="380">
        <f t="shared" si="848"/>
        <v>0</v>
      </c>
      <c r="H175" s="380">
        <f t="shared" si="848"/>
        <v>0</v>
      </c>
      <c r="I175" s="380">
        <f t="shared" si="848"/>
        <v>0</v>
      </c>
      <c r="J175" s="380">
        <f t="shared" si="848"/>
        <v>0</v>
      </c>
      <c r="K175" s="380">
        <f t="shared" si="848"/>
        <v>0</v>
      </c>
      <c r="L175" s="380">
        <f t="shared" si="848"/>
        <v>0</v>
      </c>
      <c r="M175" s="380">
        <f t="shared" si="848"/>
        <v>0</v>
      </c>
      <c r="N175" s="380">
        <f t="shared" si="849"/>
        <v>0</v>
      </c>
      <c r="O175" s="380">
        <f t="shared" si="849"/>
        <v>0</v>
      </c>
      <c r="P175" s="380">
        <f t="shared" si="849"/>
        <v>0</v>
      </c>
      <c r="Q175" s="380">
        <f t="shared" si="849"/>
        <v>0</v>
      </c>
      <c r="R175" s="380">
        <f t="shared" si="849"/>
        <v>0</v>
      </c>
      <c r="S175" s="380">
        <f t="shared" si="849"/>
        <v>0</v>
      </c>
      <c r="T175" s="380">
        <f t="shared" si="849"/>
        <v>0</v>
      </c>
      <c r="U175" s="175"/>
      <c r="BG175" s="263">
        <f ca="1">ROUND((BG173+1)^(30/360)-1,5)</f>
        <v>2.145E-2</v>
      </c>
      <c r="BH175" s="263" t="e">
        <f t="shared" ref="BH175:BW175" ca="1" si="852">ROUND((BH173+1)^(30/360)-1,5)</f>
        <v>#NUM!</v>
      </c>
      <c r="BI175" s="263" t="e">
        <f t="shared" ca="1" si="852"/>
        <v>#NUM!</v>
      </c>
      <c r="BJ175" s="263" t="e">
        <f t="shared" ca="1" si="852"/>
        <v>#NUM!</v>
      </c>
      <c r="BK175" s="263" t="e">
        <f t="shared" ca="1" si="852"/>
        <v>#NUM!</v>
      </c>
      <c r="BL175" s="263" t="e">
        <f t="shared" ca="1" si="852"/>
        <v>#NUM!</v>
      </c>
      <c r="BM175" s="263" t="e">
        <f t="shared" ca="1" si="852"/>
        <v>#NUM!</v>
      </c>
      <c r="BN175" s="263" t="e">
        <f t="shared" ca="1" si="852"/>
        <v>#NUM!</v>
      </c>
      <c r="BO175" s="263" t="e">
        <f t="shared" ca="1" si="852"/>
        <v>#NUM!</v>
      </c>
      <c r="BP175" s="263" t="e">
        <f t="shared" ca="1" si="852"/>
        <v>#NUM!</v>
      </c>
      <c r="BQ175" s="263" t="e">
        <f t="shared" ca="1" si="852"/>
        <v>#NUM!</v>
      </c>
      <c r="BR175" s="263" t="e">
        <f t="shared" ca="1" si="852"/>
        <v>#NUM!</v>
      </c>
      <c r="BS175" s="263" t="e">
        <f t="shared" ca="1" si="852"/>
        <v>#NUM!</v>
      </c>
      <c r="BT175" s="263" t="e">
        <f t="shared" ca="1" si="852"/>
        <v>#NUM!</v>
      </c>
      <c r="BU175" s="263" t="e">
        <f t="shared" ca="1" si="852"/>
        <v>#NUM!</v>
      </c>
      <c r="BV175" s="263" t="e">
        <f t="shared" ca="1" si="852"/>
        <v>#NUM!</v>
      </c>
      <c r="BW175" s="263" t="e">
        <f t="shared" ca="1" si="852"/>
        <v>#NUM!</v>
      </c>
      <c r="BX175" s="267"/>
      <c r="BY175" s="267"/>
      <c r="BZ175" s="267"/>
      <c r="CA175" s="267"/>
      <c r="CB175" s="267"/>
      <c r="CC175" s="267"/>
      <c r="CD175" s="267"/>
      <c r="CE175" s="267"/>
      <c r="CF175" s="267"/>
      <c r="CG175" s="267"/>
    </row>
    <row r="176" spans="2:172" ht="12.75" hidden="1" customHeight="1" x14ac:dyDescent="0.25">
      <c r="B176" s="87">
        <v>118</v>
      </c>
      <c r="C176" s="181">
        <f t="shared" ca="1" si="788"/>
        <v>49744</v>
      </c>
      <c r="D176" s="380">
        <f t="shared" si="848"/>
        <v>0</v>
      </c>
      <c r="E176" s="380">
        <f t="shared" si="848"/>
        <v>0</v>
      </c>
      <c r="F176" s="380">
        <f t="shared" si="848"/>
        <v>0</v>
      </c>
      <c r="G176" s="380">
        <f t="shared" si="848"/>
        <v>0</v>
      </c>
      <c r="H176" s="380">
        <f t="shared" si="848"/>
        <v>0</v>
      </c>
      <c r="I176" s="380">
        <f t="shared" si="848"/>
        <v>0</v>
      </c>
      <c r="J176" s="380">
        <f t="shared" si="848"/>
        <v>0</v>
      </c>
      <c r="K176" s="380">
        <f t="shared" si="848"/>
        <v>0</v>
      </c>
      <c r="L176" s="380">
        <f t="shared" si="848"/>
        <v>0</v>
      </c>
      <c r="M176" s="380">
        <f t="shared" si="848"/>
        <v>0</v>
      </c>
      <c r="N176" s="380">
        <f t="shared" si="849"/>
        <v>0</v>
      </c>
      <c r="O176" s="380">
        <f t="shared" si="849"/>
        <v>0</v>
      </c>
      <c r="P176" s="380">
        <f t="shared" si="849"/>
        <v>0</v>
      </c>
      <c r="Q176" s="380">
        <f t="shared" si="849"/>
        <v>0</v>
      </c>
      <c r="R176" s="380">
        <f t="shared" si="849"/>
        <v>0</v>
      </c>
      <c r="S176" s="380">
        <f t="shared" si="849"/>
        <v>0</v>
      </c>
      <c r="T176" s="380">
        <f t="shared" si="849"/>
        <v>0</v>
      </c>
      <c r="U176" s="175"/>
      <c r="BG176" s="382">
        <f ca="1">BG175-BG174</f>
        <v>3.0000000000000165E-4</v>
      </c>
      <c r="BH176" s="382" t="e">
        <f t="shared" ref="BH176:BW176" ca="1" si="853">BH175-BH174</f>
        <v>#NUM!</v>
      </c>
      <c r="BI176" s="382" t="e">
        <f t="shared" ca="1" si="853"/>
        <v>#NUM!</v>
      </c>
      <c r="BJ176" s="382" t="e">
        <f t="shared" ca="1" si="853"/>
        <v>#NUM!</v>
      </c>
      <c r="BK176" s="382" t="e">
        <f t="shared" ca="1" si="853"/>
        <v>#NUM!</v>
      </c>
      <c r="BL176" s="382" t="e">
        <f t="shared" ca="1" si="853"/>
        <v>#NUM!</v>
      </c>
      <c r="BM176" s="382" t="e">
        <f t="shared" ca="1" si="853"/>
        <v>#NUM!</v>
      </c>
      <c r="BN176" s="382" t="e">
        <f t="shared" ca="1" si="853"/>
        <v>#NUM!</v>
      </c>
      <c r="BO176" s="382" t="e">
        <f t="shared" ca="1" si="853"/>
        <v>#NUM!</v>
      </c>
      <c r="BP176" s="382" t="e">
        <f t="shared" ca="1" si="853"/>
        <v>#NUM!</v>
      </c>
      <c r="BQ176" s="382" t="e">
        <f t="shared" ca="1" si="853"/>
        <v>#NUM!</v>
      </c>
      <c r="BR176" s="382" t="e">
        <f t="shared" ca="1" si="853"/>
        <v>#NUM!</v>
      </c>
      <c r="BS176" s="382" t="e">
        <f t="shared" ca="1" si="853"/>
        <v>#NUM!</v>
      </c>
      <c r="BT176" s="382" t="e">
        <f t="shared" ca="1" si="853"/>
        <v>#NUM!</v>
      </c>
      <c r="BU176" s="382" t="e">
        <f t="shared" ca="1" si="853"/>
        <v>#NUM!</v>
      </c>
      <c r="BV176" s="382" t="e">
        <f t="shared" ca="1" si="853"/>
        <v>#NUM!</v>
      </c>
      <c r="BW176" s="382" t="e">
        <f t="shared" ca="1" si="853"/>
        <v>#NUM!</v>
      </c>
      <c r="BX176" s="267"/>
      <c r="BY176" s="267"/>
      <c r="BZ176" s="267"/>
      <c r="CA176" s="267"/>
      <c r="CB176" s="267"/>
      <c r="CC176" s="267"/>
      <c r="CD176" s="267"/>
      <c r="CE176" s="267"/>
      <c r="CF176" s="267"/>
      <c r="CG176" s="267"/>
    </row>
    <row r="177" spans="2:85" ht="12.75" hidden="1" customHeight="1" x14ac:dyDescent="0.25">
      <c r="B177" s="87">
        <v>119</v>
      </c>
      <c r="C177" s="181">
        <f t="shared" ca="1" si="788"/>
        <v>49775</v>
      </c>
      <c r="D177" s="380">
        <f t="shared" si="848"/>
        <v>0</v>
      </c>
      <c r="E177" s="380">
        <f t="shared" si="848"/>
        <v>0</v>
      </c>
      <c r="F177" s="380">
        <f t="shared" si="848"/>
        <v>0</v>
      </c>
      <c r="G177" s="380">
        <f t="shared" si="848"/>
        <v>0</v>
      </c>
      <c r="H177" s="380">
        <f t="shared" si="848"/>
        <v>0</v>
      </c>
      <c r="I177" s="380">
        <f t="shared" si="848"/>
        <v>0</v>
      </c>
      <c r="J177" s="380">
        <f t="shared" si="848"/>
        <v>0</v>
      </c>
      <c r="K177" s="380">
        <f t="shared" si="848"/>
        <v>0</v>
      </c>
      <c r="L177" s="380">
        <f t="shared" si="848"/>
        <v>0</v>
      </c>
      <c r="M177" s="380">
        <f t="shared" si="848"/>
        <v>0</v>
      </c>
      <c r="N177" s="380">
        <f t="shared" si="849"/>
        <v>0</v>
      </c>
      <c r="O177" s="380">
        <f t="shared" si="849"/>
        <v>0</v>
      </c>
      <c r="P177" s="380">
        <f t="shared" si="849"/>
        <v>0</v>
      </c>
      <c r="Q177" s="380">
        <f t="shared" si="849"/>
        <v>0</v>
      </c>
      <c r="R177" s="380">
        <f t="shared" si="849"/>
        <v>0</v>
      </c>
      <c r="S177" s="380">
        <f t="shared" si="849"/>
        <v>0</v>
      </c>
      <c r="T177" s="380">
        <f t="shared" si="849"/>
        <v>0</v>
      </c>
      <c r="U177" s="175"/>
      <c r="BR177" s="177"/>
      <c r="BS177" s="177"/>
      <c r="BT177" s="267"/>
      <c r="BU177" s="267"/>
      <c r="BV177" s="267"/>
      <c r="BW177" s="267"/>
      <c r="BX177" s="267"/>
      <c r="BY177" s="267"/>
      <c r="BZ177" s="267"/>
      <c r="CA177" s="267"/>
      <c r="CB177" s="267"/>
      <c r="CC177" s="267"/>
      <c r="CD177" s="267"/>
      <c r="CE177" s="267"/>
      <c r="CF177" s="267"/>
      <c r="CG177" s="267"/>
    </row>
    <row r="178" spans="2:85" ht="12.75" hidden="1" customHeight="1" x14ac:dyDescent="0.25">
      <c r="B178" s="87">
        <v>120</v>
      </c>
      <c r="C178" s="181">
        <f t="shared" ca="1" si="788"/>
        <v>49805</v>
      </c>
      <c r="D178" s="380">
        <f t="shared" si="848"/>
        <v>0</v>
      </c>
      <c r="E178" s="380">
        <f t="shared" si="848"/>
        <v>0</v>
      </c>
      <c r="F178" s="380">
        <f t="shared" si="848"/>
        <v>0</v>
      </c>
      <c r="G178" s="380">
        <f t="shared" si="848"/>
        <v>0</v>
      </c>
      <c r="H178" s="380">
        <f t="shared" si="848"/>
        <v>0</v>
      </c>
      <c r="I178" s="380">
        <f t="shared" si="848"/>
        <v>0</v>
      </c>
      <c r="J178" s="380">
        <f t="shared" si="848"/>
        <v>0</v>
      </c>
      <c r="K178" s="380">
        <f t="shared" si="848"/>
        <v>0</v>
      </c>
      <c r="L178" s="380">
        <f t="shared" si="848"/>
        <v>0</v>
      </c>
      <c r="M178" s="380">
        <f t="shared" si="848"/>
        <v>0</v>
      </c>
      <c r="N178" s="380">
        <f t="shared" si="849"/>
        <v>0</v>
      </c>
      <c r="O178" s="380">
        <f t="shared" si="849"/>
        <v>0</v>
      </c>
      <c r="P178" s="380">
        <f t="shared" si="849"/>
        <v>0</v>
      </c>
      <c r="Q178" s="380">
        <f t="shared" si="849"/>
        <v>0</v>
      </c>
      <c r="R178" s="380">
        <f t="shared" si="849"/>
        <v>0</v>
      </c>
      <c r="S178" s="380">
        <f t="shared" si="849"/>
        <v>0</v>
      </c>
      <c r="T178" s="380">
        <f t="shared" si="849"/>
        <v>0</v>
      </c>
      <c r="U178" s="175"/>
      <c r="BR178" s="177"/>
      <c r="BS178" s="177"/>
      <c r="BT178" s="267"/>
      <c r="BU178" s="267"/>
      <c r="BV178" s="267"/>
      <c r="BW178" s="267"/>
      <c r="BX178" s="267"/>
      <c r="BY178" s="267"/>
      <c r="BZ178" s="267"/>
      <c r="CA178" s="267"/>
      <c r="CB178" s="267"/>
      <c r="CC178" s="267"/>
      <c r="CD178" s="267"/>
      <c r="CE178" s="267"/>
      <c r="CF178" s="267"/>
      <c r="CG178" s="267"/>
    </row>
    <row r="179" spans="2:85" ht="12.75" hidden="1" customHeight="1" x14ac:dyDescent="0.25">
      <c r="B179" s="87">
        <v>121</v>
      </c>
      <c r="C179" s="181">
        <f t="shared" ca="1" si="788"/>
        <v>49836</v>
      </c>
      <c r="D179" s="380">
        <f t="shared" ref="D179:M188" si="854">IF($B179&lt;=D$20,1/(($C$57+1)^(($C179-$C$58)/30)),0)</f>
        <v>0</v>
      </c>
      <c r="E179" s="380">
        <f t="shared" si="854"/>
        <v>0</v>
      </c>
      <c r="F179" s="380">
        <f t="shared" si="854"/>
        <v>0</v>
      </c>
      <c r="G179" s="380">
        <f t="shared" si="854"/>
        <v>0</v>
      </c>
      <c r="H179" s="380">
        <f t="shared" si="854"/>
        <v>0</v>
      </c>
      <c r="I179" s="380">
        <f t="shared" si="854"/>
        <v>0</v>
      </c>
      <c r="J179" s="380">
        <f t="shared" si="854"/>
        <v>0</v>
      </c>
      <c r="K179" s="380">
        <f t="shared" si="854"/>
        <v>0</v>
      </c>
      <c r="L179" s="380">
        <f t="shared" si="854"/>
        <v>0</v>
      </c>
      <c r="M179" s="380">
        <f t="shared" si="854"/>
        <v>0</v>
      </c>
      <c r="N179" s="380">
        <f t="shared" ref="N179:T188" si="855">IF($B179&lt;=N$20,1/(($C$57+1)^(($C179-$C$58)/30)),0)</f>
        <v>0</v>
      </c>
      <c r="O179" s="380">
        <f t="shared" si="855"/>
        <v>0</v>
      </c>
      <c r="P179" s="380">
        <f t="shared" si="855"/>
        <v>0</v>
      </c>
      <c r="Q179" s="380">
        <f t="shared" si="855"/>
        <v>0</v>
      </c>
      <c r="R179" s="380">
        <f t="shared" si="855"/>
        <v>0</v>
      </c>
      <c r="S179" s="380">
        <f t="shared" si="855"/>
        <v>0</v>
      </c>
      <c r="T179" s="380">
        <f t="shared" si="855"/>
        <v>0</v>
      </c>
      <c r="U179" s="175"/>
      <c r="BR179" s="177"/>
      <c r="BS179" s="177"/>
      <c r="BT179" s="267"/>
      <c r="BU179" s="267"/>
      <c r="BV179" s="267"/>
      <c r="BW179" s="267"/>
      <c r="BX179" s="267"/>
      <c r="BY179" s="267"/>
      <c r="BZ179" s="267"/>
      <c r="CA179" s="267"/>
      <c r="CB179" s="267"/>
      <c r="CC179" s="267"/>
      <c r="CD179" s="267"/>
      <c r="CE179" s="267"/>
      <c r="CF179" s="267"/>
      <c r="CG179" s="267"/>
    </row>
    <row r="180" spans="2:85" ht="12.75" hidden="1" customHeight="1" x14ac:dyDescent="0.25">
      <c r="B180" s="87">
        <v>122</v>
      </c>
      <c r="C180" s="181">
        <f t="shared" ca="1" si="788"/>
        <v>49866</v>
      </c>
      <c r="D180" s="380">
        <f t="shared" si="854"/>
        <v>0</v>
      </c>
      <c r="E180" s="380">
        <f t="shared" si="854"/>
        <v>0</v>
      </c>
      <c r="F180" s="380">
        <f t="shared" si="854"/>
        <v>0</v>
      </c>
      <c r="G180" s="380">
        <f t="shared" si="854"/>
        <v>0</v>
      </c>
      <c r="H180" s="380">
        <f t="shared" si="854"/>
        <v>0</v>
      </c>
      <c r="I180" s="380">
        <f t="shared" si="854"/>
        <v>0</v>
      </c>
      <c r="J180" s="380">
        <f t="shared" si="854"/>
        <v>0</v>
      </c>
      <c r="K180" s="380">
        <f t="shared" si="854"/>
        <v>0</v>
      </c>
      <c r="L180" s="380">
        <f t="shared" si="854"/>
        <v>0</v>
      </c>
      <c r="M180" s="380">
        <f t="shared" si="854"/>
        <v>0</v>
      </c>
      <c r="N180" s="380">
        <f t="shared" si="855"/>
        <v>0</v>
      </c>
      <c r="O180" s="380">
        <f t="shared" si="855"/>
        <v>0</v>
      </c>
      <c r="P180" s="380">
        <f t="shared" si="855"/>
        <v>0</v>
      </c>
      <c r="Q180" s="380">
        <f t="shared" si="855"/>
        <v>0</v>
      </c>
      <c r="R180" s="380">
        <f t="shared" si="855"/>
        <v>0</v>
      </c>
      <c r="S180" s="380">
        <f t="shared" si="855"/>
        <v>0</v>
      </c>
      <c r="T180" s="380">
        <f t="shared" si="855"/>
        <v>0</v>
      </c>
      <c r="U180" s="175"/>
      <c r="BR180" s="177"/>
      <c r="BS180" s="177"/>
      <c r="BT180" s="267"/>
      <c r="BU180" s="267"/>
      <c r="BV180" s="267"/>
      <c r="BW180" s="267"/>
      <c r="BX180" s="267"/>
      <c r="BY180" s="267"/>
      <c r="BZ180" s="267"/>
      <c r="CA180" s="267"/>
      <c r="CB180" s="267"/>
      <c r="CC180" s="267"/>
      <c r="CD180" s="267"/>
      <c r="CE180" s="267"/>
      <c r="CF180" s="267"/>
      <c r="CG180" s="267"/>
    </row>
    <row r="181" spans="2:85" ht="12.75" hidden="1" customHeight="1" x14ac:dyDescent="0.25">
      <c r="B181" s="87">
        <v>123</v>
      </c>
      <c r="C181" s="181">
        <f t="shared" ca="1" si="788"/>
        <v>49897</v>
      </c>
      <c r="D181" s="380">
        <f t="shared" si="854"/>
        <v>0</v>
      </c>
      <c r="E181" s="380">
        <f t="shared" si="854"/>
        <v>0</v>
      </c>
      <c r="F181" s="380">
        <f t="shared" si="854"/>
        <v>0</v>
      </c>
      <c r="G181" s="380">
        <f t="shared" si="854"/>
        <v>0</v>
      </c>
      <c r="H181" s="380">
        <f t="shared" si="854"/>
        <v>0</v>
      </c>
      <c r="I181" s="380">
        <f t="shared" si="854"/>
        <v>0</v>
      </c>
      <c r="J181" s="380">
        <f t="shared" si="854"/>
        <v>0</v>
      </c>
      <c r="K181" s="380">
        <f t="shared" si="854"/>
        <v>0</v>
      </c>
      <c r="L181" s="380">
        <f t="shared" si="854"/>
        <v>0</v>
      </c>
      <c r="M181" s="380">
        <f t="shared" si="854"/>
        <v>0</v>
      </c>
      <c r="N181" s="380">
        <f t="shared" si="855"/>
        <v>0</v>
      </c>
      <c r="O181" s="380">
        <f t="shared" si="855"/>
        <v>0</v>
      </c>
      <c r="P181" s="380">
        <f t="shared" si="855"/>
        <v>0</v>
      </c>
      <c r="Q181" s="380">
        <f t="shared" si="855"/>
        <v>0</v>
      </c>
      <c r="R181" s="380">
        <f t="shared" si="855"/>
        <v>0</v>
      </c>
      <c r="S181" s="380">
        <f t="shared" si="855"/>
        <v>0</v>
      </c>
      <c r="T181" s="380">
        <f t="shared" si="855"/>
        <v>0</v>
      </c>
      <c r="U181" s="175"/>
      <c r="BR181" s="177"/>
      <c r="BS181" s="177"/>
      <c r="BT181" s="267"/>
      <c r="BU181" s="267"/>
      <c r="BV181" s="267"/>
      <c r="BW181" s="267"/>
      <c r="BX181" s="267"/>
      <c r="BY181" s="267"/>
      <c r="BZ181" s="267"/>
      <c r="CA181" s="267"/>
      <c r="CB181" s="267"/>
      <c r="CC181" s="267"/>
      <c r="CD181" s="267"/>
      <c r="CE181" s="267"/>
      <c r="CF181" s="267"/>
      <c r="CG181" s="267"/>
    </row>
    <row r="182" spans="2:85" ht="12.75" hidden="1" customHeight="1" x14ac:dyDescent="0.25">
      <c r="B182" s="87">
        <v>124</v>
      </c>
      <c r="C182" s="181">
        <f t="shared" ca="1" si="788"/>
        <v>49928</v>
      </c>
      <c r="D182" s="380">
        <f t="shared" si="854"/>
        <v>0</v>
      </c>
      <c r="E182" s="380">
        <f t="shared" si="854"/>
        <v>0</v>
      </c>
      <c r="F182" s="380">
        <f t="shared" si="854"/>
        <v>0</v>
      </c>
      <c r="G182" s="380">
        <f t="shared" si="854"/>
        <v>0</v>
      </c>
      <c r="H182" s="380">
        <f t="shared" si="854"/>
        <v>0</v>
      </c>
      <c r="I182" s="380">
        <f t="shared" si="854"/>
        <v>0</v>
      </c>
      <c r="J182" s="380">
        <f t="shared" si="854"/>
        <v>0</v>
      </c>
      <c r="K182" s="380">
        <f t="shared" si="854"/>
        <v>0</v>
      </c>
      <c r="L182" s="380">
        <f t="shared" si="854"/>
        <v>0</v>
      </c>
      <c r="M182" s="380">
        <f t="shared" si="854"/>
        <v>0</v>
      </c>
      <c r="N182" s="380">
        <f t="shared" si="855"/>
        <v>0</v>
      </c>
      <c r="O182" s="380">
        <f t="shared" si="855"/>
        <v>0</v>
      </c>
      <c r="P182" s="380">
        <f t="shared" si="855"/>
        <v>0</v>
      </c>
      <c r="Q182" s="380">
        <f t="shared" si="855"/>
        <v>0</v>
      </c>
      <c r="R182" s="380">
        <f t="shared" si="855"/>
        <v>0</v>
      </c>
      <c r="S182" s="380">
        <f t="shared" si="855"/>
        <v>0</v>
      </c>
      <c r="T182" s="380">
        <f t="shared" si="855"/>
        <v>0</v>
      </c>
      <c r="U182" s="179"/>
      <c r="BR182" s="177"/>
      <c r="BS182" s="177"/>
      <c r="BT182" s="267"/>
      <c r="BU182" s="267"/>
      <c r="BV182" s="267"/>
      <c r="BW182" s="267"/>
      <c r="BX182" s="267"/>
      <c r="BY182" s="267"/>
      <c r="BZ182" s="267"/>
      <c r="CA182" s="267"/>
      <c r="CB182" s="267"/>
      <c r="CC182" s="267"/>
      <c r="CD182" s="267"/>
      <c r="CE182" s="267"/>
      <c r="CF182" s="267"/>
      <c r="CG182" s="267"/>
    </row>
    <row r="183" spans="2:85" ht="12.75" hidden="1" customHeight="1" x14ac:dyDescent="0.25">
      <c r="B183" s="87">
        <v>125</v>
      </c>
      <c r="C183" s="181">
        <f t="shared" ca="1" si="788"/>
        <v>49958</v>
      </c>
      <c r="D183" s="380">
        <f t="shared" si="854"/>
        <v>0</v>
      </c>
      <c r="E183" s="380">
        <f t="shared" si="854"/>
        <v>0</v>
      </c>
      <c r="F183" s="380">
        <f t="shared" si="854"/>
        <v>0</v>
      </c>
      <c r="G183" s="380">
        <f t="shared" si="854"/>
        <v>0</v>
      </c>
      <c r="H183" s="380">
        <f t="shared" si="854"/>
        <v>0</v>
      </c>
      <c r="I183" s="380">
        <f t="shared" si="854"/>
        <v>0</v>
      </c>
      <c r="J183" s="380">
        <f t="shared" si="854"/>
        <v>0</v>
      </c>
      <c r="K183" s="380">
        <f t="shared" si="854"/>
        <v>0</v>
      </c>
      <c r="L183" s="380">
        <f t="shared" si="854"/>
        <v>0</v>
      </c>
      <c r="M183" s="380">
        <f t="shared" si="854"/>
        <v>0</v>
      </c>
      <c r="N183" s="380">
        <f t="shared" si="855"/>
        <v>0</v>
      </c>
      <c r="O183" s="380">
        <f t="shared" si="855"/>
        <v>0</v>
      </c>
      <c r="P183" s="380">
        <f t="shared" si="855"/>
        <v>0</v>
      </c>
      <c r="Q183" s="380">
        <f t="shared" si="855"/>
        <v>0</v>
      </c>
      <c r="R183" s="380">
        <f t="shared" si="855"/>
        <v>0</v>
      </c>
      <c r="S183" s="380">
        <f t="shared" si="855"/>
        <v>0</v>
      </c>
      <c r="T183" s="380">
        <f t="shared" si="855"/>
        <v>0</v>
      </c>
      <c r="BR183" s="177"/>
      <c r="BS183" s="177"/>
      <c r="BT183" s="267"/>
      <c r="BU183" s="267"/>
      <c r="BV183" s="267"/>
      <c r="BW183" s="267"/>
      <c r="BX183" s="267"/>
      <c r="BY183" s="267"/>
      <c r="BZ183" s="267"/>
      <c r="CA183" s="267"/>
      <c r="CB183" s="267"/>
      <c r="CC183" s="267"/>
      <c r="CD183" s="267"/>
      <c r="CE183" s="267"/>
      <c r="CF183" s="267"/>
      <c r="CG183" s="267"/>
    </row>
    <row r="184" spans="2:85" ht="12.75" hidden="1" customHeight="1" x14ac:dyDescent="0.25">
      <c r="B184" s="87">
        <v>126</v>
      </c>
      <c r="C184" s="181">
        <f t="shared" ca="1" si="788"/>
        <v>49989</v>
      </c>
      <c r="D184" s="380">
        <f t="shared" si="854"/>
        <v>0</v>
      </c>
      <c r="E184" s="380">
        <f t="shared" si="854"/>
        <v>0</v>
      </c>
      <c r="F184" s="380">
        <f t="shared" si="854"/>
        <v>0</v>
      </c>
      <c r="G184" s="380">
        <f t="shared" si="854"/>
        <v>0</v>
      </c>
      <c r="H184" s="380">
        <f t="shared" si="854"/>
        <v>0</v>
      </c>
      <c r="I184" s="380">
        <f t="shared" si="854"/>
        <v>0</v>
      </c>
      <c r="J184" s="380">
        <f t="shared" si="854"/>
        <v>0</v>
      </c>
      <c r="K184" s="380">
        <f t="shared" si="854"/>
        <v>0</v>
      </c>
      <c r="L184" s="380">
        <f t="shared" si="854"/>
        <v>0</v>
      </c>
      <c r="M184" s="380">
        <f t="shared" si="854"/>
        <v>0</v>
      </c>
      <c r="N184" s="380">
        <f t="shared" si="855"/>
        <v>0</v>
      </c>
      <c r="O184" s="380">
        <f t="shared" si="855"/>
        <v>0</v>
      </c>
      <c r="P184" s="380">
        <f t="shared" si="855"/>
        <v>0</v>
      </c>
      <c r="Q184" s="380">
        <f t="shared" si="855"/>
        <v>0</v>
      </c>
      <c r="R184" s="380">
        <f t="shared" si="855"/>
        <v>0</v>
      </c>
      <c r="S184" s="380">
        <f t="shared" si="855"/>
        <v>0</v>
      </c>
      <c r="T184" s="380">
        <f t="shared" si="855"/>
        <v>0</v>
      </c>
      <c r="BR184" s="177"/>
      <c r="BS184" s="177"/>
      <c r="BT184" s="267"/>
      <c r="BU184" s="267"/>
      <c r="BV184" s="267"/>
      <c r="BW184" s="267"/>
      <c r="BX184" s="267"/>
      <c r="BY184" s="267"/>
      <c r="BZ184" s="267"/>
      <c r="CA184" s="267"/>
      <c r="CB184" s="267"/>
      <c r="CC184" s="267"/>
      <c r="CD184" s="267"/>
      <c r="CE184" s="267"/>
      <c r="CF184" s="267"/>
      <c r="CG184" s="267"/>
    </row>
    <row r="185" spans="2:85" ht="12.75" hidden="1" customHeight="1" x14ac:dyDescent="0.25">
      <c r="B185" s="87">
        <v>127</v>
      </c>
      <c r="C185" s="181">
        <f t="shared" ca="1" si="788"/>
        <v>50019</v>
      </c>
      <c r="D185" s="380">
        <f t="shared" si="854"/>
        <v>0</v>
      </c>
      <c r="E185" s="380">
        <f t="shared" si="854"/>
        <v>0</v>
      </c>
      <c r="F185" s="380">
        <f t="shared" si="854"/>
        <v>0</v>
      </c>
      <c r="G185" s="380">
        <f t="shared" si="854"/>
        <v>0</v>
      </c>
      <c r="H185" s="380">
        <f t="shared" si="854"/>
        <v>0</v>
      </c>
      <c r="I185" s="380">
        <f t="shared" si="854"/>
        <v>0</v>
      </c>
      <c r="J185" s="380">
        <f t="shared" si="854"/>
        <v>0</v>
      </c>
      <c r="K185" s="380">
        <f t="shared" si="854"/>
        <v>0</v>
      </c>
      <c r="L185" s="380">
        <f t="shared" si="854"/>
        <v>0</v>
      </c>
      <c r="M185" s="380">
        <f t="shared" si="854"/>
        <v>0</v>
      </c>
      <c r="N185" s="380">
        <f t="shared" si="855"/>
        <v>0</v>
      </c>
      <c r="O185" s="380">
        <f t="shared" si="855"/>
        <v>0</v>
      </c>
      <c r="P185" s="380">
        <f t="shared" si="855"/>
        <v>0</v>
      </c>
      <c r="Q185" s="380">
        <f t="shared" si="855"/>
        <v>0</v>
      </c>
      <c r="R185" s="380">
        <f t="shared" si="855"/>
        <v>0</v>
      </c>
      <c r="S185" s="380">
        <f t="shared" si="855"/>
        <v>0</v>
      </c>
      <c r="T185" s="380">
        <f t="shared" si="855"/>
        <v>0</v>
      </c>
      <c r="BR185" s="177"/>
      <c r="BS185" s="177"/>
      <c r="BT185" s="267"/>
      <c r="BU185" s="267"/>
      <c r="BV185" s="267"/>
      <c r="BW185" s="267"/>
      <c r="BX185" s="267"/>
      <c r="BY185" s="267"/>
      <c r="BZ185" s="267"/>
      <c r="CA185" s="267"/>
      <c r="CB185" s="267"/>
      <c r="CC185" s="267"/>
      <c r="CD185" s="267"/>
      <c r="CE185" s="267"/>
      <c r="CF185" s="267"/>
      <c r="CG185" s="267"/>
    </row>
    <row r="186" spans="2:85" ht="12.75" hidden="1" customHeight="1" x14ac:dyDescent="0.25">
      <c r="B186" s="87">
        <v>128</v>
      </c>
      <c r="C186" s="181">
        <f t="shared" ref="C186:C202" ca="1" si="856">AR151</f>
        <v>50050</v>
      </c>
      <c r="D186" s="380">
        <f t="shared" si="854"/>
        <v>0</v>
      </c>
      <c r="E186" s="380">
        <f t="shared" si="854"/>
        <v>0</v>
      </c>
      <c r="F186" s="380">
        <f t="shared" si="854"/>
        <v>0</v>
      </c>
      <c r="G186" s="380">
        <f t="shared" si="854"/>
        <v>0</v>
      </c>
      <c r="H186" s="380">
        <f t="shared" si="854"/>
        <v>0</v>
      </c>
      <c r="I186" s="380">
        <f t="shared" si="854"/>
        <v>0</v>
      </c>
      <c r="J186" s="380">
        <f t="shared" si="854"/>
        <v>0</v>
      </c>
      <c r="K186" s="380">
        <f t="shared" si="854"/>
        <v>0</v>
      </c>
      <c r="L186" s="380">
        <f t="shared" si="854"/>
        <v>0</v>
      </c>
      <c r="M186" s="380">
        <f t="shared" si="854"/>
        <v>0</v>
      </c>
      <c r="N186" s="380">
        <f t="shared" si="855"/>
        <v>0</v>
      </c>
      <c r="O186" s="380">
        <f t="shared" si="855"/>
        <v>0</v>
      </c>
      <c r="P186" s="380">
        <f t="shared" si="855"/>
        <v>0</v>
      </c>
      <c r="Q186" s="380">
        <f t="shared" si="855"/>
        <v>0</v>
      </c>
      <c r="R186" s="380">
        <f t="shared" si="855"/>
        <v>0</v>
      </c>
      <c r="S186" s="380">
        <f t="shared" si="855"/>
        <v>0</v>
      </c>
      <c r="T186" s="380">
        <f t="shared" si="855"/>
        <v>0</v>
      </c>
      <c r="BR186" s="177"/>
      <c r="BS186" s="177"/>
      <c r="BT186" s="267"/>
      <c r="BU186" s="267"/>
      <c r="BV186" s="267"/>
      <c r="BW186" s="267"/>
      <c r="BX186" s="267"/>
      <c r="BY186" s="267"/>
      <c r="BZ186" s="267"/>
      <c r="CA186" s="267"/>
      <c r="CB186" s="267"/>
      <c r="CC186" s="267"/>
      <c r="CD186" s="267"/>
      <c r="CE186" s="267"/>
      <c r="CF186" s="267"/>
      <c r="CG186" s="267"/>
    </row>
    <row r="187" spans="2:85" ht="12.75" hidden="1" customHeight="1" x14ac:dyDescent="0.25">
      <c r="B187" s="87">
        <v>129</v>
      </c>
      <c r="C187" s="181">
        <f t="shared" ca="1" si="856"/>
        <v>50081</v>
      </c>
      <c r="D187" s="380">
        <f t="shared" si="854"/>
        <v>0</v>
      </c>
      <c r="E187" s="380">
        <f t="shared" si="854"/>
        <v>0</v>
      </c>
      <c r="F187" s="380">
        <f t="shared" si="854"/>
        <v>0</v>
      </c>
      <c r="G187" s="380">
        <f t="shared" si="854"/>
        <v>0</v>
      </c>
      <c r="H187" s="380">
        <f t="shared" si="854"/>
        <v>0</v>
      </c>
      <c r="I187" s="380">
        <f t="shared" si="854"/>
        <v>0</v>
      </c>
      <c r="J187" s="380">
        <f t="shared" si="854"/>
        <v>0</v>
      </c>
      <c r="K187" s="380">
        <f t="shared" si="854"/>
        <v>0</v>
      </c>
      <c r="L187" s="380">
        <f t="shared" si="854"/>
        <v>0</v>
      </c>
      <c r="M187" s="380">
        <f t="shared" si="854"/>
        <v>0</v>
      </c>
      <c r="N187" s="380">
        <f t="shared" si="855"/>
        <v>0</v>
      </c>
      <c r="O187" s="380">
        <f t="shared" si="855"/>
        <v>0</v>
      </c>
      <c r="P187" s="380">
        <f t="shared" si="855"/>
        <v>0</v>
      </c>
      <c r="Q187" s="380">
        <f t="shared" si="855"/>
        <v>0</v>
      </c>
      <c r="R187" s="380">
        <f t="shared" si="855"/>
        <v>0</v>
      </c>
      <c r="S187" s="380">
        <f t="shared" si="855"/>
        <v>0</v>
      </c>
      <c r="T187" s="380">
        <f t="shared" si="855"/>
        <v>0</v>
      </c>
      <c r="BR187" s="177"/>
      <c r="BS187" s="177"/>
      <c r="BT187" s="267"/>
      <c r="BU187" s="267"/>
      <c r="BV187" s="267"/>
      <c r="BW187" s="267"/>
      <c r="BX187" s="267"/>
      <c r="BY187" s="267"/>
      <c r="BZ187" s="267"/>
      <c r="CA187" s="267"/>
      <c r="CB187" s="267"/>
      <c r="CC187" s="267"/>
      <c r="CD187" s="267"/>
      <c r="CE187" s="267"/>
      <c r="CF187" s="267"/>
      <c r="CG187" s="267"/>
    </row>
    <row r="188" spans="2:85" ht="12.75" hidden="1" customHeight="1" x14ac:dyDescent="0.25">
      <c r="B188" s="87">
        <v>130</v>
      </c>
      <c r="C188" s="181">
        <f t="shared" ca="1" si="856"/>
        <v>50109</v>
      </c>
      <c r="D188" s="380">
        <f t="shared" si="854"/>
        <v>0</v>
      </c>
      <c r="E188" s="380">
        <f t="shared" si="854"/>
        <v>0</v>
      </c>
      <c r="F188" s="380">
        <f t="shared" si="854"/>
        <v>0</v>
      </c>
      <c r="G188" s="380">
        <f t="shared" si="854"/>
        <v>0</v>
      </c>
      <c r="H188" s="380">
        <f t="shared" si="854"/>
        <v>0</v>
      </c>
      <c r="I188" s="380">
        <f t="shared" si="854"/>
        <v>0</v>
      </c>
      <c r="J188" s="380">
        <f t="shared" si="854"/>
        <v>0</v>
      </c>
      <c r="K188" s="380">
        <f t="shared" si="854"/>
        <v>0</v>
      </c>
      <c r="L188" s="380">
        <f t="shared" si="854"/>
        <v>0</v>
      </c>
      <c r="M188" s="380">
        <f t="shared" si="854"/>
        <v>0</v>
      </c>
      <c r="N188" s="380">
        <f t="shared" si="855"/>
        <v>0</v>
      </c>
      <c r="O188" s="380">
        <f t="shared" si="855"/>
        <v>0</v>
      </c>
      <c r="P188" s="380">
        <f t="shared" si="855"/>
        <v>0</v>
      </c>
      <c r="Q188" s="380">
        <f t="shared" si="855"/>
        <v>0</v>
      </c>
      <c r="R188" s="380">
        <f t="shared" si="855"/>
        <v>0</v>
      </c>
      <c r="S188" s="380">
        <f t="shared" si="855"/>
        <v>0</v>
      </c>
      <c r="T188" s="380">
        <f t="shared" si="855"/>
        <v>0</v>
      </c>
      <c r="BR188" s="177"/>
      <c r="BS188" s="177"/>
      <c r="BT188" s="267"/>
      <c r="BU188" s="267"/>
      <c r="BV188" s="267"/>
      <c r="BW188" s="267"/>
      <c r="BX188" s="267"/>
      <c r="BY188" s="267"/>
      <c r="BZ188" s="267"/>
      <c r="CA188" s="267"/>
      <c r="CB188" s="267"/>
      <c r="CC188" s="267"/>
      <c r="CD188" s="267"/>
      <c r="CE188" s="267"/>
      <c r="CF188" s="267"/>
      <c r="CG188" s="267"/>
    </row>
    <row r="189" spans="2:85" ht="12.75" hidden="1" customHeight="1" x14ac:dyDescent="0.25">
      <c r="B189" s="87">
        <v>131</v>
      </c>
      <c r="C189" s="181">
        <f t="shared" ca="1" si="856"/>
        <v>50140</v>
      </c>
      <c r="D189" s="380">
        <f t="shared" ref="D189:M202" si="857">IF($B189&lt;=D$20,1/(($C$57+1)^(($C189-$C$58)/30)),0)</f>
        <v>0</v>
      </c>
      <c r="E189" s="380">
        <f t="shared" si="857"/>
        <v>0</v>
      </c>
      <c r="F189" s="380">
        <f t="shared" si="857"/>
        <v>0</v>
      </c>
      <c r="G189" s="380">
        <f t="shared" si="857"/>
        <v>0</v>
      </c>
      <c r="H189" s="380">
        <f t="shared" si="857"/>
        <v>0</v>
      </c>
      <c r="I189" s="380">
        <f t="shared" si="857"/>
        <v>0</v>
      </c>
      <c r="J189" s="380">
        <f t="shared" si="857"/>
        <v>0</v>
      </c>
      <c r="K189" s="380">
        <f t="shared" si="857"/>
        <v>0</v>
      </c>
      <c r="L189" s="380">
        <f t="shared" si="857"/>
        <v>0</v>
      </c>
      <c r="M189" s="380">
        <f t="shared" si="857"/>
        <v>0</v>
      </c>
      <c r="N189" s="380">
        <f t="shared" ref="N189:T202" si="858">IF($B189&lt;=N$20,1/(($C$57+1)^(($C189-$C$58)/30)),0)</f>
        <v>0</v>
      </c>
      <c r="O189" s="380">
        <f t="shared" si="858"/>
        <v>0</v>
      </c>
      <c r="P189" s="380">
        <f t="shared" si="858"/>
        <v>0</v>
      </c>
      <c r="Q189" s="380">
        <f t="shared" si="858"/>
        <v>0</v>
      </c>
      <c r="R189" s="380">
        <f t="shared" si="858"/>
        <v>0</v>
      </c>
      <c r="S189" s="380">
        <f t="shared" si="858"/>
        <v>0</v>
      </c>
      <c r="T189" s="380">
        <f t="shared" si="858"/>
        <v>0</v>
      </c>
      <c r="BR189" s="177"/>
      <c r="BS189" s="177"/>
      <c r="BT189" s="267"/>
      <c r="BU189" s="267"/>
      <c r="BV189" s="267"/>
      <c r="BW189" s="267"/>
      <c r="BX189" s="267"/>
      <c r="BY189" s="267"/>
      <c r="BZ189" s="267"/>
      <c r="CA189" s="267"/>
      <c r="CB189" s="267"/>
      <c r="CC189" s="267"/>
      <c r="CD189" s="267"/>
      <c r="CE189" s="267"/>
      <c r="CF189" s="267"/>
      <c r="CG189" s="267"/>
    </row>
    <row r="190" spans="2:85" ht="12.75" hidden="1" customHeight="1" x14ac:dyDescent="0.25">
      <c r="B190" s="87">
        <v>132</v>
      </c>
      <c r="C190" s="181">
        <f t="shared" ca="1" si="856"/>
        <v>50170</v>
      </c>
      <c r="D190" s="380">
        <f t="shared" si="857"/>
        <v>0</v>
      </c>
      <c r="E190" s="380">
        <f t="shared" si="857"/>
        <v>0</v>
      </c>
      <c r="F190" s="380">
        <f t="shared" si="857"/>
        <v>0</v>
      </c>
      <c r="G190" s="380">
        <f t="shared" si="857"/>
        <v>0</v>
      </c>
      <c r="H190" s="380">
        <f t="shared" si="857"/>
        <v>0</v>
      </c>
      <c r="I190" s="380">
        <f t="shared" si="857"/>
        <v>0</v>
      </c>
      <c r="J190" s="380">
        <f t="shared" si="857"/>
        <v>0</v>
      </c>
      <c r="K190" s="380">
        <f t="shared" si="857"/>
        <v>0</v>
      </c>
      <c r="L190" s="380">
        <f t="shared" si="857"/>
        <v>0</v>
      </c>
      <c r="M190" s="380">
        <f t="shared" si="857"/>
        <v>0</v>
      </c>
      <c r="N190" s="380">
        <f t="shared" si="858"/>
        <v>0</v>
      </c>
      <c r="O190" s="380">
        <f t="shared" si="858"/>
        <v>0</v>
      </c>
      <c r="P190" s="380">
        <f t="shared" si="858"/>
        <v>0</v>
      </c>
      <c r="Q190" s="380">
        <f t="shared" si="858"/>
        <v>0</v>
      </c>
      <c r="R190" s="380">
        <f t="shared" si="858"/>
        <v>0</v>
      </c>
      <c r="S190" s="380">
        <f t="shared" si="858"/>
        <v>0</v>
      </c>
      <c r="T190" s="380">
        <f t="shared" si="858"/>
        <v>0</v>
      </c>
      <c r="BR190" s="177"/>
      <c r="BS190" s="177"/>
      <c r="BT190" s="267"/>
      <c r="BU190" s="267"/>
      <c r="BV190" s="267"/>
      <c r="BW190" s="267"/>
      <c r="BX190" s="267"/>
      <c r="BY190" s="267"/>
      <c r="BZ190" s="267"/>
      <c r="CA190" s="267"/>
      <c r="CB190" s="267"/>
      <c r="CC190" s="267"/>
      <c r="CD190" s="267"/>
      <c r="CE190" s="267"/>
      <c r="CF190" s="267"/>
      <c r="CG190" s="267"/>
    </row>
    <row r="191" spans="2:85" ht="12.75" hidden="1" customHeight="1" x14ac:dyDescent="0.25">
      <c r="B191" s="87">
        <v>133</v>
      </c>
      <c r="C191" s="181">
        <f t="shared" ca="1" si="856"/>
        <v>50201</v>
      </c>
      <c r="D191" s="380">
        <f t="shared" si="857"/>
        <v>0</v>
      </c>
      <c r="E191" s="380">
        <f t="shared" si="857"/>
        <v>0</v>
      </c>
      <c r="F191" s="380">
        <f t="shared" si="857"/>
        <v>0</v>
      </c>
      <c r="G191" s="380">
        <f t="shared" si="857"/>
        <v>0</v>
      </c>
      <c r="H191" s="380">
        <f t="shared" si="857"/>
        <v>0</v>
      </c>
      <c r="I191" s="380">
        <f t="shared" si="857"/>
        <v>0</v>
      </c>
      <c r="J191" s="380">
        <f t="shared" si="857"/>
        <v>0</v>
      </c>
      <c r="K191" s="380">
        <f t="shared" si="857"/>
        <v>0</v>
      </c>
      <c r="L191" s="380">
        <f t="shared" si="857"/>
        <v>0</v>
      </c>
      <c r="M191" s="380">
        <f t="shared" si="857"/>
        <v>0</v>
      </c>
      <c r="N191" s="380">
        <f t="shared" si="858"/>
        <v>0</v>
      </c>
      <c r="O191" s="380">
        <f t="shared" si="858"/>
        <v>0</v>
      </c>
      <c r="P191" s="380">
        <f t="shared" si="858"/>
        <v>0</v>
      </c>
      <c r="Q191" s="380">
        <f t="shared" si="858"/>
        <v>0</v>
      </c>
      <c r="R191" s="380">
        <f t="shared" si="858"/>
        <v>0</v>
      </c>
      <c r="S191" s="380">
        <f t="shared" si="858"/>
        <v>0</v>
      </c>
      <c r="T191" s="380">
        <f t="shared" si="858"/>
        <v>0</v>
      </c>
      <c r="BR191" s="177"/>
      <c r="BS191" s="177"/>
      <c r="BT191" s="267"/>
      <c r="BU191" s="267"/>
      <c r="BV191" s="267"/>
      <c r="BW191" s="267"/>
      <c r="BX191" s="267"/>
      <c r="BY191" s="267"/>
      <c r="BZ191" s="267"/>
      <c r="CA191" s="267"/>
      <c r="CB191" s="267"/>
      <c r="CC191" s="267"/>
      <c r="CD191" s="267"/>
      <c r="CE191" s="267"/>
      <c r="CF191" s="267"/>
      <c r="CG191" s="267"/>
    </row>
    <row r="192" spans="2:85" ht="12.75" hidden="1" customHeight="1" x14ac:dyDescent="0.25">
      <c r="B192" s="87">
        <v>134</v>
      </c>
      <c r="C192" s="181">
        <f t="shared" ca="1" si="856"/>
        <v>50231</v>
      </c>
      <c r="D192" s="380">
        <f t="shared" si="857"/>
        <v>0</v>
      </c>
      <c r="E192" s="380">
        <f t="shared" si="857"/>
        <v>0</v>
      </c>
      <c r="F192" s="380">
        <f t="shared" si="857"/>
        <v>0</v>
      </c>
      <c r="G192" s="380">
        <f t="shared" si="857"/>
        <v>0</v>
      </c>
      <c r="H192" s="380">
        <f t="shared" si="857"/>
        <v>0</v>
      </c>
      <c r="I192" s="380">
        <f t="shared" si="857"/>
        <v>0</v>
      </c>
      <c r="J192" s="380">
        <f t="shared" si="857"/>
        <v>0</v>
      </c>
      <c r="K192" s="380">
        <f t="shared" si="857"/>
        <v>0</v>
      </c>
      <c r="L192" s="380">
        <f t="shared" si="857"/>
        <v>0</v>
      </c>
      <c r="M192" s="380">
        <f t="shared" si="857"/>
        <v>0</v>
      </c>
      <c r="N192" s="380">
        <f t="shared" si="858"/>
        <v>0</v>
      </c>
      <c r="O192" s="380">
        <f t="shared" si="858"/>
        <v>0</v>
      </c>
      <c r="P192" s="380">
        <f t="shared" si="858"/>
        <v>0</v>
      </c>
      <c r="Q192" s="380">
        <f t="shared" si="858"/>
        <v>0</v>
      </c>
      <c r="R192" s="380">
        <f t="shared" si="858"/>
        <v>0</v>
      </c>
      <c r="S192" s="380">
        <f t="shared" si="858"/>
        <v>0</v>
      </c>
      <c r="T192" s="380">
        <f t="shared" si="858"/>
        <v>0</v>
      </c>
      <c r="BR192" s="177"/>
      <c r="BS192" s="177"/>
      <c r="BT192" s="267"/>
      <c r="BU192" s="267"/>
      <c r="BV192" s="267"/>
      <c r="BW192" s="267"/>
      <c r="BX192" s="267"/>
      <c r="BY192" s="267"/>
      <c r="BZ192" s="267"/>
      <c r="CA192" s="267"/>
      <c r="CB192" s="267"/>
      <c r="CC192" s="267"/>
      <c r="CD192" s="267"/>
      <c r="CE192" s="267"/>
      <c r="CF192" s="267"/>
      <c r="CG192" s="267"/>
    </row>
    <row r="193" spans="2:85" ht="12.75" hidden="1" customHeight="1" x14ac:dyDescent="0.25">
      <c r="B193" s="87">
        <v>135</v>
      </c>
      <c r="C193" s="181">
        <f t="shared" ca="1" si="856"/>
        <v>50262</v>
      </c>
      <c r="D193" s="380">
        <f t="shared" si="857"/>
        <v>0</v>
      </c>
      <c r="E193" s="380">
        <f t="shared" si="857"/>
        <v>0</v>
      </c>
      <c r="F193" s="380">
        <f t="shared" si="857"/>
        <v>0</v>
      </c>
      <c r="G193" s="380">
        <f t="shared" si="857"/>
        <v>0</v>
      </c>
      <c r="H193" s="380">
        <f t="shared" si="857"/>
        <v>0</v>
      </c>
      <c r="I193" s="380">
        <f t="shared" si="857"/>
        <v>0</v>
      </c>
      <c r="J193" s="380">
        <f t="shared" si="857"/>
        <v>0</v>
      </c>
      <c r="K193" s="380">
        <f t="shared" si="857"/>
        <v>0</v>
      </c>
      <c r="L193" s="380">
        <f t="shared" si="857"/>
        <v>0</v>
      </c>
      <c r="M193" s="380">
        <f t="shared" si="857"/>
        <v>0</v>
      </c>
      <c r="N193" s="380">
        <f t="shared" si="858"/>
        <v>0</v>
      </c>
      <c r="O193" s="380">
        <f t="shared" si="858"/>
        <v>0</v>
      </c>
      <c r="P193" s="380">
        <f t="shared" si="858"/>
        <v>0</v>
      </c>
      <c r="Q193" s="380">
        <f t="shared" si="858"/>
        <v>0</v>
      </c>
      <c r="R193" s="380">
        <f t="shared" si="858"/>
        <v>0</v>
      </c>
      <c r="S193" s="380">
        <f t="shared" si="858"/>
        <v>0</v>
      </c>
      <c r="T193" s="380">
        <f t="shared" si="858"/>
        <v>0</v>
      </c>
      <c r="BR193" s="177"/>
      <c r="BS193" s="177"/>
      <c r="BT193" s="267"/>
      <c r="BU193" s="267"/>
      <c r="BV193" s="267"/>
      <c r="BW193" s="267"/>
      <c r="BX193" s="267"/>
      <c r="BY193" s="267"/>
      <c r="BZ193" s="267"/>
      <c r="CA193" s="267"/>
      <c r="CB193" s="267"/>
      <c r="CC193" s="267"/>
      <c r="CD193" s="267"/>
      <c r="CE193" s="267"/>
      <c r="CF193" s="267"/>
      <c r="CG193" s="267"/>
    </row>
    <row r="194" spans="2:85" ht="12.75" hidden="1" customHeight="1" x14ac:dyDescent="0.25">
      <c r="B194" s="87">
        <v>136</v>
      </c>
      <c r="C194" s="181">
        <f t="shared" ca="1" si="856"/>
        <v>50293</v>
      </c>
      <c r="D194" s="380">
        <f t="shared" si="857"/>
        <v>0</v>
      </c>
      <c r="E194" s="380">
        <f t="shared" si="857"/>
        <v>0</v>
      </c>
      <c r="F194" s="380">
        <f t="shared" si="857"/>
        <v>0</v>
      </c>
      <c r="G194" s="380">
        <f t="shared" si="857"/>
        <v>0</v>
      </c>
      <c r="H194" s="380">
        <f t="shared" si="857"/>
        <v>0</v>
      </c>
      <c r="I194" s="380">
        <f t="shared" si="857"/>
        <v>0</v>
      </c>
      <c r="J194" s="380">
        <f t="shared" si="857"/>
        <v>0</v>
      </c>
      <c r="K194" s="380">
        <f t="shared" si="857"/>
        <v>0</v>
      </c>
      <c r="L194" s="380">
        <f t="shared" si="857"/>
        <v>0</v>
      </c>
      <c r="M194" s="380">
        <f t="shared" si="857"/>
        <v>0</v>
      </c>
      <c r="N194" s="380">
        <f t="shared" si="858"/>
        <v>0</v>
      </c>
      <c r="O194" s="380">
        <f t="shared" si="858"/>
        <v>0</v>
      </c>
      <c r="P194" s="380">
        <f t="shared" si="858"/>
        <v>0</v>
      </c>
      <c r="Q194" s="380">
        <f t="shared" si="858"/>
        <v>0</v>
      </c>
      <c r="R194" s="380">
        <f t="shared" si="858"/>
        <v>0</v>
      </c>
      <c r="S194" s="380">
        <f t="shared" si="858"/>
        <v>0</v>
      </c>
      <c r="T194" s="380">
        <f t="shared" si="858"/>
        <v>0</v>
      </c>
      <c r="BR194" s="177"/>
      <c r="BS194" s="177"/>
      <c r="BT194" s="267"/>
      <c r="BU194" s="267"/>
      <c r="BV194" s="267"/>
      <c r="BW194" s="267"/>
      <c r="BX194" s="267"/>
      <c r="BY194" s="267"/>
      <c r="BZ194" s="267"/>
      <c r="CA194" s="267"/>
      <c r="CB194" s="267"/>
      <c r="CC194" s="267"/>
      <c r="CD194" s="267"/>
      <c r="CE194" s="267"/>
      <c r="CF194" s="267"/>
      <c r="CG194" s="267"/>
    </row>
    <row r="195" spans="2:85" ht="12.75" hidden="1" customHeight="1" x14ac:dyDescent="0.25">
      <c r="B195" s="87">
        <v>137</v>
      </c>
      <c r="C195" s="181">
        <f t="shared" ca="1" si="856"/>
        <v>50323</v>
      </c>
      <c r="D195" s="380">
        <f t="shared" si="857"/>
        <v>0</v>
      </c>
      <c r="E195" s="380">
        <f t="shared" si="857"/>
        <v>0</v>
      </c>
      <c r="F195" s="380">
        <f t="shared" si="857"/>
        <v>0</v>
      </c>
      <c r="G195" s="380">
        <f t="shared" si="857"/>
        <v>0</v>
      </c>
      <c r="H195" s="380">
        <f t="shared" si="857"/>
        <v>0</v>
      </c>
      <c r="I195" s="380">
        <f t="shared" si="857"/>
        <v>0</v>
      </c>
      <c r="J195" s="380">
        <f t="shared" si="857"/>
        <v>0</v>
      </c>
      <c r="K195" s="380">
        <f t="shared" si="857"/>
        <v>0</v>
      </c>
      <c r="L195" s="380">
        <f t="shared" si="857"/>
        <v>0</v>
      </c>
      <c r="M195" s="380">
        <f t="shared" si="857"/>
        <v>0</v>
      </c>
      <c r="N195" s="380">
        <f t="shared" si="858"/>
        <v>0</v>
      </c>
      <c r="O195" s="380">
        <f t="shared" si="858"/>
        <v>0</v>
      </c>
      <c r="P195" s="380">
        <f t="shared" si="858"/>
        <v>0</v>
      </c>
      <c r="Q195" s="380">
        <f t="shared" si="858"/>
        <v>0</v>
      </c>
      <c r="R195" s="380">
        <f t="shared" si="858"/>
        <v>0</v>
      </c>
      <c r="S195" s="380">
        <f t="shared" si="858"/>
        <v>0</v>
      </c>
      <c r="T195" s="380">
        <f t="shared" si="858"/>
        <v>0</v>
      </c>
      <c r="BR195" s="177"/>
      <c r="BS195" s="177"/>
      <c r="BT195" s="267"/>
      <c r="BU195" s="267"/>
      <c r="BV195" s="267"/>
      <c r="BW195" s="267"/>
      <c r="BX195" s="267"/>
      <c r="BY195" s="267"/>
      <c r="BZ195" s="267"/>
      <c r="CA195" s="267"/>
      <c r="CB195" s="267"/>
      <c r="CC195" s="267"/>
      <c r="CD195" s="267"/>
      <c r="CE195" s="267"/>
      <c r="CF195" s="267"/>
      <c r="CG195" s="267"/>
    </row>
    <row r="196" spans="2:85" ht="12.75" hidden="1" customHeight="1" x14ac:dyDescent="0.25">
      <c r="B196" s="87">
        <v>138</v>
      </c>
      <c r="C196" s="181">
        <f t="shared" ca="1" si="856"/>
        <v>50354</v>
      </c>
      <c r="D196" s="380">
        <f t="shared" si="857"/>
        <v>0</v>
      </c>
      <c r="E196" s="380">
        <f t="shared" si="857"/>
        <v>0</v>
      </c>
      <c r="F196" s="380">
        <f t="shared" si="857"/>
        <v>0</v>
      </c>
      <c r="G196" s="380">
        <f t="shared" si="857"/>
        <v>0</v>
      </c>
      <c r="H196" s="380">
        <f t="shared" si="857"/>
        <v>0</v>
      </c>
      <c r="I196" s="380">
        <f t="shared" si="857"/>
        <v>0</v>
      </c>
      <c r="J196" s="380">
        <f t="shared" si="857"/>
        <v>0</v>
      </c>
      <c r="K196" s="380">
        <f t="shared" si="857"/>
        <v>0</v>
      </c>
      <c r="L196" s="380">
        <f t="shared" si="857"/>
        <v>0</v>
      </c>
      <c r="M196" s="380">
        <f t="shared" si="857"/>
        <v>0</v>
      </c>
      <c r="N196" s="380">
        <f t="shared" si="858"/>
        <v>0</v>
      </c>
      <c r="O196" s="380">
        <f t="shared" si="858"/>
        <v>0</v>
      </c>
      <c r="P196" s="380">
        <f t="shared" si="858"/>
        <v>0</v>
      </c>
      <c r="Q196" s="380">
        <f t="shared" si="858"/>
        <v>0</v>
      </c>
      <c r="R196" s="380">
        <f t="shared" si="858"/>
        <v>0</v>
      </c>
      <c r="S196" s="380">
        <f t="shared" si="858"/>
        <v>0</v>
      </c>
      <c r="T196" s="380">
        <f t="shared" si="858"/>
        <v>0</v>
      </c>
      <c r="BR196" s="177"/>
      <c r="BS196" s="177"/>
      <c r="BT196" s="267"/>
      <c r="BU196" s="267"/>
      <c r="BV196" s="267"/>
      <c r="BW196" s="267"/>
      <c r="BX196" s="267"/>
      <c r="BY196" s="267"/>
      <c r="BZ196" s="267"/>
      <c r="CA196" s="267"/>
      <c r="CB196" s="267"/>
      <c r="CC196" s="267"/>
      <c r="CD196" s="267"/>
      <c r="CE196" s="267"/>
      <c r="CF196" s="267"/>
      <c r="CG196" s="267"/>
    </row>
    <row r="197" spans="2:85" ht="12.75" hidden="1" customHeight="1" x14ac:dyDescent="0.25">
      <c r="B197" s="87">
        <v>139</v>
      </c>
      <c r="C197" s="181">
        <f t="shared" ca="1" si="856"/>
        <v>50384</v>
      </c>
      <c r="D197" s="380">
        <f t="shared" si="857"/>
        <v>0</v>
      </c>
      <c r="E197" s="380">
        <f t="shared" si="857"/>
        <v>0</v>
      </c>
      <c r="F197" s="380">
        <f t="shared" si="857"/>
        <v>0</v>
      </c>
      <c r="G197" s="380">
        <f t="shared" si="857"/>
        <v>0</v>
      </c>
      <c r="H197" s="380">
        <f t="shared" si="857"/>
        <v>0</v>
      </c>
      <c r="I197" s="380">
        <f t="shared" si="857"/>
        <v>0</v>
      </c>
      <c r="J197" s="380">
        <f t="shared" si="857"/>
        <v>0</v>
      </c>
      <c r="K197" s="380">
        <f t="shared" si="857"/>
        <v>0</v>
      </c>
      <c r="L197" s="380">
        <f t="shared" si="857"/>
        <v>0</v>
      </c>
      <c r="M197" s="380">
        <f t="shared" si="857"/>
        <v>0</v>
      </c>
      <c r="N197" s="380">
        <f t="shared" si="858"/>
        <v>0</v>
      </c>
      <c r="O197" s="380">
        <f t="shared" si="858"/>
        <v>0</v>
      </c>
      <c r="P197" s="380">
        <f t="shared" si="858"/>
        <v>0</v>
      </c>
      <c r="Q197" s="380">
        <f t="shared" si="858"/>
        <v>0</v>
      </c>
      <c r="R197" s="380">
        <f t="shared" si="858"/>
        <v>0</v>
      </c>
      <c r="S197" s="380">
        <f t="shared" si="858"/>
        <v>0</v>
      </c>
      <c r="T197" s="380">
        <f t="shared" si="858"/>
        <v>0</v>
      </c>
      <c r="BR197" s="177"/>
      <c r="BS197" s="177"/>
      <c r="BT197" s="267"/>
      <c r="BU197" s="267"/>
      <c r="BV197" s="267"/>
      <c r="BW197" s="267"/>
      <c r="BX197" s="267"/>
      <c r="BY197" s="267"/>
      <c r="BZ197" s="267"/>
      <c r="CA197" s="267"/>
      <c r="CB197" s="267"/>
      <c r="CC197" s="267"/>
      <c r="CD197" s="267"/>
      <c r="CE197" s="267"/>
      <c r="CF197" s="267"/>
      <c r="CG197" s="267"/>
    </row>
    <row r="198" spans="2:85" ht="12.75" hidden="1" customHeight="1" x14ac:dyDescent="0.25">
      <c r="B198" s="87">
        <v>140</v>
      </c>
      <c r="C198" s="181">
        <f t="shared" ca="1" si="856"/>
        <v>50415</v>
      </c>
      <c r="D198" s="380">
        <f t="shared" si="857"/>
        <v>0</v>
      </c>
      <c r="E198" s="380">
        <f t="shared" si="857"/>
        <v>0</v>
      </c>
      <c r="F198" s="380">
        <f t="shared" si="857"/>
        <v>0</v>
      </c>
      <c r="G198" s="380">
        <f t="shared" si="857"/>
        <v>0</v>
      </c>
      <c r="H198" s="380">
        <f t="shared" si="857"/>
        <v>0</v>
      </c>
      <c r="I198" s="380">
        <f t="shared" si="857"/>
        <v>0</v>
      </c>
      <c r="J198" s="380">
        <f t="shared" si="857"/>
        <v>0</v>
      </c>
      <c r="K198" s="380">
        <f t="shared" si="857"/>
        <v>0</v>
      </c>
      <c r="L198" s="380">
        <f t="shared" si="857"/>
        <v>0</v>
      </c>
      <c r="M198" s="380">
        <f t="shared" si="857"/>
        <v>0</v>
      </c>
      <c r="N198" s="380">
        <f t="shared" si="858"/>
        <v>0</v>
      </c>
      <c r="O198" s="380">
        <f t="shared" si="858"/>
        <v>0</v>
      </c>
      <c r="P198" s="380">
        <f t="shared" si="858"/>
        <v>0</v>
      </c>
      <c r="Q198" s="380">
        <f t="shared" si="858"/>
        <v>0</v>
      </c>
      <c r="R198" s="380">
        <f t="shared" si="858"/>
        <v>0</v>
      </c>
      <c r="S198" s="380">
        <f t="shared" si="858"/>
        <v>0</v>
      </c>
      <c r="T198" s="380">
        <f t="shared" si="858"/>
        <v>0</v>
      </c>
      <c r="BR198" s="177"/>
      <c r="BS198" s="177"/>
      <c r="BT198" s="267"/>
      <c r="BU198" s="267"/>
      <c r="BV198" s="267"/>
      <c r="BW198" s="267"/>
      <c r="BX198" s="267"/>
      <c r="BY198" s="267"/>
      <c r="BZ198" s="267"/>
      <c r="CA198" s="267"/>
      <c r="CB198" s="267"/>
      <c r="CC198" s="267"/>
      <c r="CD198" s="267"/>
      <c r="CE198" s="267"/>
      <c r="CF198" s="267"/>
      <c r="CG198" s="267"/>
    </row>
    <row r="199" spans="2:85" ht="12.75" hidden="1" customHeight="1" x14ac:dyDescent="0.25">
      <c r="B199" s="87">
        <v>141</v>
      </c>
      <c r="C199" s="181">
        <f t="shared" ca="1" si="856"/>
        <v>50446</v>
      </c>
      <c r="D199" s="380">
        <f t="shared" si="857"/>
        <v>0</v>
      </c>
      <c r="E199" s="380">
        <f t="shared" si="857"/>
        <v>0</v>
      </c>
      <c r="F199" s="380">
        <f t="shared" si="857"/>
        <v>0</v>
      </c>
      <c r="G199" s="380">
        <f t="shared" si="857"/>
        <v>0</v>
      </c>
      <c r="H199" s="380">
        <f t="shared" si="857"/>
        <v>0</v>
      </c>
      <c r="I199" s="380">
        <f t="shared" si="857"/>
        <v>0</v>
      </c>
      <c r="J199" s="380">
        <f t="shared" si="857"/>
        <v>0</v>
      </c>
      <c r="K199" s="380">
        <f t="shared" si="857"/>
        <v>0</v>
      </c>
      <c r="L199" s="380">
        <f t="shared" si="857"/>
        <v>0</v>
      </c>
      <c r="M199" s="380">
        <f t="shared" si="857"/>
        <v>0</v>
      </c>
      <c r="N199" s="380">
        <f t="shared" si="858"/>
        <v>0</v>
      </c>
      <c r="O199" s="380">
        <f t="shared" si="858"/>
        <v>0</v>
      </c>
      <c r="P199" s="380">
        <f t="shared" si="858"/>
        <v>0</v>
      </c>
      <c r="Q199" s="380">
        <f t="shared" si="858"/>
        <v>0</v>
      </c>
      <c r="R199" s="380">
        <f t="shared" si="858"/>
        <v>0</v>
      </c>
      <c r="S199" s="380">
        <f t="shared" si="858"/>
        <v>0</v>
      </c>
      <c r="T199" s="380">
        <f t="shared" si="858"/>
        <v>0</v>
      </c>
      <c r="BR199" s="177"/>
      <c r="BS199" s="177"/>
      <c r="BT199" s="267"/>
      <c r="BU199" s="267"/>
      <c r="BV199" s="267"/>
      <c r="BW199" s="267"/>
      <c r="BX199" s="267"/>
      <c r="BY199" s="267"/>
      <c r="BZ199" s="267"/>
      <c r="CA199" s="267"/>
      <c r="CB199" s="267"/>
      <c r="CC199" s="267"/>
      <c r="CD199" s="267"/>
      <c r="CE199" s="267"/>
      <c r="CF199" s="267"/>
      <c r="CG199" s="267"/>
    </row>
    <row r="200" spans="2:85" ht="12.75" hidden="1" customHeight="1" x14ac:dyDescent="0.25">
      <c r="B200" s="87">
        <v>142</v>
      </c>
      <c r="C200" s="181">
        <f t="shared" ca="1" si="856"/>
        <v>50474</v>
      </c>
      <c r="D200" s="380">
        <f t="shared" si="857"/>
        <v>0</v>
      </c>
      <c r="E200" s="380">
        <f t="shared" si="857"/>
        <v>0</v>
      </c>
      <c r="F200" s="380">
        <f t="shared" si="857"/>
        <v>0</v>
      </c>
      <c r="G200" s="380">
        <f t="shared" si="857"/>
        <v>0</v>
      </c>
      <c r="H200" s="380">
        <f t="shared" si="857"/>
        <v>0</v>
      </c>
      <c r="I200" s="380">
        <f t="shared" si="857"/>
        <v>0</v>
      </c>
      <c r="J200" s="380">
        <f t="shared" si="857"/>
        <v>0</v>
      </c>
      <c r="K200" s="380">
        <f t="shared" si="857"/>
        <v>0</v>
      </c>
      <c r="L200" s="380">
        <f t="shared" si="857"/>
        <v>0</v>
      </c>
      <c r="M200" s="380">
        <f t="shared" si="857"/>
        <v>0</v>
      </c>
      <c r="N200" s="380">
        <f t="shared" si="858"/>
        <v>0</v>
      </c>
      <c r="O200" s="380">
        <f t="shared" si="858"/>
        <v>0</v>
      </c>
      <c r="P200" s="380">
        <f t="shared" si="858"/>
        <v>0</v>
      </c>
      <c r="Q200" s="380">
        <f t="shared" si="858"/>
        <v>0</v>
      </c>
      <c r="R200" s="380">
        <f t="shared" si="858"/>
        <v>0</v>
      </c>
      <c r="S200" s="380">
        <f t="shared" si="858"/>
        <v>0</v>
      </c>
      <c r="T200" s="380">
        <f t="shared" si="858"/>
        <v>0</v>
      </c>
      <c r="BR200" s="177"/>
      <c r="BS200" s="177"/>
      <c r="BT200" s="267"/>
      <c r="BU200" s="267"/>
      <c r="BV200" s="267"/>
      <c r="BW200" s="267"/>
      <c r="BX200" s="267"/>
      <c r="BY200" s="267"/>
      <c r="BZ200" s="267"/>
      <c r="CA200" s="267"/>
      <c r="CB200" s="267"/>
      <c r="CC200" s="267"/>
      <c r="CD200" s="267"/>
      <c r="CE200" s="267"/>
      <c r="CF200" s="267"/>
      <c r="CG200" s="267"/>
    </row>
    <row r="201" spans="2:85" ht="12.75" hidden="1" customHeight="1" x14ac:dyDescent="0.25">
      <c r="B201" s="87">
        <v>143</v>
      </c>
      <c r="C201" s="181">
        <f t="shared" ca="1" si="856"/>
        <v>50505</v>
      </c>
      <c r="D201" s="380">
        <f t="shared" si="857"/>
        <v>0</v>
      </c>
      <c r="E201" s="380">
        <f t="shared" si="857"/>
        <v>0</v>
      </c>
      <c r="F201" s="380">
        <f t="shared" si="857"/>
        <v>0</v>
      </c>
      <c r="G201" s="380">
        <f t="shared" si="857"/>
        <v>0</v>
      </c>
      <c r="H201" s="380">
        <f t="shared" si="857"/>
        <v>0</v>
      </c>
      <c r="I201" s="380">
        <f t="shared" si="857"/>
        <v>0</v>
      </c>
      <c r="J201" s="380">
        <f t="shared" si="857"/>
        <v>0</v>
      </c>
      <c r="K201" s="380">
        <f t="shared" si="857"/>
        <v>0</v>
      </c>
      <c r="L201" s="380">
        <f t="shared" si="857"/>
        <v>0</v>
      </c>
      <c r="M201" s="380">
        <f t="shared" si="857"/>
        <v>0</v>
      </c>
      <c r="N201" s="380">
        <f t="shared" si="858"/>
        <v>0</v>
      </c>
      <c r="O201" s="380">
        <f t="shared" si="858"/>
        <v>0</v>
      </c>
      <c r="P201" s="380">
        <f t="shared" si="858"/>
        <v>0</v>
      </c>
      <c r="Q201" s="380">
        <f t="shared" si="858"/>
        <v>0</v>
      </c>
      <c r="R201" s="380">
        <f t="shared" si="858"/>
        <v>0</v>
      </c>
      <c r="S201" s="380">
        <f t="shared" si="858"/>
        <v>0</v>
      </c>
      <c r="T201" s="380">
        <f t="shared" si="858"/>
        <v>0</v>
      </c>
      <c r="BR201" s="177"/>
      <c r="BS201" s="177"/>
      <c r="BT201" s="267"/>
      <c r="BU201" s="267"/>
      <c r="BV201" s="267"/>
      <c r="BW201" s="267"/>
      <c r="BX201" s="267"/>
      <c r="BY201" s="267"/>
      <c r="BZ201" s="267"/>
      <c r="CA201" s="267"/>
      <c r="CB201" s="267"/>
      <c r="CC201" s="267"/>
      <c r="CD201" s="267"/>
      <c r="CE201" s="267"/>
      <c r="CF201" s="267"/>
      <c r="CG201" s="267"/>
    </row>
    <row r="202" spans="2:85" ht="12.75" hidden="1" customHeight="1" x14ac:dyDescent="0.25">
      <c r="B202" s="87">
        <v>144</v>
      </c>
      <c r="C202" s="181">
        <f t="shared" ca="1" si="856"/>
        <v>50535</v>
      </c>
      <c r="D202" s="380">
        <f t="shared" si="857"/>
        <v>0</v>
      </c>
      <c r="E202" s="380">
        <f t="shared" si="857"/>
        <v>0</v>
      </c>
      <c r="F202" s="380">
        <f t="shared" si="857"/>
        <v>0</v>
      </c>
      <c r="G202" s="380">
        <f t="shared" si="857"/>
        <v>0</v>
      </c>
      <c r="H202" s="380">
        <f t="shared" si="857"/>
        <v>0</v>
      </c>
      <c r="I202" s="380">
        <f t="shared" si="857"/>
        <v>0</v>
      </c>
      <c r="J202" s="380">
        <f t="shared" si="857"/>
        <v>0</v>
      </c>
      <c r="K202" s="380">
        <f t="shared" si="857"/>
        <v>0</v>
      </c>
      <c r="L202" s="380">
        <f t="shared" si="857"/>
        <v>0</v>
      </c>
      <c r="M202" s="380">
        <f t="shared" si="857"/>
        <v>0</v>
      </c>
      <c r="N202" s="380">
        <f t="shared" si="858"/>
        <v>0</v>
      </c>
      <c r="O202" s="380">
        <f t="shared" si="858"/>
        <v>0</v>
      </c>
      <c r="P202" s="380">
        <f t="shared" si="858"/>
        <v>0</v>
      </c>
      <c r="Q202" s="380">
        <f t="shared" si="858"/>
        <v>0</v>
      </c>
      <c r="R202" s="380">
        <f t="shared" si="858"/>
        <v>0</v>
      </c>
      <c r="S202" s="380">
        <f t="shared" si="858"/>
        <v>0</v>
      </c>
      <c r="T202" s="380">
        <f t="shared" si="858"/>
        <v>0</v>
      </c>
      <c r="BR202" s="177"/>
      <c r="BS202" s="177"/>
      <c r="BT202" s="267"/>
      <c r="BU202" s="267"/>
      <c r="BV202" s="267"/>
      <c r="BW202" s="267"/>
      <c r="BX202" s="267"/>
      <c r="BY202" s="267"/>
      <c r="BZ202" s="267"/>
      <c r="CA202" s="267"/>
      <c r="CB202" s="267"/>
      <c r="CC202" s="267"/>
      <c r="CD202" s="267"/>
      <c r="CE202" s="267"/>
      <c r="CF202" s="267"/>
      <c r="CG202" s="267"/>
    </row>
    <row r="203" spans="2:85" ht="12.75" hidden="1" customHeight="1" x14ac:dyDescent="0.25">
      <c r="D203" s="324">
        <f ca="1">(-(1/(SUM(D59:D202)))*D58)*99.85%</f>
        <v>85.212964394200711</v>
      </c>
      <c r="E203" s="324" t="e">
        <f t="shared" ref="E203:T203" si="859">(-(1/(SUM(E59:E202)))*E58)*99.85%</f>
        <v>#DIV/0!</v>
      </c>
      <c r="F203" s="324" t="e">
        <f t="shared" si="859"/>
        <v>#DIV/0!</v>
      </c>
      <c r="G203" s="324" t="e">
        <f t="shared" si="859"/>
        <v>#DIV/0!</v>
      </c>
      <c r="H203" s="324" t="e">
        <f t="shared" si="859"/>
        <v>#DIV/0!</v>
      </c>
      <c r="I203" s="324" t="e">
        <f t="shared" si="859"/>
        <v>#DIV/0!</v>
      </c>
      <c r="J203" s="324" t="e">
        <f t="shared" si="859"/>
        <v>#DIV/0!</v>
      </c>
      <c r="K203" s="324" t="e">
        <f t="shared" si="859"/>
        <v>#DIV/0!</v>
      </c>
      <c r="L203" s="324" t="e">
        <f t="shared" si="859"/>
        <v>#DIV/0!</v>
      </c>
      <c r="M203" s="324" t="e">
        <f t="shared" si="859"/>
        <v>#DIV/0!</v>
      </c>
      <c r="N203" s="324" t="e">
        <f t="shared" si="859"/>
        <v>#DIV/0!</v>
      </c>
      <c r="O203" s="324" t="e">
        <f t="shared" si="859"/>
        <v>#DIV/0!</v>
      </c>
      <c r="P203" s="324" t="e">
        <f t="shared" si="859"/>
        <v>#DIV/0!</v>
      </c>
      <c r="Q203" s="324" t="e">
        <f t="shared" si="859"/>
        <v>#DIV/0!</v>
      </c>
      <c r="R203" s="324" t="e">
        <f t="shared" si="859"/>
        <v>#DIV/0!</v>
      </c>
      <c r="S203" s="324" t="e">
        <f t="shared" si="859"/>
        <v>#DIV/0!</v>
      </c>
      <c r="T203" s="324" t="e">
        <f t="shared" si="859"/>
        <v>#DIV/0!</v>
      </c>
      <c r="BR203" s="177"/>
      <c r="BS203" s="177"/>
      <c r="BT203" s="267"/>
      <c r="BU203" s="267"/>
      <c r="BV203" s="267"/>
      <c r="BW203" s="267"/>
      <c r="BX203" s="267"/>
      <c r="BY203" s="267"/>
      <c r="BZ203" s="267"/>
      <c r="CA203" s="267"/>
      <c r="CB203" s="267"/>
      <c r="CC203" s="267"/>
      <c r="CD203" s="267"/>
      <c r="CE203" s="267"/>
      <c r="CF203" s="267"/>
      <c r="CG203" s="267"/>
    </row>
    <row r="204" spans="2:85" ht="12.75" hidden="1" customHeight="1" x14ac:dyDescent="0.25">
      <c r="BR204" s="177"/>
      <c r="BS204" s="177"/>
      <c r="BT204" s="267"/>
      <c r="BU204" s="267"/>
      <c r="BV204" s="267"/>
      <c r="BW204" s="267"/>
      <c r="BX204" s="267"/>
      <c r="BY204" s="267"/>
      <c r="BZ204" s="267"/>
      <c r="CA204" s="267"/>
      <c r="CB204" s="267"/>
      <c r="CC204" s="267"/>
      <c r="CD204" s="267"/>
      <c r="CE204" s="267"/>
      <c r="CF204" s="267"/>
      <c r="CG204" s="267"/>
    </row>
    <row r="205" spans="2:85" ht="12.75" hidden="1" customHeight="1" x14ac:dyDescent="0.25">
      <c r="BR205" s="177"/>
      <c r="BS205" s="177"/>
      <c r="BT205" s="267"/>
      <c r="BU205" s="267"/>
      <c r="BV205" s="267"/>
      <c r="BW205" s="267"/>
      <c r="BX205" s="267"/>
      <c r="BY205" s="267"/>
      <c r="BZ205" s="267"/>
      <c r="CA205" s="267"/>
      <c r="CB205" s="267"/>
      <c r="CC205" s="267"/>
      <c r="CD205" s="267"/>
      <c r="CE205" s="267"/>
      <c r="CF205" s="267"/>
      <c r="CG205" s="267"/>
    </row>
    <row r="206" spans="2:85" ht="12.75" hidden="1" customHeight="1" x14ac:dyDescent="0.25">
      <c r="BR206" s="177"/>
      <c r="BS206" s="177"/>
      <c r="BT206" s="267"/>
      <c r="BU206" s="267"/>
      <c r="BV206" s="267"/>
      <c r="BW206" s="267"/>
      <c r="BX206" s="267"/>
      <c r="BY206" s="267"/>
      <c r="BZ206" s="267"/>
      <c r="CA206" s="267"/>
      <c r="CB206" s="267"/>
      <c r="CC206" s="267"/>
      <c r="CD206" s="267"/>
      <c r="CE206" s="267"/>
      <c r="CF206" s="267"/>
      <c r="CG206" s="267"/>
    </row>
    <row r="207" spans="2:85" ht="12.75" hidden="1" customHeight="1" x14ac:dyDescent="0.25">
      <c r="BR207" s="177"/>
      <c r="BS207" s="177"/>
      <c r="BT207" s="267"/>
      <c r="BU207" s="267"/>
      <c r="BV207" s="267"/>
      <c r="BW207" s="267"/>
      <c r="BX207" s="267"/>
      <c r="BY207" s="267"/>
      <c r="BZ207" s="267"/>
      <c r="CA207" s="267"/>
      <c r="CB207" s="267"/>
      <c r="CC207" s="267"/>
      <c r="CD207" s="267"/>
      <c r="CE207" s="267"/>
      <c r="CF207" s="267"/>
      <c r="CG207" s="267"/>
    </row>
    <row r="208" spans="2:85" ht="12.75" hidden="1" customHeight="1" x14ac:dyDescent="0.25">
      <c r="BR208" s="177"/>
      <c r="BS208" s="177"/>
      <c r="BT208" s="267"/>
      <c r="BU208" s="267"/>
      <c r="BV208" s="267"/>
      <c r="BW208" s="267"/>
      <c r="BX208" s="267"/>
      <c r="BY208" s="267"/>
      <c r="BZ208" s="267"/>
      <c r="CA208" s="267"/>
      <c r="CB208" s="267"/>
      <c r="CC208" s="267"/>
      <c r="CD208" s="267"/>
      <c r="CE208" s="267"/>
      <c r="CF208" s="267"/>
      <c r="CG208" s="267"/>
    </row>
    <row r="209" spans="70:85" ht="12.75" hidden="1" customHeight="1" x14ac:dyDescent="0.25">
      <c r="BR209" s="177"/>
      <c r="BS209" s="177"/>
      <c r="BT209" s="267"/>
      <c r="BU209" s="267"/>
      <c r="BV209" s="267"/>
      <c r="BW209" s="267"/>
      <c r="BX209" s="267"/>
      <c r="BY209" s="267"/>
      <c r="BZ209" s="267"/>
      <c r="CA209" s="267"/>
      <c r="CB209" s="267"/>
      <c r="CC209" s="267"/>
      <c r="CD209" s="267"/>
      <c r="CE209" s="267"/>
      <c r="CF209" s="267"/>
      <c r="CG209" s="267"/>
    </row>
    <row r="210" spans="70:85" ht="12.75" hidden="1" customHeight="1" x14ac:dyDescent="0.25">
      <c r="BR210" s="177"/>
      <c r="BS210" s="177"/>
      <c r="BT210" s="267"/>
      <c r="BU210" s="267"/>
      <c r="BV210" s="267"/>
      <c r="BW210" s="267"/>
      <c r="BX210" s="267"/>
      <c r="BY210" s="267"/>
      <c r="BZ210" s="267"/>
      <c r="CA210" s="267"/>
      <c r="CB210" s="267"/>
      <c r="CC210" s="267"/>
      <c r="CD210" s="267"/>
      <c r="CE210" s="267"/>
      <c r="CF210" s="267"/>
      <c r="CG210" s="267"/>
    </row>
    <row r="211" spans="70:85" ht="12.75" hidden="1" customHeight="1" x14ac:dyDescent="0.25">
      <c r="BR211" s="177"/>
      <c r="BS211" s="177"/>
      <c r="BT211" s="267"/>
      <c r="BU211" s="267"/>
      <c r="BV211" s="267"/>
      <c r="BW211" s="267"/>
      <c r="BX211" s="267"/>
      <c r="BY211" s="267"/>
      <c r="BZ211" s="267"/>
      <c r="CA211" s="267"/>
      <c r="CB211" s="267"/>
      <c r="CC211" s="267"/>
      <c r="CD211" s="267"/>
      <c r="CE211" s="267"/>
      <c r="CF211" s="267"/>
      <c r="CG211" s="267"/>
    </row>
    <row r="212" spans="70:85" ht="12.75" hidden="1" customHeight="1" x14ac:dyDescent="0.25">
      <c r="BR212" s="177"/>
      <c r="BS212" s="177"/>
      <c r="BT212" s="267"/>
      <c r="BU212" s="267"/>
      <c r="BV212" s="267"/>
      <c r="BW212" s="267"/>
      <c r="BX212" s="267"/>
      <c r="BY212" s="267"/>
      <c r="BZ212" s="267"/>
      <c r="CA212" s="267"/>
      <c r="CB212" s="267"/>
      <c r="CC212" s="267"/>
      <c r="CD212" s="267"/>
      <c r="CE212" s="267"/>
      <c r="CF212" s="267"/>
      <c r="CG212" s="267"/>
    </row>
    <row r="213" spans="70:85" ht="12.75" hidden="1" customHeight="1" x14ac:dyDescent="0.25">
      <c r="BR213" s="177"/>
      <c r="BS213" s="177"/>
      <c r="BT213" s="267"/>
      <c r="BU213" s="267"/>
      <c r="BV213" s="267"/>
      <c r="BW213" s="267"/>
      <c r="BX213" s="267"/>
      <c r="BY213" s="267"/>
      <c r="BZ213" s="267"/>
      <c r="CA213" s="267"/>
      <c r="CB213" s="267"/>
      <c r="CC213" s="267"/>
      <c r="CD213" s="267"/>
      <c r="CE213" s="267"/>
      <c r="CF213" s="267"/>
      <c r="CG213" s="267"/>
    </row>
    <row r="214" spans="70:85" ht="12.75" hidden="1" customHeight="1" x14ac:dyDescent="0.25">
      <c r="BR214" s="177"/>
      <c r="BS214" s="177"/>
      <c r="BT214" s="267"/>
      <c r="BU214" s="267"/>
      <c r="BV214" s="267"/>
      <c r="BW214" s="267"/>
      <c r="BX214" s="267"/>
      <c r="BY214" s="267"/>
      <c r="BZ214" s="267"/>
      <c r="CA214" s="267"/>
      <c r="CB214" s="267"/>
      <c r="CC214" s="267"/>
      <c r="CD214" s="267"/>
      <c r="CE214" s="267"/>
      <c r="CF214" s="267"/>
      <c r="CG214" s="267"/>
    </row>
    <row r="215" spans="70:85" ht="12.75" hidden="1" customHeight="1" x14ac:dyDescent="0.25">
      <c r="BR215" s="177"/>
      <c r="BS215" s="177"/>
      <c r="BT215" s="267"/>
      <c r="BU215" s="267"/>
      <c r="BV215" s="267"/>
      <c r="BW215" s="267"/>
      <c r="BX215" s="267"/>
      <c r="BY215" s="267"/>
      <c r="BZ215" s="267"/>
      <c r="CA215" s="267"/>
      <c r="CB215" s="267"/>
      <c r="CC215" s="267"/>
      <c r="CD215" s="267"/>
      <c r="CE215" s="267"/>
      <c r="CF215" s="267"/>
      <c r="CG215" s="267"/>
    </row>
    <row r="216" spans="70:85" ht="12.75" hidden="1" customHeight="1" x14ac:dyDescent="0.25">
      <c r="BR216" s="177"/>
      <c r="BS216" s="177"/>
      <c r="BT216" s="267"/>
      <c r="BU216" s="267"/>
      <c r="BV216" s="267"/>
      <c r="BW216" s="267"/>
      <c r="BX216" s="267"/>
      <c r="BY216" s="267"/>
      <c r="BZ216" s="267"/>
      <c r="CA216" s="267"/>
      <c r="CB216" s="267"/>
      <c r="CC216" s="267"/>
      <c r="CD216" s="267"/>
      <c r="CE216" s="267"/>
      <c r="CF216" s="267"/>
      <c r="CG216" s="267"/>
    </row>
    <row r="217" spans="70:85" ht="12.75" hidden="1" customHeight="1" x14ac:dyDescent="0.25">
      <c r="BR217" s="177"/>
      <c r="BS217" s="177"/>
      <c r="BT217" s="267"/>
      <c r="BU217" s="267"/>
      <c r="BV217" s="267"/>
      <c r="BW217" s="267"/>
      <c r="BX217" s="267"/>
      <c r="BY217" s="267"/>
      <c r="BZ217" s="267"/>
      <c r="CA217" s="267"/>
      <c r="CB217" s="267"/>
      <c r="CC217" s="267"/>
      <c r="CD217" s="267"/>
      <c r="CE217" s="267"/>
      <c r="CF217" s="267"/>
      <c r="CG217" s="267"/>
    </row>
    <row r="218" spans="70:85" ht="12.75" hidden="1" customHeight="1" x14ac:dyDescent="0.25">
      <c r="BR218" s="177"/>
      <c r="BS218" s="177"/>
      <c r="BT218" s="267"/>
      <c r="BU218" s="267"/>
      <c r="BV218" s="267"/>
      <c r="BW218" s="267"/>
      <c r="BX218" s="267"/>
      <c r="BY218" s="267"/>
      <c r="BZ218" s="267"/>
      <c r="CA218" s="267"/>
      <c r="CB218" s="267"/>
      <c r="CC218" s="267"/>
      <c r="CD218" s="267"/>
      <c r="CE218" s="267"/>
      <c r="CF218" s="267"/>
      <c r="CG218" s="267"/>
    </row>
    <row r="219" spans="70:85" ht="12.75" hidden="1" customHeight="1" x14ac:dyDescent="0.25">
      <c r="BR219" s="177"/>
      <c r="BS219" s="177"/>
      <c r="BT219" s="267"/>
      <c r="BU219" s="267"/>
      <c r="BV219" s="267"/>
      <c r="BW219" s="267"/>
      <c r="BX219" s="267"/>
      <c r="BY219" s="267"/>
      <c r="BZ219" s="267"/>
      <c r="CA219" s="267"/>
      <c r="CB219" s="267"/>
      <c r="CC219" s="267"/>
      <c r="CD219" s="267"/>
      <c r="CE219" s="267"/>
      <c r="CF219" s="267"/>
      <c r="CG219" s="267"/>
    </row>
    <row r="220" spans="70:85" ht="12.75" hidden="1" customHeight="1" x14ac:dyDescent="0.25">
      <c r="BR220" s="177"/>
      <c r="BS220" s="177"/>
      <c r="BT220" s="267"/>
      <c r="BU220" s="267"/>
      <c r="BV220" s="267"/>
      <c r="BW220" s="267"/>
      <c r="BX220" s="267"/>
      <c r="BY220" s="267"/>
      <c r="BZ220" s="267"/>
      <c r="CA220" s="267"/>
      <c r="CB220" s="267"/>
      <c r="CC220" s="267"/>
      <c r="CD220" s="267"/>
      <c r="CE220" s="267"/>
      <c r="CF220" s="267"/>
      <c r="CG220" s="267"/>
    </row>
    <row r="221" spans="70:85" ht="12.75" hidden="1" customHeight="1" x14ac:dyDescent="0.25">
      <c r="BR221" s="177"/>
      <c r="BS221" s="177"/>
      <c r="BT221" s="267"/>
      <c r="BU221" s="267"/>
      <c r="BV221" s="267"/>
      <c r="BW221" s="267"/>
      <c r="BX221" s="267"/>
      <c r="BY221" s="267"/>
      <c r="BZ221" s="267"/>
      <c r="CA221" s="267"/>
      <c r="CB221" s="267"/>
      <c r="CC221" s="267"/>
      <c r="CD221" s="267"/>
      <c r="CE221" s="267"/>
      <c r="CF221" s="267"/>
      <c r="CG221" s="267"/>
    </row>
    <row r="222" spans="70:85" ht="12.75" hidden="1" customHeight="1" x14ac:dyDescent="0.25">
      <c r="BR222" s="177"/>
      <c r="BS222" s="177"/>
      <c r="BT222" s="267"/>
      <c r="BU222" s="267"/>
      <c r="BV222" s="267"/>
      <c r="BW222" s="267"/>
      <c r="BX222" s="267"/>
      <c r="BY222" s="267"/>
      <c r="BZ222" s="267"/>
      <c r="CA222" s="267"/>
      <c r="CB222" s="267"/>
      <c r="CC222" s="267"/>
      <c r="CD222" s="267"/>
      <c r="CE222" s="267"/>
      <c r="CF222" s="267"/>
      <c r="CG222" s="267"/>
    </row>
    <row r="223" spans="70:85" ht="12.75" hidden="1" customHeight="1" x14ac:dyDescent="0.25">
      <c r="BR223" s="177"/>
      <c r="BS223" s="177"/>
      <c r="BT223" s="267"/>
      <c r="BU223" s="267"/>
      <c r="BV223" s="267"/>
      <c r="BW223" s="267"/>
      <c r="BX223" s="267"/>
      <c r="BY223" s="267"/>
      <c r="BZ223" s="267"/>
      <c r="CA223" s="267"/>
      <c r="CB223" s="267"/>
      <c r="CC223" s="267"/>
      <c r="CD223" s="267"/>
      <c r="CE223" s="267"/>
      <c r="CF223" s="267"/>
      <c r="CG223" s="267"/>
    </row>
    <row r="224" spans="70:85" ht="12.75" hidden="1" customHeight="1" x14ac:dyDescent="0.25">
      <c r="BR224" s="177"/>
      <c r="BS224" s="177"/>
      <c r="BT224" s="267"/>
      <c r="BU224" s="267"/>
      <c r="BV224" s="267"/>
      <c r="BW224" s="267"/>
      <c r="BX224" s="267"/>
      <c r="BY224" s="267"/>
      <c r="BZ224" s="267"/>
      <c r="CA224" s="267"/>
      <c r="CB224" s="267"/>
      <c r="CC224" s="267"/>
      <c r="CD224" s="267"/>
      <c r="CE224" s="267"/>
      <c r="CF224" s="267"/>
      <c r="CG224" s="267"/>
    </row>
    <row r="225" spans="2:85" ht="12.75" hidden="1" customHeight="1" x14ac:dyDescent="0.25">
      <c r="BR225" s="177"/>
      <c r="BS225" s="177"/>
      <c r="BT225" s="267"/>
      <c r="BU225" s="267"/>
      <c r="BV225" s="267"/>
      <c r="BW225" s="267"/>
      <c r="BX225" s="267"/>
      <c r="BY225" s="267"/>
      <c r="BZ225" s="267"/>
      <c r="CA225" s="267"/>
      <c r="CB225" s="267"/>
      <c r="CC225" s="267"/>
      <c r="CD225" s="267"/>
      <c r="CE225" s="267"/>
      <c r="CF225" s="267"/>
      <c r="CG225" s="267"/>
    </row>
    <row r="226" spans="2:85" ht="12.75" hidden="1" customHeight="1" x14ac:dyDescent="0.25">
      <c r="BR226" s="177"/>
      <c r="BS226" s="177"/>
      <c r="BT226" s="267"/>
      <c r="BU226" s="267"/>
      <c r="BV226" s="267"/>
      <c r="BW226" s="267"/>
      <c r="BX226" s="267"/>
      <c r="BY226" s="267"/>
      <c r="BZ226" s="267"/>
      <c r="CA226" s="267"/>
      <c r="CB226" s="267"/>
      <c r="CC226" s="267"/>
      <c r="CD226" s="267"/>
      <c r="CE226" s="267"/>
      <c r="CF226" s="267"/>
      <c r="CG226" s="267"/>
    </row>
    <row r="227" spans="2:85" ht="12.75" hidden="1" customHeight="1" x14ac:dyDescent="0.25">
      <c r="BR227" s="177"/>
      <c r="BS227" s="177"/>
      <c r="BT227" s="267"/>
      <c r="BU227" s="267"/>
      <c r="BV227" s="267"/>
      <c r="BW227" s="267"/>
      <c r="BX227" s="267"/>
      <c r="BY227" s="267"/>
      <c r="BZ227" s="267"/>
      <c r="CA227" s="267"/>
      <c r="CB227" s="267"/>
      <c r="CC227" s="267"/>
      <c r="CD227" s="267"/>
      <c r="CE227" s="267"/>
      <c r="CF227" s="267"/>
      <c r="CG227" s="267"/>
    </row>
    <row r="228" spans="2:85" ht="12.75" hidden="1" customHeight="1" x14ac:dyDescent="0.25">
      <c r="BR228" s="177"/>
      <c r="BS228" s="177"/>
      <c r="BT228" s="267"/>
      <c r="BU228" s="267"/>
      <c r="BV228" s="267"/>
      <c r="BW228" s="267"/>
      <c r="BX228" s="267"/>
      <c r="BY228" s="267"/>
      <c r="BZ228" s="267"/>
      <c r="CA228" s="267"/>
      <c r="CB228" s="267"/>
      <c r="CC228" s="267"/>
      <c r="CD228" s="267"/>
      <c r="CE228" s="267"/>
      <c r="CF228" s="267"/>
      <c r="CG228" s="267"/>
    </row>
    <row r="229" spans="2:85" ht="12.75" hidden="1" customHeight="1" x14ac:dyDescent="0.25">
      <c r="BR229" s="177"/>
      <c r="BS229" s="177"/>
      <c r="BT229" s="267"/>
      <c r="BU229" s="267"/>
      <c r="BV229" s="267"/>
      <c r="BW229" s="267"/>
      <c r="BX229" s="267"/>
      <c r="BY229" s="267"/>
      <c r="BZ229" s="267"/>
      <c r="CA229" s="267"/>
      <c r="CB229" s="267"/>
      <c r="CC229" s="267"/>
      <c r="CD229" s="267"/>
      <c r="CE229" s="267"/>
      <c r="CF229" s="267"/>
      <c r="CG229" s="267"/>
    </row>
    <row r="230" spans="2:85" ht="12.75" hidden="1" customHeight="1" x14ac:dyDescent="0.25">
      <c r="BR230" s="177"/>
      <c r="BS230" s="177"/>
      <c r="BT230" s="267"/>
      <c r="BU230" s="267"/>
      <c r="BV230" s="267"/>
      <c r="BW230" s="267"/>
      <c r="BX230" s="267"/>
      <c r="BY230" s="267"/>
      <c r="BZ230" s="267"/>
      <c r="CA230" s="267"/>
      <c r="CB230" s="267"/>
      <c r="CC230" s="267"/>
      <c r="CD230" s="267"/>
      <c r="CE230" s="267"/>
      <c r="CF230" s="267"/>
      <c r="CG230" s="267"/>
    </row>
    <row r="231" spans="2:85" ht="12.75" hidden="1" customHeight="1" x14ac:dyDescent="0.25">
      <c r="BR231" s="177"/>
      <c r="BS231" s="177"/>
      <c r="BT231" s="267"/>
      <c r="BU231" s="267"/>
      <c r="BV231" s="267"/>
      <c r="BW231" s="267"/>
      <c r="BX231" s="267"/>
      <c r="BY231" s="267"/>
      <c r="BZ231" s="267"/>
      <c r="CA231" s="267"/>
      <c r="CB231" s="267"/>
      <c r="CC231" s="267"/>
      <c r="CD231" s="267"/>
      <c r="CE231" s="267"/>
      <c r="CF231" s="267"/>
      <c r="CG231" s="267"/>
    </row>
    <row r="232" spans="2:85" ht="12.75" hidden="1" customHeight="1" x14ac:dyDescent="0.25">
      <c r="BR232" s="177"/>
      <c r="BS232" s="177"/>
      <c r="BT232" s="267"/>
      <c r="BU232" s="267"/>
      <c r="BV232" s="267"/>
      <c r="BW232" s="267"/>
      <c r="BX232" s="267"/>
      <c r="BY232" s="267"/>
      <c r="BZ232" s="267"/>
      <c r="CA232" s="267"/>
      <c r="CB232" s="267"/>
      <c r="CC232" s="267"/>
      <c r="CD232" s="267"/>
      <c r="CE232" s="267"/>
      <c r="CF232" s="267"/>
      <c r="CG232" s="267"/>
    </row>
    <row r="233" spans="2:85" ht="12.75" hidden="1" customHeight="1" x14ac:dyDescent="0.25">
      <c r="B233" s="87" t="s">
        <v>45</v>
      </c>
      <c r="C233" s="87" t="s">
        <v>103</v>
      </c>
      <c r="BR233" s="177"/>
      <c r="BS233" s="177"/>
      <c r="BT233" s="267"/>
      <c r="BU233" s="267"/>
      <c r="BV233" s="267"/>
      <c r="BW233" s="267"/>
      <c r="BX233" s="267"/>
      <c r="BY233" s="267"/>
      <c r="BZ233" s="267"/>
      <c r="CA233" s="267"/>
      <c r="CB233" s="267"/>
      <c r="CC233" s="267"/>
      <c r="CD233" s="267"/>
      <c r="CE233" s="267"/>
      <c r="CF233" s="267"/>
      <c r="CG233" s="267"/>
    </row>
    <row r="234" spans="2:85" ht="12.75" hidden="1" customHeight="1" x14ac:dyDescent="0.25">
      <c r="BR234" s="177"/>
      <c r="BS234" s="177"/>
      <c r="BT234" s="267"/>
      <c r="BU234" s="267"/>
      <c r="BV234" s="267"/>
      <c r="BW234" s="267"/>
      <c r="BX234" s="267"/>
      <c r="BY234" s="267"/>
      <c r="BZ234" s="267"/>
      <c r="CA234" s="267"/>
      <c r="CB234" s="267"/>
      <c r="CC234" s="267"/>
      <c r="CD234" s="267"/>
      <c r="CE234" s="267"/>
      <c r="CF234" s="267"/>
      <c r="CG234" s="267"/>
    </row>
    <row r="235" spans="2:85" ht="12.75" hidden="1" customHeight="1" x14ac:dyDescent="0.25">
      <c r="BR235" s="177"/>
      <c r="BS235" s="177"/>
      <c r="BT235" s="267"/>
      <c r="BU235" s="267"/>
      <c r="BV235" s="267"/>
      <c r="BW235" s="267"/>
      <c r="BX235" s="267"/>
      <c r="BY235" s="267"/>
      <c r="BZ235" s="267"/>
      <c r="CA235" s="267"/>
      <c r="CB235" s="267"/>
      <c r="CC235" s="267"/>
      <c r="CD235" s="267"/>
      <c r="CE235" s="267"/>
      <c r="CF235" s="267"/>
      <c r="CG235" s="267"/>
    </row>
    <row r="236" spans="2:85" ht="12.75" hidden="1" customHeight="1" x14ac:dyDescent="0.25">
      <c r="BR236" s="177"/>
      <c r="BS236" s="177"/>
      <c r="BT236" s="267"/>
      <c r="BU236" s="267"/>
      <c r="BV236" s="267"/>
      <c r="BW236" s="267"/>
      <c r="BX236" s="267"/>
      <c r="BY236" s="267"/>
      <c r="BZ236" s="267"/>
      <c r="CA236" s="267"/>
      <c r="CB236" s="267"/>
      <c r="CC236" s="267"/>
      <c r="CD236" s="267"/>
      <c r="CE236" s="267"/>
      <c r="CF236" s="267"/>
      <c r="CG236" s="267"/>
    </row>
    <row r="237" spans="2:85" ht="12.75" hidden="1" customHeight="1" x14ac:dyDescent="0.25">
      <c r="BR237" s="177"/>
      <c r="BS237" s="177"/>
      <c r="BT237" s="267"/>
      <c r="BU237" s="267"/>
      <c r="BV237" s="267"/>
      <c r="BW237" s="267"/>
      <c r="BX237" s="267"/>
      <c r="BY237" s="267"/>
      <c r="BZ237" s="267"/>
      <c r="CA237" s="267"/>
      <c r="CB237" s="267"/>
      <c r="CC237" s="267"/>
      <c r="CD237" s="267"/>
      <c r="CE237" s="267"/>
      <c r="CF237" s="267"/>
      <c r="CG237" s="267"/>
    </row>
    <row r="238" spans="2:85" ht="12.75" hidden="1" customHeight="1" x14ac:dyDescent="0.25">
      <c r="BR238" s="177"/>
      <c r="BS238" s="177"/>
      <c r="BT238" s="267"/>
      <c r="BU238" s="267"/>
      <c r="BV238" s="267"/>
      <c r="BW238" s="267"/>
      <c r="BX238" s="267"/>
      <c r="BY238" s="267"/>
      <c r="BZ238" s="267"/>
      <c r="CA238" s="267"/>
      <c r="CB238" s="267"/>
      <c r="CC238" s="267"/>
      <c r="CD238" s="267"/>
      <c r="CE238" s="267"/>
      <c r="CF238" s="267"/>
      <c r="CG238" s="267"/>
    </row>
    <row r="239" spans="2:85" ht="12.75" hidden="1" customHeight="1" x14ac:dyDescent="0.25">
      <c r="BR239" s="177"/>
      <c r="BS239" s="177"/>
      <c r="BT239" s="267"/>
      <c r="BU239" s="267"/>
      <c r="BV239" s="267"/>
      <c r="BW239" s="267"/>
      <c r="BX239" s="267"/>
      <c r="BY239" s="267"/>
      <c r="BZ239" s="267"/>
      <c r="CA239" s="267"/>
      <c r="CB239" s="267"/>
      <c r="CC239" s="267"/>
      <c r="CD239" s="267"/>
      <c r="CE239" s="267"/>
      <c r="CF239" s="267"/>
      <c r="CG239" s="267"/>
    </row>
    <row r="240" spans="2:85" ht="12.75" hidden="1" customHeight="1" x14ac:dyDescent="0.25">
      <c r="BR240" s="177"/>
      <c r="BS240" s="177"/>
      <c r="BT240" s="267"/>
      <c r="BU240" s="267"/>
      <c r="BV240" s="267"/>
      <c r="BW240" s="267"/>
      <c r="BX240" s="267"/>
      <c r="BY240" s="267"/>
      <c r="BZ240" s="267"/>
      <c r="CA240" s="267"/>
      <c r="CB240" s="267"/>
      <c r="CC240" s="267"/>
      <c r="CD240" s="267"/>
      <c r="CE240" s="267"/>
      <c r="CF240" s="267"/>
      <c r="CG240" s="267"/>
    </row>
    <row r="241" spans="2:173" ht="12.75" hidden="1" customHeight="1" x14ac:dyDescent="0.25">
      <c r="BR241" s="177"/>
      <c r="BS241" s="177"/>
      <c r="BT241" s="267"/>
      <c r="BU241" s="267"/>
      <c r="BV241" s="267"/>
      <c r="BW241" s="267"/>
      <c r="BX241" s="267"/>
      <c r="BY241" s="267"/>
      <c r="BZ241" s="267"/>
      <c r="CA241" s="267"/>
      <c r="CB241" s="267"/>
      <c r="CC241" s="267"/>
      <c r="CD241" s="267"/>
      <c r="CE241" s="267"/>
      <c r="CF241" s="267"/>
      <c r="CG241" s="267"/>
    </row>
    <row r="242" spans="2:173" ht="12.75" customHeight="1" x14ac:dyDescent="0.25">
      <c r="BR242" s="177"/>
      <c r="BS242" s="177"/>
      <c r="BT242" s="267"/>
      <c r="BU242" s="267"/>
      <c r="BV242" s="267"/>
      <c r="BW242" s="267"/>
      <c r="BX242" s="267"/>
      <c r="BY242" s="267"/>
      <c r="BZ242" s="267"/>
      <c r="CA242" s="267"/>
      <c r="CB242" s="267"/>
      <c r="CC242" s="267"/>
      <c r="CD242" s="267"/>
      <c r="CE242" s="267"/>
      <c r="CF242" s="267"/>
      <c r="CG242" s="267"/>
    </row>
    <row r="243" spans="2:173" ht="12.75" customHeight="1" x14ac:dyDescent="0.25">
      <c r="BR243" s="177"/>
      <c r="BS243" s="177"/>
      <c r="BT243" s="267"/>
      <c r="BU243" s="267"/>
      <c r="BV243" s="267"/>
      <c r="BW243" s="267"/>
      <c r="BX243" s="267"/>
      <c r="BY243" s="267"/>
      <c r="BZ243" s="267"/>
      <c r="CA243" s="267"/>
      <c r="CB243" s="267"/>
      <c r="CC243" s="267"/>
      <c r="CD243" s="267"/>
      <c r="CE243" s="267"/>
      <c r="CF243" s="267"/>
      <c r="CG243" s="267"/>
    </row>
    <row r="244" spans="2:173" ht="12.75" customHeight="1" x14ac:dyDescent="0.25">
      <c r="BR244" s="177"/>
      <c r="BS244" s="177"/>
      <c r="BT244" s="267"/>
      <c r="BU244" s="267"/>
      <c r="BV244" s="267"/>
      <c r="BW244" s="267"/>
      <c r="BX244" s="267"/>
      <c r="BY244" s="267"/>
      <c r="BZ244" s="267"/>
      <c r="CA244" s="267"/>
      <c r="CB244" s="267"/>
      <c r="CC244" s="267"/>
      <c r="CD244" s="267"/>
      <c r="CE244" s="267"/>
      <c r="CF244" s="267"/>
      <c r="CG244" s="267"/>
    </row>
    <row r="245" spans="2:173" ht="12.75" customHeight="1" x14ac:dyDescent="0.25">
      <c r="BR245" s="177"/>
      <c r="BS245" s="177"/>
      <c r="BT245" s="267"/>
      <c r="BU245" s="267"/>
      <c r="BV245" s="267"/>
      <c r="BW245" s="267"/>
      <c r="BX245" s="267"/>
      <c r="BY245" s="267"/>
      <c r="BZ245" s="267"/>
      <c r="CA245" s="267"/>
      <c r="CB245" s="267"/>
      <c r="CC245" s="267"/>
      <c r="CD245" s="267"/>
      <c r="CE245" s="267"/>
      <c r="CF245" s="267"/>
      <c r="CG245" s="267"/>
    </row>
    <row r="246" spans="2:173" ht="12.75" customHeight="1" x14ac:dyDescent="0.25">
      <c r="BR246" s="177"/>
      <c r="BS246" s="177"/>
      <c r="BT246" s="267"/>
      <c r="BU246" s="267"/>
      <c r="BV246" s="267"/>
      <c r="BW246" s="267"/>
      <c r="BX246" s="267"/>
      <c r="BY246" s="267"/>
      <c r="BZ246" s="267"/>
      <c r="CA246" s="267"/>
      <c r="CB246" s="267"/>
      <c r="CC246" s="267"/>
      <c r="CD246" s="267"/>
      <c r="CE246" s="267"/>
      <c r="CF246" s="267"/>
      <c r="CG246" s="267"/>
    </row>
    <row r="247" spans="2:173" s="446" customFormat="1" ht="12.75" customHeight="1" x14ac:dyDescent="0.25"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7"/>
      <c r="AI247" s="87"/>
      <c r="AJ247" s="87"/>
      <c r="AK247" s="87"/>
      <c r="AL247" s="87"/>
      <c r="AM247" s="87"/>
      <c r="AN247" s="87"/>
      <c r="AO247" s="87"/>
      <c r="AP247" s="87"/>
      <c r="AQ247" s="87"/>
      <c r="AR247" s="87"/>
      <c r="AS247" s="87"/>
      <c r="AT247" s="87"/>
      <c r="AU247" s="87"/>
      <c r="AV247" s="87"/>
      <c r="AW247" s="87"/>
      <c r="AX247" s="87"/>
      <c r="AY247" s="87"/>
      <c r="AZ247" s="87"/>
      <c r="BA247" s="87"/>
      <c r="BB247" s="87"/>
      <c r="BC247" s="87"/>
      <c r="BD247" s="87"/>
      <c r="BE247" s="87"/>
      <c r="BF247" s="87"/>
      <c r="BG247" s="87"/>
      <c r="BH247" s="87"/>
      <c r="BI247" s="87"/>
      <c r="BJ247" s="87"/>
      <c r="BK247" s="87"/>
      <c r="BL247" s="87"/>
      <c r="BM247" s="87"/>
      <c r="BN247" s="87"/>
      <c r="BO247" s="87"/>
      <c r="BP247" s="87"/>
      <c r="BQ247" s="87"/>
      <c r="BR247" s="177"/>
      <c r="BS247" s="177"/>
      <c r="BT247" s="267"/>
      <c r="BU247" s="267"/>
      <c r="BV247" s="267"/>
      <c r="BW247" s="267"/>
      <c r="BX247" s="267"/>
      <c r="BY247" s="267"/>
      <c r="BZ247" s="267"/>
      <c r="CA247" s="267"/>
      <c r="CB247" s="267"/>
      <c r="CC247" s="267"/>
      <c r="CD247" s="267"/>
      <c r="CE247" s="267"/>
      <c r="CF247" s="267"/>
      <c r="CG247" s="267"/>
      <c r="CH247" s="87"/>
      <c r="CI247" s="87"/>
      <c r="CJ247" s="87"/>
      <c r="CK247" s="87"/>
      <c r="CL247" s="87"/>
      <c r="CM247" s="87"/>
      <c r="CN247" s="87"/>
      <c r="CO247" s="87"/>
      <c r="CP247" s="87"/>
      <c r="CQ247" s="87"/>
      <c r="CR247" s="87"/>
      <c r="CS247" s="87"/>
      <c r="CT247" s="87"/>
      <c r="CU247" s="87"/>
      <c r="CV247" s="87"/>
      <c r="CW247" s="87"/>
      <c r="CX247" s="87"/>
      <c r="CY247" s="87"/>
      <c r="CZ247" s="87"/>
      <c r="DA247" s="87"/>
      <c r="DB247" s="87"/>
      <c r="DC247" s="87"/>
      <c r="DD247" s="87"/>
      <c r="DE247" s="87"/>
      <c r="DF247" s="87"/>
      <c r="DG247" s="87"/>
      <c r="DH247" s="87"/>
      <c r="DI247" s="87"/>
      <c r="DJ247" s="87"/>
      <c r="DK247" s="87"/>
      <c r="DL247" s="87"/>
      <c r="DM247" s="87"/>
      <c r="DN247" s="87"/>
      <c r="DO247" s="87"/>
      <c r="DP247" s="87"/>
      <c r="DQ247" s="87"/>
      <c r="DR247" s="87"/>
      <c r="DS247" s="87"/>
      <c r="DT247" s="87"/>
      <c r="DU247" s="87"/>
      <c r="DV247" s="87"/>
      <c r="DW247" s="87"/>
      <c r="DX247" s="87"/>
      <c r="DY247" s="87"/>
      <c r="DZ247" s="87"/>
      <c r="EA247" s="87"/>
      <c r="EB247" s="87"/>
      <c r="EC247" s="87"/>
      <c r="ED247" s="87"/>
      <c r="EE247" s="87"/>
      <c r="EF247" s="87"/>
      <c r="EG247" s="87"/>
      <c r="EH247" s="87"/>
      <c r="EI247" s="87"/>
      <c r="EJ247" s="87"/>
      <c r="EK247" s="87"/>
      <c r="EL247" s="87"/>
      <c r="EM247" s="87"/>
      <c r="EN247" s="87"/>
      <c r="EO247" s="87"/>
      <c r="EP247" s="87"/>
      <c r="EQ247" s="87"/>
      <c r="ER247" s="87"/>
      <c r="ES247" s="87"/>
      <c r="ET247" s="87"/>
      <c r="EU247" s="87"/>
      <c r="EV247" s="87"/>
      <c r="EW247" s="87"/>
      <c r="EX247" s="87"/>
      <c r="EY247" s="87"/>
      <c r="EZ247" s="87"/>
      <c r="FA247" s="87"/>
      <c r="FB247" s="87"/>
      <c r="FC247" s="87"/>
      <c r="FD247" s="87"/>
      <c r="FE247" s="87"/>
      <c r="FF247" s="87"/>
      <c r="FG247" s="87"/>
      <c r="FH247" s="87"/>
      <c r="FI247" s="87"/>
      <c r="FJ247" s="87"/>
      <c r="FK247" s="87"/>
      <c r="FL247" s="87"/>
      <c r="FM247" s="87"/>
      <c r="FN247" s="87"/>
      <c r="FO247" s="87"/>
      <c r="FP247" s="87"/>
      <c r="FQ247" s="87"/>
    </row>
    <row r="248" spans="2:173" s="446" customFormat="1" ht="12.75" customHeight="1" x14ac:dyDescent="0.25"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  <c r="AE248" s="87"/>
      <c r="AF248" s="87"/>
      <c r="AG248" s="87"/>
      <c r="AH248" s="87"/>
      <c r="AI248" s="87"/>
      <c r="AJ248" s="87"/>
      <c r="AK248" s="87"/>
      <c r="AL248" s="87"/>
      <c r="AM248" s="87"/>
      <c r="AN248" s="87"/>
      <c r="AO248" s="87"/>
      <c r="AP248" s="87"/>
      <c r="AQ248" s="87"/>
      <c r="AR248" s="87"/>
      <c r="AS248" s="87"/>
      <c r="AT248" s="87"/>
      <c r="AU248" s="87"/>
      <c r="AV248" s="87"/>
      <c r="AW248" s="87"/>
      <c r="AX248" s="87"/>
      <c r="AY248" s="87"/>
      <c r="AZ248" s="87"/>
      <c r="BA248" s="87"/>
      <c r="BB248" s="87"/>
      <c r="BC248" s="87"/>
      <c r="BD248" s="87"/>
      <c r="BE248" s="87"/>
      <c r="BF248" s="87"/>
      <c r="BG248" s="87"/>
      <c r="BH248" s="87"/>
      <c r="BI248" s="87"/>
      <c r="BJ248" s="87"/>
      <c r="BK248" s="87"/>
      <c r="BL248" s="87"/>
      <c r="BM248" s="87"/>
      <c r="BN248" s="87"/>
      <c r="BO248" s="87"/>
      <c r="BP248" s="87"/>
      <c r="BQ248" s="87"/>
      <c r="BR248" s="177"/>
      <c r="BS248" s="177"/>
      <c r="BT248" s="267"/>
      <c r="BU248" s="267"/>
      <c r="BV248" s="267"/>
      <c r="BW248" s="267"/>
      <c r="BX248" s="267"/>
      <c r="BY248" s="267"/>
      <c r="BZ248" s="267"/>
      <c r="CA248" s="267"/>
      <c r="CB248" s="267"/>
      <c r="CC248" s="267"/>
      <c r="CD248" s="267"/>
      <c r="CE248" s="267"/>
      <c r="CF248" s="267"/>
      <c r="CG248" s="267"/>
      <c r="CH248" s="87"/>
      <c r="CI248" s="87"/>
      <c r="CJ248" s="87"/>
      <c r="CK248" s="87"/>
      <c r="CL248" s="87"/>
      <c r="CM248" s="87"/>
      <c r="CN248" s="87"/>
      <c r="CO248" s="87"/>
      <c r="CP248" s="87"/>
      <c r="CQ248" s="87"/>
      <c r="CR248" s="87"/>
      <c r="CS248" s="87"/>
      <c r="CT248" s="87"/>
      <c r="CU248" s="87"/>
      <c r="CV248" s="87"/>
      <c r="CW248" s="87"/>
      <c r="CX248" s="87"/>
      <c r="CY248" s="87"/>
      <c r="CZ248" s="87"/>
      <c r="DA248" s="87"/>
      <c r="DB248" s="87"/>
      <c r="DC248" s="87"/>
      <c r="DD248" s="87"/>
      <c r="DE248" s="87"/>
      <c r="DF248" s="87"/>
      <c r="DG248" s="87"/>
      <c r="DH248" s="87"/>
      <c r="DI248" s="87"/>
      <c r="DJ248" s="87"/>
      <c r="DK248" s="87"/>
      <c r="DL248" s="87"/>
      <c r="DM248" s="87"/>
      <c r="DN248" s="87"/>
      <c r="DO248" s="87"/>
      <c r="DP248" s="87"/>
      <c r="DQ248" s="87"/>
      <c r="DR248" s="87"/>
      <c r="DS248" s="87"/>
      <c r="DT248" s="87"/>
      <c r="DU248" s="87"/>
      <c r="DV248" s="87"/>
      <c r="DW248" s="87"/>
      <c r="DX248" s="87"/>
      <c r="DY248" s="87"/>
      <c r="DZ248" s="87"/>
      <c r="EA248" s="87"/>
      <c r="EB248" s="87"/>
      <c r="EC248" s="87"/>
      <c r="ED248" s="87"/>
      <c r="EE248" s="87"/>
      <c r="EF248" s="87"/>
      <c r="EG248" s="87"/>
      <c r="EH248" s="87"/>
      <c r="EI248" s="87"/>
      <c r="EJ248" s="87"/>
      <c r="EK248" s="87"/>
      <c r="EL248" s="87"/>
      <c r="EM248" s="87"/>
      <c r="EN248" s="87"/>
      <c r="EO248" s="87"/>
      <c r="EP248" s="87"/>
      <c r="EQ248" s="87"/>
      <c r="ER248" s="87"/>
      <c r="ES248" s="87"/>
      <c r="ET248" s="87"/>
      <c r="EU248" s="87"/>
      <c r="EV248" s="87"/>
      <c r="EW248" s="87"/>
      <c r="EX248" s="87"/>
      <c r="EY248" s="87"/>
      <c r="EZ248" s="87"/>
      <c r="FA248" s="87"/>
      <c r="FB248" s="87"/>
      <c r="FC248" s="87"/>
      <c r="FD248" s="87"/>
      <c r="FE248" s="87"/>
      <c r="FF248" s="87"/>
      <c r="FG248" s="87"/>
      <c r="FH248" s="87"/>
      <c r="FI248" s="87"/>
      <c r="FJ248" s="87"/>
      <c r="FK248" s="87"/>
      <c r="FL248" s="87"/>
      <c r="FM248" s="87"/>
      <c r="FN248" s="87"/>
      <c r="FO248" s="87"/>
      <c r="FP248" s="87"/>
      <c r="FQ248" s="87"/>
    </row>
    <row r="249" spans="2:173" s="446" customFormat="1" ht="12.75" customHeight="1" x14ac:dyDescent="0.25"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  <c r="AE249" s="87"/>
      <c r="AF249" s="87"/>
      <c r="AG249" s="87"/>
      <c r="AH249" s="87"/>
      <c r="AI249" s="87"/>
      <c r="AJ249" s="87"/>
      <c r="AK249" s="87"/>
      <c r="AL249" s="87"/>
      <c r="AM249" s="87"/>
      <c r="AN249" s="87"/>
      <c r="AO249" s="87"/>
      <c r="AP249" s="87"/>
      <c r="AQ249" s="87"/>
      <c r="AR249" s="87"/>
      <c r="AS249" s="87"/>
      <c r="AT249" s="87"/>
      <c r="AU249" s="87"/>
      <c r="AV249" s="87"/>
      <c r="AW249" s="87"/>
      <c r="AX249" s="87"/>
      <c r="AY249" s="87"/>
      <c r="AZ249" s="87"/>
      <c r="BA249" s="87"/>
      <c r="BB249" s="87"/>
      <c r="BC249" s="87"/>
      <c r="BD249" s="87"/>
      <c r="BE249" s="87"/>
      <c r="BF249" s="87"/>
      <c r="BG249" s="87"/>
      <c r="BH249" s="87"/>
      <c r="BI249" s="87"/>
      <c r="BJ249" s="87"/>
      <c r="BK249" s="87"/>
      <c r="BL249" s="87"/>
      <c r="BM249" s="87"/>
      <c r="BN249" s="87"/>
      <c r="BO249" s="87"/>
      <c r="BP249" s="87"/>
      <c r="BQ249" s="87"/>
      <c r="BR249" s="177"/>
      <c r="BS249" s="177"/>
      <c r="BT249" s="267"/>
      <c r="BU249" s="267"/>
      <c r="BV249" s="267"/>
      <c r="BW249" s="267"/>
      <c r="BX249" s="267"/>
      <c r="BY249" s="267"/>
      <c r="BZ249" s="267"/>
      <c r="CA249" s="267"/>
      <c r="CB249" s="267"/>
      <c r="CC249" s="267"/>
      <c r="CD249" s="267"/>
      <c r="CE249" s="267"/>
      <c r="CF249" s="267"/>
      <c r="CG249" s="267"/>
      <c r="CH249" s="87"/>
      <c r="CI249" s="87"/>
      <c r="CJ249" s="87"/>
      <c r="CK249" s="87"/>
      <c r="CL249" s="87"/>
      <c r="CM249" s="87"/>
      <c r="CN249" s="87"/>
      <c r="CO249" s="87"/>
      <c r="CP249" s="87"/>
      <c r="CQ249" s="87"/>
      <c r="CR249" s="87"/>
      <c r="CS249" s="87"/>
      <c r="CT249" s="87"/>
      <c r="CU249" s="87"/>
      <c r="CV249" s="87"/>
      <c r="CW249" s="87"/>
      <c r="CX249" s="87"/>
      <c r="CY249" s="87"/>
      <c r="CZ249" s="87"/>
      <c r="DA249" s="87"/>
      <c r="DB249" s="87"/>
      <c r="DC249" s="87"/>
      <c r="DD249" s="87"/>
      <c r="DE249" s="87"/>
      <c r="DF249" s="87"/>
      <c r="DG249" s="87"/>
      <c r="DH249" s="87"/>
      <c r="DI249" s="87"/>
      <c r="DJ249" s="87"/>
      <c r="DK249" s="87"/>
      <c r="DL249" s="87"/>
      <c r="DM249" s="87"/>
      <c r="DN249" s="87"/>
      <c r="DO249" s="87"/>
      <c r="DP249" s="87"/>
      <c r="DQ249" s="87"/>
      <c r="DR249" s="87"/>
      <c r="DS249" s="87"/>
      <c r="DT249" s="87"/>
      <c r="DU249" s="87"/>
      <c r="DV249" s="87"/>
      <c r="DW249" s="87"/>
      <c r="DX249" s="87"/>
      <c r="DY249" s="87"/>
      <c r="DZ249" s="87"/>
      <c r="EA249" s="87"/>
      <c r="EB249" s="87"/>
      <c r="EC249" s="87"/>
      <c r="ED249" s="87"/>
      <c r="EE249" s="87"/>
      <c r="EF249" s="87"/>
      <c r="EG249" s="87"/>
      <c r="EH249" s="87"/>
      <c r="EI249" s="87"/>
      <c r="EJ249" s="87"/>
      <c r="EK249" s="87"/>
      <c r="EL249" s="87"/>
      <c r="EM249" s="87"/>
      <c r="EN249" s="87"/>
      <c r="EO249" s="87"/>
      <c r="EP249" s="87"/>
      <c r="EQ249" s="87"/>
      <c r="ER249" s="87"/>
      <c r="ES249" s="87"/>
      <c r="ET249" s="87"/>
      <c r="EU249" s="87"/>
      <c r="EV249" s="87"/>
      <c r="EW249" s="87"/>
      <c r="EX249" s="87"/>
      <c r="EY249" s="87"/>
      <c r="EZ249" s="87"/>
      <c r="FA249" s="87"/>
      <c r="FB249" s="87"/>
      <c r="FC249" s="87"/>
      <c r="FD249" s="87"/>
      <c r="FE249" s="87"/>
      <c r="FF249" s="87"/>
      <c r="FG249" s="87"/>
      <c r="FH249" s="87"/>
      <c r="FI249" s="87"/>
      <c r="FJ249" s="87"/>
      <c r="FK249" s="87"/>
      <c r="FL249" s="87"/>
      <c r="FM249" s="87"/>
      <c r="FN249" s="87"/>
      <c r="FO249" s="87"/>
      <c r="FP249" s="87"/>
      <c r="FQ249" s="87"/>
    </row>
    <row r="250" spans="2:173" s="446" customFormat="1" ht="12.75" customHeight="1" x14ac:dyDescent="0.25"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  <c r="AE250" s="87"/>
      <c r="AF250" s="87"/>
      <c r="AG250" s="87"/>
      <c r="AH250" s="87"/>
      <c r="AI250" s="87"/>
      <c r="AJ250" s="87"/>
      <c r="AK250" s="87"/>
      <c r="AL250" s="87"/>
      <c r="AM250" s="87"/>
      <c r="AN250" s="87"/>
      <c r="AO250" s="87"/>
      <c r="AP250" s="87"/>
      <c r="AQ250" s="87"/>
      <c r="AR250" s="87"/>
      <c r="AS250" s="87"/>
      <c r="AT250" s="87"/>
      <c r="AU250" s="87"/>
      <c r="AV250" s="87"/>
      <c r="AW250" s="87"/>
      <c r="AX250" s="87"/>
      <c r="AY250" s="87"/>
      <c r="AZ250" s="87"/>
      <c r="BA250" s="87"/>
      <c r="BB250" s="87"/>
      <c r="BC250" s="87"/>
      <c r="BD250" s="87"/>
      <c r="BE250" s="87"/>
      <c r="BF250" s="87"/>
      <c r="BG250" s="87"/>
      <c r="BH250" s="87"/>
      <c r="BI250" s="87"/>
      <c r="BJ250" s="87"/>
      <c r="BK250" s="87"/>
      <c r="BL250" s="87"/>
      <c r="BM250" s="87"/>
      <c r="BN250" s="87"/>
      <c r="BO250" s="87"/>
      <c r="BP250" s="87"/>
      <c r="BQ250" s="87"/>
      <c r="BR250" s="177"/>
      <c r="BS250" s="177"/>
      <c r="BT250" s="267"/>
      <c r="BU250" s="267"/>
      <c r="BV250" s="267"/>
      <c r="BW250" s="267"/>
      <c r="BX250" s="267"/>
      <c r="BY250" s="267"/>
      <c r="BZ250" s="267"/>
      <c r="CA250" s="267"/>
      <c r="CB250" s="267"/>
      <c r="CC250" s="267"/>
      <c r="CD250" s="267"/>
      <c r="CE250" s="267"/>
      <c r="CF250" s="267"/>
      <c r="CG250" s="267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7"/>
      <c r="DB250" s="87"/>
      <c r="DC250" s="87"/>
      <c r="DD250" s="87"/>
      <c r="DE250" s="87"/>
      <c r="DF250" s="87"/>
      <c r="DG250" s="87"/>
      <c r="DH250" s="87"/>
      <c r="DI250" s="87"/>
      <c r="DJ250" s="87"/>
      <c r="DK250" s="87"/>
      <c r="DL250" s="87"/>
      <c r="DM250" s="87"/>
      <c r="DN250" s="87"/>
      <c r="DO250" s="87"/>
      <c r="DP250" s="87"/>
      <c r="DQ250" s="87"/>
      <c r="DR250" s="87"/>
      <c r="DS250" s="87"/>
      <c r="DT250" s="87"/>
      <c r="DU250" s="87"/>
      <c r="DV250" s="87"/>
      <c r="DW250" s="87"/>
      <c r="DX250" s="87"/>
      <c r="DY250" s="87"/>
      <c r="DZ250" s="87"/>
      <c r="EA250" s="87"/>
      <c r="EB250" s="87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87"/>
      <c r="EW250" s="87"/>
      <c r="EX250" s="87"/>
      <c r="EY250" s="87"/>
      <c r="EZ250" s="87"/>
      <c r="FA250" s="87"/>
      <c r="FB250" s="87"/>
      <c r="FC250" s="87"/>
      <c r="FD250" s="87"/>
      <c r="FE250" s="87"/>
      <c r="FF250" s="87"/>
      <c r="FG250" s="87"/>
      <c r="FH250" s="87"/>
      <c r="FI250" s="87"/>
      <c r="FJ250" s="87"/>
      <c r="FK250" s="87"/>
      <c r="FL250" s="87"/>
      <c r="FM250" s="87"/>
      <c r="FN250" s="87"/>
      <c r="FO250" s="87"/>
      <c r="FP250" s="87"/>
      <c r="FQ250" s="87"/>
    </row>
    <row r="251" spans="2:173" s="446" customFormat="1" ht="12.75" customHeight="1" x14ac:dyDescent="0.25"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  <c r="AE251" s="87"/>
      <c r="AF251" s="87"/>
      <c r="AG251" s="87"/>
      <c r="AH251" s="87"/>
      <c r="AI251" s="87"/>
      <c r="AJ251" s="87"/>
      <c r="AK251" s="87"/>
      <c r="AL251" s="87"/>
      <c r="AM251" s="87"/>
      <c r="AN251" s="87"/>
      <c r="AO251" s="87"/>
      <c r="AP251" s="87"/>
      <c r="AQ251" s="87"/>
      <c r="AR251" s="87"/>
      <c r="AS251" s="87"/>
      <c r="AT251" s="87"/>
      <c r="AU251" s="87"/>
      <c r="AV251" s="87"/>
      <c r="AW251" s="87"/>
      <c r="AX251" s="87"/>
      <c r="AY251" s="87"/>
      <c r="AZ251" s="87"/>
      <c r="BA251" s="87"/>
      <c r="BB251" s="87"/>
      <c r="BC251" s="87"/>
      <c r="BD251" s="87"/>
      <c r="BE251" s="87"/>
      <c r="BF251" s="87"/>
      <c r="BG251" s="87"/>
      <c r="BH251" s="87"/>
      <c r="BI251" s="87"/>
      <c r="BJ251" s="87"/>
      <c r="BK251" s="87"/>
      <c r="BL251" s="87"/>
      <c r="BM251" s="87"/>
      <c r="BN251" s="87"/>
      <c r="BO251" s="87"/>
      <c r="BP251" s="87"/>
      <c r="BQ251" s="87"/>
      <c r="BR251" s="177"/>
      <c r="BS251" s="177"/>
      <c r="BT251" s="267"/>
      <c r="BU251" s="267"/>
      <c r="BV251" s="267"/>
      <c r="BW251" s="267"/>
      <c r="BX251" s="267"/>
      <c r="BY251" s="267"/>
      <c r="BZ251" s="267"/>
      <c r="CA251" s="267"/>
      <c r="CB251" s="267"/>
      <c r="CC251" s="267"/>
      <c r="CD251" s="267"/>
      <c r="CE251" s="267"/>
      <c r="CF251" s="267"/>
      <c r="CG251" s="267"/>
      <c r="CH251" s="87"/>
      <c r="CI251" s="87"/>
      <c r="CJ251" s="87"/>
      <c r="CK251" s="87"/>
      <c r="CL251" s="87"/>
      <c r="CM251" s="87"/>
      <c r="CN251" s="87"/>
      <c r="CO251" s="87"/>
      <c r="CP251" s="87"/>
      <c r="CQ251" s="87"/>
      <c r="CR251" s="87"/>
      <c r="CS251" s="87"/>
      <c r="CT251" s="87"/>
      <c r="CU251" s="87"/>
      <c r="CV251" s="87"/>
      <c r="CW251" s="87"/>
      <c r="CX251" s="87"/>
      <c r="CY251" s="87"/>
      <c r="CZ251" s="87"/>
      <c r="DA251" s="87"/>
      <c r="DB251" s="87"/>
      <c r="DC251" s="87"/>
      <c r="DD251" s="87"/>
      <c r="DE251" s="87"/>
      <c r="DF251" s="87"/>
      <c r="DG251" s="87"/>
      <c r="DH251" s="87"/>
      <c r="DI251" s="87"/>
      <c r="DJ251" s="87"/>
      <c r="DK251" s="87"/>
      <c r="DL251" s="87"/>
      <c r="DM251" s="87"/>
      <c r="DN251" s="87"/>
      <c r="DO251" s="87"/>
      <c r="DP251" s="87"/>
      <c r="DQ251" s="87"/>
      <c r="DR251" s="87"/>
      <c r="DS251" s="87"/>
      <c r="DT251" s="87"/>
      <c r="DU251" s="87"/>
      <c r="DV251" s="87"/>
      <c r="DW251" s="87"/>
      <c r="DX251" s="87"/>
      <c r="DY251" s="87"/>
      <c r="DZ251" s="87"/>
      <c r="EA251" s="87"/>
      <c r="EB251" s="87"/>
      <c r="EC251" s="87"/>
      <c r="ED251" s="87"/>
      <c r="EE251" s="87"/>
      <c r="EF251" s="87"/>
      <c r="EG251" s="87"/>
      <c r="EH251" s="87"/>
      <c r="EI251" s="87"/>
      <c r="EJ251" s="87"/>
      <c r="EK251" s="87"/>
      <c r="EL251" s="87"/>
      <c r="EM251" s="87"/>
      <c r="EN251" s="87"/>
      <c r="EO251" s="87"/>
      <c r="EP251" s="87"/>
      <c r="EQ251" s="87"/>
      <c r="ER251" s="87"/>
      <c r="ES251" s="87"/>
      <c r="ET251" s="87"/>
      <c r="EU251" s="87"/>
      <c r="EV251" s="87"/>
      <c r="EW251" s="87"/>
      <c r="EX251" s="87"/>
      <c r="EY251" s="87"/>
      <c r="EZ251" s="87"/>
      <c r="FA251" s="87"/>
      <c r="FB251" s="87"/>
      <c r="FC251" s="87"/>
      <c r="FD251" s="87"/>
      <c r="FE251" s="87"/>
      <c r="FF251" s="87"/>
      <c r="FG251" s="87"/>
      <c r="FH251" s="87"/>
      <c r="FI251" s="87"/>
      <c r="FJ251" s="87"/>
      <c r="FK251" s="87"/>
      <c r="FL251" s="87"/>
      <c r="FM251" s="87"/>
      <c r="FN251" s="87"/>
      <c r="FO251" s="87"/>
      <c r="FP251" s="87"/>
      <c r="FQ251" s="87"/>
    </row>
    <row r="252" spans="2:173" customFormat="1" ht="12.75" customHeight="1" x14ac:dyDescent="0.25">
      <c r="B252" s="446"/>
      <c r="C252" s="446"/>
      <c r="D252" s="446"/>
      <c r="E252" s="446"/>
      <c r="F252" s="446"/>
      <c r="G252" s="446"/>
      <c r="H252" s="446"/>
      <c r="I252" s="446"/>
      <c r="J252" s="446"/>
      <c r="K252" s="446"/>
      <c r="L252" s="446"/>
      <c r="M252" s="446"/>
      <c r="N252" s="446"/>
      <c r="O252" s="446"/>
      <c r="P252" s="446"/>
      <c r="Q252" s="446"/>
      <c r="R252" s="446"/>
      <c r="S252" s="446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  <c r="AE252" s="87"/>
      <c r="AF252" s="87"/>
      <c r="AG252" s="87"/>
      <c r="AH252" s="87"/>
      <c r="AI252" s="87"/>
      <c r="AJ252" s="87"/>
      <c r="AK252" s="87"/>
      <c r="AL252" s="87"/>
      <c r="AM252" s="87"/>
      <c r="AN252" s="87"/>
      <c r="AO252" s="87"/>
      <c r="AP252" s="87"/>
      <c r="AQ252" s="87"/>
      <c r="AR252" s="87"/>
      <c r="AS252" s="87"/>
      <c r="AT252" s="87"/>
      <c r="AU252" s="87"/>
      <c r="AV252" s="87"/>
      <c r="AW252" s="87"/>
      <c r="AX252" s="87"/>
      <c r="AY252" s="87"/>
      <c r="AZ252" s="87"/>
      <c r="BA252" s="87"/>
      <c r="BB252" s="87"/>
      <c r="BC252" s="87"/>
      <c r="BD252" s="87"/>
      <c r="BE252" s="87"/>
      <c r="BF252" s="87"/>
      <c r="BG252" s="87"/>
      <c r="BH252" s="87"/>
      <c r="BI252" s="87"/>
      <c r="BJ252" s="87"/>
      <c r="BK252" s="87"/>
      <c r="BL252" s="87"/>
      <c r="BM252" s="87"/>
      <c r="BN252" s="87"/>
      <c r="BO252" s="87"/>
      <c r="BP252" s="87"/>
      <c r="BQ252" s="87"/>
      <c r="BR252" s="177"/>
      <c r="BS252" s="177"/>
      <c r="BT252" s="267"/>
      <c r="BU252" s="267"/>
      <c r="BV252" s="267"/>
      <c r="BW252" s="267"/>
      <c r="BX252" s="267"/>
      <c r="BY252" s="267"/>
      <c r="BZ252" s="267"/>
      <c r="CA252" s="267"/>
      <c r="CB252" s="267"/>
      <c r="CC252" s="267"/>
      <c r="CD252" s="267"/>
      <c r="CE252" s="267"/>
      <c r="CF252" s="267"/>
      <c r="CG252" s="267"/>
      <c r="CH252" s="87"/>
      <c r="CI252" s="87"/>
      <c r="CJ252" s="87"/>
      <c r="CK252" s="87"/>
      <c r="CL252" s="87"/>
      <c r="CM252" s="87"/>
      <c r="CN252" s="87"/>
      <c r="CO252" s="87"/>
      <c r="CP252" s="87"/>
      <c r="CQ252" s="87"/>
      <c r="CR252" s="87"/>
      <c r="CS252" s="87"/>
      <c r="CT252" s="87"/>
      <c r="CU252" s="87"/>
      <c r="CV252" s="87"/>
      <c r="CW252" s="87"/>
      <c r="CX252" s="87"/>
      <c r="CY252" s="87"/>
      <c r="CZ252" s="87"/>
      <c r="DA252" s="87"/>
      <c r="DB252" s="87"/>
      <c r="DC252" s="87"/>
      <c r="DD252" s="87"/>
      <c r="DE252" s="87"/>
      <c r="DF252" s="87"/>
      <c r="DG252" s="87"/>
      <c r="DH252" s="87"/>
      <c r="DI252" s="87"/>
      <c r="DJ252" s="87"/>
      <c r="DK252" s="87"/>
      <c r="DL252" s="87"/>
      <c r="DM252" s="87"/>
      <c r="DN252" s="87"/>
      <c r="DO252" s="87"/>
      <c r="DP252" s="87"/>
      <c r="DQ252" s="87"/>
      <c r="DR252" s="87"/>
      <c r="DS252" s="87"/>
      <c r="DT252" s="87"/>
      <c r="DU252" s="87"/>
      <c r="DV252" s="87"/>
      <c r="DW252" s="87"/>
      <c r="DX252" s="87"/>
      <c r="DY252" s="87"/>
      <c r="DZ252" s="87"/>
      <c r="EA252" s="87"/>
      <c r="EB252" s="87"/>
      <c r="EC252" s="87"/>
      <c r="ED252" s="87"/>
      <c r="EE252" s="87"/>
      <c r="EF252" s="87"/>
      <c r="EG252" s="87"/>
      <c r="EH252" s="87"/>
      <c r="EI252" s="87"/>
      <c r="EJ252" s="87"/>
      <c r="EK252" s="87"/>
      <c r="EL252" s="87"/>
      <c r="EM252" s="87"/>
      <c r="EN252" s="87"/>
      <c r="EO252" s="87"/>
      <c r="EP252" s="87"/>
      <c r="EQ252" s="87"/>
      <c r="ER252" s="87"/>
      <c r="ES252" s="87"/>
      <c r="ET252" s="87"/>
      <c r="EU252" s="87"/>
      <c r="EV252" s="87"/>
      <c r="EW252" s="87"/>
      <c r="EX252" s="87"/>
      <c r="EY252" s="87"/>
      <c r="EZ252" s="87"/>
      <c r="FA252" s="87"/>
      <c r="FB252" s="87"/>
      <c r="FC252" s="87"/>
      <c r="FD252" s="87"/>
      <c r="FE252" s="87"/>
      <c r="FF252" s="87"/>
      <c r="FG252" s="87"/>
      <c r="FH252" s="87"/>
      <c r="FI252" s="87"/>
      <c r="FJ252" s="87"/>
      <c r="FK252" s="87"/>
      <c r="FL252" s="87"/>
      <c r="FM252" s="87"/>
      <c r="FN252" s="87"/>
      <c r="FO252" s="87"/>
      <c r="FP252" s="87"/>
      <c r="FQ252" s="87"/>
    </row>
    <row r="253" spans="2:173" customFormat="1" ht="12.75" customHeight="1" x14ac:dyDescent="0.25">
      <c r="B253" s="446"/>
      <c r="C253" s="446"/>
      <c r="D253" s="446"/>
      <c r="E253" s="446"/>
      <c r="F253" s="446"/>
      <c r="G253" s="446"/>
      <c r="H253" s="446"/>
      <c r="I253" s="446"/>
      <c r="J253" s="446"/>
      <c r="K253" s="446"/>
      <c r="L253" s="446"/>
      <c r="M253" s="446"/>
      <c r="N253" s="446"/>
      <c r="O253" s="446"/>
      <c r="P253" s="446"/>
      <c r="Q253" s="446"/>
      <c r="R253" s="446"/>
      <c r="S253" s="446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  <c r="AL253" s="87"/>
      <c r="AM253" s="87"/>
      <c r="AN253" s="87"/>
      <c r="AO253" s="87"/>
      <c r="AP253" s="87"/>
      <c r="AQ253" s="87"/>
      <c r="AR253" s="87"/>
      <c r="AS253" s="87"/>
      <c r="AT253" s="87"/>
      <c r="AU253" s="87"/>
      <c r="AV253" s="87"/>
      <c r="AW253" s="87"/>
      <c r="AX253" s="87"/>
      <c r="AY253" s="87"/>
      <c r="AZ253" s="87"/>
      <c r="BA253" s="87"/>
      <c r="BB253" s="87"/>
      <c r="BC253" s="87"/>
      <c r="BD253" s="87"/>
      <c r="BE253" s="87"/>
      <c r="BF253" s="87"/>
      <c r="BG253" s="87"/>
      <c r="BH253" s="87"/>
      <c r="BI253" s="87"/>
      <c r="BJ253" s="87"/>
      <c r="BK253" s="87"/>
      <c r="BL253" s="87"/>
      <c r="BM253" s="87"/>
      <c r="BN253" s="87"/>
      <c r="BO253" s="87"/>
      <c r="BP253" s="87"/>
      <c r="BQ253" s="87"/>
      <c r="BR253" s="177"/>
      <c r="BS253" s="177"/>
      <c r="BT253" s="267"/>
      <c r="BU253" s="267"/>
      <c r="BV253" s="267"/>
      <c r="BW253" s="267"/>
      <c r="BX253" s="267"/>
      <c r="BY253" s="267"/>
      <c r="BZ253" s="267"/>
      <c r="CA253" s="267"/>
      <c r="CB253" s="267"/>
      <c r="CC253" s="267"/>
      <c r="CD253" s="267"/>
      <c r="CE253" s="267"/>
      <c r="CF253" s="267"/>
      <c r="CG253" s="267"/>
      <c r="CH253" s="87"/>
      <c r="CI253" s="87"/>
      <c r="CJ253" s="87"/>
      <c r="CK253" s="87"/>
      <c r="CL253" s="87"/>
      <c r="CM253" s="87"/>
      <c r="CN253" s="87"/>
      <c r="CO253" s="87"/>
      <c r="CP253" s="87"/>
      <c r="CQ253" s="87"/>
      <c r="CR253" s="87"/>
      <c r="CS253" s="87"/>
      <c r="CT253" s="87"/>
      <c r="CU253" s="87"/>
      <c r="CV253" s="87"/>
      <c r="CW253" s="87"/>
      <c r="CX253" s="87"/>
      <c r="CY253" s="87"/>
      <c r="CZ253" s="87"/>
      <c r="DA253" s="87"/>
      <c r="DB253" s="87"/>
      <c r="DC253" s="87"/>
      <c r="DD253" s="87"/>
      <c r="DE253" s="87"/>
      <c r="DF253" s="87"/>
      <c r="DG253" s="87"/>
      <c r="DH253" s="87"/>
      <c r="DI253" s="87"/>
      <c r="DJ253" s="87"/>
      <c r="DK253" s="87"/>
      <c r="DL253" s="87"/>
      <c r="DM253" s="87"/>
      <c r="DN253" s="87"/>
      <c r="DO253" s="87"/>
      <c r="DP253" s="87"/>
      <c r="DQ253" s="87"/>
      <c r="DR253" s="87"/>
      <c r="DS253" s="87"/>
      <c r="DT253" s="87"/>
      <c r="DU253" s="87"/>
      <c r="DV253" s="87"/>
      <c r="DW253" s="87"/>
      <c r="DX253" s="87"/>
      <c r="DY253" s="87"/>
      <c r="DZ253" s="87"/>
      <c r="EA253" s="87"/>
      <c r="EB253" s="87"/>
      <c r="EC253" s="87"/>
      <c r="ED253" s="87"/>
      <c r="EE253" s="87"/>
      <c r="EF253" s="87"/>
      <c r="EG253" s="87"/>
      <c r="EH253" s="87"/>
      <c r="EI253" s="87"/>
      <c r="EJ253" s="87"/>
      <c r="EK253" s="87"/>
      <c r="EL253" s="87"/>
      <c r="EM253" s="87"/>
      <c r="EN253" s="87"/>
      <c r="EO253" s="87"/>
      <c r="EP253" s="87"/>
      <c r="EQ253" s="87"/>
      <c r="ER253" s="87"/>
      <c r="ES253" s="87"/>
      <c r="ET253" s="87"/>
      <c r="EU253" s="87"/>
      <c r="EV253" s="87"/>
      <c r="EW253" s="87"/>
      <c r="EX253" s="87"/>
      <c r="EY253" s="87"/>
      <c r="EZ253" s="87"/>
      <c r="FA253" s="87"/>
      <c r="FB253" s="87"/>
      <c r="FC253" s="87"/>
      <c r="FD253" s="87"/>
      <c r="FE253" s="87"/>
      <c r="FF253" s="87"/>
      <c r="FG253" s="87"/>
      <c r="FH253" s="87"/>
      <c r="FI253" s="87"/>
      <c r="FJ253" s="87"/>
      <c r="FK253" s="87"/>
      <c r="FL253" s="87"/>
      <c r="FM253" s="87"/>
      <c r="FN253" s="87"/>
      <c r="FO253" s="87"/>
      <c r="FP253" s="87"/>
      <c r="FQ253" s="87"/>
    </row>
    <row r="254" spans="2:173" customFormat="1" ht="12.75" customHeight="1" x14ac:dyDescent="0.25">
      <c r="B254" s="446"/>
      <c r="C254" s="446"/>
      <c r="D254" s="446"/>
      <c r="E254" s="446"/>
      <c r="F254" s="446"/>
      <c r="G254" s="446"/>
      <c r="H254" s="446"/>
      <c r="I254" s="446"/>
      <c r="J254" s="446"/>
      <c r="K254" s="446"/>
      <c r="L254" s="446"/>
      <c r="M254" s="446"/>
      <c r="N254" s="446"/>
      <c r="O254" s="446"/>
      <c r="P254" s="446"/>
      <c r="Q254" s="446"/>
      <c r="R254" s="446"/>
      <c r="S254" s="446"/>
      <c r="T254" s="87"/>
      <c r="U254" s="87"/>
      <c r="V254" s="87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7"/>
      <c r="AI254" s="87"/>
      <c r="AJ254" s="87"/>
      <c r="AK254" s="87"/>
      <c r="AL254" s="87"/>
      <c r="AM254" s="87"/>
      <c r="AN254" s="87"/>
      <c r="AO254" s="87"/>
      <c r="AP254" s="87"/>
      <c r="AQ254" s="87"/>
      <c r="AR254" s="87"/>
      <c r="AS254" s="87"/>
      <c r="AT254" s="87"/>
      <c r="AU254" s="87"/>
      <c r="AV254" s="87"/>
      <c r="AW254" s="87"/>
      <c r="AX254" s="87"/>
      <c r="AY254" s="87"/>
      <c r="AZ254" s="87"/>
      <c r="BA254" s="87"/>
      <c r="BB254" s="87"/>
      <c r="BC254" s="87"/>
      <c r="BD254" s="87"/>
      <c r="BE254" s="87"/>
      <c r="BF254" s="87"/>
      <c r="BG254" s="87"/>
      <c r="BH254" s="87"/>
      <c r="BI254" s="87"/>
      <c r="BJ254" s="87"/>
      <c r="BK254" s="87"/>
      <c r="BL254" s="87"/>
      <c r="BM254" s="87"/>
      <c r="BN254" s="87"/>
      <c r="BO254" s="87"/>
      <c r="BP254" s="87"/>
      <c r="BQ254" s="87"/>
      <c r="BR254" s="177"/>
      <c r="BS254" s="177"/>
      <c r="BT254" s="267"/>
      <c r="BU254" s="267"/>
      <c r="BV254" s="267"/>
      <c r="BW254" s="267"/>
      <c r="BX254" s="267"/>
      <c r="BY254" s="267"/>
      <c r="BZ254" s="267"/>
      <c r="CA254" s="267"/>
      <c r="CB254" s="267"/>
      <c r="CC254" s="267"/>
      <c r="CD254" s="267"/>
      <c r="CE254" s="267"/>
      <c r="CF254" s="267"/>
      <c r="CG254" s="267"/>
      <c r="CH254" s="87"/>
      <c r="CI254" s="87"/>
      <c r="CJ254" s="87"/>
      <c r="CK254" s="87"/>
      <c r="CL254" s="87"/>
      <c r="CM254" s="87"/>
      <c r="CN254" s="87"/>
      <c r="CO254" s="87"/>
      <c r="CP254" s="87"/>
      <c r="CQ254" s="87"/>
      <c r="CR254" s="87"/>
      <c r="CS254" s="87"/>
      <c r="CT254" s="87"/>
      <c r="CU254" s="87"/>
      <c r="CV254" s="87"/>
      <c r="CW254" s="87"/>
      <c r="CX254" s="87"/>
      <c r="CY254" s="87"/>
      <c r="CZ254" s="87"/>
      <c r="DA254" s="87"/>
      <c r="DB254" s="87"/>
      <c r="DC254" s="87"/>
      <c r="DD254" s="87"/>
      <c r="DE254" s="87"/>
      <c r="DF254" s="87"/>
      <c r="DG254" s="87"/>
      <c r="DH254" s="87"/>
      <c r="DI254" s="87"/>
      <c r="DJ254" s="87"/>
      <c r="DK254" s="87"/>
      <c r="DL254" s="87"/>
      <c r="DM254" s="87"/>
      <c r="DN254" s="87"/>
      <c r="DO254" s="87"/>
      <c r="DP254" s="87"/>
      <c r="DQ254" s="87"/>
      <c r="DR254" s="87"/>
      <c r="DS254" s="87"/>
      <c r="DT254" s="87"/>
      <c r="DU254" s="87"/>
      <c r="DV254" s="87"/>
      <c r="DW254" s="87"/>
      <c r="DX254" s="87"/>
      <c r="DY254" s="87"/>
      <c r="DZ254" s="87"/>
      <c r="EA254" s="87"/>
      <c r="EB254" s="87"/>
      <c r="EC254" s="87"/>
      <c r="ED254" s="87"/>
      <c r="EE254" s="87"/>
      <c r="EF254" s="87"/>
      <c r="EG254" s="87"/>
      <c r="EH254" s="87"/>
      <c r="EI254" s="87"/>
      <c r="EJ254" s="87"/>
      <c r="EK254" s="87"/>
      <c r="EL254" s="87"/>
      <c r="EM254" s="87"/>
      <c r="EN254" s="87"/>
      <c r="EO254" s="87"/>
      <c r="EP254" s="87"/>
      <c r="EQ254" s="87"/>
      <c r="ER254" s="87"/>
      <c r="ES254" s="87"/>
      <c r="ET254" s="87"/>
      <c r="EU254" s="87"/>
      <c r="EV254" s="87"/>
      <c r="EW254" s="87"/>
      <c r="EX254" s="87"/>
      <c r="EY254" s="87"/>
      <c r="EZ254" s="87"/>
      <c r="FA254" s="87"/>
      <c r="FB254" s="87"/>
      <c r="FC254" s="87"/>
      <c r="FD254" s="87"/>
      <c r="FE254" s="87"/>
      <c r="FF254" s="87"/>
      <c r="FG254" s="87"/>
      <c r="FH254" s="87"/>
      <c r="FI254" s="87"/>
      <c r="FJ254" s="87"/>
      <c r="FK254" s="87"/>
      <c r="FL254" s="87"/>
      <c r="FM254" s="87"/>
      <c r="FN254" s="87"/>
      <c r="FO254" s="87"/>
      <c r="FP254" s="87"/>
      <c r="FQ254" s="87"/>
    </row>
    <row r="255" spans="2:173" ht="12.75" customHeight="1" x14ac:dyDescent="0.25">
      <c r="B255" s="446"/>
      <c r="C255" s="446"/>
      <c r="D255" s="446"/>
      <c r="E255" s="446"/>
      <c r="F255" s="446"/>
      <c r="G255" s="446"/>
      <c r="H255" s="446"/>
      <c r="I255" s="446"/>
      <c r="J255" s="446"/>
      <c r="K255" s="446"/>
      <c r="L255" s="446"/>
      <c r="M255" s="446"/>
      <c r="N255" s="446"/>
      <c r="O255" s="446"/>
      <c r="P255" s="446"/>
      <c r="Q255" s="446"/>
      <c r="R255" s="446"/>
      <c r="S255" s="446"/>
      <c r="BR255" s="177"/>
      <c r="BS255" s="177"/>
      <c r="BT255" s="267"/>
      <c r="BU255" s="267"/>
      <c r="BV255" s="267"/>
      <c r="BW255" s="267"/>
      <c r="BX255" s="267"/>
      <c r="BY255" s="267"/>
      <c r="BZ255" s="267"/>
      <c r="CA255" s="267"/>
      <c r="CB255" s="267"/>
      <c r="CC255" s="267"/>
      <c r="CD255" s="267"/>
      <c r="CE255" s="267"/>
      <c r="CF255" s="267"/>
      <c r="CG255" s="267"/>
    </row>
    <row r="256" spans="2:173" ht="12.75" customHeight="1" x14ac:dyDescent="0.25">
      <c r="BR256" s="177"/>
      <c r="BS256" s="177"/>
      <c r="BT256" s="267"/>
      <c r="BU256" s="267"/>
      <c r="BV256" s="267"/>
      <c r="BW256" s="267"/>
      <c r="BX256" s="267"/>
      <c r="BY256" s="267"/>
      <c r="BZ256" s="267"/>
      <c r="CA256" s="267"/>
      <c r="CB256" s="267"/>
      <c r="CC256" s="267"/>
      <c r="CD256" s="267"/>
      <c r="CE256" s="267"/>
      <c r="CF256" s="267"/>
      <c r="CG256" s="267"/>
    </row>
    <row r="257" spans="70:85" ht="12.75" customHeight="1" x14ac:dyDescent="0.25">
      <c r="BR257" s="177"/>
      <c r="BS257" s="177"/>
      <c r="BT257" s="267"/>
      <c r="BU257" s="267"/>
      <c r="BV257" s="267"/>
      <c r="BW257" s="267"/>
      <c r="BX257" s="267"/>
      <c r="BY257" s="267"/>
      <c r="BZ257" s="267"/>
      <c r="CA257" s="267"/>
      <c r="CB257" s="267"/>
      <c r="CC257" s="267"/>
      <c r="CD257" s="267"/>
      <c r="CE257" s="267"/>
      <c r="CF257" s="267"/>
      <c r="CG257" s="267"/>
    </row>
    <row r="258" spans="70:85" ht="12.75" customHeight="1" x14ac:dyDescent="0.25">
      <c r="BR258" s="177"/>
      <c r="BS258" s="177"/>
      <c r="BT258" s="267"/>
      <c r="BU258" s="267"/>
      <c r="BV258" s="267"/>
      <c r="BW258" s="267"/>
      <c r="BX258" s="267"/>
      <c r="BY258" s="267"/>
      <c r="BZ258" s="267"/>
      <c r="CA258" s="267"/>
      <c r="CB258" s="267"/>
      <c r="CC258" s="267"/>
      <c r="CD258" s="267"/>
      <c r="CE258" s="267"/>
      <c r="CF258" s="267"/>
      <c r="CG258" s="267"/>
    </row>
    <row r="259" spans="70:85" ht="12.75" customHeight="1" x14ac:dyDescent="0.25">
      <c r="BR259" s="177"/>
      <c r="BS259" s="177"/>
      <c r="BT259" s="267"/>
      <c r="BU259" s="267"/>
      <c r="BV259" s="267"/>
      <c r="BW259" s="267"/>
      <c r="BX259" s="267"/>
      <c r="BY259" s="267"/>
      <c r="BZ259" s="267"/>
      <c r="CA259" s="267"/>
      <c r="CB259" s="267"/>
      <c r="CC259" s="267"/>
      <c r="CD259" s="267"/>
      <c r="CE259" s="267"/>
      <c r="CF259" s="267"/>
      <c r="CG259" s="267"/>
    </row>
    <row r="260" spans="70:85" ht="12.75" customHeight="1" x14ac:dyDescent="0.25">
      <c r="BR260" s="177"/>
      <c r="BS260" s="177"/>
      <c r="BT260" s="267"/>
      <c r="BU260" s="267"/>
      <c r="BV260" s="267"/>
      <c r="BW260" s="267"/>
      <c r="BX260" s="267"/>
      <c r="BY260" s="267"/>
      <c r="BZ260" s="267"/>
      <c r="CA260" s="267"/>
      <c r="CB260" s="267"/>
      <c r="CC260" s="267"/>
      <c r="CD260" s="267"/>
      <c r="CE260" s="267"/>
      <c r="CF260" s="267"/>
      <c r="CG260" s="267"/>
    </row>
    <row r="261" spans="70:85" ht="12.75" customHeight="1" x14ac:dyDescent="0.25">
      <c r="BR261" s="177"/>
      <c r="BS261" s="177"/>
      <c r="BT261" s="267"/>
      <c r="BU261" s="267"/>
      <c r="BV261" s="267"/>
      <c r="BW261" s="267"/>
      <c r="BX261" s="267"/>
      <c r="BY261" s="267"/>
      <c r="BZ261" s="267"/>
      <c r="CA261" s="267"/>
      <c r="CB261" s="267"/>
      <c r="CC261" s="267"/>
      <c r="CD261" s="267"/>
      <c r="CE261" s="267"/>
      <c r="CF261" s="267"/>
      <c r="CG261" s="267"/>
    </row>
    <row r="262" spans="70:85" ht="12.75" customHeight="1" x14ac:dyDescent="0.25">
      <c r="BR262" s="177"/>
      <c r="BS262" s="177"/>
      <c r="BT262" s="267"/>
      <c r="BU262" s="267"/>
      <c r="BV262" s="267"/>
      <c r="BW262" s="267"/>
      <c r="BX262" s="267"/>
      <c r="BY262" s="267"/>
      <c r="BZ262" s="267"/>
      <c r="CA262" s="267"/>
      <c r="CB262" s="267"/>
      <c r="CC262" s="267"/>
      <c r="CD262" s="267"/>
      <c r="CE262" s="267"/>
      <c r="CF262" s="267"/>
      <c r="CG262" s="267"/>
    </row>
    <row r="263" spans="70:85" ht="12.75" customHeight="1" x14ac:dyDescent="0.25">
      <c r="BR263" s="177"/>
      <c r="BS263" s="177"/>
      <c r="BT263" s="267"/>
      <c r="BU263" s="267"/>
      <c r="BV263" s="267"/>
      <c r="BW263" s="267"/>
      <c r="BX263" s="267"/>
      <c r="BY263" s="267"/>
      <c r="BZ263" s="267"/>
      <c r="CA263" s="267"/>
      <c r="CB263" s="267"/>
      <c r="CC263" s="267"/>
      <c r="CD263" s="267"/>
      <c r="CE263" s="267"/>
      <c r="CF263" s="267"/>
      <c r="CG263" s="267"/>
    </row>
    <row r="264" spans="70:85" ht="12.75" customHeight="1" x14ac:dyDescent="0.25">
      <c r="BR264" s="177"/>
      <c r="BS264" s="177"/>
      <c r="BT264" s="267"/>
      <c r="BU264" s="267"/>
      <c r="BV264" s="267"/>
      <c r="BW264" s="267"/>
      <c r="BX264" s="267"/>
      <c r="BY264" s="267"/>
      <c r="BZ264" s="267"/>
      <c r="CA264" s="267"/>
      <c r="CB264" s="267"/>
      <c r="CC264" s="267"/>
      <c r="CD264" s="267"/>
      <c r="CE264" s="267"/>
      <c r="CF264" s="267"/>
      <c r="CG264" s="267"/>
    </row>
    <row r="265" spans="70:85" ht="12.75" customHeight="1" x14ac:dyDescent="0.25">
      <c r="BR265" s="177"/>
      <c r="BS265" s="177"/>
      <c r="BT265" s="267"/>
      <c r="BU265" s="267"/>
      <c r="BV265" s="267"/>
      <c r="BW265" s="267"/>
      <c r="BX265" s="267"/>
      <c r="BY265" s="267"/>
      <c r="BZ265" s="267"/>
      <c r="CA265" s="267"/>
      <c r="CB265" s="267"/>
      <c r="CC265" s="267"/>
      <c r="CD265" s="267"/>
      <c r="CE265" s="267"/>
      <c r="CF265" s="267"/>
      <c r="CG265" s="267"/>
    </row>
    <row r="266" spans="70:85" ht="12.75" customHeight="1" x14ac:dyDescent="0.25">
      <c r="BR266" s="177"/>
      <c r="BS266" s="177"/>
      <c r="BT266" s="267"/>
      <c r="BU266" s="267"/>
      <c r="BV266" s="267"/>
      <c r="BW266" s="267"/>
      <c r="BX266" s="267"/>
      <c r="BY266" s="267"/>
      <c r="BZ266" s="267"/>
      <c r="CA266" s="267"/>
      <c r="CB266" s="267"/>
      <c r="CC266" s="267"/>
      <c r="CD266" s="267"/>
      <c r="CE266" s="267"/>
      <c r="CF266" s="267"/>
      <c r="CG266" s="267"/>
    </row>
    <row r="267" spans="70:85" ht="12.75" customHeight="1" x14ac:dyDescent="0.25">
      <c r="BR267" s="177"/>
      <c r="BS267" s="177"/>
      <c r="BT267" s="267"/>
      <c r="BU267" s="267"/>
      <c r="BV267" s="267"/>
      <c r="BW267" s="267"/>
      <c r="BX267" s="267"/>
      <c r="BY267" s="267"/>
      <c r="BZ267" s="267"/>
      <c r="CA267" s="267"/>
      <c r="CB267" s="267"/>
      <c r="CC267" s="267"/>
      <c r="CD267" s="267"/>
      <c r="CE267" s="267"/>
      <c r="CF267" s="267"/>
      <c r="CG267" s="267"/>
    </row>
    <row r="268" spans="70:85" ht="12.75" customHeight="1" x14ac:dyDescent="0.25">
      <c r="BR268" s="177"/>
      <c r="BS268" s="177"/>
      <c r="BT268" s="267"/>
      <c r="BU268" s="267"/>
      <c r="BV268" s="267"/>
      <c r="BW268" s="267"/>
      <c r="BX268" s="267"/>
      <c r="BY268" s="267"/>
      <c r="BZ268" s="267"/>
      <c r="CA268" s="267"/>
      <c r="CB268" s="267"/>
      <c r="CC268" s="267"/>
      <c r="CD268" s="267"/>
      <c r="CE268" s="267"/>
      <c r="CF268" s="267"/>
      <c r="CG268" s="267"/>
    </row>
    <row r="269" spans="70:85" ht="12.75" customHeight="1" x14ac:dyDescent="0.25">
      <c r="BR269" s="177"/>
      <c r="BS269" s="177"/>
      <c r="BT269" s="267"/>
      <c r="BU269" s="267"/>
      <c r="BV269" s="267"/>
      <c r="BW269" s="267"/>
      <c r="BX269" s="267"/>
      <c r="BY269" s="267"/>
      <c r="BZ269" s="267"/>
      <c r="CA269" s="267"/>
      <c r="CB269" s="267"/>
      <c r="CC269" s="267"/>
      <c r="CD269" s="267"/>
      <c r="CE269" s="267"/>
      <c r="CF269" s="267"/>
      <c r="CG269" s="267"/>
    </row>
    <row r="270" spans="70:85" ht="12.75" customHeight="1" x14ac:dyDescent="0.25">
      <c r="BR270" s="177"/>
      <c r="BS270" s="177"/>
      <c r="BT270" s="267"/>
      <c r="BU270" s="267"/>
      <c r="BV270" s="267"/>
      <c r="BW270" s="267"/>
      <c r="BX270" s="267"/>
      <c r="BY270" s="267"/>
      <c r="BZ270" s="267"/>
      <c r="CA270" s="267"/>
      <c r="CB270" s="267"/>
      <c r="CC270" s="267"/>
      <c r="CD270" s="267"/>
      <c r="CE270" s="267"/>
      <c r="CF270" s="267"/>
      <c r="CG270" s="267"/>
    </row>
    <row r="271" spans="70:85" ht="12.75" customHeight="1" x14ac:dyDescent="0.25">
      <c r="BR271" s="177"/>
      <c r="BS271" s="177"/>
      <c r="BT271" s="267"/>
      <c r="BU271" s="267"/>
      <c r="BV271" s="267"/>
      <c r="BW271" s="267"/>
      <c r="BX271" s="267"/>
      <c r="BY271" s="267"/>
      <c r="BZ271" s="267"/>
      <c r="CA271" s="267"/>
      <c r="CB271" s="267"/>
      <c r="CC271" s="267"/>
      <c r="CD271" s="267"/>
      <c r="CE271" s="267"/>
      <c r="CF271" s="267"/>
      <c r="CG271" s="267"/>
    </row>
    <row r="272" spans="70:85" ht="12.75" customHeight="1" x14ac:dyDescent="0.25">
      <c r="BR272" s="177"/>
      <c r="BS272" s="177"/>
      <c r="BT272" s="267"/>
      <c r="BU272" s="267"/>
      <c r="BV272" s="267"/>
      <c r="BW272" s="267"/>
      <c r="BX272" s="267"/>
      <c r="BY272" s="267"/>
      <c r="BZ272" s="267"/>
      <c r="CA272" s="267"/>
      <c r="CB272" s="267"/>
      <c r="CC272" s="267"/>
      <c r="CD272" s="267"/>
      <c r="CE272" s="267"/>
      <c r="CF272" s="267"/>
      <c r="CG272" s="267"/>
    </row>
    <row r="273" spans="70:85" ht="12.75" customHeight="1" x14ac:dyDescent="0.25">
      <c r="BR273" s="177"/>
      <c r="BS273" s="177"/>
      <c r="BT273" s="267"/>
      <c r="BU273" s="267"/>
      <c r="BV273" s="267"/>
      <c r="BW273" s="267"/>
      <c r="BX273" s="267"/>
      <c r="BY273" s="267"/>
      <c r="BZ273" s="267"/>
      <c r="CA273" s="267"/>
      <c r="CB273" s="267"/>
      <c r="CC273" s="267"/>
      <c r="CD273" s="267"/>
      <c r="CE273" s="267"/>
      <c r="CF273" s="267"/>
      <c r="CG273" s="267"/>
    </row>
    <row r="274" spans="70:85" ht="12.75" customHeight="1" x14ac:dyDescent="0.25">
      <c r="BR274" s="177"/>
      <c r="BS274" s="177"/>
      <c r="BT274" s="267"/>
      <c r="BU274" s="267"/>
      <c r="BV274" s="267"/>
      <c r="BW274" s="267"/>
      <c r="BX274" s="267"/>
      <c r="BY274" s="267"/>
      <c r="BZ274" s="267"/>
      <c r="CA274" s="267"/>
      <c r="CB274" s="267"/>
      <c r="CC274" s="267"/>
      <c r="CD274" s="267"/>
      <c r="CE274" s="267"/>
      <c r="CF274" s="267"/>
      <c r="CG274" s="267"/>
    </row>
    <row r="275" spans="70:85" ht="12.75" customHeight="1" x14ac:dyDescent="0.25">
      <c r="BR275" s="177"/>
      <c r="BS275" s="177"/>
      <c r="BT275" s="267"/>
      <c r="BU275" s="267"/>
      <c r="BV275" s="267"/>
      <c r="BW275" s="267"/>
      <c r="BX275" s="267"/>
      <c r="BY275" s="267"/>
      <c r="BZ275" s="267"/>
      <c r="CA275" s="267"/>
      <c r="CB275" s="267"/>
      <c r="CC275" s="267"/>
      <c r="CD275" s="267"/>
      <c r="CE275" s="267"/>
      <c r="CF275" s="267"/>
      <c r="CG275" s="267"/>
    </row>
    <row r="276" spans="70:85" ht="12.75" customHeight="1" x14ac:dyDescent="0.25">
      <c r="BR276" s="177"/>
      <c r="BS276" s="177"/>
      <c r="BT276" s="267"/>
      <c r="BU276" s="267"/>
      <c r="BV276" s="267"/>
      <c r="BW276" s="267"/>
      <c r="BX276" s="267"/>
      <c r="BY276" s="267"/>
      <c r="BZ276" s="267"/>
      <c r="CA276" s="267"/>
      <c r="CB276" s="267"/>
      <c r="CC276" s="267"/>
      <c r="CD276" s="267"/>
      <c r="CE276" s="267"/>
      <c r="CF276" s="267"/>
      <c r="CG276" s="267"/>
    </row>
    <row r="277" spans="70:85" ht="12.75" customHeight="1" x14ac:dyDescent="0.25">
      <c r="BR277" s="177"/>
      <c r="BS277" s="177"/>
      <c r="BT277" s="267"/>
      <c r="BU277" s="267"/>
      <c r="BV277" s="267"/>
      <c r="BW277" s="267"/>
      <c r="BX277" s="267"/>
      <c r="BY277" s="267"/>
      <c r="BZ277" s="267"/>
      <c r="CA277" s="267"/>
      <c r="CB277" s="267"/>
      <c r="CC277" s="267"/>
      <c r="CD277" s="267"/>
      <c r="CE277" s="267"/>
      <c r="CF277" s="267"/>
      <c r="CG277" s="267"/>
    </row>
    <row r="278" spans="70:85" ht="12.75" customHeight="1" x14ac:dyDescent="0.25">
      <c r="BR278" s="177"/>
      <c r="BS278" s="177"/>
      <c r="BT278" s="267"/>
      <c r="BU278" s="267"/>
      <c r="BV278" s="267"/>
      <c r="BW278" s="267"/>
      <c r="BX278" s="267"/>
      <c r="BY278" s="267"/>
      <c r="BZ278" s="267"/>
      <c r="CA278" s="267"/>
      <c r="CB278" s="267"/>
      <c r="CC278" s="267"/>
      <c r="CD278" s="267"/>
      <c r="CE278" s="267"/>
      <c r="CF278" s="267"/>
      <c r="CG278" s="267"/>
    </row>
    <row r="279" spans="70:85" ht="12.75" customHeight="1" x14ac:dyDescent="0.25">
      <c r="BR279" s="177"/>
      <c r="BS279" s="177"/>
      <c r="BT279" s="267"/>
      <c r="BU279" s="267"/>
      <c r="BV279" s="267"/>
      <c r="BW279" s="267"/>
      <c r="BX279" s="267"/>
      <c r="BY279" s="267"/>
      <c r="BZ279" s="267"/>
      <c r="CA279" s="267"/>
      <c r="CB279" s="267"/>
      <c r="CC279" s="267"/>
      <c r="CD279" s="267"/>
      <c r="CE279" s="267"/>
      <c r="CF279" s="267"/>
      <c r="CG279" s="267"/>
    </row>
    <row r="280" spans="70:85" ht="12.75" customHeight="1" x14ac:dyDescent="0.25">
      <c r="BR280" s="177"/>
      <c r="BS280" s="177"/>
      <c r="BT280" s="267"/>
      <c r="BU280" s="267"/>
      <c r="BV280" s="267"/>
      <c r="BW280" s="267"/>
      <c r="BX280" s="267"/>
      <c r="BY280" s="267"/>
      <c r="BZ280" s="267"/>
      <c r="CA280" s="267"/>
      <c r="CB280" s="267"/>
      <c r="CC280" s="267"/>
      <c r="CD280" s="267"/>
      <c r="CE280" s="267"/>
      <c r="CF280" s="267"/>
      <c r="CG280" s="267"/>
    </row>
    <row r="281" spans="70:85" ht="12.75" customHeight="1" x14ac:dyDescent="0.25">
      <c r="BR281" s="177"/>
      <c r="BS281" s="177"/>
      <c r="BT281" s="267"/>
      <c r="BU281" s="267"/>
      <c r="BV281" s="267"/>
      <c r="BW281" s="267"/>
      <c r="BX281" s="267"/>
      <c r="BY281" s="267"/>
      <c r="BZ281" s="267"/>
      <c r="CA281" s="267"/>
      <c r="CB281" s="267"/>
      <c r="CC281" s="267"/>
      <c r="CD281" s="267"/>
      <c r="CE281" s="267"/>
      <c r="CF281" s="267"/>
      <c r="CG281" s="267"/>
    </row>
    <row r="282" spans="70:85" ht="12.75" customHeight="1" x14ac:dyDescent="0.25">
      <c r="BR282" s="177"/>
      <c r="BS282" s="177"/>
      <c r="BT282" s="267"/>
      <c r="BU282" s="267"/>
      <c r="BV282" s="267"/>
      <c r="BW282" s="267"/>
      <c r="BX282" s="267"/>
      <c r="BY282" s="267"/>
      <c r="BZ282" s="267"/>
      <c r="CA282" s="267"/>
      <c r="CB282" s="267"/>
      <c r="CC282" s="267"/>
      <c r="CD282" s="267"/>
      <c r="CE282" s="267"/>
      <c r="CF282" s="267"/>
      <c r="CG282" s="267"/>
    </row>
    <row r="283" spans="70:85" ht="12.75" customHeight="1" x14ac:dyDescent="0.25">
      <c r="BR283" s="177"/>
      <c r="BS283" s="177"/>
      <c r="BT283" s="267"/>
      <c r="BU283" s="267"/>
      <c r="BV283" s="267"/>
      <c r="BW283" s="267"/>
      <c r="BX283" s="267"/>
      <c r="BY283" s="267"/>
      <c r="BZ283" s="267"/>
      <c r="CA283" s="267"/>
      <c r="CB283" s="267"/>
      <c r="CC283" s="267"/>
      <c r="CD283" s="267"/>
      <c r="CE283" s="267"/>
      <c r="CF283" s="267"/>
      <c r="CG283" s="267"/>
    </row>
    <row r="284" spans="70:85" ht="12.75" customHeight="1" x14ac:dyDescent="0.25">
      <c r="BR284" s="177"/>
      <c r="BS284" s="177"/>
      <c r="BT284" s="267"/>
      <c r="BU284" s="267"/>
      <c r="BV284" s="267"/>
      <c r="BW284" s="267"/>
      <c r="BX284" s="267"/>
      <c r="BY284" s="267"/>
      <c r="BZ284" s="267"/>
      <c r="CA284" s="267"/>
      <c r="CB284" s="267"/>
      <c r="CC284" s="267"/>
      <c r="CD284" s="267"/>
      <c r="CE284" s="267"/>
      <c r="CF284" s="267"/>
      <c r="CG284" s="267"/>
    </row>
    <row r="285" spans="70:85" ht="12.75" customHeight="1" x14ac:dyDescent="0.25">
      <c r="BR285" s="177"/>
      <c r="BS285" s="177"/>
      <c r="BT285" s="267"/>
      <c r="BU285" s="267"/>
      <c r="BV285" s="267"/>
      <c r="BW285" s="267"/>
      <c r="BX285" s="267"/>
      <c r="BY285" s="267"/>
      <c r="BZ285" s="267"/>
      <c r="CA285" s="267"/>
      <c r="CB285" s="267"/>
      <c r="CC285" s="267"/>
      <c r="CD285" s="267"/>
      <c r="CE285" s="267"/>
      <c r="CF285" s="267"/>
      <c r="CG285" s="267"/>
    </row>
    <row r="286" spans="70:85" ht="12.75" customHeight="1" x14ac:dyDescent="0.25">
      <c r="BR286" s="177"/>
      <c r="BS286" s="177"/>
      <c r="BT286" s="267"/>
      <c r="BU286" s="267"/>
      <c r="BV286" s="267"/>
      <c r="BW286" s="267"/>
      <c r="BX286" s="267"/>
      <c r="BY286" s="267"/>
      <c r="BZ286" s="267"/>
      <c r="CA286" s="267"/>
      <c r="CB286" s="267"/>
      <c r="CC286" s="267"/>
      <c r="CD286" s="267"/>
      <c r="CE286" s="267"/>
      <c r="CF286" s="267"/>
      <c r="CG286" s="267"/>
    </row>
    <row r="287" spans="70:85" ht="12.75" customHeight="1" x14ac:dyDescent="0.25">
      <c r="BR287" s="177"/>
      <c r="BS287" s="177"/>
      <c r="BT287" s="267"/>
      <c r="BU287" s="267"/>
      <c r="BV287" s="267"/>
      <c r="BW287" s="267"/>
      <c r="BX287" s="267"/>
      <c r="BY287" s="267"/>
      <c r="BZ287" s="267"/>
      <c r="CA287" s="267"/>
      <c r="CB287" s="267"/>
      <c r="CC287" s="267"/>
      <c r="CD287" s="267"/>
      <c r="CE287" s="267"/>
      <c r="CF287" s="267"/>
      <c r="CG287" s="267"/>
    </row>
    <row r="288" spans="70:85" ht="12.75" customHeight="1" x14ac:dyDescent="0.25">
      <c r="BR288" s="177"/>
      <c r="BS288" s="177"/>
      <c r="BT288" s="267"/>
      <c r="BU288" s="267"/>
      <c r="BV288" s="267"/>
      <c r="BW288" s="267"/>
      <c r="BX288" s="267"/>
      <c r="BY288" s="267"/>
      <c r="BZ288" s="267"/>
      <c r="CA288" s="267"/>
      <c r="CB288" s="267"/>
      <c r="CC288" s="267"/>
      <c r="CD288" s="267"/>
      <c r="CE288" s="267"/>
      <c r="CF288" s="267"/>
      <c r="CG288" s="267"/>
    </row>
    <row r="289" spans="70:85" ht="12.75" customHeight="1" x14ac:dyDescent="0.25">
      <c r="BR289" s="177"/>
      <c r="BS289" s="177"/>
      <c r="BT289" s="267"/>
      <c r="BU289" s="267"/>
      <c r="BV289" s="267"/>
      <c r="BW289" s="267"/>
      <c r="BX289" s="267"/>
      <c r="BY289" s="267"/>
      <c r="BZ289" s="267"/>
      <c r="CA289" s="267"/>
      <c r="CB289" s="267"/>
      <c r="CC289" s="267"/>
      <c r="CD289" s="267"/>
      <c r="CE289" s="267"/>
      <c r="CF289" s="267"/>
      <c r="CG289" s="267"/>
    </row>
    <row r="290" spans="70:85" ht="12.75" customHeight="1" x14ac:dyDescent="0.25">
      <c r="BR290" s="177"/>
      <c r="BS290" s="177"/>
      <c r="BT290" s="267"/>
      <c r="BU290" s="267"/>
      <c r="BV290" s="267"/>
      <c r="BW290" s="267"/>
      <c r="BX290" s="267"/>
      <c r="BY290" s="267"/>
      <c r="BZ290" s="267"/>
      <c r="CA290" s="267"/>
      <c r="CB290" s="267"/>
      <c r="CC290" s="267"/>
      <c r="CD290" s="267"/>
      <c r="CE290" s="267"/>
      <c r="CF290" s="267"/>
      <c r="CG290" s="267"/>
    </row>
    <row r="291" spans="70:85" ht="12.75" customHeight="1" x14ac:dyDescent="0.25">
      <c r="BR291" s="177"/>
      <c r="BS291" s="177"/>
      <c r="BT291" s="267"/>
      <c r="BU291" s="267"/>
      <c r="BV291" s="267"/>
      <c r="BW291" s="267"/>
      <c r="BX291" s="267"/>
      <c r="BY291" s="267"/>
      <c r="BZ291" s="267"/>
      <c r="CA291" s="267"/>
      <c r="CB291" s="267"/>
      <c r="CC291" s="267"/>
      <c r="CD291" s="267"/>
      <c r="CE291" s="267"/>
      <c r="CF291" s="267"/>
      <c r="CG291" s="267"/>
    </row>
    <row r="292" spans="70:85" ht="12.75" customHeight="1" x14ac:dyDescent="0.25">
      <c r="BR292" s="177"/>
      <c r="BS292" s="177"/>
      <c r="BT292" s="267"/>
      <c r="BU292" s="267"/>
      <c r="BV292" s="267"/>
      <c r="BW292" s="267"/>
      <c r="BX292" s="267"/>
      <c r="BY292" s="267"/>
      <c r="BZ292" s="267"/>
      <c r="CA292" s="267"/>
      <c r="CB292" s="267"/>
      <c r="CC292" s="267"/>
      <c r="CD292" s="267"/>
      <c r="CE292" s="267"/>
      <c r="CF292" s="267"/>
      <c r="CG292" s="267"/>
    </row>
    <row r="293" spans="70:85" ht="12.75" customHeight="1" x14ac:dyDescent="0.25">
      <c r="BR293" s="177"/>
      <c r="BS293" s="177"/>
      <c r="BT293" s="267"/>
      <c r="BU293" s="267"/>
      <c r="BV293" s="267"/>
      <c r="BW293" s="267"/>
      <c r="BX293" s="267"/>
      <c r="BY293" s="267"/>
      <c r="BZ293" s="267"/>
      <c r="CA293" s="267"/>
      <c r="CB293" s="267"/>
      <c r="CC293" s="267"/>
      <c r="CD293" s="267"/>
      <c r="CE293" s="267"/>
      <c r="CF293" s="267"/>
      <c r="CG293" s="267"/>
    </row>
    <row r="294" spans="70:85" ht="12.75" customHeight="1" x14ac:dyDescent="0.25">
      <c r="BR294" s="177"/>
      <c r="BS294" s="177"/>
      <c r="BT294" s="267"/>
      <c r="BU294" s="267"/>
      <c r="BV294" s="267"/>
      <c r="BW294" s="267"/>
      <c r="BX294" s="267"/>
      <c r="BY294" s="267"/>
      <c r="BZ294" s="267"/>
      <c r="CA294" s="267"/>
      <c r="CB294" s="267"/>
      <c r="CC294" s="267"/>
      <c r="CD294" s="267"/>
      <c r="CE294" s="267"/>
      <c r="CF294" s="267"/>
      <c r="CG294" s="267"/>
    </row>
    <row r="295" spans="70:85" ht="12.75" customHeight="1" x14ac:dyDescent="0.25">
      <c r="BR295" s="177"/>
      <c r="BS295" s="177"/>
      <c r="BT295" s="267"/>
      <c r="BU295" s="267"/>
      <c r="BV295" s="267"/>
      <c r="BW295" s="267"/>
      <c r="BX295" s="267"/>
      <c r="BY295" s="267"/>
      <c r="BZ295" s="267"/>
      <c r="CA295" s="267"/>
      <c r="CB295" s="267"/>
      <c r="CC295" s="267"/>
      <c r="CD295" s="267"/>
      <c r="CE295" s="267"/>
      <c r="CF295" s="267"/>
      <c r="CG295" s="267"/>
    </row>
    <row r="296" spans="70:85" ht="12.75" customHeight="1" x14ac:dyDescent="0.25">
      <c r="BR296" s="177"/>
      <c r="BS296" s="177"/>
      <c r="BT296" s="267"/>
      <c r="BU296" s="267"/>
      <c r="BV296" s="267"/>
      <c r="BW296" s="267"/>
      <c r="BX296" s="267"/>
      <c r="BY296" s="267"/>
      <c r="BZ296" s="267"/>
      <c r="CA296" s="267"/>
      <c r="CB296" s="267"/>
      <c r="CC296" s="267"/>
      <c r="CD296" s="267"/>
      <c r="CE296" s="267"/>
      <c r="CF296" s="267"/>
      <c r="CG296" s="267"/>
    </row>
    <row r="297" spans="70:85" ht="12.75" customHeight="1" x14ac:dyDescent="0.25">
      <c r="BR297" s="177"/>
      <c r="BS297" s="177"/>
      <c r="BT297" s="267"/>
      <c r="BU297" s="267"/>
      <c r="BV297" s="267"/>
      <c r="BW297" s="267"/>
      <c r="BX297" s="267"/>
      <c r="BY297" s="267"/>
      <c r="BZ297" s="267"/>
      <c r="CA297" s="267"/>
      <c r="CB297" s="267"/>
      <c r="CC297" s="267"/>
      <c r="CD297" s="267"/>
      <c r="CE297" s="267"/>
      <c r="CF297" s="267"/>
      <c r="CG297" s="267"/>
    </row>
    <row r="298" spans="70:85" ht="12.75" customHeight="1" x14ac:dyDescent="0.25">
      <c r="BR298" s="177"/>
      <c r="BS298" s="177"/>
      <c r="BT298" s="267"/>
      <c r="BU298" s="267"/>
      <c r="BV298" s="267"/>
      <c r="BW298" s="267"/>
      <c r="BX298" s="267"/>
      <c r="BY298" s="267"/>
      <c r="BZ298" s="267"/>
      <c r="CA298" s="267"/>
      <c r="CB298" s="267"/>
      <c r="CC298" s="267"/>
      <c r="CD298" s="267"/>
      <c r="CE298" s="267"/>
      <c r="CF298" s="267"/>
      <c r="CG298" s="267"/>
    </row>
    <row r="299" spans="70:85" ht="12.75" customHeight="1" x14ac:dyDescent="0.25">
      <c r="BR299" s="177"/>
      <c r="BS299" s="177"/>
      <c r="BT299" s="267"/>
      <c r="BU299" s="267"/>
      <c r="BV299" s="267"/>
      <c r="BW299" s="267"/>
      <c r="BX299" s="267"/>
      <c r="BY299" s="267"/>
      <c r="BZ299" s="267"/>
      <c r="CA299" s="267"/>
      <c r="CB299" s="267"/>
      <c r="CC299" s="267"/>
      <c r="CD299" s="267"/>
      <c r="CE299" s="267"/>
      <c r="CF299" s="267"/>
      <c r="CG299" s="267"/>
    </row>
    <row r="300" spans="70:85" ht="12.75" customHeight="1" x14ac:dyDescent="0.25">
      <c r="BR300" s="177"/>
      <c r="BS300" s="177"/>
      <c r="BT300" s="267"/>
      <c r="BU300" s="267"/>
      <c r="BV300" s="267"/>
      <c r="BW300" s="267"/>
      <c r="BX300" s="267"/>
      <c r="BY300" s="267"/>
      <c r="BZ300" s="267"/>
      <c r="CA300" s="267"/>
      <c r="CB300" s="267"/>
      <c r="CC300" s="267"/>
      <c r="CD300" s="267"/>
      <c r="CE300" s="267"/>
      <c r="CF300" s="267"/>
      <c r="CG300" s="267"/>
    </row>
    <row r="301" spans="70:85" ht="12.75" customHeight="1" x14ac:dyDescent="0.25">
      <c r="BR301" s="177"/>
      <c r="BS301" s="177"/>
      <c r="BT301" s="267"/>
      <c r="BU301" s="267"/>
      <c r="BV301" s="267"/>
      <c r="BW301" s="267"/>
      <c r="BX301" s="267"/>
      <c r="BY301" s="267"/>
      <c r="BZ301" s="267"/>
      <c r="CA301" s="267"/>
      <c r="CB301" s="267"/>
      <c r="CC301" s="267"/>
      <c r="CD301" s="267"/>
      <c r="CE301" s="267"/>
      <c r="CF301" s="267"/>
      <c r="CG301" s="267"/>
    </row>
    <row r="302" spans="70:85" ht="12.75" customHeight="1" x14ac:dyDescent="0.25">
      <c r="BR302" s="177"/>
      <c r="BS302" s="177"/>
      <c r="BT302" s="267"/>
      <c r="BU302" s="267"/>
      <c r="BV302" s="267"/>
      <c r="BW302" s="267"/>
      <c r="BX302" s="267"/>
      <c r="BY302" s="267"/>
      <c r="BZ302" s="267"/>
      <c r="CA302" s="267"/>
      <c r="CB302" s="267"/>
      <c r="CC302" s="267"/>
      <c r="CD302" s="267"/>
      <c r="CE302" s="267"/>
      <c r="CF302" s="267"/>
      <c r="CG302" s="267"/>
    </row>
    <row r="303" spans="70:85" ht="12.75" customHeight="1" x14ac:dyDescent="0.25">
      <c r="BR303" s="177"/>
      <c r="BS303" s="177"/>
      <c r="BT303" s="267"/>
      <c r="BU303" s="267"/>
      <c r="BV303" s="267"/>
      <c r="BW303" s="267"/>
      <c r="BX303" s="267"/>
      <c r="BY303" s="267"/>
      <c r="BZ303" s="267"/>
      <c r="CA303" s="267"/>
      <c r="CB303" s="267"/>
      <c r="CC303" s="267"/>
      <c r="CD303" s="267"/>
      <c r="CE303" s="267"/>
      <c r="CF303" s="267"/>
      <c r="CG303" s="267"/>
    </row>
    <row r="304" spans="70:85" ht="12.75" customHeight="1" x14ac:dyDescent="0.25">
      <c r="BR304" s="177"/>
      <c r="BS304" s="177"/>
      <c r="BT304" s="267"/>
      <c r="BU304" s="267"/>
      <c r="BV304" s="267"/>
      <c r="BW304" s="267"/>
      <c r="BX304" s="267"/>
      <c r="BY304" s="267"/>
      <c r="BZ304" s="267"/>
      <c r="CA304" s="267"/>
      <c r="CB304" s="267"/>
      <c r="CC304" s="267"/>
      <c r="CD304" s="267"/>
      <c r="CE304" s="267"/>
      <c r="CF304" s="267"/>
      <c r="CG304" s="267"/>
    </row>
    <row r="305" spans="70:85" ht="12.75" customHeight="1" x14ac:dyDescent="0.25">
      <c r="BR305" s="177"/>
      <c r="BS305" s="177"/>
      <c r="BT305" s="267"/>
      <c r="BU305" s="267"/>
      <c r="BV305" s="267"/>
      <c r="BW305" s="267"/>
      <c r="BX305" s="267"/>
      <c r="BY305" s="267"/>
      <c r="BZ305" s="267"/>
      <c r="CA305" s="267"/>
      <c r="CB305" s="267"/>
      <c r="CC305" s="267"/>
      <c r="CD305" s="267"/>
      <c r="CE305" s="267"/>
      <c r="CF305" s="267"/>
      <c r="CG305" s="267"/>
    </row>
    <row r="306" spans="70:85" ht="12.75" customHeight="1" x14ac:dyDescent="0.25">
      <c r="BR306" s="177"/>
      <c r="BS306" s="177"/>
      <c r="BT306" s="267"/>
      <c r="BU306" s="267"/>
      <c r="BV306" s="267"/>
      <c r="BW306" s="267"/>
      <c r="BX306" s="267"/>
      <c r="BY306" s="267"/>
      <c r="BZ306" s="267"/>
      <c r="CA306" s="267"/>
      <c r="CB306" s="267"/>
      <c r="CC306" s="267"/>
      <c r="CD306" s="267"/>
      <c r="CE306" s="267"/>
      <c r="CF306" s="267"/>
      <c r="CG306" s="267"/>
    </row>
    <row r="307" spans="70:85" ht="12.75" customHeight="1" x14ac:dyDescent="0.25">
      <c r="BR307" s="177"/>
      <c r="BS307" s="177"/>
      <c r="BT307" s="267"/>
      <c r="BU307" s="267"/>
      <c r="BV307" s="267"/>
      <c r="BW307" s="267"/>
      <c r="BX307" s="267"/>
      <c r="BY307" s="267"/>
      <c r="BZ307" s="267"/>
      <c r="CA307" s="267"/>
      <c r="CB307" s="267"/>
      <c r="CC307" s="267"/>
      <c r="CD307" s="267"/>
      <c r="CE307" s="267"/>
      <c r="CF307" s="267"/>
      <c r="CG307" s="267"/>
    </row>
    <row r="308" spans="70:85" ht="12.75" customHeight="1" x14ac:dyDescent="0.25">
      <c r="BR308" s="177"/>
      <c r="BS308" s="177"/>
      <c r="BT308" s="267"/>
      <c r="BU308" s="267"/>
      <c r="BV308" s="267"/>
      <c r="BW308" s="267"/>
      <c r="BX308" s="267"/>
      <c r="BY308" s="267"/>
      <c r="BZ308" s="267"/>
      <c r="CA308" s="267"/>
      <c r="CB308" s="267"/>
      <c r="CC308" s="267"/>
      <c r="CD308" s="267"/>
      <c r="CE308" s="267"/>
      <c r="CF308" s="267"/>
      <c r="CG308" s="267"/>
    </row>
    <row r="309" spans="70:85" ht="12.75" customHeight="1" x14ac:dyDescent="0.25">
      <c r="BR309" s="177"/>
      <c r="BS309" s="177"/>
      <c r="BT309" s="267"/>
      <c r="BU309" s="267"/>
      <c r="BV309" s="267"/>
      <c r="BW309" s="267"/>
      <c r="BX309" s="267"/>
      <c r="BY309" s="267"/>
      <c r="BZ309" s="267"/>
      <c r="CA309" s="267"/>
      <c r="CB309" s="267"/>
      <c r="CC309" s="267"/>
      <c r="CD309" s="267"/>
      <c r="CE309" s="267"/>
      <c r="CF309" s="267"/>
      <c r="CG309" s="267"/>
    </row>
    <row r="310" spans="70:85" ht="12.75" customHeight="1" x14ac:dyDescent="0.25">
      <c r="BR310" s="177"/>
      <c r="BS310" s="177"/>
      <c r="BT310" s="267"/>
      <c r="BU310" s="267"/>
      <c r="BV310" s="267"/>
      <c r="BW310" s="267"/>
      <c r="BX310" s="267"/>
      <c r="BY310" s="267"/>
      <c r="BZ310" s="267"/>
      <c r="CA310" s="267"/>
      <c r="CB310" s="267"/>
      <c r="CC310" s="267"/>
      <c r="CD310" s="267"/>
      <c r="CE310" s="267"/>
      <c r="CF310" s="267"/>
      <c r="CG310" s="267"/>
    </row>
    <row r="311" spans="70:85" ht="12.75" customHeight="1" x14ac:dyDescent="0.25">
      <c r="BR311" s="177"/>
      <c r="BS311" s="177"/>
      <c r="BT311" s="267"/>
      <c r="BU311" s="267"/>
      <c r="BV311" s="267"/>
      <c r="BW311" s="267"/>
      <c r="BX311" s="267"/>
      <c r="BY311" s="267"/>
      <c r="BZ311" s="267"/>
      <c r="CA311" s="267"/>
      <c r="CB311" s="267"/>
      <c r="CC311" s="267"/>
      <c r="CD311" s="267"/>
      <c r="CE311" s="267"/>
      <c r="CF311" s="267"/>
      <c r="CG311" s="267"/>
    </row>
    <row r="312" spans="70:85" ht="12.75" customHeight="1" x14ac:dyDescent="0.25">
      <c r="BR312" s="177"/>
      <c r="BS312" s="177"/>
      <c r="BT312" s="267"/>
      <c r="BU312" s="267"/>
      <c r="BV312" s="267"/>
      <c r="BW312" s="267"/>
      <c r="BX312" s="267"/>
      <c r="BY312" s="267"/>
      <c r="BZ312" s="267"/>
      <c r="CA312" s="267"/>
      <c r="CB312" s="267"/>
      <c r="CC312" s="267"/>
      <c r="CD312" s="267"/>
      <c r="CE312" s="267"/>
      <c r="CF312" s="267"/>
      <c r="CG312" s="267"/>
    </row>
    <row r="313" spans="70:85" ht="12.75" customHeight="1" x14ac:dyDescent="0.25">
      <c r="BR313" s="177"/>
      <c r="BS313" s="177"/>
      <c r="BT313" s="267"/>
      <c r="BU313" s="267"/>
      <c r="BV313" s="267"/>
      <c r="BW313" s="267"/>
      <c r="BX313" s="267"/>
      <c r="BY313" s="267"/>
      <c r="BZ313" s="267"/>
      <c r="CA313" s="267"/>
      <c r="CB313" s="267"/>
      <c r="CC313" s="267"/>
      <c r="CD313" s="267"/>
      <c r="CE313" s="267"/>
      <c r="CF313" s="267"/>
      <c r="CG313" s="267"/>
    </row>
    <row r="314" spans="70:85" ht="12.75" customHeight="1" x14ac:dyDescent="0.25">
      <c r="BR314" s="177"/>
      <c r="BS314" s="177"/>
      <c r="BT314" s="267"/>
      <c r="BU314" s="267"/>
      <c r="BV314" s="267"/>
      <c r="BW314" s="267"/>
      <c r="BX314" s="267"/>
      <c r="BY314" s="267"/>
      <c r="BZ314" s="267"/>
      <c r="CA314" s="267"/>
      <c r="CB314" s="267"/>
      <c r="CC314" s="267"/>
      <c r="CD314" s="267"/>
      <c r="CE314" s="267"/>
      <c r="CF314" s="267"/>
      <c r="CG314" s="267"/>
    </row>
    <row r="315" spans="70:85" ht="12.75" customHeight="1" x14ac:dyDescent="0.25">
      <c r="BR315" s="177"/>
      <c r="BS315" s="177"/>
      <c r="BT315" s="267"/>
      <c r="BU315" s="267"/>
      <c r="BV315" s="267"/>
      <c r="BW315" s="267"/>
      <c r="BX315" s="267"/>
      <c r="BY315" s="267"/>
      <c r="BZ315" s="267"/>
      <c r="CA315" s="267"/>
      <c r="CB315" s="267"/>
      <c r="CC315" s="267"/>
      <c r="CD315" s="267"/>
      <c r="CE315" s="267"/>
      <c r="CF315" s="267"/>
      <c r="CG315" s="267"/>
    </row>
    <row r="316" spans="70:85" ht="12.75" customHeight="1" x14ac:dyDescent="0.25">
      <c r="BR316" s="177"/>
      <c r="BS316" s="177"/>
      <c r="BT316" s="267"/>
      <c r="BU316" s="267"/>
      <c r="BV316" s="267"/>
      <c r="BW316" s="267"/>
      <c r="BX316" s="267"/>
      <c r="BY316" s="267"/>
      <c r="BZ316" s="267"/>
      <c r="CA316" s="267"/>
      <c r="CB316" s="267"/>
      <c r="CC316" s="267"/>
      <c r="CD316" s="267"/>
      <c r="CE316" s="267"/>
      <c r="CF316" s="267"/>
      <c r="CG316" s="267"/>
    </row>
    <row r="317" spans="70:85" ht="12.75" customHeight="1" x14ac:dyDescent="0.25">
      <c r="BR317" s="177"/>
      <c r="BS317" s="177"/>
      <c r="BT317" s="267"/>
      <c r="BU317" s="267"/>
      <c r="BV317" s="267"/>
      <c r="BW317" s="267"/>
      <c r="BX317" s="267"/>
      <c r="BY317" s="267"/>
      <c r="BZ317" s="267"/>
      <c r="CA317" s="267"/>
      <c r="CB317" s="267"/>
      <c r="CC317" s="267"/>
      <c r="CD317" s="267"/>
      <c r="CE317" s="267"/>
      <c r="CF317" s="267"/>
      <c r="CG317" s="267"/>
    </row>
    <row r="318" spans="70:85" ht="12.75" customHeight="1" x14ac:dyDescent="0.25">
      <c r="BR318" s="177"/>
      <c r="BS318" s="177"/>
      <c r="BT318" s="267"/>
      <c r="BU318" s="267"/>
      <c r="BV318" s="267"/>
      <c r="BW318" s="267"/>
      <c r="BX318" s="267"/>
      <c r="BY318" s="267"/>
      <c r="BZ318" s="267"/>
      <c r="CA318" s="267"/>
      <c r="CB318" s="267"/>
      <c r="CC318" s="267"/>
      <c r="CD318" s="267"/>
      <c r="CE318" s="267"/>
      <c r="CF318" s="267"/>
      <c r="CG318" s="267"/>
    </row>
    <row r="319" spans="70:85" ht="12.75" customHeight="1" x14ac:dyDescent="0.25">
      <c r="BR319" s="177"/>
      <c r="BS319" s="177"/>
      <c r="BT319" s="267"/>
      <c r="BU319" s="267"/>
      <c r="BV319" s="267"/>
      <c r="BW319" s="267"/>
      <c r="BX319" s="267"/>
      <c r="BY319" s="267"/>
      <c r="BZ319" s="267"/>
      <c r="CA319" s="267"/>
      <c r="CB319" s="267"/>
      <c r="CC319" s="267"/>
      <c r="CD319" s="267"/>
      <c r="CE319" s="267"/>
      <c r="CF319" s="267"/>
      <c r="CG319" s="267"/>
    </row>
    <row r="320" spans="70:85" ht="12.75" customHeight="1" x14ac:dyDescent="0.25">
      <c r="BR320" s="177"/>
      <c r="BS320" s="177"/>
      <c r="BT320" s="267"/>
      <c r="BU320" s="267"/>
      <c r="BV320" s="267"/>
      <c r="BW320" s="267"/>
      <c r="BX320" s="267"/>
      <c r="BY320" s="267"/>
      <c r="BZ320" s="267"/>
      <c r="CA320" s="267"/>
      <c r="CB320" s="267"/>
      <c r="CC320" s="267"/>
      <c r="CD320" s="267"/>
      <c r="CE320" s="267"/>
      <c r="CF320" s="267"/>
      <c r="CG320" s="267"/>
    </row>
    <row r="321" spans="70:85" ht="12.75" customHeight="1" x14ac:dyDescent="0.25">
      <c r="BR321" s="177"/>
      <c r="BS321" s="177"/>
      <c r="BT321" s="267"/>
      <c r="BU321" s="267"/>
      <c r="BV321" s="267"/>
      <c r="BW321" s="267"/>
      <c r="BX321" s="267"/>
      <c r="BY321" s="267"/>
      <c r="BZ321" s="267"/>
      <c r="CA321" s="267"/>
      <c r="CB321" s="267"/>
      <c r="CC321" s="267"/>
      <c r="CD321" s="267"/>
      <c r="CE321" s="267"/>
      <c r="CF321" s="267"/>
      <c r="CG321" s="267"/>
    </row>
    <row r="322" spans="70:85" ht="12.75" customHeight="1" x14ac:dyDescent="0.25">
      <c r="BR322" s="177"/>
      <c r="BS322" s="177"/>
      <c r="BT322" s="267"/>
      <c r="BU322" s="267"/>
      <c r="BV322" s="267"/>
      <c r="BW322" s="267"/>
      <c r="BX322" s="267"/>
      <c r="BY322" s="267"/>
      <c r="BZ322" s="267"/>
      <c r="CA322" s="267"/>
      <c r="CB322" s="267"/>
      <c r="CC322" s="267"/>
      <c r="CD322" s="267"/>
      <c r="CE322" s="267"/>
      <c r="CF322" s="267"/>
      <c r="CG322" s="267"/>
    </row>
    <row r="323" spans="70:85" ht="12.75" customHeight="1" x14ac:dyDescent="0.25">
      <c r="BR323" s="177"/>
      <c r="BS323" s="177"/>
      <c r="BT323" s="267"/>
      <c r="BU323" s="267"/>
      <c r="BV323" s="267"/>
      <c r="BW323" s="267"/>
      <c r="BX323" s="267"/>
      <c r="BY323" s="267"/>
      <c r="BZ323" s="267"/>
      <c r="CA323" s="267"/>
      <c r="CB323" s="267"/>
      <c r="CC323" s="267"/>
      <c r="CD323" s="267"/>
      <c r="CE323" s="267"/>
      <c r="CF323" s="267"/>
      <c r="CG323" s="267"/>
    </row>
    <row r="324" spans="70:85" ht="12.75" customHeight="1" x14ac:dyDescent="0.25">
      <c r="BR324" s="177"/>
      <c r="BS324" s="177"/>
      <c r="BT324" s="267"/>
      <c r="BU324" s="267"/>
      <c r="BV324" s="267"/>
      <c r="BW324" s="267"/>
      <c r="BX324" s="267"/>
      <c r="BY324" s="267"/>
      <c r="BZ324" s="267"/>
      <c r="CA324" s="267"/>
      <c r="CB324" s="267"/>
      <c r="CC324" s="267"/>
      <c r="CD324" s="267"/>
      <c r="CE324" s="267"/>
      <c r="CF324" s="267"/>
      <c r="CG324" s="267"/>
    </row>
    <row r="325" spans="70:85" ht="12.75" customHeight="1" x14ac:dyDescent="0.25">
      <c r="BR325" s="177"/>
      <c r="BS325" s="177"/>
      <c r="BT325" s="267"/>
      <c r="BU325" s="267"/>
      <c r="BV325" s="267"/>
      <c r="BW325" s="267"/>
      <c r="BX325" s="267"/>
      <c r="BY325" s="267"/>
      <c r="BZ325" s="267"/>
      <c r="CA325" s="267"/>
      <c r="CB325" s="267"/>
      <c r="CC325" s="267"/>
      <c r="CD325" s="267"/>
      <c r="CE325" s="267"/>
      <c r="CF325" s="267"/>
      <c r="CG325" s="267"/>
    </row>
    <row r="326" spans="70:85" ht="12.75" customHeight="1" x14ac:dyDescent="0.25">
      <c r="BR326" s="177"/>
      <c r="BS326" s="177"/>
      <c r="BT326" s="267"/>
      <c r="BU326" s="267"/>
      <c r="BV326" s="267"/>
      <c r="BW326" s="267"/>
      <c r="BX326" s="267"/>
      <c r="BY326" s="267"/>
      <c r="BZ326" s="267"/>
      <c r="CA326" s="267"/>
      <c r="CB326" s="267"/>
      <c r="CC326" s="267"/>
      <c r="CD326" s="267"/>
      <c r="CE326" s="267"/>
      <c r="CF326" s="267"/>
      <c r="CG326" s="267"/>
    </row>
    <row r="327" spans="70:85" ht="12.75" customHeight="1" x14ac:dyDescent="0.25">
      <c r="BR327" s="177"/>
      <c r="BS327" s="177"/>
      <c r="BT327" s="267"/>
      <c r="BU327" s="267"/>
      <c r="BV327" s="267"/>
      <c r="BW327" s="267"/>
      <c r="BX327" s="267"/>
      <c r="BY327" s="267"/>
      <c r="BZ327" s="267"/>
      <c r="CA327" s="267"/>
      <c r="CB327" s="267"/>
      <c r="CC327" s="267"/>
      <c r="CD327" s="267"/>
      <c r="CE327" s="267"/>
      <c r="CF327" s="267"/>
      <c r="CG327" s="267"/>
    </row>
    <row r="328" spans="70:85" ht="12.75" customHeight="1" x14ac:dyDescent="0.25">
      <c r="BR328" s="177"/>
      <c r="BS328" s="177"/>
      <c r="BT328" s="267"/>
      <c r="BU328" s="267"/>
      <c r="BV328" s="267"/>
      <c r="BW328" s="267"/>
      <c r="BX328" s="267"/>
      <c r="BY328" s="267"/>
      <c r="BZ328" s="267"/>
      <c r="CA328" s="267"/>
      <c r="CB328" s="267"/>
      <c r="CC328" s="267"/>
      <c r="CD328" s="267"/>
      <c r="CE328" s="267"/>
      <c r="CF328" s="267"/>
      <c r="CG328" s="267"/>
    </row>
    <row r="329" spans="70:85" ht="12.75" customHeight="1" x14ac:dyDescent="0.25">
      <c r="BR329" s="177"/>
      <c r="BS329" s="177"/>
      <c r="BT329" s="267"/>
      <c r="BU329" s="267"/>
      <c r="BV329" s="267"/>
      <c r="BW329" s="267"/>
      <c r="BX329" s="267"/>
      <c r="BY329" s="267"/>
      <c r="BZ329" s="267"/>
      <c r="CA329" s="267"/>
      <c r="CB329" s="267"/>
      <c r="CC329" s="267"/>
      <c r="CD329" s="267"/>
      <c r="CE329" s="267"/>
      <c r="CF329" s="267"/>
      <c r="CG329" s="267"/>
    </row>
    <row r="330" spans="70:85" ht="12.75" customHeight="1" x14ac:dyDescent="0.25">
      <c r="BR330" s="177"/>
      <c r="BS330" s="177"/>
      <c r="BT330" s="267"/>
      <c r="BU330" s="267"/>
      <c r="BV330" s="267"/>
      <c r="BW330" s="267"/>
      <c r="BX330" s="267"/>
      <c r="BY330" s="267"/>
      <c r="BZ330" s="267"/>
      <c r="CA330" s="267"/>
      <c r="CB330" s="267"/>
      <c r="CC330" s="267"/>
      <c r="CD330" s="267"/>
      <c r="CE330" s="267"/>
      <c r="CF330" s="267"/>
      <c r="CG330" s="267"/>
    </row>
    <row r="331" spans="70:85" ht="12.75" customHeight="1" x14ac:dyDescent="0.25">
      <c r="BR331" s="177"/>
      <c r="BS331" s="177"/>
      <c r="BT331" s="267"/>
      <c r="BU331" s="267"/>
      <c r="BV331" s="267"/>
      <c r="BW331" s="267"/>
      <c r="BX331" s="267"/>
      <c r="BY331" s="267"/>
      <c r="BZ331" s="267"/>
      <c r="CA331" s="267"/>
      <c r="CB331" s="267"/>
      <c r="CC331" s="267"/>
      <c r="CD331" s="267"/>
      <c r="CE331" s="267"/>
      <c r="CF331" s="267"/>
      <c r="CG331" s="267"/>
    </row>
    <row r="332" spans="70:85" ht="12.75" customHeight="1" x14ac:dyDescent="0.25">
      <c r="BR332" s="177"/>
      <c r="BS332" s="177"/>
      <c r="BT332" s="267"/>
      <c r="BU332" s="267"/>
      <c r="BV332" s="267"/>
      <c r="BW332" s="267"/>
      <c r="BX332" s="267"/>
      <c r="BY332" s="267"/>
      <c r="BZ332" s="267"/>
      <c r="CA332" s="267"/>
      <c r="CB332" s="267"/>
      <c r="CC332" s="267"/>
      <c r="CD332" s="267"/>
      <c r="CE332" s="267"/>
      <c r="CF332" s="267"/>
      <c r="CG332" s="267"/>
    </row>
    <row r="333" spans="70:85" ht="12.75" customHeight="1" x14ac:dyDescent="0.25">
      <c r="BR333" s="177"/>
      <c r="BS333" s="177"/>
      <c r="BT333" s="267"/>
      <c r="BU333" s="267"/>
      <c r="BV333" s="267"/>
      <c r="BW333" s="267"/>
      <c r="BX333" s="267"/>
      <c r="BY333" s="267"/>
      <c r="BZ333" s="267"/>
      <c r="CA333" s="267"/>
      <c r="CB333" s="267"/>
      <c r="CC333" s="267"/>
      <c r="CD333" s="267"/>
      <c r="CE333" s="267"/>
      <c r="CF333" s="267"/>
      <c r="CG333" s="267"/>
    </row>
    <row r="334" spans="70:85" ht="12.75" customHeight="1" x14ac:dyDescent="0.25">
      <c r="BR334" s="177"/>
      <c r="BS334" s="177"/>
      <c r="BT334" s="267"/>
      <c r="BU334" s="267"/>
      <c r="BV334" s="267"/>
      <c r="BW334" s="267"/>
      <c r="BX334" s="267"/>
      <c r="BY334" s="267"/>
      <c r="BZ334" s="267"/>
      <c r="CA334" s="267"/>
      <c r="CB334" s="267"/>
      <c r="CC334" s="267"/>
      <c r="CD334" s="267"/>
      <c r="CE334" s="267"/>
      <c r="CF334" s="267"/>
      <c r="CG334" s="267"/>
    </row>
    <row r="335" spans="70:85" ht="12.75" customHeight="1" x14ac:dyDescent="0.25">
      <c r="BR335" s="177"/>
      <c r="BS335" s="177"/>
      <c r="BT335" s="267"/>
      <c r="BU335" s="267"/>
      <c r="BV335" s="267"/>
      <c r="BW335" s="267"/>
      <c r="BX335" s="267"/>
      <c r="BY335" s="267"/>
      <c r="BZ335" s="267"/>
      <c r="CA335" s="267"/>
      <c r="CB335" s="267"/>
      <c r="CC335" s="267"/>
      <c r="CD335" s="267"/>
      <c r="CE335" s="267"/>
      <c r="CF335" s="267"/>
      <c r="CG335" s="267"/>
    </row>
    <row r="336" spans="70:85" ht="12.75" customHeight="1" x14ac:dyDescent="0.25">
      <c r="BR336" s="177"/>
      <c r="BS336" s="177"/>
      <c r="BT336" s="267"/>
      <c r="BU336" s="267"/>
      <c r="BV336" s="267"/>
      <c r="BW336" s="267"/>
      <c r="BX336" s="267"/>
      <c r="BY336" s="267"/>
      <c r="BZ336" s="267"/>
      <c r="CA336" s="267"/>
      <c r="CB336" s="267"/>
      <c r="CC336" s="267"/>
      <c r="CD336" s="267"/>
      <c r="CE336" s="267"/>
      <c r="CF336" s="267"/>
      <c r="CG336" s="267"/>
    </row>
    <row r="337" spans="70:85" ht="12.75" customHeight="1" x14ac:dyDescent="0.25">
      <c r="BR337" s="177"/>
      <c r="BS337" s="177"/>
      <c r="BT337" s="267"/>
      <c r="BU337" s="267"/>
      <c r="BV337" s="267"/>
      <c r="BW337" s="267"/>
      <c r="BX337" s="267"/>
      <c r="BY337" s="267"/>
      <c r="BZ337" s="267"/>
      <c r="CA337" s="267"/>
      <c r="CB337" s="267"/>
      <c r="CC337" s="267"/>
      <c r="CD337" s="267"/>
      <c r="CE337" s="267"/>
      <c r="CF337" s="267"/>
      <c r="CG337" s="267"/>
    </row>
    <row r="338" spans="70:85" ht="12.75" customHeight="1" x14ac:dyDescent="0.25">
      <c r="BR338" s="177"/>
      <c r="BS338" s="177"/>
      <c r="BT338" s="267"/>
      <c r="BU338" s="267"/>
      <c r="BV338" s="267"/>
      <c r="BW338" s="267"/>
      <c r="BX338" s="267"/>
      <c r="BY338" s="267"/>
      <c r="BZ338" s="267"/>
      <c r="CA338" s="267"/>
      <c r="CB338" s="267"/>
      <c r="CC338" s="267"/>
      <c r="CD338" s="267"/>
      <c r="CE338" s="267"/>
      <c r="CF338" s="267"/>
      <c r="CG338" s="267"/>
    </row>
    <row r="339" spans="70:85" ht="12.75" customHeight="1" x14ac:dyDescent="0.25">
      <c r="BR339" s="177"/>
      <c r="BS339" s="177"/>
      <c r="BT339" s="267"/>
      <c r="BU339" s="267"/>
      <c r="BV339" s="267"/>
      <c r="BW339" s="267"/>
      <c r="BX339" s="267"/>
      <c r="BY339" s="267"/>
      <c r="BZ339" s="267"/>
      <c r="CA339" s="267"/>
      <c r="CB339" s="267"/>
      <c r="CC339" s="267"/>
      <c r="CD339" s="267"/>
      <c r="CE339" s="267"/>
      <c r="CF339" s="267"/>
      <c r="CG339" s="267"/>
    </row>
    <row r="340" spans="70:85" ht="12.75" customHeight="1" x14ac:dyDescent="0.25">
      <c r="BR340" s="177"/>
      <c r="BS340" s="177"/>
      <c r="BT340" s="267"/>
      <c r="BU340" s="267"/>
      <c r="BV340" s="267"/>
      <c r="BW340" s="267"/>
      <c r="BX340" s="267"/>
      <c r="BY340" s="267"/>
      <c r="BZ340" s="267"/>
      <c r="CA340" s="267"/>
      <c r="CB340" s="267"/>
      <c r="CC340" s="267"/>
      <c r="CD340" s="267"/>
      <c r="CE340" s="267"/>
      <c r="CF340" s="267"/>
      <c r="CG340" s="267"/>
    </row>
    <row r="341" spans="70:85" ht="12.75" customHeight="1" x14ac:dyDescent="0.25">
      <c r="BR341" s="177"/>
      <c r="BS341" s="177"/>
      <c r="BT341" s="267"/>
      <c r="BU341" s="267"/>
      <c r="BV341" s="267"/>
      <c r="BW341" s="267"/>
      <c r="BX341" s="267"/>
      <c r="BY341" s="267"/>
      <c r="BZ341" s="267"/>
      <c r="CA341" s="267"/>
      <c r="CB341" s="267"/>
      <c r="CC341" s="267"/>
      <c r="CD341" s="267"/>
      <c r="CE341" s="267"/>
      <c r="CF341" s="267"/>
      <c r="CG341" s="267"/>
    </row>
    <row r="342" spans="70:85" ht="12.75" customHeight="1" x14ac:dyDescent="0.25">
      <c r="BR342" s="177"/>
      <c r="BS342" s="177"/>
      <c r="BT342" s="267"/>
      <c r="BU342" s="267"/>
      <c r="BV342" s="267"/>
      <c r="BW342" s="267"/>
      <c r="BX342" s="267"/>
      <c r="BY342" s="267"/>
      <c r="BZ342" s="267"/>
      <c r="CA342" s="267"/>
      <c r="CB342" s="267"/>
      <c r="CC342" s="267"/>
      <c r="CD342" s="267"/>
      <c r="CE342" s="267"/>
      <c r="CF342" s="267"/>
      <c r="CG342" s="267"/>
    </row>
    <row r="343" spans="70:85" ht="12.75" customHeight="1" x14ac:dyDescent="0.25">
      <c r="BR343" s="177"/>
      <c r="BS343" s="177"/>
      <c r="BT343" s="267"/>
      <c r="BU343" s="267"/>
      <c r="BV343" s="267"/>
      <c r="BW343" s="267"/>
      <c r="BX343" s="267"/>
      <c r="BY343" s="267"/>
      <c r="BZ343" s="267"/>
      <c r="CA343" s="267"/>
      <c r="CB343" s="267"/>
      <c r="CC343" s="267"/>
      <c r="CD343" s="267"/>
      <c r="CE343" s="267"/>
      <c r="CF343" s="267"/>
      <c r="CG343" s="267"/>
    </row>
    <row r="344" spans="70:85" ht="12.75" customHeight="1" x14ac:dyDescent="0.25">
      <c r="BR344" s="177"/>
      <c r="BS344" s="177"/>
      <c r="BT344" s="267"/>
      <c r="BU344" s="267"/>
      <c r="BV344" s="267"/>
      <c r="BW344" s="267"/>
      <c r="BX344" s="267"/>
      <c r="BY344" s="267"/>
      <c r="BZ344" s="267"/>
      <c r="CA344" s="267"/>
      <c r="CB344" s="267"/>
      <c r="CC344" s="267"/>
      <c r="CD344" s="267"/>
      <c r="CE344" s="267"/>
      <c r="CF344" s="267"/>
      <c r="CG344" s="267"/>
    </row>
    <row r="345" spans="70:85" ht="12.75" customHeight="1" x14ac:dyDescent="0.25">
      <c r="BR345" s="177"/>
      <c r="BS345" s="177"/>
      <c r="BT345" s="267"/>
      <c r="BU345" s="267"/>
      <c r="BV345" s="267"/>
      <c r="BW345" s="267"/>
      <c r="BX345" s="267"/>
      <c r="BY345" s="267"/>
      <c r="BZ345" s="267"/>
      <c r="CA345" s="267"/>
      <c r="CB345" s="267"/>
      <c r="CC345" s="267"/>
      <c r="CD345" s="267"/>
      <c r="CE345" s="267"/>
      <c r="CF345" s="267"/>
      <c r="CG345" s="267"/>
    </row>
    <row r="346" spans="70:85" ht="12.75" customHeight="1" x14ac:dyDescent="0.25">
      <c r="BR346" s="177"/>
      <c r="BS346" s="177"/>
      <c r="BT346" s="267"/>
      <c r="BU346" s="267"/>
      <c r="BV346" s="267"/>
      <c r="BW346" s="267"/>
      <c r="BX346" s="267"/>
      <c r="BY346" s="267"/>
      <c r="BZ346" s="267"/>
      <c r="CA346" s="267"/>
      <c r="CB346" s="267"/>
      <c r="CC346" s="267"/>
      <c r="CD346" s="267"/>
      <c r="CE346" s="267"/>
      <c r="CF346" s="267"/>
      <c r="CG346" s="267"/>
    </row>
    <row r="347" spans="70:85" ht="12.75" customHeight="1" x14ac:dyDescent="0.25">
      <c r="BR347" s="177"/>
      <c r="BS347" s="177"/>
      <c r="BT347" s="267"/>
      <c r="BU347" s="267"/>
      <c r="BV347" s="267"/>
      <c r="BW347" s="267"/>
      <c r="BX347" s="267"/>
      <c r="BY347" s="267"/>
      <c r="BZ347" s="267"/>
      <c r="CA347" s="267"/>
      <c r="CB347" s="267"/>
      <c r="CC347" s="267"/>
      <c r="CD347" s="267"/>
      <c r="CE347" s="267"/>
      <c r="CF347" s="267"/>
      <c r="CG347" s="267"/>
    </row>
    <row r="348" spans="70:85" ht="12.75" customHeight="1" x14ac:dyDescent="0.25">
      <c r="BR348" s="177"/>
      <c r="BS348" s="177"/>
      <c r="BT348" s="267"/>
      <c r="BU348" s="267"/>
      <c r="BV348" s="267"/>
      <c r="BW348" s="267"/>
      <c r="BX348" s="267"/>
      <c r="BY348" s="267"/>
      <c r="BZ348" s="267"/>
      <c r="CA348" s="267"/>
      <c r="CB348" s="267"/>
      <c r="CC348" s="267"/>
      <c r="CD348" s="267"/>
      <c r="CE348" s="267"/>
      <c r="CF348" s="267"/>
      <c r="CG348" s="267"/>
    </row>
    <row r="349" spans="70:85" ht="12.75" customHeight="1" x14ac:dyDescent="0.25">
      <c r="BR349" s="177"/>
      <c r="BS349" s="177"/>
      <c r="BT349" s="267"/>
      <c r="BU349" s="267"/>
      <c r="BV349" s="267"/>
      <c r="BW349" s="267"/>
      <c r="BX349" s="267"/>
      <c r="BY349" s="267"/>
      <c r="BZ349" s="267"/>
      <c r="CA349" s="267"/>
      <c r="CB349" s="267"/>
      <c r="CC349" s="267"/>
      <c r="CD349" s="267"/>
      <c r="CE349" s="267"/>
      <c r="CF349" s="267"/>
      <c r="CG349" s="267"/>
    </row>
    <row r="350" spans="70:85" ht="12.75" customHeight="1" x14ac:dyDescent="0.25">
      <c r="BR350" s="177"/>
      <c r="BS350" s="177"/>
      <c r="BT350" s="267"/>
      <c r="BU350" s="267"/>
      <c r="BV350" s="267"/>
      <c r="BW350" s="267"/>
      <c r="BX350" s="267"/>
      <c r="BY350" s="267"/>
      <c r="BZ350" s="267"/>
      <c r="CA350" s="267"/>
      <c r="CB350" s="267"/>
      <c r="CC350" s="267"/>
      <c r="CD350" s="267"/>
      <c r="CE350" s="267"/>
      <c r="CF350" s="267"/>
      <c r="CG350" s="267"/>
    </row>
    <row r="351" spans="70:85" ht="12.75" customHeight="1" x14ac:dyDescent="0.25">
      <c r="BR351" s="177"/>
      <c r="BS351" s="177"/>
      <c r="BT351" s="267"/>
      <c r="BU351" s="267"/>
      <c r="BV351" s="267"/>
      <c r="BW351" s="267"/>
      <c r="BX351" s="267"/>
      <c r="BY351" s="267"/>
      <c r="BZ351" s="267"/>
      <c r="CA351" s="267"/>
      <c r="CB351" s="267"/>
      <c r="CC351" s="267"/>
      <c r="CD351" s="267"/>
      <c r="CE351" s="267"/>
      <c r="CF351" s="267"/>
      <c r="CG351" s="267"/>
    </row>
    <row r="352" spans="70:85" ht="12.75" customHeight="1" x14ac:dyDescent="0.25">
      <c r="BR352" s="177"/>
      <c r="BS352" s="177"/>
      <c r="BT352" s="267"/>
      <c r="BU352" s="267"/>
      <c r="BV352" s="267"/>
      <c r="BW352" s="267"/>
      <c r="BX352" s="267"/>
      <c r="BY352" s="267"/>
      <c r="BZ352" s="267"/>
      <c r="CA352" s="267"/>
      <c r="CB352" s="267"/>
      <c r="CC352" s="267"/>
      <c r="CD352" s="267"/>
      <c r="CE352" s="267"/>
      <c r="CF352" s="267"/>
      <c r="CG352" s="267"/>
    </row>
    <row r="353" spans="70:85" ht="12.75" customHeight="1" x14ac:dyDescent="0.25">
      <c r="BR353" s="177"/>
      <c r="BS353" s="177"/>
      <c r="BT353" s="267"/>
      <c r="BU353" s="267"/>
      <c r="BV353" s="267"/>
      <c r="BW353" s="267"/>
      <c r="BX353" s="267"/>
      <c r="BY353" s="267"/>
      <c r="BZ353" s="267"/>
      <c r="CA353" s="267"/>
      <c r="CB353" s="267"/>
      <c r="CC353" s="267"/>
      <c r="CD353" s="267"/>
      <c r="CE353" s="267"/>
      <c r="CF353" s="267"/>
      <c r="CG353" s="267"/>
    </row>
    <row r="354" spans="70:85" ht="12.75" customHeight="1" x14ac:dyDescent="0.25">
      <c r="BR354" s="177"/>
      <c r="BS354" s="177"/>
      <c r="BT354" s="267"/>
      <c r="BU354" s="267"/>
      <c r="BV354" s="267"/>
      <c r="BW354" s="267"/>
      <c r="BX354" s="267"/>
      <c r="BY354" s="267"/>
      <c r="BZ354" s="267"/>
      <c r="CA354" s="267"/>
      <c r="CB354" s="267"/>
      <c r="CC354" s="267"/>
      <c r="CD354" s="267"/>
      <c r="CE354" s="267"/>
      <c r="CF354" s="267"/>
      <c r="CG354" s="267"/>
    </row>
    <row r="355" spans="70:85" ht="12.75" customHeight="1" x14ac:dyDescent="0.25">
      <c r="BR355" s="177"/>
      <c r="BS355" s="177"/>
      <c r="BT355" s="267"/>
      <c r="BU355" s="267"/>
      <c r="BV355" s="267"/>
      <c r="BW355" s="267"/>
      <c r="BX355" s="267"/>
      <c r="BY355" s="267"/>
      <c r="BZ355" s="267"/>
      <c r="CA355" s="267"/>
      <c r="CB355" s="267"/>
      <c r="CC355" s="267"/>
      <c r="CD355" s="267"/>
      <c r="CE355" s="267"/>
      <c r="CF355" s="267"/>
      <c r="CG355" s="267"/>
    </row>
    <row r="356" spans="70:85" ht="12.75" customHeight="1" x14ac:dyDescent="0.25">
      <c r="BR356" s="177"/>
      <c r="BS356" s="177"/>
      <c r="BT356" s="267"/>
      <c r="BU356" s="267"/>
      <c r="BV356" s="267"/>
      <c r="BW356" s="267"/>
      <c r="BX356" s="267"/>
      <c r="BY356" s="267"/>
      <c r="BZ356" s="267"/>
      <c r="CA356" s="267"/>
      <c r="CB356" s="267"/>
      <c r="CC356" s="267"/>
      <c r="CD356" s="267"/>
      <c r="CE356" s="267"/>
      <c r="CF356" s="267"/>
      <c r="CG356" s="267"/>
    </row>
    <row r="357" spans="70:85" ht="12.75" customHeight="1" x14ac:dyDescent="0.25">
      <c r="BR357" s="177"/>
      <c r="BS357" s="177"/>
      <c r="BT357" s="267"/>
      <c r="BU357" s="267"/>
      <c r="BV357" s="267"/>
      <c r="BW357" s="267"/>
      <c r="BX357" s="267"/>
      <c r="BY357" s="267"/>
      <c r="BZ357" s="267"/>
      <c r="CA357" s="267"/>
      <c r="CB357" s="267"/>
      <c r="CC357" s="267"/>
      <c r="CD357" s="267"/>
      <c r="CE357" s="267"/>
      <c r="CF357" s="267"/>
      <c r="CG357" s="267"/>
    </row>
    <row r="358" spans="70:85" ht="12.75" customHeight="1" x14ac:dyDescent="0.25">
      <c r="BR358" s="177"/>
      <c r="BS358" s="177"/>
      <c r="BT358" s="267"/>
      <c r="BU358" s="267"/>
      <c r="BV358" s="267"/>
      <c r="BW358" s="267"/>
      <c r="BX358" s="267"/>
      <c r="BY358" s="267"/>
      <c r="BZ358" s="267"/>
      <c r="CA358" s="267"/>
      <c r="CB358" s="267"/>
      <c r="CC358" s="267"/>
      <c r="CD358" s="267"/>
      <c r="CE358" s="267"/>
      <c r="CF358" s="267"/>
      <c r="CG358" s="267"/>
    </row>
    <row r="359" spans="70:85" ht="12.75" customHeight="1" x14ac:dyDescent="0.25">
      <c r="BR359" s="177"/>
      <c r="BS359" s="177"/>
      <c r="BT359" s="267"/>
      <c r="BU359" s="267"/>
      <c r="BV359" s="267"/>
      <c r="BW359" s="267"/>
      <c r="BX359" s="267"/>
      <c r="BY359" s="267"/>
      <c r="BZ359" s="267"/>
      <c r="CA359" s="267"/>
      <c r="CB359" s="267"/>
      <c r="CC359" s="267"/>
      <c r="CD359" s="267"/>
      <c r="CE359" s="267"/>
      <c r="CF359" s="267"/>
      <c r="CG359" s="267"/>
    </row>
    <row r="360" spans="70:85" ht="12.75" customHeight="1" x14ac:dyDescent="0.25">
      <c r="BR360" s="177"/>
      <c r="BS360" s="177"/>
      <c r="BT360" s="267"/>
      <c r="BU360" s="267"/>
      <c r="BV360" s="267"/>
      <c r="BW360" s="267"/>
      <c r="BX360" s="267"/>
      <c r="BY360" s="267"/>
      <c r="BZ360" s="267"/>
      <c r="CA360" s="267"/>
      <c r="CB360" s="267"/>
      <c r="CC360" s="267"/>
      <c r="CD360" s="267"/>
      <c r="CE360" s="267"/>
      <c r="CF360" s="267"/>
      <c r="CG360" s="267"/>
    </row>
    <row r="361" spans="70:85" ht="12.75" customHeight="1" x14ac:dyDescent="0.25">
      <c r="BR361" s="177"/>
      <c r="BS361" s="177"/>
      <c r="BT361" s="267"/>
      <c r="BU361" s="267"/>
      <c r="BV361" s="267"/>
      <c r="BW361" s="267"/>
      <c r="BX361" s="267"/>
      <c r="BY361" s="267"/>
      <c r="BZ361" s="267"/>
      <c r="CA361" s="267"/>
      <c r="CB361" s="267"/>
      <c r="CC361" s="267"/>
      <c r="CD361" s="267"/>
      <c r="CE361" s="267"/>
      <c r="CF361" s="267"/>
      <c r="CG361" s="267"/>
    </row>
    <row r="362" spans="70:85" ht="12.75" customHeight="1" x14ac:dyDescent="0.25">
      <c r="BR362" s="177"/>
      <c r="BS362" s="177"/>
      <c r="BT362" s="267"/>
      <c r="BU362" s="267"/>
      <c r="BV362" s="267"/>
      <c r="BW362" s="267"/>
      <c r="BX362" s="267"/>
      <c r="BY362" s="267"/>
      <c r="BZ362" s="267"/>
      <c r="CA362" s="267"/>
      <c r="CB362" s="267"/>
      <c r="CC362" s="267"/>
      <c r="CD362" s="267"/>
      <c r="CE362" s="267"/>
      <c r="CF362" s="267"/>
      <c r="CG362" s="267"/>
    </row>
    <row r="363" spans="70:85" ht="12.75" customHeight="1" x14ac:dyDescent="0.25">
      <c r="BR363" s="177"/>
      <c r="BS363" s="177"/>
      <c r="BT363" s="267"/>
      <c r="BU363" s="267"/>
      <c r="BV363" s="267"/>
      <c r="BW363" s="267"/>
      <c r="BX363" s="267"/>
      <c r="BY363" s="267"/>
      <c r="BZ363" s="267"/>
      <c r="CA363" s="267"/>
      <c r="CB363" s="267"/>
      <c r="CC363" s="267"/>
      <c r="CD363" s="267"/>
      <c r="CE363" s="267"/>
      <c r="CF363" s="267"/>
      <c r="CG363" s="267"/>
    </row>
    <row r="364" spans="70:85" ht="12.75" customHeight="1" x14ac:dyDescent="0.25">
      <c r="BR364" s="177"/>
      <c r="BS364" s="177"/>
      <c r="BT364" s="267"/>
      <c r="BU364" s="267"/>
      <c r="BV364" s="267"/>
      <c r="BW364" s="267"/>
      <c r="BX364" s="267"/>
      <c r="BY364" s="267"/>
      <c r="BZ364" s="267"/>
      <c r="CA364" s="267"/>
      <c r="CB364" s="267"/>
      <c r="CC364" s="267"/>
      <c r="CD364" s="267"/>
      <c r="CE364" s="267"/>
      <c r="CF364" s="267"/>
      <c r="CG364" s="267"/>
    </row>
    <row r="365" spans="70:85" ht="12.75" customHeight="1" x14ac:dyDescent="0.25">
      <c r="BR365" s="177"/>
      <c r="BS365" s="177"/>
      <c r="BT365" s="267"/>
      <c r="BU365" s="267"/>
      <c r="BV365" s="267"/>
      <c r="BW365" s="267"/>
      <c r="BX365" s="267"/>
      <c r="BY365" s="267"/>
      <c r="BZ365" s="267"/>
      <c r="CA365" s="267"/>
      <c r="CB365" s="267"/>
      <c r="CC365" s="267"/>
      <c r="CD365" s="267"/>
      <c r="CE365" s="267"/>
      <c r="CF365" s="267"/>
      <c r="CG365" s="267"/>
    </row>
    <row r="366" spans="70:85" ht="12.75" customHeight="1" x14ac:dyDescent="0.25">
      <c r="BR366" s="177"/>
      <c r="BS366" s="177"/>
      <c r="BT366" s="267"/>
      <c r="BU366" s="267"/>
      <c r="BV366" s="267"/>
      <c r="BW366" s="267"/>
      <c r="BX366" s="267"/>
      <c r="BY366" s="267"/>
      <c r="BZ366" s="267"/>
      <c r="CA366" s="267"/>
      <c r="CB366" s="267"/>
      <c r="CC366" s="267"/>
      <c r="CD366" s="267"/>
      <c r="CE366" s="267"/>
      <c r="CF366" s="267"/>
      <c r="CG366" s="267"/>
    </row>
    <row r="367" spans="70:85" ht="12.75" customHeight="1" x14ac:dyDescent="0.25">
      <c r="BR367" s="177"/>
      <c r="BS367" s="177"/>
      <c r="BT367" s="267"/>
      <c r="BU367" s="267"/>
      <c r="BV367" s="267"/>
      <c r="BW367" s="267"/>
      <c r="BX367" s="267"/>
      <c r="BY367" s="267"/>
      <c r="BZ367" s="267"/>
      <c r="CA367" s="267"/>
      <c r="CB367" s="267"/>
      <c r="CC367" s="267"/>
      <c r="CD367" s="267"/>
      <c r="CE367" s="267"/>
      <c r="CF367" s="267"/>
      <c r="CG367" s="267"/>
    </row>
    <row r="368" spans="70:85" ht="12.75" customHeight="1" x14ac:dyDescent="0.25">
      <c r="BR368" s="177"/>
      <c r="BS368" s="177"/>
      <c r="BT368" s="267"/>
      <c r="BU368" s="267"/>
      <c r="BV368" s="267"/>
      <c r="BW368" s="267"/>
      <c r="BX368" s="267"/>
      <c r="BY368" s="267"/>
      <c r="BZ368" s="267"/>
      <c r="CA368" s="267"/>
      <c r="CB368" s="267"/>
      <c r="CC368" s="267"/>
      <c r="CD368" s="267"/>
      <c r="CE368" s="267"/>
      <c r="CF368" s="267"/>
      <c r="CG368" s="267"/>
    </row>
    <row r="369" spans="70:85" ht="12.75" customHeight="1" x14ac:dyDescent="0.25">
      <c r="BR369" s="177"/>
      <c r="BS369" s="177"/>
      <c r="BT369" s="267"/>
      <c r="BU369" s="267"/>
      <c r="BV369" s="267"/>
      <c r="BW369" s="267"/>
      <c r="BX369" s="267"/>
      <c r="BY369" s="267"/>
      <c r="BZ369" s="267"/>
      <c r="CA369" s="267"/>
      <c r="CB369" s="267"/>
      <c r="CC369" s="267"/>
      <c r="CD369" s="267"/>
      <c r="CE369" s="267"/>
      <c r="CF369" s="267"/>
      <c r="CG369" s="267"/>
    </row>
    <row r="370" spans="70:85" ht="12.75" customHeight="1" x14ac:dyDescent="0.25">
      <c r="BR370" s="177"/>
      <c r="BS370" s="177"/>
      <c r="BT370" s="267"/>
      <c r="BU370" s="267"/>
      <c r="BV370" s="267"/>
      <c r="BW370" s="267"/>
      <c r="BX370" s="267"/>
      <c r="BY370" s="267"/>
      <c r="BZ370" s="267"/>
      <c r="CA370" s="267"/>
      <c r="CB370" s="267"/>
      <c r="CC370" s="267"/>
      <c r="CD370" s="267"/>
      <c r="CE370" s="267"/>
      <c r="CF370" s="267"/>
      <c r="CG370" s="267"/>
    </row>
    <row r="371" spans="70:85" ht="12.75" customHeight="1" x14ac:dyDescent="0.25">
      <c r="BR371" s="177"/>
      <c r="BS371" s="177"/>
      <c r="BT371" s="267"/>
      <c r="BU371" s="267"/>
      <c r="BV371" s="267"/>
      <c r="BW371" s="267"/>
      <c r="BX371" s="267"/>
      <c r="BY371" s="267"/>
      <c r="BZ371" s="267"/>
      <c r="CA371" s="267"/>
      <c r="CB371" s="267"/>
      <c r="CC371" s="267"/>
      <c r="CD371" s="267"/>
      <c r="CE371" s="267"/>
      <c r="CF371" s="267"/>
      <c r="CG371" s="267"/>
    </row>
    <row r="372" spans="70:85" ht="12.75" customHeight="1" x14ac:dyDescent="0.25">
      <c r="BR372" s="177"/>
      <c r="BS372" s="177"/>
      <c r="BT372" s="267"/>
      <c r="BU372" s="267"/>
      <c r="BV372" s="267"/>
      <c r="BW372" s="267"/>
      <c r="BX372" s="267"/>
      <c r="BY372" s="267"/>
      <c r="BZ372" s="267"/>
      <c r="CA372" s="267"/>
      <c r="CB372" s="267"/>
      <c r="CC372" s="267"/>
      <c r="CD372" s="267"/>
      <c r="CE372" s="267"/>
      <c r="CF372" s="267"/>
      <c r="CG372" s="267"/>
    </row>
    <row r="373" spans="70:85" ht="12.75" customHeight="1" x14ac:dyDescent="0.25">
      <c r="BR373" s="177"/>
      <c r="BS373" s="177"/>
      <c r="BT373" s="267"/>
      <c r="BU373" s="267"/>
      <c r="BV373" s="267"/>
      <c r="BW373" s="267"/>
      <c r="BX373" s="267"/>
      <c r="BY373" s="267"/>
      <c r="BZ373" s="267"/>
      <c r="CA373" s="267"/>
      <c r="CB373" s="267"/>
      <c r="CC373" s="267"/>
      <c r="CD373" s="267"/>
      <c r="CE373" s="267"/>
      <c r="CF373" s="267"/>
      <c r="CG373" s="267"/>
    </row>
    <row r="374" spans="70:85" ht="12.75" customHeight="1" x14ac:dyDescent="0.25">
      <c r="BR374" s="177"/>
      <c r="BS374" s="177"/>
      <c r="BT374" s="267"/>
      <c r="BU374" s="267"/>
      <c r="BV374" s="267"/>
      <c r="BW374" s="267"/>
      <c r="BX374" s="267"/>
      <c r="BY374" s="267"/>
      <c r="BZ374" s="267"/>
      <c r="CA374" s="267"/>
      <c r="CB374" s="267"/>
      <c r="CC374" s="267"/>
      <c r="CD374" s="267"/>
      <c r="CE374" s="267"/>
      <c r="CF374" s="267"/>
      <c r="CG374" s="267"/>
    </row>
    <row r="375" spans="70:85" ht="12.75" customHeight="1" x14ac:dyDescent="0.25">
      <c r="BR375" s="177"/>
      <c r="BS375" s="177"/>
      <c r="BT375" s="267"/>
      <c r="BU375" s="267"/>
      <c r="BV375" s="267"/>
      <c r="BW375" s="267"/>
      <c r="BX375" s="267"/>
      <c r="BY375" s="267"/>
      <c r="BZ375" s="267"/>
      <c r="CA375" s="267"/>
      <c r="CB375" s="267"/>
      <c r="CC375" s="267"/>
      <c r="CD375" s="267"/>
      <c r="CE375" s="267"/>
      <c r="CF375" s="267"/>
      <c r="CG375" s="267"/>
    </row>
    <row r="376" spans="70:85" ht="12.75" customHeight="1" x14ac:dyDescent="0.25">
      <c r="BR376" s="177"/>
      <c r="BS376" s="177"/>
      <c r="BT376" s="267"/>
      <c r="BU376" s="267"/>
      <c r="BV376" s="267"/>
      <c r="BW376" s="267"/>
      <c r="BX376" s="267"/>
      <c r="BY376" s="267"/>
      <c r="BZ376" s="267"/>
      <c r="CA376" s="267"/>
      <c r="CB376" s="267"/>
      <c r="CC376" s="267"/>
      <c r="CD376" s="267"/>
      <c r="CE376" s="267"/>
      <c r="CF376" s="267"/>
      <c r="CG376" s="267"/>
    </row>
    <row r="377" spans="70:85" ht="12.75" customHeight="1" x14ac:dyDescent="0.25">
      <c r="BR377" s="177"/>
      <c r="BS377" s="177"/>
      <c r="BT377" s="267"/>
      <c r="BU377" s="267"/>
      <c r="BV377" s="267"/>
      <c r="BW377" s="267"/>
      <c r="BX377" s="267"/>
      <c r="BY377" s="267"/>
      <c r="BZ377" s="267"/>
      <c r="CA377" s="267"/>
      <c r="CB377" s="267"/>
      <c r="CC377" s="267"/>
      <c r="CD377" s="267"/>
      <c r="CE377" s="267"/>
      <c r="CF377" s="267"/>
      <c r="CG377" s="267"/>
    </row>
    <row r="378" spans="70:85" ht="12.75" customHeight="1" x14ac:dyDescent="0.25">
      <c r="BR378" s="177"/>
      <c r="BS378" s="177"/>
      <c r="BT378" s="267"/>
      <c r="BU378" s="267"/>
      <c r="BV378" s="267"/>
      <c r="BW378" s="267"/>
      <c r="BX378" s="267"/>
      <c r="BY378" s="267"/>
      <c r="BZ378" s="267"/>
      <c r="CA378" s="267"/>
      <c r="CB378" s="267"/>
      <c r="CC378" s="267"/>
      <c r="CD378" s="267"/>
      <c r="CE378" s="267"/>
      <c r="CF378" s="267"/>
      <c r="CG378" s="267"/>
    </row>
    <row r="379" spans="70:85" ht="12.75" customHeight="1" x14ac:dyDescent="0.25">
      <c r="BR379" s="177"/>
      <c r="BS379" s="177"/>
      <c r="BT379" s="267"/>
      <c r="BU379" s="267"/>
      <c r="BV379" s="267"/>
      <c r="BW379" s="267"/>
      <c r="BX379" s="267"/>
      <c r="BY379" s="267"/>
      <c r="BZ379" s="267"/>
      <c r="CA379" s="267"/>
      <c r="CB379" s="267"/>
      <c r="CC379" s="267"/>
      <c r="CD379" s="267"/>
      <c r="CE379" s="267"/>
      <c r="CF379" s="267"/>
      <c r="CG379" s="267"/>
    </row>
    <row r="380" spans="70:85" ht="12.75" customHeight="1" x14ac:dyDescent="0.25">
      <c r="BR380" s="177"/>
      <c r="BS380" s="177"/>
      <c r="BT380" s="267"/>
      <c r="BU380" s="267"/>
      <c r="BV380" s="267"/>
      <c r="BW380" s="267"/>
      <c r="BX380" s="267"/>
      <c r="BY380" s="267"/>
      <c r="BZ380" s="267"/>
      <c r="CA380" s="267"/>
      <c r="CB380" s="267"/>
      <c r="CC380" s="267"/>
      <c r="CD380" s="267"/>
      <c r="CE380" s="267"/>
      <c r="CF380" s="267"/>
      <c r="CG380" s="267"/>
    </row>
    <row r="381" spans="70:85" ht="12.75" customHeight="1" x14ac:dyDescent="0.25">
      <c r="BR381" s="177"/>
      <c r="BS381" s="177"/>
      <c r="BT381" s="267"/>
      <c r="BU381" s="267"/>
      <c r="BV381" s="267"/>
      <c r="BW381" s="267"/>
      <c r="BX381" s="267"/>
      <c r="BY381" s="267"/>
      <c r="BZ381" s="267"/>
      <c r="CA381" s="267"/>
      <c r="CB381" s="267"/>
      <c r="CC381" s="267"/>
      <c r="CD381" s="267"/>
      <c r="CE381" s="267"/>
      <c r="CF381" s="267"/>
      <c r="CG381" s="267"/>
    </row>
    <row r="382" spans="70:85" ht="12.75" customHeight="1" x14ac:dyDescent="0.25">
      <c r="BR382" s="177"/>
      <c r="BS382" s="177"/>
      <c r="BT382" s="267"/>
      <c r="BU382" s="267"/>
      <c r="BV382" s="267"/>
      <c r="BW382" s="267"/>
      <c r="BX382" s="267"/>
      <c r="BY382" s="267"/>
      <c r="BZ382" s="267"/>
      <c r="CA382" s="267"/>
      <c r="CB382" s="267"/>
      <c r="CC382" s="267"/>
      <c r="CD382" s="267"/>
      <c r="CE382" s="267"/>
      <c r="CF382" s="267"/>
      <c r="CG382" s="267"/>
    </row>
    <row r="383" spans="70:85" ht="12.75" customHeight="1" x14ac:dyDescent="0.25">
      <c r="BR383" s="177"/>
      <c r="BS383" s="177"/>
      <c r="BT383" s="267"/>
      <c r="BU383" s="267"/>
      <c r="BV383" s="267"/>
      <c r="BW383" s="267"/>
      <c r="BX383" s="267"/>
      <c r="BY383" s="267"/>
      <c r="BZ383" s="267"/>
      <c r="CA383" s="267"/>
      <c r="CB383" s="267"/>
      <c r="CC383" s="267"/>
      <c r="CD383" s="267"/>
      <c r="CE383" s="267"/>
      <c r="CF383" s="267"/>
      <c r="CG383" s="267"/>
    </row>
    <row r="384" spans="70:85" ht="12.75" customHeight="1" x14ac:dyDescent="0.25">
      <c r="BR384" s="177"/>
      <c r="BS384" s="177"/>
      <c r="BT384" s="267"/>
      <c r="BU384" s="267"/>
      <c r="BV384" s="267"/>
      <c r="BW384" s="267"/>
      <c r="BX384" s="267"/>
      <c r="BY384" s="267"/>
      <c r="BZ384" s="267"/>
      <c r="CA384" s="267"/>
      <c r="CB384" s="267"/>
      <c r="CC384" s="267"/>
      <c r="CD384" s="267"/>
      <c r="CE384" s="267"/>
      <c r="CF384" s="267"/>
      <c r="CG384" s="267"/>
    </row>
    <row r="385" spans="70:85" ht="12.75" customHeight="1" x14ac:dyDescent="0.25">
      <c r="BR385" s="177"/>
      <c r="BS385" s="177"/>
      <c r="BT385" s="267"/>
      <c r="BU385" s="267"/>
      <c r="BV385" s="267"/>
      <c r="BW385" s="267"/>
      <c r="BX385" s="267"/>
      <c r="BY385" s="267"/>
      <c r="BZ385" s="267"/>
      <c r="CA385" s="267"/>
      <c r="CB385" s="267"/>
      <c r="CC385" s="267"/>
      <c r="CD385" s="267"/>
      <c r="CE385" s="267"/>
      <c r="CF385" s="267"/>
      <c r="CG385" s="267"/>
    </row>
    <row r="386" spans="70:85" ht="12.75" customHeight="1" x14ac:dyDescent="0.25">
      <c r="BR386" s="177"/>
      <c r="BS386" s="177"/>
      <c r="BT386" s="267"/>
      <c r="BU386" s="267"/>
      <c r="BV386" s="267"/>
      <c r="BW386" s="267"/>
      <c r="BX386" s="267"/>
      <c r="BY386" s="267"/>
      <c r="BZ386" s="267"/>
      <c r="CA386" s="267"/>
      <c r="CB386" s="267"/>
      <c r="CC386" s="267"/>
      <c r="CD386" s="267"/>
      <c r="CE386" s="267"/>
      <c r="CF386" s="267"/>
      <c r="CG386" s="267"/>
    </row>
    <row r="387" spans="70:85" ht="12.75" customHeight="1" x14ac:dyDescent="0.25">
      <c r="BR387" s="177"/>
      <c r="BS387" s="177"/>
      <c r="BT387" s="267"/>
      <c r="BU387" s="267"/>
      <c r="BV387" s="267"/>
      <c r="BW387" s="267"/>
      <c r="BX387" s="267"/>
      <c r="BY387" s="267"/>
      <c r="BZ387" s="267"/>
      <c r="CA387" s="267"/>
      <c r="CB387" s="267"/>
      <c r="CC387" s="267"/>
      <c r="CD387" s="267"/>
      <c r="CE387" s="267"/>
      <c r="CF387" s="267"/>
      <c r="CG387" s="267"/>
    </row>
    <row r="388" spans="70:85" ht="12.75" customHeight="1" x14ac:dyDescent="0.25">
      <c r="BR388" s="177"/>
      <c r="BS388" s="177"/>
      <c r="BT388" s="267"/>
      <c r="BU388" s="267"/>
      <c r="BV388" s="267"/>
      <c r="BW388" s="267"/>
      <c r="BX388" s="267"/>
      <c r="BY388" s="267"/>
      <c r="BZ388" s="267"/>
      <c r="CA388" s="267"/>
      <c r="CB388" s="267"/>
      <c r="CC388" s="267"/>
      <c r="CD388" s="267"/>
      <c r="CE388" s="267"/>
      <c r="CF388" s="267"/>
      <c r="CG388" s="267"/>
    </row>
    <row r="389" spans="70:85" ht="12.75" customHeight="1" x14ac:dyDescent="0.25">
      <c r="BR389" s="177"/>
      <c r="BS389" s="177"/>
      <c r="BT389" s="267"/>
      <c r="BU389" s="267"/>
      <c r="BV389" s="267"/>
      <c r="BW389" s="267"/>
      <c r="BX389" s="267"/>
      <c r="BY389" s="267"/>
      <c r="BZ389" s="267"/>
      <c r="CA389" s="267"/>
      <c r="CB389" s="267"/>
      <c r="CC389" s="267"/>
      <c r="CD389" s="267"/>
      <c r="CE389" s="267"/>
      <c r="CF389" s="267"/>
      <c r="CG389" s="267"/>
    </row>
    <row r="390" spans="70:85" ht="12.75" customHeight="1" x14ac:dyDescent="0.25">
      <c r="BR390" s="177"/>
      <c r="BS390" s="177"/>
      <c r="BT390" s="267"/>
      <c r="BU390" s="267"/>
      <c r="BV390" s="267"/>
      <c r="BW390" s="267"/>
      <c r="BX390" s="267"/>
      <c r="BY390" s="267"/>
      <c r="BZ390" s="267"/>
      <c r="CA390" s="267"/>
      <c r="CB390" s="267"/>
      <c r="CC390" s="267"/>
      <c r="CD390" s="267"/>
      <c r="CE390" s="267"/>
      <c r="CF390" s="267"/>
      <c r="CG390" s="267"/>
    </row>
    <row r="391" spans="70:85" ht="12.75" customHeight="1" x14ac:dyDescent="0.25">
      <c r="BR391" s="177"/>
      <c r="BS391" s="177"/>
      <c r="BT391" s="267"/>
      <c r="BU391" s="267"/>
      <c r="BV391" s="267"/>
      <c r="BW391" s="267"/>
      <c r="BX391" s="267"/>
      <c r="BY391" s="267"/>
      <c r="BZ391" s="267"/>
      <c r="CA391" s="267"/>
      <c r="CB391" s="267"/>
      <c r="CC391" s="267"/>
      <c r="CD391" s="267"/>
      <c r="CE391" s="267"/>
      <c r="CF391" s="267"/>
      <c r="CG391" s="267"/>
    </row>
    <row r="392" spans="70:85" ht="12.75" customHeight="1" x14ac:dyDescent="0.25">
      <c r="BR392" s="177"/>
      <c r="BS392" s="177"/>
      <c r="BT392" s="267"/>
      <c r="BU392" s="267"/>
      <c r="BV392" s="267"/>
      <c r="BW392" s="267"/>
      <c r="BX392" s="267"/>
      <c r="BY392" s="267"/>
      <c r="BZ392" s="267"/>
      <c r="CA392" s="267"/>
      <c r="CB392" s="267"/>
      <c r="CC392" s="267"/>
      <c r="CD392" s="267"/>
      <c r="CE392" s="267"/>
      <c r="CF392" s="267"/>
      <c r="CG392" s="267"/>
    </row>
    <row r="393" spans="70:85" ht="12.75" customHeight="1" x14ac:dyDescent="0.25">
      <c r="BR393" s="177"/>
      <c r="BS393" s="177"/>
      <c r="BT393" s="267"/>
      <c r="BU393" s="267"/>
      <c r="BV393" s="267"/>
      <c r="BW393" s="267"/>
      <c r="BX393" s="267"/>
      <c r="BY393" s="267"/>
      <c r="BZ393" s="267"/>
      <c r="CA393" s="267"/>
      <c r="CB393" s="267"/>
      <c r="CC393" s="267"/>
      <c r="CD393" s="267"/>
      <c r="CE393" s="267"/>
      <c r="CF393" s="267"/>
      <c r="CG393" s="267"/>
    </row>
    <row r="394" spans="70:85" ht="12.75" customHeight="1" x14ac:dyDescent="0.25">
      <c r="BR394" s="177"/>
      <c r="BS394" s="177"/>
      <c r="BT394" s="267"/>
      <c r="BU394" s="267"/>
      <c r="BV394" s="267"/>
      <c r="BW394" s="267"/>
      <c r="BX394" s="267"/>
      <c r="BY394" s="267"/>
      <c r="BZ394" s="267"/>
      <c r="CA394" s="267"/>
      <c r="CB394" s="267"/>
      <c r="CC394" s="267"/>
      <c r="CD394" s="267"/>
      <c r="CE394" s="267"/>
      <c r="CF394" s="267"/>
      <c r="CG394" s="267"/>
    </row>
    <row r="395" spans="70:85" ht="12.75" customHeight="1" x14ac:dyDescent="0.25">
      <c r="BR395" s="177"/>
      <c r="BS395" s="177"/>
      <c r="BT395" s="267"/>
      <c r="BU395" s="267"/>
      <c r="BV395" s="267"/>
      <c r="BW395" s="267"/>
      <c r="BX395" s="267"/>
      <c r="BY395" s="267"/>
      <c r="BZ395" s="267"/>
      <c r="CA395" s="267"/>
      <c r="CB395" s="267"/>
      <c r="CC395" s="267"/>
      <c r="CD395" s="267"/>
      <c r="CE395" s="267"/>
      <c r="CF395" s="267"/>
      <c r="CG395" s="267"/>
    </row>
    <row r="396" spans="70:85" ht="12.75" customHeight="1" x14ac:dyDescent="0.25">
      <c r="BR396" s="177"/>
      <c r="BS396" s="177"/>
      <c r="BT396" s="267"/>
      <c r="BU396" s="267"/>
      <c r="BV396" s="267"/>
      <c r="BW396" s="267"/>
      <c r="BX396" s="267"/>
      <c r="BY396" s="267"/>
      <c r="BZ396" s="267"/>
      <c r="CA396" s="267"/>
      <c r="CB396" s="267"/>
      <c r="CC396" s="267"/>
      <c r="CD396" s="267"/>
      <c r="CE396" s="267"/>
      <c r="CF396" s="267"/>
      <c r="CG396" s="267"/>
    </row>
    <row r="397" spans="70:85" ht="12.75" customHeight="1" x14ac:dyDescent="0.25">
      <c r="BR397" s="177"/>
      <c r="BS397" s="177"/>
      <c r="BT397" s="267"/>
      <c r="BU397" s="267"/>
      <c r="BV397" s="267"/>
      <c r="BW397" s="267"/>
      <c r="BX397" s="267"/>
      <c r="BY397" s="267"/>
      <c r="BZ397" s="267"/>
      <c r="CA397" s="267"/>
      <c r="CB397" s="267"/>
      <c r="CC397" s="267"/>
      <c r="CD397" s="267"/>
      <c r="CE397" s="267"/>
      <c r="CF397" s="267"/>
      <c r="CG397" s="267"/>
    </row>
    <row r="398" spans="70:85" ht="12.75" customHeight="1" x14ac:dyDescent="0.25">
      <c r="BR398" s="177"/>
      <c r="BS398" s="177"/>
      <c r="BT398" s="267"/>
      <c r="BU398" s="267"/>
      <c r="BV398" s="267"/>
      <c r="BW398" s="267"/>
      <c r="BX398" s="267"/>
      <c r="BY398" s="267"/>
      <c r="BZ398" s="267"/>
      <c r="CA398" s="267"/>
      <c r="CB398" s="267"/>
      <c r="CC398" s="267"/>
      <c r="CD398" s="267"/>
      <c r="CE398" s="267"/>
      <c r="CF398" s="267"/>
      <c r="CG398" s="267"/>
    </row>
    <row r="399" spans="70:85" ht="12.75" customHeight="1" x14ac:dyDescent="0.25">
      <c r="BR399" s="177"/>
      <c r="BS399" s="177"/>
      <c r="BT399" s="267"/>
      <c r="BU399" s="267"/>
      <c r="BV399" s="267"/>
      <c r="BW399" s="267"/>
      <c r="BX399" s="267"/>
      <c r="BY399" s="267"/>
      <c r="BZ399" s="267"/>
      <c r="CA399" s="267"/>
      <c r="CB399" s="267"/>
      <c r="CC399" s="267"/>
      <c r="CD399" s="267"/>
      <c r="CE399" s="267"/>
      <c r="CF399" s="267"/>
      <c r="CG399" s="267"/>
    </row>
    <row r="400" spans="70:85" ht="12.75" customHeight="1" x14ac:dyDescent="0.25">
      <c r="BR400" s="177"/>
      <c r="BS400" s="177"/>
      <c r="BT400" s="267"/>
      <c r="BU400" s="267"/>
      <c r="BV400" s="267"/>
      <c r="BW400" s="267"/>
      <c r="BX400" s="267"/>
      <c r="BY400" s="267"/>
      <c r="BZ400" s="267"/>
      <c r="CA400" s="267"/>
      <c r="CB400" s="267"/>
      <c r="CC400" s="267"/>
      <c r="CD400" s="267"/>
      <c r="CE400" s="267"/>
      <c r="CF400" s="267"/>
      <c r="CG400" s="267"/>
    </row>
    <row r="401" spans="70:85" ht="12.75" customHeight="1" x14ac:dyDescent="0.25">
      <c r="BR401" s="177"/>
      <c r="BS401" s="177"/>
      <c r="BT401" s="267"/>
      <c r="BU401" s="267"/>
      <c r="BV401" s="267"/>
      <c r="BW401" s="267"/>
      <c r="BX401" s="267"/>
      <c r="BY401" s="267"/>
      <c r="BZ401" s="267"/>
      <c r="CA401" s="267"/>
      <c r="CB401" s="267"/>
      <c r="CC401" s="267"/>
      <c r="CD401" s="267"/>
      <c r="CE401" s="267"/>
      <c r="CF401" s="267"/>
      <c r="CG401" s="267"/>
    </row>
    <row r="402" spans="70:85" ht="12.75" customHeight="1" x14ac:dyDescent="0.25">
      <c r="BR402" s="177"/>
      <c r="BS402" s="177"/>
      <c r="BT402" s="267"/>
      <c r="BU402" s="267"/>
      <c r="BV402" s="267"/>
      <c r="BW402" s="267"/>
      <c r="BX402" s="267"/>
      <c r="BY402" s="267"/>
      <c r="BZ402" s="267"/>
      <c r="CA402" s="267"/>
      <c r="CB402" s="267"/>
      <c r="CC402" s="267"/>
      <c r="CD402" s="267"/>
      <c r="CE402" s="267"/>
      <c r="CF402" s="267"/>
      <c r="CG402" s="267"/>
    </row>
    <row r="403" spans="70:85" ht="12.75" customHeight="1" x14ac:dyDescent="0.25">
      <c r="BR403" s="177"/>
      <c r="BS403" s="177"/>
      <c r="BT403" s="267"/>
      <c r="BU403" s="267"/>
      <c r="BV403" s="267"/>
      <c r="BW403" s="267"/>
      <c r="BX403" s="267"/>
      <c r="BY403" s="267"/>
      <c r="BZ403" s="267"/>
      <c r="CA403" s="267"/>
      <c r="CB403" s="267"/>
      <c r="CC403" s="267"/>
      <c r="CD403" s="267"/>
      <c r="CE403" s="267"/>
      <c r="CF403" s="267"/>
      <c r="CG403" s="267"/>
    </row>
    <row r="404" spans="70:85" ht="12.75" customHeight="1" x14ac:dyDescent="0.25">
      <c r="BR404" s="177"/>
      <c r="BS404" s="177"/>
      <c r="BT404" s="267"/>
      <c r="BU404" s="267"/>
      <c r="BV404" s="267"/>
      <c r="BW404" s="267"/>
      <c r="BX404" s="267"/>
      <c r="BY404" s="267"/>
      <c r="BZ404" s="267"/>
      <c r="CA404" s="267"/>
      <c r="CB404" s="267"/>
      <c r="CC404" s="267"/>
      <c r="CD404" s="267"/>
      <c r="CE404" s="267"/>
      <c r="CF404" s="267"/>
      <c r="CG404" s="267"/>
    </row>
    <row r="405" spans="70:85" ht="12.75" customHeight="1" x14ac:dyDescent="0.25">
      <c r="BR405" s="177"/>
      <c r="BS405" s="177"/>
      <c r="BT405" s="267"/>
      <c r="BU405" s="267"/>
      <c r="BV405" s="267"/>
      <c r="BW405" s="267"/>
      <c r="BX405" s="267"/>
      <c r="BY405" s="267"/>
      <c r="BZ405" s="267"/>
      <c r="CA405" s="267"/>
      <c r="CB405" s="267"/>
      <c r="CC405" s="267"/>
      <c r="CD405" s="267"/>
      <c r="CE405" s="267"/>
      <c r="CF405" s="267"/>
      <c r="CG405" s="267"/>
    </row>
    <row r="406" spans="70:85" ht="12.75" customHeight="1" x14ac:dyDescent="0.25">
      <c r="BR406" s="177"/>
      <c r="BS406" s="177"/>
      <c r="BT406" s="267"/>
      <c r="BU406" s="267"/>
      <c r="BV406" s="267"/>
      <c r="BW406" s="267"/>
      <c r="BX406" s="267"/>
      <c r="BY406" s="267"/>
      <c r="BZ406" s="267"/>
      <c r="CA406" s="267"/>
      <c r="CB406" s="267"/>
      <c r="CC406" s="267"/>
      <c r="CD406" s="267"/>
      <c r="CE406" s="267"/>
      <c r="CF406" s="267"/>
      <c r="CG406" s="267"/>
    </row>
    <row r="407" spans="70:85" ht="12.75" customHeight="1" x14ac:dyDescent="0.25">
      <c r="BR407" s="177"/>
      <c r="BS407" s="177"/>
      <c r="BT407" s="267"/>
      <c r="BU407" s="267"/>
      <c r="BV407" s="267"/>
      <c r="BW407" s="267"/>
      <c r="BX407" s="267"/>
      <c r="BY407" s="267"/>
      <c r="BZ407" s="267"/>
      <c r="CA407" s="267"/>
      <c r="CB407" s="267"/>
      <c r="CC407" s="267"/>
      <c r="CD407" s="267"/>
      <c r="CE407" s="267"/>
      <c r="CF407" s="267"/>
      <c r="CG407" s="267"/>
    </row>
    <row r="408" spans="70:85" ht="12.75" customHeight="1" x14ac:dyDescent="0.25">
      <c r="BR408" s="177"/>
      <c r="BS408" s="177"/>
      <c r="BT408" s="267"/>
      <c r="BU408" s="267"/>
      <c r="BV408" s="267"/>
      <c r="BW408" s="267"/>
      <c r="BX408" s="267"/>
      <c r="BY408" s="267"/>
      <c r="BZ408" s="267"/>
      <c r="CA408" s="267"/>
      <c r="CB408" s="267"/>
      <c r="CC408" s="267"/>
      <c r="CD408" s="267"/>
      <c r="CE408" s="267"/>
      <c r="CF408" s="267"/>
      <c r="CG408" s="267"/>
    </row>
    <row r="409" spans="70:85" ht="12.75" customHeight="1" x14ac:dyDescent="0.25">
      <c r="BR409" s="177"/>
      <c r="BS409" s="177"/>
      <c r="BT409" s="267"/>
      <c r="BU409" s="267"/>
      <c r="BV409" s="267"/>
      <c r="BW409" s="267"/>
      <c r="BX409" s="267"/>
      <c r="BY409" s="267"/>
      <c r="BZ409" s="267"/>
      <c r="CA409" s="267"/>
      <c r="CB409" s="267"/>
      <c r="CC409" s="267"/>
      <c r="CD409" s="267"/>
      <c r="CE409" s="267"/>
      <c r="CF409" s="267"/>
      <c r="CG409" s="267"/>
    </row>
    <row r="410" spans="70:85" ht="12.75" customHeight="1" x14ac:dyDescent="0.25">
      <c r="BR410" s="177"/>
      <c r="BS410" s="177"/>
      <c r="BT410" s="267"/>
      <c r="BU410" s="267"/>
      <c r="BV410" s="267"/>
      <c r="BW410" s="267"/>
      <c r="BX410" s="267"/>
      <c r="BY410" s="267"/>
      <c r="BZ410" s="267"/>
      <c r="CA410" s="267"/>
      <c r="CB410" s="267"/>
      <c r="CC410" s="267"/>
      <c r="CD410" s="267"/>
      <c r="CE410" s="267"/>
      <c r="CF410" s="267"/>
      <c r="CG410" s="267"/>
    </row>
    <row r="411" spans="70:85" ht="12.75" customHeight="1" x14ac:dyDescent="0.25">
      <c r="BR411" s="177"/>
      <c r="BS411" s="177"/>
      <c r="BT411" s="267"/>
      <c r="BU411" s="267"/>
      <c r="BV411" s="267"/>
      <c r="BW411" s="267"/>
      <c r="BX411" s="267"/>
      <c r="BY411" s="267"/>
      <c r="BZ411" s="267"/>
      <c r="CA411" s="267"/>
      <c r="CB411" s="267"/>
      <c r="CC411" s="267"/>
      <c r="CD411" s="267"/>
      <c r="CE411" s="267"/>
      <c r="CF411" s="267"/>
      <c r="CG411" s="267"/>
    </row>
    <row r="412" spans="70:85" ht="12.75" customHeight="1" x14ac:dyDescent="0.25">
      <c r="BR412" s="177"/>
      <c r="BS412" s="177"/>
      <c r="BT412" s="267"/>
      <c r="BU412" s="267"/>
      <c r="BV412" s="267"/>
      <c r="BW412" s="267"/>
      <c r="BX412" s="267"/>
      <c r="BY412" s="267"/>
      <c r="BZ412" s="267"/>
      <c r="CA412" s="267"/>
      <c r="CB412" s="267"/>
      <c r="CC412" s="267"/>
      <c r="CD412" s="267"/>
      <c r="CE412" s="267"/>
      <c r="CF412" s="267"/>
      <c r="CG412" s="267"/>
    </row>
    <row r="413" spans="70:85" ht="12.75" customHeight="1" x14ac:dyDescent="0.25">
      <c r="BR413" s="177"/>
      <c r="BS413" s="177"/>
      <c r="BT413" s="267"/>
      <c r="BU413" s="267"/>
      <c r="BV413" s="267"/>
      <c r="BW413" s="267"/>
      <c r="BX413" s="267"/>
      <c r="BY413" s="267"/>
      <c r="BZ413" s="267"/>
      <c r="CA413" s="267"/>
      <c r="CB413" s="267"/>
      <c r="CC413" s="267"/>
      <c r="CD413" s="267"/>
      <c r="CE413" s="267"/>
      <c r="CF413" s="267"/>
      <c r="CG413" s="267"/>
    </row>
    <row r="414" spans="70:85" ht="12.75" customHeight="1" x14ac:dyDescent="0.25">
      <c r="BR414" s="177"/>
      <c r="BS414" s="177"/>
      <c r="BT414" s="267"/>
      <c r="BU414" s="267"/>
      <c r="BV414" s="267"/>
      <c r="BW414" s="267"/>
      <c r="BX414" s="267"/>
      <c r="BY414" s="267"/>
      <c r="BZ414" s="267"/>
      <c r="CA414" s="267"/>
      <c r="CB414" s="267"/>
      <c r="CC414" s="267"/>
      <c r="CD414" s="267"/>
      <c r="CE414" s="267"/>
      <c r="CF414" s="267"/>
      <c r="CG414" s="267"/>
    </row>
    <row r="415" spans="70:85" ht="12.75" customHeight="1" x14ac:dyDescent="0.25">
      <c r="BR415" s="177"/>
      <c r="BS415" s="177"/>
      <c r="BT415" s="267"/>
      <c r="BU415" s="267"/>
      <c r="BV415" s="267"/>
      <c r="BW415" s="267"/>
      <c r="BX415" s="267"/>
      <c r="BY415" s="267"/>
      <c r="BZ415" s="267"/>
      <c r="CA415" s="267"/>
      <c r="CB415" s="267"/>
      <c r="CC415" s="267"/>
      <c r="CD415" s="267"/>
      <c r="CE415" s="267"/>
      <c r="CF415" s="267"/>
      <c r="CG415" s="267"/>
    </row>
    <row r="416" spans="70:85" ht="12.75" customHeight="1" x14ac:dyDescent="0.25">
      <c r="BR416" s="177"/>
      <c r="BS416" s="177"/>
      <c r="BT416" s="267"/>
      <c r="BU416" s="267"/>
      <c r="BV416" s="267"/>
      <c r="BW416" s="267"/>
      <c r="BX416" s="267"/>
      <c r="BY416" s="267"/>
      <c r="BZ416" s="267"/>
      <c r="CA416" s="267"/>
      <c r="CB416" s="267"/>
      <c r="CC416" s="267"/>
      <c r="CD416" s="267"/>
      <c r="CE416" s="267"/>
      <c r="CF416" s="267"/>
      <c r="CG416" s="267"/>
    </row>
    <row r="417" spans="70:85" ht="12.75" customHeight="1" x14ac:dyDescent="0.25">
      <c r="BR417" s="177"/>
      <c r="BS417" s="177"/>
      <c r="BT417" s="267"/>
      <c r="BU417" s="267"/>
      <c r="BV417" s="267"/>
      <c r="BW417" s="267"/>
      <c r="BX417" s="267"/>
      <c r="BY417" s="267"/>
      <c r="BZ417" s="267"/>
      <c r="CA417" s="267"/>
      <c r="CB417" s="267"/>
      <c r="CC417" s="267"/>
      <c r="CD417" s="267"/>
      <c r="CE417" s="267"/>
      <c r="CF417" s="267"/>
      <c r="CG417" s="267"/>
    </row>
    <row r="418" spans="70:85" ht="12.75" customHeight="1" x14ac:dyDescent="0.25">
      <c r="BR418" s="177"/>
      <c r="BS418" s="177"/>
      <c r="BT418" s="267"/>
      <c r="BU418" s="267"/>
      <c r="BV418" s="267"/>
      <c r="BW418" s="267"/>
      <c r="BX418" s="267"/>
      <c r="BY418" s="267"/>
      <c r="BZ418" s="267"/>
      <c r="CA418" s="267"/>
      <c r="CB418" s="267"/>
      <c r="CC418" s="267"/>
      <c r="CD418" s="267"/>
      <c r="CE418" s="267"/>
      <c r="CF418" s="267"/>
      <c r="CG418" s="267"/>
    </row>
    <row r="419" spans="70:85" ht="12.75" customHeight="1" x14ac:dyDescent="0.25">
      <c r="BR419" s="177"/>
      <c r="BS419" s="177"/>
      <c r="BT419" s="267"/>
      <c r="BU419" s="267"/>
      <c r="BV419" s="267"/>
      <c r="BW419" s="267"/>
      <c r="BX419" s="267"/>
      <c r="BY419" s="267"/>
      <c r="BZ419" s="267"/>
      <c r="CA419" s="267"/>
      <c r="CB419" s="267"/>
      <c r="CC419" s="267"/>
      <c r="CD419" s="267"/>
      <c r="CE419" s="267"/>
      <c r="CF419" s="267"/>
      <c r="CG419" s="267"/>
    </row>
    <row r="420" spans="70:85" ht="12.75" customHeight="1" x14ac:dyDescent="0.25">
      <c r="BR420" s="177"/>
      <c r="BS420" s="177"/>
      <c r="BT420" s="267"/>
      <c r="BU420" s="267"/>
      <c r="BV420" s="267"/>
      <c r="BW420" s="267"/>
      <c r="BX420" s="267"/>
      <c r="BY420" s="267"/>
      <c r="BZ420" s="267"/>
      <c r="CA420" s="267"/>
      <c r="CB420" s="267"/>
      <c r="CC420" s="267"/>
      <c r="CD420" s="267"/>
      <c r="CE420" s="267"/>
      <c r="CF420" s="267"/>
      <c r="CG420" s="267"/>
    </row>
    <row r="421" spans="70:85" ht="12.75" customHeight="1" x14ac:dyDescent="0.25">
      <c r="BR421" s="177"/>
      <c r="BS421" s="177"/>
      <c r="BT421" s="267"/>
      <c r="BU421" s="267"/>
      <c r="BV421" s="267"/>
      <c r="BW421" s="267"/>
      <c r="BX421" s="267"/>
      <c r="BY421" s="267"/>
      <c r="BZ421" s="267"/>
      <c r="CA421" s="267"/>
      <c r="CB421" s="267"/>
      <c r="CC421" s="267"/>
      <c r="CD421" s="267"/>
      <c r="CE421" s="267"/>
      <c r="CF421" s="267"/>
      <c r="CG421" s="267"/>
    </row>
    <row r="422" spans="70:85" ht="12.75" customHeight="1" x14ac:dyDescent="0.25">
      <c r="BR422" s="177"/>
      <c r="BS422" s="177"/>
      <c r="BT422" s="267"/>
      <c r="BU422" s="267"/>
      <c r="BV422" s="267"/>
      <c r="BW422" s="267"/>
      <c r="BX422" s="267"/>
      <c r="BY422" s="267"/>
      <c r="BZ422" s="267"/>
      <c r="CA422" s="267"/>
      <c r="CB422" s="267"/>
      <c r="CC422" s="267"/>
      <c r="CD422" s="267"/>
      <c r="CE422" s="267"/>
      <c r="CF422" s="267"/>
      <c r="CG422" s="267"/>
    </row>
    <row r="423" spans="70:85" ht="12.75" customHeight="1" x14ac:dyDescent="0.25">
      <c r="BR423" s="177"/>
      <c r="BS423" s="177"/>
      <c r="BT423" s="267"/>
      <c r="BU423" s="267"/>
      <c r="BV423" s="267"/>
      <c r="BW423" s="267"/>
      <c r="BX423" s="267"/>
      <c r="BY423" s="267"/>
      <c r="BZ423" s="267"/>
      <c r="CA423" s="267"/>
      <c r="CB423" s="267"/>
      <c r="CC423" s="267"/>
      <c r="CD423" s="267"/>
      <c r="CE423" s="267"/>
      <c r="CF423" s="267"/>
      <c r="CG423" s="267"/>
    </row>
    <row r="424" spans="70:85" ht="12.75" customHeight="1" x14ac:dyDescent="0.25">
      <c r="BR424" s="177"/>
      <c r="BS424" s="177"/>
      <c r="BT424" s="267"/>
      <c r="BU424" s="267"/>
      <c r="BV424" s="267"/>
      <c r="BW424" s="267"/>
      <c r="BX424" s="267"/>
      <c r="BY424" s="267"/>
      <c r="BZ424" s="267"/>
      <c r="CA424" s="267"/>
      <c r="CB424" s="267"/>
      <c r="CC424" s="267"/>
      <c r="CD424" s="267"/>
      <c r="CE424" s="267"/>
      <c r="CF424" s="267"/>
      <c r="CG424" s="267"/>
    </row>
    <row r="425" spans="70:85" ht="12.75" customHeight="1" x14ac:dyDescent="0.25">
      <c r="BR425" s="177"/>
      <c r="BS425" s="177"/>
      <c r="BT425" s="267"/>
      <c r="BU425" s="267"/>
      <c r="BV425" s="267"/>
      <c r="BW425" s="267"/>
      <c r="BX425" s="267"/>
      <c r="BY425" s="267"/>
      <c r="BZ425" s="267"/>
      <c r="CA425" s="267"/>
      <c r="CB425" s="267"/>
      <c r="CC425" s="267"/>
      <c r="CD425" s="267"/>
      <c r="CE425" s="267"/>
      <c r="CF425" s="267"/>
      <c r="CG425" s="267"/>
    </row>
    <row r="426" spans="70:85" ht="12.75" customHeight="1" x14ac:dyDescent="0.25">
      <c r="BR426" s="177"/>
      <c r="BS426" s="177"/>
      <c r="BT426" s="267"/>
      <c r="BU426" s="267"/>
      <c r="BV426" s="267"/>
      <c r="BW426" s="267"/>
      <c r="BX426" s="267"/>
      <c r="BY426" s="267"/>
      <c r="BZ426" s="267"/>
      <c r="CA426" s="267"/>
      <c r="CB426" s="267"/>
      <c r="CC426" s="267"/>
      <c r="CD426" s="267"/>
      <c r="CE426" s="267"/>
      <c r="CF426" s="267"/>
      <c r="CG426" s="267"/>
    </row>
    <row r="427" spans="70:85" ht="12.75" customHeight="1" x14ac:dyDescent="0.25">
      <c r="BR427" s="177"/>
      <c r="BS427" s="177"/>
      <c r="BT427" s="267"/>
      <c r="BU427" s="267"/>
      <c r="BV427" s="267"/>
      <c r="BW427" s="267"/>
      <c r="BX427" s="267"/>
      <c r="BY427" s="267"/>
      <c r="BZ427" s="267"/>
      <c r="CA427" s="267"/>
      <c r="CB427" s="267"/>
      <c r="CC427" s="267"/>
      <c r="CD427" s="267"/>
      <c r="CE427" s="267"/>
      <c r="CF427" s="267"/>
      <c r="CG427" s="267"/>
    </row>
    <row r="428" spans="70:85" ht="12.75" customHeight="1" x14ac:dyDescent="0.25">
      <c r="BR428" s="177"/>
      <c r="BS428" s="177"/>
      <c r="BT428" s="267"/>
      <c r="BU428" s="267"/>
      <c r="BV428" s="267"/>
      <c r="BW428" s="267"/>
      <c r="BX428" s="267"/>
      <c r="BY428" s="267"/>
      <c r="BZ428" s="267"/>
      <c r="CA428" s="267"/>
      <c r="CB428" s="267"/>
      <c r="CC428" s="267"/>
      <c r="CD428" s="267"/>
      <c r="CE428" s="267"/>
      <c r="CF428" s="267"/>
      <c r="CG428" s="267"/>
    </row>
    <row r="429" spans="70:85" ht="12.75" customHeight="1" x14ac:dyDescent="0.25">
      <c r="BR429" s="177"/>
      <c r="BS429" s="177"/>
      <c r="BT429" s="267"/>
      <c r="BU429" s="267"/>
      <c r="BV429" s="267"/>
      <c r="BW429" s="267"/>
      <c r="BX429" s="267"/>
      <c r="BY429" s="267"/>
      <c r="BZ429" s="267"/>
      <c r="CA429" s="267"/>
      <c r="CB429" s="267"/>
      <c r="CC429" s="267"/>
      <c r="CD429" s="267"/>
      <c r="CE429" s="267"/>
      <c r="CF429" s="267"/>
      <c r="CG429" s="267"/>
    </row>
    <row r="430" spans="70:85" ht="12.75" customHeight="1" x14ac:dyDescent="0.25">
      <c r="BR430" s="177"/>
      <c r="BS430" s="177"/>
      <c r="BT430" s="267"/>
      <c r="BU430" s="267"/>
      <c r="BV430" s="267"/>
      <c r="BW430" s="267"/>
      <c r="BX430" s="267"/>
      <c r="BY430" s="267"/>
      <c r="BZ430" s="267"/>
      <c r="CA430" s="267"/>
      <c r="CB430" s="267"/>
      <c r="CC430" s="267"/>
      <c r="CD430" s="267"/>
      <c r="CE430" s="267"/>
      <c r="CF430" s="267"/>
      <c r="CG430" s="267"/>
    </row>
    <row r="431" spans="70:85" ht="12.75" customHeight="1" x14ac:dyDescent="0.25">
      <c r="BR431" s="177"/>
      <c r="BS431" s="177"/>
      <c r="BT431" s="267"/>
      <c r="BU431" s="267"/>
      <c r="BV431" s="267"/>
      <c r="BW431" s="267"/>
      <c r="BX431" s="267"/>
      <c r="BY431" s="267"/>
      <c r="BZ431" s="267"/>
      <c r="CA431" s="267"/>
      <c r="CB431" s="267"/>
      <c r="CC431" s="267"/>
      <c r="CD431" s="267"/>
      <c r="CE431" s="267"/>
      <c r="CF431" s="267"/>
      <c r="CG431" s="267"/>
    </row>
    <row r="432" spans="70:85" ht="12.75" customHeight="1" x14ac:dyDescent="0.25">
      <c r="BR432" s="177"/>
      <c r="BS432" s="177"/>
      <c r="BT432" s="267"/>
      <c r="BU432" s="267"/>
      <c r="BV432" s="267"/>
      <c r="BW432" s="267"/>
      <c r="BX432" s="267"/>
      <c r="BY432" s="267"/>
      <c r="BZ432" s="267"/>
      <c r="CA432" s="267"/>
      <c r="CB432" s="267"/>
      <c r="CC432" s="267"/>
      <c r="CD432" s="267"/>
      <c r="CE432" s="267"/>
      <c r="CF432" s="267"/>
      <c r="CG432" s="267"/>
    </row>
    <row r="433" spans="70:85" ht="12.75" customHeight="1" x14ac:dyDescent="0.25">
      <c r="BR433" s="177"/>
      <c r="BS433" s="177"/>
      <c r="BT433" s="267"/>
      <c r="BU433" s="267"/>
      <c r="BV433" s="267"/>
      <c r="BW433" s="267"/>
      <c r="BX433" s="267"/>
      <c r="BY433" s="267"/>
      <c r="BZ433" s="267"/>
      <c r="CA433" s="267"/>
      <c r="CB433" s="267"/>
      <c r="CC433" s="267"/>
      <c r="CD433" s="267"/>
      <c r="CE433" s="267"/>
      <c r="CF433" s="267"/>
      <c r="CG433" s="267"/>
    </row>
    <row r="434" spans="70:85" ht="12.75" customHeight="1" x14ac:dyDescent="0.25">
      <c r="BR434" s="177"/>
      <c r="BS434" s="177"/>
      <c r="BT434" s="267"/>
      <c r="BU434" s="267"/>
      <c r="BV434" s="267"/>
      <c r="BW434" s="267"/>
      <c r="BX434" s="267"/>
      <c r="BY434" s="267"/>
      <c r="BZ434" s="267"/>
      <c r="CA434" s="267"/>
      <c r="CB434" s="267"/>
      <c r="CC434" s="267"/>
      <c r="CD434" s="267"/>
      <c r="CE434" s="267"/>
      <c r="CF434" s="267"/>
      <c r="CG434" s="267"/>
    </row>
    <row r="435" spans="70:85" ht="12.75" customHeight="1" x14ac:dyDescent="0.25">
      <c r="BR435" s="177"/>
      <c r="BS435" s="177"/>
      <c r="BT435" s="267"/>
      <c r="BU435" s="267"/>
      <c r="BV435" s="267"/>
      <c r="BW435" s="267"/>
      <c r="BX435" s="267"/>
      <c r="BY435" s="267"/>
      <c r="BZ435" s="267"/>
      <c r="CA435" s="267"/>
      <c r="CB435" s="267"/>
      <c r="CC435" s="267"/>
      <c r="CD435" s="267"/>
      <c r="CE435" s="267"/>
      <c r="CF435" s="267"/>
      <c r="CG435" s="267"/>
    </row>
    <row r="436" spans="70:85" ht="12.75" customHeight="1" x14ac:dyDescent="0.25">
      <c r="BR436" s="177"/>
      <c r="BS436" s="177"/>
      <c r="BT436" s="267"/>
      <c r="BU436" s="267"/>
      <c r="BV436" s="267"/>
      <c r="BW436" s="267"/>
      <c r="BX436" s="267"/>
      <c r="BY436" s="267"/>
      <c r="BZ436" s="267"/>
      <c r="CA436" s="267"/>
      <c r="CB436" s="267"/>
      <c r="CC436" s="267"/>
      <c r="CD436" s="267"/>
      <c r="CE436" s="267"/>
      <c r="CF436" s="267"/>
      <c r="CG436" s="267"/>
    </row>
    <row r="437" spans="70:85" ht="12.75" customHeight="1" x14ac:dyDescent="0.25">
      <c r="BR437" s="177"/>
      <c r="BS437" s="177"/>
      <c r="BT437" s="267"/>
      <c r="BU437" s="267"/>
      <c r="BV437" s="267"/>
      <c r="BW437" s="267"/>
      <c r="BX437" s="267"/>
      <c r="BY437" s="267"/>
      <c r="BZ437" s="267"/>
      <c r="CA437" s="267"/>
      <c r="CB437" s="267"/>
      <c r="CC437" s="267"/>
      <c r="CD437" s="267"/>
      <c r="CE437" s="267"/>
      <c r="CF437" s="267"/>
      <c r="CG437" s="267"/>
    </row>
    <row r="438" spans="70:85" ht="12.75" customHeight="1" x14ac:dyDescent="0.25">
      <c r="BR438" s="177"/>
      <c r="BS438" s="177"/>
      <c r="BT438" s="267"/>
      <c r="BU438" s="267"/>
      <c r="BV438" s="267"/>
      <c r="BW438" s="267"/>
      <c r="BX438" s="267"/>
      <c r="BY438" s="267"/>
      <c r="BZ438" s="267"/>
      <c r="CA438" s="267"/>
      <c r="CB438" s="267"/>
      <c r="CC438" s="267"/>
      <c r="CD438" s="267"/>
      <c r="CE438" s="267"/>
      <c r="CF438" s="267"/>
      <c r="CG438" s="267"/>
    </row>
    <row r="439" spans="70:85" ht="12.75" customHeight="1" x14ac:dyDescent="0.25">
      <c r="BR439" s="177"/>
      <c r="BS439" s="177"/>
      <c r="BT439" s="267"/>
      <c r="BU439" s="267"/>
      <c r="BV439" s="267"/>
      <c r="BW439" s="267"/>
      <c r="BX439" s="267"/>
      <c r="BY439" s="267"/>
      <c r="BZ439" s="267"/>
      <c r="CA439" s="267"/>
      <c r="CB439" s="267"/>
      <c r="CC439" s="267"/>
      <c r="CD439" s="267"/>
      <c r="CE439" s="267"/>
      <c r="CF439" s="267"/>
      <c r="CG439" s="267"/>
    </row>
    <row r="440" spans="70:85" ht="12.75" customHeight="1" x14ac:dyDescent="0.25">
      <c r="BR440" s="177"/>
      <c r="BS440" s="177"/>
      <c r="BT440" s="267"/>
      <c r="BU440" s="267"/>
      <c r="BV440" s="267"/>
      <c r="BW440" s="267"/>
      <c r="BX440" s="267"/>
      <c r="BY440" s="267"/>
      <c r="BZ440" s="267"/>
      <c r="CA440" s="267"/>
      <c r="CB440" s="267"/>
      <c r="CC440" s="267"/>
      <c r="CD440" s="267"/>
      <c r="CE440" s="267"/>
      <c r="CF440" s="267"/>
      <c r="CG440" s="267"/>
    </row>
    <row r="441" spans="70:85" ht="12.75" customHeight="1" x14ac:dyDescent="0.25">
      <c r="BR441" s="177"/>
      <c r="BS441" s="177"/>
      <c r="BT441" s="267"/>
      <c r="BU441" s="267"/>
      <c r="BV441" s="267"/>
      <c r="BW441" s="267"/>
      <c r="BX441" s="267"/>
      <c r="BY441" s="267"/>
      <c r="BZ441" s="267"/>
      <c r="CA441" s="267"/>
      <c r="CB441" s="267"/>
      <c r="CC441" s="267"/>
      <c r="CD441" s="267"/>
      <c r="CE441" s="267"/>
      <c r="CF441" s="267"/>
      <c r="CG441" s="267"/>
    </row>
    <row r="442" spans="70:85" ht="12.75" customHeight="1" x14ac:dyDescent="0.25">
      <c r="BR442" s="177"/>
      <c r="BS442" s="177"/>
      <c r="BT442" s="267"/>
      <c r="BU442" s="267"/>
      <c r="BV442" s="267"/>
      <c r="BW442" s="267"/>
      <c r="BX442" s="267"/>
      <c r="BY442" s="267"/>
      <c r="BZ442" s="267"/>
      <c r="CA442" s="267"/>
      <c r="CB442" s="267"/>
      <c r="CC442" s="267"/>
      <c r="CD442" s="267"/>
      <c r="CE442" s="267"/>
      <c r="CF442" s="267"/>
      <c r="CG442" s="267"/>
    </row>
    <row r="443" spans="70:85" ht="12.75" customHeight="1" x14ac:dyDescent="0.25">
      <c r="BR443" s="177"/>
      <c r="BS443" s="177"/>
      <c r="BT443" s="267"/>
      <c r="BU443" s="267"/>
      <c r="BV443" s="267"/>
      <c r="BW443" s="267"/>
      <c r="BX443" s="267"/>
      <c r="BY443" s="267"/>
      <c r="BZ443" s="267"/>
      <c r="CA443" s="267"/>
      <c r="CB443" s="267"/>
      <c r="CC443" s="267"/>
      <c r="CD443" s="267"/>
      <c r="CE443" s="267"/>
      <c r="CF443" s="267"/>
      <c r="CG443" s="267"/>
    </row>
    <row r="444" spans="70:85" ht="12.75" customHeight="1" x14ac:dyDescent="0.25">
      <c r="BR444" s="177"/>
      <c r="BS444" s="177"/>
      <c r="BT444" s="267"/>
      <c r="BU444" s="267"/>
      <c r="BV444" s="267"/>
      <c r="BW444" s="267"/>
      <c r="BX444" s="267"/>
      <c r="BY444" s="267"/>
      <c r="BZ444" s="267"/>
      <c r="CA444" s="267"/>
      <c r="CB444" s="267"/>
      <c r="CC444" s="267"/>
      <c r="CD444" s="267"/>
      <c r="CE444" s="267"/>
      <c r="CF444" s="267"/>
      <c r="CG444" s="267"/>
    </row>
    <row r="445" spans="70:85" ht="12.75" customHeight="1" x14ac:dyDescent="0.25">
      <c r="BR445" s="177"/>
      <c r="BS445" s="177"/>
      <c r="BT445" s="267"/>
      <c r="BU445" s="267"/>
      <c r="BV445" s="267"/>
      <c r="BW445" s="267"/>
      <c r="BX445" s="267"/>
      <c r="BY445" s="267"/>
      <c r="BZ445" s="267"/>
      <c r="CA445" s="267"/>
      <c r="CB445" s="267"/>
      <c r="CC445" s="267"/>
      <c r="CD445" s="267"/>
      <c r="CE445" s="267"/>
      <c r="CF445" s="267"/>
      <c r="CG445" s="267"/>
    </row>
    <row r="446" spans="70:85" ht="12.75" customHeight="1" x14ac:dyDescent="0.25">
      <c r="BR446" s="177"/>
      <c r="BS446" s="177"/>
      <c r="BT446" s="267"/>
      <c r="BU446" s="267"/>
      <c r="BV446" s="267"/>
      <c r="BW446" s="267"/>
      <c r="BX446" s="267"/>
      <c r="BY446" s="267"/>
      <c r="BZ446" s="267"/>
      <c r="CA446" s="267"/>
      <c r="CB446" s="267"/>
      <c r="CC446" s="267"/>
      <c r="CD446" s="267"/>
      <c r="CE446" s="267"/>
      <c r="CF446" s="267"/>
      <c r="CG446" s="267"/>
    </row>
    <row r="447" spans="70:85" ht="12.75" customHeight="1" x14ac:dyDescent="0.25">
      <c r="BR447" s="177"/>
      <c r="BS447" s="177"/>
      <c r="BT447" s="267"/>
      <c r="BU447" s="267"/>
      <c r="BV447" s="267"/>
      <c r="BW447" s="267"/>
      <c r="BX447" s="267"/>
      <c r="BY447" s="267"/>
      <c r="BZ447" s="267"/>
      <c r="CA447" s="267"/>
      <c r="CB447" s="267"/>
      <c r="CC447" s="267"/>
      <c r="CD447" s="267"/>
      <c r="CE447" s="267"/>
      <c r="CF447" s="267"/>
      <c r="CG447" s="267"/>
    </row>
    <row r="448" spans="70:85" ht="12.75" customHeight="1" x14ac:dyDescent="0.25">
      <c r="BR448" s="177"/>
      <c r="BS448" s="177"/>
      <c r="BT448" s="267"/>
      <c r="BU448" s="267"/>
      <c r="BV448" s="267"/>
      <c r="BW448" s="267"/>
      <c r="BX448" s="267"/>
      <c r="BY448" s="267"/>
      <c r="BZ448" s="267"/>
      <c r="CA448" s="267"/>
      <c r="CB448" s="267"/>
      <c r="CC448" s="267"/>
      <c r="CD448" s="267"/>
      <c r="CE448" s="267"/>
      <c r="CF448" s="267"/>
      <c r="CG448" s="267"/>
    </row>
    <row r="449" spans="70:85" ht="12.75" customHeight="1" x14ac:dyDescent="0.25">
      <c r="BR449" s="177"/>
      <c r="BS449" s="177"/>
      <c r="BT449" s="267"/>
      <c r="BU449" s="267"/>
      <c r="BV449" s="267"/>
      <c r="BW449" s="267"/>
      <c r="BX449" s="267"/>
      <c r="BY449" s="267"/>
      <c r="BZ449" s="267"/>
      <c r="CA449" s="267"/>
      <c r="CB449" s="267"/>
      <c r="CC449" s="267"/>
      <c r="CD449" s="267"/>
      <c r="CE449" s="267"/>
      <c r="CF449" s="267"/>
      <c r="CG449" s="267"/>
    </row>
    <row r="450" spans="70:85" ht="12.75" customHeight="1" x14ac:dyDescent="0.25">
      <c r="BR450" s="177"/>
      <c r="BS450" s="177"/>
      <c r="BT450" s="267"/>
      <c r="BU450" s="267"/>
      <c r="BV450" s="267"/>
      <c r="BW450" s="267"/>
      <c r="BX450" s="267"/>
      <c r="BY450" s="267"/>
      <c r="BZ450" s="267"/>
      <c r="CA450" s="267"/>
      <c r="CB450" s="267"/>
      <c r="CC450" s="267"/>
      <c r="CD450" s="267"/>
      <c r="CE450" s="267"/>
      <c r="CF450" s="267"/>
      <c r="CG450" s="267"/>
    </row>
    <row r="451" spans="70:85" ht="12.75" customHeight="1" x14ac:dyDescent="0.25">
      <c r="BR451" s="177"/>
      <c r="BS451" s="177"/>
      <c r="BT451" s="267"/>
      <c r="BU451" s="267"/>
      <c r="BV451" s="267"/>
      <c r="BW451" s="267"/>
      <c r="BX451" s="267"/>
      <c r="BY451" s="267"/>
      <c r="BZ451" s="267"/>
      <c r="CA451" s="267"/>
      <c r="CB451" s="267"/>
      <c r="CC451" s="267"/>
      <c r="CD451" s="267"/>
      <c r="CE451" s="267"/>
      <c r="CF451" s="267"/>
      <c r="CG451" s="267"/>
    </row>
    <row r="452" spans="70:85" ht="12.75" customHeight="1" x14ac:dyDescent="0.25">
      <c r="BR452" s="177"/>
      <c r="BS452" s="177"/>
      <c r="BT452" s="267"/>
      <c r="BU452" s="267"/>
      <c r="BV452" s="267"/>
      <c r="BW452" s="267"/>
      <c r="BX452" s="267"/>
      <c r="BY452" s="267"/>
      <c r="BZ452" s="267"/>
      <c r="CA452" s="267"/>
      <c r="CB452" s="267"/>
      <c r="CC452" s="267"/>
      <c r="CD452" s="267"/>
      <c r="CE452" s="267"/>
      <c r="CF452" s="267"/>
      <c r="CG452" s="267"/>
    </row>
    <row r="453" spans="70:85" ht="12.75" customHeight="1" x14ac:dyDescent="0.25">
      <c r="BR453" s="177"/>
      <c r="BS453" s="177"/>
      <c r="BT453" s="267"/>
      <c r="BU453" s="267"/>
      <c r="BV453" s="267"/>
      <c r="BW453" s="267"/>
      <c r="BX453" s="267"/>
      <c r="BY453" s="267"/>
      <c r="BZ453" s="267"/>
      <c r="CA453" s="267"/>
      <c r="CB453" s="267"/>
      <c r="CC453" s="267"/>
      <c r="CD453" s="267"/>
      <c r="CE453" s="267"/>
      <c r="CF453" s="267"/>
      <c r="CG453" s="267"/>
    </row>
    <row r="454" spans="70:85" ht="12.75" customHeight="1" x14ac:dyDescent="0.25">
      <c r="BR454" s="177"/>
      <c r="BS454" s="177"/>
      <c r="BT454" s="267"/>
      <c r="BU454" s="267"/>
      <c r="BV454" s="267"/>
      <c r="BW454" s="267"/>
      <c r="BX454" s="267"/>
      <c r="BY454" s="267"/>
      <c r="BZ454" s="267"/>
      <c r="CA454" s="267"/>
      <c r="CB454" s="267"/>
      <c r="CC454" s="267"/>
      <c r="CD454" s="267"/>
      <c r="CE454" s="267"/>
      <c r="CF454" s="267"/>
      <c r="CG454" s="267"/>
    </row>
    <row r="455" spans="70:85" ht="12.75" customHeight="1" x14ac:dyDescent="0.25">
      <c r="BR455" s="177"/>
      <c r="BS455" s="177"/>
      <c r="BT455" s="267"/>
      <c r="BU455" s="267"/>
      <c r="BV455" s="267"/>
      <c r="BW455" s="267"/>
      <c r="BX455" s="267"/>
      <c r="BY455" s="267"/>
      <c r="BZ455" s="267"/>
      <c r="CA455" s="267"/>
      <c r="CB455" s="267"/>
      <c r="CC455" s="267"/>
      <c r="CD455" s="267"/>
      <c r="CE455" s="267"/>
      <c r="CF455" s="267"/>
      <c r="CG455" s="267"/>
    </row>
    <row r="456" spans="70:85" ht="12.75" customHeight="1" x14ac:dyDescent="0.25">
      <c r="BR456" s="177"/>
      <c r="BS456" s="177"/>
      <c r="BT456" s="267"/>
      <c r="BU456" s="267"/>
      <c r="BV456" s="267"/>
      <c r="BW456" s="267"/>
      <c r="BX456" s="267"/>
      <c r="BY456" s="267"/>
      <c r="BZ456" s="267"/>
      <c r="CA456" s="267"/>
      <c r="CB456" s="267"/>
      <c r="CC456" s="267"/>
      <c r="CD456" s="267"/>
      <c r="CE456" s="267"/>
      <c r="CF456" s="267"/>
      <c r="CG456" s="267"/>
    </row>
    <row r="457" spans="70:85" ht="12.75" customHeight="1" x14ac:dyDescent="0.25">
      <c r="BR457" s="177"/>
      <c r="BS457" s="177"/>
      <c r="BT457" s="267"/>
      <c r="BU457" s="267"/>
      <c r="BV457" s="267"/>
      <c r="BW457" s="267"/>
      <c r="BX457" s="267"/>
      <c r="BY457" s="267"/>
      <c r="BZ457" s="267"/>
      <c r="CA457" s="267"/>
      <c r="CB457" s="267"/>
      <c r="CC457" s="267"/>
      <c r="CD457" s="267"/>
      <c r="CE457" s="267"/>
      <c r="CF457" s="267"/>
      <c r="CG457" s="267"/>
    </row>
    <row r="458" spans="70:85" ht="12.75" customHeight="1" x14ac:dyDescent="0.25">
      <c r="BR458" s="177"/>
      <c r="BS458" s="177"/>
      <c r="BT458" s="267"/>
      <c r="BU458" s="267"/>
      <c r="BV458" s="267"/>
      <c r="BW458" s="267"/>
      <c r="BX458" s="267"/>
      <c r="BY458" s="267"/>
      <c r="BZ458" s="267"/>
      <c r="CA458" s="267"/>
      <c r="CB458" s="267"/>
      <c r="CC458" s="267"/>
      <c r="CD458" s="267"/>
      <c r="CE458" s="267"/>
      <c r="CF458" s="267"/>
      <c r="CG458" s="267"/>
    </row>
    <row r="459" spans="70:85" ht="12.75" customHeight="1" x14ac:dyDescent="0.25">
      <c r="BR459" s="177"/>
      <c r="BS459" s="177"/>
      <c r="BT459" s="267"/>
      <c r="BU459" s="267"/>
      <c r="BV459" s="267"/>
      <c r="BW459" s="267"/>
      <c r="BX459" s="267"/>
      <c r="BY459" s="267"/>
      <c r="BZ459" s="267"/>
      <c r="CA459" s="267"/>
      <c r="CB459" s="267"/>
      <c r="CC459" s="267"/>
      <c r="CD459" s="267"/>
      <c r="CE459" s="267"/>
      <c r="CF459" s="267"/>
      <c r="CG459" s="267"/>
    </row>
    <row r="460" spans="70:85" ht="12.75" customHeight="1" x14ac:dyDescent="0.25">
      <c r="BR460" s="177"/>
      <c r="BS460" s="177"/>
      <c r="BT460" s="267"/>
      <c r="BU460" s="267"/>
      <c r="BV460" s="267"/>
      <c r="BW460" s="267"/>
      <c r="BX460" s="267"/>
      <c r="BY460" s="267"/>
      <c r="BZ460" s="267"/>
      <c r="CA460" s="267"/>
      <c r="CB460" s="267"/>
      <c r="CC460" s="267"/>
      <c r="CD460" s="267"/>
      <c r="CE460" s="267"/>
      <c r="CF460" s="267"/>
      <c r="CG460" s="267"/>
    </row>
    <row r="461" spans="70:85" ht="12.75" customHeight="1" x14ac:dyDescent="0.25">
      <c r="BR461" s="177"/>
      <c r="BS461" s="177"/>
      <c r="BT461" s="267"/>
      <c r="BU461" s="267"/>
      <c r="BV461" s="267"/>
      <c r="BW461" s="267"/>
      <c r="BX461" s="267"/>
      <c r="BY461" s="267"/>
      <c r="BZ461" s="267"/>
      <c r="CA461" s="267"/>
      <c r="CB461" s="267"/>
      <c r="CC461" s="267"/>
      <c r="CD461" s="267"/>
      <c r="CE461" s="267"/>
      <c r="CF461" s="267"/>
      <c r="CG461" s="267"/>
    </row>
    <row r="462" spans="70:85" ht="12.75" customHeight="1" x14ac:dyDescent="0.25">
      <c r="BR462" s="177"/>
      <c r="BS462" s="177"/>
      <c r="BT462" s="267"/>
      <c r="BU462" s="267"/>
      <c r="BV462" s="267"/>
      <c r="BW462" s="267"/>
      <c r="BX462" s="267"/>
      <c r="BY462" s="267"/>
      <c r="BZ462" s="267"/>
      <c r="CA462" s="267"/>
      <c r="CB462" s="267"/>
      <c r="CC462" s="267"/>
      <c r="CD462" s="267"/>
      <c r="CE462" s="267"/>
      <c r="CF462" s="267"/>
      <c r="CG462" s="267"/>
    </row>
    <row r="463" spans="70:85" ht="12.75" customHeight="1" x14ac:dyDescent="0.25">
      <c r="BR463" s="177"/>
      <c r="BS463" s="177"/>
      <c r="BT463" s="267"/>
      <c r="BU463" s="267"/>
      <c r="BV463" s="267"/>
      <c r="BW463" s="267"/>
      <c r="BX463" s="267"/>
      <c r="BY463" s="267"/>
      <c r="BZ463" s="267"/>
      <c r="CA463" s="267"/>
      <c r="CB463" s="267"/>
      <c r="CC463" s="267"/>
      <c r="CD463" s="267"/>
      <c r="CE463" s="267"/>
      <c r="CF463" s="267"/>
      <c r="CG463" s="267"/>
    </row>
    <row r="464" spans="70:85" ht="12.75" customHeight="1" x14ac:dyDescent="0.25">
      <c r="BR464" s="177"/>
      <c r="BS464" s="177"/>
      <c r="BT464" s="267"/>
      <c r="BU464" s="267"/>
      <c r="BV464" s="267"/>
      <c r="BW464" s="267"/>
      <c r="BX464" s="267"/>
      <c r="BY464" s="267"/>
      <c r="BZ464" s="267"/>
      <c r="CA464" s="267"/>
      <c r="CB464" s="267"/>
      <c r="CC464" s="267"/>
      <c r="CD464" s="267"/>
      <c r="CE464" s="267"/>
      <c r="CF464" s="267"/>
      <c r="CG464" s="267"/>
    </row>
    <row r="465" spans="70:85" ht="12.75" customHeight="1" x14ac:dyDescent="0.25">
      <c r="BR465" s="177"/>
      <c r="BS465" s="177"/>
      <c r="BT465" s="267"/>
      <c r="BU465" s="267"/>
      <c r="BV465" s="267"/>
      <c r="BW465" s="267"/>
      <c r="BX465" s="267"/>
      <c r="BY465" s="267"/>
      <c r="BZ465" s="267"/>
      <c r="CA465" s="267"/>
      <c r="CB465" s="267"/>
      <c r="CC465" s="267"/>
      <c r="CD465" s="267"/>
      <c r="CE465" s="267"/>
      <c r="CF465" s="267"/>
      <c r="CG465" s="267"/>
    </row>
    <row r="466" spans="70:85" ht="12.75" customHeight="1" x14ac:dyDescent="0.25">
      <c r="BR466" s="177"/>
      <c r="BS466" s="177"/>
      <c r="BT466" s="267"/>
      <c r="BU466" s="267"/>
      <c r="BV466" s="267"/>
      <c r="BW466" s="267"/>
      <c r="BX466" s="267"/>
      <c r="BY466" s="267"/>
      <c r="BZ466" s="267"/>
      <c r="CA466" s="267"/>
      <c r="CB466" s="267"/>
      <c r="CC466" s="267"/>
      <c r="CD466" s="267"/>
      <c r="CE466" s="267"/>
      <c r="CF466" s="267"/>
      <c r="CG466" s="267"/>
    </row>
    <row r="467" spans="70:85" ht="12.75" customHeight="1" x14ac:dyDescent="0.25">
      <c r="BR467" s="177"/>
      <c r="BS467" s="177"/>
      <c r="BT467" s="267"/>
      <c r="BU467" s="267"/>
      <c r="BV467" s="267"/>
      <c r="BW467" s="267"/>
      <c r="BX467" s="267"/>
      <c r="BY467" s="267"/>
      <c r="BZ467" s="267"/>
      <c r="CA467" s="267"/>
      <c r="CB467" s="267"/>
      <c r="CC467" s="267"/>
      <c r="CD467" s="267"/>
      <c r="CE467" s="267"/>
      <c r="CF467" s="267"/>
      <c r="CG467" s="267"/>
    </row>
    <row r="468" spans="70:85" ht="12.75" customHeight="1" x14ac:dyDescent="0.25">
      <c r="BR468" s="177"/>
      <c r="BS468" s="177"/>
      <c r="BT468" s="267"/>
      <c r="BU468" s="267"/>
      <c r="BV468" s="267"/>
      <c r="BW468" s="267"/>
      <c r="BX468" s="267"/>
      <c r="BY468" s="267"/>
      <c r="BZ468" s="267"/>
      <c r="CA468" s="267"/>
      <c r="CB468" s="267"/>
      <c r="CC468" s="267"/>
      <c r="CD468" s="267"/>
      <c r="CE468" s="267"/>
      <c r="CF468" s="267"/>
      <c r="CG468" s="267"/>
    </row>
    <row r="469" spans="70:85" ht="12.75" customHeight="1" x14ac:dyDescent="0.25">
      <c r="BR469" s="177"/>
      <c r="BS469" s="177"/>
      <c r="BT469" s="267"/>
      <c r="BU469" s="267"/>
      <c r="BV469" s="267"/>
      <c r="BW469" s="267"/>
      <c r="BX469" s="267"/>
      <c r="BY469" s="267"/>
      <c r="BZ469" s="267"/>
      <c r="CA469" s="267"/>
      <c r="CB469" s="267"/>
      <c r="CC469" s="267"/>
      <c r="CD469" s="267"/>
      <c r="CE469" s="267"/>
      <c r="CF469" s="267"/>
      <c r="CG469" s="267"/>
    </row>
    <row r="470" spans="70:85" ht="12.75" customHeight="1" x14ac:dyDescent="0.25">
      <c r="BR470" s="177"/>
      <c r="BS470" s="177"/>
      <c r="BT470" s="267"/>
      <c r="BU470" s="267"/>
      <c r="BV470" s="267"/>
      <c r="BW470" s="267"/>
      <c r="BX470" s="267"/>
      <c r="BY470" s="267"/>
      <c r="BZ470" s="267"/>
      <c r="CA470" s="267"/>
      <c r="CB470" s="267"/>
      <c r="CC470" s="267"/>
      <c r="CD470" s="267"/>
      <c r="CE470" s="267"/>
      <c r="CF470" s="267"/>
      <c r="CG470" s="267"/>
    </row>
    <row r="471" spans="70:85" ht="12.75" customHeight="1" x14ac:dyDescent="0.25">
      <c r="BR471" s="177"/>
      <c r="BS471" s="177"/>
      <c r="BT471" s="267"/>
      <c r="BU471" s="267"/>
      <c r="BV471" s="267"/>
      <c r="BW471" s="267"/>
      <c r="BX471" s="267"/>
      <c r="BY471" s="267"/>
      <c r="BZ471" s="267"/>
      <c r="CA471" s="267"/>
      <c r="CB471" s="267"/>
      <c r="CC471" s="267"/>
      <c r="CD471" s="267"/>
      <c r="CE471" s="267"/>
      <c r="CF471" s="267"/>
      <c r="CG471" s="267"/>
    </row>
    <row r="472" spans="70:85" ht="12.75" customHeight="1" x14ac:dyDescent="0.25">
      <c r="BR472" s="177"/>
      <c r="BS472" s="177"/>
      <c r="BT472" s="267"/>
      <c r="BU472" s="267"/>
      <c r="BV472" s="267"/>
      <c r="BW472" s="267"/>
      <c r="BX472" s="267"/>
      <c r="BY472" s="267"/>
      <c r="BZ472" s="267"/>
      <c r="CA472" s="267"/>
      <c r="CB472" s="267"/>
      <c r="CC472" s="267"/>
      <c r="CD472" s="267"/>
      <c r="CE472" s="267"/>
      <c r="CF472" s="267"/>
      <c r="CG472" s="267"/>
    </row>
    <row r="473" spans="70:85" ht="12.75" customHeight="1" x14ac:dyDescent="0.25">
      <c r="BR473" s="177"/>
      <c r="BS473" s="177"/>
      <c r="BT473" s="267"/>
      <c r="BU473" s="267"/>
      <c r="BV473" s="267"/>
      <c r="BW473" s="267"/>
      <c r="BX473" s="267"/>
      <c r="BY473" s="267"/>
      <c r="BZ473" s="267"/>
      <c r="CA473" s="267"/>
      <c r="CB473" s="267"/>
      <c r="CC473" s="267"/>
      <c r="CD473" s="267"/>
      <c r="CE473" s="267"/>
      <c r="CF473" s="267"/>
      <c r="CG473" s="267"/>
    </row>
    <row r="474" spans="70:85" ht="12.75" customHeight="1" x14ac:dyDescent="0.25">
      <c r="BR474" s="177"/>
      <c r="BS474" s="177"/>
      <c r="BT474" s="267"/>
      <c r="BU474" s="267"/>
      <c r="BV474" s="267"/>
      <c r="BW474" s="267"/>
      <c r="BX474" s="267"/>
      <c r="BY474" s="267"/>
      <c r="BZ474" s="267"/>
      <c r="CA474" s="267"/>
      <c r="CB474" s="267"/>
      <c r="CC474" s="267"/>
      <c r="CD474" s="267"/>
      <c r="CE474" s="267"/>
      <c r="CF474" s="267"/>
      <c r="CG474" s="267"/>
    </row>
    <row r="475" spans="70:85" ht="12.75" customHeight="1" x14ac:dyDescent="0.25">
      <c r="BR475" s="177"/>
      <c r="BS475" s="177"/>
      <c r="BT475" s="267"/>
      <c r="BU475" s="267"/>
      <c r="BV475" s="267"/>
      <c r="BW475" s="267"/>
      <c r="BX475" s="267"/>
      <c r="BY475" s="267"/>
      <c r="BZ475" s="267"/>
      <c r="CA475" s="267"/>
      <c r="CB475" s="267"/>
      <c r="CC475" s="267"/>
      <c r="CD475" s="267"/>
      <c r="CE475" s="267"/>
      <c r="CF475" s="267"/>
      <c r="CG475" s="267"/>
    </row>
    <row r="476" spans="70:85" ht="12.75" customHeight="1" x14ac:dyDescent="0.25">
      <c r="BR476" s="177"/>
      <c r="BS476" s="177"/>
      <c r="BT476" s="267"/>
      <c r="BU476" s="267"/>
      <c r="BV476" s="267"/>
      <c r="BW476" s="267"/>
      <c r="BX476" s="267"/>
      <c r="BY476" s="267"/>
      <c r="BZ476" s="267"/>
      <c r="CA476" s="267"/>
      <c r="CB476" s="267"/>
      <c r="CC476" s="267"/>
      <c r="CD476" s="267"/>
      <c r="CE476" s="267"/>
      <c r="CF476" s="267"/>
      <c r="CG476" s="267"/>
    </row>
    <row r="477" spans="70:85" ht="12.75" customHeight="1" x14ac:dyDescent="0.25">
      <c r="BR477" s="177"/>
      <c r="BS477" s="177"/>
      <c r="BT477" s="267"/>
      <c r="BU477" s="267"/>
      <c r="BV477" s="267"/>
      <c r="BW477" s="267"/>
      <c r="BX477" s="267"/>
      <c r="BY477" s="267"/>
      <c r="BZ477" s="267"/>
      <c r="CA477" s="267"/>
      <c r="CB477" s="267"/>
      <c r="CC477" s="267"/>
      <c r="CD477" s="267"/>
      <c r="CE477" s="267"/>
      <c r="CF477" s="267"/>
      <c r="CG477" s="267"/>
    </row>
    <row r="478" spans="70:85" ht="12.75" customHeight="1" x14ac:dyDescent="0.25">
      <c r="BR478" s="177"/>
      <c r="BS478" s="177"/>
      <c r="BT478" s="267"/>
      <c r="BU478" s="267"/>
      <c r="BV478" s="267"/>
      <c r="BW478" s="267"/>
      <c r="BX478" s="267"/>
      <c r="BY478" s="267"/>
      <c r="BZ478" s="267"/>
      <c r="CA478" s="267"/>
      <c r="CB478" s="267"/>
      <c r="CC478" s="267"/>
      <c r="CD478" s="267"/>
      <c r="CE478" s="267"/>
      <c r="CF478" s="267"/>
      <c r="CG478" s="267"/>
    </row>
    <row r="479" spans="70:85" ht="12.75" customHeight="1" x14ac:dyDescent="0.25">
      <c r="BR479" s="177"/>
      <c r="BS479" s="177"/>
      <c r="BT479" s="267"/>
      <c r="BU479" s="267"/>
      <c r="BV479" s="267"/>
      <c r="BW479" s="267"/>
      <c r="BX479" s="267"/>
      <c r="BY479" s="267"/>
      <c r="BZ479" s="267"/>
      <c r="CA479" s="267"/>
      <c r="CB479" s="267"/>
      <c r="CC479" s="267"/>
      <c r="CD479" s="267"/>
      <c r="CE479" s="267"/>
      <c r="CF479" s="267"/>
      <c r="CG479" s="267"/>
    </row>
    <row r="480" spans="70:85" ht="12.75" customHeight="1" x14ac:dyDescent="0.25">
      <c r="BR480" s="177"/>
      <c r="BS480" s="177"/>
      <c r="BT480" s="267"/>
      <c r="BU480" s="267"/>
      <c r="BV480" s="267"/>
      <c r="BW480" s="267"/>
      <c r="BX480" s="267"/>
      <c r="BY480" s="267"/>
      <c r="BZ480" s="267"/>
      <c r="CA480" s="267"/>
      <c r="CB480" s="267"/>
      <c r="CC480" s="267"/>
      <c r="CD480" s="267"/>
      <c r="CE480" s="267"/>
      <c r="CF480" s="267"/>
      <c r="CG480" s="267"/>
    </row>
    <row r="481" spans="70:85" ht="12.75" customHeight="1" x14ac:dyDescent="0.25">
      <c r="BR481" s="177"/>
      <c r="BS481" s="177"/>
      <c r="BT481" s="267"/>
      <c r="BU481" s="267"/>
      <c r="BV481" s="267"/>
      <c r="BW481" s="267"/>
      <c r="BX481" s="267"/>
      <c r="BY481" s="267"/>
      <c r="BZ481" s="267"/>
      <c r="CA481" s="267"/>
      <c r="CB481" s="267"/>
      <c r="CC481" s="267"/>
      <c r="CD481" s="267"/>
      <c r="CE481" s="267"/>
      <c r="CF481" s="267"/>
      <c r="CG481" s="267"/>
    </row>
    <row r="482" spans="70:85" ht="12.75" customHeight="1" x14ac:dyDescent="0.25">
      <c r="BR482" s="177"/>
      <c r="BS482" s="177"/>
      <c r="BT482" s="267"/>
      <c r="BU482" s="267"/>
      <c r="BV482" s="267"/>
      <c r="BW482" s="267"/>
      <c r="BX482" s="267"/>
      <c r="BY482" s="267"/>
      <c r="BZ482" s="267"/>
      <c r="CA482" s="267"/>
      <c r="CB482" s="267"/>
      <c r="CC482" s="267"/>
      <c r="CD482" s="267"/>
      <c r="CE482" s="267"/>
      <c r="CF482" s="267"/>
      <c r="CG482" s="267"/>
    </row>
    <row r="483" spans="70:85" ht="12.75" customHeight="1" x14ac:dyDescent="0.25">
      <c r="BR483" s="177"/>
      <c r="BS483" s="177"/>
      <c r="BT483" s="267"/>
      <c r="BU483" s="267"/>
      <c r="BV483" s="267"/>
      <c r="BW483" s="267"/>
      <c r="BX483" s="267"/>
      <c r="BY483" s="267"/>
      <c r="BZ483" s="267"/>
      <c r="CA483" s="267"/>
      <c r="CB483" s="267"/>
      <c r="CC483" s="267"/>
      <c r="CD483" s="267"/>
      <c r="CE483" s="267"/>
      <c r="CF483" s="267"/>
      <c r="CG483" s="267"/>
    </row>
    <row r="484" spans="70:85" ht="12.75" customHeight="1" x14ac:dyDescent="0.25">
      <c r="BR484" s="177"/>
      <c r="BS484" s="177"/>
      <c r="BT484" s="267"/>
      <c r="BU484" s="267"/>
      <c r="BV484" s="267"/>
      <c r="BW484" s="267"/>
      <c r="BX484" s="267"/>
      <c r="BY484" s="267"/>
      <c r="BZ484" s="267"/>
      <c r="CA484" s="267"/>
      <c r="CB484" s="267"/>
      <c r="CC484" s="267"/>
      <c r="CD484" s="267"/>
      <c r="CE484" s="267"/>
      <c r="CF484" s="267"/>
      <c r="CG484" s="267"/>
    </row>
    <row r="485" spans="70:85" ht="12.75" customHeight="1" x14ac:dyDescent="0.25">
      <c r="BR485" s="177"/>
      <c r="BS485" s="177"/>
      <c r="BT485" s="267"/>
      <c r="BU485" s="267"/>
      <c r="BV485" s="267"/>
      <c r="BW485" s="267"/>
      <c r="BX485" s="267"/>
      <c r="BY485" s="267"/>
      <c r="BZ485" s="267"/>
      <c r="CA485" s="267"/>
      <c r="CB485" s="267"/>
      <c r="CC485" s="267"/>
      <c r="CD485" s="267"/>
      <c r="CE485" s="267"/>
      <c r="CF485" s="267"/>
      <c r="CG485" s="267"/>
    </row>
    <row r="486" spans="70:85" ht="12.75" customHeight="1" x14ac:dyDescent="0.25">
      <c r="BR486" s="177"/>
      <c r="BS486" s="177"/>
      <c r="BT486" s="267"/>
      <c r="BU486" s="267"/>
      <c r="BV486" s="267"/>
      <c r="BW486" s="267"/>
      <c r="BX486" s="267"/>
      <c r="BY486" s="267"/>
      <c r="BZ486" s="267"/>
      <c r="CA486" s="267"/>
      <c r="CB486" s="267"/>
      <c r="CC486" s="267"/>
      <c r="CD486" s="267"/>
      <c r="CE486" s="267"/>
      <c r="CF486" s="267"/>
      <c r="CG486" s="267"/>
    </row>
    <row r="487" spans="70:85" ht="12.75" customHeight="1" x14ac:dyDescent="0.25">
      <c r="BR487" s="177"/>
      <c r="BS487" s="177"/>
      <c r="BT487" s="267"/>
      <c r="BU487" s="267"/>
      <c r="BV487" s="267"/>
      <c r="BW487" s="267"/>
      <c r="BX487" s="267"/>
      <c r="BY487" s="267"/>
      <c r="BZ487" s="267"/>
      <c r="CA487" s="267"/>
      <c r="CB487" s="267"/>
      <c r="CC487" s="267"/>
      <c r="CD487" s="267"/>
      <c r="CE487" s="267"/>
      <c r="CF487" s="267"/>
      <c r="CG487" s="267"/>
    </row>
    <row r="488" spans="70:85" ht="12.75" customHeight="1" x14ac:dyDescent="0.25">
      <c r="BR488" s="177"/>
      <c r="BS488" s="177"/>
      <c r="BT488" s="267"/>
      <c r="BU488" s="267"/>
      <c r="BV488" s="267"/>
      <c r="BW488" s="267"/>
      <c r="BX488" s="267"/>
      <c r="BY488" s="267"/>
      <c r="BZ488" s="267"/>
      <c r="CA488" s="267"/>
      <c r="CB488" s="267"/>
      <c r="CC488" s="267"/>
      <c r="CD488" s="267"/>
      <c r="CE488" s="267"/>
      <c r="CF488" s="267"/>
      <c r="CG488" s="267"/>
    </row>
    <row r="489" spans="70:85" ht="12.75" customHeight="1" x14ac:dyDescent="0.25">
      <c r="BR489" s="177"/>
      <c r="BS489" s="177"/>
      <c r="BT489" s="267"/>
      <c r="BU489" s="267"/>
      <c r="BV489" s="267"/>
      <c r="BW489" s="267"/>
      <c r="BX489" s="267"/>
      <c r="BY489" s="267"/>
      <c r="BZ489" s="267"/>
      <c r="CA489" s="267"/>
      <c r="CB489" s="267"/>
      <c r="CC489" s="267"/>
      <c r="CD489" s="267"/>
      <c r="CE489" s="267"/>
      <c r="CF489" s="267"/>
      <c r="CG489" s="267"/>
    </row>
    <row r="490" spans="70:85" ht="12.75" customHeight="1" x14ac:dyDescent="0.25">
      <c r="BR490" s="177"/>
      <c r="BS490" s="177"/>
      <c r="BT490" s="267"/>
      <c r="BU490" s="267"/>
      <c r="BV490" s="267"/>
      <c r="BW490" s="267"/>
      <c r="BX490" s="267"/>
      <c r="BY490" s="267"/>
      <c r="BZ490" s="267"/>
      <c r="CA490" s="267"/>
      <c r="CB490" s="267"/>
      <c r="CC490" s="267"/>
      <c r="CD490" s="267"/>
      <c r="CE490" s="267"/>
      <c r="CF490" s="267"/>
      <c r="CG490" s="267"/>
    </row>
    <row r="491" spans="70:85" ht="12.75" customHeight="1" x14ac:dyDescent="0.25">
      <c r="BR491" s="177"/>
      <c r="BS491" s="177"/>
      <c r="BT491" s="267"/>
      <c r="BU491" s="267"/>
      <c r="BV491" s="267"/>
      <c r="BW491" s="267"/>
      <c r="BX491" s="267"/>
      <c r="BY491" s="267"/>
      <c r="BZ491" s="267"/>
      <c r="CA491" s="267"/>
      <c r="CB491" s="267"/>
      <c r="CC491" s="267"/>
      <c r="CD491" s="267"/>
      <c r="CE491" s="267"/>
      <c r="CF491" s="267"/>
      <c r="CG491" s="267"/>
    </row>
    <row r="492" spans="70:85" ht="12.75" customHeight="1" x14ac:dyDescent="0.25">
      <c r="BR492" s="177"/>
      <c r="BS492" s="177"/>
      <c r="BT492" s="267"/>
      <c r="BU492" s="267"/>
      <c r="BV492" s="267"/>
      <c r="BW492" s="267"/>
      <c r="BX492" s="267"/>
      <c r="BY492" s="267"/>
      <c r="BZ492" s="267"/>
      <c r="CA492" s="267"/>
      <c r="CB492" s="267"/>
      <c r="CC492" s="267"/>
      <c r="CD492" s="267"/>
      <c r="CE492" s="267"/>
      <c r="CF492" s="267"/>
      <c r="CG492" s="267"/>
    </row>
    <row r="493" spans="70:85" ht="12.75" customHeight="1" x14ac:dyDescent="0.25">
      <c r="BR493" s="177"/>
      <c r="BS493" s="177"/>
      <c r="BT493" s="267"/>
      <c r="BU493" s="267"/>
      <c r="BV493" s="267"/>
      <c r="BW493" s="267"/>
      <c r="BX493" s="267"/>
      <c r="BY493" s="267"/>
      <c r="BZ493" s="267"/>
      <c r="CA493" s="267"/>
      <c r="CB493" s="267"/>
      <c r="CC493" s="267"/>
      <c r="CD493" s="267"/>
      <c r="CE493" s="267"/>
      <c r="CF493" s="267"/>
      <c r="CG493" s="267"/>
    </row>
    <row r="494" spans="70:85" ht="12.75" customHeight="1" x14ac:dyDescent="0.25">
      <c r="BR494" s="177"/>
      <c r="BS494" s="177"/>
      <c r="BT494" s="267"/>
      <c r="BU494" s="267"/>
      <c r="BV494" s="267"/>
      <c r="BW494" s="267"/>
      <c r="BX494" s="267"/>
      <c r="BY494" s="267"/>
      <c r="BZ494" s="267"/>
      <c r="CA494" s="267"/>
      <c r="CB494" s="267"/>
      <c r="CC494" s="267"/>
      <c r="CD494" s="267"/>
      <c r="CE494" s="267"/>
      <c r="CF494" s="267"/>
      <c r="CG494" s="267"/>
    </row>
    <row r="495" spans="70:85" ht="12.75" customHeight="1" x14ac:dyDescent="0.25">
      <c r="BR495" s="177"/>
      <c r="BS495" s="177"/>
      <c r="BT495" s="267"/>
      <c r="BU495" s="267"/>
      <c r="BV495" s="267"/>
      <c r="BW495" s="267"/>
      <c r="BX495" s="267"/>
      <c r="BY495" s="267"/>
      <c r="BZ495" s="267"/>
      <c r="CA495" s="267"/>
      <c r="CB495" s="267"/>
      <c r="CC495" s="267"/>
      <c r="CD495" s="267"/>
      <c r="CE495" s="267"/>
      <c r="CF495" s="267"/>
      <c r="CG495" s="267"/>
    </row>
    <row r="496" spans="70:85" ht="12.75" customHeight="1" x14ac:dyDescent="0.25">
      <c r="BR496" s="177"/>
      <c r="BS496" s="177"/>
      <c r="BT496" s="267"/>
      <c r="BU496" s="267"/>
      <c r="BV496" s="267"/>
      <c r="BW496" s="267"/>
      <c r="BX496" s="267"/>
      <c r="BY496" s="267"/>
      <c r="BZ496" s="267"/>
      <c r="CA496" s="267"/>
      <c r="CB496" s="267"/>
      <c r="CC496" s="267"/>
      <c r="CD496" s="267"/>
      <c r="CE496" s="267"/>
      <c r="CF496" s="267"/>
      <c r="CG496" s="267"/>
    </row>
    <row r="497" spans="70:85" ht="12.75" customHeight="1" x14ac:dyDescent="0.25">
      <c r="BR497" s="177"/>
      <c r="BS497" s="177"/>
      <c r="BT497" s="267"/>
      <c r="BU497" s="267"/>
      <c r="BV497" s="267"/>
      <c r="BW497" s="267"/>
      <c r="BX497" s="267"/>
      <c r="BY497" s="267"/>
      <c r="BZ497" s="267"/>
      <c r="CA497" s="267"/>
      <c r="CB497" s="267"/>
      <c r="CC497" s="267"/>
      <c r="CD497" s="267"/>
      <c r="CE497" s="267"/>
      <c r="CF497" s="267"/>
      <c r="CG497" s="267"/>
    </row>
    <row r="498" spans="70:85" ht="12.75" customHeight="1" x14ac:dyDescent="0.25">
      <c r="BR498" s="177"/>
      <c r="BS498" s="177"/>
      <c r="BT498" s="267"/>
      <c r="BU498" s="267"/>
      <c r="BV498" s="267"/>
      <c r="BW498" s="267"/>
      <c r="BX498" s="267"/>
      <c r="BY498" s="267"/>
      <c r="BZ498" s="267"/>
      <c r="CA498" s="267"/>
      <c r="CB498" s="267"/>
      <c r="CC498" s="267"/>
      <c r="CD498" s="267"/>
      <c r="CE498" s="267"/>
      <c r="CF498" s="267"/>
      <c r="CG498" s="267"/>
    </row>
    <row r="499" spans="70:85" ht="12.75" customHeight="1" x14ac:dyDescent="0.25">
      <c r="BR499" s="177"/>
      <c r="BS499" s="177"/>
      <c r="BT499" s="267"/>
      <c r="BU499" s="267"/>
      <c r="BV499" s="267"/>
      <c r="BW499" s="267"/>
      <c r="BX499" s="267"/>
      <c r="BY499" s="267"/>
      <c r="BZ499" s="267"/>
      <c r="CA499" s="267"/>
      <c r="CB499" s="267"/>
      <c r="CC499" s="267"/>
      <c r="CD499" s="267"/>
      <c r="CE499" s="267"/>
      <c r="CF499" s="267"/>
      <c r="CG499" s="267"/>
    </row>
    <row r="500" spans="70:85" ht="12.75" customHeight="1" x14ac:dyDescent="0.25">
      <c r="BR500" s="177"/>
      <c r="BS500" s="177"/>
      <c r="BT500" s="267"/>
      <c r="BU500" s="267"/>
      <c r="BV500" s="267"/>
      <c r="BW500" s="267"/>
      <c r="BX500" s="267"/>
      <c r="BY500" s="267"/>
      <c r="BZ500" s="267"/>
      <c r="CA500" s="267"/>
      <c r="CB500" s="267"/>
      <c r="CC500" s="267"/>
      <c r="CD500" s="267"/>
      <c r="CE500" s="267"/>
      <c r="CF500" s="267"/>
      <c r="CG500" s="267"/>
    </row>
    <row r="501" spans="70:85" ht="12.75" customHeight="1" x14ac:dyDescent="0.25">
      <c r="BR501" s="177"/>
      <c r="BS501" s="177"/>
      <c r="BT501" s="267"/>
      <c r="BU501" s="267"/>
      <c r="BV501" s="267"/>
      <c r="BW501" s="267"/>
      <c r="BX501" s="267"/>
      <c r="BY501" s="267"/>
      <c r="BZ501" s="267"/>
      <c r="CA501" s="267"/>
      <c r="CB501" s="267"/>
      <c r="CC501" s="267"/>
      <c r="CD501" s="267"/>
      <c r="CE501" s="267"/>
      <c r="CF501" s="267"/>
      <c r="CG501" s="267"/>
    </row>
    <row r="502" spans="70:85" ht="12.75" customHeight="1" x14ac:dyDescent="0.25">
      <c r="BR502" s="177"/>
      <c r="BS502" s="177"/>
      <c r="BT502" s="267"/>
      <c r="BU502" s="267"/>
      <c r="BV502" s="267"/>
      <c r="BW502" s="267"/>
      <c r="BX502" s="267"/>
      <c r="BY502" s="267"/>
      <c r="BZ502" s="267"/>
      <c r="CA502" s="267"/>
      <c r="CB502" s="267"/>
      <c r="CC502" s="267"/>
      <c r="CD502" s="267"/>
      <c r="CE502" s="267"/>
      <c r="CF502" s="267"/>
      <c r="CG502" s="267"/>
    </row>
    <row r="503" spans="70:85" ht="12.75" customHeight="1" x14ac:dyDescent="0.25">
      <c r="BR503" s="177"/>
      <c r="BS503" s="177"/>
      <c r="BT503" s="267"/>
      <c r="BU503" s="267"/>
      <c r="BV503" s="267"/>
      <c r="BW503" s="267"/>
      <c r="BX503" s="267"/>
      <c r="BY503" s="267"/>
      <c r="BZ503" s="267"/>
      <c r="CA503" s="267"/>
      <c r="CB503" s="267"/>
      <c r="CC503" s="267"/>
      <c r="CD503" s="267"/>
      <c r="CE503" s="267"/>
      <c r="CF503" s="267"/>
      <c r="CG503" s="267"/>
    </row>
    <row r="504" spans="70:85" ht="12.75" customHeight="1" x14ac:dyDescent="0.25">
      <c r="BR504" s="177"/>
      <c r="BS504" s="177"/>
      <c r="BT504" s="267"/>
      <c r="BU504" s="267"/>
      <c r="BV504" s="267"/>
      <c r="BW504" s="267"/>
      <c r="BX504" s="267"/>
      <c r="BY504" s="267"/>
      <c r="BZ504" s="267"/>
      <c r="CA504" s="267"/>
      <c r="CB504" s="267"/>
      <c r="CC504" s="267"/>
      <c r="CD504" s="267"/>
      <c r="CE504" s="267"/>
      <c r="CF504" s="267"/>
      <c r="CG504" s="267"/>
    </row>
    <row r="505" spans="70:85" ht="12.75" customHeight="1" x14ac:dyDescent="0.25">
      <c r="BR505" s="177"/>
      <c r="BS505" s="177"/>
      <c r="BT505" s="267"/>
      <c r="BU505" s="267"/>
      <c r="BV505" s="267"/>
      <c r="BW505" s="267"/>
      <c r="BX505" s="267"/>
      <c r="BY505" s="267"/>
      <c r="BZ505" s="267"/>
      <c r="CA505" s="267"/>
      <c r="CB505" s="267"/>
      <c r="CC505" s="267"/>
      <c r="CD505" s="267"/>
      <c r="CE505" s="267"/>
      <c r="CF505" s="267"/>
      <c r="CG505" s="267"/>
    </row>
    <row r="506" spans="70:85" ht="12.75" customHeight="1" x14ac:dyDescent="0.25">
      <c r="BR506" s="177"/>
      <c r="BS506" s="177"/>
      <c r="BT506" s="267"/>
      <c r="BU506" s="267"/>
      <c r="BV506" s="267"/>
      <c r="BW506" s="267"/>
      <c r="BX506" s="267"/>
      <c r="BY506" s="267"/>
      <c r="BZ506" s="267"/>
      <c r="CA506" s="267"/>
      <c r="CB506" s="267"/>
      <c r="CC506" s="267"/>
      <c r="CD506" s="267"/>
      <c r="CE506" s="267"/>
      <c r="CF506" s="267"/>
      <c r="CG506" s="267"/>
    </row>
    <row r="507" spans="70:85" ht="12.75" customHeight="1" x14ac:dyDescent="0.25">
      <c r="BR507" s="177"/>
      <c r="BS507" s="177"/>
      <c r="BT507" s="267"/>
      <c r="BU507" s="267"/>
      <c r="BV507" s="267"/>
      <c r="BW507" s="267"/>
      <c r="BX507" s="267"/>
      <c r="BY507" s="267"/>
      <c r="BZ507" s="267"/>
      <c r="CA507" s="267"/>
      <c r="CB507" s="267"/>
      <c r="CC507" s="267"/>
      <c r="CD507" s="267"/>
      <c r="CE507" s="267"/>
      <c r="CF507" s="267"/>
      <c r="CG507" s="267"/>
    </row>
    <row r="508" spans="70:85" ht="12.75" customHeight="1" x14ac:dyDescent="0.25">
      <c r="BR508" s="177"/>
      <c r="BS508" s="177"/>
      <c r="BT508" s="267"/>
      <c r="BU508" s="267"/>
      <c r="BV508" s="267"/>
      <c r="BW508" s="267"/>
      <c r="BX508" s="267"/>
      <c r="BY508" s="267"/>
      <c r="BZ508" s="267"/>
      <c r="CA508" s="267"/>
      <c r="CB508" s="267"/>
      <c r="CC508" s="267"/>
      <c r="CD508" s="267"/>
      <c r="CE508" s="267"/>
      <c r="CF508" s="267"/>
      <c r="CG508" s="267"/>
    </row>
    <row r="509" spans="70:85" ht="12.75" customHeight="1" x14ac:dyDescent="0.25">
      <c r="BR509" s="177"/>
      <c r="BS509" s="177"/>
      <c r="BT509" s="267"/>
      <c r="BU509" s="267"/>
      <c r="BV509" s="267"/>
      <c r="BW509" s="267"/>
      <c r="BX509" s="267"/>
      <c r="BY509" s="267"/>
      <c r="BZ509" s="267"/>
      <c r="CA509" s="267"/>
      <c r="CB509" s="267"/>
      <c r="CC509" s="267"/>
      <c r="CD509" s="267"/>
      <c r="CE509" s="267"/>
      <c r="CF509" s="267"/>
      <c r="CG509" s="267"/>
    </row>
    <row r="510" spans="70:85" ht="12.75" customHeight="1" x14ac:dyDescent="0.25">
      <c r="BR510" s="177"/>
      <c r="BS510" s="177"/>
      <c r="BT510" s="267"/>
      <c r="BU510" s="267"/>
      <c r="BV510" s="267"/>
      <c r="BW510" s="267"/>
      <c r="BX510" s="267"/>
      <c r="BY510" s="267"/>
      <c r="BZ510" s="267"/>
      <c r="CA510" s="267"/>
      <c r="CB510" s="267"/>
      <c r="CC510" s="267"/>
      <c r="CD510" s="267"/>
      <c r="CE510" s="267"/>
      <c r="CF510" s="267"/>
      <c r="CG510" s="267"/>
    </row>
    <row r="511" spans="70:85" ht="12.75" customHeight="1" x14ac:dyDescent="0.25">
      <c r="BR511" s="177"/>
      <c r="BS511" s="177"/>
      <c r="BT511" s="267"/>
      <c r="BU511" s="267"/>
      <c r="BV511" s="267"/>
      <c r="BW511" s="267"/>
      <c r="BX511" s="267"/>
      <c r="BY511" s="267"/>
      <c r="BZ511" s="267"/>
      <c r="CA511" s="267"/>
      <c r="CB511" s="267"/>
      <c r="CC511" s="267"/>
      <c r="CD511" s="267"/>
      <c r="CE511" s="267"/>
      <c r="CF511" s="267"/>
      <c r="CG511" s="267"/>
    </row>
    <row r="512" spans="70:85" ht="12.75" customHeight="1" x14ac:dyDescent="0.25">
      <c r="BR512" s="177"/>
      <c r="BS512" s="177"/>
      <c r="BT512" s="267"/>
      <c r="BU512" s="267"/>
      <c r="BV512" s="267"/>
      <c r="BW512" s="267"/>
      <c r="BX512" s="267"/>
      <c r="BY512" s="267"/>
      <c r="BZ512" s="267"/>
      <c r="CA512" s="267"/>
      <c r="CB512" s="267"/>
      <c r="CC512" s="267"/>
      <c r="CD512" s="267"/>
      <c r="CE512" s="267"/>
      <c r="CF512" s="267"/>
      <c r="CG512" s="267"/>
    </row>
    <row r="513" spans="70:85" ht="12.75" customHeight="1" x14ac:dyDescent="0.25">
      <c r="BR513" s="177"/>
      <c r="BS513" s="177"/>
      <c r="BT513" s="267"/>
      <c r="BU513" s="267"/>
      <c r="BV513" s="267"/>
      <c r="BW513" s="267"/>
      <c r="BX513" s="267"/>
      <c r="BY513" s="267"/>
      <c r="BZ513" s="267"/>
      <c r="CA513" s="267"/>
      <c r="CB513" s="267"/>
      <c r="CC513" s="267"/>
      <c r="CD513" s="267"/>
      <c r="CE513" s="267"/>
      <c r="CF513" s="267"/>
      <c r="CG513" s="267"/>
    </row>
    <row r="514" spans="70:85" ht="12.75" customHeight="1" x14ac:dyDescent="0.25">
      <c r="BR514" s="177"/>
      <c r="BS514" s="177"/>
      <c r="BT514" s="267"/>
      <c r="BU514" s="267"/>
      <c r="BV514" s="267"/>
      <c r="BW514" s="267"/>
      <c r="BX514" s="267"/>
      <c r="BY514" s="267"/>
      <c r="BZ514" s="267"/>
      <c r="CA514" s="267"/>
      <c r="CB514" s="267"/>
      <c r="CC514" s="267"/>
      <c r="CD514" s="267"/>
      <c r="CE514" s="267"/>
      <c r="CF514" s="267"/>
      <c r="CG514" s="267"/>
    </row>
    <row r="515" spans="70:85" ht="12.75" customHeight="1" x14ac:dyDescent="0.25">
      <c r="BR515" s="177"/>
      <c r="BS515" s="177"/>
      <c r="BT515" s="267"/>
      <c r="BU515" s="267"/>
      <c r="BV515" s="267"/>
      <c r="BW515" s="267"/>
      <c r="BX515" s="267"/>
      <c r="BY515" s="267"/>
      <c r="BZ515" s="267"/>
      <c r="CA515" s="267"/>
      <c r="CB515" s="267"/>
      <c r="CC515" s="267"/>
      <c r="CD515" s="267"/>
      <c r="CE515" s="267"/>
      <c r="CF515" s="267"/>
      <c r="CG515" s="267"/>
    </row>
    <row r="516" spans="70:85" ht="12.75" customHeight="1" x14ac:dyDescent="0.25">
      <c r="BR516" s="177"/>
      <c r="BS516" s="177"/>
      <c r="BT516" s="267"/>
      <c r="BU516" s="267"/>
      <c r="BV516" s="267"/>
      <c r="BW516" s="267"/>
      <c r="BX516" s="267"/>
      <c r="BY516" s="267"/>
      <c r="BZ516" s="267"/>
      <c r="CA516" s="267"/>
      <c r="CB516" s="267"/>
      <c r="CC516" s="267"/>
      <c r="CD516" s="267"/>
      <c r="CE516" s="267"/>
      <c r="CF516" s="267"/>
      <c r="CG516" s="267"/>
    </row>
    <row r="517" spans="70:85" ht="12.75" customHeight="1" x14ac:dyDescent="0.25">
      <c r="BR517" s="177"/>
      <c r="BS517" s="177"/>
      <c r="BT517" s="267"/>
      <c r="BU517" s="267"/>
      <c r="BV517" s="267"/>
      <c r="BW517" s="267"/>
      <c r="BX517" s="267"/>
      <c r="BY517" s="267"/>
      <c r="BZ517" s="267"/>
      <c r="CA517" s="267"/>
      <c r="CB517" s="267"/>
      <c r="CC517" s="267"/>
      <c r="CD517" s="267"/>
      <c r="CE517" s="267"/>
      <c r="CF517" s="267"/>
      <c r="CG517" s="267"/>
    </row>
    <row r="518" spans="70:85" ht="12.75" customHeight="1" x14ac:dyDescent="0.25">
      <c r="BR518" s="177"/>
      <c r="BS518" s="177"/>
      <c r="BT518" s="267"/>
      <c r="BU518" s="267"/>
      <c r="BV518" s="267"/>
      <c r="BW518" s="267"/>
      <c r="BX518" s="267"/>
      <c r="BY518" s="267"/>
      <c r="BZ518" s="267"/>
      <c r="CA518" s="267"/>
      <c r="CB518" s="267"/>
      <c r="CC518" s="267"/>
      <c r="CD518" s="267"/>
      <c r="CE518" s="267"/>
      <c r="CF518" s="267"/>
      <c r="CG518" s="267"/>
    </row>
    <row r="519" spans="70:85" ht="12.75" customHeight="1" x14ac:dyDescent="0.25">
      <c r="BR519" s="177"/>
      <c r="BS519" s="177"/>
      <c r="BT519" s="267"/>
      <c r="BU519" s="267"/>
      <c r="BV519" s="267"/>
      <c r="BW519" s="267"/>
      <c r="BX519" s="267"/>
      <c r="BY519" s="267"/>
      <c r="BZ519" s="267"/>
      <c r="CA519" s="267"/>
      <c r="CB519" s="267"/>
      <c r="CC519" s="267"/>
      <c r="CD519" s="267"/>
      <c r="CE519" s="267"/>
      <c r="CF519" s="267"/>
      <c r="CG519" s="267"/>
    </row>
    <row r="520" spans="70:85" ht="12.75" customHeight="1" x14ac:dyDescent="0.25">
      <c r="BR520" s="177"/>
      <c r="BS520" s="177"/>
      <c r="BT520" s="267"/>
      <c r="BU520" s="267"/>
      <c r="BV520" s="267"/>
      <c r="BW520" s="267"/>
      <c r="BX520" s="267"/>
      <c r="BY520" s="267"/>
      <c r="BZ520" s="267"/>
      <c r="CA520" s="267"/>
      <c r="CB520" s="267"/>
      <c r="CC520" s="267"/>
      <c r="CD520" s="267"/>
      <c r="CE520" s="267"/>
      <c r="CF520" s="267"/>
      <c r="CG520" s="267"/>
    </row>
    <row r="521" spans="70:85" ht="12.75" customHeight="1" x14ac:dyDescent="0.25">
      <c r="BR521" s="177"/>
      <c r="BS521" s="177"/>
      <c r="BT521" s="267"/>
      <c r="BU521" s="267"/>
      <c r="BV521" s="267"/>
      <c r="BW521" s="267"/>
      <c r="BX521" s="267"/>
      <c r="BY521" s="267"/>
      <c r="BZ521" s="267"/>
      <c r="CA521" s="267"/>
      <c r="CB521" s="267"/>
      <c r="CC521" s="267"/>
      <c r="CD521" s="267"/>
      <c r="CE521" s="267"/>
      <c r="CF521" s="267"/>
      <c r="CG521" s="267"/>
    </row>
    <row r="522" spans="70:85" ht="12.75" customHeight="1" x14ac:dyDescent="0.25">
      <c r="BR522" s="177"/>
      <c r="BS522" s="177"/>
      <c r="BT522" s="267"/>
      <c r="BU522" s="267"/>
      <c r="BV522" s="267"/>
      <c r="BW522" s="267"/>
      <c r="BX522" s="267"/>
      <c r="BY522" s="267"/>
      <c r="BZ522" s="267"/>
      <c r="CA522" s="267"/>
      <c r="CB522" s="267"/>
      <c r="CC522" s="267"/>
      <c r="CD522" s="267"/>
      <c r="CE522" s="267"/>
      <c r="CF522" s="267"/>
      <c r="CG522" s="267"/>
    </row>
    <row r="523" spans="70:85" ht="12.75" customHeight="1" x14ac:dyDescent="0.25">
      <c r="BR523" s="177"/>
      <c r="BS523" s="177"/>
      <c r="BT523" s="267"/>
      <c r="BU523" s="267"/>
      <c r="BV523" s="267"/>
      <c r="BW523" s="267"/>
      <c r="BX523" s="267"/>
      <c r="BY523" s="267"/>
      <c r="BZ523" s="267"/>
      <c r="CA523" s="267"/>
      <c r="CB523" s="267"/>
      <c r="CC523" s="267"/>
      <c r="CD523" s="267"/>
      <c r="CE523" s="267"/>
      <c r="CF523" s="267"/>
      <c r="CG523" s="267"/>
    </row>
    <row r="524" spans="70:85" ht="12.75" customHeight="1" x14ac:dyDescent="0.25">
      <c r="BR524" s="177"/>
      <c r="BS524" s="177"/>
      <c r="BT524" s="267"/>
      <c r="BU524" s="267"/>
      <c r="BV524" s="267"/>
      <c r="BW524" s="267"/>
      <c r="BX524" s="267"/>
      <c r="BY524" s="267"/>
      <c r="BZ524" s="267"/>
      <c r="CA524" s="267"/>
      <c r="CB524" s="267"/>
      <c r="CC524" s="267"/>
      <c r="CD524" s="267"/>
      <c r="CE524" s="267"/>
      <c r="CF524" s="267"/>
      <c r="CG524" s="267"/>
    </row>
    <row r="525" spans="70:85" ht="12.75" customHeight="1" x14ac:dyDescent="0.25">
      <c r="BR525" s="177"/>
      <c r="BS525" s="177"/>
      <c r="BT525" s="267"/>
      <c r="BU525" s="267"/>
      <c r="BV525" s="267"/>
      <c r="BW525" s="267"/>
      <c r="BX525" s="267"/>
      <c r="BY525" s="267"/>
      <c r="BZ525" s="267"/>
      <c r="CA525" s="267"/>
      <c r="CB525" s="267"/>
      <c r="CC525" s="267"/>
      <c r="CD525" s="267"/>
      <c r="CE525" s="267"/>
      <c r="CF525" s="267"/>
      <c r="CG525" s="267"/>
    </row>
    <row r="526" spans="70:85" ht="12.75" customHeight="1" x14ac:dyDescent="0.25">
      <c r="BR526" s="177"/>
      <c r="BS526" s="177"/>
      <c r="BT526" s="267"/>
      <c r="BU526" s="267"/>
      <c r="BV526" s="267"/>
      <c r="BW526" s="267"/>
      <c r="BX526" s="267"/>
      <c r="BY526" s="267"/>
      <c r="BZ526" s="267"/>
      <c r="CA526" s="267"/>
      <c r="CB526" s="267"/>
      <c r="CC526" s="267"/>
      <c r="CD526" s="267"/>
      <c r="CE526" s="267"/>
      <c r="CF526" s="267"/>
      <c r="CG526" s="267"/>
    </row>
    <row r="527" spans="70:85" ht="12.75" customHeight="1" x14ac:dyDescent="0.25">
      <c r="BR527" s="177"/>
      <c r="BS527" s="177"/>
      <c r="BT527" s="267"/>
      <c r="BU527" s="267"/>
      <c r="BV527" s="267"/>
      <c r="BW527" s="267"/>
      <c r="BX527" s="267"/>
      <c r="BY527" s="267"/>
      <c r="BZ527" s="267"/>
      <c r="CA527" s="267"/>
      <c r="CB527" s="267"/>
      <c r="CC527" s="267"/>
      <c r="CD527" s="267"/>
      <c r="CE527" s="267"/>
      <c r="CF527" s="267"/>
      <c r="CG527" s="267"/>
    </row>
    <row r="528" spans="70:85" ht="12.75" customHeight="1" x14ac:dyDescent="0.25">
      <c r="BR528" s="177"/>
      <c r="BS528" s="177"/>
      <c r="BT528" s="267"/>
      <c r="BU528" s="267"/>
      <c r="BV528" s="267"/>
      <c r="BW528" s="267"/>
      <c r="BX528" s="267"/>
      <c r="BY528" s="267"/>
      <c r="BZ528" s="267"/>
      <c r="CA528" s="267"/>
      <c r="CB528" s="267"/>
      <c r="CC528" s="267"/>
      <c r="CD528" s="267"/>
      <c r="CE528" s="267"/>
      <c r="CF528" s="267"/>
      <c r="CG528" s="267"/>
    </row>
    <row r="529" spans="70:85" ht="12.75" customHeight="1" x14ac:dyDescent="0.25">
      <c r="BR529" s="177"/>
      <c r="BS529" s="177"/>
      <c r="BT529" s="267"/>
      <c r="BU529" s="267"/>
      <c r="BV529" s="267"/>
      <c r="BW529" s="267"/>
      <c r="BX529" s="267"/>
      <c r="BY529" s="267"/>
      <c r="BZ529" s="267"/>
      <c r="CA529" s="267"/>
      <c r="CB529" s="267"/>
      <c r="CC529" s="267"/>
      <c r="CD529" s="267"/>
      <c r="CE529" s="267"/>
      <c r="CF529" s="267"/>
      <c r="CG529" s="267"/>
    </row>
    <row r="530" spans="70:85" ht="12.75" customHeight="1" x14ac:dyDescent="0.25">
      <c r="BR530" s="177"/>
      <c r="BS530" s="177"/>
      <c r="BT530" s="267"/>
      <c r="BU530" s="267"/>
      <c r="BV530" s="267"/>
      <c r="BW530" s="267"/>
      <c r="BX530" s="267"/>
      <c r="BY530" s="267"/>
      <c r="BZ530" s="267"/>
      <c r="CA530" s="267"/>
      <c r="CB530" s="267"/>
      <c r="CC530" s="267"/>
      <c r="CD530" s="267"/>
      <c r="CE530" s="267"/>
      <c r="CF530" s="267"/>
      <c r="CG530" s="267"/>
    </row>
    <row r="531" spans="70:85" ht="12.75" customHeight="1" x14ac:dyDescent="0.25">
      <c r="BR531" s="177"/>
      <c r="BS531" s="177"/>
      <c r="BT531" s="267"/>
      <c r="BU531" s="267"/>
      <c r="BV531" s="267"/>
      <c r="BW531" s="267"/>
      <c r="BX531" s="267"/>
      <c r="BY531" s="267"/>
      <c r="BZ531" s="267"/>
      <c r="CA531" s="267"/>
      <c r="CB531" s="267"/>
      <c r="CC531" s="267"/>
      <c r="CD531" s="267"/>
      <c r="CE531" s="267"/>
      <c r="CF531" s="267"/>
      <c r="CG531" s="267"/>
    </row>
    <row r="532" spans="70:85" ht="12.75" customHeight="1" x14ac:dyDescent="0.25">
      <c r="BR532" s="177"/>
      <c r="BS532" s="177"/>
      <c r="BT532" s="267"/>
      <c r="BU532" s="267"/>
      <c r="BV532" s="267"/>
      <c r="BW532" s="267"/>
      <c r="BX532" s="267"/>
      <c r="BY532" s="267"/>
      <c r="BZ532" s="267"/>
      <c r="CA532" s="267"/>
      <c r="CB532" s="267"/>
      <c r="CC532" s="267"/>
      <c r="CD532" s="267"/>
      <c r="CE532" s="267"/>
      <c r="CF532" s="267"/>
      <c r="CG532" s="267"/>
    </row>
    <row r="533" spans="70:85" ht="12.75" customHeight="1" x14ac:dyDescent="0.25">
      <c r="BR533" s="177"/>
      <c r="BS533" s="177"/>
      <c r="BT533" s="267"/>
      <c r="BU533" s="267"/>
      <c r="BV533" s="267"/>
      <c r="BW533" s="267"/>
      <c r="BX533" s="267"/>
      <c r="BY533" s="267"/>
      <c r="BZ533" s="267"/>
      <c r="CA533" s="267"/>
      <c r="CB533" s="267"/>
      <c r="CC533" s="267"/>
      <c r="CD533" s="267"/>
      <c r="CE533" s="267"/>
      <c r="CF533" s="267"/>
      <c r="CG533" s="267"/>
    </row>
    <row r="534" spans="70:85" ht="12.75" customHeight="1" x14ac:dyDescent="0.25">
      <c r="BR534" s="177"/>
      <c r="BS534" s="177"/>
      <c r="BT534" s="267"/>
      <c r="BU534" s="267"/>
      <c r="BV534" s="267"/>
      <c r="BW534" s="267"/>
      <c r="BX534" s="267"/>
      <c r="BY534" s="267"/>
      <c r="BZ534" s="267"/>
      <c r="CA534" s="267"/>
      <c r="CB534" s="267"/>
      <c r="CC534" s="267"/>
      <c r="CD534" s="267"/>
      <c r="CE534" s="267"/>
      <c r="CF534" s="267"/>
      <c r="CG534" s="267"/>
    </row>
    <row r="535" spans="70:85" ht="12.75" customHeight="1" x14ac:dyDescent="0.25">
      <c r="BR535" s="177"/>
      <c r="BS535" s="177"/>
      <c r="BT535" s="267"/>
      <c r="BU535" s="267"/>
      <c r="BV535" s="267"/>
      <c r="BW535" s="267"/>
      <c r="BX535" s="267"/>
      <c r="BY535" s="267"/>
      <c r="BZ535" s="267"/>
      <c r="CA535" s="267"/>
      <c r="CB535" s="267"/>
      <c r="CC535" s="267"/>
      <c r="CD535" s="267"/>
      <c r="CE535" s="267"/>
      <c r="CF535" s="267"/>
      <c r="CG535" s="267"/>
    </row>
    <row r="536" spans="70:85" ht="12.75" customHeight="1" x14ac:dyDescent="0.25">
      <c r="BR536" s="177"/>
      <c r="BS536" s="177"/>
      <c r="BT536" s="267"/>
      <c r="BU536" s="267"/>
      <c r="BV536" s="267"/>
      <c r="BW536" s="267"/>
      <c r="BX536" s="267"/>
      <c r="BY536" s="267"/>
      <c r="BZ536" s="267"/>
      <c r="CA536" s="267"/>
      <c r="CB536" s="267"/>
      <c r="CC536" s="267"/>
      <c r="CD536" s="267"/>
      <c r="CE536" s="267"/>
      <c r="CF536" s="267"/>
      <c r="CG536" s="267"/>
    </row>
    <row r="537" spans="70:85" ht="12.75" customHeight="1" x14ac:dyDescent="0.25">
      <c r="BR537" s="177"/>
      <c r="BS537" s="177"/>
      <c r="BT537" s="267"/>
      <c r="BU537" s="267"/>
      <c r="BV537" s="267"/>
      <c r="BW537" s="267"/>
      <c r="BX537" s="267"/>
      <c r="BY537" s="267"/>
      <c r="BZ537" s="267"/>
      <c r="CA537" s="267"/>
      <c r="CB537" s="267"/>
      <c r="CC537" s="267"/>
      <c r="CD537" s="267"/>
      <c r="CE537" s="267"/>
      <c r="CF537" s="267"/>
      <c r="CG537" s="267"/>
    </row>
    <row r="538" spans="70:85" ht="12.75" customHeight="1" x14ac:dyDescent="0.25">
      <c r="BR538" s="177"/>
      <c r="BS538" s="177"/>
      <c r="BT538" s="267"/>
      <c r="BU538" s="267"/>
      <c r="BV538" s="267"/>
      <c r="BW538" s="267"/>
      <c r="BX538" s="267"/>
      <c r="BY538" s="267"/>
      <c r="BZ538" s="267"/>
      <c r="CA538" s="267"/>
      <c r="CB538" s="267"/>
      <c r="CC538" s="267"/>
      <c r="CD538" s="267"/>
      <c r="CE538" s="267"/>
      <c r="CF538" s="267"/>
      <c r="CG538" s="267"/>
    </row>
    <row r="539" spans="70:85" ht="12.75" customHeight="1" x14ac:dyDescent="0.25">
      <c r="BR539" s="177"/>
      <c r="BS539" s="177"/>
      <c r="BT539" s="267"/>
      <c r="BU539" s="267"/>
      <c r="BV539" s="267"/>
      <c r="BW539" s="267"/>
      <c r="BX539" s="267"/>
      <c r="BY539" s="267"/>
      <c r="BZ539" s="267"/>
      <c r="CA539" s="267"/>
      <c r="CB539" s="267"/>
      <c r="CC539" s="267"/>
      <c r="CD539" s="267"/>
      <c r="CE539" s="267"/>
      <c r="CF539" s="267"/>
      <c r="CG539" s="267"/>
    </row>
    <row r="540" spans="70:85" ht="12.75" customHeight="1" x14ac:dyDescent="0.25">
      <c r="BR540" s="177"/>
      <c r="BS540" s="177"/>
      <c r="BT540" s="267"/>
      <c r="BU540" s="267"/>
      <c r="BV540" s="267"/>
      <c r="BW540" s="267"/>
      <c r="BX540" s="267"/>
      <c r="BY540" s="267"/>
      <c r="BZ540" s="267"/>
      <c r="CA540" s="267"/>
      <c r="CB540" s="267"/>
      <c r="CC540" s="267"/>
      <c r="CD540" s="267"/>
      <c r="CE540" s="267"/>
      <c r="CF540" s="267"/>
      <c r="CG540" s="267"/>
    </row>
    <row r="541" spans="70:85" ht="12.75" customHeight="1" x14ac:dyDescent="0.25">
      <c r="BR541" s="177"/>
      <c r="BS541" s="177"/>
      <c r="BT541" s="267"/>
      <c r="BU541" s="267"/>
      <c r="BV541" s="267"/>
      <c r="BW541" s="267"/>
      <c r="BX541" s="267"/>
      <c r="BY541" s="267"/>
      <c r="BZ541" s="267"/>
      <c r="CA541" s="267"/>
      <c r="CB541" s="267"/>
      <c r="CC541" s="267"/>
      <c r="CD541" s="267"/>
      <c r="CE541" s="267"/>
      <c r="CF541" s="267"/>
      <c r="CG541" s="267"/>
    </row>
    <row r="542" spans="70:85" ht="12.75" customHeight="1" x14ac:dyDescent="0.25">
      <c r="BR542" s="177"/>
      <c r="BS542" s="177"/>
      <c r="BT542" s="267"/>
      <c r="BU542" s="267"/>
      <c r="BV542" s="267"/>
      <c r="BW542" s="267"/>
      <c r="BX542" s="267"/>
      <c r="BY542" s="267"/>
      <c r="BZ542" s="267"/>
      <c r="CA542" s="267"/>
      <c r="CB542" s="267"/>
      <c r="CC542" s="267"/>
      <c r="CD542" s="267"/>
      <c r="CE542" s="267"/>
      <c r="CF542" s="267"/>
      <c r="CG542" s="267"/>
    </row>
    <row r="543" spans="70:85" ht="12.75" customHeight="1" x14ac:dyDescent="0.25">
      <c r="BR543" s="177"/>
      <c r="BS543" s="177"/>
      <c r="BT543" s="267"/>
      <c r="BU543" s="267"/>
      <c r="BV543" s="267"/>
      <c r="BW543" s="267"/>
      <c r="BX543" s="267"/>
      <c r="BY543" s="267"/>
      <c r="BZ543" s="267"/>
      <c r="CA543" s="267"/>
      <c r="CB543" s="267"/>
      <c r="CC543" s="267"/>
      <c r="CD543" s="267"/>
      <c r="CE543" s="267"/>
      <c r="CF543" s="267"/>
      <c r="CG543" s="267"/>
    </row>
    <row r="544" spans="70:85" ht="12.75" customHeight="1" x14ac:dyDescent="0.25">
      <c r="BR544" s="177"/>
      <c r="BS544" s="177"/>
      <c r="BT544" s="267"/>
      <c r="BU544" s="267"/>
      <c r="BV544" s="267"/>
      <c r="BW544" s="267"/>
      <c r="BX544" s="267"/>
      <c r="BY544" s="267"/>
      <c r="BZ544" s="267"/>
      <c r="CA544" s="267"/>
      <c r="CB544" s="267"/>
      <c r="CC544" s="267"/>
      <c r="CD544" s="267"/>
      <c r="CE544" s="267"/>
      <c r="CF544" s="267"/>
      <c r="CG544" s="267"/>
    </row>
    <row r="545" spans="70:85" ht="12.75" customHeight="1" x14ac:dyDescent="0.25">
      <c r="BR545" s="177"/>
      <c r="BS545" s="177"/>
      <c r="BT545" s="267"/>
      <c r="BU545" s="267"/>
      <c r="BV545" s="267"/>
      <c r="BW545" s="267"/>
      <c r="BX545" s="267"/>
      <c r="BY545" s="267"/>
      <c r="BZ545" s="267"/>
      <c r="CA545" s="267"/>
      <c r="CB545" s="267"/>
      <c r="CC545" s="267"/>
      <c r="CD545" s="267"/>
      <c r="CE545" s="267"/>
      <c r="CF545" s="267"/>
      <c r="CG545" s="267"/>
    </row>
    <row r="546" spans="70:85" ht="12.75" customHeight="1" x14ac:dyDescent="0.25">
      <c r="BR546" s="177"/>
      <c r="BS546" s="177"/>
      <c r="BT546" s="267"/>
      <c r="BU546" s="267"/>
      <c r="BV546" s="267"/>
      <c r="BW546" s="267"/>
      <c r="BX546" s="267"/>
      <c r="BY546" s="267"/>
      <c r="BZ546" s="267"/>
      <c r="CA546" s="267"/>
      <c r="CB546" s="267"/>
      <c r="CC546" s="267"/>
      <c r="CD546" s="267"/>
      <c r="CE546" s="267"/>
      <c r="CF546" s="267"/>
      <c r="CG546" s="267"/>
    </row>
    <row r="547" spans="70:85" ht="12.75" customHeight="1" x14ac:dyDescent="0.25">
      <c r="BR547" s="177"/>
      <c r="BS547" s="177"/>
      <c r="BT547" s="267"/>
      <c r="BU547" s="267"/>
      <c r="BV547" s="267"/>
      <c r="BW547" s="267"/>
      <c r="BX547" s="267"/>
      <c r="BY547" s="267"/>
      <c r="BZ547" s="267"/>
      <c r="CA547" s="267"/>
      <c r="CB547" s="267"/>
      <c r="CC547" s="267"/>
      <c r="CD547" s="267"/>
      <c r="CE547" s="267"/>
      <c r="CF547" s="267"/>
      <c r="CG547" s="267"/>
    </row>
    <row r="548" spans="70:85" ht="12.75" customHeight="1" x14ac:dyDescent="0.25">
      <c r="BR548" s="177"/>
      <c r="BS548" s="177"/>
      <c r="BT548" s="267"/>
      <c r="BU548" s="267"/>
      <c r="BV548" s="267"/>
      <c r="BW548" s="267"/>
      <c r="BX548" s="267"/>
      <c r="BY548" s="267"/>
      <c r="BZ548" s="267"/>
      <c r="CA548" s="267"/>
      <c r="CB548" s="267"/>
      <c r="CC548" s="267"/>
      <c r="CD548" s="267"/>
      <c r="CE548" s="267"/>
      <c r="CF548" s="267"/>
      <c r="CG548" s="267"/>
    </row>
    <row r="549" spans="70:85" ht="12.75" customHeight="1" x14ac:dyDescent="0.25">
      <c r="BR549" s="177"/>
      <c r="BS549" s="177"/>
      <c r="BT549" s="267"/>
      <c r="BU549" s="267"/>
      <c r="BV549" s="267"/>
      <c r="BW549" s="267"/>
      <c r="BX549" s="267"/>
      <c r="BY549" s="267"/>
      <c r="BZ549" s="267"/>
      <c r="CA549" s="267"/>
      <c r="CB549" s="267"/>
      <c r="CC549" s="267"/>
      <c r="CD549" s="267"/>
      <c r="CE549" s="267"/>
      <c r="CF549" s="267"/>
      <c r="CG549" s="267"/>
    </row>
    <row r="550" spans="70:85" ht="12.75" customHeight="1" x14ac:dyDescent="0.25">
      <c r="BR550" s="177"/>
      <c r="BS550" s="177"/>
      <c r="BT550" s="267"/>
      <c r="BU550" s="267"/>
      <c r="BV550" s="267"/>
      <c r="BW550" s="267"/>
      <c r="BX550" s="267"/>
      <c r="BY550" s="267"/>
      <c r="BZ550" s="267"/>
      <c r="CA550" s="267"/>
      <c r="CB550" s="267"/>
      <c r="CC550" s="267"/>
      <c r="CD550" s="267"/>
      <c r="CE550" s="267"/>
      <c r="CF550" s="267"/>
      <c r="CG550" s="267"/>
    </row>
    <row r="551" spans="70:85" ht="12.75" customHeight="1" x14ac:dyDescent="0.25">
      <c r="BR551" s="177"/>
      <c r="BS551" s="177"/>
      <c r="BT551" s="267"/>
      <c r="BU551" s="267"/>
      <c r="BV551" s="267"/>
      <c r="BW551" s="267"/>
      <c r="BX551" s="267"/>
      <c r="BY551" s="267"/>
      <c r="BZ551" s="267"/>
      <c r="CA551" s="267"/>
      <c r="CB551" s="267"/>
      <c r="CC551" s="267"/>
      <c r="CD551" s="267"/>
      <c r="CE551" s="267"/>
      <c r="CF551" s="267"/>
      <c r="CG551" s="267"/>
    </row>
    <row r="552" spans="70:85" ht="12.75" customHeight="1" x14ac:dyDescent="0.25">
      <c r="BR552" s="177"/>
      <c r="BS552" s="177"/>
      <c r="BT552" s="267"/>
      <c r="BU552" s="267"/>
      <c r="BV552" s="267"/>
      <c r="BW552" s="267"/>
      <c r="BX552" s="267"/>
      <c r="BY552" s="267"/>
      <c r="BZ552" s="267"/>
      <c r="CA552" s="267"/>
      <c r="CB552" s="267"/>
      <c r="CC552" s="267"/>
      <c r="CD552" s="267"/>
      <c r="CE552" s="267"/>
      <c r="CF552" s="267"/>
      <c r="CG552" s="267"/>
    </row>
    <row r="553" spans="70:85" ht="12.75" customHeight="1" x14ac:dyDescent="0.25">
      <c r="BR553" s="177"/>
      <c r="BS553" s="177"/>
      <c r="BT553" s="267"/>
      <c r="BU553" s="267"/>
      <c r="BV553" s="267"/>
      <c r="BW553" s="267"/>
      <c r="BX553" s="267"/>
      <c r="BY553" s="267"/>
      <c r="BZ553" s="267"/>
      <c r="CA553" s="267"/>
      <c r="CB553" s="267"/>
      <c r="CC553" s="267"/>
      <c r="CD553" s="267"/>
      <c r="CE553" s="267"/>
      <c r="CF553" s="267"/>
      <c r="CG553" s="267"/>
    </row>
    <row r="554" spans="70:85" ht="12.75" customHeight="1" x14ac:dyDescent="0.25">
      <c r="BR554" s="177"/>
      <c r="BS554" s="177"/>
      <c r="BT554" s="267"/>
      <c r="BU554" s="267"/>
      <c r="BV554" s="267"/>
      <c r="BW554" s="267"/>
      <c r="BX554" s="267"/>
      <c r="BY554" s="267"/>
      <c r="BZ554" s="267"/>
      <c r="CA554" s="267"/>
      <c r="CB554" s="267"/>
      <c r="CC554" s="267"/>
      <c r="CD554" s="267"/>
      <c r="CE554" s="267"/>
      <c r="CF554" s="267"/>
      <c r="CG554" s="267"/>
    </row>
    <row r="555" spans="70:85" ht="12.75" customHeight="1" x14ac:dyDescent="0.25">
      <c r="BR555" s="177"/>
      <c r="BS555" s="177"/>
      <c r="BT555" s="267"/>
      <c r="BU555" s="267"/>
      <c r="BV555" s="267"/>
      <c r="BW555" s="267"/>
      <c r="BX555" s="267"/>
      <c r="BY555" s="267"/>
      <c r="BZ555" s="267"/>
      <c r="CA555" s="267"/>
      <c r="CB555" s="267"/>
      <c r="CC555" s="267"/>
      <c r="CD555" s="267"/>
      <c r="CE555" s="267"/>
      <c r="CF555" s="267"/>
      <c r="CG555" s="267"/>
    </row>
    <row r="556" spans="70:85" ht="12.75" customHeight="1" x14ac:dyDescent="0.25">
      <c r="BR556" s="177"/>
      <c r="BS556" s="177"/>
      <c r="BT556" s="267"/>
      <c r="BU556" s="267"/>
      <c r="BV556" s="267"/>
      <c r="BW556" s="267"/>
      <c r="BX556" s="267"/>
      <c r="BY556" s="267"/>
      <c r="BZ556" s="267"/>
      <c r="CA556" s="267"/>
      <c r="CB556" s="267"/>
      <c r="CC556" s="267"/>
      <c r="CD556" s="267"/>
      <c r="CE556" s="267"/>
      <c r="CF556" s="267"/>
      <c r="CG556" s="267"/>
    </row>
    <row r="557" spans="70:85" ht="12.75" customHeight="1" x14ac:dyDescent="0.25">
      <c r="BR557" s="177"/>
      <c r="BS557" s="177"/>
      <c r="BT557" s="267"/>
      <c r="BU557" s="267"/>
      <c r="BV557" s="267"/>
      <c r="BW557" s="267"/>
      <c r="BX557" s="267"/>
      <c r="BY557" s="267"/>
      <c r="BZ557" s="267"/>
      <c r="CA557" s="267"/>
      <c r="CB557" s="267"/>
      <c r="CC557" s="267"/>
      <c r="CD557" s="267"/>
      <c r="CE557" s="267"/>
      <c r="CF557" s="267"/>
      <c r="CG557" s="267"/>
    </row>
    <row r="558" spans="70:85" ht="12.75" customHeight="1" x14ac:dyDescent="0.25">
      <c r="BR558" s="177"/>
      <c r="BS558" s="177"/>
      <c r="BT558" s="267"/>
      <c r="BU558" s="267"/>
      <c r="BV558" s="267"/>
      <c r="BW558" s="267"/>
      <c r="BX558" s="267"/>
      <c r="BY558" s="267"/>
      <c r="BZ558" s="267"/>
      <c r="CA558" s="267"/>
      <c r="CB558" s="267"/>
      <c r="CC558" s="267"/>
      <c r="CD558" s="267"/>
      <c r="CE558" s="267"/>
      <c r="CF558" s="267"/>
      <c r="CG558" s="267"/>
    </row>
    <row r="559" spans="70:85" ht="12.75" customHeight="1" x14ac:dyDescent="0.25">
      <c r="BR559" s="177"/>
      <c r="BS559" s="177"/>
      <c r="BT559" s="267"/>
      <c r="BU559" s="267"/>
      <c r="BV559" s="267"/>
      <c r="BW559" s="267"/>
      <c r="BX559" s="267"/>
      <c r="BY559" s="267"/>
      <c r="BZ559" s="267"/>
      <c r="CA559" s="267"/>
      <c r="CB559" s="267"/>
      <c r="CC559" s="267"/>
      <c r="CD559" s="267"/>
      <c r="CE559" s="267"/>
      <c r="CF559" s="267"/>
      <c r="CG559" s="267"/>
    </row>
    <row r="560" spans="70:85" ht="12.75" customHeight="1" x14ac:dyDescent="0.25">
      <c r="BR560" s="177"/>
      <c r="BS560" s="177"/>
      <c r="BT560" s="267"/>
      <c r="BU560" s="267"/>
      <c r="BV560" s="267"/>
      <c r="BW560" s="267"/>
      <c r="BX560" s="267"/>
      <c r="BY560" s="267"/>
      <c r="BZ560" s="267"/>
      <c r="CA560" s="267"/>
      <c r="CB560" s="267"/>
      <c r="CC560" s="267"/>
      <c r="CD560" s="267"/>
      <c r="CE560" s="267"/>
      <c r="CF560" s="267"/>
      <c r="CG560" s="267"/>
    </row>
    <row r="561" spans="70:85" ht="12.75" customHeight="1" x14ac:dyDescent="0.25">
      <c r="BR561" s="177"/>
      <c r="BS561" s="177"/>
      <c r="BT561" s="267"/>
      <c r="BU561" s="267"/>
      <c r="BV561" s="267"/>
      <c r="BW561" s="267"/>
      <c r="BX561" s="267"/>
      <c r="BY561" s="267"/>
      <c r="BZ561" s="267"/>
      <c r="CA561" s="267"/>
      <c r="CB561" s="267"/>
      <c r="CC561" s="267"/>
      <c r="CD561" s="267"/>
      <c r="CE561" s="267"/>
      <c r="CF561" s="267"/>
      <c r="CG561" s="267"/>
    </row>
    <row r="562" spans="70:85" ht="12.75" customHeight="1" x14ac:dyDescent="0.25">
      <c r="BR562" s="177"/>
      <c r="BS562" s="177"/>
      <c r="BT562" s="267"/>
      <c r="BU562" s="267"/>
      <c r="BV562" s="267"/>
      <c r="BW562" s="267"/>
      <c r="BX562" s="267"/>
      <c r="BY562" s="267"/>
      <c r="BZ562" s="267"/>
      <c r="CA562" s="267"/>
      <c r="CB562" s="267"/>
      <c r="CC562" s="267"/>
      <c r="CD562" s="267"/>
      <c r="CE562" s="267"/>
      <c r="CF562" s="267"/>
      <c r="CG562" s="267"/>
    </row>
    <row r="563" spans="70:85" ht="12.75" customHeight="1" x14ac:dyDescent="0.25">
      <c r="BR563" s="177"/>
      <c r="BS563" s="177"/>
      <c r="BT563" s="267"/>
      <c r="BU563" s="267"/>
      <c r="BV563" s="267"/>
      <c r="BW563" s="267"/>
      <c r="BX563" s="267"/>
      <c r="BY563" s="267"/>
      <c r="BZ563" s="267"/>
      <c r="CA563" s="267"/>
      <c r="CB563" s="267"/>
      <c r="CC563" s="267"/>
      <c r="CD563" s="267"/>
      <c r="CE563" s="267"/>
      <c r="CF563" s="267"/>
      <c r="CG563" s="267"/>
    </row>
    <row r="564" spans="70:85" ht="12.75" customHeight="1" x14ac:dyDescent="0.25">
      <c r="BR564" s="177"/>
      <c r="BS564" s="177"/>
      <c r="BT564" s="267"/>
      <c r="BU564" s="267"/>
      <c r="BV564" s="267"/>
      <c r="BW564" s="267"/>
      <c r="BX564" s="267"/>
      <c r="BY564" s="267"/>
      <c r="BZ564" s="267"/>
      <c r="CA564" s="267"/>
      <c r="CB564" s="267"/>
      <c r="CC564" s="267"/>
      <c r="CD564" s="267"/>
      <c r="CE564" s="267"/>
      <c r="CF564" s="267"/>
      <c r="CG564" s="267"/>
    </row>
    <row r="565" spans="70:85" ht="12.75" customHeight="1" x14ac:dyDescent="0.25">
      <c r="BR565" s="177"/>
      <c r="BS565" s="177"/>
      <c r="BT565" s="267"/>
      <c r="BU565" s="267"/>
      <c r="BV565" s="267"/>
      <c r="BW565" s="267"/>
      <c r="BX565" s="267"/>
      <c r="BY565" s="267"/>
      <c r="BZ565" s="267"/>
      <c r="CA565" s="267"/>
      <c r="CB565" s="267"/>
      <c r="CC565" s="267"/>
      <c r="CD565" s="267"/>
      <c r="CE565" s="267"/>
      <c r="CF565" s="267"/>
      <c r="CG565" s="267"/>
    </row>
    <row r="566" spans="70:85" ht="12.75" customHeight="1" x14ac:dyDescent="0.25">
      <c r="BR566" s="177"/>
      <c r="BS566" s="177"/>
      <c r="BT566" s="267"/>
      <c r="BU566" s="267"/>
      <c r="BV566" s="267"/>
      <c r="BW566" s="267"/>
      <c r="BX566" s="267"/>
      <c r="BY566" s="267"/>
      <c r="BZ566" s="267"/>
      <c r="CA566" s="267"/>
      <c r="CB566" s="267"/>
      <c r="CC566" s="267"/>
      <c r="CD566" s="267"/>
      <c r="CE566" s="267"/>
      <c r="CF566" s="267"/>
      <c r="CG566" s="267"/>
    </row>
    <row r="567" spans="70:85" ht="12.75" customHeight="1" x14ac:dyDescent="0.25">
      <c r="BR567" s="177"/>
      <c r="BS567" s="177"/>
      <c r="BT567" s="267"/>
      <c r="BU567" s="267"/>
      <c r="BV567" s="267"/>
      <c r="BW567" s="267"/>
      <c r="BX567" s="267"/>
      <c r="BY567" s="267"/>
      <c r="BZ567" s="267"/>
      <c r="CA567" s="267"/>
      <c r="CB567" s="267"/>
      <c r="CC567" s="267"/>
      <c r="CD567" s="267"/>
      <c r="CE567" s="267"/>
      <c r="CF567" s="267"/>
      <c r="CG567" s="267"/>
    </row>
    <row r="568" spans="70:85" ht="12.75" customHeight="1" x14ac:dyDescent="0.25">
      <c r="BR568" s="177"/>
      <c r="BS568" s="177"/>
      <c r="BT568" s="267"/>
      <c r="BU568" s="267"/>
      <c r="BV568" s="267"/>
      <c r="BW568" s="267"/>
      <c r="BX568" s="267"/>
      <c r="BY568" s="267"/>
      <c r="BZ568" s="267"/>
      <c r="CA568" s="267"/>
      <c r="CB568" s="267"/>
      <c r="CC568" s="267"/>
      <c r="CD568" s="267"/>
      <c r="CE568" s="267"/>
      <c r="CF568" s="267"/>
      <c r="CG568" s="267"/>
    </row>
    <row r="569" spans="70:85" ht="12.75" customHeight="1" x14ac:dyDescent="0.25">
      <c r="BR569" s="177"/>
      <c r="BS569" s="177"/>
      <c r="BT569" s="267"/>
      <c r="BU569" s="267"/>
      <c r="BV569" s="267"/>
      <c r="BW569" s="267"/>
      <c r="BX569" s="267"/>
      <c r="BY569" s="267"/>
      <c r="BZ569" s="267"/>
      <c r="CA569" s="267"/>
      <c r="CB569" s="267"/>
      <c r="CC569" s="267"/>
      <c r="CD569" s="267"/>
      <c r="CE569" s="267"/>
      <c r="CF569" s="267"/>
      <c r="CG569" s="267"/>
    </row>
    <row r="570" spans="70:85" ht="12.75" customHeight="1" x14ac:dyDescent="0.25">
      <c r="BR570" s="177"/>
      <c r="BS570" s="177"/>
      <c r="BT570" s="267"/>
      <c r="BU570" s="267"/>
      <c r="BV570" s="267"/>
      <c r="BW570" s="267"/>
      <c r="BX570" s="267"/>
      <c r="BY570" s="267"/>
      <c r="BZ570" s="267"/>
      <c r="CA570" s="267"/>
      <c r="CB570" s="267"/>
      <c r="CC570" s="267"/>
      <c r="CD570" s="267"/>
      <c r="CE570" s="267"/>
      <c r="CF570" s="267"/>
      <c r="CG570" s="267"/>
    </row>
    <row r="571" spans="70:85" ht="12.75" customHeight="1" x14ac:dyDescent="0.25">
      <c r="BR571" s="177"/>
      <c r="BS571" s="177"/>
      <c r="BT571" s="267"/>
      <c r="BU571" s="267"/>
      <c r="BV571" s="267"/>
      <c r="BW571" s="267"/>
      <c r="BX571" s="267"/>
      <c r="BY571" s="267"/>
      <c r="BZ571" s="267"/>
      <c r="CA571" s="267"/>
      <c r="CB571" s="267"/>
      <c r="CC571" s="267"/>
      <c r="CD571" s="267"/>
      <c r="CE571" s="267"/>
      <c r="CF571" s="267"/>
      <c r="CG571" s="267"/>
    </row>
    <row r="572" spans="70:85" ht="12.75" customHeight="1" x14ac:dyDescent="0.25">
      <c r="BR572" s="177"/>
      <c r="BS572" s="177"/>
      <c r="BT572" s="267"/>
      <c r="BU572" s="267"/>
      <c r="BV572" s="267"/>
      <c r="BW572" s="267"/>
      <c r="BX572" s="267"/>
      <c r="BY572" s="267"/>
      <c r="BZ572" s="267"/>
      <c r="CA572" s="267"/>
      <c r="CB572" s="267"/>
      <c r="CC572" s="267"/>
      <c r="CD572" s="267"/>
      <c r="CE572" s="267"/>
      <c r="CF572" s="267"/>
      <c r="CG572" s="267"/>
    </row>
    <row r="573" spans="70:85" ht="12.75" customHeight="1" x14ac:dyDescent="0.25">
      <c r="BR573" s="177"/>
      <c r="BS573" s="177"/>
      <c r="BT573" s="267"/>
      <c r="BU573" s="267"/>
      <c r="BV573" s="267"/>
      <c r="BW573" s="267"/>
      <c r="BX573" s="267"/>
      <c r="BY573" s="267"/>
      <c r="BZ573" s="267"/>
      <c r="CA573" s="267"/>
      <c r="CB573" s="267"/>
      <c r="CC573" s="267"/>
      <c r="CD573" s="267"/>
      <c r="CE573" s="267"/>
      <c r="CF573" s="267"/>
      <c r="CG573" s="267"/>
    </row>
    <row r="574" spans="70:85" ht="12.75" customHeight="1" x14ac:dyDescent="0.25">
      <c r="BR574" s="177"/>
      <c r="BS574" s="177"/>
      <c r="BT574" s="267"/>
      <c r="BU574" s="267"/>
      <c r="BV574" s="267"/>
      <c r="BW574" s="267"/>
      <c r="BX574" s="267"/>
      <c r="BY574" s="267"/>
      <c r="BZ574" s="267"/>
      <c r="CA574" s="267"/>
      <c r="CB574" s="267"/>
      <c r="CC574" s="267"/>
      <c r="CD574" s="267"/>
      <c r="CE574" s="267"/>
      <c r="CF574" s="267"/>
      <c r="CG574" s="267"/>
    </row>
    <row r="575" spans="70:85" ht="12.75" customHeight="1" x14ac:dyDescent="0.25">
      <c r="BR575" s="177"/>
      <c r="BS575" s="177"/>
      <c r="BT575" s="267"/>
      <c r="BU575" s="267"/>
      <c r="BV575" s="267"/>
      <c r="BW575" s="267"/>
      <c r="BX575" s="267"/>
      <c r="BY575" s="267"/>
      <c r="BZ575" s="267"/>
      <c r="CA575" s="267"/>
      <c r="CB575" s="267"/>
      <c r="CC575" s="267"/>
      <c r="CD575" s="267"/>
      <c r="CE575" s="267"/>
      <c r="CF575" s="267"/>
      <c r="CG575" s="267"/>
    </row>
    <row r="576" spans="70:85" ht="12.75" customHeight="1" x14ac:dyDescent="0.25">
      <c r="BR576" s="177"/>
      <c r="BS576" s="177"/>
      <c r="BT576" s="267"/>
      <c r="BU576" s="267"/>
      <c r="BV576" s="267"/>
      <c r="BW576" s="267"/>
      <c r="BX576" s="267"/>
      <c r="BY576" s="267"/>
      <c r="BZ576" s="267"/>
      <c r="CA576" s="267"/>
      <c r="CB576" s="267"/>
      <c r="CC576" s="267"/>
      <c r="CD576" s="267"/>
      <c r="CE576" s="267"/>
      <c r="CF576" s="267"/>
      <c r="CG576" s="267"/>
    </row>
    <row r="577" spans="70:85" ht="12.75" customHeight="1" x14ac:dyDescent="0.25">
      <c r="BR577" s="177"/>
      <c r="BS577" s="177"/>
      <c r="BT577" s="267"/>
      <c r="BU577" s="267"/>
      <c r="BV577" s="267"/>
      <c r="BW577" s="267"/>
      <c r="BX577" s="267"/>
      <c r="BY577" s="267"/>
      <c r="BZ577" s="267"/>
      <c r="CA577" s="267"/>
      <c r="CB577" s="267"/>
      <c r="CC577" s="267"/>
      <c r="CD577" s="267"/>
      <c r="CE577" s="267"/>
      <c r="CF577" s="267"/>
      <c r="CG577" s="267"/>
    </row>
    <row r="578" spans="70:85" ht="12.75" customHeight="1" x14ac:dyDescent="0.25">
      <c r="BR578" s="177"/>
      <c r="BS578" s="177"/>
      <c r="BT578" s="267"/>
      <c r="BU578" s="267"/>
      <c r="BV578" s="267"/>
      <c r="BW578" s="267"/>
      <c r="BX578" s="267"/>
      <c r="BY578" s="267"/>
      <c r="BZ578" s="267"/>
      <c r="CA578" s="267"/>
      <c r="CB578" s="267"/>
      <c r="CC578" s="267"/>
      <c r="CD578" s="267"/>
      <c r="CE578" s="267"/>
      <c r="CF578" s="267"/>
      <c r="CG578" s="267"/>
    </row>
    <row r="579" spans="70:85" ht="12.75" customHeight="1" x14ac:dyDescent="0.25">
      <c r="BR579" s="177"/>
      <c r="BS579" s="177"/>
      <c r="BT579" s="267"/>
      <c r="BU579" s="267"/>
      <c r="BV579" s="267"/>
      <c r="BW579" s="267"/>
      <c r="BX579" s="267"/>
      <c r="BY579" s="267"/>
      <c r="BZ579" s="267"/>
      <c r="CA579" s="267"/>
      <c r="CB579" s="267"/>
      <c r="CC579" s="267"/>
      <c r="CD579" s="267"/>
      <c r="CE579" s="267"/>
      <c r="CF579" s="267"/>
      <c r="CG579" s="267"/>
    </row>
    <row r="580" spans="70:85" ht="12.75" customHeight="1" x14ac:dyDescent="0.25">
      <c r="BR580" s="177"/>
      <c r="BS580" s="177"/>
      <c r="BT580" s="267"/>
      <c r="BU580" s="267"/>
      <c r="BV580" s="267"/>
      <c r="BW580" s="267"/>
      <c r="BX580" s="267"/>
      <c r="BY580" s="267"/>
      <c r="BZ580" s="267"/>
      <c r="CA580" s="267"/>
      <c r="CB580" s="267"/>
      <c r="CC580" s="267"/>
      <c r="CD580" s="267"/>
      <c r="CE580" s="267"/>
      <c r="CF580" s="267"/>
      <c r="CG580" s="267"/>
    </row>
    <row r="581" spans="70:85" ht="12.75" customHeight="1" x14ac:dyDescent="0.25">
      <c r="BR581" s="177"/>
      <c r="BS581" s="177"/>
      <c r="BT581" s="267"/>
      <c r="BU581" s="267"/>
      <c r="BV581" s="267"/>
      <c r="BW581" s="267"/>
      <c r="BX581" s="267"/>
      <c r="BY581" s="267"/>
      <c r="BZ581" s="267"/>
      <c r="CA581" s="267"/>
      <c r="CB581" s="267"/>
      <c r="CC581" s="267"/>
      <c r="CD581" s="267"/>
      <c r="CE581" s="267"/>
      <c r="CF581" s="267"/>
      <c r="CG581" s="267"/>
    </row>
    <row r="582" spans="70:85" ht="12.75" customHeight="1" x14ac:dyDescent="0.25">
      <c r="BR582" s="177"/>
      <c r="BS582" s="177"/>
      <c r="BT582" s="267"/>
      <c r="BU582" s="267"/>
      <c r="BV582" s="267"/>
      <c r="BW582" s="267"/>
      <c r="BX582" s="267"/>
      <c r="BY582" s="267"/>
      <c r="BZ582" s="267"/>
      <c r="CA582" s="267"/>
      <c r="CB582" s="267"/>
      <c r="CC582" s="267"/>
      <c r="CD582" s="267"/>
      <c r="CE582" s="267"/>
      <c r="CF582" s="267"/>
      <c r="CG582" s="267"/>
    </row>
    <row r="583" spans="70:85" ht="12.75" customHeight="1" x14ac:dyDescent="0.25">
      <c r="BR583" s="177"/>
      <c r="BS583" s="177"/>
      <c r="BT583" s="267"/>
      <c r="BU583" s="267"/>
      <c r="BV583" s="267"/>
      <c r="BW583" s="267"/>
      <c r="BX583" s="267"/>
      <c r="BY583" s="267"/>
      <c r="BZ583" s="267"/>
      <c r="CA583" s="267"/>
      <c r="CB583" s="267"/>
      <c r="CC583" s="267"/>
      <c r="CD583" s="267"/>
      <c r="CE583" s="267"/>
      <c r="CF583" s="267"/>
      <c r="CG583" s="267"/>
    </row>
    <row r="584" spans="70:85" ht="12.75" customHeight="1" x14ac:dyDescent="0.25">
      <c r="BR584" s="177"/>
      <c r="BS584" s="177"/>
      <c r="BT584" s="267"/>
      <c r="BU584" s="267"/>
      <c r="BV584" s="267"/>
      <c r="BW584" s="267"/>
      <c r="BX584" s="267"/>
      <c r="BY584" s="267"/>
      <c r="BZ584" s="267"/>
      <c r="CA584" s="267"/>
      <c r="CB584" s="267"/>
      <c r="CC584" s="267"/>
      <c r="CD584" s="267"/>
      <c r="CE584" s="267"/>
      <c r="CF584" s="267"/>
      <c r="CG584" s="267"/>
    </row>
    <row r="585" spans="70:85" ht="12.75" customHeight="1" x14ac:dyDescent="0.25">
      <c r="BR585" s="177"/>
      <c r="BS585" s="177"/>
      <c r="BT585" s="267"/>
      <c r="BU585" s="267"/>
      <c r="BV585" s="267"/>
      <c r="BW585" s="267"/>
      <c r="BX585" s="267"/>
      <c r="BY585" s="267"/>
      <c r="BZ585" s="267"/>
      <c r="CA585" s="267"/>
      <c r="CB585" s="267"/>
      <c r="CC585" s="267"/>
      <c r="CD585" s="267"/>
      <c r="CE585" s="267"/>
      <c r="CF585" s="267"/>
      <c r="CG585" s="267"/>
    </row>
    <row r="586" spans="70:85" ht="12.75" customHeight="1" x14ac:dyDescent="0.25">
      <c r="BR586" s="177"/>
      <c r="BS586" s="177"/>
      <c r="BT586" s="267"/>
      <c r="BU586" s="267"/>
      <c r="BV586" s="267"/>
      <c r="BW586" s="267"/>
      <c r="BX586" s="267"/>
      <c r="BY586" s="267"/>
      <c r="BZ586" s="267"/>
      <c r="CA586" s="267"/>
      <c r="CB586" s="267"/>
      <c r="CC586" s="267"/>
      <c r="CD586" s="267"/>
      <c r="CE586" s="267"/>
      <c r="CF586" s="267"/>
      <c r="CG586" s="267"/>
    </row>
    <row r="587" spans="70:85" ht="12.75" customHeight="1" x14ac:dyDescent="0.25">
      <c r="BR587" s="177"/>
      <c r="BS587" s="177"/>
      <c r="BT587" s="267"/>
      <c r="BU587" s="267"/>
      <c r="BV587" s="267"/>
      <c r="BW587" s="267"/>
      <c r="BX587" s="267"/>
      <c r="BY587" s="267"/>
      <c r="BZ587" s="267"/>
      <c r="CA587" s="267"/>
      <c r="CB587" s="267"/>
      <c r="CC587" s="267"/>
      <c r="CD587" s="267"/>
      <c r="CE587" s="267"/>
      <c r="CF587" s="267"/>
      <c r="CG587" s="267"/>
    </row>
    <row r="588" spans="70:85" ht="12.75" customHeight="1" x14ac:dyDescent="0.25">
      <c r="BR588" s="177"/>
      <c r="BS588" s="177"/>
      <c r="BT588" s="267"/>
      <c r="BU588" s="267"/>
      <c r="BV588" s="267"/>
      <c r="BW588" s="267"/>
      <c r="BX588" s="267"/>
      <c r="BY588" s="267"/>
      <c r="BZ588" s="267"/>
      <c r="CA588" s="267"/>
      <c r="CB588" s="267"/>
      <c r="CC588" s="267"/>
      <c r="CD588" s="267"/>
      <c r="CE588" s="267"/>
      <c r="CF588" s="267"/>
      <c r="CG588" s="267"/>
    </row>
    <row r="589" spans="70:85" ht="12.75" customHeight="1" x14ac:dyDescent="0.25">
      <c r="BR589" s="177"/>
      <c r="BS589" s="177"/>
      <c r="BT589" s="267"/>
      <c r="BU589" s="267"/>
      <c r="BV589" s="267"/>
      <c r="BW589" s="267"/>
      <c r="BX589" s="267"/>
      <c r="BY589" s="267"/>
      <c r="BZ589" s="267"/>
      <c r="CA589" s="267"/>
      <c r="CB589" s="267"/>
      <c r="CC589" s="267"/>
      <c r="CD589" s="267"/>
      <c r="CE589" s="267"/>
      <c r="CF589" s="267"/>
      <c r="CG589" s="267"/>
    </row>
    <row r="590" spans="70:85" ht="12.75" customHeight="1" x14ac:dyDescent="0.25">
      <c r="BR590" s="177"/>
      <c r="BS590" s="177"/>
      <c r="BT590" s="267"/>
      <c r="BU590" s="267"/>
      <c r="BV590" s="267"/>
      <c r="BW590" s="267"/>
      <c r="BX590" s="267"/>
      <c r="BY590" s="267"/>
      <c r="BZ590" s="267"/>
      <c r="CA590" s="267"/>
      <c r="CB590" s="267"/>
      <c r="CC590" s="267"/>
      <c r="CD590" s="267"/>
      <c r="CE590" s="267"/>
      <c r="CF590" s="267"/>
      <c r="CG590" s="267"/>
    </row>
    <row r="591" spans="70:85" ht="12.75" customHeight="1" x14ac:dyDescent="0.25">
      <c r="BR591" s="177"/>
      <c r="BS591" s="177"/>
      <c r="BT591" s="267"/>
      <c r="BU591" s="267"/>
      <c r="BV591" s="267"/>
      <c r="BW591" s="267"/>
      <c r="BX591" s="267"/>
      <c r="BY591" s="267"/>
      <c r="BZ591" s="267"/>
      <c r="CA591" s="267"/>
      <c r="CB591" s="267"/>
      <c r="CC591" s="267"/>
      <c r="CD591" s="267"/>
      <c r="CE591" s="267"/>
      <c r="CF591" s="267"/>
      <c r="CG591" s="267"/>
    </row>
    <row r="592" spans="70:85" ht="12.75" customHeight="1" x14ac:dyDescent="0.25">
      <c r="BR592" s="177"/>
      <c r="BS592" s="177"/>
      <c r="BT592" s="267"/>
      <c r="BU592" s="267"/>
      <c r="BV592" s="267"/>
      <c r="BW592" s="267"/>
      <c r="BX592" s="267"/>
      <c r="BY592" s="267"/>
      <c r="BZ592" s="267"/>
      <c r="CA592" s="267"/>
      <c r="CB592" s="267"/>
      <c r="CC592" s="267"/>
      <c r="CD592" s="267"/>
      <c r="CE592" s="267"/>
      <c r="CF592" s="267"/>
      <c r="CG592" s="267"/>
    </row>
    <row r="593" spans="70:85" ht="12.75" customHeight="1" x14ac:dyDescent="0.25">
      <c r="BR593" s="177"/>
      <c r="BS593" s="177"/>
      <c r="BT593" s="267"/>
      <c r="BU593" s="267"/>
      <c r="BV593" s="267"/>
      <c r="BW593" s="267"/>
      <c r="BX593" s="267"/>
      <c r="BY593" s="267"/>
      <c r="BZ593" s="267"/>
      <c r="CA593" s="267"/>
      <c r="CB593" s="267"/>
      <c r="CC593" s="267"/>
      <c r="CD593" s="267"/>
      <c r="CE593" s="267"/>
      <c r="CF593" s="267"/>
      <c r="CG593" s="267"/>
    </row>
    <row r="594" spans="70:85" ht="12.75" customHeight="1" x14ac:dyDescent="0.25">
      <c r="BR594" s="177"/>
      <c r="BS594" s="177"/>
      <c r="BT594" s="267"/>
      <c r="BU594" s="267"/>
      <c r="BV594" s="267"/>
      <c r="BW594" s="267"/>
      <c r="BX594" s="267"/>
      <c r="BY594" s="267"/>
      <c r="BZ594" s="267"/>
      <c r="CA594" s="267"/>
      <c r="CB594" s="267"/>
      <c r="CC594" s="267"/>
      <c r="CD594" s="267"/>
      <c r="CE594" s="267"/>
      <c r="CF594" s="267"/>
      <c r="CG594" s="267"/>
    </row>
    <row r="595" spans="70:85" ht="12.75" customHeight="1" x14ac:dyDescent="0.25">
      <c r="BR595" s="177"/>
      <c r="BS595" s="177"/>
      <c r="BT595" s="267"/>
      <c r="BU595" s="267"/>
      <c r="BV595" s="267"/>
      <c r="BW595" s="267"/>
      <c r="BX595" s="267"/>
      <c r="BY595" s="267"/>
      <c r="BZ595" s="267"/>
      <c r="CA595" s="267"/>
      <c r="CB595" s="267"/>
      <c r="CC595" s="267"/>
      <c r="CD595" s="267"/>
      <c r="CE595" s="267"/>
      <c r="CF595" s="267"/>
      <c r="CG595" s="267"/>
    </row>
    <row r="596" spans="70:85" ht="12.75" customHeight="1" x14ac:dyDescent="0.25">
      <c r="BR596" s="177"/>
      <c r="BS596" s="177"/>
      <c r="BT596" s="267"/>
      <c r="BU596" s="267"/>
      <c r="BV596" s="267"/>
      <c r="BW596" s="267"/>
      <c r="BX596" s="267"/>
      <c r="BY596" s="267"/>
      <c r="BZ596" s="267"/>
      <c r="CA596" s="267"/>
      <c r="CB596" s="267"/>
      <c r="CC596" s="267"/>
      <c r="CD596" s="267"/>
      <c r="CE596" s="267"/>
      <c r="CF596" s="267"/>
      <c r="CG596" s="267"/>
    </row>
    <row r="597" spans="70:85" ht="12.75" customHeight="1" x14ac:dyDescent="0.25">
      <c r="BR597" s="177"/>
      <c r="BS597" s="177"/>
      <c r="BT597" s="267"/>
      <c r="BU597" s="267"/>
      <c r="BV597" s="267"/>
      <c r="BW597" s="267"/>
      <c r="BX597" s="267"/>
      <c r="BY597" s="267"/>
      <c r="BZ597" s="267"/>
      <c r="CA597" s="267"/>
      <c r="CB597" s="267"/>
      <c r="CC597" s="267"/>
      <c r="CD597" s="267"/>
      <c r="CE597" s="267"/>
      <c r="CF597" s="267"/>
      <c r="CG597" s="267"/>
    </row>
    <row r="598" spans="70:85" ht="12.75" customHeight="1" x14ac:dyDescent="0.25">
      <c r="BR598" s="177"/>
      <c r="BS598" s="177"/>
      <c r="BT598" s="267"/>
      <c r="BU598" s="267"/>
      <c r="BV598" s="267"/>
      <c r="BW598" s="267"/>
      <c r="BX598" s="267"/>
      <c r="BY598" s="267"/>
      <c r="BZ598" s="267"/>
      <c r="CA598" s="267"/>
      <c r="CB598" s="267"/>
      <c r="CC598" s="267"/>
      <c r="CD598" s="267"/>
      <c r="CE598" s="267"/>
      <c r="CF598" s="267"/>
      <c r="CG598" s="267"/>
    </row>
    <row r="599" spans="70:85" ht="12.75" customHeight="1" x14ac:dyDescent="0.25">
      <c r="BR599" s="177"/>
      <c r="BS599" s="177"/>
      <c r="BT599" s="267"/>
      <c r="BU599" s="267"/>
      <c r="BV599" s="267"/>
      <c r="BW599" s="267"/>
      <c r="BX599" s="267"/>
      <c r="BY599" s="267"/>
      <c r="BZ599" s="267"/>
      <c r="CA599" s="267"/>
      <c r="CB599" s="267"/>
      <c r="CC599" s="267"/>
      <c r="CD599" s="267"/>
      <c r="CE599" s="267"/>
      <c r="CF599" s="267"/>
      <c r="CG599" s="267"/>
    </row>
    <row r="600" spans="70:85" ht="12.75" customHeight="1" x14ac:dyDescent="0.25">
      <c r="BR600" s="177"/>
      <c r="BS600" s="177"/>
      <c r="BT600" s="267"/>
      <c r="BU600" s="267"/>
      <c r="BV600" s="267"/>
      <c r="BW600" s="267"/>
      <c r="BX600" s="267"/>
      <c r="BY600" s="267"/>
      <c r="BZ600" s="267"/>
      <c r="CA600" s="267"/>
      <c r="CB600" s="267"/>
      <c r="CC600" s="267"/>
      <c r="CD600" s="267"/>
      <c r="CE600" s="267"/>
      <c r="CF600" s="267"/>
      <c r="CG600" s="267"/>
    </row>
    <row r="601" spans="70:85" ht="12.75" customHeight="1" x14ac:dyDescent="0.25">
      <c r="BR601" s="177"/>
      <c r="BS601" s="177"/>
      <c r="BT601" s="267"/>
      <c r="BU601" s="267"/>
      <c r="BV601" s="267"/>
      <c r="BW601" s="267"/>
      <c r="BX601" s="267"/>
      <c r="BY601" s="267"/>
      <c r="BZ601" s="267"/>
      <c r="CA601" s="267"/>
      <c r="CB601" s="267"/>
      <c r="CC601" s="267"/>
      <c r="CD601" s="267"/>
      <c r="CE601" s="267"/>
      <c r="CF601" s="267"/>
      <c r="CG601" s="267"/>
    </row>
    <row r="602" spans="70:85" ht="12.75" customHeight="1" x14ac:dyDescent="0.25">
      <c r="BR602" s="177"/>
      <c r="BS602" s="177"/>
      <c r="BT602" s="267"/>
      <c r="BU602" s="267"/>
      <c r="BV602" s="267"/>
      <c r="BW602" s="267"/>
      <c r="BX602" s="267"/>
      <c r="BY602" s="267"/>
      <c r="BZ602" s="267"/>
      <c r="CA602" s="267"/>
      <c r="CB602" s="267"/>
      <c r="CC602" s="267"/>
      <c r="CD602" s="267"/>
      <c r="CE602" s="267"/>
      <c r="CF602" s="267"/>
      <c r="CG602" s="267"/>
    </row>
    <row r="603" spans="70:85" ht="12.75" customHeight="1" x14ac:dyDescent="0.25">
      <c r="BR603" s="177"/>
      <c r="BS603" s="177"/>
      <c r="BT603" s="267"/>
      <c r="BU603" s="267"/>
      <c r="BV603" s="267"/>
      <c r="BW603" s="267"/>
      <c r="BX603" s="267"/>
      <c r="BY603" s="267"/>
      <c r="BZ603" s="267"/>
      <c r="CA603" s="267"/>
      <c r="CB603" s="267"/>
      <c r="CC603" s="267"/>
      <c r="CD603" s="267"/>
      <c r="CE603" s="267"/>
      <c r="CF603" s="267"/>
      <c r="CG603" s="267"/>
    </row>
    <row r="604" spans="70:85" ht="12.75" customHeight="1" x14ac:dyDescent="0.25">
      <c r="BR604" s="177"/>
      <c r="BS604" s="177"/>
      <c r="BT604" s="267"/>
      <c r="BU604" s="267"/>
      <c r="BV604" s="267"/>
      <c r="BW604" s="267"/>
      <c r="BX604" s="267"/>
      <c r="BY604" s="267"/>
      <c r="BZ604" s="267"/>
      <c r="CA604" s="267"/>
      <c r="CB604" s="267"/>
      <c r="CC604" s="267"/>
      <c r="CD604" s="267"/>
      <c r="CE604" s="267"/>
      <c r="CF604" s="267"/>
      <c r="CG604" s="267"/>
    </row>
    <row r="605" spans="70:85" ht="12.75" customHeight="1" x14ac:dyDescent="0.25">
      <c r="BR605" s="177"/>
      <c r="BS605" s="177"/>
      <c r="BT605" s="267"/>
      <c r="BU605" s="267"/>
      <c r="BV605" s="267"/>
      <c r="BW605" s="267"/>
      <c r="BX605" s="267"/>
      <c r="BY605" s="267"/>
      <c r="BZ605" s="267"/>
      <c r="CA605" s="267"/>
      <c r="CB605" s="267"/>
      <c r="CC605" s="267"/>
      <c r="CD605" s="267"/>
      <c r="CE605" s="267"/>
      <c r="CF605" s="267"/>
      <c r="CG605" s="267"/>
    </row>
    <row r="606" spans="70:85" ht="12.75" customHeight="1" x14ac:dyDescent="0.25">
      <c r="BR606" s="177"/>
      <c r="BS606" s="177"/>
      <c r="BT606" s="267"/>
      <c r="BU606" s="267"/>
      <c r="BV606" s="267"/>
      <c r="BW606" s="267"/>
      <c r="BX606" s="267"/>
      <c r="BY606" s="267"/>
      <c r="BZ606" s="267"/>
      <c r="CA606" s="267"/>
      <c r="CB606" s="267"/>
      <c r="CC606" s="267"/>
      <c r="CD606" s="267"/>
      <c r="CE606" s="267"/>
      <c r="CF606" s="267"/>
      <c r="CG606" s="267"/>
    </row>
    <row r="607" spans="70:85" ht="12.75" customHeight="1" x14ac:dyDescent="0.25">
      <c r="BR607" s="177"/>
      <c r="BS607" s="177"/>
      <c r="BT607" s="267"/>
      <c r="BU607" s="267"/>
      <c r="BV607" s="267"/>
      <c r="BW607" s="267"/>
      <c r="BX607" s="267"/>
      <c r="BY607" s="267"/>
      <c r="BZ607" s="267"/>
      <c r="CA607" s="267"/>
      <c r="CB607" s="267"/>
      <c r="CC607" s="267"/>
      <c r="CD607" s="267"/>
      <c r="CE607" s="267"/>
      <c r="CF607" s="267"/>
      <c r="CG607" s="267"/>
    </row>
    <row r="608" spans="70:85" ht="12.75" customHeight="1" x14ac:dyDescent="0.25">
      <c r="BR608" s="177"/>
      <c r="BS608" s="177"/>
      <c r="BT608" s="267"/>
      <c r="BU608" s="267"/>
      <c r="BV608" s="267"/>
      <c r="BW608" s="267"/>
      <c r="BX608" s="267"/>
      <c r="BY608" s="267"/>
      <c r="BZ608" s="267"/>
      <c r="CA608" s="267"/>
      <c r="CB608" s="267"/>
      <c r="CC608" s="267"/>
      <c r="CD608" s="267"/>
      <c r="CE608" s="267"/>
      <c r="CF608" s="267"/>
      <c r="CG608" s="267"/>
    </row>
    <row r="609" spans="70:85" ht="12.75" customHeight="1" x14ac:dyDescent="0.25">
      <c r="BR609" s="177"/>
      <c r="BS609" s="177"/>
      <c r="BT609" s="267"/>
      <c r="BU609" s="267"/>
      <c r="BV609" s="267"/>
      <c r="BW609" s="267"/>
      <c r="BX609" s="267"/>
      <c r="BY609" s="267"/>
      <c r="BZ609" s="267"/>
      <c r="CA609" s="267"/>
      <c r="CB609" s="267"/>
      <c r="CC609" s="267"/>
      <c r="CD609" s="267"/>
      <c r="CE609" s="267"/>
      <c r="CF609" s="267"/>
      <c r="CG609" s="267"/>
    </row>
    <row r="610" spans="70:85" ht="12.75" customHeight="1" x14ac:dyDescent="0.25">
      <c r="BR610" s="177"/>
      <c r="BS610" s="177"/>
      <c r="BT610" s="267"/>
      <c r="BU610" s="267"/>
      <c r="BV610" s="267"/>
      <c r="BW610" s="267"/>
      <c r="BX610" s="267"/>
      <c r="BY610" s="267"/>
      <c r="BZ610" s="267"/>
      <c r="CA610" s="267"/>
      <c r="CB610" s="267"/>
      <c r="CC610" s="267"/>
      <c r="CD610" s="267"/>
      <c r="CE610" s="267"/>
      <c r="CF610" s="267"/>
      <c r="CG610" s="267"/>
    </row>
    <row r="611" spans="70:85" ht="12.75" customHeight="1" x14ac:dyDescent="0.25">
      <c r="BR611" s="177"/>
      <c r="BS611" s="177"/>
      <c r="BT611" s="267"/>
      <c r="BU611" s="267"/>
      <c r="BV611" s="267"/>
      <c r="BW611" s="267"/>
      <c r="BX611" s="267"/>
      <c r="BY611" s="267"/>
      <c r="BZ611" s="267"/>
      <c r="CA611" s="267"/>
      <c r="CB611" s="267"/>
      <c r="CC611" s="267"/>
      <c r="CD611" s="267"/>
      <c r="CE611" s="267"/>
      <c r="CF611" s="267"/>
      <c r="CG611" s="267"/>
    </row>
    <row r="612" spans="70:85" ht="12.75" customHeight="1" x14ac:dyDescent="0.25">
      <c r="BR612" s="177"/>
      <c r="BS612" s="177"/>
      <c r="BT612" s="267"/>
      <c r="BU612" s="267"/>
      <c r="BV612" s="267"/>
      <c r="BW612" s="267"/>
      <c r="BX612" s="267"/>
      <c r="BY612" s="267"/>
      <c r="BZ612" s="267"/>
      <c r="CA612" s="267"/>
      <c r="CB612" s="267"/>
      <c r="CC612" s="267"/>
      <c r="CD612" s="267"/>
      <c r="CE612" s="267"/>
      <c r="CF612" s="267"/>
      <c r="CG612" s="267"/>
    </row>
    <row r="613" spans="70:85" ht="12.75" customHeight="1" x14ac:dyDescent="0.25">
      <c r="BR613" s="177"/>
      <c r="BS613" s="177"/>
      <c r="BT613" s="267"/>
      <c r="BU613" s="267"/>
      <c r="BV613" s="267"/>
      <c r="BW613" s="267"/>
      <c r="BX613" s="267"/>
      <c r="BY613" s="267"/>
      <c r="BZ613" s="267"/>
      <c r="CA613" s="267"/>
      <c r="CB613" s="267"/>
      <c r="CC613" s="267"/>
      <c r="CD613" s="267"/>
      <c r="CE613" s="267"/>
      <c r="CF613" s="267"/>
      <c r="CG613" s="267"/>
    </row>
    <row r="614" spans="70:85" ht="12.75" customHeight="1" x14ac:dyDescent="0.25">
      <c r="BR614" s="177"/>
      <c r="BS614" s="177"/>
      <c r="BT614" s="267"/>
      <c r="BU614" s="267"/>
      <c r="BV614" s="267"/>
      <c r="BW614" s="267"/>
      <c r="BX614" s="267"/>
      <c r="BY614" s="267"/>
      <c r="BZ614" s="267"/>
      <c r="CA614" s="267"/>
      <c r="CB614" s="267"/>
      <c r="CC614" s="267"/>
      <c r="CD614" s="267"/>
      <c r="CE614" s="267"/>
      <c r="CF614" s="267"/>
      <c r="CG614" s="267"/>
    </row>
    <row r="615" spans="70:85" ht="12.75" customHeight="1" x14ac:dyDescent="0.25">
      <c r="BR615" s="177"/>
      <c r="BS615" s="177"/>
      <c r="BT615" s="267"/>
      <c r="BU615" s="267"/>
      <c r="BV615" s="267"/>
      <c r="BW615" s="267"/>
      <c r="BX615" s="267"/>
      <c r="BY615" s="267"/>
      <c r="BZ615" s="267"/>
      <c r="CA615" s="267"/>
      <c r="CB615" s="267"/>
      <c r="CC615" s="267"/>
      <c r="CD615" s="267"/>
      <c r="CE615" s="267"/>
      <c r="CF615" s="267"/>
      <c r="CG615" s="267"/>
    </row>
    <row r="616" spans="70:85" ht="12.75" customHeight="1" x14ac:dyDescent="0.25">
      <c r="BR616" s="177"/>
      <c r="BS616" s="177"/>
      <c r="BT616" s="267"/>
      <c r="BU616" s="267"/>
      <c r="BV616" s="267"/>
      <c r="BW616" s="267"/>
      <c r="BX616" s="267"/>
      <c r="BY616" s="267"/>
      <c r="BZ616" s="267"/>
      <c r="CA616" s="267"/>
      <c r="CB616" s="267"/>
      <c r="CC616" s="267"/>
      <c r="CD616" s="267"/>
      <c r="CE616" s="267"/>
      <c r="CF616" s="267"/>
      <c r="CG616" s="267"/>
    </row>
    <row r="617" spans="70:85" ht="12.75" customHeight="1" x14ac:dyDescent="0.25">
      <c r="BR617" s="177"/>
      <c r="BS617" s="177"/>
      <c r="BT617" s="267"/>
      <c r="BU617" s="267"/>
      <c r="BV617" s="267"/>
      <c r="BW617" s="267"/>
      <c r="BX617" s="267"/>
      <c r="BY617" s="267"/>
      <c r="BZ617" s="267"/>
      <c r="CA617" s="267"/>
      <c r="CB617" s="267"/>
      <c r="CC617" s="267"/>
      <c r="CD617" s="267"/>
      <c r="CE617" s="267"/>
      <c r="CF617" s="267"/>
      <c r="CG617" s="267"/>
    </row>
    <row r="618" spans="70:85" ht="12.75" customHeight="1" x14ac:dyDescent="0.25">
      <c r="BR618" s="177"/>
      <c r="BS618" s="177"/>
      <c r="BT618" s="267"/>
      <c r="BU618" s="267"/>
      <c r="BV618" s="267"/>
      <c r="BW618" s="267"/>
      <c r="BX618" s="267"/>
      <c r="BY618" s="267"/>
      <c r="BZ618" s="267"/>
      <c r="CA618" s="267"/>
      <c r="CB618" s="267"/>
      <c r="CC618" s="267"/>
      <c r="CD618" s="267"/>
      <c r="CE618" s="267"/>
      <c r="CF618" s="267"/>
      <c r="CG618" s="267"/>
    </row>
    <row r="619" spans="70:85" ht="12.75" customHeight="1" x14ac:dyDescent="0.25">
      <c r="BR619" s="177"/>
      <c r="BS619" s="177"/>
      <c r="BT619" s="267"/>
      <c r="BU619" s="267"/>
      <c r="BV619" s="267"/>
      <c r="BW619" s="267"/>
      <c r="BX619" s="267"/>
      <c r="BY619" s="267"/>
      <c r="BZ619" s="267"/>
      <c r="CA619" s="267"/>
      <c r="CB619" s="267"/>
      <c r="CC619" s="267"/>
      <c r="CD619" s="267"/>
      <c r="CE619" s="267"/>
      <c r="CF619" s="267"/>
      <c r="CG619" s="267"/>
    </row>
    <row r="620" spans="70:85" ht="12.75" customHeight="1" x14ac:dyDescent="0.25">
      <c r="BR620" s="177"/>
      <c r="BS620" s="177"/>
      <c r="BT620" s="267"/>
      <c r="BU620" s="267"/>
      <c r="BV620" s="267"/>
      <c r="BW620" s="267"/>
      <c r="BX620" s="267"/>
      <c r="BY620" s="267"/>
      <c r="BZ620" s="267"/>
      <c r="CA620" s="267"/>
      <c r="CB620" s="267"/>
      <c r="CC620" s="267"/>
      <c r="CD620" s="267"/>
      <c r="CE620" s="267"/>
      <c r="CF620" s="267"/>
      <c r="CG620" s="267"/>
    </row>
    <row r="621" spans="70:85" ht="12.75" customHeight="1" x14ac:dyDescent="0.25">
      <c r="BR621" s="177"/>
      <c r="BS621" s="177"/>
      <c r="BT621" s="267"/>
      <c r="BU621" s="267"/>
      <c r="BV621" s="267"/>
      <c r="BW621" s="267"/>
      <c r="BX621" s="267"/>
      <c r="BY621" s="267"/>
      <c r="BZ621" s="267"/>
      <c r="CA621" s="267"/>
      <c r="CB621" s="267"/>
      <c r="CC621" s="267"/>
      <c r="CD621" s="267"/>
      <c r="CE621" s="267"/>
      <c r="CF621" s="267"/>
      <c r="CG621" s="267"/>
    </row>
    <row r="622" spans="70:85" ht="12.75" customHeight="1" x14ac:dyDescent="0.25">
      <c r="BR622" s="177"/>
      <c r="BS622" s="177"/>
      <c r="BT622" s="267"/>
      <c r="BU622" s="267"/>
      <c r="BV622" s="267"/>
      <c r="BW622" s="267"/>
      <c r="BX622" s="267"/>
      <c r="BY622" s="267"/>
      <c r="BZ622" s="267"/>
      <c r="CA622" s="267"/>
      <c r="CB622" s="267"/>
      <c r="CC622" s="267"/>
      <c r="CD622" s="267"/>
      <c r="CE622" s="267"/>
      <c r="CF622" s="267"/>
      <c r="CG622" s="267"/>
    </row>
    <row r="623" spans="70:85" ht="12.75" customHeight="1" x14ac:dyDescent="0.25">
      <c r="BR623" s="177"/>
      <c r="BS623" s="177"/>
      <c r="BT623" s="267"/>
      <c r="BU623" s="267"/>
      <c r="BV623" s="267"/>
      <c r="BW623" s="267"/>
      <c r="BX623" s="267"/>
      <c r="BY623" s="267"/>
      <c r="BZ623" s="267"/>
      <c r="CA623" s="267"/>
      <c r="CB623" s="267"/>
      <c r="CC623" s="267"/>
      <c r="CD623" s="267"/>
      <c r="CE623" s="267"/>
      <c r="CF623" s="267"/>
      <c r="CG623" s="267"/>
    </row>
    <row r="624" spans="70:85" ht="12.75" customHeight="1" x14ac:dyDescent="0.25">
      <c r="BR624" s="177"/>
      <c r="BS624" s="177"/>
      <c r="BT624" s="267"/>
      <c r="BU624" s="267"/>
      <c r="BV624" s="267"/>
      <c r="BW624" s="267"/>
      <c r="BX624" s="267"/>
      <c r="BY624" s="267"/>
      <c r="BZ624" s="267"/>
      <c r="CA624" s="267"/>
      <c r="CB624" s="267"/>
      <c r="CC624" s="267"/>
      <c r="CD624" s="267"/>
      <c r="CE624" s="267"/>
      <c r="CF624" s="267"/>
      <c r="CG624" s="267"/>
    </row>
    <row r="625" spans="70:85" ht="12.75" customHeight="1" x14ac:dyDescent="0.25">
      <c r="BR625" s="177"/>
      <c r="BS625" s="177"/>
      <c r="BT625" s="267"/>
      <c r="BU625" s="267"/>
      <c r="BV625" s="267"/>
      <c r="BW625" s="267"/>
      <c r="BX625" s="267"/>
      <c r="BY625" s="267"/>
      <c r="BZ625" s="267"/>
      <c r="CA625" s="267"/>
      <c r="CB625" s="267"/>
      <c r="CC625" s="267"/>
      <c r="CD625" s="267"/>
      <c r="CE625" s="267"/>
      <c r="CF625" s="267"/>
      <c r="CG625" s="267"/>
    </row>
    <row r="626" spans="70:85" ht="12.75" customHeight="1" x14ac:dyDescent="0.25">
      <c r="BR626" s="177"/>
      <c r="BS626" s="177"/>
      <c r="BT626" s="267"/>
      <c r="BU626" s="267"/>
      <c r="BV626" s="267"/>
      <c r="BW626" s="267"/>
      <c r="BX626" s="267"/>
      <c r="BY626" s="267"/>
      <c r="BZ626" s="267"/>
      <c r="CA626" s="267"/>
      <c r="CB626" s="267"/>
      <c r="CC626" s="267"/>
      <c r="CD626" s="267"/>
      <c r="CE626" s="267"/>
      <c r="CF626" s="267"/>
      <c r="CG626" s="267"/>
    </row>
    <row r="627" spans="70:85" ht="12.75" customHeight="1" x14ac:dyDescent="0.25">
      <c r="BR627" s="177"/>
      <c r="BS627" s="177"/>
      <c r="BT627" s="267"/>
      <c r="BU627" s="267"/>
      <c r="BV627" s="267"/>
      <c r="BW627" s="267"/>
      <c r="BX627" s="267"/>
      <c r="BY627" s="267"/>
      <c r="BZ627" s="267"/>
      <c r="CA627" s="267"/>
      <c r="CB627" s="267"/>
      <c r="CC627" s="267"/>
      <c r="CD627" s="267"/>
      <c r="CE627" s="267"/>
      <c r="CF627" s="267"/>
      <c r="CG627" s="267"/>
    </row>
    <row r="628" spans="70:85" ht="12.75" customHeight="1" x14ac:dyDescent="0.25">
      <c r="BR628" s="177"/>
      <c r="BS628" s="177"/>
      <c r="BT628" s="267"/>
      <c r="BU628" s="267"/>
      <c r="BV628" s="267"/>
      <c r="BW628" s="267"/>
      <c r="BX628" s="267"/>
      <c r="BY628" s="267"/>
      <c r="BZ628" s="267"/>
      <c r="CA628" s="267"/>
      <c r="CB628" s="267"/>
      <c r="CC628" s="267"/>
      <c r="CD628" s="267"/>
      <c r="CE628" s="267"/>
      <c r="CF628" s="267"/>
      <c r="CG628" s="267"/>
    </row>
    <row r="629" spans="70:85" ht="12.75" customHeight="1" x14ac:dyDescent="0.25">
      <c r="BR629" s="177"/>
      <c r="BS629" s="177"/>
      <c r="BT629" s="267"/>
      <c r="BU629" s="267"/>
      <c r="BV629" s="267"/>
      <c r="BW629" s="267"/>
      <c r="BX629" s="267"/>
      <c r="BY629" s="267"/>
      <c r="BZ629" s="267"/>
      <c r="CA629" s="267"/>
      <c r="CB629" s="267"/>
      <c r="CC629" s="267"/>
      <c r="CD629" s="267"/>
      <c r="CE629" s="267"/>
      <c r="CF629" s="267"/>
      <c r="CG629" s="267"/>
    </row>
    <row r="630" spans="70:85" ht="12.75" customHeight="1" x14ac:dyDescent="0.25">
      <c r="BR630" s="177"/>
      <c r="BS630" s="177"/>
      <c r="BT630" s="267"/>
      <c r="BU630" s="267"/>
      <c r="BV630" s="267"/>
      <c r="BW630" s="267"/>
      <c r="BX630" s="267"/>
      <c r="BY630" s="267"/>
      <c r="BZ630" s="267"/>
      <c r="CA630" s="267"/>
      <c r="CB630" s="267"/>
      <c r="CC630" s="267"/>
      <c r="CD630" s="267"/>
      <c r="CE630" s="267"/>
      <c r="CF630" s="267"/>
      <c r="CG630" s="267"/>
    </row>
    <row r="631" spans="70:85" ht="12.75" customHeight="1" x14ac:dyDescent="0.25">
      <c r="BR631" s="177"/>
      <c r="BS631" s="177"/>
      <c r="BT631" s="267"/>
      <c r="BU631" s="267"/>
      <c r="BV631" s="267"/>
      <c r="BW631" s="267"/>
      <c r="BX631" s="267"/>
      <c r="BY631" s="267"/>
      <c r="BZ631" s="267"/>
      <c r="CA631" s="267"/>
      <c r="CB631" s="267"/>
      <c r="CC631" s="267"/>
      <c r="CD631" s="267"/>
      <c r="CE631" s="267"/>
      <c r="CF631" s="267"/>
      <c r="CG631" s="267"/>
    </row>
    <row r="632" spans="70:85" ht="12.75" customHeight="1" x14ac:dyDescent="0.25">
      <c r="BR632" s="177"/>
      <c r="BS632" s="177"/>
      <c r="BT632" s="267"/>
      <c r="BU632" s="267"/>
      <c r="BV632" s="267"/>
      <c r="BW632" s="267"/>
      <c r="BX632" s="267"/>
      <c r="BY632" s="267"/>
      <c r="BZ632" s="267"/>
      <c r="CA632" s="267"/>
      <c r="CB632" s="267"/>
      <c r="CC632" s="267"/>
      <c r="CD632" s="267"/>
      <c r="CE632" s="267"/>
      <c r="CF632" s="267"/>
      <c r="CG632" s="267"/>
    </row>
    <row r="633" spans="70:85" ht="12.75" customHeight="1" x14ac:dyDescent="0.25">
      <c r="BR633" s="177"/>
      <c r="BS633" s="177"/>
      <c r="BT633" s="267"/>
      <c r="BU633" s="267"/>
      <c r="BV633" s="267"/>
      <c r="BW633" s="267"/>
      <c r="BX633" s="267"/>
      <c r="BY633" s="267"/>
      <c r="BZ633" s="267"/>
      <c r="CA633" s="267"/>
      <c r="CB633" s="267"/>
      <c r="CC633" s="267"/>
      <c r="CD633" s="267"/>
      <c r="CE633" s="267"/>
      <c r="CF633" s="267"/>
      <c r="CG633" s="267"/>
    </row>
    <row r="634" spans="70:85" ht="12.75" customHeight="1" x14ac:dyDescent="0.25">
      <c r="BR634" s="177"/>
      <c r="BS634" s="177"/>
      <c r="BT634" s="267"/>
      <c r="BU634" s="267"/>
      <c r="BV634" s="267"/>
      <c r="BW634" s="267"/>
      <c r="BX634" s="267"/>
      <c r="BY634" s="267"/>
      <c r="BZ634" s="267"/>
      <c r="CA634" s="267"/>
      <c r="CB634" s="267"/>
      <c r="CC634" s="267"/>
      <c r="CD634" s="267"/>
      <c r="CE634" s="267"/>
      <c r="CF634" s="267"/>
      <c r="CG634" s="267"/>
    </row>
    <row r="635" spans="70:85" ht="12.75" customHeight="1" x14ac:dyDescent="0.25">
      <c r="BR635" s="177"/>
      <c r="BS635" s="177"/>
      <c r="BT635" s="267"/>
      <c r="BU635" s="267"/>
      <c r="BV635" s="267"/>
      <c r="BW635" s="267"/>
      <c r="BX635" s="267"/>
      <c r="BY635" s="267"/>
      <c r="BZ635" s="267"/>
      <c r="CA635" s="267"/>
      <c r="CB635" s="267"/>
      <c r="CC635" s="267"/>
      <c r="CD635" s="267"/>
      <c r="CE635" s="267"/>
      <c r="CF635" s="267"/>
      <c r="CG635" s="267"/>
    </row>
    <row r="636" spans="70:85" ht="12.75" customHeight="1" x14ac:dyDescent="0.25">
      <c r="BR636" s="177"/>
      <c r="BS636" s="177"/>
      <c r="BT636" s="267"/>
      <c r="BU636" s="267"/>
      <c r="BV636" s="267"/>
      <c r="BW636" s="267"/>
      <c r="BX636" s="267"/>
      <c r="BY636" s="267"/>
      <c r="BZ636" s="267"/>
      <c r="CA636" s="267"/>
      <c r="CB636" s="267"/>
      <c r="CC636" s="267"/>
      <c r="CD636" s="267"/>
      <c r="CE636" s="267"/>
      <c r="CF636" s="267"/>
      <c r="CG636" s="267"/>
    </row>
    <row r="637" spans="70:85" ht="12.75" customHeight="1" x14ac:dyDescent="0.25">
      <c r="BR637" s="177"/>
      <c r="BS637" s="177"/>
      <c r="BT637" s="267"/>
      <c r="BU637" s="267"/>
      <c r="BV637" s="267"/>
      <c r="BW637" s="267"/>
      <c r="BX637" s="267"/>
      <c r="BY637" s="267"/>
      <c r="BZ637" s="267"/>
      <c r="CA637" s="267"/>
      <c r="CB637" s="267"/>
      <c r="CC637" s="267"/>
      <c r="CD637" s="267"/>
      <c r="CE637" s="267"/>
      <c r="CF637" s="267"/>
      <c r="CG637" s="267"/>
    </row>
    <row r="638" spans="70:85" ht="12.75" customHeight="1" x14ac:dyDescent="0.25">
      <c r="BR638" s="177"/>
      <c r="BS638" s="177"/>
      <c r="BT638" s="267"/>
      <c r="BU638" s="267"/>
      <c r="BV638" s="267"/>
      <c r="BW638" s="267"/>
      <c r="BX638" s="267"/>
      <c r="BY638" s="267"/>
      <c r="BZ638" s="267"/>
      <c r="CA638" s="267"/>
      <c r="CB638" s="267"/>
      <c r="CC638" s="267"/>
      <c r="CD638" s="267"/>
      <c r="CE638" s="267"/>
      <c r="CF638" s="267"/>
      <c r="CG638" s="267"/>
    </row>
    <row r="639" spans="70:85" ht="12.75" customHeight="1" x14ac:dyDescent="0.25">
      <c r="BR639" s="177"/>
      <c r="BS639" s="177"/>
      <c r="BT639" s="267"/>
      <c r="BU639" s="267"/>
      <c r="BV639" s="267"/>
      <c r="BW639" s="267"/>
      <c r="BX639" s="267"/>
      <c r="BY639" s="267"/>
      <c r="BZ639" s="267"/>
      <c r="CA639" s="267"/>
      <c r="CB639" s="267"/>
      <c r="CC639" s="267"/>
      <c r="CD639" s="267"/>
      <c r="CE639" s="267"/>
      <c r="CF639" s="267"/>
      <c r="CG639" s="267"/>
    </row>
    <row r="640" spans="70:85" ht="12.75" customHeight="1" x14ac:dyDescent="0.25">
      <c r="BR640" s="177"/>
      <c r="BS640" s="177"/>
      <c r="BT640" s="267"/>
      <c r="BU640" s="267"/>
      <c r="BV640" s="267"/>
      <c r="BW640" s="267"/>
      <c r="BX640" s="267"/>
      <c r="BY640" s="267"/>
      <c r="BZ640" s="267"/>
      <c r="CA640" s="267"/>
      <c r="CB640" s="267"/>
      <c r="CC640" s="267"/>
      <c r="CD640" s="267"/>
      <c r="CE640" s="267"/>
      <c r="CF640" s="267"/>
      <c r="CG640" s="267"/>
    </row>
    <row r="641" spans="70:85" ht="12.75" customHeight="1" x14ac:dyDescent="0.25">
      <c r="BR641" s="177"/>
      <c r="BS641" s="177"/>
      <c r="BT641" s="267"/>
      <c r="BU641" s="267"/>
      <c r="BV641" s="267"/>
      <c r="BW641" s="267"/>
      <c r="BX641" s="267"/>
      <c r="BY641" s="267"/>
      <c r="BZ641" s="267"/>
      <c r="CA641" s="267"/>
      <c r="CB641" s="267"/>
      <c r="CC641" s="267"/>
      <c r="CD641" s="267"/>
      <c r="CE641" s="267"/>
      <c r="CF641" s="267"/>
      <c r="CG641" s="267"/>
    </row>
    <row r="642" spans="70:85" ht="12.75" customHeight="1" x14ac:dyDescent="0.25">
      <c r="BR642" s="177"/>
      <c r="BS642" s="177"/>
      <c r="BT642" s="267"/>
      <c r="BU642" s="267"/>
      <c r="BV642" s="267"/>
      <c r="BW642" s="267"/>
      <c r="BX642" s="267"/>
      <c r="BY642" s="267"/>
      <c r="BZ642" s="267"/>
      <c r="CA642" s="267"/>
      <c r="CB642" s="267"/>
      <c r="CC642" s="267"/>
      <c r="CD642" s="267"/>
      <c r="CE642" s="267"/>
      <c r="CF642" s="267"/>
      <c r="CG642" s="267"/>
    </row>
    <row r="643" spans="70:85" ht="12.75" customHeight="1" x14ac:dyDescent="0.25">
      <c r="BR643" s="177"/>
      <c r="BS643" s="177"/>
      <c r="BT643" s="267"/>
      <c r="BU643" s="267"/>
      <c r="BV643" s="267"/>
      <c r="BW643" s="267"/>
      <c r="BX643" s="267"/>
      <c r="BY643" s="267"/>
      <c r="BZ643" s="267"/>
      <c r="CA643" s="267"/>
      <c r="CB643" s="267"/>
      <c r="CC643" s="267"/>
      <c r="CD643" s="267"/>
      <c r="CE643" s="267"/>
      <c r="CF643" s="267"/>
      <c r="CG643" s="267"/>
    </row>
    <row r="644" spans="70:85" ht="12.75" customHeight="1" x14ac:dyDescent="0.25">
      <c r="BR644" s="177"/>
      <c r="BS644" s="177"/>
      <c r="BT644" s="267"/>
      <c r="BU644" s="267"/>
      <c r="BV644" s="267"/>
      <c r="BW644" s="267"/>
      <c r="BX644" s="267"/>
      <c r="BY644" s="267"/>
      <c r="BZ644" s="267"/>
      <c r="CA644" s="267"/>
      <c r="CB644" s="267"/>
      <c r="CC644" s="267"/>
      <c r="CD644" s="267"/>
      <c r="CE644" s="267"/>
      <c r="CF644" s="267"/>
      <c r="CG644" s="267"/>
    </row>
    <row r="645" spans="70:85" ht="12.75" customHeight="1" x14ac:dyDescent="0.25">
      <c r="BR645" s="177"/>
      <c r="BS645" s="177"/>
      <c r="BT645" s="267"/>
      <c r="BU645" s="267"/>
      <c r="BV645" s="267"/>
      <c r="BW645" s="267"/>
      <c r="BX645" s="267"/>
      <c r="BY645" s="267"/>
      <c r="BZ645" s="267"/>
      <c r="CA645" s="267"/>
      <c r="CB645" s="267"/>
      <c r="CC645" s="267"/>
      <c r="CD645" s="267"/>
      <c r="CE645" s="267"/>
      <c r="CF645" s="267"/>
      <c r="CG645" s="267"/>
    </row>
    <row r="646" spans="70:85" ht="12.75" customHeight="1" x14ac:dyDescent="0.25">
      <c r="BR646" s="177"/>
      <c r="BS646" s="177"/>
      <c r="BT646" s="267"/>
      <c r="BU646" s="267"/>
      <c r="BV646" s="267"/>
      <c r="BW646" s="267"/>
      <c r="BX646" s="267"/>
      <c r="BY646" s="267"/>
      <c r="BZ646" s="267"/>
      <c r="CA646" s="267"/>
      <c r="CB646" s="267"/>
      <c r="CC646" s="267"/>
      <c r="CD646" s="267"/>
      <c r="CE646" s="267"/>
      <c r="CF646" s="267"/>
      <c r="CG646" s="267"/>
    </row>
    <row r="647" spans="70:85" ht="12.75" customHeight="1" x14ac:dyDescent="0.25">
      <c r="BR647" s="177"/>
      <c r="BS647" s="177"/>
      <c r="BT647" s="267"/>
      <c r="BU647" s="267"/>
      <c r="BV647" s="267"/>
      <c r="BW647" s="267"/>
      <c r="BX647" s="267"/>
      <c r="BY647" s="267"/>
      <c r="BZ647" s="267"/>
      <c r="CA647" s="267"/>
      <c r="CB647" s="267"/>
      <c r="CC647" s="267"/>
      <c r="CD647" s="267"/>
      <c r="CE647" s="267"/>
      <c r="CF647" s="267"/>
      <c r="CG647" s="267"/>
    </row>
    <row r="648" spans="70:85" ht="12.75" customHeight="1" x14ac:dyDescent="0.25">
      <c r="BR648" s="177"/>
      <c r="BS648" s="177"/>
      <c r="BT648" s="267"/>
      <c r="BU648" s="267"/>
      <c r="BV648" s="267"/>
      <c r="BW648" s="267"/>
      <c r="BX648" s="267"/>
      <c r="BY648" s="267"/>
      <c r="BZ648" s="267"/>
      <c r="CA648" s="267"/>
      <c r="CB648" s="267"/>
      <c r="CC648" s="267"/>
      <c r="CD648" s="267"/>
      <c r="CE648" s="267"/>
      <c r="CF648" s="267"/>
      <c r="CG648" s="267"/>
    </row>
    <row r="649" spans="70:85" ht="12.75" customHeight="1" x14ac:dyDescent="0.25">
      <c r="BR649" s="177"/>
      <c r="BS649" s="177"/>
      <c r="BT649" s="267"/>
      <c r="BU649" s="267"/>
      <c r="BV649" s="267"/>
      <c r="BW649" s="267"/>
      <c r="BX649" s="267"/>
      <c r="BY649" s="267"/>
      <c r="BZ649" s="267"/>
      <c r="CA649" s="267"/>
      <c r="CB649" s="267"/>
      <c r="CC649" s="267"/>
      <c r="CD649" s="267"/>
      <c r="CE649" s="267"/>
      <c r="CF649" s="267"/>
      <c r="CG649" s="267"/>
    </row>
    <row r="650" spans="70:85" ht="12.75" customHeight="1" x14ac:dyDescent="0.25">
      <c r="BR650" s="177"/>
      <c r="BS650" s="177"/>
      <c r="BT650" s="267"/>
      <c r="BU650" s="267"/>
      <c r="BV650" s="267"/>
      <c r="BW650" s="267"/>
      <c r="BX650" s="267"/>
      <c r="BY650" s="267"/>
      <c r="BZ650" s="267"/>
      <c r="CA650" s="267"/>
      <c r="CB650" s="267"/>
      <c r="CC650" s="267"/>
      <c r="CD650" s="267"/>
      <c r="CE650" s="267"/>
      <c r="CF650" s="267"/>
      <c r="CG650" s="267"/>
    </row>
    <row r="651" spans="70:85" ht="12.75" customHeight="1" x14ac:dyDescent="0.25">
      <c r="BR651" s="177"/>
      <c r="BS651" s="177"/>
      <c r="BT651" s="267"/>
      <c r="BU651" s="267"/>
      <c r="BV651" s="267"/>
      <c r="BW651" s="267"/>
      <c r="BX651" s="267"/>
      <c r="BY651" s="267"/>
      <c r="BZ651" s="267"/>
      <c r="CA651" s="267"/>
      <c r="CB651" s="267"/>
      <c r="CC651" s="267"/>
      <c r="CD651" s="267"/>
      <c r="CE651" s="267"/>
      <c r="CF651" s="267"/>
      <c r="CG651" s="267"/>
    </row>
    <row r="652" spans="70:85" ht="12.75" customHeight="1" x14ac:dyDescent="0.25">
      <c r="BR652" s="177"/>
      <c r="BS652" s="177"/>
      <c r="BT652" s="267"/>
      <c r="BU652" s="267"/>
      <c r="BV652" s="267"/>
      <c r="BW652" s="267"/>
      <c r="BX652" s="267"/>
      <c r="BY652" s="267"/>
      <c r="BZ652" s="267"/>
      <c r="CA652" s="267"/>
      <c r="CB652" s="267"/>
      <c r="CC652" s="267"/>
      <c r="CD652" s="267"/>
      <c r="CE652" s="267"/>
      <c r="CF652" s="267"/>
      <c r="CG652" s="267"/>
    </row>
    <row r="653" spans="70:85" ht="12.75" customHeight="1" x14ac:dyDescent="0.25">
      <c r="BR653" s="177"/>
      <c r="BS653" s="177"/>
      <c r="BT653" s="267"/>
      <c r="BU653" s="267"/>
      <c r="BV653" s="267"/>
      <c r="BW653" s="267"/>
      <c r="BX653" s="267"/>
      <c r="BY653" s="267"/>
      <c r="BZ653" s="267"/>
      <c r="CA653" s="267"/>
      <c r="CB653" s="267"/>
      <c r="CC653" s="267"/>
      <c r="CD653" s="267"/>
      <c r="CE653" s="267"/>
      <c r="CF653" s="267"/>
      <c r="CG653" s="267"/>
    </row>
    <row r="654" spans="70:85" ht="12.75" customHeight="1" x14ac:dyDescent="0.25">
      <c r="BR654" s="177"/>
      <c r="BS654" s="177"/>
      <c r="BT654" s="267"/>
      <c r="BU654" s="267"/>
      <c r="BV654" s="267"/>
      <c r="BW654" s="267"/>
      <c r="BX654" s="267"/>
      <c r="BY654" s="267"/>
      <c r="BZ654" s="267"/>
      <c r="CA654" s="267"/>
      <c r="CB654" s="267"/>
      <c r="CC654" s="267"/>
      <c r="CD654" s="267"/>
      <c r="CE654" s="267"/>
      <c r="CF654" s="267"/>
      <c r="CG654" s="267"/>
    </row>
    <row r="655" spans="70:85" ht="12.75" customHeight="1" x14ac:dyDescent="0.25">
      <c r="BR655" s="177"/>
      <c r="BS655" s="177"/>
      <c r="BT655" s="267"/>
      <c r="BU655" s="267"/>
      <c r="BV655" s="267"/>
      <c r="BW655" s="267"/>
      <c r="BX655" s="267"/>
      <c r="BY655" s="267"/>
      <c r="BZ655" s="267"/>
      <c r="CA655" s="267"/>
      <c r="CB655" s="267"/>
      <c r="CC655" s="267"/>
      <c r="CD655" s="267"/>
      <c r="CE655" s="267"/>
      <c r="CF655" s="267"/>
      <c r="CG655" s="267"/>
    </row>
    <row r="656" spans="70:85" ht="12.75" customHeight="1" x14ac:dyDescent="0.25">
      <c r="BR656" s="177"/>
      <c r="BS656" s="177"/>
      <c r="BT656" s="267"/>
      <c r="BU656" s="267"/>
      <c r="BV656" s="267"/>
      <c r="BW656" s="267"/>
      <c r="BX656" s="267"/>
      <c r="BY656" s="267"/>
      <c r="BZ656" s="267"/>
      <c r="CA656" s="267"/>
      <c r="CB656" s="267"/>
      <c r="CC656" s="267"/>
      <c r="CD656" s="267"/>
      <c r="CE656" s="267"/>
      <c r="CF656" s="267"/>
      <c r="CG656" s="267"/>
    </row>
    <row r="657" spans="70:85" ht="12.75" customHeight="1" x14ac:dyDescent="0.25">
      <c r="BR657" s="177"/>
      <c r="BS657" s="177"/>
      <c r="BT657" s="267"/>
      <c r="BU657" s="267"/>
      <c r="BV657" s="267"/>
      <c r="BW657" s="267"/>
      <c r="BX657" s="267"/>
      <c r="BY657" s="267"/>
      <c r="BZ657" s="267"/>
      <c r="CA657" s="267"/>
      <c r="CB657" s="267"/>
      <c r="CC657" s="267"/>
      <c r="CD657" s="267"/>
      <c r="CE657" s="267"/>
      <c r="CF657" s="267"/>
      <c r="CG657" s="267"/>
    </row>
    <row r="658" spans="70:85" ht="12.75" customHeight="1" x14ac:dyDescent="0.25">
      <c r="BR658" s="177"/>
      <c r="BS658" s="177"/>
      <c r="BT658" s="267"/>
      <c r="BU658" s="267"/>
      <c r="BV658" s="267"/>
      <c r="BW658" s="267"/>
      <c r="BX658" s="267"/>
      <c r="BY658" s="267"/>
      <c r="BZ658" s="267"/>
      <c r="CA658" s="267"/>
      <c r="CB658" s="267"/>
      <c r="CC658" s="267"/>
      <c r="CD658" s="267"/>
      <c r="CE658" s="267"/>
      <c r="CF658" s="267"/>
      <c r="CG658" s="267"/>
    </row>
    <row r="659" spans="70:85" ht="12.75" customHeight="1" x14ac:dyDescent="0.25">
      <c r="BR659" s="177"/>
      <c r="BS659" s="177"/>
      <c r="BT659" s="267"/>
      <c r="BU659" s="267"/>
      <c r="BV659" s="267"/>
      <c r="BW659" s="267"/>
      <c r="BX659" s="267"/>
      <c r="BY659" s="267"/>
      <c r="BZ659" s="267"/>
      <c r="CA659" s="267"/>
      <c r="CB659" s="267"/>
      <c r="CC659" s="267"/>
      <c r="CD659" s="267"/>
      <c r="CE659" s="267"/>
      <c r="CF659" s="267"/>
      <c r="CG659" s="267"/>
    </row>
    <row r="660" spans="70:85" ht="12.75" customHeight="1" x14ac:dyDescent="0.25">
      <c r="BR660" s="177"/>
      <c r="BS660" s="177"/>
      <c r="BT660" s="267"/>
      <c r="BU660" s="267"/>
      <c r="BV660" s="267"/>
      <c r="BW660" s="267"/>
      <c r="BX660" s="267"/>
      <c r="BY660" s="267"/>
      <c r="BZ660" s="267"/>
      <c r="CA660" s="267"/>
      <c r="CB660" s="267"/>
      <c r="CC660" s="267"/>
      <c r="CD660" s="267"/>
      <c r="CE660" s="267"/>
      <c r="CF660" s="267"/>
      <c r="CG660" s="267"/>
    </row>
    <row r="661" spans="70:85" ht="12.75" customHeight="1" x14ac:dyDescent="0.25">
      <c r="BR661" s="177"/>
      <c r="BS661" s="177"/>
      <c r="BT661" s="267"/>
      <c r="BU661" s="267"/>
      <c r="BV661" s="267"/>
      <c r="BW661" s="267"/>
      <c r="BX661" s="267"/>
      <c r="BY661" s="267"/>
      <c r="BZ661" s="267"/>
      <c r="CA661" s="267"/>
      <c r="CB661" s="267"/>
      <c r="CC661" s="267"/>
      <c r="CD661" s="267"/>
      <c r="CE661" s="267"/>
      <c r="CF661" s="267"/>
      <c r="CG661" s="267"/>
    </row>
    <row r="662" spans="70:85" ht="12.75" customHeight="1" x14ac:dyDescent="0.25">
      <c r="BR662" s="177"/>
      <c r="BS662" s="177"/>
      <c r="BT662" s="267"/>
      <c r="BU662" s="267"/>
      <c r="BV662" s="267"/>
      <c r="BW662" s="267"/>
      <c r="BX662" s="267"/>
      <c r="BY662" s="267"/>
      <c r="BZ662" s="267"/>
      <c r="CA662" s="267"/>
      <c r="CB662" s="267"/>
      <c r="CC662" s="267"/>
      <c r="CD662" s="267"/>
      <c r="CE662" s="267"/>
      <c r="CF662" s="267"/>
      <c r="CG662" s="267"/>
    </row>
    <row r="663" spans="70:85" ht="12.75" customHeight="1" x14ac:dyDescent="0.25">
      <c r="BR663" s="177"/>
      <c r="BS663" s="177"/>
      <c r="BT663" s="267"/>
      <c r="BU663" s="267"/>
      <c r="BV663" s="267"/>
      <c r="BW663" s="267"/>
      <c r="BX663" s="267"/>
      <c r="BY663" s="267"/>
      <c r="BZ663" s="267"/>
      <c r="CA663" s="267"/>
      <c r="CB663" s="267"/>
      <c r="CC663" s="267"/>
      <c r="CD663" s="267"/>
      <c r="CE663" s="267"/>
      <c r="CF663" s="267"/>
      <c r="CG663" s="267"/>
    </row>
    <row r="664" spans="70:85" ht="12.75" customHeight="1" x14ac:dyDescent="0.25">
      <c r="BR664" s="177"/>
      <c r="BS664" s="177"/>
      <c r="BT664" s="267"/>
      <c r="BU664" s="267"/>
      <c r="BV664" s="267"/>
      <c r="BW664" s="267"/>
      <c r="BX664" s="267"/>
      <c r="BY664" s="267"/>
      <c r="BZ664" s="267"/>
      <c r="CA664" s="267"/>
      <c r="CB664" s="267"/>
      <c r="CC664" s="267"/>
      <c r="CD664" s="267"/>
      <c r="CE664" s="267"/>
      <c r="CF664" s="267"/>
      <c r="CG664" s="267"/>
    </row>
    <row r="665" spans="70:85" ht="12.75" customHeight="1" x14ac:dyDescent="0.25">
      <c r="BR665" s="177"/>
      <c r="BS665" s="177"/>
      <c r="BT665" s="267"/>
      <c r="BU665" s="267"/>
      <c r="BV665" s="267"/>
      <c r="BW665" s="267"/>
      <c r="BX665" s="267"/>
      <c r="BY665" s="267"/>
      <c r="BZ665" s="267"/>
      <c r="CA665" s="267"/>
      <c r="CB665" s="267"/>
      <c r="CC665" s="267"/>
      <c r="CD665" s="267"/>
      <c r="CE665" s="267"/>
      <c r="CF665" s="267"/>
      <c r="CG665" s="267"/>
    </row>
    <row r="666" spans="70:85" ht="12.75" customHeight="1" x14ac:dyDescent="0.25">
      <c r="BR666" s="177"/>
      <c r="BS666" s="177"/>
      <c r="BT666" s="267"/>
      <c r="BU666" s="267"/>
      <c r="BV666" s="267"/>
      <c r="BW666" s="267"/>
      <c r="BX666" s="267"/>
      <c r="BY666" s="267"/>
      <c r="BZ666" s="267"/>
      <c r="CA666" s="267"/>
      <c r="CB666" s="267"/>
      <c r="CC666" s="267"/>
      <c r="CD666" s="267"/>
      <c r="CE666" s="267"/>
      <c r="CF666" s="267"/>
      <c r="CG666" s="267"/>
    </row>
    <row r="667" spans="70:85" ht="12.75" customHeight="1" x14ac:dyDescent="0.25">
      <c r="BR667" s="177"/>
      <c r="BS667" s="177"/>
      <c r="BT667" s="267"/>
      <c r="BU667" s="267"/>
      <c r="BV667" s="267"/>
      <c r="BW667" s="267"/>
      <c r="BX667" s="267"/>
      <c r="BY667" s="267"/>
      <c r="BZ667" s="267"/>
      <c r="CA667" s="267"/>
      <c r="CB667" s="267"/>
      <c r="CC667" s="267"/>
      <c r="CD667" s="267"/>
      <c r="CE667" s="267"/>
      <c r="CF667" s="267"/>
      <c r="CG667" s="267"/>
    </row>
    <row r="668" spans="70:85" ht="12.75" customHeight="1" x14ac:dyDescent="0.25">
      <c r="BR668" s="177"/>
      <c r="BS668" s="177"/>
      <c r="BT668" s="267"/>
      <c r="BU668" s="267"/>
      <c r="BV668" s="267"/>
      <c r="BW668" s="267"/>
      <c r="BX668" s="267"/>
      <c r="BY668" s="267"/>
      <c r="BZ668" s="267"/>
      <c r="CA668" s="267"/>
      <c r="CB668" s="267"/>
      <c r="CC668" s="267"/>
      <c r="CD668" s="267"/>
      <c r="CE668" s="267"/>
      <c r="CF668" s="267"/>
      <c r="CG668" s="267"/>
    </row>
    <row r="669" spans="70:85" ht="12.75" customHeight="1" x14ac:dyDescent="0.25">
      <c r="BR669" s="177"/>
      <c r="BS669" s="177"/>
      <c r="BT669" s="267"/>
      <c r="BU669" s="267"/>
      <c r="BV669" s="267"/>
      <c r="BW669" s="267"/>
      <c r="BX669" s="267"/>
      <c r="BY669" s="267"/>
      <c r="BZ669" s="267"/>
      <c r="CA669" s="267"/>
      <c r="CB669" s="267"/>
      <c r="CC669" s="267"/>
      <c r="CD669" s="267"/>
      <c r="CE669" s="267"/>
      <c r="CF669" s="267"/>
      <c r="CG669" s="267"/>
    </row>
    <row r="670" spans="70:85" ht="12.75" customHeight="1" x14ac:dyDescent="0.25">
      <c r="BR670" s="177"/>
      <c r="BS670" s="177"/>
      <c r="BT670" s="267"/>
      <c r="BU670" s="267"/>
      <c r="BV670" s="267"/>
      <c r="BW670" s="267"/>
      <c r="BX670" s="267"/>
      <c r="BY670" s="267"/>
      <c r="BZ670" s="267"/>
      <c r="CA670" s="267"/>
      <c r="CB670" s="267"/>
      <c r="CC670" s="267"/>
      <c r="CD670" s="267"/>
      <c r="CE670" s="267"/>
      <c r="CF670" s="267"/>
      <c r="CG670" s="267"/>
    </row>
    <row r="671" spans="70:85" ht="12.75" customHeight="1" x14ac:dyDescent="0.25">
      <c r="BR671" s="177"/>
      <c r="BS671" s="177"/>
      <c r="BT671" s="267"/>
      <c r="BU671" s="267"/>
      <c r="BV671" s="267"/>
      <c r="BW671" s="267"/>
      <c r="BX671" s="267"/>
      <c r="BY671" s="267"/>
      <c r="BZ671" s="267"/>
      <c r="CA671" s="267"/>
      <c r="CB671" s="267"/>
      <c r="CC671" s="267"/>
      <c r="CD671" s="267"/>
      <c r="CE671" s="267"/>
      <c r="CF671" s="267"/>
      <c r="CG671" s="267"/>
    </row>
    <row r="672" spans="70:85" ht="12.75" customHeight="1" x14ac:dyDescent="0.25">
      <c r="BR672" s="177"/>
      <c r="BS672" s="177"/>
      <c r="BT672" s="267"/>
      <c r="BU672" s="267"/>
      <c r="BV672" s="267"/>
      <c r="BW672" s="267"/>
      <c r="BX672" s="267"/>
      <c r="BY672" s="267"/>
      <c r="BZ672" s="267"/>
      <c r="CA672" s="267"/>
      <c r="CB672" s="267"/>
      <c r="CC672" s="267"/>
      <c r="CD672" s="267"/>
      <c r="CE672" s="267"/>
      <c r="CF672" s="267"/>
      <c r="CG672" s="267"/>
    </row>
    <row r="673" spans="70:85" ht="12.75" customHeight="1" x14ac:dyDescent="0.25">
      <c r="BR673" s="177"/>
      <c r="BS673" s="177"/>
      <c r="BT673" s="267"/>
      <c r="BU673" s="267"/>
      <c r="BV673" s="267"/>
      <c r="BW673" s="267"/>
      <c r="BX673" s="267"/>
      <c r="BY673" s="267"/>
      <c r="BZ673" s="267"/>
      <c r="CA673" s="267"/>
      <c r="CB673" s="267"/>
      <c r="CC673" s="267"/>
      <c r="CD673" s="267"/>
      <c r="CE673" s="267"/>
      <c r="CF673" s="267"/>
      <c r="CG673" s="267"/>
    </row>
    <row r="674" spans="70:85" ht="12.75" customHeight="1" x14ac:dyDescent="0.25">
      <c r="BR674" s="177"/>
      <c r="BS674" s="177"/>
      <c r="BT674" s="267"/>
      <c r="BU674" s="267"/>
      <c r="BV674" s="267"/>
      <c r="BW674" s="267"/>
      <c r="BX674" s="267"/>
      <c r="BY674" s="267"/>
      <c r="BZ674" s="267"/>
      <c r="CA674" s="267"/>
      <c r="CB674" s="267"/>
      <c r="CC674" s="267"/>
      <c r="CD674" s="267"/>
      <c r="CE674" s="267"/>
      <c r="CF674" s="267"/>
      <c r="CG674" s="267"/>
    </row>
    <row r="675" spans="70:85" ht="12.75" customHeight="1" x14ac:dyDescent="0.25">
      <c r="BR675" s="177"/>
      <c r="BS675" s="177"/>
      <c r="BT675" s="267"/>
      <c r="BU675" s="267"/>
      <c r="BV675" s="267"/>
      <c r="BW675" s="267"/>
      <c r="BX675" s="267"/>
      <c r="BY675" s="267"/>
      <c r="BZ675" s="267"/>
      <c r="CA675" s="267"/>
      <c r="CB675" s="267"/>
      <c r="CC675" s="267"/>
      <c r="CD675" s="267"/>
      <c r="CE675" s="267"/>
      <c r="CF675" s="267"/>
      <c r="CG675" s="267"/>
    </row>
    <row r="676" spans="70:85" ht="12.75" customHeight="1" x14ac:dyDescent="0.25">
      <c r="BR676" s="177"/>
      <c r="BS676" s="177"/>
      <c r="BT676" s="267"/>
      <c r="BU676" s="267"/>
      <c r="BV676" s="267"/>
      <c r="BW676" s="267"/>
      <c r="BX676" s="267"/>
      <c r="BY676" s="267"/>
      <c r="BZ676" s="267"/>
      <c r="CA676" s="267"/>
      <c r="CB676" s="267"/>
      <c r="CC676" s="267"/>
      <c r="CD676" s="267"/>
      <c r="CE676" s="267"/>
      <c r="CF676" s="267"/>
      <c r="CG676" s="267"/>
    </row>
    <row r="677" spans="70:85" ht="12.75" customHeight="1" x14ac:dyDescent="0.25">
      <c r="BR677" s="177"/>
      <c r="BS677" s="177"/>
      <c r="BT677" s="267"/>
      <c r="BU677" s="267"/>
      <c r="BV677" s="267"/>
      <c r="BW677" s="267"/>
      <c r="BX677" s="267"/>
      <c r="BY677" s="267"/>
      <c r="BZ677" s="267"/>
      <c r="CA677" s="267"/>
      <c r="CB677" s="267"/>
      <c r="CC677" s="267"/>
      <c r="CD677" s="267"/>
      <c r="CE677" s="267"/>
      <c r="CF677" s="267"/>
      <c r="CG677" s="267"/>
    </row>
    <row r="678" spans="70:85" ht="12.75" customHeight="1" x14ac:dyDescent="0.25">
      <c r="BR678" s="177"/>
      <c r="BS678" s="177"/>
      <c r="BT678" s="267"/>
      <c r="BU678" s="267"/>
      <c r="BV678" s="267"/>
      <c r="BW678" s="267"/>
      <c r="BX678" s="267"/>
      <c r="BY678" s="267"/>
      <c r="BZ678" s="267"/>
      <c r="CA678" s="267"/>
      <c r="CB678" s="267"/>
      <c r="CC678" s="267"/>
      <c r="CD678" s="267"/>
      <c r="CE678" s="267"/>
      <c r="CF678" s="267"/>
      <c r="CG678" s="267"/>
    </row>
    <row r="679" spans="70:85" ht="12.75" customHeight="1" x14ac:dyDescent="0.25">
      <c r="BR679" s="177"/>
      <c r="BS679" s="177"/>
      <c r="BT679" s="267"/>
      <c r="BU679" s="267"/>
      <c r="BV679" s="267"/>
      <c r="BW679" s="267"/>
      <c r="BX679" s="267"/>
      <c r="BY679" s="267"/>
      <c r="BZ679" s="267"/>
      <c r="CA679" s="267"/>
      <c r="CB679" s="267"/>
      <c r="CC679" s="267"/>
      <c r="CD679" s="267"/>
      <c r="CE679" s="267"/>
      <c r="CF679" s="267"/>
      <c r="CG679" s="267"/>
    </row>
    <row r="680" spans="70:85" ht="12.75" customHeight="1" x14ac:dyDescent="0.25">
      <c r="BR680" s="177"/>
      <c r="BS680" s="177"/>
      <c r="BT680" s="267"/>
      <c r="BU680" s="267"/>
      <c r="BV680" s="267"/>
      <c r="BW680" s="267"/>
      <c r="BX680" s="267"/>
      <c r="BY680" s="267"/>
      <c r="BZ680" s="267"/>
      <c r="CA680" s="267"/>
      <c r="CB680" s="267"/>
      <c r="CC680" s="267"/>
      <c r="CD680" s="267"/>
      <c r="CE680" s="267"/>
      <c r="CF680" s="267"/>
      <c r="CG680" s="267"/>
    </row>
    <row r="681" spans="70:85" ht="12.75" customHeight="1" x14ac:dyDescent="0.25">
      <c r="BR681" s="177"/>
      <c r="BS681" s="177"/>
      <c r="BT681" s="267"/>
      <c r="BU681" s="267"/>
      <c r="BV681" s="267"/>
      <c r="BW681" s="267"/>
      <c r="BX681" s="267"/>
      <c r="BY681" s="267"/>
      <c r="BZ681" s="267"/>
      <c r="CA681" s="267"/>
      <c r="CB681" s="267"/>
      <c r="CC681" s="267"/>
      <c r="CD681" s="267"/>
      <c r="CE681" s="267"/>
      <c r="CF681" s="267"/>
      <c r="CG681" s="267"/>
    </row>
    <row r="682" spans="70:85" ht="12.75" customHeight="1" x14ac:dyDescent="0.25">
      <c r="BR682" s="177"/>
      <c r="BS682" s="177"/>
      <c r="BT682" s="267"/>
      <c r="BU682" s="267"/>
      <c r="BV682" s="267"/>
      <c r="BW682" s="267"/>
      <c r="BX682" s="267"/>
      <c r="BY682" s="267"/>
      <c r="BZ682" s="267"/>
      <c r="CA682" s="267"/>
      <c r="CB682" s="267"/>
      <c r="CC682" s="267"/>
      <c r="CD682" s="267"/>
      <c r="CE682" s="267"/>
      <c r="CF682" s="267"/>
      <c r="CG682" s="267"/>
    </row>
    <row r="683" spans="70:85" ht="12.75" customHeight="1" x14ac:dyDescent="0.25">
      <c r="BR683" s="177"/>
      <c r="BS683" s="177"/>
      <c r="BT683" s="267"/>
      <c r="BU683" s="267"/>
      <c r="BV683" s="267"/>
      <c r="BW683" s="267"/>
      <c r="BX683" s="267"/>
      <c r="BY683" s="267"/>
      <c r="BZ683" s="267"/>
      <c r="CA683" s="267"/>
      <c r="CB683" s="267"/>
      <c r="CC683" s="267"/>
      <c r="CD683" s="267"/>
      <c r="CE683" s="267"/>
      <c r="CF683" s="267"/>
      <c r="CG683" s="267"/>
    </row>
    <row r="684" spans="70:85" ht="12.75" customHeight="1" x14ac:dyDescent="0.25">
      <c r="BR684" s="177"/>
      <c r="BS684" s="177"/>
      <c r="BT684" s="267"/>
      <c r="BU684" s="267"/>
      <c r="BV684" s="267"/>
      <c r="BW684" s="267"/>
      <c r="BX684" s="267"/>
      <c r="BY684" s="267"/>
      <c r="BZ684" s="267"/>
      <c r="CA684" s="267"/>
      <c r="CB684" s="267"/>
      <c r="CC684" s="267"/>
      <c r="CD684" s="267"/>
      <c r="CE684" s="267"/>
      <c r="CF684" s="267"/>
      <c r="CG684" s="267"/>
    </row>
    <row r="685" spans="70:85" ht="12.75" customHeight="1" x14ac:dyDescent="0.25">
      <c r="BR685" s="177"/>
      <c r="BS685" s="177"/>
      <c r="BT685" s="267"/>
      <c r="BU685" s="267"/>
      <c r="BV685" s="267"/>
      <c r="BW685" s="267"/>
      <c r="BX685" s="267"/>
      <c r="BY685" s="267"/>
      <c r="BZ685" s="267"/>
      <c r="CA685" s="267"/>
      <c r="CB685" s="267"/>
      <c r="CC685" s="267"/>
      <c r="CD685" s="267"/>
      <c r="CE685" s="267"/>
      <c r="CF685" s="267"/>
      <c r="CG685" s="267"/>
    </row>
    <row r="686" spans="70:85" ht="12.75" customHeight="1" x14ac:dyDescent="0.25">
      <c r="BR686" s="177"/>
      <c r="BS686" s="177"/>
      <c r="BT686" s="267"/>
      <c r="BU686" s="267"/>
      <c r="BV686" s="267"/>
      <c r="BW686" s="267"/>
      <c r="BX686" s="267"/>
      <c r="BY686" s="267"/>
      <c r="BZ686" s="267"/>
      <c r="CA686" s="267"/>
      <c r="CB686" s="267"/>
      <c r="CC686" s="267"/>
      <c r="CD686" s="267"/>
      <c r="CE686" s="267"/>
      <c r="CF686" s="267"/>
      <c r="CG686" s="267"/>
    </row>
    <row r="687" spans="70:85" ht="12.75" customHeight="1" x14ac:dyDescent="0.25">
      <c r="BR687" s="177"/>
      <c r="BS687" s="177"/>
      <c r="BT687" s="267"/>
      <c r="BU687" s="267"/>
      <c r="BV687" s="267"/>
      <c r="BW687" s="267"/>
      <c r="BX687" s="267"/>
      <c r="BY687" s="267"/>
      <c r="BZ687" s="267"/>
      <c r="CA687" s="267"/>
      <c r="CB687" s="267"/>
      <c r="CC687" s="267"/>
      <c r="CD687" s="267"/>
      <c r="CE687" s="267"/>
      <c r="CF687" s="267"/>
      <c r="CG687" s="267"/>
    </row>
    <row r="688" spans="70:85" ht="12.75" customHeight="1" x14ac:dyDescent="0.25">
      <c r="BR688" s="177"/>
      <c r="BS688" s="177"/>
      <c r="BT688" s="267"/>
      <c r="BU688" s="267"/>
      <c r="BV688" s="267"/>
      <c r="BW688" s="267"/>
      <c r="BX688" s="267"/>
      <c r="BY688" s="267"/>
      <c r="BZ688" s="267"/>
      <c r="CA688" s="267"/>
      <c r="CB688" s="267"/>
      <c r="CC688" s="267"/>
      <c r="CD688" s="267"/>
      <c r="CE688" s="267"/>
      <c r="CF688" s="267"/>
      <c r="CG688" s="267"/>
    </row>
    <row r="689" spans="70:85" ht="12.75" customHeight="1" x14ac:dyDescent="0.25">
      <c r="BR689" s="177"/>
      <c r="BS689" s="17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</row>
    <row r="690" spans="70:85" ht="12.75" customHeight="1" x14ac:dyDescent="0.25">
      <c r="BR690" s="177"/>
      <c r="BS690" s="177"/>
      <c r="BT690" s="267"/>
      <c r="BU690" s="267"/>
      <c r="BV690" s="267"/>
      <c r="BW690" s="267"/>
      <c r="BX690" s="267"/>
      <c r="BY690" s="267"/>
      <c r="BZ690" s="267"/>
      <c r="CA690" s="267"/>
      <c r="CB690" s="267"/>
      <c r="CC690" s="267"/>
      <c r="CD690" s="267"/>
      <c r="CE690" s="267"/>
      <c r="CF690" s="267"/>
      <c r="CG690" s="267"/>
    </row>
    <row r="691" spans="70:85" ht="12.75" customHeight="1" x14ac:dyDescent="0.25">
      <c r="BR691" s="177"/>
      <c r="BS691" s="177"/>
      <c r="BT691" s="267"/>
      <c r="BU691" s="267"/>
      <c r="BV691" s="267"/>
      <c r="BW691" s="267"/>
      <c r="BX691" s="267"/>
      <c r="BY691" s="267"/>
      <c r="BZ691" s="267"/>
      <c r="CA691" s="267"/>
      <c r="CB691" s="267"/>
      <c r="CC691" s="267"/>
      <c r="CD691" s="267"/>
      <c r="CE691" s="267"/>
      <c r="CF691" s="267"/>
      <c r="CG691" s="267"/>
    </row>
    <row r="692" spans="70:85" ht="12.75" customHeight="1" x14ac:dyDescent="0.25">
      <c r="BR692" s="177"/>
      <c r="BS692" s="177"/>
      <c r="BT692" s="267"/>
      <c r="BU692" s="267"/>
      <c r="BV692" s="267"/>
      <c r="BW692" s="267"/>
      <c r="BX692" s="267"/>
      <c r="BY692" s="267"/>
      <c r="BZ692" s="267"/>
      <c r="CA692" s="267"/>
      <c r="CB692" s="267"/>
      <c r="CC692" s="267"/>
      <c r="CD692" s="267"/>
      <c r="CE692" s="267"/>
      <c r="CF692" s="267"/>
      <c r="CG692" s="267"/>
    </row>
    <row r="693" spans="70:85" ht="12.75" customHeight="1" x14ac:dyDescent="0.25">
      <c r="BR693" s="177"/>
      <c r="BS693" s="177"/>
      <c r="BT693" s="267"/>
      <c r="BU693" s="267"/>
      <c r="BV693" s="267"/>
      <c r="BW693" s="267"/>
      <c r="BX693" s="267"/>
      <c r="BY693" s="267"/>
      <c r="BZ693" s="267"/>
      <c r="CA693" s="267"/>
      <c r="CB693" s="267"/>
      <c r="CC693" s="267"/>
      <c r="CD693" s="267"/>
      <c r="CE693" s="267"/>
      <c r="CF693" s="267"/>
      <c r="CG693" s="267"/>
    </row>
    <row r="694" spans="70:85" ht="12.75" customHeight="1" x14ac:dyDescent="0.25">
      <c r="BR694" s="177"/>
      <c r="BS694" s="177"/>
      <c r="BT694" s="267"/>
      <c r="BU694" s="267"/>
      <c r="BV694" s="267"/>
      <c r="BW694" s="267"/>
      <c r="BX694" s="267"/>
      <c r="BY694" s="267"/>
      <c r="BZ694" s="267"/>
      <c r="CA694" s="267"/>
      <c r="CB694" s="267"/>
      <c r="CC694" s="267"/>
      <c r="CD694" s="267"/>
      <c r="CE694" s="267"/>
      <c r="CF694" s="267"/>
      <c r="CG694" s="267"/>
    </row>
    <row r="695" spans="70:85" ht="12.75" customHeight="1" x14ac:dyDescent="0.25">
      <c r="BR695" s="177"/>
      <c r="BS695" s="177"/>
      <c r="BT695" s="267"/>
      <c r="BU695" s="267"/>
      <c r="BV695" s="267"/>
      <c r="BW695" s="267"/>
      <c r="BX695" s="267"/>
      <c r="BY695" s="267"/>
      <c r="BZ695" s="267"/>
      <c r="CA695" s="267"/>
      <c r="CB695" s="267"/>
      <c r="CC695" s="267"/>
      <c r="CD695" s="267"/>
      <c r="CE695" s="267"/>
      <c r="CF695" s="267"/>
      <c r="CG695" s="267"/>
    </row>
    <row r="696" spans="70:85" ht="12.75" customHeight="1" x14ac:dyDescent="0.25">
      <c r="BR696" s="177"/>
      <c r="BS696" s="177"/>
      <c r="BT696" s="267"/>
      <c r="BU696" s="267"/>
      <c r="BV696" s="267"/>
      <c r="BW696" s="267"/>
      <c r="BX696" s="267"/>
      <c r="BY696" s="267"/>
      <c r="BZ696" s="267"/>
      <c r="CA696" s="267"/>
      <c r="CB696" s="267"/>
      <c r="CC696" s="267"/>
      <c r="CD696" s="267"/>
      <c r="CE696" s="267"/>
      <c r="CF696" s="267"/>
      <c r="CG696" s="267"/>
    </row>
    <row r="697" spans="70:85" ht="12.75" customHeight="1" x14ac:dyDescent="0.25">
      <c r="BR697" s="177"/>
      <c r="BS697" s="177"/>
      <c r="BT697" s="267"/>
      <c r="BU697" s="267"/>
      <c r="BV697" s="267"/>
      <c r="BW697" s="267"/>
      <c r="BX697" s="267"/>
      <c r="BY697" s="267"/>
      <c r="BZ697" s="267"/>
      <c r="CA697" s="267"/>
      <c r="CB697" s="267"/>
      <c r="CC697" s="267"/>
      <c r="CD697" s="267"/>
      <c r="CE697" s="267"/>
      <c r="CF697" s="267"/>
      <c r="CG697" s="267"/>
    </row>
    <row r="698" spans="70:85" ht="12.75" customHeight="1" x14ac:dyDescent="0.25">
      <c r="BR698" s="177"/>
      <c r="BS698" s="177"/>
      <c r="BT698" s="267"/>
      <c r="BU698" s="267"/>
      <c r="BV698" s="267"/>
      <c r="BW698" s="267"/>
      <c r="BX698" s="267"/>
      <c r="BY698" s="267"/>
      <c r="BZ698" s="267"/>
      <c r="CA698" s="267"/>
      <c r="CB698" s="267"/>
      <c r="CC698" s="267"/>
      <c r="CD698" s="267"/>
      <c r="CE698" s="267"/>
      <c r="CF698" s="267"/>
      <c r="CG698" s="267"/>
    </row>
    <row r="699" spans="70:85" ht="12.75" customHeight="1" x14ac:dyDescent="0.25">
      <c r="BR699" s="177"/>
      <c r="BS699" s="177"/>
      <c r="BT699" s="267"/>
      <c r="BU699" s="267"/>
      <c r="BV699" s="267"/>
      <c r="BW699" s="267"/>
      <c r="BX699" s="267"/>
      <c r="BY699" s="267"/>
      <c r="BZ699" s="267"/>
      <c r="CA699" s="267"/>
      <c r="CB699" s="267"/>
      <c r="CC699" s="267"/>
      <c r="CD699" s="267"/>
      <c r="CE699" s="267"/>
      <c r="CF699" s="267"/>
      <c r="CG699" s="267"/>
    </row>
    <row r="700" spans="70:85" ht="12.75" customHeight="1" x14ac:dyDescent="0.25">
      <c r="BR700" s="177"/>
      <c r="BS700" s="177"/>
      <c r="BT700" s="267"/>
      <c r="BU700" s="267"/>
      <c r="BV700" s="267"/>
      <c r="BW700" s="267"/>
      <c r="BX700" s="267"/>
      <c r="BY700" s="267"/>
      <c r="BZ700" s="267"/>
      <c r="CA700" s="267"/>
      <c r="CB700" s="267"/>
      <c r="CC700" s="267"/>
      <c r="CD700" s="267"/>
      <c r="CE700" s="267"/>
      <c r="CF700" s="267"/>
      <c r="CG700" s="267"/>
    </row>
    <row r="701" spans="70:85" ht="12.75" customHeight="1" x14ac:dyDescent="0.25">
      <c r="BR701" s="177"/>
      <c r="BS701" s="177"/>
      <c r="BT701" s="267"/>
      <c r="BU701" s="267"/>
      <c r="BV701" s="267"/>
      <c r="BW701" s="267"/>
      <c r="BX701" s="267"/>
      <c r="BY701" s="267"/>
      <c r="BZ701" s="267"/>
      <c r="CA701" s="267"/>
      <c r="CB701" s="267"/>
      <c r="CC701" s="267"/>
      <c r="CD701" s="267"/>
      <c r="CE701" s="267"/>
      <c r="CF701" s="267"/>
      <c r="CG701" s="267"/>
    </row>
    <row r="702" spans="70:85" ht="12.75" customHeight="1" x14ac:dyDescent="0.25">
      <c r="BR702" s="177"/>
      <c r="BS702" s="177"/>
      <c r="BT702" s="267"/>
      <c r="BU702" s="267"/>
      <c r="BV702" s="267"/>
      <c r="BW702" s="267"/>
      <c r="BX702" s="267"/>
      <c r="BY702" s="267"/>
      <c r="BZ702" s="267"/>
      <c r="CA702" s="267"/>
      <c r="CB702" s="267"/>
      <c r="CC702" s="267"/>
      <c r="CD702" s="267"/>
      <c r="CE702" s="267"/>
      <c r="CF702" s="267"/>
      <c r="CG702" s="267"/>
    </row>
    <row r="703" spans="70:85" ht="12.75" customHeight="1" x14ac:dyDescent="0.25">
      <c r="BR703" s="177"/>
      <c r="BS703" s="177"/>
      <c r="BT703" s="267"/>
      <c r="BU703" s="267"/>
      <c r="BV703" s="267"/>
      <c r="BW703" s="267"/>
      <c r="BX703" s="267"/>
      <c r="BY703" s="267"/>
      <c r="BZ703" s="267"/>
      <c r="CA703" s="267"/>
      <c r="CB703" s="267"/>
      <c r="CC703" s="267"/>
      <c r="CD703" s="267"/>
      <c r="CE703" s="267"/>
      <c r="CF703" s="267"/>
      <c r="CG703" s="267"/>
    </row>
    <row r="704" spans="70:85" ht="12.75" customHeight="1" x14ac:dyDescent="0.25">
      <c r="BR704" s="177"/>
      <c r="BS704" s="177"/>
      <c r="BT704" s="267"/>
      <c r="BU704" s="267"/>
      <c r="BV704" s="267"/>
      <c r="BW704" s="267"/>
      <c r="BX704" s="267"/>
      <c r="BY704" s="267"/>
      <c r="BZ704" s="267"/>
      <c r="CA704" s="267"/>
      <c r="CB704" s="267"/>
      <c r="CC704" s="267"/>
      <c r="CD704" s="267"/>
      <c r="CE704" s="267"/>
      <c r="CF704" s="267"/>
      <c r="CG704" s="267"/>
    </row>
    <row r="705" spans="70:85" ht="12.75" customHeight="1" x14ac:dyDescent="0.25">
      <c r="BR705" s="177"/>
      <c r="BS705" s="177"/>
      <c r="BT705" s="267"/>
      <c r="BU705" s="267"/>
      <c r="BV705" s="267"/>
      <c r="BW705" s="267"/>
      <c r="BX705" s="267"/>
      <c r="BY705" s="267"/>
      <c r="BZ705" s="267"/>
      <c r="CA705" s="267"/>
      <c r="CB705" s="267"/>
      <c r="CC705" s="267"/>
      <c r="CD705" s="267"/>
      <c r="CE705" s="267"/>
      <c r="CF705" s="267"/>
      <c r="CG705" s="267"/>
    </row>
    <row r="706" spans="70:85" ht="12.75" customHeight="1" x14ac:dyDescent="0.25">
      <c r="BR706" s="177"/>
      <c r="BS706" s="177"/>
      <c r="BT706" s="267"/>
      <c r="BU706" s="267"/>
      <c r="BV706" s="267"/>
      <c r="BW706" s="267"/>
      <c r="BX706" s="267"/>
      <c r="BY706" s="267"/>
      <c r="BZ706" s="267"/>
      <c r="CA706" s="267"/>
      <c r="CB706" s="267"/>
      <c r="CC706" s="267"/>
      <c r="CD706" s="267"/>
      <c r="CE706" s="267"/>
      <c r="CF706" s="267"/>
      <c r="CG706" s="267"/>
    </row>
    <row r="707" spans="70:85" ht="12.75" customHeight="1" x14ac:dyDescent="0.25">
      <c r="BR707" s="177"/>
      <c r="BS707" s="177"/>
      <c r="BT707" s="267"/>
      <c r="BU707" s="267"/>
      <c r="BV707" s="267"/>
      <c r="BW707" s="267"/>
      <c r="BX707" s="267"/>
      <c r="BY707" s="267"/>
      <c r="BZ707" s="267"/>
      <c r="CA707" s="267"/>
      <c r="CB707" s="267"/>
      <c r="CC707" s="267"/>
      <c r="CD707" s="267"/>
      <c r="CE707" s="267"/>
      <c r="CF707" s="267"/>
      <c r="CG707" s="267"/>
    </row>
    <row r="708" spans="70:85" ht="12.75" customHeight="1" x14ac:dyDescent="0.25">
      <c r="BR708" s="177"/>
      <c r="BS708" s="177"/>
      <c r="BT708" s="267"/>
      <c r="BU708" s="267"/>
      <c r="BV708" s="267"/>
      <c r="BW708" s="267"/>
      <c r="BX708" s="267"/>
      <c r="BY708" s="267"/>
      <c r="BZ708" s="267"/>
      <c r="CA708" s="267"/>
      <c r="CB708" s="267"/>
      <c r="CC708" s="267"/>
      <c r="CD708" s="267"/>
      <c r="CE708" s="267"/>
      <c r="CF708" s="267"/>
      <c r="CG708" s="267"/>
    </row>
    <row r="709" spans="70:85" ht="12.75" customHeight="1" x14ac:dyDescent="0.25">
      <c r="BR709" s="177"/>
      <c r="BS709" s="177"/>
      <c r="BT709" s="267"/>
      <c r="BU709" s="267"/>
      <c r="BV709" s="267"/>
      <c r="BW709" s="267"/>
      <c r="BX709" s="267"/>
      <c r="BY709" s="267"/>
      <c r="BZ709" s="267"/>
      <c r="CA709" s="267"/>
      <c r="CB709" s="267"/>
      <c r="CC709" s="267"/>
      <c r="CD709" s="267"/>
      <c r="CE709" s="267"/>
      <c r="CF709" s="267"/>
      <c r="CG709" s="267"/>
    </row>
    <row r="710" spans="70:85" ht="12.75" customHeight="1" x14ac:dyDescent="0.25">
      <c r="BR710" s="177"/>
      <c r="BS710" s="177"/>
      <c r="BT710" s="267"/>
      <c r="BU710" s="267"/>
      <c r="BV710" s="267"/>
      <c r="BW710" s="267"/>
      <c r="BX710" s="267"/>
      <c r="BY710" s="267"/>
      <c r="BZ710" s="267"/>
      <c r="CA710" s="267"/>
      <c r="CB710" s="267"/>
      <c r="CC710" s="267"/>
      <c r="CD710" s="267"/>
      <c r="CE710" s="267"/>
      <c r="CF710" s="267"/>
      <c r="CG710" s="267"/>
    </row>
    <row r="711" spans="70:85" ht="12.75" customHeight="1" x14ac:dyDescent="0.25">
      <c r="BR711" s="177"/>
      <c r="BS711" s="177"/>
      <c r="BT711" s="267"/>
      <c r="BU711" s="267"/>
      <c r="BV711" s="267"/>
      <c r="BW711" s="267"/>
      <c r="BX711" s="267"/>
      <c r="BY711" s="267"/>
      <c r="BZ711" s="267"/>
      <c r="CA711" s="267"/>
      <c r="CB711" s="267"/>
      <c r="CC711" s="267"/>
      <c r="CD711" s="267"/>
      <c r="CE711" s="267"/>
      <c r="CF711" s="267"/>
      <c r="CG711" s="267"/>
    </row>
    <row r="712" spans="70:85" ht="12.75" customHeight="1" x14ac:dyDescent="0.25">
      <c r="BR712" s="177"/>
      <c r="BS712" s="177"/>
      <c r="BT712" s="267"/>
      <c r="BU712" s="267"/>
      <c r="BV712" s="267"/>
      <c r="BW712" s="267"/>
      <c r="BX712" s="267"/>
      <c r="BY712" s="267"/>
      <c r="BZ712" s="267"/>
      <c r="CA712" s="267"/>
      <c r="CB712" s="267"/>
      <c r="CC712" s="267"/>
      <c r="CD712" s="267"/>
      <c r="CE712" s="267"/>
      <c r="CF712" s="267"/>
      <c r="CG712" s="267"/>
    </row>
    <row r="713" spans="70:85" ht="12.75" customHeight="1" x14ac:dyDescent="0.25">
      <c r="BR713" s="177"/>
      <c r="BS713" s="177"/>
      <c r="BT713" s="267"/>
      <c r="BU713" s="267"/>
      <c r="BV713" s="267"/>
      <c r="BW713" s="267"/>
      <c r="BX713" s="267"/>
      <c r="BY713" s="267"/>
      <c r="BZ713" s="267"/>
      <c r="CA713" s="267"/>
      <c r="CB713" s="267"/>
      <c r="CC713" s="267"/>
      <c r="CD713" s="267"/>
      <c r="CE713" s="267"/>
      <c r="CF713" s="267"/>
      <c r="CG713" s="267"/>
    </row>
    <row r="714" spans="70:85" ht="12.75" customHeight="1" x14ac:dyDescent="0.25">
      <c r="BR714" s="177"/>
      <c r="BS714" s="177"/>
      <c r="BT714" s="267"/>
      <c r="BU714" s="267"/>
      <c r="BV714" s="267"/>
      <c r="BW714" s="267"/>
      <c r="BX714" s="267"/>
      <c r="BY714" s="267"/>
      <c r="BZ714" s="267"/>
      <c r="CA714" s="267"/>
      <c r="CB714" s="267"/>
      <c r="CC714" s="267"/>
      <c r="CD714" s="267"/>
      <c r="CE714" s="267"/>
      <c r="CF714" s="267"/>
      <c r="CG714" s="267"/>
    </row>
    <row r="715" spans="70:85" ht="12.75" customHeight="1" x14ac:dyDescent="0.25">
      <c r="BR715" s="177"/>
      <c r="BS715" s="177"/>
      <c r="BT715" s="267"/>
      <c r="BU715" s="267"/>
      <c r="BV715" s="267"/>
      <c r="BW715" s="267"/>
      <c r="BX715" s="267"/>
      <c r="BY715" s="267"/>
      <c r="BZ715" s="267"/>
      <c r="CA715" s="267"/>
      <c r="CB715" s="267"/>
      <c r="CC715" s="267"/>
      <c r="CD715" s="267"/>
      <c r="CE715" s="267"/>
      <c r="CF715" s="267"/>
      <c r="CG715" s="267"/>
    </row>
    <row r="716" spans="70:85" ht="12.75" customHeight="1" x14ac:dyDescent="0.25">
      <c r="BR716" s="177"/>
      <c r="BS716" s="177"/>
      <c r="BT716" s="267"/>
      <c r="BU716" s="267"/>
      <c r="BV716" s="267"/>
      <c r="BW716" s="267"/>
      <c r="BX716" s="267"/>
      <c r="BY716" s="267"/>
      <c r="BZ716" s="267"/>
      <c r="CA716" s="267"/>
      <c r="CB716" s="267"/>
      <c r="CC716" s="267"/>
      <c r="CD716" s="267"/>
      <c r="CE716" s="267"/>
      <c r="CF716" s="267"/>
      <c r="CG716" s="267"/>
    </row>
    <row r="717" spans="70:85" ht="12.75" customHeight="1" x14ac:dyDescent="0.25">
      <c r="BR717" s="177"/>
      <c r="BS717" s="177"/>
      <c r="BT717" s="267"/>
      <c r="BU717" s="267"/>
      <c r="BV717" s="267"/>
      <c r="BW717" s="267"/>
      <c r="BX717" s="267"/>
      <c r="BY717" s="267"/>
      <c r="BZ717" s="267"/>
      <c r="CA717" s="267"/>
      <c r="CB717" s="267"/>
      <c r="CC717" s="267"/>
      <c r="CD717" s="267"/>
      <c r="CE717" s="267"/>
      <c r="CF717" s="267"/>
      <c r="CG717" s="267"/>
    </row>
    <row r="718" spans="70:85" ht="12.75" customHeight="1" x14ac:dyDescent="0.25">
      <c r="BR718" s="177"/>
      <c r="BS718" s="177"/>
      <c r="BT718" s="267"/>
      <c r="BU718" s="267"/>
      <c r="BV718" s="267"/>
      <c r="BW718" s="267"/>
      <c r="BX718" s="267"/>
      <c r="BY718" s="267"/>
      <c r="BZ718" s="267"/>
      <c r="CA718" s="267"/>
      <c r="CB718" s="267"/>
      <c r="CC718" s="267"/>
      <c r="CD718" s="267"/>
      <c r="CE718" s="267"/>
      <c r="CF718" s="267"/>
      <c r="CG718" s="267"/>
    </row>
    <row r="719" spans="70:85" ht="12.75" customHeight="1" x14ac:dyDescent="0.25">
      <c r="BR719" s="177"/>
      <c r="BS719" s="177"/>
      <c r="BT719" s="267"/>
      <c r="BU719" s="267"/>
      <c r="BV719" s="267"/>
      <c r="BW719" s="267"/>
      <c r="BX719" s="267"/>
      <c r="BY719" s="267"/>
      <c r="BZ719" s="267"/>
      <c r="CA719" s="267"/>
      <c r="CB719" s="267"/>
      <c r="CC719" s="267"/>
      <c r="CD719" s="267"/>
      <c r="CE719" s="267"/>
      <c r="CF719" s="267"/>
      <c r="CG719" s="267"/>
    </row>
    <row r="720" spans="70:85" ht="12.75" customHeight="1" x14ac:dyDescent="0.25">
      <c r="BR720" s="177"/>
      <c r="BS720" s="177"/>
      <c r="BT720" s="267"/>
      <c r="BU720" s="267"/>
      <c r="BV720" s="267"/>
      <c r="BW720" s="267"/>
      <c r="BX720" s="267"/>
      <c r="BY720" s="267"/>
      <c r="BZ720" s="267"/>
      <c r="CA720" s="267"/>
      <c r="CB720" s="267"/>
      <c r="CC720" s="267"/>
      <c r="CD720" s="267"/>
      <c r="CE720" s="267"/>
      <c r="CF720" s="267"/>
      <c r="CG720" s="267"/>
    </row>
    <row r="721" spans="70:85" ht="12.75" customHeight="1" x14ac:dyDescent="0.25">
      <c r="BR721" s="177"/>
      <c r="BS721" s="177"/>
      <c r="BT721" s="267"/>
      <c r="BU721" s="267"/>
      <c r="BV721" s="267"/>
      <c r="BW721" s="267"/>
      <c r="BX721" s="267"/>
      <c r="BY721" s="267"/>
      <c r="BZ721" s="267"/>
      <c r="CA721" s="267"/>
      <c r="CB721" s="267"/>
      <c r="CC721" s="267"/>
      <c r="CD721" s="267"/>
      <c r="CE721" s="267"/>
      <c r="CF721" s="267"/>
      <c r="CG721" s="267"/>
    </row>
    <row r="722" spans="70:85" ht="12.75" customHeight="1" x14ac:dyDescent="0.25">
      <c r="BR722" s="177"/>
      <c r="BS722" s="177"/>
      <c r="BT722" s="267"/>
      <c r="BU722" s="267"/>
      <c r="BV722" s="267"/>
      <c r="BW722" s="267"/>
      <c r="BX722" s="267"/>
      <c r="BY722" s="267"/>
      <c r="BZ722" s="267"/>
      <c r="CA722" s="267"/>
      <c r="CB722" s="267"/>
      <c r="CC722" s="267"/>
      <c r="CD722" s="267"/>
      <c r="CE722" s="267"/>
      <c r="CF722" s="267"/>
      <c r="CG722" s="267"/>
    </row>
    <row r="723" spans="70:85" ht="12.75" customHeight="1" x14ac:dyDescent="0.25">
      <c r="BR723" s="177"/>
      <c r="BS723" s="177"/>
      <c r="BT723" s="267"/>
      <c r="BU723" s="267"/>
      <c r="BV723" s="267"/>
      <c r="BW723" s="267"/>
      <c r="BX723" s="267"/>
      <c r="BY723" s="267"/>
      <c r="BZ723" s="267"/>
      <c r="CA723" s="267"/>
      <c r="CB723" s="267"/>
      <c r="CC723" s="267"/>
      <c r="CD723" s="267"/>
      <c r="CE723" s="267"/>
      <c r="CF723" s="267"/>
      <c r="CG723" s="267"/>
    </row>
    <row r="724" spans="70:85" ht="12.75" customHeight="1" x14ac:dyDescent="0.25">
      <c r="BR724" s="177"/>
      <c r="BS724" s="177"/>
      <c r="BT724" s="267"/>
      <c r="BU724" s="267"/>
      <c r="BV724" s="267"/>
      <c r="BW724" s="267"/>
      <c r="BX724" s="267"/>
      <c r="BY724" s="267"/>
      <c r="BZ724" s="267"/>
      <c r="CA724" s="267"/>
      <c r="CB724" s="267"/>
      <c r="CC724" s="267"/>
      <c r="CD724" s="267"/>
      <c r="CE724" s="267"/>
      <c r="CF724" s="267"/>
      <c r="CG724" s="267"/>
    </row>
    <row r="725" spans="70:85" ht="12.75" customHeight="1" x14ac:dyDescent="0.25">
      <c r="BR725" s="177"/>
      <c r="BS725" s="177"/>
      <c r="BT725" s="267"/>
      <c r="BU725" s="267"/>
      <c r="BV725" s="267"/>
      <c r="BW725" s="267"/>
      <c r="BX725" s="267"/>
      <c r="BY725" s="267"/>
      <c r="BZ725" s="267"/>
      <c r="CA725" s="267"/>
      <c r="CB725" s="267"/>
      <c r="CC725" s="267"/>
      <c r="CD725" s="267"/>
      <c r="CE725" s="267"/>
      <c r="CF725" s="267"/>
      <c r="CG725" s="267"/>
    </row>
    <row r="726" spans="70:85" ht="12.75" customHeight="1" x14ac:dyDescent="0.25">
      <c r="BR726" s="177"/>
      <c r="BS726" s="177"/>
      <c r="BT726" s="267"/>
      <c r="BU726" s="267"/>
      <c r="BV726" s="267"/>
      <c r="BW726" s="267"/>
      <c r="BX726" s="267"/>
      <c r="BY726" s="267"/>
      <c r="BZ726" s="267"/>
      <c r="CA726" s="267"/>
      <c r="CB726" s="267"/>
      <c r="CC726" s="267"/>
      <c r="CD726" s="267"/>
      <c r="CE726" s="267"/>
      <c r="CF726" s="267"/>
      <c r="CG726" s="267"/>
    </row>
    <row r="727" spans="70:85" ht="12.75" customHeight="1" x14ac:dyDescent="0.25">
      <c r="BR727" s="177"/>
      <c r="BS727" s="177"/>
      <c r="BT727" s="267"/>
      <c r="BU727" s="267"/>
      <c r="BV727" s="267"/>
      <c r="BW727" s="267"/>
      <c r="BX727" s="267"/>
      <c r="BY727" s="267"/>
      <c r="BZ727" s="267"/>
      <c r="CA727" s="267"/>
      <c r="CB727" s="267"/>
      <c r="CC727" s="267"/>
      <c r="CD727" s="267"/>
      <c r="CE727" s="267"/>
      <c r="CF727" s="267"/>
      <c r="CG727" s="267"/>
    </row>
    <row r="728" spans="70:85" ht="12.75" customHeight="1" x14ac:dyDescent="0.25">
      <c r="BR728" s="177"/>
      <c r="BS728" s="177"/>
      <c r="BT728" s="267"/>
      <c r="BU728" s="267"/>
      <c r="BV728" s="267"/>
      <c r="BW728" s="267"/>
      <c r="BX728" s="267"/>
      <c r="BY728" s="267"/>
      <c r="BZ728" s="267"/>
      <c r="CA728" s="267"/>
      <c r="CB728" s="267"/>
      <c r="CC728" s="267"/>
      <c r="CD728" s="267"/>
      <c r="CE728" s="267"/>
      <c r="CF728" s="267"/>
      <c r="CG728" s="267"/>
    </row>
    <row r="729" spans="70:85" ht="12.75" customHeight="1" x14ac:dyDescent="0.25">
      <c r="BR729" s="177"/>
      <c r="BS729" s="177"/>
      <c r="BT729" s="267"/>
      <c r="BU729" s="267"/>
      <c r="BV729" s="267"/>
      <c r="BW729" s="267"/>
      <c r="BX729" s="267"/>
      <c r="BY729" s="267"/>
      <c r="BZ729" s="267"/>
      <c r="CA729" s="267"/>
      <c r="CB729" s="267"/>
      <c r="CC729" s="267"/>
      <c r="CD729" s="267"/>
      <c r="CE729" s="267"/>
      <c r="CF729" s="267"/>
      <c r="CG729" s="267"/>
    </row>
    <row r="730" spans="70:85" ht="12.75" customHeight="1" x14ac:dyDescent="0.25">
      <c r="BR730" s="177"/>
      <c r="BS730" s="177"/>
      <c r="BT730" s="267"/>
      <c r="BU730" s="267"/>
      <c r="BV730" s="267"/>
      <c r="BW730" s="267"/>
      <c r="BX730" s="267"/>
      <c r="BY730" s="267"/>
      <c r="BZ730" s="267"/>
      <c r="CA730" s="267"/>
      <c r="CB730" s="267"/>
      <c r="CC730" s="267"/>
      <c r="CD730" s="267"/>
      <c r="CE730" s="267"/>
      <c r="CF730" s="267"/>
      <c r="CG730" s="267"/>
    </row>
    <row r="731" spans="70:85" ht="12.75" customHeight="1" x14ac:dyDescent="0.25">
      <c r="BR731" s="177"/>
      <c r="BS731" s="177"/>
      <c r="BT731" s="267"/>
      <c r="BU731" s="267"/>
      <c r="BV731" s="267"/>
      <c r="BW731" s="267"/>
      <c r="BX731" s="267"/>
      <c r="BY731" s="267"/>
      <c r="BZ731" s="267"/>
      <c r="CA731" s="267"/>
      <c r="CB731" s="267"/>
      <c r="CC731" s="267"/>
      <c r="CD731" s="267"/>
      <c r="CE731" s="267"/>
      <c r="CF731" s="267"/>
      <c r="CG731" s="267"/>
    </row>
    <row r="732" spans="70:85" ht="12.75" customHeight="1" x14ac:dyDescent="0.25">
      <c r="BR732" s="177"/>
      <c r="BS732" s="177"/>
      <c r="BT732" s="267"/>
      <c r="BU732" s="267"/>
      <c r="BV732" s="267"/>
      <c r="BW732" s="267"/>
      <c r="BX732" s="267"/>
      <c r="BY732" s="267"/>
      <c r="BZ732" s="267"/>
      <c r="CA732" s="267"/>
      <c r="CB732" s="267"/>
      <c r="CC732" s="267"/>
      <c r="CD732" s="267"/>
      <c r="CE732" s="267"/>
      <c r="CF732" s="267"/>
      <c r="CG732" s="267"/>
    </row>
    <row r="733" spans="70:85" ht="12.75" customHeight="1" x14ac:dyDescent="0.25">
      <c r="BR733" s="177"/>
      <c r="BS733" s="177"/>
      <c r="BT733" s="267"/>
      <c r="BU733" s="267"/>
      <c r="BV733" s="267"/>
      <c r="BW733" s="267"/>
      <c r="BX733" s="267"/>
      <c r="BY733" s="267"/>
      <c r="BZ733" s="267"/>
      <c r="CA733" s="267"/>
      <c r="CB733" s="267"/>
      <c r="CC733" s="267"/>
      <c r="CD733" s="267"/>
      <c r="CE733" s="267"/>
      <c r="CF733" s="267"/>
      <c r="CG733" s="267"/>
    </row>
    <row r="734" spans="70:85" ht="12.75" customHeight="1" x14ac:dyDescent="0.25">
      <c r="BR734" s="177"/>
      <c r="BS734" s="177"/>
      <c r="BT734" s="267"/>
      <c r="BU734" s="267"/>
      <c r="BV734" s="267"/>
      <c r="BW734" s="267"/>
      <c r="BX734" s="267"/>
      <c r="BY734" s="267"/>
      <c r="BZ734" s="267"/>
      <c r="CA734" s="267"/>
      <c r="CB734" s="267"/>
      <c r="CC734" s="267"/>
      <c r="CD734" s="267"/>
      <c r="CE734" s="267"/>
      <c r="CF734" s="267"/>
      <c r="CG734" s="267"/>
    </row>
    <row r="735" spans="70:85" ht="12.75" customHeight="1" x14ac:dyDescent="0.25">
      <c r="BR735" s="177"/>
      <c r="BS735" s="177"/>
      <c r="BT735" s="267"/>
      <c r="BU735" s="267"/>
      <c r="BV735" s="267"/>
      <c r="BW735" s="267"/>
      <c r="BX735" s="267"/>
      <c r="BY735" s="267"/>
      <c r="BZ735" s="267"/>
      <c r="CA735" s="267"/>
      <c r="CB735" s="267"/>
      <c r="CC735" s="267"/>
      <c r="CD735" s="267"/>
      <c r="CE735" s="267"/>
      <c r="CF735" s="267"/>
      <c r="CG735" s="267"/>
    </row>
    <row r="736" spans="70:85" ht="12.75" customHeight="1" x14ac:dyDescent="0.25">
      <c r="BR736" s="177"/>
      <c r="BS736" s="177"/>
      <c r="BT736" s="267"/>
      <c r="BU736" s="267"/>
      <c r="BV736" s="267"/>
      <c r="BW736" s="267"/>
      <c r="BX736" s="267"/>
      <c r="BY736" s="267"/>
      <c r="BZ736" s="267"/>
      <c r="CA736" s="267"/>
      <c r="CB736" s="267"/>
      <c r="CC736" s="267"/>
      <c r="CD736" s="267"/>
      <c r="CE736" s="267"/>
      <c r="CF736" s="267"/>
      <c r="CG736" s="267"/>
    </row>
    <row r="737" spans="70:85" ht="12.75" customHeight="1" x14ac:dyDescent="0.25">
      <c r="BR737" s="177"/>
      <c r="BS737" s="177"/>
      <c r="BT737" s="267"/>
      <c r="BU737" s="267"/>
      <c r="BV737" s="267"/>
      <c r="BW737" s="267"/>
      <c r="BX737" s="267"/>
      <c r="BY737" s="267"/>
      <c r="BZ737" s="267"/>
      <c r="CA737" s="267"/>
      <c r="CB737" s="267"/>
      <c r="CC737" s="267"/>
      <c r="CD737" s="267"/>
      <c r="CE737" s="267"/>
      <c r="CF737" s="267"/>
      <c r="CG737" s="267"/>
    </row>
    <row r="738" spans="70:85" ht="12.75" customHeight="1" x14ac:dyDescent="0.25">
      <c r="BR738" s="177"/>
      <c r="BS738" s="177"/>
      <c r="BT738" s="267"/>
      <c r="BU738" s="267"/>
      <c r="BV738" s="267"/>
      <c r="BW738" s="267"/>
      <c r="BX738" s="267"/>
      <c r="BY738" s="267"/>
      <c r="BZ738" s="267"/>
      <c r="CA738" s="267"/>
      <c r="CB738" s="267"/>
      <c r="CC738" s="267"/>
      <c r="CD738" s="267"/>
      <c r="CE738" s="267"/>
      <c r="CF738" s="267"/>
      <c r="CG738" s="267"/>
    </row>
    <row r="739" spans="70:85" ht="12.75" customHeight="1" x14ac:dyDescent="0.25">
      <c r="BR739" s="177"/>
      <c r="BS739" s="177"/>
      <c r="BT739" s="267"/>
      <c r="BU739" s="267"/>
      <c r="BV739" s="267"/>
      <c r="BW739" s="267"/>
      <c r="BX739" s="267"/>
      <c r="BY739" s="267"/>
      <c r="BZ739" s="267"/>
      <c r="CA739" s="267"/>
      <c r="CB739" s="267"/>
      <c r="CC739" s="267"/>
      <c r="CD739" s="267"/>
      <c r="CE739" s="267"/>
      <c r="CF739" s="267"/>
      <c r="CG739" s="267"/>
    </row>
    <row r="740" spans="70:85" ht="12.75" customHeight="1" x14ac:dyDescent="0.25">
      <c r="BR740" s="177"/>
      <c r="BS740" s="177"/>
      <c r="BT740" s="267"/>
      <c r="BU740" s="267"/>
      <c r="BV740" s="267"/>
      <c r="BW740" s="267"/>
      <c r="BX740" s="267"/>
      <c r="BY740" s="267"/>
      <c r="BZ740" s="267"/>
      <c r="CA740" s="267"/>
      <c r="CB740" s="267"/>
      <c r="CC740" s="267"/>
      <c r="CD740" s="267"/>
      <c r="CE740" s="267"/>
      <c r="CF740" s="267"/>
      <c r="CG740" s="267"/>
    </row>
    <row r="741" spans="70:85" ht="12.75" customHeight="1" x14ac:dyDescent="0.25">
      <c r="BR741" s="177"/>
      <c r="BS741" s="177"/>
      <c r="BT741" s="267"/>
      <c r="BU741" s="267"/>
      <c r="BV741" s="267"/>
      <c r="BW741" s="267"/>
      <c r="BX741" s="267"/>
      <c r="BY741" s="267"/>
      <c r="BZ741" s="267"/>
      <c r="CA741" s="267"/>
      <c r="CB741" s="267"/>
      <c r="CC741" s="267"/>
      <c r="CD741" s="267"/>
      <c r="CE741" s="267"/>
      <c r="CF741" s="267"/>
      <c r="CG741" s="267"/>
    </row>
    <row r="742" spans="70:85" ht="12.75" customHeight="1" x14ac:dyDescent="0.25">
      <c r="BR742" s="177"/>
      <c r="BS742" s="177"/>
      <c r="BT742" s="267"/>
      <c r="BU742" s="267"/>
      <c r="BV742" s="267"/>
      <c r="BW742" s="267"/>
      <c r="BX742" s="267"/>
      <c r="BY742" s="267"/>
      <c r="BZ742" s="267"/>
      <c r="CA742" s="267"/>
      <c r="CB742" s="267"/>
      <c r="CC742" s="267"/>
      <c r="CD742" s="267"/>
      <c r="CE742" s="267"/>
      <c r="CF742" s="267"/>
      <c r="CG742" s="267"/>
    </row>
    <row r="743" spans="70:85" ht="12.75" customHeight="1" x14ac:dyDescent="0.25">
      <c r="BR743" s="177"/>
      <c r="BS743" s="177"/>
      <c r="BT743" s="267"/>
      <c r="BU743" s="267"/>
      <c r="BV743" s="267"/>
      <c r="BW743" s="267"/>
      <c r="BX743" s="267"/>
      <c r="BY743" s="267"/>
      <c r="BZ743" s="267"/>
      <c r="CA743" s="267"/>
      <c r="CB743" s="267"/>
      <c r="CC743" s="267"/>
      <c r="CD743" s="267"/>
      <c r="CE743" s="267"/>
      <c r="CF743" s="267"/>
      <c r="CG743" s="267"/>
    </row>
    <row r="744" spans="70:85" ht="12.75" customHeight="1" x14ac:dyDescent="0.25">
      <c r="BR744" s="177"/>
      <c r="BS744" s="177"/>
      <c r="BT744" s="267"/>
      <c r="BU744" s="267"/>
      <c r="BV744" s="267"/>
      <c r="BW744" s="267"/>
      <c r="BX744" s="267"/>
      <c r="BY744" s="267"/>
      <c r="BZ744" s="267"/>
      <c r="CA744" s="267"/>
      <c r="CB744" s="267"/>
      <c r="CC744" s="267"/>
      <c r="CD744" s="267"/>
      <c r="CE744" s="267"/>
      <c r="CF744" s="267"/>
      <c r="CG744" s="267"/>
    </row>
    <row r="745" spans="70:85" ht="12.75" customHeight="1" x14ac:dyDescent="0.25">
      <c r="BR745" s="177"/>
      <c r="BS745" s="177"/>
      <c r="BT745" s="267"/>
      <c r="BU745" s="267"/>
      <c r="BV745" s="267"/>
      <c r="BW745" s="267"/>
      <c r="BX745" s="267"/>
      <c r="BY745" s="267"/>
      <c r="BZ745" s="267"/>
      <c r="CA745" s="267"/>
      <c r="CB745" s="267"/>
      <c r="CC745" s="267"/>
      <c r="CD745" s="267"/>
      <c r="CE745" s="267"/>
      <c r="CF745" s="267"/>
      <c r="CG745" s="267"/>
    </row>
    <row r="746" spans="70:85" ht="12.75" customHeight="1" x14ac:dyDescent="0.25">
      <c r="BR746" s="177"/>
      <c r="BS746" s="177"/>
      <c r="BT746" s="267"/>
      <c r="BU746" s="267"/>
      <c r="BV746" s="267"/>
      <c r="BW746" s="267"/>
      <c r="BX746" s="267"/>
      <c r="BY746" s="267"/>
      <c r="BZ746" s="267"/>
      <c r="CA746" s="267"/>
      <c r="CB746" s="267"/>
      <c r="CC746" s="267"/>
      <c r="CD746" s="267"/>
      <c r="CE746" s="267"/>
      <c r="CF746" s="267"/>
      <c r="CG746" s="267"/>
    </row>
    <row r="747" spans="70:85" ht="12.75" customHeight="1" x14ac:dyDescent="0.25">
      <c r="BR747" s="177"/>
      <c r="BS747" s="177"/>
      <c r="BT747" s="267"/>
      <c r="BU747" s="267"/>
      <c r="BV747" s="267"/>
      <c r="BW747" s="267"/>
      <c r="BX747" s="267"/>
      <c r="BY747" s="267"/>
      <c r="BZ747" s="267"/>
      <c r="CA747" s="267"/>
      <c r="CB747" s="267"/>
      <c r="CC747" s="267"/>
      <c r="CD747" s="267"/>
      <c r="CE747" s="267"/>
      <c r="CF747" s="267"/>
      <c r="CG747" s="267"/>
    </row>
    <row r="748" spans="70:85" ht="12.75" customHeight="1" x14ac:dyDescent="0.25">
      <c r="BR748" s="177"/>
      <c r="BS748" s="177"/>
      <c r="BT748" s="267"/>
      <c r="BU748" s="267"/>
      <c r="BV748" s="267"/>
      <c r="BW748" s="267"/>
      <c r="BX748" s="267"/>
      <c r="BY748" s="267"/>
      <c r="BZ748" s="267"/>
      <c r="CA748" s="267"/>
      <c r="CB748" s="267"/>
      <c r="CC748" s="267"/>
      <c r="CD748" s="267"/>
      <c r="CE748" s="267"/>
      <c r="CF748" s="267"/>
      <c r="CG748" s="267"/>
    </row>
    <row r="749" spans="70:85" ht="12.75" customHeight="1" x14ac:dyDescent="0.25">
      <c r="BR749" s="177"/>
      <c r="BS749" s="177"/>
      <c r="BT749" s="267"/>
      <c r="BU749" s="267"/>
      <c r="BV749" s="267"/>
      <c r="BW749" s="267"/>
      <c r="BX749" s="267"/>
      <c r="BY749" s="267"/>
      <c r="BZ749" s="267"/>
      <c r="CA749" s="267"/>
      <c r="CB749" s="267"/>
      <c r="CC749" s="267"/>
      <c r="CD749" s="267"/>
      <c r="CE749" s="267"/>
      <c r="CF749" s="267"/>
      <c r="CG749" s="267"/>
    </row>
    <row r="750" spans="70:85" ht="12.75" customHeight="1" x14ac:dyDescent="0.25">
      <c r="BR750" s="177"/>
      <c r="BS750" s="177"/>
      <c r="BT750" s="267"/>
      <c r="BU750" s="267"/>
      <c r="BV750" s="267"/>
      <c r="BW750" s="267"/>
      <c r="BX750" s="267"/>
      <c r="BY750" s="267"/>
      <c r="BZ750" s="267"/>
      <c r="CA750" s="267"/>
      <c r="CB750" s="267"/>
      <c r="CC750" s="267"/>
      <c r="CD750" s="267"/>
      <c r="CE750" s="267"/>
      <c r="CF750" s="267"/>
      <c r="CG750" s="267"/>
    </row>
    <row r="751" spans="70:85" ht="12.75" customHeight="1" x14ac:dyDescent="0.25">
      <c r="BR751" s="177"/>
      <c r="BS751" s="177"/>
      <c r="BT751" s="267"/>
      <c r="BU751" s="267"/>
      <c r="BV751" s="267"/>
      <c r="BW751" s="267"/>
      <c r="BX751" s="267"/>
      <c r="BY751" s="267"/>
      <c r="BZ751" s="267"/>
      <c r="CA751" s="267"/>
      <c r="CB751" s="267"/>
      <c r="CC751" s="267"/>
      <c r="CD751" s="267"/>
      <c r="CE751" s="267"/>
      <c r="CF751" s="267"/>
      <c r="CG751" s="267"/>
    </row>
    <row r="752" spans="70:85" ht="12.75" customHeight="1" x14ac:dyDescent="0.25">
      <c r="BR752" s="177"/>
      <c r="BS752" s="177"/>
      <c r="BT752" s="267"/>
      <c r="BU752" s="267"/>
      <c r="BV752" s="267"/>
      <c r="BW752" s="267"/>
      <c r="BX752" s="267"/>
      <c r="BY752" s="267"/>
      <c r="BZ752" s="267"/>
      <c r="CA752" s="267"/>
      <c r="CB752" s="267"/>
      <c r="CC752" s="267"/>
      <c r="CD752" s="267"/>
      <c r="CE752" s="267"/>
      <c r="CF752" s="267"/>
      <c r="CG752" s="267"/>
    </row>
    <row r="753" spans="70:85" ht="12.75" customHeight="1" x14ac:dyDescent="0.25">
      <c r="BR753" s="177"/>
      <c r="BS753" s="177"/>
      <c r="BT753" s="267"/>
      <c r="BU753" s="267"/>
      <c r="BV753" s="267"/>
      <c r="BW753" s="267"/>
      <c r="BX753" s="267"/>
      <c r="BY753" s="267"/>
      <c r="BZ753" s="267"/>
      <c r="CA753" s="267"/>
      <c r="CB753" s="267"/>
      <c r="CC753" s="267"/>
      <c r="CD753" s="267"/>
      <c r="CE753" s="267"/>
      <c r="CF753" s="267"/>
      <c r="CG753" s="267"/>
    </row>
    <row r="754" spans="70:85" ht="12.75" customHeight="1" x14ac:dyDescent="0.25">
      <c r="BR754" s="177"/>
      <c r="BS754" s="177"/>
      <c r="BT754" s="267"/>
      <c r="BU754" s="267"/>
      <c r="BV754" s="267"/>
      <c r="BW754" s="267"/>
      <c r="BX754" s="267"/>
      <c r="BY754" s="267"/>
      <c r="BZ754" s="267"/>
      <c r="CA754" s="267"/>
      <c r="CB754" s="267"/>
      <c r="CC754" s="267"/>
      <c r="CD754" s="267"/>
      <c r="CE754" s="267"/>
      <c r="CF754" s="267"/>
      <c r="CG754" s="267"/>
    </row>
    <row r="755" spans="70:85" ht="12.75" customHeight="1" x14ac:dyDescent="0.25">
      <c r="BR755" s="177"/>
      <c r="BS755" s="177"/>
      <c r="BT755" s="267"/>
      <c r="BU755" s="267"/>
      <c r="BV755" s="267"/>
      <c r="BW755" s="267"/>
      <c r="BX755" s="267"/>
      <c r="BY755" s="267"/>
      <c r="BZ755" s="267"/>
      <c r="CA755" s="267"/>
      <c r="CB755" s="267"/>
      <c r="CC755" s="267"/>
      <c r="CD755" s="267"/>
      <c r="CE755" s="267"/>
      <c r="CF755" s="267"/>
      <c r="CG755" s="267"/>
    </row>
    <row r="756" spans="70:85" ht="12.75" customHeight="1" x14ac:dyDescent="0.25">
      <c r="BR756" s="177"/>
      <c r="BS756" s="177"/>
      <c r="BT756" s="267"/>
      <c r="BU756" s="267"/>
      <c r="BV756" s="267"/>
      <c r="BW756" s="267"/>
      <c r="BX756" s="267"/>
      <c r="BY756" s="267"/>
      <c r="BZ756" s="267"/>
      <c r="CA756" s="267"/>
      <c r="CB756" s="267"/>
      <c r="CC756" s="267"/>
      <c r="CD756" s="267"/>
      <c r="CE756" s="267"/>
      <c r="CF756" s="267"/>
      <c r="CG756" s="267"/>
    </row>
    <row r="757" spans="70:85" ht="12.75" customHeight="1" x14ac:dyDescent="0.25">
      <c r="BR757" s="177"/>
      <c r="BS757" s="177"/>
      <c r="BT757" s="267"/>
      <c r="BU757" s="267"/>
      <c r="BV757" s="267"/>
      <c r="BW757" s="267"/>
      <c r="BX757" s="267"/>
      <c r="BY757" s="267"/>
      <c r="BZ757" s="267"/>
      <c r="CA757" s="267"/>
      <c r="CB757" s="267"/>
      <c r="CC757" s="267"/>
      <c r="CD757" s="267"/>
      <c r="CE757" s="267"/>
      <c r="CF757" s="267"/>
      <c r="CG757" s="267"/>
    </row>
    <row r="758" spans="70:85" ht="12.75" customHeight="1" x14ac:dyDescent="0.25">
      <c r="BR758" s="177"/>
      <c r="BS758" s="177"/>
      <c r="BT758" s="267"/>
      <c r="BU758" s="267"/>
      <c r="BV758" s="267"/>
      <c r="BW758" s="267"/>
      <c r="BX758" s="267"/>
      <c r="BY758" s="267"/>
      <c r="BZ758" s="267"/>
      <c r="CA758" s="267"/>
      <c r="CB758" s="267"/>
      <c r="CC758" s="267"/>
      <c r="CD758" s="267"/>
      <c r="CE758" s="267"/>
      <c r="CF758" s="267"/>
      <c r="CG758" s="267"/>
    </row>
    <row r="759" spans="70:85" ht="12.75" customHeight="1" x14ac:dyDescent="0.25">
      <c r="BR759" s="177"/>
      <c r="BS759" s="177"/>
      <c r="BT759" s="267"/>
      <c r="BU759" s="267"/>
      <c r="BV759" s="267"/>
      <c r="BW759" s="267"/>
      <c r="BX759" s="267"/>
      <c r="BY759" s="267"/>
      <c r="BZ759" s="267"/>
      <c r="CA759" s="267"/>
      <c r="CB759" s="267"/>
      <c r="CC759" s="267"/>
      <c r="CD759" s="267"/>
      <c r="CE759" s="267"/>
      <c r="CF759" s="267"/>
      <c r="CG759" s="267"/>
    </row>
    <row r="760" spans="70:85" ht="12.75" customHeight="1" x14ac:dyDescent="0.25">
      <c r="BR760" s="177"/>
      <c r="BS760" s="177"/>
      <c r="BT760" s="267"/>
      <c r="BU760" s="267"/>
      <c r="BV760" s="267"/>
      <c r="BW760" s="267"/>
      <c r="BX760" s="267"/>
      <c r="BY760" s="267"/>
      <c r="BZ760" s="267"/>
      <c r="CA760" s="267"/>
      <c r="CB760" s="267"/>
      <c r="CC760" s="267"/>
      <c r="CD760" s="267"/>
      <c r="CE760" s="267"/>
      <c r="CF760" s="267"/>
      <c r="CG760" s="267"/>
    </row>
    <row r="761" spans="70:85" ht="12.75" customHeight="1" x14ac:dyDescent="0.25">
      <c r="BR761" s="177"/>
      <c r="BS761" s="177"/>
      <c r="BT761" s="267"/>
      <c r="BU761" s="267"/>
      <c r="BV761" s="267"/>
      <c r="BW761" s="267"/>
      <c r="BX761" s="267"/>
      <c r="BY761" s="267"/>
      <c r="BZ761" s="267"/>
      <c r="CA761" s="267"/>
      <c r="CB761" s="267"/>
      <c r="CC761" s="267"/>
      <c r="CD761" s="267"/>
      <c r="CE761" s="267"/>
      <c r="CF761" s="267"/>
      <c r="CG761" s="267"/>
    </row>
    <row r="762" spans="70:85" ht="12.75" customHeight="1" x14ac:dyDescent="0.25">
      <c r="BR762" s="177"/>
      <c r="BS762" s="177"/>
      <c r="BT762" s="267"/>
      <c r="BU762" s="267"/>
      <c r="BV762" s="267"/>
      <c r="BW762" s="267"/>
      <c r="BX762" s="267"/>
      <c r="BY762" s="267"/>
      <c r="BZ762" s="267"/>
      <c r="CA762" s="267"/>
      <c r="CB762" s="267"/>
      <c r="CC762" s="267"/>
      <c r="CD762" s="267"/>
      <c r="CE762" s="267"/>
      <c r="CF762" s="267"/>
      <c r="CG762" s="267"/>
    </row>
    <row r="763" spans="70:85" ht="12.75" customHeight="1" x14ac:dyDescent="0.25">
      <c r="BR763" s="177"/>
      <c r="BS763" s="177"/>
      <c r="BT763" s="267"/>
      <c r="BU763" s="267"/>
      <c r="BV763" s="267"/>
      <c r="BW763" s="267"/>
      <c r="BX763" s="267"/>
      <c r="BY763" s="267"/>
      <c r="BZ763" s="267"/>
      <c r="CA763" s="267"/>
      <c r="CB763" s="267"/>
      <c r="CC763" s="267"/>
      <c r="CD763" s="267"/>
      <c r="CE763" s="267"/>
      <c r="CF763" s="267"/>
      <c r="CG763" s="267"/>
    </row>
    <row r="764" spans="70:85" ht="12.75" customHeight="1" x14ac:dyDescent="0.25">
      <c r="BR764" s="177"/>
      <c r="BS764" s="177"/>
      <c r="BT764" s="267"/>
      <c r="BU764" s="267"/>
      <c r="BV764" s="267"/>
      <c r="BW764" s="267"/>
      <c r="BX764" s="267"/>
      <c r="BY764" s="267"/>
      <c r="BZ764" s="267"/>
      <c r="CA764" s="267"/>
      <c r="CB764" s="267"/>
      <c r="CC764" s="267"/>
      <c r="CD764" s="267"/>
      <c r="CE764" s="267"/>
      <c r="CF764" s="267"/>
      <c r="CG764" s="267"/>
    </row>
    <row r="765" spans="70:85" ht="12.75" customHeight="1" x14ac:dyDescent="0.25">
      <c r="BR765" s="177"/>
      <c r="BS765" s="177"/>
      <c r="BT765" s="267"/>
      <c r="BU765" s="267"/>
      <c r="BV765" s="267"/>
      <c r="BW765" s="267"/>
      <c r="BX765" s="267"/>
      <c r="BY765" s="267"/>
      <c r="BZ765" s="267"/>
      <c r="CA765" s="267"/>
      <c r="CB765" s="267"/>
      <c r="CC765" s="267"/>
      <c r="CD765" s="267"/>
      <c r="CE765" s="267"/>
      <c r="CF765" s="267"/>
      <c r="CG765" s="267"/>
    </row>
    <row r="766" spans="70:85" ht="12.75" customHeight="1" x14ac:dyDescent="0.25">
      <c r="BR766" s="177"/>
      <c r="BS766" s="177"/>
      <c r="BT766" s="267"/>
      <c r="BU766" s="267"/>
      <c r="BV766" s="267"/>
      <c r="BW766" s="267"/>
      <c r="BX766" s="267"/>
      <c r="BY766" s="267"/>
      <c r="BZ766" s="267"/>
      <c r="CA766" s="267"/>
      <c r="CB766" s="267"/>
      <c r="CC766" s="267"/>
      <c r="CD766" s="267"/>
      <c r="CE766" s="267"/>
      <c r="CF766" s="267"/>
      <c r="CG766" s="267"/>
    </row>
    <row r="767" spans="70:85" ht="12.75" customHeight="1" x14ac:dyDescent="0.25">
      <c r="BR767" s="177"/>
      <c r="BS767" s="177"/>
      <c r="BT767" s="267"/>
      <c r="BU767" s="267"/>
      <c r="BV767" s="267"/>
      <c r="BW767" s="267"/>
      <c r="BX767" s="267"/>
      <c r="BY767" s="267"/>
      <c r="BZ767" s="267"/>
      <c r="CA767" s="267"/>
      <c r="CB767" s="267"/>
      <c r="CC767" s="267"/>
      <c r="CD767" s="267"/>
      <c r="CE767" s="267"/>
      <c r="CF767" s="267"/>
      <c r="CG767" s="267"/>
    </row>
    <row r="768" spans="70:85" ht="12.75" customHeight="1" x14ac:dyDescent="0.25">
      <c r="BR768" s="177"/>
      <c r="BS768" s="177"/>
      <c r="BT768" s="267"/>
      <c r="BU768" s="267"/>
      <c r="BV768" s="267"/>
      <c r="BW768" s="267"/>
      <c r="BX768" s="267"/>
      <c r="BY768" s="267"/>
      <c r="BZ768" s="267"/>
      <c r="CA768" s="267"/>
      <c r="CB768" s="267"/>
      <c r="CC768" s="267"/>
      <c r="CD768" s="267"/>
      <c r="CE768" s="267"/>
      <c r="CF768" s="267"/>
      <c r="CG768" s="267"/>
    </row>
    <row r="769" spans="70:85" ht="12.75" customHeight="1" x14ac:dyDescent="0.25">
      <c r="BR769" s="177"/>
      <c r="BS769" s="177"/>
      <c r="BT769" s="267"/>
      <c r="BU769" s="267"/>
      <c r="BV769" s="267"/>
      <c r="BW769" s="267"/>
      <c r="BX769" s="267"/>
      <c r="BY769" s="267"/>
      <c r="BZ769" s="267"/>
      <c r="CA769" s="267"/>
      <c r="CB769" s="267"/>
      <c r="CC769" s="267"/>
      <c r="CD769" s="267"/>
      <c r="CE769" s="267"/>
      <c r="CF769" s="267"/>
      <c r="CG769" s="267"/>
    </row>
    <row r="770" spans="70:85" ht="12.75" customHeight="1" x14ac:dyDescent="0.25">
      <c r="BR770" s="177"/>
      <c r="BS770" s="177"/>
      <c r="BT770" s="267"/>
      <c r="BU770" s="267"/>
      <c r="BV770" s="267"/>
      <c r="BW770" s="267"/>
      <c r="BX770" s="267"/>
      <c r="BY770" s="267"/>
      <c r="BZ770" s="267"/>
      <c r="CA770" s="267"/>
      <c r="CB770" s="267"/>
      <c r="CC770" s="267"/>
      <c r="CD770" s="267"/>
      <c r="CE770" s="267"/>
      <c r="CF770" s="267"/>
      <c r="CG770" s="267"/>
    </row>
    <row r="771" spans="70:85" ht="12.75" customHeight="1" x14ac:dyDescent="0.25">
      <c r="BR771" s="177"/>
      <c r="BS771" s="177"/>
      <c r="BT771" s="267"/>
      <c r="BU771" s="267"/>
      <c r="BV771" s="267"/>
      <c r="BW771" s="267"/>
      <c r="BX771" s="267"/>
      <c r="BY771" s="267"/>
      <c r="BZ771" s="267"/>
      <c r="CA771" s="267"/>
      <c r="CB771" s="267"/>
      <c r="CC771" s="267"/>
      <c r="CD771" s="267"/>
      <c r="CE771" s="267"/>
      <c r="CF771" s="267"/>
      <c r="CG771" s="267"/>
    </row>
    <row r="772" spans="70:85" ht="12.75" customHeight="1" x14ac:dyDescent="0.25">
      <c r="BR772" s="177"/>
      <c r="BS772" s="177"/>
      <c r="BT772" s="267"/>
      <c r="BU772" s="267"/>
      <c r="BV772" s="267"/>
      <c r="BW772" s="267"/>
      <c r="BX772" s="267"/>
      <c r="BY772" s="267"/>
      <c r="BZ772" s="267"/>
      <c r="CA772" s="267"/>
      <c r="CB772" s="267"/>
      <c r="CC772" s="267"/>
      <c r="CD772" s="267"/>
      <c r="CE772" s="267"/>
      <c r="CF772" s="267"/>
      <c r="CG772" s="267"/>
    </row>
    <row r="773" spans="70:85" ht="12.75" customHeight="1" x14ac:dyDescent="0.25">
      <c r="BR773" s="177"/>
      <c r="BS773" s="177"/>
      <c r="BT773" s="267"/>
      <c r="BU773" s="267"/>
      <c r="BV773" s="267"/>
      <c r="BW773" s="267"/>
      <c r="BX773" s="267"/>
      <c r="BY773" s="267"/>
      <c r="BZ773" s="267"/>
      <c r="CA773" s="267"/>
      <c r="CB773" s="267"/>
      <c r="CC773" s="267"/>
      <c r="CD773" s="267"/>
      <c r="CE773" s="267"/>
      <c r="CF773" s="267"/>
      <c r="CG773" s="267"/>
    </row>
    <row r="774" spans="70:85" ht="12.75" customHeight="1" x14ac:dyDescent="0.25">
      <c r="BR774" s="177"/>
      <c r="BS774" s="177"/>
      <c r="BT774" s="267"/>
      <c r="BU774" s="267"/>
      <c r="BV774" s="267"/>
      <c r="BW774" s="267"/>
      <c r="BX774" s="267"/>
      <c r="BY774" s="267"/>
      <c r="BZ774" s="267"/>
      <c r="CA774" s="267"/>
      <c r="CB774" s="267"/>
      <c r="CC774" s="267"/>
      <c r="CD774" s="267"/>
      <c r="CE774" s="267"/>
      <c r="CF774" s="267"/>
      <c r="CG774" s="267"/>
    </row>
    <row r="775" spans="70:85" ht="12.75" customHeight="1" x14ac:dyDescent="0.25">
      <c r="BR775" s="177"/>
      <c r="BS775" s="177"/>
      <c r="BT775" s="267"/>
      <c r="BU775" s="267"/>
      <c r="BV775" s="267"/>
      <c r="BW775" s="267"/>
      <c r="BX775" s="267"/>
      <c r="BY775" s="267"/>
      <c r="BZ775" s="267"/>
      <c r="CA775" s="267"/>
      <c r="CB775" s="267"/>
      <c r="CC775" s="267"/>
      <c r="CD775" s="267"/>
      <c r="CE775" s="267"/>
      <c r="CF775" s="267"/>
      <c r="CG775" s="267"/>
    </row>
    <row r="776" spans="70:85" ht="12.75" customHeight="1" x14ac:dyDescent="0.25">
      <c r="BR776" s="177"/>
      <c r="BS776" s="177"/>
      <c r="BT776" s="267"/>
      <c r="BU776" s="267"/>
      <c r="BV776" s="267"/>
      <c r="BW776" s="267"/>
      <c r="BX776" s="267"/>
      <c r="BY776" s="267"/>
      <c r="BZ776" s="267"/>
      <c r="CA776" s="267"/>
      <c r="CB776" s="267"/>
      <c r="CC776" s="267"/>
      <c r="CD776" s="267"/>
      <c r="CE776" s="267"/>
      <c r="CF776" s="267"/>
      <c r="CG776" s="267"/>
    </row>
    <row r="777" spans="70:85" ht="12.75" customHeight="1" x14ac:dyDescent="0.25">
      <c r="BR777" s="177"/>
      <c r="BS777" s="177"/>
      <c r="BT777" s="267"/>
      <c r="BU777" s="267"/>
      <c r="BV777" s="267"/>
      <c r="BW777" s="267"/>
      <c r="BX777" s="267"/>
      <c r="BY777" s="267"/>
      <c r="BZ777" s="267"/>
      <c r="CA777" s="267"/>
      <c r="CB777" s="267"/>
      <c r="CC777" s="267"/>
      <c r="CD777" s="267"/>
      <c r="CE777" s="267"/>
      <c r="CF777" s="267"/>
      <c r="CG777" s="267"/>
    </row>
    <row r="778" spans="70:85" ht="12.75" customHeight="1" x14ac:dyDescent="0.25">
      <c r="BR778" s="177"/>
      <c r="BS778" s="177"/>
      <c r="BT778" s="267"/>
      <c r="BU778" s="267"/>
      <c r="BV778" s="267"/>
      <c r="BW778" s="267"/>
      <c r="BX778" s="267"/>
      <c r="BY778" s="267"/>
      <c r="BZ778" s="267"/>
      <c r="CA778" s="267"/>
      <c r="CB778" s="267"/>
      <c r="CC778" s="267"/>
      <c r="CD778" s="267"/>
      <c r="CE778" s="267"/>
      <c r="CF778" s="267"/>
      <c r="CG778" s="267"/>
    </row>
    <row r="779" spans="70:85" ht="12.75" customHeight="1" x14ac:dyDescent="0.25">
      <c r="BR779" s="177"/>
      <c r="BS779" s="177"/>
      <c r="BT779" s="267"/>
      <c r="BU779" s="267"/>
      <c r="BV779" s="267"/>
      <c r="BW779" s="267"/>
      <c r="BX779" s="267"/>
      <c r="BY779" s="267"/>
      <c r="BZ779" s="267"/>
      <c r="CA779" s="267"/>
      <c r="CB779" s="267"/>
      <c r="CC779" s="267"/>
      <c r="CD779" s="267"/>
      <c r="CE779" s="267"/>
      <c r="CF779" s="267"/>
      <c r="CG779" s="267"/>
    </row>
    <row r="780" spans="70:85" ht="12.75" customHeight="1" x14ac:dyDescent="0.25">
      <c r="BR780" s="177"/>
      <c r="BS780" s="177"/>
      <c r="BT780" s="267"/>
      <c r="BU780" s="267"/>
      <c r="BV780" s="267"/>
      <c r="BW780" s="267"/>
      <c r="BX780" s="267"/>
      <c r="BY780" s="267"/>
      <c r="BZ780" s="267"/>
      <c r="CA780" s="267"/>
      <c r="CB780" s="267"/>
      <c r="CC780" s="267"/>
      <c r="CD780" s="267"/>
      <c r="CE780" s="267"/>
      <c r="CF780" s="267"/>
      <c r="CG780" s="267"/>
    </row>
    <row r="781" spans="70:85" ht="12.75" customHeight="1" x14ac:dyDescent="0.25">
      <c r="BR781" s="177"/>
      <c r="BS781" s="177"/>
      <c r="BT781" s="267"/>
      <c r="BU781" s="267"/>
      <c r="BV781" s="267"/>
      <c r="BW781" s="267"/>
      <c r="BX781" s="267"/>
      <c r="BY781" s="267"/>
      <c r="BZ781" s="267"/>
      <c r="CA781" s="267"/>
      <c r="CB781" s="267"/>
      <c r="CC781" s="267"/>
      <c r="CD781" s="267"/>
      <c r="CE781" s="267"/>
      <c r="CF781" s="267"/>
      <c r="CG781" s="267"/>
    </row>
    <row r="782" spans="70:85" ht="12.75" customHeight="1" x14ac:dyDescent="0.25">
      <c r="BR782" s="177"/>
      <c r="BS782" s="177"/>
      <c r="BT782" s="267"/>
      <c r="BU782" s="267"/>
      <c r="BV782" s="267"/>
      <c r="BW782" s="267"/>
      <c r="BX782" s="267"/>
      <c r="BY782" s="267"/>
      <c r="BZ782" s="267"/>
      <c r="CA782" s="267"/>
      <c r="CB782" s="267"/>
      <c r="CC782" s="267"/>
      <c r="CD782" s="267"/>
      <c r="CE782" s="267"/>
      <c r="CF782" s="267"/>
      <c r="CG782" s="267"/>
    </row>
    <row r="783" spans="70:85" ht="12.75" customHeight="1" x14ac:dyDescent="0.25">
      <c r="BR783" s="177"/>
      <c r="BS783" s="177"/>
      <c r="BT783" s="267"/>
      <c r="BU783" s="267"/>
      <c r="BV783" s="267"/>
      <c r="BW783" s="267"/>
      <c r="BX783" s="267"/>
      <c r="BY783" s="267"/>
      <c r="BZ783" s="267"/>
      <c r="CA783" s="267"/>
      <c r="CB783" s="267"/>
      <c r="CC783" s="267"/>
      <c r="CD783" s="267"/>
      <c r="CE783" s="267"/>
      <c r="CF783" s="267"/>
      <c r="CG783" s="267"/>
    </row>
    <row r="784" spans="70:85" ht="12.75" customHeight="1" x14ac:dyDescent="0.25">
      <c r="BR784" s="177"/>
      <c r="BS784" s="177"/>
      <c r="BT784" s="267"/>
      <c r="BU784" s="267"/>
      <c r="BV784" s="267"/>
      <c r="BW784" s="267"/>
      <c r="BX784" s="267"/>
      <c r="BY784" s="267"/>
      <c r="BZ784" s="267"/>
      <c r="CA784" s="267"/>
      <c r="CB784" s="267"/>
      <c r="CC784" s="267"/>
      <c r="CD784" s="267"/>
      <c r="CE784" s="267"/>
      <c r="CF784" s="267"/>
      <c r="CG784" s="267"/>
    </row>
    <row r="785" spans="70:85" ht="12.75" customHeight="1" x14ac:dyDescent="0.25">
      <c r="BR785" s="177"/>
      <c r="BS785" s="177"/>
      <c r="BT785" s="267"/>
      <c r="BU785" s="267"/>
      <c r="BV785" s="267"/>
      <c r="BW785" s="267"/>
      <c r="BX785" s="267"/>
      <c r="BY785" s="267"/>
      <c r="BZ785" s="267"/>
      <c r="CA785" s="267"/>
      <c r="CB785" s="267"/>
      <c r="CC785" s="267"/>
      <c r="CD785" s="267"/>
      <c r="CE785" s="267"/>
      <c r="CF785" s="267"/>
      <c r="CG785" s="267"/>
    </row>
    <row r="786" spans="70:85" ht="12.75" customHeight="1" x14ac:dyDescent="0.25">
      <c r="BR786" s="177"/>
      <c r="BS786" s="177"/>
      <c r="BT786" s="267"/>
      <c r="BU786" s="267"/>
      <c r="BV786" s="267"/>
      <c r="BW786" s="267"/>
      <c r="BX786" s="267"/>
      <c r="BY786" s="267"/>
      <c r="BZ786" s="267"/>
      <c r="CA786" s="267"/>
      <c r="CB786" s="267"/>
      <c r="CC786" s="267"/>
      <c r="CD786" s="267"/>
      <c r="CE786" s="267"/>
      <c r="CF786" s="267"/>
      <c r="CG786" s="267"/>
    </row>
    <row r="787" spans="70:85" ht="12.75" customHeight="1" x14ac:dyDescent="0.25">
      <c r="BR787" s="177"/>
      <c r="BS787" s="177"/>
      <c r="BT787" s="267"/>
      <c r="BU787" s="267"/>
      <c r="BV787" s="267"/>
      <c r="BW787" s="267"/>
      <c r="BX787" s="267"/>
      <c r="BY787" s="267"/>
      <c r="BZ787" s="267"/>
      <c r="CA787" s="267"/>
      <c r="CB787" s="267"/>
      <c r="CC787" s="267"/>
      <c r="CD787" s="267"/>
      <c r="CE787" s="267"/>
      <c r="CF787" s="267"/>
      <c r="CG787" s="267"/>
    </row>
    <row r="788" spans="70:85" ht="12.75" customHeight="1" x14ac:dyDescent="0.25">
      <c r="BR788" s="177"/>
      <c r="BS788" s="177"/>
      <c r="BT788" s="267"/>
      <c r="BU788" s="267"/>
      <c r="BV788" s="267"/>
      <c r="BW788" s="267"/>
      <c r="BX788" s="267"/>
      <c r="BY788" s="267"/>
      <c r="BZ788" s="267"/>
      <c r="CA788" s="267"/>
      <c r="CB788" s="267"/>
      <c r="CC788" s="267"/>
      <c r="CD788" s="267"/>
      <c r="CE788" s="267"/>
      <c r="CF788" s="267"/>
      <c r="CG788" s="267"/>
    </row>
    <row r="789" spans="70:85" ht="12.75" customHeight="1" x14ac:dyDescent="0.25">
      <c r="BR789" s="177"/>
      <c r="BS789" s="177"/>
      <c r="BT789" s="267"/>
      <c r="BU789" s="267"/>
      <c r="BV789" s="267"/>
      <c r="BW789" s="267"/>
      <c r="BX789" s="267"/>
      <c r="BY789" s="267"/>
      <c r="BZ789" s="267"/>
      <c r="CA789" s="267"/>
      <c r="CB789" s="267"/>
      <c r="CC789" s="267"/>
      <c r="CD789" s="267"/>
      <c r="CE789" s="267"/>
      <c r="CF789" s="267"/>
      <c r="CG789" s="267"/>
    </row>
    <row r="790" spans="70:85" ht="12.75" customHeight="1" x14ac:dyDescent="0.25">
      <c r="BR790" s="177"/>
      <c r="BS790" s="177"/>
      <c r="BT790" s="267"/>
      <c r="BU790" s="267"/>
      <c r="BV790" s="267"/>
      <c r="BW790" s="267"/>
      <c r="BX790" s="267"/>
      <c r="BY790" s="267"/>
      <c r="BZ790" s="267"/>
      <c r="CA790" s="267"/>
      <c r="CB790" s="267"/>
      <c r="CC790" s="267"/>
      <c r="CD790" s="267"/>
      <c r="CE790" s="267"/>
      <c r="CF790" s="267"/>
      <c r="CG790" s="267"/>
    </row>
    <row r="791" spans="70:85" ht="12.75" customHeight="1" x14ac:dyDescent="0.25">
      <c r="BR791" s="177"/>
      <c r="BS791" s="177"/>
      <c r="BT791" s="267"/>
      <c r="BU791" s="267"/>
      <c r="BV791" s="267"/>
      <c r="BW791" s="267"/>
      <c r="BX791" s="267"/>
      <c r="BY791" s="267"/>
      <c r="BZ791" s="267"/>
      <c r="CA791" s="267"/>
      <c r="CB791" s="267"/>
      <c r="CC791" s="267"/>
      <c r="CD791" s="267"/>
      <c r="CE791" s="267"/>
      <c r="CF791" s="267"/>
      <c r="CG791" s="267"/>
    </row>
    <row r="792" spans="70:85" ht="12.75" customHeight="1" x14ac:dyDescent="0.25">
      <c r="BR792" s="177"/>
      <c r="BS792" s="177"/>
      <c r="BT792" s="267"/>
      <c r="BU792" s="267"/>
      <c r="BV792" s="267"/>
      <c r="BW792" s="267"/>
      <c r="BX792" s="267"/>
      <c r="BY792" s="267"/>
      <c r="BZ792" s="267"/>
      <c r="CA792" s="267"/>
      <c r="CB792" s="267"/>
      <c r="CC792" s="267"/>
      <c r="CD792" s="267"/>
      <c r="CE792" s="267"/>
      <c r="CF792" s="267"/>
      <c r="CG792" s="267"/>
    </row>
    <row r="793" spans="70:85" ht="12.75" customHeight="1" x14ac:dyDescent="0.25">
      <c r="BR793" s="177"/>
      <c r="BS793" s="177"/>
      <c r="BT793" s="267"/>
      <c r="BU793" s="267"/>
      <c r="BV793" s="267"/>
      <c r="BW793" s="267"/>
      <c r="BX793" s="267"/>
      <c r="BY793" s="267"/>
      <c r="BZ793" s="267"/>
      <c r="CA793" s="267"/>
      <c r="CB793" s="267"/>
      <c r="CC793" s="267"/>
      <c r="CD793" s="267"/>
      <c r="CE793" s="267"/>
      <c r="CF793" s="267"/>
      <c r="CG793" s="267"/>
    </row>
    <row r="794" spans="70:85" ht="12.75" customHeight="1" x14ac:dyDescent="0.25">
      <c r="BR794" s="177"/>
      <c r="BS794" s="177"/>
      <c r="BT794" s="267"/>
      <c r="BU794" s="267"/>
      <c r="BV794" s="267"/>
      <c r="BW794" s="267"/>
      <c r="BX794" s="267"/>
      <c r="BY794" s="267"/>
      <c r="BZ794" s="267"/>
      <c r="CA794" s="267"/>
      <c r="CB794" s="267"/>
      <c r="CC794" s="267"/>
      <c r="CD794" s="267"/>
      <c r="CE794" s="267"/>
      <c r="CF794" s="267"/>
      <c r="CG794" s="267"/>
    </row>
    <row r="795" spans="70:85" ht="12.75" customHeight="1" x14ac:dyDescent="0.25">
      <c r="BR795" s="177"/>
      <c r="BS795" s="177"/>
      <c r="BT795" s="267"/>
      <c r="BU795" s="267"/>
      <c r="BV795" s="267"/>
      <c r="BW795" s="267"/>
      <c r="BX795" s="267"/>
      <c r="BY795" s="267"/>
      <c r="BZ795" s="267"/>
      <c r="CA795" s="267"/>
      <c r="CB795" s="267"/>
      <c r="CC795" s="267"/>
      <c r="CD795" s="267"/>
      <c r="CE795" s="267"/>
      <c r="CF795" s="267"/>
      <c r="CG795" s="267"/>
    </row>
    <row r="796" spans="70:85" ht="12.75" customHeight="1" x14ac:dyDescent="0.25">
      <c r="BR796" s="177"/>
      <c r="BS796" s="177"/>
      <c r="BT796" s="267"/>
      <c r="BU796" s="267"/>
      <c r="BV796" s="267"/>
      <c r="BW796" s="267"/>
      <c r="BX796" s="267"/>
      <c r="BY796" s="267"/>
      <c r="BZ796" s="267"/>
      <c r="CA796" s="267"/>
      <c r="CB796" s="267"/>
      <c r="CC796" s="267"/>
      <c r="CD796" s="267"/>
      <c r="CE796" s="267"/>
      <c r="CF796" s="267"/>
      <c r="CG796" s="267"/>
    </row>
    <row r="797" spans="70:85" ht="12.75" customHeight="1" x14ac:dyDescent="0.25">
      <c r="BR797" s="177"/>
      <c r="BS797" s="177"/>
      <c r="BT797" s="267"/>
      <c r="BU797" s="267"/>
      <c r="BV797" s="267"/>
      <c r="BW797" s="267"/>
      <c r="BX797" s="267"/>
      <c r="BY797" s="267"/>
      <c r="BZ797" s="267"/>
      <c r="CA797" s="267"/>
      <c r="CB797" s="267"/>
      <c r="CC797" s="267"/>
      <c r="CD797" s="267"/>
      <c r="CE797" s="267"/>
      <c r="CF797" s="267"/>
      <c r="CG797" s="267"/>
    </row>
    <row r="798" spans="70:85" ht="12.75" customHeight="1" x14ac:dyDescent="0.25">
      <c r="BR798" s="177"/>
      <c r="BS798" s="177"/>
      <c r="BT798" s="267"/>
      <c r="BU798" s="267"/>
      <c r="BV798" s="267"/>
      <c r="BW798" s="267"/>
      <c r="BX798" s="267"/>
      <c r="BY798" s="267"/>
      <c r="BZ798" s="267"/>
      <c r="CA798" s="267"/>
      <c r="CB798" s="267"/>
      <c r="CC798" s="267"/>
      <c r="CD798" s="267"/>
      <c r="CE798" s="267"/>
      <c r="CF798" s="267"/>
      <c r="CG798" s="267"/>
    </row>
    <row r="799" spans="70:85" ht="12.75" customHeight="1" x14ac:dyDescent="0.25">
      <c r="BR799" s="177"/>
      <c r="BS799" s="177"/>
      <c r="BT799" s="267"/>
      <c r="BU799" s="267"/>
      <c r="BV799" s="267"/>
      <c r="BW799" s="267"/>
      <c r="BX799" s="267"/>
      <c r="BY799" s="267"/>
      <c r="BZ799" s="267"/>
      <c r="CA799" s="267"/>
      <c r="CB799" s="267"/>
      <c r="CC799" s="267"/>
      <c r="CD799" s="267"/>
      <c r="CE799" s="267"/>
      <c r="CF799" s="267"/>
      <c r="CG799" s="267"/>
    </row>
    <row r="800" spans="70:85" ht="12.75" customHeight="1" x14ac:dyDescent="0.25">
      <c r="BR800" s="177"/>
      <c r="BS800" s="177"/>
      <c r="BT800" s="267"/>
      <c r="BU800" s="267"/>
      <c r="BV800" s="267"/>
      <c r="BW800" s="267"/>
      <c r="BX800" s="267"/>
      <c r="BY800" s="267"/>
      <c r="BZ800" s="267"/>
      <c r="CA800" s="267"/>
      <c r="CB800" s="267"/>
      <c r="CC800" s="267"/>
      <c r="CD800" s="267"/>
      <c r="CE800" s="267"/>
      <c r="CF800" s="267"/>
      <c r="CG800" s="267"/>
    </row>
    <row r="801" spans="70:85" ht="12.75" customHeight="1" x14ac:dyDescent="0.25">
      <c r="BR801" s="177"/>
      <c r="BS801" s="177"/>
      <c r="BT801" s="267"/>
      <c r="BU801" s="267"/>
      <c r="BV801" s="267"/>
      <c r="BW801" s="267"/>
      <c r="BX801" s="267"/>
      <c r="BY801" s="267"/>
      <c r="BZ801" s="267"/>
      <c r="CA801" s="267"/>
      <c r="CB801" s="267"/>
      <c r="CC801" s="267"/>
      <c r="CD801" s="267"/>
      <c r="CE801" s="267"/>
      <c r="CF801" s="267"/>
      <c r="CG801" s="267"/>
    </row>
    <row r="802" spans="70:85" ht="12.75" customHeight="1" x14ac:dyDescent="0.25">
      <c r="BR802" s="177"/>
      <c r="BS802" s="177"/>
      <c r="BT802" s="267"/>
      <c r="BU802" s="267"/>
      <c r="BV802" s="267"/>
      <c r="BW802" s="267"/>
      <c r="BX802" s="267"/>
      <c r="BY802" s="267"/>
      <c r="BZ802" s="267"/>
      <c r="CA802" s="267"/>
      <c r="CB802" s="267"/>
      <c r="CC802" s="267"/>
      <c r="CD802" s="267"/>
      <c r="CE802" s="267"/>
      <c r="CF802" s="267"/>
      <c r="CG802" s="267"/>
    </row>
    <row r="803" spans="70:85" ht="12.75" customHeight="1" x14ac:dyDescent="0.25">
      <c r="BR803" s="177"/>
      <c r="BS803" s="177"/>
      <c r="BT803" s="267"/>
      <c r="BU803" s="267"/>
      <c r="BV803" s="267"/>
      <c r="BW803" s="267"/>
      <c r="BX803" s="267"/>
      <c r="BY803" s="267"/>
      <c r="BZ803" s="267"/>
      <c r="CA803" s="267"/>
      <c r="CB803" s="267"/>
      <c r="CC803" s="267"/>
      <c r="CD803" s="267"/>
      <c r="CE803" s="267"/>
      <c r="CF803" s="267"/>
      <c r="CG803" s="267"/>
    </row>
    <row r="804" spans="70:85" ht="12.75" customHeight="1" x14ac:dyDescent="0.25">
      <c r="BR804" s="177"/>
      <c r="BS804" s="177"/>
      <c r="BT804" s="267"/>
      <c r="BU804" s="267"/>
      <c r="BV804" s="267"/>
      <c r="BW804" s="267"/>
      <c r="BX804" s="267"/>
      <c r="BY804" s="267"/>
      <c r="BZ804" s="267"/>
      <c r="CA804" s="267"/>
      <c r="CB804" s="267"/>
      <c r="CC804" s="267"/>
      <c r="CD804" s="267"/>
      <c r="CE804" s="267"/>
      <c r="CF804" s="267"/>
      <c r="CG804" s="267"/>
    </row>
    <row r="805" spans="70:85" ht="12.75" customHeight="1" x14ac:dyDescent="0.25">
      <c r="BR805" s="177"/>
      <c r="BS805" s="177"/>
      <c r="BT805" s="267"/>
      <c r="BU805" s="267"/>
      <c r="BV805" s="267"/>
      <c r="BW805" s="267"/>
      <c r="BX805" s="267"/>
      <c r="BY805" s="267"/>
      <c r="BZ805" s="267"/>
      <c r="CA805" s="267"/>
      <c r="CB805" s="267"/>
      <c r="CC805" s="267"/>
      <c r="CD805" s="267"/>
      <c r="CE805" s="267"/>
      <c r="CF805" s="267"/>
      <c r="CG805" s="267"/>
    </row>
    <row r="806" spans="70:85" ht="12.75" customHeight="1" x14ac:dyDescent="0.25">
      <c r="BR806" s="177"/>
      <c r="BS806" s="177"/>
      <c r="BT806" s="267"/>
      <c r="BU806" s="267"/>
      <c r="BV806" s="267"/>
      <c r="BW806" s="267"/>
      <c r="BX806" s="267"/>
      <c r="BY806" s="267"/>
      <c r="BZ806" s="267"/>
      <c r="CA806" s="267"/>
      <c r="CB806" s="267"/>
      <c r="CC806" s="267"/>
      <c r="CD806" s="267"/>
      <c r="CE806" s="267"/>
      <c r="CF806" s="267"/>
      <c r="CG806" s="267"/>
    </row>
    <row r="807" spans="70:85" ht="12.75" customHeight="1" x14ac:dyDescent="0.25">
      <c r="BR807" s="177"/>
      <c r="BS807" s="177"/>
      <c r="BT807" s="267"/>
      <c r="BU807" s="267"/>
      <c r="BV807" s="267"/>
      <c r="BW807" s="267"/>
      <c r="BX807" s="267"/>
      <c r="BY807" s="267"/>
      <c r="BZ807" s="267"/>
      <c r="CA807" s="267"/>
      <c r="CB807" s="267"/>
      <c r="CC807" s="267"/>
      <c r="CD807" s="267"/>
      <c r="CE807" s="267"/>
      <c r="CF807" s="267"/>
      <c r="CG807" s="267"/>
    </row>
    <row r="808" spans="70:85" ht="12.75" customHeight="1" x14ac:dyDescent="0.25">
      <c r="BR808" s="177"/>
      <c r="BS808" s="177"/>
      <c r="BT808" s="267"/>
      <c r="BU808" s="267"/>
      <c r="BV808" s="267"/>
      <c r="BW808" s="267"/>
      <c r="BX808" s="267"/>
      <c r="BY808" s="267"/>
      <c r="BZ808" s="267"/>
      <c r="CA808" s="267"/>
      <c r="CB808" s="267"/>
      <c r="CC808" s="267"/>
      <c r="CD808" s="267"/>
      <c r="CE808" s="267"/>
      <c r="CF808" s="267"/>
      <c r="CG808" s="267"/>
    </row>
    <row r="809" spans="70:85" ht="12.75" customHeight="1" x14ac:dyDescent="0.25">
      <c r="BR809" s="177"/>
      <c r="BS809" s="177"/>
      <c r="BT809" s="267"/>
      <c r="BU809" s="267"/>
      <c r="BV809" s="267"/>
      <c r="BW809" s="267"/>
      <c r="BX809" s="267"/>
      <c r="BY809" s="267"/>
      <c r="BZ809" s="267"/>
      <c r="CA809" s="267"/>
      <c r="CB809" s="267"/>
      <c r="CC809" s="267"/>
      <c r="CD809" s="267"/>
      <c r="CE809" s="267"/>
      <c r="CF809" s="267"/>
      <c r="CG809" s="267"/>
    </row>
    <row r="810" spans="70:85" ht="12.75" customHeight="1" x14ac:dyDescent="0.25">
      <c r="BR810" s="177"/>
      <c r="BS810" s="177"/>
      <c r="BT810" s="267"/>
      <c r="BU810" s="267"/>
      <c r="BV810" s="267"/>
      <c r="BW810" s="267"/>
      <c r="BX810" s="267"/>
      <c r="BY810" s="267"/>
      <c r="BZ810" s="267"/>
      <c r="CA810" s="267"/>
      <c r="CB810" s="267"/>
      <c r="CC810" s="267"/>
      <c r="CD810" s="267"/>
      <c r="CE810" s="267"/>
      <c r="CF810" s="267"/>
      <c r="CG810" s="267"/>
    </row>
    <row r="811" spans="70:85" ht="12.75" customHeight="1" x14ac:dyDescent="0.25">
      <c r="BR811" s="177"/>
      <c r="BS811" s="177"/>
      <c r="BT811" s="267"/>
      <c r="BU811" s="267"/>
      <c r="BV811" s="267"/>
      <c r="BW811" s="267"/>
      <c r="BX811" s="267"/>
      <c r="BY811" s="267"/>
      <c r="BZ811" s="267"/>
      <c r="CA811" s="267"/>
      <c r="CB811" s="267"/>
      <c r="CC811" s="267"/>
      <c r="CD811" s="267"/>
      <c r="CE811" s="267"/>
      <c r="CF811" s="267"/>
      <c r="CG811" s="267"/>
    </row>
    <row r="812" spans="70:85" ht="12.75" customHeight="1" x14ac:dyDescent="0.25">
      <c r="BR812" s="177"/>
      <c r="BS812" s="177"/>
      <c r="BT812" s="267"/>
      <c r="BU812" s="267"/>
      <c r="BV812" s="267"/>
      <c r="BW812" s="267"/>
      <c r="BX812" s="267"/>
      <c r="BY812" s="267"/>
      <c r="BZ812" s="267"/>
      <c r="CA812" s="267"/>
      <c r="CB812" s="267"/>
      <c r="CC812" s="267"/>
      <c r="CD812" s="267"/>
      <c r="CE812" s="267"/>
      <c r="CF812" s="267"/>
      <c r="CG812" s="267"/>
    </row>
    <row r="813" spans="70:85" ht="12.75" customHeight="1" x14ac:dyDescent="0.25">
      <c r="BR813" s="177"/>
      <c r="BS813" s="177"/>
      <c r="BT813" s="267"/>
      <c r="BU813" s="267"/>
      <c r="BV813" s="267"/>
      <c r="BW813" s="267"/>
      <c r="BX813" s="267"/>
      <c r="BY813" s="267"/>
      <c r="BZ813" s="267"/>
      <c r="CA813" s="267"/>
      <c r="CB813" s="267"/>
      <c r="CC813" s="267"/>
      <c r="CD813" s="267"/>
      <c r="CE813" s="267"/>
      <c r="CF813" s="267"/>
      <c r="CG813" s="267"/>
    </row>
    <row r="814" spans="70:85" ht="12.75" customHeight="1" x14ac:dyDescent="0.25">
      <c r="BR814" s="177"/>
      <c r="BS814" s="177"/>
      <c r="BT814" s="267"/>
      <c r="BU814" s="267"/>
      <c r="BV814" s="267"/>
      <c r="BW814" s="267"/>
      <c r="BX814" s="267"/>
      <c r="BY814" s="267"/>
      <c r="BZ814" s="267"/>
      <c r="CA814" s="267"/>
      <c r="CB814" s="267"/>
      <c r="CC814" s="267"/>
      <c r="CD814" s="267"/>
      <c r="CE814" s="267"/>
      <c r="CF814" s="267"/>
      <c r="CG814" s="267"/>
    </row>
    <row r="815" spans="70:85" ht="12.75" customHeight="1" x14ac:dyDescent="0.25">
      <c r="BR815" s="177"/>
      <c r="BS815" s="177"/>
      <c r="BT815" s="267"/>
      <c r="BU815" s="267"/>
      <c r="BV815" s="267"/>
      <c r="BW815" s="267"/>
      <c r="BX815" s="267"/>
      <c r="BY815" s="267"/>
      <c r="BZ815" s="267"/>
      <c r="CA815" s="267"/>
      <c r="CB815" s="267"/>
      <c r="CC815" s="267"/>
      <c r="CD815" s="267"/>
      <c r="CE815" s="267"/>
      <c r="CF815" s="267"/>
      <c r="CG815" s="267"/>
    </row>
    <row r="816" spans="70:85" ht="12.75" customHeight="1" x14ac:dyDescent="0.25">
      <c r="BR816" s="177"/>
      <c r="BS816" s="177"/>
      <c r="BT816" s="267"/>
      <c r="BU816" s="267"/>
      <c r="BV816" s="267"/>
      <c r="BW816" s="267"/>
      <c r="BX816" s="267"/>
      <c r="BY816" s="267"/>
      <c r="BZ816" s="267"/>
      <c r="CA816" s="267"/>
      <c r="CB816" s="267"/>
      <c r="CC816" s="267"/>
      <c r="CD816" s="267"/>
      <c r="CE816" s="267"/>
      <c r="CF816" s="267"/>
      <c r="CG816" s="267"/>
    </row>
    <row r="817" spans="70:85" ht="12.75" customHeight="1" x14ac:dyDescent="0.25">
      <c r="BR817" s="177"/>
      <c r="BS817" s="177"/>
      <c r="BT817" s="267"/>
      <c r="BU817" s="267"/>
      <c r="BV817" s="267"/>
      <c r="BW817" s="267"/>
      <c r="BX817" s="267"/>
      <c r="BY817" s="267"/>
      <c r="BZ817" s="267"/>
      <c r="CA817" s="267"/>
      <c r="CB817" s="267"/>
      <c r="CC817" s="267"/>
      <c r="CD817" s="267"/>
      <c r="CE817" s="267"/>
      <c r="CF817" s="267"/>
      <c r="CG817" s="267"/>
    </row>
    <row r="818" spans="70:85" ht="12.75" customHeight="1" x14ac:dyDescent="0.25">
      <c r="BR818" s="177"/>
      <c r="BS818" s="177"/>
      <c r="BT818" s="267"/>
      <c r="BU818" s="267"/>
      <c r="BV818" s="267"/>
      <c r="BW818" s="267"/>
      <c r="BX818" s="267"/>
      <c r="BY818" s="267"/>
      <c r="BZ818" s="267"/>
      <c r="CA818" s="267"/>
      <c r="CB818" s="267"/>
      <c r="CC818" s="267"/>
      <c r="CD818" s="267"/>
      <c r="CE818" s="267"/>
      <c r="CF818" s="267"/>
      <c r="CG818" s="267"/>
    </row>
    <row r="819" spans="70:85" ht="12.75" customHeight="1" x14ac:dyDescent="0.25">
      <c r="BR819" s="177"/>
      <c r="BS819" s="177"/>
      <c r="BT819" s="267"/>
      <c r="BU819" s="267"/>
      <c r="BV819" s="267"/>
      <c r="BW819" s="267"/>
      <c r="BX819" s="267"/>
      <c r="BY819" s="267"/>
      <c r="BZ819" s="267"/>
      <c r="CA819" s="267"/>
      <c r="CB819" s="267"/>
      <c r="CC819" s="267"/>
      <c r="CD819" s="267"/>
      <c r="CE819" s="267"/>
      <c r="CF819" s="267"/>
      <c r="CG819" s="267"/>
    </row>
    <row r="820" spans="70:85" ht="12.75" customHeight="1" x14ac:dyDescent="0.25">
      <c r="BR820" s="177"/>
      <c r="BS820" s="177"/>
      <c r="BT820" s="267"/>
      <c r="BU820" s="267"/>
      <c r="BV820" s="267"/>
      <c r="BW820" s="267"/>
      <c r="BX820" s="267"/>
      <c r="BY820" s="267"/>
      <c r="BZ820" s="267"/>
      <c r="CA820" s="267"/>
      <c r="CB820" s="267"/>
      <c r="CC820" s="267"/>
      <c r="CD820" s="267"/>
      <c r="CE820" s="267"/>
      <c r="CF820" s="267"/>
      <c r="CG820" s="267"/>
    </row>
    <row r="821" spans="70:85" ht="12.75" customHeight="1" x14ac:dyDescent="0.25">
      <c r="BR821" s="177"/>
      <c r="BS821" s="177"/>
      <c r="BT821" s="267"/>
      <c r="BU821" s="267"/>
      <c r="BV821" s="267"/>
      <c r="BW821" s="267"/>
      <c r="BX821" s="267"/>
      <c r="BY821" s="267"/>
      <c r="BZ821" s="267"/>
      <c r="CA821" s="267"/>
      <c r="CB821" s="267"/>
      <c r="CC821" s="267"/>
      <c r="CD821" s="267"/>
      <c r="CE821" s="267"/>
      <c r="CF821" s="267"/>
      <c r="CG821" s="267"/>
    </row>
    <row r="822" spans="70:85" ht="12.75" customHeight="1" x14ac:dyDescent="0.25">
      <c r="BR822" s="177"/>
      <c r="BS822" s="177"/>
      <c r="BT822" s="267"/>
      <c r="BU822" s="267"/>
      <c r="BV822" s="267"/>
      <c r="BW822" s="267"/>
      <c r="BX822" s="267"/>
      <c r="BY822" s="267"/>
      <c r="BZ822" s="267"/>
      <c r="CA822" s="267"/>
      <c r="CB822" s="267"/>
      <c r="CC822" s="267"/>
      <c r="CD822" s="267"/>
      <c r="CE822" s="267"/>
      <c r="CF822" s="267"/>
      <c r="CG822" s="267"/>
    </row>
    <row r="823" spans="70:85" ht="12.75" customHeight="1" x14ac:dyDescent="0.25">
      <c r="BR823" s="177"/>
      <c r="BS823" s="177"/>
      <c r="BT823" s="267"/>
      <c r="BU823" s="267"/>
      <c r="BV823" s="267"/>
      <c r="BW823" s="267"/>
      <c r="BX823" s="267"/>
      <c r="BY823" s="267"/>
      <c r="BZ823" s="267"/>
      <c r="CA823" s="267"/>
      <c r="CB823" s="267"/>
      <c r="CC823" s="267"/>
      <c r="CD823" s="267"/>
      <c r="CE823" s="267"/>
      <c r="CF823" s="267"/>
      <c r="CG823" s="267"/>
    </row>
    <row r="824" spans="70:85" ht="12.75" customHeight="1" x14ac:dyDescent="0.25">
      <c r="BR824" s="177"/>
      <c r="BS824" s="177"/>
      <c r="BT824" s="267"/>
      <c r="BU824" s="267"/>
      <c r="BV824" s="267"/>
      <c r="BW824" s="267"/>
      <c r="BX824" s="267"/>
      <c r="BY824" s="267"/>
      <c r="BZ824" s="267"/>
      <c r="CA824" s="267"/>
      <c r="CB824" s="267"/>
      <c r="CC824" s="267"/>
      <c r="CD824" s="267"/>
      <c r="CE824" s="267"/>
      <c r="CF824" s="267"/>
      <c r="CG824" s="267"/>
    </row>
    <row r="825" spans="70:85" ht="12.75" customHeight="1" x14ac:dyDescent="0.25">
      <c r="BR825" s="177"/>
      <c r="BS825" s="177"/>
      <c r="BT825" s="267"/>
      <c r="BU825" s="267"/>
      <c r="BV825" s="267"/>
      <c r="BW825" s="267"/>
      <c r="BX825" s="267"/>
      <c r="BY825" s="267"/>
      <c r="BZ825" s="267"/>
      <c r="CA825" s="267"/>
      <c r="CB825" s="267"/>
      <c r="CC825" s="267"/>
      <c r="CD825" s="267"/>
      <c r="CE825" s="267"/>
      <c r="CF825" s="267"/>
      <c r="CG825" s="267"/>
    </row>
    <row r="826" spans="70:85" ht="12.75" customHeight="1" x14ac:dyDescent="0.25">
      <c r="BR826" s="177"/>
      <c r="BS826" s="177"/>
      <c r="BT826" s="267"/>
      <c r="BU826" s="267"/>
      <c r="BV826" s="267"/>
      <c r="BW826" s="267"/>
      <c r="BX826" s="267"/>
      <c r="BY826" s="267"/>
      <c r="BZ826" s="267"/>
      <c r="CA826" s="267"/>
      <c r="CB826" s="267"/>
      <c r="CC826" s="267"/>
      <c r="CD826" s="267"/>
      <c r="CE826" s="267"/>
      <c r="CF826" s="267"/>
      <c r="CG826" s="267"/>
    </row>
    <row r="827" spans="70:85" ht="12.75" customHeight="1" x14ac:dyDescent="0.25">
      <c r="BR827" s="177"/>
      <c r="BS827" s="177"/>
      <c r="BT827" s="267"/>
      <c r="BU827" s="267"/>
      <c r="BV827" s="267"/>
      <c r="BW827" s="267"/>
      <c r="BX827" s="267"/>
      <c r="BY827" s="267"/>
      <c r="BZ827" s="267"/>
      <c r="CA827" s="267"/>
      <c r="CB827" s="267"/>
      <c r="CC827" s="267"/>
      <c r="CD827" s="267"/>
      <c r="CE827" s="267"/>
      <c r="CF827" s="267"/>
      <c r="CG827" s="267"/>
    </row>
    <row r="828" spans="70:85" ht="12.75" customHeight="1" x14ac:dyDescent="0.25">
      <c r="BR828" s="177"/>
      <c r="BS828" s="177"/>
      <c r="BT828" s="267"/>
      <c r="BU828" s="267"/>
      <c r="BV828" s="267"/>
      <c r="BW828" s="267"/>
      <c r="BX828" s="267"/>
      <c r="BY828" s="267"/>
      <c r="BZ828" s="267"/>
      <c r="CA828" s="267"/>
      <c r="CB828" s="267"/>
      <c r="CC828" s="267"/>
      <c r="CD828" s="267"/>
      <c r="CE828" s="267"/>
      <c r="CF828" s="267"/>
      <c r="CG828" s="267"/>
    </row>
    <row r="829" spans="70:85" ht="12.75" customHeight="1" x14ac:dyDescent="0.25">
      <c r="BR829" s="177"/>
      <c r="BS829" s="177"/>
      <c r="BT829" s="267"/>
      <c r="BU829" s="267"/>
      <c r="BV829" s="267"/>
      <c r="BW829" s="267"/>
      <c r="BX829" s="267"/>
      <c r="BY829" s="267"/>
      <c r="BZ829" s="267"/>
      <c r="CA829" s="267"/>
      <c r="CB829" s="267"/>
      <c r="CC829" s="267"/>
      <c r="CD829" s="267"/>
      <c r="CE829" s="267"/>
      <c r="CF829" s="267"/>
      <c r="CG829" s="267"/>
    </row>
    <row r="830" spans="70:85" ht="12.75" customHeight="1" x14ac:dyDescent="0.25">
      <c r="BR830" s="177"/>
      <c r="BS830" s="177"/>
      <c r="BT830" s="267"/>
      <c r="BU830" s="267"/>
      <c r="BV830" s="267"/>
      <c r="BW830" s="267"/>
      <c r="BX830" s="267"/>
      <c r="BY830" s="267"/>
      <c r="BZ830" s="267"/>
      <c r="CA830" s="267"/>
      <c r="CB830" s="267"/>
      <c r="CC830" s="267"/>
      <c r="CD830" s="267"/>
      <c r="CE830" s="267"/>
      <c r="CF830" s="267"/>
      <c r="CG830" s="267"/>
    </row>
    <row r="831" spans="70:85" ht="12.75" customHeight="1" x14ac:dyDescent="0.25">
      <c r="BR831" s="177"/>
      <c r="BS831" s="177"/>
      <c r="BT831" s="267"/>
      <c r="BU831" s="267"/>
      <c r="BV831" s="267"/>
      <c r="BW831" s="267"/>
      <c r="BX831" s="267"/>
      <c r="BY831" s="267"/>
      <c r="BZ831" s="267"/>
      <c r="CA831" s="267"/>
      <c r="CB831" s="267"/>
      <c r="CC831" s="267"/>
      <c r="CD831" s="267"/>
      <c r="CE831" s="267"/>
      <c r="CF831" s="267"/>
      <c r="CG831" s="267"/>
    </row>
    <row r="832" spans="70:85" ht="12.75" customHeight="1" x14ac:dyDescent="0.25">
      <c r="BR832" s="177"/>
      <c r="BS832" s="177"/>
      <c r="BT832" s="267"/>
      <c r="BU832" s="267"/>
      <c r="BV832" s="267"/>
      <c r="BW832" s="267"/>
      <c r="BX832" s="267"/>
      <c r="BY832" s="267"/>
      <c r="BZ832" s="267"/>
      <c r="CA832" s="267"/>
      <c r="CB832" s="267"/>
      <c r="CC832" s="267"/>
      <c r="CD832" s="267"/>
      <c r="CE832" s="267"/>
      <c r="CF832" s="267"/>
      <c r="CG832" s="267"/>
    </row>
    <row r="833" spans="70:85" ht="12.75" customHeight="1" x14ac:dyDescent="0.25">
      <c r="BR833" s="177"/>
      <c r="BS833" s="177"/>
      <c r="BT833" s="267"/>
      <c r="BU833" s="267"/>
      <c r="BV833" s="267"/>
      <c r="BW833" s="267"/>
      <c r="BX833" s="267"/>
      <c r="BY833" s="267"/>
      <c r="BZ833" s="267"/>
      <c r="CA833" s="267"/>
      <c r="CB833" s="267"/>
      <c r="CC833" s="267"/>
      <c r="CD833" s="267"/>
      <c r="CE833" s="267"/>
      <c r="CF833" s="267"/>
      <c r="CG833" s="267"/>
    </row>
    <row r="834" spans="70:85" ht="12.75" customHeight="1" x14ac:dyDescent="0.25">
      <c r="BR834" s="177"/>
      <c r="BS834" s="177"/>
      <c r="BT834" s="267"/>
      <c r="BU834" s="267"/>
      <c r="BV834" s="267"/>
      <c r="BW834" s="267"/>
      <c r="BX834" s="267"/>
      <c r="BY834" s="267"/>
      <c r="BZ834" s="267"/>
      <c r="CA834" s="267"/>
      <c r="CB834" s="267"/>
      <c r="CC834" s="267"/>
      <c r="CD834" s="267"/>
      <c r="CE834" s="267"/>
      <c r="CF834" s="267"/>
      <c r="CG834" s="267"/>
    </row>
    <row r="835" spans="70:85" ht="12.75" customHeight="1" x14ac:dyDescent="0.25">
      <c r="BR835" s="177"/>
      <c r="BS835" s="177"/>
      <c r="BT835" s="267"/>
      <c r="BU835" s="267"/>
      <c r="BV835" s="267"/>
      <c r="BW835" s="267"/>
      <c r="BX835" s="267"/>
      <c r="BY835" s="267"/>
      <c r="BZ835" s="267"/>
      <c r="CA835" s="267"/>
      <c r="CB835" s="267"/>
      <c r="CC835" s="267"/>
      <c r="CD835" s="267"/>
      <c r="CE835" s="267"/>
      <c r="CF835" s="267"/>
      <c r="CG835" s="267"/>
    </row>
    <row r="836" spans="70:85" ht="12.75" customHeight="1" x14ac:dyDescent="0.25">
      <c r="BR836" s="177"/>
      <c r="BS836" s="177"/>
      <c r="BT836" s="267"/>
      <c r="BU836" s="267"/>
      <c r="BV836" s="267"/>
      <c r="BW836" s="267"/>
      <c r="BX836" s="267"/>
      <c r="BY836" s="267"/>
      <c r="BZ836" s="267"/>
      <c r="CA836" s="267"/>
      <c r="CB836" s="267"/>
      <c r="CC836" s="267"/>
      <c r="CD836" s="267"/>
      <c r="CE836" s="267"/>
      <c r="CF836" s="267"/>
      <c r="CG836" s="267"/>
    </row>
    <row r="837" spans="70:85" ht="12.75" customHeight="1" x14ac:dyDescent="0.25">
      <c r="BR837" s="177"/>
      <c r="BS837" s="177"/>
      <c r="BT837" s="267"/>
      <c r="BU837" s="267"/>
      <c r="BV837" s="267"/>
      <c r="BW837" s="267"/>
      <c r="BX837" s="267"/>
      <c r="BY837" s="267"/>
      <c r="BZ837" s="267"/>
      <c r="CA837" s="267"/>
      <c r="CB837" s="267"/>
      <c r="CC837" s="267"/>
      <c r="CD837" s="267"/>
      <c r="CE837" s="267"/>
      <c r="CF837" s="267"/>
      <c r="CG837" s="267"/>
    </row>
    <row r="838" spans="70:85" ht="12.75" customHeight="1" x14ac:dyDescent="0.25">
      <c r="BR838" s="177"/>
      <c r="BS838" s="177"/>
      <c r="BT838" s="267"/>
      <c r="BU838" s="267"/>
      <c r="BV838" s="267"/>
      <c r="BW838" s="267"/>
      <c r="BX838" s="267"/>
      <c r="BY838" s="267"/>
      <c r="BZ838" s="267"/>
      <c r="CA838" s="267"/>
      <c r="CB838" s="267"/>
      <c r="CC838" s="267"/>
      <c r="CD838" s="267"/>
      <c r="CE838" s="267"/>
      <c r="CF838" s="267"/>
      <c r="CG838" s="267"/>
    </row>
    <row r="839" spans="70:85" ht="12.75" customHeight="1" x14ac:dyDescent="0.25">
      <c r="BR839" s="177"/>
      <c r="BS839" s="177"/>
      <c r="BT839" s="267"/>
      <c r="BU839" s="267"/>
      <c r="BV839" s="267"/>
      <c r="BW839" s="267"/>
      <c r="BX839" s="267"/>
      <c r="BY839" s="267"/>
      <c r="BZ839" s="267"/>
      <c r="CA839" s="267"/>
      <c r="CB839" s="267"/>
      <c r="CC839" s="267"/>
      <c r="CD839" s="267"/>
      <c r="CE839" s="267"/>
      <c r="CF839" s="267"/>
      <c r="CG839" s="267"/>
    </row>
    <row r="840" spans="70:85" ht="12.75" customHeight="1" x14ac:dyDescent="0.25">
      <c r="BR840" s="177"/>
      <c r="BS840" s="177"/>
      <c r="BT840" s="267"/>
      <c r="BU840" s="267"/>
      <c r="BV840" s="267"/>
      <c r="BW840" s="267"/>
      <c r="BX840" s="267"/>
      <c r="BY840" s="267"/>
      <c r="BZ840" s="267"/>
      <c r="CA840" s="267"/>
      <c r="CB840" s="267"/>
      <c r="CC840" s="267"/>
      <c r="CD840" s="267"/>
      <c r="CE840" s="267"/>
      <c r="CF840" s="267"/>
      <c r="CG840" s="267"/>
    </row>
    <row r="841" spans="70:85" ht="12.75" customHeight="1" x14ac:dyDescent="0.25">
      <c r="BR841" s="177"/>
      <c r="BS841" s="177"/>
      <c r="BT841" s="267"/>
      <c r="BU841" s="267"/>
      <c r="BV841" s="267"/>
      <c r="BW841" s="267"/>
      <c r="BX841" s="267"/>
      <c r="BY841" s="267"/>
      <c r="BZ841" s="267"/>
      <c r="CA841" s="267"/>
      <c r="CB841" s="267"/>
      <c r="CC841" s="267"/>
      <c r="CD841" s="267"/>
      <c r="CE841" s="267"/>
      <c r="CF841" s="267"/>
      <c r="CG841" s="267"/>
    </row>
    <row r="842" spans="70:85" ht="12.75" customHeight="1" x14ac:dyDescent="0.25">
      <c r="BR842" s="177"/>
      <c r="BS842" s="177"/>
      <c r="BT842" s="267"/>
      <c r="BU842" s="267"/>
      <c r="BV842" s="267"/>
      <c r="BW842" s="267"/>
      <c r="BX842" s="267"/>
      <c r="BY842" s="267"/>
      <c r="BZ842" s="267"/>
      <c r="CA842" s="267"/>
      <c r="CB842" s="267"/>
      <c r="CC842" s="267"/>
      <c r="CD842" s="267"/>
      <c r="CE842" s="267"/>
      <c r="CF842" s="267"/>
      <c r="CG842" s="267"/>
    </row>
    <row r="843" spans="70:85" ht="12.75" customHeight="1" x14ac:dyDescent="0.25">
      <c r="BR843" s="177"/>
      <c r="BS843" s="177"/>
      <c r="BT843" s="267"/>
      <c r="BU843" s="267"/>
      <c r="BV843" s="267"/>
      <c r="BW843" s="267"/>
      <c r="BX843" s="267"/>
      <c r="BY843" s="267"/>
      <c r="BZ843" s="267"/>
      <c r="CA843" s="267"/>
      <c r="CB843" s="267"/>
      <c r="CC843" s="267"/>
      <c r="CD843" s="267"/>
      <c r="CE843" s="267"/>
      <c r="CF843" s="267"/>
      <c r="CG843" s="267"/>
    </row>
    <row r="844" spans="70:85" ht="12.75" customHeight="1" x14ac:dyDescent="0.25">
      <c r="BR844" s="177"/>
      <c r="BS844" s="177"/>
      <c r="BT844" s="267"/>
      <c r="BU844" s="267"/>
      <c r="BV844" s="267"/>
      <c r="BW844" s="267"/>
      <c r="BX844" s="267"/>
      <c r="BY844" s="267"/>
      <c r="BZ844" s="267"/>
      <c r="CA844" s="267"/>
      <c r="CB844" s="267"/>
      <c r="CC844" s="267"/>
      <c r="CD844" s="267"/>
      <c r="CE844" s="267"/>
      <c r="CF844" s="267"/>
      <c r="CG844" s="267"/>
    </row>
    <row r="845" spans="70:85" ht="12.75" customHeight="1" x14ac:dyDescent="0.25">
      <c r="BR845" s="177"/>
      <c r="BS845" s="177"/>
      <c r="BT845" s="267"/>
      <c r="BU845" s="267"/>
      <c r="BV845" s="267"/>
      <c r="BW845" s="267"/>
      <c r="BX845" s="267"/>
      <c r="BY845" s="267"/>
      <c r="BZ845" s="267"/>
      <c r="CA845" s="267"/>
      <c r="CB845" s="267"/>
      <c r="CC845" s="267"/>
      <c r="CD845" s="267"/>
      <c r="CE845" s="267"/>
      <c r="CF845" s="267"/>
      <c r="CG845" s="267"/>
    </row>
    <row r="846" spans="70:85" ht="12.75" customHeight="1" x14ac:dyDescent="0.25">
      <c r="BR846" s="177"/>
      <c r="BS846" s="177"/>
      <c r="BT846" s="267"/>
      <c r="BU846" s="267"/>
      <c r="BV846" s="267"/>
      <c r="BW846" s="267"/>
      <c r="BX846" s="267"/>
      <c r="BY846" s="267"/>
      <c r="BZ846" s="267"/>
      <c r="CA846" s="267"/>
      <c r="CB846" s="267"/>
      <c r="CC846" s="267"/>
      <c r="CD846" s="267"/>
      <c r="CE846" s="267"/>
      <c r="CF846" s="267"/>
      <c r="CG846" s="267"/>
    </row>
    <row r="847" spans="70:85" ht="12.75" customHeight="1" x14ac:dyDescent="0.25">
      <c r="BR847" s="177"/>
      <c r="BS847" s="177"/>
      <c r="BT847" s="267"/>
      <c r="BU847" s="267"/>
      <c r="BV847" s="267"/>
      <c r="BW847" s="267"/>
      <c r="BX847" s="267"/>
      <c r="BY847" s="267"/>
      <c r="BZ847" s="267"/>
      <c r="CA847" s="267"/>
      <c r="CB847" s="267"/>
      <c r="CC847" s="267"/>
      <c r="CD847" s="267"/>
      <c r="CE847" s="267"/>
      <c r="CF847" s="267"/>
      <c r="CG847" s="267"/>
    </row>
    <row r="848" spans="70:85" ht="12.75" customHeight="1" x14ac:dyDescent="0.25">
      <c r="BR848" s="177"/>
      <c r="BS848" s="177"/>
      <c r="BT848" s="267"/>
      <c r="BU848" s="267"/>
      <c r="BV848" s="267"/>
      <c r="BW848" s="267"/>
      <c r="BX848" s="267"/>
      <c r="BY848" s="267"/>
      <c r="BZ848" s="267"/>
      <c r="CA848" s="267"/>
      <c r="CB848" s="267"/>
      <c r="CC848" s="267"/>
      <c r="CD848" s="267"/>
      <c r="CE848" s="267"/>
      <c r="CF848" s="267"/>
      <c r="CG848" s="267"/>
    </row>
    <row r="849" spans="70:85" ht="12.75" customHeight="1" x14ac:dyDescent="0.25">
      <c r="BR849" s="177"/>
      <c r="BS849" s="177"/>
      <c r="BT849" s="267"/>
      <c r="BU849" s="267"/>
      <c r="BV849" s="267"/>
      <c r="BW849" s="267"/>
      <c r="BX849" s="267"/>
      <c r="BY849" s="267"/>
      <c r="BZ849" s="267"/>
      <c r="CA849" s="267"/>
      <c r="CB849" s="267"/>
      <c r="CC849" s="267"/>
      <c r="CD849" s="267"/>
      <c r="CE849" s="267"/>
      <c r="CF849" s="267"/>
      <c r="CG849" s="267"/>
    </row>
    <row r="850" spans="70:85" ht="12.75" customHeight="1" x14ac:dyDescent="0.25">
      <c r="BR850" s="177"/>
      <c r="BS850" s="177"/>
      <c r="BT850" s="267"/>
      <c r="BU850" s="267"/>
      <c r="BV850" s="267"/>
      <c r="BW850" s="267"/>
      <c r="BX850" s="267"/>
      <c r="BY850" s="267"/>
      <c r="BZ850" s="267"/>
      <c r="CA850" s="267"/>
      <c r="CB850" s="267"/>
      <c r="CC850" s="267"/>
      <c r="CD850" s="267"/>
      <c r="CE850" s="267"/>
      <c r="CF850" s="267"/>
      <c r="CG850" s="267"/>
    </row>
    <row r="851" spans="70:85" ht="12.75" customHeight="1" x14ac:dyDescent="0.25">
      <c r="BR851" s="177"/>
      <c r="BS851" s="177"/>
      <c r="BT851" s="267"/>
      <c r="BU851" s="267"/>
      <c r="BV851" s="267"/>
      <c r="BW851" s="267"/>
      <c r="BX851" s="267"/>
      <c r="BY851" s="267"/>
      <c r="BZ851" s="267"/>
      <c r="CA851" s="267"/>
      <c r="CB851" s="267"/>
      <c r="CC851" s="267"/>
      <c r="CD851" s="267"/>
      <c r="CE851" s="267"/>
      <c r="CF851" s="267"/>
      <c r="CG851" s="267"/>
    </row>
    <row r="852" spans="70:85" ht="12.75" customHeight="1" x14ac:dyDescent="0.25">
      <c r="BR852" s="177"/>
      <c r="BS852" s="177"/>
      <c r="BT852" s="267"/>
      <c r="BU852" s="267"/>
      <c r="BV852" s="267"/>
      <c r="BW852" s="267"/>
      <c r="BX852" s="267"/>
      <c r="BY852" s="267"/>
      <c r="BZ852" s="267"/>
      <c r="CA852" s="267"/>
      <c r="CB852" s="267"/>
      <c r="CC852" s="267"/>
      <c r="CD852" s="267"/>
      <c r="CE852" s="267"/>
      <c r="CF852" s="267"/>
      <c r="CG852" s="267"/>
    </row>
    <row r="853" spans="70:85" ht="12.75" customHeight="1" x14ac:dyDescent="0.25">
      <c r="BR853" s="177"/>
      <c r="BS853" s="177"/>
      <c r="BT853" s="267"/>
      <c r="BU853" s="267"/>
      <c r="BV853" s="267"/>
      <c r="BW853" s="267"/>
      <c r="BX853" s="267"/>
      <c r="BY853" s="267"/>
      <c r="BZ853" s="267"/>
      <c r="CA853" s="267"/>
      <c r="CB853" s="267"/>
      <c r="CC853" s="267"/>
      <c r="CD853" s="267"/>
      <c r="CE853" s="267"/>
      <c r="CF853" s="267"/>
      <c r="CG853" s="267"/>
    </row>
    <row r="854" spans="70:85" ht="12.75" customHeight="1" x14ac:dyDescent="0.25">
      <c r="BR854" s="177"/>
      <c r="BS854" s="177"/>
      <c r="BT854" s="267"/>
      <c r="BU854" s="267"/>
      <c r="BV854" s="267"/>
      <c r="BW854" s="267"/>
      <c r="BX854" s="267"/>
      <c r="BY854" s="267"/>
      <c r="BZ854" s="267"/>
      <c r="CA854" s="267"/>
      <c r="CB854" s="267"/>
      <c r="CC854" s="267"/>
      <c r="CD854" s="267"/>
      <c r="CE854" s="267"/>
      <c r="CF854" s="267"/>
      <c r="CG854" s="267"/>
    </row>
    <row r="855" spans="70:85" ht="12.75" customHeight="1" x14ac:dyDescent="0.25">
      <c r="BR855" s="177"/>
      <c r="BS855" s="177"/>
      <c r="BT855" s="267"/>
      <c r="BU855" s="267"/>
      <c r="BV855" s="267"/>
      <c r="BW855" s="267"/>
      <c r="BX855" s="267"/>
      <c r="BY855" s="267"/>
      <c r="BZ855" s="267"/>
      <c r="CA855" s="267"/>
      <c r="CB855" s="267"/>
      <c r="CC855" s="267"/>
      <c r="CD855" s="267"/>
      <c r="CE855" s="267"/>
      <c r="CF855" s="267"/>
      <c r="CG855" s="267"/>
    </row>
    <row r="856" spans="70:85" ht="12.75" customHeight="1" x14ac:dyDescent="0.25">
      <c r="BR856" s="177"/>
      <c r="BS856" s="177"/>
      <c r="BT856" s="267"/>
      <c r="BU856" s="267"/>
      <c r="BV856" s="267"/>
      <c r="BW856" s="267"/>
      <c r="BX856" s="267"/>
      <c r="BY856" s="267"/>
      <c r="BZ856" s="267"/>
      <c r="CA856" s="267"/>
      <c r="CB856" s="267"/>
      <c r="CC856" s="267"/>
      <c r="CD856" s="267"/>
      <c r="CE856" s="267"/>
      <c r="CF856" s="267"/>
      <c r="CG856" s="267"/>
    </row>
    <row r="857" spans="70:85" ht="12.75" customHeight="1" x14ac:dyDescent="0.25">
      <c r="BR857" s="177"/>
      <c r="BS857" s="177"/>
      <c r="BT857" s="267"/>
      <c r="BU857" s="267"/>
      <c r="BV857" s="267"/>
      <c r="BW857" s="267"/>
      <c r="BX857" s="267"/>
      <c r="BY857" s="267"/>
      <c r="BZ857" s="267"/>
      <c r="CA857" s="267"/>
      <c r="CB857" s="267"/>
      <c r="CC857" s="267"/>
      <c r="CD857" s="267"/>
      <c r="CE857" s="267"/>
      <c r="CF857" s="267"/>
      <c r="CG857" s="267"/>
    </row>
    <row r="858" spans="70:85" ht="12.75" customHeight="1" x14ac:dyDescent="0.25">
      <c r="BR858" s="177"/>
      <c r="BS858" s="177"/>
      <c r="BT858" s="267"/>
      <c r="BU858" s="267"/>
      <c r="BV858" s="267"/>
      <c r="BW858" s="267"/>
      <c r="BX858" s="267"/>
      <c r="BY858" s="267"/>
      <c r="BZ858" s="267"/>
      <c r="CA858" s="267"/>
      <c r="CB858" s="267"/>
      <c r="CC858" s="267"/>
      <c r="CD858" s="267"/>
      <c r="CE858" s="267"/>
      <c r="CF858" s="267"/>
      <c r="CG858" s="267"/>
    </row>
    <row r="859" spans="70:85" ht="12.75" customHeight="1" x14ac:dyDescent="0.25">
      <c r="BR859" s="177"/>
      <c r="BS859" s="177"/>
      <c r="BT859" s="267"/>
      <c r="BU859" s="267"/>
      <c r="BV859" s="267"/>
      <c r="BW859" s="267"/>
      <c r="BX859" s="267"/>
      <c r="BY859" s="267"/>
      <c r="BZ859" s="267"/>
      <c r="CA859" s="267"/>
      <c r="CB859" s="267"/>
      <c r="CC859" s="267"/>
      <c r="CD859" s="267"/>
      <c r="CE859" s="267"/>
      <c r="CF859" s="267"/>
      <c r="CG859" s="267"/>
    </row>
    <row r="860" spans="70:85" ht="12.75" customHeight="1" x14ac:dyDescent="0.25">
      <c r="BR860" s="177"/>
      <c r="BS860" s="177"/>
      <c r="BT860" s="267"/>
      <c r="BU860" s="267"/>
      <c r="BV860" s="267"/>
      <c r="BW860" s="267"/>
      <c r="BX860" s="267"/>
      <c r="BY860" s="267"/>
      <c r="BZ860" s="267"/>
      <c r="CA860" s="267"/>
      <c r="CB860" s="267"/>
      <c r="CC860" s="267"/>
      <c r="CD860" s="267"/>
      <c r="CE860" s="267"/>
      <c r="CF860" s="267"/>
      <c r="CG860" s="267"/>
    </row>
    <row r="861" spans="70:85" ht="12.75" customHeight="1" x14ac:dyDescent="0.25">
      <c r="BR861" s="177"/>
      <c r="BS861" s="177"/>
      <c r="BT861" s="267"/>
      <c r="BU861" s="267"/>
      <c r="BV861" s="267"/>
      <c r="BW861" s="267"/>
      <c r="BX861" s="267"/>
      <c r="BY861" s="267"/>
      <c r="BZ861" s="267"/>
      <c r="CA861" s="267"/>
      <c r="CB861" s="267"/>
      <c r="CC861" s="267"/>
      <c r="CD861" s="267"/>
      <c r="CE861" s="267"/>
      <c r="CF861" s="267"/>
      <c r="CG861" s="267"/>
    </row>
    <row r="862" spans="70:85" ht="12.75" customHeight="1" x14ac:dyDescent="0.25">
      <c r="BR862" s="177"/>
      <c r="BS862" s="177"/>
      <c r="BT862" s="267"/>
      <c r="BU862" s="267"/>
      <c r="BV862" s="267"/>
      <c r="BW862" s="267"/>
      <c r="BX862" s="267"/>
      <c r="BY862" s="267"/>
      <c r="BZ862" s="267"/>
      <c r="CA862" s="267"/>
      <c r="CB862" s="267"/>
      <c r="CC862" s="267"/>
      <c r="CD862" s="267"/>
      <c r="CE862" s="267"/>
      <c r="CF862" s="267"/>
      <c r="CG862" s="267"/>
    </row>
    <row r="863" spans="70:85" ht="12.75" customHeight="1" x14ac:dyDescent="0.25">
      <c r="BR863" s="177"/>
      <c r="BS863" s="177"/>
      <c r="BT863" s="267"/>
      <c r="BU863" s="267"/>
      <c r="BV863" s="267"/>
      <c r="BW863" s="267"/>
      <c r="BX863" s="267"/>
      <c r="BY863" s="267"/>
      <c r="BZ863" s="267"/>
      <c r="CA863" s="267"/>
      <c r="CB863" s="267"/>
      <c r="CC863" s="267"/>
      <c r="CD863" s="267"/>
      <c r="CE863" s="267"/>
      <c r="CF863" s="267"/>
      <c r="CG863" s="267"/>
    </row>
    <row r="864" spans="70:85" ht="12.75" customHeight="1" x14ac:dyDescent="0.25">
      <c r="BR864" s="177"/>
      <c r="BS864" s="177"/>
      <c r="BT864" s="267"/>
      <c r="BU864" s="267"/>
      <c r="BV864" s="267"/>
      <c r="BW864" s="267"/>
      <c r="BX864" s="267"/>
      <c r="BY864" s="267"/>
      <c r="BZ864" s="267"/>
      <c r="CA864" s="267"/>
      <c r="CB864" s="267"/>
      <c r="CC864" s="267"/>
      <c r="CD864" s="267"/>
      <c r="CE864" s="267"/>
      <c r="CF864" s="267"/>
      <c r="CG864" s="267"/>
    </row>
    <row r="865" spans="70:85" ht="12.75" customHeight="1" x14ac:dyDescent="0.25">
      <c r="BR865" s="177"/>
      <c r="BS865" s="177"/>
      <c r="BT865" s="267"/>
      <c r="BU865" s="267"/>
      <c r="BV865" s="267"/>
      <c r="BW865" s="267"/>
      <c r="BX865" s="267"/>
      <c r="BY865" s="267"/>
      <c r="BZ865" s="267"/>
      <c r="CA865" s="267"/>
      <c r="CB865" s="267"/>
      <c r="CC865" s="267"/>
      <c r="CD865" s="267"/>
      <c r="CE865" s="267"/>
      <c r="CF865" s="267"/>
      <c r="CG865" s="267"/>
    </row>
    <row r="866" spans="70:85" ht="12.75" customHeight="1" x14ac:dyDescent="0.25">
      <c r="BR866" s="177"/>
      <c r="BS866" s="177"/>
      <c r="BT866" s="267"/>
      <c r="BU866" s="267"/>
      <c r="BV866" s="267"/>
      <c r="BW866" s="267"/>
      <c r="BX866" s="267"/>
      <c r="BY866" s="267"/>
      <c r="BZ866" s="267"/>
      <c r="CA866" s="267"/>
      <c r="CB866" s="267"/>
      <c r="CC866" s="267"/>
      <c r="CD866" s="267"/>
      <c r="CE866" s="267"/>
      <c r="CF866" s="267"/>
      <c r="CG866" s="267"/>
    </row>
    <row r="867" spans="70:85" ht="12.75" customHeight="1" x14ac:dyDescent="0.25">
      <c r="BR867" s="177"/>
      <c r="BS867" s="177"/>
      <c r="BT867" s="267"/>
      <c r="BU867" s="267"/>
      <c r="BV867" s="267"/>
      <c r="BW867" s="267"/>
      <c r="BX867" s="267"/>
      <c r="BY867" s="267"/>
      <c r="BZ867" s="267"/>
      <c r="CA867" s="267"/>
      <c r="CB867" s="267"/>
      <c r="CC867" s="267"/>
      <c r="CD867" s="267"/>
      <c r="CE867" s="267"/>
      <c r="CF867" s="267"/>
      <c r="CG867" s="267"/>
    </row>
    <row r="868" spans="70:85" ht="12.75" customHeight="1" x14ac:dyDescent="0.25">
      <c r="BR868" s="177"/>
      <c r="BS868" s="177"/>
      <c r="BT868" s="267"/>
      <c r="BU868" s="267"/>
      <c r="BV868" s="267"/>
      <c r="BW868" s="267"/>
      <c r="BX868" s="267"/>
      <c r="BY868" s="267"/>
      <c r="BZ868" s="267"/>
      <c r="CA868" s="267"/>
      <c r="CB868" s="267"/>
      <c r="CC868" s="267"/>
      <c r="CD868" s="267"/>
      <c r="CE868" s="267"/>
      <c r="CF868" s="267"/>
      <c r="CG868" s="267"/>
    </row>
    <row r="869" spans="70:85" ht="12.75" customHeight="1" x14ac:dyDescent="0.25">
      <c r="BR869" s="177"/>
      <c r="BS869" s="177"/>
      <c r="BT869" s="267"/>
      <c r="BU869" s="267"/>
      <c r="BV869" s="267"/>
      <c r="BW869" s="267"/>
      <c r="BX869" s="267"/>
      <c r="BY869" s="267"/>
      <c r="BZ869" s="267"/>
      <c r="CA869" s="267"/>
      <c r="CB869" s="267"/>
      <c r="CC869" s="267"/>
      <c r="CD869" s="267"/>
      <c r="CE869" s="267"/>
      <c r="CF869" s="267"/>
      <c r="CG869" s="267"/>
    </row>
    <row r="870" spans="70:85" ht="12.75" customHeight="1" x14ac:dyDescent="0.25">
      <c r="BR870" s="177"/>
      <c r="BS870" s="177"/>
      <c r="BT870" s="267"/>
      <c r="BU870" s="267"/>
      <c r="BV870" s="267"/>
      <c r="BW870" s="267"/>
      <c r="BX870" s="267"/>
      <c r="BY870" s="267"/>
      <c r="BZ870" s="267"/>
      <c r="CA870" s="267"/>
      <c r="CB870" s="267"/>
      <c r="CC870" s="267"/>
      <c r="CD870" s="267"/>
      <c r="CE870" s="267"/>
      <c r="CF870" s="267"/>
      <c r="CG870" s="267"/>
    </row>
    <row r="871" spans="70:85" ht="12.75" customHeight="1" x14ac:dyDescent="0.25">
      <c r="BR871" s="177"/>
      <c r="BS871" s="177"/>
      <c r="BT871" s="267"/>
      <c r="BU871" s="267"/>
      <c r="BV871" s="267"/>
      <c r="BW871" s="267"/>
      <c r="BX871" s="267"/>
      <c r="BY871" s="267"/>
      <c r="BZ871" s="267"/>
      <c r="CA871" s="267"/>
      <c r="CB871" s="267"/>
      <c r="CC871" s="267"/>
      <c r="CD871" s="267"/>
      <c r="CE871" s="267"/>
      <c r="CF871" s="267"/>
      <c r="CG871" s="267"/>
    </row>
    <row r="872" spans="70:85" ht="12.75" customHeight="1" x14ac:dyDescent="0.25">
      <c r="BR872" s="177"/>
      <c r="BS872" s="177"/>
      <c r="BT872" s="267"/>
      <c r="BU872" s="267"/>
      <c r="BV872" s="267"/>
      <c r="BW872" s="267"/>
      <c r="BX872" s="267"/>
      <c r="BY872" s="267"/>
      <c r="BZ872" s="267"/>
      <c r="CA872" s="267"/>
      <c r="CB872" s="267"/>
      <c r="CC872" s="267"/>
      <c r="CD872" s="267"/>
      <c r="CE872" s="267"/>
      <c r="CF872" s="267"/>
      <c r="CG872" s="267"/>
    </row>
    <row r="873" spans="70:85" ht="12.75" customHeight="1" x14ac:dyDescent="0.25">
      <c r="BR873" s="177"/>
      <c r="BS873" s="177"/>
      <c r="BT873" s="267"/>
      <c r="BU873" s="267"/>
      <c r="BV873" s="267"/>
      <c r="BW873" s="267"/>
      <c r="BX873" s="267"/>
      <c r="BY873" s="267"/>
      <c r="BZ873" s="267"/>
      <c r="CA873" s="267"/>
      <c r="CB873" s="267"/>
      <c r="CC873" s="267"/>
      <c r="CD873" s="267"/>
      <c r="CE873" s="267"/>
      <c r="CF873" s="267"/>
      <c r="CG873" s="267"/>
    </row>
    <row r="874" spans="70:85" ht="12.75" customHeight="1" x14ac:dyDescent="0.25">
      <c r="BR874" s="177"/>
      <c r="BS874" s="177"/>
      <c r="BT874" s="267"/>
      <c r="BU874" s="267"/>
      <c r="BV874" s="267"/>
      <c r="BW874" s="267"/>
      <c r="BX874" s="267"/>
      <c r="BY874" s="267"/>
      <c r="BZ874" s="267"/>
      <c r="CA874" s="267"/>
      <c r="CB874" s="267"/>
      <c r="CC874" s="267"/>
      <c r="CD874" s="267"/>
      <c r="CE874" s="267"/>
      <c r="CF874" s="267"/>
      <c r="CG874" s="267"/>
    </row>
    <row r="875" spans="70:85" ht="12.75" customHeight="1" x14ac:dyDescent="0.25">
      <c r="BR875" s="177"/>
      <c r="BS875" s="177"/>
      <c r="BT875" s="267"/>
      <c r="BU875" s="267"/>
      <c r="BV875" s="267"/>
      <c r="BW875" s="267"/>
      <c r="BX875" s="267"/>
      <c r="BY875" s="267"/>
      <c r="BZ875" s="267"/>
      <c r="CA875" s="267"/>
      <c r="CB875" s="267"/>
      <c r="CC875" s="267"/>
      <c r="CD875" s="267"/>
      <c r="CE875" s="267"/>
      <c r="CF875" s="267"/>
      <c r="CG875" s="267"/>
    </row>
    <row r="876" spans="70:85" ht="12.75" customHeight="1" x14ac:dyDescent="0.25">
      <c r="BR876" s="177"/>
      <c r="BS876" s="177"/>
      <c r="BT876" s="267"/>
      <c r="BU876" s="267"/>
      <c r="BV876" s="267"/>
      <c r="BW876" s="267"/>
      <c r="BX876" s="267"/>
      <c r="BY876" s="267"/>
      <c r="BZ876" s="267"/>
      <c r="CA876" s="267"/>
      <c r="CB876" s="267"/>
      <c r="CC876" s="267"/>
      <c r="CD876" s="267"/>
      <c r="CE876" s="267"/>
      <c r="CF876" s="267"/>
      <c r="CG876" s="267"/>
    </row>
    <row r="877" spans="70:85" ht="12.75" customHeight="1" x14ac:dyDescent="0.25">
      <c r="BR877" s="177"/>
      <c r="BS877" s="177"/>
      <c r="BT877" s="267"/>
      <c r="BU877" s="267"/>
      <c r="BV877" s="267"/>
      <c r="BW877" s="267"/>
      <c r="BX877" s="267"/>
      <c r="BY877" s="267"/>
      <c r="BZ877" s="267"/>
      <c r="CA877" s="267"/>
      <c r="CB877" s="267"/>
      <c r="CC877" s="267"/>
      <c r="CD877" s="267"/>
      <c r="CE877" s="267"/>
      <c r="CF877" s="267"/>
      <c r="CG877" s="267"/>
    </row>
    <row r="878" spans="70:85" ht="12.75" customHeight="1" x14ac:dyDescent="0.25">
      <c r="BR878" s="177"/>
      <c r="BS878" s="177"/>
      <c r="BT878" s="267"/>
      <c r="BU878" s="267"/>
      <c r="BV878" s="267"/>
      <c r="BW878" s="267"/>
      <c r="BX878" s="267"/>
      <c r="BY878" s="267"/>
      <c r="BZ878" s="267"/>
      <c r="CA878" s="267"/>
      <c r="CB878" s="267"/>
      <c r="CC878" s="267"/>
      <c r="CD878" s="267"/>
      <c r="CE878" s="267"/>
      <c r="CF878" s="267"/>
      <c r="CG878" s="267"/>
    </row>
    <row r="879" spans="70:85" ht="12.75" customHeight="1" x14ac:dyDescent="0.25">
      <c r="BR879" s="177"/>
      <c r="BS879" s="177"/>
      <c r="BT879" s="267"/>
      <c r="BU879" s="267"/>
      <c r="BV879" s="267"/>
      <c r="BW879" s="267"/>
      <c r="BX879" s="267"/>
      <c r="BY879" s="267"/>
      <c r="BZ879" s="267"/>
      <c r="CA879" s="267"/>
      <c r="CB879" s="267"/>
      <c r="CC879" s="267"/>
      <c r="CD879" s="267"/>
      <c r="CE879" s="267"/>
      <c r="CF879" s="267"/>
      <c r="CG879" s="267"/>
    </row>
    <row r="880" spans="70:85" ht="12.75" customHeight="1" x14ac:dyDescent="0.25">
      <c r="BR880" s="177"/>
      <c r="BS880" s="177"/>
      <c r="BT880" s="267"/>
      <c r="BU880" s="267"/>
      <c r="BV880" s="267"/>
      <c r="BW880" s="267"/>
      <c r="BX880" s="267"/>
      <c r="BY880" s="267"/>
      <c r="BZ880" s="267"/>
      <c r="CA880" s="267"/>
      <c r="CB880" s="267"/>
      <c r="CC880" s="267"/>
      <c r="CD880" s="267"/>
      <c r="CE880" s="267"/>
      <c r="CF880" s="267"/>
      <c r="CG880" s="267"/>
    </row>
    <row r="881" spans="70:85" ht="12.75" customHeight="1" x14ac:dyDescent="0.25">
      <c r="BR881" s="177"/>
      <c r="BS881" s="177"/>
      <c r="BT881" s="267"/>
      <c r="BU881" s="267"/>
      <c r="BV881" s="267"/>
      <c r="BW881" s="267"/>
      <c r="BX881" s="267"/>
      <c r="BY881" s="267"/>
      <c r="BZ881" s="267"/>
      <c r="CA881" s="267"/>
      <c r="CB881" s="267"/>
      <c r="CC881" s="267"/>
      <c r="CD881" s="267"/>
      <c r="CE881" s="267"/>
      <c r="CF881" s="267"/>
      <c r="CG881" s="267"/>
    </row>
    <row r="882" spans="70:85" ht="12.75" customHeight="1" x14ac:dyDescent="0.25">
      <c r="BR882" s="177"/>
      <c r="BS882" s="177"/>
      <c r="BT882" s="267"/>
      <c r="BU882" s="267"/>
      <c r="BV882" s="267"/>
      <c r="BW882" s="267"/>
      <c r="BX882" s="267"/>
      <c r="BY882" s="267"/>
      <c r="BZ882" s="267"/>
      <c r="CA882" s="267"/>
      <c r="CB882" s="267"/>
      <c r="CC882" s="267"/>
      <c r="CD882" s="267"/>
      <c r="CE882" s="267"/>
      <c r="CF882" s="267"/>
      <c r="CG882" s="267"/>
    </row>
    <row r="883" spans="70:85" ht="12.75" customHeight="1" x14ac:dyDescent="0.25">
      <c r="BR883" s="177"/>
      <c r="BS883" s="177"/>
      <c r="BT883" s="267"/>
      <c r="BU883" s="267"/>
      <c r="BV883" s="267"/>
      <c r="BW883" s="267"/>
      <c r="BX883" s="267"/>
      <c r="BY883" s="267"/>
      <c r="BZ883" s="267"/>
      <c r="CA883" s="267"/>
      <c r="CB883" s="267"/>
      <c r="CC883" s="267"/>
      <c r="CD883" s="267"/>
      <c r="CE883" s="267"/>
      <c r="CF883" s="267"/>
      <c r="CG883" s="267"/>
    </row>
    <row r="884" spans="70:85" ht="12.75" customHeight="1" x14ac:dyDescent="0.25">
      <c r="BR884" s="177"/>
      <c r="BS884" s="177"/>
      <c r="BT884" s="267"/>
      <c r="BU884" s="267"/>
      <c r="BV884" s="267"/>
      <c r="BW884" s="267"/>
      <c r="BX884" s="267"/>
      <c r="BY884" s="267"/>
      <c r="BZ884" s="267"/>
      <c r="CA884" s="267"/>
      <c r="CB884" s="267"/>
      <c r="CC884" s="267"/>
      <c r="CD884" s="267"/>
      <c r="CE884" s="267"/>
      <c r="CF884" s="267"/>
      <c r="CG884" s="267"/>
    </row>
    <row r="885" spans="70:85" ht="12.75" customHeight="1" x14ac:dyDescent="0.25">
      <c r="BR885" s="177"/>
      <c r="BS885" s="177"/>
      <c r="BT885" s="267"/>
      <c r="BU885" s="267"/>
      <c r="BV885" s="267"/>
      <c r="BW885" s="267"/>
      <c r="BX885" s="267"/>
      <c r="BY885" s="267"/>
      <c r="BZ885" s="267"/>
      <c r="CA885" s="267"/>
      <c r="CB885" s="267"/>
      <c r="CC885" s="267"/>
      <c r="CD885" s="267"/>
      <c r="CE885" s="267"/>
      <c r="CF885" s="267"/>
      <c r="CG885" s="267"/>
    </row>
    <row r="886" spans="70:85" ht="12.75" customHeight="1" x14ac:dyDescent="0.25">
      <c r="BR886" s="177"/>
      <c r="BS886" s="177"/>
      <c r="BT886" s="267"/>
      <c r="BU886" s="267"/>
      <c r="BV886" s="267"/>
      <c r="BW886" s="267"/>
      <c r="BX886" s="267"/>
      <c r="BY886" s="267"/>
      <c r="BZ886" s="267"/>
      <c r="CA886" s="267"/>
      <c r="CB886" s="267"/>
      <c r="CC886" s="267"/>
      <c r="CD886" s="267"/>
      <c r="CE886" s="267"/>
      <c r="CF886" s="267"/>
      <c r="CG886" s="267"/>
    </row>
    <row r="887" spans="70:85" ht="12.75" customHeight="1" x14ac:dyDescent="0.25">
      <c r="BR887" s="177"/>
      <c r="BS887" s="177"/>
      <c r="BT887" s="267"/>
      <c r="BU887" s="267"/>
      <c r="BV887" s="267"/>
      <c r="BW887" s="267"/>
      <c r="BX887" s="267"/>
      <c r="BY887" s="267"/>
      <c r="BZ887" s="267"/>
      <c r="CA887" s="267"/>
      <c r="CB887" s="267"/>
      <c r="CC887" s="267"/>
      <c r="CD887" s="267"/>
      <c r="CE887" s="267"/>
      <c r="CF887" s="267"/>
      <c r="CG887" s="267"/>
    </row>
    <row r="888" spans="70:85" ht="12.75" customHeight="1" x14ac:dyDescent="0.25">
      <c r="BR888" s="177"/>
      <c r="BS888" s="177"/>
      <c r="BT888" s="267"/>
      <c r="BU888" s="267"/>
      <c r="BV888" s="267"/>
      <c r="BW888" s="267"/>
      <c r="BX888" s="267"/>
      <c r="BY888" s="267"/>
      <c r="BZ888" s="267"/>
      <c r="CA888" s="267"/>
      <c r="CB888" s="267"/>
      <c r="CC888" s="267"/>
      <c r="CD888" s="267"/>
      <c r="CE888" s="267"/>
      <c r="CF888" s="267"/>
      <c r="CG888" s="267"/>
    </row>
    <row r="889" spans="70:85" ht="12.75" customHeight="1" x14ac:dyDescent="0.25">
      <c r="BR889" s="177"/>
      <c r="BS889" s="177"/>
      <c r="BT889" s="267"/>
      <c r="BU889" s="267"/>
      <c r="BV889" s="267"/>
      <c r="BW889" s="267"/>
      <c r="BX889" s="267"/>
      <c r="BY889" s="267"/>
      <c r="BZ889" s="267"/>
      <c r="CA889" s="267"/>
      <c r="CB889" s="267"/>
      <c r="CC889" s="267"/>
      <c r="CD889" s="267"/>
      <c r="CE889" s="267"/>
      <c r="CF889" s="267"/>
      <c r="CG889" s="267"/>
    </row>
    <row r="890" spans="70:85" ht="12.75" customHeight="1" x14ac:dyDescent="0.25">
      <c r="BR890" s="177"/>
      <c r="BS890" s="177"/>
      <c r="BT890" s="267"/>
      <c r="BU890" s="267"/>
      <c r="BV890" s="267"/>
      <c r="BW890" s="267"/>
      <c r="BX890" s="267"/>
      <c r="BY890" s="267"/>
      <c r="BZ890" s="267"/>
      <c r="CA890" s="267"/>
      <c r="CB890" s="267"/>
      <c r="CC890" s="267"/>
      <c r="CD890" s="267"/>
      <c r="CE890" s="267"/>
      <c r="CF890" s="267"/>
      <c r="CG890" s="267"/>
    </row>
    <row r="891" spans="70:85" ht="12.75" customHeight="1" x14ac:dyDescent="0.25">
      <c r="BR891" s="177"/>
      <c r="BS891" s="177"/>
      <c r="BT891" s="267"/>
      <c r="BU891" s="267"/>
      <c r="BV891" s="267"/>
      <c r="BW891" s="267"/>
      <c r="BX891" s="267"/>
      <c r="BY891" s="267"/>
      <c r="BZ891" s="267"/>
      <c r="CA891" s="267"/>
      <c r="CB891" s="267"/>
      <c r="CC891" s="267"/>
      <c r="CD891" s="267"/>
      <c r="CE891" s="267"/>
      <c r="CF891" s="267"/>
      <c r="CG891" s="267"/>
    </row>
    <row r="892" spans="70:85" ht="12.75" customHeight="1" x14ac:dyDescent="0.25">
      <c r="BR892" s="177"/>
      <c r="BS892" s="177"/>
      <c r="BT892" s="267"/>
      <c r="BU892" s="267"/>
      <c r="BV892" s="267"/>
      <c r="BW892" s="267"/>
      <c r="BX892" s="267"/>
      <c r="BY892" s="267"/>
      <c r="BZ892" s="267"/>
      <c r="CA892" s="267"/>
      <c r="CB892" s="267"/>
      <c r="CC892" s="267"/>
      <c r="CD892" s="267"/>
      <c r="CE892" s="267"/>
      <c r="CF892" s="267"/>
      <c r="CG892" s="267"/>
    </row>
    <row r="893" spans="70:85" ht="12.75" customHeight="1" x14ac:dyDescent="0.25">
      <c r="BR893" s="177"/>
      <c r="BS893" s="177"/>
      <c r="BT893" s="267"/>
      <c r="BU893" s="267"/>
      <c r="BV893" s="267"/>
      <c r="BW893" s="267"/>
      <c r="BX893" s="267"/>
      <c r="BY893" s="267"/>
      <c r="BZ893" s="267"/>
      <c r="CA893" s="267"/>
      <c r="CB893" s="267"/>
      <c r="CC893" s="267"/>
      <c r="CD893" s="267"/>
      <c r="CE893" s="267"/>
      <c r="CF893" s="267"/>
      <c r="CG893" s="267"/>
    </row>
    <row r="894" spans="70:85" ht="12.75" customHeight="1" x14ac:dyDescent="0.25">
      <c r="BR894" s="177"/>
      <c r="BS894" s="177"/>
      <c r="BT894" s="267"/>
      <c r="BU894" s="267"/>
      <c r="BV894" s="267"/>
      <c r="BW894" s="267"/>
      <c r="BX894" s="267"/>
      <c r="BY894" s="267"/>
      <c r="BZ894" s="267"/>
      <c r="CA894" s="267"/>
      <c r="CB894" s="267"/>
      <c r="CC894" s="267"/>
      <c r="CD894" s="267"/>
      <c r="CE894" s="267"/>
      <c r="CF894" s="267"/>
      <c r="CG894" s="267"/>
    </row>
    <row r="895" spans="70:85" ht="12.75" customHeight="1" x14ac:dyDescent="0.25">
      <c r="BR895" s="177"/>
      <c r="BS895" s="177"/>
      <c r="BT895" s="267"/>
      <c r="BU895" s="267"/>
      <c r="BV895" s="267"/>
      <c r="BW895" s="267"/>
      <c r="BX895" s="267"/>
      <c r="BY895" s="267"/>
      <c r="BZ895" s="267"/>
      <c r="CA895" s="267"/>
      <c r="CB895" s="267"/>
      <c r="CC895" s="267"/>
      <c r="CD895" s="267"/>
      <c r="CE895" s="267"/>
      <c r="CF895" s="267"/>
      <c r="CG895" s="267"/>
    </row>
    <row r="896" spans="70:85" ht="12.75" customHeight="1" x14ac:dyDescent="0.25">
      <c r="BR896" s="177"/>
      <c r="BS896" s="177"/>
      <c r="BT896" s="267"/>
      <c r="BU896" s="267"/>
      <c r="BV896" s="267"/>
      <c r="BW896" s="267"/>
      <c r="BX896" s="267"/>
      <c r="BY896" s="267"/>
      <c r="BZ896" s="267"/>
      <c r="CA896" s="267"/>
      <c r="CB896" s="267"/>
      <c r="CC896" s="267"/>
      <c r="CD896" s="267"/>
      <c r="CE896" s="267"/>
      <c r="CF896" s="267"/>
      <c r="CG896" s="267"/>
    </row>
    <row r="897" spans="70:85" ht="12.75" customHeight="1" x14ac:dyDescent="0.25">
      <c r="BR897" s="177"/>
      <c r="BS897" s="177"/>
      <c r="BT897" s="267"/>
      <c r="BU897" s="267"/>
      <c r="BV897" s="267"/>
      <c r="BW897" s="267"/>
      <c r="BX897" s="267"/>
      <c r="BY897" s="267"/>
      <c r="BZ897" s="267"/>
      <c r="CA897" s="267"/>
      <c r="CB897" s="267"/>
      <c r="CC897" s="267"/>
      <c r="CD897" s="267"/>
      <c r="CE897" s="267"/>
      <c r="CF897" s="267"/>
      <c r="CG897" s="267"/>
    </row>
    <row r="898" spans="70:85" ht="12.75" customHeight="1" x14ac:dyDescent="0.25">
      <c r="BR898" s="177"/>
      <c r="BS898" s="177"/>
      <c r="BT898" s="267"/>
      <c r="BU898" s="267"/>
      <c r="BV898" s="267"/>
      <c r="BW898" s="267"/>
      <c r="BX898" s="267"/>
      <c r="BY898" s="267"/>
      <c r="BZ898" s="267"/>
      <c r="CA898" s="267"/>
      <c r="CB898" s="267"/>
      <c r="CC898" s="267"/>
      <c r="CD898" s="267"/>
      <c r="CE898" s="267"/>
      <c r="CF898" s="267"/>
      <c r="CG898" s="267"/>
    </row>
    <row r="899" spans="70:85" ht="12.75" customHeight="1" x14ac:dyDescent="0.25">
      <c r="BR899" s="177"/>
      <c r="BS899" s="177"/>
      <c r="BT899" s="267"/>
      <c r="BU899" s="267"/>
      <c r="BV899" s="267"/>
      <c r="BW899" s="267"/>
      <c r="BX899" s="267"/>
      <c r="BY899" s="267"/>
      <c r="BZ899" s="267"/>
      <c r="CA899" s="267"/>
      <c r="CB899" s="267"/>
      <c r="CC899" s="267"/>
      <c r="CD899" s="267"/>
      <c r="CE899" s="267"/>
      <c r="CF899" s="267"/>
      <c r="CG899" s="267"/>
    </row>
    <row r="900" spans="70:85" ht="12.75" customHeight="1" x14ac:dyDescent="0.25">
      <c r="BR900" s="177"/>
      <c r="BS900" s="177"/>
      <c r="BT900" s="267"/>
      <c r="BU900" s="267"/>
      <c r="BV900" s="267"/>
      <c r="BW900" s="267"/>
      <c r="BX900" s="267"/>
      <c r="BY900" s="267"/>
      <c r="BZ900" s="267"/>
      <c r="CA900" s="267"/>
      <c r="CB900" s="267"/>
      <c r="CC900" s="267"/>
      <c r="CD900" s="267"/>
      <c r="CE900" s="267"/>
      <c r="CF900" s="267"/>
      <c r="CG900" s="267"/>
    </row>
    <row r="901" spans="70:85" ht="12.75" customHeight="1" x14ac:dyDescent="0.25">
      <c r="BR901" s="177"/>
      <c r="BS901" s="177"/>
      <c r="BT901" s="267"/>
      <c r="BU901" s="267"/>
      <c r="BV901" s="267"/>
      <c r="BW901" s="267"/>
      <c r="BX901" s="267"/>
      <c r="BY901" s="267"/>
      <c r="BZ901" s="267"/>
      <c r="CA901" s="267"/>
      <c r="CB901" s="267"/>
      <c r="CC901" s="267"/>
      <c r="CD901" s="267"/>
      <c r="CE901" s="267"/>
      <c r="CF901" s="267"/>
      <c r="CG901" s="267"/>
    </row>
    <row r="902" spans="70:85" ht="12.75" customHeight="1" x14ac:dyDescent="0.25">
      <c r="BR902" s="177"/>
      <c r="BS902" s="177"/>
      <c r="BT902" s="267"/>
      <c r="BU902" s="267"/>
      <c r="BV902" s="267"/>
      <c r="BW902" s="267"/>
      <c r="BX902" s="267"/>
      <c r="BY902" s="267"/>
      <c r="BZ902" s="267"/>
      <c r="CA902" s="267"/>
      <c r="CB902" s="267"/>
      <c r="CC902" s="267"/>
      <c r="CD902" s="267"/>
      <c r="CE902" s="267"/>
      <c r="CF902" s="267"/>
      <c r="CG902" s="267"/>
    </row>
    <row r="903" spans="70:85" ht="12.75" customHeight="1" x14ac:dyDescent="0.25">
      <c r="BR903" s="177"/>
      <c r="BS903" s="177"/>
      <c r="BT903" s="267"/>
      <c r="BU903" s="267"/>
      <c r="BV903" s="267"/>
      <c r="BW903" s="267"/>
      <c r="BX903" s="267"/>
      <c r="BY903" s="267"/>
      <c r="BZ903" s="267"/>
      <c r="CA903" s="267"/>
      <c r="CB903" s="267"/>
      <c r="CC903" s="267"/>
      <c r="CD903" s="267"/>
      <c r="CE903" s="267"/>
      <c r="CF903" s="267"/>
      <c r="CG903" s="267"/>
    </row>
    <row r="904" spans="70:85" ht="12.75" customHeight="1" x14ac:dyDescent="0.25">
      <c r="BR904" s="177"/>
      <c r="BS904" s="177"/>
      <c r="BT904" s="267"/>
      <c r="BU904" s="267"/>
      <c r="BV904" s="267"/>
      <c r="BW904" s="267"/>
      <c r="BX904" s="267"/>
      <c r="BY904" s="267"/>
      <c r="BZ904" s="267"/>
      <c r="CA904" s="267"/>
      <c r="CB904" s="267"/>
      <c r="CC904" s="267"/>
      <c r="CD904" s="267"/>
      <c r="CE904" s="267"/>
      <c r="CF904" s="267"/>
      <c r="CG904" s="267"/>
    </row>
    <row r="905" spans="70:85" ht="12.75" customHeight="1" x14ac:dyDescent="0.25">
      <c r="BR905" s="177"/>
      <c r="BS905" s="177"/>
      <c r="BT905" s="267"/>
      <c r="BU905" s="267"/>
      <c r="BV905" s="267"/>
      <c r="BW905" s="267"/>
      <c r="BX905" s="267"/>
      <c r="BY905" s="267"/>
      <c r="BZ905" s="267"/>
      <c r="CA905" s="267"/>
      <c r="CB905" s="267"/>
      <c r="CC905" s="267"/>
      <c r="CD905" s="267"/>
      <c r="CE905" s="267"/>
      <c r="CF905" s="267"/>
      <c r="CG905" s="267"/>
    </row>
    <row r="906" spans="70:85" ht="12.75" customHeight="1" x14ac:dyDescent="0.25">
      <c r="BR906" s="177"/>
      <c r="BS906" s="177"/>
      <c r="BT906" s="267"/>
      <c r="BU906" s="267"/>
      <c r="BV906" s="267"/>
      <c r="BW906" s="267"/>
      <c r="BX906" s="267"/>
      <c r="BY906" s="267"/>
      <c r="BZ906" s="267"/>
      <c r="CA906" s="267"/>
      <c r="CB906" s="267"/>
      <c r="CC906" s="267"/>
      <c r="CD906" s="267"/>
      <c r="CE906" s="267"/>
      <c r="CF906" s="267"/>
      <c r="CG906" s="267"/>
    </row>
    <row r="907" spans="70:85" ht="12.75" customHeight="1" x14ac:dyDescent="0.25">
      <c r="BR907" s="177"/>
      <c r="BS907" s="177"/>
      <c r="BT907" s="267"/>
      <c r="BU907" s="267"/>
      <c r="BV907" s="267"/>
      <c r="BW907" s="267"/>
      <c r="BX907" s="267"/>
      <c r="BY907" s="267"/>
      <c r="BZ907" s="267"/>
      <c r="CA907" s="267"/>
      <c r="CB907" s="267"/>
      <c r="CC907" s="267"/>
      <c r="CD907" s="267"/>
      <c r="CE907" s="267"/>
      <c r="CF907" s="267"/>
      <c r="CG907" s="267"/>
    </row>
    <row r="908" spans="70:85" ht="12.75" customHeight="1" x14ac:dyDescent="0.25">
      <c r="BR908" s="177"/>
      <c r="BS908" s="177"/>
      <c r="BT908" s="267"/>
      <c r="BU908" s="267"/>
      <c r="BV908" s="267"/>
      <c r="BW908" s="267"/>
      <c r="BX908" s="267"/>
      <c r="BY908" s="267"/>
      <c r="BZ908" s="267"/>
      <c r="CA908" s="267"/>
      <c r="CB908" s="267"/>
      <c r="CC908" s="267"/>
      <c r="CD908" s="267"/>
      <c r="CE908" s="267"/>
      <c r="CF908" s="267"/>
      <c r="CG908" s="267"/>
    </row>
    <row r="909" spans="70:85" ht="12.75" customHeight="1" x14ac:dyDescent="0.25">
      <c r="BR909" s="177"/>
      <c r="BS909" s="177"/>
      <c r="BT909" s="267"/>
      <c r="BU909" s="267"/>
      <c r="BV909" s="267"/>
      <c r="BW909" s="267"/>
      <c r="BX909" s="267"/>
      <c r="BY909" s="267"/>
      <c r="BZ909" s="267"/>
      <c r="CA909" s="267"/>
      <c r="CB909" s="267"/>
      <c r="CC909" s="267"/>
      <c r="CD909" s="267"/>
      <c r="CE909" s="267"/>
      <c r="CF909" s="267"/>
      <c r="CG909" s="267"/>
    </row>
    <row r="910" spans="70:85" ht="12.75" customHeight="1" x14ac:dyDescent="0.25">
      <c r="BR910" s="177"/>
      <c r="BS910" s="177"/>
      <c r="BT910" s="267"/>
      <c r="BU910" s="267"/>
      <c r="BV910" s="267"/>
      <c r="BW910" s="267"/>
      <c r="BX910" s="267"/>
      <c r="BY910" s="267"/>
      <c r="BZ910" s="267"/>
      <c r="CA910" s="267"/>
      <c r="CB910" s="267"/>
      <c r="CC910" s="267"/>
      <c r="CD910" s="267"/>
      <c r="CE910" s="267"/>
      <c r="CF910" s="267"/>
      <c r="CG910" s="267"/>
    </row>
    <row r="911" spans="70:85" ht="12.75" customHeight="1" x14ac:dyDescent="0.25">
      <c r="BR911" s="177"/>
      <c r="BS911" s="177"/>
      <c r="BT911" s="267"/>
      <c r="BU911" s="267"/>
      <c r="BV911" s="267"/>
      <c r="BW911" s="267"/>
      <c r="BX911" s="267"/>
      <c r="BY911" s="267"/>
      <c r="BZ911" s="267"/>
      <c r="CA911" s="267"/>
      <c r="CB911" s="267"/>
      <c r="CC911" s="267"/>
      <c r="CD911" s="267"/>
      <c r="CE911" s="267"/>
      <c r="CF911" s="267"/>
      <c r="CG911" s="267"/>
    </row>
    <row r="912" spans="70:85" ht="12.75" customHeight="1" x14ac:dyDescent="0.25">
      <c r="BR912" s="177"/>
      <c r="BS912" s="177"/>
      <c r="BT912" s="267"/>
      <c r="BU912" s="267"/>
      <c r="BV912" s="267"/>
      <c r="BW912" s="267"/>
      <c r="BX912" s="267"/>
      <c r="BY912" s="267"/>
      <c r="BZ912" s="267"/>
      <c r="CA912" s="267"/>
      <c r="CB912" s="267"/>
      <c r="CC912" s="267"/>
      <c r="CD912" s="267"/>
      <c r="CE912" s="267"/>
      <c r="CF912" s="267"/>
      <c r="CG912" s="267"/>
    </row>
    <row r="913" spans="70:85" ht="12.75" customHeight="1" x14ac:dyDescent="0.25">
      <c r="BR913" s="177"/>
      <c r="BS913" s="177"/>
      <c r="BT913" s="267"/>
      <c r="BU913" s="267"/>
      <c r="BV913" s="267"/>
      <c r="BW913" s="267"/>
      <c r="BX913" s="267"/>
      <c r="BY913" s="267"/>
      <c r="BZ913" s="267"/>
      <c r="CA913" s="267"/>
      <c r="CB913" s="267"/>
      <c r="CC913" s="267"/>
      <c r="CD913" s="267"/>
      <c r="CE913" s="267"/>
      <c r="CF913" s="267"/>
      <c r="CG913" s="267"/>
    </row>
    <row r="914" spans="70:85" ht="12.75" customHeight="1" x14ac:dyDescent="0.25">
      <c r="BR914" s="177"/>
      <c r="BS914" s="177"/>
      <c r="BT914" s="267"/>
      <c r="BU914" s="267"/>
      <c r="BV914" s="267"/>
      <c r="BW914" s="267"/>
      <c r="BX914" s="267"/>
      <c r="BY914" s="267"/>
      <c r="BZ914" s="267"/>
      <c r="CA914" s="267"/>
      <c r="CB914" s="267"/>
      <c r="CC914" s="267"/>
      <c r="CD914" s="267"/>
      <c r="CE914" s="267"/>
      <c r="CF914" s="267"/>
      <c r="CG914" s="267"/>
    </row>
    <row r="915" spans="70:85" ht="12.75" customHeight="1" x14ac:dyDescent="0.25">
      <c r="BR915" s="177"/>
      <c r="BS915" s="177"/>
      <c r="BT915" s="267"/>
      <c r="BU915" s="267"/>
      <c r="BV915" s="267"/>
      <c r="BW915" s="267"/>
      <c r="BX915" s="267"/>
      <c r="BY915" s="267"/>
      <c r="BZ915" s="267"/>
      <c r="CA915" s="267"/>
      <c r="CB915" s="267"/>
      <c r="CC915" s="267"/>
      <c r="CD915" s="267"/>
      <c r="CE915" s="267"/>
      <c r="CF915" s="267"/>
      <c r="CG915" s="267"/>
    </row>
    <row r="916" spans="70:85" ht="12.75" customHeight="1" x14ac:dyDescent="0.25">
      <c r="BR916" s="177"/>
      <c r="BS916" s="177"/>
      <c r="BT916" s="267"/>
      <c r="BU916" s="267"/>
      <c r="BV916" s="267"/>
      <c r="BW916" s="267"/>
      <c r="BX916" s="267"/>
      <c r="BY916" s="267"/>
      <c r="BZ916" s="267"/>
      <c r="CA916" s="267"/>
      <c r="CB916" s="267"/>
      <c r="CC916" s="267"/>
      <c r="CD916" s="267"/>
      <c r="CE916" s="267"/>
      <c r="CF916" s="267"/>
      <c r="CG916" s="267"/>
    </row>
    <row r="917" spans="70:85" ht="12.75" customHeight="1" x14ac:dyDescent="0.25">
      <c r="BR917" s="177"/>
      <c r="BS917" s="177"/>
      <c r="BT917" s="267"/>
      <c r="BU917" s="267"/>
      <c r="BV917" s="267"/>
      <c r="BW917" s="267"/>
      <c r="BX917" s="267"/>
      <c r="BY917" s="267"/>
      <c r="BZ917" s="267"/>
      <c r="CA917" s="267"/>
      <c r="CB917" s="267"/>
      <c r="CC917" s="267"/>
      <c r="CD917" s="267"/>
      <c r="CE917" s="267"/>
      <c r="CF917" s="267"/>
      <c r="CG917" s="267"/>
    </row>
    <row r="918" spans="70:85" ht="12.75" customHeight="1" x14ac:dyDescent="0.25">
      <c r="BR918" s="177"/>
      <c r="BS918" s="177"/>
      <c r="BT918" s="267"/>
      <c r="BU918" s="267"/>
      <c r="BV918" s="267"/>
      <c r="BW918" s="267"/>
      <c r="BX918" s="267"/>
      <c r="BY918" s="267"/>
      <c r="BZ918" s="267"/>
      <c r="CA918" s="267"/>
      <c r="CB918" s="267"/>
      <c r="CC918" s="267"/>
      <c r="CD918" s="267"/>
      <c r="CE918" s="267"/>
      <c r="CF918" s="267"/>
      <c r="CG918" s="267"/>
    </row>
    <row r="919" spans="70:85" ht="12.75" customHeight="1" x14ac:dyDescent="0.25">
      <c r="BR919" s="177"/>
      <c r="BS919" s="177"/>
      <c r="BT919" s="267"/>
      <c r="BU919" s="267"/>
      <c r="BV919" s="267"/>
      <c r="BW919" s="267"/>
      <c r="BX919" s="267"/>
      <c r="BY919" s="267"/>
      <c r="BZ919" s="267"/>
      <c r="CA919" s="267"/>
      <c r="CB919" s="267"/>
      <c r="CC919" s="267"/>
      <c r="CD919" s="267"/>
      <c r="CE919" s="267"/>
      <c r="CF919" s="267"/>
      <c r="CG919" s="267"/>
    </row>
    <row r="920" spans="70:85" ht="12.75" customHeight="1" x14ac:dyDescent="0.25">
      <c r="BR920" s="177"/>
      <c r="BS920" s="177"/>
      <c r="BT920" s="267"/>
      <c r="BU920" s="267"/>
      <c r="BV920" s="267"/>
      <c r="BW920" s="267"/>
      <c r="BX920" s="267"/>
      <c r="BY920" s="267"/>
      <c r="BZ920" s="267"/>
      <c r="CA920" s="267"/>
      <c r="CB920" s="267"/>
      <c r="CC920" s="267"/>
      <c r="CD920" s="267"/>
      <c r="CE920" s="267"/>
      <c r="CF920" s="267"/>
      <c r="CG920" s="267"/>
    </row>
    <row r="921" spans="70:85" ht="12.75" customHeight="1" x14ac:dyDescent="0.25">
      <c r="BR921" s="177"/>
      <c r="BS921" s="177"/>
      <c r="BT921" s="267"/>
      <c r="BU921" s="267"/>
      <c r="BV921" s="267"/>
      <c r="BW921" s="267"/>
      <c r="BX921" s="267"/>
      <c r="BY921" s="267"/>
      <c r="BZ921" s="267"/>
      <c r="CA921" s="267"/>
      <c r="CB921" s="267"/>
      <c r="CC921" s="267"/>
      <c r="CD921" s="267"/>
      <c r="CE921" s="267"/>
      <c r="CF921" s="267"/>
      <c r="CG921" s="267"/>
    </row>
    <row r="922" spans="70:85" ht="12.75" customHeight="1" x14ac:dyDescent="0.25">
      <c r="BR922" s="177"/>
      <c r="BS922" s="177"/>
      <c r="BT922" s="267"/>
      <c r="BU922" s="267"/>
      <c r="BV922" s="267"/>
      <c r="BW922" s="267"/>
      <c r="BX922" s="267"/>
      <c r="BY922" s="267"/>
      <c r="BZ922" s="267"/>
      <c r="CA922" s="267"/>
      <c r="CB922" s="267"/>
      <c r="CC922" s="267"/>
      <c r="CD922" s="267"/>
      <c r="CE922" s="267"/>
      <c r="CF922" s="267"/>
      <c r="CG922" s="267"/>
    </row>
    <row r="923" spans="70:85" ht="12.75" customHeight="1" x14ac:dyDescent="0.25">
      <c r="BR923" s="177"/>
      <c r="BS923" s="177"/>
      <c r="BT923" s="267"/>
      <c r="BU923" s="267"/>
      <c r="BV923" s="267"/>
      <c r="BW923" s="267"/>
      <c r="BX923" s="267"/>
      <c r="BY923" s="267"/>
      <c r="BZ923" s="267"/>
      <c r="CA923" s="267"/>
      <c r="CB923" s="267"/>
      <c r="CC923" s="267"/>
      <c r="CD923" s="267"/>
      <c r="CE923" s="267"/>
      <c r="CF923" s="267"/>
      <c r="CG923" s="267"/>
    </row>
    <row r="924" spans="70:85" ht="12.75" customHeight="1" x14ac:dyDescent="0.25">
      <c r="BR924" s="177"/>
      <c r="BS924" s="177"/>
      <c r="BT924" s="267"/>
      <c r="BU924" s="267"/>
      <c r="BV924" s="267"/>
      <c r="BW924" s="267"/>
      <c r="BX924" s="267"/>
      <c r="BY924" s="267"/>
      <c r="BZ924" s="267"/>
      <c r="CA924" s="267"/>
      <c r="CB924" s="267"/>
      <c r="CC924" s="267"/>
      <c r="CD924" s="267"/>
      <c r="CE924" s="267"/>
      <c r="CF924" s="267"/>
      <c r="CG924" s="267"/>
    </row>
    <row r="925" spans="70:85" ht="12.75" customHeight="1" x14ac:dyDescent="0.25">
      <c r="BR925" s="177"/>
      <c r="BS925" s="177"/>
      <c r="BT925" s="267"/>
      <c r="BU925" s="267"/>
      <c r="BV925" s="267"/>
      <c r="BW925" s="267"/>
      <c r="BX925" s="267"/>
      <c r="BY925" s="267"/>
      <c r="BZ925" s="267"/>
      <c r="CA925" s="267"/>
      <c r="CB925" s="267"/>
      <c r="CC925" s="267"/>
      <c r="CD925" s="267"/>
      <c r="CE925" s="267"/>
      <c r="CF925" s="267"/>
      <c r="CG925" s="267"/>
    </row>
    <row r="926" spans="70:85" ht="12.75" customHeight="1" x14ac:dyDescent="0.25">
      <c r="BR926" s="177"/>
      <c r="BS926" s="177"/>
      <c r="BT926" s="267"/>
      <c r="BU926" s="267"/>
      <c r="BV926" s="267"/>
      <c r="BW926" s="267"/>
      <c r="BX926" s="267"/>
      <c r="BY926" s="267"/>
      <c r="BZ926" s="267"/>
      <c r="CA926" s="267"/>
      <c r="CB926" s="267"/>
      <c r="CC926" s="267"/>
      <c r="CD926" s="267"/>
      <c r="CE926" s="267"/>
      <c r="CF926" s="267"/>
      <c r="CG926" s="267"/>
    </row>
    <row r="927" spans="70:85" ht="12.75" customHeight="1" x14ac:dyDescent="0.25">
      <c r="BR927" s="177"/>
      <c r="BS927" s="177"/>
      <c r="BT927" s="267"/>
      <c r="BU927" s="267"/>
      <c r="BV927" s="267"/>
      <c r="BW927" s="267"/>
      <c r="BX927" s="267"/>
      <c r="BY927" s="267"/>
      <c r="BZ927" s="267"/>
      <c r="CA927" s="267"/>
      <c r="CB927" s="267"/>
      <c r="CC927" s="267"/>
      <c r="CD927" s="267"/>
      <c r="CE927" s="267"/>
      <c r="CF927" s="267"/>
      <c r="CG927" s="267"/>
    </row>
    <row r="928" spans="70:85" ht="12.75" customHeight="1" x14ac:dyDescent="0.25">
      <c r="BR928" s="177"/>
      <c r="BS928" s="177"/>
      <c r="BT928" s="267"/>
      <c r="BU928" s="267"/>
      <c r="BV928" s="267"/>
      <c r="BW928" s="267"/>
      <c r="BX928" s="267"/>
      <c r="BY928" s="267"/>
      <c r="BZ928" s="267"/>
      <c r="CA928" s="267"/>
      <c r="CB928" s="267"/>
      <c r="CC928" s="267"/>
      <c r="CD928" s="267"/>
      <c r="CE928" s="267"/>
      <c r="CF928" s="267"/>
      <c r="CG928" s="267"/>
    </row>
    <row r="929" spans="70:85" ht="12.75" customHeight="1" x14ac:dyDescent="0.25">
      <c r="BR929" s="177"/>
      <c r="BS929" s="177"/>
      <c r="BT929" s="267"/>
      <c r="BU929" s="267"/>
      <c r="BV929" s="267"/>
      <c r="BW929" s="267"/>
      <c r="BX929" s="267"/>
      <c r="BY929" s="267"/>
      <c r="BZ929" s="267"/>
      <c r="CA929" s="267"/>
      <c r="CB929" s="267"/>
      <c r="CC929" s="267"/>
      <c r="CD929" s="267"/>
      <c r="CE929" s="267"/>
      <c r="CF929" s="267"/>
      <c r="CG929" s="267"/>
    </row>
    <row r="930" spans="70:85" ht="12.75" customHeight="1" x14ac:dyDescent="0.25">
      <c r="BR930" s="177"/>
      <c r="BS930" s="177"/>
      <c r="BT930" s="267"/>
      <c r="BU930" s="267"/>
      <c r="BV930" s="267"/>
      <c r="BW930" s="267"/>
      <c r="BX930" s="267"/>
      <c r="BY930" s="267"/>
      <c r="BZ930" s="267"/>
      <c r="CA930" s="267"/>
      <c r="CB930" s="267"/>
      <c r="CC930" s="267"/>
      <c r="CD930" s="267"/>
      <c r="CE930" s="267"/>
      <c r="CF930" s="267"/>
      <c r="CG930" s="267"/>
    </row>
    <row r="931" spans="70:85" ht="12.75" customHeight="1" x14ac:dyDescent="0.25">
      <c r="BR931" s="177"/>
      <c r="BS931" s="177"/>
      <c r="BT931" s="267"/>
      <c r="BU931" s="267"/>
      <c r="BV931" s="267"/>
      <c r="BW931" s="267"/>
      <c r="BX931" s="267"/>
      <c r="BY931" s="267"/>
      <c r="BZ931" s="267"/>
      <c r="CA931" s="267"/>
      <c r="CB931" s="267"/>
      <c r="CC931" s="267"/>
      <c r="CD931" s="267"/>
      <c r="CE931" s="267"/>
      <c r="CF931" s="267"/>
      <c r="CG931" s="267"/>
    </row>
    <row r="932" spans="70:85" ht="12.75" customHeight="1" x14ac:dyDescent="0.25">
      <c r="BR932" s="177"/>
      <c r="BS932" s="177"/>
      <c r="BT932" s="267"/>
      <c r="BU932" s="267"/>
      <c r="BV932" s="267"/>
      <c r="BW932" s="267"/>
      <c r="BX932" s="267"/>
      <c r="BY932" s="267"/>
      <c r="BZ932" s="267"/>
      <c r="CA932" s="267"/>
      <c r="CB932" s="267"/>
      <c r="CC932" s="267"/>
      <c r="CD932" s="267"/>
      <c r="CE932" s="267"/>
      <c r="CF932" s="267"/>
      <c r="CG932" s="267"/>
    </row>
    <row r="933" spans="70:85" ht="12.75" customHeight="1" x14ac:dyDescent="0.25">
      <c r="BR933" s="177"/>
      <c r="BS933" s="177"/>
      <c r="BT933" s="267"/>
      <c r="BU933" s="267"/>
      <c r="BV933" s="267"/>
      <c r="BW933" s="267"/>
      <c r="BX933" s="267"/>
      <c r="BY933" s="267"/>
      <c r="BZ933" s="267"/>
      <c r="CA933" s="267"/>
      <c r="CB933" s="267"/>
      <c r="CC933" s="267"/>
      <c r="CD933" s="267"/>
      <c r="CE933" s="267"/>
      <c r="CF933" s="267"/>
      <c r="CG933" s="267"/>
    </row>
    <row r="934" spans="70:85" ht="12.75" customHeight="1" x14ac:dyDescent="0.25">
      <c r="BR934" s="177"/>
      <c r="BS934" s="177"/>
      <c r="BT934" s="267"/>
      <c r="BU934" s="267"/>
      <c r="BV934" s="267"/>
      <c r="BW934" s="267"/>
      <c r="BX934" s="267"/>
      <c r="BY934" s="267"/>
      <c r="BZ934" s="267"/>
      <c r="CA934" s="267"/>
      <c r="CB934" s="267"/>
      <c r="CC934" s="267"/>
      <c r="CD934" s="267"/>
      <c r="CE934" s="267"/>
      <c r="CF934" s="267"/>
      <c r="CG934" s="267"/>
    </row>
    <row r="935" spans="70:85" ht="12.75" customHeight="1" x14ac:dyDescent="0.25">
      <c r="BR935" s="177"/>
      <c r="BS935" s="177"/>
      <c r="BT935" s="267"/>
      <c r="BU935" s="267"/>
      <c r="BV935" s="267"/>
      <c r="BW935" s="267"/>
      <c r="BX935" s="267"/>
      <c r="BY935" s="267"/>
      <c r="BZ935" s="267"/>
      <c r="CA935" s="267"/>
      <c r="CB935" s="267"/>
      <c r="CC935" s="267"/>
      <c r="CD935" s="267"/>
      <c r="CE935" s="267"/>
      <c r="CF935" s="267"/>
      <c r="CG935" s="267"/>
    </row>
    <row r="936" spans="70:85" ht="12.75" customHeight="1" x14ac:dyDescent="0.25">
      <c r="BR936" s="177"/>
      <c r="BS936" s="177"/>
      <c r="BT936" s="267"/>
      <c r="BU936" s="267"/>
      <c r="BV936" s="267"/>
      <c r="BW936" s="267"/>
      <c r="BX936" s="267"/>
      <c r="BY936" s="267"/>
      <c r="BZ936" s="267"/>
      <c r="CA936" s="267"/>
      <c r="CB936" s="267"/>
      <c r="CC936" s="267"/>
      <c r="CD936" s="267"/>
      <c r="CE936" s="267"/>
      <c r="CF936" s="267"/>
      <c r="CG936" s="267"/>
    </row>
    <row r="937" spans="70:85" ht="12.75" customHeight="1" x14ac:dyDescent="0.25">
      <c r="BR937" s="177"/>
      <c r="BS937" s="177"/>
      <c r="BT937" s="267"/>
      <c r="BU937" s="267"/>
      <c r="BV937" s="267"/>
      <c r="BW937" s="267"/>
      <c r="BX937" s="267"/>
      <c r="BY937" s="267"/>
      <c r="BZ937" s="267"/>
      <c r="CA937" s="267"/>
      <c r="CB937" s="267"/>
      <c r="CC937" s="267"/>
      <c r="CD937" s="267"/>
      <c r="CE937" s="267"/>
      <c r="CF937" s="267"/>
      <c r="CG937" s="267"/>
    </row>
    <row r="938" spans="70:85" ht="12.75" customHeight="1" x14ac:dyDescent="0.25">
      <c r="BR938" s="177"/>
      <c r="BS938" s="177"/>
      <c r="BT938" s="267"/>
      <c r="BU938" s="267"/>
      <c r="BV938" s="267"/>
      <c r="BW938" s="267"/>
      <c r="BX938" s="267"/>
      <c r="BY938" s="267"/>
      <c r="BZ938" s="267"/>
      <c r="CA938" s="267"/>
      <c r="CB938" s="267"/>
      <c r="CC938" s="267"/>
      <c r="CD938" s="267"/>
      <c r="CE938" s="267"/>
      <c r="CF938" s="267"/>
      <c r="CG938" s="267"/>
    </row>
    <row r="939" spans="70:85" ht="12.75" customHeight="1" x14ac:dyDescent="0.25">
      <c r="BR939" s="177"/>
      <c r="BS939" s="177"/>
      <c r="BT939" s="267"/>
      <c r="BU939" s="267"/>
      <c r="BV939" s="267"/>
      <c r="BW939" s="267"/>
      <c r="BX939" s="267"/>
      <c r="BY939" s="267"/>
      <c r="BZ939" s="267"/>
      <c r="CA939" s="267"/>
      <c r="CB939" s="267"/>
      <c r="CC939" s="267"/>
      <c r="CD939" s="267"/>
      <c r="CE939" s="267"/>
      <c r="CF939" s="267"/>
      <c r="CG939" s="267"/>
    </row>
    <row r="940" spans="70:85" ht="12.75" customHeight="1" x14ac:dyDescent="0.25">
      <c r="BR940" s="177"/>
      <c r="BS940" s="177"/>
      <c r="BT940" s="267"/>
      <c r="BU940" s="267"/>
      <c r="BV940" s="267"/>
      <c r="BW940" s="267"/>
      <c r="BX940" s="267"/>
      <c r="BY940" s="267"/>
      <c r="BZ940" s="267"/>
      <c r="CA940" s="267"/>
      <c r="CB940" s="267"/>
      <c r="CC940" s="267"/>
      <c r="CD940" s="267"/>
      <c r="CE940" s="267"/>
      <c r="CF940" s="267"/>
      <c r="CG940" s="267"/>
    </row>
    <row r="941" spans="70:85" ht="12.75" customHeight="1" x14ac:dyDescent="0.25">
      <c r="BR941" s="177"/>
      <c r="BS941" s="177"/>
      <c r="BT941" s="267"/>
      <c r="BU941" s="267"/>
      <c r="BV941" s="267"/>
      <c r="BW941" s="267"/>
      <c r="BX941" s="267"/>
      <c r="BY941" s="267"/>
      <c r="BZ941" s="267"/>
      <c r="CA941" s="267"/>
      <c r="CB941" s="267"/>
      <c r="CC941" s="267"/>
      <c r="CD941" s="267"/>
      <c r="CE941" s="267"/>
      <c r="CF941" s="267"/>
      <c r="CG941" s="267"/>
    </row>
    <row r="942" spans="70:85" ht="12.75" customHeight="1" x14ac:dyDescent="0.25">
      <c r="BR942" s="177"/>
      <c r="BS942" s="177"/>
      <c r="BT942" s="267"/>
      <c r="BU942" s="267"/>
      <c r="BV942" s="267"/>
      <c r="BW942" s="267"/>
      <c r="BX942" s="267"/>
      <c r="BY942" s="267"/>
      <c r="BZ942" s="267"/>
      <c r="CA942" s="267"/>
      <c r="CB942" s="267"/>
      <c r="CC942" s="267"/>
      <c r="CD942" s="267"/>
      <c r="CE942" s="267"/>
      <c r="CF942" s="267"/>
      <c r="CG942" s="267"/>
    </row>
    <row r="943" spans="70:85" ht="12.75" customHeight="1" x14ac:dyDescent="0.25">
      <c r="BR943" s="177"/>
      <c r="BS943" s="177"/>
      <c r="BT943" s="267"/>
      <c r="BU943" s="267"/>
      <c r="BV943" s="267"/>
      <c r="BW943" s="267"/>
      <c r="BX943" s="267"/>
      <c r="BY943" s="267"/>
      <c r="BZ943" s="267"/>
      <c r="CA943" s="267"/>
      <c r="CB943" s="267"/>
      <c r="CC943" s="267"/>
      <c r="CD943" s="267"/>
      <c r="CE943" s="267"/>
      <c r="CF943" s="267"/>
      <c r="CG943" s="267"/>
    </row>
    <row r="944" spans="70:85" ht="12.75" customHeight="1" x14ac:dyDescent="0.25">
      <c r="BR944" s="177"/>
      <c r="BS944" s="177"/>
      <c r="BT944" s="267"/>
      <c r="BU944" s="267"/>
      <c r="BV944" s="267"/>
      <c r="BW944" s="267"/>
      <c r="BX944" s="267"/>
      <c r="BY944" s="267"/>
      <c r="BZ944" s="267"/>
      <c r="CA944" s="267"/>
      <c r="CB944" s="267"/>
      <c r="CC944" s="267"/>
      <c r="CD944" s="267"/>
      <c r="CE944" s="267"/>
      <c r="CF944" s="267"/>
      <c r="CG944" s="267"/>
    </row>
    <row r="945" spans="70:85" ht="12.75" customHeight="1" x14ac:dyDescent="0.25">
      <c r="BR945" s="177"/>
      <c r="BS945" s="177"/>
      <c r="BT945" s="267"/>
      <c r="BU945" s="267"/>
      <c r="BV945" s="267"/>
      <c r="BW945" s="267"/>
      <c r="BX945" s="267"/>
      <c r="BY945" s="267"/>
      <c r="BZ945" s="267"/>
      <c r="CA945" s="267"/>
      <c r="CB945" s="267"/>
      <c r="CC945" s="267"/>
      <c r="CD945" s="267"/>
      <c r="CE945" s="267"/>
      <c r="CF945" s="267"/>
      <c r="CG945" s="267"/>
    </row>
    <row r="946" spans="70:85" ht="12.75" customHeight="1" x14ac:dyDescent="0.25">
      <c r="BR946" s="177"/>
      <c r="BS946" s="177"/>
      <c r="BT946" s="267"/>
      <c r="BU946" s="267"/>
      <c r="BV946" s="267"/>
      <c r="BW946" s="267"/>
      <c r="BX946" s="267"/>
      <c r="BY946" s="267"/>
      <c r="BZ946" s="267"/>
      <c r="CA946" s="267"/>
      <c r="CB946" s="267"/>
      <c r="CC946" s="267"/>
      <c r="CD946" s="267"/>
      <c r="CE946" s="267"/>
      <c r="CF946" s="267"/>
      <c r="CG946" s="267"/>
    </row>
    <row r="947" spans="70:85" ht="12.75" customHeight="1" x14ac:dyDescent="0.25">
      <c r="BR947" s="177"/>
      <c r="BS947" s="177"/>
      <c r="BT947" s="267"/>
      <c r="BU947" s="267"/>
      <c r="BV947" s="267"/>
      <c r="BW947" s="267"/>
      <c r="BX947" s="267"/>
      <c r="BY947" s="267"/>
      <c r="BZ947" s="267"/>
      <c r="CA947" s="267"/>
      <c r="CB947" s="267"/>
      <c r="CC947" s="267"/>
      <c r="CD947" s="267"/>
      <c r="CE947" s="267"/>
      <c r="CF947" s="267"/>
      <c r="CG947" s="267"/>
    </row>
    <row r="948" spans="70:85" ht="12.75" customHeight="1" x14ac:dyDescent="0.25">
      <c r="BR948" s="177"/>
      <c r="BS948" s="177"/>
      <c r="BT948" s="267"/>
      <c r="BU948" s="267"/>
      <c r="BV948" s="267"/>
      <c r="BW948" s="267"/>
      <c r="BX948" s="267"/>
      <c r="BY948" s="267"/>
      <c r="BZ948" s="267"/>
      <c r="CA948" s="267"/>
      <c r="CB948" s="267"/>
      <c r="CC948" s="267"/>
      <c r="CD948" s="267"/>
      <c r="CE948" s="267"/>
      <c r="CF948" s="267"/>
      <c r="CG948" s="267"/>
    </row>
    <row r="949" spans="70:85" ht="12.75" customHeight="1" x14ac:dyDescent="0.25">
      <c r="BR949" s="177"/>
      <c r="BS949" s="177"/>
      <c r="BT949" s="267"/>
      <c r="BU949" s="267"/>
      <c r="BV949" s="267"/>
      <c r="BW949" s="267"/>
      <c r="BX949" s="267"/>
      <c r="BY949" s="267"/>
      <c r="BZ949" s="267"/>
      <c r="CA949" s="267"/>
      <c r="CB949" s="267"/>
      <c r="CC949" s="267"/>
      <c r="CD949" s="267"/>
      <c r="CE949" s="267"/>
      <c r="CF949" s="267"/>
      <c r="CG949" s="267"/>
    </row>
    <row r="950" spans="70:85" ht="12.75" customHeight="1" x14ac:dyDescent="0.25">
      <c r="BR950" s="177"/>
      <c r="BS950" s="177"/>
      <c r="BT950" s="267"/>
      <c r="BU950" s="267"/>
      <c r="BV950" s="267"/>
      <c r="BW950" s="267"/>
      <c r="BX950" s="267"/>
      <c r="BY950" s="267"/>
      <c r="BZ950" s="267"/>
      <c r="CA950" s="267"/>
      <c r="CB950" s="267"/>
      <c r="CC950" s="267"/>
      <c r="CD950" s="267"/>
      <c r="CE950" s="267"/>
      <c r="CF950" s="267"/>
      <c r="CG950" s="267"/>
    </row>
    <row r="951" spans="70:85" ht="12.75" customHeight="1" x14ac:dyDescent="0.25">
      <c r="BR951" s="177"/>
      <c r="BS951" s="177"/>
      <c r="BT951" s="267"/>
      <c r="BU951" s="267"/>
      <c r="BV951" s="267"/>
      <c r="BW951" s="267"/>
      <c r="BX951" s="267"/>
      <c r="BY951" s="267"/>
      <c r="BZ951" s="267"/>
      <c r="CA951" s="267"/>
      <c r="CB951" s="267"/>
      <c r="CC951" s="267"/>
      <c r="CD951" s="267"/>
      <c r="CE951" s="267"/>
      <c r="CF951" s="267"/>
      <c r="CG951" s="267"/>
    </row>
    <row r="952" spans="70:85" ht="12.75" customHeight="1" x14ac:dyDescent="0.25">
      <c r="BR952" s="177"/>
      <c r="BS952" s="177"/>
      <c r="BT952" s="267"/>
      <c r="BU952" s="267"/>
      <c r="BV952" s="267"/>
      <c r="BW952" s="267"/>
      <c r="BX952" s="267"/>
      <c r="BY952" s="267"/>
      <c r="BZ952" s="267"/>
      <c r="CA952" s="267"/>
      <c r="CB952" s="267"/>
      <c r="CC952" s="267"/>
      <c r="CD952" s="267"/>
      <c r="CE952" s="267"/>
      <c r="CF952" s="267"/>
      <c r="CG952" s="267"/>
    </row>
    <row r="953" spans="70:85" ht="12.75" customHeight="1" x14ac:dyDescent="0.25">
      <c r="BR953" s="177"/>
      <c r="BS953" s="177"/>
      <c r="BT953" s="267"/>
      <c r="BU953" s="267"/>
      <c r="BV953" s="267"/>
      <c r="BW953" s="267"/>
      <c r="BX953" s="267"/>
      <c r="BY953" s="267"/>
      <c r="BZ953" s="267"/>
      <c r="CA953" s="267"/>
      <c r="CB953" s="267"/>
      <c r="CC953" s="267"/>
      <c r="CD953" s="267"/>
      <c r="CE953" s="267"/>
      <c r="CF953" s="267"/>
      <c r="CG953" s="267"/>
    </row>
    <row r="954" spans="70:85" ht="12.75" customHeight="1" x14ac:dyDescent="0.25">
      <c r="BR954" s="177"/>
      <c r="BS954" s="177"/>
      <c r="BT954" s="267"/>
      <c r="BU954" s="267"/>
      <c r="BV954" s="267"/>
      <c r="BW954" s="267"/>
      <c r="BX954" s="267"/>
      <c r="BY954" s="267"/>
      <c r="BZ954" s="267"/>
      <c r="CA954" s="267"/>
      <c r="CB954" s="267"/>
      <c r="CC954" s="267"/>
      <c r="CD954" s="267"/>
      <c r="CE954" s="267"/>
      <c r="CF954" s="267"/>
      <c r="CG954" s="267"/>
    </row>
    <row r="955" spans="70:85" ht="12.75" customHeight="1" x14ac:dyDescent="0.25">
      <c r="BR955" s="177"/>
      <c r="BS955" s="177"/>
      <c r="BT955" s="267"/>
      <c r="BU955" s="267"/>
      <c r="BV955" s="267"/>
      <c r="BW955" s="267"/>
      <c r="BX955" s="267"/>
      <c r="BY955" s="267"/>
      <c r="BZ955" s="267"/>
      <c r="CA955" s="267"/>
      <c r="CB955" s="267"/>
      <c r="CC955" s="267"/>
      <c r="CD955" s="267"/>
      <c r="CE955" s="267"/>
      <c r="CF955" s="267"/>
      <c r="CG955" s="267"/>
    </row>
    <row r="956" spans="70:85" ht="12.75" customHeight="1" x14ac:dyDescent="0.25">
      <c r="BR956" s="177"/>
      <c r="BS956" s="177"/>
      <c r="BT956" s="267"/>
      <c r="BU956" s="267"/>
      <c r="BV956" s="267"/>
      <c r="BW956" s="267"/>
      <c r="BX956" s="267"/>
      <c r="BY956" s="267"/>
      <c r="BZ956" s="267"/>
      <c r="CA956" s="267"/>
      <c r="CB956" s="267"/>
      <c r="CC956" s="267"/>
      <c r="CD956" s="267"/>
      <c r="CE956" s="267"/>
      <c r="CF956" s="267"/>
      <c r="CG956" s="267"/>
    </row>
    <row r="957" spans="70:85" ht="12.75" customHeight="1" x14ac:dyDescent="0.25">
      <c r="BR957" s="177"/>
      <c r="BS957" s="177"/>
      <c r="BT957" s="267"/>
      <c r="BU957" s="267"/>
      <c r="BV957" s="267"/>
      <c r="BW957" s="267"/>
      <c r="BX957" s="267"/>
      <c r="BY957" s="267"/>
      <c r="BZ957" s="267"/>
      <c r="CA957" s="267"/>
      <c r="CB957" s="267"/>
      <c r="CC957" s="267"/>
      <c r="CD957" s="267"/>
      <c r="CE957" s="267"/>
      <c r="CF957" s="267"/>
      <c r="CG957" s="267"/>
    </row>
    <row r="958" spans="70:85" ht="12.75" customHeight="1" x14ac:dyDescent="0.25">
      <c r="BR958" s="177"/>
      <c r="BS958" s="177"/>
      <c r="BT958" s="267"/>
      <c r="BU958" s="267"/>
      <c r="BV958" s="267"/>
      <c r="BW958" s="267"/>
      <c r="BX958" s="267"/>
      <c r="BY958" s="267"/>
      <c r="BZ958" s="267"/>
      <c r="CA958" s="267"/>
      <c r="CB958" s="267"/>
      <c r="CC958" s="267"/>
      <c r="CD958" s="267"/>
      <c r="CE958" s="267"/>
      <c r="CF958" s="267"/>
      <c r="CG958" s="267"/>
    </row>
    <row r="959" spans="70:85" ht="12.75" customHeight="1" x14ac:dyDescent="0.25">
      <c r="BR959" s="177"/>
      <c r="BS959" s="177"/>
      <c r="BT959" s="267"/>
      <c r="BU959" s="267"/>
      <c r="BV959" s="267"/>
      <c r="BW959" s="267"/>
      <c r="BX959" s="267"/>
      <c r="BY959" s="267"/>
      <c r="BZ959" s="267"/>
      <c r="CA959" s="267"/>
      <c r="CB959" s="267"/>
      <c r="CC959" s="267"/>
      <c r="CD959" s="267"/>
      <c r="CE959" s="267"/>
      <c r="CF959" s="267"/>
      <c r="CG959" s="267"/>
    </row>
    <row r="960" spans="70:85" ht="12.75" customHeight="1" x14ac:dyDescent="0.25">
      <c r="BR960" s="177"/>
      <c r="BS960" s="177"/>
      <c r="BT960" s="267"/>
      <c r="BU960" s="267"/>
      <c r="BV960" s="267"/>
      <c r="BW960" s="267"/>
      <c r="BX960" s="267"/>
      <c r="BY960" s="267"/>
      <c r="BZ960" s="267"/>
      <c r="CA960" s="267"/>
      <c r="CB960" s="267"/>
      <c r="CC960" s="267"/>
      <c r="CD960" s="267"/>
      <c r="CE960" s="267"/>
      <c r="CF960" s="267"/>
      <c r="CG960" s="267"/>
    </row>
    <row r="961" spans="70:85" ht="12.75" customHeight="1" x14ac:dyDescent="0.25">
      <c r="BR961" s="177"/>
      <c r="BS961" s="177"/>
      <c r="BT961" s="267"/>
      <c r="BU961" s="267"/>
      <c r="BV961" s="267"/>
      <c r="BW961" s="267"/>
      <c r="BX961" s="267"/>
      <c r="BY961" s="267"/>
      <c r="BZ961" s="267"/>
      <c r="CA961" s="267"/>
      <c r="CB961" s="267"/>
      <c r="CC961" s="267"/>
      <c r="CD961" s="267"/>
      <c r="CE961" s="267"/>
      <c r="CF961" s="267"/>
      <c r="CG961" s="267"/>
    </row>
    <row r="962" spans="70:85" ht="12.75" customHeight="1" x14ac:dyDescent="0.25">
      <c r="BR962" s="177"/>
      <c r="BS962" s="177"/>
      <c r="BT962" s="267"/>
      <c r="BU962" s="267"/>
      <c r="BV962" s="267"/>
      <c r="BW962" s="267"/>
      <c r="BX962" s="267"/>
      <c r="BY962" s="267"/>
      <c r="BZ962" s="267"/>
      <c r="CA962" s="267"/>
      <c r="CB962" s="267"/>
      <c r="CC962" s="267"/>
      <c r="CD962" s="267"/>
      <c r="CE962" s="267"/>
      <c r="CF962" s="267"/>
      <c r="CG962" s="267"/>
    </row>
    <row r="963" spans="70:85" ht="12.75" customHeight="1" x14ac:dyDescent="0.25">
      <c r="BR963" s="177"/>
      <c r="BS963" s="177"/>
      <c r="BT963" s="267"/>
      <c r="BU963" s="267"/>
      <c r="BV963" s="267"/>
      <c r="BW963" s="267"/>
      <c r="BX963" s="267"/>
      <c r="BY963" s="267"/>
      <c r="BZ963" s="267"/>
      <c r="CA963" s="267"/>
      <c r="CB963" s="267"/>
      <c r="CC963" s="267"/>
      <c r="CD963" s="267"/>
      <c r="CE963" s="267"/>
      <c r="CF963" s="267"/>
      <c r="CG963" s="267"/>
    </row>
    <row r="964" spans="70:85" ht="12.75" customHeight="1" x14ac:dyDescent="0.25">
      <c r="BR964" s="177"/>
      <c r="BS964" s="177"/>
      <c r="BT964" s="267"/>
      <c r="BU964" s="267"/>
      <c r="BV964" s="267"/>
      <c r="BW964" s="267"/>
      <c r="BX964" s="267"/>
      <c r="BY964" s="267"/>
      <c r="BZ964" s="267"/>
      <c r="CA964" s="267"/>
      <c r="CB964" s="267"/>
      <c r="CC964" s="267"/>
      <c r="CD964" s="267"/>
      <c r="CE964" s="267"/>
      <c r="CF964" s="267"/>
      <c r="CG964" s="267"/>
    </row>
    <row r="965" spans="70:85" ht="12.75" customHeight="1" x14ac:dyDescent="0.25">
      <c r="BR965" s="177"/>
      <c r="BS965" s="177"/>
      <c r="BT965" s="267"/>
      <c r="BU965" s="267"/>
      <c r="BV965" s="267"/>
      <c r="BW965" s="267"/>
      <c r="BX965" s="267"/>
      <c r="BY965" s="267"/>
      <c r="BZ965" s="267"/>
      <c r="CA965" s="267"/>
      <c r="CB965" s="267"/>
      <c r="CC965" s="267"/>
      <c r="CD965" s="267"/>
      <c r="CE965" s="267"/>
      <c r="CF965" s="267"/>
      <c r="CG965" s="267"/>
    </row>
    <row r="966" spans="70:85" ht="12.75" customHeight="1" x14ac:dyDescent="0.25">
      <c r="BR966" s="177"/>
      <c r="BS966" s="177"/>
      <c r="BT966" s="267"/>
      <c r="BU966" s="267"/>
      <c r="BV966" s="267"/>
      <c r="BW966" s="267"/>
      <c r="BX966" s="267"/>
      <c r="BY966" s="267"/>
      <c r="BZ966" s="267"/>
      <c r="CA966" s="267"/>
      <c r="CB966" s="267"/>
      <c r="CC966" s="267"/>
      <c r="CD966" s="267"/>
      <c r="CE966" s="267"/>
      <c r="CF966" s="267"/>
      <c r="CG966" s="267"/>
    </row>
    <row r="967" spans="70:85" ht="12.75" customHeight="1" x14ac:dyDescent="0.25">
      <c r="BR967" s="177"/>
      <c r="BS967" s="177"/>
      <c r="BT967" s="267"/>
      <c r="BU967" s="267"/>
      <c r="BV967" s="267"/>
      <c r="BW967" s="267"/>
      <c r="BX967" s="267"/>
      <c r="BY967" s="267"/>
      <c r="BZ967" s="267"/>
      <c r="CA967" s="267"/>
      <c r="CB967" s="267"/>
      <c r="CC967" s="267"/>
      <c r="CD967" s="267"/>
      <c r="CE967" s="267"/>
      <c r="CF967" s="267"/>
      <c r="CG967" s="267"/>
    </row>
    <row r="968" spans="70:85" ht="12.75" customHeight="1" x14ac:dyDescent="0.25">
      <c r="BR968" s="177"/>
      <c r="BS968" s="177"/>
      <c r="BT968" s="267"/>
      <c r="BU968" s="267"/>
      <c r="BV968" s="267"/>
      <c r="BW968" s="267"/>
      <c r="BX968" s="267"/>
      <c r="BY968" s="267"/>
      <c r="BZ968" s="267"/>
      <c r="CA968" s="267"/>
      <c r="CB968" s="267"/>
      <c r="CC968" s="267"/>
      <c r="CD968" s="267"/>
      <c r="CE968" s="267"/>
      <c r="CF968" s="267"/>
      <c r="CG968" s="267"/>
    </row>
    <row r="969" spans="70:85" ht="12.75" customHeight="1" x14ac:dyDescent="0.25">
      <c r="BR969" s="177"/>
      <c r="BS969" s="177"/>
      <c r="BT969" s="267"/>
      <c r="BU969" s="267"/>
      <c r="BV969" s="267"/>
      <c r="BW969" s="267"/>
      <c r="BX969" s="267"/>
      <c r="BY969" s="267"/>
      <c r="BZ969" s="267"/>
      <c r="CA969" s="267"/>
      <c r="CB969" s="267"/>
      <c r="CC969" s="267"/>
      <c r="CD969" s="267"/>
      <c r="CE969" s="267"/>
      <c r="CF969" s="267"/>
      <c r="CG969" s="267"/>
    </row>
    <row r="970" spans="70:85" ht="12.75" customHeight="1" x14ac:dyDescent="0.25">
      <c r="BR970" s="177"/>
      <c r="BS970" s="177"/>
      <c r="BT970" s="267"/>
      <c r="BU970" s="267"/>
      <c r="BV970" s="267"/>
      <c r="BW970" s="267"/>
      <c r="BX970" s="267"/>
      <c r="BY970" s="267"/>
      <c r="BZ970" s="267"/>
      <c r="CA970" s="267"/>
      <c r="CB970" s="267"/>
      <c r="CC970" s="267"/>
      <c r="CD970" s="267"/>
      <c r="CE970" s="267"/>
      <c r="CF970" s="267"/>
      <c r="CG970" s="267"/>
    </row>
    <row r="971" spans="70:85" ht="12.75" customHeight="1" x14ac:dyDescent="0.25">
      <c r="BR971" s="177"/>
      <c r="BS971" s="177"/>
      <c r="BT971" s="267"/>
      <c r="BU971" s="267"/>
      <c r="BV971" s="267"/>
      <c r="BW971" s="267"/>
      <c r="BX971" s="267"/>
      <c r="BY971" s="267"/>
      <c r="BZ971" s="267"/>
      <c r="CA971" s="267"/>
      <c r="CB971" s="267"/>
      <c r="CC971" s="267"/>
      <c r="CD971" s="267"/>
      <c r="CE971" s="267"/>
      <c r="CF971" s="267"/>
      <c r="CG971" s="267"/>
    </row>
    <row r="972" spans="70:85" ht="12.75" customHeight="1" x14ac:dyDescent="0.25">
      <c r="BR972" s="177"/>
      <c r="BS972" s="177"/>
      <c r="BT972" s="267"/>
      <c r="BU972" s="267"/>
      <c r="BV972" s="267"/>
      <c r="BW972" s="267"/>
      <c r="BX972" s="267"/>
      <c r="BY972" s="267"/>
      <c r="BZ972" s="267"/>
      <c r="CA972" s="267"/>
      <c r="CB972" s="267"/>
      <c r="CC972" s="267"/>
      <c r="CD972" s="267"/>
      <c r="CE972" s="267"/>
      <c r="CF972" s="267"/>
      <c r="CG972" s="267"/>
    </row>
    <row r="973" spans="70:85" ht="12.75" customHeight="1" x14ac:dyDescent="0.25">
      <c r="BR973" s="177"/>
      <c r="BS973" s="177"/>
      <c r="BT973" s="267"/>
      <c r="BU973" s="267"/>
      <c r="BV973" s="267"/>
      <c r="BW973" s="267"/>
      <c r="BX973" s="267"/>
      <c r="BY973" s="267"/>
      <c r="BZ973" s="267"/>
      <c r="CA973" s="267"/>
      <c r="CB973" s="267"/>
      <c r="CC973" s="267"/>
      <c r="CD973" s="267"/>
      <c r="CE973" s="267"/>
      <c r="CF973" s="267"/>
      <c r="CG973" s="267"/>
    </row>
    <row r="974" spans="70:85" ht="12.75" customHeight="1" x14ac:dyDescent="0.25">
      <c r="BR974" s="177"/>
      <c r="BS974" s="177"/>
      <c r="BT974" s="267"/>
      <c r="BU974" s="267"/>
      <c r="BV974" s="267"/>
      <c r="BW974" s="267"/>
      <c r="BX974" s="267"/>
      <c r="BY974" s="267"/>
      <c r="BZ974" s="267"/>
      <c r="CA974" s="267"/>
      <c r="CB974" s="267"/>
      <c r="CC974" s="267"/>
      <c r="CD974" s="267"/>
      <c r="CE974" s="267"/>
      <c r="CF974" s="267"/>
      <c r="CG974" s="267"/>
    </row>
    <row r="975" spans="70:85" ht="12.75" customHeight="1" x14ac:dyDescent="0.25">
      <c r="BR975" s="177"/>
      <c r="BS975" s="177"/>
      <c r="BT975" s="267"/>
      <c r="BU975" s="267"/>
      <c r="BV975" s="267"/>
      <c r="BW975" s="267"/>
      <c r="BX975" s="267"/>
      <c r="BY975" s="267"/>
      <c r="BZ975" s="267"/>
      <c r="CA975" s="267"/>
      <c r="CB975" s="267"/>
      <c r="CC975" s="267"/>
      <c r="CD975" s="267"/>
      <c r="CE975" s="267"/>
      <c r="CF975" s="267"/>
      <c r="CG975" s="267"/>
    </row>
    <row r="976" spans="70:85" ht="12.75" customHeight="1" x14ac:dyDescent="0.25">
      <c r="BR976" s="177"/>
      <c r="BS976" s="177"/>
      <c r="BT976" s="267"/>
      <c r="BU976" s="267"/>
      <c r="BV976" s="267"/>
      <c r="BW976" s="267"/>
      <c r="BX976" s="267"/>
      <c r="BY976" s="267"/>
      <c r="BZ976" s="267"/>
      <c r="CA976" s="267"/>
      <c r="CB976" s="267"/>
      <c r="CC976" s="267"/>
      <c r="CD976" s="267"/>
      <c r="CE976" s="267"/>
      <c r="CF976" s="267"/>
      <c r="CG976" s="267"/>
    </row>
    <row r="977" spans="70:85" ht="12.75" customHeight="1" x14ac:dyDescent="0.25">
      <c r="BR977" s="177"/>
      <c r="BS977" s="177"/>
      <c r="BT977" s="267"/>
      <c r="BU977" s="267"/>
      <c r="BV977" s="267"/>
      <c r="BW977" s="267"/>
      <c r="BX977" s="267"/>
      <c r="BY977" s="267"/>
      <c r="BZ977" s="267"/>
      <c r="CA977" s="267"/>
      <c r="CB977" s="267"/>
      <c r="CC977" s="267"/>
      <c r="CD977" s="267"/>
      <c r="CE977" s="267"/>
      <c r="CF977" s="267"/>
      <c r="CG977" s="267"/>
    </row>
    <row r="978" spans="70:85" ht="12.75" customHeight="1" x14ac:dyDescent="0.25">
      <c r="BR978" s="177"/>
      <c r="BS978" s="177"/>
      <c r="BT978" s="267"/>
      <c r="BU978" s="267"/>
      <c r="BV978" s="267"/>
      <c r="BW978" s="267"/>
      <c r="BX978" s="267"/>
      <c r="BY978" s="267"/>
      <c r="BZ978" s="267"/>
      <c r="CA978" s="267"/>
      <c r="CB978" s="267"/>
      <c r="CC978" s="267"/>
      <c r="CD978" s="267"/>
      <c r="CE978" s="267"/>
      <c r="CF978" s="267"/>
      <c r="CG978" s="267"/>
    </row>
    <row r="979" spans="70:85" ht="12.75" customHeight="1" x14ac:dyDescent="0.25">
      <c r="BR979" s="177"/>
      <c r="BS979" s="177"/>
      <c r="BT979" s="267"/>
      <c r="BU979" s="267"/>
      <c r="BV979" s="267"/>
      <c r="BW979" s="267"/>
      <c r="BX979" s="267"/>
      <c r="BY979" s="267"/>
      <c r="BZ979" s="267"/>
      <c r="CA979" s="267"/>
      <c r="CB979" s="267"/>
      <c r="CC979" s="267"/>
      <c r="CD979" s="267"/>
      <c r="CE979" s="267"/>
      <c r="CF979" s="267"/>
      <c r="CG979" s="267"/>
    </row>
    <row r="980" spans="70:85" ht="12.75" customHeight="1" x14ac:dyDescent="0.25">
      <c r="BR980" s="177"/>
      <c r="BS980" s="177"/>
      <c r="BT980" s="267"/>
      <c r="BU980" s="267"/>
      <c r="BV980" s="267"/>
      <c r="BW980" s="267"/>
      <c r="BX980" s="267"/>
      <c r="BY980" s="267"/>
      <c r="BZ980" s="267"/>
      <c r="CA980" s="267"/>
      <c r="CB980" s="267"/>
      <c r="CC980" s="267"/>
      <c r="CD980" s="267"/>
      <c r="CE980" s="267"/>
      <c r="CF980" s="267"/>
      <c r="CG980" s="267"/>
    </row>
    <row r="981" spans="70:85" ht="12.75" customHeight="1" x14ac:dyDescent="0.25">
      <c r="BR981" s="177"/>
      <c r="BS981" s="177"/>
      <c r="BT981" s="267"/>
      <c r="BU981" s="267"/>
      <c r="BV981" s="267"/>
      <c r="BW981" s="267"/>
      <c r="BX981" s="267"/>
      <c r="BY981" s="267"/>
      <c r="BZ981" s="267"/>
      <c r="CA981" s="267"/>
      <c r="CB981" s="267"/>
      <c r="CC981" s="267"/>
      <c r="CD981" s="267"/>
      <c r="CE981" s="267"/>
      <c r="CF981" s="267"/>
      <c r="CG981" s="267"/>
    </row>
    <row r="982" spans="70:85" ht="12.75" customHeight="1" x14ac:dyDescent="0.25">
      <c r="BR982" s="177"/>
      <c r="BS982" s="177"/>
      <c r="BT982" s="267"/>
      <c r="BU982" s="267"/>
      <c r="BV982" s="267"/>
      <c r="BW982" s="267"/>
      <c r="BX982" s="267"/>
      <c r="BY982" s="267"/>
      <c r="BZ982" s="267"/>
      <c r="CA982" s="267"/>
      <c r="CB982" s="267"/>
      <c r="CC982" s="267"/>
      <c r="CD982" s="267"/>
      <c r="CE982" s="267"/>
      <c r="CF982" s="267"/>
      <c r="CG982" s="267"/>
    </row>
    <row r="983" spans="70:85" ht="12.75" customHeight="1" x14ac:dyDescent="0.25">
      <c r="BR983" s="177"/>
      <c r="BS983" s="177"/>
      <c r="BT983" s="267"/>
      <c r="BU983" s="267"/>
      <c r="BV983" s="267"/>
      <c r="BW983" s="267"/>
      <c r="BX983" s="267"/>
      <c r="BY983" s="267"/>
      <c r="BZ983" s="267"/>
      <c r="CA983" s="267"/>
      <c r="CB983" s="267"/>
      <c r="CC983" s="267"/>
      <c r="CD983" s="267"/>
      <c r="CE983" s="267"/>
      <c r="CF983" s="267"/>
      <c r="CG983" s="267"/>
    </row>
    <row r="984" spans="70:85" ht="12.75" customHeight="1" x14ac:dyDescent="0.25">
      <c r="BR984" s="177"/>
      <c r="BS984" s="177"/>
      <c r="BT984" s="267"/>
      <c r="BU984" s="267"/>
      <c r="BV984" s="267"/>
      <c r="BW984" s="267"/>
      <c r="BX984" s="267"/>
      <c r="BY984" s="267"/>
      <c r="BZ984" s="267"/>
      <c r="CA984" s="267"/>
      <c r="CB984" s="267"/>
      <c r="CC984" s="267"/>
      <c r="CD984" s="267"/>
      <c r="CE984" s="267"/>
      <c r="CF984" s="267"/>
      <c r="CG984" s="267"/>
    </row>
    <row r="985" spans="70:85" ht="12.75" customHeight="1" x14ac:dyDescent="0.25">
      <c r="BR985" s="177"/>
      <c r="BS985" s="177"/>
      <c r="BT985" s="267"/>
      <c r="BU985" s="267"/>
      <c r="BV985" s="267"/>
      <c r="BW985" s="267"/>
      <c r="BX985" s="267"/>
      <c r="BY985" s="267"/>
      <c r="BZ985" s="267"/>
      <c r="CA985" s="267"/>
      <c r="CB985" s="267"/>
      <c r="CC985" s="267"/>
      <c r="CD985" s="267"/>
      <c r="CE985" s="267"/>
      <c r="CF985" s="267"/>
      <c r="CG985" s="267"/>
    </row>
    <row r="986" spans="70:85" ht="12.75" customHeight="1" x14ac:dyDescent="0.25">
      <c r="BR986" s="177"/>
      <c r="BS986" s="177"/>
      <c r="BT986" s="267"/>
      <c r="BU986" s="267"/>
      <c r="BV986" s="267"/>
      <c r="BW986" s="267"/>
      <c r="BX986" s="267"/>
      <c r="BY986" s="267"/>
      <c r="BZ986" s="267"/>
      <c r="CA986" s="267"/>
      <c r="CB986" s="267"/>
      <c r="CC986" s="267"/>
      <c r="CD986" s="267"/>
      <c r="CE986" s="267"/>
      <c r="CF986" s="267"/>
      <c r="CG986" s="267"/>
    </row>
    <row r="987" spans="70:85" ht="12.75" customHeight="1" x14ac:dyDescent="0.25">
      <c r="BR987" s="177"/>
      <c r="BS987" s="177"/>
      <c r="BT987" s="267"/>
      <c r="BU987" s="267"/>
      <c r="BV987" s="267"/>
      <c r="BW987" s="267"/>
      <c r="BX987" s="267"/>
      <c r="BY987" s="267"/>
      <c r="BZ987" s="267"/>
      <c r="CA987" s="267"/>
      <c r="CB987" s="267"/>
      <c r="CC987" s="267"/>
      <c r="CD987" s="267"/>
      <c r="CE987" s="267"/>
      <c r="CF987" s="267"/>
      <c r="CG987" s="267"/>
    </row>
    <row r="988" spans="70:85" ht="12.75" customHeight="1" x14ac:dyDescent="0.25">
      <c r="BR988" s="177"/>
      <c r="BS988" s="177"/>
      <c r="BT988" s="267"/>
      <c r="BU988" s="267"/>
      <c r="BV988" s="267"/>
      <c r="BW988" s="267"/>
      <c r="BX988" s="267"/>
      <c r="BY988" s="267"/>
      <c r="BZ988" s="267"/>
      <c r="CA988" s="267"/>
      <c r="CB988" s="267"/>
      <c r="CC988" s="267"/>
      <c r="CD988" s="267"/>
      <c r="CE988" s="267"/>
      <c r="CF988" s="267"/>
      <c r="CG988" s="267"/>
    </row>
    <row r="989" spans="70:85" ht="12.75" customHeight="1" x14ac:dyDescent="0.25">
      <c r="BR989" s="177"/>
      <c r="BS989" s="177"/>
      <c r="BT989" s="267"/>
      <c r="BU989" s="267"/>
      <c r="BV989" s="267"/>
      <c r="BW989" s="267"/>
      <c r="BX989" s="267"/>
      <c r="BY989" s="267"/>
      <c r="BZ989" s="267"/>
      <c r="CA989" s="267"/>
      <c r="CB989" s="267"/>
      <c r="CC989" s="267"/>
      <c r="CD989" s="267"/>
      <c r="CE989" s="267"/>
      <c r="CF989" s="267"/>
      <c r="CG989" s="267"/>
    </row>
    <row r="990" spans="70:85" ht="12.75" customHeight="1" x14ac:dyDescent="0.25">
      <c r="BR990" s="177"/>
      <c r="BS990" s="177"/>
      <c r="BT990" s="267"/>
      <c r="BU990" s="267"/>
      <c r="BV990" s="267"/>
      <c r="BW990" s="267"/>
      <c r="BX990" s="267"/>
      <c r="BY990" s="267"/>
      <c r="BZ990" s="267"/>
      <c r="CA990" s="267"/>
      <c r="CB990" s="267"/>
      <c r="CC990" s="267"/>
      <c r="CD990" s="267"/>
      <c r="CE990" s="267"/>
      <c r="CF990" s="267"/>
      <c r="CG990" s="267"/>
    </row>
    <row r="991" spans="70:85" ht="12.75" customHeight="1" x14ac:dyDescent="0.25">
      <c r="BR991" s="177"/>
      <c r="BS991" s="177"/>
      <c r="BT991" s="267"/>
      <c r="BU991" s="267"/>
      <c r="BV991" s="267"/>
      <c r="BW991" s="267"/>
      <c r="BX991" s="267"/>
      <c r="BY991" s="267"/>
      <c r="BZ991" s="267"/>
      <c r="CA991" s="267"/>
      <c r="CB991" s="267"/>
      <c r="CC991" s="267"/>
      <c r="CD991" s="267"/>
      <c r="CE991" s="267"/>
      <c r="CF991" s="267"/>
      <c r="CG991" s="267"/>
    </row>
    <row r="992" spans="70:85" ht="12.75" customHeight="1" x14ac:dyDescent="0.25">
      <c r="BR992" s="177"/>
      <c r="BS992" s="177"/>
      <c r="BT992" s="267"/>
      <c r="BU992" s="267"/>
      <c r="BV992" s="267"/>
      <c r="BW992" s="267"/>
      <c r="BX992" s="267"/>
      <c r="BY992" s="267"/>
      <c r="BZ992" s="267"/>
      <c r="CA992" s="267"/>
      <c r="CB992" s="267"/>
      <c r="CC992" s="267"/>
      <c r="CD992" s="267"/>
      <c r="CE992" s="267"/>
      <c r="CF992" s="267"/>
      <c r="CG992" s="267"/>
    </row>
    <row r="993" spans="70:85" ht="12.75" customHeight="1" x14ac:dyDescent="0.25">
      <c r="BR993" s="177"/>
      <c r="BS993" s="177"/>
      <c r="BT993" s="267"/>
      <c r="BU993" s="267"/>
      <c r="BV993" s="267"/>
      <c r="BW993" s="267"/>
      <c r="BX993" s="267"/>
      <c r="BY993" s="267"/>
      <c r="BZ993" s="267"/>
      <c r="CA993" s="267"/>
      <c r="CB993" s="267"/>
      <c r="CC993" s="267"/>
      <c r="CD993" s="267"/>
      <c r="CE993" s="267"/>
      <c r="CF993" s="267"/>
      <c r="CG993" s="267"/>
    </row>
    <row r="994" spans="70:85" ht="12.75" customHeight="1" x14ac:dyDescent="0.25">
      <c r="BR994" s="177"/>
      <c r="BS994" s="177"/>
      <c r="BT994" s="267"/>
      <c r="BU994" s="267"/>
      <c r="BV994" s="267"/>
      <c r="BW994" s="267"/>
      <c r="BX994" s="267"/>
      <c r="BY994" s="267"/>
      <c r="BZ994" s="267"/>
      <c r="CA994" s="267"/>
      <c r="CB994" s="267"/>
      <c r="CC994" s="267"/>
      <c r="CD994" s="267"/>
      <c r="CE994" s="267"/>
      <c r="CF994" s="267"/>
      <c r="CG994" s="267"/>
    </row>
    <row r="995" spans="70:85" ht="12.75" customHeight="1" x14ac:dyDescent="0.25">
      <c r="BR995" s="177"/>
      <c r="BS995" s="177"/>
      <c r="BT995" s="267"/>
      <c r="BU995" s="267"/>
      <c r="BV995" s="267"/>
      <c r="BW995" s="267"/>
      <c r="BX995" s="267"/>
      <c r="BY995" s="267"/>
      <c r="BZ995" s="267"/>
      <c r="CA995" s="267"/>
      <c r="CB995" s="267"/>
      <c r="CC995" s="267"/>
      <c r="CD995" s="267"/>
      <c r="CE995" s="267"/>
      <c r="CF995" s="267"/>
      <c r="CG995" s="267"/>
    </row>
    <row r="996" spans="70:85" ht="12.75" customHeight="1" x14ac:dyDescent="0.25">
      <c r="BR996" s="177"/>
      <c r="BS996" s="177"/>
      <c r="BT996" s="267"/>
      <c r="BU996" s="267"/>
      <c r="BV996" s="267"/>
      <c r="BW996" s="267"/>
      <c r="BX996" s="267"/>
      <c r="BY996" s="267"/>
      <c r="BZ996" s="267"/>
      <c r="CA996" s="267"/>
      <c r="CB996" s="267"/>
      <c r="CC996" s="267"/>
      <c r="CD996" s="267"/>
      <c r="CE996" s="267"/>
      <c r="CF996" s="267"/>
      <c r="CG996" s="267"/>
    </row>
    <row r="997" spans="70:85" ht="12.75" customHeight="1" x14ac:dyDescent="0.25">
      <c r="BR997" s="177"/>
      <c r="BS997" s="177"/>
      <c r="BT997" s="267"/>
      <c r="BU997" s="267"/>
      <c r="BV997" s="267"/>
      <c r="BW997" s="267"/>
      <c r="BX997" s="267"/>
      <c r="BY997" s="267"/>
      <c r="BZ997" s="267"/>
      <c r="CA997" s="267"/>
      <c r="CB997" s="267"/>
      <c r="CC997" s="267"/>
      <c r="CD997" s="267"/>
      <c r="CE997" s="267"/>
      <c r="CF997" s="267"/>
      <c r="CG997" s="267"/>
    </row>
    <row r="998" spans="70:85" ht="12.75" customHeight="1" x14ac:dyDescent="0.25">
      <c r="BR998" s="177"/>
      <c r="BS998" s="177"/>
      <c r="BT998" s="267"/>
      <c r="BU998" s="267"/>
      <c r="BV998" s="267"/>
      <c r="BW998" s="267"/>
      <c r="BX998" s="267"/>
      <c r="BY998" s="267"/>
      <c r="BZ998" s="267"/>
      <c r="CA998" s="267"/>
      <c r="CB998" s="267"/>
      <c r="CC998" s="267"/>
      <c r="CD998" s="267"/>
      <c r="CE998" s="267"/>
      <c r="CF998" s="267"/>
      <c r="CG998" s="267"/>
    </row>
    <row r="999" spans="70:85" ht="12.75" customHeight="1" x14ac:dyDescent="0.25">
      <c r="BR999" s="177"/>
      <c r="BS999" s="177"/>
      <c r="BT999" s="267"/>
      <c r="BU999" s="267"/>
      <c r="BV999" s="267"/>
      <c r="BW999" s="267"/>
      <c r="BX999" s="267"/>
      <c r="BY999" s="267"/>
      <c r="BZ999" s="267"/>
      <c r="CA999" s="267"/>
      <c r="CB999" s="267"/>
      <c r="CC999" s="267"/>
      <c r="CD999" s="267"/>
      <c r="CE999" s="267"/>
      <c r="CF999" s="267"/>
      <c r="CG999" s="267"/>
    </row>
    <row r="1000" spans="70:85" ht="12.75" customHeight="1" x14ac:dyDescent="0.25">
      <c r="BR1000" s="177"/>
      <c r="BS1000" s="177"/>
      <c r="BT1000" s="267"/>
      <c r="BU1000" s="267"/>
      <c r="BV1000" s="267"/>
      <c r="BW1000" s="267"/>
      <c r="BX1000" s="267"/>
      <c r="BY1000" s="267"/>
      <c r="BZ1000" s="267"/>
      <c r="CA1000" s="267"/>
      <c r="CB1000" s="267"/>
      <c r="CC1000" s="267"/>
      <c r="CD1000" s="267"/>
      <c r="CE1000" s="267"/>
      <c r="CF1000" s="267"/>
      <c r="CG1000" s="267"/>
    </row>
    <row r="1001" spans="70:85" ht="12.75" customHeight="1" x14ac:dyDescent="0.25">
      <c r="BR1001" s="177"/>
      <c r="BS1001" s="177"/>
      <c r="BT1001" s="267"/>
      <c r="BU1001" s="267"/>
      <c r="BV1001" s="267"/>
      <c r="BW1001" s="267"/>
      <c r="BX1001" s="267"/>
      <c r="BY1001" s="267"/>
      <c r="BZ1001" s="267"/>
      <c r="CA1001" s="267"/>
      <c r="CB1001" s="267"/>
      <c r="CC1001" s="267"/>
      <c r="CD1001" s="267"/>
      <c r="CE1001" s="267"/>
      <c r="CF1001" s="267"/>
      <c r="CG1001" s="267"/>
    </row>
    <row r="1002" spans="70:85" ht="12.75" customHeight="1" x14ac:dyDescent="0.25">
      <c r="BR1002" s="177"/>
      <c r="BS1002" s="177"/>
      <c r="BT1002" s="267"/>
      <c r="BU1002" s="267"/>
      <c r="BV1002" s="267"/>
      <c r="BW1002" s="267"/>
      <c r="BX1002" s="267"/>
      <c r="BY1002" s="267"/>
      <c r="BZ1002" s="267"/>
      <c r="CA1002" s="267"/>
      <c r="CB1002" s="267"/>
      <c r="CC1002" s="267"/>
      <c r="CD1002" s="267"/>
      <c r="CE1002" s="267"/>
      <c r="CF1002" s="267"/>
      <c r="CG1002" s="267"/>
    </row>
    <row r="1003" spans="70:85" ht="12.75" customHeight="1" x14ac:dyDescent="0.25">
      <c r="BR1003" s="177"/>
      <c r="BS1003" s="177"/>
      <c r="BT1003" s="267"/>
      <c r="BU1003" s="267"/>
      <c r="BV1003" s="267"/>
      <c r="BW1003" s="267"/>
      <c r="BX1003" s="267"/>
      <c r="BY1003" s="267"/>
      <c r="BZ1003" s="267"/>
      <c r="CA1003" s="267"/>
      <c r="CB1003" s="267"/>
      <c r="CC1003" s="267"/>
      <c r="CD1003" s="267"/>
      <c r="CE1003" s="267"/>
      <c r="CF1003" s="267"/>
      <c r="CG1003" s="267"/>
    </row>
    <row r="1004" spans="70:85" ht="12.75" customHeight="1" x14ac:dyDescent="0.25">
      <c r="BR1004" s="177"/>
      <c r="BS1004" s="177"/>
      <c r="BT1004" s="267"/>
      <c r="BU1004" s="267"/>
      <c r="BV1004" s="267"/>
      <c r="BW1004" s="267"/>
      <c r="BX1004" s="267"/>
      <c r="BY1004" s="267"/>
      <c r="BZ1004" s="267"/>
      <c r="CA1004" s="267"/>
      <c r="CB1004" s="267"/>
      <c r="CC1004" s="267"/>
      <c r="CD1004" s="267"/>
      <c r="CE1004" s="267"/>
      <c r="CF1004" s="267"/>
      <c r="CG1004" s="267"/>
    </row>
    <row r="1005" spans="70:85" ht="12.75" customHeight="1" x14ac:dyDescent="0.25">
      <c r="BR1005" s="177"/>
      <c r="BS1005" s="177"/>
      <c r="BT1005" s="267"/>
      <c r="BU1005" s="267"/>
      <c r="BV1005" s="267"/>
      <c r="BW1005" s="267"/>
      <c r="BX1005" s="267"/>
      <c r="BY1005" s="267"/>
      <c r="BZ1005" s="267"/>
      <c r="CA1005" s="267"/>
      <c r="CB1005" s="267"/>
      <c r="CC1005" s="267"/>
      <c r="CD1005" s="267"/>
      <c r="CE1005" s="267"/>
      <c r="CF1005" s="267"/>
      <c r="CG1005" s="267"/>
    </row>
    <row r="1006" spans="70:85" ht="12.75" customHeight="1" x14ac:dyDescent="0.25">
      <c r="BR1006" s="177"/>
      <c r="BS1006" s="177"/>
      <c r="BT1006" s="267"/>
      <c r="BU1006" s="267"/>
      <c r="BV1006" s="267"/>
      <c r="BW1006" s="267"/>
      <c r="BX1006" s="267"/>
      <c r="BY1006" s="267"/>
      <c r="BZ1006" s="267"/>
      <c r="CA1006" s="267"/>
      <c r="CB1006" s="267"/>
      <c r="CC1006" s="267"/>
      <c r="CD1006" s="267"/>
      <c r="CE1006" s="267"/>
      <c r="CF1006" s="267"/>
      <c r="CG1006" s="267"/>
    </row>
    <row r="1007" spans="70:85" ht="12.75" customHeight="1" x14ac:dyDescent="0.25">
      <c r="BR1007" s="177"/>
      <c r="BS1007" s="177"/>
      <c r="BT1007" s="267"/>
      <c r="BU1007" s="267"/>
      <c r="BV1007" s="267"/>
      <c r="BW1007" s="267"/>
      <c r="BX1007" s="267"/>
      <c r="BY1007" s="267"/>
      <c r="BZ1007" s="267"/>
      <c r="CA1007" s="267"/>
      <c r="CB1007" s="267"/>
      <c r="CC1007" s="267"/>
      <c r="CD1007" s="267"/>
      <c r="CE1007" s="267"/>
      <c r="CF1007" s="267"/>
      <c r="CG1007" s="267"/>
    </row>
    <row r="1008" spans="70:85" ht="12.75" customHeight="1" x14ac:dyDescent="0.25">
      <c r="BR1008" s="177"/>
      <c r="BS1008" s="177"/>
      <c r="BT1008" s="267"/>
      <c r="BU1008" s="267"/>
      <c r="BV1008" s="267"/>
      <c r="BW1008" s="267"/>
      <c r="BX1008" s="267"/>
      <c r="BY1008" s="267"/>
      <c r="BZ1008" s="267"/>
      <c r="CA1008" s="267"/>
      <c r="CB1008" s="267"/>
      <c r="CC1008" s="267"/>
      <c r="CD1008" s="267"/>
      <c r="CE1008" s="267"/>
      <c r="CF1008" s="267"/>
      <c r="CG1008" s="267"/>
    </row>
    <row r="1009" spans="70:85" ht="12.75" customHeight="1" x14ac:dyDescent="0.25">
      <c r="BR1009" s="177"/>
      <c r="BS1009" s="177"/>
      <c r="BT1009" s="267"/>
      <c r="BU1009" s="267"/>
      <c r="BV1009" s="267"/>
      <c r="BW1009" s="267"/>
      <c r="BX1009" s="267"/>
      <c r="BY1009" s="267"/>
      <c r="BZ1009" s="267"/>
      <c r="CA1009" s="267"/>
      <c r="CB1009" s="267"/>
      <c r="CC1009" s="267"/>
      <c r="CD1009" s="267"/>
      <c r="CE1009" s="267"/>
      <c r="CF1009" s="267"/>
      <c r="CG1009" s="267"/>
    </row>
    <row r="1010" spans="70:85" ht="12.75" customHeight="1" x14ac:dyDescent="0.25">
      <c r="BR1010" s="177"/>
      <c r="BS1010" s="177"/>
      <c r="BT1010" s="267"/>
      <c r="BU1010" s="267"/>
      <c r="BV1010" s="267"/>
      <c r="BW1010" s="267"/>
      <c r="BX1010" s="267"/>
      <c r="BY1010" s="267"/>
      <c r="BZ1010" s="267"/>
      <c r="CA1010" s="267"/>
      <c r="CB1010" s="267"/>
      <c r="CC1010" s="267"/>
      <c r="CD1010" s="267"/>
      <c r="CE1010" s="267"/>
      <c r="CF1010" s="267"/>
      <c r="CG1010" s="267"/>
    </row>
    <row r="1011" spans="70:85" ht="12.75" customHeight="1" x14ac:dyDescent="0.25">
      <c r="BR1011" s="177"/>
      <c r="BS1011" s="177"/>
      <c r="BT1011" s="267"/>
      <c r="BU1011" s="267"/>
      <c r="BV1011" s="267"/>
      <c r="BW1011" s="267"/>
      <c r="BX1011" s="267"/>
      <c r="BY1011" s="267"/>
      <c r="BZ1011" s="267"/>
      <c r="CA1011" s="267"/>
      <c r="CB1011" s="267"/>
      <c r="CC1011" s="267"/>
      <c r="CD1011" s="267"/>
      <c r="CE1011" s="267"/>
      <c r="CF1011" s="267"/>
      <c r="CG1011" s="267"/>
    </row>
    <row r="1012" spans="70:85" ht="12.75" customHeight="1" x14ac:dyDescent="0.25">
      <c r="BR1012" s="177"/>
      <c r="BS1012" s="177"/>
      <c r="BT1012" s="267"/>
      <c r="BU1012" s="267"/>
      <c r="BV1012" s="267"/>
      <c r="BW1012" s="267"/>
      <c r="BX1012" s="267"/>
      <c r="BY1012" s="267"/>
      <c r="BZ1012" s="267"/>
      <c r="CA1012" s="267"/>
      <c r="CB1012" s="267"/>
      <c r="CC1012" s="267"/>
      <c r="CD1012" s="267"/>
      <c r="CE1012" s="267"/>
      <c r="CF1012" s="267"/>
      <c r="CG1012" s="267"/>
    </row>
    <row r="1013" spans="70:85" ht="12.75" customHeight="1" x14ac:dyDescent="0.25">
      <c r="BR1013" s="177"/>
      <c r="BS1013" s="177"/>
      <c r="BT1013" s="267"/>
      <c r="BU1013" s="267"/>
      <c r="BV1013" s="267"/>
      <c r="BW1013" s="267"/>
      <c r="BX1013" s="267"/>
      <c r="BY1013" s="267"/>
      <c r="BZ1013" s="267"/>
      <c r="CA1013" s="267"/>
      <c r="CB1013" s="267"/>
      <c r="CC1013" s="267"/>
      <c r="CD1013" s="267"/>
      <c r="CE1013" s="267"/>
      <c r="CF1013" s="267"/>
      <c r="CG1013" s="267"/>
    </row>
    <row r="1014" spans="70:85" ht="12.75" customHeight="1" x14ac:dyDescent="0.25">
      <c r="BR1014" s="177"/>
      <c r="BS1014" s="177"/>
      <c r="BT1014" s="267"/>
      <c r="BU1014" s="267"/>
      <c r="BV1014" s="267"/>
      <c r="BW1014" s="267"/>
      <c r="BX1014" s="267"/>
      <c r="BY1014" s="267"/>
      <c r="BZ1014" s="267"/>
      <c r="CA1014" s="267"/>
      <c r="CB1014" s="267"/>
      <c r="CC1014" s="267"/>
      <c r="CD1014" s="267"/>
      <c r="CE1014" s="267"/>
      <c r="CF1014" s="267"/>
      <c r="CG1014" s="267"/>
    </row>
    <row r="1015" spans="70:85" ht="12.75" customHeight="1" x14ac:dyDescent="0.25">
      <c r="BR1015" s="177"/>
      <c r="BS1015" s="177"/>
      <c r="BT1015" s="267"/>
      <c r="BU1015" s="267"/>
      <c r="BV1015" s="267"/>
      <c r="BW1015" s="267"/>
      <c r="BX1015" s="267"/>
      <c r="BY1015" s="267"/>
      <c r="BZ1015" s="267"/>
      <c r="CA1015" s="267"/>
      <c r="CB1015" s="267"/>
      <c r="CC1015" s="267"/>
      <c r="CD1015" s="267"/>
      <c r="CE1015" s="267"/>
      <c r="CF1015" s="267"/>
      <c r="CG1015" s="267"/>
    </row>
    <row r="1016" spans="70:85" ht="12.75" customHeight="1" x14ac:dyDescent="0.25">
      <c r="BR1016" s="177"/>
      <c r="BS1016" s="177"/>
      <c r="BT1016" s="267"/>
      <c r="BU1016" s="267"/>
      <c r="BV1016" s="267"/>
      <c r="BW1016" s="267"/>
      <c r="BX1016" s="267"/>
      <c r="BY1016" s="267"/>
      <c r="BZ1016" s="267"/>
      <c r="CA1016" s="267"/>
      <c r="CB1016" s="267"/>
      <c r="CC1016" s="267"/>
      <c r="CD1016" s="267"/>
      <c r="CE1016" s="267"/>
      <c r="CF1016" s="267"/>
      <c r="CG1016" s="267"/>
    </row>
    <row r="1017" spans="70:85" ht="12.75" customHeight="1" x14ac:dyDescent="0.25">
      <c r="BR1017" s="177"/>
      <c r="BS1017" s="177"/>
      <c r="BT1017" s="267"/>
      <c r="BU1017" s="267"/>
      <c r="BV1017" s="267"/>
      <c r="BW1017" s="267"/>
      <c r="BX1017" s="267"/>
      <c r="BY1017" s="267"/>
      <c r="BZ1017" s="267"/>
      <c r="CA1017" s="267"/>
      <c r="CB1017" s="267"/>
      <c r="CC1017" s="267"/>
      <c r="CD1017" s="267"/>
      <c r="CE1017" s="267"/>
      <c r="CF1017" s="267"/>
      <c r="CG1017" s="267"/>
    </row>
    <row r="1018" spans="70:85" ht="12.75" customHeight="1" x14ac:dyDescent="0.25">
      <c r="BR1018" s="177"/>
      <c r="BS1018" s="177"/>
      <c r="BT1018" s="267"/>
      <c r="BU1018" s="267"/>
      <c r="BV1018" s="267"/>
      <c r="BW1018" s="267"/>
      <c r="BX1018" s="267"/>
      <c r="BY1018" s="267"/>
      <c r="BZ1018" s="267"/>
      <c r="CA1018" s="267"/>
      <c r="CB1018" s="267"/>
      <c r="CC1018" s="267"/>
      <c r="CD1018" s="267"/>
      <c r="CE1018" s="267"/>
      <c r="CF1018" s="267"/>
      <c r="CG1018" s="267"/>
    </row>
    <row r="1019" spans="70:85" ht="12.75" customHeight="1" x14ac:dyDescent="0.25">
      <c r="BR1019" s="177"/>
      <c r="BS1019" s="177"/>
      <c r="BT1019" s="267"/>
      <c r="BU1019" s="267"/>
      <c r="BV1019" s="267"/>
      <c r="BW1019" s="267"/>
      <c r="BX1019" s="267"/>
      <c r="BY1019" s="267"/>
      <c r="BZ1019" s="267"/>
      <c r="CA1019" s="267"/>
      <c r="CB1019" s="267"/>
      <c r="CC1019" s="267"/>
      <c r="CD1019" s="267"/>
      <c r="CE1019" s="267"/>
      <c r="CF1019" s="267"/>
      <c r="CG1019" s="267"/>
    </row>
    <row r="1020" spans="70:85" ht="12.75" customHeight="1" x14ac:dyDescent="0.25">
      <c r="BR1020" s="177"/>
      <c r="BS1020" s="177"/>
      <c r="BT1020" s="267"/>
      <c r="BU1020" s="267"/>
      <c r="BV1020" s="267"/>
      <c r="BW1020" s="267"/>
      <c r="BX1020" s="267"/>
      <c r="BY1020" s="267"/>
      <c r="BZ1020" s="267"/>
      <c r="CA1020" s="267"/>
      <c r="CB1020" s="267"/>
      <c r="CC1020" s="267"/>
      <c r="CD1020" s="267"/>
      <c r="CE1020" s="267"/>
      <c r="CF1020" s="267"/>
      <c r="CG1020" s="267"/>
    </row>
    <row r="1021" spans="70:85" ht="12.75" customHeight="1" x14ac:dyDescent="0.25">
      <c r="BR1021" s="177"/>
      <c r="BS1021" s="177"/>
      <c r="BT1021" s="267"/>
      <c r="BU1021" s="267"/>
      <c r="BV1021" s="267"/>
      <c r="BW1021" s="267"/>
      <c r="BX1021" s="267"/>
      <c r="BY1021" s="267"/>
      <c r="BZ1021" s="267"/>
      <c r="CA1021" s="267"/>
      <c r="CB1021" s="267"/>
      <c r="CC1021" s="267"/>
      <c r="CD1021" s="267"/>
      <c r="CE1021" s="267"/>
      <c r="CF1021" s="267"/>
      <c r="CG1021" s="267"/>
    </row>
    <row r="1022" spans="70:85" ht="12.75" customHeight="1" x14ac:dyDescent="0.25">
      <c r="BR1022" s="177"/>
      <c r="BS1022" s="177"/>
      <c r="BT1022" s="267"/>
      <c r="BU1022" s="267"/>
      <c r="BV1022" s="267"/>
      <c r="BW1022" s="267"/>
      <c r="BX1022" s="267"/>
      <c r="BY1022" s="267"/>
      <c r="BZ1022" s="267"/>
      <c r="CA1022" s="267"/>
      <c r="CB1022" s="267"/>
      <c r="CC1022" s="267"/>
      <c r="CD1022" s="267"/>
      <c r="CE1022" s="267"/>
      <c r="CF1022" s="267"/>
      <c r="CG1022" s="267"/>
    </row>
    <row r="1023" spans="70:85" ht="12.75" customHeight="1" x14ac:dyDescent="0.25">
      <c r="BR1023" s="177"/>
      <c r="BS1023" s="177"/>
      <c r="BT1023" s="267"/>
      <c r="BU1023" s="267"/>
      <c r="BV1023" s="267"/>
      <c r="BW1023" s="267"/>
      <c r="BX1023" s="267"/>
      <c r="BY1023" s="267"/>
      <c r="BZ1023" s="267"/>
      <c r="CA1023" s="267"/>
      <c r="CB1023" s="267"/>
      <c r="CC1023" s="267"/>
      <c r="CD1023" s="267"/>
      <c r="CE1023" s="267"/>
      <c r="CF1023" s="267"/>
      <c r="CG1023" s="267"/>
    </row>
    <row r="1024" spans="70:85" ht="12.75" customHeight="1" x14ac:dyDescent="0.25">
      <c r="BR1024" s="177"/>
      <c r="BS1024" s="177"/>
      <c r="BT1024" s="267"/>
      <c r="BU1024" s="267"/>
      <c r="BV1024" s="267"/>
      <c r="BW1024" s="267"/>
      <c r="BX1024" s="267"/>
      <c r="BY1024" s="267"/>
      <c r="BZ1024" s="267"/>
      <c r="CA1024" s="267"/>
      <c r="CB1024" s="267"/>
      <c r="CC1024" s="267"/>
      <c r="CD1024" s="267"/>
      <c r="CE1024" s="267"/>
      <c r="CF1024" s="267"/>
      <c r="CG1024" s="267"/>
    </row>
    <row r="1025" spans="70:85" ht="12.75" customHeight="1" x14ac:dyDescent="0.25">
      <c r="BR1025" s="177"/>
      <c r="BS1025" s="177"/>
      <c r="BT1025" s="267"/>
      <c r="BU1025" s="267"/>
      <c r="BV1025" s="267"/>
      <c r="BW1025" s="267"/>
      <c r="BX1025" s="267"/>
      <c r="BY1025" s="267"/>
      <c r="BZ1025" s="267"/>
      <c r="CA1025" s="267"/>
      <c r="CB1025" s="267"/>
      <c r="CC1025" s="267"/>
      <c r="CD1025" s="267"/>
      <c r="CE1025" s="267"/>
      <c r="CF1025" s="267"/>
      <c r="CG1025" s="267"/>
    </row>
    <row r="1026" spans="70:85" ht="12.75" customHeight="1" x14ac:dyDescent="0.25">
      <c r="BR1026" s="177"/>
      <c r="BS1026" s="177"/>
      <c r="BT1026" s="267"/>
      <c r="BU1026" s="267"/>
      <c r="BV1026" s="267"/>
      <c r="BW1026" s="267"/>
      <c r="BX1026" s="267"/>
      <c r="BY1026" s="267"/>
      <c r="BZ1026" s="267"/>
      <c r="CA1026" s="267"/>
      <c r="CB1026" s="267"/>
      <c r="CC1026" s="267"/>
      <c r="CD1026" s="267"/>
      <c r="CE1026" s="267"/>
      <c r="CF1026" s="267"/>
      <c r="CG1026" s="267"/>
    </row>
    <row r="1027" spans="70:85" ht="12.75" customHeight="1" x14ac:dyDescent="0.25">
      <c r="BR1027" s="177"/>
      <c r="BS1027" s="177"/>
      <c r="BT1027" s="267"/>
      <c r="BU1027" s="267"/>
      <c r="BV1027" s="267"/>
      <c r="BW1027" s="267"/>
      <c r="BX1027" s="267"/>
      <c r="BY1027" s="267"/>
      <c r="BZ1027" s="267"/>
      <c r="CA1027" s="267"/>
      <c r="CB1027" s="267"/>
      <c r="CC1027" s="267"/>
      <c r="CD1027" s="267"/>
      <c r="CE1027" s="267"/>
      <c r="CF1027" s="267"/>
      <c r="CG1027" s="267"/>
    </row>
    <row r="1028" spans="70:85" ht="12.75" customHeight="1" x14ac:dyDescent="0.25">
      <c r="BR1028" s="177"/>
      <c r="BS1028" s="177"/>
      <c r="BT1028" s="267"/>
      <c r="BU1028" s="267"/>
      <c r="BV1028" s="267"/>
      <c r="BW1028" s="267"/>
      <c r="BX1028" s="267"/>
      <c r="BY1028" s="267"/>
      <c r="BZ1028" s="267"/>
      <c r="CA1028" s="267"/>
      <c r="CB1028" s="267"/>
      <c r="CC1028" s="267"/>
      <c r="CD1028" s="267"/>
      <c r="CE1028" s="267"/>
      <c r="CF1028" s="267"/>
      <c r="CG1028" s="267"/>
    </row>
    <row r="1029" spans="70:85" ht="12.75" customHeight="1" x14ac:dyDescent="0.25">
      <c r="BR1029" s="177"/>
      <c r="BS1029" s="177"/>
      <c r="BT1029" s="267"/>
      <c r="BU1029" s="267"/>
      <c r="BV1029" s="267"/>
      <c r="BW1029" s="267"/>
      <c r="BX1029" s="267"/>
      <c r="BY1029" s="267"/>
      <c r="BZ1029" s="267"/>
      <c r="CA1029" s="267"/>
      <c r="CB1029" s="267"/>
      <c r="CC1029" s="267"/>
      <c r="CD1029" s="267"/>
      <c r="CE1029" s="267"/>
      <c r="CF1029" s="267"/>
      <c r="CG1029" s="267"/>
    </row>
    <row r="1030" spans="70:85" ht="12.75" customHeight="1" x14ac:dyDescent="0.25">
      <c r="BR1030" s="177"/>
      <c r="BS1030" s="177"/>
      <c r="BT1030" s="267"/>
      <c r="BU1030" s="267"/>
      <c r="BV1030" s="267"/>
      <c r="BW1030" s="267"/>
      <c r="BX1030" s="267"/>
      <c r="BY1030" s="267"/>
      <c r="BZ1030" s="267"/>
      <c r="CA1030" s="267"/>
      <c r="CB1030" s="267"/>
      <c r="CC1030" s="267"/>
      <c r="CD1030" s="267"/>
      <c r="CE1030" s="267"/>
      <c r="CF1030" s="267"/>
      <c r="CG1030" s="267"/>
    </row>
    <row r="1031" spans="70:85" ht="12.75" customHeight="1" x14ac:dyDescent="0.25">
      <c r="BR1031" s="177"/>
      <c r="BS1031" s="177"/>
      <c r="BT1031" s="267"/>
      <c r="BU1031" s="267"/>
      <c r="BV1031" s="267"/>
      <c r="BW1031" s="267"/>
      <c r="BX1031" s="267"/>
      <c r="BY1031" s="267"/>
      <c r="BZ1031" s="267"/>
      <c r="CA1031" s="267"/>
      <c r="CB1031" s="267"/>
      <c r="CC1031" s="267"/>
      <c r="CD1031" s="267"/>
      <c r="CE1031" s="267"/>
      <c r="CF1031" s="267"/>
      <c r="CG1031" s="267"/>
    </row>
    <row r="1032" spans="70:85" ht="12.75" customHeight="1" x14ac:dyDescent="0.25">
      <c r="BR1032" s="177"/>
      <c r="BS1032" s="177"/>
      <c r="BT1032" s="267"/>
      <c r="BU1032" s="267"/>
      <c r="BV1032" s="267"/>
      <c r="BW1032" s="267"/>
      <c r="BX1032" s="267"/>
      <c r="BY1032" s="267"/>
      <c r="BZ1032" s="267"/>
      <c r="CA1032" s="267"/>
      <c r="CB1032" s="267"/>
      <c r="CC1032" s="267"/>
      <c r="CD1032" s="267"/>
      <c r="CE1032" s="267"/>
      <c r="CF1032" s="267"/>
      <c r="CG1032" s="267"/>
    </row>
    <row r="1033" spans="70:85" ht="12.75" customHeight="1" x14ac:dyDescent="0.25">
      <c r="BR1033" s="177"/>
      <c r="BS1033" s="177"/>
      <c r="BT1033" s="267"/>
      <c r="BU1033" s="267"/>
      <c r="BV1033" s="267"/>
      <c r="BW1033" s="267"/>
      <c r="BX1033" s="267"/>
      <c r="BY1033" s="267"/>
      <c r="BZ1033" s="267"/>
      <c r="CA1033" s="267"/>
      <c r="CB1033" s="267"/>
      <c r="CC1033" s="267"/>
      <c r="CD1033" s="267"/>
      <c r="CE1033" s="267"/>
      <c r="CF1033" s="267"/>
      <c r="CG1033" s="267"/>
    </row>
    <row r="1034" spans="70:85" ht="12.75" customHeight="1" x14ac:dyDescent="0.25">
      <c r="BR1034" s="177"/>
      <c r="BS1034" s="177"/>
      <c r="BT1034" s="267"/>
      <c r="BU1034" s="267"/>
      <c r="BV1034" s="267"/>
      <c r="BW1034" s="267"/>
      <c r="BX1034" s="267"/>
      <c r="BY1034" s="267"/>
      <c r="BZ1034" s="267"/>
      <c r="CA1034" s="267"/>
      <c r="CB1034" s="267"/>
      <c r="CC1034" s="267"/>
      <c r="CD1034" s="267"/>
      <c r="CE1034" s="267"/>
      <c r="CF1034" s="267"/>
      <c r="CG1034" s="267"/>
    </row>
    <row r="1035" spans="70:85" ht="12.75" customHeight="1" x14ac:dyDescent="0.25">
      <c r="BR1035" s="177"/>
      <c r="BS1035" s="177"/>
      <c r="BT1035" s="267"/>
      <c r="BU1035" s="267"/>
      <c r="BV1035" s="267"/>
      <c r="BW1035" s="267"/>
      <c r="BX1035" s="267"/>
      <c r="BY1035" s="267"/>
      <c r="BZ1035" s="267"/>
      <c r="CA1035" s="267"/>
      <c r="CB1035" s="267"/>
      <c r="CC1035" s="267"/>
      <c r="CD1035" s="267"/>
      <c r="CE1035" s="267"/>
      <c r="CF1035" s="267"/>
      <c r="CG1035" s="267"/>
    </row>
    <row r="1036" spans="70:85" ht="12.75" customHeight="1" x14ac:dyDescent="0.25">
      <c r="BR1036" s="177"/>
      <c r="BS1036" s="177"/>
      <c r="BT1036" s="267"/>
      <c r="BU1036" s="267"/>
      <c r="BV1036" s="267"/>
      <c r="BW1036" s="267"/>
      <c r="BX1036" s="267"/>
      <c r="BY1036" s="267"/>
      <c r="BZ1036" s="267"/>
      <c r="CA1036" s="267"/>
      <c r="CB1036" s="267"/>
      <c r="CC1036" s="267"/>
      <c r="CD1036" s="267"/>
      <c r="CE1036" s="267"/>
      <c r="CF1036" s="267"/>
      <c r="CG1036" s="267"/>
    </row>
    <row r="1037" spans="70:85" ht="12.75" customHeight="1" x14ac:dyDescent="0.25">
      <c r="BR1037" s="177"/>
      <c r="BS1037" s="177"/>
      <c r="BT1037" s="267"/>
      <c r="BU1037" s="267"/>
      <c r="BV1037" s="267"/>
      <c r="BW1037" s="267"/>
      <c r="BX1037" s="267"/>
      <c r="BY1037" s="267"/>
      <c r="BZ1037" s="267"/>
      <c r="CA1037" s="267"/>
      <c r="CB1037" s="267"/>
      <c r="CC1037" s="267"/>
      <c r="CD1037" s="267"/>
      <c r="CE1037" s="267"/>
      <c r="CF1037" s="267"/>
      <c r="CG1037" s="267"/>
    </row>
    <row r="1038" spans="70:85" ht="12.75" customHeight="1" x14ac:dyDescent="0.25">
      <c r="BR1038" s="177"/>
      <c r="BS1038" s="177"/>
      <c r="BT1038" s="267"/>
      <c r="BU1038" s="267"/>
      <c r="BV1038" s="267"/>
      <c r="BW1038" s="267"/>
      <c r="BX1038" s="267"/>
      <c r="BY1038" s="267"/>
      <c r="BZ1038" s="267"/>
      <c r="CA1038" s="267"/>
      <c r="CB1038" s="267"/>
      <c r="CC1038" s="267"/>
      <c r="CD1038" s="267"/>
      <c r="CE1038" s="267"/>
      <c r="CF1038" s="267"/>
      <c r="CG1038" s="267"/>
    </row>
    <row r="1039" spans="70:85" ht="12.75" customHeight="1" x14ac:dyDescent="0.25">
      <c r="BR1039" s="177"/>
      <c r="BS1039" s="177"/>
      <c r="BT1039" s="267"/>
      <c r="BU1039" s="267"/>
      <c r="BV1039" s="267"/>
      <c r="BW1039" s="267"/>
      <c r="BX1039" s="267"/>
      <c r="BY1039" s="267"/>
      <c r="BZ1039" s="267"/>
      <c r="CA1039" s="267"/>
      <c r="CB1039" s="267"/>
      <c r="CC1039" s="267"/>
      <c r="CD1039" s="267"/>
      <c r="CE1039" s="267"/>
      <c r="CF1039" s="267"/>
      <c r="CG1039" s="267"/>
    </row>
    <row r="1040" spans="70:85" ht="12.75" customHeight="1" x14ac:dyDescent="0.25">
      <c r="BR1040" s="177"/>
      <c r="BS1040" s="177"/>
      <c r="BT1040" s="267"/>
      <c r="BU1040" s="267"/>
      <c r="BV1040" s="267"/>
      <c r="BW1040" s="267"/>
      <c r="BX1040" s="267"/>
      <c r="BY1040" s="267"/>
      <c r="BZ1040" s="267"/>
      <c r="CA1040" s="267"/>
      <c r="CB1040" s="267"/>
      <c r="CC1040" s="267"/>
      <c r="CD1040" s="267"/>
      <c r="CE1040" s="267"/>
      <c r="CF1040" s="267"/>
      <c r="CG1040" s="267"/>
    </row>
    <row r="1041" spans="70:85" ht="12.75" customHeight="1" x14ac:dyDescent="0.25">
      <c r="BR1041" s="177"/>
      <c r="BS1041" s="177"/>
      <c r="BT1041" s="267"/>
      <c r="BU1041" s="267"/>
      <c r="BV1041" s="267"/>
      <c r="BW1041" s="267"/>
      <c r="BX1041" s="267"/>
      <c r="BY1041" s="267"/>
      <c r="BZ1041" s="267"/>
      <c r="CA1041" s="267"/>
      <c r="CB1041" s="267"/>
      <c r="CC1041" s="267"/>
      <c r="CD1041" s="267"/>
      <c r="CE1041" s="267"/>
      <c r="CF1041" s="267"/>
      <c r="CG1041" s="267"/>
    </row>
    <row r="1042" spans="70:85" ht="12.75" customHeight="1" x14ac:dyDescent="0.25">
      <c r="BR1042" s="177"/>
      <c r="BS1042" s="177"/>
      <c r="BT1042" s="267"/>
      <c r="BU1042" s="267"/>
      <c r="BV1042" s="267"/>
      <c r="BW1042" s="267"/>
      <c r="BX1042" s="267"/>
      <c r="BY1042" s="267"/>
      <c r="BZ1042" s="267"/>
      <c r="CA1042" s="267"/>
      <c r="CB1042" s="267"/>
      <c r="CC1042" s="267"/>
      <c r="CD1042" s="267"/>
      <c r="CE1042" s="267"/>
      <c r="CF1042" s="267"/>
      <c r="CG1042" s="267"/>
    </row>
    <row r="1043" spans="70:85" ht="12.75" customHeight="1" x14ac:dyDescent="0.25">
      <c r="BR1043" s="177"/>
      <c r="BS1043" s="177"/>
      <c r="BT1043" s="267"/>
      <c r="BU1043" s="267"/>
      <c r="BV1043" s="267"/>
      <c r="BW1043" s="267"/>
      <c r="BX1043" s="267"/>
      <c r="BY1043" s="267"/>
      <c r="BZ1043" s="267"/>
      <c r="CA1043" s="267"/>
      <c r="CB1043" s="267"/>
      <c r="CC1043" s="267"/>
      <c r="CD1043" s="267"/>
      <c r="CE1043" s="267"/>
      <c r="CF1043" s="267"/>
      <c r="CG1043" s="267"/>
    </row>
    <row r="1044" spans="70:85" ht="12.75" customHeight="1" x14ac:dyDescent="0.25">
      <c r="BR1044" s="177"/>
      <c r="BS1044" s="177"/>
      <c r="BT1044" s="267"/>
      <c r="BU1044" s="267"/>
      <c r="BV1044" s="267"/>
      <c r="BW1044" s="267"/>
      <c r="BX1044" s="267"/>
      <c r="BY1044" s="267"/>
      <c r="BZ1044" s="267"/>
      <c r="CA1044" s="267"/>
      <c r="CB1044" s="267"/>
      <c r="CC1044" s="267"/>
      <c r="CD1044" s="267"/>
      <c r="CE1044" s="267"/>
      <c r="CF1044" s="267"/>
      <c r="CG1044" s="267"/>
    </row>
    <row r="1045" spans="70:85" ht="12.75" customHeight="1" x14ac:dyDescent="0.25">
      <c r="BR1045" s="177"/>
      <c r="BS1045" s="177"/>
      <c r="BT1045" s="267"/>
      <c r="BU1045" s="267"/>
      <c r="BV1045" s="267"/>
      <c r="BW1045" s="267"/>
      <c r="BX1045" s="267"/>
      <c r="BY1045" s="267"/>
      <c r="BZ1045" s="267"/>
      <c r="CA1045" s="267"/>
      <c r="CB1045" s="267"/>
      <c r="CC1045" s="267"/>
      <c r="CD1045" s="267"/>
      <c r="CE1045" s="267"/>
      <c r="CF1045" s="267"/>
      <c r="CG1045" s="267"/>
    </row>
    <row r="1046" spans="70:85" ht="12.75" customHeight="1" x14ac:dyDescent="0.25">
      <c r="BR1046" s="177"/>
      <c r="BS1046" s="177"/>
      <c r="BT1046" s="267"/>
      <c r="BU1046" s="267"/>
      <c r="BV1046" s="267"/>
      <c r="BW1046" s="267"/>
      <c r="BX1046" s="267"/>
      <c r="BY1046" s="267"/>
      <c r="BZ1046" s="267"/>
      <c r="CA1046" s="267"/>
      <c r="CB1046" s="267"/>
      <c r="CC1046" s="267"/>
      <c r="CD1046" s="267"/>
      <c r="CE1046" s="267"/>
      <c r="CF1046" s="267"/>
      <c r="CG1046" s="267"/>
    </row>
    <row r="1047" spans="70:85" ht="12.75" customHeight="1" x14ac:dyDescent="0.25">
      <c r="BR1047" s="177"/>
      <c r="BS1047" s="177"/>
      <c r="BT1047" s="267"/>
      <c r="BU1047" s="267"/>
      <c r="BV1047" s="267"/>
      <c r="BW1047" s="267"/>
      <c r="BX1047" s="267"/>
      <c r="BY1047" s="267"/>
      <c r="BZ1047" s="267"/>
      <c r="CA1047" s="267"/>
      <c r="CB1047" s="267"/>
      <c r="CC1047" s="267"/>
      <c r="CD1047" s="267"/>
      <c r="CE1047" s="267"/>
      <c r="CF1047" s="267"/>
      <c r="CG1047" s="267"/>
    </row>
    <row r="1048" spans="70:85" ht="12.75" customHeight="1" x14ac:dyDescent="0.25">
      <c r="BR1048" s="177"/>
      <c r="BS1048" s="177"/>
      <c r="BT1048" s="267"/>
      <c r="BU1048" s="267"/>
      <c r="BV1048" s="267"/>
      <c r="BW1048" s="267"/>
      <c r="BX1048" s="267"/>
      <c r="BY1048" s="267"/>
      <c r="BZ1048" s="267"/>
      <c r="CA1048" s="267"/>
      <c r="CB1048" s="267"/>
      <c r="CC1048" s="267"/>
      <c r="CD1048" s="267"/>
      <c r="CE1048" s="267"/>
      <c r="CF1048" s="267"/>
      <c r="CG1048" s="267"/>
    </row>
    <row r="1049" spans="70:85" ht="12.75" customHeight="1" x14ac:dyDescent="0.25">
      <c r="BR1049" s="177"/>
      <c r="BS1049" s="177"/>
      <c r="BT1049" s="267"/>
      <c r="BU1049" s="267"/>
      <c r="BV1049" s="267"/>
      <c r="BW1049" s="267"/>
      <c r="BX1049" s="267"/>
      <c r="BY1049" s="267"/>
      <c r="BZ1049" s="267"/>
      <c r="CA1049" s="267"/>
      <c r="CB1049" s="267"/>
      <c r="CC1049" s="267"/>
      <c r="CD1049" s="267"/>
      <c r="CE1049" s="267"/>
      <c r="CF1049" s="267"/>
      <c r="CG1049" s="267"/>
    </row>
    <row r="1050" spans="70:85" ht="12.75" customHeight="1" x14ac:dyDescent="0.25">
      <c r="BR1050" s="177"/>
      <c r="BS1050" s="177"/>
      <c r="BT1050" s="267"/>
      <c r="BU1050" s="267"/>
      <c r="BV1050" s="267"/>
      <c r="BW1050" s="267"/>
      <c r="BX1050" s="267"/>
      <c r="BY1050" s="267"/>
      <c r="BZ1050" s="267"/>
      <c r="CA1050" s="267"/>
      <c r="CB1050" s="267"/>
      <c r="CC1050" s="267"/>
      <c r="CD1050" s="267"/>
      <c r="CE1050" s="267"/>
      <c r="CF1050" s="267"/>
      <c r="CG1050" s="267"/>
    </row>
    <row r="1051" spans="70:85" ht="12.75" customHeight="1" x14ac:dyDescent="0.25">
      <c r="BR1051" s="177"/>
      <c r="BS1051" s="177"/>
      <c r="BT1051" s="267"/>
      <c r="BU1051" s="267"/>
      <c r="BV1051" s="267"/>
      <c r="BW1051" s="267"/>
      <c r="BX1051" s="267"/>
      <c r="BY1051" s="267"/>
      <c r="BZ1051" s="267"/>
      <c r="CA1051" s="267"/>
      <c r="CB1051" s="267"/>
      <c r="CC1051" s="267"/>
      <c r="CD1051" s="267"/>
      <c r="CE1051" s="267"/>
      <c r="CF1051" s="267"/>
      <c r="CG1051" s="267"/>
    </row>
    <row r="1052" spans="70:85" ht="12.75" customHeight="1" x14ac:dyDescent="0.25">
      <c r="BR1052" s="177"/>
      <c r="BS1052" s="177"/>
      <c r="BT1052" s="267"/>
      <c r="BU1052" s="267"/>
      <c r="BV1052" s="267"/>
      <c r="BW1052" s="267"/>
      <c r="BX1052" s="267"/>
      <c r="BY1052" s="267"/>
      <c r="BZ1052" s="267"/>
      <c r="CA1052" s="267"/>
      <c r="CB1052" s="267"/>
      <c r="CC1052" s="267"/>
      <c r="CD1052" s="267"/>
      <c r="CE1052" s="267"/>
      <c r="CF1052" s="267"/>
      <c r="CG1052" s="267"/>
    </row>
    <row r="1053" spans="70:85" ht="12.75" customHeight="1" x14ac:dyDescent="0.25">
      <c r="BR1053" s="177"/>
      <c r="BS1053" s="177"/>
      <c r="BT1053" s="267"/>
      <c r="BU1053" s="267"/>
      <c r="BV1053" s="267"/>
      <c r="BW1053" s="267"/>
      <c r="BX1053" s="267"/>
      <c r="BY1053" s="267"/>
      <c r="BZ1053" s="267"/>
      <c r="CA1053" s="267"/>
      <c r="CB1053" s="267"/>
      <c r="CC1053" s="267"/>
      <c r="CD1053" s="267"/>
      <c r="CE1053" s="267"/>
      <c r="CF1053" s="267"/>
      <c r="CG1053" s="267"/>
    </row>
    <row r="1054" spans="70:85" ht="12.75" customHeight="1" x14ac:dyDescent="0.25">
      <c r="BR1054" s="177"/>
      <c r="BS1054" s="177"/>
      <c r="BT1054" s="267"/>
      <c r="BU1054" s="267"/>
      <c r="BV1054" s="267"/>
      <c r="BW1054" s="267"/>
      <c r="BX1054" s="267"/>
      <c r="BY1054" s="267"/>
      <c r="BZ1054" s="267"/>
      <c r="CA1054" s="267"/>
      <c r="CB1054" s="267"/>
      <c r="CC1054" s="267"/>
      <c r="CD1054" s="267"/>
      <c r="CE1054" s="267"/>
      <c r="CF1054" s="267"/>
      <c r="CG1054" s="267"/>
    </row>
    <row r="1055" spans="70:85" ht="12.75" customHeight="1" x14ac:dyDescent="0.25">
      <c r="BR1055" s="177"/>
      <c r="BS1055" s="177"/>
      <c r="BT1055" s="267"/>
      <c r="BU1055" s="267"/>
      <c r="BV1055" s="267"/>
      <c r="BW1055" s="267"/>
      <c r="BX1055" s="267"/>
      <c r="BY1055" s="267"/>
      <c r="BZ1055" s="267"/>
      <c r="CA1055" s="267"/>
      <c r="CB1055" s="267"/>
      <c r="CC1055" s="267"/>
      <c r="CD1055" s="267"/>
      <c r="CE1055" s="267"/>
      <c r="CF1055" s="267"/>
      <c r="CG1055" s="267"/>
    </row>
    <row r="1056" spans="70:85" ht="12.75" customHeight="1" x14ac:dyDescent="0.25">
      <c r="BR1056" s="177"/>
      <c r="BS1056" s="177"/>
      <c r="BT1056" s="267"/>
      <c r="BU1056" s="267"/>
      <c r="BV1056" s="267"/>
      <c r="BW1056" s="267"/>
      <c r="BX1056" s="267"/>
      <c r="BY1056" s="267"/>
      <c r="BZ1056" s="267"/>
      <c r="CA1056" s="267"/>
      <c r="CB1056" s="267"/>
      <c r="CC1056" s="267"/>
      <c r="CD1056" s="267"/>
      <c r="CE1056" s="267"/>
      <c r="CF1056" s="267"/>
      <c r="CG1056" s="267"/>
    </row>
    <row r="1057" spans="70:85" ht="12.75" customHeight="1" x14ac:dyDescent="0.25">
      <c r="BR1057" s="177"/>
      <c r="BS1057" s="177"/>
      <c r="BT1057" s="267"/>
      <c r="BU1057" s="267"/>
      <c r="BV1057" s="267"/>
      <c r="BW1057" s="267"/>
      <c r="BX1057" s="267"/>
      <c r="BY1057" s="267"/>
      <c r="BZ1057" s="267"/>
      <c r="CA1057" s="267"/>
      <c r="CB1057" s="267"/>
      <c r="CC1057" s="267"/>
      <c r="CD1057" s="267"/>
      <c r="CE1057" s="267"/>
      <c r="CF1057" s="267"/>
      <c r="CG1057" s="267"/>
    </row>
    <row r="1058" spans="70:85" ht="12.75" customHeight="1" x14ac:dyDescent="0.25">
      <c r="BR1058" s="177"/>
      <c r="BS1058" s="177"/>
      <c r="BT1058" s="267"/>
      <c r="BU1058" s="267"/>
      <c r="BV1058" s="267"/>
      <c r="BW1058" s="267"/>
      <c r="BX1058" s="267"/>
      <c r="BY1058" s="267"/>
      <c r="BZ1058" s="267"/>
      <c r="CA1058" s="267"/>
      <c r="CB1058" s="267"/>
      <c r="CC1058" s="267"/>
      <c r="CD1058" s="267"/>
      <c r="CE1058" s="267"/>
      <c r="CF1058" s="267"/>
      <c r="CG1058" s="267"/>
    </row>
    <row r="1059" spans="70:85" ht="12.75" customHeight="1" x14ac:dyDescent="0.25">
      <c r="BR1059" s="177"/>
      <c r="BS1059" s="177"/>
      <c r="BT1059" s="267"/>
      <c r="BU1059" s="267"/>
      <c r="BV1059" s="267"/>
      <c r="BW1059" s="267"/>
      <c r="BX1059" s="267"/>
      <c r="BY1059" s="267"/>
      <c r="BZ1059" s="267"/>
      <c r="CA1059" s="267"/>
      <c r="CB1059" s="267"/>
      <c r="CC1059" s="267"/>
      <c r="CD1059" s="267"/>
      <c r="CE1059" s="267"/>
      <c r="CF1059" s="267"/>
      <c r="CG1059" s="267"/>
    </row>
    <row r="1060" spans="70:85" ht="12.75" customHeight="1" x14ac:dyDescent="0.25">
      <c r="BR1060" s="177"/>
      <c r="BS1060" s="177"/>
      <c r="BT1060" s="267"/>
      <c r="BU1060" s="267"/>
      <c r="BV1060" s="267"/>
      <c r="BW1060" s="267"/>
      <c r="BX1060" s="267"/>
      <c r="BY1060" s="267"/>
      <c r="BZ1060" s="267"/>
      <c r="CA1060" s="267"/>
      <c r="CB1060" s="267"/>
      <c r="CC1060" s="267"/>
      <c r="CD1060" s="267"/>
      <c r="CE1060" s="267"/>
      <c r="CF1060" s="267"/>
      <c r="CG1060" s="267"/>
    </row>
    <row r="1061" spans="70:85" ht="12.75" customHeight="1" x14ac:dyDescent="0.25">
      <c r="BR1061" s="177"/>
      <c r="BS1061" s="177"/>
      <c r="BT1061" s="267"/>
      <c r="BU1061" s="267"/>
      <c r="BV1061" s="267"/>
      <c r="BW1061" s="267"/>
      <c r="BX1061" s="267"/>
      <c r="BY1061" s="267"/>
      <c r="BZ1061" s="267"/>
      <c r="CA1061" s="267"/>
      <c r="CB1061" s="267"/>
      <c r="CC1061" s="267"/>
      <c r="CD1061" s="267"/>
      <c r="CE1061" s="267"/>
      <c r="CF1061" s="267"/>
      <c r="CG1061" s="267"/>
    </row>
    <row r="1062" spans="70:85" ht="12.75" customHeight="1" x14ac:dyDescent="0.25">
      <c r="BR1062" s="177"/>
      <c r="BS1062" s="177"/>
      <c r="BT1062" s="267"/>
      <c r="BU1062" s="267"/>
      <c r="BV1062" s="267"/>
      <c r="BW1062" s="267"/>
      <c r="BX1062" s="267"/>
      <c r="BY1062" s="267"/>
      <c r="BZ1062" s="267"/>
      <c r="CA1062" s="267"/>
      <c r="CB1062" s="267"/>
      <c r="CC1062" s="267"/>
      <c r="CD1062" s="267"/>
      <c r="CE1062" s="267"/>
      <c r="CF1062" s="267"/>
      <c r="CG1062" s="267"/>
    </row>
    <row r="1063" spans="70:85" ht="12.75" customHeight="1" x14ac:dyDescent="0.25">
      <c r="BR1063" s="177"/>
      <c r="BS1063" s="177"/>
      <c r="BT1063" s="267"/>
      <c r="BU1063" s="267"/>
      <c r="BV1063" s="267"/>
      <c r="BW1063" s="267"/>
      <c r="BX1063" s="267"/>
      <c r="BY1063" s="267"/>
      <c r="BZ1063" s="267"/>
      <c r="CA1063" s="267"/>
      <c r="CB1063" s="267"/>
      <c r="CC1063" s="267"/>
      <c r="CD1063" s="267"/>
      <c r="CE1063" s="267"/>
      <c r="CF1063" s="267"/>
      <c r="CG1063" s="267"/>
    </row>
    <row r="1064" spans="70:85" ht="12.75" customHeight="1" x14ac:dyDescent="0.25">
      <c r="BR1064" s="177"/>
      <c r="BS1064" s="177"/>
      <c r="BT1064" s="267"/>
      <c r="BU1064" s="267"/>
      <c r="BV1064" s="267"/>
      <c r="BW1064" s="267"/>
      <c r="BX1064" s="267"/>
      <c r="BY1064" s="267"/>
      <c r="BZ1064" s="267"/>
      <c r="CA1064" s="267"/>
      <c r="CB1064" s="267"/>
      <c r="CC1064" s="267"/>
      <c r="CD1064" s="267"/>
      <c r="CE1064" s="267"/>
      <c r="CF1064" s="267"/>
      <c r="CG1064" s="267"/>
    </row>
    <row r="1065" spans="70:85" ht="12.75" customHeight="1" x14ac:dyDescent="0.25">
      <c r="BR1065" s="177"/>
      <c r="BS1065" s="177"/>
      <c r="BT1065" s="267"/>
      <c r="BU1065" s="267"/>
      <c r="BV1065" s="267"/>
      <c r="BW1065" s="267"/>
      <c r="BX1065" s="267"/>
      <c r="BY1065" s="267"/>
      <c r="BZ1065" s="267"/>
      <c r="CA1065" s="267"/>
      <c r="CB1065" s="267"/>
      <c r="CC1065" s="267"/>
      <c r="CD1065" s="267"/>
      <c r="CE1065" s="267"/>
      <c r="CF1065" s="267"/>
      <c r="CG1065" s="267"/>
    </row>
    <row r="1066" spans="70:85" ht="12.75" customHeight="1" x14ac:dyDescent="0.25">
      <c r="BR1066" s="177"/>
      <c r="BS1066" s="177"/>
      <c r="BT1066" s="267"/>
      <c r="BU1066" s="267"/>
      <c r="BV1066" s="267"/>
      <c r="BW1066" s="267"/>
      <c r="BX1066" s="267"/>
      <c r="BY1066" s="267"/>
      <c r="BZ1066" s="267"/>
      <c r="CA1066" s="267"/>
      <c r="CB1066" s="267"/>
      <c r="CC1066" s="267"/>
      <c r="CD1066" s="267"/>
      <c r="CE1066" s="267"/>
      <c r="CF1066" s="267"/>
      <c r="CG1066" s="267"/>
    </row>
    <row r="1067" spans="70:85" ht="12.75" customHeight="1" x14ac:dyDescent="0.25">
      <c r="BR1067" s="177"/>
      <c r="BS1067" s="177"/>
      <c r="BT1067" s="267"/>
      <c r="BU1067" s="267"/>
      <c r="BV1067" s="267"/>
      <c r="BW1067" s="267"/>
      <c r="BX1067" s="267"/>
      <c r="BY1067" s="267"/>
      <c r="BZ1067" s="267"/>
      <c r="CA1067" s="267"/>
      <c r="CB1067" s="267"/>
      <c r="CC1067" s="267"/>
      <c r="CD1067" s="267"/>
      <c r="CE1067" s="267"/>
      <c r="CF1067" s="267"/>
      <c r="CG1067" s="267"/>
    </row>
    <row r="1068" spans="70:85" ht="12.75" customHeight="1" x14ac:dyDescent="0.25">
      <c r="BR1068" s="177"/>
      <c r="BS1068" s="177"/>
      <c r="BT1068" s="267"/>
      <c r="BU1068" s="267"/>
      <c r="BV1068" s="267"/>
      <c r="BW1068" s="267"/>
      <c r="BX1068" s="267"/>
      <c r="BY1068" s="267"/>
      <c r="BZ1068" s="267"/>
      <c r="CA1068" s="267"/>
      <c r="CB1068" s="267"/>
      <c r="CC1068" s="267"/>
      <c r="CD1068" s="267"/>
      <c r="CE1068" s="267"/>
      <c r="CF1068" s="267"/>
      <c r="CG1068" s="267"/>
    </row>
    <row r="1069" spans="70:85" ht="12.75" customHeight="1" x14ac:dyDescent="0.25">
      <c r="BR1069" s="177"/>
      <c r="BS1069" s="177"/>
      <c r="BT1069" s="267"/>
      <c r="BU1069" s="267"/>
      <c r="BV1069" s="267"/>
      <c r="BW1069" s="267"/>
      <c r="BX1069" s="267"/>
      <c r="BY1069" s="267"/>
      <c r="BZ1069" s="267"/>
      <c r="CA1069" s="267"/>
      <c r="CB1069" s="267"/>
      <c r="CC1069" s="267"/>
      <c r="CD1069" s="267"/>
      <c r="CE1069" s="267"/>
      <c r="CF1069" s="267"/>
      <c r="CG1069" s="267"/>
    </row>
    <row r="1070" spans="70:85" ht="12.75" customHeight="1" x14ac:dyDescent="0.25">
      <c r="BR1070" s="177"/>
      <c r="BS1070" s="177"/>
      <c r="BT1070" s="267"/>
      <c r="BU1070" s="267"/>
      <c r="BV1070" s="267"/>
      <c r="BW1070" s="267"/>
      <c r="BX1070" s="267"/>
      <c r="BY1070" s="267"/>
      <c r="BZ1070" s="267"/>
      <c r="CA1070" s="267"/>
      <c r="CB1070" s="267"/>
      <c r="CC1070" s="267"/>
      <c r="CD1070" s="267"/>
      <c r="CE1070" s="267"/>
      <c r="CF1070" s="267"/>
      <c r="CG1070" s="267"/>
    </row>
    <row r="1071" spans="70:85" ht="12.75" customHeight="1" x14ac:dyDescent="0.25">
      <c r="BR1071" s="177"/>
      <c r="BS1071" s="177"/>
      <c r="BT1071" s="267"/>
      <c r="BU1071" s="267"/>
      <c r="BV1071" s="267"/>
      <c r="BW1071" s="267"/>
      <c r="BX1071" s="267"/>
      <c r="BY1071" s="267"/>
      <c r="BZ1071" s="267"/>
      <c r="CA1071" s="267"/>
      <c r="CB1071" s="267"/>
      <c r="CC1071" s="267"/>
      <c r="CD1071" s="267"/>
      <c r="CE1071" s="267"/>
      <c r="CF1071" s="267"/>
      <c r="CG1071" s="267"/>
    </row>
    <row r="1072" spans="70:85" ht="12.75" customHeight="1" x14ac:dyDescent="0.25">
      <c r="BR1072" s="177"/>
      <c r="BS1072" s="177"/>
      <c r="BT1072" s="267"/>
      <c r="BU1072" s="267"/>
      <c r="BV1072" s="267"/>
      <c r="BW1072" s="267"/>
      <c r="BX1072" s="267"/>
      <c r="BY1072" s="267"/>
      <c r="BZ1072" s="267"/>
      <c r="CA1072" s="267"/>
      <c r="CB1072" s="267"/>
      <c r="CC1072" s="267"/>
      <c r="CD1072" s="267"/>
      <c r="CE1072" s="267"/>
      <c r="CF1072" s="267"/>
      <c r="CG1072" s="267"/>
    </row>
    <row r="1073" spans="70:85" ht="12.75" customHeight="1" x14ac:dyDescent="0.25">
      <c r="BR1073" s="177"/>
      <c r="BS1073" s="177"/>
      <c r="BT1073" s="267"/>
      <c r="BU1073" s="267"/>
      <c r="BV1073" s="267"/>
      <c r="BW1073" s="267"/>
      <c r="BX1073" s="267"/>
      <c r="BY1073" s="267"/>
      <c r="BZ1073" s="267"/>
      <c r="CA1073" s="267"/>
      <c r="CB1073" s="267"/>
      <c r="CC1073" s="267"/>
      <c r="CD1073" s="267"/>
      <c r="CE1073" s="267"/>
      <c r="CF1073" s="267"/>
      <c r="CG1073" s="267"/>
    </row>
    <row r="1074" spans="70:85" ht="12.75" customHeight="1" x14ac:dyDescent="0.25">
      <c r="BR1074" s="177"/>
      <c r="BS1074" s="177"/>
      <c r="BT1074" s="267"/>
      <c r="BU1074" s="267"/>
      <c r="BV1074" s="267"/>
      <c r="BW1074" s="267"/>
      <c r="BX1074" s="267"/>
      <c r="BY1074" s="267"/>
      <c r="BZ1074" s="267"/>
      <c r="CA1074" s="267"/>
      <c r="CB1074" s="267"/>
      <c r="CC1074" s="267"/>
      <c r="CD1074" s="267"/>
      <c r="CE1074" s="267"/>
      <c r="CF1074" s="267"/>
      <c r="CG1074" s="267"/>
    </row>
    <row r="1075" spans="70:85" ht="12.75" customHeight="1" x14ac:dyDescent="0.25">
      <c r="BR1075" s="177"/>
      <c r="BS1075" s="177"/>
      <c r="BT1075" s="267"/>
      <c r="BU1075" s="267"/>
      <c r="BV1075" s="267"/>
      <c r="BW1075" s="267"/>
      <c r="BX1075" s="267"/>
      <c r="BY1075" s="267"/>
      <c r="BZ1075" s="267"/>
      <c r="CA1075" s="267"/>
      <c r="CB1075" s="267"/>
      <c r="CC1075" s="267"/>
      <c r="CD1075" s="267"/>
      <c r="CE1075" s="267"/>
      <c r="CF1075" s="267"/>
      <c r="CG1075" s="267"/>
    </row>
    <row r="1076" spans="70:85" ht="12.75" customHeight="1" x14ac:dyDescent="0.25">
      <c r="BR1076" s="177"/>
      <c r="BS1076" s="177"/>
      <c r="BT1076" s="267"/>
      <c r="BU1076" s="267"/>
      <c r="BV1076" s="267"/>
      <c r="BW1076" s="267"/>
      <c r="BX1076" s="267"/>
      <c r="BY1076" s="267"/>
      <c r="BZ1076" s="267"/>
      <c r="CA1076" s="267"/>
      <c r="CB1076" s="267"/>
      <c r="CC1076" s="267"/>
      <c r="CD1076" s="267"/>
      <c r="CE1076" s="267"/>
      <c r="CF1076" s="267"/>
      <c r="CG1076" s="267"/>
    </row>
    <row r="1077" spans="70:85" ht="12.75" customHeight="1" x14ac:dyDescent="0.25">
      <c r="BR1077" s="177"/>
      <c r="BS1077" s="177"/>
      <c r="BT1077" s="267"/>
      <c r="BU1077" s="267"/>
      <c r="BV1077" s="267"/>
      <c r="BW1077" s="267"/>
      <c r="BX1077" s="267"/>
      <c r="BY1077" s="267"/>
      <c r="BZ1077" s="267"/>
      <c r="CA1077" s="267"/>
      <c r="CB1077" s="267"/>
      <c r="CC1077" s="267"/>
      <c r="CD1077" s="267"/>
      <c r="CE1077" s="267"/>
      <c r="CF1077" s="267"/>
      <c r="CG1077" s="267"/>
    </row>
    <row r="1078" spans="70:85" ht="12.75" customHeight="1" x14ac:dyDescent="0.25">
      <c r="BR1078" s="177"/>
      <c r="BS1078" s="177"/>
      <c r="BT1078" s="267"/>
      <c r="BU1078" s="267"/>
      <c r="BV1078" s="267"/>
      <c r="BW1078" s="267"/>
      <c r="BX1078" s="267"/>
      <c r="BY1078" s="267"/>
      <c r="BZ1078" s="267"/>
      <c r="CA1078" s="267"/>
      <c r="CB1078" s="267"/>
      <c r="CC1078" s="267"/>
      <c r="CD1078" s="267"/>
      <c r="CE1078" s="267"/>
      <c r="CF1078" s="267"/>
      <c r="CG1078" s="267"/>
    </row>
    <row r="1079" spans="70:85" ht="12.75" customHeight="1" x14ac:dyDescent="0.25">
      <c r="BR1079" s="177"/>
      <c r="BS1079" s="177"/>
      <c r="BT1079" s="267"/>
      <c r="BU1079" s="267"/>
      <c r="BV1079" s="267"/>
      <c r="BW1079" s="267"/>
      <c r="BX1079" s="267"/>
      <c r="BY1079" s="267"/>
      <c r="BZ1079" s="267"/>
      <c r="CA1079" s="267"/>
      <c r="CB1079" s="267"/>
      <c r="CC1079" s="267"/>
      <c r="CD1079" s="267"/>
      <c r="CE1079" s="267"/>
      <c r="CF1079" s="267"/>
      <c r="CG1079" s="267"/>
    </row>
    <row r="1080" spans="70:85" ht="12.75" customHeight="1" x14ac:dyDescent="0.25">
      <c r="BR1080" s="177"/>
      <c r="BS1080" s="177"/>
      <c r="BT1080" s="267"/>
      <c r="BU1080" s="267"/>
      <c r="BV1080" s="267"/>
      <c r="BW1080" s="267"/>
      <c r="BX1080" s="267"/>
      <c r="BY1080" s="267"/>
      <c r="BZ1080" s="267"/>
      <c r="CA1080" s="267"/>
      <c r="CB1080" s="267"/>
      <c r="CC1080" s="267"/>
      <c r="CD1080" s="267"/>
      <c r="CE1080" s="267"/>
      <c r="CF1080" s="267"/>
      <c r="CG1080" s="267"/>
    </row>
    <row r="1081" spans="70:85" ht="12.75" customHeight="1" x14ac:dyDescent="0.25">
      <c r="BR1081" s="177"/>
      <c r="BS1081" s="177"/>
      <c r="BT1081" s="267"/>
      <c r="BU1081" s="267"/>
      <c r="BV1081" s="267"/>
      <c r="BW1081" s="267"/>
      <c r="BX1081" s="267"/>
      <c r="BY1081" s="267"/>
      <c r="BZ1081" s="267"/>
      <c r="CA1081" s="267"/>
      <c r="CB1081" s="267"/>
      <c r="CC1081" s="267"/>
      <c r="CD1081" s="267"/>
      <c r="CE1081" s="267"/>
      <c r="CF1081" s="267"/>
      <c r="CG1081" s="267"/>
    </row>
    <row r="1082" spans="70:85" ht="12.75" customHeight="1" x14ac:dyDescent="0.25">
      <c r="BR1082" s="177"/>
      <c r="BS1082" s="177"/>
      <c r="BT1082" s="267"/>
      <c r="BU1082" s="267"/>
      <c r="BV1082" s="267"/>
      <c r="BW1082" s="267"/>
      <c r="BX1082" s="267"/>
      <c r="BY1082" s="267"/>
      <c r="BZ1082" s="267"/>
      <c r="CA1082" s="267"/>
      <c r="CB1082" s="267"/>
      <c r="CC1082" s="267"/>
      <c r="CD1082" s="267"/>
      <c r="CE1082" s="267"/>
      <c r="CF1082" s="267"/>
      <c r="CG1082" s="267"/>
    </row>
    <row r="1083" spans="70:85" ht="12.75" customHeight="1" x14ac:dyDescent="0.25">
      <c r="BR1083" s="177"/>
      <c r="BS1083" s="177"/>
      <c r="BT1083" s="267"/>
      <c r="BU1083" s="267"/>
      <c r="BV1083" s="267"/>
      <c r="BW1083" s="267"/>
      <c r="BX1083" s="267"/>
      <c r="BY1083" s="267"/>
      <c r="BZ1083" s="267"/>
      <c r="CA1083" s="267"/>
      <c r="CB1083" s="267"/>
      <c r="CC1083" s="267"/>
      <c r="CD1083" s="267"/>
      <c r="CE1083" s="267"/>
      <c r="CF1083" s="267"/>
      <c r="CG1083" s="267"/>
    </row>
    <row r="1084" spans="70:85" ht="12.75" customHeight="1" x14ac:dyDescent="0.25">
      <c r="BR1084" s="177"/>
      <c r="BS1084" s="177"/>
      <c r="BT1084" s="267"/>
      <c r="BU1084" s="267"/>
      <c r="BV1084" s="267"/>
      <c r="BW1084" s="267"/>
      <c r="BX1084" s="267"/>
      <c r="BY1084" s="267"/>
      <c r="BZ1084" s="267"/>
      <c r="CA1084" s="267"/>
      <c r="CB1084" s="267"/>
      <c r="CC1084" s="267"/>
      <c r="CD1084" s="267"/>
      <c r="CE1084" s="267"/>
      <c r="CF1084" s="267"/>
      <c r="CG1084" s="267"/>
    </row>
    <row r="1085" spans="70:85" ht="12.75" customHeight="1" x14ac:dyDescent="0.25">
      <c r="BR1085" s="177"/>
      <c r="BS1085" s="177"/>
      <c r="BT1085" s="267"/>
      <c r="BU1085" s="267"/>
      <c r="BV1085" s="267"/>
      <c r="BW1085" s="267"/>
      <c r="BX1085" s="267"/>
      <c r="BY1085" s="267"/>
      <c r="BZ1085" s="267"/>
      <c r="CA1085" s="267"/>
      <c r="CB1085" s="267"/>
      <c r="CC1085" s="267"/>
      <c r="CD1085" s="267"/>
      <c r="CE1085" s="267"/>
      <c r="CF1085" s="267"/>
      <c r="CG1085" s="267"/>
    </row>
    <row r="1086" spans="70:85" ht="12.75" customHeight="1" x14ac:dyDescent="0.25">
      <c r="BR1086" s="177"/>
      <c r="BS1086" s="177"/>
      <c r="BT1086" s="267"/>
      <c r="BU1086" s="267"/>
      <c r="BV1086" s="267"/>
      <c r="BW1086" s="267"/>
      <c r="BX1086" s="267"/>
      <c r="BY1086" s="267"/>
      <c r="BZ1086" s="267"/>
      <c r="CA1086" s="267"/>
      <c r="CB1086" s="267"/>
      <c r="CC1086" s="267"/>
      <c r="CD1086" s="267"/>
      <c r="CE1086" s="267"/>
      <c r="CF1086" s="267"/>
      <c r="CG1086" s="267"/>
    </row>
    <row r="1087" spans="70:85" ht="12.75" customHeight="1" x14ac:dyDescent="0.25">
      <c r="BR1087" s="177"/>
      <c r="BS1087" s="177"/>
      <c r="BT1087" s="267"/>
      <c r="BU1087" s="267"/>
      <c r="BV1087" s="267"/>
      <c r="BW1087" s="267"/>
      <c r="BX1087" s="267"/>
      <c r="BY1087" s="267"/>
      <c r="BZ1087" s="267"/>
      <c r="CA1087" s="267"/>
      <c r="CB1087" s="267"/>
      <c r="CC1087" s="267"/>
      <c r="CD1087" s="267"/>
      <c r="CE1087" s="267"/>
      <c r="CF1087" s="267"/>
      <c r="CG1087" s="267"/>
    </row>
    <row r="1088" spans="70:85" ht="12.75" customHeight="1" x14ac:dyDescent="0.25">
      <c r="BR1088" s="177"/>
      <c r="BS1088" s="177"/>
      <c r="BT1088" s="267"/>
      <c r="BU1088" s="267"/>
      <c r="BV1088" s="267"/>
      <c r="BW1088" s="267"/>
      <c r="BX1088" s="267"/>
      <c r="BY1088" s="267"/>
      <c r="BZ1088" s="267"/>
      <c r="CA1088" s="267"/>
      <c r="CB1088" s="267"/>
      <c r="CC1088" s="267"/>
      <c r="CD1088" s="267"/>
      <c r="CE1088" s="267"/>
      <c r="CF1088" s="267"/>
      <c r="CG1088" s="267"/>
    </row>
    <row r="1089" spans="70:85" ht="12.75" customHeight="1" x14ac:dyDescent="0.25">
      <c r="BR1089" s="177"/>
      <c r="BS1089" s="177"/>
      <c r="BT1089" s="267"/>
      <c r="BU1089" s="267"/>
      <c r="BV1089" s="267"/>
      <c r="BW1089" s="267"/>
      <c r="BX1089" s="267"/>
      <c r="BY1089" s="267"/>
      <c r="BZ1089" s="267"/>
      <c r="CA1089" s="267"/>
      <c r="CB1089" s="267"/>
      <c r="CC1089" s="267"/>
      <c r="CD1089" s="267"/>
      <c r="CE1089" s="267"/>
      <c r="CF1089" s="267"/>
      <c r="CG1089" s="267"/>
    </row>
    <row r="1090" spans="70:85" ht="12.75" customHeight="1" x14ac:dyDescent="0.25">
      <c r="BR1090" s="177"/>
      <c r="BS1090" s="177"/>
      <c r="BT1090" s="267"/>
      <c r="BU1090" s="267"/>
      <c r="BV1090" s="267"/>
      <c r="BW1090" s="267"/>
      <c r="BX1090" s="267"/>
      <c r="BY1090" s="267"/>
      <c r="BZ1090" s="267"/>
      <c r="CA1090" s="267"/>
      <c r="CB1090" s="267"/>
      <c r="CC1090" s="267"/>
      <c r="CD1090" s="267"/>
      <c r="CE1090" s="267"/>
      <c r="CF1090" s="267"/>
      <c r="CG1090" s="267"/>
    </row>
    <row r="1091" spans="70:85" ht="12.75" customHeight="1" x14ac:dyDescent="0.25">
      <c r="BR1091" s="177"/>
      <c r="BS1091" s="177"/>
      <c r="BT1091" s="267"/>
      <c r="BU1091" s="267"/>
      <c r="BV1091" s="267"/>
      <c r="BW1091" s="267"/>
      <c r="BX1091" s="267"/>
      <c r="BY1091" s="267"/>
      <c r="BZ1091" s="267"/>
      <c r="CA1091" s="267"/>
      <c r="CB1091" s="267"/>
      <c r="CC1091" s="267"/>
      <c r="CD1091" s="267"/>
      <c r="CE1091" s="267"/>
      <c r="CF1091" s="267"/>
      <c r="CG1091" s="267"/>
    </row>
    <row r="1092" spans="70:85" ht="12.75" customHeight="1" x14ac:dyDescent="0.25">
      <c r="BR1092" s="177"/>
      <c r="BS1092" s="177"/>
      <c r="BT1092" s="267"/>
      <c r="BU1092" s="267"/>
      <c r="BV1092" s="267"/>
      <c r="BW1092" s="267"/>
      <c r="BX1092" s="267"/>
      <c r="BY1092" s="267"/>
      <c r="BZ1092" s="267"/>
      <c r="CA1092" s="267"/>
      <c r="CB1092" s="267"/>
      <c r="CC1092" s="267"/>
      <c r="CD1092" s="267"/>
      <c r="CE1092" s="267"/>
      <c r="CF1092" s="267"/>
      <c r="CG1092" s="267"/>
    </row>
    <row r="1093" spans="70:85" ht="12.75" customHeight="1" x14ac:dyDescent="0.25">
      <c r="BR1093" s="177"/>
      <c r="BS1093" s="177"/>
      <c r="BT1093" s="267"/>
      <c r="BU1093" s="267"/>
      <c r="BV1093" s="267"/>
      <c r="BW1093" s="267"/>
      <c r="BX1093" s="267"/>
      <c r="BY1093" s="267"/>
      <c r="BZ1093" s="267"/>
      <c r="CA1093" s="267"/>
      <c r="CB1093" s="267"/>
      <c r="CC1093" s="267"/>
      <c r="CD1093" s="267"/>
      <c r="CE1093" s="267"/>
      <c r="CF1093" s="267"/>
      <c r="CG1093" s="267"/>
    </row>
    <row r="1094" spans="70:85" ht="12.75" customHeight="1" x14ac:dyDescent="0.25">
      <c r="BR1094" s="177"/>
      <c r="BS1094" s="177"/>
      <c r="BT1094" s="267"/>
      <c r="BU1094" s="267"/>
      <c r="BV1094" s="267"/>
      <c r="BW1094" s="267"/>
      <c r="BX1094" s="267"/>
      <c r="BY1094" s="267"/>
      <c r="BZ1094" s="267"/>
      <c r="CA1094" s="267"/>
      <c r="CB1094" s="267"/>
      <c r="CC1094" s="267"/>
      <c r="CD1094" s="267"/>
      <c r="CE1094" s="267"/>
      <c r="CF1094" s="267"/>
      <c r="CG1094" s="267"/>
    </row>
    <row r="1095" spans="70:85" ht="12.75" customHeight="1" x14ac:dyDescent="0.25">
      <c r="BR1095" s="177"/>
      <c r="BS1095" s="177"/>
      <c r="BT1095" s="267"/>
      <c r="BU1095" s="267"/>
      <c r="BV1095" s="267"/>
      <c r="BW1095" s="267"/>
      <c r="BX1095" s="267"/>
      <c r="BY1095" s="267"/>
      <c r="BZ1095" s="267"/>
      <c r="CA1095" s="267"/>
      <c r="CB1095" s="267"/>
      <c r="CC1095" s="267"/>
      <c r="CD1095" s="267"/>
      <c r="CE1095" s="267"/>
      <c r="CF1095" s="267"/>
      <c r="CG1095" s="267"/>
    </row>
    <row r="1096" spans="70:85" ht="12.75" customHeight="1" x14ac:dyDescent="0.25">
      <c r="BR1096" s="177"/>
      <c r="BS1096" s="177"/>
      <c r="BT1096" s="267"/>
      <c r="BU1096" s="267"/>
      <c r="BV1096" s="267"/>
      <c r="BW1096" s="267"/>
      <c r="BX1096" s="267"/>
      <c r="BY1096" s="267"/>
      <c r="BZ1096" s="267"/>
      <c r="CA1096" s="267"/>
      <c r="CB1096" s="267"/>
      <c r="CC1096" s="267"/>
      <c r="CD1096" s="267"/>
      <c r="CE1096" s="267"/>
      <c r="CF1096" s="267"/>
      <c r="CG1096" s="267"/>
    </row>
    <row r="1097" spans="70:85" ht="12.75" customHeight="1" x14ac:dyDescent="0.25">
      <c r="BR1097" s="177"/>
      <c r="BS1097" s="177"/>
      <c r="BT1097" s="267"/>
      <c r="BU1097" s="267"/>
      <c r="BV1097" s="267"/>
      <c r="BW1097" s="267"/>
      <c r="BX1097" s="267"/>
      <c r="BY1097" s="267"/>
      <c r="BZ1097" s="267"/>
      <c r="CA1097" s="267"/>
      <c r="CB1097" s="267"/>
      <c r="CC1097" s="267"/>
      <c r="CD1097" s="267"/>
      <c r="CE1097" s="267"/>
      <c r="CF1097" s="267"/>
      <c r="CG1097" s="267"/>
    </row>
    <row r="1098" spans="70:85" ht="12.75" customHeight="1" x14ac:dyDescent="0.25">
      <c r="BR1098" s="177"/>
      <c r="BS1098" s="177"/>
      <c r="BT1098" s="267"/>
      <c r="BU1098" s="267"/>
      <c r="BV1098" s="267"/>
      <c r="BW1098" s="267"/>
      <c r="BX1098" s="267"/>
      <c r="BY1098" s="267"/>
      <c r="BZ1098" s="267"/>
      <c r="CA1098" s="267"/>
      <c r="CB1098" s="267"/>
      <c r="CC1098" s="267"/>
      <c r="CD1098" s="267"/>
      <c r="CE1098" s="267"/>
      <c r="CF1098" s="267"/>
      <c r="CG1098" s="267"/>
    </row>
    <row r="1099" spans="70:85" ht="12.75" customHeight="1" x14ac:dyDescent="0.25">
      <c r="BR1099" s="177"/>
      <c r="BS1099" s="177"/>
      <c r="BT1099" s="267"/>
      <c r="BU1099" s="267"/>
      <c r="BV1099" s="267"/>
      <c r="BW1099" s="267"/>
      <c r="BX1099" s="267"/>
      <c r="BY1099" s="267"/>
      <c r="BZ1099" s="267"/>
      <c r="CA1099" s="267"/>
      <c r="CB1099" s="267"/>
      <c r="CC1099" s="267"/>
      <c r="CD1099" s="267"/>
      <c r="CE1099" s="267"/>
      <c r="CF1099" s="267"/>
      <c r="CG1099" s="267"/>
    </row>
    <row r="1100" spans="70:85" ht="12.75" customHeight="1" x14ac:dyDescent="0.25">
      <c r="BR1100" s="177"/>
      <c r="BS1100" s="177"/>
      <c r="BT1100" s="267"/>
      <c r="BU1100" s="267"/>
      <c r="BV1100" s="267"/>
      <c r="BW1100" s="267"/>
      <c r="BX1100" s="267"/>
      <c r="BY1100" s="267"/>
      <c r="BZ1100" s="267"/>
      <c r="CA1100" s="267"/>
      <c r="CB1100" s="267"/>
      <c r="CC1100" s="267"/>
      <c r="CD1100" s="267"/>
      <c r="CE1100" s="267"/>
      <c r="CF1100" s="267"/>
      <c r="CG1100" s="267"/>
    </row>
    <row r="1101" spans="70:85" ht="12.75" customHeight="1" x14ac:dyDescent="0.25">
      <c r="BR1101" s="177"/>
      <c r="BS1101" s="177"/>
      <c r="BT1101" s="267"/>
      <c r="BU1101" s="267"/>
      <c r="BV1101" s="267"/>
      <c r="BW1101" s="267"/>
      <c r="BX1101" s="267"/>
      <c r="BY1101" s="267"/>
      <c r="BZ1101" s="267"/>
      <c r="CA1101" s="267"/>
      <c r="CB1101" s="267"/>
      <c r="CC1101" s="267"/>
      <c r="CD1101" s="267"/>
      <c r="CE1101" s="267"/>
      <c r="CF1101" s="267"/>
      <c r="CG1101" s="267"/>
    </row>
    <row r="1102" spans="70:85" ht="12.75" customHeight="1" x14ac:dyDescent="0.25">
      <c r="BR1102" s="177"/>
      <c r="BS1102" s="177"/>
      <c r="BT1102" s="267"/>
      <c r="BU1102" s="267"/>
      <c r="BV1102" s="267"/>
      <c r="BW1102" s="267"/>
      <c r="BX1102" s="267"/>
      <c r="BY1102" s="267"/>
      <c r="BZ1102" s="267"/>
      <c r="CA1102" s="267"/>
      <c r="CB1102" s="267"/>
      <c r="CC1102" s="267"/>
      <c r="CD1102" s="267"/>
      <c r="CE1102" s="267"/>
      <c r="CF1102" s="267"/>
      <c r="CG1102" s="267"/>
    </row>
    <row r="1103" spans="70:85" ht="12.75" customHeight="1" x14ac:dyDescent="0.25">
      <c r="BR1103" s="177"/>
      <c r="BS1103" s="177"/>
      <c r="BT1103" s="267"/>
      <c r="BU1103" s="267"/>
      <c r="BV1103" s="267"/>
      <c r="BW1103" s="267"/>
      <c r="BX1103" s="267"/>
      <c r="BY1103" s="267"/>
      <c r="BZ1103" s="267"/>
      <c r="CA1103" s="267"/>
      <c r="CB1103" s="267"/>
      <c r="CC1103" s="267"/>
      <c r="CD1103" s="267"/>
      <c r="CE1103" s="267"/>
      <c r="CF1103" s="267"/>
      <c r="CG1103" s="267"/>
    </row>
    <row r="1104" spans="70:85" ht="12.75" customHeight="1" x14ac:dyDescent="0.25">
      <c r="BR1104" s="177"/>
      <c r="BS1104" s="177"/>
      <c r="BT1104" s="267"/>
      <c r="BU1104" s="267"/>
      <c r="BV1104" s="267"/>
      <c r="BW1104" s="267"/>
      <c r="BX1104" s="267"/>
      <c r="BY1104" s="267"/>
      <c r="BZ1104" s="267"/>
      <c r="CA1104" s="267"/>
      <c r="CB1104" s="267"/>
      <c r="CC1104" s="267"/>
      <c r="CD1104" s="267"/>
      <c r="CE1104" s="267"/>
      <c r="CF1104" s="267"/>
      <c r="CG1104" s="267"/>
    </row>
    <row r="1105" spans="70:85" ht="12.75" customHeight="1" x14ac:dyDescent="0.25">
      <c r="BR1105" s="177"/>
      <c r="BS1105" s="177"/>
      <c r="BT1105" s="267"/>
      <c r="BU1105" s="267"/>
      <c r="BV1105" s="267"/>
      <c r="BW1105" s="267"/>
      <c r="BX1105" s="267"/>
      <c r="BY1105" s="267"/>
      <c r="BZ1105" s="267"/>
      <c r="CA1105" s="267"/>
      <c r="CB1105" s="267"/>
      <c r="CC1105" s="267"/>
      <c r="CD1105" s="267"/>
      <c r="CE1105" s="267"/>
      <c r="CF1105" s="267"/>
      <c r="CG1105" s="267"/>
    </row>
    <row r="1106" spans="70:85" ht="12.75" customHeight="1" x14ac:dyDescent="0.25">
      <c r="BR1106" s="177"/>
      <c r="BS1106" s="177"/>
      <c r="BT1106" s="267"/>
      <c r="BU1106" s="267"/>
      <c r="BV1106" s="267"/>
      <c r="BW1106" s="267"/>
      <c r="BX1106" s="267"/>
      <c r="BY1106" s="267"/>
      <c r="BZ1106" s="267"/>
      <c r="CA1106" s="267"/>
      <c r="CB1106" s="267"/>
      <c r="CC1106" s="267"/>
      <c r="CD1106" s="267"/>
      <c r="CE1106" s="267"/>
      <c r="CF1106" s="267"/>
      <c r="CG1106" s="267"/>
    </row>
    <row r="1107" spans="70:85" ht="12.75" customHeight="1" x14ac:dyDescent="0.25">
      <c r="BR1107" s="177"/>
      <c r="BS1107" s="177"/>
      <c r="BT1107" s="267"/>
      <c r="BU1107" s="267"/>
      <c r="BV1107" s="267"/>
      <c r="BW1107" s="267"/>
      <c r="BX1107" s="267"/>
      <c r="BY1107" s="267"/>
      <c r="BZ1107" s="267"/>
      <c r="CA1107" s="267"/>
      <c r="CB1107" s="267"/>
      <c r="CC1107" s="267"/>
      <c r="CD1107" s="267"/>
      <c r="CE1107" s="267"/>
      <c r="CF1107" s="267"/>
      <c r="CG1107" s="267"/>
    </row>
    <row r="1108" spans="70:85" ht="12.75" customHeight="1" x14ac:dyDescent="0.25">
      <c r="BR1108" s="177"/>
      <c r="BS1108" s="177"/>
      <c r="BT1108" s="267"/>
      <c r="BU1108" s="267"/>
      <c r="BV1108" s="267"/>
      <c r="BW1108" s="267"/>
      <c r="BX1108" s="267"/>
      <c r="BY1108" s="267"/>
      <c r="BZ1108" s="267"/>
      <c r="CA1108" s="267"/>
      <c r="CB1108" s="267"/>
      <c r="CC1108" s="267"/>
      <c r="CD1108" s="267"/>
      <c r="CE1108" s="267"/>
      <c r="CF1108" s="267"/>
      <c r="CG1108" s="267"/>
    </row>
    <row r="1109" spans="70:85" ht="12.75" customHeight="1" x14ac:dyDescent="0.25">
      <c r="BR1109" s="177"/>
      <c r="BS1109" s="177"/>
      <c r="BT1109" s="267"/>
      <c r="BU1109" s="267"/>
      <c r="BV1109" s="267"/>
      <c r="BW1109" s="267"/>
      <c r="BX1109" s="267"/>
      <c r="BY1109" s="267"/>
      <c r="BZ1109" s="267"/>
      <c r="CA1109" s="267"/>
      <c r="CB1109" s="267"/>
      <c r="CC1109" s="267"/>
      <c r="CD1109" s="267"/>
      <c r="CE1109" s="267"/>
      <c r="CF1109" s="267"/>
      <c r="CG1109" s="267"/>
    </row>
    <row r="1110" spans="70:85" ht="12.75" customHeight="1" x14ac:dyDescent="0.25">
      <c r="BR1110" s="177"/>
      <c r="BS1110" s="177"/>
      <c r="BT1110" s="267"/>
      <c r="BU1110" s="267"/>
      <c r="BV1110" s="267"/>
      <c r="BW1110" s="267"/>
      <c r="BX1110" s="267"/>
      <c r="BY1110" s="267"/>
      <c r="BZ1110" s="267"/>
      <c r="CA1110" s="267"/>
      <c r="CB1110" s="267"/>
      <c r="CC1110" s="267"/>
      <c r="CD1110" s="267"/>
      <c r="CE1110" s="267"/>
      <c r="CF1110" s="267"/>
      <c r="CG1110" s="267"/>
    </row>
    <row r="1111" spans="70:85" ht="12.75" customHeight="1" x14ac:dyDescent="0.25">
      <c r="BR1111" s="177"/>
      <c r="BS1111" s="177"/>
      <c r="BT1111" s="267"/>
      <c r="BU1111" s="267"/>
      <c r="BV1111" s="267"/>
      <c r="BW1111" s="267"/>
      <c r="BX1111" s="267"/>
      <c r="BY1111" s="267"/>
      <c r="BZ1111" s="267"/>
      <c r="CA1111" s="267"/>
      <c r="CB1111" s="267"/>
      <c r="CC1111" s="267"/>
      <c r="CD1111" s="267"/>
      <c r="CE1111" s="267"/>
      <c r="CF1111" s="267"/>
      <c r="CG1111" s="267"/>
    </row>
    <row r="1112" spans="70:85" ht="12.75" customHeight="1" x14ac:dyDescent="0.25">
      <c r="BR1112" s="177"/>
      <c r="BS1112" s="177"/>
      <c r="BT1112" s="267"/>
      <c r="BU1112" s="267"/>
      <c r="BV1112" s="267"/>
      <c r="BW1112" s="267"/>
      <c r="BX1112" s="267"/>
      <c r="BY1112" s="267"/>
      <c r="BZ1112" s="267"/>
      <c r="CA1112" s="267"/>
      <c r="CB1112" s="267"/>
      <c r="CC1112" s="267"/>
      <c r="CD1112" s="267"/>
      <c r="CE1112" s="267"/>
      <c r="CF1112" s="267"/>
      <c r="CG1112" s="267"/>
    </row>
    <row r="1113" spans="70:85" ht="12.75" customHeight="1" x14ac:dyDescent="0.25">
      <c r="BR1113" s="177"/>
      <c r="BS1113" s="177"/>
      <c r="BT1113" s="267"/>
      <c r="BU1113" s="267"/>
      <c r="BV1113" s="267"/>
      <c r="BW1113" s="267"/>
      <c r="BX1113" s="267"/>
      <c r="BY1113" s="267"/>
      <c r="BZ1113" s="267"/>
      <c r="CA1113" s="267"/>
      <c r="CB1113" s="267"/>
      <c r="CC1113" s="267"/>
      <c r="CD1113" s="267"/>
      <c r="CE1113" s="267"/>
      <c r="CF1113" s="267"/>
      <c r="CG1113" s="267"/>
    </row>
    <row r="1114" spans="70:85" ht="12.75" customHeight="1" x14ac:dyDescent="0.25">
      <c r="BR1114" s="177"/>
      <c r="BS1114" s="177"/>
      <c r="BT1114" s="267"/>
      <c r="BU1114" s="267"/>
      <c r="BV1114" s="267"/>
      <c r="BW1114" s="267"/>
      <c r="BX1114" s="267"/>
      <c r="BY1114" s="267"/>
      <c r="BZ1114" s="267"/>
      <c r="CA1114" s="267"/>
      <c r="CB1114" s="267"/>
      <c r="CC1114" s="267"/>
      <c r="CD1114" s="267"/>
      <c r="CE1114" s="267"/>
      <c r="CF1114" s="267"/>
      <c r="CG1114" s="267"/>
    </row>
    <row r="1115" spans="70:85" ht="12.75" customHeight="1" x14ac:dyDescent="0.25">
      <c r="BR1115" s="177"/>
      <c r="BS1115" s="177"/>
      <c r="BT1115" s="267"/>
      <c r="BU1115" s="267"/>
      <c r="BV1115" s="267"/>
      <c r="BW1115" s="267"/>
      <c r="BX1115" s="267"/>
      <c r="BY1115" s="267"/>
      <c r="BZ1115" s="267"/>
      <c r="CA1115" s="267"/>
      <c r="CB1115" s="267"/>
      <c r="CC1115" s="267"/>
      <c r="CD1115" s="267"/>
      <c r="CE1115" s="267"/>
      <c r="CF1115" s="267"/>
      <c r="CG1115" s="267"/>
    </row>
    <row r="1116" spans="70:85" ht="12.75" customHeight="1" x14ac:dyDescent="0.25">
      <c r="BR1116" s="177"/>
      <c r="BS1116" s="177"/>
      <c r="BT1116" s="267"/>
      <c r="BU1116" s="267"/>
      <c r="BV1116" s="267"/>
      <c r="BW1116" s="267"/>
      <c r="BX1116" s="267"/>
      <c r="BY1116" s="267"/>
      <c r="BZ1116" s="267"/>
      <c r="CA1116" s="267"/>
      <c r="CB1116" s="267"/>
      <c r="CC1116" s="267"/>
      <c r="CD1116" s="267"/>
      <c r="CE1116" s="267"/>
      <c r="CF1116" s="267"/>
      <c r="CG1116" s="267"/>
    </row>
    <row r="1117" spans="70:85" ht="12.75" customHeight="1" x14ac:dyDescent="0.25">
      <c r="BR1117" s="177"/>
      <c r="BS1117" s="177"/>
      <c r="BT1117" s="267"/>
      <c r="BU1117" s="267"/>
      <c r="BV1117" s="267"/>
      <c r="BW1117" s="267"/>
      <c r="BX1117" s="267"/>
      <c r="BY1117" s="267"/>
      <c r="BZ1117" s="267"/>
      <c r="CA1117" s="267"/>
      <c r="CB1117" s="267"/>
      <c r="CC1117" s="267"/>
      <c r="CD1117" s="267"/>
      <c r="CE1117" s="267"/>
      <c r="CF1117" s="267"/>
      <c r="CG1117" s="267"/>
    </row>
    <row r="1118" spans="70:85" ht="12.75" customHeight="1" x14ac:dyDescent="0.25">
      <c r="BR1118" s="177"/>
      <c r="BS1118" s="177"/>
      <c r="BT1118" s="267"/>
      <c r="BU1118" s="267"/>
      <c r="BV1118" s="267"/>
      <c r="BW1118" s="267"/>
      <c r="BX1118" s="267"/>
      <c r="BY1118" s="267"/>
      <c r="BZ1118" s="267"/>
      <c r="CA1118" s="267"/>
      <c r="CB1118" s="267"/>
      <c r="CC1118" s="267"/>
      <c r="CD1118" s="267"/>
      <c r="CE1118" s="267"/>
      <c r="CF1118" s="267"/>
      <c r="CG1118" s="267"/>
    </row>
    <row r="1119" spans="70:85" ht="12.75" customHeight="1" x14ac:dyDescent="0.25">
      <c r="BR1119" s="177"/>
      <c r="BS1119" s="177"/>
      <c r="BT1119" s="267"/>
      <c r="BU1119" s="267"/>
      <c r="BV1119" s="267"/>
      <c r="BW1119" s="267"/>
      <c r="BX1119" s="267"/>
      <c r="BY1119" s="267"/>
      <c r="BZ1119" s="267"/>
      <c r="CA1119" s="267"/>
      <c r="CB1119" s="267"/>
      <c r="CC1119" s="267"/>
      <c r="CD1119" s="267"/>
      <c r="CE1119" s="267"/>
      <c r="CF1119" s="267"/>
      <c r="CG1119" s="267"/>
    </row>
    <row r="1120" spans="70:85" ht="12.75" customHeight="1" x14ac:dyDescent="0.25">
      <c r="BR1120" s="177"/>
      <c r="BS1120" s="177"/>
      <c r="BT1120" s="267"/>
      <c r="BU1120" s="267"/>
      <c r="BV1120" s="267"/>
      <c r="BW1120" s="267"/>
      <c r="BX1120" s="267"/>
      <c r="BY1120" s="267"/>
      <c r="BZ1120" s="267"/>
      <c r="CA1120" s="267"/>
      <c r="CB1120" s="267"/>
      <c r="CC1120" s="267"/>
      <c r="CD1120" s="267"/>
      <c r="CE1120" s="267"/>
      <c r="CF1120" s="267"/>
      <c r="CG1120" s="267"/>
    </row>
    <row r="1121" spans="70:85" ht="12.75" customHeight="1" x14ac:dyDescent="0.25">
      <c r="BR1121" s="177"/>
      <c r="BS1121" s="177"/>
      <c r="BT1121" s="267"/>
      <c r="BU1121" s="267"/>
      <c r="BV1121" s="267"/>
      <c r="BW1121" s="267"/>
      <c r="BX1121" s="267"/>
      <c r="BY1121" s="267"/>
      <c r="BZ1121" s="267"/>
      <c r="CA1121" s="267"/>
      <c r="CB1121" s="267"/>
      <c r="CC1121" s="267"/>
      <c r="CD1121" s="267"/>
      <c r="CE1121" s="267"/>
      <c r="CF1121" s="267"/>
      <c r="CG1121" s="267"/>
    </row>
    <row r="1122" spans="70:85" ht="12.75" customHeight="1" x14ac:dyDescent="0.25">
      <c r="BR1122" s="177"/>
      <c r="BS1122" s="177"/>
      <c r="BT1122" s="267"/>
      <c r="BU1122" s="267"/>
      <c r="BV1122" s="267"/>
      <c r="BW1122" s="267"/>
      <c r="BX1122" s="267"/>
      <c r="BY1122" s="267"/>
      <c r="BZ1122" s="267"/>
      <c r="CA1122" s="267"/>
      <c r="CB1122" s="267"/>
      <c r="CC1122" s="267"/>
      <c r="CD1122" s="267"/>
      <c r="CE1122" s="267"/>
      <c r="CF1122" s="267"/>
      <c r="CG1122" s="267"/>
    </row>
    <row r="1123" spans="70:85" ht="12.75" customHeight="1" x14ac:dyDescent="0.25">
      <c r="BR1123" s="177"/>
      <c r="BS1123" s="177"/>
      <c r="BT1123" s="267"/>
      <c r="BU1123" s="267"/>
      <c r="BV1123" s="267"/>
      <c r="BW1123" s="267"/>
      <c r="BX1123" s="267"/>
      <c r="BY1123" s="267"/>
      <c r="BZ1123" s="267"/>
      <c r="CA1123" s="267"/>
      <c r="CB1123" s="267"/>
      <c r="CC1123" s="267"/>
      <c r="CD1123" s="267"/>
      <c r="CE1123" s="267"/>
      <c r="CF1123" s="267"/>
      <c r="CG1123" s="267"/>
    </row>
    <row r="1124" spans="70:85" ht="12.75" customHeight="1" x14ac:dyDescent="0.25">
      <c r="BR1124" s="177"/>
      <c r="BS1124" s="177"/>
      <c r="BT1124" s="267"/>
      <c r="BU1124" s="267"/>
      <c r="BV1124" s="267"/>
      <c r="BW1124" s="267"/>
      <c r="BX1124" s="267"/>
      <c r="BY1124" s="267"/>
      <c r="BZ1124" s="267"/>
      <c r="CA1124" s="267"/>
      <c r="CB1124" s="267"/>
      <c r="CC1124" s="267"/>
      <c r="CD1124" s="267"/>
      <c r="CE1124" s="267"/>
      <c r="CF1124" s="267"/>
      <c r="CG1124" s="267"/>
    </row>
    <row r="1125" spans="70:85" ht="12.75" customHeight="1" x14ac:dyDescent="0.25">
      <c r="BR1125" s="177"/>
      <c r="BS1125" s="177"/>
      <c r="BT1125" s="267"/>
      <c r="BU1125" s="267"/>
      <c r="BV1125" s="267"/>
      <c r="BW1125" s="267"/>
      <c r="BX1125" s="267"/>
      <c r="BY1125" s="267"/>
      <c r="BZ1125" s="267"/>
      <c r="CA1125" s="267"/>
      <c r="CB1125" s="267"/>
      <c r="CC1125" s="267"/>
      <c r="CD1125" s="267"/>
      <c r="CE1125" s="267"/>
      <c r="CF1125" s="267"/>
      <c r="CG1125" s="267"/>
    </row>
    <row r="1126" spans="70:85" ht="12.75" customHeight="1" x14ac:dyDescent="0.25">
      <c r="BR1126" s="177"/>
      <c r="BS1126" s="177"/>
      <c r="BT1126" s="267"/>
      <c r="BU1126" s="267"/>
      <c r="BV1126" s="267"/>
      <c r="BW1126" s="267"/>
      <c r="BX1126" s="267"/>
      <c r="BY1126" s="267"/>
      <c r="BZ1126" s="267"/>
      <c r="CA1126" s="267"/>
      <c r="CB1126" s="267"/>
      <c r="CC1126" s="267"/>
      <c r="CD1126" s="267"/>
      <c r="CE1126" s="267"/>
      <c r="CF1126" s="267"/>
      <c r="CG1126" s="267"/>
    </row>
    <row r="1127" spans="70:85" ht="12.75" customHeight="1" x14ac:dyDescent="0.25">
      <c r="BR1127" s="177"/>
      <c r="BS1127" s="177"/>
      <c r="BT1127" s="267"/>
      <c r="BU1127" s="267"/>
      <c r="BV1127" s="267"/>
      <c r="BW1127" s="267"/>
      <c r="BX1127" s="267"/>
      <c r="BY1127" s="267"/>
      <c r="BZ1127" s="267"/>
      <c r="CA1127" s="267"/>
      <c r="CB1127" s="267"/>
      <c r="CC1127" s="267"/>
      <c r="CD1127" s="267"/>
      <c r="CE1127" s="267"/>
      <c r="CF1127" s="267"/>
      <c r="CG1127" s="267"/>
    </row>
    <row r="1128" spans="70:85" ht="12.75" customHeight="1" x14ac:dyDescent="0.25">
      <c r="BR1128" s="177"/>
      <c r="BS1128" s="177"/>
      <c r="BT1128" s="267"/>
      <c r="BU1128" s="267"/>
      <c r="BV1128" s="267"/>
      <c r="BW1128" s="267"/>
      <c r="BX1128" s="267"/>
      <c r="BY1128" s="267"/>
      <c r="BZ1128" s="267"/>
      <c r="CA1128" s="267"/>
      <c r="CB1128" s="267"/>
      <c r="CC1128" s="267"/>
      <c r="CD1128" s="267"/>
      <c r="CE1128" s="267"/>
      <c r="CF1128" s="267"/>
      <c r="CG1128" s="267"/>
    </row>
    <row r="1129" spans="70:85" ht="12.75" customHeight="1" x14ac:dyDescent="0.25">
      <c r="BR1129" s="177"/>
      <c r="BS1129" s="177"/>
      <c r="BT1129" s="267"/>
      <c r="BU1129" s="267"/>
      <c r="BV1129" s="267"/>
      <c r="BW1129" s="267"/>
      <c r="BX1129" s="267"/>
      <c r="BY1129" s="267"/>
      <c r="BZ1129" s="267"/>
      <c r="CA1129" s="267"/>
      <c r="CB1129" s="267"/>
      <c r="CC1129" s="267"/>
      <c r="CD1129" s="267"/>
      <c r="CE1129" s="267"/>
      <c r="CF1129" s="267"/>
      <c r="CG1129" s="267"/>
    </row>
    <row r="1130" spans="70:85" ht="12.75" customHeight="1" x14ac:dyDescent="0.25">
      <c r="BR1130" s="177"/>
      <c r="BS1130" s="177"/>
      <c r="BT1130" s="267"/>
      <c r="BU1130" s="267"/>
      <c r="BV1130" s="267"/>
      <c r="BW1130" s="267"/>
      <c r="BX1130" s="267"/>
      <c r="BY1130" s="267"/>
      <c r="BZ1130" s="267"/>
      <c r="CA1130" s="267"/>
      <c r="CB1130" s="267"/>
      <c r="CC1130" s="267"/>
      <c r="CD1130" s="267"/>
      <c r="CE1130" s="267"/>
      <c r="CF1130" s="267"/>
      <c r="CG1130" s="267"/>
    </row>
    <row r="1131" spans="70:85" ht="12.75" customHeight="1" x14ac:dyDescent="0.25">
      <c r="BR1131" s="177"/>
      <c r="BS1131" s="177"/>
      <c r="BT1131" s="267"/>
      <c r="BU1131" s="267"/>
      <c r="BV1131" s="267"/>
      <c r="BW1131" s="267"/>
      <c r="BX1131" s="267"/>
      <c r="BY1131" s="267"/>
      <c r="BZ1131" s="267"/>
      <c r="CA1131" s="267"/>
      <c r="CB1131" s="267"/>
      <c r="CC1131" s="267"/>
      <c r="CD1131" s="267"/>
      <c r="CE1131" s="267"/>
      <c r="CF1131" s="267"/>
      <c r="CG1131" s="267"/>
    </row>
    <row r="1132" spans="70:85" ht="12.75" customHeight="1" x14ac:dyDescent="0.25">
      <c r="BR1132" s="177"/>
      <c r="BS1132" s="177"/>
      <c r="BT1132" s="267"/>
      <c r="BU1132" s="267"/>
      <c r="BV1132" s="267"/>
      <c r="BW1132" s="267"/>
      <c r="BX1132" s="267"/>
      <c r="BY1132" s="267"/>
      <c r="BZ1132" s="267"/>
      <c r="CA1132" s="267"/>
      <c r="CB1132" s="267"/>
      <c r="CC1132" s="267"/>
      <c r="CD1132" s="267"/>
      <c r="CE1132" s="267"/>
      <c r="CF1132" s="267"/>
      <c r="CG1132" s="267"/>
    </row>
    <row r="1133" spans="70:85" ht="12.75" customHeight="1" x14ac:dyDescent="0.25">
      <c r="BR1133" s="177"/>
      <c r="BS1133" s="177"/>
      <c r="BT1133" s="267"/>
      <c r="BU1133" s="267"/>
      <c r="BV1133" s="267"/>
      <c r="BW1133" s="267"/>
      <c r="BX1133" s="267"/>
      <c r="BY1133" s="267"/>
      <c r="BZ1133" s="267"/>
      <c r="CA1133" s="267"/>
      <c r="CB1133" s="267"/>
      <c r="CC1133" s="267"/>
      <c r="CD1133" s="267"/>
      <c r="CE1133" s="267"/>
      <c r="CF1133" s="267"/>
      <c r="CG1133" s="267"/>
    </row>
    <row r="1134" spans="70:85" ht="12.75" customHeight="1" x14ac:dyDescent="0.25">
      <c r="BR1134" s="177"/>
      <c r="BS1134" s="177"/>
      <c r="BT1134" s="267"/>
      <c r="BU1134" s="267"/>
      <c r="BV1134" s="267"/>
      <c r="BW1134" s="267"/>
      <c r="BX1134" s="267"/>
      <c r="BY1134" s="267"/>
      <c r="BZ1134" s="267"/>
      <c r="CA1134" s="267"/>
      <c r="CB1134" s="267"/>
      <c r="CC1134" s="267"/>
      <c r="CD1134" s="267"/>
      <c r="CE1134" s="267"/>
      <c r="CF1134" s="267"/>
      <c r="CG1134" s="267"/>
    </row>
    <row r="1135" spans="70:85" ht="12.75" customHeight="1" x14ac:dyDescent="0.25">
      <c r="BR1135" s="177"/>
      <c r="BS1135" s="177"/>
      <c r="BT1135" s="267"/>
      <c r="BU1135" s="267"/>
      <c r="BV1135" s="267"/>
      <c r="BW1135" s="267"/>
      <c r="BX1135" s="267"/>
      <c r="BY1135" s="267"/>
      <c r="BZ1135" s="267"/>
      <c r="CA1135" s="267"/>
      <c r="CB1135" s="267"/>
      <c r="CC1135" s="267"/>
      <c r="CD1135" s="267"/>
      <c r="CE1135" s="267"/>
      <c r="CF1135" s="267"/>
      <c r="CG1135" s="267"/>
    </row>
    <row r="1136" spans="70:85" ht="12.75" customHeight="1" x14ac:dyDescent="0.25">
      <c r="BR1136" s="177"/>
      <c r="BS1136" s="177"/>
      <c r="BT1136" s="267"/>
      <c r="BU1136" s="267"/>
      <c r="BV1136" s="267"/>
      <c r="BW1136" s="267"/>
      <c r="BX1136" s="267"/>
      <c r="BY1136" s="267"/>
      <c r="BZ1136" s="267"/>
      <c r="CA1136" s="267"/>
      <c r="CB1136" s="267"/>
      <c r="CC1136" s="267"/>
      <c r="CD1136" s="267"/>
      <c r="CE1136" s="267"/>
      <c r="CF1136" s="267"/>
      <c r="CG1136" s="267"/>
    </row>
    <row r="1137" spans="70:85" ht="12.75" customHeight="1" x14ac:dyDescent="0.25">
      <c r="BR1137" s="177"/>
      <c r="BS1137" s="177"/>
      <c r="BT1137" s="267"/>
      <c r="BU1137" s="267"/>
      <c r="BV1137" s="267"/>
      <c r="BW1137" s="267"/>
      <c r="BX1137" s="267"/>
      <c r="BY1137" s="267"/>
      <c r="BZ1137" s="267"/>
      <c r="CA1137" s="267"/>
      <c r="CB1137" s="267"/>
      <c r="CC1137" s="267"/>
      <c r="CD1137" s="267"/>
      <c r="CE1137" s="267"/>
      <c r="CF1137" s="267"/>
      <c r="CG1137" s="267"/>
    </row>
    <row r="1138" spans="70:85" ht="12.75" customHeight="1" x14ac:dyDescent="0.25">
      <c r="BR1138" s="177"/>
      <c r="BS1138" s="177"/>
      <c r="BT1138" s="267"/>
      <c r="BU1138" s="267"/>
      <c r="BV1138" s="267"/>
      <c r="BW1138" s="267"/>
      <c r="BX1138" s="267"/>
      <c r="BY1138" s="267"/>
      <c r="BZ1138" s="267"/>
      <c r="CA1138" s="267"/>
      <c r="CB1138" s="267"/>
      <c r="CC1138" s="267"/>
      <c r="CD1138" s="267"/>
      <c r="CE1138" s="267"/>
      <c r="CF1138" s="267"/>
      <c r="CG1138" s="267"/>
    </row>
    <row r="1139" spans="70:85" ht="12.75" customHeight="1" x14ac:dyDescent="0.25">
      <c r="BR1139" s="177"/>
      <c r="BS1139" s="177"/>
      <c r="BT1139" s="267"/>
      <c r="BU1139" s="267"/>
      <c r="BV1139" s="267"/>
      <c r="BW1139" s="267"/>
      <c r="BX1139" s="267"/>
      <c r="BY1139" s="267"/>
      <c r="BZ1139" s="267"/>
      <c r="CA1139" s="267"/>
      <c r="CB1139" s="267"/>
      <c r="CC1139" s="267"/>
      <c r="CD1139" s="267"/>
      <c r="CE1139" s="267"/>
      <c r="CF1139" s="267"/>
      <c r="CG1139" s="267"/>
    </row>
    <row r="1140" spans="70:85" ht="12.75" customHeight="1" x14ac:dyDescent="0.25">
      <c r="BR1140" s="177"/>
      <c r="BS1140" s="177"/>
      <c r="BT1140" s="267"/>
      <c r="BU1140" s="267"/>
      <c r="BV1140" s="267"/>
      <c r="BW1140" s="267"/>
      <c r="BX1140" s="267"/>
      <c r="BY1140" s="267"/>
      <c r="BZ1140" s="267"/>
      <c r="CA1140" s="267"/>
      <c r="CB1140" s="267"/>
      <c r="CC1140" s="267"/>
      <c r="CD1140" s="267"/>
      <c r="CE1140" s="267"/>
      <c r="CF1140" s="267"/>
      <c r="CG1140" s="267"/>
    </row>
    <row r="1141" spans="70:85" ht="12.75" customHeight="1" x14ac:dyDescent="0.25">
      <c r="BR1141" s="177"/>
      <c r="BS1141" s="177"/>
      <c r="BT1141" s="267"/>
      <c r="BU1141" s="267"/>
      <c r="BV1141" s="267"/>
      <c r="BW1141" s="267"/>
      <c r="BX1141" s="267"/>
      <c r="BY1141" s="267"/>
      <c r="BZ1141" s="267"/>
      <c r="CA1141" s="267"/>
      <c r="CB1141" s="267"/>
      <c r="CC1141" s="267"/>
      <c r="CD1141" s="267"/>
      <c r="CE1141" s="267"/>
      <c r="CF1141" s="267"/>
      <c r="CG1141" s="267"/>
    </row>
    <row r="1142" spans="70:85" ht="12.75" customHeight="1" x14ac:dyDescent="0.25">
      <c r="BR1142" s="177"/>
      <c r="BS1142" s="177"/>
      <c r="BT1142" s="267"/>
      <c r="BU1142" s="267"/>
      <c r="BV1142" s="267"/>
      <c r="BW1142" s="267"/>
      <c r="BX1142" s="267"/>
      <c r="BY1142" s="267"/>
      <c r="BZ1142" s="267"/>
      <c r="CA1142" s="267"/>
      <c r="CB1142" s="267"/>
      <c r="CC1142" s="267"/>
      <c r="CD1142" s="267"/>
      <c r="CE1142" s="267"/>
      <c r="CF1142" s="267"/>
      <c r="CG1142" s="267"/>
    </row>
    <row r="1143" spans="70:85" ht="12.75" customHeight="1" x14ac:dyDescent="0.25">
      <c r="BR1143" s="177"/>
      <c r="BS1143" s="177"/>
      <c r="BT1143" s="267"/>
      <c r="BU1143" s="267"/>
      <c r="BV1143" s="267"/>
      <c r="BW1143" s="267"/>
      <c r="BX1143" s="267"/>
      <c r="BY1143" s="267"/>
      <c r="BZ1143" s="267"/>
      <c r="CA1143" s="267"/>
      <c r="CB1143" s="267"/>
      <c r="CC1143" s="267"/>
      <c r="CD1143" s="267"/>
      <c r="CE1143" s="267"/>
      <c r="CF1143" s="267"/>
      <c r="CG1143" s="267"/>
    </row>
    <row r="1144" spans="70:85" ht="12.75" customHeight="1" x14ac:dyDescent="0.25">
      <c r="BR1144" s="177"/>
      <c r="BS1144" s="177"/>
      <c r="BT1144" s="267"/>
      <c r="BU1144" s="267"/>
      <c r="BV1144" s="267"/>
      <c r="BW1144" s="267"/>
      <c r="BX1144" s="267"/>
      <c r="BY1144" s="267"/>
      <c r="BZ1144" s="267"/>
      <c r="CA1144" s="267"/>
      <c r="CB1144" s="267"/>
      <c r="CC1144" s="267"/>
      <c r="CD1144" s="267"/>
      <c r="CE1144" s="267"/>
      <c r="CF1144" s="267"/>
      <c r="CG1144" s="267"/>
    </row>
    <row r="1145" spans="70:85" ht="12.75" customHeight="1" x14ac:dyDescent="0.25">
      <c r="BR1145" s="177"/>
      <c r="BS1145" s="177"/>
      <c r="BT1145" s="267"/>
      <c r="BU1145" s="267"/>
      <c r="BV1145" s="267"/>
      <c r="BW1145" s="267"/>
      <c r="BX1145" s="267"/>
      <c r="BY1145" s="267"/>
      <c r="BZ1145" s="267"/>
      <c r="CA1145" s="267"/>
      <c r="CB1145" s="267"/>
      <c r="CC1145" s="267"/>
      <c r="CD1145" s="267"/>
      <c r="CE1145" s="267"/>
      <c r="CF1145" s="267"/>
      <c r="CG1145" s="267"/>
    </row>
    <row r="1146" spans="70:85" ht="12.75" customHeight="1" x14ac:dyDescent="0.25">
      <c r="BR1146" s="177"/>
      <c r="BS1146" s="177"/>
      <c r="BT1146" s="267"/>
      <c r="BU1146" s="267"/>
      <c r="BV1146" s="267"/>
      <c r="BW1146" s="267"/>
      <c r="BX1146" s="267"/>
      <c r="BY1146" s="267"/>
      <c r="BZ1146" s="267"/>
      <c r="CA1146" s="267"/>
      <c r="CB1146" s="267"/>
      <c r="CC1146" s="267"/>
      <c r="CD1146" s="267"/>
      <c r="CE1146" s="267"/>
      <c r="CF1146" s="267"/>
      <c r="CG1146" s="267"/>
    </row>
    <row r="1147" spans="70:85" ht="12.75" customHeight="1" x14ac:dyDescent="0.25">
      <c r="BR1147" s="177"/>
      <c r="BS1147" s="177"/>
      <c r="BT1147" s="267"/>
      <c r="BU1147" s="267"/>
      <c r="BV1147" s="267"/>
      <c r="BW1147" s="267"/>
      <c r="BX1147" s="267"/>
      <c r="BY1147" s="267"/>
      <c r="BZ1147" s="267"/>
      <c r="CA1147" s="267"/>
      <c r="CB1147" s="267"/>
      <c r="CC1147" s="267"/>
      <c r="CD1147" s="267"/>
      <c r="CE1147" s="267"/>
      <c r="CF1147" s="267"/>
      <c r="CG1147" s="267"/>
    </row>
    <row r="1148" spans="70:85" ht="12.75" customHeight="1" x14ac:dyDescent="0.25">
      <c r="BR1148" s="177"/>
      <c r="BS1148" s="177"/>
      <c r="BT1148" s="267"/>
      <c r="BU1148" s="267"/>
      <c r="BV1148" s="267"/>
      <c r="BW1148" s="267"/>
      <c r="BX1148" s="267"/>
      <c r="BY1148" s="267"/>
      <c r="BZ1148" s="267"/>
      <c r="CA1148" s="267"/>
      <c r="CB1148" s="267"/>
      <c r="CC1148" s="267"/>
      <c r="CD1148" s="267"/>
      <c r="CE1148" s="267"/>
      <c r="CF1148" s="267"/>
      <c r="CG1148" s="267"/>
    </row>
    <row r="1149" spans="70:85" ht="12.75" customHeight="1" x14ac:dyDescent="0.25">
      <c r="BR1149" s="177"/>
      <c r="BS1149" s="177"/>
      <c r="BT1149" s="267"/>
      <c r="BU1149" s="267"/>
      <c r="BV1149" s="267"/>
      <c r="BW1149" s="267"/>
      <c r="BX1149" s="267"/>
      <c r="BY1149" s="267"/>
      <c r="BZ1149" s="267"/>
      <c r="CA1149" s="267"/>
      <c r="CB1149" s="267"/>
      <c r="CC1149" s="267"/>
      <c r="CD1149" s="267"/>
      <c r="CE1149" s="267"/>
      <c r="CF1149" s="267"/>
      <c r="CG1149" s="267"/>
    </row>
    <row r="1150" spans="70:85" ht="12.75" customHeight="1" x14ac:dyDescent="0.25">
      <c r="BR1150" s="177"/>
      <c r="BS1150" s="177"/>
      <c r="BT1150" s="267"/>
      <c r="BU1150" s="267"/>
      <c r="BV1150" s="267"/>
      <c r="BW1150" s="267"/>
      <c r="BX1150" s="267"/>
      <c r="BY1150" s="267"/>
      <c r="BZ1150" s="267"/>
      <c r="CA1150" s="267"/>
      <c r="CB1150" s="267"/>
      <c r="CC1150" s="267"/>
      <c r="CD1150" s="267"/>
      <c r="CE1150" s="267"/>
      <c r="CF1150" s="267"/>
      <c r="CG1150" s="267"/>
    </row>
    <row r="1151" spans="70:85" ht="12.75" customHeight="1" x14ac:dyDescent="0.25">
      <c r="BR1151" s="177"/>
      <c r="BS1151" s="177"/>
      <c r="BT1151" s="267"/>
      <c r="BU1151" s="267"/>
      <c r="BV1151" s="267"/>
      <c r="BW1151" s="267"/>
      <c r="BX1151" s="267"/>
      <c r="BY1151" s="267"/>
      <c r="BZ1151" s="267"/>
      <c r="CA1151" s="267"/>
      <c r="CB1151" s="267"/>
      <c r="CC1151" s="267"/>
      <c r="CD1151" s="267"/>
      <c r="CE1151" s="267"/>
      <c r="CF1151" s="267"/>
      <c r="CG1151" s="267"/>
    </row>
    <row r="1152" spans="70:85" ht="12.75" customHeight="1" x14ac:dyDescent="0.25">
      <c r="BR1152" s="177"/>
      <c r="BS1152" s="177"/>
      <c r="BT1152" s="267"/>
      <c r="BU1152" s="267"/>
      <c r="BV1152" s="267"/>
      <c r="BW1152" s="267"/>
      <c r="BX1152" s="267"/>
      <c r="BY1152" s="267"/>
      <c r="BZ1152" s="267"/>
      <c r="CA1152" s="267"/>
      <c r="CB1152" s="267"/>
      <c r="CC1152" s="267"/>
      <c r="CD1152" s="267"/>
      <c r="CE1152" s="267"/>
      <c r="CF1152" s="267"/>
      <c r="CG1152" s="267"/>
    </row>
    <row r="1153" spans="70:85" ht="12.75" customHeight="1" x14ac:dyDescent="0.25">
      <c r="BR1153" s="177"/>
      <c r="BS1153" s="177"/>
      <c r="BT1153" s="267"/>
      <c r="BU1153" s="267"/>
      <c r="BV1153" s="267"/>
      <c r="BW1153" s="267"/>
      <c r="BX1153" s="267"/>
      <c r="BY1153" s="267"/>
      <c r="BZ1153" s="267"/>
      <c r="CA1153" s="267"/>
      <c r="CB1153" s="267"/>
      <c r="CC1153" s="267"/>
      <c r="CD1153" s="267"/>
      <c r="CE1153" s="267"/>
      <c r="CF1153" s="267"/>
      <c r="CG1153" s="267"/>
    </row>
    <row r="1154" spans="70:85" ht="12.75" customHeight="1" x14ac:dyDescent="0.25">
      <c r="BR1154" s="177"/>
      <c r="BS1154" s="177"/>
      <c r="BT1154" s="267"/>
      <c r="BU1154" s="267"/>
      <c r="BV1154" s="267"/>
      <c r="BW1154" s="267"/>
      <c r="BX1154" s="267"/>
      <c r="BY1154" s="267"/>
      <c r="BZ1154" s="267"/>
      <c r="CA1154" s="267"/>
      <c r="CB1154" s="267"/>
      <c r="CC1154" s="267"/>
      <c r="CD1154" s="267"/>
      <c r="CE1154" s="267"/>
      <c r="CF1154" s="267"/>
      <c r="CG1154" s="267"/>
    </row>
    <row r="1155" spans="70:85" ht="12.75" customHeight="1" x14ac:dyDescent="0.25">
      <c r="BR1155" s="177"/>
      <c r="BS1155" s="177"/>
      <c r="BT1155" s="267"/>
      <c r="BU1155" s="267"/>
      <c r="BV1155" s="267"/>
      <c r="BW1155" s="267"/>
      <c r="BX1155" s="267"/>
      <c r="BY1155" s="267"/>
      <c r="BZ1155" s="267"/>
      <c r="CA1155" s="267"/>
      <c r="CB1155" s="267"/>
      <c r="CC1155" s="267"/>
      <c r="CD1155" s="267"/>
      <c r="CE1155" s="267"/>
      <c r="CF1155" s="267"/>
      <c r="CG1155" s="267"/>
    </row>
    <row r="1156" spans="70:85" ht="12.75" customHeight="1" x14ac:dyDescent="0.25">
      <c r="BR1156" s="177"/>
      <c r="BS1156" s="177"/>
      <c r="BT1156" s="267"/>
      <c r="BU1156" s="267"/>
      <c r="BV1156" s="267"/>
      <c r="BW1156" s="267"/>
      <c r="BX1156" s="267"/>
      <c r="BY1156" s="267"/>
      <c r="BZ1156" s="267"/>
      <c r="CA1156" s="267"/>
      <c r="CB1156" s="267"/>
      <c r="CC1156" s="267"/>
      <c r="CD1156" s="267"/>
      <c r="CE1156" s="267"/>
      <c r="CF1156" s="267"/>
      <c r="CG1156" s="267"/>
    </row>
    <row r="1157" spans="70:85" ht="12.75" customHeight="1" x14ac:dyDescent="0.25">
      <c r="BR1157" s="177"/>
      <c r="BS1157" s="177"/>
      <c r="BT1157" s="267"/>
      <c r="BU1157" s="267"/>
      <c r="BV1157" s="267"/>
      <c r="BW1157" s="267"/>
      <c r="BX1157" s="267"/>
      <c r="BY1157" s="267"/>
      <c r="BZ1157" s="267"/>
      <c r="CA1157" s="267"/>
      <c r="CB1157" s="267"/>
      <c r="CC1157" s="267"/>
      <c r="CD1157" s="267"/>
      <c r="CE1157" s="267"/>
      <c r="CF1157" s="267"/>
      <c r="CG1157" s="267"/>
    </row>
    <row r="1158" spans="70:85" ht="12.75" customHeight="1" x14ac:dyDescent="0.25">
      <c r="BR1158" s="177"/>
      <c r="BS1158" s="177"/>
      <c r="BT1158" s="267"/>
      <c r="BU1158" s="267"/>
      <c r="BV1158" s="267"/>
      <c r="BW1158" s="267"/>
      <c r="BX1158" s="267"/>
      <c r="BY1158" s="267"/>
      <c r="BZ1158" s="267"/>
      <c r="CA1158" s="267"/>
      <c r="CB1158" s="267"/>
      <c r="CC1158" s="267"/>
      <c r="CD1158" s="267"/>
      <c r="CE1158" s="267"/>
      <c r="CF1158" s="267"/>
      <c r="CG1158" s="267"/>
    </row>
    <row r="1159" spans="70:85" ht="12.75" customHeight="1" x14ac:dyDescent="0.25">
      <c r="BR1159" s="177"/>
      <c r="BS1159" s="177"/>
      <c r="BT1159" s="267"/>
      <c r="BU1159" s="267"/>
      <c r="BV1159" s="267"/>
      <c r="BW1159" s="267"/>
      <c r="BX1159" s="267"/>
      <c r="BY1159" s="267"/>
      <c r="BZ1159" s="267"/>
      <c r="CA1159" s="267"/>
      <c r="CB1159" s="267"/>
      <c r="CC1159" s="267"/>
      <c r="CD1159" s="267"/>
      <c r="CE1159" s="267"/>
      <c r="CF1159" s="267"/>
      <c r="CG1159" s="267"/>
    </row>
    <row r="1160" spans="70:85" ht="12.75" customHeight="1" x14ac:dyDescent="0.25">
      <c r="BR1160" s="177"/>
      <c r="BS1160" s="177"/>
      <c r="BT1160" s="267"/>
      <c r="BU1160" s="267"/>
      <c r="BV1160" s="267"/>
      <c r="BW1160" s="267"/>
      <c r="BX1160" s="267"/>
      <c r="BY1160" s="267"/>
      <c r="BZ1160" s="267"/>
      <c r="CA1160" s="267"/>
      <c r="CB1160" s="267"/>
      <c r="CC1160" s="267"/>
      <c r="CD1160" s="267"/>
      <c r="CE1160" s="267"/>
      <c r="CF1160" s="267"/>
      <c r="CG1160" s="267"/>
    </row>
    <row r="1161" spans="70:85" ht="12.75" customHeight="1" x14ac:dyDescent="0.25">
      <c r="BR1161" s="177"/>
      <c r="BS1161" s="177"/>
      <c r="BT1161" s="267"/>
      <c r="BU1161" s="267"/>
      <c r="BV1161" s="267"/>
      <c r="BW1161" s="267"/>
      <c r="BX1161" s="267"/>
      <c r="BY1161" s="267"/>
      <c r="BZ1161" s="267"/>
      <c r="CA1161" s="267"/>
      <c r="CB1161" s="267"/>
      <c r="CC1161" s="267"/>
      <c r="CD1161" s="267"/>
      <c r="CE1161" s="267"/>
      <c r="CF1161" s="267"/>
      <c r="CG1161" s="267"/>
    </row>
    <row r="1162" spans="70:85" ht="12.75" customHeight="1" x14ac:dyDescent="0.25">
      <c r="BR1162" s="177"/>
      <c r="BS1162" s="177"/>
      <c r="BT1162" s="267"/>
      <c r="BU1162" s="267"/>
      <c r="BV1162" s="267"/>
      <c r="BW1162" s="267"/>
      <c r="BX1162" s="267"/>
      <c r="BY1162" s="267"/>
      <c r="BZ1162" s="267"/>
      <c r="CA1162" s="267"/>
      <c r="CB1162" s="267"/>
      <c r="CC1162" s="267"/>
      <c r="CD1162" s="267"/>
      <c r="CE1162" s="267"/>
      <c r="CF1162" s="267"/>
      <c r="CG1162" s="267"/>
    </row>
    <row r="1163" spans="70:85" ht="12.75" customHeight="1" x14ac:dyDescent="0.25">
      <c r="BR1163" s="177"/>
      <c r="BS1163" s="177"/>
      <c r="BT1163" s="267"/>
      <c r="BU1163" s="267"/>
      <c r="BV1163" s="267"/>
      <c r="BW1163" s="267"/>
      <c r="BX1163" s="267"/>
      <c r="BY1163" s="267"/>
      <c r="BZ1163" s="267"/>
      <c r="CA1163" s="267"/>
      <c r="CB1163" s="267"/>
      <c r="CC1163" s="267"/>
      <c r="CD1163" s="267"/>
      <c r="CE1163" s="267"/>
      <c r="CF1163" s="267"/>
      <c r="CG1163" s="267"/>
    </row>
    <row r="1164" spans="70:85" ht="12.75" customHeight="1" x14ac:dyDescent="0.25">
      <c r="BR1164" s="177"/>
      <c r="BS1164" s="177"/>
      <c r="BT1164" s="267"/>
      <c r="BU1164" s="267"/>
      <c r="BV1164" s="267"/>
      <c r="BW1164" s="267"/>
      <c r="BX1164" s="267"/>
      <c r="BY1164" s="267"/>
      <c r="BZ1164" s="267"/>
      <c r="CA1164" s="267"/>
      <c r="CB1164" s="267"/>
      <c r="CC1164" s="267"/>
      <c r="CD1164" s="267"/>
      <c r="CE1164" s="267"/>
      <c r="CF1164" s="267"/>
      <c r="CG1164" s="267"/>
    </row>
    <row r="1165" spans="70:85" ht="12.75" customHeight="1" x14ac:dyDescent="0.25">
      <c r="BR1165" s="177"/>
      <c r="BS1165" s="177"/>
      <c r="BT1165" s="267"/>
      <c r="BU1165" s="267"/>
      <c r="BV1165" s="267"/>
      <c r="BW1165" s="267"/>
      <c r="BX1165" s="267"/>
      <c r="BY1165" s="267"/>
      <c r="BZ1165" s="267"/>
      <c r="CA1165" s="267"/>
      <c r="CB1165" s="267"/>
      <c r="CC1165" s="267"/>
      <c r="CD1165" s="267"/>
      <c r="CE1165" s="267"/>
      <c r="CF1165" s="267"/>
      <c r="CG1165" s="267"/>
    </row>
    <row r="1166" spans="70:85" ht="12.75" customHeight="1" x14ac:dyDescent="0.25">
      <c r="BR1166" s="177"/>
      <c r="BS1166" s="177"/>
      <c r="BT1166" s="267"/>
      <c r="BU1166" s="267"/>
      <c r="BV1166" s="267"/>
      <c r="BW1166" s="267"/>
      <c r="BX1166" s="267"/>
      <c r="BY1166" s="267"/>
      <c r="BZ1166" s="267"/>
      <c r="CA1166" s="267"/>
      <c r="CB1166" s="267"/>
      <c r="CC1166" s="267"/>
      <c r="CD1166" s="267"/>
      <c r="CE1166" s="267"/>
      <c r="CF1166" s="267"/>
      <c r="CG1166" s="267"/>
    </row>
    <row r="1167" spans="70:85" ht="12.75" customHeight="1" x14ac:dyDescent="0.25">
      <c r="BR1167" s="177"/>
      <c r="BS1167" s="177"/>
      <c r="BT1167" s="267"/>
      <c r="BU1167" s="267"/>
      <c r="BV1167" s="267"/>
      <c r="BW1167" s="267"/>
      <c r="BX1167" s="267"/>
      <c r="BY1167" s="267"/>
      <c r="BZ1167" s="267"/>
      <c r="CA1167" s="267"/>
      <c r="CB1167" s="267"/>
      <c r="CC1167" s="267"/>
      <c r="CD1167" s="267"/>
      <c r="CE1167" s="267"/>
      <c r="CF1167" s="267"/>
      <c r="CG1167" s="267"/>
    </row>
    <row r="1168" spans="70:85" ht="12.75" customHeight="1" x14ac:dyDescent="0.25">
      <c r="BR1168" s="177"/>
      <c r="BS1168" s="177"/>
      <c r="BT1168" s="267"/>
      <c r="BU1168" s="267"/>
      <c r="BV1168" s="267"/>
      <c r="BW1168" s="267"/>
      <c r="BX1168" s="267"/>
      <c r="BY1168" s="267"/>
      <c r="BZ1168" s="267"/>
      <c r="CA1168" s="267"/>
      <c r="CB1168" s="267"/>
      <c r="CC1168" s="267"/>
      <c r="CD1168" s="267"/>
      <c r="CE1168" s="267"/>
      <c r="CF1168" s="267"/>
      <c r="CG1168" s="267"/>
    </row>
    <row r="1169" spans="70:85" ht="12.75" customHeight="1" x14ac:dyDescent="0.25">
      <c r="BR1169" s="177"/>
      <c r="BS1169" s="177"/>
      <c r="BT1169" s="267"/>
      <c r="BU1169" s="267"/>
      <c r="BV1169" s="267"/>
      <c r="BW1169" s="267"/>
      <c r="BX1169" s="267"/>
      <c r="BY1169" s="267"/>
      <c r="BZ1169" s="267"/>
      <c r="CA1169" s="267"/>
      <c r="CB1169" s="267"/>
      <c r="CC1169" s="267"/>
      <c r="CD1169" s="267"/>
      <c r="CE1169" s="267"/>
      <c r="CF1169" s="267"/>
      <c r="CG1169" s="267"/>
    </row>
    <row r="1170" spans="70:85" ht="12.75" customHeight="1" x14ac:dyDescent="0.25">
      <c r="BR1170" s="177"/>
      <c r="BS1170" s="177"/>
      <c r="BT1170" s="267"/>
      <c r="BU1170" s="267"/>
      <c r="BV1170" s="267"/>
      <c r="BW1170" s="267"/>
      <c r="BX1170" s="267"/>
      <c r="BY1170" s="267"/>
      <c r="BZ1170" s="267"/>
      <c r="CA1170" s="267"/>
      <c r="CB1170" s="267"/>
      <c r="CC1170" s="267"/>
      <c r="CD1170" s="267"/>
      <c r="CE1170" s="267"/>
      <c r="CF1170" s="267"/>
      <c r="CG1170" s="267"/>
    </row>
    <row r="1171" spans="70:85" ht="12.75" customHeight="1" x14ac:dyDescent="0.25">
      <c r="BR1171" s="177"/>
      <c r="BS1171" s="177"/>
      <c r="BT1171" s="267"/>
      <c r="BU1171" s="267"/>
      <c r="BV1171" s="267"/>
      <c r="BW1171" s="267"/>
      <c r="BX1171" s="267"/>
      <c r="BY1171" s="267"/>
      <c r="BZ1171" s="267"/>
      <c r="CA1171" s="267"/>
      <c r="CB1171" s="267"/>
      <c r="CC1171" s="267"/>
      <c r="CD1171" s="267"/>
      <c r="CE1171" s="267"/>
      <c r="CF1171" s="267"/>
      <c r="CG1171" s="267"/>
    </row>
    <row r="1172" spans="70:85" ht="12.75" customHeight="1" x14ac:dyDescent="0.25">
      <c r="BR1172" s="177"/>
      <c r="BS1172" s="177"/>
      <c r="BT1172" s="267"/>
      <c r="BU1172" s="267"/>
      <c r="BV1172" s="267"/>
      <c r="BW1172" s="267"/>
      <c r="BX1172" s="267"/>
      <c r="BY1172" s="267"/>
      <c r="BZ1172" s="267"/>
      <c r="CA1172" s="267"/>
      <c r="CB1172" s="267"/>
      <c r="CC1172" s="267"/>
      <c r="CD1172" s="267"/>
      <c r="CE1172" s="267"/>
      <c r="CF1172" s="267"/>
      <c r="CG1172" s="267"/>
    </row>
    <row r="1173" spans="70:85" ht="12.75" customHeight="1" x14ac:dyDescent="0.25">
      <c r="BR1173" s="177"/>
      <c r="BS1173" s="177"/>
      <c r="BT1173" s="267"/>
      <c r="BU1173" s="267"/>
      <c r="BV1173" s="267"/>
      <c r="BW1173" s="267"/>
      <c r="BX1173" s="267"/>
      <c r="BY1173" s="267"/>
      <c r="BZ1173" s="267"/>
      <c r="CA1173" s="267"/>
      <c r="CB1173" s="267"/>
      <c r="CC1173" s="267"/>
      <c r="CD1173" s="267"/>
      <c r="CE1173" s="267"/>
      <c r="CF1173" s="267"/>
      <c r="CG1173" s="267"/>
    </row>
    <row r="1174" spans="70:85" ht="12.75" customHeight="1" x14ac:dyDescent="0.25">
      <c r="BR1174" s="177"/>
      <c r="BS1174" s="177"/>
      <c r="BT1174" s="267"/>
      <c r="BU1174" s="267"/>
      <c r="BV1174" s="267"/>
      <c r="BW1174" s="267"/>
      <c r="BX1174" s="267"/>
      <c r="BY1174" s="267"/>
      <c r="BZ1174" s="267"/>
      <c r="CA1174" s="267"/>
      <c r="CB1174" s="267"/>
      <c r="CC1174" s="267"/>
      <c r="CD1174" s="267"/>
      <c r="CE1174" s="267"/>
      <c r="CF1174" s="267"/>
      <c r="CG1174" s="267"/>
    </row>
    <row r="1175" spans="70:85" ht="12.75" customHeight="1" x14ac:dyDescent="0.25">
      <c r="BR1175" s="177"/>
      <c r="BS1175" s="177"/>
      <c r="BT1175" s="267"/>
      <c r="BU1175" s="267"/>
      <c r="BV1175" s="267"/>
      <c r="BW1175" s="267"/>
      <c r="BX1175" s="267"/>
      <c r="BY1175" s="267"/>
      <c r="BZ1175" s="267"/>
      <c r="CA1175" s="267"/>
      <c r="CB1175" s="267"/>
      <c r="CC1175" s="267"/>
      <c r="CD1175" s="267"/>
      <c r="CE1175" s="267"/>
      <c r="CF1175" s="267"/>
      <c r="CG1175" s="267"/>
    </row>
    <row r="1176" spans="70:85" ht="12.75" customHeight="1" x14ac:dyDescent="0.25">
      <c r="BR1176" s="177"/>
      <c r="BS1176" s="177"/>
      <c r="BT1176" s="267"/>
      <c r="BU1176" s="267"/>
      <c r="BV1176" s="267"/>
      <c r="BW1176" s="267"/>
      <c r="BX1176" s="267"/>
      <c r="BY1176" s="267"/>
      <c r="BZ1176" s="267"/>
      <c r="CA1176" s="267"/>
      <c r="CB1176" s="267"/>
      <c r="CC1176" s="267"/>
      <c r="CD1176" s="267"/>
      <c r="CE1176" s="267"/>
      <c r="CF1176" s="267"/>
      <c r="CG1176" s="267"/>
    </row>
    <row r="1177" spans="70:85" ht="12.75" customHeight="1" x14ac:dyDescent="0.25">
      <c r="BR1177" s="177"/>
      <c r="BS1177" s="177"/>
      <c r="BT1177" s="267"/>
      <c r="BU1177" s="267"/>
      <c r="BV1177" s="267"/>
      <c r="BW1177" s="267"/>
      <c r="BX1177" s="267"/>
      <c r="BY1177" s="267"/>
      <c r="BZ1177" s="267"/>
      <c r="CA1177" s="267"/>
      <c r="CB1177" s="267"/>
      <c r="CC1177" s="267"/>
      <c r="CD1177" s="267"/>
      <c r="CE1177" s="267"/>
      <c r="CF1177" s="267"/>
      <c r="CG1177" s="267"/>
    </row>
    <row r="1178" spans="70:85" ht="12.75" customHeight="1" x14ac:dyDescent="0.25">
      <c r="BR1178" s="177"/>
      <c r="BS1178" s="177"/>
      <c r="BT1178" s="267"/>
      <c r="BU1178" s="267"/>
      <c r="BV1178" s="267"/>
      <c r="BW1178" s="267"/>
      <c r="BX1178" s="267"/>
      <c r="BY1178" s="267"/>
      <c r="BZ1178" s="267"/>
      <c r="CA1178" s="267"/>
      <c r="CB1178" s="267"/>
      <c r="CC1178" s="267"/>
      <c r="CD1178" s="267"/>
      <c r="CE1178" s="267"/>
      <c r="CF1178" s="267"/>
      <c r="CG1178" s="267"/>
    </row>
    <row r="1179" spans="70:85" ht="12.75" customHeight="1" x14ac:dyDescent="0.25">
      <c r="BR1179" s="177"/>
      <c r="BS1179" s="177"/>
      <c r="BT1179" s="267"/>
      <c r="BU1179" s="267"/>
      <c r="BV1179" s="267"/>
      <c r="BW1179" s="267"/>
      <c r="BX1179" s="267"/>
      <c r="BY1179" s="267"/>
      <c r="BZ1179" s="267"/>
      <c r="CA1179" s="267"/>
      <c r="CB1179" s="267"/>
      <c r="CC1179" s="267"/>
      <c r="CD1179" s="267"/>
      <c r="CE1179" s="267"/>
      <c r="CF1179" s="267"/>
      <c r="CG1179" s="267"/>
    </row>
    <row r="1180" spans="70:85" ht="12.75" customHeight="1" x14ac:dyDescent="0.25">
      <c r="BR1180" s="177"/>
      <c r="BS1180" s="177"/>
      <c r="BT1180" s="267"/>
      <c r="BU1180" s="267"/>
      <c r="BV1180" s="267"/>
      <c r="BW1180" s="267"/>
      <c r="BX1180" s="267"/>
      <c r="BY1180" s="267"/>
      <c r="BZ1180" s="267"/>
      <c r="CA1180" s="267"/>
      <c r="CB1180" s="267"/>
      <c r="CC1180" s="267"/>
      <c r="CD1180" s="267"/>
      <c r="CE1180" s="267"/>
      <c r="CF1180" s="267"/>
      <c r="CG1180" s="267"/>
    </row>
    <row r="1181" spans="70:85" ht="12.75" customHeight="1" x14ac:dyDescent="0.25">
      <c r="BR1181" s="177"/>
      <c r="BS1181" s="177"/>
      <c r="BT1181" s="267"/>
      <c r="BU1181" s="267"/>
      <c r="BV1181" s="267"/>
      <c r="BW1181" s="267"/>
      <c r="BX1181" s="267"/>
      <c r="BY1181" s="267"/>
      <c r="BZ1181" s="267"/>
      <c r="CA1181" s="267"/>
      <c r="CB1181" s="267"/>
      <c r="CC1181" s="267"/>
      <c r="CD1181" s="267"/>
      <c r="CE1181" s="267"/>
      <c r="CF1181" s="267"/>
      <c r="CG1181" s="267"/>
    </row>
    <row r="1182" spans="70:85" ht="12.75" customHeight="1" x14ac:dyDescent="0.25">
      <c r="BR1182" s="177"/>
      <c r="BS1182" s="177"/>
      <c r="BT1182" s="267"/>
      <c r="BU1182" s="267"/>
      <c r="BV1182" s="267"/>
      <c r="BW1182" s="267"/>
      <c r="BX1182" s="267"/>
      <c r="BY1182" s="267"/>
      <c r="BZ1182" s="267"/>
      <c r="CA1182" s="267"/>
      <c r="CB1182" s="267"/>
      <c r="CC1182" s="267"/>
      <c r="CD1182" s="267"/>
      <c r="CE1182" s="267"/>
      <c r="CF1182" s="267"/>
      <c r="CG1182" s="267"/>
    </row>
    <row r="1183" spans="70:85" ht="12.75" customHeight="1" x14ac:dyDescent="0.25">
      <c r="BR1183" s="177"/>
      <c r="BS1183" s="177"/>
      <c r="BT1183" s="267"/>
      <c r="BU1183" s="267"/>
      <c r="BV1183" s="267"/>
      <c r="BW1183" s="267"/>
      <c r="BX1183" s="267"/>
      <c r="BY1183" s="267"/>
      <c r="BZ1183" s="267"/>
      <c r="CA1183" s="267"/>
      <c r="CB1183" s="267"/>
      <c r="CC1183" s="267"/>
      <c r="CD1183" s="267"/>
      <c r="CE1183" s="267"/>
      <c r="CF1183" s="267"/>
      <c r="CG1183" s="267"/>
    </row>
    <row r="1184" spans="70:85" ht="12.75" customHeight="1" x14ac:dyDescent="0.25">
      <c r="BR1184" s="177"/>
      <c r="BS1184" s="177"/>
      <c r="BT1184" s="267"/>
      <c r="BU1184" s="267"/>
      <c r="BV1184" s="267"/>
      <c r="BW1184" s="267"/>
      <c r="BX1184" s="267"/>
      <c r="BY1184" s="267"/>
      <c r="BZ1184" s="267"/>
      <c r="CA1184" s="267"/>
      <c r="CB1184" s="267"/>
      <c r="CC1184" s="267"/>
      <c r="CD1184" s="267"/>
      <c r="CE1184" s="267"/>
      <c r="CF1184" s="267"/>
      <c r="CG1184" s="267"/>
    </row>
    <row r="1185" spans="70:85" ht="12.75" customHeight="1" x14ac:dyDescent="0.25">
      <c r="BR1185" s="177"/>
      <c r="BS1185" s="177"/>
      <c r="BT1185" s="267"/>
      <c r="BU1185" s="267"/>
      <c r="BV1185" s="267"/>
      <c r="BW1185" s="267"/>
      <c r="BX1185" s="267"/>
      <c r="BY1185" s="267"/>
      <c r="BZ1185" s="267"/>
      <c r="CA1185" s="267"/>
      <c r="CB1185" s="267"/>
      <c r="CC1185" s="267"/>
      <c r="CD1185" s="267"/>
      <c r="CE1185" s="267"/>
      <c r="CF1185" s="267"/>
      <c r="CG1185" s="267"/>
    </row>
    <row r="1186" spans="70:85" ht="12.75" customHeight="1" x14ac:dyDescent="0.25">
      <c r="BR1186" s="177"/>
      <c r="BS1186" s="177"/>
      <c r="BT1186" s="267"/>
      <c r="BU1186" s="267"/>
      <c r="BV1186" s="267"/>
      <c r="BW1186" s="267"/>
      <c r="BX1186" s="267"/>
      <c r="BY1186" s="267"/>
      <c r="BZ1186" s="267"/>
      <c r="CA1186" s="267"/>
      <c r="CB1186" s="267"/>
      <c r="CC1186" s="267"/>
      <c r="CD1186" s="267"/>
      <c r="CE1186" s="267"/>
      <c r="CF1186" s="267"/>
      <c r="CG1186" s="267"/>
    </row>
    <row r="1187" spans="70:85" ht="12.75" customHeight="1" x14ac:dyDescent="0.25">
      <c r="BR1187" s="177"/>
      <c r="BS1187" s="177"/>
      <c r="BT1187" s="267"/>
      <c r="BU1187" s="267"/>
      <c r="BV1187" s="267"/>
      <c r="BW1187" s="267"/>
      <c r="BX1187" s="267"/>
      <c r="BY1187" s="267"/>
      <c r="BZ1187" s="267"/>
      <c r="CA1187" s="267"/>
      <c r="CB1187" s="267"/>
      <c r="CC1187" s="267"/>
      <c r="CD1187" s="267"/>
      <c r="CE1187" s="267"/>
      <c r="CF1187" s="267"/>
      <c r="CG1187" s="267"/>
    </row>
    <row r="1188" spans="70:85" ht="12.75" customHeight="1" x14ac:dyDescent="0.25">
      <c r="BR1188" s="177"/>
      <c r="BS1188" s="177"/>
      <c r="BT1188" s="267"/>
      <c r="BU1188" s="267"/>
      <c r="BV1188" s="267"/>
      <c r="BW1188" s="267"/>
      <c r="BX1188" s="267"/>
      <c r="BY1188" s="267"/>
      <c r="BZ1188" s="267"/>
      <c r="CA1188" s="267"/>
      <c r="CB1188" s="267"/>
      <c r="CC1188" s="267"/>
      <c r="CD1188" s="267"/>
      <c r="CE1188" s="267"/>
      <c r="CF1188" s="267"/>
      <c r="CG1188" s="267"/>
    </row>
    <row r="1189" spans="70:85" ht="12.75" customHeight="1" x14ac:dyDescent="0.25">
      <c r="BR1189" s="177"/>
      <c r="BS1189" s="177"/>
      <c r="BT1189" s="267"/>
      <c r="BU1189" s="267"/>
      <c r="BV1189" s="267"/>
      <c r="BW1189" s="267"/>
      <c r="BX1189" s="267"/>
      <c r="BY1189" s="267"/>
      <c r="BZ1189" s="267"/>
      <c r="CA1189" s="267"/>
      <c r="CB1189" s="267"/>
      <c r="CC1189" s="267"/>
      <c r="CD1189" s="267"/>
      <c r="CE1189" s="267"/>
      <c r="CF1189" s="267"/>
      <c r="CG1189" s="267"/>
    </row>
    <row r="1190" spans="70:85" ht="12.75" customHeight="1" x14ac:dyDescent="0.25">
      <c r="BR1190" s="177"/>
      <c r="BS1190" s="177"/>
      <c r="BT1190" s="267"/>
      <c r="BU1190" s="267"/>
      <c r="BV1190" s="267"/>
      <c r="BW1190" s="267"/>
      <c r="BX1190" s="267"/>
      <c r="BY1190" s="267"/>
      <c r="BZ1190" s="267"/>
      <c r="CA1190" s="267"/>
      <c r="CB1190" s="267"/>
      <c r="CC1190" s="267"/>
      <c r="CD1190" s="267"/>
      <c r="CE1190" s="267"/>
      <c r="CF1190" s="267"/>
      <c r="CG1190" s="267"/>
    </row>
    <row r="1191" spans="70:85" ht="12.75" customHeight="1" x14ac:dyDescent="0.25">
      <c r="BR1191" s="177"/>
      <c r="BS1191" s="177"/>
      <c r="BT1191" s="267"/>
      <c r="BU1191" s="267"/>
      <c r="BV1191" s="267"/>
      <c r="BW1191" s="267"/>
      <c r="BX1191" s="267"/>
      <c r="BY1191" s="267"/>
      <c r="BZ1191" s="267"/>
      <c r="CA1191" s="267"/>
      <c r="CB1191" s="267"/>
      <c r="CC1191" s="267"/>
      <c r="CD1191" s="267"/>
      <c r="CE1191" s="267"/>
      <c r="CF1191" s="267"/>
      <c r="CG1191" s="267"/>
    </row>
    <row r="1192" spans="70:85" ht="12.75" customHeight="1" x14ac:dyDescent="0.25">
      <c r="BR1192" s="177"/>
      <c r="BS1192" s="177"/>
      <c r="BT1192" s="267"/>
      <c r="BU1192" s="267"/>
      <c r="BV1192" s="267"/>
      <c r="BW1192" s="267"/>
      <c r="BX1192" s="267"/>
      <c r="BY1192" s="267"/>
      <c r="BZ1192" s="267"/>
      <c r="CA1192" s="267"/>
      <c r="CB1192" s="267"/>
      <c r="CC1192" s="267"/>
      <c r="CD1192" s="267"/>
      <c r="CE1192" s="267"/>
      <c r="CF1192" s="267"/>
      <c r="CG1192" s="267"/>
    </row>
    <row r="1193" spans="70:85" ht="12.75" customHeight="1" x14ac:dyDescent="0.25">
      <c r="BR1193" s="177"/>
      <c r="BS1193" s="177"/>
      <c r="BT1193" s="267"/>
      <c r="BU1193" s="267"/>
      <c r="BV1193" s="267"/>
      <c r="BW1193" s="267"/>
      <c r="BX1193" s="267"/>
      <c r="BY1193" s="267"/>
      <c r="BZ1193" s="267"/>
      <c r="CA1193" s="267"/>
      <c r="CB1193" s="267"/>
      <c r="CC1193" s="267"/>
      <c r="CD1193" s="267"/>
      <c r="CE1193" s="267"/>
      <c r="CF1193" s="267"/>
      <c r="CG1193" s="267"/>
    </row>
    <row r="1194" spans="70:85" ht="12.75" customHeight="1" x14ac:dyDescent="0.25">
      <c r="BR1194" s="177"/>
      <c r="BS1194" s="177"/>
      <c r="BT1194" s="267"/>
      <c r="BU1194" s="267"/>
      <c r="BV1194" s="267"/>
      <c r="BW1194" s="267"/>
      <c r="BX1194" s="267"/>
      <c r="BY1194" s="267"/>
      <c r="BZ1194" s="267"/>
      <c r="CA1194" s="267"/>
      <c r="CB1194" s="267"/>
      <c r="CC1194" s="267"/>
      <c r="CD1194" s="267"/>
      <c r="CE1194" s="267"/>
      <c r="CF1194" s="267"/>
      <c r="CG1194" s="267"/>
    </row>
    <row r="1195" spans="70:85" ht="12.75" customHeight="1" x14ac:dyDescent="0.25">
      <c r="BR1195" s="177"/>
      <c r="BS1195" s="177"/>
      <c r="BT1195" s="267"/>
      <c r="BU1195" s="267"/>
      <c r="BV1195" s="267"/>
      <c r="BW1195" s="267"/>
      <c r="BX1195" s="267"/>
      <c r="BY1195" s="267"/>
      <c r="BZ1195" s="267"/>
      <c r="CA1195" s="267"/>
      <c r="CB1195" s="267"/>
      <c r="CC1195" s="267"/>
      <c r="CD1195" s="267"/>
      <c r="CE1195" s="267"/>
      <c r="CF1195" s="267"/>
      <c r="CG1195" s="267"/>
    </row>
    <row r="1196" spans="70:85" ht="12.75" customHeight="1" x14ac:dyDescent="0.25">
      <c r="BR1196" s="177"/>
      <c r="BS1196" s="177"/>
      <c r="BT1196" s="267"/>
      <c r="BU1196" s="267"/>
      <c r="BV1196" s="267"/>
      <c r="BW1196" s="267"/>
      <c r="BX1196" s="267"/>
      <c r="BY1196" s="267"/>
      <c r="BZ1196" s="267"/>
      <c r="CA1196" s="267"/>
      <c r="CB1196" s="267"/>
      <c r="CC1196" s="267"/>
      <c r="CD1196" s="267"/>
      <c r="CE1196" s="267"/>
      <c r="CF1196" s="267"/>
      <c r="CG1196" s="267"/>
    </row>
    <row r="1197" spans="70:85" ht="12.75" customHeight="1" x14ac:dyDescent="0.25">
      <c r="BR1197" s="177"/>
      <c r="BS1197" s="177"/>
      <c r="BT1197" s="267"/>
      <c r="BU1197" s="267"/>
      <c r="BV1197" s="267"/>
      <c r="BW1197" s="267"/>
      <c r="BX1197" s="267"/>
      <c r="BY1197" s="267"/>
      <c r="BZ1197" s="267"/>
      <c r="CA1197" s="267"/>
      <c r="CB1197" s="267"/>
      <c r="CC1197" s="267"/>
      <c r="CD1197" s="267"/>
      <c r="CE1197" s="267"/>
      <c r="CF1197" s="267"/>
      <c r="CG1197" s="267"/>
    </row>
    <row r="1198" spans="70:85" ht="12.75" customHeight="1" x14ac:dyDescent="0.25">
      <c r="BR1198" s="177"/>
      <c r="BS1198" s="177"/>
      <c r="BT1198" s="267"/>
      <c r="BU1198" s="267"/>
      <c r="BV1198" s="267"/>
      <c r="BW1198" s="267"/>
      <c r="BX1198" s="267"/>
      <c r="BY1198" s="267"/>
      <c r="BZ1198" s="267"/>
      <c r="CA1198" s="267"/>
      <c r="CB1198" s="267"/>
      <c r="CC1198" s="267"/>
      <c r="CD1198" s="267"/>
      <c r="CE1198" s="267"/>
      <c r="CF1198" s="267"/>
      <c r="CG1198" s="267"/>
    </row>
    <row r="1199" spans="70:85" ht="12.75" customHeight="1" x14ac:dyDescent="0.25">
      <c r="BR1199" s="177"/>
      <c r="BS1199" s="177"/>
      <c r="BT1199" s="267"/>
      <c r="BU1199" s="267"/>
      <c r="BV1199" s="267"/>
      <c r="BW1199" s="267"/>
      <c r="BX1199" s="267"/>
      <c r="BY1199" s="267"/>
      <c r="BZ1199" s="267"/>
      <c r="CA1199" s="267"/>
      <c r="CB1199" s="267"/>
      <c r="CC1199" s="267"/>
      <c r="CD1199" s="267"/>
      <c r="CE1199" s="267"/>
      <c r="CF1199" s="267"/>
      <c r="CG1199" s="267"/>
    </row>
    <row r="1200" spans="70:85" ht="12.75" customHeight="1" x14ac:dyDescent="0.25">
      <c r="BR1200" s="177"/>
      <c r="BS1200" s="177"/>
      <c r="BT1200" s="267"/>
      <c r="BU1200" s="267"/>
      <c r="BV1200" s="267"/>
      <c r="BW1200" s="267"/>
      <c r="BX1200" s="267"/>
      <c r="BY1200" s="267"/>
      <c r="BZ1200" s="267"/>
      <c r="CA1200" s="267"/>
      <c r="CB1200" s="267"/>
      <c r="CC1200" s="267"/>
      <c r="CD1200" s="267"/>
      <c r="CE1200" s="267"/>
      <c r="CF1200" s="267"/>
      <c r="CG1200" s="267"/>
    </row>
    <row r="1201" spans="70:85" ht="12.75" customHeight="1" x14ac:dyDescent="0.25">
      <c r="BR1201" s="177"/>
      <c r="BS1201" s="177"/>
      <c r="BT1201" s="267"/>
      <c r="BU1201" s="267"/>
      <c r="BV1201" s="267"/>
      <c r="BW1201" s="267"/>
      <c r="BX1201" s="267"/>
      <c r="BY1201" s="267"/>
      <c r="BZ1201" s="267"/>
      <c r="CA1201" s="267"/>
      <c r="CB1201" s="267"/>
      <c r="CC1201" s="267"/>
      <c r="CD1201" s="267"/>
      <c r="CE1201" s="267"/>
      <c r="CF1201" s="267"/>
      <c r="CG1201" s="267"/>
    </row>
    <row r="1202" spans="70:85" ht="12.75" customHeight="1" x14ac:dyDescent="0.25">
      <c r="BR1202" s="177"/>
      <c r="BS1202" s="177"/>
      <c r="BT1202" s="267"/>
      <c r="BU1202" s="267"/>
      <c r="BV1202" s="267"/>
      <c r="BW1202" s="267"/>
      <c r="BX1202" s="267"/>
      <c r="BY1202" s="267"/>
      <c r="BZ1202" s="267"/>
      <c r="CA1202" s="267"/>
      <c r="CB1202" s="267"/>
      <c r="CC1202" s="267"/>
      <c r="CD1202" s="267"/>
      <c r="CE1202" s="267"/>
      <c r="CF1202" s="267"/>
      <c r="CG1202" s="267"/>
    </row>
    <row r="1203" spans="70:85" ht="12.75" customHeight="1" x14ac:dyDescent="0.25">
      <c r="BR1203" s="177"/>
      <c r="BS1203" s="177"/>
      <c r="BT1203" s="267"/>
      <c r="BU1203" s="267"/>
      <c r="BV1203" s="267"/>
      <c r="BW1203" s="267"/>
      <c r="BX1203" s="267"/>
      <c r="BY1203" s="267"/>
      <c r="BZ1203" s="267"/>
      <c r="CA1203" s="267"/>
      <c r="CB1203" s="267"/>
      <c r="CC1203" s="267"/>
      <c r="CD1203" s="267"/>
      <c r="CE1203" s="267"/>
      <c r="CF1203" s="267"/>
      <c r="CG1203" s="267"/>
    </row>
    <row r="1204" spans="70:85" ht="12.75" customHeight="1" x14ac:dyDescent="0.25">
      <c r="BR1204" s="177"/>
      <c r="BS1204" s="177"/>
      <c r="BT1204" s="267"/>
      <c r="BU1204" s="267"/>
      <c r="BV1204" s="267"/>
      <c r="BW1204" s="267"/>
      <c r="BX1204" s="267"/>
      <c r="BY1204" s="267"/>
      <c r="BZ1204" s="267"/>
      <c r="CA1204" s="267"/>
      <c r="CB1204" s="267"/>
      <c r="CC1204" s="267"/>
      <c r="CD1204" s="267"/>
      <c r="CE1204" s="267"/>
      <c r="CF1204" s="267"/>
      <c r="CG1204" s="267"/>
    </row>
    <row r="1205" spans="70:85" ht="12.75" customHeight="1" x14ac:dyDescent="0.25">
      <c r="BR1205" s="177"/>
      <c r="BS1205" s="177"/>
      <c r="BT1205" s="267"/>
      <c r="BU1205" s="267"/>
      <c r="BV1205" s="267"/>
      <c r="BW1205" s="267"/>
      <c r="BX1205" s="267"/>
      <c r="BY1205" s="267"/>
      <c r="BZ1205" s="267"/>
      <c r="CA1205" s="267"/>
      <c r="CB1205" s="267"/>
      <c r="CC1205" s="267"/>
      <c r="CD1205" s="267"/>
      <c r="CE1205" s="267"/>
      <c r="CF1205" s="267"/>
      <c r="CG1205" s="267"/>
    </row>
    <row r="1206" spans="70:85" ht="12.75" customHeight="1" x14ac:dyDescent="0.25">
      <c r="BR1206" s="177"/>
      <c r="BS1206" s="177"/>
      <c r="BT1206" s="267"/>
      <c r="BU1206" s="267"/>
      <c r="BV1206" s="267"/>
      <c r="BW1206" s="267"/>
      <c r="BX1206" s="267"/>
      <c r="BY1206" s="267"/>
      <c r="BZ1206" s="267"/>
      <c r="CA1206" s="267"/>
      <c r="CB1206" s="267"/>
      <c r="CC1206" s="267"/>
      <c r="CD1206" s="267"/>
      <c r="CE1206" s="267"/>
      <c r="CF1206" s="267"/>
      <c r="CG1206" s="267"/>
    </row>
    <row r="1207" spans="70:85" ht="12.75" customHeight="1" x14ac:dyDescent="0.25">
      <c r="BR1207" s="177"/>
      <c r="BS1207" s="177"/>
      <c r="BT1207" s="267"/>
      <c r="BU1207" s="267"/>
      <c r="BV1207" s="267"/>
      <c r="BW1207" s="267"/>
      <c r="BX1207" s="267"/>
      <c r="BY1207" s="267"/>
      <c r="BZ1207" s="267"/>
      <c r="CA1207" s="267"/>
      <c r="CB1207" s="267"/>
      <c r="CC1207" s="267"/>
      <c r="CD1207" s="267"/>
      <c r="CE1207" s="267"/>
      <c r="CF1207" s="267"/>
      <c r="CG1207" s="267"/>
    </row>
    <row r="1208" spans="70:85" ht="12.75" customHeight="1" x14ac:dyDescent="0.25">
      <c r="BR1208" s="177"/>
      <c r="BS1208" s="177"/>
      <c r="BT1208" s="267"/>
      <c r="BU1208" s="267"/>
      <c r="BV1208" s="267"/>
      <c r="BW1208" s="267"/>
      <c r="BX1208" s="267"/>
      <c r="BY1208" s="267"/>
      <c r="BZ1208" s="267"/>
      <c r="CA1208" s="267"/>
      <c r="CB1208" s="267"/>
      <c r="CC1208" s="267"/>
      <c r="CD1208" s="267"/>
      <c r="CE1208" s="267"/>
      <c r="CF1208" s="267"/>
      <c r="CG1208" s="267"/>
    </row>
    <row r="1209" spans="70:85" ht="12.75" customHeight="1" x14ac:dyDescent="0.25">
      <c r="BR1209" s="177"/>
      <c r="BS1209" s="177"/>
      <c r="BT1209" s="267"/>
      <c r="BU1209" s="267"/>
      <c r="BV1209" s="267"/>
      <c r="BW1209" s="267"/>
      <c r="BX1209" s="267"/>
      <c r="BY1209" s="267"/>
      <c r="BZ1209" s="267"/>
      <c r="CA1209" s="267"/>
      <c r="CB1209" s="267"/>
      <c r="CC1209" s="267"/>
      <c r="CD1209" s="267"/>
      <c r="CE1209" s="267"/>
      <c r="CF1209" s="267"/>
      <c r="CG1209" s="267"/>
    </row>
    <row r="1210" spans="70:85" ht="12.75" customHeight="1" x14ac:dyDescent="0.25">
      <c r="BR1210" s="177"/>
      <c r="BS1210" s="177"/>
      <c r="BT1210" s="267"/>
      <c r="BU1210" s="267"/>
      <c r="BV1210" s="267"/>
      <c r="BW1210" s="267"/>
      <c r="BX1210" s="267"/>
      <c r="BY1210" s="267"/>
      <c r="BZ1210" s="267"/>
      <c r="CA1210" s="267"/>
      <c r="CB1210" s="267"/>
      <c r="CC1210" s="267"/>
      <c r="CD1210" s="267"/>
      <c r="CE1210" s="267"/>
      <c r="CF1210" s="267"/>
      <c r="CG1210" s="267"/>
    </row>
    <row r="1211" spans="70:85" ht="12.75" customHeight="1" x14ac:dyDescent="0.25">
      <c r="BR1211" s="177"/>
      <c r="BS1211" s="177"/>
      <c r="BT1211" s="267"/>
      <c r="BU1211" s="267"/>
      <c r="BV1211" s="267"/>
      <c r="BW1211" s="267"/>
      <c r="BX1211" s="267"/>
      <c r="BY1211" s="267"/>
      <c r="BZ1211" s="267"/>
      <c r="CA1211" s="267"/>
      <c r="CB1211" s="267"/>
      <c r="CC1211" s="267"/>
      <c r="CD1211" s="267"/>
      <c r="CE1211" s="267"/>
      <c r="CF1211" s="267"/>
      <c r="CG1211" s="267"/>
    </row>
    <row r="1212" spans="70:85" ht="12.75" customHeight="1" x14ac:dyDescent="0.25">
      <c r="BR1212" s="177"/>
      <c r="BS1212" s="177"/>
      <c r="BT1212" s="267"/>
      <c r="BU1212" s="267"/>
      <c r="BV1212" s="267"/>
      <c r="BW1212" s="267"/>
      <c r="BX1212" s="267"/>
      <c r="BY1212" s="267"/>
      <c r="BZ1212" s="267"/>
      <c r="CA1212" s="267"/>
      <c r="CB1212" s="267"/>
      <c r="CC1212" s="267"/>
      <c r="CD1212" s="267"/>
      <c r="CE1212" s="267"/>
      <c r="CF1212" s="267"/>
      <c r="CG1212" s="267"/>
    </row>
    <row r="1213" spans="70:85" ht="12.75" customHeight="1" x14ac:dyDescent="0.25">
      <c r="BR1213" s="177"/>
      <c r="BS1213" s="177"/>
      <c r="BT1213" s="267"/>
      <c r="BU1213" s="267"/>
      <c r="BV1213" s="267"/>
      <c r="BW1213" s="267"/>
      <c r="BX1213" s="267"/>
      <c r="BY1213" s="267"/>
      <c r="BZ1213" s="267"/>
      <c r="CA1213" s="267"/>
      <c r="CB1213" s="267"/>
      <c r="CC1213" s="267"/>
      <c r="CD1213" s="267"/>
      <c r="CE1213" s="267"/>
      <c r="CF1213" s="267"/>
      <c r="CG1213" s="267"/>
    </row>
    <row r="1214" spans="70:85" ht="12.75" customHeight="1" x14ac:dyDescent="0.25">
      <c r="BR1214" s="177"/>
      <c r="BS1214" s="177"/>
      <c r="BT1214" s="267"/>
      <c r="BU1214" s="267"/>
      <c r="BV1214" s="267"/>
      <c r="BW1214" s="267"/>
      <c r="BX1214" s="267"/>
      <c r="BY1214" s="267"/>
      <c r="BZ1214" s="267"/>
      <c r="CA1214" s="267"/>
      <c r="CB1214" s="267"/>
      <c r="CC1214" s="267"/>
      <c r="CD1214" s="267"/>
      <c r="CE1214" s="267"/>
      <c r="CF1214" s="267"/>
      <c r="CG1214" s="267"/>
    </row>
    <row r="1215" spans="70:85" ht="12.75" customHeight="1" x14ac:dyDescent="0.25">
      <c r="BR1215" s="177"/>
      <c r="BS1215" s="177"/>
      <c r="BT1215" s="267"/>
      <c r="BU1215" s="267"/>
      <c r="BV1215" s="267"/>
      <c r="BW1215" s="267"/>
      <c r="BX1215" s="267"/>
      <c r="BY1215" s="267"/>
      <c r="BZ1215" s="267"/>
      <c r="CA1215" s="267"/>
      <c r="CB1215" s="267"/>
      <c r="CC1215" s="267"/>
      <c r="CD1215" s="267"/>
      <c r="CE1215" s="267"/>
      <c r="CF1215" s="267"/>
      <c r="CG1215" s="267"/>
    </row>
    <row r="1216" spans="70:85" ht="12.75" customHeight="1" x14ac:dyDescent="0.25">
      <c r="BR1216" s="177"/>
      <c r="BS1216" s="177"/>
      <c r="BT1216" s="267"/>
      <c r="BU1216" s="267"/>
      <c r="BV1216" s="267"/>
      <c r="BW1216" s="267"/>
      <c r="BX1216" s="267"/>
      <c r="BY1216" s="267"/>
      <c r="BZ1216" s="267"/>
      <c r="CA1216" s="267"/>
      <c r="CB1216" s="267"/>
      <c r="CC1216" s="267"/>
      <c r="CD1216" s="267"/>
      <c r="CE1216" s="267"/>
      <c r="CF1216" s="267"/>
      <c r="CG1216" s="267"/>
    </row>
    <row r="1217" spans="70:85" ht="12.75" customHeight="1" x14ac:dyDescent="0.25">
      <c r="BR1217" s="177"/>
      <c r="BS1217" s="177"/>
      <c r="BT1217" s="267"/>
      <c r="BU1217" s="267"/>
      <c r="BV1217" s="267"/>
      <c r="BW1217" s="267"/>
      <c r="BX1217" s="267"/>
      <c r="BY1217" s="267"/>
      <c r="BZ1217" s="267"/>
      <c r="CA1217" s="267"/>
      <c r="CB1217" s="267"/>
      <c r="CC1217" s="267"/>
      <c r="CD1217" s="267"/>
      <c r="CE1217" s="267"/>
      <c r="CF1217" s="267"/>
      <c r="CG1217" s="267"/>
    </row>
    <row r="1218" spans="70:85" ht="12.75" customHeight="1" x14ac:dyDescent="0.25">
      <c r="BR1218" s="177"/>
      <c r="BS1218" s="177"/>
      <c r="BT1218" s="267"/>
      <c r="BU1218" s="267"/>
      <c r="BV1218" s="267"/>
      <c r="BW1218" s="267"/>
      <c r="BX1218" s="267"/>
      <c r="BY1218" s="267"/>
      <c r="BZ1218" s="267"/>
      <c r="CA1218" s="267"/>
      <c r="CB1218" s="267"/>
      <c r="CC1218" s="267"/>
      <c r="CD1218" s="267"/>
      <c r="CE1218" s="267"/>
      <c r="CF1218" s="267"/>
      <c r="CG1218" s="267"/>
    </row>
    <row r="1219" spans="70:85" ht="12.75" customHeight="1" x14ac:dyDescent="0.25">
      <c r="BR1219" s="177"/>
      <c r="BS1219" s="177"/>
      <c r="BT1219" s="267"/>
      <c r="BU1219" s="267"/>
      <c r="BV1219" s="267"/>
      <c r="BW1219" s="267"/>
      <c r="BX1219" s="267"/>
      <c r="BY1219" s="267"/>
      <c r="BZ1219" s="267"/>
      <c r="CA1219" s="267"/>
      <c r="CB1219" s="267"/>
      <c r="CC1219" s="267"/>
      <c r="CD1219" s="267"/>
      <c r="CE1219" s="267"/>
      <c r="CF1219" s="267"/>
      <c r="CG1219" s="267"/>
    </row>
    <row r="1220" spans="70:85" ht="12.75" customHeight="1" x14ac:dyDescent="0.25">
      <c r="BR1220" s="177"/>
      <c r="BS1220" s="177"/>
      <c r="BT1220" s="267"/>
      <c r="BU1220" s="267"/>
      <c r="BV1220" s="267"/>
      <c r="BW1220" s="267"/>
      <c r="BX1220" s="267"/>
      <c r="BY1220" s="267"/>
      <c r="BZ1220" s="267"/>
      <c r="CA1220" s="267"/>
      <c r="CB1220" s="267"/>
      <c r="CC1220" s="267"/>
      <c r="CD1220" s="267"/>
      <c r="CE1220" s="267"/>
      <c r="CF1220" s="267"/>
      <c r="CG1220" s="267"/>
    </row>
    <row r="1221" spans="70:85" ht="12.75" customHeight="1" x14ac:dyDescent="0.25">
      <c r="BR1221" s="177"/>
      <c r="BS1221" s="177"/>
      <c r="BT1221" s="267"/>
      <c r="BU1221" s="267"/>
      <c r="BV1221" s="267"/>
      <c r="BW1221" s="267"/>
      <c r="BX1221" s="267"/>
      <c r="BY1221" s="267"/>
      <c r="BZ1221" s="267"/>
      <c r="CA1221" s="267"/>
      <c r="CB1221" s="267"/>
      <c r="CC1221" s="267"/>
      <c r="CD1221" s="267"/>
      <c r="CE1221" s="267"/>
      <c r="CF1221" s="267"/>
      <c r="CG1221" s="267"/>
    </row>
    <row r="1222" spans="70:85" ht="12.75" customHeight="1" x14ac:dyDescent="0.25">
      <c r="BR1222" s="177"/>
      <c r="BS1222" s="177"/>
      <c r="BT1222" s="267"/>
      <c r="BU1222" s="267"/>
      <c r="BV1222" s="267"/>
      <c r="BW1222" s="267"/>
      <c r="BX1222" s="267"/>
      <c r="BY1222" s="267"/>
      <c r="BZ1222" s="267"/>
      <c r="CA1222" s="267"/>
      <c r="CB1222" s="267"/>
      <c r="CC1222" s="267"/>
      <c r="CD1222" s="267"/>
      <c r="CE1222" s="267"/>
      <c r="CF1222" s="267"/>
      <c r="CG1222" s="267"/>
    </row>
    <row r="1223" spans="70:85" ht="12.75" customHeight="1" x14ac:dyDescent="0.25">
      <c r="BR1223" s="177"/>
      <c r="BS1223" s="177"/>
      <c r="BT1223" s="267"/>
      <c r="BU1223" s="267"/>
      <c r="BV1223" s="267"/>
      <c r="BW1223" s="267"/>
      <c r="BX1223" s="267"/>
      <c r="BY1223" s="267"/>
      <c r="BZ1223" s="267"/>
      <c r="CA1223" s="267"/>
      <c r="CB1223" s="267"/>
      <c r="CC1223" s="267"/>
      <c r="CD1223" s="267"/>
      <c r="CE1223" s="267"/>
      <c r="CF1223" s="267"/>
      <c r="CG1223" s="267"/>
    </row>
    <row r="1224" spans="70:85" ht="12.75" customHeight="1" x14ac:dyDescent="0.25">
      <c r="BR1224" s="177"/>
      <c r="BS1224" s="177"/>
      <c r="BT1224" s="267"/>
      <c r="BU1224" s="267"/>
      <c r="BV1224" s="267"/>
      <c r="BW1224" s="267"/>
      <c r="BX1224" s="267"/>
      <c r="BY1224" s="267"/>
      <c r="BZ1224" s="267"/>
      <c r="CA1224" s="267"/>
      <c r="CB1224" s="267"/>
      <c r="CC1224" s="267"/>
      <c r="CD1224" s="267"/>
      <c r="CE1224" s="267"/>
      <c r="CF1224" s="267"/>
      <c r="CG1224" s="267"/>
    </row>
    <row r="1225" spans="70:85" ht="12.75" customHeight="1" x14ac:dyDescent="0.25">
      <c r="BR1225" s="177"/>
      <c r="BS1225" s="177"/>
      <c r="BT1225" s="267"/>
      <c r="BU1225" s="267"/>
      <c r="BV1225" s="267"/>
      <c r="BW1225" s="267"/>
      <c r="BX1225" s="267"/>
      <c r="BY1225" s="267"/>
      <c r="BZ1225" s="267"/>
      <c r="CA1225" s="267"/>
      <c r="CB1225" s="267"/>
      <c r="CC1225" s="267"/>
      <c r="CD1225" s="267"/>
      <c r="CE1225" s="267"/>
      <c r="CF1225" s="267"/>
      <c r="CG1225" s="267"/>
    </row>
    <row r="1226" spans="70:85" ht="12.75" customHeight="1" x14ac:dyDescent="0.25">
      <c r="BR1226" s="177"/>
      <c r="BS1226" s="177"/>
      <c r="BT1226" s="267"/>
      <c r="BU1226" s="267"/>
      <c r="BV1226" s="267"/>
      <c r="BW1226" s="267"/>
      <c r="BX1226" s="267"/>
      <c r="BY1226" s="267"/>
      <c r="BZ1226" s="267"/>
      <c r="CA1226" s="267"/>
      <c r="CB1226" s="267"/>
      <c r="CC1226" s="267"/>
      <c r="CD1226" s="267"/>
      <c r="CE1226" s="267"/>
      <c r="CF1226" s="267"/>
      <c r="CG1226" s="267"/>
    </row>
    <row r="1227" spans="70:85" ht="12.75" customHeight="1" x14ac:dyDescent="0.25">
      <c r="BR1227" s="177"/>
      <c r="BS1227" s="177"/>
      <c r="BT1227" s="267"/>
      <c r="BU1227" s="267"/>
      <c r="BV1227" s="267"/>
      <c r="BW1227" s="267"/>
      <c r="BX1227" s="267"/>
      <c r="BY1227" s="267"/>
      <c r="BZ1227" s="267"/>
      <c r="CA1227" s="267"/>
      <c r="CB1227" s="267"/>
      <c r="CC1227" s="267"/>
      <c r="CD1227" s="267"/>
      <c r="CE1227" s="267"/>
      <c r="CF1227" s="267"/>
      <c r="CG1227" s="267"/>
    </row>
    <row r="1228" spans="70:85" ht="12.75" customHeight="1" x14ac:dyDescent="0.25">
      <c r="BR1228" s="177"/>
      <c r="BS1228" s="177"/>
      <c r="BT1228" s="267"/>
      <c r="BU1228" s="267"/>
      <c r="BV1228" s="267"/>
      <c r="BW1228" s="267"/>
      <c r="BX1228" s="267"/>
      <c r="BY1228" s="267"/>
      <c r="BZ1228" s="267"/>
      <c r="CA1228" s="267"/>
      <c r="CB1228" s="267"/>
      <c r="CC1228" s="267"/>
      <c r="CD1228" s="267"/>
      <c r="CE1228" s="267"/>
      <c r="CF1228" s="267"/>
      <c r="CG1228" s="267"/>
    </row>
    <row r="1229" spans="70:85" ht="12.75" customHeight="1" x14ac:dyDescent="0.25">
      <c r="BR1229" s="177"/>
      <c r="BS1229" s="177"/>
      <c r="BT1229" s="267"/>
      <c r="BU1229" s="267"/>
      <c r="BV1229" s="267"/>
      <c r="BW1229" s="267"/>
      <c r="BX1229" s="267"/>
      <c r="BY1229" s="267"/>
      <c r="BZ1229" s="267"/>
      <c r="CA1229" s="267"/>
      <c r="CB1229" s="267"/>
      <c r="CC1229" s="267"/>
      <c r="CD1229" s="267"/>
      <c r="CE1229" s="267"/>
      <c r="CF1229" s="267"/>
      <c r="CG1229" s="267"/>
    </row>
    <row r="1230" spans="70:85" ht="12.75" customHeight="1" x14ac:dyDescent="0.25">
      <c r="BR1230" s="177"/>
      <c r="BS1230" s="177"/>
      <c r="BT1230" s="267"/>
      <c r="BU1230" s="267"/>
      <c r="BV1230" s="267"/>
      <c r="BW1230" s="267"/>
      <c r="BX1230" s="267"/>
      <c r="BY1230" s="267"/>
      <c r="BZ1230" s="267"/>
      <c r="CA1230" s="267"/>
      <c r="CB1230" s="267"/>
      <c r="CC1230" s="267"/>
      <c r="CD1230" s="267"/>
      <c r="CE1230" s="267"/>
      <c r="CF1230" s="267"/>
      <c r="CG1230" s="267"/>
    </row>
    <row r="1231" spans="70:85" ht="12.75" customHeight="1" x14ac:dyDescent="0.25">
      <c r="BR1231" s="177"/>
      <c r="BS1231" s="177"/>
      <c r="BT1231" s="267"/>
      <c r="BU1231" s="267"/>
      <c r="BV1231" s="267"/>
      <c r="BW1231" s="267"/>
      <c r="BX1231" s="267"/>
      <c r="BY1231" s="267"/>
      <c r="BZ1231" s="267"/>
      <c r="CA1231" s="267"/>
      <c r="CB1231" s="267"/>
      <c r="CC1231" s="267"/>
      <c r="CD1231" s="267"/>
      <c r="CE1231" s="267"/>
      <c r="CF1231" s="267"/>
      <c r="CG1231" s="267"/>
    </row>
    <row r="1232" spans="70:85" ht="12.75" customHeight="1" x14ac:dyDescent="0.25">
      <c r="BR1232" s="177"/>
      <c r="BS1232" s="177"/>
      <c r="BT1232" s="267"/>
      <c r="BU1232" s="267"/>
      <c r="BV1232" s="267"/>
      <c r="BW1232" s="267"/>
      <c r="BX1232" s="267"/>
      <c r="BY1232" s="267"/>
      <c r="BZ1232" s="267"/>
      <c r="CA1232" s="267"/>
      <c r="CB1232" s="267"/>
      <c r="CC1232" s="267"/>
      <c r="CD1232" s="267"/>
      <c r="CE1232" s="267"/>
      <c r="CF1232" s="267"/>
      <c r="CG1232" s="267"/>
    </row>
    <row r="1233" spans="70:85" ht="12.75" customHeight="1" x14ac:dyDescent="0.25">
      <c r="BR1233" s="177"/>
      <c r="BS1233" s="177"/>
      <c r="BT1233" s="267"/>
      <c r="BU1233" s="267"/>
      <c r="BV1233" s="267"/>
      <c r="BW1233" s="267"/>
      <c r="BX1233" s="267"/>
      <c r="BY1233" s="267"/>
      <c r="BZ1233" s="267"/>
      <c r="CA1233" s="267"/>
      <c r="CB1233" s="267"/>
      <c r="CC1233" s="267"/>
      <c r="CD1233" s="267"/>
      <c r="CE1233" s="267"/>
      <c r="CF1233" s="267"/>
      <c r="CG1233" s="267"/>
    </row>
    <row r="1234" spans="70:85" ht="12.75" customHeight="1" x14ac:dyDescent="0.25">
      <c r="BR1234" s="177"/>
      <c r="BS1234" s="177"/>
      <c r="BT1234" s="267"/>
      <c r="BU1234" s="267"/>
      <c r="BV1234" s="267"/>
      <c r="BW1234" s="267"/>
      <c r="BX1234" s="267"/>
      <c r="BY1234" s="267"/>
      <c r="BZ1234" s="267"/>
      <c r="CA1234" s="267"/>
      <c r="CB1234" s="267"/>
      <c r="CC1234" s="267"/>
      <c r="CD1234" s="267"/>
      <c r="CE1234" s="267"/>
      <c r="CF1234" s="267"/>
      <c r="CG1234" s="267"/>
    </row>
    <row r="1235" spans="70:85" ht="12.75" customHeight="1" x14ac:dyDescent="0.25">
      <c r="BR1235" s="177"/>
      <c r="BS1235" s="177"/>
      <c r="BT1235" s="267"/>
      <c r="BU1235" s="267"/>
      <c r="BV1235" s="267"/>
      <c r="BW1235" s="267"/>
      <c r="BX1235" s="267"/>
      <c r="BY1235" s="267"/>
      <c r="BZ1235" s="267"/>
      <c r="CA1235" s="267"/>
      <c r="CB1235" s="267"/>
      <c r="CC1235" s="267"/>
      <c r="CD1235" s="267"/>
      <c r="CE1235" s="267"/>
      <c r="CF1235" s="267"/>
      <c r="CG1235" s="267"/>
    </row>
    <row r="1236" spans="70:85" ht="12.75" customHeight="1" x14ac:dyDescent="0.25">
      <c r="BR1236" s="177"/>
      <c r="BS1236" s="177"/>
      <c r="BT1236" s="267"/>
      <c r="BU1236" s="267"/>
      <c r="BV1236" s="267"/>
      <c r="BW1236" s="267"/>
      <c r="BX1236" s="267"/>
      <c r="BY1236" s="267"/>
      <c r="BZ1236" s="267"/>
      <c r="CA1236" s="267"/>
      <c r="CB1236" s="267"/>
      <c r="CC1236" s="267"/>
      <c r="CD1236" s="267"/>
      <c r="CE1236" s="267"/>
      <c r="CF1236" s="267"/>
      <c r="CG1236" s="267"/>
    </row>
    <row r="1237" spans="70:85" ht="12.75" customHeight="1" x14ac:dyDescent="0.25">
      <c r="BR1237" s="177"/>
      <c r="BS1237" s="177"/>
      <c r="BT1237" s="267"/>
      <c r="BU1237" s="267"/>
      <c r="BV1237" s="267"/>
      <c r="BW1237" s="267"/>
      <c r="BX1237" s="267"/>
      <c r="BY1237" s="267"/>
      <c r="BZ1237" s="267"/>
      <c r="CA1237" s="267"/>
      <c r="CB1237" s="267"/>
      <c r="CC1237" s="267"/>
      <c r="CD1237" s="267"/>
      <c r="CE1237" s="267"/>
      <c r="CF1237" s="267"/>
      <c r="CG1237" s="267"/>
    </row>
    <row r="1238" spans="70:85" ht="12.75" customHeight="1" x14ac:dyDescent="0.25">
      <c r="BR1238" s="177"/>
      <c r="BS1238" s="177"/>
      <c r="BT1238" s="267"/>
      <c r="BU1238" s="267"/>
      <c r="BV1238" s="267"/>
      <c r="BW1238" s="267"/>
      <c r="BX1238" s="267"/>
      <c r="BY1238" s="267"/>
      <c r="BZ1238" s="267"/>
      <c r="CA1238" s="267"/>
      <c r="CB1238" s="267"/>
      <c r="CC1238" s="267"/>
      <c r="CD1238" s="267"/>
      <c r="CE1238" s="267"/>
      <c r="CF1238" s="267"/>
      <c r="CG1238" s="267"/>
    </row>
    <row r="1239" spans="70:85" ht="12.75" customHeight="1" x14ac:dyDescent="0.25">
      <c r="BR1239" s="177"/>
      <c r="BS1239" s="177"/>
      <c r="BT1239" s="267"/>
      <c r="BU1239" s="267"/>
      <c r="BV1239" s="267"/>
      <c r="BW1239" s="267"/>
      <c r="BX1239" s="267"/>
      <c r="BY1239" s="267"/>
      <c r="BZ1239" s="267"/>
      <c r="CA1239" s="267"/>
      <c r="CB1239" s="267"/>
      <c r="CC1239" s="267"/>
      <c r="CD1239" s="267"/>
      <c r="CE1239" s="267"/>
      <c r="CF1239" s="267"/>
      <c r="CG1239" s="267"/>
    </row>
    <row r="1240" spans="70:85" ht="12.75" customHeight="1" x14ac:dyDescent="0.25">
      <c r="BR1240" s="177"/>
      <c r="BS1240" s="177"/>
      <c r="BT1240" s="267"/>
      <c r="BU1240" s="267"/>
      <c r="BV1240" s="267"/>
      <c r="BW1240" s="267"/>
      <c r="BX1240" s="267"/>
      <c r="BY1240" s="267"/>
      <c r="BZ1240" s="267"/>
      <c r="CA1240" s="267"/>
      <c r="CB1240" s="267"/>
      <c r="CC1240" s="267"/>
      <c r="CD1240" s="267"/>
      <c r="CE1240" s="267"/>
      <c r="CF1240" s="267"/>
      <c r="CG1240" s="267"/>
    </row>
    <row r="1241" spans="70:85" ht="12.75" customHeight="1" x14ac:dyDescent="0.25">
      <c r="BR1241" s="177"/>
      <c r="BS1241" s="177"/>
      <c r="BT1241" s="267"/>
      <c r="BU1241" s="267"/>
      <c r="BV1241" s="267"/>
      <c r="BW1241" s="267"/>
      <c r="BX1241" s="267"/>
      <c r="BY1241" s="267"/>
      <c r="BZ1241" s="267"/>
      <c r="CA1241" s="267"/>
      <c r="CB1241" s="267"/>
      <c r="CC1241" s="267"/>
      <c r="CD1241" s="267"/>
      <c r="CE1241" s="267"/>
      <c r="CF1241" s="267"/>
      <c r="CG1241" s="267"/>
    </row>
    <row r="1242" spans="70:85" ht="12.75" customHeight="1" x14ac:dyDescent="0.25">
      <c r="BR1242" s="177"/>
      <c r="BS1242" s="177"/>
      <c r="BT1242" s="267"/>
      <c r="BU1242" s="267"/>
      <c r="BV1242" s="267"/>
      <c r="BW1242" s="267"/>
      <c r="BX1242" s="267"/>
      <c r="BY1242" s="267"/>
      <c r="BZ1242" s="267"/>
      <c r="CA1242" s="267"/>
      <c r="CB1242" s="267"/>
      <c r="CC1242" s="267"/>
      <c r="CD1242" s="267"/>
      <c r="CE1242" s="267"/>
      <c r="CF1242" s="267"/>
      <c r="CG1242" s="267"/>
    </row>
    <row r="1243" spans="70:85" ht="12.75" customHeight="1" x14ac:dyDescent="0.25">
      <c r="BR1243" s="177"/>
      <c r="BS1243" s="177"/>
      <c r="BT1243" s="267"/>
      <c r="BU1243" s="267"/>
      <c r="BV1243" s="267"/>
      <c r="BW1243" s="267"/>
      <c r="BX1243" s="267"/>
      <c r="BY1243" s="267"/>
      <c r="BZ1243" s="267"/>
      <c r="CA1243" s="267"/>
      <c r="CB1243" s="267"/>
      <c r="CC1243" s="267"/>
      <c r="CD1243" s="267"/>
      <c r="CE1243" s="267"/>
      <c r="CF1243" s="267"/>
      <c r="CG1243" s="267"/>
    </row>
    <row r="1244" spans="70:85" ht="12.75" customHeight="1" x14ac:dyDescent="0.25">
      <c r="BR1244" s="177"/>
      <c r="BS1244" s="177"/>
      <c r="BT1244" s="267"/>
      <c r="BU1244" s="267"/>
      <c r="BV1244" s="267"/>
      <c r="BW1244" s="267"/>
      <c r="BX1244" s="267"/>
      <c r="BY1244" s="267"/>
      <c r="BZ1244" s="267"/>
      <c r="CA1244" s="267"/>
      <c r="CB1244" s="267"/>
      <c r="CC1244" s="267"/>
      <c r="CD1244" s="267"/>
      <c r="CE1244" s="267"/>
      <c r="CF1244" s="267"/>
      <c r="CG1244" s="267"/>
    </row>
    <row r="1245" spans="70:85" ht="12.75" customHeight="1" x14ac:dyDescent="0.25">
      <c r="BR1245" s="177"/>
      <c r="BS1245" s="177"/>
      <c r="BT1245" s="267"/>
      <c r="BU1245" s="267"/>
      <c r="BV1245" s="267"/>
      <c r="BW1245" s="267"/>
      <c r="BX1245" s="267"/>
      <c r="BY1245" s="267"/>
      <c r="BZ1245" s="267"/>
      <c r="CA1245" s="267"/>
      <c r="CB1245" s="267"/>
      <c r="CC1245" s="267"/>
      <c r="CD1245" s="267"/>
      <c r="CE1245" s="267"/>
      <c r="CF1245" s="267"/>
      <c r="CG1245" s="267"/>
    </row>
    <row r="1246" spans="70:85" ht="12.75" customHeight="1" x14ac:dyDescent="0.25">
      <c r="BR1246" s="177"/>
      <c r="BS1246" s="177"/>
      <c r="BT1246" s="267"/>
      <c r="BU1246" s="267"/>
      <c r="BV1246" s="267"/>
      <c r="BW1246" s="267"/>
      <c r="BX1246" s="267"/>
      <c r="BY1246" s="267"/>
      <c r="BZ1246" s="267"/>
      <c r="CA1246" s="267"/>
      <c r="CB1246" s="267"/>
      <c r="CC1246" s="267"/>
      <c r="CD1246" s="267"/>
      <c r="CE1246" s="267"/>
      <c r="CF1246" s="267"/>
      <c r="CG1246" s="267"/>
    </row>
    <row r="1247" spans="70:85" ht="12.75" customHeight="1" x14ac:dyDescent="0.25">
      <c r="BR1247" s="177"/>
      <c r="BS1247" s="177"/>
      <c r="BT1247" s="267"/>
      <c r="BU1247" s="267"/>
      <c r="BV1247" s="267"/>
      <c r="BW1247" s="267"/>
      <c r="BX1247" s="267"/>
      <c r="BY1247" s="267"/>
      <c r="BZ1247" s="267"/>
      <c r="CA1247" s="267"/>
      <c r="CB1247" s="267"/>
      <c r="CC1247" s="267"/>
      <c r="CD1247" s="267"/>
      <c r="CE1247" s="267"/>
      <c r="CF1247" s="267"/>
      <c r="CG1247" s="267"/>
    </row>
    <row r="1248" spans="70:85" ht="12.75" customHeight="1" x14ac:dyDescent="0.25">
      <c r="BR1248" s="177"/>
      <c r="BS1248" s="177"/>
      <c r="BT1248" s="267"/>
      <c r="BU1248" s="267"/>
      <c r="BV1248" s="267"/>
      <c r="BW1248" s="267"/>
      <c r="BX1248" s="267"/>
      <c r="BY1248" s="267"/>
      <c r="BZ1248" s="267"/>
      <c r="CA1248" s="267"/>
      <c r="CB1248" s="267"/>
      <c r="CC1248" s="267"/>
      <c r="CD1248" s="267"/>
      <c r="CE1248" s="267"/>
      <c r="CF1248" s="267"/>
      <c r="CG1248" s="267"/>
    </row>
    <row r="1249" spans="70:85" ht="12.75" customHeight="1" x14ac:dyDescent="0.25">
      <c r="BR1249" s="177"/>
      <c r="BS1249" s="177"/>
      <c r="BT1249" s="267"/>
      <c r="BU1249" s="267"/>
      <c r="BV1249" s="267"/>
      <c r="BW1249" s="267"/>
      <c r="BX1249" s="267"/>
      <c r="BY1249" s="267"/>
      <c r="BZ1249" s="267"/>
      <c r="CA1249" s="267"/>
      <c r="CB1249" s="267"/>
      <c r="CC1249" s="267"/>
      <c r="CD1249" s="267"/>
      <c r="CE1249" s="267"/>
      <c r="CF1249" s="267"/>
      <c r="CG1249" s="267"/>
    </row>
    <row r="1250" spans="70:85" ht="12.75" customHeight="1" x14ac:dyDescent="0.25">
      <c r="BR1250" s="177"/>
      <c r="BS1250" s="177"/>
      <c r="BT1250" s="267"/>
      <c r="BU1250" s="267"/>
      <c r="BV1250" s="267"/>
      <c r="BW1250" s="267"/>
      <c r="BX1250" s="267"/>
      <c r="BY1250" s="267"/>
      <c r="BZ1250" s="267"/>
      <c r="CA1250" s="267"/>
      <c r="CB1250" s="267"/>
      <c r="CC1250" s="267"/>
      <c r="CD1250" s="267"/>
      <c r="CE1250" s="267"/>
      <c r="CF1250" s="267"/>
      <c r="CG1250" s="267"/>
    </row>
    <row r="1251" spans="70:85" ht="12.75" customHeight="1" x14ac:dyDescent="0.25">
      <c r="BR1251" s="177"/>
      <c r="BS1251" s="177"/>
      <c r="BT1251" s="267"/>
      <c r="BU1251" s="267"/>
      <c r="BV1251" s="267"/>
      <c r="BW1251" s="267"/>
      <c r="BX1251" s="267"/>
      <c r="BY1251" s="267"/>
      <c r="BZ1251" s="267"/>
      <c r="CA1251" s="267"/>
      <c r="CB1251" s="267"/>
      <c r="CC1251" s="267"/>
      <c r="CD1251" s="267"/>
      <c r="CE1251" s="267"/>
      <c r="CF1251" s="267"/>
      <c r="CG1251" s="267"/>
    </row>
    <row r="1252" spans="70:85" ht="12.75" customHeight="1" x14ac:dyDescent="0.25">
      <c r="BR1252" s="177"/>
      <c r="BS1252" s="177"/>
      <c r="BT1252" s="267"/>
      <c r="BU1252" s="267"/>
      <c r="BV1252" s="267"/>
      <c r="BW1252" s="267"/>
      <c r="BX1252" s="267"/>
      <c r="BY1252" s="267"/>
      <c r="BZ1252" s="267"/>
      <c r="CA1252" s="267"/>
      <c r="CB1252" s="267"/>
      <c r="CC1252" s="267"/>
      <c r="CD1252" s="267"/>
      <c r="CE1252" s="267"/>
      <c r="CF1252" s="267"/>
      <c r="CG1252" s="267"/>
    </row>
    <row r="1253" spans="70:85" ht="12.75" customHeight="1" x14ac:dyDescent="0.25">
      <c r="BR1253" s="177"/>
      <c r="BS1253" s="177"/>
      <c r="BT1253" s="267"/>
      <c r="BU1253" s="267"/>
      <c r="BV1253" s="267"/>
      <c r="BW1253" s="267"/>
      <c r="BX1253" s="267"/>
      <c r="BY1253" s="267"/>
      <c r="BZ1253" s="267"/>
      <c r="CA1253" s="267"/>
      <c r="CB1253" s="267"/>
      <c r="CC1253" s="267"/>
      <c r="CD1253" s="267"/>
      <c r="CE1253" s="267"/>
      <c r="CF1253" s="267"/>
      <c r="CG1253" s="267"/>
    </row>
    <row r="1254" spans="70:85" ht="12.75" customHeight="1" x14ac:dyDescent="0.25">
      <c r="BR1254" s="177"/>
      <c r="BS1254" s="177"/>
      <c r="BT1254" s="267"/>
      <c r="BU1254" s="267"/>
      <c r="BV1254" s="267"/>
      <c r="BW1254" s="267"/>
      <c r="BX1254" s="267"/>
      <c r="BY1254" s="267"/>
      <c r="BZ1254" s="267"/>
      <c r="CA1254" s="267"/>
      <c r="CB1254" s="267"/>
      <c r="CC1254" s="267"/>
      <c r="CD1254" s="267"/>
      <c r="CE1254" s="267"/>
      <c r="CF1254" s="267"/>
      <c r="CG1254" s="267"/>
    </row>
    <row r="1255" spans="70:85" ht="12.75" customHeight="1" x14ac:dyDescent="0.25">
      <c r="BR1255" s="177"/>
      <c r="BS1255" s="177"/>
      <c r="BT1255" s="267"/>
      <c r="BU1255" s="267"/>
      <c r="BV1255" s="267"/>
      <c r="BW1255" s="267"/>
      <c r="BX1255" s="267"/>
      <c r="BY1255" s="267"/>
      <c r="BZ1255" s="267"/>
      <c r="CA1255" s="267"/>
      <c r="CB1255" s="267"/>
      <c r="CC1255" s="267"/>
      <c r="CD1255" s="267"/>
      <c r="CE1255" s="267"/>
      <c r="CF1255" s="267"/>
      <c r="CG1255" s="267"/>
    </row>
    <row r="1256" spans="70:85" ht="12.75" customHeight="1" x14ac:dyDescent="0.25">
      <c r="BR1256" s="177"/>
      <c r="BS1256" s="177"/>
      <c r="BT1256" s="267"/>
      <c r="BU1256" s="267"/>
      <c r="BV1256" s="267"/>
      <c r="BW1256" s="267"/>
      <c r="BX1256" s="267"/>
      <c r="BY1256" s="267"/>
      <c r="BZ1256" s="267"/>
      <c r="CA1256" s="267"/>
      <c r="CB1256" s="267"/>
      <c r="CC1256" s="267"/>
      <c r="CD1256" s="267"/>
      <c r="CE1256" s="267"/>
      <c r="CF1256" s="267"/>
      <c r="CG1256" s="267"/>
    </row>
    <row r="1257" spans="70:85" ht="12.75" customHeight="1" x14ac:dyDescent="0.25">
      <c r="BR1257" s="177"/>
      <c r="BS1257" s="177"/>
      <c r="BT1257" s="267"/>
      <c r="BU1257" s="267"/>
      <c r="BV1257" s="267"/>
      <c r="BW1257" s="267"/>
      <c r="BX1257" s="267"/>
      <c r="BY1257" s="267"/>
      <c r="BZ1257" s="267"/>
      <c r="CA1257" s="267"/>
      <c r="CB1257" s="267"/>
      <c r="CC1257" s="267"/>
      <c r="CD1257" s="267"/>
      <c r="CE1257" s="267"/>
      <c r="CF1257" s="267"/>
      <c r="CG1257" s="267"/>
    </row>
    <row r="1258" spans="70:85" ht="12.75" customHeight="1" x14ac:dyDescent="0.25">
      <c r="BR1258" s="177"/>
      <c r="BS1258" s="177"/>
      <c r="BT1258" s="267"/>
      <c r="BU1258" s="267"/>
      <c r="BV1258" s="267"/>
      <c r="BW1258" s="267"/>
      <c r="BX1258" s="267"/>
      <c r="BY1258" s="267"/>
      <c r="BZ1258" s="267"/>
      <c r="CA1258" s="267"/>
      <c r="CB1258" s="267"/>
      <c r="CC1258" s="267"/>
      <c r="CD1258" s="267"/>
      <c r="CE1258" s="267"/>
      <c r="CF1258" s="267"/>
      <c r="CG1258" s="267"/>
    </row>
    <row r="1259" spans="70:85" ht="12.75" customHeight="1" x14ac:dyDescent="0.25">
      <c r="BR1259" s="177"/>
      <c r="BS1259" s="177"/>
      <c r="BT1259" s="267"/>
      <c r="BU1259" s="267"/>
      <c r="BV1259" s="267"/>
      <c r="BW1259" s="267"/>
      <c r="BX1259" s="267"/>
      <c r="BY1259" s="267"/>
      <c r="BZ1259" s="267"/>
      <c r="CA1259" s="267"/>
      <c r="CB1259" s="267"/>
      <c r="CC1259" s="267"/>
      <c r="CD1259" s="267"/>
      <c r="CE1259" s="267"/>
      <c r="CF1259" s="267"/>
      <c r="CG1259" s="267"/>
    </row>
    <row r="1260" spans="70:85" ht="12.75" customHeight="1" x14ac:dyDescent="0.25">
      <c r="BR1260" s="177"/>
      <c r="BS1260" s="177"/>
      <c r="BT1260" s="267"/>
      <c r="BU1260" s="267"/>
      <c r="BV1260" s="267"/>
      <c r="BW1260" s="267"/>
      <c r="BX1260" s="267"/>
      <c r="BY1260" s="267"/>
      <c r="BZ1260" s="267"/>
      <c r="CA1260" s="267"/>
      <c r="CB1260" s="267"/>
      <c r="CC1260" s="267"/>
      <c r="CD1260" s="267"/>
      <c r="CE1260" s="267"/>
      <c r="CF1260" s="267"/>
      <c r="CG1260" s="267"/>
    </row>
    <row r="1261" spans="70:85" ht="12.75" customHeight="1" x14ac:dyDescent="0.25">
      <c r="BR1261" s="177"/>
      <c r="BS1261" s="177"/>
      <c r="BT1261" s="267"/>
      <c r="BU1261" s="267"/>
      <c r="BV1261" s="267"/>
      <c r="BW1261" s="267"/>
      <c r="BX1261" s="267"/>
      <c r="BY1261" s="267"/>
      <c r="BZ1261" s="267"/>
      <c r="CA1261" s="267"/>
      <c r="CB1261" s="267"/>
      <c r="CC1261" s="267"/>
      <c r="CD1261" s="267"/>
      <c r="CE1261" s="267"/>
      <c r="CF1261" s="267"/>
      <c r="CG1261" s="267"/>
    </row>
    <row r="1262" spans="70:85" ht="12.75" customHeight="1" x14ac:dyDescent="0.25">
      <c r="BR1262" s="177"/>
      <c r="BS1262" s="177"/>
      <c r="BT1262" s="267"/>
      <c r="BU1262" s="267"/>
      <c r="BV1262" s="267"/>
      <c r="BW1262" s="267"/>
      <c r="BX1262" s="267"/>
      <c r="BY1262" s="267"/>
      <c r="BZ1262" s="267"/>
      <c r="CA1262" s="267"/>
      <c r="CB1262" s="267"/>
      <c r="CC1262" s="267"/>
      <c r="CD1262" s="267"/>
      <c r="CE1262" s="267"/>
      <c r="CF1262" s="267"/>
      <c r="CG1262" s="267"/>
    </row>
    <row r="1263" spans="70:85" ht="12.75" customHeight="1" x14ac:dyDescent="0.25">
      <c r="BR1263" s="177"/>
      <c r="BS1263" s="177"/>
      <c r="BT1263" s="267"/>
      <c r="BU1263" s="267"/>
      <c r="BV1263" s="267"/>
      <c r="BW1263" s="267"/>
      <c r="BX1263" s="267"/>
      <c r="BY1263" s="267"/>
      <c r="BZ1263" s="267"/>
      <c r="CA1263" s="267"/>
      <c r="CB1263" s="267"/>
      <c r="CC1263" s="267"/>
      <c r="CD1263" s="267"/>
      <c r="CE1263" s="267"/>
      <c r="CF1263" s="267"/>
      <c r="CG1263" s="267"/>
    </row>
    <row r="1264" spans="70:85" ht="12.75" customHeight="1" x14ac:dyDescent="0.25">
      <c r="BR1264" s="177"/>
      <c r="BS1264" s="177"/>
      <c r="BT1264" s="267"/>
      <c r="BU1264" s="267"/>
      <c r="BV1264" s="267"/>
      <c r="BW1264" s="267"/>
      <c r="BX1264" s="267"/>
      <c r="BY1264" s="267"/>
      <c r="BZ1264" s="267"/>
      <c r="CA1264" s="267"/>
      <c r="CB1264" s="267"/>
      <c r="CC1264" s="267"/>
      <c r="CD1264" s="267"/>
      <c r="CE1264" s="267"/>
      <c r="CF1264" s="267"/>
      <c r="CG1264" s="267"/>
    </row>
    <row r="1265" spans="70:85" ht="12.75" customHeight="1" x14ac:dyDescent="0.25">
      <c r="BR1265" s="177"/>
      <c r="BS1265" s="177"/>
      <c r="BT1265" s="267"/>
      <c r="BU1265" s="267"/>
      <c r="BV1265" s="267"/>
      <c r="BW1265" s="267"/>
      <c r="BX1265" s="267"/>
      <c r="BY1265" s="267"/>
      <c r="BZ1265" s="267"/>
      <c r="CA1265" s="267"/>
      <c r="CB1265" s="267"/>
      <c r="CC1265" s="267"/>
      <c r="CD1265" s="267"/>
      <c r="CE1265" s="267"/>
      <c r="CF1265" s="267"/>
      <c r="CG1265" s="267"/>
    </row>
    <row r="1266" spans="70:85" ht="12.75" customHeight="1" x14ac:dyDescent="0.25">
      <c r="BR1266" s="177"/>
      <c r="BS1266" s="177"/>
      <c r="BT1266" s="267"/>
      <c r="BU1266" s="267"/>
      <c r="BV1266" s="267"/>
      <c r="BW1266" s="267"/>
      <c r="BX1266" s="267"/>
      <c r="BY1266" s="267"/>
      <c r="BZ1266" s="267"/>
      <c r="CA1266" s="267"/>
      <c r="CB1266" s="267"/>
      <c r="CC1266" s="267"/>
      <c r="CD1266" s="267"/>
      <c r="CE1266" s="267"/>
      <c r="CF1266" s="267"/>
      <c r="CG1266" s="267"/>
    </row>
    <row r="1267" spans="70:85" ht="12.75" customHeight="1" x14ac:dyDescent="0.25">
      <c r="BR1267" s="177"/>
      <c r="BS1267" s="177"/>
      <c r="BT1267" s="267"/>
      <c r="BU1267" s="267"/>
      <c r="BV1267" s="267"/>
      <c r="BW1267" s="267"/>
      <c r="BX1267" s="267"/>
      <c r="BY1267" s="267"/>
      <c r="BZ1267" s="267"/>
      <c r="CA1267" s="267"/>
      <c r="CB1267" s="267"/>
      <c r="CC1267" s="267"/>
      <c r="CD1267" s="267"/>
      <c r="CE1267" s="267"/>
      <c r="CF1267" s="267"/>
      <c r="CG1267" s="267"/>
    </row>
    <row r="1268" spans="70:85" ht="12.75" customHeight="1" x14ac:dyDescent="0.25">
      <c r="BR1268" s="177"/>
      <c r="BS1268" s="177"/>
      <c r="BT1268" s="267"/>
      <c r="BU1268" s="267"/>
      <c r="BV1268" s="267"/>
      <c r="BW1268" s="267"/>
      <c r="BX1268" s="267"/>
      <c r="BY1268" s="267"/>
      <c r="BZ1268" s="267"/>
      <c r="CA1268" s="267"/>
      <c r="CB1268" s="267"/>
      <c r="CC1268" s="267"/>
      <c r="CD1268" s="267"/>
      <c r="CE1268" s="267"/>
      <c r="CF1268" s="267"/>
      <c r="CG1268" s="267"/>
    </row>
    <row r="1269" spans="70:85" ht="12.75" customHeight="1" x14ac:dyDescent="0.25">
      <c r="BR1269" s="177"/>
      <c r="BS1269" s="177"/>
      <c r="BT1269" s="267"/>
      <c r="BU1269" s="267"/>
      <c r="BV1269" s="267"/>
      <c r="BW1269" s="267"/>
      <c r="BX1269" s="267"/>
      <c r="BY1269" s="267"/>
      <c r="BZ1269" s="267"/>
      <c r="CA1269" s="267"/>
      <c r="CB1269" s="267"/>
      <c r="CC1269" s="267"/>
      <c r="CD1269" s="267"/>
      <c r="CE1269" s="267"/>
      <c r="CF1269" s="267"/>
      <c r="CG1269" s="267"/>
    </row>
    <row r="1270" spans="70:85" ht="12.75" customHeight="1" x14ac:dyDescent="0.25">
      <c r="BR1270" s="177"/>
      <c r="BS1270" s="177"/>
      <c r="BT1270" s="267"/>
      <c r="BU1270" s="267"/>
      <c r="BV1270" s="267"/>
      <c r="BW1270" s="267"/>
      <c r="BX1270" s="267"/>
      <c r="BY1270" s="267"/>
      <c r="BZ1270" s="267"/>
      <c r="CA1270" s="267"/>
      <c r="CB1270" s="267"/>
      <c r="CC1270" s="267"/>
      <c r="CD1270" s="267"/>
      <c r="CE1270" s="267"/>
      <c r="CF1270" s="267"/>
      <c r="CG1270" s="267"/>
    </row>
    <row r="1271" spans="70:85" ht="12.75" customHeight="1" x14ac:dyDescent="0.25">
      <c r="BR1271" s="177"/>
      <c r="BS1271" s="177"/>
      <c r="BT1271" s="267"/>
      <c r="BU1271" s="267"/>
      <c r="BV1271" s="267"/>
      <c r="BW1271" s="267"/>
      <c r="BX1271" s="267"/>
      <c r="BY1271" s="267"/>
      <c r="BZ1271" s="267"/>
      <c r="CA1271" s="267"/>
      <c r="CB1271" s="267"/>
      <c r="CC1271" s="267"/>
      <c r="CD1271" s="267"/>
      <c r="CE1271" s="267"/>
      <c r="CF1271" s="267"/>
      <c r="CG1271" s="267"/>
    </row>
    <row r="1272" spans="70:85" ht="12.75" customHeight="1" x14ac:dyDescent="0.25">
      <c r="BR1272" s="177"/>
      <c r="BS1272" s="177"/>
      <c r="BT1272" s="267"/>
      <c r="BU1272" s="267"/>
      <c r="BV1272" s="267"/>
      <c r="BW1272" s="267"/>
      <c r="BX1272" s="267"/>
      <c r="BY1272" s="267"/>
      <c r="BZ1272" s="267"/>
      <c r="CA1272" s="267"/>
      <c r="CB1272" s="267"/>
      <c r="CC1272" s="267"/>
      <c r="CD1272" s="267"/>
      <c r="CE1272" s="267"/>
      <c r="CF1272" s="267"/>
      <c r="CG1272" s="267"/>
    </row>
    <row r="1273" spans="70:85" ht="12.75" customHeight="1" x14ac:dyDescent="0.25">
      <c r="BR1273" s="177"/>
      <c r="BS1273" s="177"/>
      <c r="BT1273" s="267"/>
      <c r="BU1273" s="267"/>
      <c r="BV1273" s="267"/>
      <c r="BW1273" s="267"/>
      <c r="BX1273" s="267"/>
      <c r="BY1273" s="267"/>
      <c r="BZ1273" s="267"/>
      <c r="CA1273" s="267"/>
      <c r="CB1273" s="267"/>
      <c r="CC1273" s="267"/>
      <c r="CD1273" s="267"/>
      <c r="CE1273" s="267"/>
      <c r="CF1273" s="267"/>
      <c r="CG1273" s="267"/>
    </row>
    <row r="1274" spans="70:85" ht="12.75" customHeight="1" x14ac:dyDescent="0.25">
      <c r="BR1274" s="177"/>
      <c r="BS1274" s="177"/>
      <c r="BT1274" s="267"/>
      <c r="BU1274" s="267"/>
      <c r="BV1274" s="267"/>
      <c r="BW1274" s="267"/>
      <c r="BX1274" s="267"/>
      <c r="BY1274" s="267"/>
      <c r="BZ1274" s="267"/>
      <c r="CA1274" s="267"/>
      <c r="CB1274" s="267"/>
      <c r="CC1274" s="267"/>
      <c r="CD1274" s="267"/>
      <c r="CE1274" s="267"/>
      <c r="CF1274" s="267"/>
      <c r="CG1274" s="267"/>
    </row>
    <row r="1275" spans="70:85" ht="12.75" customHeight="1" x14ac:dyDescent="0.25">
      <c r="BR1275" s="177"/>
      <c r="BS1275" s="177"/>
      <c r="BT1275" s="267"/>
      <c r="BU1275" s="267"/>
      <c r="BV1275" s="267"/>
      <c r="BW1275" s="267"/>
      <c r="BX1275" s="267"/>
      <c r="BY1275" s="267"/>
      <c r="BZ1275" s="267"/>
      <c r="CA1275" s="267"/>
      <c r="CB1275" s="267"/>
      <c r="CC1275" s="267"/>
      <c r="CD1275" s="267"/>
      <c r="CE1275" s="267"/>
      <c r="CF1275" s="267"/>
      <c r="CG1275" s="267"/>
    </row>
    <row r="1276" spans="70:85" ht="12.75" customHeight="1" x14ac:dyDescent="0.25">
      <c r="BR1276" s="177"/>
      <c r="BS1276" s="177"/>
      <c r="BT1276" s="267"/>
      <c r="BU1276" s="267"/>
      <c r="BV1276" s="267"/>
      <c r="BW1276" s="267"/>
      <c r="BX1276" s="267"/>
      <c r="BY1276" s="267"/>
      <c r="BZ1276" s="267"/>
      <c r="CA1276" s="267"/>
      <c r="CB1276" s="267"/>
      <c r="CC1276" s="267"/>
      <c r="CD1276" s="267"/>
      <c r="CE1276" s="267"/>
      <c r="CF1276" s="267"/>
      <c r="CG1276" s="267"/>
    </row>
    <row r="1277" spans="70:85" ht="12.75" customHeight="1" x14ac:dyDescent="0.25">
      <c r="BR1277" s="177"/>
      <c r="BS1277" s="177"/>
      <c r="BT1277" s="267"/>
      <c r="BU1277" s="267"/>
      <c r="BV1277" s="267"/>
      <c r="BW1277" s="267"/>
      <c r="BX1277" s="267"/>
      <c r="BY1277" s="267"/>
      <c r="BZ1277" s="267"/>
      <c r="CA1277" s="267"/>
      <c r="CB1277" s="267"/>
      <c r="CC1277" s="267"/>
      <c r="CD1277" s="267"/>
      <c r="CE1277" s="267"/>
      <c r="CF1277" s="267"/>
      <c r="CG1277" s="267"/>
    </row>
    <row r="1278" spans="70:85" ht="12.75" customHeight="1" x14ac:dyDescent="0.25">
      <c r="BR1278" s="177"/>
      <c r="BS1278" s="177"/>
      <c r="BT1278" s="267"/>
      <c r="BU1278" s="267"/>
      <c r="BV1278" s="267"/>
      <c r="BW1278" s="267"/>
      <c r="BX1278" s="267"/>
      <c r="BY1278" s="267"/>
      <c r="BZ1278" s="267"/>
      <c r="CA1278" s="267"/>
      <c r="CB1278" s="267"/>
      <c r="CC1278" s="267"/>
      <c r="CD1278" s="267"/>
      <c r="CE1278" s="267"/>
      <c r="CF1278" s="267"/>
      <c r="CG1278" s="267"/>
    </row>
    <row r="1279" spans="70:85" ht="12.75" customHeight="1" x14ac:dyDescent="0.25">
      <c r="BR1279" s="177"/>
      <c r="BS1279" s="177"/>
      <c r="BT1279" s="267"/>
      <c r="BU1279" s="267"/>
      <c r="BV1279" s="267"/>
      <c r="BW1279" s="267"/>
      <c r="BX1279" s="267"/>
      <c r="BY1279" s="267"/>
      <c r="BZ1279" s="267"/>
      <c r="CA1279" s="267"/>
      <c r="CB1279" s="267"/>
      <c r="CC1279" s="267"/>
      <c r="CD1279" s="267"/>
      <c r="CE1279" s="267"/>
      <c r="CF1279" s="267"/>
      <c r="CG1279" s="267"/>
    </row>
    <row r="1280" spans="70:85" ht="12.75" customHeight="1" x14ac:dyDescent="0.25">
      <c r="BR1280" s="177"/>
      <c r="BS1280" s="177"/>
      <c r="BT1280" s="267"/>
      <c r="BU1280" s="267"/>
      <c r="BV1280" s="267"/>
      <c r="BW1280" s="267"/>
      <c r="BX1280" s="267"/>
      <c r="BY1280" s="267"/>
      <c r="BZ1280" s="267"/>
      <c r="CA1280" s="267"/>
      <c r="CB1280" s="267"/>
      <c r="CC1280" s="267"/>
      <c r="CD1280" s="267"/>
      <c r="CE1280" s="267"/>
      <c r="CF1280" s="267"/>
      <c r="CG1280" s="267"/>
    </row>
    <row r="1281" spans="70:85" ht="12.75" customHeight="1" x14ac:dyDescent="0.25">
      <c r="BR1281" s="177"/>
      <c r="BS1281" s="177"/>
      <c r="BT1281" s="267"/>
      <c r="BU1281" s="267"/>
      <c r="BV1281" s="267"/>
      <c r="BW1281" s="267"/>
      <c r="BX1281" s="267"/>
      <c r="BY1281" s="267"/>
      <c r="BZ1281" s="267"/>
      <c r="CA1281" s="267"/>
      <c r="CB1281" s="267"/>
      <c r="CC1281" s="267"/>
      <c r="CD1281" s="267"/>
      <c r="CE1281" s="267"/>
      <c r="CF1281" s="267"/>
      <c r="CG1281" s="267"/>
    </row>
    <row r="1282" spans="70:85" ht="12.75" customHeight="1" x14ac:dyDescent="0.25">
      <c r="BR1282" s="177"/>
      <c r="BS1282" s="177"/>
      <c r="BT1282" s="267"/>
      <c r="BU1282" s="267"/>
      <c r="BV1282" s="267"/>
      <c r="BW1282" s="267"/>
      <c r="BX1282" s="267"/>
      <c r="BY1282" s="267"/>
      <c r="BZ1282" s="267"/>
      <c r="CA1282" s="267"/>
      <c r="CB1282" s="267"/>
      <c r="CC1282" s="267"/>
      <c r="CD1282" s="267"/>
      <c r="CE1282" s="267"/>
      <c r="CF1282" s="267"/>
      <c r="CG1282" s="267"/>
    </row>
    <row r="1283" spans="70:85" ht="12.75" customHeight="1" x14ac:dyDescent="0.25">
      <c r="BR1283" s="177"/>
      <c r="BS1283" s="177"/>
      <c r="BT1283" s="267"/>
      <c r="BU1283" s="267"/>
      <c r="BV1283" s="267"/>
      <c r="BW1283" s="267"/>
      <c r="BX1283" s="267"/>
      <c r="BY1283" s="267"/>
      <c r="BZ1283" s="267"/>
      <c r="CA1283" s="267"/>
      <c r="CB1283" s="267"/>
      <c r="CC1283" s="267"/>
      <c r="CD1283" s="267"/>
      <c r="CE1283" s="267"/>
      <c r="CF1283" s="267"/>
      <c r="CG1283" s="267"/>
    </row>
    <row r="1284" spans="70:85" ht="12.75" customHeight="1" x14ac:dyDescent="0.25">
      <c r="BR1284" s="177"/>
      <c r="BS1284" s="177"/>
      <c r="BT1284" s="267"/>
      <c r="BU1284" s="267"/>
      <c r="BV1284" s="267"/>
      <c r="BW1284" s="267"/>
      <c r="BX1284" s="267"/>
      <c r="BY1284" s="267"/>
      <c r="BZ1284" s="267"/>
      <c r="CA1284" s="267"/>
      <c r="CB1284" s="267"/>
      <c r="CC1284" s="267"/>
      <c r="CD1284" s="267"/>
      <c r="CE1284" s="267"/>
      <c r="CF1284" s="267"/>
      <c r="CG1284" s="267"/>
    </row>
    <row r="1285" spans="70:85" ht="12.75" customHeight="1" x14ac:dyDescent="0.25">
      <c r="BR1285" s="177"/>
      <c r="BS1285" s="177"/>
      <c r="BT1285" s="267"/>
      <c r="BU1285" s="267"/>
      <c r="BV1285" s="267"/>
      <c r="BW1285" s="267"/>
      <c r="BX1285" s="267"/>
      <c r="BY1285" s="267"/>
      <c r="BZ1285" s="267"/>
      <c r="CA1285" s="267"/>
      <c r="CB1285" s="267"/>
      <c r="CC1285" s="267"/>
      <c r="CD1285" s="267"/>
      <c r="CE1285" s="267"/>
      <c r="CF1285" s="267"/>
      <c r="CG1285" s="267"/>
    </row>
    <row r="1286" spans="70:85" ht="12.75" customHeight="1" x14ac:dyDescent="0.25">
      <c r="BR1286" s="177"/>
      <c r="BS1286" s="177"/>
      <c r="BT1286" s="267"/>
      <c r="BU1286" s="267"/>
      <c r="BV1286" s="267"/>
      <c r="BW1286" s="267"/>
      <c r="BX1286" s="267"/>
      <c r="BY1286" s="267"/>
      <c r="BZ1286" s="267"/>
      <c r="CA1286" s="267"/>
      <c r="CB1286" s="267"/>
      <c r="CC1286" s="267"/>
      <c r="CD1286" s="267"/>
      <c r="CE1286" s="267"/>
      <c r="CF1286" s="267"/>
      <c r="CG1286" s="267"/>
    </row>
    <row r="1287" spans="70:85" ht="12.75" customHeight="1" x14ac:dyDescent="0.25">
      <c r="BR1287" s="177"/>
      <c r="BS1287" s="177"/>
      <c r="BT1287" s="267"/>
      <c r="BU1287" s="267"/>
      <c r="BV1287" s="267"/>
      <c r="BW1287" s="267"/>
      <c r="BX1287" s="267"/>
      <c r="BY1287" s="267"/>
      <c r="BZ1287" s="267"/>
      <c r="CA1287" s="267"/>
      <c r="CB1287" s="267"/>
      <c r="CC1287" s="267"/>
      <c r="CD1287" s="267"/>
      <c r="CE1287" s="267"/>
      <c r="CF1287" s="267"/>
      <c r="CG1287" s="267"/>
    </row>
    <row r="1288" spans="70:85" ht="12.75" customHeight="1" x14ac:dyDescent="0.25">
      <c r="BR1288" s="177"/>
      <c r="BS1288" s="177"/>
      <c r="BT1288" s="267"/>
      <c r="BU1288" s="267"/>
      <c r="BV1288" s="267"/>
      <c r="BW1288" s="267"/>
      <c r="BX1288" s="267"/>
      <c r="BY1288" s="267"/>
      <c r="BZ1288" s="267"/>
      <c r="CA1288" s="267"/>
      <c r="CB1288" s="267"/>
      <c r="CC1288" s="267"/>
      <c r="CD1288" s="267"/>
      <c r="CE1288" s="267"/>
      <c r="CF1288" s="267"/>
      <c r="CG1288" s="267"/>
    </row>
    <row r="1289" spans="70:85" ht="12.75" customHeight="1" x14ac:dyDescent="0.25">
      <c r="BR1289" s="177"/>
      <c r="BS1289" s="177"/>
      <c r="BT1289" s="267"/>
      <c r="BU1289" s="267"/>
      <c r="BV1289" s="267"/>
      <c r="BW1289" s="267"/>
      <c r="BX1289" s="267"/>
      <c r="BY1289" s="267"/>
      <c r="BZ1289" s="267"/>
      <c r="CA1289" s="267"/>
      <c r="CB1289" s="267"/>
      <c r="CC1289" s="267"/>
      <c r="CD1289" s="267"/>
      <c r="CE1289" s="267"/>
      <c r="CF1289" s="267"/>
      <c r="CG1289" s="267"/>
    </row>
    <row r="1290" spans="70:85" ht="12.75" customHeight="1" x14ac:dyDescent="0.25">
      <c r="BR1290" s="177"/>
      <c r="BS1290" s="177"/>
      <c r="BT1290" s="267"/>
      <c r="BU1290" s="267"/>
      <c r="BV1290" s="267"/>
      <c r="BW1290" s="267"/>
      <c r="BX1290" s="267"/>
      <c r="BY1290" s="267"/>
      <c r="BZ1290" s="267"/>
      <c r="CA1290" s="267"/>
      <c r="CB1290" s="267"/>
      <c r="CC1290" s="267"/>
      <c r="CD1290" s="267"/>
      <c r="CE1290" s="267"/>
      <c r="CF1290" s="267"/>
      <c r="CG1290" s="267"/>
    </row>
  </sheetData>
  <sheetProtection algorithmName="SHA-512" hashValue="ScTMuoCZMHsLf0alKjAAHXriiW7LNK8EceRyjpBIrhDoNtKWeqase5mWEet/xG0dAEMEIvU5ZyoSWPraCR4+Pw==" saltValue="IKiAD8zamAux1QLy0z3z7w==" spinCount="100000" sheet="1" objects="1" scenarios="1"/>
  <protectedRanges>
    <protectedRange sqref="D25" name="Intervalo1"/>
    <protectedRange sqref="D20:T20" name="Intervalo1_2_3_1_1_1"/>
    <protectedRange sqref="D15:T16" name="Intervalo1_2_3_1_1_2_2"/>
    <protectedRange sqref="D17:T17" name="Intervalo1_2_3_1_1_1_1_3"/>
  </protectedRanges>
  <mergeCells count="56">
    <mergeCell ref="E48:G48"/>
    <mergeCell ref="E49:G49"/>
    <mergeCell ref="E50:G50"/>
    <mergeCell ref="E43:G43"/>
    <mergeCell ref="E44:G44"/>
    <mergeCell ref="E45:G45"/>
    <mergeCell ref="E46:G46"/>
    <mergeCell ref="E47:G47"/>
    <mergeCell ref="E42:G42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B26:C26"/>
    <mergeCell ref="B27:C27"/>
    <mergeCell ref="AY14:BA14"/>
    <mergeCell ref="AY17:AZ17"/>
    <mergeCell ref="AQ18:AR18"/>
    <mergeCell ref="AU18:AV18"/>
    <mergeCell ref="AY18:AZ18"/>
    <mergeCell ref="AQ14:AS14"/>
    <mergeCell ref="AU14:AW14"/>
    <mergeCell ref="AQ17:AR17"/>
    <mergeCell ref="AU17:AV17"/>
    <mergeCell ref="B25:C25"/>
    <mergeCell ref="AY19:AZ19"/>
    <mergeCell ref="AQ20:AR20"/>
    <mergeCell ref="AU20:AV20"/>
    <mergeCell ref="AY20:AZ20"/>
    <mergeCell ref="AQ19:AR19"/>
    <mergeCell ref="AU19:AV19"/>
    <mergeCell ref="B20:C20"/>
    <mergeCell ref="B24:C24"/>
    <mergeCell ref="B22:C22"/>
    <mergeCell ref="G8:H8"/>
    <mergeCell ref="B18:C18"/>
    <mergeCell ref="B21:C21"/>
    <mergeCell ref="J8:K8"/>
    <mergeCell ref="D2:L2"/>
    <mergeCell ref="B15:C15"/>
    <mergeCell ref="B16:C16"/>
    <mergeCell ref="B17:C17"/>
    <mergeCell ref="B13:C13"/>
    <mergeCell ref="G5:H5"/>
    <mergeCell ref="D4:E6"/>
  </mergeCells>
  <phoneticPr fontId="20" type="noConversion"/>
  <conditionalFormatting sqref="B28:B30 B32:B35">
    <cfRule type="cellIs" dxfId="57" priority="14" operator="equal">
      <formula>"Válido somente para Portabilidade Especial"</formula>
    </cfRule>
  </conditionalFormatting>
  <conditionalFormatting sqref="B31 B41">
    <cfRule type="containsText" dxfId="56" priority="17" stopIfTrue="1" operator="containsText" text="Válido somente para Portabilidade Especial">
      <formula>NOT(ISERROR(SEARCH("Válido somente para Portabilidade Especial",B31)))</formula>
    </cfRule>
  </conditionalFormatting>
  <conditionalFormatting sqref="D14:T14">
    <cfRule type="cellIs" dxfId="55" priority="81" operator="equal">
      <formula>"manter"</formula>
    </cfRule>
    <cfRule type="cellIs" dxfId="54" priority="82" operator="equal">
      <formula>"Desvincular"</formula>
    </cfRule>
  </conditionalFormatting>
  <conditionalFormatting sqref="D18:T18">
    <cfRule type="cellIs" dxfId="53" priority="198" operator="lessThan">
      <formula>$E$24</formula>
    </cfRule>
  </conditionalFormatting>
  <conditionalFormatting sqref="E28:E50">
    <cfRule type="cellIs" dxfId="52" priority="13" operator="equal">
      <formula>0</formula>
    </cfRule>
  </conditionalFormatting>
  <conditionalFormatting sqref="L28:L50">
    <cfRule type="expression" dxfId="51" priority="224">
      <formula>M28=$G$57</formula>
    </cfRule>
    <cfRule type="expression" dxfId="50" priority="225">
      <formula>(M28=$B$233)</formula>
    </cfRule>
    <cfRule type="cellIs" priority="226" operator="equal">
      <formula>0</formula>
    </cfRule>
    <cfRule type="cellIs" dxfId="49" priority="227" operator="greaterThan">
      <formula>99.99</formula>
    </cfRule>
    <cfRule type="cellIs" dxfId="48" priority="228" operator="lessThan">
      <formula>J28*2%</formula>
    </cfRule>
    <cfRule type="cellIs" dxfId="47" priority="229" operator="greaterThan">
      <formula>J28*2%</formula>
    </cfRule>
  </conditionalFormatting>
  <conditionalFormatting sqref="M28:M50">
    <cfRule type="cellIs" dxfId="46" priority="1" operator="equal">
      <formula>"Não Disponível"</formula>
    </cfRule>
    <cfRule type="cellIs" dxfId="45" priority="2" operator="equal">
      <formula>"Não Libera Troco"</formula>
    </cfRule>
    <cfRule type="containsText" dxfId="44" priority="3" operator="containsText" text="TAB disponivel">
      <formula>NOT(ISERROR(SEARCH("TAB disponivel",M28)))</formula>
    </cfRule>
    <cfRule type="containsText" dxfId="43" priority="4" operator="containsText" text="Tabela Superior Taxa Ponderada">
      <formula>NOT(ISERROR(SEARCH("Tabela Superior Taxa Ponderada",M28)))</formula>
    </cfRule>
    <cfRule type="cellIs" dxfId="42" priority="5" operator="equal">
      <formula>"vide obs  (*)"</formula>
    </cfRule>
    <cfRule type="cellIs" dxfId="41" priority="6" operator="equal">
      <formula>"TAB disponivel 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H3 F11:L11" evalError="1"/>
    <ignoredError sqref="L8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738877-4EA7-4881-AA7A-0DEDDCEF27B4}">
          <x14:formula1>
            <xm:f>'SIMULADOR COM SALDO'!$CM$2:$CM$290</xm:f>
          </x14:formula1>
          <xm:sqref>E8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c 8 f 0 d a a - 0 3 0 c - 4 b 3 e - 8 8 f 4 - 6 5 8 a 2 5 c 3 7 a 0 8 "   x m l n s = " h t t p : / / s c h e m a s . m i c r o s o f t . c o m / D a t a M a s h u p " > A A A A A F M O A A B Q S w M E F A A C A A g A a W S 0 X J V 3 c C i l A A A A 9 g A A A B I A H A B D b 2 5 m a W c v U G F j a 2 F n Z S 5 4 b W w g o h g A K K A U A A A A A A A A A A A A A A A A A A A A A A A A A A A A h Y 9 N D o I w G E S v Q r q n P 2 g i k o + S 6 F Y S o 4 l x 2 0 C F R i i E F s v d X H g k r y B G U X c u 5 8 1 b z N y v N 0 i G u v I u s j O q 0 T F i m C J P 6 q z J l S 5 i 1 N u T H 6 K E w 1 Z k Z 1 F I b 5 S 1 i Q a T x 6 i 0 t o 0 I c c 5 h N 8 N N V 5 C A U k a O 6 W a f l b I W 6 C O r / 7 K v t L F C Z x J x O L z G 8 A C z + R K z R Y g p k A l C q v R X C M a 9 z / Y H w r q v b N 9 J 3 l p / t Q M y R S D v D / w B U E s D B B Q A A g A I A G l k t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Z L R c z e Y K X 0 w L A A B z Q A A A E w A c A E Z v c m 1 1 b G F z L 1 N l Y 3 R p b 2 4 x L m 0 g o h g A K K A U A A A A A A A A A A A A A A A A A A A A A A A A A A A A 7 R v Z b t t I 8 j 1 A / q H g I C C Z p T S S b M c 2 Z h y g R V I 2 J x T J k J Q n B w K B t u h E G 5 n 0 S j Q 2 w W C e 9 i / 2 d + b H t v r g I Y q 6 H C e 7 2 Z E f 6 G Z 3 V X V 1 d 9 1 q z q K r d J z E 4 P P / 7 Z 8 f P 3 r 8 a P Y x n E Y j 0 J J 4 d j d J w z a c w i R K H z 8 C / O s l c R p h h / + P S V M P 0 / A y n E X y n q + T N 7 7 b 2 m 9 1 O n s q 7 O n a x b A 3 s D X i 4 N u 7 V 3 f R 9 M v p 3 h N 5 c q 2 w h 9 k D p / u r o Q V D U 5 e l N L q 5 H V 0 2 m 0 8 C o + 9 K K k g D S Q H T B 9 s J w B 5 Y F k 6 q e 4 4 L A e l a B j C o d V Q 6 m 5 H p r K P T 3 o x O e y 0 / G x L q r K T U M 2 1 i r S f E w I r N L h 6 N 0 h 8 F N i x C i X h 9 Y v p l q C s 8 U v j n x y g G t x + 4 e k / r W e d 4 4 l J P g u D c s K E D h u U b s A + G r Q O S o F C u Z 2 p G Z b 5 Z N E G p g t F 4 l o 5 j b J g + 5 V a + v b 1 K R s n 0 w 4 H q 9 j V H d 7 y z A w X y T l D B O d A N X / P U D M F 1 E U x z 7 A u O 4 H q 6 w q b N u h G F b 1 s G H r i O a 3 j q v p I 3 Q S e B o Z u 9 H s g o q a r r 6 k G X + A Z r t C + 0 w F F A I 5 5 h a y a B R k M t a D P C O C / b B b g w P a I T F e 6 9 Q w w 1 l c + M g D I k K 4 0 2 h D M Y h W m k U B b J k F i B 4 R F U H O S h 3 3 u N T F U 2 d R y n C T y h M l E Z u J 4 m N 9 C z t a G L s k A G V J y 8 Z j N w i U d A t h 3 L 0 V 4 q f J 8 m 0 X U K v z q m v Q h + d T t N b k G O k 0 l y 9 U l x b M i P C J f H N o W 1 C S 6 r 2 P 5 T y M 6 F D U C 2 6 3 R H 9 i U o T f r 3 Z B y z S T V d E / w x e t m E k M R z M z o H v C 0 E 0 z J 6 w R L G t b 5 z 4 R b r R M 7 7 r u 1 R E M a 4 a F L 2 + q 5 v B o B 8 y J J p B 5 I q Y S c + X c P G p 2 V 2 J b 6 d e L r T K G e G m k C p 1 W p L K B 1 s 8 X 0 m o n T J l v n S A O m p b p 4 9 l R g m H y + 2 o H V S 7 s / x q P Y K X M N 3 n 0 q w B i j 6 f L U e 6 B w n F W y U N T q Z F k e E H B 2 d H B 7 t n 1 T B F h Q 3 x 1 G L y V T P c C 2 i G f J l M 1 N T q Y k b J z G V p G d h n B H c M U Q J X j O R R 0 v z m m R o I F O p R p l U p Z 8 5 l u u R t 4 4 a N n E u 4 u k B u e h 6 h i Y U m v U J v a F 4 w W v K i d 7 F J x 2 h L w E J B s R S g V y c y Z k G K 1 l j 2 E e d J 2 o m R e o D q G 9 V S + m Q Z i H D d A U V f U X x c s q O Z q W G Z h o Q 8 q X n U l 7 R l M s 5 G W f b V q 8 t T N W Y n Y A r p l Y 1 6 s o A f z s 3 P K N G 0 N l g G I + o p A U 9 s w 8 v 4 E O U U l M l C z s i h K v e q 1 b E L x c X m I w / R S i p t + E 0 j E O U 6 L r B M J o m c X i X 4 j C X d S G 7 V N J N W 1 C V m R x 3 n l O P y F p H e e s Y Z Y s 1 D i R Y x c Q 4 n s 2 q c 5 Q n O G 4 f t o 5 P p N J i z j x n 4 E L 3 T W k H 6 r S k m K m k C M u V 4 K v l P x d x 4 a n u J + r q M u k m i 8 J d H 1 b w v y y 2 Q L t m o B q W o 4 u / S o h w f x O z c Y B Q P p I i K m j f O y z Y B Q f f I T j Y J k J Y G x 0 I A N f x U O M e P o L Y x Q 3 C q H 6 9 U m 9 k V 0 v x Q v u / G T C 0 v 1 n E s E L A f 0 T v u p 1 z v a d v h Y F t 2 r q T J e z F m G 9 Y h h a U P H y h R Z X 4 J q W j a N B 8 X 8 p 2 N g 0 v x Z M W d Z a g n z k X w I w P 0 F O F 8 t E J C N / o k b d 5 B F U d 1 a w g n 5 3 T g g Y w F M A h a Y E V / n x o Z q h x W 8 v Q w z O D m m 9 c P J W 2 2 R m G 8 m 2 2 p p 6 b t V v D 0 F Z y s 2 x t T A H Q e m g k k E v m X W L L U 7 a j a P h I c S l B H N 2 W o G m T V R T p 8 L Y k i e v 4 x g q a b N w O 8 G 1 b y r S Q a j o r S H M A m 3 j m 1 r Q x s P F X 0 u Y A t u k H Z C n t R o N R L 5 O P k 7 T Y a 9 9 f a i E O W 5 9 W T H 7 Y e v k t J u 2 s n L R T m j R 7 M D N e 0 j t q z 0 t I g g 7 1 P M J Z Y S g I Q X g Z T U K Q 1 K I a 3 t S 7 T r M X D 6 P P 6 T Q c T + O 7 G 0 x 0 5 Z L j y l 2 c R N d O v Z f C A i R u / F U a E v 3 U b r V 4 b M R Y 0 z B H g d / o Y i z D l l l U p K D j 3 e e G n q 8 y B 2 H D m d t t H x x k e o r N G r 9 Q g 9 J p 5 S i d 1 k Y o J 8 8 z j J P n G y E c 5 1 w d b 8 b U U S d D O B I O l w + z Q 5 p / p T E Z f S l O F r c Y e g R D J b X o k 0 U c m 2 K 2 0 x Y Z S q N B c x T 5 9 u b 6 c / p Z v f o Y T s f x K P q M + A 1 2 T H m w U Q p d 8 n P 1 z L P z I M O V 6 T n x t o J S k p P C l A N J i Q G l I L h Z K j c q A s J S h g K j 5 m K Y R n 0 E 7 V + M 0 b K R I k K k k R Z / 4 7 5 l P I v v J p N s K Z S 9 X 1 5 I U h 7 4 y Y v K x i U X T Q y g 3 i w Z / v N f S 8 c x + N F w U P n p G Q 7 X k M 9 z n + W e z e v Z O K 4 8 + 2 k u Q K 1 J f Y a 4 P U / X 1 W p f D a y 1 M M H A 6 z p r o U y 7 O / B 8 s h b O d 4 C u c i 1 c E U Z v l N 3 R f e D n i G c I E i 3 E j a I p X H 4 B I R 0 Y q s I o m l 0 B c B N k B M 5 Q c / q G h x m S V V I X F j R T C F o k q R q l I s h G a W q J q G A u z R I 6 W s B R R Q V K L 4 d j v 2 i B W l r T N 9 D W 2 d 3 l L E W 4 D 5 D h t d V 6 5 W y 0 a d C 8 0 8 u d X n 4 L v V w O 9 P I B I I z X 2 s L v Q 1 V L s M I Q c P g Z 3 I z j 4 W 0 y T f P S S O k n k u r v m F + i c C r P d y r P M I j 5 2 0 0 S p x + r I 9 A 3 / J o s e c m P K 8 V v 3 T 3 P 6 Y v i C X R h r k 7 x A 8 n U l r I i j N 3 c 7 x c 0 C h 5 j Y C x + v e h I G Z T j 6 Y Z H i y t t N K 6 a i i E i P d S K L K B e O / Z C j U H E y b t a w 6 7 W s K s 1 7 G o N u 1 r D d 6 4 1 s H q C + D X V w u B u V 3 v Y 1 R 5 2 t Y d d j v M / k + M s z 1 8 W I 9 u t C g / b V h 7 g q 0 s P i 4 W H X e V h p 5 X / Z 1 q 5 R b p Z V A w e t k 7 w f c o E 1 d p A + w c u D m x x n J v V B N Z V B A Y u v Y Q m q i y Y u w Y V U 4 z m o D C 3 p Z D 1 N C s A M J s r t d X j Q 4 n b 2 g o + v 3 S Y y w Q i b k J w n 9 P q U H R u j r l w b c a O w B Y o S G L J U v u m P a R a R t H b 6 u G + B F x k S o R N G 3 e 0 k t u r d d U H d S H N L U m n q L H w 4 L 8 I 7 H k M z W N v 0 c 7 i b n 7 3 i Y t 2 E T / W u c l y S b 7 s 0 0 Q f T 0 n o z T l Z z H S i q J B d 1 c r + T 6 P b S X g V L f y n 1 2 q K p E E 3 z 4 D b X t M y d a I b w t 8 V / U W H a M 1 1 E 8 f i S U f V 1 + Y 2 p H T U v E 2 v z m T m h G + B e 2 F 5 e H D 0 Q r K p v T S G 2 D b 7 Y g f m L Q a 3 U M 3 M c O S v F f v B T Q e X C s J 6 6 q 8 Y p v Q + M 7 1 h V d 7 M 5 8 r c 1 S m e S i w l E e C b D t m 1 S s T o I H b g L l y 8 E n d Y K 6 p E t y 7 3 v P W K v Y f J Y n J z g 2 Y 8 G N 9 E y V 1 6 + m R 0 N w 3 p d 1 9 y C 4 F U w G d L e a + o / F O v J 3 v B + D Y B M k m j a T h K 9 i g 7 4 e U k a g b T M J 5 d J 9 M b L Z n c 3 c T B l 9 t o J r M P w 9 T f f 9 + b Z w w n T X E c M N + 8 j K Z / / K E 8 f j S O 6 + n X f X v W e c B v z 4 S i w R u D e M y f c P / S d + z g n L / T 4 M 8 n P Y y e 0 C z 5 g 7 6 M Q e J w E J g W G 6 E v f / 4 b 3 3 A Q D U 0 g k y b F Y k N o P B T R E M I p g 5 h v n g 4 T q H c F k + + b 7 0 a X C X 0 O t X A S x S O M + 5 L 3 + a U 9 J N m F x U I q l w S 2 E M 5 E e S m i B z e K A X Q X A E Q P / 1 0 P M t 4 w J l 6 8 q F 1 M W d x O H G o E 8 0 i d 1 o A K H d l 8 S X R S U n b C K 8 7 j x S l 0 W p 2 D F r 8 P m V 8 P X I F R f z Q L 1 p a d s g p y 5 Y z Y 8 Y p D q q 6 V 8 8 1 Z F u R / O Y W u m I h m D k 0 u O 7 S T t X K p Y d u r O R 6 a 4 M B Q B Y 4 6 t / P i U u J 9 G Y K a 2 X P 8 r 6 S 9 s F i l J D R E G / Q H F n q s B d G Z X N f L z L B T C c o q 0 3 Z h 4 b S e 1 T M 5 7 K w x a d S q P Y h N o 8 v O L B l N j b a 2 Y / s P / Q 2 t 2 B n d 9 A P T x k b m r K u 3 q y U M O W i a i j s S A W a S p a i R e 6 n i M J Y 4 t U x v 5 1 1 X 9 Z J + 6 Z L x 0 i v G C z G 3 i F v J o G 9 Q S T G 9 y v 1 0 n o + e Q v 4 5 R G m w k s R u L g n F w b F z q D u t g 4 c + L V E p y D 9 b E e n S X G F h / p I 1 e 9 R 9 7 L n l d 5 5 / i a 8 q v t s n l 6 J A I u Q R 5 E X H o j k D O w D 5 G b P 9 0 q t A l 4 r P l V h X E e L T k T 5 5 D T J z W a y W w X L o z G l x E j z x p f f Q z b c 0 c k U / Y u s m N q S S G Z 0 X k V z P G D n U H 0 q O 6 D r / s g k a R 2 p p B c q 8 a x W s s s 5 z c m H a Z 3 x J d E U v o F 0 N L y l w M f H 8 x 4 C U q b 1 F f f s P U E s B A i 0 A F A A C A A g A a W S 0 X J V 3 c C i l A A A A 9 g A A A B I A A A A A A A A A A A A A A A A A A A A A A E N v b m Z p Z y 9 Q Y W N r Y W d l L n h t b F B L A Q I t A B Q A A g A I A G l k t F w P y u m r p A A A A O k A A A A T A A A A A A A A A A A A A A A A A P E A A A B b Q 2 9 u d G V u d F 9 U e X B l c 1 0 u e G 1 s U E s B A i 0 A F A A C A A g A a W S 0 X M 3 m C l 9 M C w A A c 0 A A A B M A A A A A A A A A A A A A A A A A 4 g E A A E Z v c m 1 1 b G F z L 1 N l Y 3 R p b 2 4 x L m 1 Q S w U G A A A A A A M A A w D C A A A A e w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S s A A A A A A A B / K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Q 2 9 u c 3 V s d G E x I i A v P j x F b n R y e S B U e X B l P S J G a W x s Z W R D b 2 1 w b G V 0 Z V J l c 3 V s d F R v V 2 9 y a 3 N o Z W V 0 I i B W Y W x 1 Z T 0 i b D E i I C 8 + P E V u d H J 5 I F R 5 c G U 9 I l F 1 Z X J 5 S U Q i I F Z h b H V l P S J z Z T c w Y m F h N j A t Y 2 J i O S 0 0 M m U 5 L T k z N j Y t O T c z M 2 Z m N j g z M D F i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1 B s Y W 5 p b G h h M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Y t M D U t M j B U M T U 6 M z U 6 M T g u N j k w N z U x M V o i I C 8 + P E V u d H J 5 I F R 5 c G U 9 I k Z p b G x D b 2 x 1 b W 5 U e X B l c y I g V m F s d W U 9 I n N C Z 1 l G Q W d Z R k F n S U d C Z 0 l D Q l F J R 0 J n P T 0 i I C 8 + P E V u d H J 5 I F R 5 c G U 9 I k Z p b G x D b 2 x 1 b W 5 O Y W 1 l c y I g V m F s d W U 9 I n N b J n F 1 b 3 Q 7 R U 1 Q U k V H Q U R P U i Z x d W 9 0 O y w m c X V v d D t U Q U J F T E E m c X V v d D s s J n F 1 b 3 Q 7 V E F Y Q S Z x d W 9 0 O y w m c X V v d D t Q U k F a T y Z x d W 9 0 O y w m c X V v d D t G Q V R P U i Z x d W 9 0 O y w m c X V v d D t U R V R P X 0 N P T U V S Q 0 l B T C Z x d W 9 0 O y w m c X V v d D t W Q 1 R P J n F 1 b 3 Q 7 L C Z x d W 9 0 O 0 N B U k V O Q 0 l B X 0 Z J T k F M J n F 1 b 3 Q 7 L C Z x d W 9 0 O 1 B N R E V T Q 1 J Q U k Q m c X V v d D s s J n F 1 b 3 Q 7 b W l u X 3 B v c n Q m c X V v d D s s J n F 1 b 3 Q 7 V k l S Q U R B J n F 1 b 3 Q 7 L C Z x d W 9 0 O 1 B N V F B Q U k l D R S Z x d W 9 0 O y w m c X V v d D t U S U N L R V 9 N S U 5 J T U 8 m c X V v d D s s J n F 1 b 3 Q 7 T U V T X 0 F M V E V S Q U N B T y Z x d W 9 0 O y w m c X V v d D t Q T V R Q Q 0 x D J n F 1 b 3 Q 7 L C Z x d W 9 0 O 1 B N R l h D Q V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x L 0 F 1 d G 9 S Z W 1 v d m V k Q 2 9 s d W 1 u c z E u e 0 V N U F J F R 0 F E T 1 I s M H 0 m c X V v d D s s J n F 1 b 3 Q 7 U 2 V j d G l v b j E v Q 2 9 u c 3 V s d G E x L 0 F 1 d G 9 S Z W 1 v d m V k Q 2 9 s d W 1 u c z E u e 1 R B Q k V M Q S w x f S Z x d W 9 0 O y w m c X V v d D t T Z W N 0 a W 9 u M S 9 D b 2 5 z d W x 0 Y T E v Q X V 0 b 1 J l b W 9 2 Z W R D b 2 x 1 b W 5 z M S 5 7 V E F Y Q S w y f S Z x d W 9 0 O y w m c X V v d D t T Z W N 0 a W 9 u M S 9 D b 2 5 z d W x 0 Y T E v Q X V 0 b 1 J l b W 9 2 Z W R D b 2 x 1 b W 5 z M S 5 7 U F J B W k 8 s M 3 0 m c X V v d D s s J n F 1 b 3 Q 7 U 2 V j d G l v b j E v Q 2 9 u c 3 V s d G E x L 0 F 1 d G 9 S Z W 1 v d m V k Q 2 9 s d W 1 u c z E u e 0 Z B V E 9 S L D R 9 J n F 1 b 3 Q 7 L C Z x d W 9 0 O 1 N l Y 3 R p b 2 4 x L 0 N v b n N 1 b H R h M S 9 B d X R v U m V t b 3 Z l Z E N v b H V t b n M x L n t U R V R P X 0 N P T U V S Q 0 l B T C w 1 f S Z x d W 9 0 O y w m c X V v d D t T Z W N 0 a W 9 u M S 9 D b 2 5 z d W x 0 Y T E v Q X V 0 b 1 J l b W 9 2 Z W R D b 2 x 1 b W 5 z M S 5 7 V k N U T y w 2 f S Z x d W 9 0 O y w m c X V v d D t T Z W N 0 a W 9 u M S 9 D b 2 5 z d W x 0 Y T E v Q X V 0 b 1 J l b W 9 2 Z W R D b 2 x 1 b W 5 z M S 5 7 Q 0 F S R U 5 D S U F f R k l O Q U w s N 3 0 m c X V v d D s s J n F 1 b 3 Q 7 U 2 V j d G l v b j E v Q 2 9 u c 3 V s d G E x L 0 F 1 d G 9 S Z W 1 v d m V k Q 2 9 s d W 1 u c z E u e 1 B N R E V T Q 1 J Q U k Q s O H 0 m c X V v d D s s J n F 1 b 3 Q 7 U 2 V j d G l v b j E v Q 2 9 u c 3 V s d G E x L 0 F 1 d G 9 S Z W 1 v d m V k Q 2 9 s d W 1 u c z E u e 2 1 p b l 9 w b 3 J 0 L D l 9 J n F 1 b 3 Q 7 L C Z x d W 9 0 O 1 N l Y 3 R p b 2 4 x L 0 N v b n N 1 b H R h M S 9 B d X R v U m V t b 3 Z l Z E N v b H V t b n M x L n t W S V J B R E E s M T B 9 J n F 1 b 3 Q 7 L C Z x d W 9 0 O 1 N l Y 3 R p b 2 4 x L 0 N v b n N 1 b H R h M S 9 B d X R v U m V t b 3 Z l Z E N v b H V t b n M x L n t Q T V R Q U F J J Q 0 U s M T F 9 J n F 1 b 3 Q 7 L C Z x d W 9 0 O 1 N l Y 3 R p b 2 4 x L 0 N v b n N 1 b H R h M S 9 B d X R v U m V t b 3 Z l Z E N v b H V t b n M x L n t U S U N L R V 9 N S U 5 J T U 8 s M T J 9 J n F 1 b 3 Q 7 L C Z x d W 9 0 O 1 N l Y 3 R p b 2 4 x L 0 N v b n N 1 b H R h M S 9 B d X R v U m V t b 3 Z l Z E N v b H V t b n M x L n t N R V N f Q U x U R V J B Q 0 F P L D E z f S Z x d W 9 0 O y w m c X V v d D t T Z W N 0 a W 9 u M S 9 D b 2 5 z d W x 0 Y T E v Q X V 0 b 1 J l b W 9 2 Z W R D b 2 x 1 b W 5 z M S 5 7 U E 1 U U E N M Q y w x N H 0 m c X V v d D s s J n F 1 b 3 Q 7 U 2 V j d G l v b j E v Q 2 9 u c 3 V s d G E x L 0 F 1 d G 9 S Z W 1 v d m V k Q 2 9 s d W 1 u c z E u e 1 B N R l h D Q V I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D b 2 5 z d W x 0 Y T E v Q X V 0 b 1 J l b W 9 2 Z W R D b 2 x 1 b W 5 z M S 5 7 R U 1 Q U k V H Q U R P U i w w f S Z x d W 9 0 O y w m c X V v d D t T Z W N 0 a W 9 u M S 9 D b 2 5 z d W x 0 Y T E v Q X V 0 b 1 J l b W 9 2 Z W R D b 2 x 1 b W 5 z M S 5 7 V E F C R U x B L D F 9 J n F 1 b 3 Q 7 L C Z x d W 9 0 O 1 N l Y 3 R p b 2 4 x L 0 N v b n N 1 b H R h M S 9 B d X R v U m V t b 3 Z l Z E N v b H V t b n M x L n t U Q V h B L D J 9 J n F 1 b 3 Q 7 L C Z x d W 9 0 O 1 N l Y 3 R p b 2 4 x L 0 N v b n N 1 b H R h M S 9 B d X R v U m V t b 3 Z l Z E N v b H V t b n M x L n t Q U k F a T y w z f S Z x d W 9 0 O y w m c X V v d D t T Z W N 0 a W 9 u M S 9 D b 2 5 z d W x 0 Y T E v Q X V 0 b 1 J l b W 9 2 Z W R D b 2 x 1 b W 5 z M S 5 7 R k F U T 1 I s N H 0 m c X V v d D s s J n F 1 b 3 Q 7 U 2 V j d G l v b j E v Q 2 9 u c 3 V s d G E x L 0 F 1 d G 9 S Z W 1 v d m V k Q 2 9 s d W 1 u c z E u e 1 R F V E 9 f Q 0 9 N R V J D S U F M L D V 9 J n F 1 b 3 Q 7 L C Z x d W 9 0 O 1 N l Y 3 R p b 2 4 x L 0 N v b n N 1 b H R h M S 9 B d X R v U m V t b 3 Z l Z E N v b H V t b n M x L n t W Q 1 R P L D Z 9 J n F 1 b 3 Q 7 L C Z x d W 9 0 O 1 N l Y 3 R p b 2 4 x L 0 N v b n N 1 b H R h M S 9 B d X R v U m V t b 3 Z l Z E N v b H V t b n M x L n t D Q V J F T k N J Q V 9 G S U 5 B T C w 3 f S Z x d W 9 0 O y w m c X V v d D t T Z W N 0 a W 9 u M S 9 D b 2 5 z d W x 0 Y T E v Q X V 0 b 1 J l b W 9 2 Z W R D b 2 x 1 b W 5 z M S 5 7 U E 1 E R V N D U l B S R C w 4 f S Z x d W 9 0 O y w m c X V v d D t T Z W N 0 a W 9 u M S 9 D b 2 5 z d W x 0 Y T E v Q X V 0 b 1 J l b W 9 2 Z W R D b 2 x 1 b W 5 z M S 5 7 b W l u X 3 B v c n Q s O X 0 m c X V v d D s s J n F 1 b 3 Q 7 U 2 V j d G l v b j E v Q 2 9 u c 3 V s d G E x L 0 F 1 d G 9 S Z W 1 v d m V k Q 2 9 s d W 1 u c z E u e 1 Z J U k F E Q S w x M H 0 m c X V v d D s s J n F 1 b 3 Q 7 U 2 V j d G l v b j E v Q 2 9 u c 3 V s d G E x L 0 F 1 d G 9 S Z W 1 v d m V k Q 2 9 s d W 1 u c z E u e 1 B N V F B Q U k l D R S w x M X 0 m c X V v d D s s J n F 1 b 3 Q 7 U 2 V j d G l v b j E v Q 2 9 u c 3 V s d G E x L 0 F 1 d G 9 S Z W 1 v d m V k Q 2 9 s d W 1 u c z E u e 1 R J Q 0 t F X 0 1 J T k l N T y w x M n 0 m c X V v d D s s J n F 1 b 3 Q 7 U 2 V j d G l v b j E v Q 2 9 u c 3 V s d G E x L 0 F 1 d G 9 S Z W 1 v d m V k Q 2 9 s d W 1 u c z E u e 0 1 F U 1 9 B T F R F U k F D Q U 8 s M T N 9 J n F 1 b 3 Q 7 L C Z x d W 9 0 O 1 N l Y 3 R p b 2 4 x L 0 N v b n N 1 b H R h M S 9 B d X R v U m V t b 3 Z l Z E N v b H V t b n M x L n t Q T V R Q Q 0 x D L D E 0 f S Z x d W 9 0 O y w m c X V v d D t T Z W N 0 a W 9 u M S 9 D b 2 5 z d W x 0 Y T E v Q X V 0 b 1 J l b W 9 2 Z W R D b 2 x 1 b W 5 z M S 5 7 U E 1 G W E N B U i w x N X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j I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u c 3 V s d G E x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3 V s d G E x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2 9 u c 3 V s d G E y I i A v P j x F b n R y e S B U e X B l P S J G a W x s Z W R D b 2 1 w b G V 0 Z V J l c 3 V s d F R v V 2 9 y a 3 N o Z W V 0 I i B W Y W x 1 Z T 0 i b D E i I C 8 + P E V u d H J 5 I F R 5 c G U 9 I l F 1 Z X J 5 S U Q i I F Z h b H V l P S J z N 2 F j Y j U w Z W E t M T V k N y 0 0 Y 2 V i L W E z Y m Q t Y 2 Q x Y T J k M D Q z Z W Z j I i A v P j x F b n R y e S B U e X B l P S J S Z W N v d m V y e V R h c m d l d E N v b H V t b i I g V m F s d W U 9 I m w x I i A v P j x F b n R y e S B U e X B l P S J S Z W N v d m V y e V R h c m d l d F N o Z W V 0 I i B W Y W x 1 Z T 0 i c 1 B s Y W 5 p b G h h M i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Y t M D U t M j B U M T U 6 M T E 6 N D U u O D g w M D U 3 M F o i I C 8 + P E V u d H J 5 I F R 5 c G U 9 I k Z p b G x D b 2 x 1 b W 5 U e X B l c y I g V m F s d W U 9 I n N B Z 1 V K Q l F V R i I g L z 4 8 R W 5 0 c n k g V H l w Z T 0 i R m l s b E N v b H V t b k 5 h b W V z I i B W Y W x 1 Z T 0 i c 1 s m c X V v d D t T Q U Z S Q S Z x d W 9 0 O y w m c X V v d D t E S U F f V V R J T F 9 D T 1 J S R U 5 U R S Z x d W 9 0 O y w m c X V v d D t E Q V R B J n F 1 b 3 Q 7 L C Z x d W 9 0 O 0 R J Q V 9 V V E l M X 0 1 F U y Z x d W 9 0 O y w m c X V v d D t E S U F f w 5 p U S U w m c X V v d D s s J n F 1 b 3 Q 7 R E l B X 1 V U S U x f Q U N V T V V M Q U R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3 V s d G E y L 0 F 1 d G 9 S Z W 1 v d m V k Q 2 9 s d W 1 u c z E u e 1 N B R l J B L D B 9 J n F 1 b 3 Q 7 L C Z x d W 9 0 O 1 N l Y 3 R p b 2 4 x L 0 N v b n N 1 b H R h M i 9 B d X R v U m V t b 3 Z l Z E N v b H V t b n M x L n t E S U F f V V R J T F 9 D T 1 J S R U 5 U R S w x f S Z x d W 9 0 O y w m c X V v d D t T Z W N 0 a W 9 u M S 9 D b 2 5 z d W x 0 Y T I v Q X V 0 b 1 J l b W 9 2 Z W R D b 2 x 1 b W 5 z M S 5 7 R E F U Q S w y f S Z x d W 9 0 O y w m c X V v d D t T Z W N 0 a W 9 u M S 9 D b 2 5 z d W x 0 Y T I v Q X V 0 b 1 J l b W 9 2 Z W R D b 2 x 1 b W 5 z M S 5 7 R E l B X 1 V U S U x f T U V T L D N 9 J n F 1 b 3 Q 7 L C Z x d W 9 0 O 1 N l Y 3 R p b 2 4 x L 0 N v b n N 1 b H R h M i 9 B d X R v U m V t b 3 Z l Z E N v b H V t b n M x L n t E S U F f w 5 p U S U w s N H 0 m c X V v d D s s J n F 1 b 3 Q 7 U 2 V j d G l v b j E v Q 2 9 u c 3 V s d G E y L 0 F 1 d G 9 S Z W 1 v d m V k Q 2 9 s d W 1 u c z E u e 0 R J Q V 9 V V E l M X 0 F D V U 1 V T E F E T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D b 2 5 z d W x 0 Y T I v Q X V 0 b 1 J l b W 9 2 Z W R D b 2 x 1 b W 5 z M S 5 7 U 0 F G U k E s M H 0 m c X V v d D s s J n F 1 b 3 Q 7 U 2 V j d G l v b j E v Q 2 9 u c 3 V s d G E y L 0 F 1 d G 9 S Z W 1 v d m V k Q 2 9 s d W 1 u c z E u e 0 R J Q V 9 V V E l M X 0 N P U l J F T l R F L D F 9 J n F 1 b 3 Q 7 L C Z x d W 9 0 O 1 N l Y 3 R p b 2 4 x L 0 N v b n N 1 b H R h M i 9 B d X R v U m V t b 3 Z l Z E N v b H V t b n M x L n t E Q V R B L D J 9 J n F 1 b 3 Q 7 L C Z x d W 9 0 O 1 N l Y 3 R p b 2 4 x L 0 N v b n N 1 b H R h M i 9 B d X R v U m V t b 3 Z l Z E N v b H V t b n M x L n t E S U F f V V R J T F 9 N R V M s M 3 0 m c X V v d D s s J n F 1 b 3 Q 7 U 2 V j d G l v b j E v Q 2 9 u c 3 V s d G E y L 0 F 1 d G 9 S Z W 1 v d m V k Q 2 9 s d W 1 u c z E u e 0 R J Q V / D m l R J T C w 0 f S Z x d W 9 0 O y w m c X V v d D t T Z W N 0 a W 9 u M S 9 D b 2 5 z d W x 0 Y T I v Q X V 0 b 1 J l b W 9 2 Z W R D b 2 x 1 b W 5 z M S 5 7 R E l B X 1 V U S U x f Q U N V T V V M Q U R P L D V 9 J n F 1 b 3 Q 7 X S w m c X V v d D t S Z W x h d G l v b n N o a X B J b m Z v J n F 1 b 3 Q 7 O l t d f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U 1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1 b H R h M i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Y T d j Y 2 Y 2 M y 1 k O D h m L T Q 1 N W U t O D E 3 Z C 0 4 Z G F m Z D Y 0 N z Q 0 O T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D b 2 5 z d W x 0 Y T M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Q b G F u a W x o Y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2 L T A 1 L T I w V D E 1 O j E x O j Q 3 L j A y M T I 4 M D d a I i A v P j x F b n R y e S B U e X B l P S J G a W x s Q 2 9 s d W 1 u V H l w Z X M i I F Z h b H V l P S J z Q m d Z P S I g L z 4 8 R W 5 0 c n k g V H l w Z T 0 i R m l s b E N v b H V t b k 5 h b W V z I i B W Y W x 1 Z T 0 i c 1 s m c X V v d D s t I F N l b G V j a W 9 u Z S A t J n F 1 b 3 Q 7 L C Z x d W 9 0 O 1 R B Q k V M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y 9 B d X R v U m V t b 3 Z l Z E N v b H V t b n M x L n s t I F N l b G V j a W 9 u Z S A t L D B 9 J n F 1 b 3 Q 7 L C Z x d W 9 0 O 1 N l Y 3 R p b 2 4 x L 0 N v b n N 1 b H R h M y 9 B d X R v U m V t b 3 Z l Z E N v b H V t b n M x L n t U Q U J F T E E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2 9 u c 3 V s d G E z L 0 F 1 d G 9 S Z W 1 v d m V k Q 2 9 s d W 1 u c z E u e y 0 g U 2 V s Z W N p b 2 5 l I C 0 s M H 0 m c X V v d D s s J n F 1 b 3 Q 7 U 2 V j d G l v b j E v Q 2 9 u c 3 V s d G E z L 0 F 1 d G 9 S Z W 1 v d m V k Q 2 9 s d W 1 u c z E u e 1 R B Q k V M Q S w x f S Z x d W 9 0 O 1 0 s J n F 1 b 3 Q 7 U m V s Y X R p b 2 5 z a G l w S W 5 m b y Z x d W 9 0 O z p b X X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5 z d W x 0 Y T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d W x 0 Y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Y z E w N z A 4 N y 0 z N j N i L T R m M z Y t O D V j N S 1 m N m V h Z D M 0 N T I 4 Y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D b 2 5 z d W x 0 Y T Q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U t M j B U M T U 6 M T E 6 N D U u O T Q y N T Q 2 M l o i I C 8 + P E V u d H J 5 I F R 5 c G U 9 I k Z p b G x D b 2 x 1 b W 5 U e X B l c y I g V m F s d W U 9 I n N B Z 1 l I I i A v P j x F b n R y e S B U e X B l P S J G a W x s Q 2 9 s d W 1 u T m F t Z X M i I F Z h b H V l P S J z W y Z x d W 9 0 O 1 F U R C Z x d W 9 0 O y w m c X V v d D t F T V B S R U d B R E 9 S J n F 1 b 3 Q 7 L C Z x d W 9 0 O 0 R B V E F f Q V R V Q U x J W k F D Q U 9 f Q 0 9 O R E l D Q U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Q v Q X V 0 b 1 J l b W 9 2 Z W R D b 2 x 1 b W 5 z M S 5 7 U V R E L D B 9 J n F 1 b 3 Q 7 L C Z x d W 9 0 O 1 N l Y 3 R p b 2 4 x L 0 N v b n N 1 b H R h N C 9 B d X R v U m V t b 3 Z l Z E N v b H V t b n M x L n t F T V B S R U d B R E 9 S L D F 9 J n F 1 b 3 Q 7 L C Z x d W 9 0 O 1 N l Y 3 R p b 2 4 x L 0 N v b n N 1 b H R h N C 9 B d X R v U m V t b 3 Z l Z E N v b H V t b n M x L n t E Q V R B X 0 F U V U F M S V p B Q 0 F P X 0 N P T k R J Q 0 F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N v b n N 1 b H R h N C 9 B d X R v U m V t b 3 Z l Z E N v b H V t b n M x L n t R V E Q s M H 0 m c X V v d D s s J n F 1 b 3 Q 7 U 2 V j d G l v b j E v Q 2 9 u c 3 V s d G E 0 L 0 F 1 d G 9 S Z W 1 v d m V k Q 2 9 s d W 1 u c z E u e 0 V N U F J F R 0 F E T 1 I s M X 0 m c X V v d D s s J n F 1 b 3 Q 7 U 2 V j d G l v b j E v Q 2 9 u c 3 V s d G E 0 L 0 F 1 d G 9 S Z W 1 v d m V k Q 2 9 s d W 1 u c z E u e 0 R B V E F f Q V R V Q U x J W k F D Q U 9 f Q 0 9 O R E l D Q U 8 s M n 0 m c X V v d D t d L C Z x d W 9 0 O 1 J l b G F 0 a W 9 u c 2 h p c E l u Z m 8 m c X V v d D s 6 W 1 1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1 b H R h N C 9 G b 2 5 0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B L + d + R 8 W b Q 4 e r Y x O M b r 2 R A A A A A A I A A A A A A A N m A A D A A A A A E A A A A J h 2 K X N f j y X E u V c w z K K M / j o A A A A A B I A A A K A A A A A Q A A A A g W c y x A C 3 4 F x 6 o / N 9 + t X g 7 1 A A A A D h s W m M 1 R E M j j i M 4 Q F r 6 p b I I a 5 v E h e N m 9 i S 8 3 G Q u F 9 v 4 F / m b E X W S F 8 p O o 7 y 4 r O d H C e y 3 3 V v s y I C N U k Y 3 3 0 j j q B v 7 z T k J k e + v r 3 m i 0 H J b 6 + V F B Q A A A D N r t A 2 i v 5 Y r 1 4 V a e o P X d G q r T T c R w = = < / D a t a M a s h u p > 
</file>

<file path=customXml/itemProps1.xml><?xml version="1.0" encoding="utf-8"?>
<ds:datastoreItem xmlns:ds="http://schemas.openxmlformats.org/officeDocument/2006/customXml" ds:itemID="{8647B72B-3498-41F4-A163-F0F35CA994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Matriz Ponderação</vt:lpstr>
      <vt:lpstr>especies</vt:lpstr>
      <vt:lpstr>indices</vt:lpstr>
      <vt:lpstr>Batalha Naval (3)</vt:lpstr>
      <vt:lpstr>Batalha Naval (2)</vt:lpstr>
      <vt:lpstr>CORTE MAILING INSS</vt:lpstr>
      <vt:lpstr>Batalha Naval</vt:lpstr>
      <vt:lpstr>Calculadora Inversa IRPF</vt:lpstr>
      <vt:lpstr>CALCULAR SALDO APROXIMADO </vt:lpstr>
      <vt:lpstr>Planilha1</vt:lpstr>
      <vt:lpstr>SIMULADOR COM SALDO</vt:lpstr>
      <vt:lpstr>NOVAS CONDIÇÕES</vt:lpstr>
      <vt:lpstr>Margem IR Publico</vt:lpstr>
      <vt:lpstr>Aumento Salarial INSS 2026</vt:lpstr>
      <vt:lpstr>Margem IR INSS</vt:lpstr>
      <vt:lpstr>Base tabelas</vt:lpstr>
      <vt:lpstr>CALENDARIO</vt:lpstr>
      <vt:lpstr>empregadores aumento 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Gerente Adm - Luiz Antonio Martins R: 0773</dc:creator>
  <cp:lastModifiedBy>Planejamento - Allan Rodrigues Dos Santos</cp:lastModifiedBy>
  <cp:lastPrinted>2023-07-21T12:48:02Z</cp:lastPrinted>
  <dcterms:created xsi:type="dcterms:W3CDTF">2022-10-03T16:18:40Z</dcterms:created>
  <dcterms:modified xsi:type="dcterms:W3CDTF">2026-05-20T15:42:28Z</dcterms:modified>
</cp:coreProperties>
</file>